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virotechservices0.sharepoint.com/sites/SupplyChain2/RAIL ACCOUNTS PAYABLE/"/>
    </mc:Choice>
  </mc:AlternateContent>
  <xr:revisionPtr revIDLastSave="9761" documentId="8_{43CF01AC-F284-45B9-B484-755CCF4C470A}" xr6:coauthVersionLast="47" xr6:coauthVersionMax="47" xr10:uidLastSave="{16C76189-E042-41BC-8488-D0A8D613317A}"/>
  <bookViews>
    <workbookView xWindow="-120" yWindow="-120" windowWidth="29040" windowHeight="15720" activeTab="4" xr2:uid="{36F8CEEB-04A9-439C-A026-ACCEA18449A3}"/>
  </bookViews>
  <sheets>
    <sheet name="2023-24" sheetId="1" r:id="rId1"/>
    <sheet name="2023-24 UP Auto" sheetId="5" r:id="rId2"/>
    <sheet name="Data" sheetId="3" r:id="rId3"/>
    <sheet name="TEST" sheetId="6" r:id="rId4"/>
    <sheet name="Sheet1" sheetId="7" r:id="rId5"/>
    <sheet name="2023-24 Auto" sheetId="2" state="hidden" r:id="rId6"/>
  </sheets>
  <definedNames>
    <definedName name="_xlnm._FilterDatabase" localSheetId="0" hidden="1">'2023-24'!$A$5:$W$905</definedName>
    <definedName name="_xlnm._FilterDatabase" localSheetId="5" hidden="1">'2023-24 Auto'!$A$6:$V$5008</definedName>
    <definedName name="_xlnm._FilterDatabase" localSheetId="1" hidden="1">'2023-24 UP Auto'!$A$6:$V$5009</definedName>
    <definedName name="_xlnm._FilterDatabase" localSheetId="3" hidden="1">TEST!$A$5:$W$880</definedName>
    <definedName name="ExternalData_1" localSheetId="2" hidden="1">Data!$A$1:$P$38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007" i="5" l="1"/>
  <c r="V2006" i="5"/>
  <c r="V2005" i="5"/>
  <c r="U2007" i="5"/>
  <c r="U2006" i="5"/>
  <c r="U2005" i="5"/>
  <c r="T2007" i="5"/>
  <c r="T2006" i="5"/>
  <c r="T2005" i="5"/>
  <c r="S2007" i="5"/>
  <c r="S2006" i="5"/>
  <c r="S2005" i="5"/>
  <c r="R2007" i="5"/>
  <c r="R2006" i="5"/>
  <c r="R2005" i="5"/>
  <c r="Q2007" i="5"/>
  <c r="Q2006" i="5"/>
  <c r="Q2005" i="5"/>
  <c r="P2007" i="5"/>
  <c r="P2006" i="5"/>
  <c r="P2005" i="5"/>
  <c r="O2007" i="5"/>
  <c r="O2006" i="5"/>
  <c r="O2005" i="5"/>
  <c r="N2007" i="5"/>
  <c r="N2006" i="5"/>
  <c r="N2005" i="5"/>
  <c r="M2007" i="5"/>
  <c r="M2006" i="5"/>
  <c r="M2005" i="5"/>
  <c r="L2007" i="5"/>
  <c r="L2006" i="5"/>
  <c r="L2005" i="5"/>
  <c r="K2007" i="5"/>
  <c r="K2006" i="5"/>
  <c r="K2005" i="5"/>
  <c r="J2007" i="5"/>
  <c r="J2006" i="5"/>
  <c r="J2005" i="5"/>
  <c r="I2007" i="5"/>
  <c r="I2006" i="5"/>
  <c r="I2005" i="5"/>
  <c r="H2007" i="5"/>
  <c r="H2006" i="5"/>
  <c r="H2005" i="5"/>
  <c r="O5004" i="5"/>
  <c r="N5004" i="5"/>
  <c r="M5004" i="5"/>
  <c r="L5004" i="5"/>
  <c r="K5004" i="5"/>
  <c r="J5004" i="5"/>
  <c r="I5004" i="5"/>
  <c r="H5004" i="5"/>
  <c r="G5004" i="5"/>
  <c r="V5002" i="5"/>
  <c r="U5000" i="5"/>
  <c r="T5000" i="5"/>
  <c r="S5000" i="5"/>
  <c r="R5000" i="5"/>
  <c r="Q5000" i="5"/>
  <c r="P5000" i="5"/>
  <c r="O4994" i="5"/>
  <c r="N4994" i="5"/>
  <c r="M4994" i="5"/>
  <c r="L4994" i="5"/>
  <c r="K4994" i="5"/>
  <c r="J4994" i="5"/>
  <c r="I4994" i="5"/>
  <c r="H4994" i="5"/>
  <c r="G4994" i="5"/>
  <c r="V4992" i="5"/>
  <c r="U4990" i="5"/>
  <c r="T4990" i="5"/>
  <c r="S4990" i="5"/>
  <c r="R4990" i="5"/>
  <c r="Q4990" i="5"/>
  <c r="P4990" i="5"/>
  <c r="O4987" i="5"/>
  <c r="N4987" i="5"/>
  <c r="M4987" i="5"/>
  <c r="L4987" i="5"/>
  <c r="K4987" i="5"/>
  <c r="J4987" i="5"/>
  <c r="I4987" i="5"/>
  <c r="H4987" i="5"/>
  <c r="G4987" i="5"/>
  <c r="O4986" i="5"/>
  <c r="N4986" i="5"/>
  <c r="M4986" i="5"/>
  <c r="L4986" i="5"/>
  <c r="K4986" i="5"/>
  <c r="J4986" i="5"/>
  <c r="I4986" i="5"/>
  <c r="H4986" i="5"/>
  <c r="G4986" i="5"/>
  <c r="V4985" i="5"/>
  <c r="O4985" i="5"/>
  <c r="N4985" i="5"/>
  <c r="M4985" i="5"/>
  <c r="L4985" i="5"/>
  <c r="K4985" i="5"/>
  <c r="J4985" i="5"/>
  <c r="I4985" i="5"/>
  <c r="H4985" i="5"/>
  <c r="G4985" i="5"/>
  <c r="V4984" i="5"/>
  <c r="O4984" i="5"/>
  <c r="N4984" i="5"/>
  <c r="M4984" i="5"/>
  <c r="L4984" i="5"/>
  <c r="K4984" i="5"/>
  <c r="J4984" i="5"/>
  <c r="I4984" i="5"/>
  <c r="H4984" i="5"/>
  <c r="G4984" i="5"/>
  <c r="V4983" i="5"/>
  <c r="U4983" i="5"/>
  <c r="T4983" i="5"/>
  <c r="S4983" i="5"/>
  <c r="R4983" i="5"/>
  <c r="Q4983" i="5"/>
  <c r="P4983" i="5"/>
  <c r="O4983" i="5"/>
  <c r="N4983" i="5"/>
  <c r="M4983" i="5"/>
  <c r="L4983" i="5"/>
  <c r="K4983" i="5"/>
  <c r="J4983" i="5"/>
  <c r="I4983" i="5"/>
  <c r="H4983" i="5"/>
  <c r="G4983" i="5"/>
  <c r="V4982" i="5"/>
  <c r="U4982" i="5"/>
  <c r="T4982" i="5"/>
  <c r="S4982" i="5"/>
  <c r="R4982" i="5"/>
  <c r="Q4982" i="5"/>
  <c r="P4982" i="5"/>
  <c r="O4982" i="5"/>
  <c r="N4982" i="5"/>
  <c r="M4982" i="5"/>
  <c r="L4982" i="5"/>
  <c r="K4982" i="5"/>
  <c r="J4982" i="5"/>
  <c r="I4982" i="5"/>
  <c r="H4982" i="5"/>
  <c r="G4982" i="5"/>
  <c r="V4981" i="5"/>
  <c r="U4981" i="5"/>
  <c r="T4981" i="5"/>
  <c r="S4981" i="5"/>
  <c r="R4981" i="5"/>
  <c r="Q4981" i="5"/>
  <c r="P4981" i="5"/>
  <c r="O4981" i="5"/>
  <c r="N4981" i="5"/>
  <c r="M4981" i="5"/>
  <c r="L4981" i="5"/>
  <c r="K4981" i="5"/>
  <c r="J4981" i="5"/>
  <c r="I4981" i="5"/>
  <c r="H4981" i="5"/>
  <c r="G4981" i="5"/>
  <c r="V4980" i="5"/>
  <c r="U4980" i="5"/>
  <c r="T4980" i="5"/>
  <c r="S4980" i="5"/>
  <c r="R4980" i="5"/>
  <c r="Q4980" i="5"/>
  <c r="P4980" i="5"/>
  <c r="O4980" i="5"/>
  <c r="N4980" i="5"/>
  <c r="M4980" i="5"/>
  <c r="L4980" i="5"/>
  <c r="K4980" i="5"/>
  <c r="J4980" i="5"/>
  <c r="I4980" i="5"/>
  <c r="H4980" i="5"/>
  <c r="G4980" i="5"/>
  <c r="V4979" i="5"/>
  <c r="U4979" i="5"/>
  <c r="T4979" i="5"/>
  <c r="S4979" i="5"/>
  <c r="R4979" i="5"/>
  <c r="Q4979" i="5"/>
  <c r="P4979" i="5"/>
  <c r="O4979" i="5"/>
  <c r="N4979" i="5"/>
  <c r="M4979" i="5"/>
  <c r="L4979" i="5"/>
  <c r="K4979" i="5"/>
  <c r="J4979" i="5"/>
  <c r="I4979" i="5"/>
  <c r="H4979" i="5"/>
  <c r="G4979" i="5"/>
  <c r="V4978" i="5"/>
  <c r="U4978" i="5"/>
  <c r="T4978" i="5"/>
  <c r="S4978" i="5"/>
  <c r="R4978" i="5"/>
  <c r="Q4978" i="5"/>
  <c r="P4978" i="5"/>
  <c r="O4978" i="5"/>
  <c r="N4978" i="5"/>
  <c r="M4978" i="5"/>
  <c r="L4978" i="5"/>
  <c r="K4978" i="5"/>
  <c r="J4978" i="5"/>
  <c r="I4978" i="5"/>
  <c r="H4978" i="5"/>
  <c r="G4978" i="5"/>
  <c r="V4977" i="5"/>
  <c r="U4977" i="5"/>
  <c r="T4977" i="5"/>
  <c r="S4977" i="5"/>
  <c r="R4977" i="5"/>
  <c r="Q4977" i="5"/>
  <c r="P4977" i="5"/>
  <c r="V4976" i="5"/>
  <c r="U4976" i="5"/>
  <c r="T4976" i="5"/>
  <c r="S4976" i="5"/>
  <c r="R4976" i="5"/>
  <c r="Q4976" i="5"/>
  <c r="P4976" i="5"/>
  <c r="U4975" i="5"/>
  <c r="T4975" i="5"/>
  <c r="S4975" i="5"/>
  <c r="R4975" i="5"/>
  <c r="Q4975" i="5"/>
  <c r="P4975" i="5"/>
  <c r="U4974" i="5"/>
  <c r="T4974" i="5"/>
  <c r="S4974" i="5"/>
  <c r="R4974" i="5"/>
  <c r="Q4974" i="5"/>
  <c r="P4974" i="5"/>
  <c r="O4974" i="5"/>
  <c r="N4974" i="5"/>
  <c r="M4974" i="5"/>
  <c r="L4974" i="5"/>
  <c r="K4974" i="5"/>
  <c r="J4974" i="5"/>
  <c r="I4974" i="5"/>
  <c r="H4974" i="5"/>
  <c r="G4974" i="5"/>
  <c r="V4972" i="5"/>
  <c r="U4970" i="5"/>
  <c r="T4970" i="5"/>
  <c r="S4970" i="5"/>
  <c r="R4970" i="5"/>
  <c r="Q4970" i="5"/>
  <c r="P4970" i="5"/>
  <c r="O4964" i="5"/>
  <c r="N4964" i="5"/>
  <c r="M4964" i="5"/>
  <c r="L4964" i="5"/>
  <c r="K4964" i="5"/>
  <c r="J4964" i="5"/>
  <c r="I4964" i="5"/>
  <c r="H4964" i="5"/>
  <c r="G4964" i="5"/>
  <c r="V4962" i="5"/>
  <c r="U4960" i="5"/>
  <c r="T4960" i="5"/>
  <c r="S4960" i="5"/>
  <c r="R4960" i="5"/>
  <c r="Q4960" i="5"/>
  <c r="P4960" i="5"/>
  <c r="O4954" i="5"/>
  <c r="N4954" i="5"/>
  <c r="M4954" i="5"/>
  <c r="L4954" i="5"/>
  <c r="K4954" i="5"/>
  <c r="J4954" i="5"/>
  <c r="I4954" i="5"/>
  <c r="H4954" i="5"/>
  <c r="G4954" i="5"/>
  <c r="V4952" i="5"/>
  <c r="U4950" i="5"/>
  <c r="T4950" i="5"/>
  <c r="S4950" i="5"/>
  <c r="R4950" i="5"/>
  <c r="Q4950" i="5"/>
  <c r="P4950" i="5"/>
  <c r="O4944" i="5"/>
  <c r="N4944" i="5"/>
  <c r="M4944" i="5"/>
  <c r="L4944" i="5"/>
  <c r="K4944" i="5"/>
  <c r="J4944" i="5"/>
  <c r="I4944" i="5"/>
  <c r="H4944" i="5"/>
  <c r="G4944" i="5"/>
  <c r="V4942" i="5"/>
  <c r="U4940" i="5"/>
  <c r="T4940" i="5"/>
  <c r="S4940" i="5"/>
  <c r="R4940" i="5"/>
  <c r="Q4940" i="5"/>
  <c r="P4940" i="5"/>
  <c r="O4934" i="5"/>
  <c r="N4934" i="5"/>
  <c r="M4934" i="5"/>
  <c r="L4934" i="5"/>
  <c r="K4934" i="5"/>
  <c r="J4934" i="5"/>
  <c r="I4934" i="5"/>
  <c r="H4934" i="5"/>
  <c r="G4934" i="5"/>
  <c r="V4932" i="5"/>
  <c r="U4930" i="5"/>
  <c r="T4930" i="5"/>
  <c r="S4930" i="5"/>
  <c r="R4930" i="5"/>
  <c r="Q4930" i="5"/>
  <c r="P4930" i="5"/>
  <c r="O4924" i="5"/>
  <c r="N4924" i="5"/>
  <c r="M4924" i="5"/>
  <c r="L4924" i="5"/>
  <c r="K4924" i="5"/>
  <c r="J4924" i="5"/>
  <c r="I4924" i="5"/>
  <c r="H4924" i="5"/>
  <c r="G4924" i="5"/>
  <c r="V4922" i="5"/>
  <c r="U4920" i="5"/>
  <c r="T4920" i="5"/>
  <c r="S4920" i="5"/>
  <c r="R4920" i="5"/>
  <c r="Q4920" i="5"/>
  <c r="P4920" i="5"/>
  <c r="O4914" i="5"/>
  <c r="N4914" i="5"/>
  <c r="M4914" i="5"/>
  <c r="L4914" i="5"/>
  <c r="K4914" i="5"/>
  <c r="J4914" i="5"/>
  <c r="I4914" i="5"/>
  <c r="H4914" i="5"/>
  <c r="G4914" i="5"/>
  <c r="V4912" i="5"/>
  <c r="U4910" i="5"/>
  <c r="T4910" i="5"/>
  <c r="S4910" i="5"/>
  <c r="R4910" i="5"/>
  <c r="Q4910" i="5"/>
  <c r="P4910" i="5"/>
  <c r="O4904" i="5"/>
  <c r="N4904" i="5"/>
  <c r="M4904" i="5"/>
  <c r="L4904" i="5"/>
  <c r="K4904" i="5"/>
  <c r="J4904" i="5"/>
  <c r="I4904" i="5"/>
  <c r="H4904" i="5"/>
  <c r="G4904" i="5"/>
  <c r="V4902" i="5"/>
  <c r="U4900" i="5"/>
  <c r="T4900" i="5"/>
  <c r="S4900" i="5"/>
  <c r="R4900" i="5"/>
  <c r="Q4900" i="5"/>
  <c r="P4900" i="5"/>
  <c r="O4894" i="5"/>
  <c r="N4894" i="5"/>
  <c r="M4894" i="5"/>
  <c r="L4894" i="5"/>
  <c r="K4894" i="5"/>
  <c r="J4894" i="5"/>
  <c r="I4894" i="5"/>
  <c r="H4894" i="5"/>
  <c r="G4894" i="5"/>
  <c r="V4892" i="5"/>
  <c r="U4890" i="5"/>
  <c r="T4890" i="5"/>
  <c r="S4890" i="5"/>
  <c r="R4890" i="5"/>
  <c r="Q4890" i="5"/>
  <c r="P4890" i="5"/>
  <c r="O4887" i="5"/>
  <c r="N4887" i="5"/>
  <c r="M4887" i="5"/>
  <c r="L4887" i="5"/>
  <c r="K4887" i="5"/>
  <c r="J4887" i="5"/>
  <c r="I4887" i="5"/>
  <c r="H4887" i="5"/>
  <c r="G4887" i="5"/>
  <c r="O4886" i="5"/>
  <c r="N4886" i="5"/>
  <c r="M4886" i="5"/>
  <c r="L4886" i="5"/>
  <c r="K4886" i="5"/>
  <c r="J4886" i="5"/>
  <c r="I4886" i="5"/>
  <c r="H4886" i="5"/>
  <c r="G4886" i="5"/>
  <c r="V4885" i="5"/>
  <c r="O4885" i="5"/>
  <c r="N4885" i="5"/>
  <c r="M4885" i="5"/>
  <c r="L4885" i="5"/>
  <c r="K4885" i="5"/>
  <c r="J4885" i="5"/>
  <c r="I4885" i="5"/>
  <c r="H4885" i="5"/>
  <c r="G4885" i="5"/>
  <c r="V4884" i="5"/>
  <c r="O4884" i="5"/>
  <c r="N4884" i="5"/>
  <c r="M4884" i="5"/>
  <c r="L4884" i="5"/>
  <c r="K4884" i="5"/>
  <c r="J4884" i="5"/>
  <c r="I4884" i="5"/>
  <c r="H4884" i="5"/>
  <c r="G4884" i="5"/>
  <c r="V4883" i="5"/>
  <c r="U4883" i="5"/>
  <c r="T4883" i="5"/>
  <c r="S4883" i="5"/>
  <c r="R4883" i="5"/>
  <c r="Q4883" i="5"/>
  <c r="P4883" i="5"/>
  <c r="O4883" i="5"/>
  <c r="N4883" i="5"/>
  <c r="M4883" i="5"/>
  <c r="L4883" i="5"/>
  <c r="K4883" i="5"/>
  <c r="J4883" i="5"/>
  <c r="I4883" i="5"/>
  <c r="H4883" i="5"/>
  <c r="G4883" i="5"/>
  <c r="V4882" i="5"/>
  <c r="U4882" i="5"/>
  <c r="T4882" i="5"/>
  <c r="S4882" i="5"/>
  <c r="R4882" i="5"/>
  <c r="Q4882" i="5"/>
  <c r="P4882" i="5"/>
  <c r="O4882" i="5"/>
  <c r="N4882" i="5"/>
  <c r="M4882" i="5"/>
  <c r="L4882" i="5"/>
  <c r="K4882" i="5"/>
  <c r="J4882" i="5"/>
  <c r="I4882" i="5"/>
  <c r="H4882" i="5"/>
  <c r="G4882" i="5"/>
  <c r="V4881" i="5"/>
  <c r="U4881" i="5"/>
  <c r="T4881" i="5"/>
  <c r="S4881" i="5"/>
  <c r="R4881" i="5"/>
  <c r="Q4881" i="5"/>
  <c r="P4881" i="5"/>
  <c r="O4881" i="5"/>
  <c r="N4881" i="5"/>
  <c r="M4881" i="5"/>
  <c r="L4881" i="5"/>
  <c r="K4881" i="5"/>
  <c r="J4881" i="5"/>
  <c r="I4881" i="5"/>
  <c r="H4881" i="5"/>
  <c r="G4881" i="5"/>
  <c r="V4880" i="5"/>
  <c r="U4880" i="5"/>
  <c r="T4880" i="5"/>
  <c r="S4880" i="5"/>
  <c r="R4880" i="5"/>
  <c r="Q4880" i="5"/>
  <c r="P4880" i="5"/>
  <c r="O4880" i="5"/>
  <c r="N4880" i="5"/>
  <c r="M4880" i="5"/>
  <c r="L4880" i="5"/>
  <c r="K4880" i="5"/>
  <c r="J4880" i="5"/>
  <c r="I4880" i="5"/>
  <c r="H4880" i="5"/>
  <c r="G4880" i="5"/>
  <c r="V4879" i="5"/>
  <c r="U4879" i="5"/>
  <c r="T4879" i="5"/>
  <c r="S4879" i="5"/>
  <c r="R4879" i="5"/>
  <c r="Q4879" i="5"/>
  <c r="P4879" i="5"/>
  <c r="O4879" i="5"/>
  <c r="N4879" i="5"/>
  <c r="M4879" i="5"/>
  <c r="L4879" i="5"/>
  <c r="K4879" i="5"/>
  <c r="J4879" i="5"/>
  <c r="I4879" i="5"/>
  <c r="H4879" i="5"/>
  <c r="G4879" i="5"/>
  <c r="V4878" i="5"/>
  <c r="U4878" i="5"/>
  <c r="T4878" i="5"/>
  <c r="S4878" i="5"/>
  <c r="R4878" i="5"/>
  <c r="Q4878" i="5"/>
  <c r="P4878" i="5"/>
  <c r="O4878" i="5"/>
  <c r="N4878" i="5"/>
  <c r="M4878" i="5"/>
  <c r="L4878" i="5"/>
  <c r="K4878" i="5"/>
  <c r="J4878" i="5"/>
  <c r="I4878" i="5"/>
  <c r="H4878" i="5"/>
  <c r="G4878" i="5"/>
  <c r="V4877" i="5"/>
  <c r="U4877" i="5"/>
  <c r="T4877" i="5"/>
  <c r="S4877" i="5"/>
  <c r="R4877" i="5"/>
  <c r="Q4877" i="5"/>
  <c r="P4877" i="5"/>
  <c r="V4876" i="5"/>
  <c r="U4876" i="5"/>
  <c r="T4876" i="5"/>
  <c r="S4876" i="5"/>
  <c r="R4876" i="5"/>
  <c r="Q4876" i="5"/>
  <c r="P4876" i="5"/>
  <c r="U4875" i="5"/>
  <c r="T4875" i="5"/>
  <c r="S4875" i="5"/>
  <c r="R4875" i="5"/>
  <c r="Q4875" i="5"/>
  <c r="P4875" i="5"/>
  <c r="U4874" i="5"/>
  <c r="T4874" i="5"/>
  <c r="S4874" i="5"/>
  <c r="R4874" i="5"/>
  <c r="Q4874" i="5"/>
  <c r="P4874" i="5"/>
  <c r="O4874" i="5"/>
  <c r="N4874" i="5"/>
  <c r="M4874" i="5"/>
  <c r="L4874" i="5"/>
  <c r="K4874" i="5"/>
  <c r="J4874" i="5"/>
  <c r="I4874" i="5"/>
  <c r="H4874" i="5"/>
  <c r="G4874" i="5"/>
  <c r="V4872" i="5"/>
  <c r="U4870" i="5"/>
  <c r="T4870" i="5"/>
  <c r="S4870" i="5"/>
  <c r="R4870" i="5"/>
  <c r="Q4870" i="5"/>
  <c r="P4870" i="5"/>
  <c r="O4864" i="5"/>
  <c r="N4864" i="5"/>
  <c r="M4864" i="5"/>
  <c r="L4864" i="5"/>
  <c r="K4864" i="5"/>
  <c r="J4864" i="5"/>
  <c r="I4864" i="5"/>
  <c r="H4864" i="5"/>
  <c r="G4864" i="5"/>
  <c r="V4862" i="5"/>
  <c r="U4860" i="5"/>
  <c r="T4860" i="5"/>
  <c r="S4860" i="5"/>
  <c r="R4860" i="5"/>
  <c r="Q4860" i="5"/>
  <c r="P4860" i="5"/>
  <c r="O4854" i="5"/>
  <c r="N4854" i="5"/>
  <c r="M4854" i="5"/>
  <c r="L4854" i="5"/>
  <c r="K4854" i="5"/>
  <c r="J4854" i="5"/>
  <c r="I4854" i="5"/>
  <c r="H4854" i="5"/>
  <c r="G4854" i="5"/>
  <c r="V4852" i="5"/>
  <c r="U4850" i="5"/>
  <c r="T4850" i="5"/>
  <c r="S4850" i="5"/>
  <c r="R4850" i="5"/>
  <c r="Q4850" i="5"/>
  <c r="P4850" i="5"/>
  <c r="O4844" i="5"/>
  <c r="N4844" i="5"/>
  <c r="M4844" i="5"/>
  <c r="L4844" i="5"/>
  <c r="K4844" i="5"/>
  <c r="J4844" i="5"/>
  <c r="I4844" i="5"/>
  <c r="H4844" i="5"/>
  <c r="G4844" i="5"/>
  <c r="V4842" i="5"/>
  <c r="U4840" i="5"/>
  <c r="T4840" i="5"/>
  <c r="S4840" i="5"/>
  <c r="R4840" i="5"/>
  <c r="Q4840" i="5"/>
  <c r="P4840" i="5"/>
  <c r="O4834" i="5"/>
  <c r="N4834" i="5"/>
  <c r="M4834" i="5"/>
  <c r="L4834" i="5"/>
  <c r="K4834" i="5"/>
  <c r="J4834" i="5"/>
  <c r="I4834" i="5"/>
  <c r="H4834" i="5"/>
  <c r="G4834" i="5"/>
  <c r="V4832" i="5"/>
  <c r="U4830" i="5"/>
  <c r="T4830" i="5"/>
  <c r="S4830" i="5"/>
  <c r="R4830" i="5"/>
  <c r="Q4830" i="5"/>
  <c r="P4830" i="5"/>
  <c r="O4824" i="5"/>
  <c r="N4824" i="5"/>
  <c r="M4824" i="5"/>
  <c r="L4824" i="5"/>
  <c r="K4824" i="5"/>
  <c r="J4824" i="5"/>
  <c r="I4824" i="5"/>
  <c r="H4824" i="5"/>
  <c r="G4824" i="5"/>
  <c r="V4822" i="5"/>
  <c r="U4820" i="5"/>
  <c r="T4820" i="5"/>
  <c r="S4820" i="5"/>
  <c r="R4820" i="5"/>
  <c r="Q4820" i="5"/>
  <c r="P4820" i="5"/>
  <c r="O4814" i="5"/>
  <c r="N4814" i="5"/>
  <c r="M4814" i="5"/>
  <c r="L4814" i="5"/>
  <c r="K4814" i="5"/>
  <c r="J4814" i="5"/>
  <c r="I4814" i="5"/>
  <c r="H4814" i="5"/>
  <c r="G4814" i="5"/>
  <c r="V4812" i="5"/>
  <c r="U4810" i="5"/>
  <c r="T4810" i="5"/>
  <c r="S4810" i="5"/>
  <c r="R4810" i="5"/>
  <c r="Q4810" i="5"/>
  <c r="P4810" i="5"/>
  <c r="O4804" i="5"/>
  <c r="N4804" i="5"/>
  <c r="M4804" i="5"/>
  <c r="L4804" i="5"/>
  <c r="K4804" i="5"/>
  <c r="J4804" i="5"/>
  <c r="I4804" i="5"/>
  <c r="H4804" i="5"/>
  <c r="G4804" i="5"/>
  <c r="V4802" i="5"/>
  <c r="U4800" i="5"/>
  <c r="T4800" i="5"/>
  <c r="S4800" i="5"/>
  <c r="R4800" i="5"/>
  <c r="Q4800" i="5"/>
  <c r="P4800" i="5"/>
  <c r="O4794" i="5"/>
  <c r="N4794" i="5"/>
  <c r="M4794" i="5"/>
  <c r="L4794" i="5"/>
  <c r="K4794" i="5"/>
  <c r="J4794" i="5"/>
  <c r="I4794" i="5"/>
  <c r="H4794" i="5"/>
  <c r="G4794" i="5"/>
  <c r="V4792" i="5"/>
  <c r="U4790" i="5"/>
  <c r="T4790" i="5"/>
  <c r="S4790" i="5"/>
  <c r="R4790" i="5"/>
  <c r="Q4790" i="5"/>
  <c r="P4790" i="5"/>
  <c r="O4787" i="5"/>
  <c r="N4787" i="5"/>
  <c r="M4787" i="5"/>
  <c r="L4787" i="5"/>
  <c r="K4787" i="5"/>
  <c r="J4787" i="5"/>
  <c r="I4787" i="5"/>
  <c r="H4787" i="5"/>
  <c r="G4787" i="5"/>
  <c r="O4786" i="5"/>
  <c r="N4786" i="5"/>
  <c r="M4786" i="5"/>
  <c r="L4786" i="5"/>
  <c r="K4786" i="5"/>
  <c r="J4786" i="5"/>
  <c r="I4786" i="5"/>
  <c r="H4786" i="5"/>
  <c r="G4786" i="5"/>
  <c r="V4785" i="5"/>
  <c r="O4785" i="5"/>
  <c r="N4785" i="5"/>
  <c r="M4785" i="5"/>
  <c r="L4785" i="5"/>
  <c r="K4785" i="5"/>
  <c r="J4785" i="5"/>
  <c r="I4785" i="5"/>
  <c r="H4785" i="5"/>
  <c r="G4785" i="5"/>
  <c r="V4784" i="5"/>
  <c r="O4784" i="5"/>
  <c r="N4784" i="5"/>
  <c r="M4784" i="5"/>
  <c r="L4784" i="5"/>
  <c r="K4784" i="5"/>
  <c r="J4784" i="5"/>
  <c r="I4784" i="5"/>
  <c r="H4784" i="5"/>
  <c r="G4784" i="5"/>
  <c r="V4783" i="5"/>
  <c r="U4783" i="5"/>
  <c r="T4783" i="5"/>
  <c r="S4783" i="5"/>
  <c r="R4783" i="5"/>
  <c r="Q4783" i="5"/>
  <c r="P4783" i="5"/>
  <c r="O4783" i="5"/>
  <c r="N4783" i="5"/>
  <c r="M4783" i="5"/>
  <c r="L4783" i="5"/>
  <c r="K4783" i="5"/>
  <c r="J4783" i="5"/>
  <c r="I4783" i="5"/>
  <c r="H4783" i="5"/>
  <c r="G4783" i="5"/>
  <c r="V4782" i="5"/>
  <c r="U4782" i="5"/>
  <c r="T4782" i="5"/>
  <c r="S4782" i="5"/>
  <c r="R4782" i="5"/>
  <c r="Q4782" i="5"/>
  <c r="P4782" i="5"/>
  <c r="O4782" i="5"/>
  <c r="N4782" i="5"/>
  <c r="M4782" i="5"/>
  <c r="L4782" i="5"/>
  <c r="K4782" i="5"/>
  <c r="J4782" i="5"/>
  <c r="I4782" i="5"/>
  <c r="H4782" i="5"/>
  <c r="G4782" i="5"/>
  <c r="V4781" i="5"/>
  <c r="U4781" i="5"/>
  <c r="T4781" i="5"/>
  <c r="S4781" i="5"/>
  <c r="R4781" i="5"/>
  <c r="Q4781" i="5"/>
  <c r="P4781" i="5"/>
  <c r="O4781" i="5"/>
  <c r="N4781" i="5"/>
  <c r="M4781" i="5"/>
  <c r="L4781" i="5"/>
  <c r="K4781" i="5"/>
  <c r="J4781" i="5"/>
  <c r="I4781" i="5"/>
  <c r="H4781" i="5"/>
  <c r="G4781" i="5"/>
  <c r="V4780" i="5"/>
  <c r="U4780" i="5"/>
  <c r="T4780" i="5"/>
  <c r="S4780" i="5"/>
  <c r="R4780" i="5"/>
  <c r="Q4780" i="5"/>
  <c r="P4780" i="5"/>
  <c r="O4780" i="5"/>
  <c r="N4780" i="5"/>
  <c r="M4780" i="5"/>
  <c r="L4780" i="5"/>
  <c r="K4780" i="5"/>
  <c r="J4780" i="5"/>
  <c r="I4780" i="5"/>
  <c r="H4780" i="5"/>
  <c r="G4780" i="5"/>
  <c r="V4779" i="5"/>
  <c r="U4779" i="5"/>
  <c r="T4779" i="5"/>
  <c r="S4779" i="5"/>
  <c r="R4779" i="5"/>
  <c r="Q4779" i="5"/>
  <c r="P4779" i="5"/>
  <c r="O4779" i="5"/>
  <c r="N4779" i="5"/>
  <c r="M4779" i="5"/>
  <c r="L4779" i="5"/>
  <c r="K4779" i="5"/>
  <c r="J4779" i="5"/>
  <c r="I4779" i="5"/>
  <c r="H4779" i="5"/>
  <c r="G4779" i="5"/>
  <c r="V4778" i="5"/>
  <c r="U4778" i="5"/>
  <c r="T4778" i="5"/>
  <c r="S4778" i="5"/>
  <c r="R4778" i="5"/>
  <c r="Q4778" i="5"/>
  <c r="P4778" i="5"/>
  <c r="O4778" i="5"/>
  <c r="N4778" i="5"/>
  <c r="M4778" i="5"/>
  <c r="L4778" i="5"/>
  <c r="K4778" i="5"/>
  <c r="J4778" i="5"/>
  <c r="I4778" i="5"/>
  <c r="H4778" i="5"/>
  <c r="G4778" i="5"/>
  <c r="V4777" i="5"/>
  <c r="U4777" i="5"/>
  <c r="T4777" i="5"/>
  <c r="S4777" i="5"/>
  <c r="R4777" i="5"/>
  <c r="Q4777" i="5"/>
  <c r="P4777" i="5"/>
  <c r="V4776" i="5"/>
  <c r="U4776" i="5"/>
  <c r="T4776" i="5"/>
  <c r="S4776" i="5"/>
  <c r="R4776" i="5"/>
  <c r="Q4776" i="5"/>
  <c r="P4776" i="5"/>
  <c r="U4775" i="5"/>
  <c r="T4775" i="5"/>
  <c r="S4775" i="5"/>
  <c r="R4775" i="5"/>
  <c r="Q4775" i="5"/>
  <c r="P4775" i="5"/>
  <c r="U4774" i="5"/>
  <c r="T4774" i="5"/>
  <c r="S4774" i="5"/>
  <c r="R4774" i="5"/>
  <c r="Q4774" i="5"/>
  <c r="P4774" i="5"/>
  <c r="O4774" i="5"/>
  <c r="N4774" i="5"/>
  <c r="M4774" i="5"/>
  <c r="L4774" i="5"/>
  <c r="K4774" i="5"/>
  <c r="J4774" i="5"/>
  <c r="I4774" i="5"/>
  <c r="H4774" i="5"/>
  <c r="G4774" i="5"/>
  <c r="V4772" i="5"/>
  <c r="U4770" i="5"/>
  <c r="T4770" i="5"/>
  <c r="S4770" i="5"/>
  <c r="R4770" i="5"/>
  <c r="Q4770" i="5"/>
  <c r="P4770" i="5"/>
  <c r="O4764" i="5"/>
  <c r="N4764" i="5"/>
  <c r="M4764" i="5"/>
  <c r="L4764" i="5"/>
  <c r="K4764" i="5"/>
  <c r="J4764" i="5"/>
  <c r="I4764" i="5"/>
  <c r="H4764" i="5"/>
  <c r="G4764" i="5"/>
  <c r="V4762" i="5"/>
  <c r="U4760" i="5"/>
  <c r="T4760" i="5"/>
  <c r="S4760" i="5"/>
  <c r="R4760" i="5"/>
  <c r="Q4760" i="5"/>
  <c r="P4760" i="5"/>
  <c r="O4754" i="5"/>
  <c r="N4754" i="5"/>
  <c r="M4754" i="5"/>
  <c r="L4754" i="5"/>
  <c r="K4754" i="5"/>
  <c r="J4754" i="5"/>
  <c r="I4754" i="5"/>
  <c r="H4754" i="5"/>
  <c r="G4754" i="5"/>
  <c r="V4752" i="5"/>
  <c r="U4750" i="5"/>
  <c r="T4750" i="5"/>
  <c r="S4750" i="5"/>
  <c r="R4750" i="5"/>
  <c r="Q4750" i="5"/>
  <c r="P4750" i="5"/>
  <c r="O4744" i="5"/>
  <c r="N4744" i="5"/>
  <c r="M4744" i="5"/>
  <c r="L4744" i="5"/>
  <c r="K4744" i="5"/>
  <c r="J4744" i="5"/>
  <c r="I4744" i="5"/>
  <c r="H4744" i="5"/>
  <c r="G4744" i="5"/>
  <c r="V4742" i="5"/>
  <c r="U4740" i="5"/>
  <c r="T4740" i="5"/>
  <c r="S4740" i="5"/>
  <c r="R4740" i="5"/>
  <c r="Q4740" i="5"/>
  <c r="P4740" i="5"/>
  <c r="O4734" i="5"/>
  <c r="N4734" i="5"/>
  <c r="M4734" i="5"/>
  <c r="L4734" i="5"/>
  <c r="K4734" i="5"/>
  <c r="J4734" i="5"/>
  <c r="I4734" i="5"/>
  <c r="H4734" i="5"/>
  <c r="G4734" i="5"/>
  <c r="V4732" i="5"/>
  <c r="U4730" i="5"/>
  <c r="T4730" i="5"/>
  <c r="S4730" i="5"/>
  <c r="R4730" i="5"/>
  <c r="Q4730" i="5"/>
  <c r="P4730" i="5"/>
  <c r="O4724" i="5"/>
  <c r="N4724" i="5"/>
  <c r="M4724" i="5"/>
  <c r="L4724" i="5"/>
  <c r="K4724" i="5"/>
  <c r="J4724" i="5"/>
  <c r="I4724" i="5"/>
  <c r="H4724" i="5"/>
  <c r="G4724" i="5"/>
  <c r="V4722" i="5"/>
  <c r="U4720" i="5"/>
  <c r="T4720" i="5"/>
  <c r="S4720" i="5"/>
  <c r="R4720" i="5"/>
  <c r="Q4720" i="5"/>
  <c r="P4720" i="5"/>
  <c r="O4717" i="5"/>
  <c r="N4717" i="5"/>
  <c r="M4717" i="5"/>
  <c r="L4717" i="5"/>
  <c r="K4717" i="5"/>
  <c r="J4717" i="5"/>
  <c r="I4717" i="5"/>
  <c r="H4717" i="5"/>
  <c r="G4717" i="5"/>
  <c r="O4716" i="5"/>
  <c r="N4716" i="5"/>
  <c r="M4716" i="5"/>
  <c r="L4716" i="5"/>
  <c r="K4716" i="5"/>
  <c r="J4716" i="5"/>
  <c r="I4716" i="5"/>
  <c r="H4716" i="5"/>
  <c r="G4716" i="5"/>
  <c r="V4715" i="5"/>
  <c r="O4715" i="5"/>
  <c r="N4715" i="5"/>
  <c r="M4715" i="5"/>
  <c r="L4715" i="5"/>
  <c r="K4715" i="5"/>
  <c r="J4715" i="5"/>
  <c r="I4715" i="5"/>
  <c r="H4715" i="5"/>
  <c r="G4715" i="5"/>
  <c r="V4714" i="5"/>
  <c r="O4714" i="5"/>
  <c r="N4714" i="5"/>
  <c r="M4714" i="5"/>
  <c r="L4714" i="5"/>
  <c r="K4714" i="5"/>
  <c r="J4714" i="5"/>
  <c r="I4714" i="5"/>
  <c r="H4714" i="5"/>
  <c r="G4714" i="5"/>
  <c r="V4713" i="5"/>
  <c r="U4713" i="5"/>
  <c r="T4713" i="5"/>
  <c r="S4713" i="5"/>
  <c r="R4713" i="5"/>
  <c r="Q4713" i="5"/>
  <c r="P4713" i="5"/>
  <c r="O4713" i="5"/>
  <c r="N4713" i="5"/>
  <c r="M4713" i="5"/>
  <c r="L4713" i="5"/>
  <c r="K4713" i="5"/>
  <c r="J4713" i="5"/>
  <c r="I4713" i="5"/>
  <c r="H4713" i="5"/>
  <c r="G4713" i="5"/>
  <c r="V4712" i="5"/>
  <c r="U4712" i="5"/>
  <c r="T4712" i="5"/>
  <c r="S4712" i="5"/>
  <c r="R4712" i="5"/>
  <c r="Q4712" i="5"/>
  <c r="P4712" i="5"/>
  <c r="O4712" i="5"/>
  <c r="N4712" i="5"/>
  <c r="M4712" i="5"/>
  <c r="L4712" i="5"/>
  <c r="K4712" i="5"/>
  <c r="J4712" i="5"/>
  <c r="I4712" i="5"/>
  <c r="H4712" i="5"/>
  <c r="G4712" i="5"/>
  <c r="V4711" i="5"/>
  <c r="U4711" i="5"/>
  <c r="T4711" i="5"/>
  <c r="S4711" i="5"/>
  <c r="R4711" i="5"/>
  <c r="Q4711" i="5"/>
  <c r="P4711" i="5"/>
  <c r="O4711" i="5"/>
  <c r="N4711" i="5"/>
  <c r="M4711" i="5"/>
  <c r="L4711" i="5"/>
  <c r="K4711" i="5"/>
  <c r="J4711" i="5"/>
  <c r="I4711" i="5"/>
  <c r="H4711" i="5"/>
  <c r="G4711" i="5"/>
  <c r="V4710" i="5"/>
  <c r="U4710" i="5"/>
  <c r="T4710" i="5"/>
  <c r="S4710" i="5"/>
  <c r="R4710" i="5"/>
  <c r="Q4710" i="5"/>
  <c r="P4710" i="5"/>
  <c r="O4710" i="5"/>
  <c r="N4710" i="5"/>
  <c r="M4710" i="5"/>
  <c r="L4710" i="5"/>
  <c r="K4710" i="5"/>
  <c r="J4710" i="5"/>
  <c r="I4710" i="5"/>
  <c r="H4710" i="5"/>
  <c r="G4710" i="5"/>
  <c r="V4709" i="5"/>
  <c r="U4709" i="5"/>
  <c r="T4709" i="5"/>
  <c r="S4709" i="5"/>
  <c r="R4709" i="5"/>
  <c r="Q4709" i="5"/>
  <c r="P4709" i="5"/>
  <c r="O4709" i="5"/>
  <c r="N4709" i="5"/>
  <c r="M4709" i="5"/>
  <c r="L4709" i="5"/>
  <c r="K4709" i="5"/>
  <c r="J4709" i="5"/>
  <c r="I4709" i="5"/>
  <c r="H4709" i="5"/>
  <c r="G4709" i="5"/>
  <c r="V4708" i="5"/>
  <c r="U4708" i="5"/>
  <c r="T4708" i="5"/>
  <c r="S4708" i="5"/>
  <c r="R4708" i="5"/>
  <c r="Q4708" i="5"/>
  <c r="P4708" i="5"/>
  <c r="O4708" i="5"/>
  <c r="N4708" i="5"/>
  <c r="M4708" i="5"/>
  <c r="L4708" i="5"/>
  <c r="K4708" i="5"/>
  <c r="J4708" i="5"/>
  <c r="I4708" i="5"/>
  <c r="H4708" i="5"/>
  <c r="G4708" i="5"/>
  <c r="V4707" i="5"/>
  <c r="U4707" i="5"/>
  <c r="T4707" i="5"/>
  <c r="S4707" i="5"/>
  <c r="R4707" i="5"/>
  <c r="Q4707" i="5"/>
  <c r="P4707" i="5"/>
  <c r="O4707" i="5"/>
  <c r="N4707" i="5"/>
  <c r="M4707" i="5"/>
  <c r="L4707" i="5"/>
  <c r="K4707" i="5"/>
  <c r="J4707" i="5"/>
  <c r="I4707" i="5"/>
  <c r="H4707" i="5"/>
  <c r="G4707" i="5"/>
  <c r="V4706" i="5"/>
  <c r="U4706" i="5"/>
  <c r="T4706" i="5"/>
  <c r="S4706" i="5"/>
  <c r="R4706" i="5"/>
  <c r="Q4706" i="5"/>
  <c r="P4706" i="5"/>
  <c r="O4706" i="5"/>
  <c r="N4706" i="5"/>
  <c r="M4706" i="5"/>
  <c r="L4706" i="5"/>
  <c r="K4706" i="5"/>
  <c r="J4706" i="5"/>
  <c r="I4706" i="5"/>
  <c r="H4706" i="5"/>
  <c r="G4706" i="5"/>
  <c r="V4705" i="5"/>
  <c r="U4705" i="5"/>
  <c r="T4705" i="5"/>
  <c r="S4705" i="5"/>
  <c r="R4705" i="5"/>
  <c r="Q4705" i="5"/>
  <c r="P4705" i="5"/>
  <c r="O4705" i="5"/>
  <c r="N4705" i="5"/>
  <c r="M4705" i="5"/>
  <c r="L4705" i="5"/>
  <c r="K4705" i="5"/>
  <c r="J4705" i="5"/>
  <c r="I4705" i="5"/>
  <c r="H4705" i="5"/>
  <c r="G4705" i="5"/>
  <c r="V4704" i="5"/>
  <c r="U4704" i="5"/>
  <c r="T4704" i="5"/>
  <c r="S4704" i="5"/>
  <c r="R4704" i="5"/>
  <c r="Q4704" i="5"/>
  <c r="P4704" i="5"/>
  <c r="O4704" i="5"/>
  <c r="N4704" i="5"/>
  <c r="M4704" i="5"/>
  <c r="L4704" i="5"/>
  <c r="K4704" i="5"/>
  <c r="J4704" i="5"/>
  <c r="I4704" i="5"/>
  <c r="H4704" i="5"/>
  <c r="G4704" i="5"/>
  <c r="V4703" i="5"/>
  <c r="U4703" i="5"/>
  <c r="T4703" i="5"/>
  <c r="S4703" i="5"/>
  <c r="R4703" i="5"/>
  <c r="Q4703" i="5"/>
  <c r="P4703" i="5"/>
  <c r="O4703" i="5"/>
  <c r="N4703" i="5"/>
  <c r="M4703" i="5"/>
  <c r="L4703" i="5"/>
  <c r="K4703" i="5"/>
  <c r="J4703" i="5"/>
  <c r="I4703" i="5"/>
  <c r="H4703" i="5"/>
  <c r="G4703" i="5"/>
  <c r="V4702" i="5"/>
  <c r="U4702" i="5"/>
  <c r="T4702" i="5"/>
  <c r="S4702" i="5"/>
  <c r="R4702" i="5"/>
  <c r="Q4702" i="5"/>
  <c r="P4702" i="5"/>
  <c r="O4702" i="5"/>
  <c r="N4702" i="5"/>
  <c r="M4702" i="5"/>
  <c r="L4702" i="5"/>
  <c r="K4702" i="5"/>
  <c r="J4702" i="5"/>
  <c r="I4702" i="5"/>
  <c r="H4702" i="5"/>
  <c r="G4702" i="5"/>
  <c r="V4701" i="5"/>
  <c r="U4701" i="5"/>
  <c r="T4701" i="5"/>
  <c r="S4701" i="5"/>
  <c r="R4701" i="5"/>
  <c r="Q4701" i="5"/>
  <c r="P4701" i="5"/>
  <c r="O4701" i="5"/>
  <c r="N4701" i="5"/>
  <c r="M4701" i="5"/>
  <c r="L4701" i="5"/>
  <c r="K4701" i="5"/>
  <c r="J4701" i="5"/>
  <c r="I4701" i="5"/>
  <c r="H4701" i="5"/>
  <c r="G4701" i="5"/>
  <c r="V4700" i="5"/>
  <c r="U4700" i="5"/>
  <c r="T4700" i="5"/>
  <c r="S4700" i="5"/>
  <c r="R4700" i="5"/>
  <c r="Q4700" i="5"/>
  <c r="P4700" i="5"/>
  <c r="O4700" i="5"/>
  <c r="N4700" i="5"/>
  <c r="M4700" i="5"/>
  <c r="L4700" i="5"/>
  <c r="K4700" i="5"/>
  <c r="J4700" i="5"/>
  <c r="I4700" i="5"/>
  <c r="H4700" i="5"/>
  <c r="G4700" i="5"/>
  <c r="V4699" i="5"/>
  <c r="U4699" i="5"/>
  <c r="T4699" i="5"/>
  <c r="S4699" i="5"/>
  <c r="R4699" i="5"/>
  <c r="Q4699" i="5"/>
  <c r="P4699" i="5"/>
  <c r="O4699" i="5"/>
  <c r="N4699" i="5"/>
  <c r="M4699" i="5"/>
  <c r="L4699" i="5"/>
  <c r="K4699" i="5"/>
  <c r="J4699" i="5"/>
  <c r="I4699" i="5"/>
  <c r="H4699" i="5"/>
  <c r="G4699" i="5"/>
  <c r="V4698" i="5"/>
  <c r="U4698" i="5"/>
  <c r="T4698" i="5"/>
  <c r="S4698" i="5"/>
  <c r="R4698" i="5"/>
  <c r="Q4698" i="5"/>
  <c r="P4698" i="5"/>
  <c r="O4698" i="5"/>
  <c r="N4698" i="5"/>
  <c r="M4698" i="5"/>
  <c r="L4698" i="5"/>
  <c r="K4698" i="5"/>
  <c r="J4698" i="5"/>
  <c r="I4698" i="5"/>
  <c r="H4698" i="5"/>
  <c r="G4698" i="5"/>
  <c r="V4697" i="5"/>
  <c r="U4697" i="5"/>
  <c r="T4697" i="5"/>
  <c r="S4697" i="5"/>
  <c r="R4697" i="5"/>
  <c r="Q4697" i="5"/>
  <c r="P4697" i="5"/>
  <c r="O4697" i="5"/>
  <c r="N4697" i="5"/>
  <c r="M4697" i="5"/>
  <c r="L4697" i="5"/>
  <c r="K4697" i="5"/>
  <c r="J4697" i="5"/>
  <c r="I4697" i="5"/>
  <c r="H4697" i="5"/>
  <c r="G4697" i="5"/>
  <c r="V4696" i="5"/>
  <c r="U4696" i="5"/>
  <c r="T4696" i="5"/>
  <c r="S4696" i="5"/>
  <c r="R4696" i="5"/>
  <c r="Q4696" i="5"/>
  <c r="P4696" i="5"/>
  <c r="O4696" i="5"/>
  <c r="N4696" i="5"/>
  <c r="M4696" i="5"/>
  <c r="L4696" i="5"/>
  <c r="K4696" i="5"/>
  <c r="J4696" i="5"/>
  <c r="I4696" i="5"/>
  <c r="H4696" i="5"/>
  <c r="G4696" i="5"/>
  <c r="V4695" i="5"/>
  <c r="U4695" i="5"/>
  <c r="T4695" i="5"/>
  <c r="S4695" i="5"/>
  <c r="R4695" i="5"/>
  <c r="Q4695" i="5"/>
  <c r="P4695" i="5"/>
  <c r="O4695" i="5"/>
  <c r="N4695" i="5"/>
  <c r="M4695" i="5"/>
  <c r="L4695" i="5"/>
  <c r="K4695" i="5"/>
  <c r="J4695" i="5"/>
  <c r="I4695" i="5"/>
  <c r="H4695" i="5"/>
  <c r="G4695" i="5"/>
  <c r="V4694" i="5"/>
  <c r="U4694" i="5"/>
  <c r="T4694" i="5"/>
  <c r="S4694" i="5"/>
  <c r="R4694" i="5"/>
  <c r="Q4694" i="5"/>
  <c r="P4694" i="5"/>
  <c r="O4694" i="5"/>
  <c r="N4694" i="5"/>
  <c r="M4694" i="5"/>
  <c r="L4694" i="5"/>
  <c r="K4694" i="5"/>
  <c r="J4694" i="5"/>
  <c r="I4694" i="5"/>
  <c r="H4694" i="5"/>
  <c r="G4694" i="5"/>
  <c r="V4693" i="5"/>
  <c r="U4693" i="5"/>
  <c r="T4693" i="5"/>
  <c r="S4693" i="5"/>
  <c r="R4693" i="5"/>
  <c r="Q4693" i="5"/>
  <c r="P4693" i="5"/>
  <c r="O4693" i="5"/>
  <c r="N4693" i="5"/>
  <c r="M4693" i="5"/>
  <c r="L4693" i="5"/>
  <c r="K4693" i="5"/>
  <c r="J4693" i="5"/>
  <c r="I4693" i="5"/>
  <c r="H4693" i="5"/>
  <c r="G4693" i="5"/>
  <c r="V4692" i="5"/>
  <c r="U4692" i="5"/>
  <c r="T4692" i="5"/>
  <c r="S4692" i="5"/>
  <c r="R4692" i="5"/>
  <c r="Q4692" i="5"/>
  <c r="P4692" i="5"/>
  <c r="O4692" i="5"/>
  <c r="N4692" i="5"/>
  <c r="M4692" i="5"/>
  <c r="L4692" i="5"/>
  <c r="K4692" i="5"/>
  <c r="J4692" i="5"/>
  <c r="I4692" i="5"/>
  <c r="H4692" i="5"/>
  <c r="G4692" i="5"/>
  <c r="V4691" i="5"/>
  <c r="U4691" i="5"/>
  <c r="T4691" i="5"/>
  <c r="S4691" i="5"/>
  <c r="R4691" i="5"/>
  <c r="Q4691" i="5"/>
  <c r="P4691" i="5"/>
  <c r="O4691" i="5"/>
  <c r="N4691" i="5"/>
  <c r="M4691" i="5"/>
  <c r="L4691" i="5"/>
  <c r="K4691" i="5"/>
  <c r="J4691" i="5"/>
  <c r="I4691" i="5"/>
  <c r="H4691" i="5"/>
  <c r="G4691" i="5"/>
  <c r="V4690" i="5"/>
  <c r="U4690" i="5"/>
  <c r="T4690" i="5"/>
  <c r="S4690" i="5"/>
  <c r="R4690" i="5"/>
  <c r="Q4690" i="5"/>
  <c r="P4690" i="5"/>
  <c r="O4690" i="5"/>
  <c r="N4690" i="5"/>
  <c r="M4690" i="5"/>
  <c r="L4690" i="5"/>
  <c r="K4690" i="5"/>
  <c r="J4690" i="5"/>
  <c r="I4690" i="5"/>
  <c r="H4690" i="5"/>
  <c r="G4690" i="5"/>
  <c r="V4689" i="5"/>
  <c r="U4689" i="5"/>
  <c r="T4689" i="5"/>
  <c r="S4689" i="5"/>
  <c r="R4689" i="5"/>
  <c r="Q4689" i="5"/>
  <c r="P4689" i="5"/>
  <c r="O4689" i="5"/>
  <c r="N4689" i="5"/>
  <c r="M4689" i="5"/>
  <c r="L4689" i="5"/>
  <c r="K4689" i="5"/>
  <c r="J4689" i="5"/>
  <c r="I4689" i="5"/>
  <c r="H4689" i="5"/>
  <c r="G4689" i="5"/>
  <c r="V4688" i="5"/>
  <c r="U4688" i="5"/>
  <c r="T4688" i="5"/>
  <c r="S4688" i="5"/>
  <c r="R4688" i="5"/>
  <c r="Q4688" i="5"/>
  <c r="P4688" i="5"/>
  <c r="O4688" i="5"/>
  <c r="N4688" i="5"/>
  <c r="M4688" i="5"/>
  <c r="L4688" i="5"/>
  <c r="K4688" i="5"/>
  <c r="J4688" i="5"/>
  <c r="I4688" i="5"/>
  <c r="H4688" i="5"/>
  <c r="G4688" i="5"/>
  <c r="V4687" i="5"/>
  <c r="U4687" i="5"/>
  <c r="T4687" i="5"/>
  <c r="S4687" i="5"/>
  <c r="R4687" i="5"/>
  <c r="Q4687" i="5"/>
  <c r="P4687" i="5"/>
  <c r="O4687" i="5"/>
  <c r="N4687" i="5"/>
  <c r="M4687" i="5"/>
  <c r="L4687" i="5"/>
  <c r="K4687" i="5"/>
  <c r="J4687" i="5"/>
  <c r="I4687" i="5"/>
  <c r="H4687" i="5"/>
  <c r="G4687" i="5"/>
  <c r="V4686" i="5"/>
  <c r="U4686" i="5"/>
  <c r="T4686" i="5"/>
  <c r="S4686" i="5"/>
  <c r="R4686" i="5"/>
  <c r="Q4686" i="5"/>
  <c r="P4686" i="5"/>
  <c r="O4686" i="5"/>
  <c r="N4686" i="5"/>
  <c r="M4686" i="5"/>
  <c r="L4686" i="5"/>
  <c r="K4686" i="5"/>
  <c r="J4686" i="5"/>
  <c r="I4686" i="5"/>
  <c r="H4686" i="5"/>
  <c r="G4686" i="5"/>
  <c r="V4685" i="5"/>
  <c r="U4685" i="5"/>
  <c r="T4685" i="5"/>
  <c r="S4685" i="5"/>
  <c r="R4685" i="5"/>
  <c r="Q4685" i="5"/>
  <c r="P4685" i="5"/>
  <c r="O4685" i="5"/>
  <c r="N4685" i="5"/>
  <c r="M4685" i="5"/>
  <c r="L4685" i="5"/>
  <c r="K4685" i="5"/>
  <c r="J4685" i="5"/>
  <c r="I4685" i="5"/>
  <c r="H4685" i="5"/>
  <c r="G4685" i="5"/>
  <c r="V4684" i="5"/>
  <c r="U4684" i="5"/>
  <c r="T4684" i="5"/>
  <c r="S4684" i="5"/>
  <c r="R4684" i="5"/>
  <c r="Q4684" i="5"/>
  <c r="P4684" i="5"/>
  <c r="O4684" i="5"/>
  <c r="N4684" i="5"/>
  <c r="M4684" i="5"/>
  <c r="L4684" i="5"/>
  <c r="K4684" i="5"/>
  <c r="J4684" i="5"/>
  <c r="I4684" i="5"/>
  <c r="H4684" i="5"/>
  <c r="G4684" i="5"/>
  <c r="V4683" i="5"/>
  <c r="U4683" i="5"/>
  <c r="T4683" i="5"/>
  <c r="S4683" i="5"/>
  <c r="R4683" i="5"/>
  <c r="Q4683" i="5"/>
  <c r="P4683" i="5"/>
  <c r="O4683" i="5"/>
  <c r="N4683" i="5"/>
  <c r="M4683" i="5"/>
  <c r="L4683" i="5"/>
  <c r="K4683" i="5"/>
  <c r="J4683" i="5"/>
  <c r="I4683" i="5"/>
  <c r="H4683" i="5"/>
  <c r="G4683" i="5"/>
  <c r="V4682" i="5"/>
  <c r="U4682" i="5"/>
  <c r="T4682" i="5"/>
  <c r="S4682" i="5"/>
  <c r="R4682" i="5"/>
  <c r="Q4682" i="5"/>
  <c r="P4682" i="5"/>
  <c r="O4682" i="5"/>
  <c r="N4682" i="5"/>
  <c r="M4682" i="5"/>
  <c r="L4682" i="5"/>
  <c r="K4682" i="5"/>
  <c r="J4682" i="5"/>
  <c r="I4682" i="5"/>
  <c r="H4682" i="5"/>
  <c r="G4682" i="5"/>
  <c r="V4681" i="5"/>
  <c r="U4681" i="5"/>
  <c r="T4681" i="5"/>
  <c r="S4681" i="5"/>
  <c r="R4681" i="5"/>
  <c r="Q4681" i="5"/>
  <c r="P4681" i="5"/>
  <c r="O4681" i="5"/>
  <c r="N4681" i="5"/>
  <c r="M4681" i="5"/>
  <c r="L4681" i="5"/>
  <c r="K4681" i="5"/>
  <c r="J4681" i="5"/>
  <c r="I4681" i="5"/>
  <c r="H4681" i="5"/>
  <c r="G4681" i="5"/>
  <c r="V4680" i="5"/>
  <c r="U4680" i="5"/>
  <c r="T4680" i="5"/>
  <c r="S4680" i="5"/>
  <c r="R4680" i="5"/>
  <c r="Q4680" i="5"/>
  <c r="P4680" i="5"/>
  <c r="O4680" i="5"/>
  <c r="N4680" i="5"/>
  <c r="M4680" i="5"/>
  <c r="L4680" i="5"/>
  <c r="K4680" i="5"/>
  <c r="J4680" i="5"/>
  <c r="I4680" i="5"/>
  <c r="H4680" i="5"/>
  <c r="G4680" i="5"/>
  <c r="V4679" i="5"/>
  <c r="U4679" i="5"/>
  <c r="T4679" i="5"/>
  <c r="S4679" i="5"/>
  <c r="R4679" i="5"/>
  <c r="Q4679" i="5"/>
  <c r="P4679" i="5"/>
  <c r="O4679" i="5"/>
  <c r="N4679" i="5"/>
  <c r="M4679" i="5"/>
  <c r="L4679" i="5"/>
  <c r="K4679" i="5"/>
  <c r="J4679" i="5"/>
  <c r="I4679" i="5"/>
  <c r="H4679" i="5"/>
  <c r="G4679" i="5"/>
  <c r="V4678" i="5"/>
  <c r="U4678" i="5"/>
  <c r="T4678" i="5"/>
  <c r="S4678" i="5"/>
  <c r="R4678" i="5"/>
  <c r="Q4678" i="5"/>
  <c r="P4678" i="5"/>
  <c r="O4678" i="5"/>
  <c r="N4678" i="5"/>
  <c r="M4678" i="5"/>
  <c r="L4678" i="5"/>
  <c r="K4678" i="5"/>
  <c r="J4678" i="5"/>
  <c r="I4678" i="5"/>
  <c r="H4678" i="5"/>
  <c r="G4678" i="5"/>
  <c r="V4677" i="5"/>
  <c r="U4677" i="5"/>
  <c r="T4677" i="5"/>
  <c r="S4677" i="5"/>
  <c r="R4677" i="5"/>
  <c r="Q4677" i="5"/>
  <c r="P4677" i="5"/>
  <c r="O4677" i="5"/>
  <c r="N4677" i="5"/>
  <c r="M4677" i="5"/>
  <c r="L4677" i="5"/>
  <c r="K4677" i="5"/>
  <c r="J4677" i="5"/>
  <c r="I4677" i="5"/>
  <c r="H4677" i="5"/>
  <c r="G4677" i="5"/>
  <c r="V4676" i="5"/>
  <c r="U4676" i="5"/>
  <c r="T4676" i="5"/>
  <c r="S4676" i="5"/>
  <c r="R4676" i="5"/>
  <c r="Q4676" i="5"/>
  <c r="P4676" i="5"/>
  <c r="O4676" i="5"/>
  <c r="N4676" i="5"/>
  <c r="M4676" i="5"/>
  <c r="L4676" i="5"/>
  <c r="K4676" i="5"/>
  <c r="J4676" i="5"/>
  <c r="I4676" i="5"/>
  <c r="H4676" i="5"/>
  <c r="G4676" i="5"/>
  <c r="V4675" i="5"/>
  <c r="U4675" i="5"/>
  <c r="T4675" i="5"/>
  <c r="S4675" i="5"/>
  <c r="R4675" i="5"/>
  <c r="Q4675" i="5"/>
  <c r="P4675" i="5"/>
  <c r="O4675" i="5"/>
  <c r="N4675" i="5"/>
  <c r="M4675" i="5"/>
  <c r="L4675" i="5"/>
  <c r="K4675" i="5"/>
  <c r="J4675" i="5"/>
  <c r="I4675" i="5"/>
  <c r="H4675" i="5"/>
  <c r="G4675" i="5"/>
  <c r="V4674" i="5"/>
  <c r="U4674" i="5"/>
  <c r="T4674" i="5"/>
  <c r="S4674" i="5"/>
  <c r="R4674" i="5"/>
  <c r="Q4674" i="5"/>
  <c r="P4674" i="5"/>
  <c r="O4674" i="5"/>
  <c r="N4674" i="5"/>
  <c r="M4674" i="5"/>
  <c r="L4674" i="5"/>
  <c r="K4674" i="5"/>
  <c r="J4674" i="5"/>
  <c r="I4674" i="5"/>
  <c r="H4674" i="5"/>
  <c r="G4674" i="5"/>
  <c r="V4673" i="5"/>
  <c r="U4673" i="5"/>
  <c r="T4673" i="5"/>
  <c r="S4673" i="5"/>
  <c r="R4673" i="5"/>
  <c r="Q4673" i="5"/>
  <c r="P4673" i="5"/>
  <c r="O4673" i="5"/>
  <c r="N4673" i="5"/>
  <c r="M4673" i="5"/>
  <c r="L4673" i="5"/>
  <c r="K4673" i="5"/>
  <c r="J4673" i="5"/>
  <c r="I4673" i="5"/>
  <c r="H4673" i="5"/>
  <c r="G4673" i="5"/>
  <c r="V4672" i="5"/>
  <c r="U4672" i="5"/>
  <c r="T4672" i="5"/>
  <c r="S4672" i="5"/>
  <c r="R4672" i="5"/>
  <c r="Q4672" i="5"/>
  <c r="P4672" i="5"/>
  <c r="O4672" i="5"/>
  <c r="N4672" i="5"/>
  <c r="M4672" i="5"/>
  <c r="L4672" i="5"/>
  <c r="K4672" i="5"/>
  <c r="J4672" i="5"/>
  <c r="I4672" i="5"/>
  <c r="H4672" i="5"/>
  <c r="G4672" i="5"/>
  <c r="V4671" i="5"/>
  <c r="U4671" i="5"/>
  <c r="T4671" i="5"/>
  <c r="S4671" i="5"/>
  <c r="R4671" i="5"/>
  <c r="Q4671" i="5"/>
  <c r="P4671" i="5"/>
  <c r="O4671" i="5"/>
  <c r="N4671" i="5"/>
  <c r="M4671" i="5"/>
  <c r="L4671" i="5"/>
  <c r="K4671" i="5"/>
  <c r="J4671" i="5"/>
  <c r="I4671" i="5"/>
  <c r="H4671" i="5"/>
  <c r="G4671" i="5"/>
  <c r="V4670" i="5"/>
  <c r="U4670" i="5"/>
  <c r="T4670" i="5"/>
  <c r="S4670" i="5"/>
  <c r="R4670" i="5"/>
  <c r="Q4670" i="5"/>
  <c r="P4670" i="5"/>
  <c r="O4670" i="5"/>
  <c r="N4670" i="5"/>
  <c r="M4670" i="5"/>
  <c r="L4670" i="5"/>
  <c r="K4670" i="5"/>
  <c r="J4670" i="5"/>
  <c r="I4670" i="5"/>
  <c r="H4670" i="5"/>
  <c r="G4670" i="5"/>
  <c r="V4669" i="5"/>
  <c r="U4669" i="5"/>
  <c r="T4669" i="5"/>
  <c r="S4669" i="5"/>
  <c r="R4669" i="5"/>
  <c r="Q4669" i="5"/>
  <c r="P4669" i="5"/>
  <c r="O4669" i="5"/>
  <c r="N4669" i="5"/>
  <c r="M4669" i="5"/>
  <c r="L4669" i="5"/>
  <c r="K4669" i="5"/>
  <c r="J4669" i="5"/>
  <c r="I4669" i="5"/>
  <c r="H4669" i="5"/>
  <c r="G4669" i="5"/>
  <c r="V4668" i="5"/>
  <c r="U4668" i="5"/>
  <c r="T4668" i="5"/>
  <c r="S4668" i="5"/>
  <c r="R4668" i="5"/>
  <c r="Q4668" i="5"/>
  <c r="P4668" i="5"/>
  <c r="O4668" i="5"/>
  <c r="N4668" i="5"/>
  <c r="M4668" i="5"/>
  <c r="L4668" i="5"/>
  <c r="K4668" i="5"/>
  <c r="J4668" i="5"/>
  <c r="I4668" i="5"/>
  <c r="H4668" i="5"/>
  <c r="G4668" i="5"/>
  <c r="V4667" i="5"/>
  <c r="U4667" i="5"/>
  <c r="T4667" i="5"/>
  <c r="S4667" i="5"/>
  <c r="R4667" i="5"/>
  <c r="Q4667" i="5"/>
  <c r="P4667" i="5"/>
  <c r="O4667" i="5"/>
  <c r="N4667" i="5"/>
  <c r="M4667" i="5"/>
  <c r="L4667" i="5"/>
  <c r="K4667" i="5"/>
  <c r="J4667" i="5"/>
  <c r="I4667" i="5"/>
  <c r="H4667" i="5"/>
  <c r="G4667" i="5"/>
  <c r="V4666" i="5"/>
  <c r="U4666" i="5"/>
  <c r="T4666" i="5"/>
  <c r="S4666" i="5"/>
  <c r="R4666" i="5"/>
  <c r="Q4666" i="5"/>
  <c r="P4666" i="5"/>
  <c r="O4666" i="5"/>
  <c r="N4666" i="5"/>
  <c r="M4666" i="5"/>
  <c r="L4666" i="5"/>
  <c r="K4666" i="5"/>
  <c r="J4666" i="5"/>
  <c r="I4666" i="5"/>
  <c r="H4666" i="5"/>
  <c r="G4666" i="5"/>
  <c r="V4665" i="5"/>
  <c r="U4665" i="5"/>
  <c r="T4665" i="5"/>
  <c r="S4665" i="5"/>
  <c r="R4665" i="5"/>
  <c r="Q4665" i="5"/>
  <c r="P4665" i="5"/>
  <c r="O4665" i="5"/>
  <c r="N4665" i="5"/>
  <c r="M4665" i="5"/>
  <c r="L4665" i="5"/>
  <c r="K4665" i="5"/>
  <c r="J4665" i="5"/>
  <c r="I4665" i="5"/>
  <c r="H4665" i="5"/>
  <c r="G4665" i="5"/>
  <c r="V4664" i="5"/>
  <c r="U4664" i="5"/>
  <c r="T4664" i="5"/>
  <c r="S4664" i="5"/>
  <c r="R4664" i="5"/>
  <c r="Q4664" i="5"/>
  <c r="P4664" i="5"/>
  <c r="O4664" i="5"/>
  <c r="N4664" i="5"/>
  <c r="M4664" i="5"/>
  <c r="L4664" i="5"/>
  <c r="K4664" i="5"/>
  <c r="J4664" i="5"/>
  <c r="I4664" i="5"/>
  <c r="H4664" i="5"/>
  <c r="G4664" i="5"/>
  <c r="V4663" i="5"/>
  <c r="U4663" i="5"/>
  <c r="T4663" i="5"/>
  <c r="S4663" i="5"/>
  <c r="R4663" i="5"/>
  <c r="Q4663" i="5"/>
  <c r="P4663" i="5"/>
  <c r="O4663" i="5"/>
  <c r="N4663" i="5"/>
  <c r="M4663" i="5"/>
  <c r="L4663" i="5"/>
  <c r="K4663" i="5"/>
  <c r="J4663" i="5"/>
  <c r="I4663" i="5"/>
  <c r="H4663" i="5"/>
  <c r="G4663" i="5"/>
  <c r="V4662" i="5"/>
  <c r="U4662" i="5"/>
  <c r="T4662" i="5"/>
  <c r="S4662" i="5"/>
  <c r="R4662" i="5"/>
  <c r="Q4662" i="5"/>
  <c r="P4662" i="5"/>
  <c r="O4662" i="5"/>
  <c r="N4662" i="5"/>
  <c r="M4662" i="5"/>
  <c r="L4662" i="5"/>
  <c r="K4662" i="5"/>
  <c r="J4662" i="5"/>
  <c r="I4662" i="5"/>
  <c r="H4662" i="5"/>
  <c r="G4662" i="5"/>
  <c r="V4661" i="5"/>
  <c r="U4661" i="5"/>
  <c r="T4661" i="5"/>
  <c r="S4661" i="5"/>
  <c r="R4661" i="5"/>
  <c r="Q4661" i="5"/>
  <c r="P4661" i="5"/>
  <c r="O4661" i="5"/>
  <c r="N4661" i="5"/>
  <c r="M4661" i="5"/>
  <c r="L4661" i="5"/>
  <c r="K4661" i="5"/>
  <c r="J4661" i="5"/>
  <c r="I4661" i="5"/>
  <c r="H4661" i="5"/>
  <c r="G4661" i="5"/>
  <c r="V4660" i="5"/>
  <c r="U4660" i="5"/>
  <c r="T4660" i="5"/>
  <c r="S4660" i="5"/>
  <c r="R4660" i="5"/>
  <c r="Q4660" i="5"/>
  <c r="P4660" i="5"/>
  <c r="O4660" i="5"/>
  <c r="N4660" i="5"/>
  <c r="M4660" i="5"/>
  <c r="L4660" i="5"/>
  <c r="K4660" i="5"/>
  <c r="J4660" i="5"/>
  <c r="I4660" i="5"/>
  <c r="H4660" i="5"/>
  <c r="G4660" i="5"/>
  <c r="V4659" i="5"/>
  <c r="U4659" i="5"/>
  <c r="T4659" i="5"/>
  <c r="S4659" i="5"/>
  <c r="R4659" i="5"/>
  <c r="Q4659" i="5"/>
  <c r="P4659" i="5"/>
  <c r="O4659" i="5"/>
  <c r="N4659" i="5"/>
  <c r="M4659" i="5"/>
  <c r="L4659" i="5"/>
  <c r="K4659" i="5"/>
  <c r="J4659" i="5"/>
  <c r="I4659" i="5"/>
  <c r="H4659" i="5"/>
  <c r="G4659" i="5"/>
  <c r="V4658" i="5"/>
  <c r="U4658" i="5"/>
  <c r="T4658" i="5"/>
  <c r="S4658" i="5"/>
  <c r="R4658" i="5"/>
  <c r="Q4658" i="5"/>
  <c r="P4658" i="5"/>
  <c r="O4658" i="5"/>
  <c r="N4658" i="5"/>
  <c r="M4658" i="5"/>
  <c r="L4658" i="5"/>
  <c r="K4658" i="5"/>
  <c r="J4658" i="5"/>
  <c r="I4658" i="5"/>
  <c r="H4658" i="5"/>
  <c r="G4658" i="5"/>
  <c r="V4657" i="5"/>
  <c r="U4657" i="5"/>
  <c r="T4657" i="5"/>
  <c r="S4657" i="5"/>
  <c r="R4657" i="5"/>
  <c r="Q4657" i="5"/>
  <c r="P4657" i="5"/>
  <c r="O4657" i="5"/>
  <c r="N4657" i="5"/>
  <c r="M4657" i="5"/>
  <c r="L4657" i="5"/>
  <c r="K4657" i="5"/>
  <c r="J4657" i="5"/>
  <c r="I4657" i="5"/>
  <c r="H4657" i="5"/>
  <c r="G4657" i="5"/>
  <c r="V4656" i="5"/>
  <c r="U4656" i="5"/>
  <c r="T4656" i="5"/>
  <c r="S4656" i="5"/>
  <c r="R4656" i="5"/>
  <c r="Q4656" i="5"/>
  <c r="P4656" i="5"/>
  <c r="O4656" i="5"/>
  <c r="N4656" i="5"/>
  <c r="M4656" i="5"/>
  <c r="L4656" i="5"/>
  <c r="K4656" i="5"/>
  <c r="J4656" i="5"/>
  <c r="I4656" i="5"/>
  <c r="H4656" i="5"/>
  <c r="G4656" i="5"/>
  <c r="V4655" i="5"/>
  <c r="U4655" i="5"/>
  <c r="T4655" i="5"/>
  <c r="S4655" i="5"/>
  <c r="R4655" i="5"/>
  <c r="Q4655" i="5"/>
  <c r="P4655" i="5"/>
  <c r="O4655" i="5"/>
  <c r="N4655" i="5"/>
  <c r="M4655" i="5"/>
  <c r="L4655" i="5"/>
  <c r="K4655" i="5"/>
  <c r="J4655" i="5"/>
  <c r="I4655" i="5"/>
  <c r="H4655" i="5"/>
  <c r="G4655" i="5"/>
  <c r="V4654" i="5"/>
  <c r="U4654" i="5"/>
  <c r="T4654" i="5"/>
  <c r="S4654" i="5"/>
  <c r="R4654" i="5"/>
  <c r="Q4654" i="5"/>
  <c r="P4654" i="5"/>
  <c r="O4654" i="5"/>
  <c r="N4654" i="5"/>
  <c r="M4654" i="5"/>
  <c r="L4654" i="5"/>
  <c r="K4654" i="5"/>
  <c r="J4654" i="5"/>
  <c r="I4654" i="5"/>
  <c r="H4654" i="5"/>
  <c r="G4654" i="5"/>
  <c r="V4653" i="5"/>
  <c r="U4653" i="5"/>
  <c r="T4653" i="5"/>
  <c r="S4653" i="5"/>
  <c r="R4653" i="5"/>
  <c r="Q4653" i="5"/>
  <c r="P4653" i="5"/>
  <c r="O4653" i="5"/>
  <c r="N4653" i="5"/>
  <c r="M4653" i="5"/>
  <c r="L4653" i="5"/>
  <c r="K4653" i="5"/>
  <c r="J4653" i="5"/>
  <c r="I4653" i="5"/>
  <c r="H4653" i="5"/>
  <c r="G4653" i="5"/>
  <c r="V4652" i="5"/>
  <c r="U4652" i="5"/>
  <c r="T4652" i="5"/>
  <c r="S4652" i="5"/>
  <c r="R4652" i="5"/>
  <c r="Q4652" i="5"/>
  <c r="P4652" i="5"/>
  <c r="O4652" i="5"/>
  <c r="N4652" i="5"/>
  <c r="M4652" i="5"/>
  <c r="L4652" i="5"/>
  <c r="K4652" i="5"/>
  <c r="J4652" i="5"/>
  <c r="I4652" i="5"/>
  <c r="H4652" i="5"/>
  <c r="G4652" i="5"/>
  <c r="V4651" i="5"/>
  <c r="U4651" i="5"/>
  <c r="T4651" i="5"/>
  <c r="S4651" i="5"/>
  <c r="R4651" i="5"/>
  <c r="Q4651" i="5"/>
  <c r="P4651" i="5"/>
  <c r="O4651" i="5"/>
  <c r="N4651" i="5"/>
  <c r="M4651" i="5"/>
  <c r="L4651" i="5"/>
  <c r="K4651" i="5"/>
  <c r="J4651" i="5"/>
  <c r="I4651" i="5"/>
  <c r="H4651" i="5"/>
  <c r="G4651" i="5"/>
  <c r="V4650" i="5"/>
  <c r="U4650" i="5"/>
  <c r="T4650" i="5"/>
  <c r="S4650" i="5"/>
  <c r="R4650" i="5"/>
  <c r="Q4650" i="5"/>
  <c r="P4650" i="5"/>
  <c r="O4650" i="5"/>
  <c r="N4650" i="5"/>
  <c r="M4650" i="5"/>
  <c r="L4650" i="5"/>
  <c r="K4650" i="5"/>
  <c r="J4650" i="5"/>
  <c r="I4650" i="5"/>
  <c r="H4650" i="5"/>
  <c r="G4650" i="5"/>
  <c r="V4649" i="5"/>
  <c r="U4649" i="5"/>
  <c r="T4649" i="5"/>
  <c r="S4649" i="5"/>
  <c r="R4649" i="5"/>
  <c r="Q4649" i="5"/>
  <c r="P4649" i="5"/>
  <c r="O4649" i="5"/>
  <c r="N4649" i="5"/>
  <c r="M4649" i="5"/>
  <c r="L4649" i="5"/>
  <c r="K4649" i="5"/>
  <c r="J4649" i="5"/>
  <c r="I4649" i="5"/>
  <c r="H4649" i="5"/>
  <c r="G4649" i="5"/>
  <c r="V4648" i="5"/>
  <c r="U4648" i="5"/>
  <c r="T4648" i="5"/>
  <c r="S4648" i="5"/>
  <c r="R4648" i="5"/>
  <c r="Q4648" i="5"/>
  <c r="P4648" i="5"/>
  <c r="O4648" i="5"/>
  <c r="N4648" i="5"/>
  <c r="M4648" i="5"/>
  <c r="L4648" i="5"/>
  <c r="K4648" i="5"/>
  <c r="J4648" i="5"/>
  <c r="I4648" i="5"/>
  <c r="H4648" i="5"/>
  <c r="G4648" i="5"/>
  <c r="V4647" i="5"/>
  <c r="U4647" i="5"/>
  <c r="T4647" i="5"/>
  <c r="S4647" i="5"/>
  <c r="R4647" i="5"/>
  <c r="Q4647" i="5"/>
  <c r="P4647" i="5"/>
  <c r="O4647" i="5"/>
  <c r="N4647" i="5"/>
  <c r="M4647" i="5"/>
  <c r="L4647" i="5"/>
  <c r="K4647" i="5"/>
  <c r="J4647" i="5"/>
  <c r="I4647" i="5"/>
  <c r="H4647" i="5"/>
  <c r="G4647" i="5"/>
  <c r="V4646" i="5"/>
  <c r="U4646" i="5"/>
  <c r="T4646" i="5"/>
  <c r="S4646" i="5"/>
  <c r="R4646" i="5"/>
  <c r="Q4646" i="5"/>
  <c r="P4646" i="5"/>
  <c r="O4646" i="5"/>
  <c r="N4646" i="5"/>
  <c r="M4646" i="5"/>
  <c r="L4646" i="5"/>
  <c r="K4646" i="5"/>
  <c r="J4646" i="5"/>
  <c r="I4646" i="5"/>
  <c r="H4646" i="5"/>
  <c r="G4646" i="5"/>
  <c r="V4645" i="5"/>
  <c r="U4645" i="5"/>
  <c r="T4645" i="5"/>
  <c r="S4645" i="5"/>
  <c r="R4645" i="5"/>
  <c r="Q4645" i="5"/>
  <c r="P4645" i="5"/>
  <c r="O4645" i="5"/>
  <c r="N4645" i="5"/>
  <c r="M4645" i="5"/>
  <c r="L4645" i="5"/>
  <c r="K4645" i="5"/>
  <c r="J4645" i="5"/>
  <c r="I4645" i="5"/>
  <c r="H4645" i="5"/>
  <c r="G4645" i="5"/>
  <c r="V4644" i="5"/>
  <c r="U4644" i="5"/>
  <c r="T4644" i="5"/>
  <c r="S4644" i="5"/>
  <c r="R4644" i="5"/>
  <c r="Q4644" i="5"/>
  <c r="P4644" i="5"/>
  <c r="O4644" i="5"/>
  <c r="N4644" i="5"/>
  <c r="M4644" i="5"/>
  <c r="L4644" i="5"/>
  <c r="K4644" i="5"/>
  <c r="J4644" i="5"/>
  <c r="I4644" i="5"/>
  <c r="H4644" i="5"/>
  <c r="G4644" i="5"/>
  <c r="V4643" i="5"/>
  <c r="U4643" i="5"/>
  <c r="T4643" i="5"/>
  <c r="S4643" i="5"/>
  <c r="R4643" i="5"/>
  <c r="Q4643" i="5"/>
  <c r="P4643" i="5"/>
  <c r="O4643" i="5"/>
  <c r="N4643" i="5"/>
  <c r="M4643" i="5"/>
  <c r="L4643" i="5"/>
  <c r="K4643" i="5"/>
  <c r="J4643" i="5"/>
  <c r="I4643" i="5"/>
  <c r="H4643" i="5"/>
  <c r="G4643" i="5"/>
  <c r="V4642" i="5"/>
  <c r="U4642" i="5"/>
  <c r="T4642" i="5"/>
  <c r="S4642" i="5"/>
  <c r="R4642" i="5"/>
  <c r="Q4642" i="5"/>
  <c r="P4642" i="5"/>
  <c r="O4642" i="5"/>
  <c r="N4642" i="5"/>
  <c r="M4642" i="5"/>
  <c r="L4642" i="5"/>
  <c r="K4642" i="5"/>
  <c r="J4642" i="5"/>
  <c r="I4642" i="5"/>
  <c r="H4642" i="5"/>
  <c r="G4642" i="5"/>
  <c r="V4641" i="5"/>
  <c r="U4641" i="5"/>
  <c r="T4641" i="5"/>
  <c r="S4641" i="5"/>
  <c r="R4641" i="5"/>
  <c r="Q4641" i="5"/>
  <c r="P4641" i="5"/>
  <c r="O4641" i="5"/>
  <c r="N4641" i="5"/>
  <c r="M4641" i="5"/>
  <c r="L4641" i="5"/>
  <c r="K4641" i="5"/>
  <c r="J4641" i="5"/>
  <c r="I4641" i="5"/>
  <c r="H4641" i="5"/>
  <c r="G4641" i="5"/>
  <c r="V4640" i="5"/>
  <c r="U4640" i="5"/>
  <c r="T4640" i="5"/>
  <c r="S4640" i="5"/>
  <c r="R4640" i="5"/>
  <c r="Q4640" i="5"/>
  <c r="P4640" i="5"/>
  <c r="O4640" i="5"/>
  <c r="N4640" i="5"/>
  <c r="M4640" i="5"/>
  <c r="L4640" i="5"/>
  <c r="K4640" i="5"/>
  <c r="J4640" i="5"/>
  <c r="I4640" i="5"/>
  <c r="H4640" i="5"/>
  <c r="G4640" i="5"/>
  <c r="V4639" i="5"/>
  <c r="U4639" i="5"/>
  <c r="T4639" i="5"/>
  <c r="S4639" i="5"/>
  <c r="R4639" i="5"/>
  <c r="Q4639" i="5"/>
  <c r="P4639" i="5"/>
  <c r="O4639" i="5"/>
  <c r="N4639" i="5"/>
  <c r="M4639" i="5"/>
  <c r="L4639" i="5"/>
  <c r="K4639" i="5"/>
  <c r="J4639" i="5"/>
  <c r="I4639" i="5"/>
  <c r="H4639" i="5"/>
  <c r="G4639" i="5"/>
  <c r="V4638" i="5"/>
  <c r="U4638" i="5"/>
  <c r="T4638" i="5"/>
  <c r="S4638" i="5"/>
  <c r="R4638" i="5"/>
  <c r="Q4638" i="5"/>
  <c r="P4638" i="5"/>
  <c r="O4638" i="5"/>
  <c r="N4638" i="5"/>
  <c r="M4638" i="5"/>
  <c r="L4638" i="5"/>
  <c r="K4638" i="5"/>
  <c r="J4638" i="5"/>
  <c r="I4638" i="5"/>
  <c r="H4638" i="5"/>
  <c r="G4638" i="5"/>
  <c r="V4637" i="5"/>
  <c r="U4637" i="5"/>
  <c r="T4637" i="5"/>
  <c r="S4637" i="5"/>
  <c r="R4637" i="5"/>
  <c r="Q4637" i="5"/>
  <c r="P4637" i="5"/>
  <c r="O4637" i="5"/>
  <c r="N4637" i="5"/>
  <c r="M4637" i="5"/>
  <c r="L4637" i="5"/>
  <c r="K4637" i="5"/>
  <c r="J4637" i="5"/>
  <c r="I4637" i="5"/>
  <c r="H4637" i="5"/>
  <c r="G4637" i="5"/>
  <c r="V4636" i="5"/>
  <c r="U4636" i="5"/>
  <c r="T4636" i="5"/>
  <c r="S4636" i="5"/>
  <c r="R4636" i="5"/>
  <c r="Q4636" i="5"/>
  <c r="P4636" i="5"/>
  <c r="O4636" i="5"/>
  <c r="N4636" i="5"/>
  <c r="M4636" i="5"/>
  <c r="L4636" i="5"/>
  <c r="K4636" i="5"/>
  <c r="J4636" i="5"/>
  <c r="I4636" i="5"/>
  <c r="H4636" i="5"/>
  <c r="G4636" i="5"/>
  <c r="V4635" i="5"/>
  <c r="U4635" i="5"/>
  <c r="T4635" i="5"/>
  <c r="S4635" i="5"/>
  <c r="R4635" i="5"/>
  <c r="Q4635" i="5"/>
  <c r="P4635" i="5"/>
  <c r="O4635" i="5"/>
  <c r="N4635" i="5"/>
  <c r="M4635" i="5"/>
  <c r="L4635" i="5"/>
  <c r="K4635" i="5"/>
  <c r="J4635" i="5"/>
  <c r="I4635" i="5"/>
  <c r="H4635" i="5"/>
  <c r="G4635" i="5"/>
  <c r="V4634" i="5"/>
  <c r="U4634" i="5"/>
  <c r="T4634" i="5"/>
  <c r="S4634" i="5"/>
  <c r="R4634" i="5"/>
  <c r="Q4634" i="5"/>
  <c r="P4634" i="5"/>
  <c r="O4634" i="5"/>
  <c r="N4634" i="5"/>
  <c r="M4634" i="5"/>
  <c r="L4634" i="5"/>
  <c r="K4634" i="5"/>
  <c r="J4634" i="5"/>
  <c r="I4634" i="5"/>
  <c r="H4634" i="5"/>
  <c r="G4634" i="5"/>
  <c r="V4633" i="5"/>
  <c r="U4633" i="5"/>
  <c r="T4633" i="5"/>
  <c r="S4633" i="5"/>
  <c r="R4633" i="5"/>
  <c r="Q4633" i="5"/>
  <c r="P4633" i="5"/>
  <c r="O4633" i="5"/>
  <c r="N4633" i="5"/>
  <c r="M4633" i="5"/>
  <c r="L4633" i="5"/>
  <c r="K4633" i="5"/>
  <c r="J4633" i="5"/>
  <c r="I4633" i="5"/>
  <c r="H4633" i="5"/>
  <c r="G4633" i="5"/>
  <c r="V4632" i="5"/>
  <c r="U4632" i="5"/>
  <c r="T4632" i="5"/>
  <c r="S4632" i="5"/>
  <c r="R4632" i="5"/>
  <c r="Q4632" i="5"/>
  <c r="P4632" i="5"/>
  <c r="O4632" i="5"/>
  <c r="N4632" i="5"/>
  <c r="M4632" i="5"/>
  <c r="L4632" i="5"/>
  <c r="K4632" i="5"/>
  <c r="J4632" i="5"/>
  <c r="I4632" i="5"/>
  <c r="H4632" i="5"/>
  <c r="G4632" i="5"/>
  <c r="V4631" i="5"/>
  <c r="U4631" i="5"/>
  <c r="T4631" i="5"/>
  <c r="S4631" i="5"/>
  <c r="R4631" i="5"/>
  <c r="Q4631" i="5"/>
  <c r="P4631" i="5"/>
  <c r="O4631" i="5"/>
  <c r="N4631" i="5"/>
  <c r="M4631" i="5"/>
  <c r="L4631" i="5"/>
  <c r="K4631" i="5"/>
  <c r="J4631" i="5"/>
  <c r="I4631" i="5"/>
  <c r="H4631" i="5"/>
  <c r="G4631" i="5"/>
  <c r="V4630" i="5"/>
  <c r="U4630" i="5"/>
  <c r="T4630" i="5"/>
  <c r="S4630" i="5"/>
  <c r="R4630" i="5"/>
  <c r="Q4630" i="5"/>
  <c r="P4630" i="5"/>
  <c r="O4630" i="5"/>
  <c r="N4630" i="5"/>
  <c r="M4630" i="5"/>
  <c r="L4630" i="5"/>
  <c r="K4630" i="5"/>
  <c r="J4630" i="5"/>
  <c r="I4630" i="5"/>
  <c r="H4630" i="5"/>
  <c r="G4630" i="5"/>
  <c r="V4629" i="5"/>
  <c r="U4629" i="5"/>
  <c r="T4629" i="5"/>
  <c r="S4629" i="5"/>
  <c r="R4629" i="5"/>
  <c r="Q4629" i="5"/>
  <c r="P4629" i="5"/>
  <c r="O4629" i="5"/>
  <c r="N4629" i="5"/>
  <c r="M4629" i="5"/>
  <c r="L4629" i="5"/>
  <c r="K4629" i="5"/>
  <c r="J4629" i="5"/>
  <c r="I4629" i="5"/>
  <c r="H4629" i="5"/>
  <c r="G4629" i="5"/>
  <c r="V4628" i="5"/>
  <c r="U4628" i="5"/>
  <c r="T4628" i="5"/>
  <c r="S4628" i="5"/>
  <c r="R4628" i="5"/>
  <c r="Q4628" i="5"/>
  <c r="P4628" i="5"/>
  <c r="O4628" i="5"/>
  <c r="N4628" i="5"/>
  <c r="M4628" i="5"/>
  <c r="L4628" i="5"/>
  <c r="K4628" i="5"/>
  <c r="J4628" i="5"/>
  <c r="I4628" i="5"/>
  <c r="H4628" i="5"/>
  <c r="G4628" i="5"/>
  <c r="V4627" i="5"/>
  <c r="U4627" i="5"/>
  <c r="T4627" i="5"/>
  <c r="S4627" i="5"/>
  <c r="R4627" i="5"/>
  <c r="Q4627" i="5"/>
  <c r="P4627" i="5"/>
  <c r="O4627" i="5"/>
  <c r="N4627" i="5"/>
  <c r="M4627" i="5"/>
  <c r="L4627" i="5"/>
  <c r="K4627" i="5"/>
  <c r="J4627" i="5"/>
  <c r="I4627" i="5"/>
  <c r="H4627" i="5"/>
  <c r="G4627" i="5"/>
  <c r="V4626" i="5"/>
  <c r="U4626" i="5"/>
  <c r="T4626" i="5"/>
  <c r="S4626" i="5"/>
  <c r="R4626" i="5"/>
  <c r="Q4626" i="5"/>
  <c r="P4626" i="5"/>
  <c r="O4626" i="5"/>
  <c r="N4626" i="5"/>
  <c r="M4626" i="5"/>
  <c r="L4626" i="5"/>
  <c r="K4626" i="5"/>
  <c r="J4626" i="5"/>
  <c r="I4626" i="5"/>
  <c r="H4626" i="5"/>
  <c r="G4626" i="5"/>
  <c r="V4625" i="5"/>
  <c r="U4625" i="5"/>
  <c r="T4625" i="5"/>
  <c r="S4625" i="5"/>
  <c r="R4625" i="5"/>
  <c r="Q4625" i="5"/>
  <c r="P4625" i="5"/>
  <c r="O4625" i="5"/>
  <c r="N4625" i="5"/>
  <c r="M4625" i="5"/>
  <c r="L4625" i="5"/>
  <c r="K4625" i="5"/>
  <c r="J4625" i="5"/>
  <c r="I4625" i="5"/>
  <c r="H4625" i="5"/>
  <c r="G4625" i="5"/>
  <c r="V4624" i="5"/>
  <c r="U4624" i="5"/>
  <c r="T4624" i="5"/>
  <c r="S4624" i="5"/>
  <c r="R4624" i="5"/>
  <c r="Q4624" i="5"/>
  <c r="P4624" i="5"/>
  <c r="O4624" i="5"/>
  <c r="N4624" i="5"/>
  <c r="M4624" i="5"/>
  <c r="L4624" i="5"/>
  <c r="K4624" i="5"/>
  <c r="J4624" i="5"/>
  <c r="I4624" i="5"/>
  <c r="H4624" i="5"/>
  <c r="G4624" i="5"/>
  <c r="V4623" i="5"/>
  <c r="U4623" i="5"/>
  <c r="T4623" i="5"/>
  <c r="S4623" i="5"/>
  <c r="R4623" i="5"/>
  <c r="Q4623" i="5"/>
  <c r="P4623" i="5"/>
  <c r="O4623" i="5"/>
  <c r="N4623" i="5"/>
  <c r="M4623" i="5"/>
  <c r="L4623" i="5"/>
  <c r="K4623" i="5"/>
  <c r="J4623" i="5"/>
  <c r="I4623" i="5"/>
  <c r="H4623" i="5"/>
  <c r="G4623" i="5"/>
  <c r="V4622" i="5"/>
  <c r="U4622" i="5"/>
  <c r="T4622" i="5"/>
  <c r="S4622" i="5"/>
  <c r="R4622" i="5"/>
  <c r="Q4622" i="5"/>
  <c r="P4622" i="5"/>
  <c r="O4622" i="5"/>
  <c r="N4622" i="5"/>
  <c r="M4622" i="5"/>
  <c r="L4622" i="5"/>
  <c r="K4622" i="5"/>
  <c r="J4622" i="5"/>
  <c r="I4622" i="5"/>
  <c r="H4622" i="5"/>
  <c r="G4622" i="5"/>
  <c r="V4621" i="5"/>
  <c r="U4621" i="5"/>
  <c r="T4621" i="5"/>
  <c r="S4621" i="5"/>
  <c r="R4621" i="5"/>
  <c r="Q4621" i="5"/>
  <c r="P4621" i="5"/>
  <c r="O4621" i="5"/>
  <c r="N4621" i="5"/>
  <c r="M4621" i="5"/>
  <c r="L4621" i="5"/>
  <c r="K4621" i="5"/>
  <c r="J4621" i="5"/>
  <c r="I4621" i="5"/>
  <c r="H4621" i="5"/>
  <c r="G4621" i="5"/>
  <c r="V4620" i="5"/>
  <c r="U4620" i="5"/>
  <c r="T4620" i="5"/>
  <c r="S4620" i="5"/>
  <c r="R4620" i="5"/>
  <c r="Q4620" i="5"/>
  <c r="P4620" i="5"/>
  <c r="O4620" i="5"/>
  <c r="N4620" i="5"/>
  <c r="M4620" i="5"/>
  <c r="L4620" i="5"/>
  <c r="K4620" i="5"/>
  <c r="J4620" i="5"/>
  <c r="I4620" i="5"/>
  <c r="H4620" i="5"/>
  <c r="G4620" i="5"/>
  <c r="V4619" i="5"/>
  <c r="U4619" i="5"/>
  <c r="T4619" i="5"/>
  <c r="S4619" i="5"/>
  <c r="R4619" i="5"/>
  <c r="Q4619" i="5"/>
  <c r="P4619" i="5"/>
  <c r="O4619" i="5"/>
  <c r="N4619" i="5"/>
  <c r="M4619" i="5"/>
  <c r="L4619" i="5"/>
  <c r="K4619" i="5"/>
  <c r="J4619" i="5"/>
  <c r="I4619" i="5"/>
  <c r="H4619" i="5"/>
  <c r="G4619" i="5"/>
  <c r="V4618" i="5"/>
  <c r="U4618" i="5"/>
  <c r="T4618" i="5"/>
  <c r="S4618" i="5"/>
  <c r="R4618" i="5"/>
  <c r="Q4618" i="5"/>
  <c r="P4618" i="5"/>
  <c r="O4618" i="5"/>
  <c r="N4618" i="5"/>
  <c r="M4618" i="5"/>
  <c r="L4618" i="5"/>
  <c r="K4618" i="5"/>
  <c r="J4618" i="5"/>
  <c r="I4618" i="5"/>
  <c r="H4618" i="5"/>
  <c r="G4618" i="5"/>
  <c r="V4617" i="5"/>
  <c r="U4617" i="5"/>
  <c r="T4617" i="5"/>
  <c r="S4617" i="5"/>
  <c r="R4617" i="5"/>
  <c r="Q4617" i="5"/>
  <c r="P4617" i="5"/>
  <c r="V4616" i="5"/>
  <c r="U4616" i="5"/>
  <c r="T4616" i="5"/>
  <c r="S4616" i="5"/>
  <c r="R4616" i="5"/>
  <c r="Q4616" i="5"/>
  <c r="P4616" i="5"/>
  <c r="U4615" i="5"/>
  <c r="T4615" i="5"/>
  <c r="S4615" i="5"/>
  <c r="R4615" i="5"/>
  <c r="Q4615" i="5"/>
  <c r="P4615" i="5"/>
  <c r="U4614" i="5"/>
  <c r="T4614" i="5"/>
  <c r="S4614" i="5"/>
  <c r="R4614" i="5"/>
  <c r="Q4614" i="5"/>
  <c r="P4614" i="5"/>
  <c r="O4614" i="5"/>
  <c r="N4614" i="5"/>
  <c r="M4614" i="5"/>
  <c r="L4614" i="5"/>
  <c r="K4614" i="5"/>
  <c r="J4614" i="5"/>
  <c r="I4614" i="5"/>
  <c r="H4614" i="5"/>
  <c r="G4614" i="5"/>
  <c r="V4612" i="5"/>
  <c r="U4610" i="5"/>
  <c r="T4610" i="5"/>
  <c r="S4610" i="5"/>
  <c r="R4610" i="5"/>
  <c r="Q4610" i="5"/>
  <c r="P4610" i="5"/>
  <c r="O4604" i="5"/>
  <c r="N4604" i="5"/>
  <c r="M4604" i="5"/>
  <c r="L4604" i="5"/>
  <c r="K4604" i="5"/>
  <c r="J4604" i="5"/>
  <c r="I4604" i="5"/>
  <c r="H4604" i="5"/>
  <c r="G4604" i="5"/>
  <c r="V4602" i="5"/>
  <c r="U4600" i="5"/>
  <c r="T4600" i="5"/>
  <c r="S4600" i="5"/>
  <c r="R4600" i="5"/>
  <c r="Q4600" i="5"/>
  <c r="P4600" i="5"/>
  <c r="O4594" i="5"/>
  <c r="N4594" i="5"/>
  <c r="M4594" i="5"/>
  <c r="L4594" i="5"/>
  <c r="K4594" i="5"/>
  <c r="J4594" i="5"/>
  <c r="I4594" i="5"/>
  <c r="H4594" i="5"/>
  <c r="G4594" i="5"/>
  <c r="V4592" i="5"/>
  <c r="U4590" i="5"/>
  <c r="T4590" i="5"/>
  <c r="S4590" i="5"/>
  <c r="R4590" i="5"/>
  <c r="Q4590" i="5"/>
  <c r="P4590" i="5"/>
  <c r="O4587" i="5"/>
  <c r="N4587" i="5"/>
  <c r="M4587" i="5"/>
  <c r="L4587" i="5"/>
  <c r="K4587" i="5"/>
  <c r="J4587" i="5"/>
  <c r="I4587" i="5"/>
  <c r="H4587" i="5"/>
  <c r="G4587" i="5"/>
  <c r="O4586" i="5"/>
  <c r="N4586" i="5"/>
  <c r="M4586" i="5"/>
  <c r="L4586" i="5"/>
  <c r="K4586" i="5"/>
  <c r="J4586" i="5"/>
  <c r="I4586" i="5"/>
  <c r="H4586" i="5"/>
  <c r="G4586" i="5"/>
  <c r="V4585" i="5"/>
  <c r="O4585" i="5"/>
  <c r="N4585" i="5"/>
  <c r="M4585" i="5"/>
  <c r="L4585" i="5"/>
  <c r="K4585" i="5"/>
  <c r="J4585" i="5"/>
  <c r="I4585" i="5"/>
  <c r="H4585" i="5"/>
  <c r="G4585" i="5"/>
  <c r="V4584" i="5"/>
  <c r="O4584" i="5"/>
  <c r="N4584" i="5"/>
  <c r="M4584" i="5"/>
  <c r="L4584" i="5"/>
  <c r="K4584" i="5"/>
  <c r="J4584" i="5"/>
  <c r="I4584" i="5"/>
  <c r="H4584" i="5"/>
  <c r="G4584" i="5"/>
  <c r="V4583" i="5"/>
  <c r="U4583" i="5"/>
  <c r="T4583" i="5"/>
  <c r="S4583" i="5"/>
  <c r="R4583" i="5"/>
  <c r="Q4583" i="5"/>
  <c r="P4583" i="5"/>
  <c r="O4583" i="5"/>
  <c r="N4583" i="5"/>
  <c r="M4583" i="5"/>
  <c r="L4583" i="5"/>
  <c r="K4583" i="5"/>
  <c r="J4583" i="5"/>
  <c r="I4583" i="5"/>
  <c r="H4583" i="5"/>
  <c r="G4583" i="5"/>
  <c r="V4582" i="5"/>
  <c r="U4582" i="5"/>
  <c r="T4582" i="5"/>
  <c r="S4582" i="5"/>
  <c r="R4582" i="5"/>
  <c r="Q4582" i="5"/>
  <c r="P4582" i="5"/>
  <c r="O4582" i="5"/>
  <c r="N4582" i="5"/>
  <c r="M4582" i="5"/>
  <c r="L4582" i="5"/>
  <c r="K4582" i="5"/>
  <c r="J4582" i="5"/>
  <c r="I4582" i="5"/>
  <c r="H4582" i="5"/>
  <c r="G4582" i="5"/>
  <c r="V4581" i="5"/>
  <c r="U4581" i="5"/>
  <c r="T4581" i="5"/>
  <c r="S4581" i="5"/>
  <c r="R4581" i="5"/>
  <c r="Q4581" i="5"/>
  <c r="P4581" i="5"/>
  <c r="O4581" i="5"/>
  <c r="N4581" i="5"/>
  <c r="M4581" i="5"/>
  <c r="L4581" i="5"/>
  <c r="K4581" i="5"/>
  <c r="J4581" i="5"/>
  <c r="I4581" i="5"/>
  <c r="H4581" i="5"/>
  <c r="G4581" i="5"/>
  <c r="V4580" i="5"/>
  <c r="U4580" i="5"/>
  <c r="T4580" i="5"/>
  <c r="S4580" i="5"/>
  <c r="R4580" i="5"/>
  <c r="Q4580" i="5"/>
  <c r="P4580" i="5"/>
  <c r="O4580" i="5"/>
  <c r="N4580" i="5"/>
  <c r="M4580" i="5"/>
  <c r="L4580" i="5"/>
  <c r="K4580" i="5"/>
  <c r="J4580" i="5"/>
  <c r="I4580" i="5"/>
  <c r="H4580" i="5"/>
  <c r="G4580" i="5"/>
  <c r="V4579" i="5"/>
  <c r="U4579" i="5"/>
  <c r="T4579" i="5"/>
  <c r="S4579" i="5"/>
  <c r="R4579" i="5"/>
  <c r="Q4579" i="5"/>
  <c r="P4579" i="5"/>
  <c r="O4579" i="5"/>
  <c r="N4579" i="5"/>
  <c r="M4579" i="5"/>
  <c r="L4579" i="5"/>
  <c r="K4579" i="5"/>
  <c r="J4579" i="5"/>
  <c r="I4579" i="5"/>
  <c r="H4579" i="5"/>
  <c r="G4579" i="5"/>
  <c r="V4578" i="5"/>
  <c r="U4578" i="5"/>
  <c r="T4578" i="5"/>
  <c r="S4578" i="5"/>
  <c r="R4578" i="5"/>
  <c r="Q4578" i="5"/>
  <c r="P4578" i="5"/>
  <c r="O4578" i="5"/>
  <c r="N4578" i="5"/>
  <c r="M4578" i="5"/>
  <c r="L4578" i="5"/>
  <c r="K4578" i="5"/>
  <c r="J4578" i="5"/>
  <c r="I4578" i="5"/>
  <c r="H4578" i="5"/>
  <c r="G4578" i="5"/>
  <c r="V4577" i="5"/>
  <c r="U4577" i="5"/>
  <c r="T4577" i="5"/>
  <c r="S4577" i="5"/>
  <c r="R4577" i="5"/>
  <c r="Q4577" i="5"/>
  <c r="P4577" i="5"/>
  <c r="V4576" i="5"/>
  <c r="U4576" i="5"/>
  <c r="T4576" i="5"/>
  <c r="S4576" i="5"/>
  <c r="R4576" i="5"/>
  <c r="Q4576" i="5"/>
  <c r="P4576" i="5"/>
  <c r="U4575" i="5"/>
  <c r="T4575" i="5"/>
  <c r="S4575" i="5"/>
  <c r="R4575" i="5"/>
  <c r="Q4575" i="5"/>
  <c r="P4575" i="5"/>
  <c r="U4574" i="5"/>
  <c r="T4574" i="5"/>
  <c r="S4574" i="5"/>
  <c r="R4574" i="5"/>
  <c r="Q4574" i="5"/>
  <c r="P4574" i="5"/>
  <c r="O4574" i="5"/>
  <c r="N4574" i="5"/>
  <c r="M4574" i="5"/>
  <c r="L4574" i="5"/>
  <c r="K4574" i="5"/>
  <c r="J4574" i="5"/>
  <c r="I4574" i="5"/>
  <c r="H4574" i="5"/>
  <c r="G4574" i="5"/>
  <c r="V4572" i="5"/>
  <c r="U4570" i="5"/>
  <c r="T4570" i="5"/>
  <c r="S4570" i="5"/>
  <c r="R4570" i="5"/>
  <c r="Q4570" i="5"/>
  <c r="P4570" i="5"/>
  <c r="O4564" i="5"/>
  <c r="N4564" i="5"/>
  <c r="M4564" i="5"/>
  <c r="L4564" i="5"/>
  <c r="K4564" i="5"/>
  <c r="J4564" i="5"/>
  <c r="I4564" i="5"/>
  <c r="H4564" i="5"/>
  <c r="G4564" i="5"/>
  <c r="V4562" i="5"/>
  <c r="U4560" i="5"/>
  <c r="T4560" i="5"/>
  <c r="S4560" i="5"/>
  <c r="R4560" i="5"/>
  <c r="Q4560" i="5"/>
  <c r="P4560" i="5"/>
  <c r="O4554" i="5"/>
  <c r="N4554" i="5"/>
  <c r="M4554" i="5"/>
  <c r="L4554" i="5"/>
  <c r="K4554" i="5"/>
  <c r="J4554" i="5"/>
  <c r="I4554" i="5"/>
  <c r="H4554" i="5"/>
  <c r="G4554" i="5"/>
  <c r="V4552" i="5"/>
  <c r="U4550" i="5"/>
  <c r="T4550" i="5"/>
  <c r="S4550" i="5"/>
  <c r="R4550" i="5"/>
  <c r="Q4550" i="5"/>
  <c r="P4550" i="5"/>
  <c r="O4544" i="5"/>
  <c r="N4544" i="5"/>
  <c r="M4544" i="5"/>
  <c r="L4544" i="5"/>
  <c r="K4544" i="5"/>
  <c r="J4544" i="5"/>
  <c r="I4544" i="5"/>
  <c r="H4544" i="5"/>
  <c r="G4544" i="5"/>
  <c r="V4542" i="5"/>
  <c r="U4540" i="5"/>
  <c r="T4540" i="5"/>
  <c r="S4540" i="5"/>
  <c r="R4540" i="5"/>
  <c r="Q4540" i="5"/>
  <c r="P4540" i="5"/>
  <c r="O4534" i="5"/>
  <c r="N4534" i="5"/>
  <c r="M4534" i="5"/>
  <c r="L4534" i="5"/>
  <c r="K4534" i="5"/>
  <c r="J4534" i="5"/>
  <c r="I4534" i="5"/>
  <c r="H4534" i="5"/>
  <c r="G4534" i="5"/>
  <c r="V4532" i="5"/>
  <c r="U4530" i="5"/>
  <c r="T4530" i="5"/>
  <c r="S4530" i="5"/>
  <c r="R4530" i="5"/>
  <c r="Q4530" i="5"/>
  <c r="P4530" i="5"/>
  <c r="O4524" i="5"/>
  <c r="N4524" i="5"/>
  <c r="M4524" i="5"/>
  <c r="L4524" i="5"/>
  <c r="K4524" i="5"/>
  <c r="J4524" i="5"/>
  <c r="I4524" i="5"/>
  <c r="H4524" i="5"/>
  <c r="G4524" i="5"/>
  <c r="V4522" i="5"/>
  <c r="U4520" i="5"/>
  <c r="T4520" i="5"/>
  <c r="S4520" i="5"/>
  <c r="R4520" i="5"/>
  <c r="Q4520" i="5"/>
  <c r="P4520" i="5"/>
  <c r="O4514" i="5"/>
  <c r="N4514" i="5"/>
  <c r="M4514" i="5"/>
  <c r="L4514" i="5"/>
  <c r="K4514" i="5"/>
  <c r="J4514" i="5"/>
  <c r="I4514" i="5"/>
  <c r="H4514" i="5"/>
  <c r="G4514" i="5"/>
  <c r="V4512" i="5"/>
  <c r="U4510" i="5"/>
  <c r="T4510" i="5"/>
  <c r="S4510" i="5"/>
  <c r="R4510" i="5"/>
  <c r="Q4510" i="5"/>
  <c r="P4510" i="5"/>
  <c r="O4504" i="5"/>
  <c r="N4504" i="5"/>
  <c r="M4504" i="5"/>
  <c r="L4504" i="5"/>
  <c r="K4504" i="5"/>
  <c r="J4504" i="5"/>
  <c r="I4504" i="5"/>
  <c r="H4504" i="5"/>
  <c r="G4504" i="5"/>
  <c r="V4502" i="5"/>
  <c r="U4500" i="5"/>
  <c r="T4500" i="5"/>
  <c r="S4500" i="5"/>
  <c r="R4500" i="5"/>
  <c r="Q4500" i="5"/>
  <c r="P4500" i="5"/>
  <c r="O4494" i="5"/>
  <c r="N4494" i="5"/>
  <c r="M4494" i="5"/>
  <c r="L4494" i="5"/>
  <c r="K4494" i="5"/>
  <c r="J4494" i="5"/>
  <c r="I4494" i="5"/>
  <c r="H4494" i="5"/>
  <c r="G4494" i="5"/>
  <c r="V4492" i="5"/>
  <c r="U4490" i="5"/>
  <c r="T4490" i="5"/>
  <c r="S4490" i="5"/>
  <c r="R4490" i="5"/>
  <c r="Q4490" i="5"/>
  <c r="P4490" i="5"/>
  <c r="O4487" i="5"/>
  <c r="N4487" i="5"/>
  <c r="M4487" i="5"/>
  <c r="L4487" i="5"/>
  <c r="K4487" i="5"/>
  <c r="J4487" i="5"/>
  <c r="I4487" i="5"/>
  <c r="H4487" i="5"/>
  <c r="G4487" i="5"/>
  <c r="O4486" i="5"/>
  <c r="N4486" i="5"/>
  <c r="M4486" i="5"/>
  <c r="L4486" i="5"/>
  <c r="K4486" i="5"/>
  <c r="J4486" i="5"/>
  <c r="I4486" i="5"/>
  <c r="H4486" i="5"/>
  <c r="G4486" i="5"/>
  <c r="V4485" i="5"/>
  <c r="O4485" i="5"/>
  <c r="N4485" i="5"/>
  <c r="M4485" i="5"/>
  <c r="L4485" i="5"/>
  <c r="K4485" i="5"/>
  <c r="J4485" i="5"/>
  <c r="I4485" i="5"/>
  <c r="H4485" i="5"/>
  <c r="G4485" i="5"/>
  <c r="V4484" i="5"/>
  <c r="O4484" i="5"/>
  <c r="N4484" i="5"/>
  <c r="M4484" i="5"/>
  <c r="L4484" i="5"/>
  <c r="K4484" i="5"/>
  <c r="J4484" i="5"/>
  <c r="I4484" i="5"/>
  <c r="H4484" i="5"/>
  <c r="G4484" i="5"/>
  <c r="V4483" i="5"/>
  <c r="U4483" i="5"/>
  <c r="T4483" i="5"/>
  <c r="S4483" i="5"/>
  <c r="R4483" i="5"/>
  <c r="Q4483" i="5"/>
  <c r="P4483" i="5"/>
  <c r="O4483" i="5"/>
  <c r="N4483" i="5"/>
  <c r="M4483" i="5"/>
  <c r="L4483" i="5"/>
  <c r="K4483" i="5"/>
  <c r="J4483" i="5"/>
  <c r="I4483" i="5"/>
  <c r="H4483" i="5"/>
  <c r="G4483" i="5"/>
  <c r="V4482" i="5"/>
  <c r="U4482" i="5"/>
  <c r="T4482" i="5"/>
  <c r="S4482" i="5"/>
  <c r="R4482" i="5"/>
  <c r="Q4482" i="5"/>
  <c r="P4482" i="5"/>
  <c r="O4482" i="5"/>
  <c r="N4482" i="5"/>
  <c r="M4482" i="5"/>
  <c r="L4482" i="5"/>
  <c r="K4482" i="5"/>
  <c r="J4482" i="5"/>
  <c r="I4482" i="5"/>
  <c r="H4482" i="5"/>
  <c r="G4482" i="5"/>
  <c r="V4481" i="5"/>
  <c r="U4481" i="5"/>
  <c r="T4481" i="5"/>
  <c r="S4481" i="5"/>
  <c r="R4481" i="5"/>
  <c r="Q4481" i="5"/>
  <c r="P4481" i="5"/>
  <c r="O4481" i="5"/>
  <c r="N4481" i="5"/>
  <c r="M4481" i="5"/>
  <c r="L4481" i="5"/>
  <c r="K4481" i="5"/>
  <c r="J4481" i="5"/>
  <c r="I4481" i="5"/>
  <c r="H4481" i="5"/>
  <c r="G4481" i="5"/>
  <c r="V4480" i="5"/>
  <c r="U4480" i="5"/>
  <c r="T4480" i="5"/>
  <c r="S4480" i="5"/>
  <c r="R4480" i="5"/>
  <c r="Q4480" i="5"/>
  <c r="P4480" i="5"/>
  <c r="O4480" i="5"/>
  <c r="N4480" i="5"/>
  <c r="M4480" i="5"/>
  <c r="L4480" i="5"/>
  <c r="K4480" i="5"/>
  <c r="J4480" i="5"/>
  <c r="I4480" i="5"/>
  <c r="H4480" i="5"/>
  <c r="G4480" i="5"/>
  <c r="V4479" i="5"/>
  <c r="U4479" i="5"/>
  <c r="T4479" i="5"/>
  <c r="S4479" i="5"/>
  <c r="R4479" i="5"/>
  <c r="Q4479" i="5"/>
  <c r="P4479" i="5"/>
  <c r="O4479" i="5"/>
  <c r="N4479" i="5"/>
  <c r="M4479" i="5"/>
  <c r="L4479" i="5"/>
  <c r="K4479" i="5"/>
  <c r="J4479" i="5"/>
  <c r="I4479" i="5"/>
  <c r="H4479" i="5"/>
  <c r="G4479" i="5"/>
  <c r="V4478" i="5"/>
  <c r="U4478" i="5"/>
  <c r="T4478" i="5"/>
  <c r="S4478" i="5"/>
  <c r="R4478" i="5"/>
  <c r="Q4478" i="5"/>
  <c r="P4478" i="5"/>
  <c r="O4478" i="5"/>
  <c r="N4478" i="5"/>
  <c r="M4478" i="5"/>
  <c r="L4478" i="5"/>
  <c r="K4478" i="5"/>
  <c r="J4478" i="5"/>
  <c r="I4478" i="5"/>
  <c r="H4478" i="5"/>
  <c r="G4478" i="5"/>
  <c r="V4477" i="5"/>
  <c r="U4477" i="5"/>
  <c r="T4477" i="5"/>
  <c r="S4477" i="5"/>
  <c r="R4477" i="5"/>
  <c r="Q4477" i="5"/>
  <c r="P4477" i="5"/>
  <c r="V4476" i="5"/>
  <c r="U4476" i="5"/>
  <c r="T4476" i="5"/>
  <c r="S4476" i="5"/>
  <c r="R4476" i="5"/>
  <c r="Q4476" i="5"/>
  <c r="P4476" i="5"/>
  <c r="U4475" i="5"/>
  <c r="T4475" i="5"/>
  <c r="S4475" i="5"/>
  <c r="R4475" i="5"/>
  <c r="Q4475" i="5"/>
  <c r="P4475" i="5"/>
  <c r="U4474" i="5"/>
  <c r="T4474" i="5"/>
  <c r="S4474" i="5"/>
  <c r="R4474" i="5"/>
  <c r="Q4474" i="5"/>
  <c r="P4474" i="5"/>
  <c r="O4474" i="5"/>
  <c r="N4474" i="5"/>
  <c r="M4474" i="5"/>
  <c r="L4474" i="5"/>
  <c r="K4474" i="5"/>
  <c r="J4474" i="5"/>
  <c r="I4474" i="5"/>
  <c r="H4474" i="5"/>
  <c r="G4474" i="5"/>
  <c r="V4472" i="5"/>
  <c r="U4470" i="5"/>
  <c r="T4470" i="5"/>
  <c r="S4470" i="5"/>
  <c r="R4470" i="5"/>
  <c r="Q4470" i="5"/>
  <c r="P4470" i="5"/>
  <c r="O4464" i="5"/>
  <c r="N4464" i="5"/>
  <c r="M4464" i="5"/>
  <c r="L4464" i="5"/>
  <c r="K4464" i="5"/>
  <c r="J4464" i="5"/>
  <c r="I4464" i="5"/>
  <c r="H4464" i="5"/>
  <c r="G4464" i="5"/>
  <c r="V4462" i="5"/>
  <c r="U4460" i="5"/>
  <c r="T4460" i="5"/>
  <c r="S4460" i="5"/>
  <c r="R4460" i="5"/>
  <c r="Q4460" i="5"/>
  <c r="P4460" i="5"/>
  <c r="O4454" i="5"/>
  <c r="N4454" i="5"/>
  <c r="M4454" i="5"/>
  <c r="L4454" i="5"/>
  <c r="K4454" i="5"/>
  <c r="J4454" i="5"/>
  <c r="I4454" i="5"/>
  <c r="H4454" i="5"/>
  <c r="G4454" i="5"/>
  <c r="V4452" i="5"/>
  <c r="U4450" i="5"/>
  <c r="T4450" i="5"/>
  <c r="S4450" i="5"/>
  <c r="R4450" i="5"/>
  <c r="Q4450" i="5"/>
  <c r="P4450" i="5"/>
  <c r="O4444" i="5"/>
  <c r="N4444" i="5"/>
  <c r="M4444" i="5"/>
  <c r="L4444" i="5"/>
  <c r="K4444" i="5"/>
  <c r="J4444" i="5"/>
  <c r="I4444" i="5"/>
  <c r="H4444" i="5"/>
  <c r="G4444" i="5"/>
  <c r="V4442" i="5"/>
  <c r="U4440" i="5"/>
  <c r="T4440" i="5"/>
  <c r="S4440" i="5"/>
  <c r="R4440" i="5"/>
  <c r="Q4440" i="5"/>
  <c r="P4440" i="5"/>
  <c r="O4434" i="5"/>
  <c r="N4434" i="5"/>
  <c r="M4434" i="5"/>
  <c r="L4434" i="5"/>
  <c r="K4434" i="5"/>
  <c r="J4434" i="5"/>
  <c r="I4434" i="5"/>
  <c r="H4434" i="5"/>
  <c r="G4434" i="5"/>
  <c r="V4432" i="5"/>
  <c r="U4430" i="5"/>
  <c r="T4430" i="5"/>
  <c r="S4430" i="5"/>
  <c r="R4430" i="5"/>
  <c r="Q4430" i="5"/>
  <c r="P4430" i="5"/>
  <c r="O4424" i="5"/>
  <c r="N4424" i="5"/>
  <c r="M4424" i="5"/>
  <c r="L4424" i="5"/>
  <c r="K4424" i="5"/>
  <c r="J4424" i="5"/>
  <c r="I4424" i="5"/>
  <c r="H4424" i="5"/>
  <c r="G4424" i="5"/>
  <c r="V4422" i="5"/>
  <c r="U4420" i="5"/>
  <c r="T4420" i="5"/>
  <c r="S4420" i="5"/>
  <c r="R4420" i="5"/>
  <c r="Q4420" i="5"/>
  <c r="P4420" i="5"/>
  <c r="O4414" i="5"/>
  <c r="N4414" i="5"/>
  <c r="M4414" i="5"/>
  <c r="L4414" i="5"/>
  <c r="K4414" i="5"/>
  <c r="J4414" i="5"/>
  <c r="I4414" i="5"/>
  <c r="H4414" i="5"/>
  <c r="G4414" i="5"/>
  <c r="V4412" i="5"/>
  <c r="U4410" i="5"/>
  <c r="T4410" i="5"/>
  <c r="S4410" i="5"/>
  <c r="R4410" i="5"/>
  <c r="Q4410" i="5"/>
  <c r="P4410" i="5"/>
  <c r="O4404" i="5"/>
  <c r="N4404" i="5"/>
  <c r="M4404" i="5"/>
  <c r="L4404" i="5"/>
  <c r="K4404" i="5"/>
  <c r="J4404" i="5"/>
  <c r="I4404" i="5"/>
  <c r="H4404" i="5"/>
  <c r="G4404" i="5"/>
  <c r="V4402" i="5"/>
  <c r="U4400" i="5"/>
  <c r="T4400" i="5"/>
  <c r="S4400" i="5"/>
  <c r="R4400" i="5"/>
  <c r="Q4400" i="5"/>
  <c r="P4400" i="5"/>
  <c r="O4394" i="5"/>
  <c r="N4394" i="5"/>
  <c r="M4394" i="5"/>
  <c r="L4394" i="5"/>
  <c r="K4394" i="5"/>
  <c r="J4394" i="5"/>
  <c r="I4394" i="5"/>
  <c r="H4394" i="5"/>
  <c r="G4394" i="5"/>
  <c r="V4392" i="5"/>
  <c r="U4390" i="5"/>
  <c r="T4390" i="5"/>
  <c r="S4390" i="5"/>
  <c r="R4390" i="5"/>
  <c r="Q4390" i="5"/>
  <c r="P4390" i="5"/>
  <c r="O4387" i="5"/>
  <c r="N4387" i="5"/>
  <c r="M4387" i="5"/>
  <c r="L4387" i="5"/>
  <c r="K4387" i="5"/>
  <c r="J4387" i="5"/>
  <c r="I4387" i="5"/>
  <c r="H4387" i="5"/>
  <c r="G4387" i="5"/>
  <c r="O4386" i="5"/>
  <c r="N4386" i="5"/>
  <c r="M4386" i="5"/>
  <c r="L4386" i="5"/>
  <c r="K4386" i="5"/>
  <c r="J4386" i="5"/>
  <c r="I4386" i="5"/>
  <c r="H4386" i="5"/>
  <c r="G4386" i="5"/>
  <c r="V4385" i="5"/>
  <c r="O4385" i="5"/>
  <c r="N4385" i="5"/>
  <c r="M4385" i="5"/>
  <c r="L4385" i="5"/>
  <c r="K4385" i="5"/>
  <c r="J4385" i="5"/>
  <c r="I4385" i="5"/>
  <c r="H4385" i="5"/>
  <c r="G4385" i="5"/>
  <c r="V4384" i="5"/>
  <c r="O4384" i="5"/>
  <c r="N4384" i="5"/>
  <c r="M4384" i="5"/>
  <c r="L4384" i="5"/>
  <c r="K4384" i="5"/>
  <c r="J4384" i="5"/>
  <c r="I4384" i="5"/>
  <c r="H4384" i="5"/>
  <c r="G4384" i="5"/>
  <c r="V4383" i="5"/>
  <c r="U4383" i="5"/>
  <c r="T4383" i="5"/>
  <c r="S4383" i="5"/>
  <c r="R4383" i="5"/>
  <c r="Q4383" i="5"/>
  <c r="P4383" i="5"/>
  <c r="O4383" i="5"/>
  <c r="N4383" i="5"/>
  <c r="M4383" i="5"/>
  <c r="L4383" i="5"/>
  <c r="K4383" i="5"/>
  <c r="J4383" i="5"/>
  <c r="I4383" i="5"/>
  <c r="H4383" i="5"/>
  <c r="G4383" i="5"/>
  <c r="V4382" i="5"/>
  <c r="U4382" i="5"/>
  <c r="T4382" i="5"/>
  <c r="S4382" i="5"/>
  <c r="R4382" i="5"/>
  <c r="Q4382" i="5"/>
  <c r="P4382" i="5"/>
  <c r="O4382" i="5"/>
  <c r="N4382" i="5"/>
  <c r="M4382" i="5"/>
  <c r="L4382" i="5"/>
  <c r="K4382" i="5"/>
  <c r="J4382" i="5"/>
  <c r="I4382" i="5"/>
  <c r="H4382" i="5"/>
  <c r="G4382" i="5"/>
  <c r="V4381" i="5"/>
  <c r="U4381" i="5"/>
  <c r="T4381" i="5"/>
  <c r="S4381" i="5"/>
  <c r="R4381" i="5"/>
  <c r="Q4381" i="5"/>
  <c r="P4381" i="5"/>
  <c r="O4381" i="5"/>
  <c r="N4381" i="5"/>
  <c r="M4381" i="5"/>
  <c r="L4381" i="5"/>
  <c r="K4381" i="5"/>
  <c r="J4381" i="5"/>
  <c r="I4381" i="5"/>
  <c r="H4381" i="5"/>
  <c r="G4381" i="5"/>
  <c r="V4380" i="5"/>
  <c r="U4380" i="5"/>
  <c r="T4380" i="5"/>
  <c r="S4380" i="5"/>
  <c r="R4380" i="5"/>
  <c r="Q4380" i="5"/>
  <c r="P4380" i="5"/>
  <c r="O4380" i="5"/>
  <c r="N4380" i="5"/>
  <c r="M4380" i="5"/>
  <c r="L4380" i="5"/>
  <c r="K4380" i="5"/>
  <c r="J4380" i="5"/>
  <c r="I4380" i="5"/>
  <c r="H4380" i="5"/>
  <c r="G4380" i="5"/>
  <c r="V4379" i="5"/>
  <c r="U4379" i="5"/>
  <c r="T4379" i="5"/>
  <c r="S4379" i="5"/>
  <c r="R4379" i="5"/>
  <c r="Q4379" i="5"/>
  <c r="P4379" i="5"/>
  <c r="O4379" i="5"/>
  <c r="N4379" i="5"/>
  <c r="M4379" i="5"/>
  <c r="L4379" i="5"/>
  <c r="K4379" i="5"/>
  <c r="J4379" i="5"/>
  <c r="I4379" i="5"/>
  <c r="H4379" i="5"/>
  <c r="G4379" i="5"/>
  <c r="V4378" i="5"/>
  <c r="U4378" i="5"/>
  <c r="T4378" i="5"/>
  <c r="S4378" i="5"/>
  <c r="R4378" i="5"/>
  <c r="Q4378" i="5"/>
  <c r="P4378" i="5"/>
  <c r="O4378" i="5"/>
  <c r="N4378" i="5"/>
  <c r="M4378" i="5"/>
  <c r="L4378" i="5"/>
  <c r="K4378" i="5"/>
  <c r="J4378" i="5"/>
  <c r="I4378" i="5"/>
  <c r="H4378" i="5"/>
  <c r="G4378" i="5"/>
  <c r="V4377" i="5"/>
  <c r="U4377" i="5"/>
  <c r="T4377" i="5"/>
  <c r="S4377" i="5"/>
  <c r="R4377" i="5"/>
  <c r="Q4377" i="5"/>
  <c r="P4377" i="5"/>
  <c r="V4376" i="5"/>
  <c r="U4376" i="5"/>
  <c r="T4376" i="5"/>
  <c r="S4376" i="5"/>
  <c r="R4376" i="5"/>
  <c r="Q4376" i="5"/>
  <c r="P4376" i="5"/>
  <c r="U4375" i="5"/>
  <c r="T4375" i="5"/>
  <c r="S4375" i="5"/>
  <c r="R4375" i="5"/>
  <c r="Q4375" i="5"/>
  <c r="P4375" i="5"/>
  <c r="U4374" i="5"/>
  <c r="T4374" i="5"/>
  <c r="S4374" i="5"/>
  <c r="R4374" i="5"/>
  <c r="Q4374" i="5"/>
  <c r="P4374" i="5"/>
  <c r="O4374" i="5"/>
  <c r="N4374" i="5"/>
  <c r="M4374" i="5"/>
  <c r="L4374" i="5"/>
  <c r="K4374" i="5"/>
  <c r="J4374" i="5"/>
  <c r="I4374" i="5"/>
  <c r="H4374" i="5"/>
  <c r="G4374" i="5"/>
  <c r="V4372" i="5"/>
  <c r="U4370" i="5"/>
  <c r="T4370" i="5"/>
  <c r="S4370" i="5"/>
  <c r="R4370" i="5"/>
  <c r="Q4370" i="5"/>
  <c r="P4370" i="5"/>
  <c r="O4364" i="5"/>
  <c r="N4364" i="5"/>
  <c r="M4364" i="5"/>
  <c r="L4364" i="5"/>
  <c r="K4364" i="5"/>
  <c r="J4364" i="5"/>
  <c r="I4364" i="5"/>
  <c r="H4364" i="5"/>
  <c r="G4364" i="5"/>
  <c r="V4362" i="5"/>
  <c r="U4360" i="5"/>
  <c r="T4360" i="5"/>
  <c r="S4360" i="5"/>
  <c r="R4360" i="5"/>
  <c r="Q4360" i="5"/>
  <c r="P4360" i="5"/>
  <c r="O4354" i="5"/>
  <c r="N4354" i="5"/>
  <c r="M4354" i="5"/>
  <c r="L4354" i="5"/>
  <c r="K4354" i="5"/>
  <c r="J4354" i="5"/>
  <c r="I4354" i="5"/>
  <c r="H4354" i="5"/>
  <c r="G4354" i="5"/>
  <c r="V4352" i="5"/>
  <c r="U4350" i="5"/>
  <c r="T4350" i="5"/>
  <c r="S4350" i="5"/>
  <c r="R4350" i="5"/>
  <c r="Q4350" i="5"/>
  <c r="P4350" i="5"/>
  <c r="O4344" i="5"/>
  <c r="N4344" i="5"/>
  <c r="M4344" i="5"/>
  <c r="L4344" i="5"/>
  <c r="K4344" i="5"/>
  <c r="J4344" i="5"/>
  <c r="I4344" i="5"/>
  <c r="H4344" i="5"/>
  <c r="G4344" i="5"/>
  <c r="V4342" i="5"/>
  <c r="U4340" i="5"/>
  <c r="T4340" i="5"/>
  <c r="S4340" i="5"/>
  <c r="R4340" i="5"/>
  <c r="Q4340" i="5"/>
  <c r="P4340" i="5"/>
  <c r="O4334" i="5"/>
  <c r="N4334" i="5"/>
  <c r="M4334" i="5"/>
  <c r="L4334" i="5"/>
  <c r="K4334" i="5"/>
  <c r="J4334" i="5"/>
  <c r="I4334" i="5"/>
  <c r="H4334" i="5"/>
  <c r="G4334" i="5"/>
  <c r="V4332" i="5"/>
  <c r="U4330" i="5"/>
  <c r="T4330" i="5"/>
  <c r="S4330" i="5"/>
  <c r="R4330" i="5"/>
  <c r="Q4330" i="5"/>
  <c r="P4330" i="5"/>
  <c r="O4324" i="5"/>
  <c r="N4324" i="5"/>
  <c r="M4324" i="5"/>
  <c r="L4324" i="5"/>
  <c r="K4324" i="5"/>
  <c r="J4324" i="5"/>
  <c r="I4324" i="5"/>
  <c r="H4324" i="5"/>
  <c r="G4324" i="5"/>
  <c r="V4322" i="5"/>
  <c r="U4320" i="5"/>
  <c r="T4320" i="5"/>
  <c r="S4320" i="5"/>
  <c r="R4320" i="5"/>
  <c r="Q4320" i="5"/>
  <c r="P4320" i="5"/>
  <c r="O4314" i="5"/>
  <c r="N4314" i="5"/>
  <c r="M4314" i="5"/>
  <c r="L4314" i="5"/>
  <c r="K4314" i="5"/>
  <c r="J4314" i="5"/>
  <c r="I4314" i="5"/>
  <c r="H4314" i="5"/>
  <c r="G4314" i="5"/>
  <c r="V4312" i="5"/>
  <c r="U4310" i="5"/>
  <c r="T4310" i="5"/>
  <c r="S4310" i="5"/>
  <c r="R4310" i="5"/>
  <c r="Q4310" i="5"/>
  <c r="P4310" i="5"/>
  <c r="O4304" i="5"/>
  <c r="N4304" i="5"/>
  <c r="M4304" i="5"/>
  <c r="L4304" i="5"/>
  <c r="K4304" i="5"/>
  <c r="J4304" i="5"/>
  <c r="I4304" i="5"/>
  <c r="H4304" i="5"/>
  <c r="G4304" i="5"/>
  <c r="V4302" i="5"/>
  <c r="U4300" i="5"/>
  <c r="T4300" i="5"/>
  <c r="S4300" i="5"/>
  <c r="R4300" i="5"/>
  <c r="Q4300" i="5"/>
  <c r="P4300" i="5"/>
  <c r="O4294" i="5"/>
  <c r="N4294" i="5"/>
  <c r="M4294" i="5"/>
  <c r="L4294" i="5"/>
  <c r="K4294" i="5"/>
  <c r="J4294" i="5"/>
  <c r="I4294" i="5"/>
  <c r="H4294" i="5"/>
  <c r="G4294" i="5"/>
  <c r="V4292" i="5"/>
  <c r="U4290" i="5"/>
  <c r="T4290" i="5"/>
  <c r="S4290" i="5"/>
  <c r="R4290" i="5"/>
  <c r="Q4290" i="5"/>
  <c r="P4290" i="5"/>
  <c r="O4287" i="5"/>
  <c r="N4287" i="5"/>
  <c r="M4287" i="5"/>
  <c r="L4287" i="5"/>
  <c r="K4287" i="5"/>
  <c r="J4287" i="5"/>
  <c r="I4287" i="5"/>
  <c r="H4287" i="5"/>
  <c r="G4287" i="5"/>
  <c r="O4286" i="5"/>
  <c r="N4286" i="5"/>
  <c r="M4286" i="5"/>
  <c r="L4286" i="5"/>
  <c r="K4286" i="5"/>
  <c r="J4286" i="5"/>
  <c r="I4286" i="5"/>
  <c r="H4286" i="5"/>
  <c r="G4286" i="5"/>
  <c r="V4285" i="5"/>
  <c r="O4285" i="5"/>
  <c r="N4285" i="5"/>
  <c r="M4285" i="5"/>
  <c r="L4285" i="5"/>
  <c r="K4285" i="5"/>
  <c r="J4285" i="5"/>
  <c r="I4285" i="5"/>
  <c r="H4285" i="5"/>
  <c r="G4285" i="5"/>
  <c r="V4284" i="5"/>
  <c r="O4284" i="5"/>
  <c r="N4284" i="5"/>
  <c r="M4284" i="5"/>
  <c r="L4284" i="5"/>
  <c r="K4284" i="5"/>
  <c r="J4284" i="5"/>
  <c r="I4284" i="5"/>
  <c r="H4284" i="5"/>
  <c r="G4284" i="5"/>
  <c r="V4283" i="5"/>
  <c r="U4283" i="5"/>
  <c r="T4283" i="5"/>
  <c r="S4283" i="5"/>
  <c r="R4283" i="5"/>
  <c r="Q4283" i="5"/>
  <c r="P4283" i="5"/>
  <c r="O4283" i="5"/>
  <c r="N4283" i="5"/>
  <c r="M4283" i="5"/>
  <c r="L4283" i="5"/>
  <c r="K4283" i="5"/>
  <c r="J4283" i="5"/>
  <c r="I4283" i="5"/>
  <c r="H4283" i="5"/>
  <c r="G4283" i="5"/>
  <c r="V4282" i="5"/>
  <c r="U4282" i="5"/>
  <c r="T4282" i="5"/>
  <c r="S4282" i="5"/>
  <c r="R4282" i="5"/>
  <c r="Q4282" i="5"/>
  <c r="P4282" i="5"/>
  <c r="O4282" i="5"/>
  <c r="N4282" i="5"/>
  <c r="M4282" i="5"/>
  <c r="L4282" i="5"/>
  <c r="K4282" i="5"/>
  <c r="J4282" i="5"/>
  <c r="I4282" i="5"/>
  <c r="H4282" i="5"/>
  <c r="G4282" i="5"/>
  <c r="V4281" i="5"/>
  <c r="U4281" i="5"/>
  <c r="T4281" i="5"/>
  <c r="S4281" i="5"/>
  <c r="R4281" i="5"/>
  <c r="Q4281" i="5"/>
  <c r="P4281" i="5"/>
  <c r="O4281" i="5"/>
  <c r="N4281" i="5"/>
  <c r="M4281" i="5"/>
  <c r="L4281" i="5"/>
  <c r="K4281" i="5"/>
  <c r="J4281" i="5"/>
  <c r="I4281" i="5"/>
  <c r="H4281" i="5"/>
  <c r="G4281" i="5"/>
  <c r="V4280" i="5"/>
  <c r="U4280" i="5"/>
  <c r="T4280" i="5"/>
  <c r="S4280" i="5"/>
  <c r="R4280" i="5"/>
  <c r="Q4280" i="5"/>
  <c r="P4280" i="5"/>
  <c r="O4280" i="5"/>
  <c r="N4280" i="5"/>
  <c r="M4280" i="5"/>
  <c r="L4280" i="5"/>
  <c r="K4280" i="5"/>
  <c r="J4280" i="5"/>
  <c r="I4280" i="5"/>
  <c r="H4280" i="5"/>
  <c r="G4280" i="5"/>
  <c r="V4279" i="5"/>
  <c r="U4279" i="5"/>
  <c r="T4279" i="5"/>
  <c r="S4279" i="5"/>
  <c r="R4279" i="5"/>
  <c r="Q4279" i="5"/>
  <c r="P4279" i="5"/>
  <c r="O4279" i="5"/>
  <c r="N4279" i="5"/>
  <c r="M4279" i="5"/>
  <c r="L4279" i="5"/>
  <c r="K4279" i="5"/>
  <c r="J4279" i="5"/>
  <c r="I4279" i="5"/>
  <c r="H4279" i="5"/>
  <c r="G4279" i="5"/>
  <c r="V4278" i="5"/>
  <c r="U4278" i="5"/>
  <c r="T4278" i="5"/>
  <c r="S4278" i="5"/>
  <c r="R4278" i="5"/>
  <c r="Q4278" i="5"/>
  <c r="P4278" i="5"/>
  <c r="O4278" i="5"/>
  <c r="N4278" i="5"/>
  <c r="M4278" i="5"/>
  <c r="L4278" i="5"/>
  <c r="K4278" i="5"/>
  <c r="J4278" i="5"/>
  <c r="I4278" i="5"/>
  <c r="H4278" i="5"/>
  <c r="G4278" i="5"/>
  <c r="V4277" i="5"/>
  <c r="U4277" i="5"/>
  <c r="T4277" i="5"/>
  <c r="S4277" i="5"/>
  <c r="R4277" i="5"/>
  <c r="Q4277" i="5"/>
  <c r="P4277" i="5"/>
  <c r="V4276" i="5"/>
  <c r="U4276" i="5"/>
  <c r="T4276" i="5"/>
  <c r="S4276" i="5"/>
  <c r="R4276" i="5"/>
  <c r="Q4276" i="5"/>
  <c r="P4276" i="5"/>
  <c r="U4275" i="5"/>
  <c r="T4275" i="5"/>
  <c r="S4275" i="5"/>
  <c r="R4275" i="5"/>
  <c r="Q4275" i="5"/>
  <c r="P4275" i="5"/>
  <c r="U4274" i="5"/>
  <c r="T4274" i="5"/>
  <c r="S4274" i="5"/>
  <c r="R4274" i="5"/>
  <c r="Q4274" i="5"/>
  <c r="P4274" i="5"/>
  <c r="O4274" i="5"/>
  <c r="N4274" i="5"/>
  <c r="M4274" i="5"/>
  <c r="L4274" i="5"/>
  <c r="K4274" i="5"/>
  <c r="J4274" i="5"/>
  <c r="I4274" i="5"/>
  <c r="H4274" i="5"/>
  <c r="G4274" i="5"/>
  <c r="V4272" i="5"/>
  <c r="U4270" i="5"/>
  <c r="T4270" i="5"/>
  <c r="S4270" i="5"/>
  <c r="R4270" i="5"/>
  <c r="Q4270" i="5"/>
  <c r="P4270" i="5"/>
  <c r="O4264" i="5"/>
  <c r="N4264" i="5"/>
  <c r="M4264" i="5"/>
  <c r="L4264" i="5"/>
  <c r="K4264" i="5"/>
  <c r="J4264" i="5"/>
  <c r="I4264" i="5"/>
  <c r="H4264" i="5"/>
  <c r="G4264" i="5"/>
  <c r="V4262" i="5"/>
  <c r="U4260" i="5"/>
  <c r="T4260" i="5"/>
  <c r="S4260" i="5"/>
  <c r="R4260" i="5"/>
  <c r="Q4260" i="5"/>
  <c r="P4260" i="5"/>
  <c r="O4254" i="5"/>
  <c r="N4254" i="5"/>
  <c r="M4254" i="5"/>
  <c r="L4254" i="5"/>
  <c r="K4254" i="5"/>
  <c r="J4254" i="5"/>
  <c r="I4254" i="5"/>
  <c r="H4254" i="5"/>
  <c r="G4254" i="5"/>
  <c r="V4252" i="5"/>
  <c r="U4250" i="5"/>
  <c r="T4250" i="5"/>
  <c r="S4250" i="5"/>
  <c r="R4250" i="5"/>
  <c r="Q4250" i="5"/>
  <c r="P4250" i="5"/>
  <c r="O4244" i="5"/>
  <c r="N4244" i="5"/>
  <c r="M4244" i="5"/>
  <c r="L4244" i="5"/>
  <c r="K4244" i="5"/>
  <c r="J4244" i="5"/>
  <c r="I4244" i="5"/>
  <c r="H4244" i="5"/>
  <c r="G4244" i="5"/>
  <c r="V4242" i="5"/>
  <c r="U4240" i="5"/>
  <c r="T4240" i="5"/>
  <c r="S4240" i="5"/>
  <c r="R4240" i="5"/>
  <c r="Q4240" i="5"/>
  <c r="P4240" i="5"/>
  <c r="O4234" i="5"/>
  <c r="N4234" i="5"/>
  <c r="M4234" i="5"/>
  <c r="L4234" i="5"/>
  <c r="K4234" i="5"/>
  <c r="J4234" i="5"/>
  <c r="I4234" i="5"/>
  <c r="H4234" i="5"/>
  <c r="G4234" i="5"/>
  <c r="V4232" i="5"/>
  <c r="U4230" i="5"/>
  <c r="T4230" i="5"/>
  <c r="S4230" i="5"/>
  <c r="R4230" i="5"/>
  <c r="Q4230" i="5"/>
  <c r="P4230" i="5"/>
  <c r="O4224" i="5"/>
  <c r="N4224" i="5"/>
  <c r="M4224" i="5"/>
  <c r="L4224" i="5"/>
  <c r="K4224" i="5"/>
  <c r="J4224" i="5"/>
  <c r="I4224" i="5"/>
  <c r="H4224" i="5"/>
  <c r="G4224" i="5"/>
  <c r="V4222" i="5"/>
  <c r="U4220" i="5"/>
  <c r="T4220" i="5"/>
  <c r="S4220" i="5"/>
  <c r="R4220" i="5"/>
  <c r="Q4220" i="5"/>
  <c r="P4220" i="5"/>
  <c r="O4214" i="5"/>
  <c r="N4214" i="5"/>
  <c r="M4214" i="5"/>
  <c r="L4214" i="5"/>
  <c r="K4214" i="5"/>
  <c r="J4214" i="5"/>
  <c r="I4214" i="5"/>
  <c r="H4214" i="5"/>
  <c r="G4214" i="5"/>
  <c r="V4212" i="5"/>
  <c r="U4210" i="5"/>
  <c r="T4210" i="5"/>
  <c r="S4210" i="5"/>
  <c r="R4210" i="5"/>
  <c r="Q4210" i="5"/>
  <c r="P4210" i="5"/>
  <c r="O4204" i="5"/>
  <c r="N4204" i="5"/>
  <c r="M4204" i="5"/>
  <c r="L4204" i="5"/>
  <c r="K4204" i="5"/>
  <c r="J4204" i="5"/>
  <c r="I4204" i="5"/>
  <c r="H4204" i="5"/>
  <c r="G4204" i="5"/>
  <c r="V4202" i="5"/>
  <c r="U4200" i="5"/>
  <c r="T4200" i="5"/>
  <c r="S4200" i="5"/>
  <c r="R4200" i="5"/>
  <c r="Q4200" i="5"/>
  <c r="P4200" i="5"/>
  <c r="O4194" i="5"/>
  <c r="N4194" i="5"/>
  <c r="M4194" i="5"/>
  <c r="L4194" i="5"/>
  <c r="K4194" i="5"/>
  <c r="J4194" i="5"/>
  <c r="I4194" i="5"/>
  <c r="H4194" i="5"/>
  <c r="G4194" i="5"/>
  <c r="V4192" i="5"/>
  <c r="U4190" i="5"/>
  <c r="T4190" i="5"/>
  <c r="S4190" i="5"/>
  <c r="R4190" i="5"/>
  <c r="Q4190" i="5"/>
  <c r="P4190" i="5"/>
  <c r="O4187" i="5"/>
  <c r="N4187" i="5"/>
  <c r="M4187" i="5"/>
  <c r="L4187" i="5"/>
  <c r="K4187" i="5"/>
  <c r="J4187" i="5"/>
  <c r="I4187" i="5"/>
  <c r="H4187" i="5"/>
  <c r="G4187" i="5"/>
  <c r="O4186" i="5"/>
  <c r="N4186" i="5"/>
  <c r="M4186" i="5"/>
  <c r="L4186" i="5"/>
  <c r="K4186" i="5"/>
  <c r="J4186" i="5"/>
  <c r="I4186" i="5"/>
  <c r="H4186" i="5"/>
  <c r="G4186" i="5"/>
  <c r="V4185" i="5"/>
  <c r="O4185" i="5"/>
  <c r="N4185" i="5"/>
  <c r="M4185" i="5"/>
  <c r="L4185" i="5"/>
  <c r="K4185" i="5"/>
  <c r="J4185" i="5"/>
  <c r="I4185" i="5"/>
  <c r="H4185" i="5"/>
  <c r="G4185" i="5"/>
  <c r="V4184" i="5"/>
  <c r="O4184" i="5"/>
  <c r="N4184" i="5"/>
  <c r="M4184" i="5"/>
  <c r="L4184" i="5"/>
  <c r="K4184" i="5"/>
  <c r="J4184" i="5"/>
  <c r="I4184" i="5"/>
  <c r="H4184" i="5"/>
  <c r="G4184" i="5"/>
  <c r="V4183" i="5"/>
  <c r="U4183" i="5"/>
  <c r="T4183" i="5"/>
  <c r="S4183" i="5"/>
  <c r="R4183" i="5"/>
  <c r="Q4183" i="5"/>
  <c r="P4183" i="5"/>
  <c r="O4183" i="5"/>
  <c r="N4183" i="5"/>
  <c r="M4183" i="5"/>
  <c r="L4183" i="5"/>
  <c r="K4183" i="5"/>
  <c r="J4183" i="5"/>
  <c r="I4183" i="5"/>
  <c r="H4183" i="5"/>
  <c r="G4183" i="5"/>
  <c r="V4182" i="5"/>
  <c r="U4182" i="5"/>
  <c r="T4182" i="5"/>
  <c r="S4182" i="5"/>
  <c r="R4182" i="5"/>
  <c r="Q4182" i="5"/>
  <c r="P4182" i="5"/>
  <c r="O4182" i="5"/>
  <c r="N4182" i="5"/>
  <c r="M4182" i="5"/>
  <c r="L4182" i="5"/>
  <c r="K4182" i="5"/>
  <c r="J4182" i="5"/>
  <c r="I4182" i="5"/>
  <c r="H4182" i="5"/>
  <c r="G4182" i="5"/>
  <c r="V4181" i="5"/>
  <c r="U4181" i="5"/>
  <c r="T4181" i="5"/>
  <c r="S4181" i="5"/>
  <c r="R4181" i="5"/>
  <c r="Q4181" i="5"/>
  <c r="P4181" i="5"/>
  <c r="O4181" i="5"/>
  <c r="N4181" i="5"/>
  <c r="M4181" i="5"/>
  <c r="L4181" i="5"/>
  <c r="K4181" i="5"/>
  <c r="J4181" i="5"/>
  <c r="I4181" i="5"/>
  <c r="H4181" i="5"/>
  <c r="G4181" i="5"/>
  <c r="V4180" i="5"/>
  <c r="U4180" i="5"/>
  <c r="T4180" i="5"/>
  <c r="S4180" i="5"/>
  <c r="R4180" i="5"/>
  <c r="Q4180" i="5"/>
  <c r="P4180" i="5"/>
  <c r="O4180" i="5"/>
  <c r="N4180" i="5"/>
  <c r="M4180" i="5"/>
  <c r="L4180" i="5"/>
  <c r="K4180" i="5"/>
  <c r="J4180" i="5"/>
  <c r="I4180" i="5"/>
  <c r="H4180" i="5"/>
  <c r="G4180" i="5"/>
  <c r="V4179" i="5"/>
  <c r="U4179" i="5"/>
  <c r="T4179" i="5"/>
  <c r="S4179" i="5"/>
  <c r="R4179" i="5"/>
  <c r="Q4179" i="5"/>
  <c r="P4179" i="5"/>
  <c r="O4179" i="5"/>
  <c r="N4179" i="5"/>
  <c r="M4179" i="5"/>
  <c r="L4179" i="5"/>
  <c r="K4179" i="5"/>
  <c r="J4179" i="5"/>
  <c r="I4179" i="5"/>
  <c r="H4179" i="5"/>
  <c r="G4179" i="5"/>
  <c r="V4178" i="5"/>
  <c r="U4178" i="5"/>
  <c r="T4178" i="5"/>
  <c r="S4178" i="5"/>
  <c r="R4178" i="5"/>
  <c r="Q4178" i="5"/>
  <c r="P4178" i="5"/>
  <c r="O4178" i="5"/>
  <c r="N4178" i="5"/>
  <c r="M4178" i="5"/>
  <c r="L4178" i="5"/>
  <c r="K4178" i="5"/>
  <c r="J4178" i="5"/>
  <c r="I4178" i="5"/>
  <c r="H4178" i="5"/>
  <c r="G4178" i="5"/>
  <c r="V4177" i="5"/>
  <c r="U4177" i="5"/>
  <c r="T4177" i="5"/>
  <c r="S4177" i="5"/>
  <c r="R4177" i="5"/>
  <c r="Q4177" i="5"/>
  <c r="P4177" i="5"/>
  <c r="V4176" i="5"/>
  <c r="U4176" i="5"/>
  <c r="T4176" i="5"/>
  <c r="S4176" i="5"/>
  <c r="R4176" i="5"/>
  <c r="Q4176" i="5"/>
  <c r="P4176" i="5"/>
  <c r="U4175" i="5"/>
  <c r="T4175" i="5"/>
  <c r="S4175" i="5"/>
  <c r="R4175" i="5"/>
  <c r="Q4175" i="5"/>
  <c r="P4175" i="5"/>
  <c r="U4174" i="5"/>
  <c r="T4174" i="5"/>
  <c r="S4174" i="5"/>
  <c r="R4174" i="5"/>
  <c r="Q4174" i="5"/>
  <c r="P4174" i="5"/>
  <c r="O4174" i="5"/>
  <c r="N4174" i="5"/>
  <c r="M4174" i="5"/>
  <c r="L4174" i="5"/>
  <c r="K4174" i="5"/>
  <c r="J4174" i="5"/>
  <c r="I4174" i="5"/>
  <c r="H4174" i="5"/>
  <c r="G4174" i="5"/>
  <c r="V4172" i="5"/>
  <c r="U4170" i="5"/>
  <c r="T4170" i="5"/>
  <c r="S4170" i="5"/>
  <c r="R4170" i="5"/>
  <c r="Q4170" i="5"/>
  <c r="P4170" i="5"/>
  <c r="O4164" i="5"/>
  <c r="N4164" i="5"/>
  <c r="M4164" i="5"/>
  <c r="L4164" i="5"/>
  <c r="K4164" i="5"/>
  <c r="J4164" i="5"/>
  <c r="I4164" i="5"/>
  <c r="H4164" i="5"/>
  <c r="G4164" i="5"/>
  <c r="V4162" i="5"/>
  <c r="U4160" i="5"/>
  <c r="T4160" i="5"/>
  <c r="S4160" i="5"/>
  <c r="R4160" i="5"/>
  <c r="Q4160" i="5"/>
  <c r="P4160" i="5"/>
  <c r="O4154" i="5"/>
  <c r="N4154" i="5"/>
  <c r="M4154" i="5"/>
  <c r="L4154" i="5"/>
  <c r="K4154" i="5"/>
  <c r="J4154" i="5"/>
  <c r="I4154" i="5"/>
  <c r="H4154" i="5"/>
  <c r="G4154" i="5"/>
  <c r="V4152" i="5"/>
  <c r="U4150" i="5"/>
  <c r="T4150" i="5"/>
  <c r="S4150" i="5"/>
  <c r="R4150" i="5"/>
  <c r="Q4150" i="5"/>
  <c r="P4150" i="5"/>
  <c r="O4144" i="5"/>
  <c r="N4144" i="5"/>
  <c r="M4144" i="5"/>
  <c r="L4144" i="5"/>
  <c r="K4144" i="5"/>
  <c r="J4144" i="5"/>
  <c r="I4144" i="5"/>
  <c r="H4144" i="5"/>
  <c r="G4144" i="5"/>
  <c r="V4142" i="5"/>
  <c r="U4140" i="5"/>
  <c r="T4140" i="5"/>
  <c r="S4140" i="5"/>
  <c r="R4140" i="5"/>
  <c r="Q4140" i="5"/>
  <c r="P4140" i="5"/>
  <c r="O4134" i="5"/>
  <c r="N4134" i="5"/>
  <c r="M4134" i="5"/>
  <c r="L4134" i="5"/>
  <c r="K4134" i="5"/>
  <c r="J4134" i="5"/>
  <c r="I4134" i="5"/>
  <c r="H4134" i="5"/>
  <c r="G4134" i="5"/>
  <c r="V4132" i="5"/>
  <c r="U4130" i="5"/>
  <c r="T4130" i="5"/>
  <c r="S4130" i="5"/>
  <c r="R4130" i="5"/>
  <c r="Q4130" i="5"/>
  <c r="P4130" i="5"/>
  <c r="O4124" i="5"/>
  <c r="N4124" i="5"/>
  <c r="M4124" i="5"/>
  <c r="L4124" i="5"/>
  <c r="K4124" i="5"/>
  <c r="J4124" i="5"/>
  <c r="I4124" i="5"/>
  <c r="H4124" i="5"/>
  <c r="G4124" i="5"/>
  <c r="V4122" i="5"/>
  <c r="U4120" i="5"/>
  <c r="T4120" i="5"/>
  <c r="S4120" i="5"/>
  <c r="R4120" i="5"/>
  <c r="Q4120" i="5"/>
  <c r="P4120" i="5"/>
  <c r="O4114" i="5"/>
  <c r="N4114" i="5"/>
  <c r="M4114" i="5"/>
  <c r="L4114" i="5"/>
  <c r="K4114" i="5"/>
  <c r="J4114" i="5"/>
  <c r="I4114" i="5"/>
  <c r="H4114" i="5"/>
  <c r="G4114" i="5"/>
  <c r="V4112" i="5"/>
  <c r="U4110" i="5"/>
  <c r="T4110" i="5"/>
  <c r="S4110" i="5"/>
  <c r="R4110" i="5"/>
  <c r="Q4110" i="5"/>
  <c r="P4110" i="5"/>
  <c r="O4104" i="5"/>
  <c r="N4104" i="5"/>
  <c r="M4104" i="5"/>
  <c r="L4104" i="5"/>
  <c r="K4104" i="5"/>
  <c r="J4104" i="5"/>
  <c r="I4104" i="5"/>
  <c r="H4104" i="5"/>
  <c r="G4104" i="5"/>
  <c r="V4102" i="5"/>
  <c r="U4100" i="5"/>
  <c r="T4100" i="5"/>
  <c r="S4100" i="5"/>
  <c r="R4100" i="5"/>
  <c r="Q4100" i="5"/>
  <c r="P4100" i="5"/>
  <c r="O4094" i="5"/>
  <c r="N4094" i="5"/>
  <c r="M4094" i="5"/>
  <c r="L4094" i="5"/>
  <c r="K4094" i="5"/>
  <c r="J4094" i="5"/>
  <c r="I4094" i="5"/>
  <c r="H4094" i="5"/>
  <c r="G4094" i="5"/>
  <c r="V4092" i="5"/>
  <c r="U4090" i="5"/>
  <c r="T4090" i="5"/>
  <c r="S4090" i="5"/>
  <c r="R4090" i="5"/>
  <c r="Q4090" i="5"/>
  <c r="P4090" i="5"/>
  <c r="O4087" i="5"/>
  <c r="N4087" i="5"/>
  <c r="M4087" i="5"/>
  <c r="L4087" i="5"/>
  <c r="K4087" i="5"/>
  <c r="J4087" i="5"/>
  <c r="I4087" i="5"/>
  <c r="H4087" i="5"/>
  <c r="G4087" i="5"/>
  <c r="O4086" i="5"/>
  <c r="N4086" i="5"/>
  <c r="M4086" i="5"/>
  <c r="L4086" i="5"/>
  <c r="K4086" i="5"/>
  <c r="J4086" i="5"/>
  <c r="I4086" i="5"/>
  <c r="H4086" i="5"/>
  <c r="G4086" i="5"/>
  <c r="V4085" i="5"/>
  <c r="O4085" i="5"/>
  <c r="N4085" i="5"/>
  <c r="M4085" i="5"/>
  <c r="L4085" i="5"/>
  <c r="K4085" i="5"/>
  <c r="J4085" i="5"/>
  <c r="I4085" i="5"/>
  <c r="H4085" i="5"/>
  <c r="G4085" i="5"/>
  <c r="V4084" i="5"/>
  <c r="O4084" i="5"/>
  <c r="N4084" i="5"/>
  <c r="M4084" i="5"/>
  <c r="L4084" i="5"/>
  <c r="K4084" i="5"/>
  <c r="J4084" i="5"/>
  <c r="I4084" i="5"/>
  <c r="H4084" i="5"/>
  <c r="G4084" i="5"/>
  <c r="V4083" i="5"/>
  <c r="U4083" i="5"/>
  <c r="T4083" i="5"/>
  <c r="S4083" i="5"/>
  <c r="R4083" i="5"/>
  <c r="Q4083" i="5"/>
  <c r="P4083" i="5"/>
  <c r="O4083" i="5"/>
  <c r="N4083" i="5"/>
  <c r="M4083" i="5"/>
  <c r="L4083" i="5"/>
  <c r="K4083" i="5"/>
  <c r="J4083" i="5"/>
  <c r="I4083" i="5"/>
  <c r="H4083" i="5"/>
  <c r="G4083" i="5"/>
  <c r="V4082" i="5"/>
  <c r="U4082" i="5"/>
  <c r="T4082" i="5"/>
  <c r="S4082" i="5"/>
  <c r="R4082" i="5"/>
  <c r="Q4082" i="5"/>
  <c r="P4082" i="5"/>
  <c r="O4082" i="5"/>
  <c r="N4082" i="5"/>
  <c r="M4082" i="5"/>
  <c r="L4082" i="5"/>
  <c r="K4082" i="5"/>
  <c r="J4082" i="5"/>
  <c r="I4082" i="5"/>
  <c r="H4082" i="5"/>
  <c r="G4082" i="5"/>
  <c r="V4081" i="5"/>
  <c r="U4081" i="5"/>
  <c r="T4081" i="5"/>
  <c r="S4081" i="5"/>
  <c r="R4081" i="5"/>
  <c r="Q4081" i="5"/>
  <c r="P4081" i="5"/>
  <c r="O4081" i="5"/>
  <c r="N4081" i="5"/>
  <c r="M4081" i="5"/>
  <c r="L4081" i="5"/>
  <c r="K4081" i="5"/>
  <c r="J4081" i="5"/>
  <c r="I4081" i="5"/>
  <c r="H4081" i="5"/>
  <c r="G4081" i="5"/>
  <c r="V4080" i="5"/>
  <c r="U4080" i="5"/>
  <c r="T4080" i="5"/>
  <c r="S4080" i="5"/>
  <c r="R4080" i="5"/>
  <c r="Q4080" i="5"/>
  <c r="P4080" i="5"/>
  <c r="O4080" i="5"/>
  <c r="N4080" i="5"/>
  <c r="M4080" i="5"/>
  <c r="L4080" i="5"/>
  <c r="K4080" i="5"/>
  <c r="J4080" i="5"/>
  <c r="I4080" i="5"/>
  <c r="H4080" i="5"/>
  <c r="G4080" i="5"/>
  <c r="V4079" i="5"/>
  <c r="U4079" i="5"/>
  <c r="T4079" i="5"/>
  <c r="S4079" i="5"/>
  <c r="R4079" i="5"/>
  <c r="Q4079" i="5"/>
  <c r="P4079" i="5"/>
  <c r="O4079" i="5"/>
  <c r="N4079" i="5"/>
  <c r="M4079" i="5"/>
  <c r="L4079" i="5"/>
  <c r="K4079" i="5"/>
  <c r="J4079" i="5"/>
  <c r="I4079" i="5"/>
  <c r="H4079" i="5"/>
  <c r="G4079" i="5"/>
  <c r="V4078" i="5"/>
  <c r="U4078" i="5"/>
  <c r="T4078" i="5"/>
  <c r="S4078" i="5"/>
  <c r="R4078" i="5"/>
  <c r="Q4078" i="5"/>
  <c r="P4078" i="5"/>
  <c r="O4078" i="5"/>
  <c r="N4078" i="5"/>
  <c r="M4078" i="5"/>
  <c r="L4078" i="5"/>
  <c r="K4078" i="5"/>
  <c r="J4078" i="5"/>
  <c r="I4078" i="5"/>
  <c r="H4078" i="5"/>
  <c r="G4078" i="5"/>
  <c r="V4077" i="5"/>
  <c r="U4077" i="5"/>
  <c r="T4077" i="5"/>
  <c r="S4077" i="5"/>
  <c r="R4077" i="5"/>
  <c r="Q4077" i="5"/>
  <c r="P4077" i="5"/>
  <c r="V4076" i="5"/>
  <c r="U4076" i="5"/>
  <c r="T4076" i="5"/>
  <c r="S4076" i="5"/>
  <c r="R4076" i="5"/>
  <c r="Q4076" i="5"/>
  <c r="P4076" i="5"/>
  <c r="U4075" i="5"/>
  <c r="T4075" i="5"/>
  <c r="S4075" i="5"/>
  <c r="R4075" i="5"/>
  <c r="Q4075" i="5"/>
  <c r="P4075" i="5"/>
  <c r="U4074" i="5"/>
  <c r="T4074" i="5"/>
  <c r="S4074" i="5"/>
  <c r="R4074" i="5"/>
  <c r="Q4074" i="5"/>
  <c r="P4074" i="5"/>
  <c r="O4074" i="5"/>
  <c r="N4074" i="5"/>
  <c r="M4074" i="5"/>
  <c r="L4074" i="5"/>
  <c r="K4074" i="5"/>
  <c r="J4074" i="5"/>
  <c r="I4074" i="5"/>
  <c r="H4074" i="5"/>
  <c r="G4074" i="5"/>
  <c r="V4072" i="5"/>
  <c r="U4070" i="5"/>
  <c r="T4070" i="5"/>
  <c r="S4070" i="5"/>
  <c r="R4070" i="5"/>
  <c r="Q4070" i="5"/>
  <c r="P4070" i="5"/>
  <c r="O4064" i="5"/>
  <c r="N4064" i="5"/>
  <c r="M4064" i="5"/>
  <c r="L4064" i="5"/>
  <c r="K4064" i="5"/>
  <c r="J4064" i="5"/>
  <c r="I4064" i="5"/>
  <c r="H4064" i="5"/>
  <c r="G4064" i="5"/>
  <c r="V4062" i="5"/>
  <c r="U4060" i="5"/>
  <c r="T4060" i="5"/>
  <c r="S4060" i="5"/>
  <c r="R4060" i="5"/>
  <c r="Q4060" i="5"/>
  <c r="P4060" i="5"/>
  <c r="O4054" i="5"/>
  <c r="N4054" i="5"/>
  <c r="M4054" i="5"/>
  <c r="L4054" i="5"/>
  <c r="K4054" i="5"/>
  <c r="J4054" i="5"/>
  <c r="I4054" i="5"/>
  <c r="H4054" i="5"/>
  <c r="G4054" i="5"/>
  <c r="V4052" i="5"/>
  <c r="U4050" i="5"/>
  <c r="T4050" i="5"/>
  <c r="S4050" i="5"/>
  <c r="R4050" i="5"/>
  <c r="Q4050" i="5"/>
  <c r="P4050" i="5"/>
  <c r="O4044" i="5"/>
  <c r="N4044" i="5"/>
  <c r="M4044" i="5"/>
  <c r="L4044" i="5"/>
  <c r="K4044" i="5"/>
  <c r="J4044" i="5"/>
  <c r="I4044" i="5"/>
  <c r="H4044" i="5"/>
  <c r="G4044" i="5"/>
  <c r="V4042" i="5"/>
  <c r="U4040" i="5"/>
  <c r="T4040" i="5"/>
  <c r="S4040" i="5"/>
  <c r="R4040" i="5"/>
  <c r="Q4040" i="5"/>
  <c r="P4040" i="5"/>
  <c r="O4034" i="5"/>
  <c r="N4034" i="5"/>
  <c r="M4034" i="5"/>
  <c r="L4034" i="5"/>
  <c r="K4034" i="5"/>
  <c r="J4034" i="5"/>
  <c r="I4034" i="5"/>
  <c r="H4034" i="5"/>
  <c r="G4034" i="5"/>
  <c r="V4032" i="5"/>
  <c r="U4030" i="5"/>
  <c r="T4030" i="5"/>
  <c r="S4030" i="5"/>
  <c r="R4030" i="5"/>
  <c r="Q4030" i="5"/>
  <c r="P4030" i="5"/>
  <c r="O4024" i="5"/>
  <c r="N4024" i="5"/>
  <c r="M4024" i="5"/>
  <c r="L4024" i="5"/>
  <c r="K4024" i="5"/>
  <c r="J4024" i="5"/>
  <c r="I4024" i="5"/>
  <c r="H4024" i="5"/>
  <c r="G4024" i="5"/>
  <c r="V4022" i="5"/>
  <c r="U4020" i="5"/>
  <c r="T4020" i="5"/>
  <c r="S4020" i="5"/>
  <c r="R4020" i="5"/>
  <c r="Q4020" i="5"/>
  <c r="P4020" i="5"/>
  <c r="O4014" i="5"/>
  <c r="N4014" i="5"/>
  <c r="M4014" i="5"/>
  <c r="L4014" i="5"/>
  <c r="K4014" i="5"/>
  <c r="J4014" i="5"/>
  <c r="I4014" i="5"/>
  <c r="H4014" i="5"/>
  <c r="G4014" i="5"/>
  <c r="V4012" i="5"/>
  <c r="U4010" i="5"/>
  <c r="T4010" i="5"/>
  <c r="S4010" i="5"/>
  <c r="R4010" i="5"/>
  <c r="Q4010" i="5"/>
  <c r="P4010" i="5"/>
  <c r="O4004" i="5"/>
  <c r="N4004" i="5"/>
  <c r="M4004" i="5"/>
  <c r="L4004" i="5"/>
  <c r="K4004" i="5"/>
  <c r="J4004" i="5"/>
  <c r="I4004" i="5"/>
  <c r="H4004" i="5"/>
  <c r="G4004" i="5"/>
  <c r="V4002" i="5"/>
  <c r="U4000" i="5"/>
  <c r="T4000" i="5"/>
  <c r="S4000" i="5"/>
  <c r="R4000" i="5"/>
  <c r="Q4000" i="5"/>
  <c r="P4000" i="5"/>
  <c r="O3994" i="5"/>
  <c r="N3994" i="5"/>
  <c r="M3994" i="5"/>
  <c r="L3994" i="5"/>
  <c r="K3994" i="5"/>
  <c r="J3994" i="5"/>
  <c r="I3994" i="5"/>
  <c r="H3994" i="5"/>
  <c r="G3994" i="5"/>
  <c r="V3992" i="5"/>
  <c r="U3990" i="5"/>
  <c r="T3990" i="5"/>
  <c r="S3990" i="5"/>
  <c r="R3990" i="5"/>
  <c r="Q3990" i="5"/>
  <c r="P3990" i="5"/>
  <c r="O3987" i="5"/>
  <c r="N3987" i="5"/>
  <c r="M3987" i="5"/>
  <c r="L3987" i="5"/>
  <c r="K3987" i="5"/>
  <c r="J3987" i="5"/>
  <c r="I3987" i="5"/>
  <c r="H3987" i="5"/>
  <c r="G3987" i="5"/>
  <c r="O3986" i="5"/>
  <c r="N3986" i="5"/>
  <c r="M3986" i="5"/>
  <c r="L3986" i="5"/>
  <c r="K3986" i="5"/>
  <c r="J3986" i="5"/>
  <c r="I3986" i="5"/>
  <c r="H3986" i="5"/>
  <c r="G3986" i="5"/>
  <c r="V3985" i="5"/>
  <c r="O3985" i="5"/>
  <c r="N3985" i="5"/>
  <c r="M3985" i="5"/>
  <c r="L3985" i="5"/>
  <c r="K3985" i="5"/>
  <c r="J3985" i="5"/>
  <c r="I3985" i="5"/>
  <c r="H3985" i="5"/>
  <c r="G3985" i="5"/>
  <c r="V3984" i="5"/>
  <c r="O3984" i="5"/>
  <c r="N3984" i="5"/>
  <c r="M3984" i="5"/>
  <c r="L3984" i="5"/>
  <c r="K3984" i="5"/>
  <c r="J3984" i="5"/>
  <c r="I3984" i="5"/>
  <c r="H3984" i="5"/>
  <c r="G3984" i="5"/>
  <c r="V3983" i="5"/>
  <c r="U3983" i="5"/>
  <c r="T3983" i="5"/>
  <c r="S3983" i="5"/>
  <c r="R3983" i="5"/>
  <c r="Q3983" i="5"/>
  <c r="P3983" i="5"/>
  <c r="O3983" i="5"/>
  <c r="N3983" i="5"/>
  <c r="M3983" i="5"/>
  <c r="L3983" i="5"/>
  <c r="K3983" i="5"/>
  <c r="J3983" i="5"/>
  <c r="I3983" i="5"/>
  <c r="H3983" i="5"/>
  <c r="G3983" i="5"/>
  <c r="V3982" i="5"/>
  <c r="U3982" i="5"/>
  <c r="T3982" i="5"/>
  <c r="S3982" i="5"/>
  <c r="R3982" i="5"/>
  <c r="Q3982" i="5"/>
  <c r="P3982" i="5"/>
  <c r="O3982" i="5"/>
  <c r="N3982" i="5"/>
  <c r="M3982" i="5"/>
  <c r="L3982" i="5"/>
  <c r="K3982" i="5"/>
  <c r="J3982" i="5"/>
  <c r="I3982" i="5"/>
  <c r="H3982" i="5"/>
  <c r="G3982" i="5"/>
  <c r="V3981" i="5"/>
  <c r="U3981" i="5"/>
  <c r="T3981" i="5"/>
  <c r="S3981" i="5"/>
  <c r="R3981" i="5"/>
  <c r="Q3981" i="5"/>
  <c r="P3981" i="5"/>
  <c r="O3981" i="5"/>
  <c r="N3981" i="5"/>
  <c r="M3981" i="5"/>
  <c r="L3981" i="5"/>
  <c r="K3981" i="5"/>
  <c r="J3981" i="5"/>
  <c r="I3981" i="5"/>
  <c r="H3981" i="5"/>
  <c r="G3981" i="5"/>
  <c r="V3980" i="5"/>
  <c r="U3980" i="5"/>
  <c r="T3980" i="5"/>
  <c r="S3980" i="5"/>
  <c r="R3980" i="5"/>
  <c r="Q3980" i="5"/>
  <c r="P3980" i="5"/>
  <c r="O3980" i="5"/>
  <c r="N3980" i="5"/>
  <c r="M3980" i="5"/>
  <c r="L3980" i="5"/>
  <c r="K3980" i="5"/>
  <c r="J3980" i="5"/>
  <c r="I3980" i="5"/>
  <c r="H3980" i="5"/>
  <c r="G3980" i="5"/>
  <c r="V3979" i="5"/>
  <c r="U3979" i="5"/>
  <c r="T3979" i="5"/>
  <c r="S3979" i="5"/>
  <c r="R3979" i="5"/>
  <c r="Q3979" i="5"/>
  <c r="P3979" i="5"/>
  <c r="O3979" i="5"/>
  <c r="N3979" i="5"/>
  <c r="M3979" i="5"/>
  <c r="L3979" i="5"/>
  <c r="K3979" i="5"/>
  <c r="J3979" i="5"/>
  <c r="I3979" i="5"/>
  <c r="H3979" i="5"/>
  <c r="G3979" i="5"/>
  <c r="V3978" i="5"/>
  <c r="U3978" i="5"/>
  <c r="T3978" i="5"/>
  <c r="S3978" i="5"/>
  <c r="R3978" i="5"/>
  <c r="Q3978" i="5"/>
  <c r="P3978" i="5"/>
  <c r="O3978" i="5"/>
  <c r="N3978" i="5"/>
  <c r="M3978" i="5"/>
  <c r="L3978" i="5"/>
  <c r="K3978" i="5"/>
  <c r="J3978" i="5"/>
  <c r="I3978" i="5"/>
  <c r="H3978" i="5"/>
  <c r="G3978" i="5"/>
  <c r="V3977" i="5"/>
  <c r="U3977" i="5"/>
  <c r="T3977" i="5"/>
  <c r="S3977" i="5"/>
  <c r="R3977" i="5"/>
  <c r="Q3977" i="5"/>
  <c r="P3977" i="5"/>
  <c r="V3976" i="5"/>
  <c r="U3976" i="5"/>
  <c r="T3976" i="5"/>
  <c r="S3976" i="5"/>
  <c r="R3976" i="5"/>
  <c r="Q3976" i="5"/>
  <c r="P3976" i="5"/>
  <c r="U3975" i="5"/>
  <c r="T3975" i="5"/>
  <c r="S3975" i="5"/>
  <c r="R3975" i="5"/>
  <c r="Q3975" i="5"/>
  <c r="P3975" i="5"/>
  <c r="U3974" i="5"/>
  <c r="T3974" i="5"/>
  <c r="S3974" i="5"/>
  <c r="R3974" i="5"/>
  <c r="Q3974" i="5"/>
  <c r="P3974" i="5"/>
  <c r="O3974" i="5"/>
  <c r="N3974" i="5"/>
  <c r="M3974" i="5"/>
  <c r="L3974" i="5"/>
  <c r="K3974" i="5"/>
  <c r="J3974" i="5"/>
  <c r="I3974" i="5"/>
  <c r="H3974" i="5"/>
  <c r="G3974" i="5"/>
  <c r="V3972" i="5"/>
  <c r="U3970" i="5"/>
  <c r="T3970" i="5"/>
  <c r="S3970" i="5"/>
  <c r="R3970" i="5"/>
  <c r="Q3970" i="5"/>
  <c r="P3970" i="5"/>
  <c r="O3964" i="5"/>
  <c r="N3964" i="5"/>
  <c r="M3964" i="5"/>
  <c r="L3964" i="5"/>
  <c r="K3964" i="5"/>
  <c r="J3964" i="5"/>
  <c r="I3964" i="5"/>
  <c r="H3964" i="5"/>
  <c r="G3964" i="5"/>
  <c r="V3962" i="5"/>
  <c r="U3960" i="5"/>
  <c r="T3960" i="5"/>
  <c r="S3960" i="5"/>
  <c r="R3960" i="5"/>
  <c r="Q3960" i="5"/>
  <c r="P3960" i="5"/>
  <c r="O3954" i="5"/>
  <c r="N3954" i="5"/>
  <c r="M3954" i="5"/>
  <c r="L3954" i="5"/>
  <c r="K3954" i="5"/>
  <c r="J3954" i="5"/>
  <c r="I3954" i="5"/>
  <c r="H3954" i="5"/>
  <c r="G3954" i="5"/>
  <c r="V3952" i="5"/>
  <c r="U3950" i="5"/>
  <c r="T3950" i="5"/>
  <c r="S3950" i="5"/>
  <c r="R3950" i="5"/>
  <c r="Q3950" i="5"/>
  <c r="P3950" i="5"/>
  <c r="O3944" i="5"/>
  <c r="N3944" i="5"/>
  <c r="M3944" i="5"/>
  <c r="L3944" i="5"/>
  <c r="K3944" i="5"/>
  <c r="J3944" i="5"/>
  <c r="I3944" i="5"/>
  <c r="H3944" i="5"/>
  <c r="G3944" i="5"/>
  <c r="V3942" i="5"/>
  <c r="U3940" i="5"/>
  <c r="T3940" i="5"/>
  <c r="S3940" i="5"/>
  <c r="R3940" i="5"/>
  <c r="Q3940" i="5"/>
  <c r="P3940" i="5"/>
  <c r="O3934" i="5"/>
  <c r="N3934" i="5"/>
  <c r="M3934" i="5"/>
  <c r="L3934" i="5"/>
  <c r="K3934" i="5"/>
  <c r="J3934" i="5"/>
  <c r="I3934" i="5"/>
  <c r="H3934" i="5"/>
  <c r="G3934" i="5"/>
  <c r="V3932" i="5"/>
  <c r="U3930" i="5"/>
  <c r="T3930" i="5"/>
  <c r="S3930" i="5"/>
  <c r="R3930" i="5"/>
  <c r="Q3930" i="5"/>
  <c r="P3930" i="5"/>
  <c r="O3924" i="5"/>
  <c r="N3924" i="5"/>
  <c r="M3924" i="5"/>
  <c r="L3924" i="5"/>
  <c r="K3924" i="5"/>
  <c r="J3924" i="5"/>
  <c r="I3924" i="5"/>
  <c r="H3924" i="5"/>
  <c r="G3924" i="5"/>
  <c r="V3922" i="5"/>
  <c r="U3920" i="5"/>
  <c r="T3920" i="5"/>
  <c r="S3920" i="5"/>
  <c r="R3920" i="5"/>
  <c r="Q3920" i="5"/>
  <c r="P3920" i="5"/>
  <c r="O3914" i="5"/>
  <c r="N3914" i="5"/>
  <c r="M3914" i="5"/>
  <c r="L3914" i="5"/>
  <c r="K3914" i="5"/>
  <c r="J3914" i="5"/>
  <c r="I3914" i="5"/>
  <c r="H3914" i="5"/>
  <c r="G3914" i="5"/>
  <c r="V3912" i="5"/>
  <c r="U3910" i="5"/>
  <c r="T3910" i="5"/>
  <c r="S3910" i="5"/>
  <c r="R3910" i="5"/>
  <c r="Q3910" i="5"/>
  <c r="P3910" i="5"/>
  <c r="O3904" i="5"/>
  <c r="N3904" i="5"/>
  <c r="M3904" i="5"/>
  <c r="L3904" i="5"/>
  <c r="K3904" i="5"/>
  <c r="J3904" i="5"/>
  <c r="I3904" i="5"/>
  <c r="H3904" i="5"/>
  <c r="G3904" i="5"/>
  <c r="V3902" i="5"/>
  <c r="U3900" i="5"/>
  <c r="T3900" i="5"/>
  <c r="S3900" i="5"/>
  <c r="R3900" i="5"/>
  <c r="Q3900" i="5"/>
  <c r="P3900" i="5"/>
  <c r="O3894" i="5"/>
  <c r="N3894" i="5"/>
  <c r="M3894" i="5"/>
  <c r="L3894" i="5"/>
  <c r="K3894" i="5"/>
  <c r="J3894" i="5"/>
  <c r="I3894" i="5"/>
  <c r="H3894" i="5"/>
  <c r="G3894" i="5"/>
  <c r="V3892" i="5"/>
  <c r="U3890" i="5"/>
  <c r="T3890" i="5"/>
  <c r="S3890" i="5"/>
  <c r="R3890" i="5"/>
  <c r="Q3890" i="5"/>
  <c r="P3890" i="5"/>
  <c r="O3887" i="5"/>
  <c r="N3887" i="5"/>
  <c r="M3887" i="5"/>
  <c r="L3887" i="5"/>
  <c r="K3887" i="5"/>
  <c r="J3887" i="5"/>
  <c r="I3887" i="5"/>
  <c r="H3887" i="5"/>
  <c r="G3887" i="5"/>
  <c r="O3886" i="5"/>
  <c r="N3886" i="5"/>
  <c r="M3886" i="5"/>
  <c r="L3886" i="5"/>
  <c r="K3886" i="5"/>
  <c r="J3886" i="5"/>
  <c r="I3886" i="5"/>
  <c r="H3886" i="5"/>
  <c r="G3886" i="5"/>
  <c r="V3885" i="5"/>
  <c r="O3885" i="5"/>
  <c r="N3885" i="5"/>
  <c r="M3885" i="5"/>
  <c r="L3885" i="5"/>
  <c r="K3885" i="5"/>
  <c r="J3885" i="5"/>
  <c r="I3885" i="5"/>
  <c r="H3885" i="5"/>
  <c r="G3885" i="5"/>
  <c r="V3884" i="5"/>
  <c r="O3884" i="5"/>
  <c r="N3884" i="5"/>
  <c r="M3884" i="5"/>
  <c r="L3884" i="5"/>
  <c r="K3884" i="5"/>
  <c r="J3884" i="5"/>
  <c r="I3884" i="5"/>
  <c r="H3884" i="5"/>
  <c r="G3884" i="5"/>
  <c r="V3883" i="5"/>
  <c r="U3883" i="5"/>
  <c r="T3883" i="5"/>
  <c r="S3883" i="5"/>
  <c r="R3883" i="5"/>
  <c r="Q3883" i="5"/>
  <c r="P3883" i="5"/>
  <c r="O3883" i="5"/>
  <c r="N3883" i="5"/>
  <c r="M3883" i="5"/>
  <c r="L3883" i="5"/>
  <c r="K3883" i="5"/>
  <c r="J3883" i="5"/>
  <c r="I3883" i="5"/>
  <c r="H3883" i="5"/>
  <c r="G3883" i="5"/>
  <c r="V3882" i="5"/>
  <c r="U3882" i="5"/>
  <c r="T3882" i="5"/>
  <c r="S3882" i="5"/>
  <c r="R3882" i="5"/>
  <c r="Q3882" i="5"/>
  <c r="P3882" i="5"/>
  <c r="O3882" i="5"/>
  <c r="N3882" i="5"/>
  <c r="M3882" i="5"/>
  <c r="L3882" i="5"/>
  <c r="K3882" i="5"/>
  <c r="J3882" i="5"/>
  <c r="I3882" i="5"/>
  <c r="H3882" i="5"/>
  <c r="G3882" i="5"/>
  <c r="V3881" i="5"/>
  <c r="U3881" i="5"/>
  <c r="T3881" i="5"/>
  <c r="S3881" i="5"/>
  <c r="R3881" i="5"/>
  <c r="Q3881" i="5"/>
  <c r="P3881" i="5"/>
  <c r="O3881" i="5"/>
  <c r="N3881" i="5"/>
  <c r="M3881" i="5"/>
  <c r="L3881" i="5"/>
  <c r="K3881" i="5"/>
  <c r="J3881" i="5"/>
  <c r="I3881" i="5"/>
  <c r="H3881" i="5"/>
  <c r="G3881" i="5"/>
  <c r="V3880" i="5"/>
  <c r="U3880" i="5"/>
  <c r="T3880" i="5"/>
  <c r="S3880" i="5"/>
  <c r="R3880" i="5"/>
  <c r="Q3880" i="5"/>
  <c r="P3880" i="5"/>
  <c r="O3880" i="5"/>
  <c r="N3880" i="5"/>
  <c r="M3880" i="5"/>
  <c r="L3880" i="5"/>
  <c r="K3880" i="5"/>
  <c r="J3880" i="5"/>
  <c r="I3880" i="5"/>
  <c r="H3880" i="5"/>
  <c r="G3880" i="5"/>
  <c r="V3879" i="5"/>
  <c r="U3879" i="5"/>
  <c r="T3879" i="5"/>
  <c r="S3879" i="5"/>
  <c r="R3879" i="5"/>
  <c r="Q3879" i="5"/>
  <c r="P3879" i="5"/>
  <c r="O3879" i="5"/>
  <c r="N3879" i="5"/>
  <c r="M3879" i="5"/>
  <c r="L3879" i="5"/>
  <c r="K3879" i="5"/>
  <c r="J3879" i="5"/>
  <c r="I3879" i="5"/>
  <c r="H3879" i="5"/>
  <c r="G3879" i="5"/>
  <c r="V3878" i="5"/>
  <c r="U3878" i="5"/>
  <c r="T3878" i="5"/>
  <c r="S3878" i="5"/>
  <c r="R3878" i="5"/>
  <c r="Q3878" i="5"/>
  <c r="P3878" i="5"/>
  <c r="O3878" i="5"/>
  <c r="N3878" i="5"/>
  <c r="M3878" i="5"/>
  <c r="L3878" i="5"/>
  <c r="K3878" i="5"/>
  <c r="J3878" i="5"/>
  <c r="I3878" i="5"/>
  <c r="H3878" i="5"/>
  <c r="G3878" i="5"/>
  <c r="V3877" i="5"/>
  <c r="U3877" i="5"/>
  <c r="T3877" i="5"/>
  <c r="S3877" i="5"/>
  <c r="R3877" i="5"/>
  <c r="Q3877" i="5"/>
  <c r="P3877" i="5"/>
  <c r="V3876" i="5"/>
  <c r="U3876" i="5"/>
  <c r="T3876" i="5"/>
  <c r="S3876" i="5"/>
  <c r="R3876" i="5"/>
  <c r="Q3876" i="5"/>
  <c r="P3876" i="5"/>
  <c r="U3875" i="5"/>
  <c r="T3875" i="5"/>
  <c r="S3875" i="5"/>
  <c r="R3875" i="5"/>
  <c r="Q3875" i="5"/>
  <c r="P3875" i="5"/>
  <c r="U3874" i="5"/>
  <c r="T3874" i="5"/>
  <c r="S3874" i="5"/>
  <c r="R3874" i="5"/>
  <c r="Q3874" i="5"/>
  <c r="P3874" i="5"/>
  <c r="O3874" i="5"/>
  <c r="N3874" i="5"/>
  <c r="M3874" i="5"/>
  <c r="L3874" i="5"/>
  <c r="K3874" i="5"/>
  <c r="J3874" i="5"/>
  <c r="I3874" i="5"/>
  <c r="H3874" i="5"/>
  <c r="G3874" i="5"/>
  <c r="V3872" i="5"/>
  <c r="U3870" i="5"/>
  <c r="T3870" i="5"/>
  <c r="S3870" i="5"/>
  <c r="R3870" i="5"/>
  <c r="Q3870" i="5"/>
  <c r="P3870" i="5"/>
  <c r="O3864" i="5"/>
  <c r="N3864" i="5"/>
  <c r="M3864" i="5"/>
  <c r="L3864" i="5"/>
  <c r="K3864" i="5"/>
  <c r="J3864" i="5"/>
  <c r="I3864" i="5"/>
  <c r="H3864" i="5"/>
  <c r="G3864" i="5"/>
  <c r="V3862" i="5"/>
  <c r="U3860" i="5"/>
  <c r="T3860" i="5"/>
  <c r="S3860" i="5"/>
  <c r="R3860" i="5"/>
  <c r="Q3860" i="5"/>
  <c r="P3860" i="5"/>
  <c r="O3854" i="5"/>
  <c r="N3854" i="5"/>
  <c r="M3854" i="5"/>
  <c r="L3854" i="5"/>
  <c r="K3854" i="5"/>
  <c r="J3854" i="5"/>
  <c r="I3854" i="5"/>
  <c r="H3854" i="5"/>
  <c r="G3854" i="5"/>
  <c r="V3852" i="5"/>
  <c r="U3850" i="5"/>
  <c r="T3850" i="5"/>
  <c r="S3850" i="5"/>
  <c r="R3850" i="5"/>
  <c r="Q3850" i="5"/>
  <c r="P3850" i="5"/>
  <c r="O3844" i="5"/>
  <c r="N3844" i="5"/>
  <c r="M3844" i="5"/>
  <c r="L3844" i="5"/>
  <c r="K3844" i="5"/>
  <c r="J3844" i="5"/>
  <c r="I3844" i="5"/>
  <c r="H3844" i="5"/>
  <c r="G3844" i="5"/>
  <c r="V3842" i="5"/>
  <c r="U3840" i="5"/>
  <c r="T3840" i="5"/>
  <c r="S3840" i="5"/>
  <c r="R3840" i="5"/>
  <c r="Q3840" i="5"/>
  <c r="P3840" i="5"/>
  <c r="O3834" i="5"/>
  <c r="N3834" i="5"/>
  <c r="M3834" i="5"/>
  <c r="L3834" i="5"/>
  <c r="K3834" i="5"/>
  <c r="J3834" i="5"/>
  <c r="I3834" i="5"/>
  <c r="H3834" i="5"/>
  <c r="G3834" i="5"/>
  <c r="V3832" i="5"/>
  <c r="U3830" i="5"/>
  <c r="T3830" i="5"/>
  <c r="S3830" i="5"/>
  <c r="R3830" i="5"/>
  <c r="Q3830" i="5"/>
  <c r="P3830" i="5"/>
  <c r="O3824" i="5"/>
  <c r="N3824" i="5"/>
  <c r="M3824" i="5"/>
  <c r="L3824" i="5"/>
  <c r="K3824" i="5"/>
  <c r="J3824" i="5"/>
  <c r="I3824" i="5"/>
  <c r="H3824" i="5"/>
  <c r="G3824" i="5"/>
  <c r="V3822" i="5"/>
  <c r="U3820" i="5"/>
  <c r="T3820" i="5"/>
  <c r="S3820" i="5"/>
  <c r="R3820" i="5"/>
  <c r="Q3820" i="5"/>
  <c r="P3820" i="5"/>
  <c r="O3814" i="5"/>
  <c r="N3814" i="5"/>
  <c r="M3814" i="5"/>
  <c r="L3814" i="5"/>
  <c r="K3814" i="5"/>
  <c r="J3814" i="5"/>
  <c r="I3814" i="5"/>
  <c r="H3814" i="5"/>
  <c r="G3814" i="5"/>
  <c r="V3812" i="5"/>
  <c r="U3810" i="5"/>
  <c r="T3810" i="5"/>
  <c r="S3810" i="5"/>
  <c r="R3810" i="5"/>
  <c r="Q3810" i="5"/>
  <c r="P3810" i="5"/>
  <c r="O3804" i="5"/>
  <c r="N3804" i="5"/>
  <c r="M3804" i="5"/>
  <c r="L3804" i="5"/>
  <c r="K3804" i="5"/>
  <c r="J3804" i="5"/>
  <c r="I3804" i="5"/>
  <c r="H3804" i="5"/>
  <c r="G3804" i="5"/>
  <c r="V3802" i="5"/>
  <c r="U3800" i="5"/>
  <c r="T3800" i="5"/>
  <c r="S3800" i="5"/>
  <c r="R3800" i="5"/>
  <c r="Q3800" i="5"/>
  <c r="P3800" i="5"/>
  <c r="O3794" i="5"/>
  <c r="N3794" i="5"/>
  <c r="M3794" i="5"/>
  <c r="L3794" i="5"/>
  <c r="K3794" i="5"/>
  <c r="J3794" i="5"/>
  <c r="I3794" i="5"/>
  <c r="H3794" i="5"/>
  <c r="G3794" i="5"/>
  <c r="V3792" i="5"/>
  <c r="U3790" i="5"/>
  <c r="T3790" i="5"/>
  <c r="S3790" i="5"/>
  <c r="R3790" i="5"/>
  <c r="Q3790" i="5"/>
  <c r="P3790" i="5"/>
  <c r="O3787" i="5"/>
  <c r="N3787" i="5"/>
  <c r="M3787" i="5"/>
  <c r="L3787" i="5"/>
  <c r="K3787" i="5"/>
  <c r="J3787" i="5"/>
  <c r="I3787" i="5"/>
  <c r="H3787" i="5"/>
  <c r="G3787" i="5"/>
  <c r="O3786" i="5"/>
  <c r="N3786" i="5"/>
  <c r="M3786" i="5"/>
  <c r="L3786" i="5"/>
  <c r="K3786" i="5"/>
  <c r="J3786" i="5"/>
  <c r="I3786" i="5"/>
  <c r="H3786" i="5"/>
  <c r="G3786" i="5"/>
  <c r="V3785" i="5"/>
  <c r="O3785" i="5"/>
  <c r="N3785" i="5"/>
  <c r="M3785" i="5"/>
  <c r="L3785" i="5"/>
  <c r="K3785" i="5"/>
  <c r="J3785" i="5"/>
  <c r="I3785" i="5"/>
  <c r="H3785" i="5"/>
  <c r="G3785" i="5"/>
  <c r="V3784" i="5"/>
  <c r="O3784" i="5"/>
  <c r="N3784" i="5"/>
  <c r="M3784" i="5"/>
  <c r="L3784" i="5"/>
  <c r="K3784" i="5"/>
  <c r="J3784" i="5"/>
  <c r="I3784" i="5"/>
  <c r="H3784" i="5"/>
  <c r="G3784" i="5"/>
  <c r="V3783" i="5"/>
  <c r="U3783" i="5"/>
  <c r="T3783" i="5"/>
  <c r="S3783" i="5"/>
  <c r="R3783" i="5"/>
  <c r="Q3783" i="5"/>
  <c r="P3783" i="5"/>
  <c r="O3783" i="5"/>
  <c r="N3783" i="5"/>
  <c r="M3783" i="5"/>
  <c r="L3783" i="5"/>
  <c r="K3783" i="5"/>
  <c r="J3783" i="5"/>
  <c r="I3783" i="5"/>
  <c r="H3783" i="5"/>
  <c r="G3783" i="5"/>
  <c r="V3782" i="5"/>
  <c r="U3782" i="5"/>
  <c r="T3782" i="5"/>
  <c r="S3782" i="5"/>
  <c r="R3782" i="5"/>
  <c r="Q3782" i="5"/>
  <c r="P3782" i="5"/>
  <c r="O3782" i="5"/>
  <c r="N3782" i="5"/>
  <c r="M3782" i="5"/>
  <c r="L3782" i="5"/>
  <c r="K3782" i="5"/>
  <c r="J3782" i="5"/>
  <c r="I3782" i="5"/>
  <c r="H3782" i="5"/>
  <c r="G3782" i="5"/>
  <c r="V3781" i="5"/>
  <c r="U3781" i="5"/>
  <c r="T3781" i="5"/>
  <c r="S3781" i="5"/>
  <c r="R3781" i="5"/>
  <c r="Q3781" i="5"/>
  <c r="P3781" i="5"/>
  <c r="O3781" i="5"/>
  <c r="N3781" i="5"/>
  <c r="M3781" i="5"/>
  <c r="L3781" i="5"/>
  <c r="K3781" i="5"/>
  <c r="J3781" i="5"/>
  <c r="I3781" i="5"/>
  <c r="H3781" i="5"/>
  <c r="G3781" i="5"/>
  <c r="V3780" i="5"/>
  <c r="U3780" i="5"/>
  <c r="T3780" i="5"/>
  <c r="S3780" i="5"/>
  <c r="R3780" i="5"/>
  <c r="Q3780" i="5"/>
  <c r="P3780" i="5"/>
  <c r="O3780" i="5"/>
  <c r="N3780" i="5"/>
  <c r="M3780" i="5"/>
  <c r="L3780" i="5"/>
  <c r="K3780" i="5"/>
  <c r="J3780" i="5"/>
  <c r="I3780" i="5"/>
  <c r="H3780" i="5"/>
  <c r="G3780" i="5"/>
  <c r="V3779" i="5"/>
  <c r="U3779" i="5"/>
  <c r="T3779" i="5"/>
  <c r="S3779" i="5"/>
  <c r="R3779" i="5"/>
  <c r="Q3779" i="5"/>
  <c r="P3779" i="5"/>
  <c r="O3779" i="5"/>
  <c r="N3779" i="5"/>
  <c r="M3779" i="5"/>
  <c r="L3779" i="5"/>
  <c r="K3779" i="5"/>
  <c r="J3779" i="5"/>
  <c r="I3779" i="5"/>
  <c r="H3779" i="5"/>
  <c r="G3779" i="5"/>
  <c r="V3778" i="5"/>
  <c r="U3778" i="5"/>
  <c r="T3778" i="5"/>
  <c r="S3778" i="5"/>
  <c r="R3778" i="5"/>
  <c r="Q3778" i="5"/>
  <c r="P3778" i="5"/>
  <c r="O3778" i="5"/>
  <c r="N3778" i="5"/>
  <c r="M3778" i="5"/>
  <c r="L3778" i="5"/>
  <c r="K3778" i="5"/>
  <c r="J3778" i="5"/>
  <c r="I3778" i="5"/>
  <c r="H3778" i="5"/>
  <c r="G3778" i="5"/>
  <c r="V3777" i="5"/>
  <c r="U3777" i="5"/>
  <c r="T3777" i="5"/>
  <c r="S3777" i="5"/>
  <c r="R3777" i="5"/>
  <c r="Q3777" i="5"/>
  <c r="P3777" i="5"/>
  <c r="V3776" i="5"/>
  <c r="U3776" i="5"/>
  <c r="T3776" i="5"/>
  <c r="S3776" i="5"/>
  <c r="R3776" i="5"/>
  <c r="Q3776" i="5"/>
  <c r="P3776" i="5"/>
  <c r="U3775" i="5"/>
  <c r="T3775" i="5"/>
  <c r="S3775" i="5"/>
  <c r="R3775" i="5"/>
  <c r="Q3775" i="5"/>
  <c r="P3775" i="5"/>
  <c r="U3774" i="5"/>
  <c r="T3774" i="5"/>
  <c r="S3774" i="5"/>
  <c r="R3774" i="5"/>
  <c r="Q3774" i="5"/>
  <c r="P3774" i="5"/>
  <c r="O3774" i="5"/>
  <c r="N3774" i="5"/>
  <c r="M3774" i="5"/>
  <c r="L3774" i="5"/>
  <c r="K3774" i="5"/>
  <c r="J3774" i="5"/>
  <c r="I3774" i="5"/>
  <c r="H3774" i="5"/>
  <c r="G3774" i="5"/>
  <c r="V3772" i="5"/>
  <c r="U3770" i="5"/>
  <c r="T3770" i="5"/>
  <c r="S3770" i="5"/>
  <c r="R3770" i="5"/>
  <c r="Q3770" i="5"/>
  <c r="P3770" i="5"/>
  <c r="O3764" i="5"/>
  <c r="N3764" i="5"/>
  <c r="M3764" i="5"/>
  <c r="L3764" i="5"/>
  <c r="K3764" i="5"/>
  <c r="J3764" i="5"/>
  <c r="I3764" i="5"/>
  <c r="H3764" i="5"/>
  <c r="G3764" i="5"/>
  <c r="V3762" i="5"/>
  <c r="U3760" i="5"/>
  <c r="T3760" i="5"/>
  <c r="S3760" i="5"/>
  <c r="R3760" i="5"/>
  <c r="Q3760" i="5"/>
  <c r="P3760" i="5"/>
  <c r="O3754" i="5"/>
  <c r="N3754" i="5"/>
  <c r="M3754" i="5"/>
  <c r="L3754" i="5"/>
  <c r="K3754" i="5"/>
  <c r="J3754" i="5"/>
  <c r="I3754" i="5"/>
  <c r="H3754" i="5"/>
  <c r="G3754" i="5"/>
  <c r="V3752" i="5"/>
  <c r="U3750" i="5"/>
  <c r="T3750" i="5"/>
  <c r="S3750" i="5"/>
  <c r="R3750" i="5"/>
  <c r="Q3750" i="5"/>
  <c r="P3750" i="5"/>
  <c r="O3744" i="5"/>
  <c r="N3744" i="5"/>
  <c r="M3744" i="5"/>
  <c r="L3744" i="5"/>
  <c r="K3744" i="5"/>
  <c r="J3744" i="5"/>
  <c r="I3744" i="5"/>
  <c r="H3744" i="5"/>
  <c r="G3744" i="5"/>
  <c r="V3742" i="5"/>
  <c r="U3740" i="5"/>
  <c r="T3740" i="5"/>
  <c r="S3740" i="5"/>
  <c r="R3740" i="5"/>
  <c r="Q3740" i="5"/>
  <c r="P3740" i="5"/>
  <c r="O3734" i="5"/>
  <c r="N3734" i="5"/>
  <c r="M3734" i="5"/>
  <c r="L3734" i="5"/>
  <c r="K3734" i="5"/>
  <c r="J3734" i="5"/>
  <c r="I3734" i="5"/>
  <c r="H3734" i="5"/>
  <c r="G3734" i="5"/>
  <c r="V3732" i="5"/>
  <c r="U3730" i="5"/>
  <c r="T3730" i="5"/>
  <c r="S3730" i="5"/>
  <c r="R3730" i="5"/>
  <c r="Q3730" i="5"/>
  <c r="P3730" i="5"/>
  <c r="O3724" i="5"/>
  <c r="N3724" i="5"/>
  <c r="M3724" i="5"/>
  <c r="L3724" i="5"/>
  <c r="K3724" i="5"/>
  <c r="J3724" i="5"/>
  <c r="I3724" i="5"/>
  <c r="H3724" i="5"/>
  <c r="G3724" i="5"/>
  <c r="V3722" i="5"/>
  <c r="U3720" i="5"/>
  <c r="T3720" i="5"/>
  <c r="S3720" i="5"/>
  <c r="R3720" i="5"/>
  <c r="Q3720" i="5"/>
  <c r="P3720" i="5"/>
  <c r="O3717" i="5"/>
  <c r="N3717" i="5"/>
  <c r="M3717" i="5"/>
  <c r="L3717" i="5"/>
  <c r="K3717" i="5"/>
  <c r="J3717" i="5"/>
  <c r="I3717" i="5"/>
  <c r="H3717" i="5"/>
  <c r="G3717" i="5"/>
  <c r="O3716" i="5"/>
  <c r="N3716" i="5"/>
  <c r="M3716" i="5"/>
  <c r="L3716" i="5"/>
  <c r="K3716" i="5"/>
  <c r="J3716" i="5"/>
  <c r="I3716" i="5"/>
  <c r="H3716" i="5"/>
  <c r="G3716" i="5"/>
  <c r="V3715" i="5"/>
  <c r="O3715" i="5"/>
  <c r="N3715" i="5"/>
  <c r="M3715" i="5"/>
  <c r="L3715" i="5"/>
  <c r="K3715" i="5"/>
  <c r="J3715" i="5"/>
  <c r="I3715" i="5"/>
  <c r="H3715" i="5"/>
  <c r="G3715" i="5"/>
  <c r="V3714" i="5"/>
  <c r="O3714" i="5"/>
  <c r="N3714" i="5"/>
  <c r="M3714" i="5"/>
  <c r="L3714" i="5"/>
  <c r="K3714" i="5"/>
  <c r="J3714" i="5"/>
  <c r="I3714" i="5"/>
  <c r="H3714" i="5"/>
  <c r="G3714" i="5"/>
  <c r="V3713" i="5"/>
  <c r="U3713" i="5"/>
  <c r="T3713" i="5"/>
  <c r="S3713" i="5"/>
  <c r="R3713" i="5"/>
  <c r="Q3713" i="5"/>
  <c r="P3713" i="5"/>
  <c r="O3713" i="5"/>
  <c r="N3713" i="5"/>
  <c r="M3713" i="5"/>
  <c r="L3713" i="5"/>
  <c r="K3713" i="5"/>
  <c r="J3713" i="5"/>
  <c r="I3713" i="5"/>
  <c r="H3713" i="5"/>
  <c r="G3713" i="5"/>
  <c r="V3712" i="5"/>
  <c r="U3712" i="5"/>
  <c r="T3712" i="5"/>
  <c r="S3712" i="5"/>
  <c r="R3712" i="5"/>
  <c r="Q3712" i="5"/>
  <c r="P3712" i="5"/>
  <c r="O3712" i="5"/>
  <c r="N3712" i="5"/>
  <c r="M3712" i="5"/>
  <c r="L3712" i="5"/>
  <c r="K3712" i="5"/>
  <c r="J3712" i="5"/>
  <c r="I3712" i="5"/>
  <c r="H3712" i="5"/>
  <c r="G3712" i="5"/>
  <c r="V3711" i="5"/>
  <c r="U3711" i="5"/>
  <c r="T3711" i="5"/>
  <c r="S3711" i="5"/>
  <c r="R3711" i="5"/>
  <c r="Q3711" i="5"/>
  <c r="P3711" i="5"/>
  <c r="O3711" i="5"/>
  <c r="N3711" i="5"/>
  <c r="M3711" i="5"/>
  <c r="L3711" i="5"/>
  <c r="K3711" i="5"/>
  <c r="J3711" i="5"/>
  <c r="I3711" i="5"/>
  <c r="H3711" i="5"/>
  <c r="G3711" i="5"/>
  <c r="V3710" i="5"/>
  <c r="U3710" i="5"/>
  <c r="T3710" i="5"/>
  <c r="S3710" i="5"/>
  <c r="R3710" i="5"/>
  <c r="Q3710" i="5"/>
  <c r="P3710" i="5"/>
  <c r="O3710" i="5"/>
  <c r="N3710" i="5"/>
  <c r="M3710" i="5"/>
  <c r="L3710" i="5"/>
  <c r="K3710" i="5"/>
  <c r="J3710" i="5"/>
  <c r="I3710" i="5"/>
  <c r="H3710" i="5"/>
  <c r="G3710" i="5"/>
  <c r="V3709" i="5"/>
  <c r="U3709" i="5"/>
  <c r="T3709" i="5"/>
  <c r="S3709" i="5"/>
  <c r="R3709" i="5"/>
  <c r="Q3709" i="5"/>
  <c r="P3709" i="5"/>
  <c r="O3709" i="5"/>
  <c r="N3709" i="5"/>
  <c r="M3709" i="5"/>
  <c r="L3709" i="5"/>
  <c r="K3709" i="5"/>
  <c r="J3709" i="5"/>
  <c r="I3709" i="5"/>
  <c r="H3709" i="5"/>
  <c r="G3709" i="5"/>
  <c r="V3708" i="5"/>
  <c r="U3708" i="5"/>
  <c r="T3708" i="5"/>
  <c r="S3708" i="5"/>
  <c r="R3708" i="5"/>
  <c r="Q3708" i="5"/>
  <c r="P3708" i="5"/>
  <c r="O3708" i="5"/>
  <c r="N3708" i="5"/>
  <c r="M3708" i="5"/>
  <c r="L3708" i="5"/>
  <c r="K3708" i="5"/>
  <c r="J3708" i="5"/>
  <c r="I3708" i="5"/>
  <c r="H3708" i="5"/>
  <c r="G3708" i="5"/>
  <c r="V3707" i="5"/>
  <c r="U3707" i="5"/>
  <c r="T3707" i="5"/>
  <c r="S3707" i="5"/>
  <c r="R3707" i="5"/>
  <c r="Q3707" i="5"/>
  <c r="P3707" i="5"/>
  <c r="O3707" i="5"/>
  <c r="N3707" i="5"/>
  <c r="M3707" i="5"/>
  <c r="L3707" i="5"/>
  <c r="K3707" i="5"/>
  <c r="J3707" i="5"/>
  <c r="I3707" i="5"/>
  <c r="H3707" i="5"/>
  <c r="G3707" i="5"/>
  <c r="V3706" i="5"/>
  <c r="U3706" i="5"/>
  <c r="T3706" i="5"/>
  <c r="S3706" i="5"/>
  <c r="R3706" i="5"/>
  <c r="Q3706" i="5"/>
  <c r="P3706" i="5"/>
  <c r="O3706" i="5"/>
  <c r="N3706" i="5"/>
  <c r="M3706" i="5"/>
  <c r="L3706" i="5"/>
  <c r="K3706" i="5"/>
  <c r="J3706" i="5"/>
  <c r="I3706" i="5"/>
  <c r="H3706" i="5"/>
  <c r="G3706" i="5"/>
  <c r="V3705" i="5"/>
  <c r="U3705" i="5"/>
  <c r="T3705" i="5"/>
  <c r="S3705" i="5"/>
  <c r="R3705" i="5"/>
  <c r="Q3705" i="5"/>
  <c r="P3705" i="5"/>
  <c r="O3705" i="5"/>
  <c r="N3705" i="5"/>
  <c r="M3705" i="5"/>
  <c r="L3705" i="5"/>
  <c r="K3705" i="5"/>
  <c r="J3705" i="5"/>
  <c r="I3705" i="5"/>
  <c r="H3705" i="5"/>
  <c r="G3705" i="5"/>
  <c r="V3704" i="5"/>
  <c r="U3704" i="5"/>
  <c r="T3704" i="5"/>
  <c r="S3704" i="5"/>
  <c r="R3704" i="5"/>
  <c r="Q3704" i="5"/>
  <c r="P3704" i="5"/>
  <c r="O3704" i="5"/>
  <c r="N3704" i="5"/>
  <c r="M3704" i="5"/>
  <c r="L3704" i="5"/>
  <c r="K3704" i="5"/>
  <c r="J3704" i="5"/>
  <c r="I3704" i="5"/>
  <c r="H3704" i="5"/>
  <c r="G3704" i="5"/>
  <c r="V3703" i="5"/>
  <c r="U3703" i="5"/>
  <c r="T3703" i="5"/>
  <c r="S3703" i="5"/>
  <c r="R3703" i="5"/>
  <c r="Q3703" i="5"/>
  <c r="P3703" i="5"/>
  <c r="O3703" i="5"/>
  <c r="N3703" i="5"/>
  <c r="M3703" i="5"/>
  <c r="L3703" i="5"/>
  <c r="K3703" i="5"/>
  <c r="J3703" i="5"/>
  <c r="I3703" i="5"/>
  <c r="H3703" i="5"/>
  <c r="G3703" i="5"/>
  <c r="V3702" i="5"/>
  <c r="U3702" i="5"/>
  <c r="T3702" i="5"/>
  <c r="S3702" i="5"/>
  <c r="R3702" i="5"/>
  <c r="Q3702" i="5"/>
  <c r="P3702" i="5"/>
  <c r="O3702" i="5"/>
  <c r="N3702" i="5"/>
  <c r="M3702" i="5"/>
  <c r="L3702" i="5"/>
  <c r="K3702" i="5"/>
  <c r="J3702" i="5"/>
  <c r="I3702" i="5"/>
  <c r="H3702" i="5"/>
  <c r="G3702" i="5"/>
  <c r="V3701" i="5"/>
  <c r="U3701" i="5"/>
  <c r="T3701" i="5"/>
  <c r="S3701" i="5"/>
  <c r="R3701" i="5"/>
  <c r="Q3701" i="5"/>
  <c r="P3701" i="5"/>
  <c r="O3701" i="5"/>
  <c r="N3701" i="5"/>
  <c r="M3701" i="5"/>
  <c r="L3701" i="5"/>
  <c r="K3701" i="5"/>
  <c r="J3701" i="5"/>
  <c r="I3701" i="5"/>
  <c r="H3701" i="5"/>
  <c r="G3701" i="5"/>
  <c r="V3700" i="5"/>
  <c r="U3700" i="5"/>
  <c r="T3700" i="5"/>
  <c r="S3700" i="5"/>
  <c r="R3700" i="5"/>
  <c r="Q3700" i="5"/>
  <c r="P3700" i="5"/>
  <c r="O3700" i="5"/>
  <c r="N3700" i="5"/>
  <c r="M3700" i="5"/>
  <c r="L3700" i="5"/>
  <c r="K3700" i="5"/>
  <c r="J3700" i="5"/>
  <c r="I3700" i="5"/>
  <c r="H3700" i="5"/>
  <c r="G3700" i="5"/>
  <c r="V3699" i="5"/>
  <c r="U3699" i="5"/>
  <c r="T3699" i="5"/>
  <c r="S3699" i="5"/>
  <c r="R3699" i="5"/>
  <c r="Q3699" i="5"/>
  <c r="P3699" i="5"/>
  <c r="O3699" i="5"/>
  <c r="N3699" i="5"/>
  <c r="M3699" i="5"/>
  <c r="L3699" i="5"/>
  <c r="K3699" i="5"/>
  <c r="J3699" i="5"/>
  <c r="I3699" i="5"/>
  <c r="H3699" i="5"/>
  <c r="G3699" i="5"/>
  <c r="V3698" i="5"/>
  <c r="U3698" i="5"/>
  <c r="T3698" i="5"/>
  <c r="S3698" i="5"/>
  <c r="R3698" i="5"/>
  <c r="Q3698" i="5"/>
  <c r="P3698" i="5"/>
  <c r="O3698" i="5"/>
  <c r="N3698" i="5"/>
  <c r="M3698" i="5"/>
  <c r="L3698" i="5"/>
  <c r="K3698" i="5"/>
  <c r="J3698" i="5"/>
  <c r="I3698" i="5"/>
  <c r="H3698" i="5"/>
  <c r="G3698" i="5"/>
  <c r="V3697" i="5"/>
  <c r="U3697" i="5"/>
  <c r="T3697" i="5"/>
  <c r="S3697" i="5"/>
  <c r="R3697" i="5"/>
  <c r="Q3697" i="5"/>
  <c r="P3697" i="5"/>
  <c r="O3697" i="5"/>
  <c r="N3697" i="5"/>
  <c r="M3697" i="5"/>
  <c r="L3697" i="5"/>
  <c r="K3697" i="5"/>
  <c r="J3697" i="5"/>
  <c r="I3697" i="5"/>
  <c r="H3697" i="5"/>
  <c r="G3697" i="5"/>
  <c r="V3696" i="5"/>
  <c r="U3696" i="5"/>
  <c r="T3696" i="5"/>
  <c r="S3696" i="5"/>
  <c r="R3696" i="5"/>
  <c r="Q3696" i="5"/>
  <c r="P3696" i="5"/>
  <c r="O3696" i="5"/>
  <c r="N3696" i="5"/>
  <c r="M3696" i="5"/>
  <c r="L3696" i="5"/>
  <c r="K3696" i="5"/>
  <c r="J3696" i="5"/>
  <c r="I3696" i="5"/>
  <c r="H3696" i="5"/>
  <c r="G3696" i="5"/>
  <c r="V3695" i="5"/>
  <c r="U3695" i="5"/>
  <c r="T3695" i="5"/>
  <c r="S3695" i="5"/>
  <c r="R3695" i="5"/>
  <c r="Q3695" i="5"/>
  <c r="P3695" i="5"/>
  <c r="O3695" i="5"/>
  <c r="N3695" i="5"/>
  <c r="M3695" i="5"/>
  <c r="L3695" i="5"/>
  <c r="K3695" i="5"/>
  <c r="J3695" i="5"/>
  <c r="I3695" i="5"/>
  <c r="H3695" i="5"/>
  <c r="G3695" i="5"/>
  <c r="V3694" i="5"/>
  <c r="U3694" i="5"/>
  <c r="T3694" i="5"/>
  <c r="S3694" i="5"/>
  <c r="R3694" i="5"/>
  <c r="Q3694" i="5"/>
  <c r="P3694" i="5"/>
  <c r="O3694" i="5"/>
  <c r="N3694" i="5"/>
  <c r="M3694" i="5"/>
  <c r="L3694" i="5"/>
  <c r="K3694" i="5"/>
  <c r="J3694" i="5"/>
  <c r="I3694" i="5"/>
  <c r="H3694" i="5"/>
  <c r="G3694" i="5"/>
  <c r="V3693" i="5"/>
  <c r="U3693" i="5"/>
  <c r="T3693" i="5"/>
  <c r="S3693" i="5"/>
  <c r="R3693" i="5"/>
  <c r="Q3693" i="5"/>
  <c r="P3693" i="5"/>
  <c r="O3693" i="5"/>
  <c r="N3693" i="5"/>
  <c r="M3693" i="5"/>
  <c r="L3693" i="5"/>
  <c r="K3693" i="5"/>
  <c r="J3693" i="5"/>
  <c r="I3693" i="5"/>
  <c r="H3693" i="5"/>
  <c r="G3693" i="5"/>
  <c r="V3692" i="5"/>
  <c r="U3692" i="5"/>
  <c r="T3692" i="5"/>
  <c r="S3692" i="5"/>
  <c r="R3692" i="5"/>
  <c r="Q3692" i="5"/>
  <c r="P3692" i="5"/>
  <c r="O3692" i="5"/>
  <c r="N3692" i="5"/>
  <c r="M3692" i="5"/>
  <c r="L3692" i="5"/>
  <c r="K3692" i="5"/>
  <c r="J3692" i="5"/>
  <c r="I3692" i="5"/>
  <c r="H3692" i="5"/>
  <c r="G3692" i="5"/>
  <c r="V3691" i="5"/>
  <c r="U3691" i="5"/>
  <c r="T3691" i="5"/>
  <c r="S3691" i="5"/>
  <c r="R3691" i="5"/>
  <c r="Q3691" i="5"/>
  <c r="P3691" i="5"/>
  <c r="O3691" i="5"/>
  <c r="N3691" i="5"/>
  <c r="M3691" i="5"/>
  <c r="L3691" i="5"/>
  <c r="K3691" i="5"/>
  <c r="J3691" i="5"/>
  <c r="I3691" i="5"/>
  <c r="H3691" i="5"/>
  <c r="G3691" i="5"/>
  <c r="V3690" i="5"/>
  <c r="U3690" i="5"/>
  <c r="T3690" i="5"/>
  <c r="S3690" i="5"/>
  <c r="R3690" i="5"/>
  <c r="Q3690" i="5"/>
  <c r="P3690" i="5"/>
  <c r="O3690" i="5"/>
  <c r="N3690" i="5"/>
  <c r="M3690" i="5"/>
  <c r="L3690" i="5"/>
  <c r="K3690" i="5"/>
  <c r="J3690" i="5"/>
  <c r="I3690" i="5"/>
  <c r="H3690" i="5"/>
  <c r="G3690" i="5"/>
  <c r="V3689" i="5"/>
  <c r="U3689" i="5"/>
  <c r="T3689" i="5"/>
  <c r="S3689" i="5"/>
  <c r="R3689" i="5"/>
  <c r="Q3689" i="5"/>
  <c r="P3689" i="5"/>
  <c r="O3689" i="5"/>
  <c r="N3689" i="5"/>
  <c r="M3689" i="5"/>
  <c r="L3689" i="5"/>
  <c r="K3689" i="5"/>
  <c r="J3689" i="5"/>
  <c r="I3689" i="5"/>
  <c r="H3689" i="5"/>
  <c r="G3689" i="5"/>
  <c r="V3688" i="5"/>
  <c r="U3688" i="5"/>
  <c r="T3688" i="5"/>
  <c r="S3688" i="5"/>
  <c r="R3688" i="5"/>
  <c r="Q3688" i="5"/>
  <c r="P3688" i="5"/>
  <c r="O3688" i="5"/>
  <c r="N3688" i="5"/>
  <c r="M3688" i="5"/>
  <c r="L3688" i="5"/>
  <c r="K3688" i="5"/>
  <c r="J3688" i="5"/>
  <c r="I3688" i="5"/>
  <c r="H3688" i="5"/>
  <c r="G3688" i="5"/>
  <c r="V3687" i="5"/>
  <c r="U3687" i="5"/>
  <c r="T3687" i="5"/>
  <c r="S3687" i="5"/>
  <c r="R3687" i="5"/>
  <c r="Q3687" i="5"/>
  <c r="P3687" i="5"/>
  <c r="O3687" i="5"/>
  <c r="N3687" i="5"/>
  <c r="M3687" i="5"/>
  <c r="L3687" i="5"/>
  <c r="K3687" i="5"/>
  <c r="J3687" i="5"/>
  <c r="I3687" i="5"/>
  <c r="H3687" i="5"/>
  <c r="G3687" i="5"/>
  <c r="V3686" i="5"/>
  <c r="U3686" i="5"/>
  <c r="T3686" i="5"/>
  <c r="S3686" i="5"/>
  <c r="R3686" i="5"/>
  <c r="Q3686" i="5"/>
  <c r="P3686" i="5"/>
  <c r="O3686" i="5"/>
  <c r="N3686" i="5"/>
  <c r="M3686" i="5"/>
  <c r="L3686" i="5"/>
  <c r="K3686" i="5"/>
  <c r="J3686" i="5"/>
  <c r="I3686" i="5"/>
  <c r="H3686" i="5"/>
  <c r="G3686" i="5"/>
  <c r="V3685" i="5"/>
  <c r="U3685" i="5"/>
  <c r="T3685" i="5"/>
  <c r="S3685" i="5"/>
  <c r="R3685" i="5"/>
  <c r="Q3685" i="5"/>
  <c r="P3685" i="5"/>
  <c r="O3685" i="5"/>
  <c r="N3685" i="5"/>
  <c r="M3685" i="5"/>
  <c r="L3685" i="5"/>
  <c r="K3685" i="5"/>
  <c r="J3685" i="5"/>
  <c r="I3685" i="5"/>
  <c r="H3685" i="5"/>
  <c r="G3685" i="5"/>
  <c r="V3684" i="5"/>
  <c r="U3684" i="5"/>
  <c r="T3684" i="5"/>
  <c r="S3684" i="5"/>
  <c r="R3684" i="5"/>
  <c r="Q3684" i="5"/>
  <c r="P3684" i="5"/>
  <c r="O3684" i="5"/>
  <c r="N3684" i="5"/>
  <c r="M3684" i="5"/>
  <c r="L3684" i="5"/>
  <c r="K3684" i="5"/>
  <c r="J3684" i="5"/>
  <c r="I3684" i="5"/>
  <c r="H3684" i="5"/>
  <c r="G3684" i="5"/>
  <c r="V3683" i="5"/>
  <c r="U3683" i="5"/>
  <c r="T3683" i="5"/>
  <c r="S3683" i="5"/>
  <c r="R3683" i="5"/>
  <c r="Q3683" i="5"/>
  <c r="P3683" i="5"/>
  <c r="O3683" i="5"/>
  <c r="N3683" i="5"/>
  <c r="M3683" i="5"/>
  <c r="L3683" i="5"/>
  <c r="K3683" i="5"/>
  <c r="J3683" i="5"/>
  <c r="I3683" i="5"/>
  <c r="H3683" i="5"/>
  <c r="G3683" i="5"/>
  <c r="V3682" i="5"/>
  <c r="U3682" i="5"/>
  <c r="T3682" i="5"/>
  <c r="S3682" i="5"/>
  <c r="R3682" i="5"/>
  <c r="Q3682" i="5"/>
  <c r="P3682" i="5"/>
  <c r="O3682" i="5"/>
  <c r="N3682" i="5"/>
  <c r="M3682" i="5"/>
  <c r="L3682" i="5"/>
  <c r="K3682" i="5"/>
  <c r="J3682" i="5"/>
  <c r="I3682" i="5"/>
  <c r="H3682" i="5"/>
  <c r="G3682" i="5"/>
  <c r="V3681" i="5"/>
  <c r="U3681" i="5"/>
  <c r="T3681" i="5"/>
  <c r="S3681" i="5"/>
  <c r="R3681" i="5"/>
  <c r="Q3681" i="5"/>
  <c r="P3681" i="5"/>
  <c r="O3681" i="5"/>
  <c r="N3681" i="5"/>
  <c r="M3681" i="5"/>
  <c r="L3681" i="5"/>
  <c r="K3681" i="5"/>
  <c r="J3681" i="5"/>
  <c r="I3681" i="5"/>
  <c r="H3681" i="5"/>
  <c r="G3681" i="5"/>
  <c r="V3680" i="5"/>
  <c r="U3680" i="5"/>
  <c r="T3680" i="5"/>
  <c r="S3680" i="5"/>
  <c r="R3680" i="5"/>
  <c r="Q3680" i="5"/>
  <c r="P3680" i="5"/>
  <c r="O3680" i="5"/>
  <c r="N3680" i="5"/>
  <c r="M3680" i="5"/>
  <c r="L3680" i="5"/>
  <c r="K3680" i="5"/>
  <c r="J3680" i="5"/>
  <c r="I3680" i="5"/>
  <c r="H3680" i="5"/>
  <c r="G3680" i="5"/>
  <c r="V3679" i="5"/>
  <c r="U3679" i="5"/>
  <c r="T3679" i="5"/>
  <c r="S3679" i="5"/>
  <c r="R3679" i="5"/>
  <c r="Q3679" i="5"/>
  <c r="P3679" i="5"/>
  <c r="O3679" i="5"/>
  <c r="N3679" i="5"/>
  <c r="M3679" i="5"/>
  <c r="L3679" i="5"/>
  <c r="K3679" i="5"/>
  <c r="J3679" i="5"/>
  <c r="I3679" i="5"/>
  <c r="H3679" i="5"/>
  <c r="G3679" i="5"/>
  <c r="V3678" i="5"/>
  <c r="U3678" i="5"/>
  <c r="T3678" i="5"/>
  <c r="S3678" i="5"/>
  <c r="R3678" i="5"/>
  <c r="Q3678" i="5"/>
  <c r="P3678" i="5"/>
  <c r="O3678" i="5"/>
  <c r="N3678" i="5"/>
  <c r="M3678" i="5"/>
  <c r="L3678" i="5"/>
  <c r="K3678" i="5"/>
  <c r="J3678" i="5"/>
  <c r="I3678" i="5"/>
  <c r="H3678" i="5"/>
  <c r="G3678" i="5"/>
  <c r="V3677" i="5"/>
  <c r="U3677" i="5"/>
  <c r="T3677" i="5"/>
  <c r="S3677" i="5"/>
  <c r="R3677" i="5"/>
  <c r="Q3677" i="5"/>
  <c r="P3677" i="5"/>
  <c r="O3677" i="5"/>
  <c r="N3677" i="5"/>
  <c r="M3677" i="5"/>
  <c r="L3677" i="5"/>
  <c r="K3677" i="5"/>
  <c r="J3677" i="5"/>
  <c r="I3677" i="5"/>
  <c r="H3677" i="5"/>
  <c r="G3677" i="5"/>
  <c r="V3676" i="5"/>
  <c r="U3676" i="5"/>
  <c r="T3676" i="5"/>
  <c r="S3676" i="5"/>
  <c r="R3676" i="5"/>
  <c r="Q3676" i="5"/>
  <c r="P3676" i="5"/>
  <c r="O3676" i="5"/>
  <c r="N3676" i="5"/>
  <c r="M3676" i="5"/>
  <c r="L3676" i="5"/>
  <c r="K3676" i="5"/>
  <c r="J3676" i="5"/>
  <c r="I3676" i="5"/>
  <c r="H3676" i="5"/>
  <c r="G3676" i="5"/>
  <c r="V3675" i="5"/>
  <c r="U3675" i="5"/>
  <c r="T3675" i="5"/>
  <c r="S3675" i="5"/>
  <c r="R3675" i="5"/>
  <c r="Q3675" i="5"/>
  <c r="P3675" i="5"/>
  <c r="O3675" i="5"/>
  <c r="N3675" i="5"/>
  <c r="M3675" i="5"/>
  <c r="L3675" i="5"/>
  <c r="K3675" i="5"/>
  <c r="J3675" i="5"/>
  <c r="I3675" i="5"/>
  <c r="H3675" i="5"/>
  <c r="G3675" i="5"/>
  <c r="V3674" i="5"/>
  <c r="U3674" i="5"/>
  <c r="T3674" i="5"/>
  <c r="S3674" i="5"/>
  <c r="R3674" i="5"/>
  <c r="Q3674" i="5"/>
  <c r="P3674" i="5"/>
  <c r="O3674" i="5"/>
  <c r="N3674" i="5"/>
  <c r="M3674" i="5"/>
  <c r="L3674" i="5"/>
  <c r="K3674" i="5"/>
  <c r="J3674" i="5"/>
  <c r="I3674" i="5"/>
  <c r="H3674" i="5"/>
  <c r="G3674" i="5"/>
  <c r="V3673" i="5"/>
  <c r="U3673" i="5"/>
  <c r="T3673" i="5"/>
  <c r="S3673" i="5"/>
  <c r="R3673" i="5"/>
  <c r="Q3673" i="5"/>
  <c r="P3673" i="5"/>
  <c r="O3673" i="5"/>
  <c r="N3673" i="5"/>
  <c r="M3673" i="5"/>
  <c r="L3673" i="5"/>
  <c r="K3673" i="5"/>
  <c r="J3673" i="5"/>
  <c r="I3673" i="5"/>
  <c r="H3673" i="5"/>
  <c r="G3673" i="5"/>
  <c r="V3672" i="5"/>
  <c r="U3672" i="5"/>
  <c r="T3672" i="5"/>
  <c r="S3672" i="5"/>
  <c r="R3672" i="5"/>
  <c r="Q3672" i="5"/>
  <c r="P3672" i="5"/>
  <c r="O3672" i="5"/>
  <c r="N3672" i="5"/>
  <c r="M3672" i="5"/>
  <c r="L3672" i="5"/>
  <c r="K3672" i="5"/>
  <c r="J3672" i="5"/>
  <c r="I3672" i="5"/>
  <c r="H3672" i="5"/>
  <c r="G3672" i="5"/>
  <c r="V3671" i="5"/>
  <c r="U3671" i="5"/>
  <c r="T3671" i="5"/>
  <c r="S3671" i="5"/>
  <c r="R3671" i="5"/>
  <c r="Q3671" i="5"/>
  <c r="P3671" i="5"/>
  <c r="O3671" i="5"/>
  <c r="N3671" i="5"/>
  <c r="M3671" i="5"/>
  <c r="L3671" i="5"/>
  <c r="K3671" i="5"/>
  <c r="J3671" i="5"/>
  <c r="I3671" i="5"/>
  <c r="H3671" i="5"/>
  <c r="G3671" i="5"/>
  <c r="V3670" i="5"/>
  <c r="U3670" i="5"/>
  <c r="T3670" i="5"/>
  <c r="S3670" i="5"/>
  <c r="R3670" i="5"/>
  <c r="Q3670" i="5"/>
  <c r="P3670" i="5"/>
  <c r="O3670" i="5"/>
  <c r="N3670" i="5"/>
  <c r="M3670" i="5"/>
  <c r="L3670" i="5"/>
  <c r="K3670" i="5"/>
  <c r="J3670" i="5"/>
  <c r="I3670" i="5"/>
  <c r="H3670" i="5"/>
  <c r="G3670" i="5"/>
  <c r="V3669" i="5"/>
  <c r="U3669" i="5"/>
  <c r="T3669" i="5"/>
  <c r="S3669" i="5"/>
  <c r="R3669" i="5"/>
  <c r="Q3669" i="5"/>
  <c r="P3669" i="5"/>
  <c r="O3669" i="5"/>
  <c r="N3669" i="5"/>
  <c r="M3669" i="5"/>
  <c r="L3669" i="5"/>
  <c r="K3669" i="5"/>
  <c r="J3669" i="5"/>
  <c r="I3669" i="5"/>
  <c r="H3669" i="5"/>
  <c r="G3669" i="5"/>
  <c r="V3668" i="5"/>
  <c r="U3668" i="5"/>
  <c r="T3668" i="5"/>
  <c r="S3668" i="5"/>
  <c r="R3668" i="5"/>
  <c r="Q3668" i="5"/>
  <c r="P3668" i="5"/>
  <c r="O3668" i="5"/>
  <c r="N3668" i="5"/>
  <c r="M3668" i="5"/>
  <c r="L3668" i="5"/>
  <c r="K3668" i="5"/>
  <c r="J3668" i="5"/>
  <c r="I3668" i="5"/>
  <c r="H3668" i="5"/>
  <c r="G3668" i="5"/>
  <c r="V3667" i="5"/>
  <c r="U3667" i="5"/>
  <c r="T3667" i="5"/>
  <c r="S3667" i="5"/>
  <c r="R3667" i="5"/>
  <c r="Q3667" i="5"/>
  <c r="P3667" i="5"/>
  <c r="O3667" i="5"/>
  <c r="N3667" i="5"/>
  <c r="M3667" i="5"/>
  <c r="L3667" i="5"/>
  <c r="K3667" i="5"/>
  <c r="J3667" i="5"/>
  <c r="I3667" i="5"/>
  <c r="H3667" i="5"/>
  <c r="G3667" i="5"/>
  <c r="V3666" i="5"/>
  <c r="U3666" i="5"/>
  <c r="T3666" i="5"/>
  <c r="S3666" i="5"/>
  <c r="R3666" i="5"/>
  <c r="Q3666" i="5"/>
  <c r="P3666" i="5"/>
  <c r="O3666" i="5"/>
  <c r="N3666" i="5"/>
  <c r="M3666" i="5"/>
  <c r="L3666" i="5"/>
  <c r="K3666" i="5"/>
  <c r="J3666" i="5"/>
  <c r="I3666" i="5"/>
  <c r="H3666" i="5"/>
  <c r="G3666" i="5"/>
  <c r="V3665" i="5"/>
  <c r="U3665" i="5"/>
  <c r="T3665" i="5"/>
  <c r="S3665" i="5"/>
  <c r="R3665" i="5"/>
  <c r="Q3665" i="5"/>
  <c r="P3665" i="5"/>
  <c r="O3665" i="5"/>
  <c r="N3665" i="5"/>
  <c r="M3665" i="5"/>
  <c r="L3665" i="5"/>
  <c r="K3665" i="5"/>
  <c r="J3665" i="5"/>
  <c r="I3665" i="5"/>
  <c r="H3665" i="5"/>
  <c r="G3665" i="5"/>
  <c r="V3664" i="5"/>
  <c r="U3664" i="5"/>
  <c r="T3664" i="5"/>
  <c r="S3664" i="5"/>
  <c r="R3664" i="5"/>
  <c r="Q3664" i="5"/>
  <c r="P3664" i="5"/>
  <c r="O3664" i="5"/>
  <c r="N3664" i="5"/>
  <c r="M3664" i="5"/>
  <c r="L3664" i="5"/>
  <c r="K3664" i="5"/>
  <c r="J3664" i="5"/>
  <c r="I3664" i="5"/>
  <c r="H3664" i="5"/>
  <c r="G3664" i="5"/>
  <c r="V3663" i="5"/>
  <c r="U3663" i="5"/>
  <c r="T3663" i="5"/>
  <c r="S3663" i="5"/>
  <c r="R3663" i="5"/>
  <c r="Q3663" i="5"/>
  <c r="P3663" i="5"/>
  <c r="O3663" i="5"/>
  <c r="N3663" i="5"/>
  <c r="M3663" i="5"/>
  <c r="L3663" i="5"/>
  <c r="K3663" i="5"/>
  <c r="J3663" i="5"/>
  <c r="I3663" i="5"/>
  <c r="H3663" i="5"/>
  <c r="G3663" i="5"/>
  <c r="V3662" i="5"/>
  <c r="U3662" i="5"/>
  <c r="T3662" i="5"/>
  <c r="S3662" i="5"/>
  <c r="R3662" i="5"/>
  <c r="Q3662" i="5"/>
  <c r="P3662" i="5"/>
  <c r="O3662" i="5"/>
  <c r="N3662" i="5"/>
  <c r="M3662" i="5"/>
  <c r="L3662" i="5"/>
  <c r="K3662" i="5"/>
  <c r="J3662" i="5"/>
  <c r="I3662" i="5"/>
  <c r="H3662" i="5"/>
  <c r="G3662" i="5"/>
  <c r="V3661" i="5"/>
  <c r="U3661" i="5"/>
  <c r="T3661" i="5"/>
  <c r="S3661" i="5"/>
  <c r="R3661" i="5"/>
  <c r="Q3661" i="5"/>
  <c r="P3661" i="5"/>
  <c r="O3661" i="5"/>
  <c r="N3661" i="5"/>
  <c r="M3661" i="5"/>
  <c r="L3661" i="5"/>
  <c r="K3661" i="5"/>
  <c r="J3661" i="5"/>
  <c r="I3661" i="5"/>
  <c r="H3661" i="5"/>
  <c r="G3661" i="5"/>
  <c r="V3660" i="5"/>
  <c r="U3660" i="5"/>
  <c r="T3660" i="5"/>
  <c r="S3660" i="5"/>
  <c r="R3660" i="5"/>
  <c r="Q3660" i="5"/>
  <c r="P3660" i="5"/>
  <c r="O3660" i="5"/>
  <c r="N3660" i="5"/>
  <c r="M3660" i="5"/>
  <c r="L3660" i="5"/>
  <c r="K3660" i="5"/>
  <c r="J3660" i="5"/>
  <c r="I3660" i="5"/>
  <c r="H3660" i="5"/>
  <c r="G3660" i="5"/>
  <c r="V3659" i="5"/>
  <c r="U3659" i="5"/>
  <c r="T3659" i="5"/>
  <c r="S3659" i="5"/>
  <c r="R3659" i="5"/>
  <c r="Q3659" i="5"/>
  <c r="P3659" i="5"/>
  <c r="O3659" i="5"/>
  <c r="N3659" i="5"/>
  <c r="M3659" i="5"/>
  <c r="L3659" i="5"/>
  <c r="K3659" i="5"/>
  <c r="J3659" i="5"/>
  <c r="I3659" i="5"/>
  <c r="H3659" i="5"/>
  <c r="G3659" i="5"/>
  <c r="V3658" i="5"/>
  <c r="U3658" i="5"/>
  <c r="T3658" i="5"/>
  <c r="S3658" i="5"/>
  <c r="R3658" i="5"/>
  <c r="Q3658" i="5"/>
  <c r="P3658" i="5"/>
  <c r="O3658" i="5"/>
  <c r="N3658" i="5"/>
  <c r="M3658" i="5"/>
  <c r="L3658" i="5"/>
  <c r="K3658" i="5"/>
  <c r="J3658" i="5"/>
  <c r="I3658" i="5"/>
  <c r="H3658" i="5"/>
  <c r="G3658" i="5"/>
  <c r="V3657" i="5"/>
  <c r="U3657" i="5"/>
  <c r="T3657" i="5"/>
  <c r="S3657" i="5"/>
  <c r="R3657" i="5"/>
  <c r="Q3657" i="5"/>
  <c r="P3657" i="5"/>
  <c r="O3657" i="5"/>
  <c r="N3657" i="5"/>
  <c r="M3657" i="5"/>
  <c r="L3657" i="5"/>
  <c r="K3657" i="5"/>
  <c r="J3657" i="5"/>
  <c r="I3657" i="5"/>
  <c r="H3657" i="5"/>
  <c r="G3657" i="5"/>
  <c r="V3656" i="5"/>
  <c r="U3656" i="5"/>
  <c r="T3656" i="5"/>
  <c r="S3656" i="5"/>
  <c r="R3656" i="5"/>
  <c r="Q3656" i="5"/>
  <c r="P3656" i="5"/>
  <c r="O3656" i="5"/>
  <c r="N3656" i="5"/>
  <c r="M3656" i="5"/>
  <c r="L3656" i="5"/>
  <c r="K3656" i="5"/>
  <c r="J3656" i="5"/>
  <c r="I3656" i="5"/>
  <c r="H3656" i="5"/>
  <c r="G3656" i="5"/>
  <c r="V3655" i="5"/>
  <c r="U3655" i="5"/>
  <c r="T3655" i="5"/>
  <c r="S3655" i="5"/>
  <c r="R3655" i="5"/>
  <c r="Q3655" i="5"/>
  <c r="P3655" i="5"/>
  <c r="O3655" i="5"/>
  <c r="N3655" i="5"/>
  <c r="M3655" i="5"/>
  <c r="L3655" i="5"/>
  <c r="K3655" i="5"/>
  <c r="J3655" i="5"/>
  <c r="I3655" i="5"/>
  <c r="H3655" i="5"/>
  <c r="G3655" i="5"/>
  <c r="V3654" i="5"/>
  <c r="U3654" i="5"/>
  <c r="T3654" i="5"/>
  <c r="S3654" i="5"/>
  <c r="R3654" i="5"/>
  <c r="Q3654" i="5"/>
  <c r="P3654" i="5"/>
  <c r="O3654" i="5"/>
  <c r="N3654" i="5"/>
  <c r="M3654" i="5"/>
  <c r="L3654" i="5"/>
  <c r="K3654" i="5"/>
  <c r="J3654" i="5"/>
  <c r="I3654" i="5"/>
  <c r="H3654" i="5"/>
  <c r="G3654" i="5"/>
  <c r="V3653" i="5"/>
  <c r="U3653" i="5"/>
  <c r="T3653" i="5"/>
  <c r="S3653" i="5"/>
  <c r="R3653" i="5"/>
  <c r="Q3653" i="5"/>
  <c r="P3653" i="5"/>
  <c r="O3653" i="5"/>
  <c r="N3653" i="5"/>
  <c r="M3653" i="5"/>
  <c r="L3653" i="5"/>
  <c r="K3653" i="5"/>
  <c r="J3653" i="5"/>
  <c r="I3653" i="5"/>
  <c r="H3653" i="5"/>
  <c r="G3653" i="5"/>
  <c r="V3652" i="5"/>
  <c r="U3652" i="5"/>
  <c r="T3652" i="5"/>
  <c r="S3652" i="5"/>
  <c r="R3652" i="5"/>
  <c r="Q3652" i="5"/>
  <c r="P3652" i="5"/>
  <c r="O3652" i="5"/>
  <c r="N3652" i="5"/>
  <c r="M3652" i="5"/>
  <c r="L3652" i="5"/>
  <c r="K3652" i="5"/>
  <c r="J3652" i="5"/>
  <c r="I3652" i="5"/>
  <c r="H3652" i="5"/>
  <c r="G3652" i="5"/>
  <c r="V3651" i="5"/>
  <c r="U3651" i="5"/>
  <c r="T3651" i="5"/>
  <c r="S3651" i="5"/>
  <c r="R3651" i="5"/>
  <c r="Q3651" i="5"/>
  <c r="P3651" i="5"/>
  <c r="O3651" i="5"/>
  <c r="N3651" i="5"/>
  <c r="M3651" i="5"/>
  <c r="L3651" i="5"/>
  <c r="K3651" i="5"/>
  <c r="J3651" i="5"/>
  <c r="I3651" i="5"/>
  <c r="H3651" i="5"/>
  <c r="G3651" i="5"/>
  <c r="V3650" i="5"/>
  <c r="U3650" i="5"/>
  <c r="T3650" i="5"/>
  <c r="S3650" i="5"/>
  <c r="R3650" i="5"/>
  <c r="Q3650" i="5"/>
  <c r="P3650" i="5"/>
  <c r="O3650" i="5"/>
  <c r="N3650" i="5"/>
  <c r="M3650" i="5"/>
  <c r="L3650" i="5"/>
  <c r="K3650" i="5"/>
  <c r="J3650" i="5"/>
  <c r="I3650" i="5"/>
  <c r="H3650" i="5"/>
  <c r="G3650" i="5"/>
  <c r="V3649" i="5"/>
  <c r="U3649" i="5"/>
  <c r="T3649" i="5"/>
  <c r="S3649" i="5"/>
  <c r="R3649" i="5"/>
  <c r="Q3649" i="5"/>
  <c r="P3649" i="5"/>
  <c r="O3649" i="5"/>
  <c r="N3649" i="5"/>
  <c r="M3649" i="5"/>
  <c r="L3649" i="5"/>
  <c r="K3649" i="5"/>
  <c r="J3649" i="5"/>
  <c r="I3649" i="5"/>
  <c r="H3649" i="5"/>
  <c r="G3649" i="5"/>
  <c r="V3648" i="5"/>
  <c r="U3648" i="5"/>
  <c r="T3648" i="5"/>
  <c r="S3648" i="5"/>
  <c r="R3648" i="5"/>
  <c r="Q3648" i="5"/>
  <c r="P3648" i="5"/>
  <c r="O3648" i="5"/>
  <c r="N3648" i="5"/>
  <c r="M3648" i="5"/>
  <c r="L3648" i="5"/>
  <c r="K3648" i="5"/>
  <c r="J3648" i="5"/>
  <c r="I3648" i="5"/>
  <c r="H3648" i="5"/>
  <c r="G3648" i="5"/>
  <c r="V3647" i="5"/>
  <c r="U3647" i="5"/>
  <c r="T3647" i="5"/>
  <c r="S3647" i="5"/>
  <c r="R3647" i="5"/>
  <c r="Q3647" i="5"/>
  <c r="P3647" i="5"/>
  <c r="O3647" i="5"/>
  <c r="N3647" i="5"/>
  <c r="M3647" i="5"/>
  <c r="L3647" i="5"/>
  <c r="K3647" i="5"/>
  <c r="J3647" i="5"/>
  <c r="I3647" i="5"/>
  <c r="H3647" i="5"/>
  <c r="G3647" i="5"/>
  <c r="V3646" i="5"/>
  <c r="U3646" i="5"/>
  <c r="T3646" i="5"/>
  <c r="S3646" i="5"/>
  <c r="R3646" i="5"/>
  <c r="Q3646" i="5"/>
  <c r="P3646" i="5"/>
  <c r="O3646" i="5"/>
  <c r="N3646" i="5"/>
  <c r="M3646" i="5"/>
  <c r="L3646" i="5"/>
  <c r="K3646" i="5"/>
  <c r="J3646" i="5"/>
  <c r="I3646" i="5"/>
  <c r="H3646" i="5"/>
  <c r="G3646" i="5"/>
  <c r="V3645" i="5"/>
  <c r="U3645" i="5"/>
  <c r="T3645" i="5"/>
  <c r="S3645" i="5"/>
  <c r="R3645" i="5"/>
  <c r="Q3645" i="5"/>
  <c r="P3645" i="5"/>
  <c r="O3645" i="5"/>
  <c r="N3645" i="5"/>
  <c r="M3645" i="5"/>
  <c r="L3645" i="5"/>
  <c r="K3645" i="5"/>
  <c r="J3645" i="5"/>
  <c r="I3645" i="5"/>
  <c r="H3645" i="5"/>
  <c r="G3645" i="5"/>
  <c r="V3644" i="5"/>
  <c r="U3644" i="5"/>
  <c r="T3644" i="5"/>
  <c r="S3644" i="5"/>
  <c r="R3644" i="5"/>
  <c r="Q3644" i="5"/>
  <c r="P3644" i="5"/>
  <c r="O3644" i="5"/>
  <c r="N3644" i="5"/>
  <c r="M3644" i="5"/>
  <c r="L3644" i="5"/>
  <c r="K3644" i="5"/>
  <c r="J3644" i="5"/>
  <c r="I3644" i="5"/>
  <c r="H3644" i="5"/>
  <c r="G3644" i="5"/>
  <c r="V3643" i="5"/>
  <c r="U3643" i="5"/>
  <c r="T3643" i="5"/>
  <c r="S3643" i="5"/>
  <c r="R3643" i="5"/>
  <c r="Q3643" i="5"/>
  <c r="P3643" i="5"/>
  <c r="O3643" i="5"/>
  <c r="N3643" i="5"/>
  <c r="M3643" i="5"/>
  <c r="L3643" i="5"/>
  <c r="K3643" i="5"/>
  <c r="J3643" i="5"/>
  <c r="I3643" i="5"/>
  <c r="H3643" i="5"/>
  <c r="G3643" i="5"/>
  <c r="V3642" i="5"/>
  <c r="U3642" i="5"/>
  <c r="T3642" i="5"/>
  <c r="S3642" i="5"/>
  <c r="R3642" i="5"/>
  <c r="Q3642" i="5"/>
  <c r="P3642" i="5"/>
  <c r="O3642" i="5"/>
  <c r="N3642" i="5"/>
  <c r="M3642" i="5"/>
  <c r="L3642" i="5"/>
  <c r="K3642" i="5"/>
  <c r="J3642" i="5"/>
  <c r="I3642" i="5"/>
  <c r="H3642" i="5"/>
  <c r="G3642" i="5"/>
  <c r="V3641" i="5"/>
  <c r="U3641" i="5"/>
  <c r="T3641" i="5"/>
  <c r="S3641" i="5"/>
  <c r="R3641" i="5"/>
  <c r="Q3641" i="5"/>
  <c r="P3641" i="5"/>
  <c r="O3641" i="5"/>
  <c r="N3641" i="5"/>
  <c r="M3641" i="5"/>
  <c r="L3641" i="5"/>
  <c r="K3641" i="5"/>
  <c r="J3641" i="5"/>
  <c r="I3641" i="5"/>
  <c r="H3641" i="5"/>
  <c r="G3641" i="5"/>
  <c r="V3640" i="5"/>
  <c r="U3640" i="5"/>
  <c r="T3640" i="5"/>
  <c r="S3640" i="5"/>
  <c r="R3640" i="5"/>
  <c r="Q3640" i="5"/>
  <c r="P3640" i="5"/>
  <c r="O3640" i="5"/>
  <c r="N3640" i="5"/>
  <c r="M3640" i="5"/>
  <c r="L3640" i="5"/>
  <c r="K3640" i="5"/>
  <c r="J3640" i="5"/>
  <c r="I3640" i="5"/>
  <c r="H3640" i="5"/>
  <c r="G3640" i="5"/>
  <c r="V3639" i="5"/>
  <c r="U3639" i="5"/>
  <c r="T3639" i="5"/>
  <c r="S3639" i="5"/>
  <c r="R3639" i="5"/>
  <c r="Q3639" i="5"/>
  <c r="P3639" i="5"/>
  <c r="O3639" i="5"/>
  <c r="N3639" i="5"/>
  <c r="M3639" i="5"/>
  <c r="L3639" i="5"/>
  <c r="K3639" i="5"/>
  <c r="J3639" i="5"/>
  <c r="I3639" i="5"/>
  <c r="H3639" i="5"/>
  <c r="G3639" i="5"/>
  <c r="V3638" i="5"/>
  <c r="U3638" i="5"/>
  <c r="T3638" i="5"/>
  <c r="S3638" i="5"/>
  <c r="R3638" i="5"/>
  <c r="Q3638" i="5"/>
  <c r="P3638" i="5"/>
  <c r="O3638" i="5"/>
  <c r="N3638" i="5"/>
  <c r="M3638" i="5"/>
  <c r="L3638" i="5"/>
  <c r="K3638" i="5"/>
  <c r="J3638" i="5"/>
  <c r="I3638" i="5"/>
  <c r="H3638" i="5"/>
  <c r="G3638" i="5"/>
  <c r="V3637" i="5"/>
  <c r="U3637" i="5"/>
  <c r="T3637" i="5"/>
  <c r="S3637" i="5"/>
  <c r="R3637" i="5"/>
  <c r="Q3637" i="5"/>
  <c r="P3637" i="5"/>
  <c r="O3637" i="5"/>
  <c r="N3637" i="5"/>
  <c r="M3637" i="5"/>
  <c r="L3637" i="5"/>
  <c r="K3637" i="5"/>
  <c r="J3637" i="5"/>
  <c r="I3637" i="5"/>
  <c r="H3637" i="5"/>
  <c r="G3637" i="5"/>
  <c r="V3636" i="5"/>
  <c r="U3636" i="5"/>
  <c r="T3636" i="5"/>
  <c r="S3636" i="5"/>
  <c r="R3636" i="5"/>
  <c r="Q3636" i="5"/>
  <c r="P3636" i="5"/>
  <c r="O3636" i="5"/>
  <c r="N3636" i="5"/>
  <c r="M3636" i="5"/>
  <c r="L3636" i="5"/>
  <c r="K3636" i="5"/>
  <c r="J3636" i="5"/>
  <c r="I3636" i="5"/>
  <c r="H3636" i="5"/>
  <c r="G3636" i="5"/>
  <c r="V3635" i="5"/>
  <c r="U3635" i="5"/>
  <c r="T3635" i="5"/>
  <c r="S3635" i="5"/>
  <c r="R3635" i="5"/>
  <c r="Q3635" i="5"/>
  <c r="P3635" i="5"/>
  <c r="O3635" i="5"/>
  <c r="N3635" i="5"/>
  <c r="M3635" i="5"/>
  <c r="L3635" i="5"/>
  <c r="K3635" i="5"/>
  <c r="J3635" i="5"/>
  <c r="I3635" i="5"/>
  <c r="H3635" i="5"/>
  <c r="G3635" i="5"/>
  <c r="V3634" i="5"/>
  <c r="U3634" i="5"/>
  <c r="T3634" i="5"/>
  <c r="S3634" i="5"/>
  <c r="R3634" i="5"/>
  <c r="Q3634" i="5"/>
  <c r="P3634" i="5"/>
  <c r="O3634" i="5"/>
  <c r="N3634" i="5"/>
  <c r="M3634" i="5"/>
  <c r="L3634" i="5"/>
  <c r="K3634" i="5"/>
  <c r="J3634" i="5"/>
  <c r="I3634" i="5"/>
  <c r="H3634" i="5"/>
  <c r="G3634" i="5"/>
  <c r="V3633" i="5"/>
  <c r="U3633" i="5"/>
  <c r="T3633" i="5"/>
  <c r="S3633" i="5"/>
  <c r="R3633" i="5"/>
  <c r="Q3633" i="5"/>
  <c r="P3633" i="5"/>
  <c r="O3633" i="5"/>
  <c r="N3633" i="5"/>
  <c r="M3633" i="5"/>
  <c r="L3633" i="5"/>
  <c r="K3633" i="5"/>
  <c r="J3633" i="5"/>
  <c r="I3633" i="5"/>
  <c r="H3633" i="5"/>
  <c r="G3633" i="5"/>
  <c r="V3632" i="5"/>
  <c r="U3632" i="5"/>
  <c r="T3632" i="5"/>
  <c r="S3632" i="5"/>
  <c r="R3632" i="5"/>
  <c r="Q3632" i="5"/>
  <c r="P3632" i="5"/>
  <c r="O3632" i="5"/>
  <c r="N3632" i="5"/>
  <c r="M3632" i="5"/>
  <c r="L3632" i="5"/>
  <c r="K3632" i="5"/>
  <c r="J3632" i="5"/>
  <c r="I3632" i="5"/>
  <c r="H3632" i="5"/>
  <c r="G3632" i="5"/>
  <c r="V3631" i="5"/>
  <c r="U3631" i="5"/>
  <c r="T3631" i="5"/>
  <c r="S3631" i="5"/>
  <c r="R3631" i="5"/>
  <c r="Q3631" i="5"/>
  <c r="P3631" i="5"/>
  <c r="O3631" i="5"/>
  <c r="N3631" i="5"/>
  <c r="M3631" i="5"/>
  <c r="L3631" i="5"/>
  <c r="K3631" i="5"/>
  <c r="J3631" i="5"/>
  <c r="I3631" i="5"/>
  <c r="H3631" i="5"/>
  <c r="G3631" i="5"/>
  <c r="V3630" i="5"/>
  <c r="U3630" i="5"/>
  <c r="T3630" i="5"/>
  <c r="S3630" i="5"/>
  <c r="R3630" i="5"/>
  <c r="Q3630" i="5"/>
  <c r="P3630" i="5"/>
  <c r="O3630" i="5"/>
  <c r="N3630" i="5"/>
  <c r="M3630" i="5"/>
  <c r="L3630" i="5"/>
  <c r="K3630" i="5"/>
  <c r="J3630" i="5"/>
  <c r="I3630" i="5"/>
  <c r="H3630" i="5"/>
  <c r="G3630" i="5"/>
  <c r="V3629" i="5"/>
  <c r="U3629" i="5"/>
  <c r="T3629" i="5"/>
  <c r="S3629" i="5"/>
  <c r="R3629" i="5"/>
  <c r="Q3629" i="5"/>
  <c r="P3629" i="5"/>
  <c r="O3629" i="5"/>
  <c r="N3629" i="5"/>
  <c r="M3629" i="5"/>
  <c r="L3629" i="5"/>
  <c r="K3629" i="5"/>
  <c r="J3629" i="5"/>
  <c r="I3629" i="5"/>
  <c r="H3629" i="5"/>
  <c r="G3629" i="5"/>
  <c r="V3628" i="5"/>
  <c r="U3628" i="5"/>
  <c r="T3628" i="5"/>
  <c r="S3628" i="5"/>
  <c r="R3628" i="5"/>
  <c r="Q3628" i="5"/>
  <c r="P3628" i="5"/>
  <c r="O3628" i="5"/>
  <c r="N3628" i="5"/>
  <c r="M3628" i="5"/>
  <c r="L3628" i="5"/>
  <c r="K3628" i="5"/>
  <c r="J3628" i="5"/>
  <c r="I3628" i="5"/>
  <c r="H3628" i="5"/>
  <c r="G3628" i="5"/>
  <c r="V3627" i="5"/>
  <c r="U3627" i="5"/>
  <c r="T3627" i="5"/>
  <c r="S3627" i="5"/>
  <c r="R3627" i="5"/>
  <c r="Q3627" i="5"/>
  <c r="P3627" i="5"/>
  <c r="O3627" i="5"/>
  <c r="N3627" i="5"/>
  <c r="M3627" i="5"/>
  <c r="L3627" i="5"/>
  <c r="K3627" i="5"/>
  <c r="J3627" i="5"/>
  <c r="I3627" i="5"/>
  <c r="H3627" i="5"/>
  <c r="G3627" i="5"/>
  <c r="V3626" i="5"/>
  <c r="U3626" i="5"/>
  <c r="T3626" i="5"/>
  <c r="S3626" i="5"/>
  <c r="R3626" i="5"/>
  <c r="Q3626" i="5"/>
  <c r="P3626" i="5"/>
  <c r="O3626" i="5"/>
  <c r="N3626" i="5"/>
  <c r="M3626" i="5"/>
  <c r="L3626" i="5"/>
  <c r="K3626" i="5"/>
  <c r="J3626" i="5"/>
  <c r="I3626" i="5"/>
  <c r="H3626" i="5"/>
  <c r="G3626" i="5"/>
  <c r="V3625" i="5"/>
  <c r="U3625" i="5"/>
  <c r="T3625" i="5"/>
  <c r="S3625" i="5"/>
  <c r="R3625" i="5"/>
  <c r="Q3625" i="5"/>
  <c r="P3625" i="5"/>
  <c r="O3625" i="5"/>
  <c r="N3625" i="5"/>
  <c r="M3625" i="5"/>
  <c r="L3625" i="5"/>
  <c r="K3625" i="5"/>
  <c r="J3625" i="5"/>
  <c r="I3625" i="5"/>
  <c r="H3625" i="5"/>
  <c r="G3625" i="5"/>
  <c r="V3624" i="5"/>
  <c r="U3624" i="5"/>
  <c r="T3624" i="5"/>
  <c r="S3624" i="5"/>
  <c r="R3624" i="5"/>
  <c r="Q3624" i="5"/>
  <c r="P3624" i="5"/>
  <c r="O3624" i="5"/>
  <c r="N3624" i="5"/>
  <c r="M3624" i="5"/>
  <c r="L3624" i="5"/>
  <c r="K3624" i="5"/>
  <c r="J3624" i="5"/>
  <c r="I3624" i="5"/>
  <c r="H3624" i="5"/>
  <c r="G3624" i="5"/>
  <c r="V3623" i="5"/>
  <c r="U3623" i="5"/>
  <c r="T3623" i="5"/>
  <c r="S3623" i="5"/>
  <c r="R3623" i="5"/>
  <c r="Q3623" i="5"/>
  <c r="P3623" i="5"/>
  <c r="O3623" i="5"/>
  <c r="N3623" i="5"/>
  <c r="M3623" i="5"/>
  <c r="L3623" i="5"/>
  <c r="K3623" i="5"/>
  <c r="J3623" i="5"/>
  <c r="I3623" i="5"/>
  <c r="H3623" i="5"/>
  <c r="G3623" i="5"/>
  <c r="V3622" i="5"/>
  <c r="U3622" i="5"/>
  <c r="T3622" i="5"/>
  <c r="S3622" i="5"/>
  <c r="R3622" i="5"/>
  <c r="Q3622" i="5"/>
  <c r="P3622" i="5"/>
  <c r="O3622" i="5"/>
  <c r="N3622" i="5"/>
  <c r="M3622" i="5"/>
  <c r="L3622" i="5"/>
  <c r="K3622" i="5"/>
  <c r="J3622" i="5"/>
  <c r="I3622" i="5"/>
  <c r="H3622" i="5"/>
  <c r="G3622" i="5"/>
  <c r="V3621" i="5"/>
  <c r="U3621" i="5"/>
  <c r="T3621" i="5"/>
  <c r="S3621" i="5"/>
  <c r="R3621" i="5"/>
  <c r="Q3621" i="5"/>
  <c r="P3621" i="5"/>
  <c r="O3621" i="5"/>
  <c r="N3621" i="5"/>
  <c r="M3621" i="5"/>
  <c r="L3621" i="5"/>
  <c r="K3621" i="5"/>
  <c r="J3621" i="5"/>
  <c r="I3621" i="5"/>
  <c r="H3621" i="5"/>
  <c r="G3621" i="5"/>
  <c r="V3620" i="5"/>
  <c r="U3620" i="5"/>
  <c r="T3620" i="5"/>
  <c r="S3620" i="5"/>
  <c r="R3620" i="5"/>
  <c r="Q3620" i="5"/>
  <c r="P3620" i="5"/>
  <c r="O3620" i="5"/>
  <c r="N3620" i="5"/>
  <c r="M3620" i="5"/>
  <c r="L3620" i="5"/>
  <c r="K3620" i="5"/>
  <c r="J3620" i="5"/>
  <c r="I3620" i="5"/>
  <c r="H3620" i="5"/>
  <c r="G3620" i="5"/>
  <c r="V3619" i="5"/>
  <c r="U3619" i="5"/>
  <c r="T3619" i="5"/>
  <c r="S3619" i="5"/>
  <c r="R3619" i="5"/>
  <c r="Q3619" i="5"/>
  <c r="P3619" i="5"/>
  <c r="O3619" i="5"/>
  <c r="N3619" i="5"/>
  <c r="M3619" i="5"/>
  <c r="L3619" i="5"/>
  <c r="K3619" i="5"/>
  <c r="J3619" i="5"/>
  <c r="I3619" i="5"/>
  <c r="H3619" i="5"/>
  <c r="G3619" i="5"/>
  <c r="V3618" i="5"/>
  <c r="U3618" i="5"/>
  <c r="T3618" i="5"/>
  <c r="S3618" i="5"/>
  <c r="R3618" i="5"/>
  <c r="Q3618" i="5"/>
  <c r="P3618" i="5"/>
  <c r="O3618" i="5"/>
  <c r="N3618" i="5"/>
  <c r="M3618" i="5"/>
  <c r="L3618" i="5"/>
  <c r="K3618" i="5"/>
  <c r="J3618" i="5"/>
  <c r="I3618" i="5"/>
  <c r="H3618" i="5"/>
  <c r="G3618" i="5"/>
  <c r="V3617" i="5"/>
  <c r="U3617" i="5"/>
  <c r="T3617" i="5"/>
  <c r="S3617" i="5"/>
  <c r="R3617" i="5"/>
  <c r="Q3617" i="5"/>
  <c r="P3617" i="5"/>
  <c r="V3616" i="5"/>
  <c r="U3616" i="5"/>
  <c r="T3616" i="5"/>
  <c r="S3616" i="5"/>
  <c r="R3616" i="5"/>
  <c r="Q3616" i="5"/>
  <c r="P3616" i="5"/>
  <c r="U3615" i="5"/>
  <c r="T3615" i="5"/>
  <c r="S3615" i="5"/>
  <c r="R3615" i="5"/>
  <c r="Q3615" i="5"/>
  <c r="P3615" i="5"/>
  <c r="U3614" i="5"/>
  <c r="T3614" i="5"/>
  <c r="S3614" i="5"/>
  <c r="R3614" i="5"/>
  <c r="Q3614" i="5"/>
  <c r="P3614" i="5"/>
  <c r="O3614" i="5"/>
  <c r="N3614" i="5"/>
  <c r="M3614" i="5"/>
  <c r="L3614" i="5"/>
  <c r="K3614" i="5"/>
  <c r="J3614" i="5"/>
  <c r="I3614" i="5"/>
  <c r="H3614" i="5"/>
  <c r="G3614" i="5"/>
  <c r="V3612" i="5"/>
  <c r="U3610" i="5"/>
  <c r="T3610" i="5"/>
  <c r="S3610" i="5"/>
  <c r="R3610" i="5"/>
  <c r="Q3610" i="5"/>
  <c r="P3610" i="5"/>
  <c r="O3604" i="5"/>
  <c r="N3604" i="5"/>
  <c r="M3604" i="5"/>
  <c r="L3604" i="5"/>
  <c r="K3604" i="5"/>
  <c r="J3604" i="5"/>
  <c r="I3604" i="5"/>
  <c r="H3604" i="5"/>
  <c r="G3604" i="5"/>
  <c r="V3602" i="5"/>
  <c r="U3600" i="5"/>
  <c r="T3600" i="5"/>
  <c r="S3600" i="5"/>
  <c r="R3600" i="5"/>
  <c r="Q3600" i="5"/>
  <c r="P3600" i="5"/>
  <c r="O3594" i="5"/>
  <c r="N3594" i="5"/>
  <c r="M3594" i="5"/>
  <c r="L3594" i="5"/>
  <c r="K3594" i="5"/>
  <c r="J3594" i="5"/>
  <c r="I3594" i="5"/>
  <c r="H3594" i="5"/>
  <c r="G3594" i="5"/>
  <c r="V3592" i="5"/>
  <c r="U3590" i="5"/>
  <c r="T3590" i="5"/>
  <c r="S3590" i="5"/>
  <c r="R3590" i="5"/>
  <c r="Q3590" i="5"/>
  <c r="P3590" i="5"/>
  <c r="O3587" i="5"/>
  <c r="N3587" i="5"/>
  <c r="M3587" i="5"/>
  <c r="L3587" i="5"/>
  <c r="K3587" i="5"/>
  <c r="J3587" i="5"/>
  <c r="I3587" i="5"/>
  <c r="H3587" i="5"/>
  <c r="G3587" i="5"/>
  <c r="O3586" i="5"/>
  <c r="N3586" i="5"/>
  <c r="M3586" i="5"/>
  <c r="L3586" i="5"/>
  <c r="K3586" i="5"/>
  <c r="J3586" i="5"/>
  <c r="I3586" i="5"/>
  <c r="H3586" i="5"/>
  <c r="G3586" i="5"/>
  <c r="V3585" i="5"/>
  <c r="O3585" i="5"/>
  <c r="N3585" i="5"/>
  <c r="M3585" i="5"/>
  <c r="L3585" i="5"/>
  <c r="K3585" i="5"/>
  <c r="J3585" i="5"/>
  <c r="I3585" i="5"/>
  <c r="H3585" i="5"/>
  <c r="G3585" i="5"/>
  <c r="V3584" i="5"/>
  <c r="O3584" i="5"/>
  <c r="N3584" i="5"/>
  <c r="M3584" i="5"/>
  <c r="L3584" i="5"/>
  <c r="K3584" i="5"/>
  <c r="J3584" i="5"/>
  <c r="I3584" i="5"/>
  <c r="H3584" i="5"/>
  <c r="G3584" i="5"/>
  <c r="V3583" i="5"/>
  <c r="U3583" i="5"/>
  <c r="T3583" i="5"/>
  <c r="S3583" i="5"/>
  <c r="R3583" i="5"/>
  <c r="Q3583" i="5"/>
  <c r="P3583" i="5"/>
  <c r="O3583" i="5"/>
  <c r="N3583" i="5"/>
  <c r="M3583" i="5"/>
  <c r="L3583" i="5"/>
  <c r="K3583" i="5"/>
  <c r="J3583" i="5"/>
  <c r="I3583" i="5"/>
  <c r="H3583" i="5"/>
  <c r="G3583" i="5"/>
  <c r="V3582" i="5"/>
  <c r="U3582" i="5"/>
  <c r="T3582" i="5"/>
  <c r="S3582" i="5"/>
  <c r="R3582" i="5"/>
  <c r="Q3582" i="5"/>
  <c r="P3582" i="5"/>
  <c r="O3582" i="5"/>
  <c r="N3582" i="5"/>
  <c r="M3582" i="5"/>
  <c r="L3582" i="5"/>
  <c r="K3582" i="5"/>
  <c r="J3582" i="5"/>
  <c r="I3582" i="5"/>
  <c r="H3582" i="5"/>
  <c r="G3582" i="5"/>
  <c r="V3581" i="5"/>
  <c r="U3581" i="5"/>
  <c r="T3581" i="5"/>
  <c r="S3581" i="5"/>
  <c r="R3581" i="5"/>
  <c r="Q3581" i="5"/>
  <c r="P3581" i="5"/>
  <c r="O3581" i="5"/>
  <c r="N3581" i="5"/>
  <c r="M3581" i="5"/>
  <c r="L3581" i="5"/>
  <c r="K3581" i="5"/>
  <c r="J3581" i="5"/>
  <c r="I3581" i="5"/>
  <c r="H3581" i="5"/>
  <c r="G3581" i="5"/>
  <c r="V3580" i="5"/>
  <c r="U3580" i="5"/>
  <c r="T3580" i="5"/>
  <c r="S3580" i="5"/>
  <c r="R3580" i="5"/>
  <c r="Q3580" i="5"/>
  <c r="P3580" i="5"/>
  <c r="O3580" i="5"/>
  <c r="N3580" i="5"/>
  <c r="M3580" i="5"/>
  <c r="L3580" i="5"/>
  <c r="K3580" i="5"/>
  <c r="J3580" i="5"/>
  <c r="I3580" i="5"/>
  <c r="H3580" i="5"/>
  <c r="G3580" i="5"/>
  <c r="V3579" i="5"/>
  <c r="U3579" i="5"/>
  <c r="T3579" i="5"/>
  <c r="S3579" i="5"/>
  <c r="R3579" i="5"/>
  <c r="Q3579" i="5"/>
  <c r="P3579" i="5"/>
  <c r="O3579" i="5"/>
  <c r="N3579" i="5"/>
  <c r="M3579" i="5"/>
  <c r="L3579" i="5"/>
  <c r="K3579" i="5"/>
  <c r="J3579" i="5"/>
  <c r="I3579" i="5"/>
  <c r="H3579" i="5"/>
  <c r="G3579" i="5"/>
  <c r="V3578" i="5"/>
  <c r="U3578" i="5"/>
  <c r="T3578" i="5"/>
  <c r="S3578" i="5"/>
  <c r="R3578" i="5"/>
  <c r="Q3578" i="5"/>
  <c r="P3578" i="5"/>
  <c r="O3578" i="5"/>
  <c r="N3578" i="5"/>
  <c r="M3578" i="5"/>
  <c r="L3578" i="5"/>
  <c r="K3578" i="5"/>
  <c r="J3578" i="5"/>
  <c r="I3578" i="5"/>
  <c r="H3578" i="5"/>
  <c r="G3578" i="5"/>
  <c r="V3577" i="5"/>
  <c r="U3577" i="5"/>
  <c r="T3577" i="5"/>
  <c r="S3577" i="5"/>
  <c r="R3577" i="5"/>
  <c r="Q3577" i="5"/>
  <c r="P3577" i="5"/>
  <c r="V3576" i="5"/>
  <c r="U3576" i="5"/>
  <c r="T3576" i="5"/>
  <c r="S3576" i="5"/>
  <c r="R3576" i="5"/>
  <c r="Q3576" i="5"/>
  <c r="P3576" i="5"/>
  <c r="U3575" i="5"/>
  <c r="T3575" i="5"/>
  <c r="S3575" i="5"/>
  <c r="R3575" i="5"/>
  <c r="Q3575" i="5"/>
  <c r="P3575" i="5"/>
  <c r="U3574" i="5"/>
  <c r="T3574" i="5"/>
  <c r="S3574" i="5"/>
  <c r="R3574" i="5"/>
  <c r="Q3574" i="5"/>
  <c r="P3574" i="5"/>
  <c r="O3574" i="5"/>
  <c r="N3574" i="5"/>
  <c r="M3574" i="5"/>
  <c r="L3574" i="5"/>
  <c r="K3574" i="5"/>
  <c r="J3574" i="5"/>
  <c r="I3574" i="5"/>
  <c r="H3574" i="5"/>
  <c r="G3574" i="5"/>
  <c r="V3572" i="5"/>
  <c r="U3570" i="5"/>
  <c r="T3570" i="5"/>
  <c r="S3570" i="5"/>
  <c r="R3570" i="5"/>
  <c r="Q3570" i="5"/>
  <c r="P3570" i="5"/>
  <c r="O3564" i="5"/>
  <c r="N3564" i="5"/>
  <c r="M3564" i="5"/>
  <c r="L3564" i="5"/>
  <c r="K3564" i="5"/>
  <c r="J3564" i="5"/>
  <c r="I3564" i="5"/>
  <c r="H3564" i="5"/>
  <c r="G3564" i="5"/>
  <c r="V3562" i="5"/>
  <c r="U3560" i="5"/>
  <c r="T3560" i="5"/>
  <c r="S3560" i="5"/>
  <c r="R3560" i="5"/>
  <c r="Q3560" i="5"/>
  <c r="P3560" i="5"/>
  <c r="O3554" i="5"/>
  <c r="N3554" i="5"/>
  <c r="M3554" i="5"/>
  <c r="L3554" i="5"/>
  <c r="K3554" i="5"/>
  <c r="J3554" i="5"/>
  <c r="I3554" i="5"/>
  <c r="H3554" i="5"/>
  <c r="G3554" i="5"/>
  <c r="V3552" i="5"/>
  <c r="U3550" i="5"/>
  <c r="T3550" i="5"/>
  <c r="S3550" i="5"/>
  <c r="R3550" i="5"/>
  <c r="Q3550" i="5"/>
  <c r="P3550" i="5"/>
  <c r="O3544" i="5"/>
  <c r="N3544" i="5"/>
  <c r="M3544" i="5"/>
  <c r="L3544" i="5"/>
  <c r="K3544" i="5"/>
  <c r="J3544" i="5"/>
  <c r="I3544" i="5"/>
  <c r="H3544" i="5"/>
  <c r="G3544" i="5"/>
  <c r="V3542" i="5"/>
  <c r="U3540" i="5"/>
  <c r="T3540" i="5"/>
  <c r="S3540" i="5"/>
  <c r="R3540" i="5"/>
  <c r="Q3540" i="5"/>
  <c r="P3540" i="5"/>
  <c r="O3534" i="5"/>
  <c r="N3534" i="5"/>
  <c r="M3534" i="5"/>
  <c r="L3534" i="5"/>
  <c r="K3534" i="5"/>
  <c r="J3534" i="5"/>
  <c r="I3534" i="5"/>
  <c r="H3534" i="5"/>
  <c r="G3534" i="5"/>
  <c r="V3532" i="5"/>
  <c r="U3530" i="5"/>
  <c r="T3530" i="5"/>
  <c r="S3530" i="5"/>
  <c r="R3530" i="5"/>
  <c r="Q3530" i="5"/>
  <c r="P3530" i="5"/>
  <c r="O3524" i="5"/>
  <c r="N3524" i="5"/>
  <c r="M3524" i="5"/>
  <c r="L3524" i="5"/>
  <c r="K3524" i="5"/>
  <c r="J3524" i="5"/>
  <c r="I3524" i="5"/>
  <c r="H3524" i="5"/>
  <c r="G3524" i="5"/>
  <c r="V3522" i="5"/>
  <c r="U3520" i="5"/>
  <c r="T3520" i="5"/>
  <c r="S3520" i="5"/>
  <c r="R3520" i="5"/>
  <c r="Q3520" i="5"/>
  <c r="P3520" i="5"/>
  <c r="O3514" i="5"/>
  <c r="N3514" i="5"/>
  <c r="M3514" i="5"/>
  <c r="L3514" i="5"/>
  <c r="K3514" i="5"/>
  <c r="J3514" i="5"/>
  <c r="I3514" i="5"/>
  <c r="H3514" i="5"/>
  <c r="G3514" i="5"/>
  <c r="V3512" i="5"/>
  <c r="U3510" i="5"/>
  <c r="T3510" i="5"/>
  <c r="S3510" i="5"/>
  <c r="R3510" i="5"/>
  <c r="Q3510" i="5"/>
  <c r="P3510" i="5"/>
  <c r="O3504" i="5"/>
  <c r="N3504" i="5"/>
  <c r="M3504" i="5"/>
  <c r="L3504" i="5"/>
  <c r="K3504" i="5"/>
  <c r="J3504" i="5"/>
  <c r="I3504" i="5"/>
  <c r="H3504" i="5"/>
  <c r="G3504" i="5"/>
  <c r="V3502" i="5"/>
  <c r="U3500" i="5"/>
  <c r="T3500" i="5"/>
  <c r="S3500" i="5"/>
  <c r="R3500" i="5"/>
  <c r="Q3500" i="5"/>
  <c r="P3500" i="5"/>
  <c r="O3494" i="5"/>
  <c r="N3494" i="5"/>
  <c r="M3494" i="5"/>
  <c r="L3494" i="5"/>
  <c r="K3494" i="5"/>
  <c r="J3494" i="5"/>
  <c r="I3494" i="5"/>
  <c r="H3494" i="5"/>
  <c r="G3494" i="5"/>
  <c r="V3492" i="5"/>
  <c r="U3490" i="5"/>
  <c r="T3490" i="5"/>
  <c r="S3490" i="5"/>
  <c r="R3490" i="5"/>
  <c r="Q3490" i="5"/>
  <c r="P3490" i="5"/>
  <c r="O3487" i="5"/>
  <c r="N3487" i="5"/>
  <c r="M3487" i="5"/>
  <c r="L3487" i="5"/>
  <c r="K3487" i="5"/>
  <c r="J3487" i="5"/>
  <c r="I3487" i="5"/>
  <c r="H3487" i="5"/>
  <c r="G3487" i="5"/>
  <c r="O3486" i="5"/>
  <c r="N3486" i="5"/>
  <c r="M3486" i="5"/>
  <c r="L3486" i="5"/>
  <c r="K3486" i="5"/>
  <c r="J3486" i="5"/>
  <c r="I3486" i="5"/>
  <c r="H3486" i="5"/>
  <c r="G3486" i="5"/>
  <c r="V3485" i="5"/>
  <c r="O3485" i="5"/>
  <c r="N3485" i="5"/>
  <c r="M3485" i="5"/>
  <c r="L3485" i="5"/>
  <c r="K3485" i="5"/>
  <c r="J3485" i="5"/>
  <c r="I3485" i="5"/>
  <c r="H3485" i="5"/>
  <c r="G3485" i="5"/>
  <c r="V3484" i="5"/>
  <c r="O3484" i="5"/>
  <c r="N3484" i="5"/>
  <c r="M3484" i="5"/>
  <c r="L3484" i="5"/>
  <c r="K3484" i="5"/>
  <c r="J3484" i="5"/>
  <c r="I3484" i="5"/>
  <c r="H3484" i="5"/>
  <c r="G3484" i="5"/>
  <c r="V3483" i="5"/>
  <c r="U3483" i="5"/>
  <c r="T3483" i="5"/>
  <c r="S3483" i="5"/>
  <c r="R3483" i="5"/>
  <c r="Q3483" i="5"/>
  <c r="P3483" i="5"/>
  <c r="O3483" i="5"/>
  <c r="N3483" i="5"/>
  <c r="M3483" i="5"/>
  <c r="L3483" i="5"/>
  <c r="K3483" i="5"/>
  <c r="J3483" i="5"/>
  <c r="I3483" i="5"/>
  <c r="H3483" i="5"/>
  <c r="G3483" i="5"/>
  <c r="V3482" i="5"/>
  <c r="U3482" i="5"/>
  <c r="T3482" i="5"/>
  <c r="S3482" i="5"/>
  <c r="R3482" i="5"/>
  <c r="Q3482" i="5"/>
  <c r="P3482" i="5"/>
  <c r="O3482" i="5"/>
  <c r="N3482" i="5"/>
  <c r="M3482" i="5"/>
  <c r="L3482" i="5"/>
  <c r="K3482" i="5"/>
  <c r="J3482" i="5"/>
  <c r="I3482" i="5"/>
  <c r="H3482" i="5"/>
  <c r="G3482" i="5"/>
  <c r="V3481" i="5"/>
  <c r="U3481" i="5"/>
  <c r="T3481" i="5"/>
  <c r="S3481" i="5"/>
  <c r="R3481" i="5"/>
  <c r="Q3481" i="5"/>
  <c r="P3481" i="5"/>
  <c r="O3481" i="5"/>
  <c r="N3481" i="5"/>
  <c r="M3481" i="5"/>
  <c r="L3481" i="5"/>
  <c r="K3481" i="5"/>
  <c r="J3481" i="5"/>
  <c r="I3481" i="5"/>
  <c r="H3481" i="5"/>
  <c r="G3481" i="5"/>
  <c r="V3480" i="5"/>
  <c r="U3480" i="5"/>
  <c r="T3480" i="5"/>
  <c r="S3480" i="5"/>
  <c r="R3480" i="5"/>
  <c r="Q3480" i="5"/>
  <c r="P3480" i="5"/>
  <c r="O3480" i="5"/>
  <c r="N3480" i="5"/>
  <c r="M3480" i="5"/>
  <c r="L3480" i="5"/>
  <c r="K3480" i="5"/>
  <c r="J3480" i="5"/>
  <c r="I3480" i="5"/>
  <c r="H3480" i="5"/>
  <c r="G3480" i="5"/>
  <c r="V3479" i="5"/>
  <c r="U3479" i="5"/>
  <c r="T3479" i="5"/>
  <c r="S3479" i="5"/>
  <c r="R3479" i="5"/>
  <c r="Q3479" i="5"/>
  <c r="P3479" i="5"/>
  <c r="O3479" i="5"/>
  <c r="N3479" i="5"/>
  <c r="M3479" i="5"/>
  <c r="L3479" i="5"/>
  <c r="K3479" i="5"/>
  <c r="J3479" i="5"/>
  <c r="I3479" i="5"/>
  <c r="H3479" i="5"/>
  <c r="G3479" i="5"/>
  <c r="V3478" i="5"/>
  <c r="U3478" i="5"/>
  <c r="T3478" i="5"/>
  <c r="S3478" i="5"/>
  <c r="R3478" i="5"/>
  <c r="Q3478" i="5"/>
  <c r="P3478" i="5"/>
  <c r="O3478" i="5"/>
  <c r="N3478" i="5"/>
  <c r="M3478" i="5"/>
  <c r="L3478" i="5"/>
  <c r="K3478" i="5"/>
  <c r="J3478" i="5"/>
  <c r="I3478" i="5"/>
  <c r="H3478" i="5"/>
  <c r="G3478" i="5"/>
  <c r="V3477" i="5"/>
  <c r="U3477" i="5"/>
  <c r="T3477" i="5"/>
  <c r="S3477" i="5"/>
  <c r="R3477" i="5"/>
  <c r="Q3477" i="5"/>
  <c r="P3477" i="5"/>
  <c r="V3476" i="5"/>
  <c r="U3476" i="5"/>
  <c r="T3476" i="5"/>
  <c r="S3476" i="5"/>
  <c r="R3476" i="5"/>
  <c r="Q3476" i="5"/>
  <c r="P3476" i="5"/>
  <c r="U3475" i="5"/>
  <c r="T3475" i="5"/>
  <c r="S3475" i="5"/>
  <c r="R3475" i="5"/>
  <c r="Q3475" i="5"/>
  <c r="P3475" i="5"/>
  <c r="U3474" i="5"/>
  <c r="T3474" i="5"/>
  <c r="S3474" i="5"/>
  <c r="R3474" i="5"/>
  <c r="Q3474" i="5"/>
  <c r="P3474" i="5"/>
  <c r="O3474" i="5"/>
  <c r="N3474" i="5"/>
  <c r="M3474" i="5"/>
  <c r="L3474" i="5"/>
  <c r="K3474" i="5"/>
  <c r="J3474" i="5"/>
  <c r="I3474" i="5"/>
  <c r="H3474" i="5"/>
  <c r="G3474" i="5"/>
  <c r="V3472" i="5"/>
  <c r="U3470" i="5"/>
  <c r="T3470" i="5"/>
  <c r="S3470" i="5"/>
  <c r="R3470" i="5"/>
  <c r="Q3470" i="5"/>
  <c r="P3470" i="5"/>
  <c r="O3464" i="5"/>
  <c r="N3464" i="5"/>
  <c r="M3464" i="5"/>
  <c r="L3464" i="5"/>
  <c r="K3464" i="5"/>
  <c r="J3464" i="5"/>
  <c r="I3464" i="5"/>
  <c r="H3464" i="5"/>
  <c r="G3464" i="5"/>
  <c r="V3462" i="5"/>
  <c r="U3460" i="5"/>
  <c r="T3460" i="5"/>
  <c r="S3460" i="5"/>
  <c r="R3460" i="5"/>
  <c r="Q3460" i="5"/>
  <c r="P3460" i="5"/>
  <c r="O3454" i="5"/>
  <c r="N3454" i="5"/>
  <c r="M3454" i="5"/>
  <c r="L3454" i="5"/>
  <c r="K3454" i="5"/>
  <c r="J3454" i="5"/>
  <c r="I3454" i="5"/>
  <c r="H3454" i="5"/>
  <c r="G3454" i="5"/>
  <c r="V3452" i="5"/>
  <c r="U3450" i="5"/>
  <c r="T3450" i="5"/>
  <c r="S3450" i="5"/>
  <c r="R3450" i="5"/>
  <c r="Q3450" i="5"/>
  <c r="P3450" i="5"/>
  <c r="O3444" i="5"/>
  <c r="N3444" i="5"/>
  <c r="M3444" i="5"/>
  <c r="L3444" i="5"/>
  <c r="K3444" i="5"/>
  <c r="J3444" i="5"/>
  <c r="I3444" i="5"/>
  <c r="H3444" i="5"/>
  <c r="G3444" i="5"/>
  <c r="V3442" i="5"/>
  <c r="U3440" i="5"/>
  <c r="T3440" i="5"/>
  <c r="S3440" i="5"/>
  <c r="R3440" i="5"/>
  <c r="Q3440" i="5"/>
  <c r="P3440" i="5"/>
  <c r="O3434" i="5"/>
  <c r="N3434" i="5"/>
  <c r="M3434" i="5"/>
  <c r="L3434" i="5"/>
  <c r="K3434" i="5"/>
  <c r="J3434" i="5"/>
  <c r="I3434" i="5"/>
  <c r="H3434" i="5"/>
  <c r="G3434" i="5"/>
  <c r="V3432" i="5"/>
  <c r="U3430" i="5"/>
  <c r="T3430" i="5"/>
  <c r="S3430" i="5"/>
  <c r="R3430" i="5"/>
  <c r="Q3430" i="5"/>
  <c r="P3430" i="5"/>
  <c r="O3424" i="5"/>
  <c r="N3424" i="5"/>
  <c r="M3424" i="5"/>
  <c r="L3424" i="5"/>
  <c r="K3424" i="5"/>
  <c r="J3424" i="5"/>
  <c r="I3424" i="5"/>
  <c r="H3424" i="5"/>
  <c r="G3424" i="5"/>
  <c r="V3422" i="5"/>
  <c r="U3420" i="5"/>
  <c r="T3420" i="5"/>
  <c r="S3420" i="5"/>
  <c r="R3420" i="5"/>
  <c r="Q3420" i="5"/>
  <c r="P3420" i="5"/>
  <c r="O3414" i="5"/>
  <c r="N3414" i="5"/>
  <c r="M3414" i="5"/>
  <c r="L3414" i="5"/>
  <c r="K3414" i="5"/>
  <c r="J3414" i="5"/>
  <c r="I3414" i="5"/>
  <c r="H3414" i="5"/>
  <c r="G3414" i="5"/>
  <c r="V3412" i="5"/>
  <c r="U3410" i="5"/>
  <c r="T3410" i="5"/>
  <c r="S3410" i="5"/>
  <c r="R3410" i="5"/>
  <c r="Q3410" i="5"/>
  <c r="P3410" i="5"/>
  <c r="O3404" i="5"/>
  <c r="N3404" i="5"/>
  <c r="M3404" i="5"/>
  <c r="L3404" i="5"/>
  <c r="K3404" i="5"/>
  <c r="J3404" i="5"/>
  <c r="I3404" i="5"/>
  <c r="H3404" i="5"/>
  <c r="G3404" i="5"/>
  <c r="V3402" i="5"/>
  <c r="U3400" i="5"/>
  <c r="T3400" i="5"/>
  <c r="S3400" i="5"/>
  <c r="R3400" i="5"/>
  <c r="Q3400" i="5"/>
  <c r="P3400" i="5"/>
  <c r="O3394" i="5"/>
  <c r="N3394" i="5"/>
  <c r="M3394" i="5"/>
  <c r="L3394" i="5"/>
  <c r="K3394" i="5"/>
  <c r="J3394" i="5"/>
  <c r="I3394" i="5"/>
  <c r="H3394" i="5"/>
  <c r="G3394" i="5"/>
  <c r="V3392" i="5"/>
  <c r="U3390" i="5"/>
  <c r="T3390" i="5"/>
  <c r="S3390" i="5"/>
  <c r="R3390" i="5"/>
  <c r="Q3390" i="5"/>
  <c r="P3390" i="5"/>
  <c r="O3387" i="5"/>
  <c r="N3387" i="5"/>
  <c r="M3387" i="5"/>
  <c r="L3387" i="5"/>
  <c r="K3387" i="5"/>
  <c r="J3387" i="5"/>
  <c r="I3387" i="5"/>
  <c r="H3387" i="5"/>
  <c r="G3387" i="5"/>
  <c r="O3386" i="5"/>
  <c r="N3386" i="5"/>
  <c r="M3386" i="5"/>
  <c r="L3386" i="5"/>
  <c r="K3386" i="5"/>
  <c r="J3386" i="5"/>
  <c r="I3386" i="5"/>
  <c r="H3386" i="5"/>
  <c r="G3386" i="5"/>
  <c r="V3385" i="5"/>
  <c r="O3385" i="5"/>
  <c r="N3385" i="5"/>
  <c r="M3385" i="5"/>
  <c r="L3385" i="5"/>
  <c r="K3385" i="5"/>
  <c r="J3385" i="5"/>
  <c r="I3385" i="5"/>
  <c r="H3385" i="5"/>
  <c r="G3385" i="5"/>
  <c r="V3384" i="5"/>
  <c r="O3384" i="5"/>
  <c r="N3384" i="5"/>
  <c r="M3384" i="5"/>
  <c r="L3384" i="5"/>
  <c r="K3384" i="5"/>
  <c r="J3384" i="5"/>
  <c r="I3384" i="5"/>
  <c r="H3384" i="5"/>
  <c r="G3384" i="5"/>
  <c r="V3383" i="5"/>
  <c r="U3383" i="5"/>
  <c r="T3383" i="5"/>
  <c r="S3383" i="5"/>
  <c r="R3383" i="5"/>
  <c r="Q3383" i="5"/>
  <c r="P3383" i="5"/>
  <c r="O3383" i="5"/>
  <c r="N3383" i="5"/>
  <c r="M3383" i="5"/>
  <c r="L3383" i="5"/>
  <c r="K3383" i="5"/>
  <c r="J3383" i="5"/>
  <c r="I3383" i="5"/>
  <c r="H3383" i="5"/>
  <c r="G3383" i="5"/>
  <c r="V3382" i="5"/>
  <c r="U3382" i="5"/>
  <c r="T3382" i="5"/>
  <c r="S3382" i="5"/>
  <c r="R3382" i="5"/>
  <c r="Q3382" i="5"/>
  <c r="P3382" i="5"/>
  <c r="O3382" i="5"/>
  <c r="N3382" i="5"/>
  <c r="M3382" i="5"/>
  <c r="L3382" i="5"/>
  <c r="K3382" i="5"/>
  <c r="J3382" i="5"/>
  <c r="I3382" i="5"/>
  <c r="H3382" i="5"/>
  <c r="G3382" i="5"/>
  <c r="V3381" i="5"/>
  <c r="U3381" i="5"/>
  <c r="T3381" i="5"/>
  <c r="S3381" i="5"/>
  <c r="R3381" i="5"/>
  <c r="Q3381" i="5"/>
  <c r="P3381" i="5"/>
  <c r="O3381" i="5"/>
  <c r="N3381" i="5"/>
  <c r="M3381" i="5"/>
  <c r="L3381" i="5"/>
  <c r="K3381" i="5"/>
  <c r="J3381" i="5"/>
  <c r="I3381" i="5"/>
  <c r="H3381" i="5"/>
  <c r="G3381" i="5"/>
  <c r="V3380" i="5"/>
  <c r="U3380" i="5"/>
  <c r="T3380" i="5"/>
  <c r="S3380" i="5"/>
  <c r="R3380" i="5"/>
  <c r="Q3380" i="5"/>
  <c r="P3380" i="5"/>
  <c r="O3380" i="5"/>
  <c r="N3380" i="5"/>
  <c r="M3380" i="5"/>
  <c r="L3380" i="5"/>
  <c r="K3380" i="5"/>
  <c r="J3380" i="5"/>
  <c r="I3380" i="5"/>
  <c r="H3380" i="5"/>
  <c r="G3380" i="5"/>
  <c r="V3379" i="5"/>
  <c r="U3379" i="5"/>
  <c r="T3379" i="5"/>
  <c r="S3379" i="5"/>
  <c r="R3379" i="5"/>
  <c r="Q3379" i="5"/>
  <c r="P3379" i="5"/>
  <c r="O3379" i="5"/>
  <c r="N3379" i="5"/>
  <c r="M3379" i="5"/>
  <c r="L3379" i="5"/>
  <c r="K3379" i="5"/>
  <c r="J3379" i="5"/>
  <c r="I3379" i="5"/>
  <c r="H3379" i="5"/>
  <c r="G3379" i="5"/>
  <c r="V3378" i="5"/>
  <c r="U3378" i="5"/>
  <c r="T3378" i="5"/>
  <c r="S3378" i="5"/>
  <c r="R3378" i="5"/>
  <c r="Q3378" i="5"/>
  <c r="P3378" i="5"/>
  <c r="O3378" i="5"/>
  <c r="N3378" i="5"/>
  <c r="M3378" i="5"/>
  <c r="L3378" i="5"/>
  <c r="K3378" i="5"/>
  <c r="J3378" i="5"/>
  <c r="I3378" i="5"/>
  <c r="H3378" i="5"/>
  <c r="G3378" i="5"/>
  <c r="V3377" i="5"/>
  <c r="U3377" i="5"/>
  <c r="T3377" i="5"/>
  <c r="S3377" i="5"/>
  <c r="R3377" i="5"/>
  <c r="Q3377" i="5"/>
  <c r="P3377" i="5"/>
  <c r="V3376" i="5"/>
  <c r="U3376" i="5"/>
  <c r="T3376" i="5"/>
  <c r="S3376" i="5"/>
  <c r="R3376" i="5"/>
  <c r="Q3376" i="5"/>
  <c r="P3376" i="5"/>
  <c r="U3375" i="5"/>
  <c r="T3375" i="5"/>
  <c r="S3375" i="5"/>
  <c r="R3375" i="5"/>
  <c r="Q3375" i="5"/>
  <c r="P3375" i="5"/>
  <c r="U3374" i="5"/>
  <c r="T3374" i="5"/>
  <c r="S3374" i="5"/>
  <c r="R3374" i="5"/>
  <c r="Q3374" i="5"/>
  <c r="P3374" i="5"/>
  <c r="O3374" i="5"/>
  <c r="N3374" i="5"/>
  <c r="M3374" i="5"/>
  <c r="L3374" i="5"/>
  <c r="K3374" i="5"/>
  <c r="J3374" i="5"/>
  <c r="I3374" i="5"/>
  <c r="H3374" i="5"/>
  <c r="G3374" i="5"/>
  <c r="V3372" i="5"/>
  <c r="U3370" i="5"/>
  <c r="T3370" i="5"/>
  <c r="S3370" i="5"/>
  <c r="R3370" i="5"/>
  <c r="Q3370" i="5"/>
  <c r="P3370" i="5"/>
  <c r="O3364" i="5"/>
  <c r="N3364" i="5"/>
  <c r="M3364" i="5"/>
  <c r="L3364" i="5"/>
  <c r="K3364" i="5"/>
  <c r="J3364" i="5"/>
  <c r="I3364" i="5"/>
  <c r="H3364" i="5"/>
  <c r="G3364" i="5"/>
  <c r="V3362" i="5"/>
  <c r="U3360" i="5"/>
  <c r="T3360" i="5"/>
  <c r="S3360" i="5"/>
  <c r="R3360" i="5"/>
  <c r="Q3360" i="5"/>
  <c r="P3360" i="5"/>
  <c r="O3354" i="5"/>
  <c r="N3354" i="5"/>
  <c r="M3354" i="5"/>
  <c r="L3354" i="5"/>
  <c r="K3354" i="5"/>
  <c r="J3354" i="5"/>
  <c r="I3354" i="5"/>
  <c r="H3354" i="5"/>
  <c r="G3354" i="5"/>
  <c r="V3352" i="5"/>
  <c r="U3350" i="5"/>
  <c r="T3350" i="5"/>
  <c r="S3350" i="5"/>
  <c r="R3350" i="5"/>
  <c r="Q3350" i="5"/>
  <c r="P3350" i="5"/>
  <c r="O3344" i="5"/>
  <c r="N3344" i="5"/>
  <c r="M3344" i="5"/>
  <c r="L3344" i="5"/>
  <c r="K3344" i="5"/>
  <c r="J3344" i="5"/>
  <c r="I3344" i="5"/>
  <c r="H3344" i="5"/>
  <c r="G3344" i="5"/>
  <c r="V3342" i="5"/>
  <c r="U3340" i="5"/>
  <c r="T3340" i="5"/>
  <c r="S3340" i="5"/>
  <c r="R3340" i="5"/>
  <c r="Q3340" i="5"/>
  <c r="P3340" i="5"/>
  <c r="O3334" i="5"/>
  <c r="N3334" i="5"/>
  <c r="M3334" i="5"/>
  <c r="L3334" i="5"/>
  <c r="K3334" i="5"/>
  <c r="J3334" i="5"/>
  <c r="I3334" i="5"/>
  <c r="H3334" i="5"/>
  <c r="G3334" i="5"/>
  <c r="V3332" i="5"/>
  <c r="U3330" i="5"/>
  <c r="T3330" i="5"/>
  <c r="S3330" i="5"/>
  <c r="R3330" i="5"/>
  <c r="Q3330" i="5"/>
  <c r="P3330" i="5"/>
  <c r="O3324" i="5"/>
  <c r="N3324" i="5"/>
  <c r="M3324" i="5"/>
  <c r="L3324" i="5"/>
  <c r="K3324" i="5"/>
  <c r="J3324" i="5"/>
  <c r="I3324" i="5"/>
  <c r="H3324" i="5"/>
  <c r="G3324" i="5"/>
  <c r="V3322" i="5"/>
  <c r="U3320" i="5"/>
  <c r="T3320" i="5"/>
  <c r="S3320" i="5"/>
  <c r="R3320" i="5"/>
  <c r="Q3320" i="5"/>
  <c r="P3320" i="5"/>
  <c r="O3314" i="5"/>
  <c r="N3314" i="5"/>
  <c r="M3314" i="5"/>
  <c r="L3314" i="5"/>
  <c r="K3314" i="5"/>
  <c r="J3314" i="5"/>
  <c r="I3314" i="5"/>
  <c r="H3314" i="5"/>
  <c r="G3314" i="5"/>
  <c r="V3312" i="5"/>
  <c r="U3310" i="5"/>
  <c r="T3310" i="5"/>
  <c r="S3310" i="5"/>
  <c r="R3310" i="5"/>
  <c r="Q3310" i="5"/>
  <c r="P3310" i="5"/>
  <c r="O3304" i="5"/>
  <c r="N3304" i="5"/>
  <c r="M3304" i="5"/>
  <c r="L3304" i="5"/>
  <c r="K3304" i="5"/>
  <c r="J3304" i="5"/>
  <c r="I3304" i="5"/>
  <c r="H3304" i="5"/>
  <c r="G3304" i="5"/>
  <c r="V3302" i="5"/>
  <c r="U3300" i="5"/>
  <c r="T3300" i="5"/>
  <c r="S3300" i="5"/>
  <c r="R3300" i="5"/>
  <c r="Q3300" i="5"/>
  <c r="P3300" i="5"/>
  <c r="O3294" i="5"/>
  <c r="N3294" i="5"/>
  <c r="M3294" i="5"/>
  <c r="L3294" i="5"/>
  <c r="K3294" i="5"/>
  <c r="J3294" i="5"/>
  <c r="I3294" i="5"/>
  <c r="H3294" i="5"/>
  <c r="G3294" i="5"/>
  <c r="V3292" i="5"/>
  <c r="U3290" i="5"/>
  <c r="T3290" i="5"/>
  <c r="S3290" i="5"/>
  <c r="R3290" i="5"/>
  <c r="Q3290" i="5"/>
  <c r="P3290" i="5"/>
  <c r="O3287" i="5"/>
  <c r="N3287" i="5"/>
  <c r="M3287" i="5"/>
  <c r="L3287" i="5"/>
  <c r="K3287" i="5"/>
  <c r="J3287" i="5"/>
  <c r="I3287" i="5"/>
  <c r="H3287" i="5"/>
  <c r="G3287" i="5"/>
  <c r="O3286" i="5"/>
  <c r="N3286" i="5"/>
  <c r="M3286" i="5"/>
  <c r="L3286" i="5"/>
  <c r="K3286" i="5"/>
  <c r="J3286" i="5"/>
  <c r="I3286" i="5"/>
  <c r="H3286" i="5"/>
  <c r="G3286" i="5"/>
  <c r="V3285" i="5"/>
  <c r="O3285" i="5"/>
  <c r="N3285" i="5"/>
  <c r="M3285" i="5"/>
  <c r="L3285" i="5"/>
  <c r="K3285" i="5"/>
  <c r="J3285" i="5"/>
  <c r="I3285" i="5"/>
  <c r="H3285" i="5"/>
  <c r="G3285" i="5"/>
  <c r="V3284" i="5"/>
  <c r="O3284" i="5"/>
  <c r="N3284" i="5"/>
  <c r="M3284" i="5"/>
  <c r="L3284" i="5"/>
  <c r="K3284" i="5"/>
  <c r="J3284" i="5"/>
  <c r="I3284" i="5"/>
  <c r="H3284" i="5"/>
  <c r="G3284" i="5"/>
  <c r="V3283" i="5"/>
  <c r="U3283" i="5"/>
  <c r="T3283" i="5"/>
  <c r="S3283" i="5"/>
  <c r="R3283" i="5"/>
  <c r="Q3283" i="5"/>
  <c r="P3283" i="5"/>
  <c r="O3283" i="5"/>
  <c r="N3283" i="5"/>
  <c r="M3283" i="5"/>
  <c r="L3283" i="5"/>
  <c r="K3283" i="5"/>
  <c r="J3283" i="5"/>
  <c r="I3283" i="5"/>
  <c r="H3283" i="5"/>
  <c r="G3283" i="5"/>
  <c r="V3282" i="5"/>
  <c r="U3282" i="5"/>
  <c r="T3282" i="5"/>
  <c r="S3282" i="5"/>
  <c r="R3282" i="5"/>
  <c r="Q3282" i="5"/>
  <c r="P3282" i="5"/>
  <c r="O3282" i="5"/>
  <c r="N3282" i="5"/>
  <c r="M3282" i="5"/>
  <c r="L3282" i="5"/>
  <c r="K3282" i="5"/>
  <c r="J3282" i="5"/>
  <c r="I3282" i="5"/>
  <c r="H3282" i="5"/>
  <c r="G3282" i="5"/>
  <c r="V3281" i="5"/>
  <c r="U3281" i="5"/>
  <c r="T3281" i="5"/>
  <c r="S3281" i="5"/>
  <c r="R3281" i="5"/>
  <c r="Q3281" i="5"/>
  <c r="P3281" i="5"/>
  <c r="O3281" i="5"/>
  <c r="N3281" i="5"/>
  <c r="M3281" i="5"/>
  <c r="L3281" i="5"/>
  <c r="K3281" i="5"/>
  <c r="J3281" i="5"/>
  <c r="I3281" i="5"/>
  <c r="H3281" i="5"/>
  <c r="G3281" i="5"/>
  <c r="V3280" i="5"/>
  <c r="U3280" i="5"/>
  <c r="T3280" i="5"/>
  <c r="S3280" i="5"/>
  <c r="R3280" i="5"/>
  <c r="Q3280" i="5"/>
  <c r="P3280" i="5"/>
  <c r="O3280" i="5"/>
  <c r="N3280" i="5"/>
  <c r="M3280" i="5"/>
  <c r="L3280" i="5"/>
  <c r="K3280" i="5"/>
  <c r="J3280" i="5"/>
  <c r="I3280" i="5"/>
  <c r="H3280" i="5"/>
  <c r="G3280" i="5"/>
  <c r="V3279" i="5"/>
  <c r="U3279" i="5"/>
  <c r="T3279" i="5"/>
  <c r="S3279" i="5"/>
  <c r="R3279" i="5"/>
  <c r="Q3279" i="5"/>
  <c r="P3279" i="5"/>
  <c r="O3279" i="5"/>
  <c r="N3279" i="5"/>
  <c r="M3279" i="5"/>
  <c r="L3279" i="5"/>
  <c r="K3279" i="5"/>
  <c r="J3279" i="5"/>
  <c r="I3279" i="5"/>
  <c r="H3279" i="5"/>
  <c r="G3279" i="5"/>
  <c r="V3278" i="5"/>
  <c r="U3278" i="5"/>
  <c r="T3278" i="5"/>
  <c r="S3278" i="5"/>
  <c r="R3278" i="5"/>
  <c r="Q3278" i="5"/>
  <c r="P3278" i="5"/>
  <c r="O3278" i="5"/>
  <c r="N3278" i="5"/>
  <c r="M3278" i="5"/>
  <c r="L3278" i="5"/>
  <c r="K3278" i="5"/>
  <c r="J3278" i="5"/>
  <c r="I3278" i="5"/>
  <c r="H3278" i="5"/>
  <c r="G3278" i="5"/>
  <c r="V3277" i="5"/>
  <c r="U3277" i="5"/>
  <c r="T3277" i="5"/>
  <c r="S3277" i="5"/>
  <c r="R3277" i="5"/>
  <c r="Q3277" i="5"/>
  <c r="P3277" i="5"/>
  <c r="V3276" i="5"/>
  <c r="U3276" i="5"/>
  <c r="T3276" i="5"/>
  <c r="S3276" i="5"/>
  <c r="R3276" i="5"/>
  <c r="Q3276" i="5"/>
  <c r="P3276" i="5"/>
  <c r="U3275" i="5"/>
  <c r="T3275" i="5"/>
  <c r="S3275" i="5"/>
  <c r="R3275" i="5"/>
  <c r="Q3275" i="5"/>
  <c r="P3275" i="5"/>
  <c r="U3274" i="5"/>
  <c r="T3274" i="5"/>
  <c r="S3274" i="5"/>
  <c r="R3274" i="5"/>
  <c r="Q3274" i="5"/>
  <c r="P3274" i="5"/>
  <c r="O3274" i="5"/>
  <c r="N3274" i="5"/>
  <c r="M3274" i="5"/>
  <c r="L3274" i="5"/>
  <c r="K3274" i="5"/>
  <c r="J3274" i="5"/>
  <c r="I3274" i="5"/>
  <c r="H3274" i="5"/>
  <c r="G3274" i="5"/>
  <c r="V3272" i="5"/>
  <c r="U3270" i="5"/>
  <c r="T3270" i="5"/>
  <c r="S3270" i="5"/>
  <c r="R3270" i="5"/>
  <c r="Q3270" i="5"/>
  <c r="P3270" i="5"/>
  <c r="O3264" i="5"/>
  <c r="N3264" i="5"/>
  <c r="M3264" i="5"/>
  <c r="L3264" i="5"/>
  <c r="K3264" i="5"/>
  <c r="J3264" i="5"/>
  <c r="I3264" i="5"/>
  <c r="H3264" i="5"/>
  <c r="G3264" i="5"/>
  <c r="V3262" i="5"/>
  <c r="U3260" i="5"/>
  <c r="T3260" i="5"/>
  <c r="S3260" i="5"/>
  <c r="R3260" i="5"/>
  <c r="Q3260" i="5"/>
  <c r="P3260" i="5"/>
  <c r="O3254" i="5"/>
  <c r="N3254" i="5"/>
  <c r="M3254" i="5"/>
  <c r="L3254" i="5"/>
  <c r="K3254" i="5"/>
  <c r="J3254" i="5"/>
  <c r="I3254" i="5"/>
  <c r="H3254" i="5"/>
  <c r="G3254" i="5"/>
  <c r="V3252" i="5"/>
  <c r="U3250" i="5"/>
  <c r="T3250" i="5"/>
  <c r="S3250" i="5"/>
  <c r="R3250" i="5"/>
  <c r="Q3250" i="5"/>
  <c r="P3250" i="5"/>
  <c r="O3244" i="5"/>
  <c r="N3244" i="5"/>
  <c r="M3244" i="5"/>
  <c r="L3244" i="5"/>
  <c r="K3244" i="5"/>
  <c r="J3244" i="5"/>
  <c r="I3244" i="5"/>
  <c r="H3244" i="5"/>
  <c r="G3244" i="5"/>
  <c r="V3242" i="5"/>
  <c r="U3240" i="5"/>
  <c r="T3240" i="5"/>
  <c r="S3240" i="5"/>
  <c r="R3240" i="5"/>
  <c r="Q3240" i="5"/>
  <c r="P3240" i="5"/>
  <c r="O3234" i="5"/>
  <c r="N3234" i="5"/>
  <c r="M3234" i="5"/>
  <c r="L3234" i="5"/>
  <c r="K3234" i="5"/>
  <c r="J3234" i="5"/>
  <c r="I3234" i="5"/>
  <c r="H3234" i="5"/>
  <c r="G3234" i="5"/>
  <c r="V3232" i="5"/>
  <c r="U3230" i="5"/>
  <c r="T3230" i="5"/>
  <c r="S3230" i="5"/>
  <c r="R3230" i="5"/>
  <c r="Q3230" i="5"/>
  <c r="P3230" i="5"/>
  <c r="O3224" i="5"/>
  <c r="N3224" i="5"/>
  <c r="M3224" i="5"/>
  <c r="L3224" i="5"/>
  <c r="K3224" i="5"/>
  <c r="J3224" i="5"/>
  <c r="I3224" i="5"/>
  <c r="H3224" i="5"/>
  <c r="G3224" i="5"/>
  <c r="V3222" i="5"/>
  <c r="U3220" i="5"/>
  <c r="T3220" i="5"/>
  <c r="S3220" i="5"/>
  <c r="R3220" i="5"/>
  <c r="Q3220" i="5"/>
  <c r="P3220" i="5"/>
  <c r="O3214" i="5"/>
  <c r="N3214" i="5"/>
  <c r="M3214" i="5"/>
  <c r="L3214" i="5"/>
  <c r="K3214" i="5"/>
  <c r="J3214" i="5"/>
  <c r="I3214" i="5"/>
  <c r="H3214" i="5"/>
  <c r="G3214" i="5"/>
  <c r="V3212" i="5"/>
  <c r="U3210" i="5"/>
  <c r="T3210" i="5"/>
  <c r="S3210" i="5"/>
  <c r="R3210" i="5"/>
  <c r="Q3210" i="5"/>
  <c r="P3210" i="5"/>
  <c r="O3204" i="5"/>
  <c r="N3204" i="5"/>
  <c r="M3204" i="5"/>
  <c r="L3204" i="5"/>
  <c r="K3204" i="5"/>
  <c r="J3204" i="5"/>
  <c r="I3204" i="5"/>
  <c r="H3204" i="5"/>
  <c r="G3204" i="5"/>
  <c r="V3202" i="5"/>
  <c r="U3200" i="5"/>
  <c r="T3200" i="5"/>
  <c r="S3200" i="5"/>
  <c r="R3200" i="5"/>
  <c r="Q3200" i="5"/>
  <c r="P3200" i="5"/>
  <c r="O3194" i="5"/>
  <c r="N3194" i="5"/>
  <c r="M3194" i="5"/>
  <c r="L3194" i="5"/>
  <c r="K3194" i="5"/>
  <c r="J3194" i="5"/>
  <c r="I3194" i="5"/>
  <c r="H3194" i="5"/>
  <c r="G3194" i="5"/>
  <c r="V3192" i="5"/>
  <c r="U3190" i="5"/>
  <c r="T3190" i="5"/>
  <c r="S3190" i="5"/>
  <c r="R3190" i="5"/>
  <c r="Q3190" i="5"/>
  <c r="P3190" i="5"/>
  <c r="O3187" i="5"/>
  <c r="N3187" i="5"/>
  <c r="M3187" i="5"/>
  <c r="L3187" i="5"/>
  <c r="K3187" i="5"/>
  <c r="J3187" i="5"/>
  <c r="I3187" i="5"/>
  <c r="H3187" i="5"/>
  <c r="G3187" i="5"/>
  <c r="O3186" i="5"/>
  <c r="N3186" i="5"/>
  <c r="M3186" i="5"/>
  <c r="L3186" i="5"/>
  <c r="K3186" i="5"/>
  <c r="J3186" i="5"/>
  <c r="I3186" i="5"/>
  <c r="H3186" i="5"/>
  <c r="G3186" i="5"/>
  <c r="V3185" i="5"/>
  <c r="O3185" i="5"/>
  <c r="N3185" i="5"/>
  <c r="M3185" i="5"/>
  <c r="L3185" i="5"/>
  <c r="K3185" i="5"/>
  <c r="J3185" i="5"/>
  <c r="I3185" i="5"/>
  <c r="H3185" i="5"/>
  <c r="G3185" i="5"/>
  <c r="V3184" i="5"/>
  <c r="O3184" i="5"/>
  <c r="N3184" i="5"/>
  <c r="M3184" i="5"/>
  <c r="L3184" i="5"/>
  <c r="K3184" i="5"/>
  <c r="J3184" i="5"/>
  <c r="I3184" i="5"/>
  <c r="H3184" i="5"/>
  <c r="G3184" i="5"/>
  <c r="V3183" i="5"/>
  <c r="U3183" i="5"/>
  <c r="T3183" i="5"/>
  <c r="S3183" i="5"/>
  <c r="R3183" i="5"/>
  <c r="Q3183" i="5"/>
  <c r="P3183" i="5"/>
  <c r="O3183" i="5"/>
  <c r="N3183" i="5"/>
  <c r="M3183" i="5"/>
  <c r="L3183" i="5"/>
  <c r="K3183" i="5"/>
  <c r="J3183" i="5"/>
  <c r="I3183" i="5"/>
  <c r="H3183" i="5"/>
  <c r="G3183" i="5"/>
  <c r="V3182" i="5"/>
  <c r="U3182" i="5"/>
  <c r="T3182" i="5"/>
  <c r="S3182" i="5"/>
  <c r="R3182" i="5"/>
  <c r="Q3182" i="5"/>
  <c r="P3182" i="5"/>
  <c r="O3182" i="5"/>
  <c r="N3182" i="5"/>
  <c r="M3182" i="5"/>
  <c r="L3182" i="5"/>
  <c r="K3182" i="5"/>
  <c r="J3182" i="5"/>
  <c r="I3182" i="5"/>
  <c r="H3182" i="5"/>
  <c r="G3182" i="5"/>
  <c r="V3181" i="5"/>
  <c r="U3181" i="5"/>
  <c r="T3181" i="5"/>
  <c r="S3181" i="5"/>
  <c r="R3181" i="5"/>
  <c r="Q3181" i="5"/>
  <c r="P3181" i="5"/>
  <c r="O3181" i="5"/>
  <c r="N3181" i="5"/>
  <c r="M3181" i="5"/>
  <c r="L3181" i="5"/>
  <c r="K3181" i="5"/>
  <c r="J3181" i="5"/>
  <c r="I3181" i="5"/>
  <c r="H3181" i="5"/>
  <c r="G3181" i="5"/>
  <c r="V3180" i="5"/>
  <c r="U3180" i="5"/>
  <c r="T3180" i="5"/>
  <c r="S3180" i="5"/>
  <c r="R3180" i="5"/>
  <c r="Q3180" i="5"/>
  <c r="P3180" i="5"/>
  <c r="O3180" i="5"/>
  <c r="N3180" i="5"/>
  <c r="M3180" i="5"/>
  <c r="L3180" i="5"/>
  <c r="K3180" i="5"/>
  <c r="J3180" i="5"/>
  <c r="I3180" i="5"/>
  <c r="H3180" i="5"/>
  <c r="G3180" i="5"/>
  <c r="V3179" i="5"/>
  <c r="U3179" i="5"/>
  <c r="T3179" i="5"/>
  <c r="S3179" i="5"/>
  <c r="R3179" i="5"/>
  <c r="Q3179" i="5"/>
  <c r="P3179" i="5"/>
  <c r="O3179" i="5"/>
  <c r="N3179" i="5"/>
  <c r="M3179" i="5"/>
  <c r="L3179" i="5"/>
  <c r="K3179" i="5"/>
  <c r="J3179" i="5"/>
  <c r="I3179" i="5"/>
  <c r="H3179" i="5"/>
  <c r="G3179" i="5"/>
  <c r="V3178" i="5"/>
  <c r="U3178" i="5"/>
  <c r="T3178" i="5"/>
  <c r="S3178" i="5"/>
  <c r="R3178" i="5"/>
  <c r="Q3178" i="5"/>
  <c r="P3178" i="5"/>
  <c r="O3178" i="5"/>
  <c r="N3178" i="5"/>
  <c r="M3178" i="5"/>
  <c r="L3178" i="5"/>
  <c r="K3178" i="5"/>
  <c r="J3178" i="5"/>
  <c r="I3178" i="5"/>
  <c r="H3178" i="5"/>
  <c r="G3178" i="5"/>
  <c r="V3177" i="5"/>
  <c r="U3177" i="5"/>
  <c r="T3177" i="5"/>
  <c r="S3177" i="5"/>
  <c r="R3177" i="5"/>
  <c r="Q3177" i="5"/>
  <c r="P3177" i="5"/>
  <c r="V3176" i="5"/>
  <c r="U3176" i="5"/>
  <c r="T3176" i="5"/>
  <c r="S3176" i="5"/>
  <c r="R3176" i="5"/>
  <c r="Q3176" i="5"/>
  <c r="P3176" i="5"/>
  <c r="U3175" i="5"/>
  <c r="T3175" i="5"/>
  <c r="S3175" i="5"/>
  <c r="R3175" i="5"/>
  <c r="Q3175" i="5"/>
  <c r="P3175" i="5"/>
  <c r="U3174" i="5"/>
  <c r="T3174" i="5"/>
  <c r="S3174" i="5"/>
  <c r="R3174" i="5"/>
  <c r="Q3174" i="5"/>
  <c r="P3174" i="5"/>
  <c r="O3174" i="5"/>
  <c r="N3174" i="5"/>
  <c r="M3174" i="5"/>
  <c r="L3174" i="5"/>
  <c r="K3174" i="5"/>
  <c r="J3174" i="5"/>
  <c r="I3174" i="5"/>
  <c r="H3174" i="5"/>
  <c r="G3174" i="5"/>
  <c r="V3172" i="5"/>
  <c r="U3170" i="5"/>
  <c r="T3170" i="5"/>
  <c r="S3170" i="5"/>
  <c r="R3170" i="5"/>
  <c r="Q3170" i="5"/>
  <c r="P3170" i="5"/>
  <c r="O3164" i="5"/>
  <c r="N3164" i="5"/>
  <c r="M3164" i="5"/>
  <c r="L3164" i="5"/>
  <c r="K3164" i="5"/>
  <c r="J3164" i="5"/>
  <c r="I3164" i="5"/>
  <c r="H3164" i="5"/>
  <c r="G3164" i="5"/>
  <c r="V3162" i="5"/>
  <c r="U3160" i="5"/>
  <c r="T3160" i="5"/>
  <c r="S3160" i="5"/>
  <c r="R3160" i="5"/>
  <c r="Q3160" i="5"/>
  <c r="P3160" i="5"/>
  <c r="O3154" i="5"/>
  <c r="N3154" i="5"/>
  <c r="M3154" i="5"/>
  <c r="L3154" i="5"/>
  <c r="K3154" i="5"/>
  <c r="J3154" i="5"/>
  <c r="I3154" i="5"/>
  <c r="H3154" i="5"/>
  <c r="G3154" i="5"/>
  <c r="V3152" i="5"/>
  <c r="U3150" i="5"/>
  <c r="T3150" i="5"/>
  <c r="S3150" i="5"/>
  <c r="R3150" i="5"/>
  <c r="Q3150" i="5"/>
  <c r="P3150" i="5"/>
  <c r="O3144" i="5"/>
  <c r="N3144" i="5"/>
  <c r="M3144" i="5"/>
  <c r="L3144" i="5"/>
  <c r="K3144" i="5"/>
  <c r="J3144" i="5"/>
  <c r="I3144" i="5"/>
  <c r="H3144" i="5"/>
  <c r="G3144" i="5"/>
  <c r="V3142" i="5"/>
  <c r="U3140" i="5"/>
  <c r="T3140" i="5"/>
  <c r="S3140" i="5"/>
  <c r="R3140" i="5"/>
  <c r="Q3140" i="5"/>
  <c r="P3140" i="5"/>
  <c r="O3134" i="5"/>
  <c r="N3134" i="5"/>
  <c r="M3134" i="5"/>
  <c r="L3134" i="5"/>
  <c r="K3134" i="5"/>
  <c r="J3134" i="5"/>
  <c r="I3134" i="5"/>
  <c r="H3134" i="5"/>
  <c r="G3134" i="5"/>
  <c r="V3132" i="5"/>
  <c r="U3130" i="5"/>
  <c r="T3130" i="5"/>
  <c r="S3130" i="5"/>
  <c r="R3130" i="5"/>
  <c r="Q3130" i="5"/>
  <c r="P3130" i="5"/>
  <c r="O3124" i="5"/>
  <c r="N3124" i="5"/>
  <c r="M3124" i="5"/>
  <c r="L3124" i="5"/>
  <c r="K3124" i="5"/>
  <c r="J3124" i="5"/>
  <c r="I3124" i="5"/>
  <c r="H3124" i="5"/>
  <c r="G3124" i="5"/>
  <c r="V3122" i="5"/>
  <c r="U3120" i="5"/>
  <c r="T3120" i="5"/>
  <c r="S3120" i="5"/>
  <c r="R3120" i="5"/>
  <c r="Q3120" i="5"/>
  <c r="P3120" i="5"/>
  <c r="O3114" i="5"/>
  <c r="N3114" i="5"/>
  <c r="M3114" i="5"/>
  <c r="L3114" i="5"/>
  <c r="K3114" i="5"/>
  <c r="J3114" i="5"/>
  <c r="I3114" i="5"/>
  <c r="H3114" i="5"/>
  <c r="G3114" i="5"/>
  <c r="V3112" i="5"/>
  <c r="U3110" i="5"/>
  <c r="T3110" i="5"/>
  <c r="S3110" i="5"/>
  <c r="R3110" i="5"/>
  <c r="Q3110" i="5"/>
  <c r="P3110" i="5"/>
  <c r="O3104" i="5"/>
  <c r="N3104" i="5"/>
  <c r="M3104" i="5"/>
  <c r="L3104" i="5"/>
  <c r="K3104" i="5"/>
  <c r="J3104" i="5"/>
  <c r="I3104" i="5"/>
  <c r="H3104" i="5"/>
  <c r="G3104" i="5"/>
  <c r="V3102" i="5"/>
  <c r="U3100" i="5"/>
  <c r="T3100" i="5"/>
  <c r="S3100" i="5"/>
  <c r="R3100" i="5"/>
  <c r="Q3100" i="5"/>
  <c r="P3100" i="5"/>
  <c r="O3094" i="5"/>
  <c r="N3094" i="5"/>
  <c r="M3094" i="5"/>
  <c r="L3094" i="5"/>
  <c r="K3094" i="5"/>
  <c r="J3094" i="5"/>
  <c r="I3094" i="5"/>
  <c r="H3094" i="5"/>
  <c r="G3094" i="5"/>
  <c r="V3092" i="5"/>
  <c r="U3090" i="5"/>
  <c r="T3090" i="5"/>
  <c r="S3090" i="5"/>
  <c r="R3090" i="5"/>
  <c r="Q3090" i="5"/>
  <c r="P3090" i="5"/>
  <c r="O3087" i="5"/>
  <c r="N3087" i="5"/>
  <c r="M3087" i="5"/>
  <c r="L3087" i="5"/>
  <c r="K3087" i="5"/>
  <c r="J3087" i="5"/>
  <c r="I3087" i="5"/>
  <c r="H3087" i="5"/>
  <c r="G3087" i="5"/>
  <c r="O3086" i="5"/>
  <c r="N3086" i="5"/>
  <c r="M3086" i="5"/>
  <c r="L3086" i="5"/>
  <c r="K3086" i="5"/>
  <c r="J3086" i="5"/>
  <c r="I3086" i="5"/>
  <c r="H3086" i="5"/>
  <c r="G3086" i="5"/>
  <c r="V3085" i="5"/>
  <c r="O3085" i="5"/>
  <c r="N3085" i="5"/>
  <c r="M3085" i="5"/>
  <c r="L3085" i="5"/>
  <c r="K3085" i="5"/>
  <c r="J3085" i="5"/>
  <c r="I3085" i="5"/>
  <c r="H3085" i="5"/>
  <c r="G3085" i="5"/>
  <c r="V3084" i="5"/>
  <c r="O3084" i="5"/>
  <c r="N3084" i="5"/>
  <c r="M3084" i="5"/>
  <c r="L3084" i="5"/>
  <c r="K3084" i="5"/>
  <c r="J3084" i="5"/>
  <c r="I3084" i="5"/>
  <c r="H3084" i="5"/>
  <c r="G3084" i="5"/>
  <c r="V3083" i="5"/>
  <c r="U3083" i="5"/>
  <c r="T3083" i="5"/>
  <c r="S3083" i="5"/>
  <c r="R3083" i="5"/>
  <c r="Q3083" i="5"/>
  <c r="P3083" i="5"/>
  <c r="O3083" i="5"/>
  <c r="N3083" i="5"/>
  <c r="M3083" i="5"/>
  <c r="L3083" i="5"/>
  <c r="K3083" i="5"/>
  <c r="J3083" i="5"/>
  <c r="I3083" i="5"/>
  <c r="H3083" i="5"/>
  <c r="G3083" i="5"/>
  <c r="V3082" i="5"/>
  <c r="U3082" i="5"/>
  <c r="T3082" i="5"/>
  <c r="S3082" i="5"/>
  <c r="R3082" i="5"/>
  <c r="Q3082" i="5"/>
  <c r="P3082" i="5"/>
  <c r="O3082" i="5"/>
  <c r="N3082" i="5"/>
  <c r="M3082" i="5"/>
  <c r="L3082" i="5"/>
  <c r="K3082" i="5"/>
  <c r="J3082" i="5"/>
  <c r="I3082" i="5"/>
  <c r="H3082" i="5"/>
  <c r="G3082" i="5"/>
  <c r="V3081" i="5"/>
  <c r="U3081" i="5"/>
  <c r="T3081" i="5"/>
  <c r="S3081" i="5"/>
  <c r="R3081" i="5"/>
  <c r="Q3081" i="5"/>
  <c r="P3081" i="5"/>
  <c r="O3081" i="5"/>
  <c r="N3081" i="5"/>
  <c r="M3081" i="5"/>
  <c r="L3081" i="5"/>
  <c r="K3081" i="5"/>
  <c r="J3081" i="5"/>
  <c r="I3081" i="5"/>
  <c r="H3081" i="5"/>
  <c r="G3081" i="5"/>
  <c r="V3080" i="5"/>
  <c r="U3080" i="5"/>
  <c r="T3080" i="5"/>
  <c r="S3080" i="5"/>
  <c r="R3080" i="5"/>
  <c r="Q3080" i="5"/>
  <c r="P3080" i="5"/>
  <c r="O3080" i="5"/>
  <c r="N3080" i="5"/>
  <c r="M3080" i="5"/>
  <c r="L3080" i="5"/>
  <c r="K3080" i="5"/>
  <c r="J3080" i="5"/>
  <c r="I3080" i="5"/>
  <c r="H3080" i="5"/>
  <c r="G3080" i="5"/>
  <c r="V3079" i="5"/>
  <c r="U3079" i="5"/>
  <c r="T3079" i="5"/>
  <c r="S3079" i="5"/>
  <c r="R3079" i="5"/>
  <c r="Q3079" i="5"/>
  <c r="P3079" i="5"/>
  <c r="O3079" i="5"/>
  <c r="N3079" i="5"/>
  <c r="M3079" i="5"/>
  <c r="L3079" i="5"/>
  <c r="K3079" i="5"/>
  <c r="J3079" i="5"/>
  <c r="I3079" i="5"/>
  <c r="H3079" i="5"/>
  <c r="G3079" i="5"/>
  <c r="V3078" i="5"/>
  <c r="U3078" i="5"/>
  <c r="T3078" i="5"/>
  <c r="S3078" i="5"/>
  <c r="R3078" i="5"/>
  <c r="Q3078" i="5"/>
  <c r="P3078" i="5"/>
  <c r="O3078" i="5"/>
  <c r="N3078" i="5"/>
  <c r="M3078" i="5"/>
  <c r="L3078" i="5"/>
  <c r="K3078" i="5"/>
  <c r="J3078" i="5"/>
  <c r="I3078" i="5"/>
  <c r="H3078" i="5"/>
  <c r="G3078" i="5"/>
  <c r="V3077" i="5"/>
  <c r="U3077" i="5"/>
  <c r="T3077" i="5"/>
  <c r="S3077" i="5"/>
  <c r="R3077" i="5"/>
  <c r="Q3077" i="5"/>
  <c r="P3077" i="5"/>
  <c r="V3076" i="5"/>
  <c r="U3076" i="5"/>
  <c r="T3076" i="5"/>
  <c r="S3076" i="5"/>
  <c r="R3076" i="5"/>
  <c r="Q3076" i="5"/>
  <c r="P3076" i="5"/>
  <c r="U3075" i="5"/>
  <c r="T3075" i="5"/>
  <c r="S3075" i="5"/>
  <c r="R3075" i="5"/>
  <c r="Q3075" i="5"/>
  <c r="P3075" i="5"/>
  <c r="U3074" i="5"/>
  <c r="T3074" i="5"/>
  <c r="S3074" i="5"/>
  <c r="R3074" i="5"/>
  <c r="Q3074" i="5"/>
  <c r="P3074" i="5"/>
  <c r="O3074" i="5"/>
  <c r="N3074" i="5"/>
  <c r="M3074" i="5"/>
  <c r="L3074" i="5"/>
  <c r="K3074" i="5"/>
  <c r="J3074" i="5"/>
  <c r="I3074" i="5"/>
  <c r="H3074" i="5"/>
  <c r="G3074" i="5"/>
  <c r="V3072" i="5"/>
  <c r="U3070" i="5"/>
  <c r="T3070" i="5"/>
  <c r="S3070" i="5"/>
  <c r="R3070" i="5"/>
  <c r="Q3070" i="5"/>
  <c r="P3070" i="5"/>
  <c r="O3064" i="5"/>
  <c r="N3064" i="5"/>
  <c r="M3064" i="5"/>
  <c r="L3064" i="5"/>
  <c r="K3064" i="5"/>
  <c r="J3064" i="5"/>
  <c r="I3064" i="5"/>
  <c r="H3064" i="5"/>
  <c r="G3064" i="5"/>
  <c r="V3062" i="5"/>
  <c r="U3060" i="5"/>
  <c r="T3060" i="5"/>
  <c r="S3060" i="5"/>
  <c r="R3060" i="5"/>
  <c r="Q3060" i="5"/>
  <c r="P3060" i="5"/>
  <c r="O3054" i="5"/>
  <c r="N3054" i="5"/>
  <c r="M3054" i="5"/>
  <c r="L3054" i="5"/>
  <c r="K3054" i="5"/>
  <c r="J3054" i="5"/>
  <c r="I3054" i="5"/>
  <c r="H3054" i="5"/>
  <c r="G3054" i="5"/>
  <c r="V3052" i="5"/>
  <c r="U3050" i="5"/>
  <c r="T3050" i="5"/>
  <c r="S3050" i="5"/>
  <c r="R3050" i="5"/>
  <c r="Q3050" i="5"/>
  <c r="P3050" i="5"/>
  <c r="O3044" i="5"/>
  <c r="N3044" i="5"/>
  <c r="M3044" i="5"/>
  <c r="L3044" i="5"/>
  <c r="K3044" i="5"/>
  <c r="J3044" i="5"/>
  <c r="I3044" i="5"/>
  <c r="H3044" i="5"/>
  <c r="G3044" i="5"/>
  <c r="V3042" i="5"/>
  <c r="U3040" i="5"/>
  <c r="T3040" i="5"/>
  <c r="S3040" i="5"/>
  <c r="R3040" i="5"/>
  <c r="Q3040" i="5"/>
  <c r="P3040" i="5"/>
  <c r="O3034" i="5"/>
  <c r="N3034" i="5"/>
  <c r="M3034" i="5"/>
  <c r="L3034" i="5"/>
  <c r="K3034" i="5"/>
  <c r="J3034" i="5"/>
  <c r="I3034" i="5"/>
  <c r="H3034" i="5"/>
  <c r="G3034" i="5"/>
  <c r="V3032" i="5"/>
  <c r="U3030" i="5"/>
  <c r="T3030" i="5"/>
  <c r="S3030" i="5"/>
  <c r="R3030" i="5"/>
  <c r="Q3030" i="5"/>
  <c r="P3030" i="5"/>
  <c r="O3024" i="5"/>
  <c r="N3024" i="5"/>
  <c r="M3024" i="5"/>
  <c r="L3024" i="5"/>
  <c r="K3024" i="5"/>
  <c r="J3024" i="5"/>
  <c r="I3024" i="5"/>
  <c r="H3024" i="5"/>
  <c r="G3024" i="5"/>
  <c r="V3022" i="5"/>
  <c r="U3020" i="5"/>
  <c r="T3020" i="5"/>
  <c r="S3020" i="5"/>
  <c r="R3020" i="5"/>
  <c r="Q3020" i="5"/>
  <c r="P3020" i="5"/>
  <c r="O3014" i="5"/>
  <c r="N3014" i="5"/>
  <c r="M3014" i="5"/>
  <c r="L3014" i="5"/>
  <c r="K3014" i="5"/>
  <c r="J3014" i="5"/>
  <c r="I3014" i="5"/>
  <c r="H3014" i="5"/>
  <c r="G3014" i="5"/>
  <c r="V3012" i="5"/>
  <c r="U3010" i="5"/>
  <c r="T3010" i="5"/>
  <c r="S3010" i="5"/>
  <c r="R3010" i="5"/>
  <c r="Q3010" i="5"/>
  <c r="P3010" i="5"/>
  <c r="O3004" i="5"/>
  <c r="N3004" i="5"/>
  <c r="M3004" i="5"/>
  <c r="L3004" i="5"/>
  <c r="K3004" i="5"/>
  <c r="J3004" i="5"/>
  <c r="I3004" i="5"/>
  <c r="H3004" i="5"/>
  <c r="V3002" i="5"/>
  <c r="U3000" i="5"/>
  <c r="T3000" i="5"/>
  <c r="S3000" i="5"/>
  <c r="R3000" i="5"/>
  <c r="Q3000" i="5"/>
  <c r="P3000" i="5"/>
  <c r="O2994" i="5"/>
  <c r="N2994" i="5"/>
  <c r="M2994" i="5"/>
  <c r="L2994" i="5"/>
  <c r="K2994" i="5"/>
  <c r="J2994" i="5"/>
  <c r="I2994" i="5"/>
  <c r="H2994" i="5"/>
  <c r="V2992" i="5"/>
  <c r="U2990" i="5"/>
  <c r="T2990" i="5"/>
  <c r="S2990" i="5"/>
  <c r="R2990" i="5"/>
  <c r="Q2990" i="5"/>
  <c r="P2990" i="5"/>
  <c r="O2987" i="5"/>
  <c r="N2987" i="5"/>
  <c r="M2987" i="5"/>
  <c r="L2987" i="5"/>
  <c r="K2987" i="5"/>
  <c r="J2987" i="5"/>
  <c r="I2987" i="5"/>
  <c r="H2987" i="5"/>
  <c r="O2986" i="5"/>
  <c r="N2986" i="5"/>
  <c r="M2986" i="5"/>
  <c r="L2986" i="5"/>
  <c r="K2986" i="5"/>
  <c r="J2986" i="5"/>
  <c r="I2986" i="5"/>
  <c r="H2986" i="5"/>
  <c r="V2985" i="5"/>
  <c r="O2985" i="5"/>
  <c r="N2985" i="5"/>
  <c r="M2985" i="5"/>
  <c r="L2985" i="5"/>
  <c r="K2985" i="5"/>
  <c r="J2985" i="5"/>
  <c r="I2985" i="5"/>
  <c r="H2985" i="5"/>
  <c r="V2984" i="5"/>
  <c r="O2984" i="5"/>
  <c r="N2984" i="5"/>
  <c r="M2984" i="5"/>
  <c r="L2984" i="5"/>
  <c r="K2984" i="5"/>
  <c r="J2984" i="5"/>
  <c r="I2984" i="5"/>
  <c r="H2984" i="5"/>
  <c r="V2983" i="5"/>
  <c r="U2983" i="5"/>
  <c r="T2983" i="5"/>
  <c r="S2983" i="5"/>
  <c r="R2983" i="5"/>
  <c r="Q2983" i="5"/>
  <c r="P2983" i="5"/>
  <c r="O2983" i="5"/>
  <c r="N2983" i="5"/>
  <c r="M2983" i="5"/>
  <c r="L2983" i="5"/>
  <c r="K2983" i="5"/>
  <c r="J2983" i="5"/>
  <c r="I2983" i="5"/>
  <c r="H2983" i="5"/>
  <c r="V2982" i="5"/>
  <c r="U2982" i="5"/>
  <c r="T2982" i="5"/>
  <c r="S2982" i="5"/>
  <c r="R2982" i="5"/>
  <c r="Q2982" i="5"/>
  <c r="P2982" i="5"/>
  <c r="O2982" i="5"/>
  <c r="N2982" i="5"/>
  <c r="M2982" i="5"/>
  <c r="L2982" i="5"/>
  <c r="K2982" i="5"/>
  <c r="J2982" i="5"/>
  <c r="I2982" i="5"/>
  <c r="H2982" i="5"/>
  <c r="V2981" i="5"/>
  <c r="U2981" i="5"/>
  <c r="T2981" i="5"/>
  <c r="S2981" i="5"/>
  <c r="R2981" i="5"/>
  <c r="Q2981" i="5"/>
  <c r="P2981" i="5"/>
  <c r="O2981" i="5"/>
  <c r="N2981" i="5"/>
  <c r="M2981" i="5"/>
  <c r="L2981" i="5"/>
  <c r="K2981" i="5"/>
  <c r="J2981" i="5"/>
  <c r="I2981" i="5"/>
  <c r="H2981" i="5"/>
  <c r="V2980" i="5"/>
  <c r="U2980" i="5"/>
  <c r="T2980" i="5"/>
  <c r="S2980" i="5"/>
  <c r="R2980" i="5"/>
  <c r="Q2980" i="5"/>
  <c r="P2980" i="5"/>
  <c r="O2980" i="5"/>
  <c r="N2980" i="5"/>
  <c r="M2980" i="5"/>
  <c r="L2980" i="5"/>
  <c r="K2980" i="5"/>
  <c r="J2980" i="5"/>
  <c r="I2980" i="5"/>
  <c r="H2980" i="5"/>
  <c r="V2979" i="5"/>
  <c r="U2979" i="5"/>
  <c r="T2979" i="5"/>
  <c r="S2979" i="5"/>
  <c r="R2979" i="5"/>
  <c r="Q2979" i="5"/>
  <c r="P2979" i="5"/>
  <c r="O2979" i="5"/>
  <c r="N2979" i="5"/>
  <c r="M2979" i="5"/>
  <c r="L2979" i="5"/>
  <c r="K2979" i="5"/>
  <c r="J2979" i="5"/>
  <c r="I2979" i="5"/>
  <c r="H2979" i="5"/>
  <c r="V2978" i="5"/>
  <c r="U2978" i="5"/>
  <c r="T2978" i="5"/>
  <c r="S2978" i="5"/>
  <c r="R2978" i="5"/>
  <c r="Q2978" i="5"/>
  <c r="P2978" i="5"/>
  <c r="O2978" i="5"/>
  <c r="N2978" i="5"/>
  <c r="M2978" i="5"/>
  <c r="L2978" i="5"/>
  <c r="K2978" i="5"/>
  <c r="J2978" i="5"/>
  <c r="I2978" i="5"/>
  <c r="H2978" i="5"/>
  <c r="V2977" i="5"/>
  <c r="U2977" i="5"/>
  <c r="T2977" i="5"/>
  <c r="S2977" i="5"/>
  <c r="R2977" i="5"/>
  <c r="Q2977" i="5"/>
  <c r="P2977" i="5"/>
  <c r="V2976" i="5"/>
  <c r="U2976" i="5"/>
  <c r="T2976" i="5"/>
  <c r="S2976" i="5"/>
  <c r="R2976" i="5"/>
  <c r="Q2976" i="5"/>
  <c r="P2976" i="5"/>
  <c r="U2975" i="5"/>
  <c r="T2975" i="5"/>
  <c r="S2975" i="5"/>
  <c r="R2975" i="5"/>
  <c r="Q2975" i="5"/>
  <c r="P2975" i="5"/>
  <c r="U2974" i="5"/>
  <c r="T2974" i="5"/>
  <c r="S2974" i="5"/>
  <c r="R2974" i="5"/>
  <c r="Q2974" i="5"/>
  <c r="P2974" i="5"/>
  <c r="O2974" i="5"/>
  <c r="N2974" i="5"/>
  <c r="M2974" i="5"/>
  <c r="L2974" i="5"/>
  <c r="K2974" i="5"/>
  <c r="J2974" i="5"/>
  <c r="I2974" i="5"/>
  <c r="H2974" i="5"/>
  <c r="V2972" i="5"/>
  <c r="U2970" i="5"/>
  <c r="T2970" i="5"/>
  <c r="S2970" i="5"/>
  <c r="R2970" i="5"/>
  <c r="Q2970" i="5"/>
  <c r="P2970" i="5"/>
  <c r="O2964" i="5"/>
  <c r="N2964" i="5"/>
  <c r="M2964" i="5"/>
  <c r="L2964" i="5"/>
  <c r="K2964" i="5"/>
  <c r="J2964" i="5"/>
  <c r="I2964" i="5"/>
  <c r="H2964" i="5"/>
  <c r="V2962" i="5"/>
  <c r="U2960" i="5"/>
  <c r="T2960" i="5"/>
  <c r="S2960" i="5"/>
  <c r="R2960" i="5"/>
  <c r="Q2960" i="5"/>
  <c r="P2960" i="5"/>
  <c r="O2954" i="5"/>
  <c r="N2954" i="5"/>
  <c r="M2954" i="5"/>
  <c r="L2954" i="5"/>
  <c r="K2954" i="5"/>
  <c r="J2954" i="5"/>
  <c r="I2954" i="5"/>
  <c r="H2954" i="5"/>
  <c r="V2952" i="5"/>
  <c r="U2950" i="5"/>
  <c r="T2950" i="5"/>
  <c r="S2950" i="5"/>
  <c r="R2950" i="5"/>
  <c r="Q2950" i="5"/>
  <c r="P2950" i="5"/>
  <c r="O2944" i="5"/>
  <c r="N2944" i="5"/>
  <c r="M2944" i="5"/>
  <c r="L2944" i="5"/>
  <c r="K2944" i="5"/>
  <c r="J2944" i="5"/>
  <c r="I2944" i="5"/>
  <c r="H2944" i="5"/>
  <c r="V2942" i="5"/>
  <c r="U2940" i="5"/>
  <c r="T2940" i="5"/>
  <c r="S2940" i="5"/>
  <c r="R2940" i="5"/>
  <c r="Q2940" i="5"/>
  <c r="P2940" i="5"/>
  <c r="O2934" i="5"/>
  <c r="N2934" i="5"/>
  <c r="M2934" i="5"/>
  <c r="L2934" i="5"/>
  <c r="K2934" i="5"/>
  <c r="J2934" i="5"/>
  <c r="I2934" i="5"/>
  <c r="H2934" i="5"/>
  <c r="V2932" i="5"/>
  <c r="U2930" i="5"/>
  <c r="T2930" i="5"/>
  <c r="S2930" i="5"/>
  <c r="R2930" i="5"/>
  <c r="Q2930" i="5"/>
  <c r="P2930" i="5"/>
  <c r="O2924" i="5"/>
  <c r="N2924" i="5"/>
  <c r="M2924" i="5"/>
  <c r="L2924" i="5"/>
  <c r="K2924" i="5"/>
  <c r="J2924" i="5"/>
  <c r="I2924" i="5"/>
  <c r="H2924" i="5"/>
  <c r="V2922" i="5"/>
  <c r="U2920" i="5"/>
  <c r="T2920" i="5"/>
  <c r="S2920" i="5"/>
  <c r="R2920" i="5"/>
  <c r="Q2920" i="5"/>
  <c r="P2920" i="5"/>
  <c r="O2914" i="5"/>
  <c r="N2914" i="5"/>
  <c r="M2914" i="5"/>
  <c r="L2914" i="5"/>
  <c r="K2914" i="5"/>
  <c r="J2914" i="5"/>
  <c r="I2914" i="5"/>
  <c r="H2914" i="5"/>
  <c r="V2912" i="5"/>
  <c r="U2910" i="5"/>
  <c r="T2910" i="5"/>
  <c r="S2910" i="5"/>
  <c r="R2910" i="5"/>
  <c r="Q2910" i="5"/>
  <c r="P2910" i="5"/>
  <c r="O2904" i="5"/>
  <c r="N2904" i="5"/>
  <c r="M2904" i="5"/>
  <c r="L2904" i="5"/>
  <c r="K2904" i="5"/>
  <c r="J2904" i="5"/>
  <c r="I2904" i="5"/>
  <c r="H2904" i="5"/>
  <c r="V2902" i="5"/>
  <c r="U2900" i="5"/>
  <c r="T2900" i="5"/>
  <c r="S2900" i="5"/>
  <c r="R2900" i="5"/>
  <c r="Q2900" i="5"/>
  <c r="P2900" i="5"/>
  <c r="O2894" i="5"/>
  <c r="N2894" i="5"/>
  <c r="M2894" i="5"/>
  <c r="L2894" i="5"/>
  <c r="K2894" i="5"/>
  <c r="J2894" i="5"/>
  <c r="I2894" i="5"/>
  <c r="H2894" i="5"/>
  <c r="V2892" i="5"/>
  <c r="U2890" i="5"/>
  <c r="T2890" i="5"/>
  <c r="S2890" i="5"/>
  <c r="R2890" i="5"/>
  <c r="Q2890" i="5"/>
  <c r="P2890" i="5"/>
  <c r="O2887" i="5"/>
  <c r="N2887" i="5"/>
  <c r="M2887" i="5"/>
  <c r="L2887" i="5"/>
  <c r="K2887" i="5"/>
  <c r="J2887" i="5"/>
  <c r="I2887" i="5"/>
  <c r="H2887" i="5"/>
  <c r="O2886" i="5"/>
  <c r="N2886" i="5"/>
  <c r="M2886" i="5"/>
  <c r="L2886" i="5"/>
  <c r="K2886" i="5"/>
  <c r="J2886" i="5"/>
  <c r="I2886" i="5"/>
  <c r="H2886" i="5"/>
  <c r="V2885" i="5"/>
  <c r="O2885" i="5"/>
  <c r="N2885" i="5"/>
  <c r="M2885" i="5"/>
  <c r="L2885" i="5"/>
  <c r="K2885" i="5"/>
  <c r="J2885" i="5"/>
  <c r="I2885" i="5"/>
  <c r="H2885" i="5"/>
  <c r="V2884" i="5"/>
  <c r="O2884" i="5"/>
  <c r="N2884" i="5"/>
  <c r="M2884" i="5"/>
  <c r="L2884" i="5"/>
  <c r="K2884" i="5"/>
  <c r="J2884" i="5"/>
  <c r="I2884" i="5"/>
  <c r="H2884" i="5"/>
  <c r="V2883" i="5"/>
  <c r="U2883" i="5"/>
  <c r="T2883" i="5"/>
  <c r="S2883" i="5"/>
  <c r="R2883" i="5"/>
  <c r="Q2883" i="5"/>
  <c r="P2883" i="5"/>
  <c r="O2883" i="5"/>
  <c r="N2883" i="5"/>
  <c r="M2883" i="5"/>
  <c r="L2883" i="5"/>
  <c r="K2883" i="5"/>
  <c r="J2883" i="5"/>
  <c r="I2883" i="5"/>
  <c r="H2883" i="5"/>
  <c r="V2882" i="5"/>
  <c r="U2882" i="5"/>
  <c r="T2882" i="5"/>
  <c r="S2882" i="5"/>
  <c r="R2882" i="5"/>
  <c r="Q2882" i="5"/>
  <c r="P2882" i="5"/>
  <c r="O2882" i="5"/>
  <c r="N2882" i="5"/>
  <c r="M2882" i="5"/>
  <c r="L2882" i="5"/>
  <c r="K2882" i="5"/>
  <c r="J2882" i="5"/>
  <c r="I2882" i="5"/>
  <c r="H2882" i="5"/>
  <c r="V2881" i="5"/>
  <c r="U2881" i="5"/>
  <c r="T2881" i="5"/>
  <c r="S2881" i="5"/>
  <c r="R2881" i="5"/>
  <c r="Q2881" i="5"/>
  <c r="P2881" i="5"/>
  <c r="O2881" i="5"/>
  <c r="N2881" i="5"/>
  <c r="M2881" i="5"/>
  <c r="L2881" i="5"/>
  <c r="K2881" i="5"/>
  <c r="J2881" i="5"/>
  <c r="I2881" i="5"/>
  <c r="H2881" i="5"/>
  <c r="V2880" i="5"/>
  <c r="U2880" i="5"/>
  <c r="T2880" i="5"/>
  <c r="S2880" i="5"/>
  <c r="R2880" i="5"/>
  <c r="Q2880" i="5"/>
  <c r="P2880" i="5"/>
  <c r="O2880" i="5"/>
  <c r="N2880" i="5"/>
  <c r="M2880" i="5"/>
  <c r="L2880" i="5"/>
  <c r="K2880" i="5"/>
  <c r="J2880" i="5"/>
  <c r="I2880" i="5"/>
  <c r="H2880" i="5"/>
  <c r="V2879" i="5"/>
  <c r="U2879" i="5"/>
  <c r="T2879" i="5"/>
  <c r="S2879" i="5"/>
  <c r="R2879" i="5"/>
  <c r="Q2879" i="5"/>
  <c r="P2879" i="5"/>
  <c r="O2879" i="5"/>
  <c r="N2879" i="5"/>
  <c r="M2879" i="5"/>
  <c r="L2879" i="5"/>
  <c r="K2879" i="5"/>
  <c r="J2879" i="5"/>
  <c r="I2879" i="5"/>
  <c r="H2879" i="5"/>
  <c r="V2878" i="5"/>
  <c r="U2878" i="5"/>
  <c r="T2878" i="5"/>
  <c r="S2878" i="5"/>
  <c r="R2878" i="5"/>
  <c r="Q2878" i="5"/>
  <c r="P2878" i="5"/>
  <c r="O2878" i="5"/>
  <c r="N2878" i="5"/>
  <c r="M2878" i="5"/>
  <c r="L2878" i="5"/>
  <c r="K2878" i="5"/>
  <c r="J2878" i="5"/>
  <c r="I2878" i="5"/>
  <c r="H2878" i="5"/>
  <c r="V2877" i="5"/>
  <c r="U2877" i="5"/>
  <c r="T2877" i="5"/>
  <c r="S2877" i="5"/>
  <c r="R2877" i="5"/>
  <c r="Q2877" i="5"/>
  <c r="P2877" i="5"/>
  <c r="V2876" i="5"/>
  <c r="U2876" i="5"/>
  <c r="T2876" i="5"/>
  <c r="S2876" i="5"/>
  <c r="R2876" i="5"/>
  <c r="Q2876" i="5"/>
  <c r="P2876" i="5"/>
  <c r="U2875" i="5"/>
  <c r="T2875" i="5"/>
  <c r="S2875" i="5"/>
  <c r="R2875" i="5"/>
  <c r="Q2875" i="5"/>
  <c r="P2875" i="5"/>
  <c r="U2874" i="5"/>
  <c r="T2874" i="5"/>
  <c r="S2874" i="5"/>
  <c r="R2874" i="5"/>
  <c r="Q2874" i="5"/>
  <c r="P2874" i="5"/>
  <c r="O2874" i="5"/>
  <c r="N2874" i="5"/>
  <c r="M2874" i="5"/>
  <c r="L2874" i="5"/>
  <c r="K2874" i="5"/>
  <c r="J2874" i="5"/>
  <c r="I2874" i="5"/>
  <c r="H2874" i="5"/>
  <c r="V2872" i="5"/>
  <c r="U2870" i="5"/>
  <c r="T2870" i="5"/>
  <c r="S2870" i="5"/>
  <c r="R2870" i="5"/>
  <c r="Q2870" i="5"/>
  <c r="P2870" i="5"/>
  <c r="O2864" i="5"/>
  <c r="N2864" i="5"/>
  <c r="M2864" i="5"/>
  <c r="L2864" i="5"/>
  <c r="K2864" i="5"/>
  <c r="J2864" i="5"/>
  <c r="I2864" i="5"/>
  <c r="H2864" i="5"/>
  <c r="V2862" i="5"/>
  <c r="U2860" i="5"/>
  <c r="T2860" i="5"/>
  <c r="S2860" i="5"/>
  <c r="R2860" i="5"/>
  <c r="Q2860" i="5"/>
  <c r="P2860" i="5"/>
  <c r="O2854" i="5"/>
  <c r="N2854" i="5"/>
  <c r="M2854" i="5"/>
  <c r="L2854" i="5"/>
  <c r="K2854" i="5"/>
  <c r="J2854" i="5"/>
  <c r="I2854" i="5"/>
  <c r="H2854" i="5"/>
  <c r="V2852" i="5"/>
  <c r="U2850" i="5"/>
  <c r="T2850" i="5"/>
  <c r="S2850" i="5"/>
  <c r="R2850" i="5"/>
  <c r="Q2850" i="5"/>
  <c r="P2850" i="5"/>
  <c r="O2844" i="5"/>
  <c r="N2844" i="5"/>
  <c r="M2844" i="5"/>
  <c r="L2844" i="5"/>
  <c r="K2844" i="5"/>
  <c r="J2844" i="5"/>
  <c r="I2844" i="5"/>
  <c r="H2844" i="5"/>
  <c r="V2842" i="5"/>
  <c r="U2840" i="5"/>
  <c r="T2840" i="5"/>
  <c r="S2840" i="5"/>
  <c r="R2840" i="5"/>
  <c r="Q2840" i="5"/>
  <c r="P2840" i="5"/>
  <c r="O2834" i="5"/>
  <c r="N2834" i="5"/>
  <c r="M2834" i="5"/>
  <c r="L2834" i="5"/>
  <c r="K2834" i="5"/>
  <c r="J2834" i="5"/>
  <c r="I2834" i="5"/>
  <c r="H2834" i="5"/>
  <c r="V2832" i="5"/>
  <c r="U2830" i="5"/>
  <c r="T2830" i="5"/>
  <c r="S2830" i="5"/>
  <c r="R2830" i="5"/>
  <c r="Q2830" i="5"/>
  <c r="P2830" i="5"/>
  <c r="O2824" i="5"/>
  <c r="N2824" i="5"/>
  <c r="M2824" i="5"/>
  <c r="L2824" i="5"/>
  <c r="K2824" i="5"/>
  <c r="J2824" i="5"/>
  <c r="I2824" i="5"/>
  <c r="H2824" i="5"/>
  <c r="V2822" i="5"/>
  <c r="U2820" i="5"/>
  <c r="T2820" i="5"/>
  <c r="S2820" i="5"/>
  <c r="R2820" i="5"/>
  <c r="Q2820" i="5"/>
  <c r="P2820" i="5"/>
  <c r="O2814" i="5"/>
  <c r="N2814" i="5"/>
  <c r="M2814" i="5"/>
  <c r="L2814" i="5"/>
  <c r="K2814" i="5"/>
  <c r="J2814" i="5"/>
  <c r="I2814" i="5"/>
  <c r="H2814" i="5"/>
  <c r="V2812" i="5"/>
  <c r="U2810" i="5"/>
  <c r="T2810" i="5"/>
  <c r="S2810" i="5"/>
  <c r="R2810" i="5"/>
  <c r="Q2810" i="5"/>
  <c r="P2810" i="5"/>
  <c r="O2804" i="5"/>
  <c r="N2804" i="5"/>
  <c r="M2804" i="5"/>
  <c r="L2804" i="5"/>
  <c r="K2804" i="5"/>
  <c r="J2804" i="5"/>
  <c r="I2804" i="5"/>
  <c r="H2804" i="5"/>
  <c r="V2802" i="5"/>
  <c r="U2800" i="5"/>
  <c r="T2800" i="5"/>
  <c r="S2800" i="5"/>
  <c r="R2800" i="5"/>
  <c r="Q2800" i="5"/>
  <c r="P2800" i="5"/>
  <c r="O2794" i="5"/>
  <c r="N2794" i="5"/>
  <c r="M2794" i="5"/>
  <c r="L2794" i="5"/>
  <c r="K2794" i="5"/>
  <c r="J2794" i="5"/>
  <c r="I2794" i="5"/>
  <c r="H2794" i="5"/>
  <c r="V2792" i="5"/>
  <c r="U2790" i="5"/>
  <c r="T2790" i="5"/>
  <c r="S2790" i="5"/>
  <c r="R2790" i="5"/>
  <c r="Q2790" i="5"/>
  <c r="P2790" i="5"/>
  <c r="O2787" i="5"/>
  <c r="N2787" i="5"/>
  <c r="M2787" i="5"/>
  <c r="L2787" i="5"/>
  <c r="K2787" i="5"/>
  <c r="J2787" i="5"/>
  <c r="I2787" i="5"/>
  <c r="H2787" i="5"/>
  <c r="O2786" i="5"/>
  <c r="N2786" i="5"/>
  <c r="M2786" i="5"/>
  <c r="L2786" i="5"/>
  <c r="K2786" i="5"/>
  <c r="J2786" i="5"/>
  <c r="I2786" i="5"/>
  <c r="H2786" i="5"/>
  <c r="V2785" i="5"/>
  <c r="O2785" i="5"/>
  <c r="N2785" i="5"/>
  <c r="M2785" i="5"/>
  <c r="L2785" i="5"/>
  <c r="K2785" i="5"/>
  <c r="J2785" i="5"/>
  <c r="I2785" i="5"/>
  <c r="H2785" i="5"/>
  <c r="V2784" i="5"/>
  <c r="O2784" i="5"/>
  <c r="N2784" i="5"/>
  <c r="M2784" i="5"/>
  <c r="L2784" i="5"/>
  <c r="K2784" i="5"/>
  <c r="J2784" i="5"/>
  <c r="I2784" i="5"/>
  <c r="H2784" i="5"/>
  <c r="V2783" i="5"/>
  <c r="U2783" i="5"/>
  <c r="T2783" i="5"/>
  <c r="S2783" i="5"/>
  <c r="R2783" i="5"/>
  <c r="Q2783" i="5"/>
  <c r="P2783" i="5"/>
  <c r="O2783" i="5"/>
  <c r="N2783" i="5"/>
  <c r="M2783" i="5"/>
  <c r="L2783" i="5"/>
  <c r="K2783" i="5"/>
  <c r="J2783" i="5"/>
  <c r="I2783" i="5"/>
  <c r="H2783" i="5"/>
  <c r="V2782" i="5"/>
  <c r="U2782" i="5"/>
  <c r="T2782" i="5"/>
  <c r="S2782" i="5"/>
  <c r="R2782" i="5"/>
  <c r="Q2782" i="5"/>
  <c r="P2782" i="5"/>
  <c r="O2782" i="5"/>
  <c r="N2782" i="5"/>
  <c r="M2782" i="5"/>
  <c r="L2782" i="5"/>
  <c r="K2782" i="5"/>
  <c r="J2782" i="5"/>
  <c r="I2782" i="5"/>
  <c r="H2782" i="5"/>
  <c r="V2781" i="5"/>
  <c r="U2781" i="5"/>
  <c r="T2781" i="5"/>
  <c r="S2781" i="5"/>
  <c r="R2781" i="5"/>
  <c r="Q2781" i="5"/>
  <c r="P2781" i="5"/>
  <c r="O2781" i="5"/>
  <c r="N2781" i="5"/>
  <c r="M2781" i="5"/>
  <c r="L2781" i="5"/>
  <c r="K2781" i="5"/>
  <c r="J2781" i="5"/>
  <c r="I2781" i="5"/>
  <c r="H2781" i="5"/>
  <c r="V2780" i="5"/>
  <c r="U2780" i="5"/>
  <c r="T2780" i="5"/>
  <c r="S2780" i="5"/>
  <c r="R2780" i="5"/>
  <c r="Q2780" i="5"/>
  <c r="P2780" i="5"/>
  <c r="O2780" i="5"/>
  <c r="N2780" i="5"/>
  <c r="M2780" i="5"/>
  <c r="L2780" i="5"/>
  <c r="K2780" i="5"/>
  <c r="J2780" i="5"/>
  <c r="I2780" i="5"/>
  <c r="H2780" i="5"/>
  <c r="V2779" i="5"/>
  <c r="U2779" i="5"/>
  <c r="T2779" i="5"/>
  <c r="S2779" i="5"/>
  <c r="R2779" i="5"/>
  <c r="Q2779" i="5"/>
  <c r="P2779" i="5"/>
  <c r="O2779" i="5"/>
  <c r="N2779" i="5"/>
  <c r="M2779" i="5"/>
  <c r="L2779" i="5"/>
  <c r="K2779" i="5"/>
  <c r="J2779" i="5"/>
  <c r="I2779" i="5"/>
  <c r="H2779" i="5"/>
  <c r="V2778" i="5"/>
  <c r="U2778" i="5"/>
  <c r="T2778" i="5"/>
  <c r="S2778" i="5"/>
  <c r="R2778" i="5"/>
  <c r="Q2778" i="5"/>
  <c r="P2778" i="5"/>
  <c r="O2778" i="5"/>
  <c r="N2778" i="5"/>
  <c r="M2778" i="5"/>
  <c r="L2778" i="5"/>
  <c r="K2778" i="5"/>
  <c r="J2778" i="5"/>
  <c r="I2778" i="5"/>
  <c r="H2778" i="5"/>
  <c r="V2777" i="5"/>
  <c r="U2777" i="5"/>
  <c r="T2777" i="5"/>
  <c r="S2777" i="5"/>
  <c r="R2777" i="5"/>
  <c r="Q2777" i="5"/>
  <c r="P2777" i="5"/>
  <c r="V2776" i="5"/>
  <c r="U2776" i="5"/>
  <c r="T2776" i="5"/>
  <c r="S2776" i="5"/>
  <c r="R2776" i="5"/>
  <c r="Q2776" i="5"/>
  <c r="P2776" i="5"/>
  <c r="U2775" i="5"/>
  <c r="T2775" i="5"/>
  <c r="S2775" i="5"/>
  <c r="R2775" i="5"/>
  <c r="Q2775" i="5"/>
  <c r="P2775" i="5"/>
  <c r="U2774" i="5"/>
  <c r="T2774" i="5"/>
  <c r="S2774" i="5"/>
  <c r="R2774" i="5"/>
  <c r="Q2774" i="5"/>
  <c r="P2774" i="5"/>
  <c r="O2774" i="5"/>
  <c r="N2774" i="5"/>
  <c r="M2774" i="5"/>
  <c r="L2774" i="5"/>
  <c r="K2774" i="5"/>
  <c r="J2774" i="5"/>
  <c r="I2774" i="5"/>
  <c r="H2774" i="5"/>
  <c r="V2772" i="5"/>
  <c r="U2770" i="5"/>
  <c r="T2770" i="5"/>
  <c r="S2770" i="5"/>
  <c r="R2770" i="5"/>
  <c r="Q2770" i="5"/>
  <c r="P2770" i="5"/>
  <c r="O2764" i="5"/>
  <c r="N2764" i="5"/>
  <c r="M2764" i="5"/>
  <c r="L2764" i="5"/>
  <c r="K2764" i="5"/>
  <c r="J2764" i="5"/>
  <c r="I2764" i="5"/>
  <c r="H2764" i="5"/>
  <c r="V2762" i="5"/>
  <c r="U2760" i="5"/>
  <c r="T2760" i="5"/>
  <c r="S2760" i="5"/>
  <c r="R2760" i="5"/>
  <c r="Q2760" i="5"/>
  <c r="P2760" i="5"/>
  <c r="O2754" i="5"/>
  <c r="N2754" i="5"/>
  <c r="M2754" i="5"/>
  <c r="L2754" i="5"/>
  <c r="K2754" i="5"/>
  <c r="J2754" i="5"/>
  <c r="I2754" i="5"/>
  <c r="H2754" i="5"/>
  <c r="V2752" i="5"/>
  <c r="U2750" i="5"/>
  <c r="T2750" i="5"/>
  <c r="S2750" i="5"/>
  <c r="R2750" i="5"/>
  <c r="Q2750" i="5"/>
  <c r="P2750" i="5"/>
  <c r="O2744" i="5"/>
  <c r="N2744" i="5"/>
  <c r="M2744" i="5"/>
  <c r="L2744" i="5"/>
  <c r="K2744" i="5"/>
  <c r="J2744" i="5"/>
  <c r="I2744" i="5"/>
  <c r="H2744" i="5"/>
  <c r="V2742" i="5"/>
  <c r="U2740" i="5"/>
  <c r="T2740" i="5"/>
  <c r="S2740" i="5"/>
  <c r="R2740" i="5"/>
  <c r="Q2740" i="5"/>
  <c r="P2740" i="5"/>
  <c r="O2734" i="5"/>
  <c r="N2734" i="5"/>
  <c r="M2734" i="5"/>
  <c r="L2734" i="5"/>
  <c r="K2734" i="5"/>
  <c r="J2734" i="5"/>
  <c r="I2734" i="5"/>
  <c r="H2734" i="5"/>
  <c r="V2732" i="5"/>
  <c r="U2730" i="5"/>
  <c r="T2730" i="5"/>
  <c r="S2730" i="5"/>
  <c r="R2730" i="5"/>
  <c r="Q2730" i="5"/>
  <c r="P2730" i="5"/>
  <c r="O2724" i="5"/>
  <c r="N2724" i="5"/>
  <c r="M2724" i="5"/>
  <c r="L2724" i="5"/>
  <c r="K2724" i="5"/>
  <c r="J2724" i="5"/>
  <c r="I2724" i="5"/>
  <c r="H2724" i="5"/>
  <c r="V2722" i="5"/>
  <c r="U2720" i="5"/>
  <c r="T2720" i="5"/>
  <c r="S2720" i="5"/>
  <c r="R2720" i="5"/>
  <c r="Q2720" i="5"/>
  <c r="P2720" i="5"/>
  <c r="O2717" i="5"/>
  <c r="N2717" i="5"/>
  <c r="M2717" i="5"/>
  <c r="L2717" i="5"/>
  <c r="K2717" i="5"/>
  <c r="J2717" i="5"/>
  <c r="I2717" i="5"/>
  <c r="H2717" i="5"/>
  <c r="O2716" i="5"/>
  <c r="N2716" i="5"/>
  <c r="M2716" i="5"/>
  <c r="L2716" i="5"/>
  <c r="K2716" i="5"/>
  <c r="J2716" i="5"/>
  <c r="I2716" i="5"/>
  <c r="H2716" i="5"/>
  <c r="V2715" i="5"/>
  <c r="O2715" i="5"/>
  <c r="N2715" i="5"/>
  <c r="M2715" i="5"/>
  <c r="L2715" i="5"/>
  <c r="K2715" i="5"/>
  <c r="J2715" i="5"/>
  <c r="I2715" i="5"/>
  <c r="H2715" i="5"/>
  <c r="V2714" i="5"/>
  <c r="O2714" i="5"/>
  <c r="N2714" i="5"/>
  <c r="M2714" i="5"/>
  <c r="L2714" i="5"/>
  <c r="K2714" i="5"/>
  <c r="J2714" i="5"/>
  <c r="I2714" i="5"/>
  <c r="H2714" i="5"/>
  <c r="V2713" i="5"/>
  <c r="U2713" i="5"/>
  <c r="T2713" i="5"/>
  <c r="S2713" i="5"/>
  <c r="R2713" i="5"/>
  <c r="Q2713" i="5"/>
  <c r="P2713" i="5"/>
  <c r="O2713" i="5"/>
  <c r="N2713" i="5"/>
  <c r="M2713" i="5"/>
  <c r="L2713" i="5"/>
  <c r="K2713" i="5"/>
  <c r="J2713" i="5"/>
  <c r="I2713" i="5"/>
  <c r="H2713" i="5"/>
  <c r="V2712" i="5"/>
  <c r="U2712" i="5"/>
  <c r="T2712" i="5"/>
  <c r="S2712" i="5"/>
  <c r="R2712" i="5"/>
  <c r="Q2712" i="5"/>
  <c r="P2712" i="5"/>
  <c r="O2712" i="5"/>
  <c r="N2712" i="5"/>
  <c r="M2712" i="5"/>
  <c r="L2712" i="5"/>
  <c r="K2712" i="5"/>
  <c r="J2712" i="5"/>
  <c r="I2712" i="5"/>
  <c r="H2712" i="5"/>
  <c r="V2711" i="5"/>
  <c r="U2711" i="5"/>
  <c r="T2711" i="5"/>
  <c r="S2711" i="5"/>
  <c r="R2711" i="5"/>
  <c r="Q2711" i="5"/>
  <c r="P2711" i="5"/>
  <c r="O2711" i="5"/>
  <c r="N2711" i="5"/>
  <c r="M2711" i="5"/>
  <c r="L2711" i="5"/>
  <c r="K2711" i="5"/>
  <c r="J2711" i="5"/>
  <c r="I2711" i="5"/>
  <c r="H2711" i="5"/>
  <c r="V2710" i="5"/>
  <c r="U2710" i="5"/>
  <c r="T2710" i="5"/>
  <c r="S2710" i="5"/>
  <c r="R2710" i="5"/>
  <c r="Q2710" i="5"/>
  <c r="P2710" i="5"/>
  <c r="O2710" i="5"/>
  <c r="N2710" i="5"/>
  <c r="M2710" i="5"/>
  <c r="L2710" i="5"/>
  <c r="K2710" i="5"/>
  <c r="J2710" i="5"/>
  <c r="I2710" i="5"/>
  <c r="H2710" i="5"/>
  <c r="V2709" i="5"/>
  <c r="U2709" i="5"/>
  <c r="T2709" i="5"/>
  <c r="S2709" i="5"/>
  <c r="R2709" i="5"/>
  <c r="Q2709" i="5"/>
  <c r="P2709" i="5"/>
  <c r="O2709" i="5"/>
  <c r="N2709" i="5"/>
  <c r="M2709" i="5"/>
  <c r="L2709" i="5"/>
  <c r="K2709" i="5"/>
  <c r="J2709" i="5"/>
  <c r="I2709" i="5"/>
  <c r="H2709" i="5"/>
  <c r="V2708" i="5"/>
  <c r="U2708" i="5"/>
  <c r="T2708" i="5"/>
  <c r="S2708" i="5"/>
  <c r="R2708" i="5"/>
  <c r="Q2708" i="5"/>
  <c r="P2708" i="5"/>
  <c r="O2708" i="5"/>
  <c r="N2708" i="5"/>
  <c r="M2708" i="5"/>
  <c r="L2708" i="5"/>
  <c r="K2708" i="5"/>
  <c r="J2708" i="5"/>
  <c r="I2708" i="5"/>
  <c r="H2708" i="5"/>
  <c r="V2707" i="5"/>
  <c r="U2707" i="5"/>
  <c r="T2707" i="5"/>
  <c r="S2707" i="5"/>
  <c r="R2707" i="5"/>
  <c r="Q2707" i="5"/>
  <c r="P2707" i="5"/>
  <c r="O2707" i="5"/>
  <c r="N2707" i="5"/>
  <c r="M2707" i="5"/>
  <c r="L2707" i="5"/>
  <c r="K2707" i="5"/>
  <c r="J2707" i="5"/>
  <c r="I2707" i="5"/>
  <c r="H2707" i="5"/>
  <c r="V2706" i="5"/>
  <c r="U2706" i="5"/>
  <c r="T2706" i="5"/>
  <c r="S2706" i="5"/>
  <c r="R2706" i="5"/>
  <c r="Q2706" i="5"/>
  <c r="P2706" i="5"/>
  <c r="O2706" i="5"/>
  <c r="N2706" i="5"/>
  <c r="M2706" i="5"/>
  <c r="L2706" i="5"/>
  <c r="K2706" i="5"/>
  <c r="J2706" i="5"/>
  <c r="I2706" i="5"/>
  <c r="H2706" i="5"/>
  <c r="V2705" i="5"/>
  <c r="U2705" i="5"/>
  <c r="T2705" i="5"/>
  <c r="S2705" i="5"/>
  <c r="R2705" i="5"/>
  <c r="Q2705" i="5"/>
  <c r="P2705" i="5"/>
  <c r="O2705" i="5"/>
  <c r="N2705" i="5"/>
  <c r="M2705" i="5"/>
  <c r="L2705" i="5"/>
  <c r="K2705" i="5"/>
  <c r="J2705" i="5"/>
  <c r="I2705" i="5"/>
  <c r="H2705" i="5"/>
  <c r="V2704" i="5"/>
  <c r="U2704" i="5"/>
  <c r="T2704" i="5"/>
  <c r="S2704" i="5"/>
  <c r="R2704" i="5"/>
  <c r="Q2704" i="5"/>
  <c r="P2704" i="5"/>
  <c r="O2704" i="5"/>
  <c r="N2704" i="5"/>
  <c r="M2704" i="5"/>
  <c r="L2704" i="5"/>
  <c r="K2704" i="5"/>
  <c r="J2704" i="5"/>
  <c r="I2704" i="5"/>
  <c r="H2704" i="5"/>
  <c r="V2703" i="5"/>
  <c r="U2703" i="5"/>
  <c r="T2703" i="5"/>
  <c r="S2703" i="5"/>
  <c r="R2703" i="5"/>
  <c r="Q2703" i="5"/>
  <c r="P2703" i="5"/>
  <c r="O2703" i="5"/>
  <c r="N2703" i="5"/>
  <c r="M2703" i="5"/>
  <c r="L2703" i="5"/>
  <c r="K2703" i="5"/>
  <c r="J2703" i="5"/>
  <c r="I2703" i="5"/>
  <c r="H2703" i="5"/>
  <c r="V2702" i="5"/>
  <c r="U2702" i="5"/>
  <c r="T2702" i="5"/>
  <c r="S2702" i="5"/>
  <c r="R2702" i="5"/>
  <c r="Q2702" i="5"/>
  <c r="P2702" i="5"/>
  <c r="O2702" i="5"/>
  <c r="N2702" i="5"/>
  <c r="M2702" i="5"/>
  <c r="L2702" i="5"/>
  <c r="K2702" i="5"/>
  <c r="J2702" i="5"/>
  <c r="I2702" i="5"/>
  <c r="H2702" i="5"/>
  <c r="V2701" i="5"/>
  <c r="U2701" i="5"/>
  <c r="T2701" i="5"/>
  <c r="S2701" i="5"/>
  <c r="R2701" i="5"/>
  <c r="Q2701" i="5"/>
  <c r="P2701" i="5"/>
  <c r="O2701" i="5"/>
  <c r="N2701" i="5"/>
  <c r="M2701" i="5"/>
  <c r="L2701" i="5"/>
  <c r="K2701" i="5"/>
  <c r="J2701" i="5"/>
  <c r="I2701" i="5"/>
  <c r="H2701" i="5"/>
  <c r="V2700" i="5"/>
  <c r="U2700" i="5"/>
  <c r="T2700" i="5"/>
  <c r="S2700" i="5"/>
  <c r="R2700" i="5"/>
  <c r="Q2700" i="5"/>
  <c r="P2700" i="5"/>
  <c r="O2700" i="5"/>
  <c r="N2700" i="5"/>
  <c r="M2700" i="5"/>
  <c r="L2700" i="5"/>
  <c r="K2700" i="5"/>
  <c r="J2700" i="5"/>
  <c r="I2700" i="5"/>
  <c r="H2700" i="5"/>
  <c r="V2699" i="5"/>
  <c r="U2699" i="5"/>
  <c r="T2699" i="5"/>
  <c r="S2699" i="5"/>
  <c r="R2699" i="5"/>
  <c r="Q2699" i="5"/>
  <c r="P2699" i="5"/>
  <c r="O2699" i="5"/>
  <c r="N2699" i="5"/>
  <c r="M2699" i="5"/>
  <c r="L2699" i="5"/>
  <c r="K2699" i="5"/>
  <c r="J2699" i="5"/>
  <c r="I2699" i="5"/>
  <c r="H2699" i="5"/>
  <c r="V2698" i="5"/>
  <c r="U2698" i="5"/>
  <c r="T2698" i="5"/>
  <c r="S2698" i="5"/>
  <c r="R2698" i="5"/>
  <c r="Q2698" i="5"/>
  <c r="P2698" i="5"/>
  <c r="O2698" i="5"/>
  <c r="N2698" i="5"/>
  <c r="M2698" i="5"/>
  <c r="L2698" i="5"/>
  <c r="K2698" i="5"/>
  <c r="J2698" i="5"/>
  <c r="I2698" i="5"/>
  <c r="H2698" i="5"/>
  <c r="V2697" i="5"/>
  <c r="U2697" i="5"/>
  <c r="T2697" i="5"/>
  <c r="S2697" i="5"/>
  <c r="R2697" i="5"/>
  <c r="Q2697" i="5"/>
  <c r="P2697" i="5"/>
  <c r="O2697" i="5"/>
  <c r="N2697" i="5"/>
  <c r="M2697" i="5"/>
  <c r="L2697" i="5"/>
  <c r="K2697" i="5"/>
  <c r="J2697" i="5"/>
  <c r="I2697" i="5"/>
  <c r="H2697" i="5"/>
  <c r="V2696" i="5"/>
  <c r="U2696" i="5"/>
  <c r="T2696" i="5"/>
  <c r="S2696" i="5"/>
  <c r="R2696" i="5"/>
  <c r="Q2696" i="5"/>
  <c r="P2696" i="5"/>
  <c r="O2696" i="5"/>
  <c r="N2696" i="5"/>
  <c r="M2696" i="5"/>
  <c r="L2696" i="5"/>
  <c r="K2696" i="5"/>
  <c r="J2696" i="5"/>
  <c r="I2696" i="5"/>
  <c r="H2696" i="5"/>
  <c r="V2695" i="5"/>
  <c r="U2695" i="5"/>
  <c r="T2695" i="5"/>
  <c r="S2695" i="5"/>
  <c r="R2695" i="5"/>
  <c r="Q2695" i="5"/>
  <c r="P2695" i="5"/>
  <c r="O2695" i="5"/>
  <c r="N2695" i="5"/>
  <c r="M2695" i="5"/>
  <c r="L2695" i="5"/>
  <c r="K2695" i="5"/>
  <c r="J2695" i="5"/>
  <c r="I2695" i="5"/>
  <c r="H2695" i="5"/>
  <c r="V2694" i="5"/>
  <c r="U2694" i="5"/>
  <c r="T2694" i="5"/>
  <c r="S2694" i="5"/>
  <c r="R2694" i="5"/>
  <c r="Q2694" i="5"/>
  <c r="P2694" i="5"/>
  <c r="O2694" i="5"/>
  <c r="N2694" i="5"/>
  <c r="M2694" i="5"/>
  <c r="L2694" i="5"/>
  <c r="K2694" i="5"/>
  <c r="J2694" i="5"/>
  <c r="I2694" i="5"/>
  <c r="H2694" i="5"/>
  <c r="V2693" i="5"/>
  <c r="U2693" i="5"/>
  <c r="T2693" i="5"/>
  <c r="S2693" i="5"/>
  <c r="R2693" i="5"/>
  <c r="Q2693" i="5"/>
  <c r="P2693" i="5"/>
  <c r="O2693" i="5"/>
  <c r="N2693" i="5"/>
  <c r="M2693" i="5"/>
  <c r="L2693" i="5"/>
  <c r="K2693" i="5"/>
  <c r="J2693" i="5"/>
  <c r="I2693" i="5"/>
  <c r="H2693" i="5"/>
  <c r="V2692" i="5"/>
  <c r="U2692" i="5"/>
  <c r="T2692" i="5"/>
  <c r="S2692" i="5"/>
  <c r="R2692" i="5"/>
  <c r="Q2692" i="5"/>
  <c r="P2692" i="5"/>
  <c r="O2692" i="5"/>
  <c r="N2692" i="5"/>
  <c r="M2692" i="5"/>
  <c r="L2692" i="5"/>
  <c r="K2692" i="5"/>
  <c r="J2692" i="5"/>
  <c r="I2692" i="5"/>
  <c r="H2692" i="5"/>
  <c r="V2691" i="5"/>
  <c r="U2691" i="5"/>
  <c r="T2691" i="5"/>
  <c r="S2691" i="5"/>
  <c r="R2691" i="5"/>
  <c r="Q2691" i="5"/>
  <c r="P2691" i="5"/>
  <c r="O2691" i="5"/>
  <c r="N2691" i="5"/>
  <c r="M2691" i="5"/>
  <c r="L2691" i="5"/>
  <c r="K2691" i="5"/>
  <c r="J2691" i="5"/>
  <c r="I2691" i="5"/>
  <c r="H2691" i="5"/>
  <c r="V2690" i="5"/>
  <c r="U2690" i="5"/>
  <c r="T2690" i="5"/>
  <c r="S2690" i="5"/>
  <c r="R2690" i="5"/>
  <c r="Q2690" i="5"/>
  <c r="P2690" i="5"/>
  <c r="O2690" i="5"/>
  <c r="N2690" i="5"/>
  <c r="M2690" i="5"/>
  <c r="L2690" i="5"/>
  <c r="K2690" i="5"/>
  <c r="J2690" i="5"/>
  <c r="I2690" i="5"/>
  <c r="H2690" i="5"/>
  <c r="V2689" i="5"/>
  <c r="U2689" i="5"/>
  <c r="T2689" i="5"/>
  <c r="S2689" i="5"/>
  <c r="R2689" i="5"/>
  <c r="Q2689" i="5"/>
  <c r="P2689" i="5"/>
  <c r="O2689" i="5"/>
  <c r="N2689" i="5"/>
  <c r="M2689" i="5"/>
  <c r="L2689" i="5"/>
  <c r="K2689" i="5"/>
  <c r="J2689" i="5"/>
  <c r="I2689" i="5"/>
  <c r="H2689" i="5"/>
  <c r="V2688" i="5"/>
  <c r="U2688" i="5"/>
  <c r="T2688" i="5"/>
  <c r="S2688" i="5"/>
  <c r="R2688" i="5"/>
  <c r="Q2688" i="5"/>
  <c r="P2688" i="5"/>
  <c r="O2688" i="5"/>
  <c r="N2688" i="5"/>
  <c r="M2688" i="5"/>
  <c r="L2688" i="5"/>
  <c r="K2688" i="5"/>
  <c r="J2688" i="5"/>
  <c r="I2688" i="5"/>
  <c r="H2688" i="5"/>
  <c r="V2687" i="5"/>
  <c r="U2687" i="5"/>
  <c r="T2687" i="5"/>
  <c r="S2687" i="5"/>
  <c r="R2687" i="5"/>
  <c r="Q2687" i="5"/>
  <c r="P2687" i="5"/>
  <c r="O2687" i="5"/>
  <c r="N2687" i="5"/>
  <c r="M2687" i="5"/>
  <c r="L2687" i="5"/>
  <c r="K2687" i="5"/>
  <c r="J2687" i="5"/>
  <c r="I2687" i="5"/>
  <c r="H2687" i="5"/>
  <c r="V2686" i="5"/>
  <c r="U2686" i="5"/>
  <c r="T2686" i="5"/>
  <c r="S2686" i="5"/>
  <c r="R2686" i="5"/>
  <c r="Q2686" i="5"/>
  <c r="P2686" i="5"/>
  <c r="O2686" i="5"/>
  <c r="N2686" i="5"/>
  <c r="M2686" i="5"/>
  <c r="L2686" i="5"/>
  <c r="K2686" i="5"/>
  <c r="J2686" i="5"/>
  <c r="I2686" i="5"/>
  <c r="H2686" i="5"/>
  <c r="V2685" i="5"/>
  <c r="U2685" i="5"/>
  <c r="T2685" i="5"/>
  <c r="S2685" i="5"/>
  <c r="R2685" i="5"/>
  <c r="Q2685" i="5"/>
  <c r="P2685" i="5"/>
  <c r="O2685" i="5"/>
  <c r="N2685" i="5"/>
  <c r="M2685" i="5"/>
  <c r="L2685" i="5"/>
  <c r="K2685" i="5"/>
  <c r="J2685" i="5"/>
  <c r="I2685" i="5"/>
  <c r="H2685" i="5"/>
  <c r="V2684" i="5"/>
  <c r="U2684" i="5"/>
  <c r="T2684" i="5"/>
  <c r="S2684" i="5"/>
  <c r="R2684" i="5"/>
  <c r="Q2684" i="5"/>
  <c r="P2684" i="5"/>
  <c r="O2684" i="5"/>
  <c r="N2684" i="5"/>
  <c r="M2684" i="5"/>
  <c r="L2684" i="5"/>
  <c r="K2684" i="5"/>
  <c r="J2684" i="5"/>
  <c r="I2684" i="5"/>
  <c r="H2684" i="5"/>
  <c r="V2683" i="5"/>
  <c r="U2683" i="5"/>
  <c r="T2683" i="5"/>
  <c r="S2683" i="5"/>
  <c r="R2683" i="5"/>
  <c r="Q2683" i="5"/>
  <c r="P2683" i="5"/>
  <c r="O2683" i="5"/>
  <c r="N2683" i="5"/>
  <c r="M2683" i="5"/>
  <c r="L2683" i="5"/>
  <c r="K2683" i="5"/>
  <c r="J2683" i="5"/>
  <c r="I2683" i="5"/>
  <c r="H2683" i="5"/>
  <c r="V2682" i="5"/>
  <c r="U2682" i="5"/>
  <c r="T2682" i="5"/>
  <c r="S2682" i="5"/>
  <c r="R2682" i="5"/>
  <c r="Q2682" i="5"/>
  <c r="P2682" i="5"/>
  <c r="O2682" i="5"/>
  <c r="N2682" i="5"/>
  <c r="M2682" i="5"/>
  <c r="L2682" i="5"/>
  <c r="K2682" i="5"/>
  <c r="J2682" i="5"/>
  <c r="I2682" i="5"/>
  <c r="H2682" i="5"/>
  <c r="V2681" i="5"/>
  <c r="U2681" i="5"/>
  <c r="T2681" i="5"/>
  <c r="S2681" i="5"/>
  <c r="R2681" i="5"/>
  <c r="Q2681" i="5"/>
  <c r="P2681" i="5"/>
  <c r="O2681" i="5"/>
  <c r="N2681" i="5"/>
  <c r="M2681" i="5"/>
  <c r="L2681" i="5"/>
  <c r="K2681" i="5"/>
  <c r="J2681" i="5"/>
  <c r="I2681" i="5"/>
  <c r="H2681" i="5"/>
  <c r="V2680" i="5"/>
  <c r="U2680" i="5"/>
  <c r="T2680" i="5"/>
  <c r="S2680" i="5"/>
  <c r="R2680" i="5"/>
  <c r="Q2680" i="5"/>
  <c r="P2680" i="5"/>
  <c r="O2680" i="5"/>
  <c r="N2680" i="5"/>
  <c r="M2680" i="5"/>
  <c r="L2680" i="5"/>
  <c r="K2680" i="5"/>
  <c r="J2680" i="5"/>
  <c r="I2680" i="5"/>
  <c r="H2680" i="5"/>
  <c r="V2679" i="5"/>
  <c r="U2679" i="5"/>
  <c r="T2679" i="5"/>
  <c r="S2679" i="5"/>
  <c r="R2679" i="5"/>
  <c r="Q2679" i="5"/>
  <c r="P2679" i="5"/>
  <c r="O2679" i="5"/>
  <c r="N2679" i="5"/>
  <c r="M2679" i="5"/>
  <c r="L2679" i="5"/>
  <c r="K2679" i="5"/>
  <c r="J2679" i="5"/>
  <c r="I2679" i="5"/>
  <c r="H2679" i="5"/>
  <c r="V2678" i="5"/>
  <c r="U2678" i="5"/>
  <c r="T2678" i="5"/>
  <c r="S2678" i="5"/>
  <c r="R2678" i="5"/>
  <c r="Q2678" i="5"/>
  <c r="P2678" i="5"/>
  <c r="O2678" i="5"/>
  <c r="N2678" i="5"/>
  <c r="M2678" i="5"/>
  <c r="L2678" i="5"/>
  <c r="K2678" i="5"/>
  <c r="J2678" i="5"/>
  <c r="I2678" i="5"/>
  <c r="H2678" i="5"/>
  <c r="V2677" i="5"/>
  <c r="U2677" i="5"/>
  <c r="T2677" i="5"/>
  <c r="S2677" i="5"/>
  <c r="R2677" i="5"/>
  <c r="Q2677" i="5"/>
  <c r="P2677" i="5"/>
  <c r="O2677" i="5"/>
  <c r="N2677" i="5"/>
  <c r="M2677" i="5"/>
  <c r="L2677" i="5"/>
  <c r="K2677" i="5"/>
  <c r="J2677" i="5"/>
  <c r="I2677" i="5"/>
  <c r="H2677" i="5"/>
  <c r="V2676" i="5"/>
  <c r="U2676" i="5"/>
  <c r="T2676" i="5"/>
  <c r="S2676" i="5"/>
  <c r="R2676" i="5"/>
  <c r="Q2676" i="5"/>
  <c r="P2676" i="5"/>
  <c r="O2676" i="5"/>
  <c r="N2676" i="5"/>
  <c r="M2676" i="5"/>
  <c r="L2676" i="5"/>
  <c r="K2676" i="5"/>
  <c r="J2676" i="5"/>
  <c r="I2676" i="5"/>
  <c r="H2676" i="5"/>
  <c r="V2675" i="5"/>
  <c r="U2675" i="5"/>
  <c r="T2675" i="5"/>
  <c r="S2675" i="5"/>
  <c r="R2675" i="5"/>
  <c r="Q2675" i="5"/>
  <c r="P2675" i="5"/>
  <c r="O2675" i="5"/>
  <c r="N2675" i="5"/>
  <c r="M2675" i="5"/>
  <c r="L2675" i="5"/>
  <c r="K2675" i="5"/>
  <c r="J2675" i="5"/>
  <c r="I2675" i="5"/>
  <c r="H2675" i="5"/>
  <c r="V2674" i="5"/>
  <c r="U2674" i="5"/>
  <c r="T2674" i="5"/>
  <c r="S2674" i="5"/>
  <c r="R2674" i="5"/>
  <c r="Q2674" i="5"/>
  <c r="P2674" i="5"/>
  <c r="O2674" i="5"/>
  <c r="N2674" i="5"/>
  <c r="M2674" i="5"/>
  <c r="L2674" i="5"/>
  <c r="K2674" i="5"/>
  <c r="J2674" i="5"/>
  <c r="I2674" i="5"/>
  <c r="H2674" i="5"/>
  <c r="V2673" i="5"/>
  <c r="U2673" i="5"/>
  <c r="T2673" i="5"/>
  <c r="S2673" i="5"/>
  <c r="R2673" i="5"/>
  <c r="Q2673" i="5"/>
  <c r="P2673" i="5"/>
  <c r="O2673" i="5"/>
  <c r="N2673" i="5"/>
  <c r="M2673" i="5"/>
  <c r="L2673" i="5"/>
  <c r="K2673" i="5"/>
  <c r="J2673" i="5"/>
  <c r="I2673" i="5"/>
  <c r="H2673" i="5"/>
  <c r="V2672" i="5"/>
  <c r="U2672" i="5"/>
  <c r="T2672" i="5"/>
  <c r="S2672" i="5"/>
  <c r="R2672" i="5"/>
  <c r="Q2672" i="5"/>
  <c r="P2672" i="5"/>
  <c r="O2672" i="5"/>
  <c r="N2672" i="5"/>
  <c r="M2672" i="5"/>
  <c r="L2672" i="5"/>
  <c r="K2672" i="5"/>
  <c r="J2672" i="5"/>
  <c r="I2672" i="5"/>
  <c r="H2672" i="5"/>
  <c r="V2671" i="5"/>
  <c r="U2671" i="5"/>
  <c r="T2671" i="5"/>
  <c r="S2671" i="5"/>
  <c r="R2671" i="5"/>
  <c r="Q2671" i="5"/>
  <c r="P2671" i="5"/>
  <c r="O2671" i="5"/>
  <c r="N2671" i="5"/>
  <c r="M2671" i="5"/>
  <c r="L2671" i="5"/>
  <c r="K2671" i="5"/>
  <c r="J2671" i="5"/>
  <c r="I2671" i="5"/>
  <c r="H2671" i="5"/>
  <c r="V2670" i="5"/>
  <c r="U2670" i="5"/>
  <c r="T2670" i="5"/>
  <c r="S2670" i="5"/>
  <c r="R2670" i="5"/>
  <c r="Q2670" i="5"/>
  <c r="P2670" i="5"/>
  <c r="O2670" i="5"/>
  <c r="N2670" i="5"/>
  <c r="M2670" i="5"/>
  <c r="L2670" i="5"/>
  <c r="K2670" i="5"/>
  <c r="J2670" i="5"/>
  <c r="I2670" i="5"/>
  <c r="H2670" i="5"/>
  <c r="V2669" i="5"/>
  <c r="U2669" i="5"/>
  <c r="T2669" i="5"/>
  <c r="S2669" i="5"/>
  <c r="R2669" i="5"/>
  <c r="Q2669" i="5"/>
  <c r="P2669" i="5"/>
  <c r="O2669" i="5"/>
  <c r="N2669" i="5"/>
  <c r="M2669" i="5"/>
  <c r="L2669" i="5"/>
  <c r="K2669" i="5"/>
  <c r="J2669" i="5"/>
  <c r="I2669" i="5"/>
  <c r="H2669" i="5"/>
  <c r="V2668" i="5"/>
  <c r="U2668" i="5"/>
  <c r="T2668" i="5"/>
  <c r="S2668" i="5"/>
  <c r="R2668" i="5"/>
  <c r="Q2668" i="5"/>
  <c r="P2668" i="5"/>
  <c r="O2668" i="5"/>
  <c r="N2668" i="5"/>
  <c r="M2668" i="5"/>
  <c r="L2668" i="5"/>
  <c r="K2668" i="5"/>
  <c r="J2668" i="5"/>
  <c r="I2668" i="5"/>
  <c r="H2668" i="5"/>
  <c r="V2667" i="5"/>
  <c r="U2667" i="5"/>
  <c r="T2667" i="5"/>
  <c r="S2667" i="5"/>
  <c r="R2667" i="5"/>
  <c r="Q2667" i="5"/>
  <c r="P2667" i="5"/>
  <c r="O2667" i="5"/>
  <c r="N2667" i="5"/>
  <c r="M2667" i="5"/>
  <c r="L2667" i="5"/>
  <c r="K2667" i="5"/>
  <c r="J2667" i="5"/>
  <c r="I2667" i="5"/>
  <c r="H2667" i="5"/>
  <c r="V2666" i="5"/>
  <c r="U2666" i="5"/>
  <c r="T2666" i="5"/>
  <c r="S2666" i="5"/>
  <c r="R2666" i="5"/>
  <c r="Q2666" i="5"/>
  <c r="P2666" i="5"/>
  <c r="O2666" i="5"/>
  <c r="N2666" i="5"/>
  <c r="M2666" i="5"/>
  <c r="L2666" i="5"/>
  <c r="K2666" i="5"/>
  <c r="J2666" i="5"/>
  <c r="I2666" i="5"/>
  <c r="H2666" i="5"/>
  <c r="V2665" i="5"/>
  <c r="U2665" i="5"/>
  <c r="T2665" i="5"/>
  <c r="S2665" i="5"/>
  <c r="R2665" i="5"/>
  <c r="Q2665" i="5"/>
  <c r="P2665" i="5"/>
  <c r="O2665" i="5"/>
  <c r="N2665" i="5"/>
  <c r="M2665" i="5"/>
  <c r="L2665" i="5"/>
  <c r="K2665" i="5"/>
  <c r="J2665" i="5"/>
  <c r="I2665" i="5"/>
  <c r="H2665" i="5"/>
  <c r="V2664" i="5"/>
  <c r="U2664" i="5"/>
  <c r="T2664" i="5"/>
  <c r="S2664" i="5"/>
  <c r="R2664" i="5"/>
  <c r="Q2664" i="5"/>
  <c r="P2664" i="5"/>
  <c r="O2664" i="5"/>
  <c r="N2664" i="5"/>
  <c r="M2664" i="5"/>
  <c r="L2664" i="5"/>
  <c r="K2664" i="5"/>
  <c r="J2664" i="5"/>
  <c r="I2664" i="5"/>
  <c r="H2664" i="5"/>
  <c r="V2663" i="5"/>
  <c r="U2663" i="5"/>
  <c r="T2663" i="5"/>
  <c r="S2663" i="5"/>
  <c r="R2663" i="5"/>
  <c r="Q2663" i="5"/>
  <c r="P2663" i="5"/>
  <c r="O2663" i="5"/>
  <c r="N2663" i="5"/>
  <c r="M2663" i="5"/>
  <c r="L2663" i="5"/>
  <c r="K2663" i="5"/>
  <c r="J2663" i="5"/>
  <c r="I2663" i="5"/>
  <c r="H2663" i="5"/>
  <c r="V2662" i="5"/>
  <c r="U2662" i="5"/>
  <c r="T2662" i="5"/>
  <c r="S2662" i="5"/>
  <c r="R2662" i="5"/>
  <c r="Q2662" i="5"/>
  <c r="P2662" i="5"/>
  <c r="O2662" i="5"/>
  <c r="N2662" i="5"/>
  <c r="M2662" i="5"/>
  <c r="L2662" i="5"/>
  <c r="K2662" i="5"/>
  <c r="J2662" i="5"/>
  <c r="I2662" i="5"/>
  <c r="H2662" i="5"/>
  <c r="V2661" i="5"/>
  <c r="U2661" i="5"/>
  <c r="T2661" i="5"/>
  <c r="S2661" i="5"/>
  <c r="R2661" i="5"/>
  <c r="Q2661" i="5"/>
  <c r="P2661" i="5"/>
  <c r="O2661" i="5"/>
  <c r="N2661" i="5"/>
  <c r="M2661" i="5"/>
  <c r="L2661" i="5"/>
  <c r="K2661" i="5"/>
  <c r="J2661" i="5"/>
  <c r="I2661" i="5"/>
  <c r="H2661" i="5"/>
  <c r="V2660" i="5"/>
  <c r="U2660" i="5"/>
  <c r="T2660" i="5"/>
  <c r="S2660" i="5"/>
  <c r="R2660" i="5"/>
  <c r="Q2660" i="5"/>
  <c r="P2660" i="5"/>
  <c r="O2660" i="5"/>
  <c r="N2660" i="5"/>
  <c r="M2660" i="5"/>
  <c r="L2660" i="5"/>
  <c r="K2660" i="5"/>
  <c r="J2660" i="5"/>
  <c r="I2660" i="5"/>
  <c r="H2660" i="5"/>
  <c r="V2659" i="5"/>
  <c r="U2659" i="5"/>
  <c r="T2659" i="5"/>
  <c r="S2659" i="5"/>
  <c r="R2659" i="5"/>
  <c r="Q2659" i="5"/>
  <c r="P2659" i="5"/>
  <c r="O2659" i="5"/>
  <c r="N2659" i="5"/>
  <c r="M2659" i="5"/>
  <c r="L2659" i="5"/>
  <c r="K2659" i="5"/>
  <c r="J2659" i="5"/>
  <c r="I2659" i="5"/>
  <c r="H2659" i="5"/>
  <c r="V2658" i="5"/>
  <c r="U2658" i="5"/>
  <c r="T2658" i="5"/>
  <c r="S2658" i="5"/>
  <c r="R2658" i="5"/>
  <c r="Q2658" i="5"/>
  <c r="P2658" i="5"/>
  <c r="O2658" i="5"/>
  <c r="N2658" i="5"/>
  <c r="M2658" i="5"/>
  <c r="L2658" i="5"/>
  <c r="K2658" i="5"/>
  <c r="J2658" i="5"/>
  <c r="I2658" i="5"/>
  <c r="H2658" i="5"/>
  <c r="V2657" i="5"/>
  <c r="U2657" i="5"/>
  <c r="T2657" i="5"/>
  <c r="S2657" i="5"/>
  <c r="R2657" i="5"/>
  <c r="Q2657" i="5"/>
  <c r="P2657" i="5"/>
  <c r="O2657" i="5"/>
  <c r="N2657" i="5"/>
  <c r="M2657" i="5"/>
  <c r="L2657" i="5"/>
  <c r="K2657" i="5"/>
  <c r="J2657" i="5"/>
  <c r="I2657" i="5"/>
  <c r="H2657" i="5"/>
  <c r="V2656" i="5"/>
  <c r="U2656" i="5"/>
  <c r="T2656" i="5"/>
  <c r="S2656" i="5"/>
  <c r="R2656" i="5"/>
  <c r="Q2656" i="5"/>
  <c r="P2656" i="5"/>
  <c r="O2656" i="5"/>
  <c r="N2656" i="5"/>
  <c r="M2656" i="5"/>
  <c r="L2656" i="5"/>
  <c r="K2656" i="5"/>
  <c r="J2656" i="5"/>
  <c r="I2656" i="5"/>
  <c r="H2656" i="5"/>
  <c r="V2655" i="5"/>
  <c r="U2655" i="5"/>
  <c r="T2655" i="5"/>
  <c r="S2655" i="5"/>
  <c r="R2655" i="5"/>
  <c r="Q2655" i="5"/>
  <c r="P2655" i="5"/>
  <c r="O2655" i="5"/>
  <c r="N2655" i="5"/>
  <c r="M2655" i="5"/>
  <c r="L2655" i="5"/>
  <c r="K2655" i="5"/>
  <c r="J2655" i="5"/>
  <c r="I2655" i="5"/>
  <c r="H2655" i="5"/>
  <c r="V2654" i="5"/>
  <c r="U2654" i="5"/>
  <c r="T2654" i="5"/>
  <c r="S2654" i="5"/>
  <c r="R2654" i="5"/>
  <c r="Q2654" i="5"/>
  <c r="P2654" i="5"/>
  <c r="O2654" i="5"/>
  <c r="N2654" i="5"/>
  <c r="M2654" i="5"/>
  <c r="L2654" i="5"/>
  <c r="K2654" i="5"/>
  <c r="J2654" i="5"/>
  <c r="I2654" i="5"/>
  <c r="H2654" i="5"/>
  <c r="V2653" i="5"/>
  <c r="U2653" i="5"/>
  <c r="T2653" i="5"/>
  <c r="S2653" i="5"/>
  <c r="R2653" i="5"/>
  <c r="Q2653" i="5"/>
  <c r="P2653" i="5"/>
  <c r="O2653" i="5"/>
  <c r="N2653" i="5"/>
  <c r="M2653" i="5"/>
  <c r="L2653" i="5"/>
  <c r="K2653" i="5"/>
  <c r="J2653" i="5"/>
  <c r="I2653" i="5"/>
  <c r="H2653" i="5"/>
  <c r="V2652" i="5"/>
  <c r="U2652" i="5"/>
  <c r="T2652" i="5"/>
  <c r="S2652" i="5"/>
  <c r="R2652" i="5"/>
  <c r="Q2652" i="5"/>
  <c r="P2652" i="5"/>
  <c r="O2652" i="5"/>
  <c r="N2652" i="5"/>
  <c r="M2652" i="5"/>
  <c r="L2652" i="5"/>
  <c r="K2652" i="5"/>
  <c r="J2652" i="5"/>
  <c r="I2652" i="5"/>
  <c r="H2652" i="5"/>
  <c r="V2651" i="5"/>
  <c r="U2651" i="5"/>
  <c r="T2651" i="5"/>
  <c r="S2651" i="5"/>
  <c r="R2651" i="5"/>
  <c r="Q2651" i="5"/>
  <c r="P2651" i="5"/>
  <c r="O2651" i="5"/>
  <c r="N2651" i="5"/>
  <c r="M2651" i="5"/>
  <c r="L2651" i="5"/>
  <c r="K2651" i="5"/>
  <c r="J2651" i="5"/>
  <c r="I2651" i="5"/>
  <c r="H2651" i="5"/>
  <c r="V2650" i="5"/>
  <c r="U2650" i="5"/>
  <c r="T2650" i="5"/>
  <c r="S2650" i="5"/>
  <c r="R2650" i="5"/>
  <c r="Q2650" i="5"/>
  <c r="P2650" i="5"/>
  <c r="O2650" i="5"/>
  <c r="N2650" i="5"/>
  <c r="M2650" i="5"/>
  <c r="L2650" i="5"/>
  <c r="K2650" i="5"/>
  <c r="J2650" i="5"/>
  <c r="I2650" i="5"/>
  <c r="H2650" i="5"/>
  <c r="V2649" i="5"/>
  <c r="U2649" i="5"/>
  <c r="T2649" i="5"/>
  <c r="S2649" i="5"/>
  <c r="R2649" i="5"/>
  <c r="Q2649" i="5"/>
  <c r="P2649" i="5"/>
  <c r="O2649" i="5"/>
  <c r="N2649" i="5"/>
  <c r="M2649" i="5"/>
  <c r="L2649" i="5"/>
  <c r="K2649" i="5"/>
  <c r="J2649" i="5"/>
  <c r="I2649" i="5"/>
  <c r="H2649" i="5"/>
  <c r="V2648" i="5"/>
  <c r="U2648" i="5"/>
  <c r="T2648" i="5"/>
  <c r="S2648" i="5"/>
  <c r="R2648" i="5"/>
  <c r="Q2648" i="5"/>
  <c r="P2648" i="5"/>
  <c r="O2648" i="5"/>
  <c r="N2648" i="5"/>
  <c r="M2648" i="5"/>
  <c r="L2648" i="5"/>
  <c r="K2648" i="5"/>
  <c r="J2648" i="5"/>
  <c r="I2648" i="5"/>
  <c r="H2648" i="5"/>
  <c r="V2647" i="5"/>
  <c r="U2647" i="5"/>
  <c r="T2647" i="5"/>
  <c r="S2647" i="5"/>
  <c r="R2647" i="5"/>
  <c r="Q2647" i="5"/>
  <c r="P2647" i="5"/>
  <c r="O2647" i="5"/>
  <c r="N2647" i="5"/>
  <c r="M2647" i="5"/>
  <c r="L2647" i="5"/>
  <c r="K2647" i="5"/>
  <c r="J2647" i="5"/>
  <c r="I2647" i="5"/>
  <c r="H2647" i="5"/>
  <c r="V2646" i="5"/>
  <c r="U2646" i="5"/>
  <c r="T2646" i="5"/>
  <c r="S2646" i="5"/>
  <c r="R2646" i="5"/>
  <c r="Q2646" i="5"/>
  <c r="P2646" i="5"/>
  <c r="O2646" i="5"/>
  <c r="N2646" i="5"/>
  <c r="M2646" i="5"/>
  <c r="L2646" i="5"/>
  <c r="K2646" i="5"/>
  <c r="J2646" i="5"/>
  <c r="I2646" i="5"/>
  <c r="H2646" i="5"/>
  <c r="V2645" i="5"/>
  <c r="U2645" i="5"/>
  <c r="T2645" i="5"/>
  <c r="S2645" i="5"/>
  <c r="R2645" i="5"/>
  <c r="Q2645" i="5"/>
  <c r="P2645" i="5"/>
  <c r="O2645" i="5"/>
  <c r="N2645" i="5"/>
  <c r="M2645" i="5"/>
  <c r="L2645" i="5"/>
  <c r="K2645" i="5"/>
  <c r="J2645" i="5"/>
  <c r="I2645" i="5"/>
  <c r="H2645" i="5"/>
  <c r="V2644" i="5"/>
  <c r="U2644" i="5"/>
  <c r="T2644" i="5"/>
  <c r="S2644" i="5"/>
  <c r="R2644" i="5"/>
  <c r="Q2644" i="5"/>
  <c r="P2644" i="5"/>
  <c r="O2644" i="5"/>
  <c r="N2644" i="5"/>
  <c r="M2644" i="5"/>
  <c r="L2644" i="5"/>
  <c r="K2644" i="5"/>
  <c r="J2644" i="5"/>
  <c r="I2644" i="5"/>
  <c r="H2644" i="5"/>
  <c r="V2643" i="5"/>
  <c r="U2643" i="5"/>
  <c r="T2643" i="5"/>
  <c r="S2643" i="5"/>
  <c r="R2643" i="5"/>
  <c r="Q2643" i="5"/>
  <c r="P2643" i="5"/>
  <c r="O2643" i="5"/>
  <c r="N2643" i="5"/>
  <c r="M2643" i="5"/>
  <c r="L2643" i="5"/>
  <c r="K2643" i="5"/>
  <c r="J2643" i="5"/>
  <c r="I2643" i="5"/>
  <c r="H2643" i="5"/>
  <c r="V2642" i="5"/>
  <c r="U2642" i="5"/>
  <c r="T2642" i="5"/>
  <c r="S2642" i="5"/>
  <c r="R2642" i="5"/>
  <c r="Q2642" i="5"/>
  <c r="P2642" i="5"/>
  <c r="O2642" i="5"/>
  <c r="N2642" i="5"/>
  <c r="M2642" i="5"/>
  <c r="L2642" i="5"/>
  <c r="K2642" i="5"/>
  <c r="J2642" i="5"/>
  <c r="I2642" i="5"/>
  <c r="H2642" i="5"/>
  <c r="V2641" i="5"/>
  <c r="U2641" i="5"/>
  <c r="T2641" i="5"/>
  <c r="S2641" i="5"/>
  <c r="R2641" i="5"/>
  <c r="Q2641" i="5"/>
  <c r="P2641" i="5"/>
  <c r="O2641" i="5"/>
  <c r="N2641" i="5"/>
  <c r="M2641" i="5"/>
  <c r="L2641" i="5"/>
  <c r="K2641" i="5"/>
  <c r="J2641" i="5"/>
  <c r="I2641" i="5"/>
  <c r="H2641" i="5"/>
  <c r="V2640" i="5"/>
  <c r="U2640" i="5"/>
  <c r="T2640" i="5"/>
  <c r="S2640" i="5"/>
  <c r="R2640" i="5"/>
  <c r="Q2640" i="5"/>
  <c r="P2640" i="5"/>
  <c r="O2640" i="5"/>
  <c r="N2640" i="5"/>
  <c r="M2640" i="5"/>
  <c r="L2640" i="5"/>
  <c r="K2640" i="5"/>
  <c r="J2640" i="5"/>
  <c r="I2640" i="5"/>
  <c r="H2640" i="5"/>
  <c r="V2639" i="5"/>
  <c r="U2639" i="5"/>
  <c r="T2639" i="5"/>
  <c r="S2639" i="5"/>
  <c r="R2639" i="5"/>
  <c r="Q2639" i="5"/>
  <c r="P2639" i="5"/>
  <c r="O2639" i="5"/>
  <c r="N2639" i="5"/>
  <c r="M2639" i="5"/>
  <c r="L2639" i="5"/>
  <c r="K2639" i="5"/>
  <c r="J2639" i="5"/>
  <c r="I2639" i="5"/>
  <c r="H2639" i="5"/>
  <c r="V2638" i="5"/>
  <c r="U2638" i="5"/>
  <c r="T2638" i="5"/>
  <c r="S2638" i="5"/>
  <c r="R2638" i="5"/>
  <c r="Q2638" i="5"/>
  <c r="P2638" i="5"/>
  <c r="O2638" i="5"/>
  <c r="N2638" i="5"/>
  <c r="M2638" i="5"/>
  <c r="L2638" i="5"/>
  <c r="K2638" i="5"/>
  <c r="J2638" i="5"/>
  <c r="I2638" i="5"/>
  <c r="H2638" i="5"/>
  <c r="V2637" i="5"/>
  <c r="U2637" i="5"/>
  <c r="T2637" i="5"/>
  <c r="S2637" i="5"/>
  <c r="R2637" i="5"/>
  <c r="Q2637" i="5"/>
  <c r="P2637" i="5"/>
  <c r="O2637" i="5"/>
  <c r="N2637" i="5"/>
  <c r="M2637" i="5"/>
  <c r="L2637" i="5"/>
  <c r="K2637" i="5"/>
  <c r="J2637" i="5"/>
  <c r="I2637" i="5"/>
  <c r="H2637" i="5"/>
  <c r="V2636" i="5"/>
  <c r="U2636" i="5"/>
  <c r="T2636" i="5"/>
  <c r="S2636" i="5"/>
  <c r="R2636" i="5"/>
  <c r="Q2636" i="5"/>
  <c r="P2636" i="5"/>
  <c r="O2636" i="5"/>
  <c r="N2636" i="5"/>
  <c r="M2636" i="5"/>
  <c r="L2636" i="5"/>
  <c r="K2636" i="5"/>
  <c r="J2636" i="5"/>
  <c r="I2636" i="5"/>
  <c r="H2636" i="5"/>
  <c r="V2635" i="5"/>
  <c r="U2635" i="5"/>
  <c r="T2635" i="5"/>
  <c r="S2635" i="5"/>
  <c r="R2635" i="5"/>
  <c r="Q2635" i="5"/>
  <c r="P2635" i="5"/>
  <c r="O2635" i="5"/>
  <c r="N2635" i="5"/>
  <c r="M2635" i="5"/>
  <c r="L2635" i="5"/>
  <c r="K2635" i="5"/>
  <c r="J2635" i="5"/>
  <c r="I2635" i="5"/>
  <c r="H2635" i="5"/>
  <c r="V2634" i="5"/>
  <c r="U2634" i="5"/>
  <c r="T2634" i="5"/>
  <c r="S2634" i="5"/>
  <c r="R2634" i="5"/>
  <c r="Q2634" i="5"/>
  <c r="P2634" i="5"/>
  <c r="O2634" i="5"/>
  <c r="N2634" i="5"/>
  <c r="M2634" i="5"/>
  <c r="L2634" i="5"/>
  <c r="K2634" i="5"/>
  <c r="J2634" i="5"/>
  <c r="I2634" i="5"/>
  <c r="H2634" i="5"/>
  <c r="V2633" i="5"/>
  <c r="U2633" i="5"/>
  <c r="T2633" i="5"/>
  <c r="S2633" i="5"/>
  <c r="R2633" i="5"/>
  <c r="Q2633" i="5"/>
  <c r="P2633" i="5"/>
  <c r="O2633" i="5"/>
  <c r="N2633" i="5"/>
  <c r="M2633" i="5"/>
  <c r="L2633" i="5"/>
  <c r="K2633" i="5"/>
  <c r="J2633" i="5"/>
  <c r="I2633" i="5"/>
  <c r="H2633" i="5"/>
  <c r="V2632" i="5"/>
  <c r="U2632" i="5"/>
  <c r="T2632" i="5"/>
  <c r="S2632" i="5"/>
  <c r="R2632" i="5"/>
  <c r="Q2632" i="5"/>
  <c r="P2632" i="5"/>
  <c r="O2632" i="5"/>
  <c r="N2632" i="5"/>
  <c r="M2632" i="5"/>
  <c r="L2632" i="5"/>
  <c r="K2632" i="5"/>
  <c r="J2632" i="5"/>
  <c r="I2632" i="5"/>
  <c r="H2632" i="5"/>
  <c r="V2631" i="5"/>
  <c r="U2631" i="5"/>
  <c r="T2631" i="5"/>
  <c r="S2631" i="5"/>
  <c r="R2631" i="5"/>
  <c r="Q2631" i="5"/>
  <c r="P2631" i="5"/>
  <c r="O2631" i="5"/>
  <c r="N2631" i="5"/>
  <c r="M2631" i="5"/>
  <c r="L2631" i="5"/>
  <c r="K2631" i="5"/>
  <c r="J2631" i="5"/>
  <c r="I2631" i="5"/>
  <c r="H2631" i="5"/>
  <c r="V2630" i="5"/>
  <c r="U2630" i="5"/>
  <c r="T2630" i="5"/>
  <c r="S2630" i="5"/>
  <c r="R2630" i="5"/>
  <c r="Q2630" i="5"/>
  <c r="P2630" i="5"/>
  <c r="O2630" i="5"/>
  <c r="N2630" i="5"/>
  <c r="M2630" i="5"/>
  <c r="L2630" i="5"/>
  <c r="K2630" i="5"/>
  <c r="J2630" i="5"/>
  <c r="I2630" i="5"/>
  <c r="H2630" i="5"/>
  <c r="V2629" i="5"/>
  <c r="U2629" i="5"/>
  <c r="T2629" i="5"/>
  <c r="S2629" i="5"/>
  <c r="R2629" i="5"/>
  <c r="Q2629" i="5"/>
  <c r="P2629" i="5"/>
  <c r="O2629" i="5"/>
  <c r="N2629" i="5"/>
  <c r="M2629" i="5"/>
  <c r="L2629" i="5"/>
  <c r="K2629" i="5"/>
  <c r="J2629" i="5"/>
  <c r="I2629" i="5"/>
  <c r="H2629" i="5"/>
  <c r="V2628" i="5"/>
  <c r="U2628" i="5"/>
  <c r="T2628" i="5"/>
  <c r="S2628" i="5"/>
  <c r="R2628" i="5"/>
  <c r="Q2628" i="5"/>
  <c r="P2628" i="5"/>
  <c r="O2628" i="5"/>
  <c r="N2628" i="5"/>
  <c r="M2628" i="5"/>
  <c r="L2628" i="5"/>
  <c r="K2628" i="5"/>
  <c r="J2628" i="5"/>
  <c r="I2628" i="5"/>
  <c r="H2628" i="5"/>
  <c r="V2627" i="5"/>
  <c r="U2627" i="5"/>
  <c r="T2627" i="5"/>
  <c r="S2627" i="5"/>
  <c r="R2627" i="5"/>
  <c r="Q2627" i="5"/>
  <c r="P2627" i="5"/>
  <c r="O2627" i="5"/>
  <c r="N2627" i="5"/>
  <c r="M2627" i="5"/>
  <c r="L2627" i="5"/>
  <c r="K2627" i="5"/>
  <c r="J2627" i="5"/>
  <c r="I2627" i="5"/>
  <c r="H2627" i="5"/>
  <c r="V2626" i="5"/>
  <c r="U2626" i="5"/>
  <c r="T2626" i="5"/>
  <c r="S2626" i="5"/>
  <c r="R2626" i="5"/>
  <c r="Q2626" i="5"/>
  <c r="P2626" i="5"/>
  <c r="O2626" i="5"/>
  <c r="N2626" i="5"/>
  <c r="M2626" i="5"/>
  <c r="L2626" i="5"/>
  <c r="K2626" i="5"/>
  <c r="J2626" i="5"/>
  <c r="I2626" i="5"/>
  <c r="H2626" i="5"/>
  <c r="V2625" i="5"/>
  <c r="U2625" i="5"/>
  <c r="T2625" i="5"/>
  <c r="S2625" i="5"/>
  <c r="R2625" i="5"/>
  <c r="Q2625" i="5"/>
  <c r="P2625" i="5"/>
  <c r="O2625" i="5"/>
  <c r="N2625" i="5"/>
  <c r="M2625" i="5"/>
  <c r="L2625" i="5"/>
  <c r="K2625" i="5"/>
  <c r="J2625" i="5"/>
  <c r="I2625" i="5"/>
  <c r="H2625" i="5"/>
  <c r="V2624" i="5"/>
  <c r="U2624" i="5"/>
  <c r="T2624" i="5"/>
  <c r="S2624" i="5"/>
  <c r="R2624" i="5"/>
  <c r="Q2624" i="5"/>
  <c r="P2624" i="5"/>
  <c r="O2624" i="5"/>
  <c r="N2624" i="5"/>
  <c r="M2624" i="5"/>
  <c r="L2624" i="5"/>
  <c r="K2624" i="5"/>
  <c r="J2624" i="5"/>
  <c r="I2624" i="5"/>
  <c r="H2624" i="5"/>
  <c r="V2623" i="5"/>
  <c r="U2623" i="5"/>
  <c r="T2623" i="5"/>
  <c r="S2623" i="5"/>
  <c r="R2623" i="5"/>
  <c r="Q2623" i="5"/>
  <c r="P2623" i="5"/>
  <c r="O2623" i="5"/>
  <c r="N2623" i="5"/>
  <c r="M2623" i="5"/>
  <c r="L2623" i="5"/>
  <c r="K2623" i="5"/>
  <c r="J2623" i="5"/>
  <c r="I2623" i="5"/>
  <c r="H2623" i="5"/>
  <c r="V2622" i="5"/>
  <c r="U2622" i="5"/>
  <c r="T2622" i="5"/>
  <c r="S2622" i="5"/>
  <c r="R2622" i="5"/>
  <c r="Q2622" i="5"/>
  <c r="P2622" i="5"/>
  <c r="O2622" i="5"/>
  <c r="N2622" i="5"/>
  <c r="M2622" i="5"/>
  <c r="L2622" i="5"/>
  <c r="K2622" i="5"/>
  <c r="J2622" i="5"/>
  <c r="I2622" i="5"/>
  <c r="H2622" i="5"/>
  <c r="V2621" i="5"/>
  <c r="U2621" i="5"/>
  <c r="T2621" i="5"/>
  <c r="S2621" i="5"/>
  <c r="R2621" i="5"/>
  <c r="Q2621" i="5"/>
  <c r="P2621" i="5"/>
  <c r="O2621" i="5"/>
  <c r="N2621" i="5"/>
  <c r="M2621" i="5"/>
  <c r="L2621" i="5"/>
  <c r="K2621" i="5"/>
  <c r="J2621" i="5"/>
  <c r="I2621" i="5"/>
  <c r="H2621" i="5"/>
  <c r="V2620" i="5"/>
  <c r="U2620" i="5"/>
  <c r="T2620" i="5"/>
  <c r="S2620" i="5"/>
  <c r="R2620" i="5"/>
  <c r="Q2620" i="5"/>
  <c r="P2620" i="5"/>
  <c r="O2620" i="5"/>
  <c r="N2620" i="5"/>
  <c r="M2620" i="5"/>
  <c r="L2620" i="5"/>
  <c r="K2620" i="5"/>
  <c r="J2620" i="5"/>
  <c r="I2620" i="5"/>
  <c r="H2620" i="5"/>
  <c r="V2619" i="5"/>
  <c r="U2619" i="5"/>
  <c r="T2619" i="5"/>
  <c r="S2619" i="5"/>
  <c r="R2619" i="5"/>
  <c r="Q2619" i="5"/>
  <c r="P2619" i="5"/>
  <c r="O2619" i="5"/>
  <c r="N2619" i="5"/>
  <c r="M2619" i="5"/>
  <c r="L2619" i="5"/>
  <c r="K2619" i="5"/>
  <c r="J2619" i="5"/>
  <c r="I2619" i="5"/>
  <c r="H2619" i="5"/>
  <c r="V2618" i="5"/>
  <c r="U2618" i="5"/>
  <c r="T2618" i="5"/>
  <c r="S2618" i="5"/>
  <c r="R2618" i="5"/>
  <c r="Q2618" i="5"/>
  <c r="P2618" i="5"/>
  <c r="O2618" i="5"/>
  <c r="N2618" i="5"/>
  <c r="M2618" i="5"/>
  <c r="L2618" i="5"/>
  <c r="K2618" i="5"/>
  <c r="J2618" i="5"/>
  <c r="I2618" i="5"/>
  <c r="H2618" i="5"/>
  <c r="V2617" i="5"/>
  <c r="U2617" i="5"/>
  <c r="T2617" i="5"/>
  <c r="S2617" i="5"/>
  <c r="R2617" i="5"/>
  <c r="Q2617" i="5"/>
  <c r="P2617" i="5"/>
  <c r="V2616" i="5"/>
  <c r="U2616" i="5"/>
  <c r="T2616" i="5"/>
  <c r="S2616" i="5"/>
  <c r="R2616" i="5"/>
  <c r="Q2616" i="5"/>
  <c r="P2616" i="5"/>
  <c r="U2615" i="5"/>
  <c r="T2615" i="5"/>
  <c r="S2615" i="5"/>
  <c r="R2615" i="5"/>
  <c r="Q2615" i="5"/>
  <c r="P2615" i="5"/>
  <c r="U2614" i="5"/>
  <c r="T2614" i="5"/>
  <c r="S2614" i="5"/>
  <c r="R2614" i="5"/>
  <c r="Q2614" i="5"/>
  <c r="P2614" i="5"/>
  <c r="O2614" i="5"/>
  <c r="N2614" i="5"/>
  <c r="M2614" i="5"/>
  <c r="L2614" i="5"/>
  <c r="K2614" i="5"/>
  <c r="J2614" i="5"/>
  <c r="I2614" i="5"/>
  <c r="H2614" i="5"/>
  <c r="V2612" i="5"/>
  <c r="U2610" i="5"/>
  <c r="T2610" i="5"/>
  <c r="S2610" i="5"/>
  <c r="R2610" i="5"/>
  <c r="Q2610" i="5"/>
  <c r="P2610" i="5"/>
  <c r="O2604" i="5"/>
  <c r="N2604" i="5"/>
  <c r="M2604" i="5"/>
  <c r="L2604" i="5"/>
  <c r="K2604" i="5"/>
  <c r="J2604" i="5"/>
  <c r="I2604" i="5"/>
  <c r="H2604" i="5"/>
  <c r="V2602" i="5"/>
  <c r="U2600" i="5"/>
  <c r="T2600" i="5"/>
  <c r="S2600" i="5"/>
  <c r="R2600" i="5"/>
  <c r="Q2600" i="5"/>
  <c r="P2600" i="5"/>
  <c r="O2594" i="5"/>
  <c r="N2594" i="5"/>
  <c r="M2594" i="5"/>
  <c r="L2594" i="5"/>
  <c r="K2594" i="5"/>
  <c r="J2594" i="5"/>
  <c r="I2594" i="5"/>
  <c r="H2594" i="5"/>
  <c r="V2592" i="5"/>
  <c r="U2590" i="5"/>
  <c r="T2590" i="5"/>
  <c r="S2590" i="5"/>
  <c r="R2590" i="5"/>
  <c r="Q2590" i="5"/>
  <c r="P2590" i="5"/>
  <c r="O2587" i="5"/>
  <c r="N2587" i="5"/>
  <c r="M2587" i="5"/>
  <c r="L2587" i="5"/>
  <c r="K2587" i="5"/>
  <c r="J2587" i="5"/>
  <c r="I2587" i="5"/>
  <c r="H2587" i="5"/>
  <c r="O2586" i="5"/>
  <c r="N2586" i="5"/>
  <c r="M2586" i="5"/>
  <c r="L2586" i="5"/>
  <c r="K2586" i="5"/>
  <c r="J2586" i="5"/>
  <c r="I2586" i="5"/>
  <c r="H2586" i="5"/>
  <c r="V2585" i="5"/>
  <c r="O2585" i="5"/>
  <c r="N2585" i="5"/>
  <c r="M2585" i="5"/>
  <c r="L2585" i="5"/>
  <c r="K2585" i="5"/>
  <c r="J2585" i="5"/>
  <c r="I2585" i="5"/>
  <c r="H2585" i="5"/>
  <c r="V2584" i="5"/>
  <c r="O2584" i="5"/>
  <c r="N2584" i="5"/>
  <c r="M2584" i="5"/>
  <c r="L2584" i="5"/>
  <c r="K2584" i="5"/>
  <c r="J2584" i="5"/>
  <c r="I2584" i="5"/>
  <c r="H2584" i="5"/>
  <c r="V2583" i="5"/>
  <c r="U2583" i="5"/>
  <c r="T2583" i="5"/>
  <c r="S2583" i="5"/>
  <c r="R2583" i="5"/>
  <c r="Q2583" i="5"/>
  <c r="P2583" i="5"/>
  <c r="O2583" i="5"/>
  <c r="N2583" i="5"/>
  <c r="M2583" i="5"/>
  <c r="L2583" i="5"/>
  <c r="K2583" i="5"/>
  <c r="J2583" i="5"/>
  <c r="I2583" i="5"/>
  <c r="H2583" i="5"/>
  <c r="V2582" i="5"/>
  <c r="U2582" i="5"/>
  <c r="T2582" i="5"/>
  <c r="S2582" i="5"/>
  <c r="R2582" i="5"/>
  <c r="Q2582" i="5"/>
  <c r="P2582" i="5"/>
  <c r="O2582" i="5"/>
  <c r="N2582" i="5"/>
  <c r="M2582" i="5"/>
  <c r="L2582" i="5"/>
  <c r="K2582" i="5"/>
  <c r="J2582" i="5"/>
  <c r="I2582" i="5"/>
  <c r="H2582" i="5"/>
  <c r="V2581" i="5"/>
  <c r="U2581" i="5"/>
  <c r="T2581" i="5"/>
  <c r="S2581" i="5"/>
  <c r="R2581" i="5"/>
  <c r="Q2581" i="5"/>
  <c r="P2581" i="5"/>
  <c r="O2581" i="5"/>
  <c r="N2581" i="5"/>
  <c r="M2581" i="5"/>
  <c r="L2581" i="5"/>
  <c r="K2581" i="5"/>
  <c r="J2581" i="5"/>
  <c r="I2581" i="5"/>
  <c r="H2581" i="5"/>
  <c r="V2580" i="5"/>
  <c r="U2580" i="5"/>
  <c r="T2580" i="5"/>
  <c r="S2580" i="5"/>
  <c r="R2580" i="5"/>
  <c r="Q2580" i="5"/>
  <c r="P2580" i="5"/>
  <c r="O2580" i="5"/>
  <c r="N2580" i="5"/>
  <c r="M2580" i="5"/>
  <c r="L2580" i="5"/>
  <c r="K2580" i="5"/>
  <c r="J2580" i="5"/>
  <c r="I2580" i="5"/>
  <c r="H2580" i="5"/>
  <c r="V2579" i="5"/>
  <c r="U2579" i="5"/>
  <c r="T2579" i="5"/>
  <c r="S2579" i="5"/>
  <c r="R2579" i="5"/>
  <c r="Q2579" i="5"/>
  <c r="P2579" i="5"/>
  <c r="O2579" i="5"/>
  <c r="N2579" i="5"/>
  <c r="M2579" i="5"/>
  <c r="L2579" i="5"/>
  <c r="K2579" i="5"/>
  <c r="J2579" i="5"/>
  <c r="I2579" i="5"/>
  <c r="H2579" i="5"/>
  <c r="V2578" i="5"/>
  <c r="U2578" i="5"/>
  <c r="T2578" i="5"/>
  <c r="S2578" i="5"/>
  <c r="R2578" i="5"/>
  <c r="Q2578" i="5"/>
  <c r="P2578" i="5"/>
  <c r="O2578" i="5"/>
  <c r="N2578" i="5"/>
  <c r="M2578" i="5"/>
  <c r="L2578" i="5"/>
  <c r="K2578" i="5"/>
  <c r="J2578" i="5"/>
  <c r="I2578" i="5"/>
  <c r="H2578" i="5"/>
  <c r="V2577" i="5"/>
  <c r="U2577" i="5"/>
  <c r="T2577" i="5"/>
  <c r="S2577" i="5"/>
  <c r="R2577" i="5"/>
  <c r="Q2577" i="5"/>
  <c r="P2577" i="5"/>
  <c r="V2576" i="5"/>
  <c r="U2576" i="5"/>
  <c r="T2576" i="5"/>
  <c r="S2576" i="5"/>
  <c r="R2576" i="5"/>
  <c r="Q2576" i="5"/>
  <c r="P2576" i="5"/>
  <c r="U2575" i="5"/>
  <c r="T2575" i="5"/>
  <c r="S2575" i="5"/>
  <c r="R2575" i="5"/>
  <c r="Q2575" i="5"/>
  <c r="P2575" i="5"/>
  <c r="U2574" i="5"/>
  <c r="T2574" i="5"/>
  <c r="S2574" i="5"/>
  <c r="R2574" i="5"/>
  <c r="Q2574" i="5"/>
  <c r="P2574" i="5"/>
  <c r="O2574" i="5"/>
  <c r="N2574" i="5"/>
  <c r="M2574" i="5"/>
  <c r="L2574" i="5"/>
  <c r="K2574" i="5"/>
  <c r="J2574" i="5"/>
  <c r="I2574" i="5"/>
  <c r="H2574" i="5"/>
  <c r="V2572" i="5"/>
  <c r="U2570" i="5"/>
  <c r="T2570" i="5"/>
  <c r="S2570" i="5"/>
  <c r="R2570" i="5"/>
  <c r="Q2570" i="5"/>
  <c r="P2570" i="5"/>
  <c r="O2564" i="5"/>
  <c r="N2564" i="5"/>
  <c r="M2564" i="5"/>
  <c r="L2564" i="5"/>
  <c r="K2564" i="5"/>
  <c r="J2564" i="5"/>
  <c r="I2564" i="5"/>
  <c r="H2564" i="5"/>
  <c r="V2562" i="5"/>
  <c r="U2560" i="5"/>
  <c r="T2560" i="5"/>
  <c r="S2560" i="5"/>
  <c r="R2560" i="5"/>
  <c r="Q2560" i="5"/>
  <c r="P2560" i="5"/>
  <c r="O2554" i="5"/>
  <c r="N2554" i="5"/>
  <c r="M2554" i="5"/>
  <c r="L2554" i="5"/>
  <c r="K2554" i="5"/>
  <c r="J2554" i="5"/>
  <c r="I2554" i="5"/>
  <c r="H2554" i="5"/>
  <c r="V2552" i="5"/>
  <c r="U2550" i="5"/>
  <c r="T2550" i="5"/>
  <c r="S2550" i="5"/>
  <c r="R2550" i="5"/>
  <c r="Q2550" i="5"/>
  <c r="P2550" i="5"/>
  <c r="O2544" i="5"/>
  <c r="N2544" i="5"/>
  <c r="M2544" i="5"/>
  <c r="L2544" i="5"/>
  <c r="K2544" i="5"/>
  <c r="J2544" i="5"/>
  <c r="I2544" i="5"/>
  <c r="H2544" i="5"/>
  <c r="V2542" i="5"/>
  <c r="U2540" i="5"/>
  <c r="T2540" i="5"/>
  <c r="S2540" i="5"/>
  <c r="R2540" i="5"/>
  <c r="Q2540" i="5"/>
  <c r="P2540" i="5"/>
  <c r="O2534" i="5"/>
  <c r="N2534" i="5"/>
  <c r="M2534" i="5"/>
  <c r="L2534" i="5"/>
  <c r="K2534" i="5"/>
  <c r="J2534" i="5"/>
  <c r="I2534" i="5"/>
  <c r="H2534" i="5"/>
  <c r="V2532" i="5"/>
  <c r="U2530" i="5"/>
  <c r="T2530" i="5"/>
  <c r="S2530" i="5"/>
  <c r="R2530" i="5"/>
  <c r="Q2530" i="5"/>
  <c r="P2530" i="5"/>
  <c r="O2524" i="5"/>
  <c r="N2524" i="5"/>
  <c r="M2524" i="5"/>
  <c r="L2524" i="5"/>
  <c r="K2524" i="5"/>
  <c r="J2524" i="5"/>
  <c r="I2524" i="5"/>
  <c r="H2524" i="5"/>
  <c r="V2522" i="5"/>
  <c r="U2520" i="5"/>
  <c r="T2520" i="5"/>
  <c r="S2520" i="5"/>
  <c r="R2520" i="5"/>
  <c r="Q2520" i="5"/>
  <c r="P2520" i="5"/>
  <c r="O2514" i="5"/>
  <c r="N2514" i="5"/>
  <c r="M2514" i="5"/>
  <c r="L2514" i="5"/>
  <c r="K2514" i="5"/>
  <c r="J2514" i="5"/>
  <c r="I2514" i="5"/>
  <c r="H2514" i="5"/>
  <c r="V2512" i="5"/>
  <c r="U2510" i="5"/>
  <c r="T2510" i="5"/>
  <c r="S2510" i="5"/>
  <c r="R2510" i="5"/>
  <c r="Q2510" i="5"/>
  <c r="P2510" i="5"/>
  <c r="O2504" i="5"/>
  <c r="N2504" i="5"/>
  <c r="M2504" i="5"/>
  <c r="L2504" i="5"/>
  <c r="K2504" i="5"/>
  <c r="J2504" i="5"/>
  <c r="I2504" i="5"/>
  <c r="H2504" i="5"/>
  <c r="V2502" i="5"/>
  <c r="U2500" i="5"/>
  <c r="T2500" i="5"/>
  <c r="S2500" i="5"/>
  <c r="R2500" i="5"/>
  <c r="Q2500" i="5"/>
  <c r="P2500" i="5"/>
  <c r="O2494" i="5"/>
  <c r="N2494" i="5"/>
  <c r="M2494" i="5"/>
  <c r="L2494" i="5"/>
  <c r="K2494" i="5"/>
  <c r="J2494" i="5"/>
  <c r="I2494" i="5"/>
  <c r="H2494" i="5"/>
  <c r="V2492" i="5"/>
  <c r="U2490" i="5"/>
  <c r="T2490" i="5"/>
  <c r="S2490" i="5"/>
  <c r="R2490" i="5"/>
  <c r="Q2490" i="5"/>
  <c r="P2490" i="5"/>
  <c r="O2487" i="5"/>
  <c r="N2487" i="5"/>
  <c r="M2487" i="5"/>
  <c r="L2487" i="5"/>
  <c r="K2487" i="5"/>
  <c r="J2487" i="5"/>
  <c r="I2487" i="5"/>
  <c r="H2487" i="5"/>
  <c r="O2486" i="5"/>
  <c r="N2486" i="5"/>
  <c r="M2486" i="5"/>
  <c r="L2486" i="5"/>
  <c r="K2486" i="5"/>
  <c r="J2486" i="5"/>
  <c r="I2486" i="5"/>
  <c r="H2486" i="5"/>
  <c r="V2485" i="5"/>
  <c r="O2485" i="5"/>
  <c r="N2485" i="5"/>
  <c r="M2485" i="5"/>
  <c r="L2485" i="5"/>
  <c r="K2485" i="5"/>
  <c r="J2485" i="5"/>
  <c r="I2485" i="5"/>
  <c r="H2485" i="5"/>
  <c r="V2484" i="5"/>
  <c r="O2484" i="5"/>
  <c r="N2484" i="5"/>
  <c r="M2484" i="5"/>
  <c r="L2484" i="5"/>
  <c r="K2484" i="5"/>
  <c r="J2484" i="5"/>
  <c r="I2484" i="5"/>
  <c r="H2484" i="5"/>
  <c r="V2483" i="5"/>
  <c r="U2483" i="5"/>
  <c r="T2483" i="5"/>
  <c r="S2483" i="5"/>
  <c r="R2483" i="5"/>
  <c r="Q2483" i="5"/>
  <c r="P2483" i="5"/>
  <c r="O2483" i="5"/>
  <c r="N2483" i="5"/>
  <c r="M2483" i="5"/>
  <c r="L2483" i="5"/>
  <c r="K2483" i="5"/>
  <c r="J2483" i="5"/>
  <c r="I2483" i="5"/>
  <c r="H2483" i="5"/>
  <c r="V2482" i="5"/>
  <c r="U2482" i="5"/>
  <c r="T2482" i="5"/>
  <c r="S2482" i="5"/>
  <c r="R2482" i="5"/>
  <c r="Q2482" i="5"/>
  <c r="P2482" i="5"/>
  <c r="O2482" i="5"/>
  <c r="N2482" i="5"/>
  <c r="M2482" i="5"/>
  <c r="L2482" i="5"/>
  <c r="K2482" i="5"/>
  <c r="J2482" i="5"/>
  <c r="I2482" i="5"/>
  <c r="H2482" i="5"/>
  <c r="V2481" i="5"/>
  <c r="U2481" i="5"/>
  <c r="T2481" i="5"/>
  <c r="S2481" i="5"/>
  <c r="R2481" i="5"/>
  <c r="Q2481" i="5"/>
  <c r="P2481" i="5"/>
  <c r="O2481" i="5"/>
  <c r="N2481" i="5"/>
  <c r="M2481" i="5"/>
  <c r="L2481" i="5"/>
  <c r="K2481" i="5"/>
  <c r="J2481" i="5"/>
  <c r="I2481" i="5"/>
  <c r="H2481" i="5"/>
  <c r="V2480" i="5"/>
  <c r="U2480" i="5"/>
  <c r="T2480" i="5"/>
  <c r="S2480" i="5"/>
  <c r="R2480" i="5"/>
  <c r="Q2480" i="5"/>
  <c r="P2480" i="5"/>
  <c r="O2480" i="5"/>
  <c r="N2480" i="5"/>
  <c r="M2480" i="5"/>
  <c r="L2480" i="5"/>
  <c r="K2480" i="5"/>
  <c r="J2480" i="5"/>
  <c r="I2480" i="5"/>
  <c r="H2480" i="5"/>
  <c r="V2479" i="5"/>
  <c r="U2479" i="5"/>
  <c r="T2479" i="5"/>
  <c r="S2479" i="5"/>
  <c r="R2479" i="5"/>
  <c r="Q2479" i="5"/>
  <c r="P2479" i="5"/>
  <c r="O2479" i="5"/>
  <c r="N2479" i="5"/>
  <c r="M2479" i="5"/>
  <c r="L2479" i="5"/>
  <c r="K2479" i="5"/>
  <c r="J2479" i="5"/>
  <c r="I2479" i="5"/>
  <c r="H2479" i="5"/>
  <c r="V2478" i="5"/>
  <c r="U2478" i="5"/>
  <c r="T2478" i="5"/>
  <c r="S2478" i="5"/>
  <c r="R2478" i="5"/>
  <c r="Q2478" i="5"/>
  <c r="P2478" i="5"/>
  <c r="O2478" i="5"/>
  <c r="N2478" i="5"/>
  <c r="M2478" i="5"/>
  <c r="L2478" i="5"/>
  <c r="K2478" i="5"/>
  <c r="J2478" i="5"/>
  <c r="I2478" i="5"/>
  <c r="H2478" i="5"/>
  <c r="V2477" i="5"/>
  <c r="U2477" i="5"/>
  <c r="T2477" i="5"/>
  <c r="S2477" i="5"/>
  <c r="R2477" i="5"/>
  <c r="Q2477" i="5"/>
  <c r="P2477" i="5"/>
  <c r="V2476" i="5"/>
  <c r="U2476" i="5"/>
  <c r="T2476" i="5"/>
  <c r="S2476" i="5"/>
  <c r="R2476" i="5"/>
  <c r="Q2476" i="5"/>
  <c r="P2476" i="5"/>
  <c r="U2475" i="5"/>
  <c r="T2475" i="5"/>
  <c r="S2475" i="5"/>
  <c r="R2475" i="5"/>
  <c r="Q2475" i="5"/>
  <c r="P2475" i="5"/>
  <c r="U2474" i="5"/>
  <c r="T2474" i="5"/>
  <c r="S2474" i="5"/>
  <c r="R2474" i="5"/>
  <c r="Q2474" i="5"/>
  <c r="P2474" i="5"/>
  <c r="O2474" i="5"/>
  <c r="N2474" i="5"/>
  <c r="M2474" i="5"/>
  <c r="L2474" i="5"/>
  <c r="K2474" i="5"/>
  <c r="J2474" i="5"/>
  <c r="I2474" i="5"/>
  <c r="H2474" i="5"/>
  <c r="V2472" i="5"/>
  <c r="U2470" i="5"/>
  <c r="T2470" i="5"/>
  <c r="S2470" i="5"/>
  <c r="R2470" i="5"/>
  <c r="Q2470" i="5"/>
  <c r="P2470" i="5"/>
  <c r="O2464" i="5"/>
  <c r="N2464" i="5"/>
  <c r="M2464" i="5"/>
  <c r="L2464" i="5"/>
  <c r="K2464" i="5"/>
  <c r="J2464" i="5"/>
  <c r="I2464" i="5"/>
  <c r="H2464" i="5"/>
  <c r="V2462" i="5"/>
  <c r="U2460" i="5"/>
  <c r="T2460" i="5"/>
  <c r="S2460" i="5"/>
  <c r="R2460" i="5"/>
  <c r="Q2460" i="5"/>
  <c r="P2460" i="5"/>
  <c r="O2454" i="5"/>
  <c r="N2454" i="5"/>
  <c r="M2454" i="5"/>
  <c r="L2454" i="5"/>
  <c r="K2454" i="5"/>
  <c r="J2454" i="5"/>
  <c r="I2454" i="5"/>
  <c r="H2454" i="5"/>
  <c r="V2452" i="5"/>
  <c r="U2450" i="5"/>
  <c r="T2450" i="5"/>
  <c r="S2450" i="5"/>
  <c r="R2450" i="5"/>
  <c r="Q2450" i="5"/>
  <c r="P2450" i="5"/>
  <c r="O2444" i="5"/>
  <c r="N2444" i="5"/>
  <c r="M2444" i="5"/>
  <c r="L2444" i="5"/>
  <c r="K2444" i="5"/>
  <c r="J2444" i="5"/>
  <c r="I2444" i="5"/>
  <c r="H2444" i="5"/>
  <c r="V2442" i="5"/>
  <c r="U2440" i="5"/>
  <c r="T2440" i="5"/>
  <c r="S2440" i="5"/>
  <c r="R2440" i="5"/>
  <c r="Q2440" i="5"/>
  <c r="P2440" i="5"/>
  <c r="O2434" i="5"/>
  <c r="N2434" i="5"/>
  <c r="M2434" i="5"/>
  <c r="L2434" i="5"/>
  <c r="K2434" i="5"/>
  <c r="J2434" i="5"/>
  <c r="I2434" i="5"/>
  <c r="H2434" i="5"/>
  <c r="V2432" i="5"/>
  <c r="U2430" i="5"/>
  <c r="T2430" i="5"/>
  <c r="S2430" i="5"/>
  <c r="R2430" i="5"/>
  <c r="Q2430" i="5"/>
  <c r="P2430" i="5"/>
  <c r="O2424" i="5"/>
  <c r="N2424" i="5"/>
  <c r="M2424" i="5"/>
  <c r="L2424" i="5"/>
  <c r="K2424" i="5"/>
  <c r="J2424" i="5"/>
  <c r="I2424" i="5"/>
  <c r="H2424" i="5"/>
  <c r="V2422" i="5"/>
  <c r="U2420" i="5"/>
  <c r="T2420" i="5"/>
  <c r="S2420" i="5"/>
  <c r="R2420" i="5"/>
  <c r="Q2420" i="5"/>
  <c r="P2420" i="5"/>
  <c r="O2414" i="5"/>
  <c r="N2414" i="5"/>
  <c r="M2414" i="5"/>
  <c r="L2414" i="5"/>
  <c r="K2414" i="5"/>
  <c r="J2414" i="5"/>
  <c r="I2414" i="5"/>
  <c r="H2414" i="5"/>
  <c r="V2412" i="5"/>
  <c r="U2410" i="5"/>
  <c r="T2410" i="5"/>
  <c r="S2410" i="5"/>
  <c r="R2410" i="5"/>
  <c r="Q2410" i="5"/>
  <c r="P2410" i="5"/>
  <c r="O2404" i="5"/>
  <c r="N2404" i="5"/>
  <c r="M2404" i="5"/>
  <c r="L2404" i="5"/>
  <c r="K2404" i="5"/>
  <c r="J2404" i="5"/>
  <c r="I2404" i="5"/>
  <c r="H2404" i="5"/>
  <c r="V2402" i="5"/>
  <c r="U2400" i="5"/>
  <c r="T2400" i="5"/>
  <c r="S2400" i="5"/>
  <c r="R2400" i="5"/>
  <c r="Q2400" i="5"/>
  <c r="P2400" i="5"/>
  <c r="O2394" i="5"/>
  <c r="N2394" i="5"/>
  <c r="M2394" i="5"/>
  <c r="L2394" i="5"/>
  <c r="K2394" i="5"/>
  <c r="J2394" i="5"/>
  <c r="I2394" i="5"/>
  <c r="H2394" i="5"/>
  <c r="V2392" i="5"/>
  <c r="U2390" i="5"/>
  <c r="T2390" i="5"/>
  <c r="S2390" i="5"/>
  <c r="R2390" i="5"/>
  <c r="Q2390" i="5"/>
  <c r="P2390" i="5"/>
  <c r="O2387" i="5"/>
  <c r="N2387" i="5"/>
  <c r="M2387" i="5"/>
  <c r="L2387" i="5"/>
  <c r="K2387" i="5"/>
  <c r="J2387" i="5"/>
  <c r="I2387" i="5"/>
  <c r="H2387" i="5"/>
  <c r="O2386" i="5"/>
  <c r="N2386" i="5"/>
  <c r="M2386" i="5"/>
  <c r="L2386" i="5"/>
  <c r="K2386" i="5"/>
  <c r="J2386" i="5"/>
  <c r="I2386" i="5"/>
  <c r="H2386" i="5"/>
  <c r="V2385" i="5"/>
  <c r="O2385" i="5"/>
  <c r="N2385" i="5"/>
  <c r="M2385" i="5"/>
  <c r="L2385" i="5"/>
  <c r="K2385" i="5"/>
  <c r="J2385" i="5"/>
  <c r="I2385" i="5"/>
  <c r="H2385" i="5"/>
  <c r="V2384" i="5"/>
  <c r="O2384" i="5"/>
  <c r="N2384" i="5"/>
  <c r="M2384" i="5"/>
  <c r="L2384" i="5"/>
  <c r="K2384" i="5"/>
  <c r="J2384" i="5"/>
  <c r="I2384" i="5"/>
  <c r="H2384" i="5"/>
  <c r="V2383" i="5"/>
  <c r="U2383" i="5"/>
  <c r="T2383" i="5"/>
  <c r="S2383" i="5"/>
  <c r="R2383" i="5"/>
  <c r="Q2383" i="5"/>
  <c r="P2383" i="5"/>
  <c r="O2383" i="5"/>
  <c r="N2383" i="5"/>
  <c r="M2383" i="5"/>
  <c r="L2383" i="5"/>
  <c r="K2383" i="5"/>
  <c r="J2383" i="5"/>
  <c r="I2383" i="5"/>
  <c r="H2383" i="5"/>
  <c r="V2382" i="5"/>
  <c r="U2382" i="5"/>
  <c r="T2382" i="5"/>
  <c r="S2382" i="5"/>
  <c r="R2382" i="5"/>
  <c r="Q2382" i="5"/>
  <c r="P2382" i="5"/>
  <c r="O2382" i="5"/>
  <c r="N2382" i="5"/>
  <c r="M2382" i="5"/>
  <c r="L2382" i="5"/>
  <c r="K2382" i="5"/>
  <c r="J2382" i="5"/>
  <c r="I2382" i="5"/>
  <c r="H2382" i="5"/>
  <c r="V2381" i="5"/>
  <c r="U2381" i="5"/>
  <c r="T2381" i="5"/>
  <c r="S2381" i="5"/>
  <c r="R2381" i="5"/>
  <c r="Q2381" i="5"/>
  <c r="P2381" i="5"/>
  <c r="O2381" i="5"/>
  <c r="N2381" i="5"/>
  <c r="M2381" i="5"/>
  <c r="L2381" i="5"/>
  <c r="K2381" i="5"/>
  <c r="J2381" i="5"/>
  <c r="I2381" i="5"/>
  <c r="H2381" i="5"/>
  <c r="V2380" i="5"/>
  <c r="U2380" i="5"/>
  <c r="T2380" i="5"/>
  <c r="S2380" i="5"/>
  <c r="R2380" i="5"/>
  <c r="Q2380" i="5"/>
  <c r="P2380" i="5"/>
  <c r="O2380" i="5"/>
  <c r="N2380" i="5"/>
  <c r="M2380" i="5"/>
  <c r="L2380" i="5"/>
  <c r="K2380" i="5"/>
  <c r="J2380" i="5"/>
  <c r="I2380" i="5"/>
  <c r="H2380" i="5"/>
  <c r="V2379" i="5"/>
  <c r="U2379" i="5"/>
  <c r="T2379" i="5"/>
  <c r="S2379" i="5"/>
  <c r="R2379" i="5"/>
  <c r="Q2379" i="5"/>
  <c r="P2379" i="5"/>
  <c r="O2379" i="5"/>
  <c r="N2379" i="5"/>
  <c r="M2379" i="5"/>
  <c r="L2379" i="5"/>
  <c r="K2379" i="5"/>
  <c r="J2379" i="5"/>
  <c r="I2379" i="5"/>
  <c r="H2379" i="5"/>
  <c r="V2378" i="5"/>
  <c r="U2378" i="5"/>
  <c r="T2378" i="5"/>
  <c r="S2378" i="5"/>
  <c r="R2378" i="5"/>
  <c r="Q2378" i="5"/>
  <c r="P2378" i="5"/>
  <c r="O2378" i="5"/>
  <c r="N2378" i="5"/>
  <c r="M2378" i="5"/>
  <c r="L2378" i="5"/>
  <c r="K2378" i="5"/>
  <c r="J2378" i="5"/>
  <c r="I2378" i="5"/>
  <c r="H2378" i="5"/>
  <c r="V2377" i="5"/>
  <c r="U2377" i="5"/>
  <c r="T2377" i="5"/>
  <c r="S2377" i="5"/>
  <c r="R2377" i="5"/>
  <c r="Q2377" i="5"/>
  <c r="P2377" i="5"/>
  <c r="V2376" i="5"/>
  <c r="U2376" i="5"/>
  <c r="T2376" i="5"/>
  <c r="S2376" i="5"/>
  <c r="R2376" i="5"/>
  <c r="Q2376" i="5"/>
  <c r="P2376" i="5"/>
  <c r="U2375" i="5"/>
  <c r="T2375" i="5"/>
  <c r="S2375" i="5"/>
  <c r="R2375" i="5"/>
  <c r="Q2375" i="5"/>
  <c r="P2375" i="5"/>
  <c r="U2374" i="5"/>
  <c r="T2374" i="5"/>
  <c r="S2374" i="5"/>
  <c r="R2374" i="5"/>
  <c r="Q2374" i="5"/>
  <c r="P2374" i="5"/>
  <c r="O2374" i="5"/>
  <c r="N2374" i="5"/>
  <c r="M2374" i="5"/>
  <c r="L2374" i="5"/>
  <c r="K2374" i="5"/>
  <c r="J2374" i="5"/>
  <c r="I2374" i="5"/>
  <c r="H2374" i="5"/>
  <c r="V2372" i="5"/>
  <c r="U2370" i="5"/>
  <c r="T2370" i="5"/>
  <c r="S2370" i="5"/>
  <c r="R2370" i="5"/>
  <c r="Q2370" i="5"/>
  <c r="P2370" i="5"/>
  <c r="O2364" i="5"/>
  <c r="N2364" i="5"/>
  <c r="M2364" i="5"/>
  <c r="L2364" i="5"/>
  <c r="K2364" i="5"/>
  <c r="J2364" i="5"/>
  <c r="I2364" i="5"/>
  <c r="H2364" i="5"/>
  <c r="V2362" i="5"/>
  <c r="U2360" i="5"/>
  <c r="T2360" i="5"/>
  <c r="S2360" i="5"/>
  <c r="R2360" i="5"/>
  <c r="Q2360" i="5"/>
  <c r="P2360" i="5"/>
  <c r="O2354" i="5"/>
  <c r="N2354" i="5"/>
  <c r="M2354" i="5"/>
  <c r="L2354" i="5"/>
  <c r="K2354" i="5"/>
  <c r="J2354" i="5"/>
  <c r="I2354" i="5"/>
  <c r="H2354" i="5"/>
  <c r="V2352" i="5"/>
  <c r="U2350" i="5"/>
  <c r="T2350" i="5"/>
  <c r="S2350" i="5"/>
  <c r="R2350" i="5"/>
  <c r="Q2350" i="5"/>
  <c r="P2350" i="5"/>
  <c r="O2344" i="5"/>
  <c r="N2344" i="5"/>
  <c r="M2344" i="5"/>
  <c r="L2344" i="5"/>
  <c r="K2344" i="5"/>
  <c r="J2344" i="5"/>
  <c r="I2344" i="5"/>
  <c r="H2344" i="5"/>
  <c r="V2342" i="5"/>
  <c r="U2340" i="5"/>
  <c r="T2340" i="5"/>
  <c r="S2340" i="5"/>
  <c r="R2340" i="5"/>
  <c r="Q2340" i="5"/>
  <c r="P2340" i="5"/>
  <c r="O2334" i="5"/>
  <c r="N2334" i="5"/>
  <c r="M2334" i="5"/>
  <c r="L2334" i="5"/>
  <c r="K2334" i="5"/>
  <c r="J2334" i="5"/>
  <c r="I2334" i="5"/>
  <c r="H2334" i="5"/>
  <c r="V2332" i="5"/>
  <c r="U2330" i="5"/>
  <c r="T2330" i="5"/>
  <c r="S2330" i="5"/>
  <c r="R2330" i="5"/>
  <c r="Q2330" i="5"/>
  <c r="P2330" i="5"/>
  <c r="O2324" i="5"/>
  <c r="N2324" i="5"/>
  <c r="M2324" i="5"/>
  <c r="L2324" i="5"/>
  <c r="K2324" i="5"/>
  <c r="J2324" i="5"/>
  <c r="I2324" i="5"/>
  <c r="H2324" i="5"/>
  <c r="V2322" i="5"/>
  <c r="U2320" i="5"/>
  <c r="T2320" i="5"/>
  <c r="S2320" i="5"/>
  <c r="R2320" i="5"/>
  <c r="Q2320" i="5"/>
  <c r="P2320" i="5"/>
  <c r="O2314" i="5"/>
  <c r="N2314" i="5"/>
  <c r="M2314" i="5"/>
  <c r="L2314" i="5"/>
  <c r="K2314" i="5"/>
  <c r="J2314" i="5"/>
  <c r="I2314" i="5"/>
  <c r="H2314" i="5"/>
  <c r="V2312" i="5"/>
  <c r="U2310" i="5"/>
  <c r="T2310" i="5"/>
  <c r="S2310" i="5"/>
  <c r="R2310" i="5"/>
  <c r="Q2310" i="5"/>
  <c r="P2310" i="5"/>
  <c r="O2304" i="5"/>
  <c r="N2304" i="5"/>
  <c r="M2304" i="5"/>
  <c r="L2304" i="5"/>
  <c r="K2304" i="5"/>
  <c r="J2304" i="5"/>
  <c r="I2304" i="5"/>
  <c r="H2304" i="5"/>
  <c r="V2302" i="5"/>
  <c r="U2300" i="5"/>
  <c r="T2300" i="5"/>
  <c r="S2300" i="5"/>
  <c r="R2300" i="5"/>
  <c r="Q2300" i="5"/>
  <c r="P2300" i="5"/>
  <c r="O2294" i="5"/>
  <c r="N2294" i="5"/>
  <c r="M2294" i="5"/>
  <c r="L2294" i="5"/>
  <c r="K2294" i="5"/>
  <c r="J2294" i="5"/>
  <c r="I2294" i="5"/>
  <c r="H2294" i="5"/>
  <c r="V2292" i="5"/>
  <c r="U2290" i="5"/>
  <c r="T2290" i="5"/>
  <c r="S2290" i="5"/>
  <c r="R2290" i="5"/>
  <c r="Q2290" i="5"/>
  <c r="P2290" i="5"/>
  <c r="O2287" i="5"/>
  <c r="N2287" i="5"/>
  <c r="M2287" i="5"/>
  <c r="L2287" i="5"/>
  <c r="K2287" i="5"/>
  <c r="J2287" i="5"/>
  <c r="I2287" i="5"/>
  <c r="H2287" i="5"/>
  <c r="O2286" i="5"/>
  <c r="N2286" i="5"/>
  <c r="M2286" i="5"/>
  <c r="L2286" i="5"/>
  <c r="K2286" i="5"/>
  <c r="J2286" i="5"/>
  <c r="I2286" i="5"/>
  <c r="H2286" i="5"/>
  <c r="V2285" i="5"/>
  <c r="O2285" i="5"/>
  <c r="N2285" i="5"/>
  <c r="M2285" i="5"/>
  <c r="L2285" i="5"/>
  <c r="K2285" i="5"/>
  <c r="J2285" i="5"/>
  <c r="I2285" i="5"/>
  <c r="H2285" i="5"/>
  <c r="V2284" i="5"/>
  <c r="O2284" i="5"/>
  <c r="N2284" i="5"/>
  <c r="M2284" i="5"/>
  <c r="L2284" i="5"/>
  <c r="K2284" i="5"/>
  <c r="J2284" i="5"/>
  <c r="I2284" i="5"/>
  <c r="H2284" i="5"/>
  <c r="V2283" i="5"/>
  <c r="U2283" i="5"/>
  <c r="T2283" i="5"/>
  <c r="S2283" i="5"/>
  <c r="R2283" i="5"/>
  <c r="Q2283" i="5"/>
  <c r="P2283" i="5"/>
  <c r="O2283" i="5"/>
  <c r="N2283" i="5"/>
  <c r="M2283" i="5"/>
  <c r="L2283" i="5"/>
  <c r="K2283" i="5"/>
  <c r="J2283" i="5"/>
  <c r="I2283" i="5"/>
  <c r="H2283" i="5"/>
  <c r="V2282" i="5"/>
  <c r="U2282" i="5"/>
  <c r="T2282" i="5"/>
  <c r="S2282" i="5"/>
  <c r="R2282" i="5"/>
  <c r="Q2282" i="5"/>
  <c r="P2282" i="5"/>
  <c r="O2282" i="5"/>
  <c r="N2282" i="5"/>
  <c r="M2282" i="5"/>
  <c r="L2282" i="5"/>
  <c r="K2282" i="5"/>
  <c r="J2282" i="5"/>
  <c r="I2282" i="5"/>
  <c r="H2282" i="5"/>
  <c r="V2281" i="5"/>
  <c r="U2281" i="5"/>
  <c r="T2281" i="5"/>
  <c r="S2281" i="5"/>
  <c r="R2281" i="5"/>
  <c r="Q2281" i="5"/>
  <c r="P2281" i="5"/>
  <c r="O2281" i="5"/>
  <c r="N2281" i="5"/>
  <c r="M2281" i="5"/>
  <c r="L2281" i="5"/>
  <c r="K2281" i="5"/>
  <c r="J2281" i="5"/>
  <c r="I2281" i="5"/>
  <c r="H2281" i="5"/>
  <c r="V2280" i="5"/>
  <c r="U2280" i="5"/>
  <c r="T2280" i="5"/>
  <c r="S2280" i="5"/>
  <c r="R2280" i="5"/>
  <c r="Q2280" i="5"/>
  <c r="P2280" i="5"/>
  <c r="O2280" i="5"/>
  <c r="N2280" i="5"/>
  <c r="M2280" i="5"/>
  <c r="L2280" i="5"/>
  <c r="K2280" i="5"/>
  <c r="J2280" i="5"/>
  <c r="I2280" i="5"/>
  <c r="H2280" i="5"/>
  <c r="V2279" i="5"/>
  <c r="U2279" i="5"/>
  <c r="T2279" i="5"/>
  <c r="S2279" i="5"/>
  <c r="R2279" i="5"/>
  <c r="Q2279" i="5"/>
  <c r="P2279" i="5"/>
  <c r="O2279" i="5"/>
  <c r="N2279" i="5"/>
  <c r="M2279" i="5"/>
  <c r="L2279" i="5"/>
  <c r="K2279" i="5"/>
  <c r="J2279" i="5"/>
  <c r="I2279" i="5"/>
  <c r="H2279" i="5"/>
  <c r="V2278" i="5"/>
  <c r="U2278" i="5"/>
  <c r="T2278" i="5"/>
  <c r="S2278" i="5"/>
  <c r="R2278" i="5"/>
  <c r="Q2278" i="5"/>
  <c r="P2278" i="5"/>
  <c r="O2278" i="5"/>
  <c r="N2278" i="5"/>
  <c r="M2278" i="5"/>
  <c r="L2278" i="5"/>
  <c r="K2278" i="5"/>
  <c r="J2278" i="5"/>
  <c r="I2278" i="5"/>
  <c r="H2278" i="5"/>
  <c r="V2277" i="5"/>
  <c r="U2277" i="5"/>
  <c r="T2277" i="5"/>
  <c r="S2277" i="5"/>
  <c r="R2277" i="5"/>
  <c r="Q2277" i="5"/>
  <c r="P2277" i="5"/>
  <c r="V2276" i="5"/>
  <c r="U2276" i="5"/>
  <c r="T2276" i="5"/>
  <c r="S2276" i="5"/>
  <c r="R2276" i="5"/>
  <c r="Q2276" i="5"/>
  <c r="P2276" i="5"/>
  <c r="U2275" i="5"/>
  <c r="T2275" i="5"/>
  <c r="S2275" i="5"/>
  <c r="R2275" i="5"/>
  <c r="Q2275" i="5"/>
  <c r="P2275" i="5"/>
  <c r="U2274" i="5"/>
  <c r="T2274" i="5"/>
  <c r="S2274" i="5"/>
  <c r="R2274" i="5"/>
  <c r="Q2274" i="5"/>
  <c r="P2274" i="5"/>
  <c r="O2274" i="5"/>
  <c r="N2274" i="5"/>
  <c r="M2274" i="5"/>
  <c r="L2274" i="5"/>
  <c r="K2274" i="5"/>
  <c r="J2274" i="5"/>
  <c r="I2274" i="5"/>
  <c r="H2274" i="5"/>
  <c r="V2272" i="5"/>
  <c r="U2270" i="5"/>
  <c r="T2270" i="5"/>
  <c r="S2270" i="5"/>
  <c r="R2270" i="5"/>
  <c r="Q2270" i="5"/>
  <c r="P2270" i="5"/>
  <c r="O2264" i="5"/>
  <c r="N2264" i="5"/>
  <c r="M2264" i="5"/>
  <c r="L2264" i="5"/>
  <c r="K2264" i="5"/>
  <c r="J2264" i="5"/>
  <c r="I2264" i="5"/>
  <c r="H2264" i="5"/>
  <c r="V2262" i="5"/>
  <c r="U2260" i="5"/>
  <c r="T2260" i="5"/>
  <c r="S2260" i="5"/>
  <c r="R2260" i="5"/>
  <c r="Q2260" i="5"/>
  <c r="P2260" i="5"/>
  <c r="O2254" i="5"/>
  <c r="N2254" i="5"/>
  <c r="M2254" i="5"/>
  <c r="L2254" i="5"/>
  <c r="K2254" i="5"/>
  <c r="J2254" i="5"/>
  <c r="I2254" i="5"/>
  <c r="H2254" i="5"/>
  <c r="V2252" i="5"/>
  <c r="U2250" i="5"/>
  <c r="T2250" i="5"/>
  <c r="S2250" i="5"/>
  <c r="R2250" i="5"/>
  <c r="Q2250" i="5"/>
  <c r="P2250" i="5"/>
  <c r="O2244" i="5"/>
  <c r="N2244" i="5"/>
  <c r="M2244" i="5"/>
  <c r="L2244" i="5"/>
  <c r="K2244" i="5"/>
  <c r="J2244" i="5"/>
  <c r="I2244" i="5"/>
  <c r="H2244" i="5"/>
  <c r="V2242" i="5"/>
  <c r="U2240" i="5"/>
  <c r="T2240" i="5"/>
  <c r="S2240" i="5"/>
  <c r="R2240" i="5"/>
  <c r="Q2240" i="5"/>
  <c r="P2240" i="5"/>
  <c r="O2234" i="5"/>
  <c r="N2234" i="5"/>
  <c r="M2234" i="5"/>
  <c r="L2234" i="5"/>
  <c r="K2234" i="5"/>
  <c r="J2234" i="5"/>
  <c r="I2234" i="5"/>
  <c r="H2234" i="5"/>
  <c r="V2232" i="5"/>
  <c r="U2230" i="5"/>
  <c r="T2230" i="5"/>
  <c r="S2230" i="5"/>
  <c r="R2230" i="5"/>
  <c r="Q2230" i="5"/>
  <c r="P2230" i="5"/>
  <c r="O2224" i="5"/>
  <c r="N2224" i="5"/>
  <c r="M2224" i="5"/>
  <c r="L2224" i="5"/>
  <c r="K2224" i="5"/>
  <c r="J2224" i="5"/>
  <c r="I2224" i="5"/>
  <c r="H2224" i="5"/>
  <c r="V2222" i="5"/>
  <c r="U2220" i="5"/>
  <c r="T2220" i="5"/>
  <c r="S2220" i="5"/>
  <c r="R2220" i="5"/>
  <c r="Q2220" i="5"/>
  <c r="P2220" i="5"/>
  <c r="O2214" i="5"/>
  <c r="N2214" i="5"/>
  <c r="M2214" i="5"/>
  <c r="L2214" i="5"/>
  <c r="K2214" i="5"/>
  <c r="J2214" i="5"/>
  <c r="I2214" i="5"/>
  <c r="H2214" i="5"/>
  <c r="V2212" i="5"/>
  <c r="U2210" i="5"/>
  <c r="T2210" i="5"/>
  <c r="S2210" i="5"/>
  <c r="R2210" i="5"/>
  <c r="Q2210" i="5"/>
  <c r="P2210" i="5"/>
  <c r="O2204" i="5"/>
  <c r="N2204" i="5"/>
  <c r="M2204" i="5"/>
  <c r="L2204" i="5"/>
  <c r="K2204" i="5"/>
  <c r="J2204" i="5"/>
  <c r="I2204" i="5"/>
  <c r="H2204" i="5"/>
  <c r="V2202" i="5"/>
  <c r="U2200" i="5"/>
  <c r="T2200" i="5"/>
  <c r="S2200" i="5"/>
  <c r="R2200" i="5"/>
  <c r="Q2200" i="5"/>
  <c r="P2200" i="5"/>
  <c r="O2194" i="5"/>
  <c r="N2194" i="5"/>
  <c r="M2194" i="5"/>
  <c r="L2194" i="5"/>
  <c r="K2194" i="5"/>
  <c r="J2194" i="5"/>
  <c r="I2194" i="5"/>
  <c r="H2194" i="5"/>
  <c r="V2192" i="5"/>
  <c r="U2190" i="5"/>
  <c r="T2190" i="5"/>
  <c r="S2190" i="5"/>
  <c r="R2190" i="5"/>
  <c r="Q2190" i="5"/>
  <c r="P2190" i="5"/>
  <c r="O2187" i="5"/>
  <c r="N2187" i="5"/>
  <c r="M2187" i="5"/>
  <c r="L2187" i="5"/>
  <c r="K2187" i="5"/>
  <c r="J2187" i="5"/>
  <c r="I2187" i="5"/>
  <c r="H2187" i="5"/>
  <c r="O2186" i="5"/>
  <c r="N2186" i="5"/>
  <c r="M2186" i="5"/>
  <c r="L2186" i="5"/>
  <c r="K2186" i="5"/>
  <c r="J2186" i="5"/>
  <c r="I2186" i="5"/>
  <c r="H2186" i="5"/>
  <c r="V2185" i="5"/>
  <c r="O2185" i="5"/>
  <c r="N2185" i="5"/>
  <c r="M2185" i="5"/>
  <c r="L2185" i="5"/>
  <c r="K2185" i="5"/>
  <c r="J2185" i="5"/>
  <c r="I2185" i="5"/>
  <c r="H2185" i="5"/>
  <c r="V2184" i="5"/>
  <c r="O2184" i="5"/>
  <c r="N2184" i="5"/>
  <c r="M2184" i="5"/>
  <c r="L2184" i="5"/>
  <c r="K2184" i="5"/>
  <c r="J2184" i="5"/>
  <c r="I2184" i="5"/>
  <c r="H2184" i="5"/>
  <c r="V2183" i="5"/>
  <c r="U2183" i="5"/>
  <c r="T2183" i="5"/>
  <c r="S2183" i="5"/>
  <c r="R2183" i="5"/>
  <c r="Q2183" i="5"/>
  <c r="P2183" i="5"/>
  <c r="O2183" i="5"/>
  <c r="N2183" i="5"/>
  <c r="M2183" i="5"/>
  <c r="L2183" i="5"/>
  <c r="K2183" i="5"/>
  <c r="J2183" i="5"/>
  <c r="I2183" i="5"/>
  <c r="H2183" i="5"/>
  <c r="V2182" i="5"/>
  <c r="U2182" i="5"/>
  <c r="T2182" i="5"/>
  <c r="S2182" i="5"/>
  <c r="R2182" i="5"/>
  <c r="Q2182" i="5"/>
  <c r="P2182" i="5"/>
  <c r="O2182" i="5"/>
  <c r="N2182" i="5"/>
  <c r="M2182" i="5"/>
  <c r="L2182" i="5"/>
  <c r="K2182" i="5"/>
  <c r="J2182" i="5"/>
  <c r="I2182" i="5"/>
  <c r="H2182" i="5"/>
  <c r="V2181" i="5"/>
  <c r="U2181" i="5"/>
  <c r="T2181" i="5"/>
  <c r="S2181" i="5"/>
  <c r="R2181" i="5"/>
  <c r="Q2181" i="5"/>
  <c r="P2181" i="5"/>
  <c r="O2181" i="5"/>
  <c r="N2181" i="5"/>
  <c r="M2181" i="5"/>
  <c r="L2181" i="5"/>
  <c r="K2181" i="5"/>
  <c r="J2181" i="5"/>
  <c r="I2181" i="5"/>
  <c r="H2181" i="5"/>
  <c r="V2180" i="5"/>
  <c r="U2180" i="5"/>
  <c r="T2180" i="5"/>
  <c r="S2180" i="5"/>
  <c r="R2180" i="5"/>
  <c r="Q2180" i="5"/>
  <c r="P2180" i="5"/>
  <c r="O2180" i="5"/>
  <c r="N2180" i="5"/>
  <c r="M2180" i="5"/>
  <c r="L2180" i="5"/>
  <c r="K2180" i="5"/>
  <c r="J2180" i="5"/>
  <c r="I2180" i="5"/>
  <c r="H2180" i="5"/>
  <c r="V2179" i="5"/>
  <c r="U2179" i="5"/>
  <c r="T2179" i="5"/>
  <c r="S2179" i="5"/>
  <c r="R2179" i="5"/>
  <c r="Q2179" i="5"/>
  <c r="P2179" i="5"/>
  <c r="O2179" i="5"/>
  <c r="N2179" i="5"/>
  <c r="M2179" i="5"/>
  <c r="L2179" i="5"/>
  <c r="K2179" i="5"/>
  <c r="J2179" i="5"/>
  <c r="I2179" i="5"/>
  <c r="H2179" i="5"/>
  <c r="V2178" i="5"/>
  <c r="U2178" i="5"/>
  <c r="T2178" i="5"/>
  <c r="S2178" i="5"/>
  <c r="R2178" i="5"/>
  <c r="Q2178" i="5"/>
  <c r="P2178" i="5"/>
  <c r="O2178" i="5"/>
  <c r="N2178" i="5"/>
  <c r="M2178" i="5"/>
  <c r="L2178" i="5"/>
  <c r="K2178" i="5"/>
  <c r="J2178" i="5"/>
  <c r="I2178" i="5"/>
  <c r="H2178" i="5"/>
  <c r="V2177" i="5"/>
  <c r="U2177" i="5"/>
  <c r="T2177" i="5"/>
  <c r="S2177" i="5"/>
  <c r="R2177" i="5"/>
  <c r="Q2177" i="5"/>
  <c r="P2177" i="5"/>
  <c r="V2176" i="5"/>
  <c r="U2176" i="5"/>
  <c r="T2176" i="5"/>
  <c r="S2176" i="5"/>
  <c r="R2176" i="5"/>
  <c r="Q2176" i="5"/>
  <c r="P2176" i="5"/>
  <c r="U2175" i="5"/>
  <c r="T2175" i="5"/>
  <c r="S2175" i="5"/>
  <c r="R2175" i="5"/>
  <c r="Q2175" i="5"/>
  <c r="P2175" i="5"/>
  <c r="U2174" i="5"/>
  <c r="T2174" i="5"/>
  <c r="S2174" i="5"/>
  <c r="R2174" i="5"/>
  <c r="Q2174" i="5"/>
  <c r="P2174" i="5"/>
  <c r="O2174" i="5"/>
  <c r="N2174" i="5"/>
  <c r="M2174" i="5"/>
  <c r="L2174" i="5"/>
  <c r="K2174" i="5"/>
  <c r="J2174" i="5"/>
  <c r="I2174" i="5"/>
  <c r="H2174" i="5"/>
  <c r="V2172" i="5"/>
  <c r="U2170" i="5"/>
  <c r="T2170" i="5"/>
  <c r="S2170" i="5"/>
  <c r="R2170" i="5"/>
  <c r="Q2170" i="5"/>
  <c r="P2170" i="5"/>
  <c r="O2164" i="5"/>
  <c r="N2164" i="5"/>
  <c r="M2164" i="5"/>
  <c r="L2164" i="5"/>
  <c r="K2164" i="5"/>
  <c r="J2164" i="5"/>
  <c r="I2164" i="5"/>
  <c r="H2164" i="5"/>
  <c r="V2162" i="5"/>
  <c r="U2160" i="5"/>
  <c r="T2160" i="5"/>
  <c r="S2160" i="5"/>
  <c r="R2160" i="5"/>
  <c r="Q2160" i="5"/>
  <c r="P2160" i="5"/>
  <c r="O2154" i="5"/>
  <c r="N2154" i="5"/>
  <c r="M2154" i="5"/>
  <c r="L2154" i="5"/>
  <c r="K2154" i="5"/>
  <c r="J2154" i="5"/>
  <c r="I2154" i="5"/>
  <c r="H2154" i="5"/>
  <c r="V2152" i="5"/>
  <c r="U2150" i="5"/>
  <c r="T2150" i="5"/>
  <c r="S2150" i="5"/>
  <c r="R2150" i="5"/>
  <c r="Q2150" i="5"/>
  <c r="P2150" i="5"/>
  <c r="O2144" i="5"/>
  <c r="N2144" i="5"/>
  <c r="M2144" i="5"/>
  <c r="L2144" i="5"/>
  <c r="K2144" i="5"/>
  <c r="J2144" i="5"/>
  <c r="I2144" i="5"/>
  <c r="H2144" i="5"/>
  <c r="V2142" i="5"/>
  <c r="U2140" i="5"/>
  <c r="T2140" i="5"/>
  <c r="S2140" i="5"/>
  <c r="R2140" i="5"/>
  <c r="Q2140" i="5"/>
  <c r="P2140" i="5"/>
  <c r="O2134" i="5"/>
  <c r="N2134" i="5"/>
  <c r="M2134" i="5"/>
  <c r="L2134" i="5"/>
  <c r="K2134" i="5"/>
  <c r="J2134" i="5"/>
  <c r="I2134" i="5"/>
  <c r="H2134" i="5"/>
  <c r="V2132" i="5"/>
  <c r="U2130" i="5"/>
  <c r="T2130" i="5"/>
  <c r="S2130" i="5"/>
  <c r="R2130" i="5"/>
  <c r="Q2130" i="5"/>
  <c r="P2130" i="5"/>
  <c r="O2124" i="5"/>
  <c r="N2124" i="5"/>
  <c r="M2124" i="5"/>
  <c r="L2124" i="5"/>
  <c r="K2124" i="5"/>
  <c r="J2124" i="5"/>
  <c r="I2124" i="5"/>
  <c r="H2124" i="5"/>
  <c r="V2122" i="5"/>
  <c r="U2120" i="5"/>
  <c r="T2120" i="5"/>
  <c r="S2120" i="5"/>
  <c r="R2120" i="5"/>
  <c r="Q2120" i="5"/>
  <c r="P2120" i="5"/>
  <c r="O2114" i="5"/>
  <c r="N2114" i="5"/>
  <c r="M2114" i="5"/>
  <c r="L2114" i="5"/>
  <c r="K2114" i="5"/>
  <c r="J2114" i="5"/>
  <c r="I2114" i="5"/>
  <c r="H2114" i="5"/>
  <c r="V2112" i="5"/>
  <c r="U2110" i="5"/>
  <c r="T2110" i="5"/>
  <c r="S2110" i="5"/>
  <c r="R2110" i="5"/>
  <c r="Q2110" i="5"/>
  <c r="P2110" i="5"/>
  <c r="O2104" i="5"/>
  <c r="N2104" i="5"/>
  <c r="M2104" i="5"/>
  <c r="L2104" i="5"/>
  <c r="K2104" i="5"/>
  <c r="J2104" i="5"/>
  <c r="I2104" i="5"/>
  <c r="H2104" i="5"/>
  <c r="V2102" i="5"/>
  <c r="U2100" i="5"/>
  <c r="T2100" i="5"/>
  <c r="S2100" i="5"/>
  <c r="R2100" i="5"/>
  <c r="Q2100" i="5"/>
  <c r="P2100" i="5"/>
  <c r="O2094" i="5"/>
  <c r="N2094" i="5"/>
  <c r="M2094" i="5"/>
  <c r="L2094" i="5"/>
  <c r="K2094" i="5"/>
  <c r="J2094" i="5"/>
  <c r="I2094" i="5"/>
  <c r="H2094" i="5"/>
  <c r="V2092" i="5"/>
  <c r="U2090" i="5"/>
  <c r="T2090" i="5"/>
  <c r="S2090" i="5"/>
  <c r="R2090" i="5"/>
  <c r="Q2090" i="5"/>
  <c r="P2090" i="5"/>
  <c r="O2087" i="5"/>
  <c r="N2087" i="5"/>
  <c r="M2087" i="5"/>
  <c r="L2087" i="5"/>
  <c r="K2087" i="5"/>
  <c r="J2087" i="5"/>
  <c r="I2087" i="5"/>
  <c r="H2087" i="5"/>
  <c r="O2086" i="5"/>
  <c r="N2086" i="5"/>
  <c r="M2086" i="5"/>
  <c r="L2086" i="5"/>
  <c r="K2086" i="5"/>
  <c r="J2086" i="5"/>
  <c r="I2086" i="5"/>
  <c r="H2086" i="5"/>
  <c r="V2085" i="5"/>
  <c r="O2085" i="5"/>
  <c r="N2085" i="5"/>
  <c r="M2085" i="5"/>
  <c r="L2085" i="5"/>
  <c r="K2085" i="5"/>
  <c r="J2085" i="5"/>
  <c r="I2085" i="5"/>
  <c r="H2085" i="5"/>
  <c r="V2084" i="5"/>
  <c r="O2084" i="5"/>
  <c r="N2084" i="5"/>
  <c r="M2084" i="5"/>
  <c r="L2084" i="5"/>
  <c r="K2084" i="5"/>
  <c r="J2084" i="5"/>
  <c r="I2084" i="5"/>
  <c r="H2084" i="5"/>
  <c r="V2083" i="5"/>
  <c r="U2083" i="5"/>
  <c r="T2083" i="5"/>
  <c r="S2083" i="5"/>
  <c r="R2083" i="5"/>
  <c r="Q2083" i="5"/>
  <c r="P2083" i="5"/>
  <c r="O2083" i="5"/>
  <c r="N2083" i="5"/>
  <c r="M2083" i="5"/>
  <c r="L2083" i="5"/>
  <c r="K2083" i="5"/>
  <c r="J2083" i="5"/>
  <c r="I2083" i="5"/>
  <c r="H2083" i="5"/>
  <c r="V2082" i="5"/>
  <c r="U2082" i="5"/>
  <c r="T2082" i="5"/>
  <c r="S2082" i="5"/>
  <c r="R2082" i="5"/>
  <c r="Q2082" i="5"/>
  <c r="P2082" i="5"/>
  <c r="O2082" i="5"/>
  <c r="N2082" i="5"/>
  <c r="M2082" i="5"/>
  <c r="L2082" i="5"/>
  <c r="K2082" i="5"/>
  <c r="J2082" i="5"/>
  <c r="I2082" i="5"/>
  <c r="H2082" i="5"/>
  <c r="V2081" i="5"/>
  <c r="U2081" i="5"/>
  <c r="T2081" i="5"/>
  <c r="S2081" i="5"/>
  <c r="R2081" i="5"/>
  <c r="Q2081" i="5"/>
  <c r="P2081" i="5"/>
  <c r="O2081" i="5"/>
  <c r="N2081" i="5"/>
  <c r="M2081" i="5"/>
  <c r="L2081" i="5"/>
  <c r="K2081" i="5"/>
  <c r="J2081" i="5"/>
  <c r="I2081" i="5"/>
  <c r="H2081" i="5"/>
  <c r="V2080" i="5"/>
  <c r="U2080" i="5"/>
  <c r="T2080" i="5"/>
  <c r="S2080" i="5"/>
  <c r="R2080" i="5"/>
  <c r="Q2080" i="5"/>
  <c r="P2080" i="5"/>
  <c r="O2080" i="5"/>
  <c r="N2080" i="5"/>
  <c r="M2080" i="5"/>
  <c r="L2080" i="5"/>
  <c r="K2080" i="5"/>
  <c r="J2080" i="5"/>
  <c r="I2080" i="5"/>
  <c r="H2080" i="5"/>
  <c r="V2079" i="5"/>
  <c r="U2079" i="5"/>
  <c r="T2079" i="5"/>
  <c r="S2079" i="5"/>
  <c r="R2079" i="5"/>
  <c r="Q2079" i="5"/>
  <c r="P2079" i="5"/>
  <c r="O2079" i="5"/>
  <c r="N2079" i="5"/>
  <c r="M2079" i="5"/>
  <c r="L2079" i="5"/>
  <c r="K2079" i="5"/>
  <c r="J2079" i="5"/>
  <c r="I2079" i="5"/>
  <c r="H2079" i="5"/>
  <c r="V2078" i="5"/>
  <c r="U2078" i="5"/>
  <c r="T2078" i="5"/>
  <c r="S2078" i="5"/>
  <c r="R2078" i="5"/>
  <c r="Q2078" i="5"/>
  <c r="P2078" i="5"/>
  <c r="O2078" i="5"/>
  <c r="N2078" i="5"/>
  <c r="M2078" i="5"/>
  <c r="L2078" i="5"/>
  <c r="K2078" i="5"/>
  <c r="J2078" i="5"/>
  <c r="I2078" i="5"/>
  <c r="H2078" i="5"/>
  <c r="V2077" i="5"/>
  <c r="U2077" i="5"/>
  <c r="T2077" i="5"/>
  <c r="S2077" i="5"/>
  <c r="R2077" i="5"/>
  <c r="Q2077" i="5"/>
  <c r="P2077" i="5"/>
  <c r="V2076" i="5"/>
  <c r="U2076" i="5"/>
  <c r="T2076" i="5"/>
  <c r="S2076" i="5"/>
  <c r="R2076" i="5"/>
  <c r="Q2076" i="5"/>
  <c r="P2076" i="5"/>
  <c r="U2075" i="5"/>
  <c r="T2075" i="5"/>
  <c r="S2075" i="5"/>
  <c r="R2075" i="5"/>
  <c r="Q2075" i="5"/>
  <c r="P2075" i="5"/>
  <c r="U2074" i="5"/>
  <c r="T2074" i="5"/>
  <c r="S2074" i="5"/>
  <c r="R2074" i="5"/>
  <c r="Q2074" i="5"/>
  <c r="P2074" i="5"/>
  <c r="O2074" i="5"/>
  <c r="N2074" i="5"/>
  <c r="M2074" i="5"/>
  <c r="L2074" i="5"/>
  <c r="K2074" i="5"/>
  <c r="J2074" i="5"/>
  <c r="I2074" i="5"/>
  <c r="H2074" i="5"/>
  <c r="V2072" i="5"/>
  <c r="U2070" i="5"/>
  <c r="T2070" i="5"/>
  <c r="S2070" i="5"/>
  <c r="R2070" i="5"/>
  <c r="Q2070" i="5"/>
  <c r="P2070" i="5"/>
  <c r="O2064" i="5"/>
  <c r="N2064" i="5"/>
  <c r="M2064" i="5"/>
  <c r="L2064" i="5"/>
  <c r="K2064" i="5"/>
  <c r="J2064" i="5"/>
  <c r="I2064" i="5"/>
  <c r="H2064" i="5"/>
  <c r="V2062" i="5"/>
  <c r="U2060" i="5"/>
  <c r="T2060" i="5"/>
  <c r="S2060" i="5"/>
  <c r="R2060" i="5"/>
  <c r="Q2060" i="5"/>
  <c r="P2060" i="5"/>
  <c r="O2054" i="5"/>
  <c r="N2054" i="5"/>
  <c r="M2054" i="5"/>
  <c r="L2054" i="5"/>
  <c r="K2054" i="5"/>
  <c r="J2054" i="5"/>
  <c r="I2054" i="5"/>
  <c r="H2054" i="5"/>
  <c r="V2052" i="5"/>
  <c r="U2050" i="5"/>
  <c r="T2050" i="5"/>
  <c r="S2050" i="5"/>
  <c r="R2050" i="5"/>
  <c r="Q2050" i="5"/>
  <c r="P2050" i="5"/>
  <c r="O2044" i="5"/>
  <c r="N2044" i="5"/>
  <c r="M2044" i="5"/>
  <c r="L2044" i="5"/>
  <c r="K2044" i="5"/>
  <c r="J2044" i="5"/>
  <c r="I2044" i="5"/>
  <c r="H2044" i="5"/>
  <c r="V2042" i="5"/>
  <c r="U2040" i="5"/>
  <c r="T2040" i="5"/>
  <c r="S2040" i="5"/>
  <c r="R2040" i="5"/>
  <c r="Q2040" i="5"/>
  <c r="P2040" i="5"/>
  <c r="O2034" i="5"/>
  <c r="N2034" i="5"/>
  <c r="M2034" i="5"/>
  <c r="L2034" i="5"/>
  <c r="K2034" i="5"/>
  <c r="J2034" i="5"/>
  <c r="I2034" i="5"/>
  <c r="H2034" i="5"/>
  <c r="V2032" i="5"/>
  <c r="U2030" i="5"/>
  <c r="T2030" i="5"/>
  <c r="S2030" i="5"/>
  <c r="R2030" i="5"/>
  <c r="Q2030" i="5"/>
  <c r="P2030" i="5"/>
  <c r="O2024" i="5"/>
  <c r="N2024" i="5"/>
  <c r="M2024" i="5"/>
  <c r="L2024" i="5"/>
  <c r="K2024" i="5"/>
  <c r="J2024" i="5"/>
  <c r="I2024" i="5"/>
  <c r="H2024" i="5"/>
  <c r="V2022" i="5"/>
  <c r="U2020" i="5"/>
  <c r="T2020" i="5"/>
  <c r="S2020" i="5"/>
  <c r="R2020" i="5"/>
  <c r="Q2020" i="5"/>
  <c r="P2020" i="5"/>
  <c r="O2014" i="5"/>
  <c r="N2014" i="5"/>
  <c r="M2014" i="5"/>
  <c r="L2014" i="5"/>
  <c r="K2014" i="5"/>
  <c r="J2014" i="5"/>
  <c r="I2014" i="5"/>
  <c r="H2014" i="5"/>
  <c r="V2012" i="5"/>
  <c r="U2010" i="5"/>
  <c r="T2010" i="5"/>
  <c r="S2010" i="5"/>
  <c r="R2010" i="5"/>
  <c r="Q2010" i="5"/>
  <c r="P2010" i="5"/>
  <c r="G2704" i="5" a="1"/>
  <c r="G2703" i="5" a="1"/>
  <c r="G2702" i="5" a="1"/>
  <c r="G2701" i="5" a="1"/>
  <c r="G2700" i="5" a="1"/>
  <c r="G2699" i="5" a="1"/>
  <c r="G2698" i="5" a="1"/>
  <c r="G2697" i="5" a="1"/>
  <c r="G2696" i="5" a="1"/>
  <c r="G2695" i="5" a="1"/>
  <c r="G2694" i="5" a="1"/>
  <c r="G2693" i="5" a="1"/>
  <c r="G2692" i="5" a="1"/>
  <c r="G2691" i="5" a="1"/>
  <c r="G2690" i="5" a="1"/>
  <c r="G2689" i="5" a="1"/>
  <c r="G2688" i="5" a="1"/>
  <c r="G2687" i="5" a="1"/>
  <c r="G2686" i="5" a="1"/>
  <c r="G2685" i="5" a="1"/>
  <c r="G2684" i="5" a="1"/>
  <c r="G2683" i="5" a="1"/>
  <c r="G2682" i="5" a="1"/>
  <c r="G2681" i="5" a="1"/>
  <c r="G2680" i="5" a="1"/>
  <c r="G2679" i="5" a="1"/>
  <c r="G2678" i="5" a="1"/>
  <c r="G2677" i="5" a="1"/>
  <c r="G2676" i="5" a="1"/>
  <c r="G2675" i="5" a="1"/>
  <c r="G2674" i="5" a="1"/>
  <c r="G2673" i="5" a="1"/>
  <c r="G2672" i="5" a="1"/>
  <c r="G2671" i="5" a="1"/>
  <c r="G2670" i="5" a="1"/>
  <c r="G2669" i="5" a="1"/>
  <c r="G2668" i="5" a="1"/>
  <c r="G2667" i="5" a="1"/>
  <c r="G2666" i="5" a="1"/>
  <c r="G2665" i="5" a="1"/>
  <c r="G2664" i="5" a="1"/>
  <c r="G2663" i="5" a="1"/>
  <c r="G2662" i="5" a="1"/>
  <c r="G2661" i="5" a="1"/>
  <c r="G2660" i="5" a="1"/>
  <c r="G2659" i="5" a="1"/>
  <c r="G2658" i="5" a="1"/>
  <c r="G2657" i="5" a="1"/>
  <c r="G2656" i="5" a="1"/>
  <c r="G2655" i="5" a="1"/>
  <c r="G2654" i="5" a="1"/>
  <c r="G2653" i="5" a="1"/>
  <c r="G2652" i="5" a="1"/>
  <c r="G2651" i="5" a="1"/>
  <c r="G2650" i="5" a="1"/>
  <c r="G2649" i="5" a="1"/>
  <c r="G2648" i="5" a="1"/>
  <c r="G2647" i="5" a="1"/>
  <c r="G2646" i="5" a="1"/>
  <c r="G2645" i="5" a="1"/>
  <c r="G2644" i="5" a="1"/>
  <c r="G2643" i="5" a="1"/>
  <c r="G2642" i="5" a="1"/>
  <c r="G2641" i="5" a="1"/>
  <c r="G2640" i="5" a="1"/>
  <c r="G2639" i="5" a="1"/>
  <c r="G2638" i="5" a="1"/>
  <c r="G2637" i="5" a="1"/>
  <c r="G2636" i="5" a="1"/>
  <c r="G2635" i="5" a="1"/>
  <c r="G2634" i="5" a="1"/>
  <c r="G2633" i="5" a="1"/>
  <c r="G2632" i="5" a="1"/>
  <c r="G2631" i="5" a="1"/>
  <c r="G2630" i="5" a="1"/>
  <c r="G2629" i="5" a="1"/>
  <c r="G2628" i="5" a="1"/>
  <c r="G2627" i="5" a="1"/>
  <c r="G2626" i="5" a="1"/>
  <c r="G2625" i="5" a="1"/>
  <c r="G2624" i="5" a="1"/>
  <c r="G2623" i="5" a="1"/>
  <c r="G2622" i="5" a="1"/>
  <c r="G2621" i="5" a="1"/>
  <c r="G2620" i="5" a="1"/>
  <c r="G2619" i="5" a="1"/>
  <c r="G2618" i="5" a="1"/>
  <c r="G2617" i="5" a="1"/>
  <c r="G2616" i="5" a="1"/>
  <c r="G2615" i="5" a="1"/>
  <c r="G2614" i="5" a="1"/>
  <c r="G2613" i="5" a="1"/>
  <c r="G2612" i="5" a="1"/>
  <c r="G2611" i="5" a="1"/>
  <c r="G2610" i="5" a="1"/>
  <c r="G2609" i="5" a="1"/>
  <c r="G2608" i="5" a="1"/>
  <c r="G2607" i="5" a="1"/>
  <c r="G2606" i="5" a="1"/>
  <c r="G2605" i="5" a="1"/>
  <c r="G2604" i="5" a="1"/>
  <c r="G2603" i="5" a="1"/>
  <c r="G2602" i="5" a="1"/>
  <c r="G2601" i="5" a="1"/>
  <c r="G2600" i="5" a="1"/>
  <c r="G2599" i="5" a="1"/>
  <c r="G2598" i="5" a="1"/>
  <c r="G2597" i="5" a="1"/>
  <c r="G2596" i="5" a="1"/>
  <c r="G2595" i="5" a="1"/>
  <c r="G2594" i="5" a="1"/>
  <c r="G2593" i="5" a="1"/>
  <c r="G2592" i="5" a="1"/>
  <c r="G2591" i="5" a="1"/>
  <c r="G2590" i="5" a="1"/>
  <c r="G2589" i="5" a="1"/>
  <c r="G2588" i="5" a="1"/>
  <c r="G2587" i="5" a="1"/>
  <c r="G2586" i="5" a="1"/>
  <c r="G2585" i="5" a="1"/>
  <c r="G2584" i="5" a="1"/>
  <c r="G2583" i="5" a="1"/>
  <c r="G2582" i="5" a="1"/>
  <c r="G2581" i="5" a="1"/>
  <c r="G2580" i="5" a="1"/>
  <c r="G2579" i="5" a="1"/>
  <c r="G2578" i="5" a="1"/>
  <c r="G2577" i="5" a="1"/>
  <c r="G2576" i="5" a="1"/>
  <c r="G2575" i="5" a="1"/>
  <c r="G2574" i="5" a="1"/>
  <c r="G2573" i="5" a="1"/>
  <c r="G2572" i="5" a="1"/>
  <c r="G2571" i="5" a="1"/>
  <c r="G2570" i="5" a="1"/>
  <c r="G2569" i="5" a="1"/>
  <c r="G2568" i="5" a="1"/>
  <c r="G2567" i="5" a="1"/>
  <c r="G2566" i="5" a="1"/>
  <c r="G2565" i="5" a="1"/>
  <c r="G2564" i="5" a="1"/>
  <c r="G2563" i="5" a="1"/>
  <c r="G2562" i="5" a="1"/>
  <c r="G2561" i="5" a="1"/>
  <c r="G2560" i="5" a="1"/>
  <c r="G2559" i="5" a="1"/>
  <c r="G2558" i="5" a="1"/>
  <c r="G2557" i="5" a="1"/>
  <c r="G2556" i="5" a="1"/>
  <c r="G2555" i="5" a="1"/>
  <c r="G2554" i="5" a="1"/>
  <c r="G2553" i="5" a="1"/>
  <c r="G2552" i="5" a="1"/>
  <c r="G2551" i="5" a="1"/>
  <c r="G2550" i="5" a="1"/>
  <c r="G2549" i="5" a="1"/>
  <c r="G2548" i="5" a="1"/>
  <c r="G2547" i="5" a="1"/>
  <c r="G2546" i="5" a="1"/>
  <c r="G2545" i="5" a="1"/>
  <c r="G2544" i="5" a="1"/>
  <c r="G2543" i="5" a="1"/>
  <c r="G2542" i="5" a="1"/>
  <c r="G2541" i="5" a="1"/>
  <c r="G2540" i="5" a="1"/>
  <c r="G2539" i="5" a="1"/>
  <c r="G2538" i="5" a="1"/>
  <c r="G2537" i="5" a="1"/>
  <c r="G2536" i="5" a="1"/>
  <c r="G2535" i="5" a="1"/>
  <c r="G2534" i="5" a="1"/>
  <c r="G2533" i="5" a="1"/>
  <c r="G2532" i="5" a="1"/>
  <c r="G2531" i="5" a="1"/>
  <c r="G2530" i="5" a="1"/>
  <c r="G2529" i="5" a="1"/>
  <c r="G2528" i="5" a="1"/>
  <c r="G2527" i="5" a="1"/>
  <c r="G2526" i="5" a="1"/>
  <c r="G2525" i="5" a="1"/>
  <c r="G2524" i="5" a="1"/>
  <c r="G2523" i="5" a="1"/>
  <c r="G2522" i="5" a="1"/>
  <c r="G2521" i="5" a="1"/>
  <c r="G2520" i="5" a="1"/>
  <c r="G2519" i="5" a="1"/>
  <c r="G2518" i="5" a="1"/>
  <c r="G2517" i="5" a="1"/>
  <c r="G2516" i="5" a="1"/>
  <c r="G2515" i="5" a="1"/>
  <c r="G2514" i="5" a="1"/>
  <c r="G2513" i="5" a="1"/>
  <c r="G2512" i="5" a="1"/>
  <c r="G2511" i="5" a="1"/>
  <c r="G2510" i="5" a="1"/>
  <c r="G2509" i="5" a="1"/>
  <c r="G2508" i="5" a="1"/>
  <c r="G2507" i="5" a="1"/>
  <c r="G2506" i="5" a="1"/>
  <c r="G2505" i="5" a="1"/>
  <c r="G2504" i="5" a="1"/>
  <c r="G2503" i="5" a="1"/>
  <c r="G2502" i="5" a="1"/>
  <c r="G2501" i="5" a="1"/>
  <c r="G2500" i="5" a="1"/>
  <c r="G2499" i="5" a="1"/>
  <c r="G2498" i="5" a="1"/>
  <c r="G2497" i="5" a="1"/>
  <c r="G2496" i="5" a="1"/>
  <c r="G2495" i="5" a="1"/>
  <c r="G2494" i="5" a="1"/>
  <c r="G2493" i="5" a="1"/>
  <c r="G2492" i="5" a="1"/>
  <c r="G2491" i="5" a="1"/>
  <c r="G2490" i="5" a="1"/>
  <c r="G2489" i="5" a="1"/>
  <c r="G2488" i="5" a="1"/>
  <c r="G2487" i="5" a="1"/>
  <c r="G2486" i="5" a="1"/>
  <c r="G2485" i="5" a="1"/>
  <c r="G2484" i="5" a="1"/>
  <c r="G2483" i="5" a="1"/>
  <c r="G2482" i="5" a="1"/>
  <c r="G2481" i="5" a="1"/>
  <c r="G2480" i="5" a="1"/>
  <c r="G2479" i="5" a="1"/>
  <c r="G2478" i="5" a="1"/>
  <c r="G2477" i="5" a="1"/>
  <c r="G2476" i="5" a="1"/>
  <c r="G2475" i="5" a="1"/>
  <c r="G2474" i="5" a="1"/>
  <c r="G2473" i="5" a="1"/>
  <c r="G2472" i="5" a="1"/>
  <c r="G2471" i="5" a="1"/>
  <c r="G2470" i="5" a="1"/>
  <c r="G2469" i="5" a="1"/>
  <c r="G2468" i="5" a="1"/>
  <c r="G2467" i="5" a="1"/>
  <c r="G2466" i="5" a="1"/>
  <c r="G2465" i="5" a="1"/>
  <c r="G2464" i="5" a="1"/>
  <c r="G2463" i="5" a="1"/>
  <c r="G2462" i="5" a="1"/>
  <c r="G2461" i="5" a="1"/>
  <c r="G2460" i="5" a="1"/>
  <c r="G2459" i="5" a="1"/>
  <c r="G2458" i="5" a="1"/>
  <c r="G2457" i="5" a="1"/>
  <c r="G2456" i="5" a="1"/>
  <c r="G2455" i="5" a="1"/>
  <c r="G2454" i="5" a="1"/>
  <c r="G2453" i="5" a="1"/>
  <c r="G2452" i="5" a="1"/>
  <c r="G2451" i="5" a="1"/>
  <c r="G2450" i="5" a="1"/>
  <c r="G2449" i="5" a="1"/>
  <c r="G2448" i="5" a="1"/>
  <c r="G2447" i="5" a="1"/>
  <c r="G2446" i="5" a="1"/>
  <c r="G2445" i="5" a="1"/>
  <c r="G2444" i="5" a="1"/>
  <c r="G2443" i="5" a="1"/>
  <c r="G2442" i="5" a="1"/>
  <c r="G2441" i="5" a="1"/>
  <c r="G2440" i="5" a="1"/>
  <c r="G2439" i="5" a="1"/>
  <c r="G2438" i="5" a="1"/>
  <c r="G2437" i="5" a="1"/>
  <c r="G2436" i="5" a="1"/>
  <c r="G2435" i="5" a="1"/>
  <c r="G2434" i="5" a="1"/>
  <c r="G2433" i="5" a="1"/>
  <c r="G2432" i="5" a="1"/>
  <c r="G2431" i="5" a="1"/>
  <c r="G2430" i="5" a="1"/>
  <c r="G2429" i="5" a="1"/>
  <c r="G2428" i="5" a="1"/>
  <c r="G2427" i="5" a="1"/>
  <c r="G2426" i="5" a="1"/>
  <c r="G2425" i="5" a="1"/>
  <c r="G2424" i="5" a="1"/>
  <c r="G2423" i="5" a="1"/>
  <c r="G2422" i="5" a="1"/>
  <c r="G2421" i="5" a="1"/>
  <c r="G2420" i="5" a="1"/>
  <c r="G2419" i="5" a="1"/>
  <c r="G2418" i="5" a="1"/>
  <c r="G2417" i="5" a="1"/>
  <c r="G2416" i="5" a="1"/>
  <c r="G2415" i="5" a="1"/>
  <c r="G2414" i="5" a="1"/>
  <c r="G2413" i="5" a="1"/>
  <c r="G2412" i="5" a="1"/>
  <c r="G2411" i="5" a="1"/>
  <c r="G2410" i="5" a="1"/>
  <c r="G2409" i="5" a="1"/>
  <c r="G2408" i="5" a="1"/>
  <c r="G2407" i="5" a="1"/>
  <c r="G2406" i="5" a="1"/>
  <c r="G2405" i="5" a="1"/>
  <c r="G2404" i="5" a="1"/>
  <c r="G2403" i="5" a="1"/>
  <c r="G2402" i="5" a="1"/>
  <c r="G2401" i="5" a="1"/>
  <c r="G2400" i="5" a="1"/>
  <c r="G2399" i="5" a="1"/>
  <c r="G2398" i="5" a="1"/>
  <c r="G2397" i="5" a="1"/>
  <c r="G2396" i="5" a="1"/>
  <c r="G2395" i="5" a="1"/>
  <c r="G2394" i="5" a="1"/>
  <c r="G2393" i="5" a="1"/>
  <c r="G2392" i="5" a="1"/>
  <c r="G2391" i="5" a="1"/>
  <c r="G2390" i="5" a="1"/>
  <c r="G2389" i="5" a="1"/>
  <c r="G2388" i="5" a="1"/>
  <c r="G2387" i="5" a="1"/>
  <c r="G2386" i="5" a="1"/>
  <c r="G2385" i="5" a="1"/>
  <c r="G2384" i="5" a="1"/>
  <c r="G2383" i="5" a="1"/>
  <c r="G2382" i="5" a="1"/>
  <c r="G2381" i="5" a="1"/>
  <c r="G2380" i="5" a="1"/>
  <c r="G2379" i="5" a="1"/>
  <c r="G2378" i="5" a="1"/>
  <c r="G2377" i="5" a="1"/>
  <c r="G2376" i="5" a="1"/>
  <c r="G2375" i="5" a="1"/>
  <c r="G2374" i="5" a="1"/>
  <c r="G2373" i="5" a="1"/>
  <c r="G2372" i="5" a="1"/>
  <c r="G2371" i="5" a="1"/>
  <c r="G2370" i="5" a="1"/>
  <c r="G2369" i="5" a="1"/>
  <c r="G2368" i="5" a="1"/>
  <c r="G2367" i="5" a="1"/>
  <c r="G2366" i="5" a="1"/>
  <c r="G2365" i="5" a="1"/>
  <c r="G2364" i="5" a="1"/>
  <c r="G2363" i="5" a="1"/>
  <c r="G2362" i="5" a="1"/>
  <c r="G2361" i="5" a="1"/>
  <c r="G2360" i="5" a="1"/>
  <c r="G2359" i="5" a="1"/>
  <c r="G2358" i="5" a="1"/>
  <c r="G2357" i="5" a="1"/>
  <c r="G2356" i="5" a="1"/>
  <c r="G2355" i="5" a="1"/>
  <c r="G2354" i="5" a="1"/>
  <c r="G2353" i="5" a="1"/>
  <c r="G2352" i="5" a="1"/>
  <c r="G2351" i="5" a="1"/>
  <c r="G2350" i="5" a="1"/>
  <c r="G2349" i="5" a="1"/>
  <c r="G2348" i="5" a="1"/>
  <c r="G2347" i="5" a="1"/>
  <c r="G2346" i="5" a="1"/>
  <c r="G2345" i="5" a="1"/>
  <c r="G2344" i="5" a="1"/>
  <c r="G2343" i="5" a="1"/>
  <c r="G2342" i="5" a="1"/>
  <c r="G2341" i="5" a="1"/>
  <c r="G2340" i="5" a="1"/>
  <c r="G2339" i="5" a="1"/>
  <c r="G2338" i="5" a="1"/>
  <c r="G2337" i="5" a="1"/>
  <c r="G2336" i="5" a="1"/>
  <c r="G2335" i="5" a="1"/>
  <c r="G2334" i="5" a="1"/>
  <c r="G2333" i="5" a="1"/>
  <c r="G2332" i="5" a="1"/>
  <c r="G2331" i="5" a="1"/>
  <c r="G2330" i="5" a="1"/>
  <c r="G2329" i="5" a="1"/>
  <c r="G2328" i="5" a="1"/>
  <c r="G2327" i="5" a="1"/>
  <c r="G2326" i="5" a="1"/>
  <c r="G2325" i="5" a="1"/>
  <c r="G2324" i="5" a="1"/>
  <c r="G2323" i="5" a="1"/>
  <c r="G2322" i="5" a="1"/>
  <c r="G2321" i="5" a="1"/>
  <c r="G2320" i="5" a="1"/>
  <c r="G2319" i="5" a="1"/>
  <c r="G2318" i="5" a="1"/>
  <c r="G2317" i="5" a="1"/>
  <c r="G2316" i="5" a="1"/>
  <c r="G2315" i="5" a="1"/>
  <c r="G2314" i="5" a="1"/>
  <c r="G2313" i="5" a="1"/>
  <c r="G2312" i="5" a="1"/>
  <c r="G2311" i="5" a="1"/>
  <c r="G2310" i="5" a="1"/>
  <c r="G2309" i="5" a="1"/>
  <c r="G2308" i="5" a="1"/>
  <c r="G2307" i="5" a="1"/>
  <c r="G2306" i="5" a="1"/>
  <c r="G2305" i="5" a="1"/>
  <c r="G2304" i="5" a="1"/>
  <c r="G2303" i="5" a="1"/>
  <c r="G2302" i="5" a="1"/>
  <c r="G2301" i="5" a="1"/>
  <c r="G2300" i="5" a="1"/>
  <c r="G2299" i="5" a="1"/>
  <c r="G2298" i="5" a="1"/>
  <c r="G2297" i="5" a="1"/>
  <c r="G2296" i="5" a="1"/>
  <c r="G2295" i="5" a="1"/>
  <c r="G2294" i="5" a="1"/>
  <c r="G2293" i="5" a="1"/>
  <c r="G2292" i="5" a="1"/>
  <c r="G2291" i="5" a="1"/>
  <c r="G2290" i="5" a="1"/>
  <c r="G2289" i="5" a="1"/>
  <c r="G2288" i="5" a="1"/>
  <c r="G2287" i="5" a="1"/>
  <c r="G2286" i="5" a="1"/>
  <c r="G2285" i="5" a="1"/>
  <c r="G2284" i="5" a="1"/>
  <c r="G2283" i="5" a="1"/>
  <c r="G2282" i="5" a="1"/>
  <c r="G2281" i="5" a="1"/>
  <c r="G2280" i="5" a="1"/>
  <c r="G2279" i="5" a="1"/>
  <c r="G2278" i="5" a="1"/>
  <c r="G2277" i="5" a="1"/>
  <c r="G2276" i="5" a="1"/>
  <c r="G2275" i="5" a="1"/>
  <c r="G2274" i="5" a="1"/>
  <c r="G2273" i="5" a="1"/>
  <c r="G2272" i="5" a="1"/>
  <c r="G2271" i="5" a="1"/>
  <c r="G2270" i="5" a="1"/>
  <c r="G2269" i="5" a="1"/>
  <c r="G2268" i="5" a="1"/>
  <c r="G2267" i="5" a="1"/>
  <c r="G2266" i="5" a="1"/>
  <c r="G2265" i="5" a="1"/>
  <c r="G2264" i="5" a="1"/>
  <c r="G2263" i="5" a="1"/>
  <c r="G2262" i="5" a="1"/>
  <c r="G2261" i="5" a="1"/>
  <c r="G2260" i="5" a="1"/>
  <c r="G2259" i="5" a="1"/>
  <c r="G2258" i="5" a="1"/>
  <c r="G2257" i="5" a="1"/>
  <c r="G2256" i="5" a="1"/>
  <c r="G2255" i="5" a="1"/>
  <c r="G2254" i="5" a="1"/>
  <c r="G2253" i="5" a="1"/>
  <c r="G2252" i="5" a="1"/>
  <c r="G2251" i="5" a="1"/>
  <c r="G2250" i="5" a="1"/>
  <c r="G2249" i="5" a="1"/>
  <c r="G2248" i="5" a="1"/>
  <c r="G2247" i="5" a="1"/>
  <c r="G2246" i="5" a="1"/>
  <c r="G2245" i="5" a="1"/>
  <c r="G2244" i="5" a="1"/>
  <c r="G2243" i="5" a="1"/>
  <c r="G2242" i="5" a="1"/>
  <c r="G2241" i="5" a="1"/>
  <c r="G2240" i="5" a="1"/>
  <c r="G2239" i="5" a="1"/>
  <c r="G2238" i="5" a="1"/>
  <c r="G2237" i="5" a="1"/>
  <c r="G2236" i="5" a="1"/>
  <c r="G2235" i="5" a="1"/>
  <c r="G2234" i="5" a="1"/>
  <c r="G2233" i="5" a="1"/>
  <c r="G2232" i="5" a="1"/>
  <c r="G2231" i="5" a="1"/>
  <c r="G2230" i="5" a="1"/>
  <c r="G2229" i="5" a="1"/>
  <c r="G2228" i="5" a="1"/>
  <c r="G2227" i="5" a="1"/>
  <c r="G2226" i="5" a="1"/>
  <c r="G2225" i="5" a="1"/>
  <c r="G2224" i="5" a="1"/>
  <c r="G2223" i="5" a="1"/>
  <c r="G2222" i="5" a="1"/>
  <c r="G2221" i="5" a="1"/>
  <c r="G2220" i="5" a="1"/>
  <c r="G2219" i="5" a="1"/>
  <c r="G2218" i="5" a="1"/>
  <c r="G2217" i="5" a="1"/>
  <c r="G2216" i="5" a="1"/>
  <c r="G2215" i="5" a="1"/>
  <c r="G2214" i="5" a="1"/>
  <c r="G2213" i="5" a="1"/>
  <c r="G2212" i="5" a="1"/>
  <c r="G2211" i="5" a="1"/>
  <c r="G2210" i="5" a="1"/>
  <c r="G2209" i="5" a="1"/>
  <c r="G2208" i="5" a="1"/>
  <c r="G2207" i="5" a="1"/>
  <c r="G2206" i="5" a="1"/>
  <c r="G2205" i="5" a="1"/>
  <c r="G2204" i="5" a="1"/>
  <c r="G2203" i="5" a="1"/>
  <c r="G2202" i="5" a="1"/>
  <c r="G2201" i="5" a="1"/>
  <c r="G2200" i="5" a="1"/>
  <c r="G2199" i="5" a="1"/>
  <c r="G2198" i="5" a="1"/>
  <c r="G2197" i="5" a="1"/>
  <c r="G2196" i="5" a="1"/>
  <c r="G2195" i="5" a="1"/>
  <c r="G2194" i="5" a="1"/>
  <c r="G2193" i="5" a="1"/>
  <c r="G2192" i="5" a="1"/>
  <c r="G2191" i="5" a="1"/>
  <c r="G2190" i="5" a="1"/>
  <c r="G2189" i="5" a="1"/>
  <c r="G2188" i="5" a="1"/>
  <c r="G2187" i="5" a="1"/>
  <c r="G2186" i="5" a="1"/>
  <c r="G2185" i="5" a="1"/>
  <c r="G2184" i="5" a="1"/>
  <c r="G2183" i="5" a="1"/>
  <c r="G2182" i="5" a="1"/>
  <c r="G2181" i="5" a="1"/>
  <c r="G2180" i="5" a="1"/>
  <c r="G2179" i="5" a="1"/>
  <c r="G2178" i="5" a="1"/>
  <c r="G2177" i="5" a="1"/>
  <c r="G2176" i="5" a="1"/>
  <c r="G2175" i="5" a="1"/>
  <c r="G2174" i="5" a="1"/>
  <c r="G2173" i="5" a="1"/>
  <c r="G2172" i="5" a="1"/>
  <c r="G2171" i="5" a="1"/>
  <c r="G2170" i="5" a="1"/>
  <c r="G2169" i="5" a="1"/>
  <c r="G2168" i="5" a="1"/>
  <c r="G2167" i="5" a="1"/>
  <c r="G2166" i="5" a="1"/>
  <c r="G2165" i="5" a="1"/>
  <c r="G2164" i="5" a="1"/>
  <c r="G2163" i="5" a="1"/>
  <c r="G2162" i="5" a="1"/>
  <c r="G2161" i="5" a="1"/>
  <c r="G2160" i="5" a="1"/>
  <c r="G2159" i="5" a="1"/>
  <c r="G2158" i="5" a="1"/>
  <c r="G2157" i="5" a="1"/>
  <c r="G2156" i="5" a="1"/>
  <c r="G2155" i="5" a="1"/>
  <c r="G2154" i="5" a="1"/>
  <c r="G2153" i="5" a="1"/>
  <c r="G2152" i="5" a="1"/>
  <c r="G2151" i="5" a="1"/>
  <c r="G2150" i="5" a="1"/>
  <c r="G2149" i="5" a="1"/>
  <c r="G2148" i="5" a="1"/>
  <c r="G2147" i="5" a="1"/>
  <c r="G2146" i="5" a="1"/>
  <c r="G2145" i="5" a="1"/>
  <c r="G2144" i="5" a="1"/>
  <c r="G2143" i="5" a="1"/>
  <c r="G2142" i="5" a="1"/>
  <c r="G2141" i="5" a="1"/>
  <c r="G2140" i="5" a="1"/>
  <c r="G2139" i="5" a="1"/>
  <c r="G2138" i="5" a="1"/>
  <c r="G2137" i="5" a="1"/>
  <c r="G2136" i="5" a="1"/>
  <c r="G2135" i="5" a="1"/>
  <c r="G2134" i="5" a="1"/>
  <c r="G2133" i="5" a="1"/>
  <c r="G2132" i="5" a="1"/>
  <c r="G2131" i="5" a="1"/>
  <c r="G2130" i="5" a="1"/>
  <c r="G2129" i="5" a="1"/>
  <c r="G2128" i="5" a="1"/>
  <c r="G2127" i="5" a="1"/>
  <c r="G2126" i="5" a="1"/>
  <c r="G2125" i="5" a="1"/>
  <c r="G2124" i="5" a="1"/>
  <c r="G2123" i="5" a="1"/>
  <c r="G2122" i="5" a="1"/>
  <c r="G2121" i="5" a="1"/>
  <c r="G2120" i="5" a="1"/>
  <c r="G2119" i="5" a="1"/>
  <c r="G2118" i="5" a="1"/>
  <c r="G2117" i="5" a="1"/>
  <c r="G2116" i="5" a="1"/>
  <c r="G2115" i="5" a="1"/>
  <c r="G2114" i="5" a="1"/>
  <c r="G2113" i="5" a="1"/>
  <c r="G2112" i="5" a="1"/>
  <c r="G2111" i="5" a="1"/>
  <c r="G2110" i="5" a="1"/>
  <c r="G2109" i="5" a="1"/>
  <c r="G2108" i="5" a="1"/>
  <c r="G2107" i="5" a="1"/>
  <c r="G2106" i="5" a="1"/>
  <c r="G2105" i="5" a="1"/>
  <c r="G2104" i="5" a="1"/>
  <c r="G2103" i="5" a="1"/>
  <c r="G2102" i="5" a="1"/>
  <c r="G2101" i="5" a="1"/>
  <c r="G2100" i="5" a="1"/>
  <c r="G2099" i="5" a="1"/>
  <c r="G2098" i="5" a="1"/>
  <c r="G2097" i="5" a="1"/>
  <c r="G2096" i="5" a="1"/>
  <c r="G2095" i="5" a="1"/>
  <c r="G2094" i="5" a="1"/>
  <c r="G2093" i="5" a="1"/>
  <c r="G2092" i="5" a="1"/>
  <c r="G2091" i="5" a="1"/>
  <c r="G2090" i="5" a="1"/>
  <c r="G2089" i="5" a="1"/>
  <c r="G2088" i="5" a="1"/>
  <c r="G2087" i="5" a="1"/>
  <c r="G2086" i="5" a="1"/>
  <c r="G2085" i="5" a="1"/>
  <c r="G2084" i="5" a="1"/>
  <c r="G2083" i="5" a="1"/>
  <c r="G2082" i="5" a="1"/>
  <c r="G2081" i="5" a="1"/>
  <c r="G2080" i="5" a="1"/>
  <c r="G2079" i="5" a="1"/>
  <c r="G2078" i="5" a="1"/>
  <c r="G2077" i="5" a="1"/>
  <c r="G2076" i="5" a="1"/>
  <c r="G2075" i="5" a="1"/>
  <c r="G2074" i="5" a="1"/>
  <c r="G2073" i="5" a="1"/>
  <c r="G2072" i="5" a="1"/>
  <c r="G2071" i="5" a="1"/>
  <c r="G2070" i="5" a="1"/>
  <c r="G2069" i="5" a="1"/>
  <c r="G2068" i="5" a="1"/>
  <c r="G2067" i="5" a="1"/>
  <c r="G2066" i="5" a="1"/>
  <c r="G2065" i="5" a="1"/>
  <c r="G2064" i="5" a="1"/>
  <c r="G2063" i="5" a="1"/>
  <c r="G2062" i="5" a="1"/>
  <c r="G2061" i="5" a="1"/>
  <c r="G2060" i="5" a="1"/>
  <c r="G2059" i="5" a="1"/>
  <c r="G2058" i="5" a="1"/>
  <c r="G2057" i="5" a="1"/>
  <c r="G2056" i="5" a="1"/>
  <c r="G2055" i="5" a="1"/>
  <c r="G2054" i="5" a="1"/>
  <c r="G2053" i="5" a="1"/>
  <c r="G2052" i="5" a="1"/>
  <c r="G2051" i="5" a="1"/>
  <c r="G2050" i="5" a="1"/>
  <c r="G2049" i="5" a="1"/>
  <c r="G2048" i="5" a="1"/>
  <c r="G2047" i="5" a="1"/>
  <c r="G2046" i="5" a="1"/>
  <c r="G2045" i="5" a="1"/>
  <c r="G2044" i="5" a="1"/>
  <c r="G2043" i="5" a="1"/>
  <c r="G2042" i="5" a="1"/>
  <c r="G2041" i="5" a="1"/>
  <c r="G2040" i="5" a="1"/>
  <c r="G2039" i="5" a="1"/>
  <c r="G2038" i="5" a="1"/>
  <c r="G2037" i="5" a="1"/>
  <c r="G2036" i="5" a="1"/>
  <c r="G2035" i="5" a="1"/>
  <c r="G2034" i="5" a="1"/>
  <c r="G2033" i="5" a="1"/>
  <c r="G2032" i="5" a="1"/>
  <c r="G2031" i="5" a="1"/>
  <c r="G2030" i="5" a="1"/>
  <c r="G2029" i="5" a="1"/>
  <c r="G2028" i="5" a="1"/>
  <c r="G2027" i="5" a="1"/>
  <c r="G2026" i="5" a="1"/>
  <c r="G2025" i="5" a="1"/>
  <c r="G2024" i="5" a="1"/>
  <c r="G2023" i="5" a="1"/>
  <c r="G2022" i="5" a="1"/>
  <c r="G2021" i="5" a="1"/>
  <c r="G2020" i="5" a="1"/>
  <c r="G2019" i="5" a="1"/>
  <c r="G2018" i="5" a="1"/>
  <c r="G2017" i="5" a="1"/>
  <c r="G2016" i="5" a="1"/>
  <c r="G2015" i="5" a="1"/>
  <c r="G2014" i="5" a="1"/>
  <c r="G2013" i="5" a="1"/>
  <c r="G2012" i="5" a="1"/>
  <c r="G2011" i="5" a="1"/>
  <c r="G2010" i="5" a="1"/>
  <c r="G2009" i="5" a="1"/>
  <c r="G2008" i="5" a="1"/>
  <c r="G2007" i="5" a="1"/>
  <c r="G2006" i="5" a="1"/>
  <c r="G2005" i="5" a="1"/>
  <c r="G3004" i="5" a="1"/>
  <c r="G3003" i="5" a="1"/>
  <c r="G2993" i="5" a="1"/>
  <c r="G2983" i="5" a="1"/>
  <c r="G2973" i="5" a="1"/>
  <c r="G2963" i="5" a="1"/>
  <c r="G2953" i="5" a="1"/>
  <c r="G2943" i="5" a="1"/>
  <c r="G2933" i="5" a="1"/>
  <c r="G2923" i="5" a="1"/>
  <c r="G2913" i="5" a="1"/>
  <c r="G2903" i="5" a="1"/>
  <c r="G2893" i="5" a="1"/>
  <c r="G2883" i="5" a="1"/>
  <c r="G2873" i="5" a="1"/>
  <c r="G2863" i="5" a="1"/>
  <c r="G2853" i="5" a="1"/>
  <c r="G2843" i="5" a="1"/>
  <c r="G2833" i="5" a="1"/>
  <c r="G2823" i="5" a="1"/>
  <c r="G2813" i="5" a="1"/>
  <c r="G2803" i="5" a="1"/>
  <c r="G2793" i="5" a="1"/>
  <c r="G2783" i="5" a="1"/>
  <c r="G2773" i="5" a="1"/>
  <c r="G2763" i="5" a="1"/>
  <c r="G2753" i="5" a="1"/>
  <c r="G2743" i="5" a="1"/>
  <c r="G2733" i="5" a="1"/>
  <c r="G2723" i="5" a="1"/>
  <c r="G2713" i="5" a="1"/>
  <c r="G3002" i="5" a="1"/>
  <c r="G2992" i="5" a="1"/>
  <c r="G2982" i="5" a="1"/>
  <c r="G2972" i="5" a="1"/>
  <c r="G2962" i="5" a="1"/>
  <c r="G2952" i="5" a="1"/>
  <c r="G2942" i="5" a="1"/>
  <c r="G2932" i="5" a="1"/>
  <c r="G2922" i="5" a="1"/>
  <c r="G2912" i="5" a="1"/>
  <c r="G2902" i="5" a="1"/>
  <c r="G2892" i="5" a="1"/>
  <c r="G2882" i="5" a="1"/>
  <c r="G2872" i="5" a="1"/>
  <c r="G2862" i="5" a="1"/>
  <c r="G2852" i="5" a="1"/>
  <c r="G2842" i="5" a="1"/>
  <c r="G2832" i="5" a="1"/>
  <c r="G3001" i="5" a="1"/>
  <c r="G2991" i="5" a="1"/>
  <c r="G2981" i="5" a="1"/>
  <c r="G2971" i="5" a="1"/>
  <c r="G2961" i="5" a="1"/>
  <c r="G2951" i="5" a="1"/>
  <c r="G2941" i="5" a="1"/>
  <c r="G2931" i="5" a="1"/>
  <c r="G2921" i="5" a="1"/>
  <c r="G2911" i="5" a="1"/>
  <c r="G2901" i="5" a="1"/>
  <c r="G2891" i="5" a="1"/>
  <c r="G2881" i="5" a="1"/>
  <c r="G2871" i="5" a="1"/>
  <c r="G2861" i="5" a="1"/>
  <c r="G2851" i="5" a="1"/>
  <c r="G2841" i="5" a="1"/>
  <c r="G2831" i="5" a="1"/>
  <c r="G2821" i="5" a="1"/>
  <c r="G2811" i="5" a="1"/>
  <c r="G2801" i="5" a="1"/>
  <c r="G2791" i="5" a="1"/>
  <c r="G2781" i="5" a="1"/>
  <c r="G2771" i="5" a="1"/>
  <c r="G2761" i="5" a="1"/>
  <c r="G2751" i="5" a="1"/>
  <c r="G2741" i="5" a="1"/>
  <c r="G2731" i="5" a="1"/>
  <c r="G2721" i="5" a="1"/>
  <c r="G2711" i="5" a="1"/>
  <c r="G2999" i="5" a="1"/>
  <c r="G2989" i="5" a="1"/>
  <c r="G2979" i="5" a="1"/>
  <c r="G2969" i="5" a="1"/>
  <c r="G2959" i="5" a="1"/>
  <c r="G2949" i="5" a="1"/>
  <c r="G2939" i="5" a="1"/>
  <c r="G2929" i="5" a="1"/>
  <c r="G2919" i="5" a="1"/>
  <c r="G2909" i="5" a="1"/>
  <c r="G2899" i="5" a="1"/>
  <c r="G2889" i="5" a="1"/>
  <c r="G2879" i="5" a="1"/>
  <c r="G2869" i="5" a="1"/>
  <c r="G2859" i="5" a="1"/>
  <c r="G2849" i="5" a="1"/>
  <c r="G2839" i="5" a="1"/>
  <c r="G2829" i="5" a="1"/>
  <c r="G2819" i="5" a="1"/>
  <c r="G2809" i="5" a="1"/>
  <c r="G2799" i="5" a="1"/>
  <c r="G2998" i="5" a="1"/>
  <c r="G2988" i="5" a="1"/>
  <c r="G2978" i="5" a="1"/>
  <c r="G2968" i="5" a="1"/>
  <c r="G2958" i="5" a="1"/>
  <c r="G2948" i="5" a="1"/>
  <c r="G2938" i="5" a="1"/>
  <c r="G2928" i="5" a="1"/>
  <c r="G2918" i="5" a="1"/>
  <c r="G2908" i="5" a="1"/>
  <c r="G2898" i="5" a="1"/>
  <c r="G2888" i="5" a="1"/>
  <c r="G2878" i="5" a="1"/>
  <c r="G2868" i="5" a="1"/>
  <c r="G2858" i="5" a="1"/>
  <c r="G2848" i="5" a="1"/>
  <c r="G2838" i="5" a="1"/>
  <c r="G2828" i="5" a="1"/>
  <c r="G2818" i="5" a="1"/>
  <c r="G2808" i="5" a="1"/>
  <c r="G2798" i="5" a="1"/>
  <c r="G2788" i="5" a="1"/>
  <c r="G2778" i="5" a="1"/>
  <c r="G2768" i="5" a="1"/>
  <c r="G2758" i="5" a="1"/>
  <c r="G2748" i="5" a="1"/>
  <c r="G2738" i="5" a="1"/>
  <c r="G2728" i="5" a="1"/>
  <c r="G2718" i="5" a="1"/>
  <c r="G2708" i="5" a="1"/>
  <c r="G2997" i="5" a="1"/>
  <c r="G2996" i="5" a="1"/>
  <c r="G2986" i="5" a="1"/>
  <c r="G2976" i="5" a="1"/>
  <c r="G2966" i="5" a="1"/>
  <c r="G2956" i="5" a="1"/>
  <c r="G2946" i="5" a="1"/>
  <c r="G2936" i="5" a="1"/>
  <c r="G2926" i="5" a="1"/>
  <c r="G2916" i="5" a="1"/>
  <c r="G2906" i="5" a="1"/>
  <c r="G2896" i="5" a="1"/>
  <c r="G2886" i="5" a="1"/>
  <c r="G2876" i="5" a="1"/>
  <c r="G2866" i="5" a="1"/>
  <c r="G2856" i="5" a="1"/>
  <c r="G2846" i="5" a="1"/>
  <c r="G2836" i="5" a="1"/>
  <c r="G2826" i="5" a="1"/>
  <c r="G2816" i="5" a="1"/>
  <c r="G2806" i="5" a="1"/>
  <c r="G2796" i="5" a="1"/>
  <c r="G2786" i="5" a="1"/>
  <c r="G2776" i="5" a="1"/>
  <c r="G2766" i="5" a="1"/>
  <c r="G2756" i="5" a="1"/>
  <c r="G2746" i="5" a="1"/>
  <c r="G2736" i="5" a="1"/>
  <c r="G2726" i="5" a="1"/>
  <c r="G2716" i="5" a="1"/>
  <c r="G2706" i="5" a="1"/>
  <c r="G2960" i="5" a="1"/>
  <c r="G2920" i="5" a="1"/>
  <c r="G2887" i="5" a="1"/>
  <c r="G2854" i="5" a="1"/>
  <c r="G2825" i="5" a="1"/>
  <c r="G2780" i="5" a="1"/>
  <c r="G2760" i="5" a="1"/>
  <c r="G2740" i="5" a="1"/>
  <c r="G2722" i="5" a="1"/>
  <c r="G3000" i="5" a="1"/>
  <c r="G2957" i="5" a="1"/>
  <c r="G2885" i="5" a="1"/>
  <c r="G2824" i="5" a="1"/>
  <c r="G2800" i="5" a="1"/>
  <c r="G2779" i="5" a="1"/>
  <c r="G2759" i="5" a="1"/>
  <c r="G2739" i="5" a="1"/>
  <c r="G2890" i="5" a="1"/>
  <c r="G2995" i="5" a="1"/>
  <c r="G2955" i="5" a="1"/>
  <c r="G2917" i="5" a="1"/>
  <c r="G2884" i="5" a="1"/>
  <c r="G2850" i="5" a="1"/>
  <c r="G2720" i="5" a="1"/>
  <c r="G2964" i="5" a="1"/>
  <c r="G2994" i="5" a="1"/>
  <c r="G2954" i="5" a="1"/>
  <c r="G2915" i="5" a="1"/>
  <c r="G2822" i="5" a="1"/>
  <c r="G2719" i="5" a="1"/>
  <c r="G2914" i="5" a="1"/>
  <c r="G2880" i="5" a="1"/>
  <c r="G2820" i="5" a="1"/>
  <c r="G2797" i="5" a="1"/>
  <c r="G2777" i="5" a="1"/>
  <c r="G2757" i="5" a="1"/>
  <c r="G2737" i="5" a="1"/>
  <c r="G2990" i="5" a="1"/>
  <c r="G2950" i="5" a="1"/>
  <c r="G2847" i="5" a="1"/>
  <c r="G2795" i="5" a="1"/>
  <c r="G2775" i="5" a="1"/>
  <c r="G2755" i="5" a="1"/>
  <c r="G2735" i="5" a="1"/>
  <c r="G2924" i="5" a="1"/>
  <c r="G2987" i="5" a="1"/>
  <c r="G2947" i="5" a="1"/>
  <c r="G2910" i="5" a="1"/>
  <c r="G2877" i="5" a="1"/>
  <c r="G2845" i="5" a="1"/>
  <c r="G2794" i="5" a="1"/>
  <c r="G2774" i="5" a="1"/>
  <c r="G2754" i="5" a="1"/>
  <c r="G2717" i="5" a="1"/>
  <c r="G2707" i="5" a="1"/>
  <c r="G2985" i="5" a="1"/>
  <c r="G2945" i="5" a="1"/>
  <c r="G2875" i="5" a="1"/>
  <c r="G2844" i="5" a="1"/>
  <c r="G2817" i="5" a="1"/>
  <c r="G2734" i="5" a="1"/>
  <c r="G2715" i="5" a="1"/>
  <c r="G2782" i="5" a="1"/>
  <c r="G2984" i="5" a="1"/>
  <c r="G2944" i="5" a="1"/>
  <c r="G2907" i="5" a="1"/>
  <c r="G2874" i="5" a="1"/>
  <c r="G2815" i="5" a="1"/>
  <c r="G2792" i="5" a="1"/>
  <c r="G2772" i="5" a="1"/>
  <c r="G2752" i="5" a="1"/>
  <c r="G2905" i="5" a="1"/>
  <c r="G2840" i="5" a="1"/>
  <c r="G2814" i="5" a="1"/>
  <c r="G2732" i="5" a="1"/>
  <c r="G2714" i="5" a="1"/>
  <c r="G2980" i="5" a="1"/>
  <c r="G2940" i="5" a="1"/>
  <c r="G2904" i="5" a="1"/>
  <c r="G2870" i="5" a="1"/>
  <c r="G2790" i="5" a="1"/>
  <c r="G2770" i="5" a="1"/>
  <c r="G2750" i="5" a="1"/>
  <c r="G2705" i="5" a="1"/>
  <c r="G2977" i="5" a="1"/>
  <c r="G2937" i="5" a="1"/>
  <c r="G2812" i="5" a="1"/>
  <c r="G2789" i="5" a="1"/>
  <c r="G2769" i="5" a="1"/>
  <c r="G2749" i="5" a="1"/>
  <c r="G2730" i="5" a="1"/>
  <c r="G2712" i="5" a="1"/>
  <c r="G2762" i="5" a="1"/>
  <c r="G2975" i="5" a="1"/>
  <c r="G2935" i="5" a="1"/>
  <c r="G2900" i="5" a="1"/>
  <c r="G2867" i="5" a="1"/>
  <c r="G2837" i="5" a="1"/>
  <c r="G2810" i="5" a="1"/>
  <c r="G2729" i="5" a="1"/>
  <c r="G2724" i="5" a="1"/>
  <c r="G2974" i="5" a="1"/>
  <c r="G2934" i="5" a="1"/>
  <c r="G2865" i="5" a="1"/>
  <c r="G2835" i="5" a="1"/>
  <c r="G2710" i="5" a="1"/>
  <c r="G2804" i="5" a="1"/>
  <c r="G2857" i="5" a="1"/>
  <c r="G2897" i="5" a="1"/>
  <c r="G2864" i="5" a="1"/>
  <c r="G2834" i="5" a="1"/>
  <c r="G2787" i="5" a="1"/>
  <c r="G2767" i="5" a="1"/>
  <c r="G2747" i="5" a="1"/>
  <c r="G2709" i="5" a="1"/>
  <c r="G2742" i="5" a="1"/>
  <c r="G2970" i="5" a="1"/>
  <c r="G2930" i="5" a="1"/>
  <c r="G2895" i="5" a="1"/>
  <c r="G2807" i="5" a="1"/>
  <c r="G2785" i="5" a="1"/>
  <c r="G2765" i="5" a="1"/>
  <c r="G2745" i="5" a="1"/>
  <c r="G2727" i="5" a="1"/>
  <c r="G2925" i="5" a="1"/>
  <c r="G2967" i="5" a="1"/>
  <c r="G2927" i="5" a="1"/>
  <c r="G2894" i="5" a="1"/>
  <c r="G2860" i="5" a="1"/>
  <c r="G2830" i="5" a="1"/>
  <c r="G2805" i="5" a="1"/>
  <c r="G2784" i="5" a="1"/>
  <c r="G2764" i="5" a="1"/>
  <c r="G2744" i="5" a="1"/>
  <c r="G2725" i="5" a="1"/>
  <c r="G2965" i="5" a="1"/>
  <c r="G2855" i="5" a="1"/>
  <c r="G2827" i="5" a="1"/>
  <c r="G2802" i="5" a="1"/>
  <c r="H2004" i="5" a="1"/>
  <c r="H1994" i="5" a="1"/>
  <c r="H1984" i="5" a="1"/>
  <c r="H1974" i="5" a="1"/>
  <c r="H1964" i="5" a="1"/>
  <c r="H1954" i="5" a="1"/>
  <c r="H1944" i="5" a="1"/>
  <c r="H1934" i="5" a="1"/>
  <c r="H1924" i="5" a="1"/>
  <c r="H1914" i="5" a="1"/>
  <c r="H1904" i="5" a="1"/>
  <c r="H1894" i="5" a="1"/>
  <c r="H1884" i="5" a="1"/>
  <c r="H1874" i="5" a="1"/>
  <c r="H1864" i="5" a="1"/>
  <c r="H1854" i="5" a="1"/>
  <c r="H1844" i="5" a="1"/>
  <c r="H1834" i="5" a="1"/>
  <c r="H1824" i="5" a="1"/>
  <c r="H1814" i="5" a="1"/>
  <c r="H1804" i="5" a="1"/>
  <c r="H1794" i="5" a="1"/>
  <c r="H1784" i="5" a="1"/>
  <c r="H1774" i="5" a="1"/>
  <c r="H1764" i="5" a="1"/>
  <c r="H1754" i="5" a="1"/>
  <c r="H1744" i="5" a="1"/>
  <c r="H1734" i="5" a="1"/>
  <c r="H1724" i="5" a="1"/>
  <c r="H1714" i="5" a="1"/>
  <c r="H1704" i="5" a="1"/>
  <c r="H1694" i="5" a="1"/>
  <c r="H1684" i="5" a="1"/>
  <c r="H1674" i="5" a="1"/>
  <c r="H1664" i="5" a="1"/>
  <c r="H1654" i="5" a="1"/>
  <c r="H1644" i="5" a="1"/>
  <c r="H1634" i="5" a="1"/>
  <c r="H1624" i="5" a="1"/>
  <c r="H1614" i="5" a="1"/>
  <c r="H1604" i="5" a="1"/>
  <c r="H1594" i="5" a="1"/>
  <c r="H1584" i="5" a="1"/>
  <c r="H1574" i="5" a="1"/>
  <c r="H1564" i="5" a="1"/>
  <c r="H1554" i="5" a="1"/>
  <c r="H1544" i="5" a="1"/>
  <c r="H1534" i="5" a="1"/>
  <c r="H1524" i="5" a="1"/>
  <c r="H1514" i="5" a="1"/>
  <c r="H1504" i="5" a="1"/>
  <c r="H1494" i="5" a="1"/>
  <c r="H1484" i="5" a="1"/>
  <c r="H1474" i="5" a="1"/>
  <c r="H1464" i="5" a="1"/>
  <c r="H1454" i="5" a="1"/>
  <c r="H1444" i="5" a="1"/>
  <c r="H1434" i="5" a="1"/>
  <c r="H1424" i="5" a="1"/>
  <c r="H1414" i="5" a="1"/>
  <c r="H1404" i="5" a="1"/>
  <c r="H1394" i="5" a="1"/>
  <c r="H1384" i="5" a="1"/>
  <c r="H1374" i="5" a="1"/>
  <c r="H1364" i="5" a="1"/>
  <c r="H1354" i="5" a="1"/>
  <c r="H1344" i="5" a="1"/>
  <c r="H1334" i="5" a="1"/>
  <c r="H1324" i="5" a="1"/>
  <c r="H1314" i="5" a="1"/>
  <c r="H1304" i="5" a="1"/>
  <c r="H1294" i="5" a="1"/>
  <c r="H1284" i="5" a="1"/>
  <c r="H1274" i="5" a="1"/>
  <c r="H1264" i="5" a="1"/>
  <c r="H1254" i="5" a="1"/>
  <c r="H1244" i="5" a="1"/>
  <c r="H1234" i="5" a="1"/>
  <c r="H1224" i="5" a="1"/>
  <c r="H1214" i="5" a="1"/>
  <c r="H1204" i="5" a="1"/>
  <c r="H1194" i="5" a="1"/>
  <c r="H1184" i="5" a="1"/>
  <c r="H1174" i="5" a="1"/>
  <c r="H1164" i="5" a="1"/>
  <c r="H1154" i="5" a="1"/>
  <c r="H2003" i="5" a="1"/>
  <c r="H1993" i="5" a="1"/>
  <c r="H1983" i="5" a="1"/>
  <c r="H1973" i="5" a="1"/>
  <c r="H1963" i="5" a="1"/>
  <c r="H1953" i="5" a="1"/>
  <c r="H1943" i="5" a="1"/>
  <c r="H1933" i="5" a="1"/>
  <c r="H1923" i="5" a="1"/>
  <c r="H1913" i="5" a="1"/>
  <c r="H1903" i="5" a="1"/>
  <c r="H1893" i="5" a="1"/>
  <c r="H1883" i="5" a="1"/>
  <c r="H1873" i="5" a="1"/>
  <c r="H1863" i="5" a="1"/>
  <c r="H1853" i="5" a="1"/>
  <c r="H1843" i="5" a="1"/>
  <c r="H1833" i="5" a="1"/>
  <c r="H1823" i="5" a="1"/>
  <c r="H1813" i="5" a="1"/>
  <c r="H1803" i="5" a="1"/>
  <c r="H1793" i="5" a="1"/>
  <c r="H1783" i="5" a="1"/>
  <c r="H1773" i="5" a="1"/>
  <c r="H1763" i="5" a="1"/>
  <c r="H1753" i="5" a="1"/>
  <c r="H1743" i="5" a="1"/>
  <c r="H1733" i="5" a="1"/>
  <c r="H1723" i="5" a="1"/>
  <c r="H1713" i="5" a="1"/>
  <c r="H1703" i="5" a="1"/>
  <c r="H1693" i="5" a="1"/>
  <c r="H1683" i="5" a="1"/>
  <c r="H1673" i="5" a="1"/>
  <c r="H1663" i="5" a="1"/>
  <c r="H1653" i="5" a="1"/>
  <c r="H1643" i="5" a="1"/>
  <c r="H1633" i="5" a="1"/>
  <c r="H1623" i="5" a="1"/>
  <c r="H1613" i="5" a="1"/>
  <c r="H1603" i="5" a="1"/>
  <c r="H1593" i="5" a="1"/>
  <c r="H1583" i="5" a="1"/>
  <c r="H1573" i="5" a="1"/>
  <c r="H1563" i="5" a="1"/>
  <c r="H1553" i="5" a="1"/>
  <c r="H1543" i="5" a="1"/>
  <c r="H1533" i="5" a="1"/>
  <c r="H1523" i="5" a="1"/>
  <c r="H1513" i="5" a="1"/>
  <c r="H1503" i="5" a="1"/>
  <c r="H1493" i="5" a="1"/>
  <c r="H1483" i="5" a="1"/>
  <c r="H1473" i="5" a="1"/>
  <c r="H1463" i="5" a="1"/>
  <c r="H1453" i="5" a="1"/>
  <c r="H1443" i="5" a="1"/>
  <c r="H1433" i="5" a="1"/>
  <c r="H1423" i="5" a="1"/>
  <c r="H1413" i="5" a="1"/>
  <c r="H1403" i="5" a="1"/>
  <c r="H1393" i="5" a="1"/>
  <c r="H1383" i="5" a="1"/>
  <c r="H1373" i="5" a="1"/>
  <c r="H1363" i="5" a="1"/>
  <c r="H1353" i="5" a="1"/>
  <c r="H1343" i="5" a="1"/>
  <c r="H1333" i="5" a="1"/>
  <c r="H1323" i="5" a="1"/>
  <c r="H1313" i="5" a="1"/>
  <c r="H2002" i="5" a="1"/>
  <c r="H1992" i="5" a="1"/>
  <c r="H1982" i="5" a="1"/>
  <c r="H1972" i="5" a="1"/>
  <c r="H1962" i="5" a="1"/>
  <c r="H1952" i="5" a="1"/>
  <c r="H1942" i="5" a="1"/>
  <c r="H1932" i="5" a="1"/>
  <c r="H1922" i="5" a="1"/>
  <c r="H1912" i="5" a="1"/>
  <c r="H1902" i="5" a="1"/>
  <c r="H1892" i="5" a="1"/>
  <c r="H1882" i="5" a="1"/>
  <c r="H1872" i="5" a="1"/>
  <c r="H1862" i="5" a="1"/>
  <c r="H1852" i="5" a="1"/>
  <c r="H1842" i="5" a="1"/>
  <c r="H1832" i="5" a="1"/>
  <c r="H1822" i="5" a="1"/>
  <c r="H1812" i="5" a="1"/>
  <c r="H1802" i="5" a="1"/>
  <c r="H1792" i="5" a="1"/>
  <c r="H1782" i="5" a="1"/>
  <c r="H1772" i="5" a="1"/>
  <c r="H1762" i="5" a="1"/>
  <c r="H1752" i="5" a="1"/>
  <c r="H1742" i="5" a="1"/>
  <c r="H1732" i="5" a="1"/>
  <c r="H1722" i="5" a="1"/>
  <c r="H1712" i="5" a="1"/>
  <c r="H1702" i="5" a="1"/>
  <c r="H1692" i="5" a="1"/>
  <c r="H1682" i="5" a="1"/>
  <c r="H1672" i="5" a="1"/>
  <c r="H1662" i="5" a="1"/>
  <c r="H1652" i="5" a="1"/>
  <c r="H1642" i="5" a="1"/>
  <c r="H1632" i="5" a="1"/>
  <c r="H1622" i="5" a="1"/>
  <c r="H1612" i="5" a="1"/>
  <c r="H1602" i="5" a="1"/>
  <c r="H1592" i="5" a="1"/>
  <c r="H1582" i="5" a="1"/>
  <c r="H1572" i="5" a="1"/>
  <c r="H1562" i="5" a="1"/>
  <c r="H1552" i="5" a="1"/>
  <c r="H1542" i="5" a="1"/>
  <c r="H1532" i="5" a="1"/>
  <c r="H1522" i="5" a="1"/>
  <c r="H1512" i="5" a="1"/>
  <c r="H1502" i="5" a="1"/>
  <c r="H1492" i="5" a="1"/>
  <c r="H1482" i="5" a="1"/>
  <c r="H1472" i="5" a="1"/>
  <c r="H1462" i="5" a="1"/>
  <c r="H1452" i="5" a="1"/>
  <c r="H1442" i="5" a="1"/>
  <c r="H1432" i="5" a="1"/>
  <c r="H1422" i="5" a="1"/>
  <c r="H1412" i="5" a="1"/>
  <c r="H1402" i="5" a="1"/>
  <c r="H1392" i="5" a="1"/>
  <c r="H1382" i="5" a="1"/>
  <c r="H1372" i="5" a="1"/>
  <c r="H1362" i="5" a="1"/>
  <c r="H1352" i="5" a="1"/>
  <c r="H1342" i="5" a="1"/>
  <c r="H1332" i="5" a="1"/>
  <c r="H1322" i="5" a="1"/>
  <c r="H1312" i="5" a="1"/>
  <c r="H1302" i="5" a="1"/>
  <c r="H1292" i="5" a="1"/>
  <c r="H1282" i="5" a="1"/>
  <c r="H1272" i="5" a="1"/>
  <c r="H1262" i="5" a="1"/>
  <c r="H1252" i="5" a="1"/>
  <c r="H1242" i="5" a="1"/>
  <c r="H1232" i="5" a="1"/>
  <c r="H1222" i="5" a="1"/>
  <c r="H1212" i="5" a="1"/>
  <c r="H1202" i="5" a="1"/>
  <c r="H1192" i="5" a="1"/>
  <c r="H1182" i="5" a="1"/>
  <c r="H1172" i="5" a="1"/>
  <c r="H1162" i="5" a="1"/>
  <c r="H1152" i="5" a="1"/>
  <c r="H2001" i="5" a="1"/>
  <c r="H1991" i="5" a="1"/>
  <c r="H1981" i="5" a="1"/>
  <c r="H1971" i="5" a="1"/>
  <c r="H1961" i="5" a="1"/>
  <c r="H2000" i="5" a="1"/>
  <c r="H1990" i="5" a="1"/>
  <c r="H1980" i="5" a="1"/>
  <c r="H1970" i="5" a="1"/>
  <c r="H1960" i="5" a="1"/>
  <c r="H1950" i="5" a="1"/>
  <c r="H1940" i="5" a="1"/>
  <c r="H1930" i="5" a="1"/>
  <c r="H1920" i="5" a="1"/>
  <c r="H1910" i="5" a="1"/>
  <c r="H1900" i="5" a="1"/>
  <c r="H1890" i="5" a="1"/>
  <c r="H1880" i="5" a="1"/>
  <c r="H1870" i="5" a="1"/>
  <c r="H1860" i="5" a="1"/>
  <c r="H1850" i="5" a="1"/>
  <c r="H1840" i="5" a="1"/>
  <c r="H1830" i="5" a="1"/>
  <c r="H1999" i="5" a="1"/>
  <c r="H1989" i="5" a="1"/>
  <c r="H1979" i="5" a="1"/>
  <c r="H1969" i="5" a="1"/>
  <c r="H1959" i="5" a="1"/>
  <c r="H1949" i="5" a="1"/>
  <c r="H1939" i="5" a="1"/>
  <c r="H1929" i="5" a="1"/>
  <c r="H1919" i="5" a="1"/>
  <c r="H1909" i="5" a="1"/>
  <c r="H1899" i="5" a="1"/>
  <c r="H1889" i="5" a="1"/>
  <c r="H1879" i="5" a="1"/>
  <c r="H1869" i="5" a="1"/>
  <c r="H1859" i="5" a="1"/>
  <c r="H1849" i="5" a="1"/>
  <c r="H1839" i="5" a="1"/>
  <c r="H1829" i="5" a="1"/>
  <c r="H1819" i="5" a="1"/>
  <c r="H1809" i="5" a="1"/>
  <c r="H1799" i="5" a="1"/>
  <c r="H1789" i="5" a="1"/>
  <c r="H1779" i="5" a="1"/>
  <c r="H1769" i="5" a="1"/>
  <c r="H1759" i="5" a="1"/>
  <c r="H1749" i="5" a="1"/>
  <c r="H1739" i="5" a="1"/>
  <c r="H1729" i="5" a="1"/>
  <c r="H1719" i="5" a="1"/>
  <c r="H1709" i="5" a="1"/>
  <c r="H1699" i="5" a="1"/>
  <c r="H1689" i="5" a="1"/>
  <c r="H1679" i="5" a="1"/>
  <c r="H1669" i="5" a="1"/>
  <c r="H1659" i="5" a="1"/>
  <c r="H1649" i="5" a="1"/>
  <c r="H1639" i="5" a="1"/>
  <c r="H1629" i="5" a="1"/>
  <c r="H1619" i="5" a="1"/>
  <c r="H1609" i="5" a="1"/>
  <c r="H1599" i="5" a="1"/>
  <c r="H1589" i="5" a="1"/>
  <c r="H1579" i="5" a="1"/>
  <c r="H1569" i="5" a="1"/>
  <c r="H1559" i="5" a="1"/>
  <c r="H1549" i="5" a="1"/>
  <c r="H1539" i="5" a="1"/>
  <c r="H1529" i="5" a="1"/>
  <c r="H1519" i="5" a="1"/>
  <c r="H1509" i="5" a="1"/>
  <c r="H1499" i="5" a="1"/>
  <c r="H1489" i="5" a="1"/>
  <c r="H1479" i="5" a="1"/>
  <c r="H1469" i="5" a="1"/>
  <c r="H1459" i="5" a="1"/>
  <c r="H1449" i="5" a="1"/>
  <c r="H1439" i="5" a="1"/>
  <c r="H1429" i="5" a="1"/>
  <c r="H1419" i="5" a="1"/>
  <c r="H1409" i="5" a="1"/>
  <c r="H1399" i="5" a="1"/>
  <c r="H1389" i="5" a="1"/>
  <c r="H1379" i="5" a="1"/>
  <c r="H1369" i="5" a="1"/>
  <c r="H1359" i="5" a="1"/>
  <c r="H1349" i="5" a="1"/>
  <c r="H1339" i="5" a="1"/>
  <c r="H1329" i="5" a="1"/>
  <c r="H1319" i="5" a="1"/>
  <c r="H1309" i="5" a="1"/>
  <c r="H1299" i="5" a="1"/>
  <c r="H1289" i="5" a="1"/>
  <c r="H1279" i="5" a="1"/>
  <c r="H1269" i="5" a="1"/>
  <c r="H1259" i="5" a="1"/>
  <c r="H1249" i="5" a="1"/>
  <c r="H1239" i="5" a="1"/>
  <c r="H1229" i="5" a="1"/>
  <c r="H1219" i="5" a="1"/>
  <c r="H1209" i="5" a="1"/>
  <c r="H1199" i="5" a="1"/>
  <c r="H1189" i="5" a="1"/>
  <c r="H1179" i="5" a="1"/>
  <c r="H1169" i="5" a="1"/>
  <c r="H1159" i="5" a="1"/>
  <c r="H1149" i="5" a="1"/>
  <c r="H1967" i="5" a="1"/>
  <c r="H1937" i="5" a="1"/>
  <c r="H1908" i="5" a="1"/>
  <c r="H1881" i="5" a="1"/>
  <c r="H1781" i="5" a="1"/>
  <c r="H1758" i="5" a="1"/>
  <c r="H1736" i="5" a="1"/>
  <c r="H1715" i="5" a="1"/>
  <c r="H1670" i="5" a="1"/>
  <c r="H1647" i="5" a="1"/>
  <c r="H1627" i="5" a="1"/>
  <c r="H1611" i="5" a="1"/>
  <c r="H1577" i="5" a="1"/>
  <c r="H1561" i="5" a="1"/>
  <c r="H1527" i="5" a="1"/>
  <c r="H1511" i="5" a="1"/>
  <c r="H1477" i="5" a="1"/>
  <c r="H1461" i="5" a="1"/>
  <c r="H1427" i="5" a="1"/>
  <c r="H1411" i="5" a="1"/>
  <c r="H1377" i="5" a="1"/>
  <c r="H1361" i="5" a="1"/>
  <c r="H1327" i="5" a="1"/>
  <c r="H1311" i="5" a="1"/>
  <c r="H1295" i="5" a="1"/>
  <c r="H1250" i="5" a="1"/>
  <c r="H1218" i="5" a="1"/>
  <c r="H1203" i="5" a="1"/>
  <c r="H1187" i="5" a="1"/>
  <c r="H1157" i="5" a="1"/>
  <c r="H1145" i="5" a="1"/>
  <c r="H1135" i="5" a="1"/>
  <c r="H1125" i="5" a="1"/>
  <c r="H1115" i="5" a="1"/>
  <c r="H1105" i="5" a="1"/>
  <c r="H1095" i="5" a="1"/>
  <c r="H1085" i="5" a="1"/>
  <c r="H1075" i="5" a="1"/>
  <c r="H1065" i="5" a="1"/>
  <c r="H1055" i="5" a="1"/>
  <c r="H1045" i="5" a="1"/>
  <c r="H1035" i="5" a="1"/>
  <c r="H1025" i="5" a="1"/>
  <c r="H1015" i="5" a="1"/>
  <c r="H1005" i="5" a="1"/>
  <c r="H995" i="5" a="1"/>
  <c r="H985" i="5" a="1"/>
  <c r="H975" i="5" a="1"/>
  <c r="H965" i="5" a="1"/>
  <c r="H955" i="5" a="1"/>
  <c r="H945" i="5" a="1"/>
  <c r="H935" i="5" a="1"/>
  <c r="H925" i="5" a="1"/>
  <c r="H915" i="5" a="1"/>
  <c r="H905" i="5" a="1"/>
  <c r="H895" i="5" a="1"/>
  <c r="H885" i="5" a="1"/>
  <c r="H875" i="5" a="1"/>
  <c r="H865" i="5" a="1"/>
  <c r="H855" i="5" a="1"/>
  <c r="H845" i="5" a="1"/>
  <c r="H835" i="5" a="1"/>
  <c r="H825" i="5" a="1"/>
  <c r="H815" i="5" a="1"/>
  <c r="H805" i="5" a="1"/>
  <c r="H795" i="5" a="1"/>
  <c r="H785" i="5" a="1"/>
  <c r="H775" i="5" a="1"/>
  <c r="H765" i="5" a="1"/>
  <c r="H755" i="5" a="1"/>
  <c r="H745" i="5" a="1"/>
  <c r="H735" i="5" a="1"/>
  <c r="H725" i="5" a="1"/>
  <c r="H715" i="5" a="1"/>
  <c r="H705" i="5" a="1"/>
  <c r="H695" i="5" a="1"/>
  <c r="H685" i="5" a="1"/>
  <c r="H675" i="5" a="1"/>
  <c r="H665" i="5" a="1"/>
  <c r="H1986" i="5" a="1"/>
  <c r="H1955" i="5" a="1"/>
  <c r="H1896" i="5" a="1"/>
  <c r="H1867" i="5" a="1"/>
  <c r="H1838" i="5" a="1"/>
  <c r="H1771" i="5" a="1"/>
  <c r="H1748" i="5" a="1"/>
  <c r="H1726" i="5" a="1"/>
  <c r="H1705" i="5" a="1"/>
  <c r="H1660" i="5" a="1"/>
  <c r="H1637" i="5" a="1"/>
  <c r="H1586" i="5" a="1"/>
  <c r="H1536" i="5" a="1"/>
  <c r="H1486" i="5" a="1"/>
  <c r="H1436" i="5" a="1"/>
  <c r="H1386" i="5" a="1"/>
  <c r="H1336" i="5" a="1"/>
  <c r="H1288" i="5" a="1"/>
  <c r="H1273" i="5" a="1"/>
  <c r="H1257" i="5" a="1"/>
  <c r="H1226" i="5" a="1"/>
  <c r="H1181" i="5" a="1"/>
  <c r="H1165" i="5" a="1"/>
  <c r="H1151" i="5" a="1"/>
  <c r="H1925" i="5" a="1"/>
  <c r="H1866" i="5" a="1"/>
  <c r="H1837" i="5" a="1"/>
  <c r="H1815" i="5" a="1"/>
  <c r="H1770" i="5" a="1"/>
  <c r="H1747" i="5" a="1"/>
  <c r="H1681" i="5" a="1"/>
  <c r="H1658" i="5" a="1"/>
  <c r="H1636" i="5" a="1"/>
  <c r="H1620" i="5" a="1"/>
  <c r="H1570" i="5" a="1"/>
  <c r="H1520" i="5" a="1"/>
  <c r="H1470" i="5" a="1"/>
  <c r="H1420" i="5" a="1"/>
  <c r="H1370" i="5" a="1"/>
  <c r="H1320" i="5" a="1"/>
  <c r="H1303" i="5" a="1"/>
  <c r="H1287" i="5" a="1"/>
  <c r="H1256" i="5" a="1"/>
  <c r="H1211" i="5" a="1"/>
  <c r="H1195" i="5" a="1"/>
  <c r="H1140" i="5" a="1"/>
  <c r="H1130" i="5" a="1"/>
  <c r="H1120" i="5" a="1"/>
  <c r="H1110" i="5" a="1"/>
  <c r="H1100" i="5" a="1"/>
  <c r="H1090" i="5" a="1"/>
  <c r="H1080" i="5" a="1"/>
  <c r="H1070" i="5" a="1"/>
  <c r="H1060" i="5" a="1"/>
  <c r="H1050" i="5" a="1"/>
  <c r="H1040" i="5" a="1"/>
  <c r="H1030" i="5" a="1"/>
  <c r="H1020" i="5" a="1"/>
  <c r="H1010" i="5" a="1"/>
  <c r="H1000" i="5" a="1"/>
  <c r="H990" i="5" a="1"/>
  <c r="H980" i="5" a="1"/>
  <c r="H1977" i="5" a="1"/>
  <c r="H1946" i="5" a="1"/>
  <c r="H1917" i="5" a="1"/>
  <c r="H1888" i="5" a="1"/>
  <c r="H1861" i="5" a="1"/>
  <c r="H1810" i="5" a="1"/>
  <c r="H1787" i="5" a="1"/>
  <c r="H1721" i="5" a="1"/>
  <c r="H1698" i="5" a="1"/>
  <c r="H1676" i="5" a="1"/>
  <c r="H1655" i="5" a="1"/>
  <c r="H1600" i="5" a="1"/>
  <c r="H1550" i="5" a="1"/>
  <c r="H1500" i="5" a="1"/>
  <c r="H1450" i="5" a="1"/>
  <c r="H1400" i="5" a="1"/>
  <c r="H1350" i="5" a="1"/>
  <c r="H1270" i="5" a="1"/>
  <c r="H1238" i="5" a="1"/>
  <c r="H1223" i="5" a="1"/>
  <c r="H1207" i="5" a="1"/>
  <c r="H1176" i="5" a="1"/>
  <c r="H1148" i="5" a="1"/>
  <c r="H1138" i="5" a="1"/>
  <c r="H1128" i="5" a="1"/>
  <c r="H1118" i="5" a="1"/>
  <c r="H1108" i="5" a="1"/>
  <c r="H1098" i="5" a="1"/>
  <c r="H1088" i="5" a="1"/>
  <c r="H1078" i="5" a="1"/>
  <c r="H1068" i="5" a="1"/>
  <c r="H1058" i="5" a="1"/>
  <c r="H1048" i="5" a="1"/>
  <c r="H1038" i="5" a="1"/>
  <c r="H1028" i="5" a="1"/>
  <c r="H1018" i="5" a="1"/>
  <c r="H1008" i="5" a="1"/>
  <c r="H998" i="5" a="1"/>
  <c r="H988" i="5" a="1"/>
  <c r="H978" i="5" a="1"/>
  <c r="H1976" i="5" a="1"/>
  <c r="H1916" i="5" a="1"/>
  <c r="H1887" i="5" a="1"/>
  <c r="H1858" i="5" a="1"/>
  <c r="H1808" i="5" a="1"/>
  <c r="H1786" i="5" a="1"/>
  <c r="H1765" i="5" a="1"/>
  <c r="H1720" i="5" a="1"/>
  <c r="H1697" i="5" a="1"/>
  <c r="H1615" i="5" a="1"/>
  <c r="H1598" i="5" a="1"/>
  <c r="H1565" i="5" a="1"/>
  <c r="H1548" i="5" a="1"/>
  <c r="H1515" i="5" a="1"/>
  <c r="H1498" i="5" a="1"/>
  <c r="H1465" i="5" a="1"/>
  <c r="H1448" i="5" a="1"/>
  <c r="H1415" i="5" a="1"/>
  <c r="H1398" i="5" a="1"/>
  <c r="H1365" i="5" a="1"/>
  <c r="H1348" i="5" a="1"/>
  <c r="H1315" i="5" a="1"/>
  <c r="H1300" i="5" a="1"/>
  <c r="H1268" i="5" a="1"/>
  <c r="H1253" i="5" a="1"/>
  <c r="H1237" i="5" a="1"/>
  <c r="H1206" i="5" a="1"/>
  <c r="H1161" i="5" a="1"/>
  <c r="H1996" i="5" a="1"/>
  <c r="H1995" i="5" a="1"/>
  <c r="H1938" i="5" a="1"/>
  <c r="H1865" i="5" a="1"/>
  <c r="H1826" i="5" a="1"/>
  <c r="H1797" i="5" a="1"/>
  <c r="H1767" i="5" a="1"/>
  <c r="H1737" i="5" a="1"/>
  <c r="H1708" i="5" a="1"/>
  <c r="H1678" i="5" a="1"/>
  <c r="H1648" i="5" a="1"/>
  <c r="H1601" i="5" a="1"/>
  <c r="H1578" i="5" a="1"/>
  <c r="H1556" i="5" a="1"/>
  <c r="H1467" i="5" a="1"/>
  <c r="H1445" i="5" a="1"/>
  <c r="H1401" i="5" a="1"/>
  <c r="H1378" i="5" a="1"/>
  <c r="H1356" i="5" a="1"/>
  <c r="H1271" i="5" a="1"/>
  <c r="H1210" i="5" a="1"/>
  <c r="H1188" i="5" a="1"/>
  <c r="H1168" i="5" a="1"/>
  <c r="H1109" i="5" a="1"/>
  <c r="H1069" i="5" a="1"/>
  <c r="H1029" i="5" a="1"/>
  <c r="H989" i="5" a="1"/>
  <c r="H952" i="5" a="1"/>
  <c r="H940" i="5" a="1"/>
  <c r="H860" i="5" a="1"/>
  <c r="H849" i="5" a="1"/>
  <c r="H838" i="5" a="1"/>
  <c r="H827" i="5" a="1"/>
  <c r="H816" i="5" a="1"/>
  <c r="H760" i="5" a="1"/>
  <c r="H749" i="5" a="1"/>
  <c r="H738" i="5" a="1"/>
  <c r="H727" i="5" a="1"/>
  <c r="H716" i="5" a="1"/>
  <c r="H1978" i="5" a="1"/>
  <c r="H1936" i="5" a="1"/>
  <c r="H1901" i="5" a="1"/>
  <c r="H1825" i="5" a="1"/>
  <c r="H1796" i="5" a="1"/>
  <c r="H1766" i="5" a="1"/>
  <c r="H1707" i="5" a="1"/>
  <c r="H1677" i="5" a="1"/>
  <c r="H1646" i="5" a="1"/>
  <c r="H1576" i="5" a="1"/>
  <c r="H1490" i="5" a="1"/>
  <c r="H1466" i="5" a="1"/>
  <c r="H1376" i="5" a="1"/>
  <c r="H1291" i="5" a="1"/>
  <c r="H1248" i="5" a="1"/>
  <c r="H1230" i="5" a="1"/>
  <c r="H1208" i="5" a="1"/>
  <c r="H1186" i="5" a="1"/>
  <c r="H1167" i="5" a="1"/>
  <c r="H1122" i="5" a="1"/>
  <c r="H1082" i="5" a="1"/>
  <c r="H1042" i="5" a="1"/>
  <c r="H1002" i="5" a="1"/>
  <c r="H963" i="5" a="1"/>
  <c r="H928" i="5" a="1"/>
  <c r="H916" i="5" a="1"/>
  <c r="H904" i="5" a="1"/>
  <c r="H893" i="5" a="1"/>
  <c r="H882" i="5" a="1"/>
  <c r="H871" i="5" a="1"/>
  <c r="H804" i="5" a="1"/>
  <c r="H793" i="5" a="1"/>
  <c r="H782" i="5" a="1"/>
  <c r="H771" i="5" a="1"/>
  <c r="H704" i="5" a="1"/>
  <c r="H693" i="5" a="1"/>
  <c r="H682" i="5" a="1"/>
  <c r="H671" i="5" a="1"/>
  <c r="H660" i="5" a="1"/>
  <c r="H650" i="5" a="1"/>
  <c r="H640" i="5" a="1"/>
  <c r="H630" i="5" a="1"/>
  <c r="H620" i="5" a="1"/>
  <c r="H1968" i="5" a="1"/>
  <c r="H1931" i="5" a="1"/>
  <c r="H1855" i="5" a="1"/>
  <c r="H1966" i="5" a="1"/>
  <c r="H1928" i="5" a="1"/>
  <c r="H1891" i="5" a="1"/>
  <c r="H1851" i="5" a="1"/>
  <c r="H1818" i="5" a="1"/>
  <c r="H1788" i="5" a="1"/>
  <c r="H1757" i="5" a="1"/>
  <c r="H1730" i="5" a="1"/>
  <c r="H1700" i="5" a="1"/>
  <c r="H1668" i="5" a="1"/>
  <c r="H1641" i="5" a="1"/>
  <c r="H1616" i="5" a="1"/>
  <c r="H1526" i="5" a="1"/>
  <c r="H1440" i="5" a="1"/>
  <c r="H1416" i="5" a="1"/>
  <c r="H1326" i="5" a="1"/>
  <c r="H1285" i="5" a="1"/>
  <c r="H1183" i="5" a="1"/>
  <c r="H1132" i="5" a="1"/>
  <c r="H1092" i="5" a="1"/>
  <c r="H1052" i="5" a="1"/>
  <c r="H1012" i="5" a="1"/>
  <c r="H972" i="5" a="1"/>
  <c r="H960" i="5" a="1"/>
  <c r="H913" i="5" a="1"/>
  <c r="H890" i="5" a="1"/>
  <c r="H879" i="5" a="1"/>
  <c r="H868" i="5" a="1"/>
  <c r="H857" i="5" a="1"/>
  <c r="H846" i="5" a="1"/>
  <c r="H790" i="5" a="1"/>
  <c r="H779" i="5" a="1"/>
  <c r="H768" i="5" a="1"/>
  <c r="H757" i="5" a="1"/>
  <c r="H746" i="5" a="1"/>
  <c r="H690" i="5" a="1"/>
  <c r="H679" i="5" a="1"/>
  <c r="H668" i="5" a="1"/>
  <c r="H1918" i="5" a="1"/>
  <c r="H1875" i="5" a="1"/>
  <c r="H1827" i="5" a="1"/>
  <c r="H1791" i="5" a="1"/>
  <c r="H1687" i="5" a="1"/>
  <c r="H1595" i="5" a="1"/>
  <c r="H1568" i="5" a="1"/>
  <c r="H1517" i="5" a="1"/>
  <c r="H1438" i="5" a="1"/>
  <c r="H1387" i="5" a="1"/>
  <c r="H1335" i="5" a="1"/>
  <c r="H1307" i="5" a="1"/>
  <c r="H1235" i="5" a="1"/>
  <c r="H1213" i="5" a="1"/>
  <c r="H1163" i="5" a="1"/>
  <c r="H1143" i="5" a="1"/>
  <c r="H1127" i="5" a="1"/>
  <c r="H1081" i="5" a="1"/>
  <c r="H1064" i="5" a="1"/>
  <c r="H1049" i="5" a="1"/>
  <c r="H1003" i="5" a="1"/>
  <c r="H986" i="5" a="1"/>
  <c r="H971" i="5" a="1"/>
  <c r="H957" i="5" a="1"/>
  <c r="H930" i="5" a="1"/>
  <c r="H902" i="5" a="1"/>
  <c r="H876" i="5" a="1"/>
  <c r="H863" i="5" a="1"/>
  <c r="H850" i="5" a="1"/>
  <c r="H823" i="5" a="1"/>
  <c r="H810" i="5" a="1"/>
  <c r="H772" i="5" a="1"/>
  <c r="H758" i="5" a="1"/>
  <c r="H732" i="5" a="1"/>
  <c r="H719" i="5" a="1"/>
  <c r="H643" i="5" a="1"/>
  <c r="H619" i="5" a="1"/>
  <c r="H608" i="5" a="1"/>
  <c r="H530" i="5" a="1"/>
  <c r="H519" i="5" a="1"/>
  <c r="H508" i="5" a="1"/>
  <c r="H430" i="5" a="1"/>
  <c r="H419" i="5" a="1"/>
  <c r="H409" i="5" a="1"/>
  <c r="H399" i="5" a="1"/>
  <c r="H389" i="5" a="1"/>
  <c r="H379" i="5" a="1"/>
  <c r="H369" i="5" a="1"/>
  <c r="H359" i="5" a="1"/>
  <c r="H349" i="5" a="1"/>
  <c r="H339" i="5" a="1"/>
  <c r="H329" i="5" a="1"/>
  <c r="H319" i="5" a="1"/>
  <c r="H309" i="5" a="1"/>
  <c r="H299" i="5" a="1"/>
  <c r="H289" i="5" a="1"/>
  <c r="H279" i="5" a="1"/>
  <c r="H269" i="5" a="1"/>
  <c r="H259" i="5" a="1"/>
  <c r="H249" i="5" a="1"/>
  <c r="H239" i="5" a="1"/>
  <c r="H229" i="5" a="1"/>
  <c r="H219" i="5" a="1"/>
  <c r="H209" i="5" a="1"/>
  <c r="H199" i="5" a="1"/>
  <c r="H1965" i="5" a="1"/>
  <c r="H1790" i="5" a="1"/>
  <c r="H1755" i="5" a="1"/>
  <c r="H1718" i="5" a="1"/>
  <c r="H1686" i="5" a="1"/>
  <c r="H1651" i="5" a="1"/>
  <c r="H1621" i="5" a="1"/>
  <c r="H1567" i="5" a="1"/>
  <c r="H1516" i="5" a="1"/>
  <c r="H1491" i="5" a="1"/>
  <c r="H1437" i="5" a="1"/>
  <c r="H1385" i="5" a="1"/>
  <c r="H1360" i="5" a="1"/>
  <c r="H1331" i="5" a="1"/>
  <c r="H1306" i="5" a="1"/>
  <c r="H1260" i="5" a="1"/>
  <c r="H1185" i="5" a="1"/>
  <c r="H1112" i="5" a="1"/>
  <c r="H1096" i="5" a="1"/>
  <c r="H1033" i="5" a="1"/>
  <c r="H1017" i="5" a="1"/>
  <c r="H970" i="5" a="1"/>
  <c r="H943" i="5" a="1"/>
  <c r="H901" i="5" a="1"/>
  <c r="H888" i="5" a="1"/>
  <c r="H836" i="5" a="1"/>
  <c r="H797" i="5" a="1"/>
  <c r="H784" i="5" a="1"/>
  <c r="H770" i="5" a="1"/>
  <c r="H744" i="5" a="1"/>
  <c r="H706" i="5" a="1"/>
  <c r="H692" i="5" a="1"/>
  <c r="H666" i="5" a="1"/>
  <c r="H654" i="5" a="1"/>
  <c r="H631" i="5" a="1"/>
  <c r="H607" i="5" a="1"/>
  <c r="H596" i="5" a="1"/>
  <c r="H585" i="5" a="1"/>
  <c r="H574" i="5" a="1"/>
  <c r="H563" i="5" a="1"/>
  <c r="H552" i="5" a="1"/>
  <c r="H541" i="5" a="1"/>
  <c r="H507" i="5" a="1"/>
  <c r="H496" i="5" a="1"/>
  <c r="H485" i="5" a="1"/>
  <c r="H474" i="5" a="1"/>
  <c r="H463" i="5" a="1"/>
  <c r="H452" i="5" a="1"/>
  <c r="H441" i="5" a="1"/>
  <c r="H1906" i="5" a="1"/>
  <c r="H1856" i="5" a="1"/>
  <c r="H1816" i="5" a="1"/>
  <c r="H1780" i="5" a="1"/>
  <c r="H1746" i="5" a="1"/>
  <c r="H1675" i="5" a="1"/>
  <c r="H1588" i="5" a="1"/>
  <c r="H1537" i="5" a="1"/>
  <c r="H1508" i="5" a="1"/>
  <c r="H1481" i="5" a="1"/>
  <c r="H1456" i="5" a="1"/>
  <c r="H1380" i="5" a="1"/>
  <c r="H1325" i="5" a="1"/>
  <c r="H1301" i="5" a="1"/>
  <c r="H1276" i="5" a="1"/>
  <c r="H1228" i="5" a="1"/>
  <c r="H1180" i="5" a="1"/>
  <c r="H1139" i="5" a="1"/>
  <c r="H1061" i="5" a="1"/>
  <c r="H1013" i="5" a="1"/>
  <c r="H982" i="5" a="1"/>
  <c r="H967" i="5" a="1"/>
  <c r="H939" i="5" a="1"/>
  <c r="H898" i="5" a="1"/>
  <c r="H807" i="5" a="1"/>
  <c r="H794" i="5" a="1"/>
  <c r="H780" i="5" a="1"/>
  <c r="H767" i="5" a="1"/>
  <c r="H754" i="5" a="1"/>
  <c r="H702" i="5" a="1"/>
  <c r="H676" i="5" a="1"/>
  <c r="H663" i="5" a="1"/>
  <c r="H639" i="5" a="1"/>
  <c r="H627" i="5" a="1"/>
  <c r="H560" i="5" a="1"/>
  <c r="H549" i="5" a="1"/>
  <c r="H538" i="5" a="1"/>
  <c r="H460" i="5" a="1"/>
  <c r="H449" i="5" a="1"/>
  <c r="H438" i="5" a="1"/>
  <c r="H416" i="5" a="1"/>
  <c r="H406" i="5" a="1"/>
  <c r="H396" i="5" a="1"/>
  <c r="H386" i="5" a="1"/>
  <c r="H376" i="5" a="1"/>
  <c r="H366" i="5" a="1"/>
  <c r="H356" i="5" a="1"/>
  <c r="H346" i="5" a="1"/>
  <c r="H336" i="5" a="1"/>
  <c r="H326" i="5" a="1"/>
  <c r="H316" i="5" a="1"/>
  <c r="H306" i="5" a="1"/>
  <c r="H296" i="5" a="1"/>
  <c r="H286" i="5" a="1"/>
  <c r="H276" i="5" a="1"/>
  <c r="H266" i="5" a="1"/>
  <c r="H256" i="5" a="1"/>
  <c r="H246" i="5" a="1"/>
  <c r="H236" i="5" a="1"/>
  <c r="H226" i="5" a="1"/>
  <c r="H216" i="5" a="1"/>
  <c r="H206" i="5" a="1"/>
  <c r="H196" i="5" a="1"/>
  <c r="H1987" i="5" a="1"/>
  <c r="H1868" i="5" a="1"/>
  <c r="H1585" i="5" a="1"/>
  <c r="H1555" i="5" a="1"/>
  <c r="H1495" i="5" a="1"/>
  <c r="H1431" i="5" a="1"/>
  <c r="H1371" i="5" a="1"/>
  <c r="H1341" i="5" a="1"/>
  <c r="H1310" i="5" a="1"/>
  <c r="H1280" i="5" a="1"/>
  <c r="H1196" i="5" a="1"/>
  <c r="H1170" i="5" a="1"/>
  <c r="H1087" i="5" a="1"/>
  <c r="H1071" i="5" a="1"/>
  <c r="H977" i="5" a="1"/>
  <c r="H961" i="5" a="1"/>
  <c r="H927" i="5" a="1"/>
  <c r="H911" i="5" a="1"/>
  <c r="H896" i="5" a="1"/>
  <c r="H880" i="5" a="1"/>
  <c r="H851" i="5" a="1"/>
  <c r="H803" i="5" a="1"/>
  <c r="H788" i="5" a="1"/>
  <c r="H742" i="5" a="1"/>
  <c r="H726" i="5" a="1"/>
  <c r="H711" i="5" a="1"/>
  <c r="H681" i="5" a="1"/>
  <c r="H651" i="5" a="1"/>
  <c r="H610" i="5" a="1"/>
  <c r="H597" i="5" a="1"/>
  <c r="H570" i="5" a="1"/>
  <c r="H557" i="5" a="1"/>
  <c r="H1907" i="5" a="1"/>
  <c r="H1847" i="5" a="1"/>
  <c r="H1725" i="5" a="1"/>
  <c r="H1685" i="5" a="1"/>
  <c r="H1640" i="5" a="1"/>
  <c r="H1608" i="5" a="1"/>
  <c r="H1580" i="5" a="1"/>
  <c r="H1546" i="5" a="1"/>
  <c r="H1518" i="5" a="1"/>
  <c r="H1485" i="5" a="1"/>
  <c r="H1455" i="5" a="1"/>
  <c r="H1425" i="5" a="1"/>
  <c r="H1245" i="5" a="1"/>
  <c r="H1216" i="5" a="1"/>
  <c r="H1102" i="5" a="1"/>
  <c r="H1084" i="5" a="1"/>
  <c r="H1046" i="5" a="1"/>
  <c r="H1009" i="5" a="1"/>
  <c r="H992" i="5" a="1"/>
  <c r="H973" i="5" a="1"/>
  <c r="H956" i="5" a="1"/>
  <c r="H941" i="5" a="1"/>
  <c r="H923" i="5" a="1"/>
  <c r="H908" i="5" a="1"/>
  <c r="H892" i="5" a="1"/>
  <c r="H877" i="5" a="1"/>
  <c r="H830" i="5" a="1"/>
  <c r="H753" i="5" a="1"/>
  <c r="H708" i="5" a="1"/>
  <c r="H647" i="5" a="1"/>
  <c r="H634" i="5" a="1"/>
  <c r="H621" i="5" a="1"/>
  <c r="H606" i="5" a="1"/>
  <c r="H593" i="5" a="1"/>
  <c r="H580" i="5" a="1"/>
  <c r="H567" i="5" a="1"/>
  <c r="H542" i="5" a="1"/>
  <c r="H528" i="5" a="1"/>
  <c r="H502" i="5" a="1"/>
  <c r="H489" i="5" a="1"/>
  <c r="H476" i="5" a="1"/>
  <c r="H436" i="5" a="1"/>
  <c r="H400" i="5" a="1"/>
  <c r="H364" i="5" a="1"/>
  <c r="H341" i="5" a="1"/>
  <c r="H317" i="5" a="1"/>
  <c r="H305" i="5" a="1"/>
  <c r="H282" i="5" a="1"/>
  <c r="H258" i="5" a="1"/>
  <c r="H247" i="5" a="1"/>
  <c r="H1958" i="5" a="1"/>
  <c r="H1846" i="5" a="1"/>
  <c r="H1805" i="5" a="1"/>
  <c r="H1638" i="5" a="1"/>
  <c r="H1607" i="5" a="1"/>
  <c r="H1330" i="5" a="1"/>
  <c r="H1298" i="5" a="1"/>
  <c r="H1190" i="5" a="1"/>
  <c r="H1158" i="5" a="1"/>
  <c r="H1137" i="5" a="1"/>
  <c r="H1119" i="5" a="1"/>
  <c r="H1063" i="5" a="1"/>
  <c r="H1026" i="5" a="1"/>
  <c r="H907" i="5" a="1"/>
  <c r="H861" i="5" a="1"/>
  <c r="H844" i="5" a="1"/>
  <c r="H814" i="5" a="1"/>
  <c r="H799" i="5" a="1"/>
  <c r="H737" i="5" a="1"/>
  <c r="H722" i="5" a="1"/>
  <c r="H691" i="5" a="1"/>
  <c r="H661" i="5" a="1"/>
  <c r="H554" i="5" a="1"/>
  <c r="H540" i="5" a="1"/>
  <c r="H527" i="5" a="1"/>
  <c r="H514" i="5" a="1"/>
  <c r="H462" i="5" a="1"/>
  <c r="H423" i="5" a="1"/>
  <c r="H411" i="5" a="1"/>
  <c r="H387" i="5" a="1"/>
  <c r="H375" i="5" a="1"/>
  <c r="H352" i="5" a="1"/>
  <c r="H328" i="5" a="1"/>
  <c r="H293" i="5" a="1"/>
  <c r="H270" i="5" a="1"/>
  <c r="H235" i="5" a="1"/>
  <c r="H224" i="5" a="1"/>
  <c r="H213" i="5" a="1"/>
  <c r="H202" i="5" a="1"/>
  <c r="H191" i="5" a="1"/>
  <c r="H181" i="5" a="1"/>
  <c r="H171" i="5" a="1"/>
  <c r="H161" i="5" a="1"/>
  <c r="H151" i="5" a="1"/>
  <c r="H141" i="5" a="1"/>
  <c r="H131" i="5" a="1"/>
  <c r="H121" i="5" a="1"/>
  <c r="H111" i="5" a="1"/>
  <c r="H101" i="5" a="1"/>
  <c r="H1957" i="5" a="1"/>
  <c r="H1905" i="5" a="1"/>
  <c r="H1761" i="5" a="1"/>
  <c r="H1717" i="5" a="1"/>
  <c r="H1680" i="5" a="1"/>
  <c r="H1606" i="5" a="1"/>
  <c r="H1575" i="5" a="1"/>
  <c r="H1545" i="5" a="1"/>
  <c r="H1391" i="5" a="1"/>
  <c r="H1328" i="5" a="1"/>
  <c r="H1297" i="5" a="1"/>
  <c r="H1243" i="5" a="1"/>
  <c r="H1215" i="5" a="1"/>
  <c r="H1156" i="5" a="1"/>
  <c r="H1117" i="5" a="1"/>
  <c r="H1101" i="5" a="1"/>
  <c r="H1083" i="5" a="1"/>
  <c r="H1044" i="5" a="1"/>
  <c r="H1007" i="5" a="1"/>
  <c r="H991" i="5" a="1"/>
  <c r="H938" i="5" a="1"/>
  <c r="H922" i="5" a="1"/>
  <c r="H891" i="5" a="1"/>
  <c r="H859" i="5" a="1"/>
  <c r="H829" i="5" a="1"/>
  <c r="H783" i="5" a="1"/>
  <c r="H752" i="5" a="1"/>
  <c r="H707" i="5" a="1"/>
  <c r="H646" i="5" a="1"/>
  <c r="H633" i="5" a="1"/>
  <c r="H618" i="5" a="1"/>
  <c r="H605" i="5" a="1"/>
  <c r="H592" i="5" a="1"/>
  <c r="H579" i="5" a="1"/>
  <c r="H566" i="5" a="1"/>
  <c r="H526" i="5" a="1"/>
  <c r="H501" i="5" a="1"/>
  <c r="H488" i="5" a="1"/>
  <c r="H475" i="5" a="1"/>
  <c r="H448" i="5" a="1"/>
  <c r="H435" i="5" a="1"/>
  <c r="H398" i="5" a="1"/>
  <c r="H363" i="5" a="1"/>
  <c r="H340" i="5" a="1"/>
  <c r="H304" i="5" a="1"/>
  <c r="H281" i="5" a="1"/>
  <c r="H257" i="5" a="1"/>
  <c r="H1945" i="5" a="1"/>
  <c r="H1795" i="5" a="1"/>
  <c r="H1751" i="5" a="1"/>
  <c r="H1710" i="5" a="1"/>
  <c r="H1666" i="5" a="1"/>
  <c r="H1630" i="5" a="1"/>
  <c r="H1597" i="5" a="1"/>
  <c r="H1566" i="5" a="1"/>
  <c r="H1538" i="5" a="1"/>
  <c r="H1505" i="5" a="1"/>
  <c r="H1475" i="5" a="1"/>
  <c r="H1351" i="5" a="1"/>
  <c r="H1293" i="5" a="1"/>
  <c r="H1263" i="5" a="1"/>
  <c r="H1205" i="5" a="1"/>
  <c r="H1177" i="5" a="1"/>
  <c r="H1114" i="5" a="1"/>
  <c r="H1094" i="5" a="1"/>
  <c r="H1076" i="5" a="1"/>
  <c r="H1022" i="5" a="1"/>
  <c r="H1004" i="5" a="1"/>
  <c r="H950" i="5" a="1"/>
  <c r="H934" i="5" a="1"/>
  <c r="H919" i="5" a="1"/>
  <c r="H870" i="5" a="1"/>
  <c r="H841" i="5" a="1"/>
  <c r="H809" i="5" a="1"/>
  <c r="H778" i="5" a="1"/>
  <c r="H748" i="5" a="1"/>
  <c r="H733" i="5" a="1"/>
  <c r="H701" i="5" a="1"/>
  <c r="H672" i="5" a="1"/>
  <c r="H602" i="5" a="1"/>
  <c r="H589" i="5" a="1"/>
  <c r="H576" i="5" a="1"/>
  <c r="H536" i="5" a="1"/>
  <c r="H511" i="5" a="1"/>
  <c r="H498" i="5" a="1"/>
  <c r="H484" i="5" a="1"/>
  <c r="H471" i="5" a="1"/>
  <c r="H458" i="5" a="1"/>
  <c r="H445" i="5" a="1"/>
  <c r="H1998" i="5" a="1"/>
  <c r="H1921" i="5" a="1"/>
  <c r="H1541" i="5" a="1"/>
  <c r="H1501" i="5" a="1"/>
  <c r="H1460" i="5" a="1"/>
  <c r="H1418" i="5" a="1"/>
  <c r="H1261" i="5" a="1"/>
  <c r="H1221" i="5" a="1"/>
  <c r="H1147" i="5" a="1"/>
  <c r="H1124" i="5" a="1"/>
  <c r="H1099" i="5" a="1"/>
  <c r="H1051" i="5" a="1"/>
  <c r="H953" i="5" a="1"/>
  <c r="H910" i="5" a="1"/>
  <c r="H889" i="5" a="1"/>
  <c r="H848" i="5" a="1"/>
  <c r="H828" i="5" a="1"/>
  <c r="H664" i="5" a="1"/>
  <c r="H645" i="5" a="1"/>
  <c r="H626" i="5" a="1"/>
  <c r="H591" i="5" a="1"/>
  <c r="H506" i="5" a="1"/>
  <c r="H491" i="5" a="1"/>
  <c r="H473" i="5" a="1"/>
  <c r="H442" i="5" a="1"/>
  <c r="H412" i="5" a="1"/>
  <c r="H383" i="5" a="1"/>
  <c r="H370" i="5" a="1"/>
  <c r="H327" i="5" a="1"/>
  <c r="H273" i="5" a="1"/>
  <c r="H260" i="5" a="1"/>
  <c r="H232" i="5" a="1"/>
  <c r="H182" i="5" a="1"/>
  <c r="H169" i="5" a="1"/>
  <c r="H146" i="5" a="1"/>
  <c r="H123" i="5" a="1"/>
  <c r="H110" i="5" a="1"/>
  <c r="H228" i="5" a="1"/>
  <c r="H154" i="5" a="1"/>
  <c r="H1150" i="5" a="1"/>
  <c r="H954" i="5" a="1"/>
  <c r="H766" i="5" a="1"/>
  <c r="H611" i="5" a="1"/>
  <c r="H1997" i="5" a="1"/>
  <c r="H1915" i="5" a="1"/>
  <c r="H1841" i="5" a="1"/>
  <c r="H1731" i="5" a="1"/>
  <c r="H1671" i="5" a="1"/>
  <c r="H1625" i="5" a="1"/>
  <c r="H1458" i="5" a="1"/>
  <c r="H1417" i="5" a="1"/>
  <c r="H1375" i="5" a="1"/>
  <c r="H1340" i="5" a="1"/>
  <c r="H1258" i="5" a="1"/>
  <c r="H1123" i="5" a="1"/>
  <c r="H1073" i="5" a="1"/>
  <c r="H1023" i="5" a="1"/>
  <c r="H999" i="5" a="1"/>
  <c r="H976" i="5" a="1"/>
  <c r="H932" i="5" a="1"/>
  <c r="H787" i="5" a="1"/>
  <c r="H703" i="5" a="1"/>
  <c r="H684" i="5" a="1"/>
  <c r="H609" i="5" a="1"/>
  <c r="H590" i="5" a="1"/>
  <c r="H573" i="5" a="1"/>
  <c r="H556" i="5" a="1"/>
  <c r="H537" i="5" a="1"/>
  <c r="H522" i="5" a="1"/>
  <c r="H490" i="5" a="1"/>
  <c r="H456" i="5" a="1"/>
  <c r="H440" i="5" a="1"/>
  <c r="H425" i="5" a="1"/>
  <c r="H410" i="5" a="1"/>
  <c r="H355" i="5" a="1"/>
  <c r="H342" i="5" a="1"/>
  <c r="H313" i="5" a="1"/>
  <c r="H300" i="5" a="1"/>
  <c r="H244" i="5" a="1"/>
  <c r="H193" i="5" a="1"/>
  <c r="H180" i="5" a="1"/>
  <c r="H157" i="5" a="1"/>
  <c r="H134" i="5" a="1"/>
  <c r="H98" i="5" a="1"/>
  <c r="H215" i="5" a="1"/>
  <c r="H177" i="5" a="1"/>
  <c r="H1421" i="5" a="1"/>
  <c r="H1074" i="5" a="1"/>
  <c r="H869" i="5" a="1"/>
  <c r="H747" i="5" a="1"/>
  <c r="H1836" i="5" a="1"/>
  <c r="H1778" i="5" a="1"/>
  <c r="H1728" i="5" a="1"/>
  <c r="H1667" i="5" a="1"/>
  <c r="H1581" i="5" a="1"/>
  <c r="H1540" i="5" a="1"/>
  <c r="H1497" i="5" a="1"/>
  <c r="H1457" i="5" a="1"/>
  <c r="H1338" i="5" a="1"/>
  <c r="H1220" i="5" a="1"/>
  <c r="H1178" i="5" a="1"/>
  <c r="H1146" i="5" a="1"/>
  <c r="H1097" i="5" a="1"/>
  <c r="H1047" i="5" a="1"/>
  <c r="H997" i="5" a="1"/>
  <c r="H974" i="5" a="1"/>
  <c r="H951" i="5" a="1"/>
  <c r="H909" i="5" a="1"/>
  <c r="H887" i="5" a="1"/>
  <c r="H867" i="5" a="1"/>
  <c r="H847" i="5" a="1"/>
  <c r="H826" i="5" a="1"/>
  <c r="H806" i="5" a="1"/>
  <c r="H764" i="5" a="1"/>
  <c r="H724" i="5" a="1"/>
  <c r="H644" i="5" a="1"/>
  <c r="H625" i="5" a="1"/>
  <c r="H505" i="5" a="1"/>
  <c r="H472" i="5" a="1"/>
  <c r="H395" i="5" a="1"/>
  <c r="H382" i="5" a="1"/>
  <c r="H368" i="5" a="1"/>
  <c r="H285" i="5" a="1"/>
  <c r="H272" i="5" a="1"/>
  <c r="H231" i="5" a="1"/>
  <c r="H218" i="5" a="1"/>
  <c r="H205" i="5" a="1"/>
  <c r="H168" i="5" a="1"/>
  <c r="H145" i="5" a="1"/>
  <c r="H122" i="5" a="1"/>
  <c r="H109" i="5" a="1"/>
  <c r="H1911" i="5" a="1"/>
  <c r="H1835" i="5" a="1"/>
  <c r="H1777" i="5" a="1"/>
  <c r="H1727" i="5" a="1"/>
  <c r="H1618" i="5" a="1"/>
  <c r="H1535" i="5" a="1"/>
  <c r="H1496" i="5" a="1"/>
  <c r="H1337" i="5" a="1"/>
  <c r="H1255" i="5" a="1"/>
  <c r="H1217" i="5" a="1"/>
  <c r="H1175" i="5" a="1"/>
  <c r="H1121" i="5" a="1"/>
  <c r="H1072" i="5" a="1"/>
  <c r="H996" i="5" a="1"/>
  <c r="H931" i="5" a="1"/>
  <c r="H886" i="5" a="1"/>
  <c r="H786" i="5" a="1"/>
  <c r="H763" i="5" a="1"/>
  <c r="H743" i="5" a="1"/>
  <c r="H723" i="5" a="1"/>
  <c r="H700" i="5" a="1"/>
  <c r="H683" i="5" a="1"/>
  <c r="H662" i="5" a="1"/>
  <c r="H642" i="5" a="1"/>
  <c r="H572" i="5" a="1"/>
  <c r="H555" i="5" a="1"/>
  <c r="H521" i="5" a="1"/>
  <c r="H504" i="5" a="1"/>
  <c r="H487" i="5" a="1"/>
  <c r="H470" i="5" a="1"/>
  <c r="H455" i="5" a="1"/>
  <c r="H439" i="5" a="1"/>
  <c r="H424" i="5" a="1"/>
  <c r="H408" i="5" a="1"/>
  <c r="H354" i="5" a="1"/>
  <c r="H325" i="5" a="1"/>
  <c r="H312" i="5" a="1"/>
  <c r="H298" i="5" a="1"/>
  <c r="H243" i="5" a="1"/>
  <c r="H192" i="5" a="1"/>
  <c r="H179" i="5" a="1"/>
  <c r="H156" i="5" a="1"/>
  <c r="H133" i="5" a="1"/>
  <c r="H120" i="5" a="1"/>
  <c r="H97" i="5" a="1"/>
  <c r="H323" i="5" a="1"/>
  <c r="H267" i="5" a="1"/>
  <c r="H241" i="5" a="1"/>
  <c r="H201" i="5" a="1"/>
  <c r="H118" i="5" a="1"/>
  <c r="H1024" i="5" a="1"/>
  <c r="H1001" i="5" a="1"/>
  <c r="H933" i="5" a="1"/>
  <c r="H808" i="5" a="1"/>
  <c r="H1988" i="5" a="1"/>
  <c r="H1898" i="5" a="1"/>
  <c r="H1831" i="5" a="1"/>
  <c r="H1776" i="5" a="1"/>
  <c r="H1716" i="5" a="1"/>
  <c r="H1665" i="5" a="1"/>
  <c r="H1617" i="5" a="1"/>
  <c r="H1531" i="5" a="1"/>
  <c r="H1451" i="5" a="1"/>
  <c r="H1410" i="5" a="1"/>
  <c r="H1144" i="5" a="1"/>
  <c r="H1093" i="5" a="1"/>
  <c r="H1021" i="5" a="1"/>
  <c r="H949" i="5" a="1"/>
  <c r="H929" i="5" a="1"/>
  <c r="H906" i="5" a="1"/>
  <c r="H866" i="5" a="1"/>
  <c r="H843" i="5" a="1"/>
  <c r="H824" i="5" a="1"/>
  <c r="H721" i="5" a="1"/>
  <c r="H659" i="5" a="1"/>
  <c r="H624" i="5" a="1"/>
  <c r="H604" i="5" a="1"/>
  <c r="H588" i="5" a="1"/>
  <c r="H571" i="5" a="1"/>
  <c r="H553" i="5" a="1"/>
  <c r="H535" i="5" a="1"/>
  <c r="H520" i="5" a="1"/>
  <c r="H422" i="5" a="1"/>
  <c r="H394" i="5" a="1"/>
  <c r="H381" i="5" a="1"/>
  <c r="H367" i="5" a="1"/>
  <c r="H338" i="5" a="1"/>
  <c r="H284" i="5" a="1"/>
  <c r="H271" i="5" a="1"/>
  <c r="H255" i="5" a="1"/>
  <c r="H230" i="5" a="1"/>
  <c r="H217" i="5" a="1"/>
  <c r="H204" i="5" a="1"/>
  <c r="H190" i="5" a="1"/>
  <c r="H167" i="5" a="1"/>
  <c r="H144" i="5" a="1"/>
  <c r="H108" i="5" a="1"/>
  <c r="H365" i="5" a="1"/>
  <c r="H1985" i="5" a="1"/>
  <c r="H1897" i="5" a="1"/>
  <c r="H1828" i="5" a="1"/>
  <c r="H1775" i="5" a="1"/>
  <c r="H1408" i="5" a="1"/>
  <c r="H1368" i="5" a="1"/>
  <c r="H1290" i="5" a="1"/>
  <c r="H1251" i="5" a="1"/>
  <c r="H1142" i="5" a="1"/>
  <c r="H1116" i="5" a="1"/>
  <c r="H1043" i="5" a="1"/>
  <c r="H994" i="5" a="1"/>
  <c r="H969" i="5" a="1"/>
  <c r="H948" i="5" a="1"/>
  <c r="H884" i="5" a="1"/>
  <c r="H822" i="5" a="1"/>
  <c r="H781" i="5" a="1"/>
  <c r="H762" i="5" a="1"/>
  <c r="H741" i="5" a="1"/>
  <c r="H720" i="5" a="1"/>
  <c r="H699" i="5" a="1"/>
  <c r="H680" i="5" a="1"/>
  <c r="H641" i="5" a="1"/>
  <c r="H623" i="5" a="1"/>
  <c r="H587" i="5" a="1"/>
  <c r="H503" i="5" a="1"/>
  <c r="H486" i="5" a="1"/>
  <c r="H469" i="5" a="1"/>
  <c r="H454" i="5" a="1"/>
  <c r="H437" i="5" a="1"/>
  <c r="H407" i="5" a="1"/>
  <c r="H353" i="5" a="1"/>
  <c r="H324" i="5" a="1"/>
  <c r="H311" i="5" a="1"/>
  <c r="H297" i="5" a="1"/>
  <c r="H268" i="5" a="1"/>
  <c r="H242" i="5" a="1"/>
  <c r="H178" i="5" a="1"/>
  <c r="H155" i="5" a="1"/>
  <c r="H132" i="5" a="1"/>
  <c r="H119" i="5" a="1"/>
  <c r="H96" i="5" a="1"/>
  <c r="H1895" i="5" a="1"/>
  <c r="H1530" i="5" a="1"/>
  <c r="H1447" i="5" a="1"/>
  <c r="H1407" i="5" a="1"/>
  <c r="H1367" i="5" a="1"/>
  <c r="H1286" i="5" a="1"/>
  <c r="H1247" i="5" a="1"/>
  <c r="H1173" i="5" a="1"/>
  <c r="H1091" i="5" a="1"/>
  <c r="H1067" i="5" a="1"/>
  <c r="H1019" i="5" a="1"/>
  <c r="H947" i="5" a="1"/>
  <c r="H926" i="5" a="1"/>
  <c r="H864" i="5" a="1"/>
  <c r="H842" i="5" a="1"/>
  <c r="H802" i="5" a="1"/>
  <c r="H740" i="5" a="1"/>
  <c r="H678" i="5" a="1"/>
  <c r="H658" i="5" a="1"/>
  <c r="H603" i="5" a="1"/>
  <c r="H569" i="5" a="1"/>
  <c r="H551" i="5" a="1"/>
  <c r="H534" i="5" a="1"/>
  <c r="H518" i="5" a="1"/>
  <c r="H421" i="5" a="1"/>
  <c r="H393" i="5" a="1"/>
  <c r="H380" i="5" a="1"/>
  <c r="H351" i="5" a="1"/>
  <c r="H337" i="5" a="1"/>
  <c r="H283" i="5" a="1"/>
  <c r="H254" i="5" a="1"/>
  <c r="H203" i="5" a="1"/>
  <c r="H189" i="5" a="1"/>
  <c r="H166" i="5" a="1"/>
  <c r="H143" i="5" a="1"/>
  <c r="H130" i="5" a="1"/>
  <c r="H107" i="5" a="1"/>
  <c r="H310" i="5" a="1"/>
  <c r="H1975" i="5" a="1"/>
  <c r="H1886" i="5" a="1"/>
  <c r="H1821" i="5" a="1"/>
  <c r="H1711" i="5" a="1"/>
  <c r="H1661" i="5" a="1"/>
  <c r="H1571" i="5" a="1"/>
  <c r="H1528" i="5" a="1"/>
  <c r="H1488" i="5" a="1"/>
  <c r="H1446" i="5" a="1"/>
  <c r="H1406" i="5" a="1"/>
  <c r="H1366" i="5" a="1"/>
  <c r="H1246" i="5" a="1"/>
  <c r="H1141" i="5" a="1"/>
  <c r="H1041" i="5" a="1"/>
  <c r="H993" i="5" a="1"/>
  <c r="H968" i="5" a="1"/>
  <c r="H924" i="5" a="1"/>
  <c r="H903" i="5" a="1"/>
  <c r="H883" i="5" a="1"/>
  <c r="H821" i="5" a="1"/>
  <c r="H801" i="5" a="1"/>
  <c r="H761" i="5" a="1"/>
  <c r="H718" i="5" a="1"/>
  <c r="H698" i="5" a="1"/>
  <c r="H657" i="5" a="1"/>
  <c r="H622" i="5" a="1"/>
  <c r="H586" i="5" a="1"/>
  <c r="H550" i="5" a="1"/>
  <c r="H517" i="5" a="1"/>
  <c r="H500" i="5" a="1"/>
  <c r="H468" i="5" a="1"/>
  <c r="H453" i="5" a="1"/>
  <c r="H420" i="5" a="1"/>
  <c r="H1885" i="5" a="1"/>
  <c r="H1820" i="5" a="1"/>
  <c r="H1768" i="5" a="1"/>
  <c r="H1706" i="5" a="1"/>
  <c r="H1657" i="5" a="1"/>
  <c r="H1610" i="5" a="1"/>
  <c r="H1487" i="5" a="1"/>
  <c r="H1405" i="5" a="1"/>
  <c r="H1321" i="5" a="1"/>
  <c r="H1283" i="5" a="1"/>
  <c r="H1171" i="5" a="1"/>
  <c r="H1089" i="5" a="1"/>
  <c r="H1066" i="5" a="1"/>
  <c r="H1039" i="5" a="1"/>
  <c r="H1016" i="5" a="1"/>
  <c r="H966" i="5" a="1"/>
  <c r="H946" i="5" a="1"/>
  <c r="H900" i="5" a="1"/>
  <c r="H862" i="5" a="1"/>
  <c r="H840" i="5" a="1"/>
  <c r="H820" i="5" a="1"/>
  <c r="H800" i="5" a="1"/>
  <c r="H759" i="5" a="1"/>
  <c r="H739" i="5" a="1"/>
  <c r="H717" i="5" a="1"/>
  <c r="H677" i="5" a="1"/>
  <c r="H656" i="5" a="1"/>
  <c r="H638" i="5" a="1"/>
  <c r="H568" i="5" a="1"/>
  <c r="H533" i="5" a="1"/>
  <c r="H483" i="5" a="1"/>
  <c r="H467" i="5" a="1"/>
  <c r="H434" i="5" a="1"/>
  <c r="H405" i="5" a="1"/>
  <c r="H392" i="5" a="1"/>
  <c r="H378" i="5" a="1"/>
  <c r="H350" i="5" a="1"/>
  <c r="H295" i="5" a="1"/>
  <c r="H253" i="5" a="1"/>
  <c r="H188" i="5" a="1"/>
  <c r="H165" i="5" a="1"/>
  <c r="H142" i="5" a="1"/>
  <c r="H129" i="5" a="1"/>
  <c r="H106" i="5" a="1"/>
  <c r="H1468" i="5" a="1"/>
  <c r="H1956" i="5" a="1"/>
  <c r="H1817" i="5" a="1"/>
  <c r="H1760" i="5" a="1"/>
  <c r="H1656" i="5" a="1"/>
  <c r="H1525" i="5" a="1"/>
  <c r="H1480" i="5" a="1"/>
  <c r="H1358" i="5" a="1"/>
  <c r="H1318" i="5" a="1"/>
  <c r="H1281" i="5" a="1"/>
  <c r="H1241" i="5" a="1"/>
  <c r="H1136" i="5" a="1"/>
  <c r="H1113" i="5" a="1"/>
  <c r="H1062" i="5" a="1"/>
  <c r="H1037" i="5" a="1"/>
  <c r="H1014" i="5" a="1"/>
  <c r="H881" i="5" a="1"/>
  <c r="H858" i="5" a="1"/>
  <c r="H819" i="5" a="1"/>
  <c r="H798" i="5" a="1"/>
  <c r="H777" i="5" a="1"/>
  <c r="H736" i="5" a="1"/>
  <c r="H697" i="5" a="1"/>
  <c r="H674" i="5" a="1"/>
  <c r="H637" i="5" a="1"/>
  <c r="H617" i="5" a="1"/>
  <c r="H601" i="5" a="1"/>
  <c r="H584" i="5" a="1"/>
  <c r="H548" i="5" a="1"/>
  <c r="H516" i="5" a="1"/>
  <c r="H499" i="5" a="1"/>
  <c r="H482" i="5" a="1"/>
  <c r="H451" i="5" a="1"/>
  <c r="H418" i="5" a="1"/>
  <c r="H335" i="5" a="1"/>
  <c r="H322" i="5" a="1"/>
  <c r="H308" i="5" a="1"/>
  <c r="H280" i="5" a="1"/>
  <c r="H240" i="5" a="1"/>
  <c r="H227" i="5" a="1"/>
  <c r="H214" i="5" a="1"/>
  <c r="H200" i="5" a="1"/>
  <c r="H176" i="5" a="1"/>
  <c r="H153" i="5" a="1"/>
  <c r="H140" i="5" a="1"/>
  <c r="H117" i="5" a="1"/>
  <c r="H1951" i="5" a="1"/>
  <c r="H1878" i="5" a="1"/>
  <c r="H1756" i="5" a="1"/>
  <c r="H1650" i="5" a="1"/>
  <c r="H1605" i="5" a="1"/>
  <c r="H1478" i="5" a="1"/>
  <c r="H1441" i="5" a="1"/>
  <c r="H1397" i="5" a="1"/>
  <c r="H1357" i="5" a="1"/>
  <c r="H1317" i="5" a="1"/>
  <c r="H1278" i="5" a="1"/>
  <c r="H1201" i="5" a="1"/>
  <c r="H1166" i="5" a="1"/>
  <c r="H1134" i="5" a="1"/>
  <c r="H987" i="5" a="1"/>
  <c r="H944" i="5" a="1"/>
  <c r="H921" i="5" a="1"/>
  <c r="H899" i="5" a="1"/>
  <c r="H839" i="5" a="1"/>
  <c r="H818" i="5" a="1"/>
  <c r="H756" i="5" a="1"/>
  <c r="H714" i="5" a="1"/>
  <c r="H696" i="5" a="1"/>
  <c r="H655" i="5" a="1"/>
  <c r="H636" i="5" a="1"/>
  <c r="H600" i="5" a="1"/>
  <c r="H583" i="5" a="1"/>
  <c r="H565" i="5" a="1"/>
  <c r="H547" i="5" a="1"/>
  <c r="H532" i="5" a="1"/>
  <c r="H515" i="5" a="1"/>
  <c r="H466" i="5" a="1"/>
  <c r="H450" i="5" a="1"/>
  <c r="H433" i="5" a="1"/>
  <c r="H404" i="5" a="1"/>
  <c r="H391" i="5" a="1"/>
  <c r="H377" i="5" a="1"/>
  <c r="H362" i="5" a="1"/>
  <c r="H348" i="5" a="1"/>
  <c r="H294" i="5" a="1"/>
  <c r="H265" i="5" a="1"/>
  <c r="H252" i="5" a="1"/>
  <c r="H212" i="5" a="1"/>
  <c r="H187" i="5" a="1"/>
  <c r="H164" i="5" a="1"/>
  <c r="H128" i="5" a="1"/>
  <c r="H105" i="5" a="1"/>
  <c r="H1547" i="5" a="1"/>
  <c r="H1948" i="5" a="1"/>
  <c r="H1877" i="5" a="1"/>
  <c r="H1811" i="5" a="1"/>
  <c r="H1701" i="5" a="1"/>
  <c r="H1476" i="5" a="1"/>
  <c r="H1396" i="5" a="1"/>
  <c r="H1355" i="5" a="1"/>
  <c r="H1316" i="5" a="1"/>
  <c r="H1277" i="5" a="1"/>
  <c r="H1240" i="5" a="1"/>
  <c r="H1111" i="5" a="1"/>
  <c r="H1086" i="5" a="1"/>
  <c r="H1036" i="5" a="1"/>
  <c r="H964" i="5" a="1"/>
  <c r="H920" i="5" a="1"/>
  <c r="H796" i="5" a="1"/>
  <c r="H776" i="5" a="1"/>
  <c r="H734" i="5" a="1"/>
  <c r="H673" i="5" a="1"/>
  <c r="H616" i="5" a="1"/>
  <c r="H582" i="5" a="1"/>
  <c r="H513" i="5" a="1"/>
  <c r="H497" i="5" a="1"/>
  <c r="H481" i="5" a="1"/>
  <c r="H447" i="5" a="1"/>
  <c r="H417" i="5" a="1"/>
  <c r="H334" i="5" a="1"/>
  <c r="H321" i="5" a="1"/>
  <c r="H307" i="5" a="1"/>
  <c r="H292" i="5" a="1"/>
  <c r="H278" i="5" a="1"/>
  <c r="H175" i="5" a="1"/>
  <c r="H152" i="5" a="1"/>
  <c r="H139" i="5" a="1"/>
  <c r="H116" i="5" a="1"/>
  <c r="H1628" i="5" a="1"/>
  <c r="H1191" i="5" a="1"/>
  <c r="H1126" i="5" a="1"/>
  <c r="H1027" i="5" a="1"/>
  <c r="H958" i="5" a="1"/>
  <c r="H852" i="5" a="1"/>
  <c r="H686" i="5" a="1"/>
  <c r="H427" i="5" a="1"/>
  <c r="H384" i="5" a="1"/>
  <c r="H261" i="5" a="1"/>
  <c r="H124" i="5" a="1"/>
  <c r="H912" i="5" a="1"/>
  <c r="H1947" i="5" a="1"/>
  <c r="H1876" i="5" a="1"/>
  <c r="H1807" i="5" a="1"/>
  <c r="H1696" i="5" a="1"/>
  <c r="H1645" i="5" a="1"/>
  <c r="H1560" i="5" a="1"/>
  <c r="H1435" i="5" a="1"/>
  <c r="H1236" i="5" a="1"/>
  <c r="H1200" i="5" a="1"/>
  <c r="H1133" i="5" a="1"/>
  <c r="H1059" i="5" a="1"/>
  <c r="H1011" i="5" a="1"/>
  <c r="H984" i="5" a="1"/>
  <c r="H942" i="5" a="1"/>
  <c r="H878" i="5" a="1"/>
  <c r="H856" i="5" a="1"/>
  <c r="H837" i="5" a="1"/>
  <c r="H817" i="5" a="1"/>
  <c r="H713" i="5" a="1"/>
  <c r="H653" i="5" a="1"/>
  <c r="H635" i="5" a="1"/>
  <c r="H615" i="5" a="1"/>
  <c r="H599" i="5" a="1"/>
  <c r="H564" i="5" a="1"/>
  <c r="H546" i="5" a="1"/>
  <c r="H531" i="5" a="1"/>
  <c r="H480" i="5" a="1"/>
  <c r="H465" i="5" a="1"/>
  <c r="H432" i="5" a="1"/>
  <c r="H403" i="5" a="1"/>
  <c r="H390" i="5" a="1"/>
  <c r="H374" i="5" a="1"/>
  <c r="H361" i="5" a="1"/>
  <c r="H347" i="5" a="1"/>
  <c r="H264" i="5" a="1"/>
  <c r="H251" i="5" a="1"/>
  <c r="H238" i="5" a="1"/>
  <c r="H225" i="5" a="1"/>
  <c r="H211" i="5" a="1"/>
  <c r="H198" i="5" a="1"/>
  <c r="H186" i="5" a="1"/>
  <c r="H163" i="5" a="1"/>
  <c r="H150" i="5" a="1"/>
  <c r="H127" i="5" a="1"/>
  <c r="H104" i="5" a="1"/>
  <c r="H1738" i="5" a="1"/>
  <c r="H728" i="5" a="1"/>
  <c r="H233" i="5" a="1"/>
  <c r="H1785" i="5" a="1"/>
  <c r="H1806" i="5" a="1"/>
  <c r="H1750" i="5" a="1"/>
  <c r="H1596" i="5" a="1"/>
  <c r="H1558" i="5" a="1"/>
  <c r="H1521" i="5" a="1"/>
  <c r="H1395" i="5" a="1"/>
  <c r="H1347" i="5" a="1"/>
  <c r="H1275" i="5" a="1"/>
  <c r="H1233" i="5" a="1"/>
  <c r="H1198" i="5" a="1"/>
  <c r="H1160" i="5" a="1"/>
  <c r="H1107" i="5" a="1"/>
  <c r="H1057" i="5" a="1"/>
  <c r="H983" i="5" a="1"/>
  <c r="H962" i="5" a="1"/>
  <c r="H897" i="5" a="1"/>
  <c r="H712" i="5" a="1"/>
  <c r="H694" i="5" a="1"/>
  <c r="H670" i="5" a="1"/>
  <c r="H614" i="5" a="1"/>
  <c r="H581" i="5" a="1"/>
  <c r="H562" i="5" a="1"/>
  <c r="H529" i="5" a="1"/>
  <c r="H512" i="5" a="1"/>
  <c r="H495" i="5" a="1"/>
  <c r="H446" i="5" a="1"/>
  <c r="H333" i="5" a="1"/>
  <c r="H320" i="5" a="1"/>
  <c r="H291" i="5" a="1"/>
  <c r="H277" i="5" a="1"/>
  <c r="H223" i="5" a="1"/>
  <c r="H174" i="5" a="1"/>
  <c r="H138" i="5" a="1"/>
  <c r="H115" i="5" a="1"/>
  <c r="H1590" i="5" a="1"/>
  <c r="H1225" i="5" a="1"/>
  <c r="H789" i="5" a="1"/>
  <c r="H628" i="5" a="1"/>
  <c r="H357" i="5" a="1"/>
  <c r="H147" i="5" a="1"/>
  <c r="H1845" i="5" a="1"/>
  <c r="H1941" i="5" a="1"/>
  <c r="H1871" i="5" a="1"/>
  <c r="H1801" i="5" a="1"/>
  <c r="H1695" i="5" a="1"/>
  <c r="H1635" i="5" a="1"/>
  <c r="H1557" i="5" a="1"/>
  <c r="H1346" i="5" a="1"/>
  <c r="H1267" i="5" a="1"/>
  <c r="H1197" i="5" a="1"/>
  <c r="H1155" i="5" a="1"/>
  <c r="H1131" i="5" a="1"/>
  <c r="H1106" i="5" a="1"/>
  <c r="H1034" i="5" a="1"/>
  <c r="H937" i="5" a="1"/>
  <c r="H918" i="5" a="1"/>
  <c r="H874" i="5" a="1"/>
  <c r="H854" i="5" a="1"/>
  <c r="H834" i="5" a="1"/>
  <c r="H813" i="5" a="1"/>
  <c r="H792" i="5" a="1"/>
  <c r="H774" i="5" a="1"/>
  <c r="H731" i="5" a="1"/>
  <c r="H689" i="5" a="1"/>
  <c r="H652" i="5" a="1"/>
  <c r="H598" i="5" a="1"/>
  <c r="H545" i="5" a="1"/>
  <c r="H479" i="5" a="1"/>
  <c r="H464" i="5" a="1"/>
  <c r="H431" i="5" a="1"/>
  <c r="H415" i="5" a="1"/>
  <c r="H402" i="5" a="1"/>
  <c r="H388" i="5" a="1"/>
  <c r="H373" i="5" a="1"/>
  <c r="H360" i="5" a="1"/>
  <c r="H263" i="5" a="1"/>
  <c r="H250" i="5" a="1"/>
  <c r="H237" i="5" a="1"/>
  <c r="H210" i="5" a="1"/>
  <c r="H197" i="5" a="1"/>
  <c r="H185" i="5" a="1"/>
  <c r="H162" i="5" a="1"/>
  <c r="H149" i="5" a="1"/>
  <c r="H126" i="5" a="1"/>
  <c r="H103" i="5" a="1"/>
  <c r="H1381" i="5" a="1"/>
  <c r="H1053" i="5" a="1"/>
  <c r="H831" i="5" a="1"/>
  <c r="H667" i="5" a="1"/>
  <c r="H524" i="5" a="1"/>
  <c r="H1926" i="5" a="1"/>
  <c r="H1800" i="5" a="1"/>
  <c r="H1745" i="5" a="1"/>
  <c r="H1691" i="5" a="1"/>
  <c r="H1510" i="5" a="1"/>
  <c r="H1430" i="5" a="1"/>
  <c r="H1390" i="5" a="1"/>
  <c r="H1308" i="5" a="1"/>
  <c r="H1266" i="5" a="1"/>
  <c r="H1104" i="5" a="1"/>
  <c r="H1079" i="5" a="1"/>
  <c r="H1056" i="5" a="1"/>
  <c r="H1032" i="5" a="1"/>
  <c r="H1006" i="5" a="1"/>
  <c r="H936" i="5" a="1"/>
  <c r="H917" i="5" a="1"/>
  <c r="H833" i="5" a="1"/>
  <c r="H812" i="5" a="1"/>
  <c r="H773" i="5" a="1"/>
  <c r="H751" i="5" a="1"/>
  <c r="H730" i="5" a="1"/>
  <c r="H710" i="5" a="1"/>
  <c r="H688" i="5" a="1"/>
  <c r="H669" i="5" a="1"/>
  <c r="H632" i="5" a="1"/>
  <c r="H613" i="5" a="1"/>
  <c r="H578" i="5" a="1"/>
  <c r="H561" i="5" a="1"/>
  <c r="H544" i="5" a="1"/>
  <c r="H510" i="5" a="1"/>
  <c r="H494" i="5" a="1"/>
  <c r="H461" i="5" a="1"/>
  <c r="H429" i="5" a="1"/>
  <c r="H345" i="5" a="1"/>
  <c r="H332" i="5" a="1"/>
  <c r="H318" i="5" a="1"/>
  <c r="H303" i="5" a="1"/>
  <c r="H290" i="5" a="1"/>
  <c r="H222" i="5" a="1"/>
  <c r="H173" i="5" a="1"/>
  <c r="H160" i="5" a="1"/>
  <c r="H137" i="5" a="1"/>
  <c r="H114" i="5" a="1"/>
  <c r="H1848" i="5" a="1"/>
  <c r="H170" i="5" a="1"/>
  <c r="H1935" i="5" a="1"/>
  <c r="H1857" i="5" a="1"/>
  <c r="H1798" i="5" a="1"/>
  <c r="H1741" i="5" a="1"/>
  <c r="H1690" i="5" a="1"/>
  <c r="H1631" i="5" a="1"/>
  <c r="H1591" i="5" a="1"/>
  <c r="H1507" i="5" a="1"/>
  <c r="H1428" i="5" a="1"/>
  <c r="H1388" i="5" a="1"/>
  <c r="H1345" i="5" a="1"/>
  <c r="H1305" i="5" a="1"/>
  <c r="H1231" i="5" a="1"/>
  <c r="H1129" i="5" a="1"/>
  <c r="H1077" i="5" a="1"/>
  <c r="H1054" i="5" a="1"/>
  <c r="H981" i="5" a="1"/>
  <c r="H959" i="5" a="1"/>
  <c r="H914" i="5" a="1"/>
  <c r="H873" i="5" a="1"/>
  <c r="H853" i="5" a="1"/>
  <c r="H832" i="5" a="1"/>
  <c r="H791" i="5" a="1"/>
  <c r="H750" i="5" a="1"/>
  <c r="H649" i="5" a="1"/>
  <c r="H595" i="5" a="1"/>
  <c r="H577" i="5" a="1"/>
  <c r="H525" i="5" a="1"/>
  <c r="H493" i="5" a="1"/>
  <c r="H478" i="5" a="1"/>
  <c r="H444" i="5" a="1"/>
  <c r="H414" i="5" a="1"/>
  <c r="H401" i="5" a="1"/>
  <c r="H385" i="5" a="1"/>
  <c r="H372" i="5" a="1"/>
  <c r="H358" i="5" a="1"/>
  <c r="H275" i="5" a="1"/>
  <c r="H262" i="5" a="1"/>
  <c r="H234" i="5" a="1"/>
  <c r="H184" i="5" a="1"/>
  <c r="H148" i="5" a="1"/>
  <c r="H125" i="5" a="1"/>
  <c r="H102" i="5" a="1"/>
  <c r="H979" i="5" a="1"/>
  <c r="H443" i="5" a="1"/>
  <c r="H1735" i="5" a="1"/>
  <c r="H1740" i="5" a="1"/>
  <c r="H1688" i="5" a="1"/>
  <c r="H1551" i="5" a="1"/>
  <c r="H1506" i="5" a="1"/>
  <c r="H1471" i="5" a="1"/>
  <c r="H1426" i="5" a="1"/>
  <c r="H1265" i="5" a="1"/>
  <c r="H1227" i="5" a="1"/>
  <c r="H1193" i="5" a="1"/>
  <c r="H1153" i="5" a="1"/>
  <c r="H1103" i="5" a="1"/>
  <c r="H1031" i="5" a="1"/>
  <c r="H894" i="5" a="1"/>
  <c r="H872" i="5" a="1"/>
  <c r="H811" i="5" a="1"/>
  <c r="H729" i="5" a="1"/>
  <c r="H709" i="5" a="1"/>
  <c r="H687" i="5" a="1"/>
  <c r="H629" i="5" a="1"/>
  <c r="H612" i="5" a="1"/>
  <c r="H559" i="5" a="1"/>
  <c r="H543" i="5" a="1"/>
  <c r="H509" i="5" a="1"/>
  <c r="H477" i="5" a="1"/>
  <c r="H459" i="5" a="1"/>
  <c r="H428" i="5" a="1"/>
  <c r="H344" i="5" a="1"/>
  <c r="H331" i="5" a="1"/>
  <c r="H315" i="5" a="1"/>
  <c r="H302" i="5" a="1"/>
  <c r="H288" i="5" a="1"/>
  <c r="H248" i="5" a="1"/>
  <c r="H221" i="5" a="1"/>
  <c r="H208" i="5" a="1"/>
  <c r="H195" i="5" a="1"/>
  <c r="H172" i="5" a="1"/>
  <c r="H159" i="5" a="1"/>
  <c r="H136" i="5" a="1"/>
  <c r="H113" i="5" a="1"/>
  <c r="H100" i="5" a="1"/>
  <c r="H1927" i="5" a="1"/>
  <c r="H769" i="5" a="1"/>
  <c r="H648" i="5" a="1"/>
  <c r="H594" i="5" a="1"/>
  <c r="H492" i="5" a="1"/>
  <c r="H413" i="5" a="1"/>
  <c r="H371" i="5" a="1"/>
  <c r="H274" i="5" a="1"/>
  <c r="H183" i="5" a="1"/>
  <c r="H1626" i="5" a="1"/>
  <c r="H1587" i="5" a="1"/>
  <c r="H112" i="5" a="1"/>
  <c r="H99" i="5" a="1"/>
  <c r="H1296" i="5" a="1"/>
  <c r="H343" i="5" a="1"/>
  <c r="H330" i="5" a="1"/>
  <c r="H314" i="5" a="1"/>
  <c r="H301" i="5" a="1"/>
  <c r="H287" i="5" a="1"/>
  <c r="H575" i="5" a="1"/>
  <c r="H558" i="5" a="1"/>
  <c r="H539" i="5" a="1"/>
  <c r="H245" i="5" a="1"/>
  <c r="H523" i="5" a="1"/>
  <c r="H135" i="5" a="1"/>
  <c r="H220" i="5" a="1"/>
  <c r="H207" i="5" a="1"/>
  <c r="H194" i="5" a="1"/>
  <c r="H457" i="5" a="1"/>
  <c r="H426" i="5" a="1"/>
  <c r="H158" i="5" a="1"/>
  <c r="H397" i="5" a="1"/>
  <c r="I2004" i="5" a="1"/>
  <c r="I1994" i="5" a="1"/>
  <c r="I1984" i="5" a="1"/>
  <c r="I1980" i="5" a="1"/>
  <c r="I1969" i="5" a="1"/>
  <c r="I1958" i="5" a="1"/>
  <c r="I1947" i="5" a="1"/>
  <c r="I1936" i="5" a="1"/>
  <c r="I1925" i="5" a="1"/>
  <c r="I1902" i="5" a="1"/>
  <c r="I1891" i="5" a="1"/>
  <c r="I1880" i="5" a="1"/>
  <c r="I1869" i="5" a="1"/>
  <c r="I1858" i="5" a="1"/>
  <c r="I1847" i="5" a="1"/>
  <c r="I1836" i="5" a="1"/>
  <c r="I1825" i="5" a="1"/>
  <c r="I1802" i="5" a="1"/>
  <c r="I1791" i="5" a="1"/>
  <c r="I1780" i="5" a="1"/>
  <c r="I1769" i="5" a="1"/>
  <c r="I1758" i="5" a="1"/>
  <c r="I1747" i="5" a="1"/>
  <c r="I1736" i="5" a="1"/>
  <c r="I1725" i="5" a="1"/>
  <c r="I1702" i="5" a="1"/>
  <c r="I1691" i="5" a="1"/>
  <c r="I1680" i="5" a="1"/>
  <c r="I1669" i="5" a="1"/>
  <c r="I1658" i="5" a="1"/>
  <c r="I1647" i="5" a="1"/>
  <c r="I1636" i="5" a="1"/>
  <c r="I1625" i="5" a="1"/>
  <c r="I1602" i="5" a="1"/>
  <c r="I1591" i="5" a="1"/>
  <c r="I1580" i="5" a="1"/>
  <c r="I1569" i="5" a="1"/>
  <c r="I2002" i="5" a="1"/>
  <c r="I1979" i="5" a="1"/>
  <c r="I1968" i="5" a="1"/>
  <c r="I1957" i="5" a="1"/>
  <c r="I1946" i="5" a="1"/>
  <c r="I1935" i="5" a="1"/>
  <c r="I1912" i="5" a="1"/>
  <c r="I1901" i="5" a="1"/>
  <c r="I1890" i="5" a="1"/>
  <c r="I1879" i="5" a="1"/>
  <c r="I1868" i="5" a="1"/>
  <c r="I1857" i="5" a="1"/>
  <c r="I1846" i="5" a="1"/>
  <c r="I1835" i="5" a="1"/>
  <c r="I1989" i="5" a="1"/>
  <c r="I1944" i="5" a="1"/>
  <c r="I1933" i="5" a="1"/>
  <c r="I2000" i="5" a="1"/>
  <c r="I1977" i="5" a="1"/>
  <c r="I1966" i="5" a="1"/>
  <c r="I1955" i="5" a="1"/>
  <c r="I1932" i="5" a="1"/>
  <c r="I1921" i="5" a="1"/>
  <c r="I1910" i="5" a="1"/>
  <c r="I1899" i="5" a="1"/>
  <c r="I1888" i="5" a="1"/>
  <c r="I1877" i="5" a="1"/>
  <c r="I1866" i="5" a="1"/>
  <c r="I1855" i="5" a="1"/>
  <c r="I1832" i="5" a="1"/>
  <c r="I1821" i="5" a="1"/>
  <c r="I1810" i="5" a="1"/>
  <c r="I1799" i="5" a="1"/>
  <c r="I1788" i="5" a="1"/>
  <c r="I1777" i="5" a="1"/>
  <c r="I1766" i="5" a="1"/>
  <c r="I1755" i="5" a="1"/>
  <c r="I1732" i="5" a="1"/>
  <c r="I1721" i="5" a="1"/>
  <c r="I1710" i="5" a="1"/>
  <c r="I1699" i="5" a="1"/>
  <c r="I1688" i="5" a="1"/>
  <c r="I1677" i="5" a="1"/>
  <c r="I1666" i="5" a="1"/>
  <c r="I1655" i="5" a="1"/>
  <c r="I1632" i="5" a="1"/>
  <c r="I1621" i="5" a="1"/>
  <c r="I1610" i="5" a="1"/>
  <c r="I1599" i="5" a="1"/>
  <c r="I1588" i="5" a="1"/>
  <c r="I1577" i="5" a="1"/>
  <c r="I1566" i="5" a="1"/>
  <c r="I1555" i="5" a="1"/>
  <c r="I1532" i="5" a="1"/>
  <c r="I1521" i="5" a="1"/>
  <c r="I1510" i="5" a="1"/>
  <c r="I1499" i="5" a="1"/>
  <c r="I1488" i="5" a="1"/>
  <c r="I1477" i="5" a="1"/>
  <c r="I1466" i="5" a="1"/>
  <c r="I1455" i="5" a="1"/>
  <c r="I1432" i="5" a="1"/>
  <c r="I1421" i="5" a="1"/>
  <c r="I1410" i="5" a="1"/>
  <c r="I1399" i="5" a="1"/>
  <c r="I1388" i="5" a="1"/>
  <c r="I1988" i="5" a="1"/>
  <c r="I1954" i="5" a="1"/>
  <c r="I1943" i="5" a="1"/>
  <c r="I1854" i="5" a="1"/>
  <c r="I1843" i="5" a="1"/>
  <c r="I1754" i="5" a="1"/>
  <c r="I1743" i="5" a="1"/>
  <c r="I1654" i="5" a="1"/>
  <c r="I1643" i="5" a="1"/>
  <c r="I1986" i="5" a="1"/>
  <c r="I1974" i="5" a="1"/>
  <c r="I1963" i="5" a="1"/>
  <c r="I1874" i="5" a="1"/>
  <c r="I1863" i="5" a="1"/>
  <c r="I1774" i="5" a="1"/>
  <c r="I1763" i="5" a="1"/>
  <c r="I1674" i="5" a="1"/>
  <c r="I1663" i="5" a="1"/>
  <c r="I1574" i="5" a="1"/>
  <c r="I1563" i="5" a="1"/>
  <c r="I1474" i="5" a="1"/>
  <c r="I1463" i="5" a="1"/>
  <c r="I1374" i="5" a="1"/>
  <c r="I1363" i="5" a="1"/>
  <c r="I1274" i="5" a="1"/>
  <c r="I1263" i="5" a="1"/>
  <c r="I1174" i="5" a="1"/>
  <c r="I1163" i="5" a="1"/>
  <c r="I1997" i="5" a="1"/>
  <c r="I1962" i="5" a="1"/>
  <c r="I1951" i="5" a="1"/>
  <c r="I1940" i="5" a="1"/>
  <c r="I1929" i="5" a="1"/>
  <c r="I1918" i="5" a="1"/>
  <c r="I1907" i="5" a="1"/>
  <c r="I1896" i="5" a="1"/>
  <c r="I1885" i="5" a="1"/>
  <c r="I1862" i="5" a="1"/>
  <c r="I1851" i="5" a="1"/>
  <c r="I1840" i="5" a="1"/>
  <c r="I1829" i="5" a="1"/>
  <c r="I1818" i="5" a="1"/>
  <c r="I1807" i="5" a="1"/>
  <c r="I1796" i="5" a="1"/>
  <c r="I1785" i="5" a="1"/>
  <c r="I1762" i="5" a="1"/>
  <c r="I1751" i="5" a="1"/>
  <c r="I1740" i="5" a="1"/>
  <c r="I1729" i="5" a="1"/>
  <c r="I1718" i="5" a="1"/>
  <c r="I1707" i="5" a="1"/>
  <c r="I1696" i="5" a="1"/>
  <c r="I1685" i="5" a="1"/>
  <c r="I1662" i="5" a="1"/>
  <c r="I1651" i="5" a="1"/>
  <c r="I1640" i="5" a="1"/>
  <c r="I1629" i="5" a="1"/>
  <c r="I1618" i="5" a="1"/>
  <c r="I1607" i="5" a="1"/>
  <c r="I1596" i="5" a="1"/>
  <c r="I1585" i="5" a="1"/>
  <c r="I1562" i="5" a="1"/>
  <c r="I1551" i="5" a="1"/>
  <c r="I1540" i="5" a="1"/>
  <c r="I1529" i="5" a="1"/>
  <c r="I1518" i="5" a="1"/>
  <c r="I1507" i="5" a="1"/>
  <c r="I1496" i="5" a="1"/>
  <c r="I1485" i="5" a="1"/>
  <c r="I1462" i="5" a="1"/>
  <c r="I1451" i="5" a="1"/>
  <c r="I1440" i="5" a="1"/>
  <c r="I1429" i="5" a="1"/>
  <c r="I1418" i="5" a="1"/>
  <c r="I1407" i="5" a="1"/>
  <c r="I1396" i="5" a="1"/>
  <c r="I1385" i="5" a="1"/>
  <c r="I1362" i="5" a="1"/>
  <c r="I1351" i="5" a="1"/>
  <c r="I1340" i="5" a="1"/>
  <c r="I1329" i="5" a="1"/>
  <c r="I1318" i="5" a="1"/>
  <c r="I1307" i="5" a="1"/>
  <c r="I1296" i="5" a="1"/>
  <c r="I1285" i="5" a="1"/>
  <c r="I1262" i="5" a="1"/>
  <c r="I1251" i="5" a="1"/>
  <c r="I1983" i="5" a="1"/>
  <c r="I1894" i="5" a="1"/>
  <c r="I1883" i="5" a="1"/>
  <c r="I1794" i="5" a="1"/>
  <c r="I1783" i="5" a="1"/>
  <c r="I1694" i="5" a="1"/>
  <c r="I1683" i="5" a="1"/>
  <c r="I1594" i="5" a="1"/>
  <c r="I1583" i="5" a="1"/>
  <c r="I1494" i="5" a="1"/>
  <c r="I1483" i="5" a="1"/>
  <c r="I1394" i="5" a="1"/>
  <c r="I1383" i="5" a="1"/>
  <c r="I1294" i="5" a="1"/>
  <c r="I1283" i="5" a="1"/>
  <c r="I1194" i="5" a="1"/>
  <c r="I1183" i="5" a="1"/>
  <c r="I2003" i="5" a="1"/>
  <c r="I1982" i="5" a="1"/>
  <c r="I1964" i="5" a="1"/>
  <c r="I1927" i="5" a="1"/>
  <c r="I1873" i="5" a="1"/>
  <c r="I1839" i="5" a="1"/>
  <c r="I1822" i="5" a="1"/>
  <c r="I1806" i="5" a="1"/>
  <c r="I1790" i="5" a="1"/>
  <c r="I1775" i="5" a="1"/>
  <c r="I1742" i="5" a="1"/>
  <c r="I1711" i="5" a="1"/>
  <c r="I1695" i="5" a="1"/>
  <c r="I1679" i="5" a="1"/>
  <c r="I1631" i="5" a="1"/>
  <c r="I1908" i="5" a="1"/>
  <c r="I1872" i="5" a="1"/>
  <c r="I1856" i="5" a="1"/>
  <c r="I1838" i="5" a="1"/>
  <c r="I1805" i="5" a="1"/>
  <c r="I1773" i="5" a="1"/>
  <c r="I1726" i="5" a="1"/>
  <c r="I1615" i="5" a="1"/>
  <c r="I1582" i="5" a="1"/>
  <c r="I1568" i="5" a="1"/>
  <c r="I1554" i="5" a="1"/>
  <c r="I2001" i="5" a="1"/>
  <c r="I1981" i="5" a="1"/>
  <c r="I1945" i="5" a="1"/>
  <c r="I1926" i="5" a="1"/>
  <c r="I1889" i="5" a="1"/>
  <c r="I1871" i="5" a="1"/>
  <c r="I1820" i="5" a="1"/>
  <c r="I1804" i="5" a="1"/>
  <c r="I1789" i="5" a="1"/>
  <c r="I1772" i="5" a="1"/>
  <c r="I1757" i="5" a="1"/>
  <c r="I1741" i="5" a="1"/>
  <c r="I1709" i="5" a="1"/>
  <c r="I1999" i="5" a="1"/>
  <c r="I1961" i="5" a="1"/>
  <c r="I1942" i="5" a="1"/>
  <c r="I1906" i="5" a="1"/>
  <c r="I1837" i="5" a="1"/>
  <c r="I1771" i="5" a="1"/>
  <c r="I1724" i="5" a="1"/>
  <c r="I1692" i="5" a="1"/>
  <c r="I1660" i="5" a="1"/>
  <c r="I1613" i="5" a="1"/>
  <c r="I1581" i="5" a="1"/>
  <c r="I1567" i="5" a="1"/>
  <c r="I1553" i="5" a="1"/>
  <c r="I1538" i="5" a="1"/>
  <c r="I1525" i="5" a="1"/>
  <c r="I1511" i="5" a="1"/>
  <c r="I1482" i="5" a="1"/>
  <c r="I1469" i="5" a="1"/>
  <c r="I1456" i="5" a="1"/>
  <c r="I1427" i="5" a="1"/>
  <c r="I1400" i="5" a="1"/>
  <c r="I1372" i="5" a="1"/>
  <c r="I1359" i="5" a="1"/>
  <c r="I1308" i="5" a="1"/>
  <c r="I1268" i="5" a="1"/>
  <c r="I1242" i="5" a="1"/>
  <c r="I1230" i="5" a="1"/>
  <c r="I1205" i="5" a="1"/>
  <c r="I1192" i="5" a="1"/>
  <c r="I1180" i="5" a="1"/>
  <c r="I1168" i="5" a="1"/>
  <c r="I1156" i="5" a="1"/>
  <c r="I1145" i="5" a="1"/>
  <c r="I1134" i="5" a="1"/>
  <c r="I1123" i="5" a="1"/>
  <c r="I1100" i="5" a="1"/>
  <c r="I1089" i="5" a="1"/>
  <c r="I1078" i="5" a="1"/>
  <c r="I1067" i="5" a="1"/>
  <c r="I1056" i="5" a="1"/>
  <c r="I1045" i="5" a="1"/>
  <c r="I1034" i="5" a="1"/>
  <c r="I1023" i="5" a="1"/>
  <c r="I1001" i="5" a="1"/>
  <c r="I991" i="5" a="1"/>
  <c r="I981" i="5" a="1"/>
  <c r="I971" i="5" a="1"/>
  <c r="I961" i="5" a="1"/>
  <c r="I951" i="5" a="1"/>
  <c r="I941" i="5" a="1"/>
  <c r="I931" i="5" a="1"/>
  <c r="I921" i="5" a="1"/>
  <c r="I911" i="5" a="1"/>
  <c r="I901" i="5" a="1"/>
  <c r="I891" i="5" a="1"/>
  <c r="I881" i="5" a="1"/>
  <c r="I871" i="5" a="1"/>
  <c r="I861" i="5" a="1"/>
  <c r="I851" i="5" a="1"/>
  <c r="I841" i="5" a="1"/>
  <c r="I1960" i="5" a="1"/>
  <c r="I1924" i="5" a="1"/>
  <c r="I1905" i="5" a="1"/>
  <c r="I1887" i="5" a="1"/>
  <c r="I1870" i="5" a="1"/>
  <c r="I1853" i="5" a="1"/>
  <c r="I1819" i="5" a="1"/>
  <c r="I1803" i="5" a="1"/>
  <c r="I1787" i="5" a="1"/>
  <c r="I1756" i="5" a="1"/>
  <c r="I1739" i="5" a="1"/>
  <c r="I1708" i="5" a="1"/>
  <c r="I1995" i="5" a="1"/>
  <c r="I1938" i="5" a="1"/>
  <c r="I1867" i="5" a="1"/>
  <c r="I1849" i="5" a="1"/>
  <c r="I1833" i="5" a="1"/>
  <c r="I1800" i="5" a="1"/>
  <c r="I1768" i="5" a="1"/>
  <c r="I1752" i="5" a="1"/>
  <c r="I1720" i="5" a="1"/>
  <c r="I1704" i="5" a="1"/>
  <c r="I1689" i="5" a="1"/>
  <c r="I1672" i="5" a="1"/>
  <c r="I1657" i="5" a="1"/>
  <c r="I1641" i="5" a="1"/>
  <c r="I1609" i="5" a="1"/>
  <c r="I1593" i="5" a="1"/>
  <c r="I1578" i="5" a="1"/>
  <c r="I1508" i="5" a="1"/>
  <c r="I1493" i="5" a="1"/>
  <c r="I1452" i="5" a="1"/>
  <c r="I1424" i="5" a="1"/>
  <c r="I1397" i="5" a="1"/>
  <c r="I1369" i="5" a="1"/>
  <c r="I1317" i="5" a="1"/>
  <c r="I1278" i="5" a="1"/>
  <c r="I1252" i="5" a="1"/>
  <c r="I1239" i="5" a="1"/>
  <c r="I1214" i="5" a="1"/>
  <c r="I1142" i="5" a="1"/>
  <c r="I1131" i="5" a="1"/>
  <c r="I1042" i="5" a="1"/>
  <c r="I1031" i="5" a="1"/>
  <c r="I1975" i="5" a="1"/>
  <c r="I1919" i="5" a="1"/>
  <c r="I1882" i="5" a="1"/>
  <c r="I1831" i="5" a="1"/>
  <c r="I1815" i="5" a="1"/>
  <c r="I1782" i="5" a="1"/>
  <c r="I1671" i="5" a="1"/>
  <c r="I1624" i="5" a="1"/>
  <c r="I1592" i="5" a="1"/>
  <c r="I1548" i="5" a="1"/>
  <c r="I1535" i="5" a="1"/>
  <c r="I1492" i="5" a="1"/>
  <c r="I1479" i="5" a="1"/>
  <c r="I1437" i="5" a="1"/>
  <c r="I1381" i="5" a="1"/>
  <c r="I1356" i="5" a="1"/>
  <c r="I1343" i="5" a="1"/>
  <c r="I1330" i="5" a="1"/>
  <c r="I1316" i="5" a="1"/>
  <c r="I1303" i="5" a="1"/>
  <c r="I1290" i="5" a="1"/>
  <c r="I1265" i="5" a="1"/>
  <c r="I1238" i="5" a="1"/>
  <c r="I1226" i="5" a="1"/>
  <c r="I1201" i="5" a="1"/>
  <c r="I1189" i="5" a="1"/>
  <c r="I1177" i="5" a="1"/>
  <c r="I1165" i="5" a="1"/>
  <c r="I1153" i="5" a="1"/>
  <c r="I1130" i="5" a="1"/>
  <c r="I1119" i="5" a="1"/>
  <c r="I1108" i="5" a="1"/>
  <c r="I1097" i="5" a="1"/>
  <c r="I1086" i="5" a="1"/>
  <c r="I1075" i="5" a="1"/>
  <c r="I1064" i="5" a="1"/>
  <c r="I1053" i="5" a="1"/>
  <c r="I1030" i="5" a="1"/>
  <c r="I1019" i="5" a="1"/>
  <c r="I1008" i="5" a="1"/>
  <c r="I998" i="5" a="1"/>
  <c r="I988" i="5" a="1"/>
  <c r="I978" i="5" a="1"/>
  <c r="I968" i="5" a="1"/>
  <c r="I958" i="5" a="1"/>
  <c r="I948" i="5" a="1"/>
  <c r="I938" i="5" a="1"/>
  <c r="I928" i="5" a="1"/>
  <c r="I918" i="5" a="1"/>
  <c r="I908" i="5" a="1"/>
  <c r="I898" i="5" a="1"/>
  <c r="I888" i="5" a="1"/>
  <c r="I878" i="5" a="1"/>
  <c r="I868" i="5" a="1"/>
  <c r="I858" i="5" a="1"/>
  <c r="I848" i="5" a="1"/>
  <c r="I838" i="5" a="1"/>
  <c r="I828" i="5" a="1"/>
  <c r="I818" i="5" a="1"/>
  <c r="I808" i="5" a="1"/>
  <c r="I798" i="5" a="1"/>
  <c r="I1993" i="5" a="1"/>
  <c r="I1973" i="5" a="1"/>
  <c r="I1956" i="5" a="1"/>
  <c r="I1937" i="5" a="1"/>
  <c r="I1900" i="5" a="1"/>
  <c r="I1865" i="5" a="1"/>
  <c r="I1848" i="5" a="1"/>
  <c r="I1814" i="5" a="1"/>
  <c r="I1798" i="5" a="1"/>
  <c r="I1767" i="5" a="1"/>
  <c r="I1750" i="5" a="1"/>
  <c r="I1735" i="5" a="1"/>
  <c r="I1719" i="5" a="1"/>
  <c r="I1703" i="5" a="1"/>
  <c r="I1687" i="5" a="1"/>
  <c r="I1656" i="5" a="1"/>
  <c r="I1639" i="5" a="1"/>
  <c r="I1608" i="5" a="1"/>
  <c r="I1561" i="5" a="1"/>
  <c r="I1534" i="5" a="1"/>
  <c r="I1520" i="5" a="1"/>
  <c r="I1506" i="5" a="1"/>
  <c r="I1465" i="5" a="1"/>
  <c r="I1450" i="5" a="1"/>
  <c r="I1423" i="5" a="1"/>
  <c r="I1409" i="5" a="1"/>
  <c r="I1395" i="5" a="1"/>
  <c r="I1368" i="5" a="1"/>
  <c r="I1342" i="5" a="1"/>
  <c r="I1302" i="5" a="1"/>
  <c r="I1277" i="5" a="1"/>
  <c r="I1264" i="5" a="1"/>
  <c r="I1250" i="5" a="1"/>
  <c r="I1213" i="5" a="1"/>
  <c r="I1164" i="5" a="1"/>
  <c r="I1152" i="5" a="1"/>
  <c r="I1141" i="5" a="1"/>
  <c r="I1052" i="5" a="1"/>
  <c r="I1041" i="5" a="1"/>
  <c r="I1992" i="5" a="1"/>
  <c r="I1972" i="5" a="1"/>
  <c r="I1917" i="5" a="1"/>
  <c r="I1898" i="5" a="1"/>
  <c r="I1881" i="5" a="1"/>
  <c r="I1864" i="5" a="1"/>
  <c r="I1830" i="5" a="1"/>
  <c r="I1813" i="5" a="1"/>
  <c r="I1781" i="5" a="1"/>
  <c r="I1749" i="5" a="1"/>
  <c r="I1734" i="5" a="1"/>
  <c r="I1670" i="5" a="1"/>
  <c r="I1638" i="5" a="1"/>
  <c r="I1623" i="5" a="1"/>
  <c r="I1576" i="5" a="1"/>
  <c r="I1560" i="5" a="1"/>
  <c r="I1991" i="5" a="1"/>
  <c r="I1971" i="5" a="1"/>
  <c r="I1953" i="5" a="1"/>
  <c r="I1916" i="5" a="1"/>
  <c r="I1812" i="5" a="1"/>
  <c r="I1797" i="5" a="1"/>
  <c r="I1765" i="5" a="1"/>
  <c r="I1717" i="5" a="1"/>
  <c r="I1701" i="5" a="1"/>
  <c r="I1686" i="5" a="1"/>
  <c r="I1622" i="5" a="1"/>
  <c r="I1990" i="5" a="1"/>
  <c r="I1952" i="5" a="1"/>
  <c r="I1934" i="5" a="1"/>
  <c r="I1897" i="5" a="1"/>
  <c r="I1828" i="5" a="1"/>
  <c r="I1764" i="5" a="1"/>
  <c r="I1748" i="5" a="1"/>
  <c r="I1733" i="5" a="1"/>
  <c r="I1716" i="5" a="1"/>
  <c r="I1684" i="5" a="1"/>
  <c r="I1653" i="5" a="1"/>
  <c r="I1637" i="5" a="1"/>
  <c r="I1605" i="5" a="1"/>
  <c r="I1575" i="5" a="1"/>
  <c r="I1559" i="5" a="1"/>
  <c r="I1546" i="5" a="1"/>
  <c r="I1490" i="5" a="1"/>
  <c r="I1448" i="5" a="1"/>
  <c r="I1435" i="5" a="1"/>
  <c r="I1392" i="5" a="1"/>
  <c r="I1379" i="5" a="1"/>
  <c r="I1288" i="5" a="1"/>
  <c r="I1261" i="5" a="1"/>
  <c r="I1248" i="5" a="1"/>
  <c r="I1236" i="5" a="1"/>
  <c r="I1211" i="5" a="1"/>
  <c r="I1199" i="5" a="1"/>
  <c r="I1187" i="5" a="1"/>
  <c r="I1175" i="5" a="1"/>
  <c r="I1150" i="5" a="1"/>
  <c r="I1139" i="5" a="1"/>
  <c r="I1128" i="5" a="1"/>
  <c r="I1117" i="5" a="1"/>
  <c r="I1106" i="5" a="1"/>
  <c r="I1095" i="5" a="1"/>
  <c r="I1084" i="5" a="1"/>
  <c r="I1073" i="5" a="1"/>
  <c r="I1050" i="5" a="1"/>
  <c r="I1039" i="5" a="1"/>
  <c r="I1028" i="5" a="1"/>
  <c r="I1017" i="5" a="1"/>
  <c r="I1006" i="5" a="1"/>
  <c r="I996" i="5" a="1"/>
  <c r="I986" i="5" a="1"/>
  <c r="I1950" i="5" a="1"/>
  <c r="I1931" i="5" a="1"/>
  <c r="I1914" i="5" a="1"/>
  <c r="I1895" i="5" a="1"/>
  <c r="I1878" i="5" a="1"/>
  <c r="I1860" i="5" a="1"/>
  <c r="I1844" i="5" a="1"/>
  <c r="I1715" i="5" a="1"/>
  <c r="I1682" i="5" a="1"/>
  <c r="I1572" i="5" a="1"/>
  <c r="I1558" i="5" a="1"/>
  <c r="I1545" i="5" a="1"/>
  <c r="I1516" i="5" a="1"/>
  <c r="I1502" i="5" a="1"/>
  <c r="I1489" i="5" a="1"/>
  <c r="I1460" i="5" a="1"/>
  <c r="I1447" i="5" a="1"/>
  <c r="I1405" i="5" a="1"/>
  <c r="I1391" i="5" a="1"/>
  <c r="I1378" i="5" a="1"/>
  <c r="I1352" i="5" a="1"/>
  <c r="I1338" i="5" a="1"/>
  <c r="I1312" i="5" a="1"/>
  <c r="I1287" i="5" a="1"/>
  <c r="I1273" i="5" a="1"/>
  <c r="I1247" i="5" a="1"/>
  <c r="I1235" i="5" a="1"/>
  <c r="I1222" i="5" a="1"/>
  <c r="I1210" i="5" a="1"/>
  <c r="I1198" i="5" a="1"/>
  <c r="I1186" i="5" a="1"/>
  <c r="I1173" i="5" a="1"/>
  <c r="I1160" i="5" a="1"/>
  <c r="I1149" i="5" a="1"/>
  <c r="I1138" i="5" a="1"/>
  <c r="I1127" i="5" a="1"/>
  <c r="I1116" i="5" a="1"/>
  <c r="I1105" i="5" a="1"/>
  <c r="I1094" i="5" a="1"/>
  <c r="I1083" i="5" a="1"/>
  <c r="I1060" i="5" a="1"/>
  <c r="I1049" i="5" a="1"/>
  <c r="I1038" i="5" a="1"/>
  <c r="I1027" i="5" a="1"/>
  <c r="I1016" i="5" a="1"/>
  <c r="I1005" i="5" a="1"/>
  <c r="I995" i="5" a="1"/>
  <c r="I985" i="5" a="1"/>
  <c r="I975" i="5" a="1"/>
  <c r="I965" i="5" a="1"/>
  <c r="I955" i="5" a="1"/>
  <c r="I945" i="5" a="1"/>
  <c r="I935" i="5" a="1"/>
  <c r="I925" i="5" a="1"/>
  <c r="I915" i="5" a="1"/>
  <c r="I905" i="5" a="1"/>
  <c r="I895" i="5" a="1"/>
  <c r="I885" i="5" a="1"/>
  <c r="I875" i="5" a="1"/>
  <c r="I865" i="5" a="1"/>
  <c r="I855" i="5" a="1"/>
  <c r="I845" i="5" a="1"/>
  <c r="I835" i="5" a="1"/>
  <c r="I825" i="5" a="1"/>
  <c r="I815" i="5" a="1"/>
  <c r="I805" i="5" a="1"/>
  <c r="I795" i="5" a="1"/>
  <c r="I785" i="5" a="1"/>
  <c r="I775" i="5" a="1"/>
  <c r="I765" i="5" a="1"/>
  <c r="I755" i="5" a="1"/>
  <c r="I1987" i="5" a="1"/>
  <c r="I1949" i="5" a="1"/>
  <c r="I1913" i="5" a="1"/>
  <c r="I1842" i="5" a="1"/>
  <c r="I1826" i="5" a="1"/>
  <c r="I1809" i="5" a="1"/>
  <c r="I1793" i="5" a="1"/>
  <c r="I1778" i="5" a="1"/>
  <c r="I1761" i="5" a="1"/>
  <c r="I1746" i="5" a="1"/>
  <c r="I1730" i="5" a="1"/>
  <c r="I1714" i="5" a="1"/>
  <c r="I1698" i="5" a="1"/>
  <c r="I1667" i="5" a="1"/>
  <c r="I1650" i="5" a="1"/>
  <c r="I1635" i="5" a="1"/>
  <c r="I1619" i="5" a="1"/>
  <c r="I1603" i="5" a="1"/>
  <c r="I1587" i="5" a="1"/>
  <c r="I1571" i="5" a="1"/>
  <c r="I1544" i="5" a="1"/>
  <c r="I1530" i="5" a="1"/>
  <c r="I1475" i="5" a="1"/>
  <c r="I1433" i="5" a="1"/>
  <c r="I1419" i="5" a="1"/>
  <c r="I1404" i="5" a="1"/>
  <c r="I1365" i="5" a="1"/>
  <c r="I1325" i="5" a="1"/>
  <c r="I1299" i="5" a="1"/>
  <c r="I1272" i="5" a="1"/>
  <c r="I1259" i="5" a="1"/>
  <c r="I1234" i="5" a="1"/>
  <c r="I1185" i="5" a="1"/>
  <c r="I1172" i="5" a="1"/>
  <c r="I1082" i="5" a="1"/>
  <c r="I1071" i="5" a="1"/>
  <c r="I1998" i="5" a="1"/>
  <c r="I1892" i="5" a="1"/>
  <c r="I1795" i="5" a="1"/>
  <c r="I1753" i="5" a="1"/>
  <c r="I1706" i="5" a="1"/>
  <c r="I1668" i="5" a="1"/>
  <c r="I1547" i="5" a="1"/>
  <c r="I1526" i="5" a="1"/>
  <c r="I1504" i="5" a="1"/>
  <c r="I1461" i="5" a="1"/>
  <c r="I1441" i="5" a="1"/>
  <c r="I1336" i="5" a="1"/>
  <c r="I1297" i="5" a="1"/>
  <c r="I1218" i="5" a="1"/>
  <c r="I1159" i="5" a="1"/>
  <c r="I1144" i="5" a="1"/>
  <c r="I1076" i="5" a="1"/>
  <c r="I1040" i="5" a="1"/>
  <c r="I1024" i="5" a="1"/>
  <c r="I976" i="5" a="1"/>
  <c r="I962" i="5" a="1"/>
  <c r="I947" i="5" a="1"/>
  <c r="I933" i="5" a="1"/>
  <c r="I904" i="5" a="1"/>
  <c r="I876" i="5" a="1"/>
  <c r="I862" i="5" a="1"/>
  <c r="I847" i="5" a="1"/>
  <c r="I833" i="5" a="1"/>
  <c r="I793" i="5" a="1"/>
  <c r="I781" i="5" a="1"/>
  <c r="I769" i="5" a="1"/>
  <c r="I756" i="5" a="1"/>
  <c r="I1941" i="5" a="1"/>
  <c r="I1841" i="5" a="1"/>
  <c r="I1792" i="5" a="1"/>
  <c r="I1705" i="5" a="1"/>
  <c r="I1633" i="5" a="1"/>
  <c r="I1600" i="5" a="1"/>
  <c r="I1570" i="5" a="1"/>
  <c r="I1503" i="5" a="1"/>
  <c r="I1459" i="5" a="1"/>
  <c r="I1417" i="5" a="1"/>
  <c r="I1398" i="5" a="1"/>
  <c r="I1376" i="5" a="1"/>
  <c r="I1357" i="5" a="1"/>
  <c r="I1315" i="5" a="1"/>
  <c r="I1276" i="5" a="1"/>
  <c r="I1256" i="5" a="1"/>
  <c r="I1217" i="5" a="1"/>
  <c r="I1197" i="5" a="1"/>
  <c r="I1179" i="5" a="1"/>
  <c r="I1125" i="5" a="1"/>
  <c r="I1109" i="5" a="1"/>
  <c r="I1091" i="5" a="1"/>
  <c r="I1074" i="5" a="1"/>
  <c r="I1057" i="5" a="1"/>
  <c r="I919" i="5" a="1"/>
  <c r="I890" i="5" a="1"/>
  <c r="I820" i="5" a="1"/>
  <c r="I806" i="5" a="1"/>
  <c r="I768" i="5" a="1"/>
  <c r="I744" i="5" a="1"/>
  <c r="I734" i="5" a="1"/>
  <c r="I724" i="5" a="1"/>
  <c r="I714" i="5" a="1"/>
  <c r="I704" i="5" a="1"/>
  <c r="I694" i="5" a="1"/>
  <c r="I684" i="5" a="1"/>
  <c r="I674" i="5" a="1"/>
  <c r="I664" i="5" a="1"/>
  <c r="I654" i="5" a="1"/>
  <c r="I644" i="5" a="1"/>
  <c r="I634" i="5" a="1"/>
  <c r="I624" i="5" a="1"/>
  <c r="I614" i="5" a="1"/>
  <c r="I1996" i="5" a="1"/>
  <c r="I1700" i="5" a="1"/>
  <c r="I1665" i="5" a="1"/>
  <c r="I1630" i="5" a="1"/>
  <c r="I1598" i="5" a="1"/>
  <c r="I1524" i="5" a="1"/>
  <c r="I1501" i="5" a="1"/>
  <c r="I1481" i="5" a="1"/>
  <c r="I1439" i="5" a="1"/>
  <c r="I1416" i="5" a="1"/>
  <c r="I1355" i="5" a="1"/>
  <c r="I1335" i="5" a="1"/>
  <c r="I1314" i="5" a="1"/>
  <c r="I1295" i="5" a="1"/>
  <c r="I1275" i="5" a="1"/>
  <c r="I1255" i="5" a="1"/>
  <c r="I1216" i="5" a="1"/>
  <c r="I1196" i="5" a="1"/>
  <c r="I1158" i="5" a="1"/>
  <c r="I1143" i="5" a="1"/>
  <c r="I1107" i="5" a="1"/>
  <c r="I1090" i="5" a="1"/>
  <c r="I1022" i="5" a="1"/>
  <c r="I1004" i="5" a="1"/>
  <c r="I990" i="5" a="1"/>
  <c r="I974" i="5" a="1"/>
  <c r="I946" i="5" a="1"/>
  <c r="I932" i="5" a="1"/>
  <c r="I917" i="5" a="1"/>
  <c r="I903" i="5" a="1"/>
  <c r="I874" i="5" a="1"/>
  <c r="I846" i="5" a="1"/>
  <c r="I832" i="5" a="1"/>
  <c r="I792" i="5" a="1"/>
  <c r="I780" i="5" a="1"/>
  <c r="I767" i="5" a="1"/>
  <c r="I754" i="5" a="1"/>
  <c r="I1939" i="5" a="1"/>
  <c r="I1886" i="5" a="1"/>
  <c r="I1745" i="5" a="1"/>
  <c r="I1664" i="5" a="1"/>
  <c r="I1628" i="5" a="1"/>
  <c r="I1597" i="5" a="1"/>
  <c r="I1543" i="5" a="1"/>
  <c r="I1458" i="5" a="1"/>
  <c r="I1438" i="5" a="1"/>
  <c r="I1375" i="5" a="1"/>
  <c r="I1354" i="5" a="1"/>
  <c r="I1334" i="5" a="1"/>
  <c r="I1313" i="5" a="1"/>
  <c r="I1293" i="5" a="1"/>
  <c r="I1271" i="5" a="1"/>
  <c r="I1254" i="5" a="1"/>
  <c r="I1233" i="5" a="1"/>
  <c r="I1178" i="5" a="1"/>
  <c r="I1140" i="5" a="1"/>
  <c r="I1124" i="5" a="1"/>
  <c r="I1072" i="5" a="1"/>
  <c r="I1037" i="5" a="1"/>
  <c r="I960" i="5" a="1"/>
  <c r="I889" i="5" a="1"/>
  <c r="I860" i="5" a="1"/>
  <c r="I819" i="5" a="1"/>
  <c r="I804" i="5" a="1"/>
  <c r="I743" i="5" a="1"/>
  <c r="I733" i="5" a="1"/>
  <c r="I723" i="5" a="1"/>
  <c r="I713" i="5" a="1"/>
  <c r="I703" i="5" a="1"/>
  <c r="I693" i="5" a="1"/>
  <c r="I683" i="5" a="1"/>
  <c r="I673" i="5" a="1"/>
  <c r="I663" i="5" a="1"/>
  <c r="I653" i="5" a="1"/>
  <c r="I643" i="5" a="1"/>
  <c r="I633" i="5" a="1"/>
  <c r="I623" i="5" a="1"/>
  <c r="I613" i="5" a="1"/>
  <c r="I603" i="5" a="1"/>
  <c r="I1884" i="5" a="1"/>
  <c r="I1834" i="5" a="1"/>
  <c r="I1744" i="5" a="1"/>
  <c r="I1697" i="5" a="1"/>
  <c r="I1661" i="5" a="1"/>
  <c r="I1627" i="5" a="1"/>
  <c r="I1542" i="5" a="1"/>
  <c r="I1523" i="5" a="1"/>
  <c r="I1500" i="5" a="1"/>
  <c r="I1480" i="5" a="1"/>
  <c r="I1436" i="5" a="1"/>
  <c r="I1415" i="5" a="1"/>
  <c r="I1393" i="5" a="1"/>
  <c r="I1373" i="5" a="1"/>
  <c r="I1353" i="5" a="1"/>
  <c r="I1333" i="5" a="1"/>
  <c r="I1311" i="5" a="1"/>
  <c r="I1292" i="5" a="1"/>
  <c r="I1232" i="5" a="1"/>
  <c r="I1215" i="5" a="1"/>
  <c r="I1195" i="5" a="1"/>
  <c r="I1176" i="5" a="1"/>
  <c r="I1157" i="5" a="1"/>
  <c r="I1070" i="5" a="1"/>
  <c r="I1055" i="5" a="1"/>
  <c r="I1021" i="5" a="1"/>
  <c r="I1003" i="5" a="1"/>
  <c r="I989" i="5" a="1"/>
  <c r="I973" i="5" a="1"/>
  <c r="I944" i="5" a="1"/>
  <c r="I916" i="5" a="1"/>
  <c r="I902" i="5" a="1"/>
  <c r="I887" i="5" a="1"/>
  <c r="I873" i="5" a="1"/>
  <c r="I844" i="5" a="1"/>
  <c r="I831" i="5" a="1"/>
  <c r="I817" i="5" a="1"/>
  <c r="I791" i="5" a="1"/>
  <c r="I779" i="5" a="1"/>
  <c r="I766" i="5" a="1"/>
  <c r="I753" i="5" a="1"/>
  <c r="I1928" i="5" a="1"/>
  <c r="I1779" i="5" a="1"/>
  <c r="I1737" i="5" a="1"/>
  <c r="I1620" i="5" a="1"/>
  <c r="I1590" i="5" a="1"/>
  <c r="I1565" i="5" a="1"/>
  <c r="I1519" i="5" a="1"/>
  <c r="I1498" i="5" a="1"/>
  <c r="I1476" i="5" a="1"/>
  <c r="I1412" i="5" a="1"/>
  <c r="I1978" i="5" a="1"/>
  <c r="I1923" i="5" a="1"/>
  <c r="I1875" i="5" a="1"/>
  <c r="I1824" i="5" a="1"/>
  <c r="I1731" i="5" a="1"/>
  <c r="I1589" i="5" a="1"/>
  <c r="I1564" i="5" a="1"/>
  <c r="I1539" i="5" a="1"/>
  <c r="I1517" i="5" a="1"/>
  <c r="I1497" i="5" a="1"/>
  <c r="I1473" i="5" a="1"/>
  <c r="I1454" i="5" a="1"/>
  <c r="I1431" i="5" a="1"/>
  <c r="I1389" i="5" a="1"/>
  <c r="I1976" i="5" a="1"/>
  <c r="I1922" i="5" a="1"/>
  <c r="I1823" i="5" a="1"/>
  <c r="I1776" i="5" a="1"/>
  <c r="I1690" i="5" a="1"/>
  <c r="I1652" i="5" a="1"/>
  <c r="I1617" i="5" a="1"/>
  <c r="I1515" i="5" a="1"/>
  <c r="I1472" i="5" a="1"/>
  <c r="I1411" i="5" a="1"/>
  <c r="I1327" i="5" a="1"/>
  <c r="I1246" i="5" a="1"/>
  <c r="I1170" i="5" a="1"/>
  <c r="I1154" i="5" a="1"/>
  <c r="I1118" i="5" a="1"/>
  <c r="I1015" i="5" a="1"/>
  <c r="I1000" i="5" a="1"/>
  <c r="I970" i="5" a="1"/>
  <c r="I899" i="5" a="1"/>
  <c r="I870" i="5" a="1"/>
  <c r="I827" i="5" a="1"/>
  <c r="I801" i="5" a="1"/>
  <c r="I788" i="5" a="1"/>
  <c r="I740" i="5" a="1"/>
  <c r="I730" i="5" a="1"/>
  <c r="I720" i="5" a="1"/>
  <c r="I710" i="5" a="1"/>
  <c r="I700" i="5" a="1"/>
  <c r="I690" i="5" a="1"/>
  <c r="I680" i="5" a="1"/>
  <c r="I670" i="5" a="1"/>
  <c r="I660" i="5" a="1"/>
  <c r="I650" i="5" a="1"/>
  <c r="I640" i="5" a="1"/>
  <c r="I630" i="5" a="1"/>
  <c r="I620" i="5" a="1"/>
  <c r="I610" i="5" a="1"/>
  <c r="I600" i="5" a="1"/>
  <c r="I590" i="5" a="1"/>
  <c r="I580" i="5" a="1"/>
  <c r="I570" i="5" a="1"/>
  <c r="I560" i="5" a="1"/>
  <c r="I550" i="5" a="1"/>
  <c r="I540" i="5" a="1"/>
  <c r="I530" i="5" a="1"/>
  <c r="I520" i="5" a="1"/>
  <c r="I510" i="5" a="1"/>
  <c r="I500" i="5" a="1"/>
  <c r="I490" i="5" a="1"/>
  <c r="I480" i="5" a="1"/>
  <c r="I470" i="5" a="1"/>
  <c r="I460" i="5" a="1"/>
  <c r="I450" i="5" a="1"/>
  <c r="I440" i="5" a="1"/>
  <c r="I430" i="5" a="1"/>
  <c r="I420" i="5" a="1"/>
  <c r="I410" i="5" a="1"/>
  <c r="I400" i="5" a="1"/>
  <c r="I390" i="5" a="1"/>
  <c r="I380" i="5" a="1"/>
  <c r="I370" i="5" a="1"/>
  <c r="I360" i="5" a="1"/>
  <c r="I350" i="5" a="1"/>
  <c r="I1970" i="5" a="1"/>
  <c r="I1920" i="5" a="1"/>
  <c r="I1728" i="5" a="1"/>
  <c r="I1649" i="5" a="1"/>
  <c r="I1616" i="5" a="1"/>
  <c r="I1586" i="5" a="1"/>
  <c r="I1537" i="5" a="1"/>
  <c r="I1514" i="5" a="1"/>
  <c r="I1495" i="5" a="1"/>
  <c r="I1471" i="5" a="1"/>
  <c r="I1453" i="5" a="1"/>
  <c r="I1430" i="5" a="1"/>
  <c r="I1367" i="5" a="1"/>
  <c r="I1347" i="5" a="1"/>
  <c r="I1326" i="5" a="1"/>
  <c r="I1286" i="5" a="1"/>
  <c r="I1267" i="5" a="1"/>
  <c r="I1228" i="5" a="1"/>
  <c r="I1208" i="5" a="1"/>
  <c r="I1190" i="5" a="1"/>
  <c r="I1135" i="5" a="1"/>
  <c r="I1101" i="5" a="1"/>
  <c r="I1048" i="5" a="1"/>
  <c r="I1033" i="5" a="1"/>
  <c r="I983" i="5" a="1"/>
  <c r="I954" i="5" a="1"/>
  <c r="I926" i="5" a="1"/>
  <c r="I912" i="5" a="1"/>
  <c r="I897" i="5" a="1"/>
  <c r="I883" i="5" a="1"/>
  <c r="I854" i="5" a="1"/>
  <c r="I813" i="5" a="1"/>
  <c r="I787" i="5" a="1"/>
  <c r="I774" i="5" a="1"/>
  <c r="I762" i="5" a="1"/>
  <c r="I750" i="5" a="1"/>
  <c r="I1915" i="5" a="1"/>
  <c r="I1817" i="5" a="1"/>
  <c r="I1770" i="5" a="1"/>
  <c r="I1727" i="5" a="1"/>
  <c r="I1614" i="5" a="1"/>
  <c r="I1584" i="5" a="1"/>
  <c r="I1557" i="5" a="1"/>
  <c r="I1449" i="5" a="1"/>
  <c r="I1408" i="5" a="1"/>
  <c r="I1387" i="5" a="1"/>
  <c r="I1366" i="5" a="1"/>
  <c r="I1346" i="5" a="1"/>
  <c r="I1324" i="5" a="1"/>
  <c r="I1306" i="5" a="1"/>
  <c r="I1284" i="5" a="1"/>
  <c r="I1245" i="5" a="1"/>
  <c r="I1227" i="5" a="1"/>
  <c r="I1207" i="5" a="1"/>
  <c r="I1188" i="5" a="1"/>
  <c r="I1169" i="5" a="1"/>
  <c r="I1151" i="5" a="1"/>
  <c r="I1066" i="5" a="1"/>
  <c r="I1032" i="5" a="1"/>
  <c r="I1014" i="5" a="1"/>
  <c r="I999" i="5" a="1"/>
  <c r="I969" i="5" a="1"/>
  <c r="I940" i="5" a="1"/>
  <c r="I869" i="5" a="1"/>
  <c r="I840" i="5" a="1"/>
  <c r="I826" i="5" a="1"/>
  <c r="I800" i="5" a="1"/>
  <c r="I739" i="5" a="1"/>
  <c r="I729" i="5" a="1"/>
  <c r="I719" i="5" a="1"/>
  <c r="I709" i="5" a="1"/>
  <c r="I699" i="5" a="1"/>
  <c r="I689" i="5" a="1"/>
  <c r="I679" i="5" a="1"/>
  <c r="I669" i="5" a="1"/>
  <c r="I659" i="5" a="1"/>
  <c r="I649" i="5" a="1"/>
  <c r="I639" i="5" a="1"/>
  <c r="I629" i="5" a="1"/>
  <c r="I619" i="5" a="1"/>
  <c r="I609" i="5" a="1"/>
  <c r="I599" i="5" a="1"/>
  <c r="I589" i="5" a="1"/>
  <c r="I579" i="5" a="1"/>
  <c r="I569" i="5" a="1"/>
  <c r="I559" i="5" a="1"/>
  <c r="I549" i="5" a="1"/>
  <c r="I1967" i="5" a="1"/>
  <c r="I1861" i="5" a="1"/>
  <c r="I1816" i="5" a="1"/>
  <c r="I1723" i="5" a="1"/>
  <c r="I1681" i="5" a="1"/>
  <c r="I1648" i="5" a="1"/>
  <c r="I1612" i="5" a="1"/>
  <c r="I1536" i="5" a="1"/>
  <c r="I1513" i="5" a="1"/>
  <c r="I1491" i="5" a="1"/>
  <c r="I1470" i="5" a="1"/>
  <c r="I1428" i="5" a="1"/>
  <c r="I1406" i="5" a="1"/>
  <c r="I1386" i="5" a="1"/>
  <c r="I1364" i="5" a="1"/>
  <c r="I1305" i="5" a="1"/>
  <c r="I1266" i="5" a="1"/>
  <c r="I1244" i="5" a="1"/>
  <c r="I1225" i="5" a="1"/>
  <c r="I1115" i="5" a="1"/>
  <c r="I1099" i="5" a="1"/>
  <c r="I1081" i="5" a="1"/>
  <c r="I1047" i="5" a="1"/>
  <c r="I997" i="5" a="1"/>
  <c r="I982" i="5" a="1"/>
  <c r="I967" i="5" a="1"/>
  <c r="I953" i="5" a="1"/>
  <c r="I924" i="5" a="1"/>
  <c r="I896" i="5" a="1"/>
  <c r="I882" i="5" a="1"/>
  <c r="I867" i="5" a="1"/>
  <c r="I853" i="5" a="1"/>
  <c r="I812" i="5" a="1"/>
  <c r="I786" i="5" a="1"/>
  <c r="I773" i="5" a="1"/>
  <c r="I761" i="5" a="1"/>
  <c r="I749" i="5" a="1"/>
  <c r="I1965" i="5" a="1"/>
  <c r="I1911" i="5" a="1"/>
  <c r="I1859" i="5" a="1"/>
  <c r="I1811" i="5" a="1"/>
  <c r="I1722" i="5" a="1"/>
  <c r="I1646" i="5" a="1"/>
  <c r="I1556" i="5" a="1"/>
  <c r="I1512" i="5" a="1"/>
  <c r="I1384" i="5" a="1"/>
  <c r="I1345" i="5" a="1"/>
  <c r="I1323" i="5" a="1"/>
  <c r="I1304" i="5" a="1"/>
  <c r="I1282" i="5" a="1"/>
  <c r="I1224" i="5" a="1"/>
  <c r="I1206" i="5" a="1"/>
  <c r="I1148" i="5" a="1"/>
  <c r="I1133" i="5" a="1"/>
  <c r="I1080" i="5" a="1"/>
  <c r="I1065" i="5" a="1"/>
  <c r="I1029" i="5" a="1"/>
  <c r="I1013" i="5" a="1"/>
  <c r="I939" i="5" a="1"/>
  <c r="I910" i="5" a="1"/>
  <c r="I839" i="5" a="1"/>
  <c r="I824" i="5" a="1"/>
  <c r="I799" i="5" a="1"/>
  <c r="I738" i="5" a="1"/>
  <c r="I728" i="5" a="1"/>
  <c r="I718" i="5" a="1"/>
  <c r="I708" i="5" a="1"/>
  <c r="I698" i="5" a="1"/>
  <c r="I688" i="5" a="1"/>
  <c r="I678" i="5" a="1"/>
  <c r="I668" i="5" a="1"/>
  <c r="I658" i="5" a="1"/>
  <c r="I648" i="5" a="1"/>
  <c r="I638" i="5" a="1"/>
  <c r="I628" i="5" a="1"/>
  <c r="I618" i="5" a="1"/>
  <c r="I608" i="5" a="1"/>
  <c r="I1909" i="5" a="1"/>
  <c r="I1645" i="5" a="1"/>
  <c r="I1611" i="5" a="1"/>
  <c r="I1533" i="5" a="1"/>
  <c r="I1446" i="5" a="1"/>
  <c r="I1426" i="5" a="1"/>
  <c r="I1403" i="5" a="1"/>
  <c r="I1344" i="5" a="1"/>
  <c r="I1322" i="5" a="1"/>
  <c r="I1243" i="5" a="1"/>
  <c r="I1223" i="5" a="1"/>
  <c r="I1204" i="5" a="1"/>
  <c r="I1184" i="5" a="1"/>
  <c r="I1167" i="5" a="1"/>
  <c r="I1132" i="5" a="1"/>
  <c r="I1114" i="5" a="1"/>
  <c r="I1098" i="5" a="1"/>
  <c r="I1063" i="5" a="1"/>
  <c r="I1046" i="5" a="1"/>
  <c r="I1012" i="5" a="1"/>
  <c r="I966" i="5" a="1"/>
  <c r="I952" i="5" a="1"/>
  <c r="I937" i="5" a="1"/>
  <c r="I923" i="5" a="1"/>
  <c r="I894" i="5" a="1"/>
  <c r="I866" i="5" a="1"/>
  <c r="I852" i="5" a="1"/>
  <c r="I837" i="5" a="1"/>
  <c r="I811" i="5" a="1"/>
  <c r="I797" i="5" a="1"/>
  <c r="I784" i="5" a="1"/>
  <c r="I772" i="5" a="1"/>
  <c r="I760" i="5" a="1"/>
  <c r="I748" i="5" a="1"/>
  <c r="I1959" i="5" a="1"/>
  <c r="I1904" i="5" a="1"/>
  <c r="I1808" i="5" a="1"/>
  <c r="I1760" i="5" a="1"/>
  <c r="I1678" i="5" a="1"/>
  <c r="I1644" i="5" a="1"/>
  <c r="I1531" i="5" a="1"/>
  <c r="I1468" i="5" a="1"/>
  <c r="I1402" i="5" a="1"/>
  <c r="I1382" i="5" a="1"/>
  <c r="I1361" i="5" a="1"/>
  <c r="I1301" i="5" a="1"/>
  <c r="I1281" i="5" a="1"/>
  <c r="I1260" i="5" a="1"/>
  <c r="I1221" i="5" a="1"/>
  <c r="I1147" i="5" a="1"/>
  <c r="I1096" i="5" a="1"/>
  <c r="I1079" i="5" a="1"/>
  <c r="I1062" i="5" a="1"/>
  <c r="I1011" i="5" a="1"/>
  <c r="I994" i="5" a="1"/>
  <c r="I980" i="5" a="1"/>
  <c r="I909" i="5" a="1"/>
  <c r="I880" i="5" a="1"/>
  <c r="I823" i="5" a="1"/>
  <c r="I747" i="5" a="1"/>
  <c r="I737" i="5" a="1"/>
  <c r="I727" i="5" a="1"/>
  <c r="I717" i="5" a="1"/>
  <c r="I707" i="5" a="1"/>
  <c r="I697" i="5" a="1"/>
  <c r="I687" i="5" a="1"/>
  <c r="I677" i="5" a="1"/>
  <c r="I667" i="5" a="1"/>
  <c r="I657" i="5" a="1"/>
  <c r="I647" i="5" a="1"/>
  <c r="I637" i="5" a="1"/>
  <c r="I627" i="5" a="1"/>
  <c r="I617" i="5" a="1"/>
  <c r="I607" i="5" a="1"/>
  <c r="I597" i="5" a="1"/>
  <c r="I587" i="5" a="1"/>
  <c r="I577" i="5" a="1"/>
  <c r="I567" i="5" a="1"/>
  <c r="I557" i="5" a="1"/>
  <c r="I547" i="5" a="1"/>
  <c r="I537" i="5" a="1"/>
  <c r="I527" i="5" a="1"/>
  <c r="I517" i="5" a="1"/>
  <c r="I507" i="5" a="1"/>
  <c r="I497" i="5" a="1"/>
  <c r="I487" i="5" a="1"/>
  <c r="I477" i="5" a="1"/>
  <c r="I467" i="5" a="1"/>
  <c r="I457" i="5" a="1"/>
  <c r="I447" i="5" a="1"/>
  <c r="I437" i="5" a="1"/>
  <c r="I427" i="5" a="1"/>
  <c r="I417" i="5" a="1"/>
  <c r="I407" i="5" a="1"/>
  <c r="I397" i="5" a="1"/>
  <c r="I387" i="5" a="1"/>
  <c r="I377" i="5" a="1"/>
  <c r="I367" i="5" a="1"/>
  <c r="I357" i="5" a="1"/>
  <c r="I1852" i="5" a="1"/>
  <c r="I1713" i="5" a="1"/>
  <c r="I1676" i="5" a="1"/>
  <c r="I1642" i="5" a="1"/>
  <c r="I1606" i="5" a="1"/>
  <c r="I1579" i="5" a="1"/>
  <c r="I1552" i="5" a="1"/>
  <c r="I1487" i="5" a="1"/>
  <c r="I1445" i="5" a="1"/>
  <c r="I1425" i="5" a="1"/>
  <c r="I1380" i="5" a="1"/>
  <c r="I1360" i="5" a="1"/>
  <c r="I1341" i="5" a="1"/>
  <c r="I1321" i="5" a="1"/>
  <c r="I1300" i="5" a="1"/>
  <c r="I1280" i="5" a="1"/>
  <c r="I1241" i="5" a="1"/>
  <c r="I1203" i="5" a="1"/>
  <c r="I1182" i="5" a="1"/>
  <c r="I1166" i="5" a="1"/>
  <c r="I1129" i="5" a="1"/>
  <c r="I1113" i="5" a="1"/>
  <c r="I1061" i="5" a="1"/>
  <c r="I1026" i="5" a="1"/>
  <c r="I1010" i="5" a="1"/>
  <c r="I964" i="5" a="1"/>
  <c r="I936" i="5" a="1"/>
  <c r="I922" i="5" a="1"/>
  <c r="I907" i="5" a="1"/>
  <c r="I893" i="5" a="1"/>
  <c r="I864" i="5" a="1"/>
  <c r="I836" i="5" a="1"/>
  <c r="I810" i="5" a="1"/>
  <c r="I796" i="5" a="1"/>
  <c r="I783" i="5" a="1"/>
  <c r="I771" i="5" a="1"/>
  <c r="I759" i="5" a="1"/>
  <c r="I1985" i="5" a="1"/>
  <c r="I1786" i="5" a="1"/>
  <c r="I1522" i="5" a="1"/>
  <c r="I1137" i="5" a="1"/>
  <c r="I1088" i="5" a="1"/>
  <c r="I1043" i="5" a="1"/>
  <c r="I950" i="5" a="1"/>
  <c r="I913" i="5" a="1"/>
  <c r="I830" i="5" a="1"/>
  <c r="I696" i="5" a="1"/>
  <c r="I578" i="5" a="1"/>
  <c r="I561" i="5" a="1"/>
  <c r="I542" i="5" a="1"/>
  <c r="I511" i="5" a="1"/>
  <c r="I495" i="5" a="1"/>
  <c r="I464" i="5" a="1"/>
  <c r="I435" i="5" a="1"/>
  <c r="I406" i="5" a="1"/>
  <c r="I378" i="5" a="1"/>
  <c r="I340" i="5" a="1"/>
  <c r="I330" i="5" a="1"/>
  <c r="I320" i="5" a="1"/>
  <c r="I310" i="5" a="1"/>
  <c r="I300" i="5" a="1"/>
  <c r="I290" i="5" a="1"/>
  <c r="I280" i="5" a="1"/>
  <c r="I270" i="5" a="1"/>
  <c r="I260" i="5" a="1"/>
  <c r="I250" i="5" a="1"/>
  <c r="I240" i="5" a="1"/>
  <c r="I230" i="5" a="1"/>
  <c r="I220" i="5" a="1"/>
  <c r="I210" i="5" a="1"/>
  <c r="I200" i="5" a="1"/>
  <c r="I190" i="5" a="1"/>
  <c r="I180" i="5" a="1"/>
  <c r="I170" i="5" a="1"/>
  <c r="I160" i="5" a="1"/>
  <c r="I150" i="5" a="1"/>
  <c r="I140" i="5" a="1"/>
  <c r="I130" i="5" a="1"/>
  <c r="I120" i="5" a="1"/>
  <c r="I110" i="5" a="1"/>
  <c r="I100" i="5" a="1"/>
  <c r="I957" i="5" a="1"/>
  <c r="I731" i="5" a="1"/>
  <c r="I622" i="5" a="1"/>
  <c r="I528" i="5" a="1"/>
  <c r="I452" i="5" a="1"/>
  <c r="I394" i="5" a="1"/>
  <c r="I794" i="5" a="1"/>
  <c r="I701" i="5" a="1"/>
  <c r="I598" i="5" a="1"/>
  <c r="I436" i="5" a="1"/>
  <c r="I365" i="5" a="1"/>
  <c r="I311" i="5" a="1"/>
  <c r="I251" i="5" a="1"/>
  <c r="I181" i="5" a="1"/>
  <c r="I131" i="5" a="1"/>
  <c r="I101" i="5" a="1"/>
  <c r="I1634" i="5" a="1"/>
  <c r="I726" i="5" a="1"/>
  <c r="I671" i="5" a="1"/>
  <c r="I621" i="5" a="1"/>
  <c r="I451" i="5" a="1"/>
  <c r="I364" i="5" a="1"/>
  <c r="I1784" i="5" a="1"/>
  <c r="I1626" i="5" a="1"/>
  <c r="I1434" i="5" a="1"/>
  <c r="I1358" i="5" a="1"/>
  <c r="I1298" i="5" a="1"/>
  <c r="I1240" i="5" a="1"/>
  <c r="I1191" i="5" a="1"/>
  <c r="I1036" i="5" a="1"/>
  <c r="I992" i="5" a="1"/>
  <c r="I790" i="5" a="1"/>
  <c r="I725" i="5" a="1"/>
  <c r="I666" i="5" a="1"/>
  <c r="I642" i="5" a="1"/>
  <c r="I616" i="5" a="1"/>
  <c r="I595" i="5" a="1"/>
  <c r="I576" i="5" a="1"/>
  <c r="I525" i="5" a="1"/>
  <c r="I494" i="5" a="1"/>
  <c r="I479" i="5" a="1"/>
  <c r="I463" i="5" a="1"/>
  <c r="I449" i="5" a="1"/>
  <c r="I434" i="5" a="1"/>
  <c r="I421" i="5" a="1"/>
  <c r="I392" i="5" a="1"/>
  <c r="I363" i="5" a="1"/>
  <c r="I834" i="5" a="1"/>
  <c r="I646" i="5" a="1"/>
  <c r="I482" i="5" a="1"/>
  <c r="I409" i="5" a="1"/>
  <c r="I1527" i="5" a="1"/>
  <c r="I408" i="5" a="1"/>
  <c r="I201" i="5" a="1"/>
  <c r="I1092" i="5" a="1"/>
  <c r="I379" i="5" a="1"/>
  <c r="I1759" i="5" a="1"/>
  <c r="I1604" i="5" a="1"/>
  <c r="I1509" i="5" a="1"/>
  <c r="I1422" i="5" a="1"/>
  <c r="I1350" i="5" a="1"/>
  <c r="I1136" i="5" a="1"/>
  <c r="I1087" i="5" a="1"/>
  <c r="I987" i="5" a="1"/>
  <c r="I949" i="5" a="1"/>
  <c r="I906" i="5" a="1"/>
  <c r="I829" i="5" a="1"/>
  <c r="I752" i="5" a="1"/>
  <c r="I722" i="5" a="1"/>
  <c r="I695" i="5" a="1"/>
  <c r="I594" i="5" a="1"/>
  <c r="I558" i="5" a="1"/>
  <c r="I541" i="5" a="1"/>
  <c r="I524" i="5" a="1"/>
  <c r="I509" i="5" a="1"/>
  <c r="I493" i="5" a="1"/>
  <c r="I478" i="5" a="1"/>
  <c r="I448" i="5" a="1"/>
  <c r="I405" i="5" a="1"/>
  <c r="I376" i="5" a="1"/>
  <c r="I349" i="5" a="1"/>
  <c r="I339" i="5" a="1"/>
  <c r="I329" i="5" a="1"/>
  <c r="I319" i="5" a="1"/>
  <c r="I309" i="5" a="1"/>
  <c r="I299" i="5" a="1"/>
  <c r="I289" i="5" a="1"/>
  <c r="I279" i="5" a="1"/>
  <c r="I269" i="5" a="1"/>
  <c r="I259" i="5" a="1"/>
  <c r="I249" i="5" a="1"/>
  <c r="I239" i="5" a="1"/>
  <c r="I229" i="5" a="1"/>
  <c r="I219" i="5" a="1"/>
  <c r="I209" i="5" a="1"/>
  <c r="I199" i="5" a="1"/>
  <c r="I189" i="5" a="1"/>
  <c r="I179" i="5" a="1"/>
  <c r="I169" i="5" a="1"/>
  <c r="I159" i="5" a="1"/>
  <c r="I149" i="5" a="1"/>
  <c r="I139" i="5" a="1"/>
  <c r="I129" i="5" a="1"/>
  <c r="I119" i="5" a="1"/>
  <c r="I109" i="5" a="1"/>
  <c r="I99" i="5" a="1"/>
  <c r="I763" i="5" a="1"/>
  <c r="I544" i="5" a="1"/>
  <c r="I466" i="5" a="1"/>
  <c r="I423" i="5" a="1"/>
  <c r="I221" i="5" a="1"/>
  <c r="I1193" i="5" a="1"/>
  <c r="I1349" i="5" a="1"/>
  <c r="I1237" i="5" a="1"/>
  <c r="I1181" i="5" a="1"/>
  <c r="I1085" i="5" a="1"/>
  <c r="I1035" i="5" a="1"/>
  <c r="I863" i="5" a="1"/>
  <c r="I822" i="5" a="1"/>
  <c r="I789" i="5" a="1"/>
  <c r="I692" i="5" a="1"/>
  <c r="I665" i="5" a="1"/>
  <c r="I641" i="5" a="1"/>
  <c r="I615" i="5" a="1"/>
  <c r="I593" i="5" a="1"/>
  <c r="I575" i="5" a="1"/>
  <c r="I556" i="5" a="1"/>
  <c r="I523" i="5" a="1"/>
  <c r="I508" i="5" a="1"/>
  <c r="I462" i="5" a="1"/>
  <c r="I433" i="5" a="1"/>
  <c r="I419" i="5" a="1"/>
  <c r="I404" i="5" a="1"/>
  <c r="I391" i="5" a="1"/>
  <c r="I362" i="5" a="1"/>
  <c r="I672" i="5" a="1"/>
  <c r="I381" i="5" a="1"/>
  <c r="I581" i="5" a="1"/>
  <c r="I231" i="5" a="1"/>
  <c r="I121" i="5" a="1"/>
  <c r="I1309" i="5" a="1"/>
  <c r="I393" i="5" a="1"/>
  <c r="I1948" i="5" a="1"/>
  <c r="I1601" i="5" a="1"/>
  <c r="I1505" i="5" a="1"/>
  <c r="I1420" i="5" a="1"/>
  <c r="I1291" i="5" a="1"/>
  <c r="I943" i="5" a="1"/>
  <c r="I751" i="5" a="1"/>
  <c r="I721" i="5" a="1"/>
  <c r="I574" i="5" a="1"/>
  <c r="I539" i="5" a="1"/>
  <c r="I492" i="5" a="1"/>
  <c r="I476" i="5" a="1"/>
  <c r="I446" i="5" a="1"/>
  <c r="I418" i="5" a="1"/>
  <c r="I375" i="5" a="1"/>
  <c r="I348" i="5" a="1"/>
  <c r="I338" i="5" a="1"/>
  <c r="I328" i="5" a="1"/>
  <c r="I318" i="5" a="1"/>
  <c r="I308" i="5" a="1"/>
  <c r="I298" i="5" a="1"/>
  <c r="I288" i="5" a="1"/>
  <c r="I278" i="5" a="1"/>
  <c r="I268" i="5" a="1"/>
  <c r="I258" i="5" a="1"/>
  <c r="I248" i="5" a="1"/>
  <c r="I238" i="5" a="1"/>
  <c r="I228" i="5" a="1"/>
  <c r="I218" i="5" a="1"/>
  <c r="I208" i="5" a="1"/>
  <c r="I198" i="5" a="1"/>
  <c r="I188" i="5" a="1"/>
  <c r="I178" i="5" a="1"/>
  <c r="I168" i="5" a="1"/>
  <c r="I158" i="5" a="1"/>
  <c r="I148" i="5" a="1"/>
  <c r="I138" i="5" a="1"/>
  <c r="I128" i="5" a="1"/>
  <c r="I118" i="5" a="1"/>
  <c r="I108" i="5" a="1"/>
  <c r="I98" i="5" a="1"/>
  <c r="I1930" i="5" a="1"/>
  <c r="I1738" i="5" a="1"/>
  <c r="I1595" i="5" a="1"/>
  <c r="I1414" i="5" a="1"/>
  <c r="I1348" i="5" a="1"/>
  <c r="I1289" i="5" a="1"/>
  <c r="I1231" i="5" a="1"/>
  <c r="I1126" i="5" a="1"/>
  <c r="I1077" i="5" a="1"/>
  <c r="I984" i="5" a="1"/>
  <c r="I859" i="5" a="1"/>
  <c r="I821" i="5" a="1"/>
  <c r="I782" i="5" a="1"/>
  <c r="I746" i="5" a="1"/>
  <c r="I691" i="5" a="1"/>
  <c r="I662" i="5" a="1"/>
  <c r="I636" i="5" a="1"/>
  <c r="I612" i="5" a="1"/>
  <c r="I592" i="5" a="1"/>
  <c r="I573" i="5" a="1"/>
  <c r="I555" i="5" a="1"/>
  <c r="I538" i="5" a="1"/>
  <c r="I522" i="5" a="1"/>
  <c r="I506" i="5" a="1"/>
  <c r="I461" i="5" a="1"/>
  <c r="I432" i="5" a="1"/>
  <c r="I403" i="5" a="1"/>
  <c r="I389" i="5" a="1"/>
  <c r="I374" i="5" a="1"/>
  <c r="I361" i="5" a="1"/>
  <c r="I1051" i="5" a="1"/>
  <c r="I281" i="5" a="1"/>
  <c r="I1413" i="5" a="1"/>
  <c r="I1339" i="5" a="1"/>
  <c r="I1122" i="5" a="1"/>
  <c r="I1025" i="5" a="1"/>
  <c r="I979" i="5" a="1"/>
  <c r="I942" i="5" a="1"/>
  <c r="I900" i="5" a="1"/>
  <c r="I857" i="5" a="1"/>
  <c r="I716" i="5" a="1"/>
  <c r="I554" i="5" a="1"/>
  <c r="I536" i="5" a="1"/>
  <c r="I491" i="5" a="1"/>
  <c r="I475" i="5" a="1"/>
  <c r="I445" i="5" a="1"/>
  <c r="I416" i="5" a="1"/>
  <c r="I388" i="5" a="1"/>
  <c r="I347" i="5" a="1"/>
  <c r="I337" i="5" a="1"/>
  <c r="I327" i="5" a="1"/>
  <c r="I317" i="5" a="1"/>
  <c r="I307" i="5" a="1"/>
  <c r="I297" i="5" a="1"/>
  <c r="I287" i="5" a="1"/>
  <c r="I277" i="5" a="1"/>
  <c r="I267" i="5" a="1"/>
  <c r="I257" i="5" a="1"/>
  <c r="I247" i="5" a="1"/>
  <c r="I237" i="5" a="1"/>
  <c r="I227" i="5" a="1"/>
  <c r="I217" i="5" a="1"/>
  <c r="I207" i="5" a="1"/>
  <c r="I197" i="5" a="1"/>
  <c r="I187" i="5" a="1"/>
  <c r="I177" i="5" a="1"/>
  <c r="I167" i="5" a="1"/>
  <c r="I157" i="5" a="1"/>
  <c r="I147" i="5" a="1"/>
  <c r="I137" i="5" a="1"/>
  <c r="I127" i="5" a="1"/>
  <c r="I117" i="5" a="1"/>
  <c r="I107" i="5" a="1"/>
  <c r="I97" i="5" a="1"/>
  <c r="I261" i="5" a="1"/>
  <c r="I1903" i="5" a="1"/>
  <c r="I1712" i="5" a="1"/>
  <c r="I1401" i="5" a="1"/>
  <c r="I1337" i="5" a="1"/>
  <c r="I1229" i="5" a="1"/>
  <c r="I1171" i="5" a="1"/>
  <c r="I977" i="5" a="1"/>
  <c r="I816" i="5" a="1"/>
  <c r="I778" i="5" a="1"/>
  <c r="I745" i="5" a="1"/>
  <c r="I686" i="5" a="1"/>
  <c r="I661" i="5" a="1"/>
  <c r="I635" i="5" a="1"/>
  <c r="I611" i="5" a="1"/>
  <c r="I591" i="5" a="1"/>
  <c r="I572" i="5" a="1"/>
  <c r="I553" i="5" a="1"/>
  <c r="I521" i="5" a="1"/>
  <c r="I505" i="5" a="1"/>
  <c r="I474" i="5" a="1"/>
  <c r="I459" i="5" a="1"/>
  <c r="I444" i="5" a="1"/>
  <c r="I431" i="5" a="1"/>
  <c r="I402" i="5" a="1"/>
  <c r="I373" i="5" a="1"/>
  <c r="I359" i="5" a="1"/>
  <c r="I993" i="5" a="1"/>
  <c r="I1486" i="5" a="1"/>
  <c r="I1279" i="5" a="1"/>
  <c r="I1220" i="5" a="1"/>
  <c r="I1121" i="5" a="1"/>
  <c r="I1069" i="5" a="1"/>
  <c r="I1020" i="5" a="1"/>
  <c r="I934" i="5" a="1"/>
  <c r="I856" i="5" a="1"/>
  <c r="I777" i="5" a="1"/>
  <c r="I742" i="5" a="1"/>
  <c r="I715" i="5" a="1"/>
  <c r="I535" i="5" a="1"/>
  <c r="I504" i="5" a="1"/>
  <c r="I489" i="5" a="1"/>
  <c r="I473" i="5" a="1"/>
  <c r="I458" i="5" a="1"/>
  <c r="I415" i="5" a="1"/>
  <c r="I386" i="5" a="1"/>
  <c r="I358" i="5" a="1"/>
  <c r="I346" i="5" a="1"/>
  <c r="I336" i="5" a="1"/>
  <c r="I326" i="5" a="1"/>
  <c r="I316" i="5" a="1"/>
  <c r="I306" i="5" a="1"/>
  <c r="I296" i="5" a="1"/>
  <c r="I286" i="5" a="1"/>
  <c r="I276" i="5" a="1"/>
  <c r="I266" i="5" a="1"/>
  <c r="I256" i="5" a="1"/>
  <c r="I246" i="5" a="1"/>
  <c r="I236" i="5" a="1"/>
  <c r="I226" i="5" a="1"/>
  <c r="I216" i="5" a="1"/>
  <c r="I206" i="5" a="1"/>
  <c r="I196" i="5" a="1"/>
  <c r="I186" i="5" a="1"/>
  <c r="I176" i="5" a="1"/>
  <c r="I166" i="5" a="1"/>
  <c r="I156" i="5" a="1"/>
  <c r="I146" i="5" a="1"/>
  <c r="I136" i="5" a="1"/>
  <c r="I126" i="5" a="1"/>
  <c r="I116" i="5" a="1"/>
  <c r="I106" i="5" a="1"/>
  <c r="I96" i="5" a="1"/>
  <c r="I956" i="5" a="1"/>
  <c r="I1893" i="5" a="1"/>
  <c r="I1573" i="5" a="1"/>
  <c r="I1484" i="5" a="1"/>
  <c r="I1332" i="5" a="1"/>
  <c r="I1120" i="5" a="1"/>
  <c r="I1018" i="5" a="1"/>
  <c r="I892" i="5" a="1"/>
  <c r="I850" i="5" a="1"/>
  <c r="I814" i="5" a="1"/>
  <c r="I712" i="5" a="1"/>
  <c r="I685" i="5" a="1"/>
  <c r="I656" i="5" a="1"/>
  <c r="I632" i="5" a="1"/>
  <c r="I606" i="5" a="1"/>
  <c r="I588" i="5" a="1"/>
  <c r="I571" i="5" a="1"/>
  <c r="I552" i="5" a="1"/>
  <c r="I534" i="5" a="1"/>
  <c r="I519" i="5" a="1"/>
  <c r="I503" i="5" a="1"/>
  <c r="I488" i="5" a="1"/>
  <c r="I443" i="5" a="1"/>
  <c r="I429" i="5" a="1"/>
  <c r="I414" i="5" a="1"/>
  <c r="I401" i="5" a="1"/>
  <c r="I372" i="5" a="1"/>
  <c r="I914" i="5" a="1"/>
  <c r="I872" i="5" a="1"/>
  <c r="I1478" i="5" a="1"/>
  <c r="I1270" i="5" a="1"/>
  <c r="I1219" i="5" a="1"/>
  <c r="I1162" i="5" a="1"/>
  <c r="I1112" i="5" a="1"/>
  <c r="I1068" i="5" a="1"/>
  <c r="I972" i="5" a="1"/>
  <c r="I930" i="5" a="1"/>
  <c r="I776" i="5" a="1"/>
  <c r="I741" i="5" a="1"/>
  <c r="I682" i="5" a="1"/>
  <c r="I586" i="5" a="1"/>
  <c r="I533" i="5" a="1"/>
  <c r="I518" i="5" a="1"/>
  <c r="I472" i="5" a="1"/>
  <c r="I456" i="5" a="1"/>
  <c r="I428" i="5" a="1"/>
  <c r="I385" i="5" a="1"/>
  <c r="I356" i="5" a="1"/>
  <c r="I345" i="5" a="1"/>
  <c r="I335" i="5" a="1"/>
  <c r="I325" i="5" a="1"/>
  <c r="I315" i="5" a="1"/>
  <c r="I305" i="5" a="1"/>
  <c r="I295" i="5" a="1"/>
  <c r="I285" i="5" a="1"/>
  <c r="I275" i="5" a="1"/>
  <c r="I265" i="5" a="1"/>
  <c r="I255" i="5" a="1"/>
  <c r="I245" i="5" a="1"/>
  <c r="I235" i="5" a="1"/>
  <c r="I225" i="5" a="1"/>
  <c r="I215" i="5" a="1"/>
  <c r="I205" i="5" a="1"/>
  <c r="I195" i="5" a="1"/>
  <c r="I185" i="5" a="1"/>
  <c r="I175" i="5" a="1"/>
  <c r="I165" i="5" a="1"/>
  <c r="I155" i="5" a="1"/>
  <c r="I145" i="5" a="1"/>
  <c r="I135" i="5" a="1"/>
  <c r="I125" i="5" a="1"/>
  <c r="I115" i="5" a="1"/>
  <c r="I105" i="5" a="1"/>
  <c r="I1370" i="5" a="1"/>
  <c r="I352" i="5" a="1"/>
  <c r="I1801" i="5" a="1"/>
  <c r="I758" i="5" a="1"/>
  <c r="I562" i="5" a="1"/>
  <c r="I512" i="5" a="1"/>
  <c r="I321" i="5" a="1"/>
  <c r="I271" i="5" a="1"/>
  <c r="I211" i="5" a="1"/>
  <c r="I141" i="5" a="1"/>
  <c r="I111" i="5" a="1"/>
  <c r="I757" i="5" a="1"/>
  <c r="I645" i="5" a="1"/>
  <c r="I526" i="5" a="1"/>
  <c r="I422" i="5" a="1"/>
  <c r="I1876" i="5" a="1"/>
  <c r="I1693" i="5" a="1"/>
  <c r="I1390" i="5" a="1"/>
  <c r="I1331" i="5" a="1"/>
  <c r="I1212" i="5" a="1"/>
  <c r="I1161" i="5" a="1"/>
  <c r="I1111" i="5" a="1"/>
  <c r="I1059" i="5" a="1"/>
  <c r="I849" i="5" a="1"/>
  <c r="I809" i="5" a="1"/>
  <c r="I711" i="5" a="1"/>
  <c r="I655" i="5" a="1"/>
  <c r="I631" i="5" a="1"/>
  <c r="I605" i="5" a="1"/>
  <c r="I568" i="5" a="1"/>
  <c r="I551" i="5" a="1"/>
  <c r="I502" i="5" a="1"/>
  <c r="I486" i="5" a="1"/>
  <c r="I442" i="5" a="1"/>
  <c r="I413" i="5" a="1"/>
  <c r="I399" i="5" a="1"/>
  <c r="I384" i="5" a="1"/>
  <c r="I371" i="5" a="1"/>
  <c r="I1253" i="5" a="1"/>
  <c r="I1044" i="5" a="1"/>
  <c r="I1467" i="5" a="1"/>
  <c r="I1328" i="5" a="1"/>
  <c r="I1269" i="5" a="1"/>
  <c r="I1110" i="5" a="1"/>
  <c r="I929" i="5" a="1"/>
  <c r="I886" i="5" a="1"/>
  <c r="I807" i="5" a="1"/>
  <c r="I770" i="5" a="1"/>
  <c r="I736" i="5" a="1"/>
  <c r="I681" i="5" a="1"/>
  <c r="I604" i="5" a="1"/>
  <c r="I585" i="5" a="1"/>
  <c r="I566" i="5" a="1"/>
  <c r="I532" i="5" a="1"/>
  <c r="I516" i="5" a="1"/>
  <c r="I471" i="5" a="1"/>
  <c r="I455" i="5" a="1"/>
  <c r="I426" i="5" a="1"/>
  <c r="I398" i="5" a="1"/>
  <c r="I355" i="5" a="1"/>
  <c r="I344" i="5" a="1"/>
  <c r="I334" i="5" a="1"/>
  <c r="I324" i="5" a="1"/>
  <c r="I314" i="5" a="1"/>
  <c r="I304" i="5" a="1"/>
  <c r="I294" i="5" a="1"/>
  <c r="I284" i="5" a="1"/>
  <c r="I274" i="5" a="1"/>
  <c r="I264" i="5" a="1"/>
  <c r="I254" i="5" a="1"/>
  <c r="I244" i="5" a="1"/>
  <c r="I234" i="5" a="1"/>
  <c r="I224" i="5" a="1"/>
  <c r="I214" i="5" a="1"/>
  <c r="I204" i="5" a="1"/>
  <c r="I194" i="5" a="1"/>
  <c r="I184" i="5" a="1"/>
  <c r="I174" i="5" a="1"/>
  <c r="I164" i="5" a="1"/>
  <c r="I154" i="5" a="1"/>
  <c r="I144" i="5" a="1"/>
  <c r="I134" i="5" a="1"/>
  <c r="I124" i="5" a="1"/>
  <c r="I114" i="5" a="1"/>
  <c r="I104" i="5" a="1"/>
  <c r="I1444" i="5" a="1"/>
  <c r="I1443" i="5" a="1"/>
  <c r="I241" i="5" a="1"/>
  <c r="I596" i="5" a="1"/>
  <c r="I351" i="5" a="1"/>
  <c r="I1850" i="5" a="1"/>
  <c r="I1675" i="5" a="1"/>
  <c r="I1550" i="5" a="1"/>
  <c r="I1464" i="5" a="1"/>
  <c r="I1320" i="5" a="1"/>
  <c r="I1104" i="5" a="1"/>
  <c r="I1058" i="5" a="1"/>
  <c r="I1009" i="5" a="1"/>
  <c r="I927" i="5" a="1"/>
  <c r="I843" i="5" a="1"/>
  <c r="I803" i="5" a="1"/>
  <c r="I706" i="5" a="1"/>
  <c r="I652" i="5" a="1"/>
  <c r="I626" i="5" a="1"/>
  <c r="I584" i="5" a="1"/>
  <c r="I548" i="5" a="1"/>
  <c r="I501" i="5" a="1"/>
  <c r="I485" i="5" a="1"/>
  <c r="I454" i="5" a="1"/>
  <c r="I441" i="5" a="1"/>
  <c r="I412" i="5" a="1"/>
  <c r="I383" i="5" a="1"/>
  <c r="I369" i="5" a="1"/>
  <c r="I354" i="5" a="1"/>
  <c r="I1310" i="5" a="1"/>
  <c r="I543" i="5" a="1"/>
  <c r="I341" i="5" a="1"/>
  <c r="I191" i="5" a="1"/>
  <c r="I1845" i="5" a="1"/>
  <c r="I1673" i="5" a="1"/>
  <c r="I1549" i="5" a="1"/>
  <c r="I1377" i="5" a="1"/>
  <c r="I1258" i="5" a="1"/>
  <c r="I1209" i="5" a="1"/>
  <c r="I1155" i="5" a="1"/>
  <c r="I1007" i="5" a="1"/>
  <c r="I963" i="5" a="1"/>
  <c r="I884" i="5" a="1"/>
  <c r="I735" i="5" a="1"/>
  <c r="I676" i="5" a="1"/>
  <c r="I602" i="5" a="1"/>
  <c r="I583" i="5" a="1"/>
  <c r="I565" i="5" a="1"/>
  <c r="I546" i="5" a="1"/>
  <c r="I531" i="5" a="1"/>
  <c r="I515" i="5" a="1"/>
  <c r="I484" i="5" a="1"/>
  <c r="I469" i="5" a="1"/>
  <c r="I425" i="5" a="1"/>
  <c r="I396" i="5" a="1"/>
  <c r="I368" i="5" a="1"/>
  <c r="I343" i="5" a="1"/>
  <c r="I333" i="5" a="1"/>
  <c r="I323" i="5" a="1"/>
  <c r="I313" i="5" a="1"/>
  <c r="I303" i="5" a="1"/>
  <c r="I293" i="5" a="1"/>
  <c r="I283" i="5" a="1"/>
  <c r="I273" i="5" a="1"/>
  <c r="I263" i="5" a="1"/>
  <c r="I253" i="5" a="1"/>
  <c r="I243" i="5" a="1"/>
  <c r="I233" i="5" a="1"/>
  <c r="I223" i="5" a="1"/>
  <c r="I213" i="5" a="1"/>
  <c r="I203" i="5" a="1"/>
  <c r="I193" i="5" a="1"/>
  <c r="I183" i="5" a="1"/>
  <c r="I173" i="5" a="1"/>
  <c r="I163" i="5" a="1"/>
  <c r="I153" i="5" a="1"/>
  <c r="I143" i="5" a="1"/>
  <c r="I133" i="5" a="1"/>
  <c r="I123" i="5" a="1"/>
  <c r="I113" i="5" a="1"/>
  <c r="I103" i="5" a="1"/>
  <c r="I1528" i="5" a="1"/>
  <c r="I1249" i="5" a="1"/>
  <c r="I331" i="5" a="1"/>
  <c r="I151" i="5" a="1"/>
  <c r="I465" i="5" a="1"/>
  <c r="I1457" i="5" a="1"/>
  <c r="I1371" i="5" a="1"/>
  <c r="I1319" i="5" a="1"/>
  <c r="I1202" i="5" a="1"/>
  <c r="I1103" i="5" a="1"/>
  <c r="I1054" i="5" a="1"/>
  <c r="I879" i="5" a="1"/>
  <c r="I842" i="5" a="1"/>
  <c r="I802" i="5" a="1"/>
  <c r="I764" i="5" a="1"/>
  <c r="I732" i="5" a="1"/>
  <c r="I705" i="5" a="1"/>
  <c r="I651" i="5" a="1"/>
  <c r="I625" i="5" a="1"/>
  <c r="I564" i="5" a="1"/>
  <c r="I514" i="5" a="1"/>
  <c r="I499" i="5" a="1"/>
  <c r="I483" i="5" a="1"/>
  <c r="I468" i="5" a="1"/>
  <c r="I453" i="5" a="1"/>
  <c r="I439" i="5" a="1"/>
  <c r="I424" i="5" a="1"/>
  <c r="I411" i="5" a="1"/>
  <c r="I382" i="5" a="1"/>
  <c r="I353" i="5" a="1"/>
  <c r="I496" i="5" a="1"/>
  <c r="I291" i="5" a="1"/>
  <c r="I161" i="5" a="1"/>
  <c r="I1827" i="5" a="1"/>
  <c r="I1659" i="5" a="1"/>
  <c r="I1541" i="5" a="1"/>
  <c r="I1257" i="5" a="1"/>
  <c r="I1200" i="5" a="1"/>
  <c r="I1146" i="5" a="1"/>
  <c r="I1102" i="5" a="1"/>
  <c r="I1002" i="5" a="1"/>
  <c r="I959" i="5" a="1"/>
  <c r="I920" i="5" a="1"/>
  <c r="I877" i="5" a="1"/>
  <c r="I702" i="5" a="1"/>
  <c r="I675" i="5" a="1"/>
  <c r="I601" i="5" a="1"/>
  <c r="I582" i="5" a="1"/>
  <c r="I563" i="5" a="1"/>
  <c r="I545" i="5" a="1"/>
  <c r="I529" i="5" a="1"/>
  <c r="I513" i="5" a="1"/>
  <c r="I498" i="5" a="1"/>
  <c r="I438" i="5" a="1"/>
  <c r="I395" i="5" a="1"/>
  <c r="I366" i="5" a="1"/>
  <c r="I342" i="5" a="1"/>
  <c r="I332" i="5" a="1"/>
  <c r="I322" i="5" a="1"/>
  <c r="I312" i="5" a="1"/>
  <c r="I302" i="5" a="1"/>
  <c r="I292" i="5" a="1"/>
  <c r="I282" i="5" a="1"/>
  <c r="I272" i="5" a="1"/>
  <c r="I262" i="5" a="1"/>
  <c r="I252" i="5" a="1"/>
  <c r="I242" i="5" a="1"/>
  <c r="I232" i="5" a="1"/>
  <c r="I222" i="5" a="1"/>
  <c r="I212" i="5" a="1"/>
  <c r="I202" i="5" a="1"/>
  <c r="I192" i="5" a="1"/>
  <c r="I182" i="5" a="1"/>
  <c r="I172" i="5" a="1"/>
  <c r="I162" i="5" a="1"/>
  <c r="I152" i="5" a="1"/>
  <c r="I142" i="5" a="1"/>
  <c r="I132" i="5" a="1"/>
  <c r="I122" i="5" a="1"/>
  <c r="I112" i="5" a="1"/>
  <c r="I102" i="5" a="1"/>
  <c r="I1093" i="5" a="1"/>
  <c r="I301" i="5" a="1"/>
  <c r="I171" i="5" a="1"/>
  <c r="I1442" i="5" a="1"/>
  <c r="I481" i="5" a="1"/>
  <c r="J2004" i="5" a="1"/>
  <c r="J1904" i="5" a="1"/>
  <c r="J1804" i="5" a="1"/>
  <c r="J1704" i="5" a="1"/>
  <c r="J1604" i="5" a="1"/>
  <c r="J1504" i="5" a="1"/>
  <c r="J1404" i="5" a="1"/>
  <c r="J1304" i="5" a="1"/>
  <c r="J1204" i="5" a="1"/>
  <c r="J1914" i="5" a="1"/>
  <c r="J1814" i="5" a="1"/>
  <c r="J1924" i="5" a="1"/>
  <c r="J1824" i="5" a="1"/>
  <c r="J1999" i="5" a="1"/>
  <c r="J1988" i="5" a="1"/>
  <c r="J1977" i="5" a="1"/>
  <c r="J1966" i="5" a="1"/>
  <c r="J1955" i="5" a="1"/>
  <c r="J1943" i="5" a="1"/>
  <c r="J1932" i="5" a="1"/>
  <c r="J1921" i="5" a="1"/>
  <c r="J1910" i="5" a="1"/>
  <c r="J1899" i="5" a="1"/>
  <c r="J1888" i="5" a="1"/>
  <c r="J1877" i="5" a="1"/>
  <c r="J1866" i="5" a="1"/>
  <c r="J1855" i="5" a="1"/>
  <c r="J1843" i="5" a="1"/>
  <c r="J1832" i="5" a="1"/>
  <c r="J1821" i="5" a="1"/>
  <c r="J1810" i="5" a="1"/>
  <c r="J1799" i="5" a="1"/>
  <c r="J1788" i="5" a="1"/>
  <c r="J1777" i="5" a="1"/>
  <c r="J1766" i="5" a="1"/>
  <c r="J1755" i="5" a="1"/>
  <c r="J1743" i="5" a="1"/>
  <c r="J1732" i="5" a="1"/>
  <c r="J1721" i="5" a="1"/>
  <c r="J1710" i="5" a="1"/>
  <c r="J1699" i="5" a="1"/>
  <c r="J1688" i="5" a="1"/>
  <c r="J1677" i="5" a="1"/>
  <c r="J1666" i="5" a="1"/>
  <c r="J1655" i="5" a="1"/>
  <c r="J1643" i="5" a="1"/>
  <c r="J1954" i="5" a="1"/>
  <c r="J1854" i="5" a="1"/>
  <c r="J1754" i="5" a="1"/>
  <c r="J1654" i="5" a="1"/>
  <c r="J1554" i="5" a="1"/>
  <c r="J1454" i="5" a="1"/>
  <c r="J1354" i="5" a="1"/>
  <c r="J1254" i="5" a="1"/>
  <c r="J1997" i="5" a="1"/>
  <c r="J1986" i="5" a="1"/>
  <c r="J1975" i="5" a="1"/>
  <c r="J1996" i="5" a="1"/>
  <c r="J1985" i="5" a="1"/>
  <c r="J1973" i="5" a="1"/>
  <c r="J1962" i="5" a="1"/>
  <c r="J1951" i="5" a="1"/>
  <c r="J1940" i="5" a="1"/>
  <c r="J1929" i="5" a="1"/>
  <c r="J1918" i="5" a="1"/>
  <c r="J1907" i="5" a="1"/>
  <c r="J1896" i="5" a="1"/>
  <c r="J1885" i="5" a="1"/>
  <c r="J1873" i="5" a="1"/>
  <c r="J2003" i="5" a="1"/>
  <c r="J1968" i="5" a="1"/>
  <c r="J1952" i="5" a="1"/>
  <c r="J1937" i="5" a="1"/>
  <c r="J1920" i="5" a="1"/>
  <c r="J1889" i="5" a="1"/>
  <c r="J1858" i="5" a="1"/>
  <c r="J1842" i="5" a="1"/>
  <c r="J1813" i="5" a="1"/>
  <c r="J1758" i="5" a="1"/>
  <c r="J1731" i="5" a="1"/>
  <c r="J1706" i="5" a="1"/>
  <c r="J1692" i="5" a="1"/>
  <c r="J1667" i="5" a="1"/>
  <c r="J1640" i="5" a="1"/>
  <c r="J1628" i="5" a="1"/>
  <c r="J1616" i="5" a="1"/>
  <c r="J1553" i="5" a="1"/>
  <c r="J1541" i="5" a="1"/>
  <c r="J1529" i="5" a="1"/>
  <c r="J1517" i="5" a="1"/>
  <c r="J1505" i="5" a="1"/>
  <c r="J1442" i="5" a="1"/>
  <c r="J1430" i="5" a="1"/>
  <c r="J1418" i="5" a="1"/>
  <c r="J1406" i="5" a="1"/>
  <c r="J1393" i="5" a="1"/>
  <c r="J1344" i="5" a="1"/>
  <c r="J1331" i="5" a="1"/>
  <c r="J1319" i="5" a="1"/>
  <c r="J1307" i="5" a="1"/>
  <c r="J1295" i="5" a="1"/>
  <c r="J1282" i="5" a="1"/>
  <c r="J1220" i="5" a="1"/>
  <c r="J1208" i="5" a="1"/>
  <c r="J1196" i="5" a="1"/>
  <c r="J1183" i="5" a="1"/>
  <c r="J1171" i="5" a="1"/>
  <c r="J1114" i="5" a="1"/>
  <c r="J1103" i="5" a="1"/>
  <c r="J1092" i="5" a="1"/>
  <c r="J1081" i="5" a="1"/>
  <c r="J1070" i="5" a="1"/>
  <c r="J1026" i="5" a="1"/>
  <c r="J2001" i="5" a="1"/>
  <c r="J1983" i="5" a="1"/>
  <c r="J1967" i="5" a="1"/>
  <c r="J1935" i="5" a="1"/>
  <c r="J1919" i="5" a="1"/>
  <c r="J1903" i="5" a="1"/>
  <c r="J1887" i="5" a="1"/>
  <c r="J1841" i="5" a="1"/>
  <c r="J1784" i="5" a="1"/>
  <c r="J1770" i="5" a="1"/>
  <c r="J1757" i="5" a="1"/>
  <c r="J1744" i="5" a="1"/>
  <c r="J1730" i="5" a="1"/>
  <c r="J1705" i="5" a="1"/>
  <c r="J1691" i="5" a="1"/>
  <c r="J1665" i="5" a="1"/>
  <c r="J1639" i="5" a="1"/>
  <c r="J1627" i="5" a="1"/>
  <c r="J1614" i="5" a="1"/>
  <c r="J1565" i="5" a="1"/>
  <c r="J1552" i="5" a="1"/>
  <c r="J1540" i="5" a="1"/>
  <c r="J1528" i="5" a="1"/>
  <c r="J1516" i="5" a="1"/>
  <c r="J1453" i="5" a="1"/>
  <c r="J1981" i="5" a="1"/>
  <c r="J1964" i="5" a="1"/>
  <c r="J1949" i="5" a="1"/>
  <c r="J1917" i="5" a="1"/>
  <c r="J1869" i="5" a="1"/>
  <c r="J1853" i="5" a="1"/>
  <c r="J1825" i="5" a="1"/>
  <c r="J1809" i="5" a="1"/>
  <c r="J1796" i="5" a="1"/>
  <c r="J1782" i="5" a="1"/>
  <c r="J1768" i="5" a="1"/>
  <c r="J1741" i="5" a="1"/>
  <c r="J1716" i="5" a="1"/>
  <c r="J1702" i="5" a="1"/>
  <c r="J1676" i="5" a="1"/>
  <c r="J1650" i="5" a="1"/>
  <c r="J1637" i="5" a="1"/>
  <c r="J1625" i="5" a="1"/>
  <c r="J1612" i="5" a="1"/>
  <c r="J1600" i="5" a="1"/>
  <c r="J1588" i="5" a="1"/>
  <c r="J1526" i="5" a="1"/>
  <c r="J1513" i="5" a="1"/>
  <c r="J1501" i="5" a="1"/>
  <c r="J1489" i="5" a="1"/>
  <c r="J1477" i="5" a="1"/>
  <c r="J1464" i="5" a="1"/>
  <c r="J1415" i="5" a="1"/>
  <c r="J1402" i="5" a="1"/>
  <c r="J1390" i="5" a="1"/>
  <c r="J1378" i="5" a="1"/>
  <c r="J1366" i="5" a="1"/>
  <c r="J1303" i="5" a="1"/>
  <c r="J1291" i="5" a="1"/>
  <c r="J1279" i="5" a="1"/>
  <c r="J1267" i="5" a="1"/>
  <c r="J1255" i="5" a="1"/>
  <c r="J1192" i="5" a="1"/>
  <c r="J1180" i="5" a="1"/>
  <c r="J1168" i="5" a="1"/>
  <c r="J1156" i="5" a="1"/>
  <c r="J1145" i="5" a="1"/>
  <c r="J1089" i="5" a="1"/>
  <c r="J1078" i="5" a="1"/>
  <c r="J1067" i="5" a="1"/>
  <c r="J1056" i="5" a="1"/>
  <c r="J1045" i="5" a="1"/>
  <c r="J1034" i="5" a="1"/>
  <c r="J1013" i="5" a="1"/>
  <c r="J1003" i="5" a="1"/>
  <c r="J993" i="5" a="1"/>
  <c r="J983" i="5" a="1"/>
  <c r="J973" i="5" a="1"/>
  <c r="J963" i="5" a="1"/>
  <c r="J953" i="5" a="1"/>
  <c r="J943" i="5" a="1"/>
  <c r="J933" i="5" a="1"/>
  <c r="J923" i="5" a="1"/>
  <c r="J913" i="5" a="1"/>
  <c r="J903" i="5" a="1"/>
  <c r="J893" i="5" a="1"/>
  <c r="J883" i="5" a="1"/>
  <c r="J873" i="5" a="1"/>
  <c r="J863" i="5" a="1"/>
  <c r="J853" i="5" a="1"/>
  <c r="J843" i="5" a="1"/>
  <c r="J833" i="5" a="1"/>
  <c r="J823" i="5" a="1"/>
  <c r="J813" i="5" a="1"/>
  <c r="J803" i="5" a="1"/>
  <c r="J793" i="5" a="1"/>
  <c r="J783" i="5" a="1"/>
  <c r="J1946" i="5" a="1"/>
  <c r="J1930" i="5" a="1"/>
  <c r="J1915" i="5" a="1"/>
  <c r="J1898" i="5" a="1"/>
  <c r="J1867" i="5" a="1"/>
  <c r="J1838" i="5" a="1"/>
  <c r="J1822" i="5" a="1"/>
  <c r="J1794" i="5" a="1"/>
  <c r="J1752" i="5" a="1"/>
  <c r="J1727" i="5" a="1"/>
  <c r="J1713" i="5" a="1"/>
  <c r="J1687" i="5" a="1"/>
  <c r="J1674" i="5" a="1"/>
  <c r="J1661" i="5" a="1"/>
  <c r="J1648" i="5" a="1"/>
  <c r="J1598" i="5" a="1"/>
  <c r="J1586" i="5" a="1"/>
  <c r="J1573" i="5" a="1"/>
  <c r="J1561" i="5" a="1"/>
  <c r="J1549" i="5" a="1"/>
  <c r="J1524" i="5" a="1"/>
  <c r="J1487" i="5" a="1"/>
  <c r="J1475" i="5" a="1"/>
  <c r="J1462" i="5" a="1"/>
  <c r="J1450" i="5" a="1"/>
  <c r="J1438" i="5" a="1"/>
  <c r="J1376" i="5" a="1"/>
  <c r="J1363" i="5" a="1"/>
  <c r="J1351" i="5" a="1"/>
  <c r="J1339" i="5" a="1"/>
  <c r="J1327" i="5" a="1"/>
  <c r="J1314" i="5" a="1"/>
  <c r="J1265" i="5" a="1"/>
  <c r="J1252" i="5" a="1"/>
  <c r="J1240" i="5" a="1"/>
  <c r="J1228" i="5" a="1"/>
  <c r="J1216" i="5" a="1"/>
  <c r="J1154" i="5" a="1"/>
  <c r="J1143" i="5" a="1"/>
  <c r="J1132" i="5" a="1"/>
  <c r="J1121" i="5" a="1"/>
  <c r="J1110" i="5" a="1"/>
  <c r="J1054" i="5" a="1"/>
  <c r="J1043" i="5" a="1"/>
  <c r="J1022" i="5" a="1"/>
  <c r="J1995" i="5" a="1"/>
  <c r="J1978" i="5" a="1"/>
  <c r="J1961" i="5" a="1"/>
  <c r="J1913" i="5" a="1"/>
  <c r="J1882" i="5" a="1"/>
  <c r="J1851" i="5" a="1"/>
  <c r="J1837" i="5" a="1"/>
  <c r="J1807" i="5" a="1"/>
  <c r="J1793" i="5" a="1"/>
  <c r="J1779" i="5" a="1"/>
  <c r="J1765" i="5" a="1"/>
  <c r="J1739" i="5" a="1"/>
  <c r="J1726" i="5" a="1"/>
  <c r="J1700" i="5" a="1"/>
  <c r="J1673" i="5" a="1"/>
  <c r="J1635" i="5" a="1"/>
  <c r="J1622" i="5" a="1"/>
  <c r="J1610" i="5" a="1"/>
  <c r="J1548" i="5" a="1"/>
  <c r="J1536" i="5" a="1"/>
  <c r="J1523" i="5" a="1"/>
  <c r="J1511" i="5" a="1"/>
  <c r="J1499" i="5" a="1"/>
  <c r="J1474" i="5" a="1"/>
  <c r="J1437" i="5" a="1"/>
  <c r="J1425" i="5" a="1"/>
  <c r="J1412" i="5" a="1"/>
  <c r="J1400" i="5" a="1"/>
  <c r="J1388" i="5" a="1"/>
  <c r="J1326" i="5" a="1"/>
  <c r="J1313" i="5" a="1"/>
  <c r="J1301" i="5" a="1"/>
  <c r="J1289" i="5" a="1"/>
  <c r="J1277" i="5" a="1"/>
  <c r="J1264" i="5" a="1"/>
  <c r="J1215" i="5" a="1"/>
  <c r="J1202" i="5" a="1"/>
  <c r="J1190" i="5" a="1"/>
  <c r="J1178" i="5" a="1"/>
  <c r="J1166" i="5" a="1"/>
  <c r="J1109" i="5" a="1"/>
  <c r="J1098" i="5" a="1"/>
  <c r="J1087" i="5" a="1"/>
  <c r="J1076" i="5" a="1"/>
  <c r="J1065" i="5" a="1"/>
  <c r="J1032" i="5" a="1"/>
  <c r="J1011" i="5" a="1"/>
  <c r="J1001" i="5" a="1"/>
  <c r="J991" i="5" a="1"/>
  <c r="J1994" i="5" a="1"/>
  <c r="J1945" i="5" a="1"/>
  <c r="J1912" i="5" a="1"/>
  <c r="J1897" i="5" a="1"/>
  <c r="J1881" i="5" a="1"/>
  <c r="J1865" i="5" a="1"/>
  <c r="J1836" i="5" a="1"/>
  <c r="J1820" i="5" a="1"/>
  <c r="J1792" i="5" a="1"/>
  <c r="J1764" i="5" a="1"/>
  <c r="J1751" i="5" a="1"/>
  <c r="J1712" i="5" a="1"/>
  <c r="J1686" i="5" a="1"/>
  <c r="J1660" i="5" a="1"/>
  <c r="J1647" i="5" a="1"/>
  <c r="J1634" i="5" a="1"/>
  <c r="J1609" i="5" a="1"/>
  <c r="J1597" i="5" a="1"/>
  <c r="J1585" i="5" a="1"/>
  <c r="J1572" i="5" a="1"/>
  <c r="J1560" i="5" a="1"/>
  <c r="J1498" i="5" a="1"/>
  <c r="J1486" i="5" a="1"/>
  <c r="J1473" i="5" a="1"/>
  <c r="J1461" i="5" a="1"/>
  <c r="J1449" i="5" a="1"/>
  <c r="J1424" i="5" a="1"/>
  <c r="J1387" i="5" a="1"/>
  <c r="J1375" i="5" a="1"/>
  <c r="J1362" i="5" a="1"/>
  <c r="J1350" i="5" a="1"/>
  <c r="J1338" i="5" a="1"/>
  <c r="J1276" i="5" a="1"/>
  <c r="J1263" i="5" a="1"/>
  <c r="J1251" i="5" a="1"/>
  <c r="J1239" i="5" a="1"/>
  <c r="J1227" i="5" a="1"/>
  <c r="J1214" i="5" a="1"/>
  <c r="J1165" i="5" a="1"/>
  <c r="J1153" i="5" a="1"/>
  <c r="J1142" i="5" a="1"/>
  <c r="J1131" i="5" a="1"/>
  <c r="J1120" i="5" a="1"/>
  <c r="J1064" i="5" a="1"/>
  <c r="J1053" i="5" a="1"/>
  <c r="J1042" i="5" a="1"/>
  <c r="J1021" i="5" a="1"/>
  <c r="J1993" i="5" a="1"/>
  <c r="J1976" i="5" a="1"/>
  <c r="J1960" i="5" a="1"/>
  <c r="J1944" i="5" a="1"/>
  <c r="J1928" i="5" a="1"/>
  <c r="J1880" i="5" a="1"/>
  <c r="J1864" i="5" a="1"/>
  <c r="J1850" i="5" a="1"/>
  <c r="J1835" i="5" a="1"/>
  <c r="J1806" i="5" a="1"/>
  <c r="J1791" i="5" a="1"/>
  <c r="J1778" i="5" a="1"/>
  <c r="J1763" i="5" a="1"/>
  <c r="J1738" i="5" a="1"/>
  <c r="J1725" i="5" a="1"/>
  <c r="J1698" i="5" a="1"/>
  <c r="J1672" i="5" a="1"/>
  <c r="J1659" i="5" a="1"/>
  <c r="J1633" i="5" a="1"/>
  <c r="J1621" i="5" a="1"/>
  <c r="J1584" i="5" a="1"/>
  <c r="J1559" i="5" a="1"/>
  <c r="J1547" i="5" a="1"/>
  <c r="J1535" i="5" a="1"/>
  <c r="J1522" i="5" a="1"/>
  <c r="J1510" i="5" a="1"/>
  <c r="J1448" i="5" a="1"/>
  <c r="J1436" i="5" a="1"/>
  <c r="J1423" i="5" a="1"/>
  <c r="J1411" i="5" a="1"/>
  <c r="J1399" i="5" a="1"/>
  <c r="J1374" i="5" a="1"/>
  <c r="J1337" i="5" a="1"/>
  <c r="J1325" i="5" a="1"/>
  <c r="J1312" i="5" a="1"/>
  <c r="J1300" i="5" a="1"/>
  <c r="J1288" i="5" a="1"/>
  <c r="J1226" i="5" a="1"/>
  <c r="J1213" i="5" a="1"/>
  <c r="J1201" i="5" a="1"/>
  <c r="J1189" i="5" a="1"/>
  <c r="J1177" i="5" a="1"/>
  <c r="J1164" i="5" a="1"/>
  <c r="J1119" i="5" a="1"/>
  <c r="J1108" i="5" a="1"/>
  <c r="J1097" i="5" a="1"/>
  <c r="J1086" i="5" a="1"/>
  <c r="J1075" i="5" a="1"/>
  <c r="J1031" i="5" a="1"/>
  <c r="J1010" i="5" a="1"/>
  <c r="J1000" i="5" a="1"/>
  <c r="J990" i="5" a="1"/>
  <c r="J980" i="5" a="1"/>
  <c r="J970" i="5" a="1"/>
  <c r="J960" i="5" a="1"/>
  <c r="J950" i="5" a="1"/>
  <c r="J940" i="5" a="1"/>
  <c r="J930" i="5" a="1"/>
  <c r="J920" i="5" a="1"/>
  <c r="J910" i="5" a="1"/>
  <c r="J900" i="5" a="1"/>
  <c r="J890" i="5" a="1"/>
  <c r="J880" i="5" a="1"/>
  <c r="J870" i="5" a="1"/>
  <c r="J860" i="5" a="1"/>
  <c r="J850" i="5" a="1"/>
  <c r="J840" i="5" a="1"/>
  <c r="J830" i="5" a="1"/>
  <c r="J820" i="5" a="1"/>
  <c r="J810" i="5" a="1"/>
  <c r="J800" i="5" a="1"/>
  <c r="J1992" i="5" a="1"/>
  <c r="J1959" i="5" a="1"/>
  <c r="J1942" i="5" a="1"/>
  <c r="J1911" i="5" a="1"/>
  <c r="J1879" i="5" a="1"/>
  <c r="J1863" i="5" a="1"/>
  <c r="J1834" i="5" a="1"/>
  <c r="J1819" i="5" a="1"/>
  <c r="J1750" i="5" a="1"/>
  <c r="J1737" i="5" a="1"/>
  <c r="J1724" i="5" a="1"/>
  <c r="J1711" i="5" a="1"/>
  <c r="J1685" i="5" a="1"/>
  <c r="J1646" i="5" a="1"/>
  <c r="J1620" i="5" a="1"/>
  <c r="J1608" i="5" a="1"/>
  <c r="J1596" i="5" a="1"/>
  <c r="J1583" i="5" a="1"/>
  <c r="J1571" i="5" a="1"/>
  <c r="J1534" i="5" a="1"/>
  <c r="J1509" i="5" a="1"/>
  <c r="J1497" i="5" a="1"/>
  <c r="J1485" i="5" a="1"/>
  <c r="J1991" i="5" a="1"/>
  <c r="J1974" i="5" a="1"/>
  <c r="J1958" i="5" a="1"/>
  <c r="J1927" i="5" a="1"/>
  <c r="J1895" i="5" a="1"/>
  <c r="J1849" i="5" a="1"/>
  <c r="J1833" i="5" a="1"/>
  <c r="J1805" i="5" a="1"/>
  <c r="J1790" i="5" a="1"/>
  <c r="J1776" i="5" a="1"/>
  <c r="J1762" i="5" a="1"/>
  <c r="J1723" i="5" a="1"/>
  <c r="J1697" i="5" a="1"/>
  <c r="J1684" i="5" a="1"/>
  <c r="J1671" i="5" a="1"/>
  <c r="J1658" i="5" a="1"/>
  <c r="J1632" i="5" a="1"/>
  <c r="J1570" i="5" a="1"/>
  <c r="J1558" i="5" a="1"/>
  <c r="J1546" i="5" a="1"/>
  <c r="J1533" i="5" a="1"/>
  <c r="J1521" i="5" a="1"/>
  <c r="J1484" i="5" a="1"/>
  <c r="J1459" i="5" a="1"/>
  <c r="J1447" i="5" a="1"/>
  <c r="J1435" i="5" a="1"/>
  <c r="J1422" i="5" a="1"/>
  <c r="J1410" i="5" a="1"/>
  <c r="J1348" i="5" a="1"/>
  <c r="J1336" i="5" a="1"/>
  <c r="J1323" i="5" a="1"/>
  <c r="J1311" i="5" a="1"/>
  <c r="J1299" i="5" a="1"/>
  <c r="J1274" i="5" a="1"/>
  <c r="J1237" i="5" a="1"/>
  <c r="J1225" i="5" a="1"/>
  <c r="J1212" i="5" a="1"/>
  <c r="J1200" i="5" a="1"/>
  <c r="J1188" i="5" a="1"/>
  <c r="J1129" i="5" a="1"/>
  <c r="J1118" i="5" a="1"/>
  <c r="J1107" i="5" a="1"/>
  <c r="J1096" i="5" a="1"/>
  <c r="J1085" i="5" a="1"/>
  <c r="J1030" i="5" a="1"/>
  <c r="J1019" i="5" a="1"/>
  <c r="J1009" i="5" a="1"/>
  <c r="J999" i="5" a="1"/>
  <c r="J989" i="5" a="1"/>
  <c r="J979" i="5" a="1"/>
  <c r="J969" i="5" a="1"/>
  <c r="J959" i="5" a="1"/>
  <c r="J949" i="5" a="1"/>
  <c r="J939" i="5" a="1"/>
  <c r="J929" i="5" a="1"/>
  <c r="J919" i="5" a="1"/>
  <c r="J909" i="5" a="1"/>
  <c r="J899" i="5" a="1"/>
  <c r="J889" i="5" a="1"/>
  <c r="J879" i="5" a="1"/>
  <c r="J869" i="5" a="1"/>
  <c r="J859" i="5" a="1"/>
  <c r="J849" i="5" a="1"/>
  <c r="J839" i="5" a="1"/>
  <c r="J829" i="5" a="1"/>
  <c r="J819" i="5" a="1"/>
  <c r="J809" i="5" a="1"/>
  <c r="J799" i="5" a="1"/>
  <c r="J789" i="5" a="1"/>
  <c r="J1972" i="5" a="1"/>
  <c r="J1925" i="5" a="1"/>
  <c r="J1893" i="5" a="1"/>
  <c r="J1847" i="5" a="1"/>
  <c r="J1831" i="5" a="1"/>
  <c r="J1802" i="5" a="1"/>
  <c r="J1789" i="5" a="1"/>
  <c r="J1775" i="5" a="1"/>
  <c r="J1761" i="5" a="1"/>
  <c r="J1748" i="5" a="1"/>
  <c r="J1722" i="5" a="1"/>
  <c r="J1696" i="5" a="1"/>
  <c r="J1657" i="5" a="1"/>
  <c r="J1644" i="5" a="1"/>
  <c r="J1594" i="5" a="1"/>
  <c r="J1581" i="5" a="1"/>
  <c r="J1569" i="5" a="1"/>
  <c r="J1557" i="5" a="1"/>
  <c r="J1545" i="5" a="1"/>
  <c r="J1532" i="5" a="1"/>
  <c r="J1470" i="5" a="1"/>
  <c r="J1458" i="5" a="1"/>
  <c r="J1446" i="5" a="1"/>
  <c r="J1433" i="5" a="1"/>
  <c r="J1421" i="5" a="1"/>
  <c r="J1384" i="5" a="1"/>
  <c r="J1359" i="5" a="1"/>
  <c r="J1347" i="5" a="1"/>
  <c r="J1335" i="5" a="1"/>
  <c r="J1322" i="5" a="1"/>
  <c r="J1310" i="5" a="1"/>
  <c r="J1248" i="5" a="1"/>
  <c r="J1236" i="5" a="1"/>
  <c r="J1223" i="5" a="1"/>
  <c r="J1211" i="5" a="1"/>
  <c r="J1199" i="5" a="1"/>
  <c r="J1174" i="5" a="1"/>
  <c r="J1139" i="5" a="1"/>
  <c r="J1128" i="5" a="1"/>
  <c r="J1117" i="5" a="1"/>
  <c r="J1106" i="5" a="1"/>
  <c r="J1095" i="5" a="1"/>
  <c r="J1039" i="5" a="1"/>
  <c r="J1018" i="5" a="1"/>
  <c r="J1008" i="5" a="1"/>
  <c r="J998" i="5" a="1"/>
  <c r="J988" i="5" a="1"/>
  <c r="J978" i="5" a="1"/>
  <c r="J968" i="5" a="1"/>
  <c r="J958" i="5" a="1"/>
  <c r="J948" i="5" a="1"/>
  <c r="J938" i="5" a="1"/>
  <c r="J928" i="5" a="1"/>
  <c r="J918" i="5" a="1"/>
  <c r="J908" i="5" a="1"/>
  <c r="J898" i="5" a="1"/>
  <c r="J888" i="5" a="1"/>
  <c r="J878" i="5" a="1"/>
  <c r="J868" i="5" a="1"/>
  <c r="J858" i="5" a="1"/>
  <c r="J848" i="5" a="1"/>
  <c r="J838" i="5" a="1"/>
  <c r="J828" i="5" a="1"/>
  <c r="J818" i="5" a="1"/>
  <c r="J808" i="5" a="1"/>
  <c r="J798" i="5" a="1"/>
  <c r="J788" i="5" a="1"/>
  <c r="J1989" i="5" a="1"/>
  <c r="J1956" i="5" a="1"/>
  <c r="J1923" i="5" a="1"/>
  <c r="J1908" i="5" a="1"/>
  <c r="J1892" i="5" a="1"/>
  <c r="J1876" i="5" a="1"/>
  <c r="J1861" i="5" a="1"/>
  <c r="J1846" i="5" a="1"/>
  <c r="J1817" i="5" a="1"/>
  <c r="J1774" i="5" a="1"/>
  <c r="J1735" i="5" a="1"/>
  <c r="J1708" i="5" a="1"/>
  <c r="J1682" i="5" a="1"/>
  <c r="J1669" i="5" a="1"/>
  <c r="J1642" i="5" a="1"/>
  <c r="J1630" i="5" a="1"/>
  <c r="J1618" i="5" a="1"/>
  <c r="J1606" i="5" a="1"/>
  <c r="J1593" i="5" a="1"/>
  <c r="J1544" i="5" a="1"/>
  <c r="J1531" i="5" a="1"/>
  <c r="J1519" i="5" a="1"/>
  <c r="J1507" i="5" a="1"/>
  <c r="J1495" i="5" a="1"/>
  <c r="J1482" i="5" a="1"/>
  <c r="J1420" i="5" a="1"/>
  <c r="J1408" i="5" a="1"/>
  <c r="J1396" i="5" a="1"/>
  <c r="J1383" i="5" a="1"/>
  <c r="J1371" i="5" a="1"/>
  <c r="J1334" i="5" a="1"/>
  <c r="J1309" i="5" a="1"/>
  <c r="J1297" i="5" a="1"/>
  <c r="J1285" i="5" a="1"/>
  <c r="J1272" i="5" a="1"/>
  <c r="J1260" i="5" a="1"/>
  <c r="J1198" i="5" a="1"/>
  <c r="J1186" i="5" a="1"/>
  <c r="J1173" i="5" a="1"/>
  <c r="J1161" i="5" a="1"/>
  <c r="J1150" i="5" a="1"/>
  <c r="J1094" i="5" a="1"/>
  <c r="J1083" i="5" a="1"/>
  <c r="J1072" i="5" a="1"/>
  <c r="J1061" i="5" a="1"/>
  <c r="J1050" i="5" a="1"/>
  <c r="J1028" i="5" a="1"/>
  <c r="J2002" i="5" a="1"/>
  <c r="J1965" i="5" a="1"/>
  <c r="J1891" i="5" a="1"/>
  <c r="J1859" i="5" a="1"/>
  <c r="J1827" i="5" a="1"/>
  <c r="J1733" i="5" a="1"/>
  <c r="J1649" i="5" a="1"/>
  <c r="J1591" i="5" a="1"/>
  <c r="J1564" i="5" a="1"/>
  <c r="J1538" i="5" a="1"/>
  <c r="J1508" i="5" a="1"/>
  <c r="J1432" i="5" a="1"/>
  <c r="J1367" i="5" a="1"/>
  <c r="J1343" i="5" a="1"/>
  <c r="J1320" i="5" a="1"/>
  <c r="J1298" i="5" a="1"/>
  <c r="J1278" i="5" a="1"/>
  <c r="J1231" i="5" a="1"/>
  <c r="J1163" i="5" a="1"/>
  <c r="J1144" i="5" a="1"/>
  <c r="J1082" i="5" a="1"/>
  <c r="J1062" i="5" a="1"/>
  <c r="J1024" i="5" a="1"/>
  <c r="J986" i="5" a="1"/>
  <c r="J936" i="5" a="1"/>
  <c r="J886" i="5" a="1"/>
  <c r="J836" i="5" a="1"/>
  <c r="J1963" i="5" a="1"/>
  <c r="J1926" i="5" a="1"/>
  <c r="J1890" i="5" a="1"/>
  <c r="J1857" i="5" a="1"/>
  <c r="J1826" i="5" a="1"/>
  <c r="J1795" i="5" a="1"/>
  <c r="J1760" i="5" a="1"/>
  <c r="J1703" i="5" a="1"/>
  <c r="J1645" i="5" a="1"/>
  <c r="J1617" i="5" a="1"/>
  <c r="J1590" i="5" a="1"/>
  <c r="J1563" i="5" a="1"/>
  <c r="J1537" i="5" a="1"/>
  <c r="J1480" i="5" a="1"/>
  <c r="J1456" i="5" a="1"/>
  <c r="J1431" i="5" a="1"/>
  <c r="J1409" i="5" a="1"/>
  <c r="J1389" i="5" a="1"/>
  <c r="J1342" i="5" a="1"/>
  <c r="J1275" i="5" a="1"/>
  <c r="J1253" i="5" a="1"/>
  <c r="J1185" i="5" a="1"/>
  <c r="J1162" i="5" a="1"/>
  <c r="J1123" i="5" a="1"/>
  <c r="J1102" i="5" a="1"/>
  <c r="J1041" i="5" a="1"/>
  <c r="J1023" i="5" a="1"/>
  <c r="J1004" i="5" a="1"/>
  <c r="J985" i="5" a="1"/>
  <c r="J2000" i="5" a="1"/>
  <c r="J1856" i="5" a="1"/>
  <c r="J1823" i="5" a="1"/>
  <c r="J1759" i="5" a="1"/>
  <c r="J1675" i="5" a="1"/>
  <c r="J1589" i="5" a="1"/>
  <c r="J1562" i="5" a="1"/>
  <c r="J1506" i="5" a="1"/>
  <c r="J1479" i="5" a="1"/>
  <c r="J1455" i="5" a="1"/>
  <c r="J1386" i="5" a="1"/>
  <c r="J1365" i="5" a="1"/>
  <c r="J1296" i="5" a="1"/>
  <c r="J1273" i="5" a="1"/>
  <c r="J1230" i="5" a="1"/>
  <c r="J1207" i="5" a="1"/>
  <c r="J1184" i="5" a="1"/>
  <c r="J1141" i="5" a="1"/>
  <c r="J1122" i="5" a="1"/>
  <c r="J1060" i="5" a="1"/>
  <c r="J1040" i="5" a="1"/>
  <c r="J967" i="5" a="1"/>
  <c r="J952" i="5" a="1"/>
  <c r="J917" i="5" a="1"/>
  <c r="J902" i="5" a="1"/>
  <c r="J867" i="5" a="1"/>
  <c r="J1987" i="5" a="1"/>
  <c r="J1883" i="5" a="1"/>
  <c r="J1815" i="5" a="1"/>
  <c r="J1783" i="5" a="1"/>
  <c r="J1753" i="5" a="1"/>
  <c r="J1694" i="5" a="1"/>
  <c r="J1638" i="5" a="1"/>
  <c r="J1611" i="5" a="1"/>
  <c r="J1580" i="5" a="1"/>
  <c r="J1555" i="5" a="1"/>
  <c r="J1472" i="5" a="1"/>
  <c r="J1427" i="5" a="1"/>
  <c r="J1403" i="5" a="1"/>
  <c r="J1380" i="5" a="1"/>
  <c r="J1315" i="5" a="1"/>
  <c r="J1246" i="5" a="1"/>
  <c r="J1222" i="5" a="1"/>
  <c r="J1157" i="5" a="1"/>
  <c r="J1136" i="5" a="1"/>
  <c r="J1077" i="5" a="1"/>
  <c r="J1016" i="5" a="1"/>
  <c r="J997" i="5" a="1"/>
  <c r="J981" i="5" a="1"/>
  <c r="J964" i="5" a="1"/>
  <c r="J931" i="5" a="1"/>
  <c r="J914" i="5" a="1"/>
  <c r="J881" i="5" a="1"/>
  <c r="J864" i="5" a="1"/>
  <c r="J831" i="5" a="1"/>
  <c r="J814" i="5" a="1"/>
  <c r="J782" i="5" a="1"/>
  <c r="J772" i="5" a="1"/>
  <c r="J762" i="5" a="1"/>
  <c r="J752" i="5" a="1"/>
  <c r="J1982" i="5" a="1"/>
  <c r="J1947" i="5" a="1"/>
  <c r="J1874" i="5" a="1"/>
  <c r="J1718" i="5" a="1"/>
  <c r="J1690" i="5" a="1"/>
  <c r="J1603" i="5" a="1"/>
  <c r="J1577" i="5" a="1"/>
  <c r="J1550" i="5" a="1"/>
  <c r="J1520" i="5" a="1"/>
  <c r="J1493" i="5" a="1"/>
  <c r="J1468" i="5" a="1"/>
  <c r="J1443" i="5" a="1"/>
  <c r="J1398" i="5" a="1"/>
  <c r="J1355" i="5" a="1"/>
  <c r="J1308" i="5" a="1"/>
  <c r="J1286" i="5" a="1"/>
  <c r="J1266" i="5" a="1"/>
  <c r="J1242" i="5" a="1"/>
  <c r="J1219" i="5" a="1"/>
  <c r="J1152" i="5" a="1"/>
  <c r="J1133" i="5" a="1"/>
  <c r="J1071" i="5" a="1"/>
  <c r="J1051" i="5" a="1"/>
  <c r="J1033" i="5" a="1"/>
  <c r="J961" i="5" a="1"/>
  <c r="J944" i="5" a="1"/>
  <c r="J911" i="5" a="1"/>
  <c r="J894" i="5" a="1"/>
  <c r="J861" i="5" a="1"/>
  <c r="J844" i="5" a="1"/>
  <c r="J811" i="5" a="1"/>
  <c r="J794" i="5" a="1"/>
  <c r="J780" i="5" a="1"/>
  <c r="J770" i="5" a="1"/>
  <c r="J760" i="5" a="1"/>
  <c r="J750" i="5" a="1"/>
  <c r="J740" i="5" a="1"/>
  <c r="J730" i="5" a="1"/>
  <c r="J720" i="5" a="1"/>
  <c r="J710" i="5" a="1"/>
  <c r="J700" i="5" a="1"/>
  <c r="J690" i="5" a="1"/>
  <c r="J680" i="5" a="1"/>
  <c r="J670" i="5" a="1"/>
  <c r="J660" i="5" a="1"/>
  <c r="J650" i="5" a="1"/>
  <c r="J640" i="5" a="1"/>
  <c r="J630" i="5" a="1"/>
  <c r="J620" i="5" a="1"/>
  <c r="J610" i="5" a="1"/>
  <c r="J600" i="5" a="1"/>
  <c r="J590" i="5" a="1"/>
  <c r="J580" i="5" a="1"/>
  <c r="J570" i="5" a="1"/>
  <c r="J560" i="5" a="1"/>
  <c r="J550" i="5" a="1"/>
  <c r="J540" i="5" a="1"/>
  <c r="J530" i="5" a="1"/>
  <c r="J520" i="5" a="1"/>
  <c r="J510" i="5" a="1"/>
  <c r="J500" i="5" a="1"/>
  <c r="J490" i="5" a="1"/>
  <c r="J480" i="5" a="1"/>
  <c r="J470" i="5" a="1"/>
  <c r="J460" i="5" a="1"/>
  <c r="J450" i="5" a="1"/>
  <c r="J440" i="5" a="1"/>
  <c r="J430" i="5" a="1"/>
  <c r="J420" i="5" a="1"/>
  <c r="J410" i="5" a="1"/>
  <c r="J400" i="5" a="1"/>
  <c r="J390" i="5" a="1"/>
  <c r="J380" i="5" a="1"/>
  <c r="J370" i="5" a="1"/>
  <c r="J360" i="5" a="1"/>
  <c r="J350" i="5" a="1"/>
  <c r="J340" i="5" a="1"/>
  <c r="J1980" i="5" a="1"/>
  <c r="J1941" i="5" a="1"/>
  <c r="J1872" i="5" a="1"/>
  <c r="J1840" i="5" a="1"/>
  <c r="J1808" i="5" a="1"/>
  <c r="J1773" i="5" a="1"/>
  <c r="J1746" i="5" a="1"/>
  <c r="J1717" i="5" a="1"/>
  <c r="J1689" i="5" a="1"/>
  <c r="J1629" i="5" a="1"/>
  <c r="J1602" i="5" a="1"/>
  <c r="J1576" i="5" a="1"/>
  <c r="J1492" i="5" a="1"/>
  <c r="J1467" i="5" a="1"/>
  <c r="J1419" i="5" a="1"/>
  <c r="J1397" i="5" a="1"/>
  <c r="J1377" i="5" a="1"/>
  <c r="J1353" i="5" a="1"/>
  <c r="J1330" i="5" a="1"/>
  <c r="J1284" i="5" a="1"/>
  <c r="J1262" i="5" a="1"/>
  <c r="J1241" i="5" a="1"/>
  <c r="J1172" i="5" a="1"/>
  <c r="J1151" i="5" a="1"/>
  <c r="J1112" i="5" a="1"/>
  <c r="J1091" i="5" a="1"/>
  <c r="J1049" i="5" a="1"/>
  <c r="J994" i="5" a="1"/>
  <c r="J976" i="5" a="1"/>
  <c r="J926" i="5" a="1"/>
  <c r="J876" i="5" a="1"/>
  <c r="J826" i="5" a="1"/>
  <c r="J1979" i="5" a="1"/>
  <c r="J1939" i="5" a="1"/>
  <c r="J1906" i="5" a="1"/>
  <c r="J1871" i="5" a="1"/>
  <c r="J1839" i="5" a="1"/>
  <c r="J1803" i="5" a="1"/>
  <c r="J1745" i="5" a="1"/>
  <c r="J1656" i="5" a="1"/>
  <c r="J1601" i="5" a="1"/>
  <c r="J1575" i="5" a="1"/>
  <c r="J1518" i="5" a="1"/>
  <c r="J1491" i="5" a="1"/>
  <c r="J1466" i="5" a="1"/>
  <c r="J1441" i="5" a="1"/>
  <c r="J1373" i="5" a="1"/>
  <c r="J1352" i="5" a="1"/>
  <c r="J1283" i="5" a="1"/>
  <c r="J1261" i="5" a="1"/>
  <c r="J1218" i="5" a="1"/>
  <c r="J1195" i="5" a="1"/>
  <c r="J1149" i="5" a="1"/>
  <c r="J1130" i="5" a="1"/>
  <c r="J1111" i="5" a="1"/>
  <c r="J1069" i="5" a="1"/>
  <c r="J1029" i="5" a="1"/>
  <c r="J1012" i="5" a="1"/>
  <c r="J1970" i="5" a="1"/>
  <c r="J1936" i="5" a="1"/>
  <c r="J1901" i="5" a="1"/>
  <c r="J1830" i="5" a="1"/>
  <c r="J1800" i="5" a="1"/>
  <c r="J1769" i="5" a="1"/>
  <c r="J1709" i="5" a="1"/>
  <c r="J1652" i="5" a="1"/>
  <c r="J1599" i="5" a="1"/>
  <c r="J1568" i="5" a="1"/>
  <c r="J1515" i="5" a="1"/>
  <c r="J1439" i="5" a="1"/>
  <c r="J1392" i="5" a="1"/>
  <c r="J1305" i="5" a="1"/>
  <c r="J1258" i="5" a="1"/>
  <c r="J1235" i="5" a="1"/>
  <c r="J1169" i="5" a="1"/>
  <c r="J1147" i="5" a="1"/>
  <c r="J1088" i="5" a="1"/>
  <c r="J1007" i="5" a="1"/>
  <c r="J956" i="5" a="1"/>
  <c r="J906" i="5" a="1"/>
  <c r="J1969" i="5" a="1"/>
  <c r="J1934" i="5" a="1"/>
  <c r="J1900" i="5" a="1"/>
  <c r="J1862" i="5" a="1"/>
  <c r="J1798" i="5" a="1"/>
  <c r="J1740" i="5" a="1"/>
  <c r="J1680" i="5" a="1"/>
  <c r="J1651" i="5" a="1"/>
  <c r="J1624" i="5" a="1"/>
  <c r="J1595" i="5" a="1"/>
  <c r="J1514" i="5" a="1"/>
  <c r="J1488" i="5" a="1"/>
  <c r="J1460" i="5" a="1"/>
  <c r="J1416" i="5" a="1"/>
  <c r="J1369" i="5" a="1"/>
  <c r="J1346" i="5" a="1"/>
  <c r="J1324" i="5" a="1"/>
  <c r="J1280" i="5" a="1"/>
  <c r="J1257" i="5" a="1"/>
  <c r="J1234" i="5" a="1"/>
  <c r="J1191" i="5" a="1"/>
  <c r="J1126" i="5" a="1"/>
  <c r="J1105" i="5" a="1"/>
  <c r="J1046" i="5" a="1"/>
  <c r="J955" i="5" a="1"/>
  <c r="J905" i="5" a="1"/>
  <c r="J855" i="5" a="1"/>
  <c r="J805" i="5" a="1"/>
  <c r="J777" i="5" a="1"/>
  <c r="J767" i="5" a="1"/>
  <c r="J757" i="5" a="1"/>
  <c r="J747" i="5" a="1"/>
  <c r="J737" i="5" a="1"/>
  <c r="J727" i="5" a="1"/>
  <c r="J717" i="5" a="1"/>
  <c r="J707" i="5" a="1"/>
  <c r="J697" i="5" a="1"/>
  <c r="J687" i="5" a="1"/>
  <c r="J677" i="5" a="1"/>
  <c r="J667" i="5" a="1"/>
  <c r="J657" i="5" a="1"/>
  <c r="J647" i="5" a="1"/>
  <c r="J637" i="5" a="1"/>
  <c r="J627" i="5" a="1"/>
  <c r="J617" i="5" a="1"/>
  <c r="J607" i="5" a="1"/>
  <c r="J597" i="5" a="1"/>
  <c r="J587" i="5" a="1"/>
  <c r="J577" i="5" a="1"/>
  <c r="J567" i="5" a="1"/>
  <c r="J557" i="5" a="1"/>
  <c r="J547" i="5" a="1"/>
  <c r="J537" i="5" a="1"/>
  <c r="J527" i="5" a="1"/>
  <c r="J517" i="5" a="1"/>
  <c r="J507" i="5" a="1"/>
  <c r="J497" i="5" a="1"/>
  <c r="J487" i="5" a="1"/>
  <c r="J477" i="5" a="1"/>
  <c r="J467" i="5" a="1"/>
  <c r="J457" i="5" a="1"/>
  <c r="J447" i="5" a="1"/>
  <c r="J437" i="5" a="1"/>
  <c r="J427" i="5" a="1"/>
  <c r="J417" i="5" a="1"/>
  <c r="J407" i="5" a="1"/>
  <c r="J397" i="5" a="1"/>
  <c r="J387" i="5" a="1"/>
  <c r="J377" i="5" a="1"/>
  <c r="J367" i="5" a="1"/>
  <c r="J357" i="5" a="1"/>
  <c r="J347" i="5" a="1"/>
  <c r="J1998" i="5" a="1"/>
  <c r="J1933" i="5" a="1"/>
  <c r="J1870" i="5" a="1"/>
  <c r="J1811" i="5" a="1"/>
  <c r="J1756" i="5" a="1"/>
  <c r="J1701" i="5" a="1"/>
  <c r="J1551" i="5" a="1"/>
  <c r="J1500" i="5" a="1"/>
  <c r="J1451" i="5" a="1"/>
  <c r="J1407" i="5" a="1"/>
  <c r="J1368" i="5" a="1"/>
  <c r="J1329" i="5" a="1"/>
  <c r="J1290" i="5" a="1"/>
  <c r="J1206" i="5" a="1"/>
  <c r="J1167" i="5" a="1"/>
  <c r="J1127" i="5" a="1"/>
  <c r="J1017" i="5" a="1"/>
  <c r="J984" i="5" a="1"/>
  <c r="J907" i="5" a="1"/>
  <c r="J791" i="5" a="1"/>
  <c r="J748" i="5" a="1"/>
  <c r="J735" i="5" a="1"/>
  <c r="J723" i="5" a="1"/>
  <c r="J711" i="5" a="1"/>
  <c r="J698" i="5" a="1"/>
  <c r="J685" i="5" a="1"/>
  <c r="J673" i="5" a="1"/>
  <c r="J661" i="5" a="1"/>
  <c r="J648" i="5" a="1"/>
  <c r="J635" i="5" a="1"/>
  <c r="J623" i="5" a="1"/>
  <c r="J611" i="5" a="1"/>
  <c r="J598" i="5" a="1"/>
  <c r="J585" i="5" a="1"/>
  <c r="J573" i="5" a="1"/>
  <c r="J561" i="5" a="1"/>
  <c r="J548" i="5" a="1"/>
  <c r="J535" i="5" a="1"/>
  <c r="J523" i="5" a="1"/>
  <c r="J511" i="5" a="1"/>
  <c r="J498" i="5" a="1"/>
  <c r="J485" i="5" a="1"/>
  <c r="J473" i="5" a="1"/>
  <c r="J461" i="5" a="1"/>
  <c r="J448" i="5" a="1"/>
  <c r="J435" i="5" a="1"/>
  <c r="J423" i="5" a="1"/>
  <c r="J411" i="5" a="1"/>
  <c r="J398" i="5" a="1"/>
  <c r="J385" i="5" a="1"/>
  <c r="J373" i="5" a="1"/>
  <c r="J361" i="5" a="1"/>
  <c r="J348" i="5" a="1"/>
  <c r="J1931" i="5" a="1"/>
  <c r="J1868" i="5" a="1"/>
  <c r="J1641" i="5" a="1"/>
  <c r="J1592" i="5" a="1"/>
  <c r="J1543" i="5" a="1"/>
  <c r="J1496" i="5" a="1"/>
  <c r="J1328" i="5" a="1"/>
  <c r="J1287" i="5" a="1"/>
  <c r="J1245" i="5" a="1"/>
  <c r="J1205" i="5" a="1"/>
  <c r="J1160" i="5" a="1"/>
  <c r="J1125" i="5" a="1"/>
  <c r="J1090" i="5" a="1"/>
  <c r="J1055" i="5" a="1"/>
  <c r="J957" i="5" a="1"/>
  <c r="J882" i="5" a="1"/>
  <c r="J856" i="5" a="1"/>
  <c r="J834" i="5" a="1"/>
  <c r="J790" i="5" a="1"/>
  <c r="J774" i="5" a="1"/>
  <c r="J761" i="5" a="1"/>
  <c r="J336" i="5" a="1"/>
  <c r="J326" i="5" a="1"/>
  <c r="J316" i="5" a="1"/>
  <c r="J306" i="5" a="1"/>
  <c r="J296" i="5" a="1"/>
  <c r="J286" i="5" a="1"/>
  <c r="J276" i="5" a="1"/>
  <c r="J266" i="5" a="1"/>
  <c r="J256" i="5" a="1"/>
  <c r="J246" i="5" a="1"/>
  <c r="J236" i="5" a="1"/>
  <c r="J226" i="5" a="1"/>
  <c r="J216" i="5" a="1"/>
  <c r="J206" i="5" a="1"/>
  <c r="J196" i="5" a="1"/>
  <c r="J186" i="5" a="1"/>
  <c r="J176" i="5" a="1"/>
  <c r="J166" i="5" a="1"/>
  <c r="J156" i="5" a="1"/>
  <c r="J146" i="5" a="1"/>
  <c r="J136" i="5" a="1"/>
  <c r="J126" i="5" a="1"/>
  <c r="J116" i="5" a="1"/>
  <c r="J106" i="5" a="1"/>
  <c r="J96" i="5" a="1"/>
  <c r="J1249" i="5" a="1"/>
  <c r="J662" i="5" a="1"/>
  <c r="J562" i="5" a="1"/>
  <c r="J1990" i="5" a="1"/>
  <c r="J1922" i="5" a="1"/>
  <c r="J1801" i="5" a="1"/>
  <c r="J1749" i="5" a="1"/>
  <c r="J1695" i="5" a="1"/>
  <c r="J1542" i="5" a="1"/>
  <c r="J1494" i="5" a="1"/>
  <c r="J1364" i="5" a="1"/>
  <c r="J1244" i="5" a="1"/>
  <c r="J1203" i="5" a="1"/>
  <c r="J1159" i="5" a="1"/>
  <c r="J1124" i="5" a="1"/>
  <c r="J1052" i="5" a="1"/>
  <c r="J1015" i="5" a="1"/>
  <c r="J932" i="5" a="1"/>
  <c r="J812" i="5" a="1"/>
  <c r="J734" i="5" a="1"/>
  <c r="J722" i="5" a="1"/>
  <c r="J709" i="5" a="1"/>
  <c r="J684" i="5" a="1"/>
  <c r="J672" i="5" a="1"/>
  <c r="J659" i="5" a="1"/>
  <c r="J634" i="5" a="1"/>
  <c r="J622" i="5" a="1"/>
  <c r="J609" i="5" a="1"/>
  <c r="J584" i="5" a="1"/>
  <c r="J572" i="5" a="1"/>
  <c r="J559" i="5" a="1"/>
  <c r="J534" i="5" a="1"/>
  <c r="J522" i="5" a="1"/>
  <c r="J509" i="5" a="1"/>
  <c r="J484" i="5" a="1"/>
  <c r="J472" i="5" a="1"/>
  <c r="J459" i="5" a="1"/>
  <c r="J434" i="5" a="1"/>
  <c r="J422" i="5" a="1"/>
  <c r="J409" i="5" a="1"/>
  <c r="J384" i="5" a="1"/>
  <c r="J372" i="5" a="1"/>
  <c r="J359" i="5" a="1"/>
  <c r="J749" i="5" a="1"/>
  <c r="J549" i="5" a="1"/>
  <c r="J1860" i="5" a="1"/>
  <c r="J1747" i="5" a="1"/>
  <c r="J1693" i="5" a="1"/>
  <c r="J1490" i="5" a="1"/>
  <c r="J1445" i="5" a="1"/>
  <c r="J1405" i="5" a="1"/>
  <c r="J1361" i="5" a="1"/>
  <c r="J1321" i="5" a="1"/>
  <c r="J1281" i="5" a="1"/>
  <c r="J1243" i="5" a="1"/>
  <c r="J1158" i="5" a="1"/>
  <c r="J1084" i="5" a="1"/>
  <c r="J1048" i="5" a="1"/>
  <c r="J982" i="5" a="1"/>
  <c r="J904" i="5" a="1"/>
  <c r="J854" i="5" a="1"/>
  <c r="J787" i="5" a="1"/>
  <c r="J773" i="5" a="1"/>
  <c r="J759" i="5" a="1"/>
  <c r="J746" i="5" a="1"/>
  <c r="J696" i="5" a="1"/>
  <c r="J646" i="5" a="1"/>
  <c r="J596" i="5" a="1"/>
  <c r="J546" i="5" a="1"/>
  <c r="J496" i="5" a="1"/>
  <c r="J446" i="5" a="1"/>
  <c r="J396" i="5" a="1"/>
  <c r="J346" i="5" a="1"/>
  <c r="J335" i="5" a="1"/>
  <c r="J325" i="5" a="1"/>
  <c r="J315" i="5" a="1"/>
  <c r="J305" i="5" a="1"/>
  <c r="J295" i="5" a="1"/>
  <c r="J285" i="5" a="1"/>
  <c r="J275" i="5" a="1"/>
  <c r="J265" i="5" a="1"/>
  <c r="J255" i="5" a="1"/>
  <c r="J245" i="5" a="1"/>
  <c r="J235" i="5" a="1"/>
  <c r="J225" i="5" a="1"/>
  <c r="J215" i="5" a="1"/>
  <c r="J205" i="5" a="1"/>
  <c r="J195" i="5" a="1"/>
  <c r="J185" i="5" a="1"/>
  <c r="J175" i="5" a="1"/>
  <c r="J165" i="5" a="1"/>
  <c r="J155" i="5" a="1"/>
  <c r="J145" i="5" a="1"/>
  <c r="J135" i="5" a="1"/>
  <c r="J125" i="5" a="1"/>
  <c r="J115" i="5" a="1"/>
  <c r="J105" i="5" a="1"/>
  <c r="J1292" i="5" a="1"/>
  <c r="J1020" i="5" a="1"/>
  <c r="J987" i="5" a="1"/>
  <c r="J935" i="5" a="1"/>
  <c r="J884" i="5" a="1"/>
  <c r="J815" i="5" a="1"/>
  <c r="J712" i="5" a="1"/>
  <c r="J599" i="5" a="1"/>
  <c r="J499" i="5" a="1"/>
  <c r="J412" i="5" a="1"/>
  <c r="J1797" i="5" a="1"/>
  <c r="J1742" i="5" a="1"/>
  <c r="J1587" i="5" a="1"/>
  <c r="J1539" i="5" a="1"/>
  <c r="J1444" i="5" a="1"/>
  <c r="J1360" i="5" a="1"/>
  <c r="J1318" i="5" a="1"/>
  <c r="J1238" i="5" a="1"/>
  <c r="J1047" i="5" a="1"/>
  <c r="J1014" i="5" a="1"/>
  <c r="J954" i="5" a="1"/>
  <c r="J877" i="5" a="1"/>
  <c r="J832" i="5" a="1"/>
  <c r="J807" i="5" a="1"/>
  <c r="J786" i="5" a="1"/>
  <c r="J745" i="5" a="1"/>
  <c r="J733" i="5" a="1"/>
  <c r="J721" i="5" a="1"/>
  <c r="J708" i="5" a="1"/>
  <c r="J695" i="5" a="1"/>
  <c r="J683" i="5" a="1"/>
  <c r="J671" i="5" a="1"/>
  <c r="J658" i="5" a="1"/>
  <c r="J645" i="5" a="1"/>
  <c r="J633" i="5" a="1"/>
  <c r="J621" i="5" a="1"/>
  <c r="J608" i="5" a="1"/>
  <c r="J595" i="5" a="1"/>
  <c r="J583" i="5" a="1"/>
  <c r="J571" i="5" a="1"/>
  <c r="J558" i="5" a="1"/>
  <c r="J545" i="5" a="1"/>
  <c r="J533" i="5" a="1"/>
  <c r="J521" i="5" a="1"/>
  <c r="J508" i="5" a="1"/>
  <c r="J495" i="5" a="1"/>
  <c r="J483" i="5" a="1"/>
  <c r="J471" i="5" a="1"/>
  <c r="J458" i="5" a="1"/>
  <c r="J445" i="5" a="1"/>
  <c r="J433" i="5" a="1"/>
  <c r="J421" i="5" a="1"/>
  <c r="J408" i="5" a="1"/>
  <c r="J395" i="5" a="1"/>
  <c r="J383" i="5" a="1"/>
  <c r="J371" i="5" a="1"/>
  <c r="J358" i="5" a="1"/>
  <c r="J345" i="5" a="1"/>
  <c r="J1134" i="5" a="1"/>
  <c r="J912" i="5" a="1"/>
  <c r="J776" i="5" a="1"/>
  <c r="J724" i="5" a="1"/>
  <c r="J674" i="5" a="1"/>
  <c r="J612" i="5" a="1"/>
  <c r="J474" i="5" a="1"/>
  <c r="J399" i="5" a="1"/>
  <c r="J1984" i="5" a="1"/>
  <c r="J1483" i="5" a="1"/>
  <c r="J1358" i="5" a="1"/>
  <c r="J1197" i="5" a="1"/>
  <c r="J1080" i="5" a="1"/>
  <c r="J927" i="5" a="1"/>
  <c r="J901" i="5" a="1"/>
  <c r="J875" i="5" a="1"/>
  <c r="J852" i="5" a="1"/>
  <c r="J785" i="5" a="1"/>
  <c r="J758" i="5" a="1"/>
  <c r="J334" i="5" a="1"/>
  <c r="J324" i="5" a="1"/>
  <c r="J314" i="5" a="1"/>
  <c r="J304" i="5" a="1"/>
  <c r="J294" i="5" a="1"/>
  <c r="J284" i="5" a="1"/>
  <c r="J274" i="5" a="1"/>
  <c r="J264" i="5" a="1"/>
  <c r="J254" i="5" a="1"/>
  <c r="J244" i="5" a="1"/>
  <c r="J234" i="5" a="1"/>
  <c r="J224" i="5" a="1"/>
  <c r="J214" i="5" a="1"/>
  <c r="J204" i="5" a="1"/>
  <c r="J194" i="5" a="1"/>
  <c r="J184" i="5" a="1"/>
  <c r="J174" i="5" a="1"/>
  <c r="J164" i="5" a="1"/>
  <c r="J154" i="5" a="1"/>
  <c r="J144" i="5" a="1"/>
  <c r="J134" i="5" a="1"/>
  <c r="J124" i="5" a="1"/>
  <c r="J114" i="5" a="1"/>
  <c r="J104" i="5" a="1"/>
  <c r="J1852" i="5" a="1"/>
  <c r="J1787" i="5" a="1"/>
  <c r="J1736" i="5" a="1"/>
  <c r="J1683" i="5" a="1"/>
  <c r="J1636" i="5" a="1"/>
  <c r="J1582" i="5" a="1"/>
  <c r="J1530" i="5" a="1"/>
  <c r="J1481" i="5" a="1"/>
  <c r="J1440" i="5" a="1"/>
  <c r="J1401" i="5" a="1"/>
  <c r="J1357" i="5" a="1"/>
  <c r="J1317" i="5" a="1"/>
  <c r="J1233" i="5" a="1"/>
  <c r="J1194" i="5" a="1"/>
  <c r="J1116" i="5" a="1"/>
  <c r="J1079" i="5" a="1"/>
  <c r="J1044" i="5" a="1"/>
  <c r="J977" i="5" a="1"/>
  <c r="J951" i="5" a="1"/>
  <c r="J925" i="5" a="1"/>
  <c r="J851" i="5" a="1"/>
  <c r="J806" i="5" a="1"/>
  <c r="J771" i="5" a="1"/>
  <c r="J744" i="5" a="1"/>
  <c r="J732" i="5" a="1"/>
  <c r="J719" i="5" a="1"/>
  <c r="J694" i="5" a="1"/>
  <c r="J682" i="5" a="1"/>
  <c r="J669" i="5" a="1"/>
  <c r="J644" i="5" a="1"/>
  <c r="J632" i="5" a="1"/>
  <c r="J619" i="5" a="1"/>
  <c r="J594" i="5" a="1"/>
  <c r="J582" i="5" a="1"/>
  <c r="J569" i="5" a="1"/>
  <c r="J544" i="5" a="1"/>
  <c r="J532" i="5" a="1"/>
  <c r="J519" i="5" a="1"/>
  <c r="J494" i="5" a="1"/>
  <c r="J482" i="5" a="1"/>
  <c r="J469" i="5" a="1"/>
  <c r="J444" i="5" a="1"/>
  <c r="J432" i="5" a="1"/>
  <c r="J419" i="5" a="1"/>
  <c r="J394" i="5" a="1"/>
  <c r="J382" i="5" a="1"/>
  <c r="J369" i="5" a="1"/>
  <c r="J344" i="5" a="1"/>
  <c r="J1916" i="5" a="1"/>
  <c r="J1848" i="5" a="1"/>
  <c r="J1734" i="5" a="1"/>
  <c r="J1681" i="5" a="1"/>
  <c r="J1631" i="5" a="1"/>
  <c r="J1478" i="5" a="1"/>
  <c r="J1395" i="5" a="1"/>
  <c r="J1356" i="5" a="1"/>
  <c r="J1316" i="5" a="1"/>
  <c r="J1271" i="5" a="1"/>
  <c r="J1232" i="5" a="1"/>
  <c r="J1193" i="5" a="1"/>
  <c r="J1155" i="5" a="1"/>
  <c r="J1115" i="5" a="1"/>
  <c r="J1038" i="5" a="1"/>
  <c r="J1006" i="5" a="1"/>
  <c r="J975" i="5" a="1"/>
  <c r="J874" i="5" a="1"/>
  <c r="J827" i="5" a="1"/>
  <c r="J784" i="5" a="1"/>
  <c r="J706" i="5" a="1"/>
  <c r="J656" i="5" a="1"/>
  <c r="J606" i="5" a="1"/>
  <c r="J556" i="5" a="1"/>
  <c r="J506" i="5" a="1"/>
  <c r="J456" i="5" a="1"/>
  <c r="J406" i="5" a="1"/>
  <c r="J356" i="5" a="1"/>
  <c r="J333" i="5" a="1"/>
  <c r="J323" i="5" a="1"/>
  <c r="J313" i="5" a="1"/>
  <c r="J303" i="5" a="1"/>
  <c r="J293" i="5" a="1"/>
  <c r="J283" i="5" a="1"/>
  <c r="J273" i="5" a="1"/>
  <c r="J263" i="5" a="1"/>
  <c r="J253" i="5" a="1"/>
  <c r="J243" i="5" a="1"/>
  <c r="J233" i="5" a="1"/>
  <c r="J223" i="5" a="1"/>
  <c r="J213" i="5" a="1"/>
  <c r="J203" i="5" a="1"/>
  <c r="J193" i="5" a="1"/>
  <c r="J183" i="5" a="1"/>
  <c r="J173" i="5" a="1"/>
  <c r="J163" i="5" a="1"/>
  <c r="J153" i="5" a="1"/>
  <c r="J143" i="5" a="1"/>
  <c r="J133" i="5" a="1"/>
  <c r="J123" i="5" a="1"/>
  <c r="J113" i="5" a="1"/>
  <c r="J103" i="5" a="1"/>
  <c r="J1971" i="5" a="1"/>
  <c r="J1909" i="5" a="1"/>
  <c r="J1845" i="5" a="1"/>
  <c r="J1786" i="5" a="1"/>
  <c r="J1679" i="5" a="1"/>
  <c r="J1579" i="5" a="1"/>
  <c r="J1434" i="5" a="1"/>
  <c r="J1394" i="5" a="1"/>
  <c r="J1270" i="5" a="1"/>
  <c r="J1229" i="5" a="1"/>
  <c r="J1005" i="5" a="1"/>
  <c r="J924" i="5" a="1"/>
  <c r="J897" i="5" a="1"/>
  <c r="J872" i="5" a="1"/>
  <c r="J825" i="5" a="1"/>
  <c r="J804" i="5" a="1"/>
  <c r="J769" i="5" a="1"/>
  <c r="J756" i="5" a="1"/>
  <c r="J743" i="5" a="1"/>
  <c r="J731" i="5" a="1"/>
  <c r="J718" i="5" a="1"/>
  <c r="J705" i="5" a="1"/>
  <c r="J693" i="5" a="1"/>
  <c r="J681" i="5" a="1"/>
  <c r="J668" i="5" a="1"/>
  <c r="J655" i="5" a="1"/>
  <c r="J643" i="5" a="1"/>
  <c r="J631" i="5" a="1"/>
  <c r="J618" i="5" a="1"/>
  <c r="J605" i="5" a="1"/>
  <c r="J593" i="5" a="1"/>
  <c r="J581" i="5" a="1"/>
  <c r="J568" i="5" a="1"/>
  <c r="J555" i="5" a="1"/>
  <c r="J543" i="5" a="1"/>
  <c r="J531" i="5" a="1"/>
  <c r="J518" i="5" a="1"/>
  <c r="J505" i="5" a="1"/>
  <c r="J493" i="5" a="1"/>
  <c r="J481" i="5" a="1"/>
  <c r="J468" i="5" a="1"/>
  <c r="J455" i="5" a="1"/>
  <c r="J443" i="5" a="1"/>
  <c r="J431" i="5" a="1"/>
  <c r="J418" i="5" a="1"/>
  <c r="J405" i="5" a="1"/>
  <c r="J393" i="5" a="1"/>
  <c r="J381" i="5" a="1"/>
  <c r="J368" i="5" a="1"/>
  <c r="J355" i="5" a="1"/>
  <c r="J343" i="5" a="1"/>
  <c r="J1905" i="5" a="1"/>
  <c r="J1844" i="5" a="1"/>
  <c r="J1785" i="5" a="1"/>
  <c r="J1729" i="5" a="1"/>
  <c r="J1678" i="5" a="1"/>
  <c r="J1626" i="5" a="1"/>
  <c r="J1578" i="5" a="1"/>
  <c r="J1527" i="5" a="1"/>
  <c r="J1476" i="5" a="1"/>
  <c r="J1391" i="5" a="1"/>
  <c r="J1269" i="5" a="1"/>
  <c r="J1187" i="5" a="1"/>
  <c r="J1148" i="5" a="1"/>
  <c r="J1113" i="5" a="1"/>
  <c r="J1074" i="5" a="1"/>
  <c r="J1037" i="5" a="1"/>
  <c r="J974" i="5" a="1"/>
  <c r="J947" i="5" a="1"/>
  <c r="J922" i="5" a="1"/>
  <c r="J896" i="5" a="1"/>
  <c r="J871" i="5" a="1"/>
  <c r="J847" i="5" a="1"/>
  <c r="J755" i="5" a="1"/>
  <c r="J332" i="5" a="1"/>
  <c r="J322" i="5" a="1"/>
  <c r="J312" i="5" a="1"/>
  <c r="J302" i="5" a="1"/>
  <c r="J292" i="5" a="1"/>
  <c r="J282" i="5" a="1"/>
  <c r="J272" i="5" a="1"/>
  <c r="J262" i="5" a="1"/>
  <c r="J252" i="5" a="1"/>
  <c r="J242" i="5" a="1"/>
  <c r="J232" i="5" a="1"/>
  <c r="J222" i="5" a="1"/>
  <c r="J212" i="5" a="1"/>
  <c r="J202" i="5" a="1"/>
  <c r="J192" i="5" a="1"/>
  <c r="J182" i="5" a="1"/>
  <c r="J172" i="5" a="1"/>
  <c r="J162" i="5" a="1"/>
  <c r="J152" i="5" a="1"/>
  <c r="J142" i="5" a="1"/>
  <c r="J132" i="5" a="1"/>
  <c r="J122" i="5" a="1"/>
  <c r="J112" i="5" a="1"/>
  <c r="J102" i="5" a="1"/>
  <c r="J1902" i="5" a="1"/>
  <c r="J1728" i="5" a="1"/>
  <c r="J1670" i="5" a="1"/>
  <c r="J1623" i="5" a="1"/>
  <c r="J1574" i="5" a="1"/>
  <c r="J1429" i="5" a="1"/>
  <c r="J1349" i="5" a="1"/>
  <c r="J1268" i="5" a="1"/>
  <c r="J1146" i="5" a="1"/>
  <c r="J1073" i="5" a="1"/>
  <c r="J1036" i="5" a="1"/>
  <c r="J1002" i="5" a="1"/>
  <c r="J972" i="5" a="1"/>
  <c r="J946" i="5" a="1"/>
  <c r="J921" i="5" a="1"/>
  <c r="J895" i="5" a="1"/>
  <c r="J846" i="5" a="1"/>
  <c r="J824" i="5" a="1"/>
  <c r="J802" i="5" a="1"/>
  <c r="J768" i="5" a="1"/>
  <c r="J742" i="5" a="1"/>
  <c r="J729" i="5" a="1"/>
  <c r="J704" i="5" a="1"/>
  <c r="J692" i="5" a="1"/>
  <c r="J679" i="5" a="1"/>
  <c r="J654" i="5" a="1"/>
  <c r="J642" i="5" a="1"/>
  <c r="J629" i="5" a="1"/>
  <c r="J604" i="5" a="1"/>
  <c r="J592" i="5" a="1"/>
  <c r="J579" i="5" a="1"/>
  <c r="J554" i="5" a="1"/>
  <c r="J542" i="5" a="1"/>
  <c r="J529" i="5" a="1"/>
  <c r="J504" i="5" a="1"/>
  <c r="J492" i="5" a="1"/>
  <c r="J479" i="5" a="1"/>
  <c r="J454" i="5" a="1"/>
  <c r="J442" i="5" a="1"/>
  <c r="J429" i="5" a="1"/>
  <c r="J404" i="5" a="1"/>
  <c r="J392" i="5" a="1"/>
  <c r="J379" i="5" a="1"/>
  <c r="J354" i="5" a="1"/>
  <c r="J342" i="5" a="1"/>
  <c r="J1957" i="5" a="1"/>
  <c r="J1781" i="5" a="1"/>
  <c r="J1619" i="5" a="1"/>
  <c r="J1525" i="5" a="1"/>
  <c r="J1471" i="5" a="1"/>
  <c r="J1385" i="5" a="1"/>
  <c r="J1306" i="5" a="1"/>
  <c r="J1224" i="5" a="1"/>
  <c r="J1182" i="5" a="1"/>
  <c r="J1035" i="5" a="1"/>
  <c r="J971" i="5" a="1"/>
  <c r="J945" i="5" a="1"/>
  <c r="J845" i="5" a="1"/>
  <c r="J801" i="5" a="1"/>
  <c r="J781" i="5" a="1"/>
  <c r="J754" i="5" a="1"/>
  <c r="J716" i="5" a="1"/>
  <c r="J666" i="5" a="1"/>
  <c r="J616" i="5" a="1"/>
  <c r="J566" i="5" a="1"/>
  <c r="J516" i="5" a="1"/>
  <c r="J466" i="5" a="1"/>
  <c r="J416" i="5" a="1"/>
  <c r="J366" i="5" a="1"/>
  <c r="J331" i="5" a="1"/>
  <c r="J321" i="5" a="1"/>
  <c r="J311" i="5" a="1"/>
  <c r="J301" i="5" a="1"/>
  <c r="J291" i="5" a="1"/>
  <c r="J281" i="5" a="1"/>
  <c r="J271" i="5" a="1"/>
  <c r="J261" i="5" a="1"/>
  <c r="J251" i="5" a="1"/>
  <c r="J241" i="5" a="1"/>
  <c r="J231" i="5" a="1"/>
  <c r="J221" i="5" a="1"/>
  <c r="J211" i="5" a="1"/>
  <c r="J201" i="5" a="1"/>
  <c r="J191" i="5" a="1"/>
  <c r="J181" i="5" a="1"/>
  <c r="J171" i="5" a="1"/>
  <c r="J161" i="5" a="1"/>
  <c r="J151" i="5" a="1"/>
  <c r="J141" i="5" a="1"/>
  <c r="J131" i="5" a="1"/>
  <c r="J121" i="5" a="1"/>
  <c r="J111" i="5" a="1"/>
  <c r="J101" i="5" a="1"/>
  <c r="J763" i="5" a="1"/>
  <c r="J449" i="5" a="1"/>
  <c r="J1894" i="5" a="1"/>
  <c r="J1780" i="5" a="1"/>
  <c r="J1720" i="5" a="1"/>
  <c r="J1668" i="5" a="1"/>
  <c r="J1615" i="5" a="1"/>
  <c r="J1567" i="5" a="1"/>
  <c r="J1469" i="5" a="1"/>
  <c r="J1428" i="5" a="1"/>
  <c r="J1345" i="5" a="1"/>
  <c r="J1181" i="5" a="1"/>
  <c r="J1140" i="5" a="1"/>
  <c r="J1104" i="5" a="1"/>
  <c r="J866" i="5" a="1"/>
  <c r="J822" i="5" a="1"/>
  <c r="J741" i="5" a="1"/>
  <c r="J728" i="5" a="1"/>
  <c r="J715" i="5" a="1"/>
  <c r="J703" i="5" a="1"/>
  <c r="J691" i="5" a="1"/>
  <c r="J678" i="5" a="1"/>
  <c r="J665" i="5" a="1"/>
  <c r="J653" i="5" a="1"/>
  <c r="J641" i="5" a="1"/>
  <c r="J628" i="5" a="1"/>
  <c r="J615" i="5" a="1"/>
  <c r="J603" i="5" a="1"/>
  <c r="J591" i="5" a="1"/>
  <c r="J578" i="5" a="1"/>
  <c r="J565" i="5" a="1"/>
  <c r="J553" i="5" a="1"/>
  <c r="J541" i="5" a="1"/>
  <c r="J528" i="5" a="1"/>
  <c r="J515" i="5" a="1"/>
  <c r="J503" i="5" a="1"/>
  <c r="J491" i="5" a="1"/>
  <c r="J478" i="5" a="1"/>
  <c r="J465" i="5" a="1"/>
  <c r="J453" i="5" a="1"/>
  <c r="J441" i="5" a="1"/>
  <c r="J428" i="5" a="1"/>
  <c r="J415" i="5" a="1"/>
  <c r="J403" i="5" a="1"/>
  <c r="J391" i="5" a="1"/>
  <c r="J378" i="5" a="1"/>
  <c r="J365" i="5" a="1"/>
  <c r="J353" i="5" a="1"/>
  <c r="J341" i="5" a="1"/>
  <c r="J1414" i="5" a="1"/>
  <c r="J574" i="5" a="1"/>
  <c r="J1953" i="5" a="1"/>
  <c r="J1829" i="5" a="1"/>
  <c r="J1772" i="5" a="1"/>
  <c r="J1613" i="5" a="1"/>
  <c r="J1566" i="5" a="1"/>
  <c r="J1426" i="5" a="1"/>
  <c r="J1382" i="5" a="1"/>
  <c r="J1341" i="5" a="1"/>
  <c r="J1302" i="5" a="1"/>
  <c r="J1259" i="5" a="1"/>
  <c r="J1221" i="5" a="1"/>
  <c r="J1138" i="5" a="1"/>
  <c r="J1068" i="5" a="1"/>
  <c r="J916" i="5" a="1"/>
  <c r="J892" i="5" a="1"/>
  <c r="J865" i="5" a="1"/>
  <c r="J821" i="5" a="1"/>
  <c r="J779" i="5" a="1"/>
  <c r="J766" i="5" a="1"/>
  <c r="J753" i="5" a="1"/>
  <c r="J330" i="5" a="1"/>
  <c r="J320" i="5" a="1"/>
  <c r="J310" i="5" a="1"/>
  <c r="J300" i="5" a="1"/>
  <c r="J290" i="5" a="1"/>
  <c r="J280" i="5" a="1"/>
  <c r="J270" i="5" a="1"/>
  <c r="J260" i="5" a="1"/>
  <c r="J250" i="5" a="1"/>
  <c r="J240" i="5" a="1"/>
  <c r="J230" i="5" a="1"/>
  <c r="J220" i="5" a="1"/>
  <c r="J210" i="5" a="1"/>
  <c r="J200" i="5" a="1"/>
  <c r="J190" i="5" a="1"/>
  <c r="J180" i="5" a="1"/>
  <c r="J170" i="5" a="1"/>
  <c r="J160" i="5" a="1"/>
  <c r="J150" i="5" a="1"/>
  <c r="J140" i="5" a="1"/>
  <c r="J130" i="5" a="1"/>
  <c r="J120" i="5" a="1"/>
  <c r="J110" i="5" a="1"/>
  <c r="J100" i="5" a="1"/>
  <c r="J1816" i="5" a="1"/>
  <c r="J1828" i="5" a="1"/>
  <c r="J1771" i="5" a="1"/>
  <c r="J1719" i="5" a="1"/>
  <c r="J1664" i="5" a="1"/>
  <c r="J1465" i="5" a="1"/>
  <c r="J1381" i="5" a="1"/>
  <c r="J1340" i="5" a="1"/>
  <c r="J1179" i="5" a="1"/>
  <c r="J1101" i="5" a="1"/>
  <c r="J1066" i="5" a="1"/>
  <c r="J996" i="5" a="1"/>
  <c r="J966" i="5" a="1"/>
  <c r="J942" i="5" a="1"/>
  <c r="J915" i="5" a="1"/>
  <c r="J891" i="5" a="1"/>
  <c r="J842" i="5" a="1"/>
  <c r="J797" i="5" a="1"/>
  <c r="J765" i="5" a="1"/>
  <c r="J739" i="5" a="1"/>
  <c r="J714" i="5" a="1"/>
  <c r="J702" i="5" a="1"/>
  <c r="J689" i="5" a="1"/>
  <c r="J664" i="5" a="1"/>
  <c r="J652" i="5" a="1"/>
  <c r="J639" i="5" a="1"/>
  <c r="J614" i="5" a="1"/>
  <c r="J602" i="5" a="1"/>
  <c r="J589" i="5" a="1"/>
  <c r="J564" i="5" a="1"/>
  <c r="J552" i="5" a="1"/>
  <c r="J539" i="5" a="1"/>
  <c r="J514" i="5" a="1"/>
  <c r="J502" i="5" a="1"/>
  <c r="J489" i="5" a="1"/>
  <c r="J464" i="5" a="1"/>
  <c r="J452" i="5" a="1"/>
  <c r="J439" i="5" a="1"/>
  <c r="J414" i="5" a="1"/>
  <c r="J402" i="5" a="1"/>
  <c r="J389" i="5" a="1"/>
  <c r="J364" i="5" a="1"/>
  <c r="J352" i="5" a="1"/>
  <c r="J624" i="5" a="1"/>
  <c r="J524" i="5" a="1"/>
  <c r="J424" i="5" a="1"/>
  <c r="J349" i="5" a="1"/>
  <c r="J1950" i="5" a="1"/>
  <c r="J1886" i="5" a="1"/>
  <c r="J1715" i="5" a="1"/>
  <c r="J1663" i="5" a="1"/>
  <c r="J1512" i="5" a="1"/>
  <c r="J1463" i="5" a="1"/>
  <c r="J1217" i="5" a="1"/>
  <c r="J1176" i="5" a="1"/>
  <c r="J1137" i="5" a="1"/>
  <c r="J1100" i="5" a="1"/>
  <c r="J1063" i="5" a="1"/>
  <c r="J1027" i="5" a="1"/>
  <c r="J995" i="5" a="1"/>
  <c r="J965" i="5" a="1"/>
  <c r="J941" i="5" a="1"/>
  <c r="J887" i="5" a="1"/>
  <c r="J841" i="5" a="1"/>
  <c r="J817" i="5" a="1"/>
  <c r="J796" i="5" a="1"/>
  <c r="J778" i="5" a="1"/>
  <c r="J726" i="5" a="1"/>
  <c r="J676" i="5" a="1"/>
  <c r="J626" i="5" a="1"/>
  <c r="J576" i="5" a="1"/>
  <c r="J526" i="5" a="1"/>
  <c r="J476" i="5" a="1"/>
  <c r="J426" i="5" a="1"/>
  <c r="J376" i="5" a="1"/>
  <c r="J339" i="5" a="1"/>
  <c r="J329" i="5" a="1"/>
  <c r="J319" i="5" a="1"/>
  <c r="J309" i="5" a="1"/>
  <c r="J299" i="5" a="1"/>
  <c r="J289" i="5" a="1"/>
  <c r="J279" i="5" a="1"/>
  <c r="J269" i="5" a="1"/>
  <c r="J259" i="5" a="1"/>
  <c r="J249" i="5" a="1"/>
  <c r="J239" i="5" a="1"/>
  <c r="J229" i="5" a="1"/>
  <c r="J219" i="5" a="1"/>
  <c r="J209" i="5" a="1"/>
  <c r="J199" i="5" a="1"/>
  <c r="J189" i="5" a="1"/>
  <c r="J179" i="5" a="1"/>
  <c r="J169" i="5" a="1"/>
  <c r="J159" i="5" a="1"/>
  <c r="J149" i="5" a="1"/>
  <c r="J139" i="5" a="1"/>
  <c r="J129" i="5" a="1"/>
  <c r="J119" i="5" a="1"/>
  <c r="J109" i="5" a="1"/>
  <c r="J99" i="5" a="1"/>
  <c r="J699" i="5" a="1"/>
  <c r="J462" i="5" a="1"/>
  <c r="J362" i="5" a="1"/>
  <c r="J1884" i="5" a="1"/>
  <c r="J1818" i="5" a="1"/>
  <c r="J1767" i="5" a="1"/>
  <c r="J1714" i="5" a="1"/>
  <c r="J1662" i="5" a="1"/>
  <c r="J1607" i="5" a="1"/>
  <c r="J1556" i="5" a="1"/>
  <c r="J1379" i="5" a="1"/>
  <c r="J1294" i="5" a="1"/>
  <c r="J1256" i="5" a="1"/>
  <c r="J1175" i="5" a="1"/>
  <c r="J1099" i="5" a="1"/>
  <c r="J1059" i="5" a="1"/>
  <c r="J1025" i="5" a="1"/>
  <c r="J937" i="5" a="1"/>
  <c r="J795" i="5" a="1"/>
  <c r="J764" i="5" a="1"/>
  <c r="J751" i="5" a="1"/>
  <c r="J738" i="5" a="1"/>
  <c r="J725" i="5" a="1"/>
  <c r="J713" i="5" a="1"/>
  <c r="J701" i="5" a="1"/>
  <c r="J688" i="5" a="1"/>
  <c r="J675" i="5" a="1"/>
  <c r="J663" i="5" a="1"/>
  <c r="J651" i="5" a="1"/>
  <c r="J638" i="5" a="1"/>
  <c r="J625" i="5" a="1"/>
  <c r="J613" i="5" a="1"/>
  <c r="J601" i="5" a="1"/>
  <c r="J588" i="5" a="1"/>
  <c r="J575" i="5" a="1"/>
  <c r="J563" i="5" a="1"/>
  <c r="J551" i="5" a="1"/>
  <c r="J538" i="5" a="1"/>
  <c r="J525" i="5" a="1"/>
  <c r="J513" i="5" a="1"/>
  <c r="J501" i="5" a="1"/>
  <c r="J488" i="5" a="1"/>
  <c r="J475" i="5" a="1"/>
  <c r="J463" i="5" a="1"/>
  <c r="J451" i="5" a="1"/>
  <c r="J438" i="5" a="1"/>
  <c r="J425" i="5" a="1"/>
  <c r="J413" i="5" a="1"/>
  <c r="J401" i="5" a="1"/>
  <c r="J388" i="5" a="1"/>
  <c r="J375" i="5" a="1"/>
  <c r="J363" i="5" a="1"/>
  <c r="J351" i="5" a="1"/>
  <c r="J1948" i="5" a="1"/>
  <c r="J1878" i="5" a="1"/>
  <c r="J1707" i="5" a="1"/>
  <c r="J1503" i="5" a="1"/>
  <c r="J1457" i="5" a="1"/>
  <c r="J1417" i="5" a="1"/>
  <c r="J1333" i="5" a="1"/>
  <c r="J1293" i="5" a="1"/>
  <c r="J1250" i="5" a="1"/>
  <c r="J1210" i="5" a="1"/>
  <c r="J1170" i="5" a="1"/>
  <c r="J1135" i="5" a="1"/>
  <c r="J1058" i="5" a="1"/>
  <c r="J992" i="5" a="1"/>
  <c r="J885" i="5" a="1"/>
  <c r="J862" i="5" a="1"/>
  <c r="J837" i="5" a="1"/>
  <c r="J816" i="5" a="1"/>
  <c r="J338" i="5" a="1"/>
  <c r="J328" i="5" a="1"/>
  <c r="J318" i="5" a="1"/>
  <c r="J308" i="5" a="1"/>
  <c r="J298" i="5" a="1"/>
  <c r="J288" i="5" a="1"/>
  <c r="J278" i="5" a="1"/>
  <c r="J268" i="5" a="1"/>
  <c r="J258" i="5" a="1"/>
  <c r="J248" i="5" a="1"/>
  <c r="J238" i="5" a="1"/>
  <c r="J228" i="5" a="1"/>
  <c r="J218" i="5" a="1"/>
  <c r="J208" i="5" a="1"/>
  <c r="J198" i="5" a="1"/>
  <c r="J188" i="5" a="1"/>
  <c r="J178" i="5" a="1"/>
  <c r="J168" i="5" a="1"/>
  <c r="J158" i="5" a="1"/>
  <c r="J148" i="5" a="1"/>
  <c r="J138" i="5" a="1"/>
  <c r="J128" i="5" a="1"/>
  <c r="J118" i="5" a="1"/>
  <c r="J108" i="5" a="1"/>
  <c r="J98" i="5" a="1"/>
  <c r="J649" i="5" a="1"/>
  <c r="J374" i="5" a="1"/>
  <c r="J1938" i="5" a="1"/>
  <c r="J1209" i="5" a="1"/>
  <c r="J736" i="5" a="1"/>
  <c r="J307" i="5" a="1"/>
  <c r="J197" i="5" a="1"/>
  <c r="J97" i="5" a="1"/>
  <c r="J1875" i="5" a="1"/>
  <c r="J297" i="5" a="1"/>
  <c r="J1812" i="5" a="1"/>
  <c r="J486" i="5" a="1"/>
  <c r="J287" i="5" a="1"/>
  <c r="J187" i="5" a="1"/>
  <c r="J686" i="5" a="1"/>
  <c r="J277" i="5" a="1"/>
  <c r="J177" i="5" a="1"/>
  <c r="J1653" i="5" a="1"/>
  <c r="J1093" i="5" a="1"/>
  <c r="J1057" i="5" a="1"/>
  <c r="J436" i="5" a="1"/>
  <c r="J267" i="5" a="1"/>
  <c r="J167" i="5" a="1"/>
  <c r="J1605" i="5" a="1"/>
  <c r="J636" i="5" a="1"/>
  <c r="J257" i="5" a="1"/>
  <c r="J157" i="5" a="1"/>
  <c r="J1247" i="5" a="1"/>
  <c r="J962" i="5" a="1"/>
  <c r="J1502" i="5" a="1"/>
  <c r="J934" i="5" a="1"/>
  <c r="J386" i="5" a="1"/>
  <c r="J247" i="5" a="1"/>
  <c r="J147" i="5" a="1"/>
  <c r="J1452" i="5" a="1"/>
  <c r="J586" i="5" a="1"/>
  <c r="J237" i="5" a="1"/>
  <c r="J137" i="5" a="1"/>
  <c r="J1413" i="5" a="1"/>
  <c r="J857" i="5" a="1"/>
  <c r="J1372" i="5" a="1"/>
  <c r="J835" i="5" a="1"/>
  <c r="J227" i="5" a="1"/>
  <c r="J127" i="5" a="1"/>
  <c r="J1370" i="5" a="1"/>
  <c r="J337" i="5" a="1"/>
  <c r="J792" i="5" a="1"/>
  <c r="J536" i="5" a="1"/>
  <c r="J327" i="5" a="1"/>
  <c r="J217" i="5" a="1"/>
  <c r="J117" i="5" a="1"/>
  <c r="J1332" i="5" a="1"/>
  <c r="J775" i="5" a="1"/>
  <c r="J512" i="5" a="1"/>
  <c r="J317" i="5" a="1"/>
  <c r="J207" i="5" a="1"/>
  <c r="J107" i="5" a="1"/>
  <c r="K2004" i="5" a="1"/>
  <c r="K1994" i="5" a="1"/>
  <c r="K1984" i="5" a="1"/>
  <c r="K1974" i="5" a="1"/>
  <c r="K1964" i="5" a="1"/>
  <c r="K1954" i="5" a="1"/>
  <c r="K1944" i="5" a="1"/>
  <c r="K1934" i="5" a="1"/>
  <c r="K1924" i="5" a="1"/>
  <c r="K1914" i="5" a="1"/>
  <c r="K1904" i="5" a="1"/>
  <c r="K1894" i="5" a="1"/>
  <c r="K1884" i="5" a="1"/>
  <c r="K1874" i="5" a="1"/>
  <c r="K1864" i="5" a="1"/>
  <c r="K1854" i="5" a="1"/>
  <c r="K1844" i="5" a="1"/>
  <c r="K1834" i="5" a="1"/>
  <c r="K1824" i="5" a="1"/>
  <c r="K1814" i="5" a="1"/>
  <c r="K1804" i="5" a="1"/>
  <c r="K1794" i="5" a="1"/>
  <c r="K1784" i="5" a="1"/>
  <c r="K1774" i="5" a="1"/>
  <c r="K1764" i="5" a="1"/>
  <c r="K1754" i="5" a="1"/>
  <c r="K1744" i="5" a="1"/>
  <c r="K1734" i="5" a="1"/>
  <c r="K1724" i="5" a="1"/>
  <c r="K1714" i="5" a="1"/>
  <c r="K1704" i="5" a="1"/>
  <c r="K1694" i="5" a="1"/>
  <c r="K1684" i="5" a="1"/>
  <c r="K1674" i="5" a="1"/>
  <c r="K1664" i="5" a="1"/>
  <c r="K1654" i="5" a="1"/>
  <c r="K1644" i="5" a="1"/>
  <c r="K1634" i="5" a="1"/>
  <c r="K1624" i="5" a="1"/>
  <c r="K1614" i="5" a="1"/>
  <c r="K1604" i="5" a="1"/>
  <c r="K1594" i="5" a="1"/>
  <c r="K1584" i="5" a="1"/>
  <c r="K1574" i="5" a="1"/>
  <c r="K1564" i="5" a="1"/>
  <c r="K1554" i="5" a="1"/>
  <c r="K1544" i="5" a="1"/>
  <c r="K1534" i="5" a="1"/>
  <c r="K1524" i="5" a="1"/>
  <c r="K1514" i="5" a="1"/>
  <c r="K1504" i="5" a="1"/>
  <c r="K1494" i="5" a="1"/>
  <c r="K1484" i="5" a="1"/>
  <c r="K1474" i="5" a="1"/>
  <c r="K1464" i="5" a="1"/>
  <c r="K1454" i="5" a="1"/>
  <c r="K1444" i="5" a="1"/>
  <c r="K1434" i="5" a="1"/>
  <c r="K1424" i="5" a="1"/>
  <c r="K1414" i="5" a="1"/>
  <c r="K1404" i="5" a="1"/>
  <c r="K1394" i="5" a="1"/>
  <c r="K1384" i="5" a="1"/>
  <c r="K1374" i="5" a="1"/>
  <c r="K1364" i="5" a="1"/>
  <c r="K1354" i="5" a="1"/>
  <c r="K1344" i="5" a="1"/>
  <c r="K1334" i="5" a="1"/>
  <c r="K1324" i="5" a="1"/>
  <c r="K1314" i="5" a="1"/>
  <c r="K1304" i="5" a="1"/>
  <c r="K1294" i="5" a="1"/>
  <c r="K1284" i="5" a="1"/>
  <c r="K1274" i="5" a="1"/>
  <c r="K1264" i="5" a="1"/>
  <c r="K1254" i="5" a="1"/>
  <c r="K1244" i="5" a="1"/>
  <c r="K1234" i="5" a="1"/>
  <c r="K1224" i="5" a="1"/>
  <c r="K1214" i="5" a="1"/>
  <c r="K1204" i="5" a="1"/>
  <c r="K1194" i="5" a="1"/>
  <c r="K1184" i="5" a="1"/>
  <c r="K1174" i="5" a="1"/>
  <c r="K1164" i="5" a="1"/>
  <c r="K1154" i="5" a="1"/>
  <c r="K2002" i="5" a="1"/>
  <c r="K1992" i="5" a="1"/>
  <c r="K1982" i="5" a="1"/>
  <c r="K1972" i="5" a="1"/>
  <c r="K1962" i="5" a="1"/>
  <c r="K1952" i="5" a="1"/>
  <c r="K1942" i="5" a="1"/>
  <c r="K1932" i="5" a="1"/>
  <c r="K1922" i="5" a="1"/>
  <c r="K1912" i="5" a="1"/>
  <c r="K1902" i="5" a="1"/>
  <c r="K1892" i="5" a="1"/>
  <c r="K1882" i="5" a="1"/>
  <c r="K1872" i="5" a="1"/>
  <c r="K1862" i="5" a="1"/>
  <c r="K1852" i="5" a="1"/>
  <c r="K1842" i="5" a="1"/>
  <c r="K1832" i="5" a="1"/>
  <c r="K1822" i="5" a="1"/>
  <c r="K1812" i="5" a="1"/>
  <c r="K1802" i="5" a="1"/>
  <c r="K1792" i="5" a="1"/>
  <c r="K1782" i="5" a="1"/>
  <c r="K1772" i="5" a="1"/>
  <c r="K1762" i="5" a="1"/>
  <c r="K1752" i="5" a="1"/>
  <c r="K2003" i="5" a="1"/>
  <c r="K1931" i="5" a="1"/>
  <c r="K1903" i="5" a="1"/>
  <c r="K1831" i="5" a="1"/>
  <c r="K1803" i="5" a="1"/>
  <c r="K1719" i="5" a="1"/>
  <c r="K1679" i="5" a="1"/>
  <c r="K1639" i="5" a="1"/>
  <c r="K1599" i="5" a="1"/>
  <c r="K1559" i="5" a="1"/>
  <c r="K1519" i="5" a="1"/>
  <c r="K1479" i="5" a="1"/>
  <c r="K1439" i="5" a="1"/>
  <c r="K1399" i="5" a="1"/>
  <c r="K1359" i="5" a="1"/>
  <c r="K1319" i="5" a="1"/>
  <c r="K1279" i="5" a="1"/>
  <c r="K1239" i="5" a="1"/>
  <c r="K1199" i="5" a="1"/>
  <c r="K1159" i="5" a="1"/>
  <c r="K1971" i="5" a="1"/>
  <c r="K1943" i="5" a="1"/>
  <c r="K1871" i="5" a="1"/>
  <c r="K1843" i="5" a="1"/>
  <c r="K1771" i="5" a="1"/>
  <c r="K1743" i="5" a="1"/>
  <c r="K1717" i="5" a="1"/>
  <c r="K1703" i="5" a="1"/>
  <c r="K1677" i="5" a="1"/>
  <c r="K1663" i="5" a="1"/>
  <c r="K1637" i="5" a="1"/>
  <c r="K1623" i="5" a="1"/>
  <c r="K1597" i="5" a="1"/>
  <c r="K1583" i="5" a="1"/>
  <c r="K1557" i="5" a="1"/>
  <c r="K1543" i="5" a="1"/>
  <c r="K1517" i="5" a="1"/>
  <c r="K1503" i="5" a="1"/>
  <c r="K1477" i="5" a="1"/>
  <c r="K1463" i="5" a="1"/>
  <c r="K1437" i="5" a="1"/>
  <c r="K1423" i="5" a="1"/>
  <c r="K1397" i="5" a="1"/>
  <c r="K1383" i="5" a="1"/>
  <c r="K1357" i="5" a="1"/>
  <c r="K1343" i="5" a="1"/>
  <c r="K1317" i="5" a="1"/>
  <c r="K1303" i="5" a="1"/>
  <c r="K1277" i="5" a="1"/>
  <c r="K1263" i="5" a="1"/>
  <c r="K1237" i="5" a="1"/>
  <c r="K1223" i="5" a="1"/>
  <c r="K1197" i="5" a="1"/>
  <c r="K1183" i="5" a="1"/>
  <c r="K1157" i="5" a="1"/>
  <c r="K1941" i="5" a="1"/>
  <c r="K1913" i="5" a="1"/>
  <c r="K1841" i="5" a="1"/>
  <c r="K1813" i="5" a="1"/>
  <c r="K1742" i="5" a="1"/>
  <c r="K1716" i="5" a="1"/>
  <c r="K1702" i="5" a="1"/>
  <c r="K1676" i="5" a="1"/>
  <c r="K1662" i="5" a="1"/>
  <c r="K1636" i="5" a="1"/>
  <c r="K1622" i="5" a="1"/>
  <c r="K1596" i="5" a="1"/>
  <c r="K1582" i="5" a="1"/>
  <c r="K1556" i="5" a="1"/>
  <c r="K1542" i="5" a="1"/>
  <c r="K1516" i="5" a="1"/>
  <c r="K1502" i="5" a="1"/>
  <c r="K1476" i="5" a="1"/>
  <c r="K1462" i="5" a="1"/>
  <c r="K1436" i="5" a="1"/>
  <c r="K1422" i="5" a="1"/>
  <c r="K1396" i="5" a="1"/>
  <c r="K1382" i="5" a="1"/>
  <c r="K1356" i="5" a="1"/>
  <c r="K1342" i="5" a="1"/>
  <c r="K1316" i="5" a="1"/>
  <c r="K1302" i="5" a="1"/>
  <c r="K1276" i="5" a="1"/>
  <c r="K1262" i="5" a="1"/>
  <c r="K1236" i="5" a="1"/>
  <c r="K1222" i="5" a="1"/>
  <c r="K1196" i="5" a="1"/>
  <c r="K1182" i="5" a="1"/>
  <c r="K1156" i="5" a="1"/>
  <c r="K1986" i="5" a="1"/>
  <c r="K1968" i="5" a="1"/>
  <c r="K1951" i="5" a="1"/>
  <c r="K1936" i="5" a="1"/>
  <c r="K1901" i="5" a="1"/>
  <c r="K1885" i="5" a="1"/>
  <c r="K1850" i="5" a="1"/>
  <c r="K1818" i="5" a="1"/>
  <c r="K1800" i="5" a="1"/>
  <c r="K1783" i="5" a="1"/>
  <c r="K1767" i="5" a="1"/>
  <c r="K1687" i="5" a="1"/>
  <c r="K1671" i="5" a="1"/>
  <c r="K1640" i="5" a="1"/>
  <c r="K1608" i="5" a="1"/>
  <c r="K1562" i="5" a="1"/>
  <c r="K1547" i="5" a="1"/>
  <c r="K1530" i="5" a="1"/>
  <c r="K1515" i="5" a="1"/>
  <c r="K1483" i="5" a="1"/>
  <c r="K1468" i="5" a="1"/>
  <c r="K1452" i="5" a="1"/>
  <c r="K1389" i="5" a="1"/>
  <c r="K1375" i="5" a="1"/>
  <c r="K1358" i="5" a="1"/>
  <c r="K1341" i="5" a="1"/>
  <c r="K1310" i="5" a="1"/>
  <c r="K1296" i="5" a="1"/>
  <c r="K1265" i="5" a="1"/>
  <c r="K1232" i="5" a="1"/>
  <c r="K1217" i="5" a="1"/>
  <c r="K1201" i="5" a="1"/>
  <c r="K1186" i="5" a="1"/>
  <c r="K1169" i="5" a="1"/>
  <c r="K1131" i="5" a="1"/>
  <c r="K1095" i="5" a="1"/>
  <c r="K1072" i="5" a="1"/>
  <c r="K1049" i="5" a="1"/>
  <c r="K1037" i="5" a="1"/>
  <c r="K1013" i="5" a="1"/>
  <c r="K990" i="5" a="1"/>
  <c r="K978" i="5" a="1"/>
  <c r="K966" i="5" a="1"/>
  <c r="K954" i="5" a="1"/>
  <c r="K931" i="5" a="1"/>
  <c r="K895" i="5" a="1"/>
  <c r="K872" i="5" a="1"/>
  <c r="K849" i="5" a="1"/>
  <c r="K837" i="5" a="1"/>
  <c r="K813" i="5" a="1"/>
  <c r="K2001" i="5" a="1"/>
  <c r="K1985" i="5" a="1"/>
  <c r="K1950" i="5" a="1"/>
  <c r="K1918" i="5" a="1"/>
  <c r="K1900" i="5" a="1"/>
  <c r="K1883" i="5" a="1"/>
  <c r="K1867" i="5" a="1"/>
  <c r="K1835" i="5" a="1"/>
  <c r="K1817" i="5" a="1"/>
  <c r="K1799" i="5" a="1"/>
  <c r="K2000" i="5" a="1"/>
  <c r="K1999" i="5" a="1"/>
  <c r="K1949" i="5" a="1"/>
  <c r="K1933" i="5" a="1"/>
  <c r="K1998" i="5" a="1"/>
  <c r="K1981" i="5" a="1"/>
  <c r="K1966" i="5" a="1"/>
  <c r="K1916" i="5" a="1"/>
  <c r="K1880" i="5" a="1"/>
  <c r="K1997" i="5" a="1"/>
  <c r="K1965" i="5" a="1"/>
  <c r="K1879" i="5" a="1"/>
  <c r="K1863" i="5" a="1"/>
  <c r="K1847" i="5" a="1"/>
  <c r="K1829" i="5" a="1"/>
  <c r="K1811" i="5" a="1"/>
  <c r="K1796" i="5" a="1"/>
  <c r="K1746" i="5" a="1"/>
  <c r="K1729" i="5" a="1"/>
  <c r="K1713" i="5" a="1"/>
  <c r="K1698" i="5" a="1"/>
  <c r="K1651" i="5" a="1"/>
  <c r="K1619" i="5" a="1"/>
  <c r="K1605" i="5" a="1"/>
  <c r="K1573" i="5" a="1"/>
  <c r="K1540" i="5" a="1"/>
  <c r="K1526" i="5" a="1"/>
  <c r="K1447" i="5" a="1"/>
  <c r="K1431" i="5" a="1"/>
  <c r="K1400" i="5" a="1"/>
  <c r="K1368" i="5" a="1"/>
  <c r="K1322" i="5" a="1"/>
  <c r="K1307" i="5" a="1"/>
  <c r="K1290" i="5" a="1"/>
  <c r="K1275" i="5" a="1"/>
  <c r="K1243" i="5" a="1"/>
  <c r="K1228" i="5" a="1"/>
  <c r="K1212" i="5" a="1"/>
  <c r="K1151" i="5" a="1"/>
  <c r="K1115" i="5" a="1"/>
  <c r="K1092" i="5" a="1"/>
  <c r="K1069" i="5" a="1"/>
  <c r="K1057" i="5" a="1"/>
  <c r="K1033" i="5" a="1"/>
  <c r="K1010" i="5" a="1"/>
  <c r="K998" i="5" a="1"/>
  <c r="K986" i="5" a="1"/>
  <c r="K974" i="5" a="1"/>
  <c r="K951" i="5" a="1"/>
  <c r="K915" i="5" a="1"/>
  <c r="K892" i="5" a="1"/>
  <c r="K869" i="5" a="1"/>
  <c r="K857" i="5" a="1"/>
  <c r="K833" i="5" a="1"/>
  <c r="K810" i="5" a="1"/>
  <c r="K1993" i="5" a="1"/>
  <c r="K1977" i="5" a="1"/>
  <c r="K1959" i="5" a="1"/>
  <c r="K1926" i="5" a="1"/>
  <c r="K1840" i="5" a="1"/>
  <c r="K1808" i="5" a="1"/>
  <c r="K1791" i="5" a="1"/>
  <c r="K1776" i="5" a="1"/>
  <c r="K1758" i="5" a="1"/>
  <c r="K1740" i="5" a="1"/>
  <c r="K1726" i="5" a="1"/>
  <c r="K1647" i="5" a="1"/>
  <c r="K1631" i="5" a="1"/>
  <c r="K1600" i="5" a="1"/>
  <c r="K1568" i="5" a="1"/>
  <c r="K1522" i="5" a="1"/>
  <c r="K1507" i="5" a="1"/>
  <c r="K1490" i="5" a="1"/>
  <c r="K1475" i="5" a="1"/>
  <c r="K1443" i="5" a="1"/>
  <c r="K1428" i="5" a="1"/>
  <c r="K1412" i="5" a="1"/>
  <c r="K1349" i="5" a="1"/>
  <c r="K1335" i="5" a="1"/>
  <c r="K1318" i="5" a="1"/>
  <c r="K1301" i="5" a="1"/>
  <c r="K1270" i="5" a="1"/>
  <c r="K1256" i="5" a="1"/>
  <c r="K1225" i="5" a="1"/>
  <c r="K1192" i="5" a="1"/>
  <c r="K1177" i="5" a="1"/>
  <c r="K1161" i="5" a="1"/>
  <c r="K1148" i="5" a="1"/>
  <c r="K1136" i="5" a="1"/>
  <c r="K1124" i="5" a="1"/>
  <c r="K1101" i="5" a="1"/>
  <c r="K1065" i="5" a="1"/>
  <c r="K1042" i="5" a="1"/>
  <c r="K1019" i="5" a="1"/>
  <c r="K1007" i="5" a="1"/>
  <c r="K983" i="5" a="1"/>
  <c r="K960" i="5" a="1"/>
  <c r="K948" i="5" a="1"/>
  <c r="K936" i="5" a="1"/>
  <c r="K924" i="5" a="1"/>
  <c r="K901" i="5" a="1"/>
  <c r="K865" i="5" a="1"/>
  <c r="K842" i="5" a="1"/>
  <c r="K819" i="5" a="1"/>
  <c r="K807" i="5" a="1"/>
  <c r="K797" i="5" a="1"/>
  <c r="K787" i="5" a="1"/>
  <c r="K777" i="5" a="1"/>
  <c r="K767" i="5" a="1"/>
  <c r="K757" i="5" a="1"/>
  <c r="K747" i="5" a="1"/>
  <c r="K737" i="5" a="1"/>
  <c r="K727" i="5" a="1"/>
  <c r="K1940" i="5" a="1"/>
  <c r="K1908" i="5" a="1"/>
  <c r="K1891" i="5" a="1"/>
  <c r="K1876" i="5" a="1"/>
  <c r="K1858" i="5" a="1"/>
  <c r="K1825" i="5" a="1"/>
  <c r="K1790" i="5" a="1"/>
  <c r="K1775" i="5" a="1"/>
  <c r="K1757" i="5" a="1"/>
  <c r="K1709" i="5" a="1"/>
  <c r="K1695" i="5" a="1"/>
  <c r="K1678" i="5" a="1"/>
  <c r="K1661" i="5" a="1"/>
  <c r="K1630" i="5" a="1"/>
  <c r="K1616" i="5" a="1"/>
  <c r="K1585" i="5" a="1"/>
  <c r="K1552" i="5" a="1"/>
  <c r="K1537" i="5" a="1"/>
  <c r="K1521" i="5" a="1"/>
  <c r="K1506" i="5" a="1"/>
  <c r="K1489" i="5" a="1"/>
  <c r="K1473" i="5" a="1"/>
  <c r="K1458" i="5" a="1"/>
  <c r="K1411" i="5" a="1"/>
  <c r="K1379" i="5" a="1"/>
  <c r="K1365" i="5" a="1"/>
  <c r="K1333" i="5" a="1"/>
  <c r="K1300" i="5" a="1"/>
  <c r="K1286" i="5" a="1"/>
  <c r="K1207" i="5" a="1"/>
  <c r="K1191" i="5" a="1"/>
  <c r="K1160" i="5" a="1"/>
  <c r="K1135" i="5" a="1"/>
  <c r="K1112" i="5" a="1"/>
  <c r="K1089" i="5" a="1"/>
  <c r="K1077" i="5" a="1"/>
  <c r="K1053" i="5" a="1"/>
  <c r="K1030" i="5" a="1"/>
  <c r="K1018" i="5" a="1"/>
  <c r="K1006" i="5" a="1"/>
  <c r="K994" i="5" a="1"/>
  <c r="K971" i="5" a="1"/>
  <c r="K935" i="5" a="1"/>
  <c r="K912" i="5" a="1"/>
  <c r="K889" i="5" a="1"/>
  <c r="K877" i="5" a="1"/>
  <c r="K853" i="5" a="1"/>
  <c r="K830" i="5" a="1"/>
  <c r="K818" i="5" a="1"/>
  <c r="K1991" i="5" a="1"/>
  <c r="K1976" i="5" a="1"/>
  <c r="K1958" i="5" a="1"/>
  <c r="K1990" i="5" a="1"/>
  <c r="K1975" i="5" a="1"/>
  <c r="K1957" i="5" a="1"/>
  <c r="K1939" i="5" a="1"/>
  <c r="K1923" i="5" a="1"/>
  <c r="K1907" i="5" a="1"/>
  <c r="K1873" i="5" a="1"/>
  <c r="K1856" i="5" a="1"/>
  <c r="K1789" i="5" a="1"/>
  <c r="K1723" i="5" a="1"/>
  <c r="K1708" i="5" a="1"/>
  <c r="K1692" i="5" a="1"/>
  <c r="K1629" i="5" a="1"/>
  <c r="K1615" i="5" a="1"/>
  <c r="K1598" i="5" a="1"/>
  <c r="K1581" i="5" a="1"/>
  <c r="K1550" i="5" a="1"/>
  <c r="K1536" i="5" a="1"/>
  <c r="K1505" i="5" a="1"/>
  <c r="K1472" i="5" a="1"/>
  <c r="K1457" i="5" a="1"/>
  <c r="K1441" i="5" a="1"/>
  <c r="K1426" i="5" a="1"/>
  <c r="K1409" i="5" a="1"/>
  <c r="K1393" i="5" a="1"/>
  <c r="K1378" i="5" a="1"/>
  <c r="K1331" i="5" a="1"/>
  <c r="K1299" i="5" a="1"/>
  <c r="K1285" i="5" a="1"/>
  <c r="K1253" i="5" a="1"/>
  <c r="K1220" i="5" a="1"/>
  <c r="K1206" i="5" a="1"/>
  <c r="K1146" i="5" a="1"/>
  <c r="K1134" i="5" a="1"/>
  <c r="K1111" i="5" a="1"/>
  <c r="K1075" i="5" a="1"/>
  <c r="K1052" i="5" a="1"/>
  <c r="K1029" i="5" a="1"/>
  <c r="K1017" i="5" a="1"/>
  <c r="K993" i="5" a="1"/>
  <c r="K970" i="5" a="1"/>
  <c r="K958" i="5" a="1"/>
  <c r="K946" i="5" a="1"/>
  <c r="K934" i="5" a="1"/>
  <c r="K911" i="5" a="1"/>
  <c r="K875" i="5" a="1"/>
  <c r="K852" i="5" a="1"/>
  <c r="K829" i="5" a="1"/>
  <c r="K817" i="5" a="1"/>
  <c r="K1973" i="5" a="1"/>
  <c r="K1956" i="5" a="1"/>
  <c r="K1889" i="5" a="1"/>
  <c r="K1838" i="5" a="1"/>
  <c r="K1821" i="5" a="1"/>
  <c r="K1806" i="5" a="1"/>
  <c r="K1788" i="5" a="1"/>
  <c r="K1989" i="5" a="1"/>
  <c r="K1938" i="5" a="1"/>
  <c r="K1921" i="5" a="1"/>
  <c r="K1906" i="5" a="1"/>
  <c r="K1888" i="5" a="1"/>
  <c r="K1870" i="5" a="1"/>
  <c r="K1855" i="5" a="1"/>
  <c r="K1820" i="5" a="1"/>
  <c r="K1769" i="5" a="1"/>
  <c r="K1753" i="5" a="1"/>
  <c r="K1722" i="5" a="1"/>
  <c r="K1707" i="5" a="1"/>
  <c r="K1690" i="5" a="1"/>
  <c r="K1675" i="5" a="1"/>
  <c r="K1643" i="5" a="1"/>
  <c r="K1628" i="5" a="1"/>
  <c r="K1612" i="5" a="1"/>
  <c r="K1549" i="5" a="1"/>
  <c r="K1535" i="5" a="1"/>
  <c r="K1518" i="5" a="1"/>
  <c r="K1501" i="5" a="1"/>
  <c r="K1470" i="5" a="1"/>
  <c r="K1988" i="5" a="1"/>
  <c r="K1970" i="5" a="1"/>
  <c r="K1955" i="5" a="1"/>
  <c r="K1920" i="5" a="1"/>
  <c r="K1869" i="5" a="1"/>
  <c r="K1853" i="5" a="1"/>
  <c r="K1837" i="5" a="1"/>
  <c r="K1805" i="5" a="1"/>
  <c r="K1787" i="5" a="1"/>
  <c r="K1737" i="5" a="1"/>
  <c r="K1721" i="5" a="1"/>
  <c r="K1706" i="5" a="1"/>
  <c r="K1689" i="5" a="1"/>
  <c r="K1673" i="5" a="1"/>
  <c r="K1658" i="5" a="1"/>
  <c r="K1611" i="5" a="1"/>
  <c r="K1579" i="5" a="1"/>
  <c r="K1565" i="5" a="1"/>
  <c r="K1533" i="5" a="1"/>
  <c r="K1500" i="5" a="1"/>
  <c r="K1486" i="5" a="1"/>
  <c r="K1407" i="5" a="1"/>
  <c r="K1391" i="5" a="1"/>
  <c r="K1360" i="5" a="1"/>
  <c r="K1328" i="5" a="1"/>
  <c r="K1282" i="5" a="1"/>
  <c r="K1267" i="5" a="1"/>
  <c r="K1250" i="5" a="1"/>
  <c r="K1235" i="5" a="1"/>
  <c r="K1203" i="5" a="1"/>
  <c r="K1188" i="5" a="1"/>
  <c r="K1172" i="5" a="1"/>
  <c r="K1144" i="5" a="1"/>
  <c r="K1121" i="5" a="1"/>
  <c r="K1085" i="5" a="1"/>
  <c r="K1062" i="5" a="1"/>
  <c r="K1039" i="5" a="1"/>
  <c r="K1027" i="5" a="1"/>
  <c r="K1003" i="5" a="1"/>
  <c r="K980" i="5" a="1"/>
  <c r="K968" i="5" a="1"/>
  <c r="K956" i="5" a="1"/>
  <c r="K944" i="5" a="1"/>
  <c r="K921" i="5" a="1"/>
  <c r="K885" i="5" a="1"/>
  <c r="K862" i="5" a="1"/>
  <c r="K839" i="5" a="1"/>
  <c r="K827" i="5" a="1"/>
  <c r="K804" i="5" a="1"/>
  <c r="K794" i="5" a="1"/>
  <c r="K784" i="5" a="1"/>
  <c r="K774" i="5" a="1"/>
  <c r="K1960" i="5" a="1"/>
  <c r="K1917" i="5" a="1"/>
  <c r="K1851" i="5" a="1"/>
  <c r="K1823" i="5" a="1"/>
  <c r="K1793" i="5" a="1"/>
  <c r="K1765" i="5" a="1"/>
  <c r="K1738" i="5" a="1"/>
  <c r="K1715" i="5" a="1"/>
  <c r="K1688" i="5" a="1"/>
  <c r="K1667" i="5" a="1"/>
  <c r="K1641" i="5" a="1"/>
  <c r="K1618" i="5" a="1"/>
  <c r="K1592" i="5" a="1"/>
  <c r="K1570" i="5" a="1"/>
  <c r="K1497" i="5" a="1"/>
  <c r="K1449" i="5" a="1"/>
  <c r="K1405" i="5" a="1"/>
  <c r="K1338" i="5" a="1"/>
  <c r="K1315" i="5" a="1"/>
  <c r="K1293" i="5" a="1"/>
  <c r="K1271" i="5" a="1"/>
  <c r="K1247" i="5" a="1"/>
  <c r="K1227" i="5" a="1"/>
  <c r="K1180" i="5" a="1"/>
  <c r="K1158" i="5" a="1"/>
  <c r="K1141" i="5" a="1"/>
  <c r="K1107" i="5" a="1"/>
  <c r="K1091" i="5" a="1"/>
  <c r="K1073" i="5" a="1"/>
  <c r="K1040" i="5" a="1"/>
  <c r="K1023" i="5" a="1"/>
  <c r="K973" i="5" a="1"/>
  <c r="K955" i="5" a="1"/>
  <c r="K940" i="5" a="1"/>
  <c r="K922" i="5" a="1"/>
  <c r="K905" i="5" a="1"/>
  <c r="K890" i="5" a="1"/>
  <c r="K855" i="5" a="1"/>
  <c r="K838" i="5" a="1"/>
  <c r="K822" i="5" a="1"/>
  <c r="K805" i="5" a="1"/>
  <c r="K791" i="5" a="1"/>
  <c r="K763" i="5" a="1"/>
  <c r="K750" i="5" a="1"/>
  <c r="K736" i="5" a="1"/>
  <c r="K723" i="5" a="1"/>
  <c r="K698" i="5" a="1"/>
  <c r="K685" i="5" a="1"/>
  <c r="K673" i="5" a="1"/>
  <c r="K637" i="5" a="1"/>
  <c r="K625" i="5" a="1"/>
  <c r="K614" i="5" a="1"/>
  <c r="K604" i="5" a="1"/>
  <c r="K594" i="5" a="1"/>
  <c r="K584" i="5" a="1"/>
  <c r="K574" i="5" a="1"/>
  <c r="K564" i="5" a="1"/>
  <c r="K554" i="5" a="1"/>
  <c r="K544" i="5" a="1"/>
  <c r="K534" i="5" a="1"/>
  <c r="K524" i="5" a="1"/>
  <c r="K514" i="5" a="1"/>
  <c r="K504" i="5" a="1"/>
  <c r="K494" i="5" a="1"/>
  <c r="K484" i="5" a="1"/>
  <c r="K474" i="5" a="1"/>
  <c r="K464" i="5" a="1"/>
  <c r="K454" i="5" a="1"/>
  <c r="K444" i="5" a="1"/>
  <c r="K434" i="5" a="1"/>
  <c r="K424" i="5" a="1"/>
  <c r="K414" i="5" a="1"/>
  <c r="K404" i="5" a="1"/>
  <c r="K394" i="5" a="1"/>
  <c r="K384" i="5" a="1"/>
  <c r="K374" i="5" a="1"/>
  <c r="K364" i="5" a="1"/>
  <c r="K354" i="5" a="1"/>
  <c r="K344" i="5" a="1"/>
  <c r="K334" i="5" a="1"/>
  <c r="K1953" i="5" a="1"/>
  <c r="K1881" i="5" a="1"/>
  <c r="K1849" i="5" a="1"/>
  <c r="K1819" i="5" a="1"/>
  <c r="K1763" i="5" a="1"/>
  <c r="K1666" i="5" a="1"/>
  <c r="K1591" i="5" a="1"/>
  <c r="K1569" i="5" a="1"/>
  <c r="K1545" i="5" a="1"/>
  <c r="K1520" i="5" a="1"/>
  <c r="K1471" i="5" a="1"/>
  <c r="K1448" i="5" a="1"/>
  <c r="K1427" i="5" a="1"/>
  <c r="K1403" i="5" a="1"/>
  <c r="K1381" i="5" a="1"/>
  <c r="K1337" i="5" a="1"/>
  <c r="K1313" i="5" a="1"/>
  <c r="K1292" i="5" a="1"/>
  <c r="K1269" i="5" a="1"/>
  <c r="K1226" i="5" a="1"/>
  <c r="K1202" i="5" a="1"/>
  <c r="K1179" i="5" a="1"/>
  <c r="K1123" i="5" a="1"/>
  <c r="K1106" i="5" a="1"/>
  <c r="K1056" i="5" a="1"/>
  <c r="K1005" i="5" a="1"/>
  <c r="K989" i="5" a="1"/>
  <c r="K939" i="5" a="1"/>
  <c r="K888" i="5" a="1"/>
  <c r="K871" i="5" a="1"/>
  <c r="K821" i="5" a="1"/>
  <c r="K776" i="5" a="1"/>
  <c r="K762" i="5" a="1"/>
  <c r="K749" i="5" a="1"/>
  <c r="K735" i="5" a="1"/>
  <c r="K722" i="5" a="1"/>
  <c r="K710" i="5" a="1"/>
  <c r="K672" i="5" a="1"/>
  <c r="K660" i="5" a="1"/>
  <c r="K648" i="5" a="1"/>
  <c r="K636" i="5" a="1"/>
  <c r="K1996" i="5" a="1"/>
  <c r="K1915" i="5" a="1"/>
  <c r="K1761" i="5" a="1"/>
  <c r="K1736" i="5" a="1"/>
  <c r="K1712" i="5" a="1"/>
  <c r="K1617" i="5" a="1"/>
  <c r="K1590" i="5" a="1"/>
  <c r="K1567" i="5" a="1"/>
  <c r="K1496" i="5" a="1"/>
  <c r="K1469" i="5" a="1"/>
  <c r="K1380" i="5" a="1"/>
  <c r="K1312" i="5" a="1"/>
  <c r="K1291" i="5" a="1"/>
  <c r="K1268" i="5" a="1"/>
  <c r="K1246" i="5" a="1"/>
  <c r="K1200" i="5" a="1"/>
  <c r="K1140" i="5" a="1"/>
  <c r="K1122" i="5" a="1"/>
  <c r="K1105" i="5" a="1"/>
  <c r="K1090" i="5" a="1"/>
  <c r="K1055" i="5" a="1"/>
  <c r="K1038" i="5" a="1"/>
  <c r="K1022" i="5" a="1"/>
  <c r="K1004" i="5" a="1"/>
  <c r="K988" i="5" a="1"/>
  <c r="K972" i="5" a="1"/>
  <c r="K938" i="5" a="1"/>
  <c r="K904" i="5" a="1"/>
  <c r="K887" i="5" a="1"/>
  <c r="K854" i="5" a="1"/>
  <c r="K836" i="5" a="1"/>
  <c r="K790" i="5" a="1"/>
  <c r="K775" i="5" a="1"/>
  <c r="K709" i="5" a="1"/>
  <c r="K697" i="5" a="1"/>
  <c r="K684" i="5" a="1"/>
  <c r="K659" i="5" a="1"/>
  <c r="K624" i="5" a="1"/>
  <c r="K613" i="5" a="1"/>
  <c r="K603" i="5" a="1"/>
  <c r="K593" i="5" a="1"/>
  <c r="K583" i="5" a="1"/>
  <c r="K573" i="5" a="1"/>
  <c r="K563" i="5" a="1"/>
  <c r="K553" i="5" a="1"/>
  <c r="K543" i="5" a="1"/>
  <c r="K533" i="5" a="1"/>
  <c r="K523" i="5" a="1"/>
  <c r="K513" i="5" a="1"/>
  <c r="K503" i="5" a="1"/>
  <c r="K493" i="5" a="1"/>
  <c r="K483" i="5" a="1"/>
  <c r="K473" i="5" a="1"/>
  <c r="K463" i="5" a="1"/>
  <c r="K453" i="5" a="1"/>
  <c r="K443" i="5" a="1"/>
  <c r="K433" i="5" a="1"/>
  <c r="K423" i="5" a="1"/>
  <c r="K413" i="5" a="1"/>
  <c r="K403" i="5" a="1"/>
  <c r="K393" i="5" a="1"/>
  <c r="K383" i="5" a="1"/>
  <c r="K373" i="5" a="1"/>
  <c r="K363" i="5" a="1"/>
  <c r="K353" i="5" a="1"/>
  <c r="K343" i="5" a="1"/>
  <c r="K333" i="5" a="1"/>
  <c r="K1911" i="5" a="1"/>
  <c r="K1848" i="5" a="1"/>
  <c r="K1786" i="5" a="1"/>
  <c r="K1760" i="5" a="1"/>
  <c r="K1735" i="5" a="1"/>
  <c r="K1711" i="5" a="1"/>
  <c r="K1686" i="5" a="1"/>
  <c r="K1665" i="5" a="1"/>
  <c r="K1638" i="5" a="1"/>
  <c r="K1566" i="5" a="1"/>
  <c r="K1541" i="5" a="1"/>
  <c r="K1495" i="5" a="1"/>
  <c r="K1995" i="5" a="1"/>
  <c r="K1948" i="5" a="1"/>
  <c r="K1987" i="5" a="1"/>
  <c r="K1980" i="5" a="1"/>
  <c r="K1945" i="5" a="1"/>
  <c r="K1979" i="5" a="1"/>
  <c r="K1978" i="5" a="1"/>
  <c r="K1935" i="5" a="1"/>
  <c r="K1898" i="5" a="1"/>
  <c r="K1866" i="5" a="1"/>
  <c r="K1836" i="5" a="1"/>
  <c r="K1807" i="5" a="1"/>
  <c r="K1777" i="5" a="1"/>
  <c r="K1653" i="5" a="1"/>
  <c r="K1531" i="5" a="1"/>
  <c r="K1416" i="5" a="1"/>
  <c r="K1392" i="5" a="1"/>
  <c r="K1370" i="5" a="1"/>
  <c r="K1348" i="5" a="1"/>
  <c r="K1305" i="5" a="1"/>
  <c r="K1280" i="5" a="1"/>
  <c r="K1258" i="5" a="1"/>
  <c r="K1215" i="5" a="1"/>
  <c r="K1190" i="5" a="1"/>
  <c r="K1098" i="5" a="1"/>
  <c r="K1064" i="5" a="1"/>
  <c r="K947" i="5" a="1"/>
  <c r="K930" i="5" a="1"/>
  <c r="K896" i="5" a="1"/>
  <c r="K880" i="5" a="1"/>
  <c r="K846" i="5" a="1"/>
  <c r="K812" i="5" a="1"/>
  <c r="K798" i="5" a="1"/>
  <c r="K783" i="5" a="1"/>
  <c r="K769" i="5" a="1"/>
  <c r="K755" i="5" a="1"/>
  <c r="K742" i="5" a="1"/>
  <c r="K729" i="5" a="1"/>
  <c r="K716" i="5" a="1"/>
  <c r="K691" i="5" a="1"/>
  <c r="K666" i="5" a="1"/>
  <c r="K654" i="5" a="1"/>
  <c r="K642" i="5" a="1"/>
  <c r="K1930" i="5" a="1"/>
  <c r="K1897" i="5" a="1"/>
  <c r="K1833" i="5" a="1"/>
  <c r="K1748" i="5" a="1"/>
  <c r="K1725" i="5" a="1"/>
  <c r="K1699" i="5" a="1"/>
  <c r="K1652" i="5" a="1"/>
  <c r="K1627" i="5" a="1"/>
  <c r="K1603" i="5" a="1"/>
  <c r="K1578" i="5" a="1"/>
  <c r="K1529" i="5" a="1"/>
  <c r="K1508" i="5" a="1"/>
  <c r="K1482" i="5" a="1"/>
  <c r="K1459" i="5" a="1"/>
  <c r="K1390" i="5" a="1"/>
  <c r="K1369" i="5" a="1"/>
  <c r="K1347" i="5" a="1"/>
  <c r="K1325" i="5" a="1"/>
  <c r="K1233" i="5" a="1"/>
  <c r="K1213" i="5" a="1"/>
  <c r="K1189" i="5" a="1"/>
  <c r="K1167" i="5" a="1"/>
  <c r="K1149" i="5" a="1"/>
  <c r="K1114" i="5" a="1"/>
  <c r="K1097" i="5" a="1"/>
  <c r="K1081" i="5" a="1"/>
  <c r="K1063" i="5" a="1"/>
  <c r="K1047" i="5" a="1"/>
  <c r="K1031" i="5" a="1"/>
  <c r="K997" i="5" a="1"/>
  <c r="K963" i="5" a="1"/>
  <c r="K945" i="5" a="1"/>
  <c r="K913" i="5" a="1"/>
  <c r="K845" i="5" a="1"/>
  <c r="K828" i="5" a="1"/>
  <c r="K782" i="5" a="1"/>
  <c r="K715" i="5" a="1"/>
  <c r="K703" i="5" a="1"/>
  <c r="K678" i="5" a="1"/>
  <c r="K665" i="5" a="1"/>
  <c r="K630" i="5" a="1"/>
  <c r="K618" i="5" a="1"/>
  <c r="K608" i="5" a="1"/>
  <c r="K598" i="5" a="1"/>
  <c r="K588" i="5" a="1"/>
  <c r="K578" i="5" a="1"/>
  <c r="K568" i="5" a="1"/>
  <c r="K558" i="5" a="1"/>
  <c r="K548" i="5" a="1"/>
  <c r="K538" i="5" a="1"/>
  <c r="K528" i="5" a="1"/>
  <c r="K518" i="5" a="1"/>
  <c r="K508" i="5" a="1"/>
  <c r="K498" i="5" a="1"/>
  <c r="K488" i="5" a="1"/>
  <c r="K478" i="5" a="1"/>
  <c r="K468" i="5" a="1"/>
  <c r="K458" i="5" a="1"/>
  <c r="K448" i="5" a="1"/>
  <c r="K438" i="5" a="1"/>
  <c r="K428" i="5" a="1"/>
  <c r="K418" i="5" a="1"/>
  <c r="K408" i="5" a="1"/>
  <c r="K398" i="5" a="1"/>
  <c r="K388" i="5" a="1"/>
  <c r="K378" i="5" a="1"/>
  <c r="K368" i="5" a="1"/>
  <c r="K358" i="5" a="1"/>
  <c r="K348" i="5" a="1"/>
  <c r="K338" i="5" a="1"/>
  <c r="K1969" i="5" a="1"/>
  <c r="K1929" i="5" a="1"/>
  <c r="K1896" i="5" a="1"/>
  <c r="K1865" i="5" a="1"/>
  <c r="K1801" i="5" a="1"/>
  <c r="K1773" i="5" a="1"/>
  <c r="K1650" i="5" a="1"/>
  <c r="K1626" i="5" a="1"/>
  <c r="K1577" i="5" a="1"/>
  <c r="K1555" i="5" a="1"/>
  <c r="K1528" i="5" a="1"/>
  <c r="K1481" i="5" a="1"/>
  <c r="K1435" i="5" a="1"/>
  <c r="K1928" i="5" a="1"/>
  <c r="K1830" i="5" a="1"/>
  <c r="K1798" i="5" a="1"/>
  <c r="K1770" i="5" a="1"/>
  <c r="K1747" i="5" a="1"/>
  <c r="K1720" i="5" a="1"/>
  <c r="K1672" i="5" a="1"/>
  <c r="K1649" i="5" a="1"/>
  <c r="K1625" i="5" a="1"/>
  <c r="K1602" i="5" a="1"/>
  <c r="K1553" i="5" a="1"/>
  <c r="K1480" i="5" a="1"/>
  <c r="K1433" i="5" a="1"/>
  <c r="K1413" i="5" a="1"/>
  <c r="K1367" i="5" a="1"/>
  <c r="K1345" i="5" a="1"/>
  <c r="K1231" i="5" a="1"/>
  <c r="K1210" i="5" a="1"/>
  <c r="K1166" i="5" a="1"/>
  <c r="K1145" i="5" a="1"/>
  <c r="K1113" i="5" a="1"/>
  <c r="K1045" i="5" a="1"/>
  <c r="K1028" i="5" a="1"/>
  <c r="K995" i="5" a="1"/>
  <c r="K928" i="5" a="1"/>
  <c r="K878" i="5" a="1"/>
  <c r="K860" i="5" a="1"/>
  <c r="K826" i="5" a="1"/>
  <c r="K795" i="5" a="1"/>
  <c r="K781" i="5" a="1"/>
  <c r="K714" i="5" a="1"/>
  <c r="K689" i="5" a="1"/>
  <c r="K677" i="5" a="1"/>
  <c r="K664" i="5" a="1"/>
  <c r="K652" i="5" a="1"/>
  <c r="K617" i="5" a="1"/>
  <c r="K607" i="5" a="1"/>
  <c r="K597" i="5" a="1"/>
  <c r="K587" i="5" a="1"/>
  <c r="K577" i="5" a="1"/>
  <c r="K567" i="5" a="1"/>
  <c r="K557" i="5" a="1"/>
  <c r="K547" i="5" a="1"/>
  <c r="K537" i="5" a="1"/>
  <c r="K527" i="5" a="1"/>
  <c r="K517" i="5" a="1"/>
  <c r="K507" i="5" a="1"/>
  <c r="K497" i="5" a="1"/>
  <c r="K487" i="5" a="1"/>
  <c r="K477" i="5" a="1"/>
  <c r="K467" i="5" a="1"/>
  <c r="K457" i="5" a="1"/>
  <c r="K447" i="5" a="1"/>
  <c r="K437" i="5" a="1"/>
  <c r="K427" i="5" a="1"/>
  <c r="K417" i="5" a="1"/>
  <c r="K407" i="5" a="1"/>
  <c r="K397" i="5" a="1"/>
  <c r="K387" i="5" a="1"/>
  <c r="K377" i="5" a="1"/>
  <c r="K367" i="5" a="1"/>
  <c r="K357" i="5" a="1"/>
  <c r="K347" i="5" a="1"/>
  <c r="K337" i="5" a="1"/>
  <c r="K1967" i="5" a="1"/>
  <c r="K1927" i="5" a="1"/>
  <c r="K1895" i="5" a="1"/>
  <c r="K1861" i="5" a="1"/>
  <c r="K1768" i="5" a="1"/>
  <c r="K1697" i="5" a="1"/>
  <c r="K1670" i="5" a="1"/>
  <c r="K1648" i="5" a="1"/>
  <c r="K1601" i="5" a="1"/>
  <c r="K1576" i="5" a="1"/>
  <c r="K1551" i="5" a="1"/>
  <c r="K1527" i="5" a="1"/>
  <c r="K1456" i="5" a="1"/>
  <c r="K1410" i="5" a="1"/>
  <c r="K1388" i="5" a="1"/>
  <c r="K1321" i="5" a="1"/>
  <c r="K1298" i="5" a="1"/>
  <c r="K1255" i="5" a="1"/>
  <c r="K1230" i="5" a="1"/>
  <c r="K1209" i="5" a="1"/>
  <c r="K1187" i="5" a="1"/>
  <c r="K1165" i="5" a="1"/>
  <c r="K1129" i="5" a="1"/>
  <c r="K1094" i="5" a="1"/>
  <c r="K1079" i="5" a="1"/>
  <c r="K1061" i="5" a="1"/>
  <c r="K1044" i="5" a="1"/>
  <c r="K1011" i="5" a="1"/>
  <c r="K977" i="5" a="1"/>
  <c r="K961" i="5" a="1"/>
  <c r="K943" i="5" a="1"/>
  <c r="K927" i="5" a="1"/>
  <c r="K910" i="5" a="1"/>
  <c r="K893" i="5" a="1"/>
  <c r="K876" i="5" a="1"/>
  <c r="K843" i="5" a="1"/>
  <c r="K825" i="5" a="1"/>
  <c r="K766" i="5" a="1"/>
  <c r="K753" i="5" a="1"/>
  <c r="K740" i="5" a="1"/>
  <c r="K726" i="5" a="1"/>
  <c r="K701" i="5" a="1"/>
  <c r="K676" i="5" a="1"/>
  <c r="K640" i="5" a="1"/>
  <c r="K628" i="5" a="1"/>
  <c r="K1893" i="5" a="1"/>
  <c r="K1860" i="5" a="1"/>
  <c r="K1828" i="5" a="1"/>
  <c r="K1797" i="5" a="1"/>
  <c r="K1745" i="5" a="1"/>
  <c r="K1718" i="5" a="1"/>
  <c r="K1621" i="5" a="1"/>
  <c r="K1478" i="5" a="1"/>
  <c r="K1455" i="5" a="1"/>
  <c r="K1432" i="5" a="1"/>
  <c r="K1408" i="5" a="1"/>
  <c r="K1366" i="5" a="1"/>
  <c r="K1340" i="5" a="1"/>
  <c r="K1320" i="5" a="1"/>
  <c r="K1297" i="5" a="1"/>
  <c r="K1252" i="5" a="1"/>
  <c r="K1208" i="5" a="1"/>
  <c r="K1163" i="5" a="1"/>
  <c r="K1128" i="5" a="1"/>
  <c r="K1078" i="5" a="1"/>
  <c r="K1060" i="5" a="1"/>
  <c r="K1026" i="5" a="1"/>
  <c r="K976" i="5" a="1"/>
  <c r="K942" i="5" a="1"/>
  <c r="K926" i="5" a="1"/>
  <c r="K909" i="5" a="1"/>
  <c r="K859" i="5" a="1"/>
  <c r="K824" i="5" a="1"/>
  <c r="K809" i="5" a="1"/>
  <c r="K780" i="5" a="1"/>
  <c r="K765" i="5" a="1"/>
  <c r="K752" i="5" a="1"/>
  <c r="K739" i="5" a="1"/>
  <c r="K725" i="5" a="1"/>
  <c r="K713" i="5" a="1"/>
  <c r="K688" i="5" a="1"/>
  <c r="K675" i="5" a="1"/>
  <c r="K663" i="5" a="1"/>
  <c r="K651" i="5" a="1"/>
  <c r="K639" i="5" a="1"/>
  <c r="K616" i="5" a="1"/>
  <c r="K606" i="5" a="1"/>
  <c r="K596" i="5" a="1"/>
  <c r="K586" i="5" a="1"/>
  <c r="K576" i="5" a="1"/>
  <c r="K566" i="5" a="1"/>
  <c r="K556" i="5" a="1"/>
  <c r="K546" i="5" a="1"/>
  <c r="K1963" i="5" a="1"/>
  <c r="K1925" i="5" a="1"/>
  <c r="K1890" i="5" a="1"/>
  <c r="K1859" i="5" a="1"/>
  <c r="K1827" i="5" a="1"/>
  <c r="K1696" i="5" a="1"/>
  <c r="K1669" i="5" a="1"/>
  <c r="K1646" i="5" a="1"/>
  <c r="K1620" i="5" a="1"/>
  <c r="K1575" i="5" a="1"/>
  <c r="K1548" i="5" a="1"/>
  <c r="K1499" i="5" a="1"/>
  <c r="K1453" i="5" a="1"/>
  <c r="K1430" i="5" a="1"/>
  <c r="K1387" i="5" a="1"/>
  <c r="K1363" i="5" a="1"/>
  <c r="K1273" i="5" a="1"/>
  <c r="K1251" i="5" a="1"/>
  <c r="K1229" i="5" a="1"/>
  <c r="K1185" i="5" a="1"/>
  <c r="K1143" i="5" a="1"/>
  <c r="K1127" i="5" a="1"/>
  <c r="K1110" i="5" a="1"/>
  <c r="K1093" i="5" a="1"/>
  <c r="K1076" i="5" a="1"/>
  <c r="K1043" i="5" a="1"/>
  <c r="K1025" i="5" a="1"/>
  <c r="K992" i="5" a="1"/>
  <c r="K975" i="5" a="1"/>
  <c r="K959" i="5" a="1"/>
  <c r="K925" i="5" a="1"/>
  <c r="K908" i="5" a="1"/>
  <c r="K874" i="5" a="1"/>
  <c r="K858" i="5" a="1"/>
  <c r="K841" i="5" a="1"/>
  <c r="K808" i="5" a="1"/>
  <c r="K793" i="5" a="1"/>
  <c r="K779" i="5" a="1"/>
  <c r="K712" i="5" a="1"/>
  <c r="K700" i="5" a="1"/>
  <c r="K662" i="5" a="1"/>
  <c r="K627" i="5" a="1"/>
  <c r="K1886" i="5" a="1"/>
  <c r="K1815" i="5" a="1"/>
  <c r="K1755" i="5" a="1"/>
  <c r="K1701" i="5" a="1"/>
  <c r="K1645" i="5" a="1"/>
  <c r="K1589" i="5" a="1"/>
  <c r="K1487" i="5" a="1"/>
  <c r="K1438" i="5" a="1"/>
  <c r="K1395" i="5" a="1"/>
  <c r="K1352" i="5" a="1"/>
  <c r="K1309" i="5" a="1"/>
  <c r="K1119" i="5" a="1"/>
  <c r="K1087" i="5" a="1"/>
  <c r="K1058" i="5" a="1"/>
  <c r="K967" i="5" a="1"/>
  <c r="K903" i="5" a="1"/>
  <c r="K873" i="5" a="1"/>
  <c r="K847" i="5" a="1"/>
  <c r="K814" i="5" a="1"/>
  <c r="K692" i="5" a="1"/>
  <c r="K605" i="5" a="1"/>
  <c r="K589" i="5" a="1"/>
  <c r="K570" i="5" a="1"/>
  <c r="K551" i="5" a="1"/>
  <c r="K969" i="5" a="1"/>
  <c r="K647" i="5" a="1"/>
  <c r="K1816" i="5" a="1"/>
  <c r="K937" i="5" a="1"/>
  <c r="K313" i="5" a="1"/>
  <c r="K143" i="5" a="1"/>
  <c r="K1983" i="5" a="1"/>
  <c r="K1878" i="5" a="1"/>
  <c r="K1751" i="5" a="1"/>
  <c r="K1700" i="5" a="1"/>
  <c r="K1642" i="5" a="1"/>
  <c r="K1588" i="5" a="1"/>
  <c r="K1538" i="5" a="1"/>
  <c r="K1351" i="5" a="1"/>
  <c r="K1266" i="5" a="1"/>
  <c r="K1118" i="5" a="1"/>
  <c r="K1086" i="5" a="1"/>
  <c r="K1024" i="5" a="1"/>
  <c r="K999" i="5" a="1"/>
  <c r="K965" i="5" a="1"/>
  <c r="K844" i="5" a="1"/>
  <c r="K786" i="5" a="1"/>
  <c r="K760" i="5" a="1"/>
  <c r="K734" i="5" a="1"/>
  <c r="K668" i="5" a="1"/>
  <c r="K645" i="5" a="1"/>
  <c r="K623" i="5" a="1"/>
  <c r="K532" i="5" a="1"/>
  <c r="K516" i="5" a="1"/>
  <c r="K500" i="5" a="1"/>
  <c r="K482" i="5" a="1"/>
  <c r="K466" i="5" a="1"/>
  <c r="K450" i="5" a="1"/>
  <c r="K432" i="5" a="1"/>
  <c r="K416" i="5" a="1"/>
  <c r="K400" i="5" a="1"/>
  <c r="K382" i="5" a="1"/>
  <c r="K366" i="5" a="1"/>
  <c r="K350" i="5" a="1"/>
  <c r="K332" i="5" a="1"/>
  <c r="K322" i="5" a="1"/>
  <c r="K312" i="5" a="1"/>
  <c r="K302" i="5" a="1"/>
  <c r="K292" i="5" a="1"/>
  <c r="K282" i="5" a="1"/>
  <c r="K272" i="5" a="1"/>
  <c r="K262" i="5" a="1"/>
  <c r="K252" i="5" a="1"/>
  <c r="K242" i="5" a="1"/>
  <c r="K232" i="5" a="1"/>
  <c r="K222" i="5" a="1"/>
  <c r="K212" i="5" a="1"/>
  <c r="K202" i="5" a="1"/>
  <c r="K192" i="5" a="1"/>
  <c r="K182" i="5" a="1"/>
  <c r="K172" i="5" a="1"/>
  <c r="K162" i="5" a="1"/>
  <c r="K152" i="5" a="1"/>
  <c r="K142" i="5" a="1"/>
  <c r="K132" i="5" a="1"/>
  <c r="K122" i="5" a="1"/>
  <c r="K112" i="5" a="1"/>
  <c r="K102" i="5" a="1"/>
  <c r="K848" i="5" a="1"/>
  <c r="K741" i="5" a="1"/>
  <c r="K552" i="5" a="1"/>
  <c r="K435" i="5" a="1"/>
  <c r="K335" i="5" a="1"/>
  <c r="K1539" i="5" a="1"/>
  <c r="K788" i="5" a="1"/>
  <c r="K469" i="5" a="1"/>
  <c r="K273" i="5" a="1"/>
  <c r="K153" i="5" a="1"/>
  <c r="K1810" i="5" a="1"/>
  <c r="K1750" i="5" a="1"/>
  <c r="K1693" i="5" a="1"/>
  <c r="K1485" i="5" a="1"/>
  <c r="K1429" i="5" a="1"/>
  <c r="K1350" i="5" a="1"/>
  <c r="K1308" i="5" a="1"/>
  <c r="K1221" i="5" a="1"/>
  <c r="K1150" i="5" a="1"/>
  <c r="K1054" i="5" a="1"/>
  <c r="K996" i="5" a="1"/>
  <c r="K933" i="5" a="1"/>
  <c r="K902" i="5" a="1"/>
  <c r="K870" i="5" a="1"/>
  <c r="K840" i="5" a="1"/>
  <c r="K785" i="5" a="1"/>
  <c r="K759" i="5" a="1"/>
  <c r="K711" i="5" a="1"/>
  <c r="K690" i="5" a="1"/>
  <c r="K622" i="5" a="1"/>
  <c r="K585" i="5" a="1"/>
  <c r="K569" i="5" a="1"/>
  <c r="K550" i="5" a="1"/>
  <c r="K515" i="5" a="1"/>
  <c r="K465" i="5" a="1"/>
  <c r="K415" i="5" a="1"/>
  <c r="K365" i="5" a="1"/>
  <c r="K907" i="5" a="1"/>
  <c r="K816" i="5" a="1"/>
  <c r="K609" i="5" a="1"/>
  <c r="K485" i="5" a="1"/>
  <c r="K385" i="5" a="1"/>
  <c r="K1705" i="5" a="1"/>
  <c r="K1000" i="5" a="1"/>
  <c r="K669" i="5" a="1"/>
  <c r="K253" i="5" a="1"/>
  <c r="K163" i="5" a="1"/>
  <c r="K1877" i="5" a="1"/>
  <c r="K1749" i="5" a="1"/>
  <c r="K1691" i="5" a="1"/>
  <c r="K1587" i="5" a="1"/>
  <c r="K1425" i="5" a="1"/>
  <c r="K1386" i="5" a="1"/>
  <c r="K1181" i="5" a="1"/>
  <c r="K1147" i="5" a="1"/>
  <c r="K1117" i="5" a="1"/>
  <c r="K1084" i="5" a="1"/>
  <c r="K1021" i="5" a="1"/>
  <c r="K991" i="5" a="1"/>
  <c r="K964" i="5" a="1"/>
  <c r="K932" i="5" a="1"/>
  <c r="K811" i="5" a="1"/>
  <c r="K733" i="5" a="1"/>
  <c r="K687" i="5" a="1"/>
  <c r="K667" i="5" a="1"/>
  <c r="K644" i="5" a="1"/>
  <c r="K602" i="5" a="1"/>
  <c r="K531" i="5" a="1"/>
  <c r="K499" i="5" a="1"/>
  <c r="K481" i="5" a="1"/>
  <c r="K449" i="5" a="1"/>
  <c r="K431" i="5" a="1"/>
  <c r="K399" i="5" a="1"/>
  <c r="K381" i="5" a="1"/>
  <c r="K349" i="5" a="1"/>
  <c r="K331" i="5" a="1"/>
  <c r="K321" i="5" a="1"/>
  <c r="K311" i="5" a="1"/>
  <c r="K301" i="5" a="1"/>
  <c r="K291" i="5" a="1"/>
  <c r="K281" i="5" a="1"/>
  <c r="K271" i="5" a="1"/>
  <c r="K261" i="5" a="1"/>
  <c r="K251" i="5" a="1"/>
  <c r="K241" i="5" a="1"/>
  <c r="K231" i="5" a="1"/>
  <c r="K221" i="5" a="1"/>
  <c r="K211" i="5" a="1"/>
  <c r="K201" i="5" a="1"/>
  <c r="K191" i="5" a="1"/>
  <c r="K181" i="5" a="1"/>
  <c r="K171" i="5" a="1"/>
  <c r="K161" i="5" a="1"/>
  <c r="K151" i="5" a="1"/>
  <c r="K141" i="5" a="1"/>
  <c r="K131" i="5" a="1"/>
  <c r="K121" i="5" a="1"/>
  <c r="K111" i="5" a="1"/>
  <c r="K101" i="5" a="1"/>
  <c r="K881" i="5" a="1"/>
  <c r="K626" i="5" a="1"/>
  <c r="K761" i="5" a="1"/>
  <c r="K419" i="5" a="1"/>
  <c r="K213" i="5" a="1"/>
  <c r="K1961" i="5" a="1"/>
  <c r="K1875" i="5" a="1"/>
  <c r="K1809" i="5" a="1"/>
  <c r="K1741" i="5" a="1"/>
  <c r="K1635" i="5" a="1"/>
  <c r="K1586" i="5" a="1"/>
  <c r="K1532" i="5" a="1"/>
  <c r="K1421" i="5" a="1"/>
  <c r="K1385" i="5" a="1"/>
  <c r="K1346" i="5" a="1"/>
  <c r="K1306" i="5" a="1"/>
  <c r="K1261" i="5" a="1"/>
  <c r="K1219" i="5" a="1"/>
  <c r="K1178" i="5" a="1"/>
  <c r="K1142" i="5" a="1"/>
  <c r="K1116" i="5" a="1"/>
  <c r="K1083" i="5" a="1"/>
  <c r="K962" i="5" a="1"/>
  <c r="K900" i="5" a="1"/>
  <c r="K868" i="5" a="1"/>
  <c r="K835" i="5" a="1"/>
  <c r="K758" i="5" a="1"/>
  <c r="K732" i="5" a="1"/>
  <c r="K708" i="5" a="1"/>
  <c r="K686" i="5" a="1"/>
  <c r="K621" i="5" a="1"/>
  <c r="K565" i="5" a="1"/>
  <c r="K549" i="5" a="1"/>
  <c r="K1195" i="5" a="1"/>
  <c r="K1947" i="5" a="1"/>
  <c r="K1739" i="5" a="1"/>
  <c r="K1685" i="5" a="1"/>
  <c r="K1633" i="5" a="1"/>
  <c r="K1525" i="5" a="1"/>
  <c r="K1420" i="5" a="1"/>
  <c r="K1339" i="5" a="1"/>
  <c r="K1260" i="5" a="1"/>
  <c r="K1218" i="5" a="1"/>
  <c r="K1051" i="5" a="1"/>
  <c r="K1020" i="5" a="1"/>
  <c r="K899" i="5" a="1"/>
  <c r="K806" i="5" a="1"/>
  <c r="K643" i="5" a="1"/>
  <c r="K601" i="5" a="1"/>
  <c r="K582" i="5" a="1"/>
  <c r="K530" i="5" a="1"/>
  <c r="K512" i="5" a="1"/>
  <c r="K496" i="5" a="1"/>
  <c r="K480" i="5" a="1"/>
  <c r="K462" i="5" a="1"/>
  <c r="K446" i="5" a="1"/>
  <c r="K430" i="5" a="1"/>
  <c r="K412" i="5" a="1"/>
  <c r="K396" i="5" a="1"/>
  <c r="K380" i="5" a="1"/>
  <c r="K362" i="5" a="1"/>
  <c r="K346" i="5" a="1"/>
  <c r="K330" i="5" a="1"/>
  <c r="K320" i="5" a="1"/>
  <c r="K310" i="5" a="1"/>
  <c r="K300" i="5" a="1"/>
  <c r="K290" i="5" a="1"/>
  <c r="K280" i="5" a="1"/>
  <c r="K270" i="5" a="1"/>
  <c r="K260" i="5" a="1"/>
  <c r="K250" i="5" a="1"/>
  <c r="K240" i="5" a="1"/>
  <c r="K230" i="5" a="1"/>
  <c r="K220" i="5" a="1"/>
  <c r="K210" i="5" a="1"/>
  <c r="K200" i="5" a="1"/>
  <c r="K190" i="5" a="1"/>
  <c r="K180" i="5" a="1"/>
  <c r="K170" i="5" a="1"/>
  <c r="K160" i="5" a="1"/>
  <c r="K150" i="5" a="1"/>
  <c r="K140" i="5" a="1"/>
  <c r="K130" i="5" a="1"/>
  <c r="K120" i="5" a="1"/>
  <c r="K110" i="5" a="1"/>
  <c r="K100" i="5" a="1"/>
  <c r="K1152" i="5" a="1"/>
  <c r="K1946" i="5" a="1"/>
  <c r="K1868" i="5" a="1"/>
  <c r="K1733" i="5" a="1"/>
  <c r="K1683" i="5" a="1"/>
  <c r="K1580" i="5" a="1"/>
  <c r="K1523" i="5" a="1"/>
  <c r="K1467" i="5" a="1"/>
  <c r="K1419" i="5" a="1"/>
  <c r="K1176" i="5" a="1"/>
  <c r="K1139" i="5" a="1"/>
  <c r="K1109" i="5" a="1"/>
  <c r="K1082" i="5" a="1"/>
  <c r="K1050" i="5" a="1"/>
  <c r="K987" i="5" a="1"/>
  <c r="K957" i="5" a="1"/>
  <c r="K929" i="5" a="1"/>
  <c r="K898" i="5" a="1"/>
  <c r="K867" i="5" a="1"/>
  <c r="K834" i="5" a="1"/>
  <c r="K803" i="5" a="1"/>
  <c r="K756" i="5" a="1"/>
  <c r="K731" i="5" a="1"/>
  <c r="K707" i="5" a="1"/>
  <c r="K683" i="5" a="1"/>
  <c r="K661" i="5" a="1"/>
  <c r="K641" i="5" a="1"/>
  <c r="K620" i="5" a="1"/>
  <c r="K545" i="5" a="1"/>
  <c r="K495" i="5" a="1"/>
  <c r="K445" i="5" a="1"/>
  <c r="K395" i="5" a="1"/>
  <c r="K345" i="5" a="1"/>
  <c r="K1355" i="5" a="1"/>
  <c r="K1193" i="5" a="1"/>
  <c r="K1795" i="5" a="1"/>
  <c r="K1732" i="5" a="1"/>
  <c r="K1682" i="5" a="1"/>
  <c r="K1632" i="5" a="1"/>
  <c r="K1572" i="5" a="1"/>
  <c r="K1466" i="5" a="1"/>
  <c r="K1377" i="5" a="1"/>
  <c r="K1336" i="5" a="1"/>
  <c r="K1259" i="5" a="1"/>
  <c r="K1175" i="5" a="1"/>
  <c r="K1138" i="5" a="1"/>
  <c r="K1108" i="5" a="1"/>
  <c r="K1080" i="5" a="1"/>
  <c r="K985" i="5" a="1"/>
  <c r="K953" i="5" a="1"/>
  <c r="K897" i="5" a="1"/>
  <c r="K866" i="5" a="1"/>
  <c r="K802" i="5" a="1"/>
  <c r="K778" i="5" a="1"/>
  <c r="K754" i="5" a="1"/>
  <c r="K706" i="5" a="1"/>
  <c r="K682" i="5" a="1"/>
  <c r="K638" i="5" a="1"/>
  <c r="K619" i="5" a="1"/>
  <c r="K600" i="5" a="1"/>
  <c r="K581" i="5" a="1"/>
  <c r="K562" i="5" a="1"/>
  <c r="K529" i="5" a="1"/>
  <c r="K511" i="5" a="1"/>
  <c r="K479" i="5" a="1"/>
  <c r="K461" i="5" a="1"/>
  <c r="K429" i="5" a="1"/>
  <c r="K411" i="5" a="1"/>
  <c r="K379" i="5" a="1"/>
  <c r="K361" i="5" a="1"/>
  <c r="K329" i="5" a="1"/>
  <c r="K319" i="5" a="1"/>
  <c r="K309" i="5" a="1"/>
  <c r="K299" i="5" a="1"/>
  <c r="K289" i="5" a="1"/>
  <c r="K279" i="5" a="1"/>
  <c r="K269" i="5" a="1"/>
  <c r="K259" i="5" a="1"/>
  <c r="K249" i="5" a="1"/>
  <c r="K239" i="5" a="1"/>
  <c r="K229" i="5" a="1"/>
  <c r="K219" i="5" a="1"/>
  <c r="K209" i="5" a="1"/>
  <c r="K199" i="5" a="1"/>
  <c r="K189" i="5" a="1"/>
  <c r="K179" i="5" a="1"/>
  <c r="K169" i="5" a="1"/>
  <c r="K159" i="5" a="1"/>
  <c r="K149" i="5" a="1"/>
  <c r="K139" i="5" a="1"/>
  <c r="K129" i="5" a="1"/>
  <c r="K119" i="5" a="1"/>
  <c r="K109" i="5" a="1"/>
  <c r="K99" i="5" a="1"/>
  <c r="K1595" i="5" a="1"/>
  <c r="K1120" i="5" a="1"/>
  <c r="K1937" i="5" a="1"/>
  <c r="K1857" i="5" a="1"/>
  <c r="K1785" i="5" a="1"/>
  <c r="K1731" i="5" a="1"/>
  <c r="K1681" i="5" a="1"/>
  <c r="K1571" i="5" a="1"/>
  <c r="K1513" i="5" a="1"/>
  <c r="K1418" i="5" a="1"/>
  <c r="K1376" i="5" a="1"/>
  <c r="K1295" i="5" a="1"/>
  <c r="K1257" i="5" a="1"/>
  <c r="K1216" i="5" a="1"/>
  <c r="K1173" i="5" a="1"/>
  <c r="K1048" i="5" a="1"/>
  <c r="K1016" i="5" a="1"/>
  <c r="K923" i="5" a="1"/>
  <c r="K894" i="5" a="1"/>
  <c r="K864" i="5" a="1"/>
  <c r="K751" i="5" a="1"/>
  <c r="K730" i="5" a="1"/>
  <c r="K705" i="5" a="1"/>
  <c r="K658" i="5" a="1"/>
  <c r="K1353" i="5" a="1"/>
  <c r="K1781" i="5" a="1"/>
  <c r="K1730" i="5" a="1"/>
  <c r="K1680" i="5" a="1"/>
  <c r="K1563" i="5" a="1"/>
  <c r="K1465" i="5" a="1"/>
  <c r="K1332" i="5" a="1"/>
  <c r="K1289" i="5" a="1"/>
  <c r="K1249" i="5" a="1"/>
  <c r="K1171" i="5" a="1"/>
  <c r="K1137" i="5" a="1"/>
  <c r="K1104" i="5" a="1"/>
  <c r="K1074" i="5" a="1"/>
  <c r="K1046" i="5" a="1"/>
  <c r="K1015" i="5" a="1"/>
  <c r="K984" i="5" a="1"/>
  <c r="K952" i="5" a="1"/>
  <c r="K920" i="5" a="1"/>
  <c r="K891" i="5" a="1"/>
  <c r="K863" i="5" a="1"/>
  <c r="K832" i="5" a="1"/>
  <c r="K801" i="5" a="1"/>
  <c r="K728" i="5" a="1"/>
  <c r="K681" i="5" a="1"/>
  <c r="K635" i="5" a="1"/>
  <c r="K615" i="5" a="1"/>
  <c r="K599" i="5" a="1"/>
  <c r="K580" i="5" a="1"/>
  <c r="K561" i="5" a="1"/>
  <c r="K542" i="5" a="1"/>
  <c r="K526" i="5" a="1"/>
  <c r="K510" i="5" a="1"/>
  <c r="K492" i="5" a="1"/>
  <c r="K476" i="5" a="1"/>
  <c r="K460" i="5" a="1"/>
  <c r="K442" i="5" a="1"/>
  <c r="K426" i="5" a="1"/>
  <c r="K410" i="5" a="1"/>
  <c r="K392" i="5" a="1"/>
  <c r="K376" i="5" a="1"/>
  <c r="K360" i="5" a="1"/>
  <c r="K342" i="5" a="1"/>
  <c r="K328" i="5" a="1"/>
  <c r="K318" i="5" a="1"/>
  <c r="K308" i="5" a="1"/>
  <c r="K298" i="5" a="1"/>
  <c r="K288" i="5" a="1"/>
  <c r="K278" i="5" a="1"/>
  <c r="K268" i="5" a="1"/>
  <c r="K258" i="5" a="1"/>
  <c r="K248" i="5" a="1"/>
  <c r="K238" i="5" a="1"/>
  <c r="K228" i="5" a="1"/>
  <c r="K218" i="5" a="1"/>
  <c r="K208" i="5" a="1"/>
  <c r="K198" i="5" a="1"/>
  <c r="K188" i="5" a="1"/>
  <c r="K178" i="5" a="1"/>
  <c r="K168" i="5" a="1"/>
  <c r="K158" i="5" a="1"/>
  <c r="K148" i="5" a="1"/>
  <c r="K138" i="5" a="1"/>
  <c r="K128" i="5" a="1"/>
  <c r="K118" i="5" a="1"/>
  <c r="K108" i="5" a="1"/>
  <c r="K98" i="5" a="1"/>
  <c r="K1311" i="5" a="1"/>
  <c r="K1272" i="5" a="1"/>
  <c r="K1780" i="5" a="1"/>
  <c r="K1728" i="5" a="1"/>
  <c r="K1512" i="5" a="1"/>
  <c r="K1461" i="5" a="1"/>
  <c r="K1417" i="5" a="1"/>
  <c r="K1373" i="5" a="1"/>
  <c r="K1330" i="5" a="1"/>
  <c r="K1288" i="5" a="1"/>
  <c r="K1248" i="5" a="1"/>
  <c r="K1211" i="5" a="1"/>
  <c r="K1170" i="5" a="1"/>
  <c r="K1103" i="5" a="1"/>
  <c r="K1071" i="5" a="1"/>
  <c r="K1014" i="5" a="1"/>
  <c r="K919" i="5" a="1"/>
  <c r="K861" i="5" a="1"/>
  <c r="K773" i="5" a="1"/>
  <c r="K748" i="5" a="1"/>
  <c r="K724" i="5" a="1"/>
  <c r="K704" i="5" a="1"/>
  <c r="K657" i="5" a="1"/>
  <c r="K525" i="5" a="1"/>
  <c r="K475" i="5" a="1"/>
  <c r="K425" i="5" a="1"/>
  <c r="K375" i="5" a="1"/>
  <c r="K1398" i="5" a="1"/>
  <c r="K1919" i="5" a="1"/>
  <c r="K1846" i="5" a="1"/>
  <c r="K1613" i="5" a="1"/>
  <c r="K1561" i="5" a="1"/>
  <c r="K1511" i="5" a="1"/>
  <c r="K1460" i="5" a="1"/>
  <c r="K1415" i="5" a="1"/>
  <c r="K1372" i="5" a="1"/>
  <c r="K1329" i="5" a="1"/>
  <c r="K1168" i="5" a="1"/>
  <c r="K1041" i="5" a="1"/>
  <c r="K1012" i="5" a="1"/>
  <c r="K982" i="5" a="1"/>
  <c r="K918" i="5" a="1"/>
  <c r="K886" i="5" a="1"/>
  <c r="K831" i="5" a="1"/>
  <c r="K800" i="5" a="1"/>
  <c r="K772" i="5" a="1"/>
  <c r="K702" i="5" a="1"/>
  <c r="K680" i="5" a="1"/>
  <c r="K656" i="5" a="1"/>
  <c r="K634" i="5" a="1"/>
  <c r="K595" i="5" a="1"/>
  <c r="K579" i="5" a="1"/>
  <c r="K560" i="5" a="1"/>
  <c r="K541" i="5" a="1"/>
  <c r="K509" i="5" a="1"/>
  <c r="K491" i="5" a="1"/>
  <c r="K459" i="5" a="1"/>
  <c r="K441" i="5" a="1"/>
  <c r="K409" i="5" a="1"/>
  <c r="K391" i="5" a="1"/>
  <c r="K359" i="5" a="1"/>
  <c r="K341" i="5" a="1"/>
  <c r="K327" i="5" a="1"/>
  <c r="K317" i="5" a="1"/>
  <c r="K307" i="5" a="1"/>
  <c r="K297" i="5" a="1"/>
  <c r="K287" i="5" a="1"/>
  <c r="K277" i="5" a="1"/>
  <c r="K267" i="5" a="1"/>
  <c r="K257" i="5" a="1"/>
  <c r="K247" i="5" a="1"/>
  <c r="K237" i="5" a="1"/>
  <c r="K227" i="5" a="1"/>
  <c r="K217" i="5" a="1"/>
  <c r="K207" i="5" a="1"/>
  <c r="K197" i="5" a="1"/>
  <c r="K187" i="5" a="1"/>
  <c r="K177" i="5" a="1"/>
  <c r="K167" i="5" a="1"/>
  <c r="K157" i="5" a="1"/>
  <c r="K147" i="5" a="1"/>
  <c r="K137" i="5" a="1"/>
  <c r="K127" i="5" a="1"/>
  <c r="K117" i="5" a="1"/>
  <c r="K107" i="5" a="1"/>
  <c r="K97" i="5" a="1"/>
  <c r="K1491" i="5" a="1"/>
  <c r="K590" i="5" a="1"/>
  <c r="K1655" i="5" a="1"/>
  <c r="K1032" i="5" a="1"/>
  <c r="K815" i="5" a="1"/>
  <c r="K646" i="5" a="1"/>
  <c r="K501" i="5" a="1"/>
  <c r="K323" i="5" a="1"/>
  <c r="K263" i="5" a="1"/>
  <c r="K233" i="5" a="1"/>
  <c r="K193" i="5" a="1"/>
  <c r="K123" i="5" a="1"/>
  <c r="K1910" i="5" a="1"/>
  <c r="K1779" i="5" a="1"/>
  <c r="K1727" i="5" a="1"/>
  <c r="K1668" i="5" a="1"/>
  <c r="K1610" i="5" a="1"/>
  <c r="K1560" i="5" a="1"/>
  <c r="K1510" i="5" a="1"/>
  <c r="K1451" i="5" a="1"/>
  <c r="K1371" i="5" a="1"/>
  <c r="K1287" i="5" a="1"/>
  <c r="K1245" i="5" a="1"/>
  <c r="K1205" i="5" a="1"/>
  <c r="K1133" i="5" a="1"/>
  <c r="K1102" i="5" a="1"/>
  <c r="K1070" i="5" a="1"/>
  <c r="K1009" i="5" a="1"/>
  <c r="K981" i="5" a="1"/>
  <c r="K950" i="5" a="1"/>
  <c r="K856" i="5" a="1"/>
  <c r="K799" i="5" a="1"/>
  <c r="K746" i="5" a="1"/>
  <c r="K721" i="5" a="1"/>
  <c r="K699" i="5" a="1"/>
  <c r="K679" i="5" a="1"/>
  <c r="K612" i="5" a="1"/>
  <c r="K1440" i="5" a="1"/>
  <c r="K670" i="5" a="1"/>
  <c r="K1887" i="5" a="1"/>
  <c r="K906" i="5" a="1"/>
  <c r="K303" i="5" a="1"/>
  <c r="K133" i="5" a="1"/>
  <c r="K1845" i="5" a="1"/>
  <c r="K1778" i="5" a="1"/>
  <c r="K1660" i="5" a="1"/>
  <c r="K1609" i="5" a="1"/>
  <c r="K1509" i="5" a="1"/>
  <c r="K1450" i="5" a="1"/>
  <c r="K1406" i="5" a="1"/>
  <c r="K1327" i="5" a="1"/>
  <c r="K1162" i="5" a="1"/>
  <c r="K1132" i="5" a="1"/>
  <c r="K1036" i="5" a="1"/>
  <c r="K1008" i="5" a="1"/>
  <c r="K979" i="5" a="1"/>
  <c r="K917" i="5" a="1"/>
  <c r="K884" i="5" a="1"/>
  <c r="K823" i="5" a="1"/>
  <c r="K771" i="5" a="1"/>
  <c r="K745" i="5" a="1"/>
  <c r="K655" i="5" a="1"/>
  <c r="K633" i="5" a="1"/>
  <c r="K575" i="5" a="1"/>
  <c r="K559" i="5" a="1"/>
  <c r="K540" i="5" a="1"/>
  <c r="K522" i="5" a="1"/>
  <c r="K506" i="5" a="1"/>
  <c r="K490" i="5" a="1"/>
  <c r="K472" i="5" a="1"/>
  <c r="K456" i="5" a="1"/>
  <c r="K440" i="5" a="1"/>
  <c r="K422" i="5" a="1"/>
  <c r="K406" i="5" a="1"/>
  <c r="K390" i="5" a="1"/>
  <c r="K372" i="5" a="1"/>
  <c r="K356" i="5" a="1"/>
  <c r="K340" i="5" a="1"/>
  <c r="K326" i="5" a="1"/>
  <c r="K316" i="5" a="1"/>
  <c r="K306" i="5" a="1"/>
  <c r="K296" i="5" a="1"/>
  <c r="K286" i="5" a="1"/>
  <c r="K276" i="5" a="1"/>
  <c r="K266" i="5" a="1"/>
  <c r="K256" i="5" a="1"/>
  <c r="K246" i="5" a="1"/>
  <c r="K236" i="5" a="1"/>
  <c r="K226" i="5" a="1"/>
  <c r="K216" i="5" a="1"/>
  <c r="K206" i="5" a="1"/>
  <c r="K196" i="5" a="1"/>
  <c r="K186" i="5" a="1"/>
  <c r="K176" i="5" a="1"/>
  <c r="K166" i="5" a="1"/>
  <c r="K156" i="5" a="1"/>
  <c r="K146" i="5" a="1"/>
  <c r="K136" i="5" a="1"/>
  <c r="K126" i="5" a="1"/>
  <c r="K116" i="5" a="1"/>
  <c r="K106" i="5" a="1"/>
  <c r="K96" i="5" a="1"/>
  <c r="K571" i="5" a="1"/>
  <c r="K738" i="5" a="1"/>
  <c r="K401" i="5" a="1"/>
  <c r="K173" i="5" a="1"/>
  <c r="K1909" i="5" a="1"/>
  <c r="K1659" i="5" a="1"/>
  <c r="K1498" i="5" a="1"/>
  <c r="K1446" i="5" a="1"/>
  <c r="K1402" i="5" a="1"/>
  <c r="K1362" i="5" a="1"/>
  <c r="K1326" i="5" a="1"/>
  <c r="K1283" i="5" a="1"/>
  <c r="K1242" i="5" a="1"/>
  <c r="K1130" i="5" a="1"/>
  <c r="K1100" i="5" a="1"/>
  <c r="K1068" i="5" a="1"/>
  <c r="K1035" i="5" a="1"/>
  <c r="K949" i="5" a="1"/>
  <c r="K916" i="5" a="1"/>
  <c r="K883" i="5" a="1"/>
  <c r="K796" i="5" a="1"/>
  <c r="K720" i="5" a="1"/>
  <c r="K696" i="5" a="1"/>
  <c r="K674" i="5" a="1"/>
  <c r="K632" i="5" a="1"/>
  <c r="K611" i="5" a="1"/>
  <c r="K592" i="5" a="1"/>
  <c r="K505" i="5" a="1"/>
  <c r="K455" i="5" a="1"/>
  <c r="K405" i="5" a="1"/>
  <c r="K355" i="5" a="1"/>
  <c r="K1756" i="5" a="1"/>
  <c r="K693" i="5" a="1"/>
  <c r="K451" i="5" a="1"/>
  <c r="K293" i="5" a="1"/>
  <c r="K203" i="5" a="1"/>
  <c r="K113" i="5" a="1"/>
  <c r="K1839" i="5" a="1"/>
  <c r="K1766" i="5" a="1"/>
  <c r="K1710" i="5" a="1"/>
  <c r="K1607" i="5" a="1"/>
  <c r="K1558" i="5" a="1"/>
  <c r="K1401" i="5" a="1"/>
  <c r="K1361" i="5" a="1"/>
  <c r="K1323" i="5" a="1"/>
  <c r="K1241" i="5" a="1"/>
  <c r="K1198" i="5" a="1"/>
  <c r="K1155" i="5" a="1"/>
  <c r="K1126" i="5" a="1"/>
  <c r="K1099" i="5" a="1"/>
  <c r="K851" i="5" a="1"/>
  <c r="K820" i="5" a="1"/>
  <c r="K792" i="5" a="1"/>
  <c r="K770" i="5" a="1"/>
  <c r="K744" i="5" a="1"/>
  <c r="K719" i="5" a="1"/>
  <c r="K695" i="5" a="1"/>
  <c r="K653" i="5" a="1"/>
  <c r="K555" i="5" a="1"/>
  <c r="K539" i="5" a="1"/>
  <c r="K521" i="5" a="1"/>
  <c r="K489" i="5" a="1"/>
  <c r="K471" i="5" a="1"/>
  <c r="K439" i="5" a="1"/>
  <c r="K421" i="5" a="1"/>
  <c r="K389" i="5" a="1"/>
  <c r="K371" i="5" a="1"/>
  <c r="K339" i="5" a="1"/>
  <c r="K325" i="5" a="1"/>
  <c r="K315" i="5" a="1"/>
  <c r="K305" i="5" a="1"/>
  <c r="K295" i="5" a="1"/>
  <c r="K285" i="5" a="1"/>
  <c r="K275" i="5" a="1"/>
  <c r="K265" i="5" a="1"/>
  <c r="K255" i="5" a="1"/>
  <c r="K245" i="5" a="1"/>
  <c r="K235" i="5" a="1"/>
  <c r="K225" i="5" a="1"/>
  <c r="K215" i="5" a="1"/>
  <c r="K205" i="5" a="1"/>
  <c r="K195" i="5" a="1"/>
  <c r="K185" i="5" a="1"/>
  <c r="K175" i="5" a="1"/>
  <c r="K165" i="5" a="1"/>
  <c r="K155" i="5" a="1"/>
  <c r="K145" i="5" a="1"/>
  <c r="K135" i="5" a="1"/>
  <c r="K125" i="5" a="1"/>
  <c r="K115" i="5" a="1"/>
  <c r="K105" i="5" a="1"/>
  <c r="K535" i="5" a="1"/>
  <c r="K1488" i="5" a="1"/>
  <c r="K369" i="5" a="1"/>
  <c r="K223" i="5" a="1"/>
  <c r="K1905" i="5" a="1"/>
  <c r="K1657" i="5" a="1"/>
  <c r="K1493" i="5" a="1"/>
  <c r="K1445" i="5" a="1"/>
  <c r="K1281" i="5" a="1"/>
  <c r="K1240" i="5" a="1"/>
  <c r="K1125" i="5" a="1"/>
  <c r="K1096" i="5" a="1"/>
  <c r="K1067" i="5" a="1"/>
  <c r="K1034" i="5" a="1"/>
  <c r="K1002" i="5" a="1"/>
  <c r="K941" i="5" a="1"/>
  <c r="K914" i="5" a="1"/>
  <c r="K882" i="5" a="1"/>
  <c r="K850" i="5" a="1"/>
  <c r="K768" i="5" a="1"/>
  <c r="K671" i="5" a="1"/>
  <c r="K650" i="5" a="1"/>
  <c r="K631" i="5" a="1"/>
  <c r="K610" i="5" a="1"/>
  <c r="K591" i="5" a="1"/>
  <c r="K572" i="5" a="1"/>
  <c r="K1826" i="5" a="1"/>
  <c r="K1088" i="5" a="1"/>
  <c r="K1759" i="5" a="1"/>
  <c r="K1656" i="5" a="1"/>
  <c r="K1606" i="5" a="1"/>
  <c r="K1546" i="5" a="1"/>
  <c r="K1492" i="5" a="1"/>
  <c r="K1442" i="5" a="1"/>
  <c r="K1278" i="5" a="1"/>
  <c r="K1238" i="5" a="1"/>
  <c r="K1153" i="5" a="1"/>
  <c r="K1066" i="5" a="1"/>
  <c r="K1001" i="5" a="1"/>
  <c r="K789" i="5" a="1"/>
  <c r="K764" i="5" a="1"/>
  <c r="K743" i="5" a="1"/>
  <c r="K718" i="5" a="1"/>
  <c r="K694" i="5" a="1"/>
  <c r="K649" i="5" a="1"/>
  <c r="K629" i="5" a="1"/>
  <c r="K536" i="5" a="1"/>
  <c r="K520" i="5" a="1"/>
  <c r="K502" i="5" a="1"/>
  <c r="K486" i="5" a="1"/>
  <c r="K470" i="5" a="1"/>
  <c r="K452" i="5" a="1"/>
  <c r="K436" i="5" a="1"/>
  <c r="K420" i="5" a="1"/>
  <c r="K402" i="5" a="1"/>
  <c r="K386" i="5" a="1"/>
  <c r="K370" i="5" a="1"/>
  <c r="K352" i="5" a="1"/>
  <c r="K336" i="5" a="1"/>
  <c r="K324" i="5" a="1"/>
  <c r="K314" i="5" a="1"/>
  <c r="K304" i="5" a="1"/>
  <c r="K294" i="5" a="1"/>
  <c r="K284" i="5" a="1"/>
  <c r="K274" i="5" a="1"/>
  <c r="K264" i="5" a="1"/>
  <c r="K254" i="5" a="1"/>
  <c r="K244" i="5" a="1"/>
  <c r="K234" i="5" a="1"/>
  <c r="K224" i="5" a="1"/>
  <c r="K214" i="5" a="1"/>
  <c r="K204" i="5" a="1"/>
  <c r="K194" i="5" a="1"/>
  <c r="K184" i="5" a="1"/>
  <c r="K174" i="5" a="1"/>
  <c r="K164" i="5" a="1"/>
  <c r="K154" i="5" a="1"/>
  <c r="K144" i="5" a="1"/>
  <c r="K134" i="5" a="1"/>
  <c r="K124" i="5" a="1"/>
  <c r="K114" i="5" a="1"/>
  <c r="K104" i="5" a="1"/>
  <c r="K1899" i="5" a="1"/>
  <c r="K1593" i="5" a="1"/>
  <c r="K1059" i="5" a="1"/>
  <c r="K879" i="5" a="1"/>
  <c r="K717" i="5" a="1"/>
  <c r="K519" i="5" a="1"/>
  <c r="K351" i="5" a="1"/>
  <c r="K283" i="5" a="1"/>
  <c r="K243" i="5" a="1"/>
  <c r="K183" i="5" a="1"/>
  <c r="K103" i="5" a="1"/>
  <c r="L2004" i="5" a="1"/>
  <c r="L1994" i="5" a="1"/>
  <c r="L1984" i="5" a="1"/>
  <c r="L1974" i="5" a="1"/>
  <c r="L1964" i="5" a="1"/>
  <c r="L1954" i="5" a="1"/>
  <c r="L1944" i="5" a="1"/>
  <c r="L1934" i="5" a="1"/>
  <c r="L1924" i="5" a="1"/>
  <c r="L1914" i="5" a="1"/>
  <c r="L1904" i="5" a="1"/>
  <c r="L1894" i="5" a="1"/>
  <c r="L1884" i="5" a="1"/>
  <c r="L1874" i="5" a="1"/>
  <c r="L1864" i="5" a="1"/>
  <c r="L1854" i="5" a="1"/>
  <c r="L1844" i="5" a="1"/>
  <c r="L1834" i="5" a="1"/>
  <c r="L1824" i="5" a="1"/>
  <c r="L1814" i="5" a="1"/>
  <c r="L1804" i="5" a="1"/>
  <c r="L1794" i="5" a="1"/>
  <c r="L1784" i="5" a="1"/>
  <c r="L1774" i="5" a="1"/>
  <c r="L1764" i="5" a="1"/>
  <c r="L1754" i="5" a="1"/>
  <c r="L2003" i="5" a="1"/>
  <c r="L1993" i="5" a="1"/>
  <c r="L1983" i="5" a="1"/>
  <c r="L1973" i="5" a="1"/>
  <c r="L1963" i="5" a="1"/>
  <c r="L1953" i="5" a="1"/>
  <c r="L1943" i="5" a="1"/>
  <c r="L1933" i="5" a="1"/>
  <c r="L1923" i="5" a="1"/>
  <c r="L1913" i="5" a="1"/>
  <c r="L1903" i="5" a="1"/>
  <c r="L1893" i="5" a="1"/>
  <c r="L1883" i="5" a="1"/>
  <c r="L1873" i="5" a="1"/>
  <c r="L1863" i="5" a="1"/>
  <c r="L1853" i="5" a="1"/>
  <c r="L1843" i="5" a="1"/>
  <c r="L1833" i="5" a="1"/>
  <c r="L1823" i="5" a="1"/>
  <c r="L1813" i="5" a="1"/>
  <c r="L1803" i="5" a="1"/>
  <c r="L1793" i="5" a="1"/>
  <c r="L1783" i="5" a="1"/>
  <c r="L1773" i="5" a="1"/>
  <c r="L1763" i="5" a="1"/>
  <c r="L1753" i="5" a="1"/>
  <c r="L1743" i="5" a="1"/>
  <c r="L1733" i="5" a="1"/>
  <c r="L1723" i="5" a="1"/>
  <c r="L1713" i="5" a="1"/>
  <c r="L1703" i="5" a="1"/>
  <c r="L1693" i="5" a="1"/>
  <c r="L1683" i="5" a="1"/>
  <c r="L1673" i="5" a="1"/>
  <c r="L1663" i="5" a="1"/>
  <c r="L1653" i="5" a="1"/>
  <c r="L1643" i="5" a="1"/>
  <c r="L1633" i="5" a="1"/>
  <c r="L1623" i="5" a="1"/>
  <c r="L1613" i="5" a="1"/>
  <c r="L1603" i="5" a="1"/>
  <c r="L1593" i="5" a="1"/>
  <c r="L1583" i="5" a="1"/>
  <c r="L1573" i="5" a="1"/>
  <c r="L1563" i="5" a="1"/>
  <c r="L1553" i="5" a="1"/>
  <c r="L1543" i="5" a="1"/>
  <c r="L1533" i="5" a="1"/>
  <c r="L1523" i="5" a="1"/>
  <c r="L1513" i="5" a="1"/>
  <c r="L1503" i="5" a="1"/>
  <c r="L1493" i="5" a="1"/>
  <c r="L1483" i="5" a="1"/>
  <c r="L1473" i="5" a="1"/>
  <c r="L1463" i="5" a="1"/>
  <c r="L1453" i="5" a="1"/>
  <c r="L1443" i="5" a="1"/>
  <c r="L1433" i="5" a="1"/>
  <c r="L1423" i="5" a="1"/>
  <c r="L1413" i="5" a="1"/>
  <c r="L1403" i="5" a="1"/>
  <c r="L1393" i="5" a="1"/>
  <c r="L1383" i="5" a="1"/>
  <c r="L1373" i="5" a="1"/>
  <c r="L1363" i="5" a="1"/>
  <c r="L1353" i="5" a="1"/>
  <c r="L1343" i="5" a="1"/>
  <c r="L1333" i="5" a="1"/>
  <c r="L1323" i="5" a="1"/>
  <c r="L1313" i="5" a="1"/>
  <c r="L1303" i="5" a="1"/>
  <c r="L1293" i="5" a="1"/>
  <c r="L1283" i="5" a="1"/>
  <c r="L1273" i="5" a="1"/>
  <c r="L1263" i="5" a="1"/>
  <c r="L1253" i="5" a="1"/>
  <c r="L1243" i="5" a="1"/>
  <c r="L1233" i="5" a="1"/>
  <c r="L1223" i="5" a="1"/>
  <c r="L1213" i="5" a="1"/>
  <c r="L1203" i="5" a="1"/>
  <c r="L1193" i="5" a="1"/>
  <c r="L1183" i="5" a="1"/>
  <c r="L1173" i="5" a="1"/>
  <c r="L2002" i="5" a="1"/>
  <c r="L1992" i="5" a="1"/>
  <c r="L1982" i="5" a="1"/>
  <c r="L1972" i="5" a="1"/>
  <c r="L1962" i="5" a="1"/>
  <c r="L1952" i="5" a="1"/>
  <c r="L1942" i="5" a="1"/>
  <c r="L1932" i="5" a="1"/>
  <c r="L1922" i="5" a="1"/>
  <c r="L1912" i="5" a="1"/>
  <c r="L1902" i="5" a="1"/>
  <c r="L1892" i="5" a="1"/>
  <c r="L1882" i="5" a="1"/>
  <c r="L1872" i="5" a="1"/>
  <c r="L1862" i="5" a="1"/>
  <c r="L1852" i="5" a="1"/>
  <c r="L1842" i="5" a="1"/>
  <c r="L1832" i="5" a="1"/>
  <c r="L1822" i="5" a="1"/>
  <c r="L1812" i="5" a="1"/>
  <c r="L1802" i="5" a="1"/>
  <c r="L1792" i="5" a="1"/>
  <c r="L1782" i="5" a="1"/>
  <c r="L1772" i="5" a="1"/>
  <c r="L1762" i="5" a="1"/>
  <c r="L1752" i="5" a="1"/>
  <c r="L1742" i="5" a="1"/>
  <c r="L1732" i="5" a="1"/>
  <c r="L1722" i="5" a="1"/>
  <c r="L1712" i="5" a="1"/>
  <c r="L1702" i="5" a="1"/>
  <c r="L1692" i="5" a="1"/>
  <c r="L1682" i="5" a="1"/>
  <c r="L1672" i="5" a="1"/>
  <c r="L1662" i="5" a="1"/>
  <c r="L1652" i="5" a="1"/>
  <c r="L1642" i="5" a="1"/>
  <c r="L1632" i="5" a="1"/>
  <c r="L1622" i="5" a="1"/>
  <c r="L1612" i="5" a="1"/>
  <c r="L1602" i="5" a="1"/>
  <c r="L1592" i="5" a="1"/>
  <c r="L1582" i="5" a="1"/>
  <c r="L1572" i="5" a="1"/>
  <c r="L1562" i="5" a="1"/>
  <c r="L1552" i="5" a="1"/>
  <c r="L1542" i="5" a="1"/>
  <c r="L1532" i="5" a="1"/>
  <c r="L1522" i="5" a="1"/>
  <c r="L1512" i="5" a="1"/>
  <c r="L1502" i="5" a="1"/>
  <c r="L1492" i="5" a="1"/>
  <c r="L1482" i="5" a="1"/>
  <c r="L1472" i="5" a="1"/>
  <c r="L1462" i="5" a="1"/>
  <c r="L1452" i="5" a="1"/>
  <c r="L1442" i="5" a="1"/>
  <c r="L1432" i="5" a="1"/>
  <c r="L1422" i="5" a="1"/>
  <c r="L1412" i="5" a="1"/>
  <c r="L1402" i="5" a="1"/>
  <c r="L1392" i="5" a="1"/>
  <c r="L1382" i="5" a="1"/>
  <c r="L1372" i="5" a="1"/>
  <c r="L1362" i="5" a="1"/>
  <c r="L1352" i="5" a="1"/>
  <c r="L1342" i="5" a="1"/>
  <c r="L1332" i="5" a="1"/>
  <c r="L1322" i="5" a="1"/>
  <c r="L1312" i="5" a="1"/>
  <c r="L1302" i="5" a="1"/>
  <c r="L1292" i="5" a="1"/>
  <c r="L1282" i="5" a="1"/>
  <c r="L1272" i="5" a="1"/>
  <c r="L1262" i="5" a="1"/>
  <c r="L1252" i="5" a="1"/>
  <c r="L1242" i="5" a="1"/>
  <c r="L1232" i="5" a="1"/>
  <c r="L1222" i="5" a="1"/>
  <c r="L1212" i="5" a="1"/>
  <c r="L1202" i="5" a="1"/>
  <c r="L1192" i="5" a="1"/>
  <c r="L1182" i="5" a="1"/>
  <c r="L1172" i="5" a="1"/>
  <c r="L2001" i="5" a="1"/>
  <c r="L1991" i="5" a="1"/>
  <c r="L1981" i="5" a="1"/>
  <c r="L1971" i="5" a="1"/>
  <c r="L1961" i="5" a="1"/>
  <c r="L1951" i="5" a="1"/>
  <c r="L1941" i="5" a="1"/>
  <c r="L1931" i="5" a="1"/>
  <c r="L1921" i="5" a="1"/>
  <c r="L1911" i="5" a="1"/>
  <c r="L1901" i="5" a="1"/>
  <c r="L1891" i="5" a="1"/>
  <c r="L1881" i="5" a="1"/>
  <c r="L1871" i="5" a="1"/>
  <c r="L1861" i="5" a="1"/>
  <c r="L1851" i="5" a="1"/>
  <c r="L1841" i="5" a="1"/>
  <c r="L1831" i="5" a="1"/>
  <c r="L1821" i="5" a="1"/>
  <c r="L1811" i="5" a="1"/>
  <c r="L1801" i="5" a="1"/>
  <c r="L1791" i="5" a="1"/>
  <c r="L1781" i="5" a="1"/>
  <c r="L1771" i="5" a="1"/>
  <c r="L1761" i="5" a="1"/>
  <c r="L1751" i="5" a="1"/>
  <c r="L1741" i="5" a="1"/>
  <c r="L1731" i="5" a="1"/>
  <c r="L1721" i="5" a="1"/>
  <c r="L1711" i="5" a="1"/>
  <c r="L1701" i="5" a="1"/>
  <c r="L1691" i="5" a="1"/>
  <c r="L1681" i="5" a="1"/>
  <c r="L1671" i="5" a="1"/>
  <c r="L1661" i="5" a="1"/>
  <c r="L1651" i="5" a="1"/>
  <c r="L1641" i="5" a="1"/>
  <c r="L1631" i="5" a="1"/>
  <c r="L1621" i="5" a="1"/>
  <c r="L1611" i="5" a="1"/>
  <c r="L1601" i="5" a="1"/>
  <c r="L1591" i="5" a="1"/>
  <c r="L1581" i="5" a="1"/>
  <c r="L1571" i="5" a="1"/>
  <c r="L1561" i="5" a="1"/>
  <c r="L1551" i="5" a="1"/>
  <c r="L1541" i="5" a="1"/>
  <c r="L1531" i="5" a="1"/>
  <c r="L1521" i="5" a="1"/>
  <c r="L1511" i="5" a="1"/>
  <c r="L1501" i="5" a="1"/>
  <c r="L1491" i="5" a="1"/>
  <c r="L1481" i="5" a="1"/>
  <c r="L1471" i="5" a="1"/>
  <c r="L1461" i="5" a="1"/>
  <c r="L1451" i="5" a="1"/>
  <c r="L1441" i="5" a="1"/>
  <c r="L1431" i="5" a="1"/>
  <c r="L1421" i="5" a="1"/>
  <c r="L1411" i="5" a="1"/>
  <c r="L1401" i="5" a="1"/>
  <c r="L1391" i="5" a="1"/>
  <c r="L1381" i="5" a="1"/>
  <c r="L1371" i="5" a="1"/>
  <c r="L1361" i="5" a="1"/>
  <c r="L1351" i="5" a="1"/>
  <c r="L1341" i="5" a="1"/>
  <c r="L1331" i="5" a="1"/>
  <c r="L1321" i="5" a="1"/>
  <c r="L1311" i="5" a="1"/>
  <c r="L1301" i="5" a="1"/>
  <c r="L1291" i="5" a="1"/>
  <c r="L1281" i="5" a="1"/>
  <c r="L1271" i="5" a="1"/>
  <c r="L1261" i="5" a="1"/>
  <c r="L1251" i="5" a="1"/>
  <c r="L1241" i="5" a="1"/>
  <c r="L1231" i="5" a="1"/>
  <c r="L1221" i="5" a="1"/>
  <c r="L1211" i="5" a="1"/>
  <c r="L1201" i="5" a="1"/>
  <c r="L1191" i="5" a="1"/>
  <c r="L1181" i="5" a="1"/>
  <c r="L1171" i="5" a="1"/>
  <c r="L1161" i="5" a="1"/>
  <c r="L2000" i="5" a="1"/>
  <c r="L1990" i="5" a="1"/>
  <c r="L1980" i="5" a="1"/>
  <c r="L1970" i="5" a="1"/>
  <c r="L1960" i="5" a="1"/>
  <c r="L1950" i="5" a="1"/>
  <c r="L1940" i="5" a="1"/>
  <c r="L1930" i="5" a="1"/>
  <c r="L1920" i="5" a="1"/>
  <c r="L1910" i="5" a="1"/>
  <c r="L1900" i="5" a="1"/>
  <c r="L1890" i="5" a="1"/>
  <c r="L1880" i="5" a="1"/>
  <c r="L1870" i="5" a="1"/>
  <c r="L1860" i="5" a="1"/>
  <c r="L1850" i="5" a="1"/>
  <c r="L1840" i="5" a="1"/>
  <c r="L1830" i="5" a="1"/>
  <c r="L1820" i="5" a="1"/>
  <c r="L1810" i="5" a="1"/>
  <c r="L1800" i="5" a="1"/>
  <c r="L1790" i="5" a="1"/>
  <c r="L1780" i="5" a="1"/>
  <c r="L1770" i="5" a="1"/>
  <c r="L1760" i="5" a="1"/>
  <c r="L1750" i="5" a="1"/>
  <c r="L1740" i="5" a="1"/>
  <c r="L1730" i="5" a="1"/>
  <c r="L1720" i="5" a="1"/>
  <c r="L1710" i="5" a="1"/>
  <c r="L1700" i="5" a="1"/>
  <c r="L1690" i="5" a="1"/>
  <c r="L1680" i="5" a="1"/>
  <c r="L1670" i="5" a="1"/>
  <c r="L1660" i="5" a="1"/>
  <c r="L1650" i="5" a="1"/>
  <c r="L1640" i="5" a="1"/>
  <c r="L1630" i="5" a="1"/>
  <c r="L1620" i="5" a="1"/>
  <c r="L1610" i="5" a="1"/>
  <c r="L1600" i="5" a="1"/>
  <c r="L1590" i="5" a="1"/>
  <c r="L1580" i="5" a="1"/>
  <c r="L1570" i="5" a="1"/>
  <c r="L1560" i="5" a="1"/>
  <c r="L1550" i="5" a="1"/>
  <c r="L1540" i="5" a="1"/>
  <c r="L1530" i="5" a="1"/>
  <c r="L1520" i="5" a="1"/>
  <c r="L1510" i="5" a="1"/>
  <c r="L1500" i="5" a="1"/>
  <c r="L1490" i="5" a="1"/>
  <c r="L1480" i="5" a="1"/>
  <c r="L1470" i="5" a="1"/>
  <c r="L1460" i="5" a="1"/>
  <c r="L1450" i="5" a="1"/>
  <c r="L1440" i="5" a="1"/>
  <c r="L1430" i="5" a="1"/>
  <c r="L1420" i="5" a="1"/>
  <c r="L1410" i="5" a="1"/>
  <c r="L1400" i="5" a="1"/>
  <c r="L1390" i="5" a="1"/>
  <c r="L1380" i="5" a="1"/>
  <c r="L1370" i="5" a="1"/>
  <c r="L1360" i="5" a="1"/>
  <c r="L1350" i="5" a="1"/>
  <c r="L1340" i="5" a="1"/>
  <c r="L1330" i="5" a="1"/>
  <c r="L1320" i="5" a="1"/>
  <c r="L1310" i="5" a="1"/>
  <c r="L1300" i="5" a="1"/>
  <c r="L1290" i="5" a="1"/>
  <c r="L1280" i="5" a="1"/>
  <c r="L1270" i="5" a="1"/>
  <c r="L1260" i="5" a="1"/>
  <c r="L1250" i="5" a="1"/>
  <c r="L1240" i="5" a="1"/>
  <c r="L1230" i="5" a="1"/>
  <c r="L1220" i="5" a="1"/>
  <c r="L1210" i="5" a="1"/>
  <c r="L1999" i="5" a="1"/>
  <c r="L1989" i="5" a="1"/>
  <c r="L1979" i="5" a="1"/>
  <c r="L1969" i="5" a="1"/>
  <c r="L1959" i="5" a="1"/>
  <c r="L1949" i="5" a="1"/>
  <c r="L1939" i="5" a="1"/>
  <c r="L1929" i="5" a="1"/>
  <c r="L1919" i="5" a="1"/>
  <c r="L1909" i="5" a="1"/>
  <c r="L1899" i="5" a="1"/>
  <c r="L1889" i="5" a="1"/>
  <c r="L1879" i="5" a="1"/>
  <c r="L1869" i="5" a="1"/>
  <c r="L1859" i="5" a="1"/>
  <c r="L1849" i="5" a="1"/>
  <c r="L1839" i="5" a="1"/>
  <c r="L1829" i="5" a="1"/>
  <c r="L1819" i="5" a="1"/>
  <c r="L1809" i="5" a="1"/>
  <c r="L1799" i="5" a="1"/>
  <c r="L1789" i="5" a="1"/>
  <c r="L1779" i="5" a="1"/>
  <c r="L1769" i="5" a="1"/>
  <c r="L1759" i="5" a="1"/>
  <c r="L1749" i="5" a="1"/>
  <c r="L1739" i="5" a="1"/>
  <c r="L1729" i="5" a="1"/>
  <c r="L1719" i="5" a="1"/>
  <c r="L1709" i="5" a="1"/>
  <c r="L1699" i="5" a="1"/>
  <c r="L1689" i="5" a="1"/>
  <c r="L1679" i="5" a="1"/>
  <c r="L1669" i="5" a="1"/>
  <c r="L1659" i="5" a="1"/>
  <c r="L1649" i="5" a="1"/>
  <c r="L1639" i="5" a="1"/>
  <c r="L1629" i="5" a="1"/>
  <c r="L1619" i="5" a="1"/>
  <c r="L1609" i="5" a="1"/>
  <c r="L1599" i="5" a="1"/>
  <c r="L1589" i="5" a="1"/>
  <c r="L1579" i="5" a="1"/>
  <c r="L1569" i="5" a="1"/>
  <c r="L1559" i="5" a="1"/>
  <c r="L1549" i="5" a="1"/>
  <c r="L1539" i="5" a="1"/>
  <c r="L1529" i="5" a="1"/>
  <c r="L1519" i="5" a="1"/>
  <c r="L1509" i="5" a="1"/>
  <c r="L1499" i="5" a="1"/>
  <c r="L1489" i="5" a="1"/>
  <c r="L1479" i="5" a="1"/>
  <c r="L1469" i="5" a="1"/>
  <c r="L1459" i="5" a="1"/>
  <c r="L1449" i="5" a="1"/>
  <c r="L1439" i="5" a="1"/>
  <c r="L1429" i="5" a="1"/>
  <c r="L1419" i="5" a="1"/>
  <c r="L1409" i="5" a="1"/>
  <c r="L1399" i="5" a="1"/>
  <c r="L1389" i="5" a="1"/>
  <c r="L1379" i="5" a="1"/>
  <c r="L1369" i="5" a="1"/>
  <c r="L1359" i="5" a="1"/>
  <c r="L1349" i="5" a="1"/>
  <c r="L1339" i="5" a="1"/>
  <c r="L1329" i="5" a="1"/>
  <c r="L1319" i="5" a="1"/>
  <c r="L1309" i="5" a="1"/>
  <c r="L1299" i="5" a="1"/>
  <c r="L1289" i="5" a="1"/>
  <c r="L1279" i="5" a="1"/>
  <c r="L1269" i="5" a="1"/>
  <c r="L1259" i="5" a="1"/>
  <c r="L1249" i="5" a="1"/>
  <c r="L1239" i="5" a="1"/>
  <c r="L1229" i="5" a="1"/>
  <c r="L1219" i="5" a="1"/>
  <c r="L1209" i="5" a="1"/>
  <c r="L1199" i="5" a="1"/>
  <c r="L1189" i="5" a="1"/>
  <c r="L1179" i="5" a="1"/>
  <c r="L1169" i="5" a="1"/>
  <c r="L1998" i="5" a="1"/>
  <c r="L1988" i="5" a="1"/>
  <c r="L1978" i="5" a="1"/>
  <c r="L1968" i="5" a="1"/>
  <c r="L1958" i="5" a="1"/>
  <c r="L1948" i="5" a="1"/>
  <c r="L1938" i="5" a="1"/>
  <c r="L1928" i="5" a="1"/>
  <c r="L1918" i="5" a="1"/>
  <c r="L1908" i="5" a="1"/>
  <c r="L1898" i="5" a="1"/>
  <c r="L1888" i="5" a="1"/>
  <c r="L1878" i="5" a="1"/>
  <c r="L1868" i="5" a="1"/>
  <c r="L1858" i="5" a="1"/>
  <c r="L1848" i="5" a="1"/>
  <c r="L1838" i="5" a="1"/>
  <c r="L1828" i="5" a="1"/>
  <c r="L1818" i="5" a="1"/>
  <c r="L1808" i="5" a="1"/>
  <c r="L1798" i="5" a="1"/>
  <c r="L1788" i="5" a="1"/>
  <c r="L1778" i="5" a="1"/>
  <c r="L1768" i="5" a="1"/>
  <c r="L1758" i="5" a="1"/>
  <c r="L1748" i="5" a="1"/>
  <c r="L1738" i="5" a="1"/>
  <c r="L1728" i="5" a="1"/>
  <c r="L1718" i="5" a="1"/>
  <c r="L1708" i="5" a="1"/>
  <c r="L1698" i="5" a="1"/>
  <c r="L1688" i="5" a="1"/>
  <c r="L1678" i="5" a="1"/>
  <c r="L1668" i="5" a="1"/>
  <c r="L1658" i="5" a="1"/>
  <c r="L1648" i="5" a="1"/>
  <c r="L1638" i="5" a="1"/>
  <c r="L1628" i="5" a="1"/>
  <c r="L1618" i="5" a="1"/>
  <c r="L1608" i="5" a="1"/>
  <c r="L1598" i="5" a="1"/>
  <c r="L1588" i="5" a="1"/>
  <c r="L1578" i="5" a="1"/>
  <c r="L1568" i="5" a="1"/>
  <c r="L1558" i="5" a="1"/>
  <c r="L1548" i="5" a="1"/>
  <c r="L1538" i="5" a="1"/>
  <c r="L1528" i="5" a="1"/>
  <c r="L1518" i="5" a="1"/>
  <c r="L1508" i="5" a="1"/>
  <c r="L1498" i="5" a="1"/>
  <c r="L1488" i="5" a="1"/>
  <c r="L1478" i="5" a="1"/>
  <c r="L1468" i="5" a="1"/>
  <c r="L1458" i="5" a="1"/>
  <c r="L1448" i="5" a="1"/>
  <c r="L1438" i="5" a="1"/>
  <c r="L1428" i="5" a="1"/>
  <c r="L1418" i="5" a="1"/>
  <c r="L1408" i="5" a="1"/>
  <c r="L1398" i="5" a="1"/>
  <c r="L1388" i="5" a="1"/>
  <c r="L1378" i="5" a="1"/>
  <c r="L1368" i="5" a="1"/>
  <c r="L1358" i="5" a="1"/>
  <c r="L1348" i="5" a="1"/>
  <c r="L1338" i="5" a="1"/>
  <c r="L1328" i="5" a="1"/>
  <c r="L1318" i="5" a="1"/>
  <c r="L1308" i="5" a="1"/>
  <c r="L1298" i="5" a="1"/>
  <c r="L1288" i="5" a="1"/>
  <c r="L1278" i="5" a="1"/>
  <c r="L1268" i="5" a="1"/>
  <c r="L1258" i="5" a="1"/>
  <c r="L1248" i="5" a="1"/>
  <c r="L1238" i="5" a="1"/>
  <c r="L1228" i="5" a="1"/>
  <c r="L1218" i="5" a="1"/>
  <c r="L1208" i="5" a="1"/>
  <c r="L1198" i="5" a="1"/>
  <c r="L1188" i="5" a="1"/>
  <c r="L1178" i="5" a="1"/>
  <c r="L1168" i="5" a="1"/>
  <c r="L1997" i="5" a="1"/>
  <c r="L1987" i="5" a="1"/>
  <c r="L1977" i="5" a="1"/>
  <c r="L1967" i="5" a="1"/>
  <c r="L1957" i="5" a="1"/>
  <c r="L1947" i="5" a="1"/>
  <c r="L1937" i="5" a="1"/>
  <c r="L1927" i="5" a="1"/>
  <c r="L1917" i="5" a="1"/>
  <c r="L1907" i="5" a="1"/>
  <c r="L1897" i="5" a="1"/>
  <c r="L1887" i="5" a="1"/>
  <c r="L1877" i="5" a="1"/>
  <c r="L1995" i="5" a="1"/>
  <c r="L1985" i="5" a="1"/>
  <c r="L1975" i="5" a="1"/>
  <c r="L1965" i="5" a="1"/>
  <c r="L1955" i="5" a="1"/>
  <c r="L1945" i="5" a="1"/>
  <c r="L1935" i="5" a="1"/>
  <c r="L1925" i="5" a="1"/>
  <c r="L1915" i="5" a="1"/>
  <c r="L1905" i="5" a="1"/>
  <c r="L1895" i="5" a="1"/>
  <c r="L1885" i="5" a="1"/>
  <c r="L1875" i="5" a="1"/>
  <c r="L1865" i="5" a="1"/>
  <c r="L1855" i="5" a="1"/>
  <c r="L1845" i="5" a="1"/>
  <c r="L1835" i="5" a="1"/>
  <c r="L1825" i="5" a="1"/>
  <c r="L1815" i="5" a="1"/>
  <c r="L1805" i="5" a="1"/>
  <c r="L1795" i="5" a="1"/>
  <c r="L1785" i="5" a="1"/>
  <c r="L1775" i="5" a="1"/>
  <c r="L1765" i="5" a="1"/>
  <c r="L1755" i="5" a="1"/>
  <c r="L1745" i="5" a="1"/>
  <c r="L1735" i="5" a="1"/>
  <c r="L1725" i="5" a="1"/>
  <c r="L1715" i="5" a="1"/>
  <c r="L1705" i="5" a="1"/>
  <c r="L1695" i="5" a="1"/>
  <c r="L1685" i="5" a="1"/>
  <c r="L1675" i="5" a="1"/>
  <c r="L1665" i="5" a="1"/>
  <c r="L1655" i="5" a="1"/>
  <c r="L1645" i="5" a="1"/>
  <c r="L1635" i="5" a="1"/>
  <c r="L1625" i="5" a="1"/>
  <c r="L1615" i="5" a="1"/>
  <c r="L1605" i="5" a="1"/>
  <c r="L1595" i="5" a="1"/>
  <c r="L1585" i="5" a="1"/>
  <c r="L1575" i="5" a="1"/>
  <c r="L1565" i="5" a="1"/>
  <c r="L1555" i="5" a="1"/>
  <c r="L1545" i="5" a="1"/>
  <c r="L1535" i="5" a="1"/>
  <c r="L1525" i="5" a="1"/>
  <c r="L1515" i="5" a="1"/>
  <c r="L1505" i="5" a="1"/>
  <c r="L1495" i="5" a="1"/>
  <c r="L1485" i="5" a="1"/>
  <c r="L1475" i="5" a="1"/>
  <c r="L1465" i="5" a="1"/>
  <c r="L1455" i="5" a="1"/>
  <c r="L1445" i="5" a="1"/>
  <c r="L1435" i="5" a="1"/>
  <c r="L1425" i="5" a="1"/>
  <c r="L1415" i="5" a="1"/>
  <c r="L1405" i="5" a="1"/>
  <c r="L1395" i="5" a="1"/>
  <c r="L1385" i="5" a="1"/>
  <c r="L1375" i="5" a="1"/>
  <c r="L1365" i="5" a="1"/>
  <c r="L1355" i="5" a="1"/>
  <c r="L1345" i="5" a="1"/>
  <c r="L1335" i="5" a="1"/>
  <c r="L1325" i="5" a="1"/>
  <c r="L1315" i="5" a="1"/>
  <c r="L1305" i="5" a="1"/>
  <c r="L1295" i="5" a="1"/>
  <c r="L1285" i="5" a="1"/>
  <c r="L1275" i="5" a="1"/>
  <c r="L1265" i="5" a="1"/>
  <c r="L1255" i="5" a="1"/>
  <c r="L1245" i="5" a="1"/>
  <c r="L1235" i="5" a="1"/>
  <c r="L1225" i="5" a="1"/>
  <c r="L1215" i="5" a="1"/>
  <c r="L1205" i="5" a="1"/>
  <c r="L1195" i="5" a="1"/>
  <c r="L1185" i="5" a="1"/>
  <c r="L1175" i="5" a="1"/>
  <c r="L1165" i="5" a="1"/>
  <c r="L1996" i="5" a="1"/>
  <c r="L1896" i="5" a="1"/>
  <c r="L1756" i="5" a="1"/>
  <c r="L1664" i="5" a="1"/>
  <c r="L1624" i="5" a="1"/>
  <c r="L1584" i="5" a="1"/>
  <c r="L1544" i="5" a="1"/>
  <c r="L1504" i="5" a="1"/>
  <c r="L1464" i="5" a="1"/>
  <c r="L1424" i="5" a="1"/>
  <c r="L1384" i="5" a="1"/>
  <c r="L1344" i="5" a="1"/>
  <c r="L1304" i="5" a="1"/>
  <c r="L1264" i="5" a="1"/>
  <c r="L1224" i="5" a="1"/>
  <c r="L1186" i="5" a="1"/>
  <c r="L1157" i="5" a="1"/>
  <c r="L1147" i="5" a="1"/>
  <c r="L1137" i="5" a="1"/>
  <c r="L1127" i="5" a="1"/>
  <c r="L1117" i="5" a="1"/>
  <c r="L1986" i="5" a="1"/>
  <c r="L1886" i="5" a="1"/>
  <c r="L1816" i="5" a="1"/>
  <c r="L1747" i="5" a="1"/>
  <c r="L1697" i="5" a="1"/>
  <c r="L1184" i="5" a="1"/>
  <c r="L1156" i="5" a="1"/>
  <c r="L1146" i="5" a="1"/>
  <c r="L1136" i="5" a="1"/>
  <c r="L1126" i="5" a="1"/>
  <c r="L1116" i="5" a="1"/>
  <c r="L1106" i="5" a="1"/>
  <c r="L1096" i="5" a="1"/>
  <c r="L1086" i="5" a="1"/>
  <c r="L1076" i="5" a="1"/>
  <c r="L1066" i="5" a="1"/>
  <c r="L1056" i="5" a="1"/>
  <c r="L1046" i="5" a="1"/>
  <c r="L1036" i="5" a="1"/>
  <c r="L1026" i="5" a="1"/>
  <c r="L1746" i="5" a="1"/>
  <c r="L1696" i="5" a="1"/>
  <c r="L1656" i="5" a="1"/>
  <c r="L1616" i="5" a="1"/>
  <c r="L1576" i="5" a="1"/>
  <c r="L1536" i="5" a="1"/>
  <c r="L1496" i="5" a="1"/>
  <c r="L1456" i="5" a="1"/>
  <c r="L1416" i="5" a="1"/>
  <c r="L1376" i="5" a="1"/>
  <c r="L1336" i="5" a="1"/>
  <c r="L1296" i="5" a="1"/>
  <c r="L1256" i="5" a="1"/>
  <c r="L1216" i="5" a="1"/>
  <c r="L1180" i="5" a="1"/>
  <c r="L1976" i="5" a="1"/>
  <c r="L1876" i="5" a="1"/>
  <c r="L1807" i="5" a="1"/>
  <c r="L1177" i="5" a="1"/>
  <c r="L1155" i="5" a="1"/>
  <c r="L1145" i="5" a="1"/>
  <c r="L1135" i="5" a="1"/>
  <c r="L1125" i="5" a="1"/>
  <c r="L1115" i="5" a="1"/>
  <c r="L1105" i="5" a="1"/>
  <c r="L1095" i="5" a="1"/>
  <c r="L1085" i="5" a="1"/>
  <c r="L1075" i="5" a="1"/>
  <c r="L1065" i="5" a="1"/>
  <c r="L1055" i="5" a="1"/>
  <c r="L1045" i="5" a="1"/>
  <c r="L1035" i="5" a="1"/>
  <c r="L1025" i="5" a="1"/>
  <c r="L1015" i="5" a="1"/>
  <c r="L1005" i="5" a="1"/>
  <c r="L995" i="5" a="1"/>
  <c r="L985" i="5" a="1"/>
  <c r="L975" i="5" a="1"/>
  <c r="L965" i="5" a="1"/>
  <c r="L955" i="5" a="1"/>
  <c r="L945" i="5" a="1"/>
  <c r="L935" i="5" a="1"/>
  <c r="L925" i="5" a="1"/>
  <c r="L915" i="5" a="1"/>
  <c r="L905" i="5" a="1"/>
  <c r="L895" i="5" a="1"/>
  <c r="L885" i="5" a="1"/>
  <c r="L875" i="5" a="1"/>
  <c r="L865" i="5" a="1"/>
  <c r="L855" i="5" a="1"/>
  <c r="L845" i="5" a="1"/>
  <c r="L835" i="5" a="1"/>
  <c r="L825" i="5" a="1"/>
  <c r="L815" i="5" a="1"/>
  <c r="L805" i="5" a="1"/>
  <c r="L795" i="5" a="1"/>
  <c r="L785" i="5" a="1"/>
  <c r="L775" i="5" a="1"/>
  <c r="L765" i="5" a="1"/>
  <c r="L755" i="5" a="1"/>
  <c r="L745" i="5" a="1"/>
  <c r="L735" i="5" a="1"/>
  <c r="L725" i="5" a="1"/>
  <c r="L715" i="5" a="1"/>
  <c r="L705" i="5" a="1"/>
  <c r="L695" i="5" a="1"/>
  <c r="L685" i="5" a="1"/>
  <c r="L675" i="5" a="1"/>
  <c r="L665" i="5" a="1"/>
  <c r="L655" i="5" a="1"/>
  <c r="L645" i="5" a="1"/>
  <c r="L635" i="5" a="1"/>
  <c r="L625" i="5" a="1"/>
  <c r="L615" i="5" a="1"/>
  <c r="L605" i="5" a="1"/>
  <c r="L595" i="5" a="1"/>
  <c r="L585" i="5" a="1"/>
  <c r="L575" i="5" a="1"/>
  <c r="L565" i="5" a="1"/>
  <c r="L555" i="5" a="1"/>
  <c r="L545" i="5" a="1"/>
  <c r="L535" i="5" a="1"/>
  <c r="L525" i="5" a="1"/>
  <c r="L515" i="5" a="1"/>
  <c r="L505" i="5" a="1"/>
  <c r="L495" i="5" a="1"/>
  <c r="L485" i="5" a="1"/>
  <c r="L475" i="5" a="1"/>
  <c r="L1806" i="5" a="1"/>
  <c r="L1744" i="5" a="1"/>
  <c r="L1694" i="5" a="1"/>
  <c r="L1654" i="5" a="1"/>
  <c r="L1614" i="5" a="1"/>
  <c r="L1574" i="5" a="1"/>
  <c r="L1534" i="5" a="1"/>
  <c r="L1494" i="5" a="1"/>
  <c r="L1454" i="5" a="1"/>
  <c r="L1414" i="5" a="1"/>
  <c r="L1374" i="5" a="1"/>
  <c r="L1334" i="5" a="1"/>
  <c r="L1294" i="5" a="1"/>
  <c r="L1254" i="5" a="1"/>
  <c r="L1214" i="5" a="1"/>
  <c r="L1966" i="5" a="1"/>
  <c r="L1867" i="5" a="1"/>
  <c r="L1737" i="5" a="1"/>
  <c r="L1687" i="5" a="1"/>
  <c r="L1647" i="5" a="1"/>
  <c r="L1607" i="5" a="1"/>
  <c r="L1567" i="5" a="1"/>
  <c r="L1527" i="5" a="1"/>
  <c r="L1487" i="5" a="1"/>
  <c r="L1447" i="5" a="1"/>
  <c r="L1407" i="5" a="1"/>
  <c r="L1367" i="5" a="1"/>
  <c r="L1327" i="5" a="1"/>
  <c r="L1287" i="5" a="1"/>
  <c r="L1247" i="5" a="1"/>
  <c r="L1207" i="5" a="1"/>
  <c r="L1176" i="5" a="1"/>
  <c r="L1154" i="5" a="1"/>
  <c r="L1144" i="5" a="1"/>
  <c r="L1134" i="5" a="1"/>
  <c r="L1124" i="5" a="1"/>
  <c r="L1114" i="5" a="1"/>
  <c r="L1104" i="5" a="1"/>
  <c r="L1094" i="5" a="1"/>
  <c r="L1084" i="5" a="1"/>
  <c r="L1074" i="5" a="1"/>
  <c r="L1064" i="5" a="1"/>
  <c r="L1054" i="5" a="1"/>
  <c r="L1044" i="5" a="1"/>
  <c r="L1034" i="5" a="1"/>
  <c r="L1024" i="5" a="1"/>
  <c r="L1866" i="5" a="1"/>
  <c r="L1797" i="5" a="1"/>
  <c r="L1736" i="5" a="1"/>
  <c r="L1956" i="5" a="1"/>
  <c r="L1796" i="5" a="1"/>
  <c r="L1686" i="5" a="1"/>
  <c r="L1646" i="5" a="1"/>
  <c r="L1606" i="5" a="1"/>
  <c r="L1566" i="5" a="1"/>
  <c r="L1526" i="5" a="1"/>
  <c r="L1486" i="5" a="1"/>
  <c r="L1446" i="5" a="1"/>
  <c r="L1406" i="5" a="1"/>
  <c r="L1366" i="5" a="1"/>
  <c r="L1326" i="5" a="1"/>
  <c r="L1286" i="5" a="1"/>
  <c r="L1246" i="5" a="1"/>
  <c r="L1206" i="5" a="1"/>
  <c r="L1174" i="5" a="1"/>
  <c r="L1153" i="5" a="1"/>
  <c r="L1143" i="5" a="1"/>
  <c r="L1133" i="5" a="1"/>
  <c r="L1123" i="5" a="1"/>
  <c r="L1113" i="5" a="1"/>
  <c r="L1103" i="5" a="1"/>
  <c r="L1093" i="5" a="1"/>
  <c r="L1083" i="5" a="1"/>
  <c r="L1073" i="5" a="1"/>
  <c r="L1063" i="5" a="1"/>
  <c r="L1053" i="5" a="1"/>
  <c r="L1043" i="5" a="1"/>
  <c r="L1033" i="5" a="1"/>
  <c r="L1023" i="5" a="1"/>
  <c r="L1013" i="5" a="1"/>
  <c r="L1003" i="5" a="1"/>
  <c r="L993" i="5" a="1"/>
  <c r="L983" i="5" a="1"/>
  <c r="L973" i="5" a="1"/>
  <c r="L963" i="5" a="1"/>
  <c r="L953" i="5" a="1"/>
  <c r="L943" i="5" a="1"/>
  <c r="L933" i="5" a="1"/>
  <c r="L923" i="5" a="1"/>
  <c r="L913" i="5" a="1"/>
  <c r="L903" i="5" a="1"/>
  <c r="L893" i="5" a="1"/>
  <c r="L883" i="5" a="1"/>
  <c r="L873" i="5" a="1"/>
  <c r="L863" i="5" a="1"/>
  <c r="L853" i="5" a="1"/>
  <c r="L843" i="5" a="1"/>
  <c r="L833" i="5" a="1"/>
  <c r="L823" i="5" a="1"/>
  <c r="L813" i="5" a="1"/>
  <c r="L803" i="5" a="1"/>
  <c r="L793" i="5" a="1"/>
  <c r="L783" i="5" a="1"/>
  <c r="L773" i="5" a="1"/>
  <c r="L763" i="5" a="1"/>
  <c r="L753" i="5" a="1"/>
  <c r="L743" i="5" a="1"/>
  <c r="L733" i="5" a="1"/>
  <c r="L723" i="5" a="1"/>
  <c r="L713" i="5" a="1"/>
  <c r="L703" i="5" a="1"/>
  <c r="L693" i="5" a="1"/>
  <c r="L683" i="5" a="1"/>
  <c r="L673" i="5" a="1"/>
  <c r="L663" i="5" a="1"/>
  <c r="L653" i="5" a="1"/>
  <c r="L643" i="5" a="1"/>
  <c r="L633" i="5" a="1"/>
  <c r="L623" i="5" a="1"/>
  <c r="L613" i="5" a="1"/>
  <c r="L603" i="5" a="1"/>
  <c r="L593" i="5" a="1"/>
  <c r="L583" i="5" a="1"/>
  <c r="L573" i="5" a="1"/>
  <c r="L563" i="5" a="1"/>
  <c r="L553" i="5" a="1"/>
  <c r="L543" i="5" a="1"/>
  <c r="L533" i="5" a="1"/>
  <c r="L523" i="5" a="1"/>
  <c r="L513" i="5" a="1"/>
  <c r="L503" i="5" a="1"/>
  <c r="L493" i="5" a="1"/>
  <c r="L483" i="5" a="1"/>
  <c r="L473" i="5" a="1"/>
  <c r="L1857" i="5" a="1"/>
  <c r="L1734" i="5" a="1"/>
  <c r="L1170" i="5" a="1"/>
  <c r="L1946" i="5" a="1"/>
  <c r="L1856" i="5" a="1"/>
  <c r="L1787" i="5" a="1"/>
  <c r="L1727" i="5" a="1"/>
  <c r="L1684" i="5" a="1"/>
  <c r="L1644" i="5" a="1"/>
  <c r="L1604" i="5" a="1"/>
  <c r="L1564" i="5" a="1"/>
  <c r="L1524" i="5" a="1"/>
  <c r="L1484" i="5" a="1"/>
  <c r="L1444" i="5" a="1"/>
  <c r="L1404" i="5" a="1"/>
  <c r="L1364" i="5" a="1"/>
  <c r="L1324" i="5" a="1"/>
  <c r="L1284" i="5" a="1"/>
  <c r="L1244" i="5" a="1"/>
  <c r="L1204" i="5" a="1"/>
  <c r="L1167" i="5" a="1"/>
  <c r="L1152" i="5" a="1"/>
  <c r="L1142" i="5" a="1"/>
  <c r="L1132" i="5" a="1"/>
  <c r="L1122" i="5" a="1"/>
  <c r="L1112" i="5" a="1"/>
  <c r="L1102" i="5" a="1"/>
  <c r="L1092" i="5" a="1"/>
  <c r="L1786" i="5" a="1"/>
  <c r="L1726" i="5" a="1"/>
  <c r="L1677" i="5" a="1"/>
  <c r="L1637" i="5" a="1"/>
  <c r="L1597" i="5" a="1"/>
  <c r="L1557" i="5" a="1"/>
  <c r="L1517" i="5" a="1"/>
  <c r="L1477" i="5" a="1"/>
  <c r="L1437" i="5" a="1"/>
  <c r="L1397" i="5" a="1"/>
  <c r="L1357" i="5" a="1"/>
  <c r="L1317" i="5" a="1"/>
  <c r="L1277" i="5" a="1"/>
  <c r="L1237" i="5" a="1"/>
  <c r="L1200" i="5" a="1"/>
  <c r="L1936" i="5" a="1"/>
  <c r="L1847" i="5" a="1"/>
  <c r="L1197" i="5" a="1"/>
  <c r="L1166" i="5" a="1"/>
  <c r="L1151" i="5" a="1"/>
  <c r="L1141" i="5" a="1"/>
  <c r="L1131" i="5" a="1"/>
  <c r="L1121" i="5" a="1"/>
  <c r="L1111" i="5" a="1"/>
  <c r="L1846" i="5" a="1"/>
  <c r="L1777" i="5" a="1"/>
  <c r="L1724" i="5" a="1"/>
  <c r="L1676" i="5" a="1"/>
  <c r="L1636" i="5" a="1"/>
  <c r="L1596" i="5" a="1"/>
  <c r="L1556" i="5" a="1"/>
  <c r="L1516" i="5" a="1"/>
  <c r="L1476" i="5" a="1"/>
  <c r="L1436" i="5" a="1"/>
  <c r="L1396" i="5" a="1"/>
  <c r="L1356" i="5" a="1"/>
  <c r="L1316" i="5" a="1"/>
  <c r="L1276" i="5" a="1"/>
  <c r="L1236" i="5" a="1"/>
  <c r="L1926" i="5" a="1"/>
  <c r="L1776" i="5" a="1"/>
  <c r="L1717" i="5" a="1"/>
  <c r="L1196" i="5" a="1"/>
  <c r="L1164" i="5" a="1"/>
  <c r="L1150" i="5" a="1"/>
  <c r="L1140" i="5" a="1"/>
  <c r="L1130" i="5" a="1"/>
  <c r="L1120" i="5" a="1"/>
  <c r="L1110" i="5" a="1"/>
  <c r="L1100" i="5" a="1"/>
  <c r="L1090" i="5" a="1"/>
  <c r="L1080" i="5" a="1"/>
  <c r="L1070" i="5" a="1"/>
  <c r="L1060" i="5" a="1"/>
  <c r="L1050" i="5" a="1"/>
  <c r="L1040" i="5" a="1"/>
  <c r="L1030" i="5" a="1"/>
  <c r="L1020" i="5" a="1"/>
  <c r="L1010" i="5" a="1"/>
  <c r="L1000" i="5" a="1"/>
  <c r="L990" i="5" a="1"/>
  <c r="L980" i="5" a="1"/>
  <c r="L970" i="5" a="1"/>
  <c r="L960" i="5" a="1"/>
  <c r="L950" i="5" a="1"/>
  <c r="L940" i="5" a="1"/>
  <c r="L930" i="5" a="1"/>
  <c r="L920" i="5" a="1"/>
  <c r="L910" i="5" a="1"/>
  <c r="L900" i="5" a="1"/>
  <c r="L890" i="5" a="1"/>
  <c r="L880" i="5" a="1"/>
  <c r="L870" i="5" a="1"/>
  <c r="L860" i="5" a="1"/>
  <c r="L850" i="5" a="1"/>
  <c r="L840" i="5" a="1"/>
  <c r="L830" i="5" a="1"/>
  <c r="L820" i="5" a="1"/>
  <c r="L810" i="5" a="1"/>
  <c r="L800" i="5" a="1"/>
  <c r="L790" i="5" a="1"/>
  <c r="L780" i="5" a="1"/>
  <c r="L770" i="5" a="1"/>
  <c r="L760" i="5" a="1"/>
  <c r="L750" i="5" a="1"/>
  <c r="L740" i="5" a="1"/>
  <c r="L730" i="5" a="1"/>
  <c r="L720" i="5" a="1"/>
  <c r="L710" i="5" a="1"/>
  <c r="L700" i="5" a="1"/>
  <c r="L690" i="5" a="1"/>
  <c r="L680" i="5" a="1"/>
  <c r="L670" i="5" a="1"/>
  <c r="L660" i="5" a="1"/>
  <c r="L650" i="5" a="1"/>
  <c r="L640" i="5" a="1"/>
  <c r="L630" i="5" a="1"/>
  <c r="L620" i="5" a="1"/>
  <c r="L610" i="5" a="1"/>
  <c r="L600" i="5" a="1"/>
  <c r="L590" i="5" a="1"/>
  <c r="L580" i="5" a="1"/>
  <c r="L570" i="5" a="1"/>
  <c r="L1586" i="5" a="1"/>
  <c r="L1457" i="5" a="1"/>
  <c r="L1307" i="5" a="1"/>
  <c r="L1187" i="5" a="1"/>
  <c r="L1101" i="5" a="1"/>
  <c r="L1014" i="5" a="1"/>
  <c r="L922" i="5" a="1"/>
  <c r="L906" i="5" a="1"/>
  <c r="L887" i="5" a="1"/>
  <c r="L868" i="5" a="1"/>
  <c r="L849" i="5" a="1"/>
  <c r="L834" i="5" a="1"/>
  <c r="L817" i="5" a="1"/>
  <c r="L799" i="5" a="1"/>
  <c r="L784" i="5" a="1"/>
  <c r="L767" i="5" a="1"/>
  <c r="L749" i="5" a="1"/>
  <c r="L734" i="5" a="1"/>
  <c r="L717" i="5" a="1"/>
  <c r="L699" i="5" a="1"/>
  <c r="L684" i="5" a="1"/>
  <c r="L667" i="5" a="1"/>
  <c r="L649" i="5" a="1"/>
  <c r="L634" i="5" a="1"/>
  <c r="L617" i="5" a="1"/>
  <c r="L599" i="5" a="1"/>
  <c r="L584" i="5" a="1"/>
  <c r="L567" i="5" a="1"/>
  <c r="L550" i="5" a="1"/>
  <c r="L506" i="5" a="1"/>
  <c r="L489" i="5" a="1"/>
  <c r="L786" i="5" a="1"/>
  <c r="L636" i="5" a="1"/>
  <c r="L1714" i="5" a="1"/>
  <c r="L1434" i="5" a="1"/>
  <c r="L1078" i="5" a="1"/>
  <c r="L1057" i="5" a="1"/>
  <c r="L1032" i="5" a="1"/>
  <c r="L1012" i="5" a="1"/>
  <c r="L996" i="5" a="1"/>
  <c r="L977" i="5" a="1"/>
  <c r="L958" i="5" a="1"/>
  <c r="L939" i="5" a="1"/>
  <c r="L921" i="5" a="1"/>
  <c r="L904" i="5" a="1"/>
  <c r="L832" i="5" a="1"/>
  <c r="L782" i="5" a="1"/>
  <c r="L732" i="5" a="1"/>
  <c r="L682" i="5" a="1"/>
  <c r="L632" i="5" a="1"/>
  <c r="L582" i="5" a="1"/>
  <c r="L536" i="5" a="1"/>
  <c r="L519" i="5" a="1"/>
  <c r="L474" i="5" a="1"/>
  <c r="L463" i="5" a="1"/>
  <c r="L453" i="5" a="1"/>
  <c r="L443" i="5" a="1"/>
  <c r="L433" i="5" a="1"/>
  <c r="L423" i="5" a="1"/>
  <c r="L413" i="5" a="1"/>
  <c r="L403" i="5" a="1"/>
  <c r="L393" i="5" a="1"/>
  <c r="L383" i="5" a="1"/>
  <c r="L373" i="5" a="1"/>
  <c r="L363" i="5" a="1"/>
  <c r="L353" i="5" a="1"/>
  <c r="L343" i="5" a="1"/>
  <c r="L333" i="5" a="1"/>
  <c r="L323" i="5" a="1"/>
  <c r="L313" i="5" a="1"/>
  <c r="L303" i="5" a="1"/>
  <c r="L293" i="5" a="1"/>
  <c r="L283" i="5" a="1"/>
  <c r="L273" i="5" a="1"/>
  <c r="L263" i="5" a="1"/>
  <c r="L253" i="5" a="1"/>
  <c r="L243" i="5" a="1"/>
  <c r="L233" i="5" a="1"/>
  <c r="L223" i="5" a="1"/>
  <c r="L213" i="5" a="1"/>
  <c r="L203" i="5" a="1"/>
  <c r="L193" i="5" a="1"/>
  <c r="L183" i="5" a="1"/>
  <c r="L173" i="5" a="1"/>
  <c r="L163" i="5" a="1"/>
  <c r="L153" i="5" a="1"/>
  <c r="L143" i="5" a="1"/>
  <c r="L133" i="5" a="1"/>
  <c r="L123" i="5" a="1"/>
  <c r="L113" i="5" a="1"/>
  <c r="L103" i="5" a="1"/>
  <c r="L907" i="5" a="1"/>
  <c r="L768" i="5" a="1"/>
  <c r="L686" i="5" a="1"/>
  <c r="L586" i="5" a="1"/>
  <c r="L490" i="5" a="1"/>
  <c r="L1916" i="5" a="1"/>
  <c r="L1707" i="5" a="1"/>
  <c r="L1577" i="5" a="1"/>
  <c r="L1427" i="5" a="1"/>
  <c r="L1306" i="5" a="1"/>
  <c r="L1129" i="5" a="1"/>
  <c r="L1099" i="5" a="1"/>
  <c r="L1031" i="5" a="1"/>
  <c r="L1011" i="5" a="1"/>
  <c r="L994" i="5" a="1"/>
  <c r="L902" i="5" a="1"/>
  <c r="L886" i="5" a="1"/>
  <c r="L867" i="5" a="1"/>
  <c r="L848" i="5" a="1"/>
  <c r="L831" i="5" a="1"/>
  <c r="L816" i="5" a="1"/>
  <c r="L798" i="5" a="1"/>
  <c r="L781" i="5" a="1"/>
  <c r="L766" i="5" a="1"/>
  <c r="L748" i="5" a="1"/>
  <c r="L731" i="5" a="1"/>
  <c r="L716" i="5" a="1"/>
  <c r="L698" i="5" a="1"/>
  <c r="L681" i="5" a="1"/>
  <c r="L666" i="5" a="1"/>
  <c r="L648" i="5" a="1"/>
  <c r="L631" i="5" a="1"/>
  <c r="L616" i="5" a="1"/>
  <c r="L598" i="5" a="1"/>
  <c r="L581" i="5" a="1"/>
  <c r="L566" i="5" a="1"/>
  <c r="L549" i="5" a="1"/>
  <c r="L504" i="5" a="1"/>
  <c r="L488" i="5" a="1"/>
  <c r="L869" i="5" a="1"/>
  <c r="L521" i="5" a="1"/>
  <c r="L1706" i="5" a="1"/>
  <c r="L1554" i="5" a="1"/>
  <c r="L1163" i="5" a="1"/>
  <c r="L1077" i="5" a="1"/>
  <c r="L1052" i="5" a="1"/>
  <c r="L992" i="5" a="1"/>
  <c r="L976" i="5" a="1"/>
  <c r="L957" i="5" a="1"/>
  <c r="L938" i="5" a="1"/>
  <c r="L919" i="5" a="1"/>
  <c r="L901" i="5" a="1"/>
  <c r="L884" i="5" a="1"/>
  <c r="L534" i="5" a="1"/>
  <c r="L518" i="5" a="1"/>
  <c r="L502" i="5" a="1"/>
  <c r="L462" i="5" a="1"/>
  <c r="L452" i="5" a="1"/>
  <c r="L442" i="5" a="1"/>
  <c r="L432" i="5" a="1"/>
  <c r="L422" i="5" a="1"/>
  <c r="L412" i="5" a="1"/>
  <c r="L402" i="5" a="1"/>
  <c r="L392" i="5" a="1"/>
  <c r="L382" i="5" a="1"/>
  <c r="L372" i="5" a="1"/>
  <c r="L362" i="5" a="1"/>
  <c r="L352" i="5" a="1"/>
  <c r="L342" i="5" a="1"/>
  <c r="L332" i="5" a="1"/>
  <c r="L322" i="5" a="1"/>
  <c r="L312" i="5" a="1"/>
  <c r="L302" i="5" a="1"/>
  <c r="L292" i="5" a="1"/>
  <c r="L282" i="5" a="1"/>
  <c r="L272" i="5" a="1"/>
  <c r="L262" i="5" a="1"/>
  <c r="L252" i="5" a="1"/>
  <c r="L242" i="5" a="1"/>
  <c r="L232" i="5" a="1"/>
  <c r="L222" i="5" a="1"/>
  <c r="L212" i="5" a="1"/>
  <c r="L202" i="5" a="1"/>
  <c r="L192" i="5" a="1"/>
  <c r="L182" i="5" a="1"/>
  <c r="L172" i="5" a="1"/>
  <c r="L162" i="5" a="1"/>
  <c r="L152" i="5" a="1"/>
  <c r="L142" i="5" a="1"/>
  <c r="L132" i="5" a="1"/>
  <c r="L122" i="5" a="1"/>
  <c r="L112" i="5" a="1"/>
  <c r="L102" i="5" a="1"/>
  <c r="L718" i="5" a="1"/>
  <c r="L1906" i="5" a="1"/>
  <c r="L1704" i="5" a="1"/>
  <c r="L1547" i="5" a="1"/>
  <c r="L1426" i="5" a="1"/>
  <c r="L1297" i="5" a="1"/>
  <c r="L1162" i="5" a="1"/>
  <c r="L1128" i="5" a="1"/>
  <c r="L1098" i="5" a="1"/>
  <c r="L1051" i="5" a="1"/>
  <c r="L1029" i="5" a="1"/>
  <c r="L1009" i="5" a="1"/>
  <c r="L991" i="5" a="1"/>
  <c r="L974" i="5" a="1"/>
  <c r="L882" i="5" a="1"/>
  <c r="L866" i="5" a="1"/>
  <c r="L847" i="5" a="1"/>
  <c r="L829" i="5" a="1"/>
  <c r="L814" i="5" a="1"/>
  <c r="L797" i="5" a="1"/>
  <c r="L779" i="5" a="1"/>
  <c r="L764" i="5" a="1"/>
  <c r="L747" i="5" a="1"/>
  <c r="L729" i="5" a="1"/>
  <c r="L714" i="5" a="1"/>
  <c r="L697" i="5" a="1"/>
  <c r="L679" i="5" a="1"/>
  <c r="L664" i="5" a="1"/>
  <c r="L647" i="5" a="1"/>
  <c r="L629" i="5" a="1"/>
  <c r="L614" i="5" a="1"/>
  <c r="L597" i="5" a="1"/>
  <c r="L579" i="5" a="1"/>
  <c r="L564" i="5" a="1"/>
  <c r="L548" i="5" a="1"/>
  <c r="L532" i="5" a="1"/>
  <c r="L501" i="5" a="1"/>
  <c r="L487" i="5" a="1"/>
  <c r="L472" i="5" a="1"/>
  <c r="L926" i="5" a="1"/>
  <c r="L1674" i="5" a="1"/>
  <c r="L1274" i="5" a="1"/>
  <c r="L1160" i="5" a="1"/>
  <c r="L1072" i="5" a="1"/>
  <c r="L972" i="5" a="1"/>
  <c r="L956" i="5" a="1"/>
  <c r="L937" i="5" a="1"/>
  <c r="L918" i="5" a="1"/>
  <c r="L899" i="5" a="1"/>
  <c r="L881" i="5" a="1"/>
  <c r="L864" i="5" a="1"/>
  <c r="L812" i="5" a="1"/>
  <c r="L762" i="5" a="1"/>
  <c r="L712" i="5" a="1"/>
  <c r="L662" i="5" a="1"/>
  <c r="L612" i="5" a="1"/>
  <c r="L562" i="5" a="1"/>
  <c r="L531" i="5" a="1"/>
  <c r="L517" i="5" a="1"/>
  <c r="L500" i="5" a="1"/>
  <c r="L471" i="5" a="1"/>
  <c r="L461" i="5" a="1"/>
  <c r="L451" i="5" a="1"/>
  <c r="L441" i="5" a="1"/>
  <c r="L431" i="5" a="1"/>
  <c r="L421" i="5" a="1"/>
  <c r="L411" i="5" a="1"/>
  <c r="L401" i="5" a="1"/>
  <c r="L391" i="5" a="1"/>
  <c r="L381" i="5" a="1"/>
  <c r="L371" i="5" a="1"/>
  <c r="L361" i="5" a="1"/>
  <c r="L351" i="5" a="1"/>
  <c r="L341" i="5" a="1"/>
  <c r="L331" i="5" a="1"/>
  <c r="L321" i="5" a="1"/>
  <c r="L311" i="5" a="1"/>
  <c r="L301" i="5" a="1"/>
  <c r="L291" i="5" a="1"/>
  <c r="L281" i="5" a="1"/>
  <c r="L271" i="5" a="1"/>
  <c r="L261" i="5" a="1"/>
  <c r="L251" i="5" a="1"/>
  <c r="L241" i="5" a="1"/>
  <c r="L231" i="5" a="1"/>
  <c r="L221" i="5" a="1"/>
  <c r="L211" i="5" a="1"/>
  <c r="L201" i="5" a="1"/>
  <c r="L191" i="5" a="1"/>
  <c r="L181" i="5" a="1"/>
  <c r="L171" i="5" a="1"/>
  <c r="L161" i="5" a="1"/>
  <c r="L151" i="5" a="1"/>
  <c r="L141" i="5" a="1"/>
  <c r="L131" i="5" a="1"/>
  <c r="L121" i="5" a="1"/>
  <c r="L111" i="5" a="1"/>
  <c r="L101" i="5" a="1"/>
  <c r="L1667" i="5" a="1"/>
  <c r="L1546" i="5" a="1"/>
  <c r="L1417" i="5" a="1"/>
  <c r="L1267" i="5" a="1"/>
  <c r="L1159" i="5" a="1"/>
  <c r="L1097" i="5" a="1"/>
  <c r="L1071" i="5" a="1"/>
  <c r="L1049" i="5" a="1"/>
  <c r="L1028" i="5" a="1"/>
  <c r="L1008" i="5" a="1"/>
  <c r="L989" i="5" a="1"/>
  <c r="L971" i="5" a="1"/>
  <c r="L954" i="5" a="1"/>
  <c r="L862" i="5" a="1"/>
  <c r="L846" i="5" a="1"/>
  <c r="L828" i="5" a="1"/>
  <c r="L811" i="5" a="1"/>
  <c r="L796" i="5" a="1"/>
  <c r="L778" i="5" a="1"/>
  <c r="L761" i="5" a="1"/>
  <c r="L746" i="5" a="1"/>
  <c r="L728" i="5" a="1"/>
  <c r="L711" i="5" a="1"/>
  <c r="L696" i="5" a="1"/>
  <c r="L678" i="5" a="1"/>
  <c r="L661" i="5" a="1"/>
  <c r="L646" i="5" a="1"/>
  <c r="L628" i="5" a="1"/>
  <c r="L611" i="5" a="1"/>
  <c r="L596" i="5" a="1"/>
  <c r="L578" i="5" a="1"/>
  <c r="L561" i="5" a="1"/>
  <c r="L547" i="5" a="1"/>
  <c r="L530" i="5" a="1"/>
  <c r="L486" i="5" a="1"/>
  <c r="L942" i="5" a="1"/>
  <c r="L1837" i="5" a="1"/>
  <c r="L1394" i="5" a="1"/>
  <c r="L1158" i="5" a="1"/>
  <c r="L952" i="5" a="1"/>
  <c r="L936" i="5" a="1"/>
  <c r="L917" i="5" a="1"/>
  <c r="L898" i="5" a="1"/>
  <c r="L879" i="5" a="1"/>
  <c r="L861" i="5" a="1"/>
  <c r="L560" i="5" a="1"/>
  <c r="L516" i="5" a="1"/>
  <c r="L499" i="5" a="1"/>
  <c r="L470" i="5" a="1"/>
  <c r="L460" i="5" a="1"/>
  <c r="L450" i="5" a="1"/>
  <c r="L440" i="5" a="1"/>
  <c r="L430" i="5" a="1"/>
  <c r="L420" i="5" a="1"/>
  <c r="L410" i="5" a="1"/>
  <c r="L400" i="5" a="1"/>
  <c r="L390" i="5" a="1"/>
  <c r="L380" i="5" a="1"/>
  <c r="L370" i="5" a="1"/>
  <c r="L360" i="5" a="1"/>
  <c r="L350" i="5" a="1"/>
  <c r="L340" i="5" a="1"/>
  <c r="L330" i="5" a="1"/>
  <c r="L320" i="5" a="1"/>
  <c r="L310" i="5" a="1"/>
  <c r="L300" i="5" a="1"/>
  <c r="L290" i="5" a="1"/>
  <c r="L280" i="5" a="1"/>
  <c r="L270" i="5" a="1"/>
  <c r="L260" i="5" a="1"/>
  <c r="L250" i="5" a="1"/>
  <c r="L240" i="5" a="1"/>
  <c r="L230" i="5" a="1"/>
  <c r="L220" i="5" a="1"/>
  <c r="L210" i="5" a="1"/>
  <c r="L200" i="5" a="1"/>
  <c r="L190" i="5" a="1"/>
  <c r="L180" i="5" a="1"/>
  <c r="L170" i="5" a="1"/>
  <c r="L160" i="5" a="1"/>
  <c r="L150" i="5" a="1"/>
  <c r="L140" i="5" a="1"/>
  <c r="L130" i="5" a="1"/>
  <c r="L120" i="5" a="1"/>
  <c r="L110" i="5" a="1"/>
  <c r="L100" i="5" a="1"/>
  <c r="L818" i="5" a="1"/>
  <c r="L668" i="5" a="1"/>
  <c r="L1836" i="5" a="1"/>
  <c r="L1666" i="5" a="1"/>
  <c r="L1537" i="5" a="1"/>
  <c r="L1387" i="5" a="1"/>
  <c r="L1266" i="5" a="1"/>
  <c r="L1119" i="5" a="1"/>
  <c r="L1091" i="5" a="1"/>
  <c r="L1069" i="5" a="1"/>
  <c r="L1048" i="5" a="1"/>
  <c r="L1027" i="5" a="1"/>
  <c r="L1007" i="5" a="1"/>
  <c r="L988" i="5" a="1"/>
  <c r="L969" i="5" a="1"/>
  <c r="L951" i="5" a="1"/>
  <c r="L934" i="5" a="1"/>
  <c r="L844" i="5" a="1"/>
  <c r="L827" i="5" a="1"/>
  <c r="L809" i="5" a="1"/>
  <c r="L794" i="5" a="1"/>
  <c r="L777" i="5" a="1"/>
  <c r="L759" i="5" a="1"/>
  <c r="L744" i="5" a="1"/>
  <c r="L727" i="5" a="1"/>
  <c r="L709" i="5" a="1"/>
  <c r="L694" i="5" a="1"/>
  <c r="L677" i="5" a="1"/>
  <c r="L659" i="5" a="1"/>
  <c r="L644" i="5" a="1"/>
  <c r="L627" i="5" a="1"/>
  <c r="L609" i="5" a="1"/>
  <c r="L594" i="5" a="1"/>
  <c r="L577" i="5" a="1"/>
  <c r="L546" i="5" a="1"/>
  <c r="L529" i="5" a="1"/>
  <c r="L484" i="5" a="1"/>
  <c r="L1138" i="5" a="1"/>
  <c r="L568" i="5" a="1"/>
  <c r="L1514" i="5" a="1"/>
  <c r="L932" i="5" a="1"/>
  <c r="L916" i="5" a="1"/>
  <c r="L897" i="5" a="1"/>
  <c r="L878" i="5" a="1"/>
  <c r="L859" i="5" a="1"/>
  <c r="L842" i="5" a="1"/>
  <c r="L792" i="5" a="1"/>
  <c r="L742" i="5" a="1"/>
  <c r="L692" i="5" a="1"/>
  <c r="L642" i="5" a="1"/>
  <c r="L592" i="5" a="1"/>
  <c r="L559" i="5" a="1"/>
  <c r="L514" i="5" a="1"/>
  <c r="L498" i="5" a="1"/>
  <c r="L482" i="5" a="1"/>
  <c r="L469" i="5" a="1"/>
  <c r="L459" i="5" a="1"/>
  <c r="L449" i="5" a="1"/>
  <c r="L439" i="5" a="1"/>
  <c r="L429" i="5" a="1"/>
  <c r="L419" i="5" a="1"/>
  <c r="L409" i="5" a="1"/>
  <c r="L399" i="5" a="1"/>
  <c r="L389" i="5" a="1"/>
  <c r="L379" i="5" a="1"/>
  <c r="L369" i="5" a="1"/>
  <c r="L359" i="5" a="1"/>
  <c r="L349" i="5" a="1"/>
  <c r="L339" i="5" a="1"/>
  <c r="L329" i="5" a="1"/>
  <c r="L319" i="5" a="1"/>
  <c r="L309" i="5" a="1"/>
  <c r="L299" i="5" a="1"/>
  <c r="L289" i="5" a="1"/>
  <c r="L279" i="5" a="1"/>
  <c r="L269" i="5" a="1"/>
  <c r="L259" i="5" a="1"/>
  <c r="L249" i="5" a="1"/>
  <c r="L239" i="5" a="1"/>
  <c r="L229" i="5" a="1"/>
  <c r="L219" i="5" a="1"/>
  <c r="L209" i="5" a="1"/>
  <c r="L199" i="5" a="1"/>
  <c r="L189" i="5" a="1"/>
  <c r="L179" i="5" a="1"/>
  <c r="L169" i="5" a="1"/>
  <c r="L159" i="5" a="1"/>
  <c r="L149" i="5" a="1"/>
  <c r="L139" i="5" a="1"/>
  <c r="L129" i="5" a="1"/>
  <c r="L119" i="5" a="1"/>
  <c r="L109" i="5" a="1"/>
  <c r="L99" i="5" a="1"/>
  <c r="L1827" i="5" a="1"/>
  <c r="L1657" i="5" a="1"/>
  <c r="L1507" i="5" a="1"/>
  <c r="L1386" i="5" a="1"/>
  <c r="L1257" i="5" a="1"/>
  <c r="L1149" i="5" a="1"/>
  <c r="L1118" i="5" a="1"/>
  <c r="L1089" i="5" a="1"/>
  <c r="L1068" i="5" a="1"/>
  <c r="L1047" i="5" a="1"/>
  <c r="L1022" i="5" a="1"/>
  <c r="L1006" i="5" a="1"/>
  <c r="L987" i="5" a="1"/>
  <c r="L968" i="5" a="1"/>
  <c r="L949" i="5" a="1"/>
  <c r="L931" i="5" a="1"/>
  <c r="L914" i="5" a="1"/>
  <c r="L841" i="5" a="1"/>
  <c r="L826" i="5" a="1"/>
  <c r="L808" i="5" a="1"/>
  <c r="L791" i="5" a="1"/>
  <c r="L776" i="5" a="1"/>
  <c r="L758" i="5" a="1"/>
  <c r="L741" i="5" a="1"/>
  <c r="L726" i="5" a="1"/>
  <c r="L708" i="5" a="1"/>
  <c r="L691" i="5" a="1"/>
  <c r="L676" i="5" a="1"/>
  <c r="L658" i="5" a="1"/>
  <c r="L641" i="5" a="1"/>
  <c r="L626" i="5" a="1"/>
  <c r="L608" i="5" a="1"/>
  <c r="L591" i="5" a="1"/>
  <c r="L576" i="5" a="1"/>
  <c r="L544" i="5" a="1"/>
  <c r="L528" i="5" a="1"/>
  <c r="L512" i="5" a="1"/>
  <c r="L481" i="5" a="1"/>
  <c r="L1826" i="5" a="1"/>
  <c r="L1634" i="5" a="1"/>
  <c r="L1234" i="5" a="1"/>
  <c r="L1021" i="5" a="1"/>
  <c r="L1004" i="5" a="1"/>
  <c r="L912" i="5" a="1"/>
  <c r="L896" i="5" a="1"/>
  <c r="L877" i="5" a="1"/>
  <c r="L858" i="5" a="1"/>
  <c r="L558" i="5" a="1"/>
  <c r="L542" i="5" a="1"/>
  <c r="L511" i="5" a="1"/>
  <c r="L497" i="5" a="1"/>
  <c r="L480" i="5" a="1"/>
  <c r="L468" i="5" a="1"/>
  <c r="L458" i="5" a="1"/>
  <c r="L448" i="5" a="1"/>
  <c r="L438" i="5" a="1"/>
  <c r="L428" i="5" a="1"/>
  <c r="L418" i="5" a="1"/>
  <c r="L408" i="5" a="1"/>
  <c r="L398" i="5" a="1"/>
  <c r="L388" i="5" a="1"/>
  <c r="L378" i="5" a="1"/>
  <c r="L368" i="5" a="1"/>
  <c r="L358" i="5" a="1"/>
  <c r="L348" i="5" a="1"/>
  <c r="L338" i="5" a="1"/>
  <c r="L328" i="5" a="1"/>
  <c r="L318" i="5" a="1"/>
  <c r="L308" i="5" a="1"/>
  <c r="L298" i="5" a="1"/>
  <c r="L288" i="5" a="1"/>
  <c r="L278" i="5" a="1"/>
  <c r="L268" i="5" a="1"/>
  <c r="L258" i="5" a="1"/>
  <c r="L248" i="5" a="1"/>
  <c r="L238" i="5" a="1"/>
  <c r="L228" i="5" a="1"/>
  <c r="L218" i="5" a="1"/>
  <c r="L208" i="5" a="1"/>
  <c r="L198" i="5" a="1"/>
  <c r="L188" i="5" a="1"/>
  <c r="L178" i="5" a="1"/>
  <c r="L168" i="5" a="1"/>
  <c r="L158" i="5" a="1"/>
  <c r="L148" i="5" a="1"/>
  <c r="L138" i="5" a="1"/>
  <c r="L128" i="5" a="1"/>
  <c r="L118" i="5" a="1"/>
  <c r="L108" i="5" a="1"/>
  <c r="L98" i="5" a="1"/>
  <c r="L736" i="5" a="1"/>
  <c r="L552" i="5" a="1"/>
  <c r="L1817" i="5" a="1"/>
  <c r="L1627" i="5" a="1"/>
  <c r="L1506" i="5" a="1"/>
  <c r="L1377" i="5" a="1"/>
  <c r="L1227" i="5" a="1"/>
  <c r="L1148" i="5" a="1"/>
  <c r="L1088" i="5" a="1"/>
  <c r="L1067" i="5" a="1"/>
  <c r="L1042" i="5" a="1"/>
  <c r="L1002" i="5" a="1"/>
  <c r="L986" i="5" a="1"/>
  <c r="L967" i="5" a="1"/>
  <c r="L948" i="5" a="1"/>
  <c r="L929" i="5" a="1"/>
  <c r="L911" i="5" a="1"/>
  <c r="L894" i="5" a="1"/>
  <c r="L839" i="5" a="1"/>
  <c r="L824" i="5" a="1"/>
  <c r="L807" i="5" a="1"/>
  <c r="L789" i="5" a="1"/>
  <c r="L774" i="5" a="1"/>
  <c r="L757" i="5" a="1"/>
  <c r="L739" i="5" a="1"/>
  <c r="L724" i="5" a="1"/>
  <c r="L707" i="5" a="1"/>
  <c r="L689" i="5" a="1"/>
  <c r="L674" i="5" a="1"/>
  <c r="L657" i="5" a="1"/>
  <c r="L639" i="5" a="1"/>
  <c r="L624" i="5" a="1"/>
  <c r="L607" i="5" a="1"/>
  <c r="L589" i="5" a="1"/>
  <c r="L574" i="5" a="1"/>
  <c r="L541" i="5" a="1"/>
  <c r="L527" i="5" a="1"/>
  <c r="L510" i="5" a="1"/>
  <c r="L1107" i="5" a="1"/>
  <c r="L651" i="5" a="1"/>
  <c r="L1354" i="5" a="1"/>
  <c r="L1041" i="5" a="1"/>
  <c r="L1019" i="5" a="1"/>
  <c r="L1001" i="5" a="1"/>
  <c r="L984" i="5" a="1"/>
  <c r="L892" i="5" a="1"/>
  <c r="L876" i="5" a="1"/>
  <c r="L857" i="5" a="1"/>
  <c r="L822" i="5" a="1"/>
  <c r="L772" i="5" a="1"/>
  <c r="L722" i="5" a="1"/>
  <c r="L672" i="5" a="1"/>
  <c r="L622" i="5" a="1"/>
  <c r="L572" i="5" a="1"/>
  <c r="L557" i="5" a="1"/>
  <c r="L540" i="5" a="1"/>
  <c r="L496" i="5" a="1"/>
  <c r="L479" i="5" a="1"/>
  <c r="L467" i="5" a="1"/>
  <c r="L457" i="5" a="1"/>
  <c r="L447" i="5" a="1"/>
  <c r="L437" i="5" a="1"/>
  <c r="L427" i="5" a="1"/>
  <c r="L417" i="5" a="1"/>
  <c r="L407" i="5" a="1"/>
  <c r="L397" i="5" a="1"/>
  <c r="L387" i="5" a="1"/>
  <c r="L377" i="5" a="1"/>
  <c r="L367" i="5" a="1"/>
  <c r="L357" i="5" a="1"/>
  <c r="L347" i="5" a="1"/>
  <c r="L337" i="5" a="1"/>
  <c r="L327" i="5" a="1"/>
  <c r="L317" i="5" a="1"/>
  <c r="L307" i="5" a="1"/>
  <c r="L297" i="5" a="1"/>
  <c r="L287" i="5" a="1"/>
  <c r="L277" i="5" a="1"/>
  <c r="L267" i="5" a="1"/>
  <c r="L257" i="5" a="1"/>
  <c r="L247" i="5" a="1"/>
  <c r="L237" i="5" a="1"/>
  <c r="L227" i="5" a="1"/>
  <c r="L217" i="5" a="1"/>
  <c r="L207" i="5" a="1"/>
  <c r="L197" i="5" a="1"/>
  <c r="L187" i="5" a="1"/>
  <c r="L177" i="5" a="1"/>
  <c r="L167" i="5" a="1"/>
  <c r="L157" i="5" a="1"/>
  <c r="L147" i="5" a="1"/>
  <c r="L137" i="5" a="1"/>
  <c r="L127" i="5" a="1"/>
  <c r="L117" i="5" a="1"/>
  <c r="L107" i="5" a="1"/>
  <c r="L97" i="5" a="1"/>
  <c r="L1194" i="5" a="1"/>
  <c r="L601" i="5" a="1"/>
  <c r="L1767" i="5" a="1"/>
  <c r="L1626" i="5" a="1"/>
  <c r="L1497" i="5" a="1"/>
  <c r="L1347" i="5" a="1"/>
  <c r="L1226" i="5" a="1"/>
  <c r="L1109" i="5" a="1"/>
  <c r="L1087" i="5" a="1"/>
  <c r="L1062" i="5" a="1"/>
  <c r="L982" i="5" a="1"/>
  <c r="L966" i="5" a="1"/>
  <c r="L947" i="5" a="1"/>
  <c r="L928" i="5" a="1"/>
  <c r="L909" i="5" a="1"/>
  <c r="L891" i="5" a="1"/>
  <c r="L874" i="5" a="1"/>
  <c r="L838" i="5" a="1"/>
  <c r="L821" i="5" a="1"/>
  <c r="L806" i="5" a="1"/>
  <c r="L788" i="5" a="1"/>
  <c r="L771" i="5" a="1"/>
  <c r="L756" i="5" a="1"/>
  <c r="L738" i="5" a="1"/>
  <c r="L721" i="5" a="1"/>
  <c r="L706" i="5" a="1"/>
  <c r="L688" i="5" a="1"/>
  <c r="L671" i="5" a="1"/>
  <c r="L656" i="5" a="1"/>
  <c r="L638" i="5" a="1"/>
  <c r="L621" i="5" a="1"/>
  <c r="L606" i="5" a="1"/>
  <c r="L588" i="5" a="1"/>
  <c r="L571" i="5" a="1"/>
  <c r="L526" i="5" a="1"/>
  <c r="L509" i="5" a="1"/>
  <c r="L1337" i="5" a="1"/>
  <c r="L1766" i="5" a="1"/>
  <c r="L1474" i="5" a="1"/>
  <c r="L1061" i="5" a="1"/>
  <c r="L1039" i="5" a="1"/>
  <c r="L1018" i="5" a="1"/>
  <c r="L999" i="5" a="1"/>
  <c r="L981" i="5" a="1"/>
  <c r="L964" i="5" a="1"/>
  <c r="L872" i="5" a="1"/>
  <c r="L856" i="5" a="1"/>
  <c r="L556" i="5" a="1"/>
  <c r="L539" i="5" a="1"/>
  <c r="L494" i="5" a="1"/>
  <c r="L478" i="5" a="1"/>
  <c r="L466" i="5" a="1"/>
  <c r="L456" i="5" a="1"/>
  <c r="L446" i="5" a="1"/>
  <c r="L436" i="5" a="1"/>
  <c r="L426" i="5" a="1"/>
  <c r="L416" i="5" a="1"/>
  <c r="L406" i="5" a="1"/>
  <c r="L396" i="5" a="1"/>
  <c r="L386" i="5" a="1"/>
  <c r="L376" i="5" a="1"/>
  <c r="L366" i="5" a="1"/>
  <c r="L356" i="5" a="1"/>
  <c r="L346" i="5" a="1"/>
  <c r="L336" i="5" a="1"/>
  <c r="L326" i="5" a="1"/>
  <c r="L316" i="5" a="1"/>
  <c r="L306" i="5" a="1"/>
  <c r="L296" i="5" a="1"/>
  <c r="L286" i="5" a="1"/>
  <c r="L276" i="5" a="1"/>
  <c r="L266" i="5" a="1"/>
  <c r="L256" i="5" a="1"/>
  <c r="L246" i="5" a="1"/>
  <c r="L236" i="5" a="1"/>
  <c r="L226" i="5" a="1"/>
  <c r="L216" i="5" a="1"/>
  <c r="L206" i="5" a="1"/>
  <c r="L196" i="5" a="1"/>
  <c r="L186" i="5" a="1"/>
  <c r="L176" i="5" a="1"/>
  <c r="L166" i="5" a="1"/>
  <c r="L156" i="5" a="1"/>
  <c r="L146" i="5" a="1"/>
  <c r="L136" i="5" a="1"/>
  <c r="L126" i="5" a="1"/>
  <c r="L116" i="5" a="1"/>
  <c r="L106" i="5" a="1"/>
  <c r="L96" i="5" a="1"/>
  <c r="L1466" i="5" a="1"/>
  <c r="L1617" i="5" a="1"/>
  <c r="L1467" i="5" a="1"/>
  <c r="L1346" i="5" a="1"/>
  <c r="L1217" i="5" a="1"/>
  <c r="L1139" i="5" a="1"/>
  <c r="L1108" i="5" a="1"/>
  <c r="L1082" i="5" a="1"/>
  <c r="L962" i="5" a="1"/>
  <c r="L946" i="5" a="1"/>
  <c r="L927" i="5" a="1"/>
  <c r="L908" i="5" a="1"/>
  <c r="L889" i="5" a="1"/>
  <c r="L871" i="5" a="1"/>
  <c r="L854" i="5" a="1"/>
  <c r="L837" i="5" a="1"/>
  <c r="L819" i="5" a="1"/>
  <c r="L804" i="5" a="1"/>
  <c r="L787" i="5" a="1"/>
  <c r="L769" i="5" a="1"/>
  <c r="L754" i="5" a="1"/>
  <c r="L737" i="5" a="1"/>
  <c r="L719" i="5" a="1"/>
  <c r="L704" i="5" a="1"/>
  <c r="L687" i="5" a="1"/>
  <c r="L669" i="5" a="1"/>
  <c r="L654" i="5" a="1"/>
  <c r="L637" i="5" a="1"/>
  <c r="L619" i="5" a="1"/>
  <c r="L604" i="5" a="1"/>
  <c r="L587" i="5" a="1"/>
  <c r="L569" i="5" a="1"/>
  <c r="L524" i="5" a="1"/>
  <c r="L508" i="5" a="1"/>
  <c r="L492" i="5" a="1"/>
  <c r="L1587" i="5" a="1"/>
  <c r="L1757" i="5" a="1"/>
  <c r="L1594" i="5" a="1"/>
  <c r="L1081" i="5" a="1"/>
  <c r="L1059" i="5" a="1"/>
  <c r="L1038" i="5" a="1"/>
  <c r="L1017" i="5" a="1"/>
  <c r="L998" i="5" a="1"/>
  <c r="L979" i="5" a="1"/>
  <c r="L961" i="5" a="1"/>
  <c r="L944" i="5" a="1"/>
  <c r="L852" i="5" a="1"/>
  <c r="L802" i="5" a="1"/>
  <c r="L752" i="5" a="1"/>
  <c r="L702" i="5" a="1"/>
  <c r="L652" i="5" a="1"/>
  <c r="L602" i="5" a="1"/>
  <c r="L554" i="5" a="1"/>
  <c r="L538" i="5" a="1"/>
  <c r="L522" i="5" a="1"/>
  <c r="L491" i="5" a="1"/>
  <c r="L477" i="5" a="1"/>
  <c r="L465" i="5" a="1"/>
  <c r="L455" i="5" a="1"/>
  <c r="L445" i="5" a="1"/>
  <c r="L435" i="5" a="1"/>
  <c r="L425" i="5" a="1"/>
  <c r="L415" i="5" a="1"/>
  <c r="L405" i="5" a="1"/>
  <c r="L395" i="5" a="1"/>
  <c r="L385" i="5" a="1"/>
  <c r="L375" i="5" a="1"/>
  <c r="L365" i="5" a="1"/>
  <c r="L355" i="5" a="1"/>
  <c r="L345" i="5" a="1"/>
  <c r="L335" i="5" a="1"/>
  <c r="L325" i="5" a="1"/>
  <c r="L315" i="5" a="1"/>
  <c r="L305" i="5" a="1"/>
  <c r="L295" i="5" a="1"/>
  <c r="L285" i="5" a="1"/>
  <c r="L275" i="5" a="1"/>
  <c r="L265" i="5" a="1"/>
  <c r="L255" i="5" a="1"/>
  <c r="L245" i="5" a="1"/>
  <c r="L235" i="5" a="1"/>
  <c r="L225" i="5" a="1"/>
  <c r="L215" i="5" a="1"/>
  <c r="L205" i="5" a="1"/>
  <c r="L195" i="5" a="1"/>
  <c r="L185" i="5" a="1"/>
  <c r="L175" i="5" a="1"/>
  <c r="L165" i="5" a="1"/>
  <c r="L155" i="5" a="1"/>
  <c r="L145" i="5" a="1"/>
  <c r="L135" i="5" a="1"/>
  <c r="L125" i="5" a="1"/>
  <c r="L115" i="5" a="1"/>
  <c r="L105" i="5" a="1"/>
  <c r="L1716" i="5" a="1"/>
  <c r="L1314" i="5" a="1"/>
  <c r="L1190" i="5" a="1"/>
  <c r="L1079" i="5" a="1"/>
  <c r="L1058" i="5" a="1"/>
  <c r="L1037" i="5" a="1"/>
  <c r="L1016" i="5" a="1"/>
  <c r="L997" i="5" a="1"/>
  <c r="L978" i="5" a="1"/>
  <c r="L959" i="5" a="1"/>
  <c r="L941" i="5" a="1"/>
  <c r="L924" i="5" a="1"/>
  <c r="L551" i="5" a="1"/>
  <c r="L537" i="5" a="1"/>
  <c r="L520" i="5" a="1"/>
  <c r="L476" i="5" a="1"/>
  <c r="L464" i="5" a="1"/>
  <c r="L454" i="5" a="1"/>
  <c r="L444" i="5" a="1"/>
  <c r="L434" i="5" a="1"/>
  <c r="L424" i="5" a="1"/>
  <c r="L414" i="5" a="1"/>
  <c r="L404" i="5" a="1"/>
  <c r="L394" i="5" a="1"/>
  <c r="L384" i="5" a="1"/>
  <c r="L374" i="5" a="1"/>
  <c r="L364" i="5" a="1"/>
  <c r="L354" i="5" a="1"/>
  <c r="L344" i="5" a="1"/>
  <c r="L334" i="5" a="1"/>
  <c r="L324" i="5" a="1"/>
  <c r="L314" i="5" a="1"/>
  <c r="L304" i="5" a="1"/>
  <c r="L294" i="5" a="1"/>
  <c r="L284" i="5" a="1"/>
  <c r="L274" i="5" a="1"/>
  <c r="L264" i="5" a="1"/>
  <c r="L254" i="5" a="1"/>
  <c r="L244" i="5" a="1"/>
  <c r="L234" i="5" a="1"/>
  <c r="L224" i="5" a="1"/>
  <c r="L214" i="5" a="1"/>
  <c r="L204" i="5" a="1"/>
  <c r="L194" i="5" a="1"/>
  <c r="L184" i="5" a="1"/>
  <c r="L174" i="5" a="1"/>
  <c r="L164" i="5" a="1"/>
  <c r="L154" i="5" a="1"/>
  <c r="L144" i="5" a="1"/>
  <c r="L134" i="5" a="1"/>
  <c r="L124" i="5" a="1"/>
  <c r="L114" i="5" a="1"/>
  <c r="L104" i="5" a="1"/>
  <c r="L888" i="5" a="1"/>
  <c r="L851" i="5" a="1"/>
  <c r="L836" i="5" a="1"/>
  <c r="L801" i="5" a="1"/>
  <c r="L751" i="5" a="1"/>
  <c r="L701" i="5" a="1"/>
  <c r="L618" i="5" a="1"/>
  <c r="L507" i="5" a="1"/>
  <c r="M2004" i="5" a="1"/>
  <c r="M1994" i="5" a="1"/>
  <c r="M1984" i="5" a="1"/>
  <c r="M1974" i="5" a="1"/>
  <c r="M1964" i="5" a="1"/>
  <c r="M1954" i="5" a="1"/>
  <c r="M1944" i="5" a="1"/>
  <c r="M1934" i="5" a="1"/>
  <c r="M1924" i="5" a="1"/>
  <c r="M1914" i="5" a="1"/>
  <c r="M1904" i="5" a="1"/>
  <c r="M1894" i="5" a="1"/>
  <c r="M1884" i="5" a="1"/>
  <c r="M1874" i="5" a="1"/>
  <c r="M1864" i="5" a="1"/>
  <c r="M1854" i="5" a="1"/>
  <c r="M1844" i="5" a="1"/>
  <c r="M1834" i="5" a="1"/>
  <c r="M1824" i="5" a="1"/>
  <c r="M1814" i="5" a="1"/>
  <c r="M1804" i="5" a="1"/>
  <c r="M1794" i="5" a="1"/>
  <c r="M1784" i="5" a="1"/>
  <c r="M1774" i="5" a="1"/>
  <c r="M1764" i="5" a="1"/>
  <c r="M1754" i="5" a="1"/>
  <c r="M1744" i="5" a="1"/>
  <c r="M1734" i="5" a="1"/>
  <c r="M1724" i="5" a="1"/>
  <c r="M1714" i="5" a="1"/>
  <c r="M1704" i="5" a="1"/>
  <c r="M1694" i="5" a="1"/>
  <c r="M1684" i="5" a="1"/>
  <c r="M1674" i="5" a="1"/>
  <c r="M1664" i="5" a="1"/>
  <c r="M1654" i="5" a="1"/>
  <c r="M1644" i="5" a="1"/>
  <c r="M1634" i="5" a="1"/>
  <c r="M1624" i="5" a="1"/>
  <c r="M1614" i="5" a="1"/>
  <c r="M1604" i="5" a="1"/>
  <c r="M1594" i="5" a="1"/>
  <c r="M1584" i="5" a="1"/>
  <c r="M1574" i="5" a="1"/>
  <c r="M1564" i="5" a="1"/>
  <c r="M1554" i="5" a="1"/>
  <c r="M1544" i="5" a="1"/>
  <c r="M1534" i="5" a="1"/>
  <c r="M1524" i="5" a="1"/>
  <c r="M1514" i="5" a="1"/>
  <c r="M1504" i="5" a="1"/>
  <c r="M1494" i="5" a="1"/>
  <c r="M1484" i="5" a="1"/>
  <c r="M1474" i="5" a="1"/>
  <c r="M1464" i="5" a="1"/>
  <c r="M1454" i="5" a="1"/>
  <c r="M1444" i="5" a="1"/>
  <c r="M1434" i="5" a="1"/>
  <c r="M1424" i="5" a="1"/>
  <c r="M1414" i="5" a="1"/>
  <c r="M1404" i="5" a="1"/>
  <c r="M1394" i="5" a="1"/>
  <c r="M1384" i="5" a="1"/>
  <c r="M1374" i="5" a="1"/>
  <c r="M1364" i="5" a="1"/>
  <c r="M1354" i="5" a="1"/>
  <c r="M1344" i="5" a="1"/>
  <c r="M1334" i="5" a="1"/>
  <c r="M1324" i="5" a="1"/>
  <c r="M1314" i="5" a="1"/>
  <c r="M1304" i="5" a="1"/>
  <c r="M1294" i="5" a="1"/>
  <c r="M1284" i="5" a="1"/>
  <c r="M1274" i="5" a="1"/>
  <c r="M1264" i="5" a="1"/>
  <c r="M1254" i="5" a="1"/>
  <c r="M1244" i="5" a="1"/>
  <c r="M1234" i="5" a="1"/>
  <c r="M2003" i="5" a="1"/>
  <c r="M1953" i="5" a="1"/>
  <c r="M1903" i="5" a="1"/>
  <c r="M1853" i="5" a="1"/>
  <c r="M1803" i="5" a="1"/>
  <c r="M1753" i="5" a="1"/>
  <c r="M1703" i="5" a="1"/>
  <c r="M1653" i="5" a="1"/>
  <c r="M1603" i="5" a="1"/>
  <c r="M1553" i="5" a="1"/>
  <c r="M1503" i="5" a="1"/>
  <c r="M1453" i="5" a="1"/>
  <c r="M1403" i="5" a="1"/>
  <c r="M1353" i="5" a="1"/>
  <c r="M1303" i="5" a="1"/>
  <c r="M1253" i="5" a="1"/>
  <c r="M1217" i="5" a="1"/>
  <c r="M1193" i="5" a="1"/>
  <c r="M1181" i="5" a="1"/>
  <c r="M1158" i="5" a="1"/>
  <c r="M1148" i="5" a="1"/>
  <c r="M1138" i="5" a="1"/>
  <c r="M1128" i="5" a="1"/>
  <c r="M1118" i="5" a="1"/>
  <c r="M1108" i="5" a="1"/>
  <c r="M1098" i="5" a="1"/>
  <c r="M1088" i="5" a="1"/>
  <c r="M1078" i="5" a="1"/>
  <c r="M1068" i="5" a="1"/>
  <c r="M1058" i="5" a="1"/>
  <c r="M1048" i="5" a="1"/>
  <c r="M1038" i="5" a="1"/>
  <c r="M1028" i="5" a="1"/>
  <c r="M1018" i="5" a="1"/>
  <c r="M1008" i="5" a="1"/>
  <c r="M998" i="5" a="1"/>
  <c r="M988" i="5" a="1"/>
  <c r="M978" i="5" a="1"/>
  <c r="M968" i="5" a="1"/>
  <c r="M958" i="5" a="1"/>
  <c r="M948" i="5" a="1"/>
  <c r="M938" i="5" a="1"/>
  <c r="M928" i="5" a="1"/>
  <c r="M918" i="5" a="1"/>
  <c r="M908" i="5" a="1"/>
  <c r="M898" i="5" a="1"/>
  <c r="M888" i="5" a="1"/>
  <c r="M878" i="5" a="1"/>
  <c r="M868" i="5" a="1"/>
  <c r="M858" i="5" a="1"/>
  <c r="M848" i="5" a="1"/>
  <c r="M838" i="5" a="1"/>
  <c r="M828" i="5" a="1"/>
  <c r="M818" i="5" a="1"/>
  <c r="M808" i="5" a="1"/>
  <c r="M798" i="5" a="1"/>
  <c r="M788" i="5" a="1"/>
  <c r="M778" i="5" a="1"/>
  <c r="M768" i="5" a="1"/>
  <c r="M2002" i="5" a="1"/>
  <c r="M1990" i="5" a="1"/>
  <c r="M1978" i="5" a="1"/>
  <c r="M1966" i="5" a="1"/>
  <c r="M1952" i="5" a="1"/>
  <c r="M1940" i="5" a="1"/>
  <c r="M1928" i="5" a="1"/>
  <c r="M1916" i="5" a="1"/>
  <c r="M1902" i="5" a="1"/>
  <c r="M1890" i="5" a="1"/>
  <c r="M1878" i="5" a="1"/>
  <c r="M1866" i="5" a="1"/>
  <c r="M1852" i="5" a="1"/>
  <c r="M1840" i="5" a="1"/>
  <c r="M1828" i="5" a="1"/>
  <c r="M1816" i="5" a="1"/>
  <c r="M1802" i="5" a="1"/>
  <c r="M1790" i="5" a="1"/>
  <c r="M1778" i="5" a="1"/>
  <c r="M1766" i="5" a="1"/>
  <c r="M1752" i="5" a="1"/>
  <c r="M1740" i="5" a="1"/>
  <c r="M1728" i="5" a="1"/>
  <c r="M1716" i="5" a="1"/>
  <c r="M1702" i="5" a="1"/>
  <c r="M1690" i="5" a="1"/>
  <c r="M1678" i="5" a="1"/>
  <c r="M1666" i="5" a="1"/>
  <c r="M1652" i="5" a="1"/>
  <c r="M1640" i="5" a="1"/>
  <c r="M1628" i="5" a="1"/>
  <c r="M1616" i="5" a="1"/>
  <c r="M1602" i="5" a="1"/>
  <c r="M1590" i="5" a="1"/>
  <c r="M1578" i="5" a="1"/>
  <c r="M1566" i="5" a="1"/>
  <c r="M1552" i="5" a="1"/>
  <c r="M1540" i="5" a="1"/>
  <c r="M2001" i="5" a="1"/>
  <c r="M1963" i="5" a="1"/>
  <c r="M1913" i="5" a="1"/>
  <c r="M1863" i="5" a="1"/>
  <c r="M1813" i="5" a="1"/>
  <c r="M1763" i="5" a="1"/>
  <c r="M1713" i="5" a="1"/>
  <c r="M1663" i="5" a="1"/>
  <c r="M1613" i="5" a="1"/>
  <c r="M1563" i="5" a="1"/>
  <c r="M1513" i="5" a="1"/>
  <c r="M1463" i="5" a="1"/>
  <c r="M1413" i="5" a="1"/>
  <c r="M1363" i="5" a="1"/>
  <c r="M1313" i="5" a="1"/>
  <c r="M1263" i="5" a="1"/>
  <c r="M1215" i="5" a="1"/>
  <c r="M1202" i="5" a="1"/>
  <c r="M1179" i="5" a="1"/>
  <c r="M1156" i="5" a="1"/>
  <c r="M1146" i="5" a="1"/>
  <c r="M1136" i="5" a="1"/>
  <c r="M1126" i="5" a="1"/>
  <c r="M1116" i="5" a="1"/>
  <c r="M1106" i="5" a="1"/>
  <c r="M1096" i="5" a="1"/>
  <c r="M1086" i="5" a="1"/>
  <c r="M1076" i="5" a="1"/>
  <c r="M1066" i="5" a="1"/>
  <c r="M1056" i="5" a="1"/>
  <c r="M1046" i="5" a="1"/>
  <c r="M1036" i="5" a="1"/>
  <c r="M1026" i="5" a="1"/>
  <c r="M1016" i="5" a="1"/>
  <c r="M1006" i="5" a="1"/>
  <c r="M996" i="5" a="1"/>
  <c r="M986" i="5" a="1"/>
  <c r="M976" i="5" a="1"/>
  <c r="M966" i="5" a="1"/>
  <c r="M956" i="5" a="1"/>
  <c r="M946" i="5" a="1"/>
  <c r="M936" i="5" a="1"/>
  <c r="M926" i="5" a="1"/>
  <c r="M916" i="5" a="1"/>
  <c r="M906" i="5" a="1"/>
  <c r="M896" i="5" a="1"/>
  <c r="M886" i="5" a="1"/>
  <c r="M876" i="5" a="1"/>
  <c r="M866" i="5" a="1"/>
  <c r="M856" i="5" a="1"/>
  <c r="M846" i="5" a="1"/>
  <c r="M836" i="5" a="1"/>
  <c r="M826" i="5" a="1"/>
  <c r="M816" i="5" a="1"/>
  <c r="M806" i="5" a="1"/>
  <c r="M796" i="5" a="1"/>
  <c r="M786" i="5" a="1"/>
  <c r="M776" i="5" a="1"/>
  <c r="M766" i="5" a="1"/>
  <c r="M2000" i="5" a="1"/>
  <c r="M1997" i="5" a="1"/>
  <c r="M1985" i="5" a="1"/>
  <c r="M1971" i="5" a="1"/>
  <c r="M1959" i="5" a="1"/>
  <c r="M1947" i="5" a="1"/>
  <c r="M1935" i="5" a="1"/>
  <c r="M1921" i="5" a="1"/>
  <c r="M1909" i="5" a="1"/>
  <c r="M1897" i="5" a="1"/>
  <c r="M1885" i="5" a="1"/>
  <c r="M1871" i="5" a="1"/>
  <c r="M1859" i="5" a="1"/>
  <c r="M1847" i="5" a="1"/>
  <c r="M1835" i="5" a="1"/>
  <c r="M1821" i="5" a="1"/>
  <c r="M1809" i="5" a="1"/>
  <c r="M1797" i="5" a="1"/>
  <c r="M1785" i="5" a="1"/>
  <c r="M1771" i="5" a="1"/>
  <c r="M1759" i="5" a="1"/>
  <c r="M1747" i="5" a="1"/>
  <c r="M1735" i="5" a="1"/>
  <c r="M1721" i="5" a="1"/>
  <c r="M1709" i="5" a="1"/>
  <c r="M1697" i="5" a="1"/>
  <c r="M1685" i="5" a="1"/>
  <c r="M1671" i="5" a="1"/>
  <c r="M1659" i="5" a="1"/>
  <c r="M1647" i="5" a="1"/>
  <c r="M1635" i="5" a="1"/>
  <c r="M1621" i="5" a="1"/>
  <c r="M1609" i="5" a="1"/>
  <c r="M1597" i="5" a="1"/>
  <c r="M1585" i="5" a="1"/>
  <c r="M1571" i="5" a="1"/>
  <c r="M1559" i="5" a="1"/>
  <c r="M1547" i="5" a="1"/>
  <c r="M1535" i="5" a="1"/>
  <c r="M1521" i="5" a="1"/>
  <c r="M1509" i="5" a="1"/>
  <c r="M1497" i="5" a="1"/>
  <c r="M1485" i="5" a="1"/>
  <c r="M1471" i="5" a="1"/>
  <c r="M1459" i="5" a="1"/>
  <c r="M1447" i="5" a="1"/>
  <c r="M1435" i="5" a="1"/>
  <c r="M1421" i="5" a="1"/>
  <c r="M1409" i="5" a="1"/>
  <c r="M1397" i="5" a="1"/>
  <c r="M1385" i="5" a="1"/>
  <c r="M1371" i="5" a="1"/>
  <c r="M1359" i="5" a="1"/>
  <c r="M1347" i="5" a="1"/>
  <c r="M1335" i="5" a="1"/>
  <c r="M1321" i="5" a="1"/>
  <c r="M1309" i="5" a="1"/>
  <c r="M1297" i="5" a="1"/>
  <c r="M1285" i="5" a="1"/>
  <c r="M1271" i="5" a="1"/>
  <c r="M1259" i="5" a="1"/>
  <c r="M1247" i="5" a="1"/>
  <c r="M1235" i="5" a="1"/>
  <c r="M1210" i="5" a="1"/>
  <c r="M1187" i="5" a="1"/>
  <c r="M1163" i="5" a="1"/>
  <c r="M1983" i="5" a="1"/>
  <c r="M1937" i="5" a="1"/>
  <c r="M1875" i="5" a="1"/>
  <c r="M1843" i="5" a="1"/>
  <c r="M1811" i="5" a="1"/>
  <c r="M1749" i="5" a="1"/>
  <c r="M1733" i="5" a="1"/>
  <c r="M1687" i="5" a="1"/>
  <c r="M1625" i="5" a="1"/>
  <c r="M1593" i="5" a="1"/>
  <c r="M1561" i="5" a="1"/>
  <c r="M1517" i="5" a="1"/>
  <c r="M1501" i="5" a="1"/>
  <c r="M1487" i="5" a="1"/>
  <c r="M1442" i="5" a="1"/>
  <c r="M1428" i="5" a="1"/>
  <c r="M1412" i="5" a="1"/>
  <c r="M1383" i="5" a="1"/>
  <c r="M1369" i="5" a="1"/>
  <c r="M1310" i="5" a="1"/>
  <c r="M1296" i="5" a="1"/>
  <c r="M1267" i="5" a="1"/>
  <c r="M1251" i="5" a="1"/>
  <c r="M1237" i="5" a="1"/>
  <c r="M1222" i="5" a="1"/>
  <c r="M1167" i="5" a="1"/>
  <c r="M1154" i="5" a="1"/>
  <c r="M1142" i="5" a="1"/>
  <c r="M1119" i="5" a="1"/>
  <c r="M1107" i="5" a="1"/>
  <c r="M1095" i="5" a="1"/>
  <c r="M1060" i="5" a="1"/>
  <c r="M1013" i="5" a="1"/>
  <c r="M1001" i="5" a="1"/>
  <c r="M954" i="5" a="1"/>
  <c r="M942" i="5" a="1"/>
  <c r="M919" i="5" a="1"/>
  <c r="M907" i="5" a="1"/>
  <c r="M895" i="5" a="1"/>
  <c r="M860" i="5" a="1"/>
  <c r="M813" i="5" a="1"/>
  <c r="M801" i="5" a="1"/>
  <c r="M1998" i="5" a="1"/>
  <c r="M1981" i="5" a="1"/>
  <c r="M1967" i="5" a="1"/>
  <c r="M1919" i="5" a="1"/>
  <c r="M1905" i="5" a="1"/>
  <c r="M1857" i="5" a="1"/>
  <c r="M1841" i="5" a="1"/>
  <c r="M1795" i="5" a="1"/>
  <c r="M1779" i="5" a="1"/>
  <c r="M1731" i="5" a="1"/>
  <c r="M1717" i="5" a="1"/>
  <c r="M1669" i="5" a="1"/>
  <c r="M1655" i="5" a="1"/>
  <c r="M1607" i="5" a="1"/>
  <c r="M1591" i="5" a="1"/>
  <c r="M1545" i="5" a="1"/>
  <c r="M1529" i="5" a="1"/>
  <c r="M1515" i="5" a="1"/>
  <c r="M1499" i="5" a="1"/>
  <c r="M1456" i="5" a="1"/>
  <c r="M1440" i="5" a="1"/>
  <c r="M1426" i="5" a="1"/>
  <c r="M1381" i="5" a="1"/>
  <c r="M1322" i="5" a="1"/>
  <c r="M1308" i="5" a="1"/>
  <c r="M1293" i="5" a="1"/>
  <c r="M1279" i="5" a="1"/>
  <c r="M1265" i="5" a="1"/>
  <c r="M1249" i="5" a="1"/>
  <c r="M1220" i="5" a="1"/>
  <c r="M1207" i="5" a="1"/>
  <c r="M1192" i="5" a="1"/>
  <c r="M1152" i="5" a="1"/>
  <c r="M1129" i="5" a="1"/>
  <c r="M1117" i="5" a="1"/>
  <c r="M1105" i="5" a="1"/>
  <c r="M1070" i="5" a="1"/>
  <c r="M1023" i="5" a="1"/>
  <c r="M1011" i="5" a="1"/>
  <c r="M964" i="5" a="1"/>
  <c r="M952" i="5" a="1"/>
  <c r="M929" i="5" a="1"/>
  <c r="M917" i="5" a="1"/>
  <c r="M905" i="5" a="1"/>
  <c r="M870" i="5" a="1"/>
  <c r="M823" i="5" a="1"/>
  <c r="M811" i="5" a="1"/>
  <c r="M764" i="5" a="1"/>
  <c r="M754" i="5" a="1"/>
  <c r="M744" i="5" a="1"/>
  <c r="M734" i="5" a="1"/>
  <c r="M724" i="5" a="1"/>
  <c r="M714" i="5" a="1"/>
  <c r="M704" i="5" a="1"/>
  <c r="M694" i="5" a="1"/>
  <c r="M684" i="5" a="1"/>
  <c r="M674" i="5" a="1"/>
  <c r="M664" i="5" a="1"/>
  <c r="M654" i="5" a="1"/>
  <c r="M644" i="5" a="1"/>
  <c r="M634" i="5" a="1"/>
  <c r="M624" i="5" a="1"/>
  <c r="M614" i="5" a="1"/>
  <c r="M604" i="5" a="1"/>
  <c r="M1991" i="5" a="1"/>
  <c r="M1975" i="5" a="1"/>
  <c r="M1943" i="5" a="1"/>
  <c r="M1911" i="5" a="1"/>
  <c r="M1849" i="5" a="1"/>
  <c r="M1833" i="5" a="1"/>
  <c r="M1787" i="5" a="1"/>
  <c r="M1725" i="5" a="1"/>
  <c r="M1693" i="5" a="1"/>
  <c r="M1661" i="5" a="1"/>
  <c r="M1599" i="5" a="1"/>
  <c r="M1583" i="5" a="1"/>
  <c r="M1537" i="5" a="1"/>
  <c r="M1492" i="5" a="1"/>
  <c r="M1478" i="5" a="1"/>
  <c r="M1462" i="5" a="1"/>
  <c r="M1433" i="5" a="1"/>
  <c r="M1419" i="5" a="1"/>
  <c r="M1360" i="5" a="1"/>
  <c r="M1346" i="5" a="1"/>
  <c r="M1317" i="5" a="1"/>
  <c r="M1301" i="5" a="1"/>
  <c r="M1287" i="5" a="1"/>
  <c r="M1242" i="5" a="1"/>
  <c r="M1228" i="5" a="1"/>
  <c r="M1214" i="5" a="1"/>
  <c r="M1200" i="5" a="1"/>
  <c r="M1172" i="5" a="1"/>
  <c r="M1159" i="5" a="1"/>
  <c r="M1147" i="5" a="1"/>
  <c r="M1135" i="5" a="1"/>
  <c r="M1100" i="5" a="1"/>
  <c r="M1053" i="5" a="1"/>
  <c r="M1041" i="5" a="1"/>
  <c r="M994" i="5" a="1"/>
  <c r="M982" i="5" a="1"/>
  <c r="M959" i="5" a="1"/>
  <c r="M947" i="5" a="1"/>
  <c r="M935" i="5" a="1"/>
  <c r="M900" i="5" a="1"/>
  <c r="M853" i="5" a="1"/>
  <c r="M841" i="5" a="1"/>
  <c r="M794" i="5" a="1"/>
  <c r="M782" i="5" a="1"/>
  <c r="M1989" i="5" a="1"/>
  <c r="M1973" i="5" a="1"/>
  <c r="M1958" i="5" a="1"/>
  <c r="M1942" i="5" a="1"/>
  <c r="M1927" i="5" a="1"/>
  <c r="M1896" i="5" a="1"/>
  <c r="M1880" i="5" a="1"/>
  <c r="M1865" i="5" a="1"/>
  <c r="M1832" i="5" a="1"/>
  <c r="M1818" i="5" a="1"/>
  <c r="M1801" i="5" a="1"/>
  <c r="M1770" i="5" a="1"/>
  <c r="M1756" i="5" a="1"/>
  <c r="M1739" i="5" a="1"/>
  <c r="M1723" i="5" a="1"/>
  <c r="M1708" i="5" a="1"/>
  <c r="M1692" i="5" a="1"/>
  <c r="M1677" i="5" a="1"/>
  <c r="M1646" i="5" a="1"/>
  <c r="M1630" i="5" a="1"/>
  <c r="M1615" i="5" a="1"/>
  <c r="M1582" i="5" a="1"/>
  <c r="M1568" i="5" a="1"/>
  <c r="M1551" i="5" a="1"/>
  <c r="M1507" i="5" a="1"/>
  <c r="M1448" i="5" a="1"/>
  <c r="M1432" i="5" a="1"/>
  <c r="M1405" i="5" a="1"/>
  <c r="M1389" i="5" a="1"/>
  <c r="M1375" i="5" a="1"/>
  <c r="M1330" i="5" a="1"/>
  <c r="M1316" i="5" a="1"/>
  <c r="M1300" i="5" a="1"/>
  <c r="M1257" i="5" a="1"/>
  <c r="M1213" i="5" a="1"/>
  <c r="M1186" i="5" a="1"/>
  <c r="M1123" i="5" a="1"/>
  <c r="M1111" i="5" a="1"/>
  <c r="M1064" i="5" a="1"/>
  <c r="M1052" i="5" a="1"/>
  <c r="M1029" i="5" a="1"/>
  <c r="M1017" i="5" a="1"/>
  <c r="M1005" i="5" a="1"/>
  <c r="M970" i="5" a="1"/>
  <c r="M923" i="5" a="1"/>
  <c r="M911" i="5" a="1"/>
  <c r="M864" i="5" a="1"/>
  <c r="M852" i="5" a="1"/>
  <c r="M829" i="5" a="1"/>
  <c r="M817" i="5" a="1"/>
  <c r="M805" i="5" a="1"/>
  <c r="M1988" i="5" a="1"/>
  <c r="M1972" i="5" a="1"/>
  <c r="M1926" i="5" a="1"/>
  <c r="M1910" i="5" a="1"/>
  <c r="M1862" i="5" a="1"/>
  <c r="M1848" i="5" a="1"/>
  <c r="M1800" i="5" a="1"/>
  <c r="M1786" i="5" a="1"/>
  <c r="M1738" i="5" a="1"/>
  <c r="M1722" i="5" a="1"/>
  <c r="M1676" i="5" a="1"/>
  <c r="M1660" i="5" a="1"/>
  <c r="M1612" i="5" a="1"/>
  <c r="M1598" i="5" a="1"/>
  <c r="M1550" i="5" a="1"/>
  <c r="M1536" i="5" a="1"/>
  <c r="M1520" i="5" a="1"/>
  <c r="M1491" i="5" a="1"/>
  <c r="M1477" i="5" a="1"/>
  <c r="M1461" i="5" a="1"/>
  <c r="M1418" i="5" a="1"/>
  <c r="M1402" i="5" a="1"/>
  <c r="M1388" i="5" a="1"/>
  <c r="M1373" i="5" a="1"/>
  <c r="M1345" i="5" a="1"/>
  <c r="M1286" i="5" a="1"/>
  <c r="M1270" i="5" a="1"/>
  <c r="M1241" i="5" a="1"/>
  <c r="M1227" i="5" a="1"/>
  <c r="M1212" i="5" a="1"/>
  <c r="M1199" i="5" a="1"/>
  <c r="M1171" i="5" a="1"/>
  <c r="M1134" i="5" a="1"/>
  <c r="M1122" i="5" a="1"/>
  <c r="M1099" i="5" a="1"/>
  <c r="M1087" i="5" a="1"/>
  <c r="M1075" i="5" a="1"/>
  <c r="M1040" i="5" a="1"/>
  <c r="M993" i="5" a="1"/>
  <c r="M981" i="5" a="1"/>
  <c r="M934" i="5" a="1"/>
  <c r="M922" i="5" a="1"/>
  <c r="M899" i="5" a="1"/>
  <c r="M887" i="5" a="1"/>
  <c r="M1986" i="5" a="1"/>
  <c r="M1938" i="5" a="1"/>
  <c r="M1922" i="5" a="1"/>
  <c r="M1876" i="5" a="1"/>
  <c r="M1860" i="5" a="1"/>
  <c r="M1812" i="5" a="1"/>
  <c r="M1798" i="5" a="1"/>
  <c r="M1750" i="5" a="1"/>
  <c r="M1736" i="5" a="1"/>
  <c r="M1688" i="5" a="1"/>
  <c r="M1672" i="5" a="1"/>
  <c r="M1626" i="5" a="1"/>
  <c r="M1610" i="5" a="1"/>
  <c r="M1562" i="5" a="1"/>
  <c r="M1548" i="5" a="1"/>
  <c r="M1518" i="5" a="1"/>
  <c r="M1502" i="5" a="1"/>
  <c r="M1488" i="5" a="1"/>
  <c r="M1473" i="5" a="1"/>
  <c r="M1445" i="5" a="1"/>
  <c r="M1386" i="5" a="1"/>
  <c r="M1370" i="5" a="1"/>
  <c r="M1341" i="5" a="1"/>
  <c r="M1327" i="5" a="1"/>
  <c r="M1311" i="5" a="1"/>
  <c r="M1268" i="5" a="1"/>
  <c r="M1252" i="5" a="1"/>
  <c r="M1238" i="5" a="1"/>
  <c r="M1224" i="5" a="1"/>
  <c r="M1182" i="5" a="1"/>
  <c r="M1155" i="5" a="1"/>
  <c r="M1120" i="5" a="1"/>
  <c r="M1073" i="5" a="1"/>
  <c r="M1061" i="5" a="1"/>
  <c r="M1014" i="5" a="1"/>
  <c r="M1002" i="5" a="1"/>
  <c r="M979" i="5" a="1"/>
  <c r="M967" i="5" a="1"/>
  <c r="M955" i="5" a="1"/>
  <c r="M920" i="5" a="1"/>
  <c r="M873" i="5" a="1"/>
  <c r="M861" i="5" a="1"/>
  <c r="M814" i="5" a="1"/>
  <c r="M802" i="5" a="1"/>
  <c r="M1999" i="5" a="1"/>
  <c r="M1956" i="5" a="1"/>
  <c r="M1887" i="5" a="1"/>
  <c r="M1842" i="5" a="1"/>
  <c r="M1776" i="5" a="1"/>
  <c r="M1755" i="5" a="1"/>
  <c r="M1710" i="5" a="1"/>
  <c r="M1642" i="5" a="1"/>
  <c r="M1575" i="5" a="1"/>
  <c r="M1530" i="5" a="1"/>
  <c r="M1510" i="5" a="1"/>
  <c r="M1489" i="5" a="1"/>
  <c r="M1468" i="5" a="1"/>
  <c r="M1382" i="5" a="1"/>
  <c r="M1362" i="5" a="1"/>
  <c r="M1320" i="5" a="1"/>
  <c r="M1299" i="5" a="1"/>
  <c r="M1278" i="5" a="1"/>
  <c r="M1197" i="5" a="1"/>
  <c r="M1177" i="5" a="1"/>
  <c r="M1157" i="5" a="1"/>
  <c r="M1140" i="5" a="1"/>
  <c r="M1022" i="5" a="1"/>
  <c r="M1007" i="5" a="1"/>
  <c r="M989" i="5" a="1"/>
  <c r="M973" i="5" a="1"/>
  <c r="M939" i="5" a="1"/>
  <c r="M872" i="5" a="1"/>
  <c r="M825" i="5" a="1"/>
  <c r="M780" i="5" a="1"/>
  <c r="M742" i="5" a="1"/>
  <c r="M707" i="5" a="1"/>
  <c r="M695" i="5" a="1"/>
  <c r="M683" i="5" a="1"/>
  <c r="M660" i="5" a="1"/>
  <c r="M615" i="5" a="1"/>
  <c r="M593" i="5" a="1"/>
  <c r="M572" i="5" a="1"/>
  <c r="M551" i="5" a="1"/>
  <c r="M530" i="5" a="1"/>
  <c r="M509" i="5" a="1"/>
  <c r="M1950" i="5" a="1"/>
  <c r="M1930" i="5" a="1"/>
  <c r="M1907" i="5" a="1"/>
  <c r="M1861" i="5" a="1"/>
  <c r="M1839" i="5" a="1"/>
  <c r="M1819" i="5" a="1"/>
  <c r="M1773" i="5" a="1"/>
  <c r="M1729" i="5" a="1"/>
  <c r="M1682" i="5" a="1"/>
  <c r="M1638" i="5" a="1"/>
  <c r="M1618" i="5" a="1"/>
  <c r="M1595" i="5" a="1"/>
  <c r="M1549" i="5" a="1"/>
  <c r="M1508" i="5" a="1"/>
  <c r="M1486" i="5" a="1"/>
  <c r="M1466" i="5" a="1"/>
  <c r="M1443" i="5" a="1"/>
  <c r="M1422" i="5" a="1"/>
  <c r="M1401" i="5" a="1"/>
  <c r="M1380" i="5" a="1"/>
  <c r="M1338" i="5" a="1"/>
  <c r="M1276" i="5" a="1"/>
  <c r="M1232" i="5" a="1"/>
  <c r="M1194" i="5" a="1"/>
  <c r="M1175" i="5" a="1"/>
  <c r="M1121" i="5" a="1"/>
  <c r="M1104" i="5" a="1"/>
  <c r="M1089" i="5" a="1"/>
  <c r="M1037" i="5" a="1"/>
  <c r="M971" i="5" a="1"/>
  <c r="M953" i="5" a="1"/>
  <c r="M937" i="5" a="1"/>
  <c r="M903" i="5" a="1"/>
  <c r="M839" i="5" a="1"/>
  <c r="M822" i="5" a="1"/>
  <c r="M792" i="5" a="1"/>
  <c r="M752" i="5" a="1"/>
  <c r="M717" i="5" a="1"/>
  <c r="M705" i="5" a="1"/>
  <c r="M693" i="5" a="1"/>
  <c r="M670" i="5" a="1"/>
  <c r="M658" i="5" a="1"/>
  <c r="M647" i="5" a="1"/>
  <c r="M636" i="5" a="1"/>
  <c r="M613" i="5" a="1"/>
  <c r="M602" i="5" a="1"/>
  <c r="M581" i="5" a="1"/>
  <c r="M560" i="5" a="1"/>
  <c r="M539" i="5" a="1"/>
  <c r="M518" i="5" a="1"/>
  <c r="M497" i="5" a="1"/>
  <c r="M487" i="5" a="1"/>
  <c r="M477" i="5" a="1"/>
  <c r="M467" i="5" a="1"/>
  <c r="M457" i="5" a="1"/>
  <c r="M447" i="5" a="1"/>
  <c r="M437" i="5" a="1"/>
  <c r="M427" i="5" a="1"/>
  <c r="M417" i="5" a="1"/>
  <c r="M407" i="5" a="1"/>
  <c r="M397" i="5" a="1"/>
  <c r="M387" i="5" a="1"/>
  <c r="M377" i="5" a="1"/>
  <c r="M367" i="5" a="1"/>
  <c r="M357" i="5" a="1"/>
  <c r="M347" i="5" a="1"/>
  <c r="M337" i="5" a="1"/>
  <c r="M327" i="5" a="1"/>
  <c r="M317" i="5" a="1"/>
  <c r="M307" i="5" a="1"/>
  <c r="M1962" i="5" a="1"/>
  <c r="M1941" i="5" a="1"/>
  <c r="M1898" i="5" a="1"/>
  <c r="M1873" i="5" a="1"/>
  <c r="M1830" i="5" a="1"/>
  <c r="M1761" i="5" a="1"/>
  <c r="M1718" i="5" a="1"/>
  <c r="M1673" i="5" a="1"/>
  <c r="M1650" i="5" a="1"/>
  <c r="M1629" i="5" a="1"/>
  <c r="M1586" i="5" a="1"/>
  <c r="M1476" i="5" a="1"/>
  <c r="M1436" i="5" a="1"/>
  <c r="M1392" i="5" a="1"/>
  <c r="M1329" i="5" a="1"/>
  <c r="M1288" i="5" a="1"/>
  <c r="M1266" i="5" a="1"/>
  <c r="M1246" i="5" a="1"/>
  <c r="M1225" i="5" a="1"/>
  <c r="M1205" i="5" a="1"/>
  <c r="M1185" i="5" a="1"/>
  <c r="M1165" i="5" a="1"/>
  <c r="M1130" i="5" a="1"/>
  <c r="M1114" i="5" a="1"/>
  <c r="M1097" i="5" a="1"/>
  <c r="M1080" i="5" a="1"/>
  <c r="M1063" i="5" a="1"/>
  <c r="M1012" i="5" a="1"/>
  <c r="M962" i="5" a="1"/>
  <c r="M945" i="5" a="1"/>
  <c r="M913" i="5" a="1"/>
  <c r="M879" i="5" a="1"/>
  <c r="M863" i="5" a="1"/>
  <c r="M847" i="5" a="1"/>
  <c r="M800" i="5" a="1"/>
  <c r="M785" i="5" a="1"/>
  <c r="M747" i="5" a="1"/>
  <c r="M735" i="5" a="1"/>
  <c r="M723" i="5" a="1"/>
  <c r="M700" i="5" a="1"/>
  <c r="M688" i="5" a="1"/>
  <c r="M587" i="5" a="1"/>
  <c r="M566" i="5" a="1"/>
  <c r="M555" i="5" a="1"/>
  <c r="M534" i="5" a="1"/>
  <c r="M513" i="5" a="1"/>
  <c r="M1918" i="5" a="1"/>
  <c r="M1872" i="5" a="1"/>
  <c r="M1851" i="5" a="1"/>
  <c r="M1829" i="5" a="1"/>
  <c r="M1807" i="5" a="1"/>
  <c r="M1783" i="5" a="1"/>
  <c r="M1741" i="5" a="1"/>
  <c r="M1696" i="5" a="1"/>
  <c r="M1606" i="5" a="1"/>
  <c r="M1560" i="5" a="1"/>
  <c r="M1539" i="5" a="1"/>
  <c r="M1455" i="5" a="1"/>
  <c r="M1411" i="5" a="1"/>
  <c r="M1349" i="5" a="1"/>
  <c r="M1328" i="5" a="1"/>
  <c r="M1307" i="5" a="1"/>
  <c r="M1223" i="5" a="1"/>
  <c r="M1204" i="5" a="1"/>
  <c r="M1184" i="5" a="1"/>
  <c r="M1164" i="5" a="1"/>
  <c r="M1062" i="5" a="1"/>
  <c r="M1045" i="5" a="1"/>
  <c r="M1030" i="5" a="1"/>
  <c r="M912" i="5" a="1"/>
  <c r="M894" i="5" a="1"/>
  <c r="M862" i="5" a="1"/>
  <c r="M831" i="5" a="1"/>
  <c r="M815" i="5" a="1"/>
  <c r="M799" i="5" a="1"/>
  <c r="M771" i="5" a="1"/>
  <c r="M758" i="5" a="1"/>
  <c r="M711" i="5" a="1"/>
  <c r="M699" i="5" a="1"/>
  <c r="M676" i="5" a="1"/>
  <c r="M652" i="5" a="1"/>
  <c r="M641" i="5" a="1"/>
  <c r="M630" i="5" a="1"/>
  <c r="M619" i="5" a="1"/>
  <c r="M608" i="5" a="1"/>
  <c r="M597" i="5" a="1"/>
  <c r="M576" i="5" a="1"/>
  <c r="M565" i="5" a="1"/>
  <c r="M544" i="5" a="1"/>
  <c r="M523" i="5" a="1"/>
  <c r="M502" i="5" a="1"/>
  <c r="M492" i="5" a="1"/>
  <c r="M482" i="5" a="1"/>
  <c r="M472" i="5" a="1"/>
  <c r="M462" i="5" a="1"/>
  <c r="M452" i="5" a="1"/>
  <c r="M442" i="5" a="1"/>
  <c r="M432" i="5" a="1"/>
  <c r="M422" i="5" a="1"/>
  <c r="M1982" i="5" a="1"/>
  <c r="M1961" i="5" a="1"/>
  <c r="M1939" i="5" a="1"/>
  <c r="M1895" i="5" a="1"/>
  <c r="M1850" i="5" a="1"/>
  <c r="M1827" i="5" a="1"/>
  <c r="M1782" i="5" a="1"/>
  <c r="M1760" i="5" a="1"/>
  <c r="M1670" i="5" a="1"/>
  <c r="M1649" i="5" a="1"/>
  <c r="M1627" i="5" a="1"/>
  <c r="M1581" i="5" a="1"/>
  <c r="M1538" i="5" a="1"/>
  <c r="M1516" i="5" a="1"/>
  <c r="M1496" i="5" a="1"/>
  <c r="M1475" i="5" a="1"/>
  <c r="M1452" i="5" a="1"/>
  <c r="M1431" i="5" a="1"/>
  <c r="M1410" i="5" a="1"/>
  <c r="M1391" i="5" a="1"/>
  <c r="M1262" i="5" a="1"/>
  <c r="M1245" i="5" a="1"/>
  <c r="M1221" i="5" a="1"/>
  <c r="M1203" i="5" a="1"/>
  <c r="M1183" i="5" a="1"/>
  <c r="M1162" i="5" a="1"/>
  <c r="M1145" i="5" a="1"/>
  <c r="M1113" i="5" a="1"/>
  <c r="M1079" i="5" a="1"/>
  <c r="M995" i="5" a="1"/>
  <c r="M977" i="5" a="1"/>
  <c r="M961" i="5" a="1"/>
  <c r="M944" i="5" a="1"/>
  <c r="M927" i="5" a="1"/>
  <c r="M910" i="5" a="1"/>
  <c r="M893" i="5" a="1"/>
  <c r="M845" i="5" a="1"/>
  <c r="M784" i="5" a="1"/>
  <c r="M770" i="5" a="1"/>
  <c r="M746" i="5" a="1"/>
  <c r="M722" i="5" a="1"/>
  <c r="M687" i="5" a="1"/>
  <c r="M675" i="5" a="1"/>
  <c r="M663" i="5" a="1"/>
  <c r="M586" i="5" a="1"/>
  <c r="M575" i="5" a="1"/>
  <c r="M554" i="5" a="1"/>
  <c r="M533" i="5" a="1"/>
  <c r="M512" i="5" a="1"/>
  <c r="M1957" i="5" a="1"/>
  <c r="M1933" i="5" a="1"/>
  <c r="M1912" i="5" a="1"/>
  <c r="M1889" i="5" a="1"/>
  <c r="M1846" i="5" a="1"/>
  <c r="M1822" i="5" a="1"/>
  <c r="M1732" i="5" a="1"/>
  <c r="M1711" i="5" a="1"/>
  <c r="M1689" i="5" a="1"/>
  <c r="M1645" i="5" a="1"/>
  <c r="M1600" i="5" a="1"/>
  <c r="M1577" i="5" a="1"/>
  <c r="M1532" i="5" a="1"/>
  <c r="M1511" i="5" a="1"/>
  <c r="M1490" i="5" a="1"/>
  <c r="M1469" i="5" a="1"/>
  <c r="M1343" i="5" a="1"/>
  <c r="M1302" i="5" a="1"/>
  <c r="M1280" i="5" a="1"/>
  <c r="M1260" i="5" a="1"/>
  <c r="M1239" i="5" a="1"/>
  <c r="M1198" i="5" a="1"/>
  <c r="M1178" i="5" a="1"/>
  <c r="M1160" i="5" a="1"/>
  <c r="M1109" i="5" a="1"/>
  <c r="M1042" i="5" a="1"/>
  <c r="M1024" i="5" a="1"/>
  <c r="M991" i="5" a="1"/>
  <c r="M974" i="5" a="1"/>
  <c r="M957" i="5" a="1"/>
  <c r="M940" i="5" a="1"/>
  <c r="M874" i="5" a="1"/>
  <c r="M843" i="5" a="1"/>
  <c r="M827" i="5" a="1"/>
  <c r="M781" i="5" a="1"/>
  <c r="M755" i="5" a="1"/>
  <c r="M743" i="5" a="1"/>
  <c r="M720" i="5" a="1"/>
  <c r="M708" i="5" a="1"/>
  <c r="M661" i="5" a="1"/>
  <c r="M605" i="5" a="1"/>
  <c r="M594" i="5" a="1"/>
  <c r="M573" i="5" a="1"/>
  <c r="M552" i="5" a="1"/>
  <c r="M531" i="5" a="1"/>
  <c r="M510" i="5" a="1"/>
  <c r="M1968" i="5" a="1"/>
  <c r="M1936" i="5" a="1"/>
  <c r="M1870" i="5" a="1"/>
  <c r="M1838" i="5" a="1"/>
  <c r="M1587" i="5" a="1"/>
  <c r="M1555" i="5" a="1"/>
  <c r="M1523" i="5" a="1"/>
  <c r="M1493" i="5" a="1"/>
  <c r="M1400" i="5" a="1"/>
  <c r="M1372" i="5" a="1"/>
  <c r="M1340" i="5" a="1"/>
  <c r="M1281" i="5" a="1"/>
  <c r="M1250" i="5" a="1"/>
  <c r="M1092" i="5" a="1"/>
  <c r="M1044" i="5" a="1"/>
  <c r="M1020" i="5" a="1"/>
  <c r="M972" i="5" a="1"/>
  <c r="M925" i="5" a="1"/>
  <c r="M901" i="5" a="1"/>
  <c r="M877" i="5" a="1"/>
  <c r="M854" i="5" a="1"/>
  <c r="M833" i="5" a="1"/>
  <c r="M809" i="5" a="1"/>
  <c r="M733" i="5" a="1"/>
  <c r="M701" i="5" a="1"/>
  <c r="M667" i="5" a="1"/>
  <c r="M650" i="5" a="1"/>
  <c r="M618" i="5" a="1"/>
  <c r="M588" i="5" a="1"/>
  <c r="M542" i="5" a="1"/>
  <c r="M527" i="5" a="1"/>
  <c r="M468" i="5" a="1"/>
  <c r="M440" i="5" a="1"/>
  <c r="M412" i="5" a="1"/>
  <c r="M398" i="5" a="1"/>
  <c r="M385" i="5" a="1"/>
  <c r="M372" i="5" a="1"/>
  <c r="M324" i="5" a="1"/>
  <c r="M312" i="5" a="1"/>
  <c r="M278" i="5" a="1"/>
  <c r="M268" i="5" a="1"/>
  <c r="M258" i="5" a="1"/>
  <c r="M248" i="5" a="1"/>
  <c r="M238" i="5" a="1"/>
  <c r="M228" i="5" a="1"/>
  <c r="M218" i="5" a="1"/>
  <c r="M208" i="5" a="1"/>
  <c r="M198" i="5" a="1"/>
  <c r="M188" i="5" a="1"/>
  <c r="M178" i="5" a="1"/>
  <c r="M168" i="5" a="1"/>
  <c r="M158" i="5" a="1"/>
  <c r="M148" i="5" a="1"/>
  <c r="M138" i="5" a="1"/>
  <c r="M128" i="5" a="1"/>
  <c r="M118" i="5" a="1"/>
  <c r="M108" i="5" a="1"/>
  <c r="M98" i="5" a="1"/>
  <c r="M1932" i="5" a="1"/>
  <c r="M1901" i="5" a="1"/>
  <c r="M1808" i="5" a="1"/>
  <c r="M1775" i="5" a="1"/>
  <c r="M1745" i="5" a="1"/>
  <c r="M1680" i="5" a="1"/>
  <c r="M1648" i="5" a="1"/>
  <c r="M1617" i="5" a="1"/>
  <c r="M1522" i="5" a="1"/>
  <c r="M1460" i="5" a="1"/>
  <c r="M1430" i="5" a="1"/>
  <c r="M1399" i="5" a="1"/>
  <c r="M1339" i="5" a="1"/>
  <c r="M1191" i="5" a="1"/>
  <c r="M1166" i="5" a="1"/>
  <c r="M1139" i="5" a="1"/>
  <c r="M1091" i="5" a="1"/>
  <c r="M997" i="5" a="1"/>
  <c r="M949" i="5" a="1"/>
  <c r="M924" i="5" a="1"/>
  <c r="M875" i="5" a="1"/>
  <c r="M832" i="5" a="1"/>
  <c r="M787" i="5" a="1"/>
  <c r="M767" i="5" a="1"/>
  <c r="M750" i="5" a="1"/>
  <c r="M716" i="5" a="1"/>
  <c r="M682" i="5" a="1"/>
  <c r="M649" i="5" a="1"/>
  <c r="M633" i="5" a="1"/>
  <c r="M601" i="5" a="1"/>
  <c r="M571" i="5" a="1"/>
  <c r="M557" i="5" a="1"/>
  <c r="M541" i="5" a="1"/>
  <c r="M511" i="5" a="1"/>
  <c r="M496" i="5" a="1"/>
  <c r="M483" i="5" a="1"/>
  <c r="M454" i="5" a="1"/>
  <c r="M439" i="5" a="1"/>
  <c r="M425" i="5" a="1"/>
  <c r="M411" i="5" a="1"/>
  <c r="M371" i="5" a="1"/>
  <c r="M359" i="5" a="1"/>
  <c r="M335" i="5" a="1"/>
  <c r="M300" i="5" a="1"/>
  <c r="M289" i="5" a="1"/>
  <c r="M1996" i="5" a="1"/>
  <c r="M1931" i="5" a="1"/>
  <c r="M1900" i="5" a="1"/>
  <c r="M1869" i="5" a="1"/>
  <c r="M1837" i="5" a="1"/>
  <c r="M1806" i="5" a="1"/>
  <c r="M1772" i="5" a="1"/>
  <c r="M1743" i="5" a="1"/>
  <c r="M1429" i="5" a="1"/>
  <c r="M1398" i="5" a="1"/>
  <c r="M1368" i="5" a="1"/>
  <c r="M1337" i="5" a="1"/>
  <c r="M1219" i="5" a="1"/>
  <c r="M1190" i="5" a="1"/>
  <c r="M1115" i="5" a="1"/>
  <c r="M1090" i="5" a="1"/>
  <c r="M1067" i="5" a="1"/>
  <c r="M1043" i="5" a="1"/>
  <c r="M1019" i="5" a="1"/>
  <c r="M969" i="5" a="1"/>
  <c r="M921" i="5" a="1"/>
  <c r="M830" i="5" a="1"/>
  <c r="M807" i="5" a="1"/>
  <c r="M765" i="5" a="1"/>
  <c r="M749" i="5" a="1"/>
  <c r="M732" i="5" a="1"/>
  <c r="M715" i="5" a="1"/>
  <c r="M698" i="5" a="1"/>
  <c r="M681" i="5" a="1"/>
  <c r="M666" i="5" a="1"/>
  <c r="M648" i="5" a="1"/>
  <c r="M617" i="5" a="1"/>
  <c r="M585" i="5" a="1"/>
  <c r="M570" i="5" a="1"/>
  <c r="M540" i="5" a="1"/>
  <c r="M526" i="5" a="1"/>
  <c r="M481" i="5" a="1"/>
  <c r="M438" i="5" a="1"/>
  <c r="M384" i="5" a="1"/>
  <c r="M358" i="5" a="1"/>
  <c r="M346" i="5" a="1"/>
  <c r="M323" i="5" a="1"/>
  <c r="M311" i="5" a="1"/>
  <c r="M288" i="5" a="1"/>
  <c r="M277" i="5" a="1"/>
  <c r="M267" i="5" a="1"/>
  <c r="M257" i="5" a="1"/>
  <c r="M247" i="5" a="1"/>
  <c r="M237" i="5" a="1"/>
  <c r="M227" i="5" a="1"/>
  <c r="M217" i="5" a="1"/>
  <c r="M207" i="5" a="1"/>
  <c r="M197" i="5" a="1"/>
  <c r="M187" i="5" a="1"/>
  <c r="M177" i="5" a="1"/>
  <c r="M167" i="5" a="1"/>
  <c r="M157" i="5" a="1"/>
  <c r="M147" i="5" a="1"/>
  <c r="M137" i="5" a="1"/>
  <c r="M127" i="5" a="1"/>
  <c r="M117" i="5" a="1"/>
  <c r="M107" i="5" a="1"/>
  <c r="M97" i="5" a="1"/>
  <c r="M1965" i="5" a="1"/>
  <c r="M1868" i="5" a="1"/>
  <c r="M1742" i="5" a="1"/>
  <c r="M1707" i="5" a="1"/>
  <c r="M1679" i="5" a="1"/>
  <c r="M1643" i="5" a="1"/>
  <c r="M1611" i="5" a="1"/>
  <c r="M1580" i="5" a="1"/>
  <c r="M1519" i="5" a="1"/>
  <c r="M1458" i="5" a="1"/>
  <c r="M1427" i="5" a="1"/>
  <c r="M1367" i="5" a="1"/>
  <c r="M1277" i="5" a="1"/>
  <c r="M1248" i="5" a="1"/>
  <c r="M1218" i="5" a="1"/>
  <c r="M1161" i="5" a="1"/>
  <c r="M1137" i="5" a="1"/>
  <c r="M992" i="5" a="1"/>
  <c r="M851" i="5" a="1"/>
  <c r="M731" i="5" a="1"/>
  <c r="M665" i="5" a="1"/>
  <c r="M632" i="5" a="1"/>
  <c r="M616" i="5" a="1"/>
  <c r="M600" i="5" a="1"/>
  <c r="M556" i="5" a="1"/>
  <c r="M525" i="5" a="1"/>
  <c r="M495" i="5" a="1"/>
  <c r="M466" i="5" a="1"/>
  <c r="M453" i="5" a="1"/>
  <c r="M424" i="5" a="1"/>
  <c r="M410" i="5" a="1"/>
  <c r="M396" i="5" a="1"/>
  <c r="M370" i="5" a="1"/>
  <c r="M334" i="5" a="1"/>
  <c r="M322" i="5" a="1"/>
  <c r="M299" i="5" a="1"/>
  <c r="M1995" i="5" a="1"/>
  <c r="M1899" i="5" a="1"/>
  <c r="M1867" i="5" a="1"/>
  <c r="M1836" i="5" a="1"/>
  <c r="M1805" i="5" a="1"/>
  <c r="M1769" i="5" a="1"/>
  <c r="M1737" i="5" a="1"/>
  <c r="M1706" i="5" a="1"/>
  <c r="M1641" i="5" a="1"/>
  <c r="M1579" i="5" a="1"/>
  <c r="M1546" i="5" a="1"/>
  <c r="M1483" i="5" a="1"/>
  <c r="M1457" i="5" a="1"/>
  <c r="M1425" i="5" a="1"/>
  <c r="M1396" i="5" a="1"/>
  <c r="M1366" i="5" a="1"/>
  <c r="M1336" i="5" a="1"/>
  <c r="M1306" i="5" a="1"/>
  <c r="M1189" i="5" a="1"/>
  <c r="M1112" i="5" a="1"/>
  <c r="M1039" i="5" a="1"/>
  <c r="M943" i="5" a="1"/>
  <c r="M897" i="5" a="1"/>
  <c r="M871" i="5" a="1"/>
  <c r="M763" i="5" a="1"/>
  <c r="M748" i="5" a="1"/>
  <c r="M730" i="5" a="1"/>
  <c r="M697" i="5" a="1"/>
  <c r="M680" i="5" a="1"/>
  <c r="M584" i="5" a="1"/>
  <c r="M569" i="5" a="1"/>
  <c r="M480" i="5" a="1"/>
  <c r="M451" i="5" a="1"/>
  <c r="M409" i="5" a="1"/>
  <c r="M383" i="5" a="1"/>
  <c r="M369" i="5" a="1"/>
  <c r="M345" i="5" a="1"/>
  <c r="M310" i="5" a="1"/>
  <c r="M298" i="5" a="1"/>
  <c r="M287" i="5" a="1"/>
  <c r="M276" i="5" a="1"/>
  <c r="M266" i="5" a="1"/>
  <c r="M256" i="5" a="1"/>
  <c r="M246" i="5" a="1"/>
  <c r="M236" i="5" a="1"/>
  <c r="M226" i="5" a="1"/>
  <c r="M216" i="5" a="1"/>
  <c r="M206" i="5" a="1"/>
  <c r="M196" i="5" a="1"/>
  <c r="M186" i="5" a="1"/>
  <c r="M176" i="5" a="1"/>
  <c r="M166" i="5" a="1"/>
  <c r="M156" i="5" a="1"/>
  <c r="M146" i="5" a="1"/>
  <c r="M136" i="5" a="1"/>
  <c r="M126" i="5" a="1"/>
  <c r="M116" i="5" a="1"/>
  <c r="M106" i="5" a="1"/>
  <c r="M96" i="5" a="1"/>
  <c r="M1993" i="5" a="1"/>
  <c r="M1960" i="5" a="1"/>
  <c r="M1929" i="5" a="1"/>
  <c r="M1799" i="5" a="1"/>
  <c r="M1705" i="5" a="1"/>
  <c r="M1675" i="5" a="1"/>
  <c r="M1639" i="5" a="1"/>
  <c r="M1576" i="5" a="1"/>
  <c r="M1512" i="5" a="1"/>
  <c r="M1482" i="5" a="1"/>
  <c r="M1423" i="5" a="1"/>
  <c r="M1365" i="5" a="1"/>
  <c r="M1275" i="5" a="1"/>
  <c r="M1216" i="5" a="1"/>
  <c r="M1110" i="5" a="1"/>
  <c r="M1065" i="5" a="1"/>
  <c r="M1015" i="5" a="1"/>
  <c r="M990" i="5" a="1"/>
  <c r="M850" i="5" a="1"/>
  <c r="M804" i="5" a="1"/>
  <c r="M783" i="5" a="1"/>
  <c r="M729" i="5" a="1"/>
  <c r="M713" i="5" a="1"/>
  <c r="M696" i="5" a="1"/>
  <c r="M679" i="5" a="1"/>
  <c r="M662" i="5" a="1"/>
  <c r="M646" i="5" a="1"/>
  <c r="M631" i="5" a="1"/>
  <c r="M599" i="5" a="1"/>
  <c r="M583" i="5" a="1"/>
  <c r="M553" i="5" a="1"/>
  <c r="M538" i="5" a="1"/>
  <c r="M524" i="5" a="1"/>
  <c r="M508" i="5" a="1"/>
  <c r="M494" i="5" a="1"/>
  <c r="M479" i="5" a="1"/>
  <c r="M465" i="5" a="1"/>
  <c r="M436" i="5" a="1"/>
  <c r="M423" i="5" a="1"/>
  <c r="M408" i="5" a="1"/>
  <c r="M395" i="5" a="1"/>
  <c r="M1992" i="5" a="1"/>
  <c r="M1893" i="5" a="1"/>
  <c r="M1831" i="5" a="1"/>
  <c r="M1768" i="5" a="1"/>
  <c r="M1701" i="5" a="1"/>
  <c r="M1637" i="5" a="1"/>
  <c r="M1608" i="5" a="1"/>
  <c r="M1573" i="5" a="1"/>
  <c r="M1543" i="5" a="1"/>
  <c r="M1395" i="5" a="1"/>
  <c r="M1333" i="5" a="1"/>
  <c r="M1305" i="5" a="1"/>
  <c r="M1273" i="5" a="1"/>
  <c r="M1243" i="5" a="1"/>
  <c r="M1188" i="5" a="1"/>
  <c r="M1085" i="5" a="1"/>
  <c r="M965" i="5" a="1"/>
  <c r="M941" i="5" a="1"/>
  <c r="M892" i="5" a="1"/>
  <c r="M869" i="5" a="1"/>
  <c r="M849" i="5" a="1"/>
  <c r="M824" i="5" a="1"/>
  <c r="M762" i="5" a="1"/>
  <c r="M745" i="5" a="1"/>
  <c r="M728" i="5" a="1"/>
  <c r="M645" i="5" a="1"/>
  <c r="M629" i="5" a="1"/>
  <c r="M582" i="5" a="1"/>
  <c r="M568" i="5" a="1"/>
  <c r="M522" i="5" a="1"/>
  <c r="M507" i="5" a="1"/>
  <c r="M478" i="5" a="1"/>
  <c r="M450" i="5" a="1"/>
  <c r="M421" i="5" a="1"/>
  <c r="M381" i="5" a="1"/>
  <c r="M344" i="5" a="1"/>
  <c r="M332" i="5" a="1"/>
  <c r="M309" i="5" a="1"/>
  <c r="M297" i="5" a="1"/>
  <c r="M286" i="5" a="1"/>
  <c r="M275" i="5" a="1"/>
  <c r="M265" i="5" a="1"/>
  <c r="M255" i="5" a="1"/>
  <c r="M245" i="5" a="1"/>
  <c r="M235" i="5" a="1"/>
  <c r="M225" i="5" a="1"/>
  <c r="M215" i="5" a="1"/>
  <c r="M205" i="5" a="1"/>
  <c r="M195" i="5" a="1"/>
  <c r="M185" i="5" a="1"/>
  <c r="M175" i="5" a="1"/>
  <c r="M1925" i="5" a="1"/>
  <c r="M1892" i="5" a="1"/>
  <c r="M1796" i="5" a="1"/>
  <c r="M1767" i="5" a="1"/>
  <c r="M1700" i="5" a="1"/>
  <c r="M1572" i="5" a="1"/>
  <c r="M1542" i="5" a="1"/>
  <c r="M1481" i="5" a="1"/>
  <c r="M1451" i="5" a="1"/>
  <c r="M1393" i="5" a="1"/>
  <c r="M1361" i="5" a="1"/>
  <c r="M1332" i="5" a="1"/>
  <c r="M1272" i="5" a="1"/>
  <c r="M1240" i="5" a="1"/>
  <c r="M1211" i="5" a="1"/>
  <c r="M1133" i="5" a="1"/>
  <c r="M1084" i="5" a="1"/>
  <c r="M1035" i="5" a="1"/>
  <c r="M987" i="5" a="1"/>
  <c r="M803" i="5" a="1"/>
  <c r="M712" i="5" a="1"/>
  <c r="M678" i="5" a="1"/>
  <c r="M612" i="5" a="1"/>
  <c r="M598" i="5" a="1"/>
  <c r="M537" i="5" a="1"/>
  <c r="M493" i="5" a="1"/>
  <c r="M464" i="5" a="1"/>
  <c r="M449" i="5" a="1"/>
  <c r="M435" i="5" a="1"/>
  <c r="M394" i="5" a="1"/>
  <c r="M355" i="5" a="1"/>
  <c r="M320" i="5" a="1"/>
  <c r="M308" i="5" a="1"/>
  <c r="M1955" i="5" a="1"/>
  <c r="M1923" i="5" a="1"/>
  <c r="M1891" i="5" a="1"/>
  <c r="M1858" i="5" a="1"/>
  <c r="M1826" i="5" a="1"/>
  <c r="M1793" i="5" a="1"/>
  <c r="M1765" i="5" a="1"/>
  <c r="M1730" i="5" a="1"/>
  <c r="M1699" i="5" a="1"/>
  <c r="M1668" i="5" a="1"/>
  <c r="M1636" i="5" a="1"/>
  <c r="M1605" i="5" a="1"/>
  <c r="M1450" i="5" a="1"/>
  <c r="M1420" i="5" a="1"/>
  <c r="M1390" i="5" a="1"/>
  <c r="M1358" i="5" a="1"/>
  <c r="M1132" i="5" a="1"/>
  <c r="M1083" i="5" a="1"/>
  <c r="M1059" i="5" a="1"/>
  <c r="M1034" i="5" a="1"/>
  <c r="M1010" i="5" a="1"/>
  <c r="M915" i="5" a="1"/>
  <c r="M891" i="5" a="1"/>
  <c r="M761" i="5" a="1"/>
  <c r="M727" i="5" a="1"/>
  <c r="M710" i="5" a="1"/>
  <c r="M659" i="5" a="1"/>
  <c r="M628" i="5" a="1"/>
  <c r="M596" i="5" a="1"/>
  <c r="M567" i="5" a="1"/>
  <c r="M521" i="5" a="1"/>
  <c r="M506" i="5" a="1"/>
  <c r="M491" i="5" a="1"/>
  <c r="M448" i="5" a="1"/>
  <c r="M420" i="5" a="1"/>
  <c r="M406" i="5" a="1"/>
  <c r="M380" i="5" a="1"/>
  <c r="M366" i="5" a="1"/>
  <c r="M343" i="5" a="1"/>
  <c r="M331" i="5" a="1"/>
  <c r="M296" i="5" a="1"/>
  <c r="M285" i="5" a="1"/>
  <c r="M274" i="5" a="1"/>
  <c r="M264" i="5" a="1"/>
  <c r="M254" i="5" a="1"/>
  <c r="M244" i="5" a="1"/>
  <c r="M234" i="5" a="1"/>
  <c r="M224" i="5" a="1"/>
  <c r="M214" i="5" a="1"/>
  <c r="M204" i="5" a="1"/>
  <c r="M194" i="5" a="1"/>
  <c r="M184" i="5" a="1"/>
  <c r="M174" i="5" a="1"/>
  <c r="M1987" i="5" a="1"/>
  <c r="M1951" i="5" a="1"/>
  <c r="M1888" i="5" a="1"/>
  <c r="M1825" i="5" a="1"/>
  <c r="M1792" i="5" a="1"/>
  <c r="M1762" i="5" a="1"/>
  <c r="M1667" i="5" a="1"/>
  <c r="M1570" i="5" a="1"/>
  <c r="M1541" i="5" a="1"/>
  <c r="M1480" i="5" a="1"/>
  <c r="M1449" i="5" a="1"/>
  <c r="M1331" i="5" a="1"/>
  <c r="M1949" i="5" a="1"/>
  <c r="M1920" i="5" a="1"/>
  <c r="M1823" i="5" a="1"/>
  <c r="M1698" i="5" a="1"/>
  <c r="M1665" i="5" a="1"/>
  <c r="M1633" i="5" a="1"/>
  <c r="M1601" i="5" a="1"/>
  <c r="M1506" i="5" a="1"/>
  <c r="M1446" i="5" a="1"/>
  <c r="M1387" i="5" a="1"/>
  <c r="M1357" i="5" a="1"/>
  <c r="M1326" i="5" a="1"/>
  <c r="M1236" i="5" a="1"/>
  <c r="M1208" i="5" a="1"/>
  <c r="M1081" i="5" a="1"/>
  <c r="M1033" i="5" a="1"/>
  <c r="M1009" i="5" a="1"/>
  <c r="M914" i="5" a="1"/>
  <c r="M889" i="5" a="1"/>
  <c r="M777" i="5" a="1"/>
  <c r="M760" i="5" a="1"/>
  <c r="M726" i="5" a="1"/>
  <c r="M1886" i="5" a="1"/>
  <c r="M1856" i="5" a="1"/>
  <c r="M1791" i="5" a="1"/>
  <c r="M1727" i="5" a="1"/>
  <c r="M1662" i="5" a="1"/>
  <c r="M1632" i="5" a="1"/>
  <c r="M1569" i="5" a="1"/>
  <c r="M1479" i="5" a="1"/>
  <c r="M1417" i="5" a="1"/>
  <c r="M1356" i="5" a="1"/>
  <c r="M1325" i="5" a="1"/>
  <c r="M1295" i="5" a="1"/>
  <c r="M1233" i="5" a="1"/>
  <c r="M1151" i="5" a="1"/>
  <c r="M1127" i="5" a="1"/>
  <c r="M1103" i="5" a="1"/>
  <c r="M1980" i="5" a="1"/>
  <c r="M1948" i="5" a="1"/>
  <c r="M1917" i="5" a="1"/>
  <c r="M1883" i="5" a="1"/>
  <c r="M1820" i="5" a="1"/>
  <c r="M1758" i="5" a="1"/>
  <c r="M1726" i="5" a="1"/>
  <c r="M1695" i="5" a="1"/>
  <c r="M1567" i="5" a="1"/>
  <c r="M1533" i="5" a="1"/>
  <c r="M1505" i="5" a="1"/>
  <c r="M1472" i="5" a="1"/>
  <c r="M1416" i="5" a="1"/>
  <c r="M1355" i="5" a="1"/>
  <c r="M1323" i="5" a="1"/>
  <c r="M1292" i="5" a="1"/>
  <c r="M1102" i="5" a="1"/>
  <c r="M1054" i="5" a="1"/>
  <c r="M885" i="5" a="1"/>
  <c r="M865" i="5" a="1"/>
  <c r="M840" i="5" a="1"/>
  <c r="M775" i="5" a="1"/>
  <c r="M757" i="5" a="1"/>
  <c r="M740" i="5" a="1"/>
  <c r="M673" i="5" a="1"/>
  <c r="M640" i="5" a="1"/>
  <c r="M563" i="5" a="1"/>
  <c r="M548" i="5" a="1"/>
  <c r="M488" i="5" a="1"/>
  <c r="M460" i="5" a="1"/>
  <c r="M431" i="5" a="1"/>
  <c r="M404" i="5" a="1"/>
  <c r="M364" i="5" a="1"/>
  <c r="M352" i="5" a="1"/>
  <c r="M329" i="5" a="1"/>
  <c r="M305" i="5" a="1"/>
  <c r="M294" i="5" a="1"/>
  <c r="M283" i="5" a="1"/>
  <c r="M272" i="5" a="1"/>
  <c r="M262" i="5" a="1"/>
  <c r="M252" i="5" a="1"/>
  <c r="M242" i="5" a="1"/>
  <c r="M232" i="5" a="1"/>
  <c r="M222" i="5" a="1"/>
  <c r="M212" i="5" a="1"/>
  <c r="M202" i="5" a="1"/>
  <c r="M192" i="5" a="1"/>
  <c r="M182" i="5" a="1"/>
  <c r="M172" i="5" a="1"/>
  <c r="M162" i="5" a="1"/>
  <c r="M152" i="5" a="1"/>
  <c r="M142" i="5" a="1"/>
  <c r="M132" i="5" a="1"/>
  <c r="M122" i="5" a="1"/>
  <c r="M112" i="5" a="1"/>
  <c r="M102" i="5" a="1"/>
  <c r="M1979" i="5" a="1"/>
  <c r="M1882" i="5" a="1"/>
  <c r="M1855" i="5" a="1"/>
  <c r="M1789" i="5" a="1"/>
  <c r="M1757" i="5" a="1"/>
  <c r="M1691" i="5" a="1"/>
  <c r="M1631" i="5" a="1"/>
  <c r="M1596" i="5" a="1"/>
  <c r="M1531" i="5" a="1"/>
  <c r="M1441" i="5" a="1"/>
  <c r="M1415" i="5" a="1"/>
  <c r="M1352" i="5" a="1"/>
  <c r="M1261" i="5" a="1"/>
  <c r="M1231" i="5" a="1"/>
  <c r="M1206" i="5" a="1"/>
  <c r="M1176" i="5" a="1"/>
  <c r="M1150" i="5" a="1"/>
  <c r="M1125" i="5" a="1"/>
  <c r="M1031" i="5" a="1"/>
  <c r="M1004" i="5" a="1"/>
  <c r="M983" i="5" a="1"/>
  <c r="M933" i="5" a="1"/>
  <c r="M909" i="5" a="1"/>
  <c r="M884" i="5" a="1"/>
  <c r="M819" i="5" a="1"/>
  <c r="M795" i="5" a="1"/>
  <c r="M739" i="5" a="1"/>
  <c r="M706" i="5" a="1"/>
  <c r="M690" i="5" a="1"/>
  <c r="M672" i="5" a="1"/>
  <c r="M656" i="5" a="1"/>
  <c r="M623" i="5" a="1"/>
  <c r="M609" i="5" a="1"/>
  <c r="M592" i="5" a="1"/>
  <c r="M578" i="5" a="1"/>
  <c r="M562" i="5" a="1"/>
  <c r="M532" i="5" a="1"/>
  <c r="M517" i="5" a="1"/>
  <c r="M503" i="5" a="1"/>
  <c r="M474" i="5" a="1"/>
  <c r="M459" i="5" a="1"/>
  <c r="M445" i="5" a="1"/>
  <c r="M416" i="5" a="1"/>
  <c r="M390" i="5" a="1"/>
  <c r="M376" i="5" a="1"/>
  <c r="M340" i="5" a="1"/>
  <c r="M328" i="5" a="1"/>
  <c r="M316" i="5" a="1"/>
  <c r="M282" i="5" a="1"/>
  <c r="M1977" i="5" a="1"/>
  <c r="M1915" i="5" a="1"/>
  <c r="M1817" i="5" a="1"/>
  <c r="M1788" i="5" a="1"/>
  <c r="M1658" i="5" a="1"/>
  <c r="M1592" i="5" a="1"/>
  <c r="M1565" i="5" a="1"/>
  <c r="M1500" i="5" a="1"/>
  <c r="M1470" i="5" a="1"/>
  <c r="M1351" i="5" a="1"/>
  <c r="M1291" i="5" a="1"/>
  <c r="M1174" i="5" a="1"/>
  <c r="M1124" i="5" a="1"/>
  <c r="M1101" i="5" a="1"/>
  <c r="M1077" i="5" a="1"/>
  <c r="M1051" i="5" a="1"/>
  <c r="M1027" i="5" a="1"/>
  <c r="M1003" i="5" a="1"/>
  <c r="M932" i="5" a="1"/>
  <c r="M883" i="5" a="1"/>
  <c r="M774" i="5" a="1"/>
  <c r="M756" i="5" a="1"/>
  <c r="M689" i="5" a="1"/>
  <c r="M671" i="5" a="1"/>
  <c r="M655" i="5" a="1"/>
  <c r="M639" i="5" a="1"/>
  <c r="M607" i="5" a="1"/>
  <c r="M591" i="5" a="1"/>
  <c r="M561" i="5" a="1"/>
  <c r="M547" i="5" a="1"/>
  <c r="M501" i="5" a="1"/>
  <c r="M458" i="5" a="1"/>
  <c r="M430" i="5" a="1"/>
  <c r="M403" i="5" a="1"/>
  <c r="M389" i="5" a="1"/>
  <c r="M363" i="5" a="1"/>
  <c r="M351" i="5" a="1"/>
  <c r="M304" i="5" a="1"/>
  <c r="M293" i="5" a="1"/>
  <c r="M271" i="5" a="1"/>
  <c r="M261" i="5" a="1"/>
  <c r="M251" i="5" a="1"/>
  <c r="M241" i="5" a="1"/>
  <c r="M231" i="5" a="1"/>
  <c r="M221" i="5" a="1"/>
  <c r="M211" i="5" a="1"/>
  <c r="M201" i="5" a="1"/>
  <c r="M191" i="5" a="1"/>
  <c r="M181" i="5" a="1"/>
  <c r="M171" i="5" a="1"/>
  <c r="M161" i="5" a="1"/>
  <c r="M151" i="5" a="1"/>
  <c r="M141" i="5" a="1"/>
  <c r="M131" i="5" a="1"/>
  <c r="M121" i="5" a="1"/>
  <c r="M111" i="5" a="1"/>
  <c r="M101" i="5" a="1"/>
  <c r="M1976" i="5" a="1"/>
  <c r="M1946" i="5" a="1"/>
  <c r="M1881" i="5" a="1"/>
  <c r="M1751" i="5" a="1"/>
  <c r="M1657" i="5" a="1"/>
  <c r="M1623" i="5" a="1"/>
  <c r="M1528" i="5" a="1"/>
  <c r="M1439" i="5" a="1"/>
  <c r="M1379" i="5" a="1"/>
  <c r="M1350" i="5" a="1"/>
  <c r="M1319" i="5" a="1"/>
  <c r="M1290" i="5" a="1"/>
  <c r="M1230" i="5" a="1"/>
  <c r="M1201" i="5" a="1"/>
  <c r="M1173" i="5" a="1"/>
  <c r="M1149" i="5" a="1"/>
  <c r="M1074" i="5" a="1"/>
  <c r="M980" i="5" a="1"/>
  <c r="M931" i="5" a="1"/>
  <c r="M882" i="5" a="1"/>
  <c r="M837" i="5" a="1"/>
  <c r="M793" i="5" a="1"/>
  <c r="M738" i="5" a="1"/>
  <c r="M721" i="5" a="1"/>
  <c r="M638" i="5" a="1"/>
  <c r="M622" i="5" a="1"/>
  <c r="M577" i="5" a="1"/>
  <c r="M516" i="5" a="1"/>
  <c r="M486" i="5" a="1"/>
  <c r="M473" i="5" a="1"/>
  <c r="M444" i="5" a="1"/>
  <c r="M429" i="5" a="1"/>
  <c r="M415" i="5" a="1"/>
  <c r="M402" i="5" a="1"/>
  <c r="M388" i="5" a="1"/>
  <c r="M375" i="5" a="1"/>
  <c r="M362" i="5" a="1"/>
  <c r="M339" i="5" a="1"/>
  <c r="M315" i="5" a="1"/>
  <c r="M292" i="5" a="1"/>
  <c r="M281" i="5" a="1"/>
  <c r="M1879" i="5" a="1"/>
  <c r="M1815" i="5" a="1"/>
  <c r="M1781" i="5" a="1"/>
  <c r="M1720" i="5" a="1"/>
  <c r="M1686" i="5" a="1"/>
  <c r="M1656" i="5" a="1"/>
  <c r="M1622" i="5" a="1"/>
  <c r="M1558" i="5" a="1"/>
  <c r="M1527" i="5" a="1"/>
  <c r="M1438" i="5" a="1"/>
  <c r="M1408" i="5" a="1"/>
  <c r="M1378" i="5" a="1"/>
  <c r="M1348" i="5" a="1"/>
  <c r="M1318" i="5" a="1"/>
  <c r="M1258" i="5" a="1"/>
  <c r="M1072" i="5" a="1"/>
  <c r="M1050" i="5" a="1"/>
  <c r="M1025" i="5" a="1"/>
  <c r="M930" i="5" a="1"/>
  <c r="M904" i="5" a="1"/>
  <c r="M881" i="5" a="1"/>
  <c r="M859" i="5" a="1"/>
  <c r="M773" i="5" a="1"/>
  <c r="M753" i="5" a="1"/>
  <c r="M703" i="5" a="1"/>
  <c r="M669" i="5" a="1"/>
  <c r="M637" i="5" a="1"/>
  <c r="M606" i="5" a="1"/>
  <c r="M590" i="5" a="1"/>
  <c r="M546" i="5" a="1"/>
  <c r="M515" i="5" a="1"/>
  <c r="M500" i="5" a="1"/>
  <c r="M471" i="5" a="1"/>
  <c r="M428" i="5" a="1"/>
  <c r="M401" i="5" a="1"/>
  <c r="M350" i="5" a="1"/>
  <c r="M338" i="5" a="1"/>
  <c r="M326" i="5" a="1"/>
  <c r="M303" i="5" a="1"/>
  <c r="M270" i="5" a="1"/>
  <c r="M260" i="5" a="1"/>
  <c r="M250" i="5" a="1"/>
  <c r="M240" i="5" a="1"/>
  <c r="M230" i="5" a="1"/>
  <c r="M220" i="5" a="1"/>
  <c r="M210" i="5" a="1"/>
  <c r="M200" i="5" a="1"/>
  <c r="M190" i="5" a="1"/>
  <c r="M180" i="5" a="1"/>
  <c r="M170" i="5" a="1"/>
  <c r="M160" i="5" a="1"/>
  <c r="M150" i="5" a="1"/>
  <c r="M140" i="5" a="1"/>
  <c r="M130" i="5" a="1"/>
  <c r="M120" i="5" a="1"/>
  <c r="M110" i="5" a="1"/>
  <c r="M100" i="5" a="1"/>
  <c r="M1945" i="5" a="1"/>
  <c r="M1908" i="5" a="1"/>
  <c r="M1845" i="5" a="1"/>
  <c r="M1780" i="5" a="1"/>
  <c r="M1748" i="5" a="1"/>
  <c r="M1719" i="5" a="1"/>
  <c r="M1683" i="5" a="1"/>
  <c r="M1620" i="5" a="1"/>
  <c r="M1589" i="5" a="1"/>
  <c r="M1526" i="5" a="1"/>
  <c r="M1498" i="5" a="1"/>
  <c r="M1467" i="5" a="1"/>
  <c r="M1407" i="5" a="1"/>
  <c r="M1289" i="5" a="1"/>
  <c r="M1256" i="5" a="1"/>
  <c r="M1229" i="5" a="1"/>
  <c r="M1170" i="5" a="1"/>
  <c r="M1144" i="5" a="1"/>
  <c r="M1071" i="5" a="1"/>
  <c r="M1049" i="5" a="1"/>
  <c r="M1000" i="5" a="1"/>
  <c r="M975" i="5" a="1"/>
  <c r="M951" i="5" a="1"/>
  <c r="M857" i="5" a="1"/>
  <c r="M835" i="5" a="1"/>
  <c r="M812" i="5" a="1"/>
  <c r="M791" i="5" a="1"/>
  <c r="M772" i="5" a="1"/>
  <c r="M737" i="5" a="1"/>
  <c r="M719" i="5" a="1"/>
  <c r="M686" i="5" a="1"/>
  <c r="M653" i="5" a="1"/>
  <c r="M621" i="5" a="1"/>
  <c r="M574" i="5" a="1"/>
  <c r="M559" i="5" a="1"/>
  <c r="M545" i="5" a="1"/>
  <c r="M529" i="5" a="1"/>
  <c r="M499" i="5" a="1"/>
  <c r="M485" i="5" a="1"/>
  <c r="M456" i="5" a="1"/>
  <c r="M443" i="5" a="1"/>
  <c r="M414" i="5" a="1"/>
  <c r="M374" i="5" a="1"/>
  <c r="M361" i="5" a="1"/>
  <c r="M314" i="5" a="1"/>
  <c r="M302" i="5" a="1"/>
  <c r="M291" i="5" a="1"/>
  <c r="M280" i="5" a="1"/>
  <c r="M1970" i="5" a="1"/>
  <c r="M1906" i="5" a="1"/>
  <c r="M1877" i="5" a="1"/>
  <c r="M1715" i="5" a="1"/>
  <c r="M1619" i="5" a="1"/>
  <c r="M1588" i="5" a="1"/>
  <c r="M1557" i="5" a="1"/>
  <c r="M1437" i="5" a="1"/>
  <c r="M1406" i="5" a="1"/>
  <c r="M1377" i="5" a="1"/>
  <c r="M1315" i="5" a="1"/>
  <c r="M1283" i="5" a="1"/>
  <c r="M1255" i="5" a="1"/>
  <c r="M1226" i="5" a="1"/>
  <c r="M1196" i="5" a="1"/>
  <c r="M1169" i="5" a="1"/>
  <c r="M1143" i="5" a="1"/>
  <c r="M1094" i="5" a="1"/>
  <c r="M999" i="5" a="1"/>
  <c r="M902" i="5" a="1"/>
  <c r="M880" i="5" a="1"/>
  <c r="M834" i="5" a="1"/>
  <c r="M790" i="5" a="1"/>
  <c r="M718" i="5" a="1"/>
  <c r="M702" i="5" a="1"/>
  <c r="M685" i="5" a="1"/>
  <c r="M668" i="5" a="1"/>
  <c r="M651" i="5" a="1"/>
  <c r="M635" i="5" a="1"/>
  <c r="M603" i="5" a="1"/>
  <c r="M589" i="5" a="1"/>
  <c r="M543" i="5" a="1"/>
  <c r="M528" i="5" a="1"/>
  <c r="M514" i="5" a="1"/>
  <c r="M498" i="5" a="1"/>
  <c r="M470" i="5" a="1"/>
  <c r="M441" i="5" a="1"/>
  <c r="M400" i="5" a="1"/>
  <c r="M386" i="5" a="1"/>
  <c r="M349" i="5" a="1"/>
  <c r="M325" i="5" a="1"/>
  <c r="M269" i="5" a="1"/>
  <c r="M259" i="5" a="1"/>
  <c r="M249" i="5" a="1"/>
  <c r="M239" i="5" a="1"/>
  <c r="M229" i="5" a="1"/>
  <c r="M219" i="5" a="1"/>
  <c r="M209" i="5" a="1"/>
  <c r="M199" i="5" a="1"/>
  <c r="M189" i="5" a="1"/>
  <c r="M179" i="5" a="1"/>
  <c r="M169" i="5" a="1"/>
  <c r="M159" i="5" a="1"/>
  <c r="M149" i="5" a="1"/>
  <c r="M139" i="5" a="1"/>
  <c r="M129" i="5" a="1"/>
  <c r="M119" i="5" a="1"/>
  <c r="M109" i="5" a="1"/>
  <c r="M99" i="5" a="1"/>
  <c r="M1969" i="5" a="1"/>
  <c r="M1342" i="5" a="1"/>
  <c r="M1057" i="5" a="1"/>
  <c r="M759" i="5" a="1"/>
  <c r="M368" i="5" a="1"/>
  <c r="M321" i="5" a="1"/>
  <c r="M133" i="5" a="1"/>
  <c r="M1312" i="5" a="1"/>
  <c r="M1055" i="5" a="1"/>
  <c r="M890" i="5" a="1"/>
  <c r="M751" i="5" a="1"/>
  <c r="M657" i="5" a="1"/>
  <c r="M579" i="5" a="1"/>
  <c r="M504" i="5" a="1"/>
  <c r="M433" i="5" a="1"/>
  <c r="M319" i="5" a="1"/>
  <c r="M103" i="5" a="1"/>
  <c r="M1298" i="5" a="1"/>
  <c r="M1047" i="5" a="1"/>
  <c r="M426" i="5" a="1"/>
  <c r="M365" i="5" a="1"/>
  <c r="M318" i="5" a="1"/>
  <c r="M273" i="5" a="1"/>
  <c r="M233" i="5" a="1"/>
  <c r="M193" i="5" a="1"/>
  <c r="M1282" i="5" a="1"/>
  <c r="M741" i="5" a="1"/>
  <c r="M643" i="5" a="1"/>
  <c r="M419" i="5" a="1"/>
  <c r="M155" i="5" a="1"/>
  <c r="M1269" i="5" a="1"/>
  <c r="M1032" i="5" a="1"/>
  <c r="M867" i="5" a="1"/>
  <c r="M736" i="5" a="1"/>
  <c r="M564" i="5" a="1"/>
  <c r="M490" i="5" a="1"/>
  <c r="M418" i="5" a="1"/>
  <c r="M360" i="5" a="1"/>
  <c r="M313" i="5" a="1"/>
  <c r="M154" i="5" a="1"/>
  <c r="M125" i="5" a="1"/>
  <c r="M1810" i="5" a="1"/>
  <c r="M1021" i="5" a="1"/>
  <c r="M642" i="5" a="1"/>
  <c r="M489" i="5" a="1"/>
  <c r="M356" i="5" a="1"/>
  <c r="M124" i="5" a="1"/>
  <c r="M1777" i="5" a="1"/>
  <c r="M855" i="5" a="1"/>
  <c r="M725" i="5" a="1"/>
  <c r="M558" i="5" a="1"/>
  <c r="M484" i="5" a="1"/>
  <c r="M413" i="5" a="1"/>
  <c r="M354" i="5" a="1"/>
  <c r="M153" i="5" a="1"/>
  <c r="M1746" i="5" a="1"/>
  <c r="M844" i="5" a="1"/>
  <c r="M627" i="5" a="1"/>
  <c r="M550" i="5" a="1"/>
  <c r="M476" i="5" a="1"/>
  <c r="M306" i="5" a="1"/>
  <c r="M263" i="5" a="1"/>
  <c r="M223" i="5" a="1"/>
  <c r="M183" i="5" a="1"/>
  <c r="M123" i="5" a="1"/>
  <c r="M1712" i="5" a="1"/>
  <c r="M1209" i="5" a="1"/>
  <c r="M842" i="5" a="1"/>
  <c r="M709" i="5" a="1"/>
  <c r="M626" i="5" a="1"/>
  <c r="M549" i="5" a="1"/>
  <c r="M405" i="5" a="1"/>
  <c r="M353" i="5" a="1"/>
  <c r="M134" i="5" a="1"/>
  <c r="M1681" i="5" a="1"/>
  <c r="M1195" i="5" a="1"/>
  <c r="M985" i="5" a="1"/>
  <c r="M625" i="5" a="1"/>
  <c r="M475" i="5" a="1"/>
  <c r="M348" i="5" a="1"/>
  <c r="M301" i="5" a="1"/>
  <c r="M105" i="5" a="1"/>
  <c r="M1651" i="5" a="1"/>
  <c r="M1180" i="5" a="1"/>
  <c r="M984" i="5" a="1"/>
  <c r="M821" i="5" a="1"/>
  <c r="M620" i="5" a="1"/>
  <c r="M469" i="5" a="1"/>
  <c r="M399" i="5" a="1"/>
  <c r="M145" i="5" a="1"/>
  <c r="M1168" i="5" a="1"/>
  <c r="M820" i="5" a="1"/>
  <c r="M692" i="5" a="1"/>
  <c r="M611" i="5" a="1"/>
  <c r="M536" i="5" a="1"/>
  <c r="M463" i="5" a="1"/>
  <c r="M393" i="5" a="1"/>
  <c r="M342" i="5" a="1"/>
  <c r="M144" i="5" a="1"/>
  <c r="M115" i="5" a="1"/>
  <c r="M1153" i="5" a="1"/>
  <c r="M963" i="5" a="1"/>
  <c r="M810" i="5" a="1"/>
  <c r="M535" i="5" a="1"/>
  <c r="M461" i="5" a="1"/>
  <c r="M392" i="5" a="1"/>
  <c r="M295" i="5" a="1"/>
  <c r="M253" i="5" a="1"/>
  <c r="M213" i="5" a="1"/>
  <c r="M173" i="5" a="1"/>
  <c r="M114" i="5" a="1"/>
  <c r="M1556" i="5" a="1"/>
  <c r="M1141" i="5" a="1"/>
  <c r="M960" i="5" a="1"/>
  <c r="M691" i="5" a="1"/>
  <c r="M610" i="5" a="1"/>
  <c r="M391" i="5" a="1"/>
  <c r="M341" i="5" a="1"/>
  <c r="M143" i="5" a="1"/>
  <c r="M769" i="5" a="1"/>
  <c r="M1525" i="5" a="1"/>
  <c r="M1131" i="5" a="1"/>
  <c r="M950" i="5" a="1"/>
  <c r="M797" i="5" a="1"/>
  <c r="M455" i="5" a="1"/>
  <c r="M336" i="5" a="1"/>
  <c r="M290" i="5" a="1"/>
  <c r="M113" i="5" a="1"/>
  <c r="M1495" i="5" a="1"/>
  <c r="M789" i="5" a="1"/>
  <c r="M677" i="5" a="1"/>
  <c r="M595" i="5" a="1"/>
  <c r="M520" i="5" a="1"/>
  <c r="M382" i="5" a="1"/>
  <c r="M333" i="5" a="1"/>
  <c r="M1082" i="5" a="1"/>
  <c r="M1465" i="5" a="1"/>
  <c r="M779" i="5" a="1"/>
  <c r="M519" i="5" a="1"/>
  <c r="M379" i="5" a="1"/>
  <c r="M165" i="5" a="1"/>
  <c r="M1093" i="5" a="1"/>
  <c r="M446" i="5" a="1"/>
  <c r="M378" i="5" a="1"/>
  <c r="M330" i="5" a="1"/>
  <c r="M284" i="5" a="1"/>
  <c r="M243" i="5" a="1"/>
  <c r="M203" i="5" a="1"/>
  <c r="M164" i="5" a="1"/>
  <c r="M135" i="5" a="1"/>
  <c r="M1376" i="5" a="1"/>
  <c r="M1069" i="5" a="1"/>
  <c r="M580" i="5" a="1"/>
  <c r="M505" i="5" a="1"/>
  <c r="M434" i="5" a="1"/>
  <c r="M373" i="5" a="1"/>
  <c r="M279" i="5" a="1"/>
  <c r="M163" i="5" a="1"/>
  <c r="M104" i="5" a="1"/>
  <c r="N2004" i="5" a="1"/>
  <c r="N1994" i="5" a="1"/>
  <c r="N1984" i="5" a="1"/>
  <c r="N1974" i="5" a="1"/>
  <c r="N1964" i="5" a="1"/>
  <c r="N1954" i="5" a="1"/>
  <c r="N1944" i="5" a="1"/>
  <c r="N1934" i="5" a="1"/>
  <c r="N1924" i="5" a="1"/>
  <c r="N1914" i="5" a="1"/>
  <c r="N1904" i="5" a="1"/>
  <c r="N1894" i="5" a="1"/>
  <c r="N1884" i="5" a="1"/>
  <c r="N1874" i="5" a="1"/>
  <c r="N1864" i="5" a="1"/>
  <c r="N1854" i="5" a="1"/>
  <c r="N1844" i="5" a="1"/>
  <c r="N1834" i="5" a="1"/>
  <c r="N1824" i="5" a="1"/>
  <c r="N1814" i="5" a="1"/>
  <c r="N1804" i="5" a="1"/>
  <c r="N1794" i="5" a="1"/>
  <c r="N1784" i="5" a="1"/>
  <c r="N1774" i="5" a="1"/>
  <c r="N1764" i="5" a="1"/>
  <c r="N1754" i="5" a="1"/>
  <c r="N1744" i="5" a="1"/>
  <c r="N1734" i="5" a="1"/>
  <c r="N1724" i="5" a="1"/>
  <c r="N1714" i="5" a="1"/>
  <c r="N1704" i="5" a="1"/>
  <c r="N1694" i="5" a="1"/>
  <c r="N1684" i="5" a="1"/>
  <c r="N1674" i="5" a="1"/>
  <c r="N1664" i="5" a="1"/>
  <c r="N1654" i="5" a="1"/>
  <c r="N1644" i="5" a="1"/>
  <c r="N1634" i="5" a="1"/>
  <c r="N1624" i="5" a="1"/>
  <c r="N1614" i="5" a="1"/>
  <c r="N1604" i="5" a="1"/>
  <c r="N1594" i="5" a="1"/>
  <c r="N1584" i="5" a="1"/>
  <c r="N1574" i="5" a="1"/>
  <c r="N1564" i="5" a="1"/>
  <c r="N1554" i="5" a="1"/>
  <c r="N1544" i="5" a="1"/>
  <c r="N1534" i="5" a="1"/>
  <c r="N1524" i="5" a="1"/>
  <c r="N1514" i="5" a="1"/>
  <c r="N1504" i="5" a="1"/>
  <c r="N1494" i="5" a="1"/>
  <c r="N1484" i="5" a="1"/>
  <c r="N1474" i="5" a="1"/>
  <c r="N1464" i="5" a="1"/>
  <c r="N1454" i="5" a="1"/>
  <c r="N1444" i="5" a="1"/>
  <c r="N1434" i="5" a="1"/>
  <c r="N1424" i="5" a="1"/>
  <c r="N1414" i="5" a="1"/>
  <c r="N1404" i="5" a="1"/>
  <c r="N1394" i="5" a="1"/>
  <c r="N1384" i="5" a="1"/>
  <c r="N1374" i="5" a="1"/>
  <c r="N1364" i="5" a="1"/>
  <c r="N1354" i="5" a="1"/>
  <c r="N1344" i="5" a="1"/>
  <c r="N1334" i="5" a="1"/>
  <c r="N1324" i="5" a="1"/>
  <c r="N1314" i="5" a="1"/>
  <c r="N1304" i="5" a="1"/>
  <c r="N1294" i="5" a="1"/>
  <c r="N1284" i="5" a="1"/>
  <c r="N1274" i="5" a="1"/>
  <c r="N1264" i="5" a="1"/>
  <c r="N1254" i="5" a="1"/>
  <c r="N1244" i="5" a="1"/>
  <c r="N1234" i="5" a="1"/>
  <c r="N1224" i="5" a="1"/>
  <c r="N1214" i="5" a="1"/>
  <c r="N1204" i="5" a="1"/>
  <c r="N1194" i="5" a="1"/>
  <c r="N1184" i="5" a="1"/>
  <c r="N1174" i="5" a="1"/>
  <c r="N2003" i="5" a="1"/>
  <c r="N1993" i="5" a="1"/>
  <c r="N1983" i="5" a="1"/>
  <c r="N1973" i="5" a="1"/>
  <c r="N1963" i="5" a="1"/>
  <c r="N1953" i="5" a="1"/>
  <c r="N1943" i="5" a="1"/>
  <c r="N1933" i="5" a="1"/>
  <c r="N1923" i="5" a="1"/>
  <c r="N1913" i="5" a="1"/>
  <c r="N1903" i="5" a="1"/>
  <c r="N1893" i="5" a="1"/>
  <c r="N1883" i="5" a="1"/>
  <c r="N1873" i="5" a="1"/>
  <c r="N1863" i="5" a="1"/>
  <c r="N1853" i="5" a="1"/>
  <c r="N1843" i="5" a="1"/>
  <c r="N1833" i="5" a="1"/>
  <c r="N1823" i="5" a="1"/>
  <c r="N1813" i="5" a="1"/>
  <c r="N1803" i="5" a="1"/>
  <c r="N1793" i="5" a="1"/>
  <c r="N1783" i="5" a="1"/>
  <c r="N1773" i="5" a="1"/>
  <c r="N1763" i="5" a="1"/>
  <c r="N1753" i="5" a="1"/>
  <c r="N1743" i="5" a="1"/>
  <c r="N2002" i="5" a="1"/>
  <c r="N1992" i="5" a="1"/>
  <c r="N1982" i="5" a="1"/>
  <c r="N1972" i="5" a="1"/>
  <c r="N1962" i="5" a="1"/>
  <c r="N1952" i="5" a="1"/>
  <c r="N1942" i="5" a="1"/>
  <c r="N1932" i="5" a="1"/>
  <c r="N1922" i="5" a="1"/>
  <c r="N1912" i="5" a="1"/>
  <c r="N1902" i="5" a="1"/>
  <c r="N1892" i="5" a="1"/>
  <c r="N1882" i="5" a="1"/>
  <c r="N1872" i="5" a="1"/>
  <c r="N1862" i="5" a="1"/>
  <c r="N1852" i="5" a="1"/>
  <c r="N1842" i="5" a="1"/>
  <c r="N1832" i="5" a="1"/>
  <c r="N1822" i="5" a="1"/>
  <c r="N1812" i="5" a="1"/>
  <c r="N1802" i="5" a="1"/>
  <c r="N1792" i="5" a="1"/>
  <c r="N1782" i="5" a="1"/>
  <c r="N1772" i="5" a="1"/>
  <c r="N1762" i="5" a="1"/>
  <c r="N1752" i="5" a="1"/>
  <c r="N1742" i="5" a="1"/>
  <c r="N1732" i="5" a="1"/>
  <c r="N1722" i="5" a="1"/>
  <c r="N1712" i="5" a="1"/>
  <c r="N1702" i="5" a="1"/>
  <c r="N1692" i="5" a="1"/>
  <c r="N1682" i="5" a="1"/>
  <c r="N1672" i="5" a="1"/>
  <c r="N1662" i="5" a="1"/>
  <c r="N1652" i="5" a="1"/>
  <c r="N1642" i="5" a="1"/>
  <c r="N1632" i="5" a="1"/>
  <c r="N1622" i="5" a="1"/>
  <c r="N1612" i="5" a="1"/>
  <c r="N1602" i="5" a="1"/>
  <c r="N1592" i="5" a="1"/>
  <c r="N1582" i="5" a="1"/>
  <c r="N1572" i="5" a="1"/>
  <c r="N1562" i="5" a="1"/>
  <c r="N1552" i="5" a="1"/>
  <c r="N1542" i="5" a="1"/>
  <c r="N1532" i="5" a="1"/>
  <c r="N1522" i="5" a="1"/>
  <c r="N1512" i="5" a="1"/>
  <c r="N1502" i="5" a="1"/>
  <c r="N1492" i="5" a="1"/>
  <c r="N1482" i="5" a="1"/>
  <c r="N1472" i="5" a="1"/>
  <c r="N1462" i="5" a="1"/>
  <c r="N1452" i="5" a="1"/>
  <c r="N1442" i="5" a="1"/>
  <c r="N1432" i="5" a="1"/>
  <c r="N1422" i="5" a="1"/>
  <c r="N1412" i="5" a="1"/>
  <c r="N1402" i="5" a="1"/>
  <c r="N1392" i="5" a="1"/>
  <c r="N1382" i="5" a="1"/>
  <c r="N1372" i="5" a="1"/>
  <c r="N1362" i="5" a="1"/>
  <c r="N1352" i="5" a="1"/>
  <c r="N1342" i="5" a="1"/>
  <c r="N1332" i="5" a="1"/>
  <c r="N1322" i="5" a="1"/>
  <c r="N1312" i="5" a="1"/>
  <c r="N1302" i="5" a="1"/>
  <c r="N1292" i="5" a="1"/>
  <c r="N1282" i="5" a="1"/>
  <c r="N1272" i="5" a="1"/>
  <c r="N1262" i="5" a="1"/>
  <c r="N1252" i="5" a="1"/>
  <c r="N1242" i="5" a="1"/>
  <c r="N1232" i="5" a="1"/>
  <c r="N1222" i="5" a="1"/>
  <c r="N1212" i="5" a="1"/>
  <c r="N1202" i="5" a="1"/>
  <c r="N1192" i="5" a="1"/>
  <c r="N1182" i="5" a="1"/>
  <c r="N1172" i="5" a="1"/>
  <c r="N1162" i="5" a="1"/>
  <c r="N1748" i="5" a="1"/>
  <c r="N1160" i="5" a="1"/>
  <c r="N1150" i="5" a="1"/>
  <c r="N1140" i="5" a="1"/>
  <c r="N1130" i="5" a="1"/>
  <c r="N1120" i="5" a="1"/>
  <c r="N1110" i="5" a="1"/>
  <c r="N1100" i="5" a="1"/>
  <c r="N1090" i="5" a="1"/>
  <c r="N1080" i="5" a="1"/>
  <c r="N1070" i="5" a="1"/>
  <c r="N1060" i="5" a="1"/>
  <c r="N1050" i="5" a="1"/>
  <c r="N1040" i="5" a="1"/>
  <c r="N1030" i="5" a="1"/>
  <c r="N1020" i="5" a="1"/>
  <c r="N1010" i="5" a="1"/>
  <c r="N1000" i="5" a="1"/>
  <c r="N990" i="5" a="1"/>
  <c r="N980" i="5" a="1"/>
  <c r="N970" i="5" a="1"/>
  <c r="N960" i="5" a="1"/>
  <c r="N950" i="5" a="1"/>
  <c r="N940" i="5" a="1"/>
  <c r="N930" i="5" a="1"/>
  <c r="N920" i="5" a="1"/>
  <c r="N910" i="5" a="1"/>
  <c r="N900" i="5" a="1"/>
  <c r="N890" i="5" a="1"/>
  <c r="N880" i="5" a="1"/>
  <c r="N870" i="5" a="1"/>
  <c r="N860" i="5" a="1"/>
  <c r="N850" i="5" a="1"/>
  <c r="N840" i="5" a="1"/>
  <c r="N830" i="5" a="1"/>
  <c r="N820" i="5" a="1"/>
  <c r="N810" i="5" a="1"/>
  <c r="N800" i="5" a="1"/>
  <c r="N790" i="5" a="1"/>
  <c r="N1998" i="5" a="1"/>
  <c r="N1985" i="5" a="1"/>
  <c r="N1969" i="5" a="1"/>
  <c r="N1956" i="5" a="1"/>
  <c r="N1940" i="5" a="1"/>
  <c r="N1927" i="5" a="1"/>
  <c r="N1911" i="5" a="1"/>
  <c r="N1898" i="5" a="1"/>
  <c r="N1885" i="5" a="1"/>
  <c r="N1869" i="5" a="1"/>
  <c r="N1856" i="5" a="1"/>
  <c r="N1840" i="5" a="1"/>
  <c r="N1827" i="5" a="1"/>
  <c r="N1811" i="5" a="1"/>
  <c r="N1798" i="5" a="1"/>
  <c r="N1785" i="5" a="1"/>
  <c r="N1757" i="5" a="1"/>
  <c r="N1730" i="5" a="1"/>
  <c r="N1718" i="5" a="1"/>
  <c r="N1706" i="5" a="1"/>
  <c r="N1680" i="5" a="1"/>
  <c r="N1668" i="5" a="1"/>
  <c r="N1656" i="5" a="1"/>
  <c r="N1630" i="5" a="1"/>
  <c r="N1618" i="5" a="1"/>
  <c r="N1606" i="5" a="1"/>
  <c r="N1580" i="5" a="1"/>
  <c r="N1568" i="5" a="1"/>
  <c r="N1556" i="5" a="1"/>
  <c r="N1530" i="5" a="1"/>
  <c r="N1518" i="5" a="1"/>
  <c r="N1506" i="5" a="1"/>
  <c r="N1480" i="5" a="1"/>
  <c r="N1468" i="5" a="1"/>
  <c r="N1456" i="5" a="1"/>
  <c r="N1430" i="5" a="1"/>
  <c r="N1418" i="5" a="1"/>
  <c r="N1406" i="5" a="1"/>
  <c r="N1380" i="5" a="1"/>
  <c r="N1368" i="5" a="1"/>
  <c r="N1356" i="5" a="1"/>
  <c r="N1330" i="5" a="1"/>
  <c r="N1318" i="5" a="1"/>
  <c r="N1306" i="5" a="1"/>
  <c r="N1280" i="5" a="1"/>
  <c r="N1268" i="5" a="1"/>
  <c r="N1256" i="5" a="1"/>
  <c r="N1230" i="5" a="1"/>
  <c r="N1218" i="5" a="1"/>
  <c r="N1206" i="5" a="1"/>
  <c r="N1180" i="5" a="1"/>
  <c r="N1168" i="5" a="1"/>
  <c r="N1997" i="5" a="1"/>
  <c r="N1981" i="5" a="1"/>
  <c r="N1968" i="5" a="1"/>
  <c r="N1955" i="5" a="1"/>
  <c r="N1939" i="5" a="1"/>
  <c r="N1926" i="5" a="1"/>
  <c r="N1910" i="5" a="1"/>
  <c r="N1897" i="5" a="1"/>
  <c r="N1881" i="5" a="1"/>
  <c r="N1868" i="5" a="1"/>
  <c r="N1855" i="5" a="1"/>
  <c r="N1839" i="5" a="1"/>
  <c r="N1826" i="5" a="1"/>
  <c r="N1810" i="5" a="1"/>
  <c r="N1797" i="5" a="1"/>
  <c r="N1781" i="5" a="1"/>
  <c r="N1756" i="5" a="1"/>
  <c r="N1741" i="5" a="1"/>
  <c r="N1729" i="5" a="1"/>
  <c r="N1717" i="5" a="1"/>
  <c r="N1705" i="5" a="1"/>
  <c r="N1691" i="5" a="1"/>
  <c r="N1679" i="5" a="1"/>
  <c r="N1667" i="5" a="1"/>
  <c r="N1655" i="5" a="1"/>
  <c r="N1641" i="5" a="1"/>
  <c r="N1629" i="5" a="1"/>
  <c r="N1617" i="5" a="1"/>
  <c r="N1605" i="5" a="1"/>
  <c r="N1591" i="5" a="1"/>
  <c r="N1579" i="5" a="1"/>
  <c r="N1567" i="5" a="1"/>
  <c r="N1555" i="5" a="1"/>
  <c r="N1541" i="5" a="1"/>
  <c r="N1529" i="5" a="1"/>
  <c r="N1517" i="5" a="1"/>
  <c r="N1505" i="5" a="1"/>
  <c r="N1491" i="5" a="1"/>
  <c r="N1479" i="5" a="1"/>
  <c r="N1467" i="5" a="1"/>
  <c r="N1455" i="5" a="1"/>
  <c r="N1441" i="5" a="1"/>
  <c r="N1429" i="5" a="1"/>
  <c r="N1417" i="5" a="1"/>
  <c r="N1405" i="5" a="1"/>
  <c r="N1391" i="5" a="1"/>
  <c r="N1379" i="5" a="1"/>
  <c r="N1367" i="5" a="1"/>
  <c r="N1355" i="5" a="1"/>
  <c r="N1341" i="5" a="1"/>
  <c r="N1329" i="5" a="1"/>
  <c r="N1317" i="5" a="1"/>
  <c r="N1305" i="5" a="1"/>
  <c r="N1291" i="5" a="1"/>
  <c r="N1279" i="5" a="1"/>
  <c r="N1267" i="5" a="1"/>
  <c r="N1255" i="5" a="1"/>
  <c r="N1241" i="5" a="1"/>
  <c r="N1229" i="5" a="1"/>
  <c r="N1217" i="5" a="1"/>
  <c r="N1205" i="5" a="1"/>
  <c r="N1191" i="5" a="1"/>
  <c r="N1179" i="5" a="1"/>
  <c r="N1167" i="5" a="1"/>
  <c r="N2001" i="5" a="1"/>
  <c r="N1949" i="5" a="1"/>
  <c r="N1899" i="5" a="1"/>
  <c r="N1866" i="5" a="1"/>
  <c r="N1831" i="5" a="1"/>
  <c r="N1816" i="5" a="1"/>
  <c r="N1780" i="5" a="1"/>
  <c r="N1766" i="5" a="1"/>
  <c r="N1735" i="5" a="1"/>
  <c r="N1676" i="5" a="1"/>
  <c r="N1631" i="5" a="1"/>
  <c r="N1601" i="5" a="1"/>
  <c r="N1558" i="5" a="1"/>
  <c r="N1543" i="5" a="1"/>
  <c r="N1528" i="5" a="1"/>
  <c r="N1513" i="5" a="1"/>
  <c r="N1499" i="5" a="1"/>
  <c r="N1485" i="5" a="1"/>
  <c r="N1426" i="5" a="1"/>
  <c r="N1381" i="5" a="1"/>
  <c r="N1351" i="5" a="1"/>
  <c r="N1308" i="5" a="1"/>
  <c r="N1293" i="5" a="1"/>
  <c r="N1278" i="5" a="1"/>
  <c r="N1263" i="5" a="1"/>
  <c r="N1249" i="5" a="1"/>
  <c r="N1235" i="5" a="1"/>
  <c r="N1176" i="5" a="1"/>
  <c r="N1161" i="5" a="1"/>
  <c r="N1149" i="5" a="1"/>
  <c r="N1125" i="5" a="1"/>
  <c r="N1102" i="5" a="1"/>
  <c r="N1067" i="5" a="1"/>
  <c r="N1043" i="5" a="1"/>
  <c r="N1008" i="5" a="1"/>
  <c r="N996" i="5" a="1"/>
  <c r="N984" i="5" a="1"/>
  <c r="N961" i="5" a="1"/>
  <c r="N949" i="5" a="1"/>
  <c r="N925" i="5" a="1"/>
  <c r="N902" i="5" a="1"/>
  <c r="N867" i="5" a="1"/>
  <c r="N843" i="5" a="1"/>
  <c r="N808" i="5" a="1"/>
  <c r="N796" i="5" a="1"/>
  <c r="N785" i="5" a="1"/>
  <c r="N775" i="5" a="1"/>
  <c r="N765" i="5" a="1"/>
  <c r="N755" i="5" a="1"/>
  <c r="N745" i="5" a="1"/>
  <c r="N735" i="5" a="1"/>
  <c r="N725" i="5" a="1"/>
  <c r="N715" i="5" a="1"/>
  <c r="N705" i="5" a="1"/>
  <c r="N695" i="5" a="1"/>
  <c r="N685" i="5" a="1"/>
  <c r="N675" i="5" a="1"/>
  <c r="N665" i="5" a="1"/>
  <c r="N655" i="5" a="1"/>
  <c r="N645" i="5" a="1"/>
  <c r="N635" i="5" a="1"/>
  <c r="N625" i="5" a="1"/>
  <c r="N615" i="5" a="1"/>
  <c r="N605" i="5" a="1"/>
  <c r="N595" i="5" a="1"/>
  <c r="N585" i="5" a="1"/>
  <c r="N575" i="5" a="1"/>
  <c r="N565" i="5" a="1"/>
  <c r="N555" i="5" a="1"/>
  <c r="N2000" i="5" a="1"/>
  <c r="N1948" i="5" a="1"/>
  <c r="N1930" i="5" a="1"/>
  <c r="N1865" i="5" a="1"/>
  <c r="N1815" i="5" a="1"/>
  <c r="N1779" i="5" a="1"/>
  <c r="N1765" i="5" a="1"/>
  <c r="N1675" i="5" a="1"/>
  <c r="N1659" i="5" a="1"/>
  <c r="N1600" i="5" a="1"/>
  <c r="N1557" i="5" a="1"/>
  <c r="N1527" i="5" a="1"/>
  <c r="N1498" i="5" a="1"/>
  <c r="N1425" i="5" a="1"/>
  <c r="N1409" i="5" a="1"/>
  <c r="N1350" i="5" a="1"/>
  <c r="N1307" i="5" a="1"/>
  <c r="N1277" i="5" a="1"/>
  <c r="N1248" i="5" a="1"/>
  <c r="N1175" i="5" a="1"/>
  <c r="N1148" i="5" a="1"/>
  <c r="N1136" i="5" a="1"/>
  <c r="N1124" i="5" a="1"/>
  <c r="N1101" i="5" a="1"/>
  <c r="N1089" i="5" a="1"/>
  <c r="N1065" i="5" a="1"/>
  <c r="N1042" i="5" a="1"/>
  <c r="N1007" i="5" a="1"/>
  <c r="N983" i="5" a="1"/>
  <c r="N948" i="5" a="1"/>
  <c r="N936" i="5" a="1"/>
  <c r="N924" i="5" a="1"/>
  <c r="N901" i="5" a="1"/>
  <c r="N889" i="5" a="1"/>
  <c r="N865" i="5" a="1"/>
  <c r="N842" i="5" a="1"/>
  <c r="N807" i="5" a="1"/>
  <c r="N784" i="5" a="1"/>
  <c r="N774" i="5" a="1"/>
  <c r="N764" i="5" a="1"/>
  <c r="N754" i="5" a="1"/>
  <c r="N744" i="5" a="1"/>
  <c r="N734" i="5" a="1"/>
  <c r="N724" i="5" a="1"/>
  <c r="N714" i="5" a="1"/>
  <c r="N704" i="5" a="1"/>
  <c r="N694" i="5" a="1"/>
  <c r="N684" i="5" a="1"/>
  <c r="N674" i="5" a="1"/>
  <c r="N664" i="5" a="1"/>
  <c r="N654" i="5" a="1"/>
  <c r="N644" i="5" a="1"/>
  <c r="N634" i="5" a="1"/>
  <c r="N624" i="5" a="1"/>
  <c r="N614" i="5" a="1"/>
  <c r="N604" i="5" a="1"/>
  <c r="N1999" i="5" a="1"/>
  <c r="N1947" i="5" a="1"/>
  <c r="N1975" i="5" a="1"/>
  <c r="N1957" i="5" a="1"/>
  <c r="N1921" i="5" a="1"/>
  <c r="N1889" i="5" a="1"/>
  <c r="N1871" i="5" a="1"/>
  <c r="N1838" i="5" a="1"/>
  <c r="N1806" i="5" a="1"/>
  <c r="N1788" i="5" a="1"/>
  <c r="N1771" i="5" a="1"/>
  <c r="N1726" i="5" a="1"/>
  <c r="N1681" i="5" a="1"/>
  <c r="N1651" i="5" a="1"/>
  <c r="N1608" i="5" a="1"/>
  <c r="N1593" i="5" a="1"/>
  <c r="N1578" i="5" a="1"/>
  <c r="N1563" i="5" a="1"/>
  <c r="N1549" i="5" a="1"/>
  <c r="N1535" i="5" a="1"/>
  <c r="N1476" i="5" a="1"/>
  <c r="N1431" i="5" a="1"/>
  <c r="N1401" i="5" a="1"/>
  <c r="N1358" i="5" a="1"/>
  <c r="N1343" i="5" a="1"/>
  <c r="N1328" i="5" a="1"/>
  <c r="N1313" i="5" a="1"/>
  <c r="N1299" i="5" a="1"/>
  <c r="N1285" i="5" a="1"/>
  <c r="N1226" i="5" a="1"/>
  <c r="N1181" i="5" a="1"/>
  <c r="N1142" i="5" a="1"/>
  <c r="N1107" i="5" a="1"/>
  <c r="N1083" i="5" a="1"/>
  <c r="N1048" i="5" a="1"/>
  <c r="N1036" i="5" a="1"/>
  <c r="N1024" i="5" a="1"/>
  <c r="N1001" i="5" a="1"/>
  <c r="N989" i="5" a="1"/>
  <c r="N965" i="5" a="1"/>
  <c r="N942" i="5" a="1"/>
  <c r="N907" i="5" a="1"/>
  <c r="N883" i="5" a="1"/>
  <c r="N848" i="5" a="1"/>
  <c r="N836" i="5" a="1"/>
  <c r="N824" i="5" a="1"/>
  <c r="N801" i="5" a="1"/>
  <c r="N789" i="5" a="1"/>
  <c r="N779" i="5" a="1"/>
  <c r="N769" i="5" a="1"/>
  <c r="N759" i="5" a="1"/>
  <c r="N749" i="5" a="1"/>
  <c r="N739" i="5" a="1"/>
  <c r="N1990" i="5" a="1"/>
  <c r="N1938" i="5" a="1"/>
  <c r="N1906" i="5" a="1"/>
  <c r="N1888" i="5" a="1"/>
  <c r="N1820" i="5" a="1"/>
  <c r="N1739" i="5" a="1"/>
  <c r="N1710" i="5" a="1"/>
  <c r="N1696" i="5" a="1"/>
  <c r="N1666" i="5" a="1"/>
  <c r="N1637" i="5" a="1"/>
  <c r="N1621" i="5" a="1"/>
  <c r="N1533" i="5" a="1"/>
  <c r="N1519" i="5" a="1"/>
  <c r="N1503" i="5" a="1"/>
  <c r="N1489" i="5" a="1"/>
  <c r="N1460" i="5" a="1"/>
  <c r="N1446" i="5" a="1"/>
  <c r="N1416" i="5" a="1"/>
  <c r="N1387" i="5" a="1"/>
  <c r="N1371" i="5" a="1"/>
  <c r="N1283" i="5" a="1"/>
  <c r="N1269" i="5" a="1"/>
  <c r="N1253" i="5" a="1"/>
  <c r="N1239" i="5" a="1"/>
  <c r="N1210" i="5" a="1"/>
  <c r="N1196" i="5" a="1"/>
  <c r="N1166" i="5" a="1"/>
  <c r="N1153" i="5" a="1"/>
  <c r="N1118" i="5" a="1"/>
  <c r="N1106" i="5" a="1"/>
  <c r="N1094" i="5" a="1"/>
  <c r="N1071" i="5" a="1"/>
  <c r="N1059" i="5" a="1"/>
  <c r="N1035" i="5" a="1"/>
  <c r="N1012" i="5" a="1"/>
  <c r="N977" i="5" a="1"/>
  <c r="N953" i="5" a="1"/>
  <c r="N918" i="5" a="1"/>
  <c r="N906" i="5" a="1"/>
  <c r="N894" i="5" a="1"/>
  <c r="N871" i="5" a="1"/>
  <c r="N859" i="5" a="1"/>
  <c r="N835" i="5" a="1"/>
  <c r="N812" i="5" a="1"/>
  <c r="N1989" i="5" a="1"/>
  <c r="N1988" i="5" a="1"/>
  <c r="N1951" i="5" a="1"/>
  <c r="N1919" i="5" a="1"/>
  <c r="N1901" i="5" a="1"/>
  <c r="N1836" i="5" a="1"/>
  <c r="N1786" i="5" a="1"/>
  <c r="N1768" i="5" a="1"/>
  <c r="N1708" i="5" a="1"/>
  <c r="N1693" i="5" a="1"/>
  <c r="N1678" i="5" a="1"/>
  <c r="N1663" i="5" a="1"/>
  <c r="N1649" i="5" a="1"/>
  <c r="N1635" i="5" a="1"/>
  <c r="N1576" i="5" a="1"/>
  <c r="N1531" i="5" a="1"/>
  <c r="N1501" i="5" a="1"/>
  <c r="N1458" i="5" a="1"/>
  <c r="N1443" i="5" a="1"/>
  <c r="N1428" i="5" a="1"/>
  <c r="N1413" i="5" a="1"/>
  <c r="N1399" i="5" a="1"/>
  <c r="N1385" i="5" a="1"/>
  <c r="N1326" i="5" a="1"/>
  <c r="N1281" i="5" a="1"/>
  <c r="N1251" i="5" a="1"/>
  <c r="N1208" i="5" a="1"/>
  <c r="N1193" i="5" a="1"/>
  <c r="N1178" i="5" a="1"/>
  <c r="N1164" i="5" a="1"/>
  <c r="N1128" i="5" a="1"/>
  <c r="N1116" i="5" a="1"/>
  <c r="N1104" i="5" a="1"/>
  <c r="N1081" i="5" a="1"/>
  <c r="N1069" i="5" a="1"/>
  <c r="N1045" i="5" a="1"/>
  <c r="N1022" i="5" a="1"/>
  <c r="N987" i="5" a="1"/>
  <c r="N963" i="5" a="1"/>
  <c r="N928" i="5" a="1"/>
  <c r="N916" i="5" a="1"/>
  <c r="N904" i="5" a="1"/>
  <c r="N1987" i="5" a="1"/>
  <c r="N1950" i="5" a="1"/>
  <c r="N1918" i="5" a="1"/>
  <c r="N1900" i="5" a="1"/>
  <c r="N1867" i="5" a="1"/>
  <c r="N1835" i="5" a="1"/>
  <c r="N1817" i="5" a="1"/>
  <c r="N1767" i="5" a="1"/>
  <c r="N1707" i="5" a="1"/>
  <c r="N1677" i="5" a="1"/>
  <c r="N1648" i="5" a="1"/>
  <c r="N1575" i="5" a="1"/>
  <c r="N1559" i="5" a="1"/>
  <c r="N1500" i="5" a="1"/>
  <c r="N1457" i="5" a="1"/>
  <c r="N1427" i="5" a="1"/>
  <c r="N1398" i="5" a="1"/>
  <c r="N1325" i="5" a="1"/>
  <c r="N1309" i="5" a="1"/>
  <c r="N1250" i="5" a="1"/>
  <c r="N1207" i="5" a="1"/>
  <c r="N1177" i="5" a="1"/>
  <c r="N1127" i="5" a="1"/>
  <c r="N1103" i="5" a="1"/>
  <c r="N1068" i="5" a="1"/>
  <c r="N1056" i="5" a="1"/>
  <c r="N1044" i="5" a="1"/>
  <c r="N1021" i="5" a="1"/>
  <c r="N1009" i="5" a="1"/>
  <c r="N985" i="5" a="1"/>
  <c r="N962" i="5" a="1"/>
  <c r="N927" i="5" a="1"/>
  <c r="N903" i="5" a="1"/>
  <c r="N868" i="5" a="1"/>
  <c r="N856" i="5" a="1"/>
  <c r="N844" i="5" a="1"/>
  <c r="N821" i="5" a="1"/>
  <c r="N809" i="5" a="1"/>
  <c r="N786" i="5" a="1"/>
  <c r="N776" i="5" a="1"/>
  <c r="N766" i="5" a="1"/>
  <c r="N756" i="5" a="1"/>
  <c r="N746" i="5" a="1"/>
  <c r="N736" i="5" a="1"/>
  <c r="N726" i="5" a="1"/>
  <c r="N716" i="5" a="1"/>
  <c r="N706" i="5" a="1"/>
  <c r="N696" i="5" a="1"/>
  <c r="N686" i="5" a="1"/>
  <c r="N1970" i="5" a="1"/>
  <c r="N1945" i="5" a="1"/>
  <c r="N1847" i="5" a="1"/>
  <c r="N1825" i="5" a="1"/>
  <c r="N1799" i="5" a="1"/>
  <c r="N1711" i="5" a="1"/>
  <c r="N1688" i="5" a="1"/>
  <c r="N1669" i="5" a="1"/>
  <c r="N1647" i="5" a="1"/>
  <c r="N1583" i="5" a="1"/>
  <c r="N1565" i="5" a="1"/>
  <c r="N1540" i="5" a="1"/>
  <c r="N1521" i="5" a="1"/>
  <c r="N1437" i="5" a="1"/>
  <c r="N1395" i="5" a="1"/>
  <c r="N1311" i="5" a="1"/>
  <c r="N1289" i="5" a="1"/>
  <c r="N1270" i="5" a="1"/>
  <c r="N1247" i="5" a="1"/>
  <c r="N1186" i="5" a="1"/>
  <c r="N1165" i="5" a="1"/>
  <c r="N1146" i="5" a="1"/>
  <c r="N1131" i="5" a="1"/>
  <c r="N1112" i="5" a="1"/>
  <c r="N1097" i="5" a="1"/>
  <c r="N1079" i="5" a="1"/>
  <c r="N1046" i="5" a="1"/>
  <c r="N1013" i="5" a="1"/>
  <c r="N994" i="5" a="1"/>
  <c r="N979" i="5" a="1"/>
  <c r="N911" i="5" a="1"/>
  <c r="N895" i="5" a="1"/>
  <c r="N879" i="5" a="1"/>
  <c r="N863" i="5" a="1"/>
  <c r="N832" i="5" a="1"/>
  <c r="N816" i="5" a="1"/>
  <c r="N772" i="5" a="1"/>
  <c r="N732" i="5" a="1"/>
  <c r="N720" i="5" a="1"/>
  <c r="N682" i="5" a="1"/>
  <c r="N659" i="5" a="1"/>
  <c r="N592" i="5" a="1"/>
  <c r="N571" i="5" a="1"/>
  <c r="N550" i="5" a="1"/>
  <c r="N540" i="5" a="1"/>
  <c r="N530" i="5" a="1"/>
  <c r="N520" i="5" a="1"/>
  <c r="N510" i="5" a="1"/>
  <c r="N500" i="5" a="1"/>
  <c r="N490" i="5" a="1"/>
  <c r="N480" i="5" a="1"/>
  <c r="N470" i="5" a="1"/>
  <c r="N460" i="5" a="1"/>
  <c r="N450" i="5" a="1"/>
  <c r="N440" i="5" a="1"/>
  <c r="N430" i="5" a="1"/>
  <c r="N420" i="5" a="1"/>
  <c r="N410" i="5" a="1"/>
  <c r="N400" i="5" a="1"/>
  <c r="N390" i="5" a="1"/>
  <c r="N380" i="5" a="1"/>
  <c r="N370" i="5" a="1"/>
  <c r="N360" i="5" a="1"/>
  <c r="N350" i="5" a="1"/>
  <c r="N340" i="5" a="1"/>
  <c r="N330" i="5" a="1"/>
  <c r="N320" i="5" a="1"/>
  <c r="N310" i="5" a="1"/>
  <c r="N300" i="5" a="1"/>
  <c r="N290" i="5" a="1"/>
  <c r="N280" i="5" a="1"/>
  <c r="N270" i="5" a="1"/>
  <c r="N260" i="5" a="1"/>
  <c r="N250" i="5" a="1"/>
  <c r="N240" i="5" a="1"/>
  <c r="N1967" i="5" a="1"/>
  <c r="N1941" i="5" a="1"/>
  <c r="N1917" i="5" a="1"/>
  <c r="N1821" i="5" a="1"/>
  <c r="N1796" i="5" a="1"/>
  <c r="N1775" i="5" a="1"/>
  <c r="N1750" i="5" a="1"/>
  <c r="N1687" i="5" a="1"/>
  <c r="N1645" i="5" a="1"/>
  <c r="N1561" i="5" a="1"/>
  <c r="N1539" i="5" a="1"/>
  <c r="N1520" i="5" a="1"/>
  <c r="N1497" i="5" a="1"/>
  <c r="N1436" i="5" a="1"/>
  <c r="N1415" i="5" a="1"/>
  <c r="N1373" i="5" a="1"/>
  <c r="N1288" i="5" a="1"/>
  <c r="N1246" i="5" a="1"/>
  <c r="N1183" i="5" a="1"/>
  <c r="N1111" i="5" a="1"/>
  <c r="N1095" i="5" a="1"/>
  <c r="N1077" i="5" a="1"/>
  <c r="N1011" i="5" a="1"/>
  <c r="N993" i="5" a="1"/>
  <c r="N978" i="5" a="1"/>
  <c r="N959" i="5" a="1"/>
  <c r="N926" i="5" a="1"/>
  <c r="N893" i="5" a="1"/>
  <c r="N877" i="5" a="1"/>
  <c r="N862" i="5" a="1"/>
  <c r="N846" i="5" a="1"/>
  <c r="N799" i="5" a="1"/>
  <c r="N771" i="5" a="1"/>
  <c r="N731" i="5" a="1"/>
  <c r="N719" i="5" a="1"/>
  <c r="N693" i="5" a="1"/>
  <c r="N681" i="5" a="1"/>
  <c r="N591" i="5" a="1"/>
  <c r="N570" i="5" a="1"/>
  <c r="N549" i="5" a="1"/>
  <c r="N539" i="5" a="1"/>
  <c r="N529" i="5" a="1"/>
  <c r="N519" i="5" a="1"/>
  <c r="N509" i="5" a="1"/>
  <c r="N499" i="5" a="1"/>
  <c r="N489" i="5" a="1"/>
  <c r="N479" i="5" a="1"/>
  <c r="N469" i="5" a="1"/>
  <c r="N459" i="5" a="1"/>
  <c r="N449" i="5" a="1"/>
  <c r="N439" i="5" a="1"/>
  <c r="N429" i="5" a="1"/>
  <c r="N419" i="5" a="1"/>
  <c r="N409" i="5" a="1"/>
  <c r="N399" i="5" a="1"/>
  <c r="N389" i="5" a="1"/>
  <c r="N379" i="5" a="1"/>
  <c r="N369" i="5" a="1"/>
  <c r="N359" i="5" a="1"/>
  <c r="N349" i="5" a="1"/>
  <c r="N339" i="5" a="1"/>
  <c r="N329" i="5" a="1"/>
  <c r="N319" i="5" a="1"/>
  <c r="N309" i="5" a="1"/>
  <c r="N299" i="5" a="1"/>
  <c r="N289" i="5" a="1"/>
  <c r="N279" i="5" a="1"/>
  <c r="N269" i="5" a="1"/>
  <c r="N259" i="5" a="1"/>
  <c r="N249" i="5" a="1"/>
  <c r="N239" i="5" a="1"/>
  <c r="N1980" i="5" a="1"/>
  <c r="N1929" i="5" a="1"/>
  <c r="N1880" i="5" a="1"/>
  <c r="N1809" i="5" a="1"/>
  <c r="N1787" i="5" a="1"/>
  <c r="N1719" i="5" a="1"/>
  <c r="N1699" i="5" a="1"/>
  <c r="N1657" i="5" a="1"/>
  <c r="N1613" i="5" a="1"/>
  <c r="N1571" i="5" a="1"/>
  <c r="N1551" i="5" a="1"/>
  <c r="N1509" i="5" a="1"/>
  <c r="N1448" i="5" a="1"/>
  <c r="N1383" i="5" a="1"/>
  <c r="N1300" i="5" a="1"/>
  <c r="N1258" i="5" a="1"/>
  <c r="N1237" i="5" a="1"/>
  <c r="N1137" i="5" a="1"/>
  <c r="N1121" i="5" a="1"/>
  <c r="N1087" i="5" a="1"/>
  <c r="N1019" i="5" a="1"/>
  <c r="N1003" i="5" a="1"/>
  <c r="N986" i="5" a="1"/>
  <c r="N969" i="5" a="1"/>
  <c r="N886" i="5" a="1"/>
  <c r="N854" i="5" a="1"/>
  <c r="N839" i="5" a="1"/>
  <c r="N823" i="5" a="1"/>
  <c r="N792" i="5" a="1"/>
  <c r="N778" i="5" a="1"/>
  <c r="N738" i="5" a="1"/>
  <c r="N1979" i="5" a="1"/>
  <c r="N1907" i="5" a="1"/>
  <c r="N1879" i="5" a="1"/>
  <c r="N1858" i="5" a="1"/>
  <c r="N1761" i="5" a="1"/>
  <c r="N1740" i="5" a="1"/>
  <c r="N1636" i="5" a="1"/>
  <c r="N1595" i="5" a="1"/>
  <c r="N1570" i="5" a="1"/>
  <c r="N1488" i="5" a="1"/>
  <c r="N1466" i="5" a="1"/>
  <c r="N1447" i="5" a="1"/>
  <c r="N1423" i="5" a="1"/>
  <c r="N1403" i="5" a="1"/>
  <c r="N1361" i="5" a="1"/>
  <c r="N1340" i="5" a="1"/>
  <c r="N1319" i="5" a="1"/>
  <c r="N1236" i="5" a="1"/>
  <c r="N1215" i="5" a="1"/>
  <c r="N1195" i="5" a="1"/>
  <c r="N1171" i="5" a="1"/>
  <c r="N1154" i="5" a="1"/>
  <c r="N1135" i="5" a="1"/>
  <c r="N1086" i="5" a="1"/>
  <c r="N1052" i="5" a="1"/>
  <c r="N1037" i="5" a="1"/>
  <c r="N1018" i="5" a="1"/>
  <c r="N952" i="5" a="1"/>
  <c r="N934" i="5" a="1"/>
  <c r="N919" i="5" a="1"/>
  <c r="N885" i="5" a="1"/>
  <c r="N853" i="5" a="1"/>
  <c r="N806" i="5" a="1"/>
  <c r="N751" i="5" a="1"/>
  <c r="N712" i="5" a="1"/>
  <c r="N700" i="5" a="1"/>
  <c r="N663" i="5" a="1"/>
  <c r="N586" i="5" a="1"/>
  <c r="N554" i="5" a="1"/>
  <c r="N544" i="5" a="1"/>
  <c r="N534" i="5" a="1"/>
  <c r="N524" i="5" a="1"/>
  <c r="N514" i="5" a="1"/>
  <c r="N504" i="5" a="1"/>
  <c r="N494" i="5" a="1"/>
  <c r="N484" i="5" a="1"/>
  <c r="N474" i="5" a="1"/>
  <c r="N464" i="5" a="1"/>
  <c r="N454" i="5" a="1"/>
  <c r="N444" i="5" a="1"/>
  <c r="N434" i="5" a="1"/>
  <c r="N424" i="5" a="1"/>
  <c r="N414" i="5" a="1"/>
  <c r="N404" i="5" a="1"/>
  <c r="N394" i="5" a="1"/>
  <c r="N384" i="5" a="1"/>
  <c r="N374" i="5" a="1"/>
  <c r="N364" i="5" a="1"/>
  <c r="N354" i="5" a="1"/>
  <c r="N344" i="5" a="1"/>
  <c r="N334" i="5" a="1"/>
  <c r="N324" i="5" a="1"/>
  <c r="N314" i="5" a="1"/>
  <c r="N304" i="5" a="1"/>
  <c r="N1928" i="5" a="1"/>
  <c r="N1830" i="5" a="1"/>
  <c r="N1808" i="5" a="1"/>
  <c r="N1760" i="5" a="1"/>
  <c r="N1698" i="5" a="1"/>
  <c r="N1633" i="5" a="1"/>
  <c r="N1550" i="5" a="1"/>
  <c r="N1508" i="5" a="1"/>
  <c r="N1487" i="5" a="1"/>
  <c r="N1339" i="5" a="1"/>
  <c r="N1298" i="5" a="1"/>
  <c r="N1276" i="5" a="1"/>
  <c r="N1257" i="5" a="1"/>
  <c r="N1233" i="5" a="1"/>
  <c r="N1213" i="5" a="1"/>
  <c r="N1085" i="5" a="1"/>
  <c r="N1002" i="5" a="1"/>
  <c r="N968" i="5" a="1"/>
  <c r="N951" i="5" a="1"/>
  <c r="N869" i="5" a="1"/>
  <c r="N838" i="5" a="1"/>
  <c r="N822" i="5" a="1"/>
  <c r="N805" i="5" a="1"/>
  <c r="N791" i="5" a="1"/>
  <c r="N777" i="5" a="1"/>
  <c r="N763" i="5" a="1"/>
  <c r="N737" i="5" a="1"/>
  <c r="N687" i="5" a="1"/>
  <c r="N651" i="5" a="1"/>
  <c r="N640" i="5" a="1"/>
  <c r="N629" i="5" a="1"/>
  <c r="N618" i="5" a="1"/>
  <c r="N607" i="5" a="1"/>
  <c r="N596" i="5" a="1"/>
  <c r="N564" i="5" a="1"/>
  <c r="N1977" i="5" a="1"/>
  <c r="N1877" i="5" a="1"/>
  <c r="N1851" i="5" a="1"/>
  <c r="N1828" i="5" a="1"/>
  <c r="N1736" i="5" a="1"/>
  <c r="N1715" i="5" a="1"/>
  <c r="N1695" i="5" a="1"/>
  <c r="N1671" i="5" a="1"/>
  <c r="N1610" i="5" a="1"/>
  <c r="N1588" i="5" a="1"/>
  <c r="N1547" i="5" a="1"/>
  <c r="N1440" i="5" a="1"/>
  <c r="N1420" i="5" a="1"/>
  <c r="N1336" i="5" a="1"/>
  <c r="N1316" i="5" a="1"/>
  <c r="N1295" i="5" a="1"/>
  <c r="N1273" i="5" a="1"/>
  <c r="N1211" i="5" a="1"/>
  <c r="N1188" i="5" a="1"/>
  <c r="N1169" i="5" a="1"/>
  <c r="N1133" i="5" a="1"/>
  <c r="N1117" i="5" a="1"/>
  <c r="N1099" i="5" a="1"/>
  <c r="N1032" i="5" a="1"/>
  <c r="N1015" i="5" a="1"/>
  <c r="N999" i="5" a="1"/>
  <c r="N966" i="5" a="1"/>
  <c r="N932" i="5" a="1"/>
  <c r="N914" i="5" a="1"/>
  <c r="N898" i="5" a="1"/>
  <c r="N882" i="5" a="1"/>
  <c r="N866" i="5" a="1"/>
  <c r="N851" i="5" a="1"/>
  <c r="N819" i="5" a="1"/>
  <c r="N788" i="5" a="1"/>
  <c r="N748" i="5" a="1"/>
  <c r="N722" i="5" a="1"/>
  <c r="N710" i="5" a="1"/>
  <c r="N661" i="5" a="1"/>
  <c r="N594" i="5" a="1"/>
  <c r="N573" i="5" a="1"/>
  <c r="N552" i="5" a="1"/>
  <c r="N542" i="5" a="1"/>
  <c r="N532" i="5" a="1"/>
  <c r="N522" i="5" a="1"/>
  <c r="N512" i="5" a="1"/>
  <c r="N502" i="5" a="1"/>
  <c r="N492" i="5" a="1"/>
  <c r="N482" i="5" a="1"/>
  <c r="N472" i="5" a="1"/>
  <c r="N462" i="5" a="1"/>
  <c r="N452" i="5" a="1"/>
  <c r="N442" i="5" a="1"/>
  <c r="N432" i="5" a="1"/>
  <c r="N422" i="5" a="1"/>
  <c r="N412" i="5" a="1"/>
  <c r="N1976" i="5" a="1"/>
  <c r="N1946" i="5" a="1"/>
  <c r="N1876" i="5" a="1"/>
  <c r="N1849" i="5" a="1"/>
  <c r="N1801" i="5" a="1"/>
  <c r="N1690" i="5" a="1"/>
  <c r="N1670" i="5" a="1"/>
  <c r="N1586" i="5" a="1"/>
  <c r="N1566" i="5" a="1"/>
  <c r="N1545" i="5" a="1"/>
  <c r="N1523" i="5" a="1"/>
  <c r="N1461" i="5" a="1"/>
  <c r="N1438" i="5" a="1"/>
  <c r="N1419" i="5" a="1"/>
  <c r="N1397" i="5" a="1"/>
  <c r="N1333" i="5" a="1"/>
  <c r="N1315" i="5" a="1"/>
  <c r="N1290" i="5" a="1"/>
  <c r="N1271" i="5" a="1"/>
  <c r="N1187" i="5" a="1"/>
  <c r="N1132" i="5" a="1"/>
  <c r="N1114" i="5" a="1"/>
  <c r="N1098" i="5" a="1"/>
  <c r="N1014" i="5" a="1"/>
  <c r="N997" i="5" a="1"/>
  <c r="N946" i="5" a="1"/>
  <c r="N931" i="5" a="1"/>
  <c r="N912" i="5" a="1"/>
  <c r="N897" i="5" a="1"/>
  <c r="N881" i="5" a="1"/>
  <c r="N864" i="5" a="1"/>
  <c r="N787" i="5" a="1"/>
  <c r="N773" i="5" a="1"/>
  <c r="N747" i="5" a="1"/>
  <c r="N733" i="5" a="1"/>
  <c r="N721" i="5" a="1"/>
  <c r="N709" i="5" a="1"/>
  <c r="N683" i="5" a="1"/>
  <c r="N660" i="5" a="1"/>
  <c r="N593" i="5" a="1"/>
  <c r="N572" i="5" a="1"/>
  <c r="N551" i="5" a="1"/>
  <c r="N541" i="5" a="1"/>
  <c r="N531" i="5" a="1"/>
  <c r="N521" i="5" a="1"/>
  <c r="N511" i="5" a="1"/>
  <c r="N501" i="5" a="1"/>
  <c r="N491" i="5" a="1"/>
  <c r="N481" i="5" a="1"/>
  <c r="N471" i="5" a="1"/>
  <c r="N461" i="5" a="1"/>
  <c r="N451" i="5" a="1"/>
  <c r="N441" i="5" a="1"/>
  <c r="N431" i="5" a="1"/>
  <c r="N421" i="5" a="1"/>
  <c r="N411" i="5" a="1"/>
  <c r="N401" i="5" a="1"/>
  <c r="N391" i="5" a="1"/>
  <c r="N381" i="5" a="1"/>
  <c r="N371" i="5" a="1"/>
  <c r="N361" i="5" a="1"/>
  <c r="N351" i="5" a="1"/>
  <c r="N341" i="5" a="1"/>
  <c r="N331" i="5" a="1"/>
  <c r="N321" i="5" a="1"/>
  <c r="N311" i="5" a="1"/>
  <c r="N301" i="5" a="1"/>
  <c r="N1916" i="5" a="1"/>
  <c r="N1770" i="5" a="1"/>
  <c r="N1737" i="5" a="1"/>
  <c r="N1607" i="5" a="1"/>
  <c r="N1477" i="5" a="1"/>
  <c r="N1411" i="5" a="1"/>
  <c r="N1348" i="5" a="1"/>
  <c r="N1286" i="5" a="1"/>
  <c r="N1219" i="5" a="1"/>
  <c r="N1157" i="5" a="1"/>
  <c r="N1129" i="5" a="1"/>
  <c r="N1105" i="5" a="1"/>
  <c r="N1076" i="5" a="1"/>
  <c r="N1053" i="5" a="1"/>
  <c r="N1026" i="5" a="1"/>
  <c r="N974" i="5" a="1"/>
  <c r="N849" i="5" a="1"/>
  <c r="N826" i="5" a="1"/>
  <c r="N780" i="5" a="1"/>
  <c r="N757" i="5" a="1"/>
  <c r="N648" i="5" a="1"/>
  <c r="N632" i="5" a="1"/>
  <c r="N617" i="5" a="1"/>
  <c r="N600" i="5" a="1"/>
  <c r="N556" i="5" a="1"/>
  <c r="N398" i="5" a="1"/>
  <c r="N372" i="5" a="1"/>
  <c r="N358" i="5" a="1"/>
  <c r="N332" i="5" a="1"/>
  <c r="N318" i="5" a="1"/>
  <c r="N281" i="5" a="1"/>
  <c r="N257" i="5" a="1"/>
  <c r="N234" i="5" a="1"/>
  <c r="N1449" i="5" a="1"/>
  <c r="N1027" i="5" a="1"/>
  <c r="N740" i="5" a="1"/>
  <c r="N1996" i="5" a="1"/>
  <c r="N1958" i="5" a="1"/>
  <c r="N1915" i="5" a="1"/>
  <c r="N1878" i="5" a="1"/>
  <c r="N1841" i="5" a="1"/>
  <c r="N1807" i="5" a="1"/>
  <c r="N1769" i="5" a="1"/>
  <c r="N1733" i="5" a="1"/>
  <c r="N1701" i="5" a="1"/>
  <c r="N1639" i="5" a="1"/>
  <c r="N1603" i="5" a="1"/>
  <c r="N1510" i="5" a="1"/>
  <c r="N1445" i="5" a="1"/>
  <c r="N1410" i="5" a="1"/>
  <c r="N1378" i="5" a="1"/>
  <c r="N1347" i="5" a="1"/>
  <c r="N1185" i="5" a="1"/>
  <c r="N1156" i="5" a="1"/>
  <c r="N1075" i="5" a="1"/>
  <c r="N1051" i="5" a="1"/>
  <c r="N1025" i="5" a="1"/>
  <c r="N973" i="5" a="1"/>
  <c r="N947" i="5" a="1"/>
  <c r="N922" i="5" a="1"/>
  <c r="N896" i="5" a="1"/>
  <c r="N873" i="5" a="1"/>
  <c r="N847" i="5" a="1"/>
  <c r="N825" i="5" a="1"/>
  <c r="N717" i="5" a="1"/>
  <c r="N699" i="5" a="1"/>
  <c r="N680" i="5" a="1"/>
  <c r="N647" i="5" a="1"/>
  <c r="N616" i="5" a="1"/>
  <c r="N569" i="5" a="1"/>
  <c r="N526" i="5" a="1"/>
  <c r="N497" i="5" a="1"/>
  <c r="N483" i="5" a="1"/>
  <c r="N468" i="5" a="1"/>
  <c r="N455" i="5" a="1"/>
  <c r="N426" i="5" a="1"/>
  <c r="N385" i="5" a="1"/>
  <c r="N345" i="5" a="1"/>
  <c r="N305" i="5" a="1"/>
  <c r="N292" i="5" a="1"/>
  <c r="N268" i="5" a="1"/>
  <c r="N245" i="5" a="1"/>
  <c r="N233" i="5" a="1"/>
  <c r="N223" i="5" a="1"/>
  <c r="N213" i="5" a="1"/>
  <c r="N203" i="5" a="1"/>
  <c r="N193" i="5" a="1"/>
  <c r="N183" i="5" a="1"/>
  <c r="N173" i="5" a="1"/>
  <c r="N163" i="5" a="1"/>
  <c r="N153" i="5" a="1"/>
  <c r="N143" i="5" a="1"/>
  <c r="N133" i="5" a="1"/>
  <c r="N123" i="5" a="1"/>
  <c r="N113" i="5" a="1"/>
  <c r="N103" i="5" a="1"/>
  <c r="N1386" i="5" a="1"/>
  <c r="N1220" i="5" a="1"/>
  <c r="N1078" i="5" a="1"/>
  <c r="N975" i="5" a="1"/>
  <c r="N827" i="5" a="1"/>
  <c r="N1805" i="5" a="1"/>
  <c r="N1731" i="5" a="1"/>
  <c r="N1573" i="5" a="1"/>
  <c r="N1538" i="5" a="1"/>
  <c r="N1475" i="5" a="1"/>
  <c r="N1377" i="5" a="1"/>
  <c r="N1155" i="5" a="1"/>
  <c r="N1126" i="5" a="1"/>
  <c r="N998" i="5" a="1"/>
  <c r="N972" i="5" a="1"/>
  <c r="N945" i="5" a="1"/>
  <c r="N845" i="5" a="1"/>
  <c r="N798" i="5" a="1"/>
  <c r="N698" i="5" a="1"/>
  <c r="N646" i="5" a="1"/>
  <c r="N631" i="5" a="1"/>
  <c r="N599" i="5" a="1"/>
  <c r="N584" i="5" a="1"/>
  <c r="N397" i="5" a="1"/>
  <c r="N357" i="5" a="1"/>
  <c r="N317" i="5" a="1"/>
  <c r="N256" i="5" a="1"/>
  <c r="N1478" i="5" a="1"/>
  <c r="N923" i="5" a="1"/>
  <c r="N1995" i="5" a="1"/>
  <c r="N1800" i="5" a="1"/>
  <c r="N1700" i="5" a="1"/>
  <c r="N1638" i="5" a="1"/>
  <c r="N1569" i="5" a="1"/>
  <c r="N1507" i="5" a="1"/>
  <c r="N1473" i="5" a="1"/>
  <c r="N1439" i="5" a="1"/>
  <c r="N1408" i="5" a="1"/>
  <c r="N1376" i="5" a="1"/>
  <c r="N1346" i="5" a="1"/>
  <c r="N1310" i="5" a="1"/>
  <c r="N1216" i="5" a="1"/>
  <c r="N1152" i="5" a="1"/>
  <c r="N1074" i="5" a="1"/>
  <c r="N1049" i="5" a="1"/>
  <c r="N1023" i="5" a="1"/>
  <c r="N995" i="5" a="1"/>
  <c r="N971" i="5" a="1"/>
  <c r="N944" i="5" a="1"/>
  <c r="N921" i="5" a="1"/>
  <c r="N872" i="5" a="1"/>
  <c r="N797" i="5" a="1"/>
  <c r="N697" i="5" a="1"/>
  <c r="N679" i="5" a="1"/>
  <c r="N662" i="5" a="1"/>
  <c r="N613" i="5" a="1"/>
  <c r="N583" i="5" a="1"/>
  <c r="N568" i="5" a="1"/>
  <c r="N553" i="5" a="1"/>
  <c r="N538" i="5" a="1"/>
  <c r="N525" i="5" a="1"/>
  <c r="N496" i="5" a="1"/>
  <c r="N467" i="5" a="1"/>
  <c r="N453" i="5" a="1"/>
  <c r="N438" i="5" a="1"/>
  <c r="N425" i="5" a="1"/>
  <c r="N383" i="5" a="1"/>
  <c r="N343" i="5" a="1"/>
  <c r="N303" i="5" a="1"/>
  <c r="N291" i="5" a="1"/>
  <c r="N267" i="5" a="1"/>
  <c r="N244" i="5" a="1"/>
  <c r="N232" i="5" a="1"/>
  <c r="N222" i="5" a="1"/>
  <c r="N212" i="5" a="1"/>
  <c r="N202" i="5" a="1"/>
  <c r="N192" i="5" a="1"/>
  <c r="N182" i="5" a="1"/>
  <c r="N172" i="5" a="1"/>
  <c r="N162" i="5" a="1"/>
  <c r="N152" i="5" a="1"/>
  <c r="N142" i="5" a="1"/>
  <c r="N132" i="5" a="1"/>
  <c r="N122" i="5" a="1"/>
  <c r="N112" i="5" a="1"/>
  <c r="N102" i="5" a="1"/>
  <c r="N1054" i="5" a="1"/>
  <c r="N874" i="5" a="1"/>
  <c r="N1875" i="5" a="1"/>
  <c r="N1728" i="5" a="1"/>
  <c r="N1665" i="5" a="1"/>
  <c r="N1599" i="5" a="1"/>
  <c r="N1537" i="5" a="1"/>
  <c r="N1471" i="5" a="1"/>
  <c r="N1375" i="5" a="1"/>
  <c r="N1245" i="5" a="1"/>
  <c r="N1151" i="5" a="1"/>
  <c r="N1047" i="5" a="1"/>
  <c r="N943" i="5" a="1"/>
  <c r="N892" i="5" a="1"/>
  <c r="N795" i="5" a="1"/>
  <c r="N678" i="5" a="1"/>
  <c r="N630" i="5" a="1"/>
  <c r="N612" i="5" a="1"/>
  <c r="N598" i="5" a="1"/>
  <c r="N582" i="5" a="1"/>
  <c r="N396" i="5" a="1"/>
  <c r="N356" i="5" a="1"/>
  <c r="N316" i="5" a="1"/>
  <c r="N278" i="5" a="1"/>
  <c r="N255" i="5" a="1"/>
  <c r="N243" i="5" a="1"/>
  <c r="N1991" i="5" a="1"/>
  <c r="N1909" i="5" a="1"/>
  <c r="N1870" i="5" a="1"/>
  <c r="N1837" i="5" a="1"/>
  <c r="N1697" i="5" a="1"/>
  <c r="N1470" i="5" a="1"/>
  <c r="N1407" i="5" a="1"/>
  <c r="N1345" i="5" a="1"/>
  <c r="N1243" i="5" a="1"/>
  <c r="N1123" i="5" a="1"/>
  <c r="N1073" i="5" a="1"/>
  <c r="N917" i="5" a="1"/>
  <c r="N891" i="5" a="1"/>
  <c r="N818" i="5" a="1"/>
  <c r="N794" i="5" a="1"/>
  <c r="N753" i="5" a="1"/>
  <c r="N581" i="5" a="1"/>
  <c r="N567" i="5" a="1"/>
  <c r="N537" i="5" a="1"/>
  <c r="N523" i="5" a="1"/>
  <c r="N508" i="5" a="1"/>
  <c r="N495" i="5" a="1"/>
  <c r="N466" i="5" a="1"/>
  <c r="N437" i="5" a="1"/>
  <c r="N423" i="5" a="1"/>
  <c r="N408" i="5" a="1"/>
  <c r="N382" i="5" a="1"/>
  <c r="N368" i="5" a="1"/>
  <c r="N342" i="5" a="1"/>
  <c r="N328" i="5" a="1"/>
  <c r="N302" i="5" a="1"/>
  <c r="N266" i="5" a="1"/>
  <c r="N231" i="5" a="1"/>
  <c r="N221" i="5" a="1"/>
  <c r="N211" i="5" a="1"/>
  <c r="N201" i="5" a="1"/>
  <c r="N191" i="5" a="1"/>
  <c r="N181" i="5" a="1"/>
  <c r="N171" i="5" a="1"/>
  <c r="N161" i="5" a="1"/>
  <c r="N151" i="5" a="1"/>
  <c r="N141" i="5" a="1"/>
  <c r="N131" i="5" a="1"/>
  <c r="N121" i="5" a="1"/>
  <c r="N111" i="5" a="1"/>
  <c r="N101" i="5" a="1"/>
  <c r="N1795" i="5" a="1"/>
  <c r="N1727" i="5" a="1"/>
  <c r="N1661" i="5" a="1"/>
  <c r="N1628" i="5" a="1"/>
  <c r="N1598" i="5" a="1"/>
  <c r="N1536" i="5" a="1"/>
  <c r="N1469" i="5" a="1"/>
  <c r="N1435" i="5" a="1"/>
  <c r="N1370" i="5" a="1"/>
  <c r="N1338" i="5" a="1"/>
  <c r="N1275" i="5" a="1"/>
  <c r="N1209" i="5" a="1"/>
  <c r="N1147" i="5" a="1"/>
  <c r="N1096" i="5" a="1"/>
  <c r="N992" i="5" a="1"/>
  <c r="N941" i="5" a="1"/>
  <c r="N915" i="5" a="1"/>
  <c r="N817" i="5" a="1"/>
  <c r="N713" i="5" a="1"/>
  <c r="N677" i="5" a="1"/>
  <c r="N643" i="5" a="1"/>
  <c r="N628" i="5" a="1"/>
  <c r="N611" i="5" a="1"/>
  <c r="N597" i="5" a="1"/>
  <c r="N580" i="5" a="1"/>
  <c r="N395" i="5" a="1"/>
  <c r="N355" i="5" a="1"/>
  <c r="N315" i="5" a="1"/>
  <c r="N277" i="5" a="1"/>
  <c r="N254" i="5" a="1"/>
  <c r="N242" i="5" a="1"/>
  <c r="N1986" i="5" a="1"/>
  <c r="N1908" i="5" a="1"/>
  <c r="N1829" i="5" a="1"/>
  <c r="N1759" i="5" a="1"/>
  <c r="N1660" i="5" a="1"/>
  <c r="N1627" i="5" a="1"/>
  <c r="N1597" i="5" a="1"/>
  <c r="N1433" i="5" a="1"/>
  <c r="N1369" i="5" a="1"/>
  <c r="N1337" i="5" a="1"/>
  <c r="N1303" i="5" a="1"/>
  <c r="N1145" i="5" a="1"/>
  <c r="N1122" i="5" a="1"/>
  <c r="N1072" i="5" a="1"/>
  <c r="N1017" i="5" a="1"/>
  <c r="N967" i="5" a="1"/>
  <c r="N913" i="5" a="1"/>
  <c r="N841" i="5" a="1"/>
  <c r="N815" i="5" a="1"/>
  <c r="N793" i="5" a="1"/>
  <c r="N752" i="5" a="1"/>
  <c r="N730" i="5" a="1"/>
  <c r="N711" i="5" a="1"/>
  <c r="N692" i="5" a="1"/>
  <c r="N658" i="5" a="1"/>
  <c r="N627" i="5" a="1"/>
  <c r="N566" i="5" a="1"/>
  <c r="N536" i="5" a="1"/>
  <c r="N507" i="5" a="1"/>
  <c r="N493" i="5" a="1"/>
  <c r="N478" i="5" a="1"/>
  <c r="N465" i="5" a="1"/>
  <c r="N436" i="5" a="1"/>
  <c r="N407" i="5" a="1"/>
  <c r="N367" i="5" a="1"/>
  <c r="N327" i="5" a="1"/>
  <c r="N288" i="5" a="1"/>
  <c r="N265" i="5" a="1"/>
  <c r="N253" i="5" a="1"/>
  <c r="N230" i="5" a="1"/>
  <c r="N220" i="5" a="1"/>
  <c r="N210" i="5" a="1"/>
  <c r="N200" i="5" a="1"/>
  <c r="N190" i="5" a="1"/>
  <c r="N180" i="5" a="1"/>
  <c r="N170" i="5" a="1"/>
  <c r="N160" i="5" a="1"/>
  <c r="N150" i="5" a="1"/>
  <c r="N140" i="5" a="1"/>
  <c r="N130" i="5" a="1"/>
  <c r="N120" i="5" a="1"/>
  <c r="N110" i="5" a="1"/>
  <c r="N100" i="5" a="1"/>
  <c r="N1905" i="5" a="1"/>
  <c r="N1791" i="5" a="1"/>
  <c r="N1758" i="5" a="1"/>
  <c r="N1725" i="5" a="1"/>
  <c r="N1689" i="5" a="1"/>
  <c r="N1626" i="5" a="1"/>
  <c r="N1560" i="5" a="1"/>
  <c r="N1496" i="5" a="1"/>
  <c r="N1465" i="5" a="1"/>
  <c r="N1400" i="5" a="1"/>
  <c r="N1335" i="5" a="1"/>
  <c r="N1240" i="5" a="1"/>
  <c r="N1203" i="5" a="1"/>
  <c r="N1144" i="5" a="1"/>
  <c r="N1093" i="5" a="1"/>
  <c r="N1041" i="5" a="1"/>
  <c r="N1016" i="5" a="1"/>
  <c r="N991" i="5" a="1"/>
  <c r="N964" i="5" a="1"/>
  <c r="N939" i="5" a="1"/>
  <c r="N888" i="5" a="1"/>
  <c r="N814" i="5" a="1"/>
  <c r="N770" i="5" a="1"/>
  <c r="N750" i="5" a="1"/>
  <c r="N676" i="5" a="1"/>
  <c r="N657" i="5" a="1"/>
  <c r="N642" i="5" a="1"/>
  <c r="N626" i="5" a="1"/>
  <c r="N610" i="5" a="1"/>
  <c r="N579" i="5" a="1"/>
  <c r="N393" i="5" a="1"/>
  <c r="N353" i="5" a="1"/>
  <c r="N313" i="5" a="1"/>
  <c r="N276" i="5" a="1"/>
  <c r="N241" i="5" a="1"/>
  <c r="N1978" i="5" a="1"/>
  <c r="N1755" i="5" a="1"/>
  <c r="N1723" i="5" a="1"/>
  <c r="N1658" i="5" a="1"/>
  <c r="N1625" i="5" a="1"/>
  <c r="N1596" i="5" a="1"/>
  <c r="N1463" i="5" a="1"/>
  <c r="N1366" i="5" a="1"/>
  <c r="N1201" i="5" a="1"/>
  <c r="N1173" i="5" a="1"/>
  <c r="N1119" i="5" a="1"/>
  <c r="N1092" i="5" a="1"/>
  <c r="N1066" i="5" a="1"/>
  <c r="N938" i="5" a="1"/>
  <c r="N729" i="5" a="1"/>
  <c r="N691" i="5" a="1"/>
  <c r="N548" i="5" a="1"/>
  <c r="N535" i="5" a="1"/>
  <c r="N506" i="5" a="1"/>
  <c r="N477" i="5" a="1"/>
  <c r="N463" i="5" a="1"/>
  <c r="N448" i="5" a="1"/>
  <c r="N435" i="5" a="1"/>
  <c r="N406" i="5" a="1"/>
  <c r="N366" i="5" a="1"/>
  <c r="N326" i="5" a="1"/>
  <c r="N287" i="5" a="1"/>
  <c r="N264" i="5" a="1"/>
  <c r="N252" i="5" a="1"/>
  <c r="N229" i="5" a="1"/>
  <c r="N219" i="5" a="1"/>
  <c r="N209" i="5" a="1"/>
  <c r="N199" i="5" a="1"/>
  <c r="N189" i="5" a="1"/>
  <c r="N179" i="5" a="1"/>
  <c r="N169" i="5" a="1"/>
  <c r="N159" i="5" a="1"/>
  <c r="N149" i="5" a="1"/>
  <c r="N139" i="5" a="1"/>
  <c r="N129" i="5" a="1"/>
  <c r="N119" i="5" a="1"/>
  <c r="N109" i="5" a="1"/>
  <c r="N99" i="5" a="1"/>
  <c r="N1937" i="5" a="1"/>
  <c r="N1861" i="5" a="1"/>
  <c r="N1790" i="5" a="1"/>
  <c r="N1751" i="5" a="1"/>
  <c r="N1721" i="5" a="1"/>
  <c r="N1623" i="5" a="1"/>
  <c r="N1590" i="5" a="1"/>
  <c r="N1526" i="5" a="1"/>
  <c r="N1495" i="5" a="1"/>
  <c r="N1396" i="5" a="1"/>
  <c r="N1365" i="5" a="1"/>
  <c r="N1331" i="5" a="1"/>
  <c r="N1301" i="5" a="1"/>
  <c r="N1266" i="5" a="1"/>
  <c r="N1238" i="5" a="1"/>
  <c r="N1170" i="5" a="1"/>
  <c r="N1143" i="5" a="1"/>
  <c r="N1091" i="5" a="1"/>
  <c r="N1064" i="5" a="1"/>
  <c r="N937" i="5" a="1"/>
  <c r="N909" i="5" a="1"/>
  <c r="N887" i="5" a="1"/>
  <c r="N861" i="5" a="1"/>
  <c r="N813" i="5" a="1"/>
  <c r="N768" i="5" a="1"/>
  <c r="N728" i="5" a="1"/>
  <c r="N708" i="5" a="1"/>
  <c r="N673" i="5" a="1"/>
  <c r="N656" i="5" a="1"/>
  <c r="N641" i="5" a="1"/>
  <c r="N623" i="5" a="1"/>
  <c r="N609" i="5" a="1"/>
  <c r="N578" i="5" a="1"/>
  <c r="N563" i="5" a="1"/>
  <c r="N392" i="5" a="1"/>
  <c r="N378" i="5" a="1"/>
  <c r="N352" i="5" a="1"/>
  <c r="N338" i="5" a="1"/>
  <c r="N312" i="5" a="1"/>
  <c r="N298" i="5" a="1"/>
  <c r="N275" i="5" a="1"/>
  <c r="N263" i="5" a="1"/>
  <c r="N1936" i="5" a="1"/>
  <c r="N1896" i="5" a="1"/>
  <c r="N1749" i="5" a="1"/>
  <c r="N1720" i="5" a="1"/>
  <c r="N1686" i="5" a="1"/>
  <c r="N1653" i="5" a="1"/>
  <c r="N1589" i="5" a="1"/>
  <c r="N1525" i="5" a="1"/>
  <c r="N1493" i="5" a="1"/>
  <c r="N1459" i="5" a="1"/>
  <c r="N1393" i="5" a="1"/>
  <c r="N1363" i="5" a="1"/>
  <c r="N1265" i="5" a="1"/>
  <c r="N1200" i="5" a="1"/>
  <c r="N1115" i="5" a="1"/>
  <c r="N1063" i="5" a="1"/>
  <c r="N1039" i="5" a="1"/>
  <c r="N988" i="5" a="1"/>
  <c r="N935" i="5" a="1"/>
  <c r="N884" i="5" a="1"/>
  <c r="N837" i="5" a="1"/>
  <c r="N707" i="5" a="1"/>
  <c r="N690" i="5" a="1"/>
  <c r="N672" i="5" a="1"/>
  <c r="N562" i="5" a="1"/>
  <c r="N547" i="5" a="1"/>
  <c r="N533" i="5" a="1"/>
  <c r="N518" i="5" a="1"/>
  <c r="N505" i="5" a="1"/>
  <c r="N476" i="5" a="1"/>
  <c r="N447" i="5" a="1"/>
  <c r="N433" i="5" a="1"/>
  <c r="N418" i="5" a="1"/>
  <c r="N405" i="5" a="1"/>
  <c r="N365" i="5" a="1"/>
  <c r="N325" i="5" a="1"/>
  <c r="N286" i="5" a="1"/>
  <c r="N251" i="5" a="1"/>
  <c r="N228" i="5" a="1"/>
  <c r="N218" i="5" a="1"/>
  <c r="N208" i="5" a="1"/>
  <c r="N198" i="5" a="1"/>
  <c r="N188" i="5" a="1"/>
  <c r="N178" i="5" a="1"/>
  <c r="N168" i="5" a="1"/>
  <c r="N158" i="5" a="1"/>
  <c r="N148" i="5" a="1"/>
  <c r="N138" i="5" a="1"/>
  <c r="N128" i="5" a="1"/>
  <c r="N118" i="5" a="1"/>
  <c r="N108" i="5" a="1"/>
  <c r="N98" i="5" a="1"/>
  <c r="N1971" i="5" a="1"/>
  <c r="N1935" i="5" a="1"/>
  <c r="N1895" i="5" a="1"/>
  <c r="N1860" i="5" a="1"/>
  <c r="N1789" i="5" a="1"/>
  <c r="N1716" i="5" a="1"/>
  <c r="N1685" i="5" a="1"/>
  <c r="N1620" i="5" a="1"/>
  <c r="N1587" i="5" a="1"/>
  <c r="N1297" i="5" a="1"/>
  <c r="N1231" i="5" a="1"/>
  <c r="N1141" i="5" a="1"/>
  <c r="N1113" i="5" a="1"/>
  <c r="N1062" i="5" a="1"/>
  <c r="N958" i="5" a="1"/>
  <c r="N933" i="5" a="1"/>
  <c r="N908" i="5" a="1"/>
  <c r="N834" i="5" a="1"/>
  <c r="N811" i="5" a="1"/>
  <c r="N767" i="5" a="1"/>
  <c r="N727" i="5" a="1"/>
  <c r="N671" i="5" a="1"/>
  <c r="N639" i="5" a="1"/>
  <c r="N622" i="5" a="1"/>
  <c r="N608" i="5" a="1"/>
  <c r="N577" i="5" a="1"/>
  <c r="N561" i="5" a="1"/>
  <c r="N377" i="5" a="1"/>
  <c r="N337" i="5" a="1"/>
  <c r="N297" i="5" a="1"/>
  <c r="N274" i="5" a="1"/>
  <c r="N262" i="5" a="1"/>
  <c r="N238" i="5" a="1"/>
  <c r="N1738" i="5" a="1"/>
  <c r="N1931" i="5" a="1"/>
  <c r="N1891" i="5" a="1"/>
  <c r="N1859" i="5" a="1"/>
  <c r="N1819" i="5" a="1"/>
  <c r="N1747" i="5" a="1"/>
  <c r="N1683" i="5" a="1"/>
  <c r="N1650" i="5" a="1"/>
  <c r="N1619" i="5" a="1"/>
  <c r="N1585" i="5" a="1"/>
  <c r="N1553" i="5" a="1"/>
  <c r="N1453" i="5" a="1"/>
  <c r="N1390" i="5" a="1"/>
  <c r="N1360" i="5" a="1"/>
  <c r="N1327" i="5" a="1"/>
  <c r="N1296" i="5" a="1"/>
  <c r="N1261" i="5" a="1"/>
  <c r="N1199" i="5" a="1"/>
  <c r="N1088" i="5" a="1"/>
  <c r="N1061" i="5" a="1"/>
  <c r="N1038" i="5" a="1"/>
  <c r="N858" i="5" a="1"/>
  <c r="N833" i="5" a="1"/>
  <c r="N743" i="5" a="1"/>
  <c r="N689" i="5" a="1"/>
  <c r="N670" i="5" a="1"/>
  <c r="N638" i="5" a="1"/>
  <c r="N590" i="5" a="1"/>
  <c r="N560" i="5" a="1"/>
  <c r="N546" i="5" a="1"/>
  <c r="N517" i="5" a="1"/>
  <c r="N503" i="5" a="1"/>
  <c r="N488" i="5" a="1"/>
  <c r="N475" i="5" a="1"/>
  <c r="N446" i="5" a="1"/>
  <c r="N417" i="5" a="1"/>
  <c r="N403" i="5" a="1"/>
  <c r="N363" i="5" a="1"/>
  <c r="N323" i="5" a="1"/>
  <c r="N285" i="5" a="1"/>
  <c r="N273" i="5" a="1"/>
  <c r="N227" i="5" a="1"/>
  <c r="N217" i="5" a="1"/>
  <c r="N207" i="5" a="1"/>
  <c r="N197" i="5" a="1"/>
  <c r="N187" i="5" a="1"/>
  <c r="N177" i="5" a="1"/>
  <c r="N167" i="5" a="1"/>
  <c r="N157" i="5" a="1"/>
  <c r="N147" i="5" a="1"/>
  <c r="N137" i="5" a="1"/>
  <c r="N127" i="5" a="1"/>
  <c r="N117" i="5" a="1"/>
  <c r="N107" i="5" a="1"/>
  <c r="N97" i="5" a="1"/>
  <c r="N1966" i="5" a="1"/>
  <c r="N1857" i="5" a="1"/>
  <c r="N1818" i="5" a="1"/>
  <c r="N1713" i="5" a="1"/>
  <c r="N1490" i="5" a="1"/>
  <c r="N1421" i="5" a="1"/>
  <c r="N1359" i="5" a="1"/>
  <c r="N1228" i="5" a="1"/>
  <c r="N1163" i="5" a="1"/>
  <c r="N1139" i="5" a="1"/>
  <c r="N1034" i="5" a="1"/>
  <c r="N982" i="5" a="1"/>
  <c r="N957" i="5" a="1"/>
  <c r="N905" i="5" a="1"/>
  <c r="N831" i="5" a="1"/>
  <c r="N783" i="5" a="1"/>
  <c r="N723" i="5" a="1"/>
  <c r="N688" i="5" a="1"/>
  <c r="N669" i="5" a="1"/>
  <c r="N653" i="5" a="1"/>
  <c r="N637" i="5" a="1"/>
  <c r="N621" i="5" a="1"/>
  <c r="N606" i="5" a="1"/>
  <c r="N576" i="5" a="1"/>
  <c r="N559" i="5" a="1"/>
  <c r="N376" i="5" a="1"/>
  <c r="N336" i="5" a="1"/>
  <c r="N296" i="5" a="1"/>
  <c r="N261" i="5" a="1"/>
  <c r="N237" i="5" a="1"/>
  <c r="N1965" i="5" a="1"/>
  <c r="N1890" i="5" a="1"/>
  <c r="N1778" i="5" a="1"/>
  <c r="N1746" i="5" a="1"/>
  <c r="N1646" i="5" a="1"/>
  <c r="N1616" i="5" a="1"/>
  <c r="N1581" i="5" a="1"/>
  <c r="N1486" i="5" a="1"/>
  <c r="N1451" i="5" a="1"/>
  <c r="N1389" i="5" a="1"/>
  <c r="N1357" i="5" a="1"/>
  <c r="N1260" i="5" a="1"/>
  <c r="N1227" i="5" a="1"/>
  <c r="N1198" i="5" a="1"/>
  <c r="N1138" i="5" a="1"/>
  <c r="N1033" i="5" a="1"/>
  <c r="N1006" i="5" a="1"/>
  <c r="N981" i="5" a="1"/>
  <c r="N956" i="5" a="1"/>
  <c r="N929" i="5" a="1"/>
  <c r="N878" i="5" a="1"/>
  <c r="N857" i="5" a="1"/>
  <c r="N829" i="5" a="1"/>
  <c r="N742" i="5" a="1"/>
  <c r="N703" i="5" a="1"/>
  <c r="N668" i="5" a="1"/>
  <c r="N636" i="5" a="1"/>
  <c r="N589" i="5" a="1"/>
  <c r="N574" i="5" a="1"/>
  <c r="N545" i="5" a="1"/>
  <c r="N516" i="5" a="1"/>
  <c r="N487" i="5" a="1"/>
  <c r="N473" i="5" a="1"/>
  <c r="N458" i="5" a="1"/>
  <c r="N445" i="5" a="1"/>
  <c r="N416" i="5" a="1"/>
  <c r="N402" i="5" a="1"/>
  <c r="N388" i="5" a="1"/>
  <c r="N362" i="5" a="1"/>
  <c r="N348" i="5" a="1"/>
  <c r="N322" i="5" a="1"/>
  <c r="N308" i="5" a="1"/>
  <c r="N284" i="5" a="1"/>
  <c r="N272" i="5" a="1"/>
  <c r="N248" i="5" a="1"/>
  <c r="N226" i="5" a="1"/>
  <c r="N216" i="5" a="1"/>
  <c r="N206" i="5" a="1"/>
  <c r="N196" i="5" a="1"/>
  <c r="N186" i="5" a="1"/>
  <c r="N176" i="5" a="1"/>
  <c r="N166" i="5" a="1"/>
  <c r="N156" i="5" a="1"/>
  <c r="N146" i="5" a="1"/>
  <c r="N136" i="5" a="1"/>
  <c r="N126" i="5" a="1"/>
  <c r="N116" i="5" a="1"/>
  <c r="N106" i="5" a="1"/>
  <c r="N96" i="5" a="1"/>
  <c r="N1961" i="5" a="1"/>
  <c r="N1850" i="5" a="1"/>
  <c r="N1777" i="5" a="1"/>
  <c r="N1709" i="5" a="1"/>
  <c r="N1643" i="5" a="1"/>
  <c r="N1615" i="5" a="1"/>
  <c r="N1516" i="5" a="1"/>
  <c r="N1483" i="5" a="1"/>
  <c r="N1353" i="5" a="1"/>
  <c r="N1323" i="5" a="1"/>
  <c r="N1259" i="5" a="1"/>
  <c r="N1225" i="5" a="1"/>
  <c r="N1197" i="5" a="1"/>
  <c r="N1159" i="5" a="1"/>
  <c r="N1134" i="5" a="1"/>
  <c r="N1109" i="5" a="1"/>
  <c r="N1084" i="5" a="1"/>
  <c r="N1058" i="5" a="1"/>
  <c r="N1031" i="5" a="1"/>
  <c r="N1005" i="5" a="1"/>
  <c r="N955" i="5" a="1"/>
  <c r="N876" i="5" a="1"/>
  <c r="N855" i="5" a="1"/>
  <c r="N782" i="5" a="1"/>
  <c r="N762" i="5" a="1"/>
  <c r="N652" i="5" a="1"/>
  <c r="N620" i="5" a="1"/>
  <c r="N603" i="5" a="1"/>
  <c r="N558" i="5" a="1"/>
  <c r="N375" i="5" a="1"/>
  <c r="N335" i="5" a="1"/>
  <c r="N295" i="5" a="1"/>
  <c r="N283" i="5" a="1"/>
  <c r="N236" i="5" a="1"/>
  <c r="N1886" i="5" a="1"/>
  <c r="N1925" i="5" a="1"/>
  <c r="N1848" i="5" a="1"/>
  <c r="N1776" i="5" a="1"/>
  <c r="N1745" i="5" a="1"/>
  <c r="N1611" i="5" a="1"/>
  <c r="N1548" i="5" a="1"/>
  <c r="N1515" i="5" a="1"/>
  <c r="N1481" i="5" a="1"/>
  <c r="N1450" i="5" a="1"/>
  <c r="N1388" i="5" a="1"/>
  <c r="N1321" i="5" a="1"/>
  <c r="N1223" i="5" a="1"/>
  <c r="N1190" i="5" a="1"/>
  <c r="N1082" i="5" a="1"/>
  <c r="N1057" i="5" a="1"/>
  <c r="N1029" i="5" a="1"/>
  <c r="N875" i="5" a="1"/>
  <c r="N852" i="5" a="1"/>
  <c r="N828" i="5" a="1"/>
  <c r="N804" i="5" a="1"/>
  <c r="N761" i="5" a="1"/>
  <c r="N741" i="5" a="1"/>
  <c r="N702" i="5" a="1"/>
  <c r="N667" i="5" a="1"/>
  <c r="N602" i="5" a="1"/>
  <c r="N588" i="5" a="1"/>
  <c r="N543" i="5" a="1"/>
  <c r="N528" i="5" a="1"/>
  <c r="N515" i="5" a="1"/>
  <c r="N486" i="5" a="1"/>
  <c r="N457" i="5" a="1"/>
  <c r="N443" i="5" a="1"/>
  <c r="N428" i="5" a="1"/>
  <c r="N415" i="5" a="1"/>
  <c r="N387" i="5" a="1"/>
  <c r="N347" i="5" a="1"/>
  <c r="N307" i="5" a="1"/>
  <c r="N271" i="5" a="1"/>
  <c r="N247" i="5" a="1"/>
  <c r="N225" i="5" a="1"/>
  <c r="N215" i="5" a="1"/>
  <c r="N205" i="5" a="1"/>
  <c r="N195" i="5" a="1"/>
  <c r="N185" i="5" a="1"/>
  <c r="N175" i="5" a="1"/>
  <c r="N165" i="5" a="1"/>
  <c r="N155" i="5" a="1"/>
  <c r="N145" i="5" a="1"/>
  <c r="N135" i="5" a="1"/>
  <c r="N125" i="5" a="1"/>
  <c r="N115" i="5" a="1"/>
  <c r="N105" i="5" a="1"/>
  <c r="N1959" i="5" a="1"/>
  <c r="N1960" i="5" a="1"/>
  <c r="N1920" i="5" a="1"/>
  <c r="N1887" i="5" a="1"/>
  <c r="N1846" i="5" a="1"/>
  <c r="N1673" i="5" a="1"/>
  <c r="N1546" i="5" a="1"/>
  <c r="N1349" i="5" a="1"/>
  <c r="N1320" i="5" a="1"/>
  <c r="N1287" i="5" a="1"/>
  <c r="N1221" i="5" a="1"/>
  <c r="N1189" i="5" a="1"/>
  <c r="N1158" i="5" a="1"/>
  <c r="N1108" i="5" a="1"/>
  <c r="N1055" i="5" a="1"/>
  <c r="N1028" i="5" a="1"/>
  <c r="N1004" i="5" a="1"/>
  <c r="N976" i="5" a="1"/>
  <c r="N954" i="5" a="1"/>
  <c r="N899" i="5" a="1"/>
  <c r="N803" i="5" a="1"/>
  <c r="N781" i="5" a="1"/>
  <c r="N760" i="5" a="1"/>
  <c r="N650" i="5" a="1"/>
  <c r="N633" i="5" a="1"/>
  <c r="N619" i="5" a="1"/>
  <c r="N601" i="5" a="1"/>
  <c r="N557" i="5" a="1"/>
  <c r="N373" i="5" a="1"/>
  <c r="N333" i="5" a="1"/>
  <c r="N294" i="5" a="1"/>
  <c r="N282" i="5" a="1"/>
  <c r="N258" i="5" a="1"/>
  <c r="N235" i="5" a="1"/>
  <c r="N1845" i="5" a="1"/>
  <c r="N587" i="5" a="1"/>
  <c r="N306" i="5" a="1"/>
  <c r="N114" i="5" a="1"/>
  <c r="N1703" i="5" a="1"/>
  <c r="N293" i="5" a="1"/>
  <c r="N1640" i="5" a="1"/>
  <c r="N1609" i="5" a="1"/>
  <c r="N527" i="5" a="1"/>
  <c r="N1577" i="5" a="1"/>
  <c r="N513" i="5" a="1"/>
  <c r="N246" i="5" a="1"/>
  <c r="N498" i="5" a="1"/>
  <c r="N1511" i="5" a="1"/>
  <c r="N485" i="5" a="1"/>
  <c r="N224" i="5" a="1"/>
  <c r="N214" i="5" a="1"/>
  <c r="N802" i="5" a="1"/>
  <c r="N456" i="5" a="1"/>
  <c r="N204" i="5" a="1"/>
  <c r="N194" i="5" a="1"/>
  <c r="N758" i="5" a="1"/>
  <c r="N427" i="5" a="1"/>
  <c r="N184" i="5" a="1"/>
  <c r="N718" i="5" a="1"/>
  <c r="N413" i="5" a="1"/>
  <c r="N174" i="5" a="1"/>
  <c r="N701" i="5" a="1"/>
  <c r="N164" i="5" a="1"/>
  <c r="N386" i="5" a="1"/>
  <c r="N154" i="5" a="1"/>
  <c r="N666" i="5" a="1"/>
  <c r="N144" i="5" a="1"/>
  <c r="N649" i="5" a="1"/>
  <c r="N134" i="5" a="1"/>
  <c r="N346" i="5" a="1"/>
  <c r="N124" i="5" a="1"/>
  <c r="N104" i="5" a="1"/>
  <c r="O2004" i="5" a="1"/>
  <c r="O1994" i="5" a="1"/>
  <c r="O1984" i="5" a="1"/>
  <c r="O1974" i="5" a="1"/>
  <c r="O1964" i="5" a="1"/>
  <c r="O1954" i="5" a="1"/>
  <c r="O1944" i="5" a="1"/>
  <c r="O1934" i="5" a="1"/>
  <c r="O1924" i="5" a="1"/>
  <c r="O1914" i="5" a="1"/>
  <c r="O1904" i="5" a="1"/>
  <c r="O1894" i="5" a="1"/>
  <c r="O1884" i="5" a="1"/>
  <c r="O1874" i="5" a="1"/>
  <c r="O1864" i="5" a="1"/>
  <c r="O1854" i="5" a="1"/>
  <c r="O1844" i="5" a="1"/>
  <c r="O1834" i="5" a="1"/>
  <c r="O1824" i="5" a="1"/>
  <c r="O1814" i="5" a="1"/>
  <c r="O1804" i="5" a="1"/>
  <c r="O1794" i="5" a="1"/>
  <c r="O1784" i="5" a="1"/>
  <c r="O1774" i="5" a="1"/>
  <c r="O1764" i="5" a="1"/>
  <c r="O1754" i="5" a="1"/>
  <c r="O1744" i="5" a="1"/>
  <c r="O1734" i="5" a="1"/>
  <c r="O1724" i="5" a="1"/>
  <c r="O1714" i="5" a="1"/>
  <c r="O1704" i="5" a="1"/>
  <c r="O1694" i="5" a="1"/>
  <c r="O1684" i="5" a="1"/>
  <c r="O1674" i="5" a="1"/>
  <c r="O1664" i="5" a="1"/>
  <c r="O1654" i="5" a="1"/>
  <c r="O1644" i="5" a="1"/>
  <c r="O1634" i="5" a="1"/>
  <c r="O1624" i="5" a="1"/>
  <c r="O1614" i="5" a="1"/>
  <c r="O1604" i="5" a="1"/>
  <c r="O1594" i="5" a="1"/>
  <c r="O1584" i="5" a="1"/>
  <c r="O1574" i="5" a="1"/>
  <c r="O1564" i="5" a="1"/>
  <c r="O1554" i="5" a="1"/>
  <c r="O1544" i="5" a="1"/>
  <c r="O1534" i="5" a="1"/>
  <c r="O1524" i="5" a="1"/>
  <c r="O1514" i="5" a="1"/>
  <c r="O1504" i="5" a="1"/>
  <c r="O1494" i="5" a="1"/>
  <c r="O1484" i="5" a="1"/>
  <c r="O1474" i="5" a="1"/>
  <c r="O1464" i="5" a="1"/>
  <c r="O1454" i="5" a="1"/>
  <c r="O1444" i="5" a="1"/>
  <c r="O1434" i="5" a="1"/>
  <c r="O1424" i="5" a="1"/>
  <c r="O1414" i="5" a="1"/>
  <c r="O1404" i="5" a="1"/>
  <c r="O1394" i="5" a="1"/>
  <c r="O1384" i="5" a="1"/>
  <c r="O1374" i="5" a="1"/>
  <c r="O1364" i="5" a="1"/>
  <c r="O1354" i="5" a="1"/>
  <c r="O1344" i="5" a="1"/>
  <c r="O1334" i="5" a="1"/>
  <c r="O1324" i="5" a="1"/>
  <c r="O1314" i="5" a="1"/>
  <c r="O1304" i="5" a="1"/>
  <c r="O1294" i="5" a="1"/>
  <c r="O1284" i="5" a="1"/>
  <c r="O1274" i="5" a="1"/>
  <c r="O1264" i="5" a="1"/>
  <c r="O1254" i="5" a="1"/>
  <c r="O1244" i="5" a="1"/>
  <c r="O1234" i="5" a="1"/>
  <c r="O1224" i="5" a="1"/>
  <c r="O1214" i="5" a="1"/>
  <c r="O1204" i="5" a="1"/>
  <c r="O1194" i="5" a="1"/>
  <c r="O1184" i="5" a="1"/>
  <c r="O1174" i="5" a="1"/>
  <c r="O1164" i="5" a="1"/>
  <c r="O1154" i="5" a="1"/>
  <c r="O2003" i="5" a="1"/>
  <c r="O1993" i="5" a="1"/>
  <c r="O1983" i="5" a="1"/>
  <c r="O1973" i="5" a="1"/>
  <c r="O1963" i="5" a="1"/>
  <c r="O1953" i="5" a="1"/>
  <c r="O1943" i="5" a="1"/>
  <c r="O1933" i="5" a="1"/>
  <c r="O1923" i="5" a="1"/>
  <c r="O1913" i="5" a="1"/>
  <c r="O1903" i="5" a="1"/>
  <c r="O1893" i="5" a="1"/>
  <c r="O1883" i="5" a="1"/>
  <c r="O1873" i="5" a="1"/>
  <c r="O1863" i="5" a="1"/>
  <c r="O1853" i="5" a="1"/>
  <c r="O1843" i="5" a="1"/>
  <c r="O1833" i="5" a="1"/>
  <c r="O1823" i="5" a="1"/>
  <c r="O1813" i="5" a="1"/>
  <c r="O1803" i="5" a="1"/>
  <c r="O1793" i="5" a="1"/>
  <c r="O1783" i="5" a="1"/>
  <c r="O1773" i="5" a="1"/>
  <c r="O1763" i="5" a="1"/>
  <c r="O1753" i="5" a="1"/>
  <c r="O1743" i="5" a="1"/>
  <c r="O1733" i="5" a="1"/>
  <c r="O1723" i="5" a="1"/>
  <c r="O1713" i="5" a="1"/>
  <c r="O1703" i="5" a="1"/>
  <c r="O1693" i="5" a="1"/>
  <c r="O1683" i="5" a="1"/>
  <c r="O1673" i="5" a="1"/>
  <c r="O1663" i="5" a="1"/>
  <c r="O1653" i="5" a="1"/>
  <c r="O1643" i="5" a="1"/>
  <c r="O1633" i="5" a="1"/>
  <c r="O1623" i="5" a="1"/>
  <c r="O1613" i="5" a="1"/>
  <c r="O1603" i="5" a="1"/>
  <c r="O1593" i="5" a="1"/>
  <c r="O1583" i="5" a="1"/>
  <c r="O1573" i="5" a="1"/>
  <c r="O1563" i="5" a="1"/>
  <c r="O2002" i="5" a="1"/>
  <c r="O1992" i="5" a="1"/>
  <c r="O1982" i="5" a="1"/>
  <c r="O1972" i="5" a="1"/>
  <c r="O1962" i="5" a="1"/>
  <c r="O1952" i="5" a="1"/>
  <c r="O1942" i="5" a="1"/>
  <c r="O1932" i="5" a="1"/>
  <c r="O1922" i="5" a="1"/>
  <c r="O1912" i="5" a="1"/>
  <c r="O1902" i="5" a="1"/>
  <c r="O1892" i="5" a="1"/>
  <c r="O1882" i="5" a="1"/>
  <c r="O1872" i="5" a="1"/>
  <c r="O1862" i="5" a="1"/>
  <c r="O1852" i="5" a="1"/>
  <c r="O1842" i="5" a="1"/>
  <c r="O1832" i="5" a="1"/>
  <c r="O1822" i="5" a="1"/>
  <c r="O1812" i="5" a="1"/>
  <c r="O1802" i="5" a="1"/>
  <c r="O1792" i="5" a="1"/>
  <c r="O1782" i="5" a="1"/>
  <c r="O1772" i="5" a="1"/>
  <c r="O1762" i="5" a="1"/>
  <c r="O1752" i="5" a="1"/>
  <c r="O1742" i="5" a="1"/>
  <c r="O1732" i="5" a="1"/>
  <c r="O1722" i="5" a="1"/>
  <c r="O1712" i="5" a="1"/>
  <c r="O1702" i="5" a="1"/>
  <c r="O1692" i="5" a="1"/>
  <c r="O1682" i="5" a="1"/>
  <c r="O1672" i="5" a="1"/>
  <c r="O1662" i="5" a="1"/>
  <c r="O1652" i="5" a="1"/>
  <c r="O1642" i="5" a="1"/>
  <c r="O1632" i="5" a="1"/>
  <c r="O1622" i="5" a="1"/>
  <c r="O1612" i="5" a="1"/>
  <c r="O1602" i="5" a="1"/>
  <c r="O1592" i="5" a="1"/>
  <c r="O1582" i="5" a="1"/>
  <c r="O1572" i="5" a="1"/>
  <c r="O1562" i="5" a="1"/>
  <c r="O1552" i="5" a="1"/>
  <c r="O1542" i="5" a="1"/>
  <c r="O1532" i="5" a="1"/>
  <c r="O1522" i="5" a="1"/>
  <c r="O1512" i="5" a="1"/>
  <c r="O1502" i="5" a="1"/>
  <c r="O1492" i="5" a="1"/>
  <c r="O1482" i="5" a="1"/>
  <c r="O1472" i="5" a="1"/>
  <c r="O1462" i="5" a="1"/>
  <c r="O1452" i="5" a="1"/>
  <c r="O1442" i="5" a="1"/>
  <c r="O1432" i="5" a="1"/>
  <c r="O1422" i="5" a="1"/>
  <c r="O1412" i="5" a="1"/>
  <c r="O1402" i="5" a="1"/>
  <c r="O1392" i="5" a="1"/>
  <c r="O1382" i="5" a="1"/>
  <c r="O1372" i="5" a="1"/>
  <c r="O1362" i="5" a="1"/>
  <c r="O1352" i="5" a="1"/>
  <c r="O1342" i="5" a="1"/>
  <c r="O1332" i="5" a="1"/>
  <c r="O1322" i="5" a="1"/>
  <c r="O1312" i="5" a="1"/>
  <c r="O1302" i="5" a="1"/>
  <c r="O1292" i="5" a="1"/>
  <c r="O1282" i="5" a="1"/>
  <c r="O1272" i="5" a="1"/>
  <c r="O1262" i="5" a="1"/>
  <c r="O1252" i="5" a="1"/>
  <c r="O1242" i="5" a="1"/>
  <c r="O1232" i="5" a="1"/>
  <c r="O1222" i="5" a="1"/>
  <c r="O1212" i="5" a="1"/>
  <c r="O1202" i="5" a="1"/>
  <c r="O1192" i="5" a="1"/>
  <c r="O1182" i="5" a="1"/>
  <c r="O1172" i="5" a="1"/>
  <c r="O1162" i="5" a="1"/>
  <c r="O2001" i="5" a="1"/>
  <c r="O1991" i="5" a="1"/>
  <c r="O1981" i="5" a="1"/>
  <c r="O1971" i="5" a="1"/>
  <c r="O1961" i="5" a="1"/>
  <c r="O1951" i="5" a="1"/>
  <c r="O1941" i="5" a="1"/>
  <c r="O1931" i="5" a="1"/>
  <c r="O1921" i="5" a="1"/>
  <c r="O1911" i="5" a="1"/>
  <c r="O1901" i="5" a="1"/>
  <c r="O1891" i="5" a="1"/>
  <c r="O1881" i="5" a="1"/>
  <c r="O1871" i="5" a="1"/>
  <c r="O1861" i="5" a="1"/>
  <c r="O1851" i="5" a="1"/>
  <c r="O1841" i="5" a="1"/>
  <c r="O1831" i="5" a="1"/>
  <c r="O1821" i="5" a="1"/>
  <c r="O1811" i="5" a="1"/>
  <c r="O1801" i="5" a="1"/>
  <c r="O1791" i="5" a="1"/>
  <c r="O1781" i="5" a="1"/>
  <c r="O1771" i="5" a="1"/>
  <c r="O1761" i="5" a="1"/>
  <c r="O1751" i="5" a="1"/>
  <c r="O1741" i="5" a="1"/>
  <c r="O1731" i="5" a="1"/>
  <c r="O1721" i="5" a="1"/>
  <c r="O1711" i="5" a="1"/>
  <c r="O1701" i="5" a="1"/>
  <c r="O1691" i="5" a="1"/>
  <c r="O1681" i="5" a="1"/>
  <c r="O1671" i="5" a="1"/>
  <c r="O1661" i="5" a="1"/>
  <c r="O1651" i="5" a="1"/>
  <c r="O1641" i="5" a="1"/>
  <c r="O1631" i="5" a="1"/>
  <c r="O1621" i="5" a="1"/>
  <c r="O1611" i="5" a="1"/>
  <c r="O1601" i="5" a="1"/>
  <c r="O1591" i="5" a="1"/>
  <c r="O1581" i="5" a="1"/>
  <c r="O1571" i="5" a="1"/>
  <c r="O1561" i="5" a="1"/>
  <c r="O1551" i="5" a="1"/>
  <c r="O1541" i="5" a="1"/>
  <c r="O1531" i="5" a="1"/>
  <c r="O1521" i="5" a="1"/>
  <c r="O1511" i="5" a="1"/>
  <c r="O1501" i="5" a="1"/>
  <c r="O1491" i="5" a="1"/>
  <c r="O1481" i="5" a="1"/>
  <c r="O1471" i="5" a="1"/>
  <c r="O1461" i="5" a="1"/>
  <c r="O1451" i="5" a="1"/>
  <c r="O1441" i="5" a="1"/>
  <c r="O1431" i="5" a="1"/>
  <c r="O1421" i="5" a="1"/>
  <c r="O1411" i="5" a="1"/>
  <c r="O1401" i="5" a="1"/>
  <c r="O1391" i="5" a="1"/>
  <c r="O1381" i="5" a="1"/>
  <c r="O1371" i="5" a="1"/>
  <c r="O1361" i="5" a="1"/>
  <c r="O2000" i="5" a="1"/>
  <c r="O1990" i="5" a="1"/>
  <c r="O1980" i="5" a="1"/>
  <c r="O1970" i="5" a="1"/>
  <c r="O1960" i="5" a="1"/>
  <c r="O1950" i="5" a="1"/>
  <c r="O1940" i="5" a="1"/>
  <c r="O1930" i="5" a="1"/>
  <c r="O1920" i="5" a="1"/>
  <c r="O1910" i="5" a="1"/>
  <c r="O1900" i="5" a="1"/>
  <c r="O1890" i="5" a="1"/>
  <c r="O1880" i="5" a="1"/>
  <c r="O1870" i="5" a="1"/>
  <c r="O1860" i="5" a="1"/>
  <c r="O1850" i="5" a="1"/>
  <c r="O1840" i="5" a="1"/>
  <c r="O1830" i="5" a="1"/>
  <c r="O1820" i="5" a="1"/>
  <c r="O1810" i="5" a="1"/>
  <c r="O1800" i="5" a="1"/>
  <c r="O1790" i="5" a="1"/>
  <c r="O1780" i="5" a="1"/>
  <c r="O1770" i="5" a="1"/>
  <c r="O1760" i="5" a="1"/>
  <c r="O1750" i="5" a="1"/>
  <c r="O1740" i="5" a="1"/>
  <c r="O1730" i="5" a="1"/>
  <c r="O1720" i="5" a="1"/>
  <c r="O1999" i="5" a="1"/>
  <c r="O1989" i="5" a="1"/>
  <c r="O1979" i="5" a="1"/>
  <c r="O1969" i="5" a="1"/>
  <c r="O1959" i="5" a="1"/>
  <c r="O1949" i="5" a="1"/>
  <c r="O1939" i="5" a="1"/>
  <c r="O1929" i="5" a="1"/>
  <c r="O1919" i="5" a="1"/>
  <c r="O1909" i="5" a="1"/>
  <c r="O1899" i="5" a="1"/>
  <c r="O1889" i="5" a="1"/>
  <c r="O1879" i="5" a="1"/>
  <c r="O1869" i="5" a="1"/>
  <c r="O1859" i="5" a="1"/>
  <c r="O1849" i="5" a="1"/>
  <c r="O1839" i="5" a="1"/>
  <c r="O1829" i="5" a="1"/>
  <c r="O1819" i="5" a="1"/>
  <c r="O1809" i="5" a="1"/>
  <c r="O1799" i="5" a="1"/>
  <c r="O1789" i="5" a="1"/>
  <c r="O1779" i="5" a="1"/>
  <c r="O1769" i="5" a="1"/>
  <c r="O1759" i="5" a="1"/>
  <c r="O1749" i="5" a="1"/>
  <c r="O1739" i="5" a="1"/>
  <c r="O1729" i="5" a="1"/>
  <c r="O1719" i="5" a="1"/>
  <c r="O1709" i="5" a="1"/>
  <c r="O1699" i="5" a="1"/>
  <c r="O1689" i="5" a="1"/>
  <c r="O1679" i="5" a="1"/>
  <c r="O1669" i="5" a="1"/>
  <c r="O1659" i="5" a="1"/>
  <c r="O1649" i="5" a="1"/>
  <c r="O1639" i="5" a="1"/>
  <c r="O1629" i="5" a="1"/>
  <c r="O1619" i="5" a="1"/>
  <c r="O1609" i="5" a="1"/>
  <c r="O1599" i="5" a="1"/>
  <c r="O1589" i="5" a="1"/>
  <c r="O1579" i="5" a="1"/>
  <c r="O1569" i="5" a="1"/>
  <c r="O1559" i="5" a="1"/>
  <c r="O1549" i="5" a="1"/>
  <c r="O1539" i="5" a="1"/>
  <c r="O1529" i="5" a="1"/>
  <c r="O1519" i="5" a="1"/>
  <c r="O1509" i="5" a="1"/>
  <c r="O1499" i="5" a="1"/>
  <c r="O1489" i="5" a="1"/>
  <c r="O1479" i="5" a="1"/>
  <c r="O1469" i="5" a="1"/>
  <c r="O1459" i="5" a="1"/>
  <c r="O1449" i="5" a="1"/>
  <c r="O1439" i="5" a="1"/>
  <c r="O1429" i="5" a="1"/>
  <c r="O1419" i="5" a="1"/>
  <c r="O1409" i="5" a="1"/>
  <c r="O1399" i="5" a="1"/>
  <c r="O1389" i="5" a="1"/>
  <c r="O1379" i="5" a="1"/>
  <c r="O1369" i="5" a="1"/>
  <c r="O1359" i="5" a="1"/>
  <c r="O1349" i="5" a="1"/>
  <c r="O1339" i="5" a="1"/>
  <c r="O1329" i="5" a="1"/>
  <c r="O1319" i="5" a="1"/>
  <c r="O1309" i="5" a="1"/>
  <c r="O1299" i="5" a="1"/>
  <c r="O1289" i="5" a="1"/>
  <c r="O1279" i="5" a="1"/>
  <c r="O1269" i="5" a="1"/>
  <c r="O1259" i="5" a="1"/>
  <c r="O1249" i="5" a="1"/>
  <c r="O1239" i="5" a="1"/>
  <c r="O1229" i="5" a="1"/>
  <c r="O1219" i="5" a="1"/>
  <c r="O1209" i="5" a="1"/>
  <c r="O1199" i="5" a="1"/>
  <c r="O1189" i="5" a="1"/>
  <c r="O1179" i="5" a="1"/>
  <c r="O1169" i="5" a="1"/>
  <c r="O1159" i="5" a="1"/>
  <c r="O1998" i="5" a="1"/>
  <c r="O1988" i="5" a="1"/>
  <c r="O1978" i="5" a="1"/>
  <c r="O1968" i="5" a="1"/>
  <c r="O1958" i="5" a="1"/>
  <c r="O1948" i="5" a="1"/>
  <c r="O1938" i="5" a="1"/>
  <c r="O1928" i="5" a="1"/>
  <c r="O1918" i="5" a="1"/>
  <c r="O1908" i="5" a="1"/>
  <c r="O1898" i="5" a="1"/>
  <c r="O1888" i="5" a="1"/>
  <c r="O1878" i="5" a="1"/>
  <c r="O1868" i="5" a="1"/>
  <c r="O1858" i="5" a="1"/>
  <c r="O1848" i="5" a="1"/>
  <c r="O1838" i="5" a="1"/>
  <c r="O1828" i="5" a="1"/>
  <c r="O1818" i="5" a="1"/>
  <c r="O1808" i="5" a="1"/>
  <c r="O1798" i="5" a="1"/>
  <c r="O1788" i="5" a="1"/>
  <c r="O1778" i="5" a="1"/>
  <c r="O1768" i="5" a="1"/>
  <c r="O1758" i="5" a="1"/>
  <c r="O1748" i="5" a="1"/>
  <c r="O1738" i="5" a="1"/>
  <c r="O1728" i="5" a="1"/>
  <c r="O1718" i="5" a="1"/>
  <c r="O1708" i="5" a="1"/>
  <c r="O1698" i="5" a="1"/>
  <c r="O1688" i="5" a="1"/>
  <c r="O1678" i="5" a="1"/>
  <c r="O1668" i="5" a="1"/>
  <c r="O1658" i="5" a="1"/>
  <c r="O1648" i="5" a="1"/>
  <c r="O1638" i="5" a="1"/>
  <c r="O1628" i="5" a="1"/>
  <c r="O1618" i="5" a="1"/>
  <c r="O1608" i="5" a="1"/>
  <c r="O1598" i="5" a="1"/>
  <c r="O1588" i="5" a="1"/>
  <c r="O1578" i="5" a="1"/>
  <c r="O1568" i="5" a="1"/>
  <c r="O1558" i="5" a="1"/>
  <c r="O1548" i="5" a="1"/>
  <c r="O1538" i="5" a="1"/>
  <c r="O1528" i="5" a="1"/>
  <c r="O1518" i="5" a="1"/>
  <c r="O1508" i="5" a="1"/>
  <c r="O1498" i="5" a="1"/>
  <c r="O1488" i="5" a="1"/>
  <c r="O1478" i="5" a="1"/>
  <c r="O1468" i="5" a="1"/>
  <c r="O1458" i="5" a="1"/>
  <c r="O1448" i="5" a="1"/>
  <c r="O1438" i="5" a="1"/>
  <c r="O1428" i="5" a="1"/>
  <c r="O1418" i="5" a="1"/>
  <c r="O1408" i="5" a="1"/>
  <c r="O1398" i="5" a="1"/>
  <c r="O1388" i="5" a="1"/>
  <c r="O1378" i="5" a="1"/>
  <c r="O1368" i="5" a="1"/>
  <c r="O1358" i="5" a="1"/>
  <c r="O1348" i="5" a="1"/>
  <c r="O1338" i="5" a="1"/>
  <c r="O1328" i="5" a="1"/>
  <c r="O1318" i="5" a="1"/>
  <c r="O1308" i="5" a="1"/>
  <c r="O1298" i="5" a="1"/>
  <c r="O1288" i="5" a="1"/>
  <c r="O1278" i="5" a="1"/>
  <c r="O1268" i="5" a="1"/>
  <c r="O1258" i="5" a="1"/>
  <c r="O1248" i="5" a="1"/>
  <c r="O1238" i="5" a="1"/>
  <c r="O1228" i="5" a="1"/>
  <c r="O1218" i="5" a="1"/>
  <c r="O1208" i="5" a="1"/>
  <c r="O1198" i="5" a="1"/>
  <c r="O1188" i="5" a="1"/>
  <c r="O1178" i="5" a="1"/>
  <c r="O1168" i="5" a="1"/>
  <c r="O1158" i="5" a="1"/>
  <c r="O1997" i="5" a="1"/>
  <c r="O1987" i="5" a="1"/>
  <c r="O1977" i="5" a="1"/>
  <c r="O1967" i="5" a="1"/>
  <c r="O1957" i="5" a="1"/>
  <c r="O1947" i="5" a="1"/>
  <c r="O1937" i="5" a="1"/>
  <c r="O1927" i="5" a="1"/>
  <c r="O1917" i="5" a="1"/>
  <c r="O1907" i="5" a="1"/>
  <c r="O1897" i="5" a="1"/>
  <c r="O1887" i="5" a="1"/>
  <c r="O1877" i="5" a="1"/>
  <c r="O1867" i="5" a="1"/>
  <c r="O1857" i="5" a="1"/>
  <c r="O1847" i="5" a="1"/>
  <c r="O1837" i="5" a="1"/>
  <c r="O1827" i="5" a="1"/>
  <c r="O1817" i="5" a="1"/>
  <c r="O1807" i="5" a="1"/>
  <c r="O1797" i="5" a="1"/>
  <c r="O1787" i="5" a="1"/>
  <c r="O1777" i="5" a="1"/>
  <c r="O1767" i="5" a="1"/>
  <c r="O1757" i="5" a="1"/>
  <c r="O1747" i="5" a="1"/>
  <c r="O1737" i="5" a="1"/>
  <c r="O1727" i="5" a="1"/>
  <c r="O1717" i="5" a="1"/>
  <c r="O1707" i="5" a="1"/>
  <c r="O1697" i="5" a="1"/>
  <c r="O1687" i="5" a="1"/>
  <c r="O1677" i="5" a="1"/>
  <c r="O1667" i="5" a="1"/>
  <c r="O1657" i="5" a="1"/>
  <c r="O1647" i="5" a="1"/>
  <c r="O1637" i="5" a="1"/>
  <c r="O1627" i="5" a="1"/>
  <c r="O1617" i="5" a="1"/>
  <c r="O1607" i="5" a="1"/>
  <c r="O1597" i="5" a="1"/>
  <c r="O1587" i="5" a="1"/>
  <c r="O1577" i="5" a="1"/>
  <c r="O1567" i="5" a="1"/>
  <c r="O1557" i="5" a="1"/>
  <c r="O1547" i="5" a="1"/>
  <c r="O1537" i="5" a="1"/>
  <c r="O1527" i="5" a="1"/>
  <c r="O1517" i="5" a="1"/>
  <c r="O1507" i="5" a="1"/>
  <c r="O1497" i="5" a="1"/>
  <c r="O1487" i="5" a="1"/>
  <c r="O1477" i="5" a="1"/>
  <c r="O1467" i="5" a="1"/>
  <c r="O1457" i="5" a="1"/>
  <c r="O1447" i="5" a="1"/>
  <c r="O1437" i="5" a="1"/>
  <c r="O1427" i="5" a="1"/>
  <c r="O1417" i="5" a="1"/>
  <c r="O1407" i="5" a="1"/>
  <c r="O1397" i="5" a="1"/>
  <c r="O1387" i="5" a="1"/>
  <c r="O1377" i="5" a="1"/>
  <c r="O1367" i="5" a="1"/>
  <c r="O1357" i="5" a="1"/>
  <c r="O1347" i="5" a="1"/>
  <c r="O1337" i="5" a="1"/>
  <c r="O1327" i="5" a="1"/>
  <c r="O1317" i="5" a="1"/>
  <c r="O1307" i="5" a="1"/>
  <c r="O1297" i="5" a="1"/>
  <c r="O1287" i="5" a="1"/>
  <c r="O1277" i="5" a="1"/>
  <c r="O1267" i="5" a="1"/>
  <c r="O1257" i="5" a="1"/>
  <c r="O1247" i="5" a="1"/>
  <c r="O1237" i="5" a="1"/>
  <c r="O1227" i="5" a="1"/>
  <c r="O1217" i="5" a="1"/>
  <c r="O1207" i="5" a="1"/>
  <c r="O1197" i="5" a="1"/>
  <c r="O1187" i="5" a="1"/>
  <c r="O1177" i="5" a="1"/>
  <c r="O1167" i="5" a="1"/>
  <c r="O1157" i="5" a="1"/>
  <c r="O1686" i="5" a="1"/>
  <c r="O1655" i="5" a="1"/>
  <c r="O1620" i="5" a="1"/>
  <c r="O1586" i="5" a="1"/>
  <c r="O1555" i="5" a="1"/>
  <c r="O1496" i="5" a="1"/>
  <c r="O1440" i="5" a="1"/>
  <c r="O1413" i="5" a="1"/>
  <c r="O1355" i="5" a="1"/>
  <c r="O1220" i="5" a="1"/>
  <c r="O1183" i="5" a="1"/>
  <c r="O1165" i="5" a="1"/>
  <c r="O1150" i="5" a="1"/>
  <c r="O1140" i="5" a="1"/>
  <c r="O1130" i="5" a="1"/>
  <c r="O1120" i="5" a="1"/>
  <c r="O1110" i="5" a="1"/>
  <c r="O1100" i="5" a="1"/>
  <c r="O1090" i="5" a="1"/>
  <c r="O1080" i="5" a="1"/>
  <c r="O1070" i="5" a="1"/>
  <c r="O1060" i="5" a="1"/>
  <c r="O1050" i="5" a="1"/>
  <c r="O1040" i="5" a="1"/>
  <c r="O1030" i="5" a="1"/>
  <c r="O1020" i="5" a="1"/>
  <c r="O1010" i="5" a="1"/>
  <c r="O1000" i="5" a="1"/>
  <c r="O990" i="5" a="1"/>
  <c r="O980" i="5" a="1"/>
  <c r="O970" i="5" a="1"/>
  <c r="O960" i="5" a="1"/>
  <c r="O950" i="5" a="1"/>
  <c r="O940" i="5" a="1"/>
  <c r="O930" i="5" a="1"/>
  <c r="O920" i="5" a="1"/>
  <c r="O910" i="5" a="1"/>
  <c r="O900" i="5" a="1"/>
  <c r="O890" i="5" a="1"/>
  <c r="O880" i="5" a="1"/>
  <c r="O870" i="5" a="1"/>
  <c r="O860" i="5" a="1"/>
  <c r="O850" i="5" a="1"/>
  <c r="O840" i="5" a="1"/>
  <c r="O830" i="5" a="1"/>
  <c r="O820" i="5" a="1"/>
  <c r="O810" i="5" a="1"/>
  <c r="O800" i="5" a="1"/>
  <c r="O790" i="5" a="1"/>
  <c r="O780" i="5" a="1"/>
  <c r="O770" i="5" a="1"/>
  <c r="O760" i="5" a="1"/>
  <c r="O750" i="5" a="1"/>
  <c r="O740" i="5" a="1"/>
  <c r="O730" i="5" a="1"/>
  <c r="O720" i="5" a="1"/>
  <c r="O710" i="5" a="1"/>
  <c r="O700" i="5" a="1"/>
  <c r="O690" i="5" a="1"/>
  <c r="O680" i="5" a="1"/>
  <c r="O670" i="5" a="1"/>
  <c r="O660" i="5" a="1"/>
  <c r="O650" i="5" a="1"/>
  <c r="O640" i="5" a="1"/>
  <c r="O630" i="5" a="1"/>
  <c r="O620" i="5" a="1"/>
  <c r="O610" i="5" a="1"/>
  <c r="O600" i="5" a="1"/>
  <c r="O590" i="5" a="1"/>
  <c r="O580" i="5" a="1"/>
  <c r="O1995" i="5" a="1"/>
  <c r="O1955" i="5" a="1"/>
  <c r="O1915" i="5" a="1"/>
  <c r="O1875" i="5" a="1"/>
  <c r="O1835" i="5" a="1"/>
  <c r="O1795" i="5" a="1"/>
  <c r="O1755" i="5" a="1"/>
  <c r="O1715" i="5" a="1"/>
  <c r="O1680" i="5" a="1"/>
  <c r="O1646" i="5" a="1"/>
  <c r="O1710" i="5" a="1"/>
  <c r="O1676" i="5" a="1"/>
  <c r="O1645" i="5" a="1"/>
  <c r="O1986" i="5" a="1"/>
  <c r="O1946" i="5" a="1"/>
  <c r="O1906" i="5" a="1"/>
  <c r="O1866" i="5" a="1"/>
  <c r="O1826" i="5" a="1"/>
  <c r="O1786" i="5" a="1"/>
  <c r="O1746" i="5" a="1"/>
  <c r="O1706" i="5" a="1"/>
  <c r="O1675" i="5" a="1"/>
  <c r="O1640" i="5" a="1"/>
  <c r="O1606" i="5" a="1"/>
  <c r="O1575" i="5" a="1"/>
  <c r="O1515" i="5" a="1"/>
  <c r="O1985" i="5" a="1"/>
  <c r="O1945" i="5" a="1"/>
  <c r="O1905" i="5" a="1"/>
  <c r="O1865" i="5" a="1"/>
  <c r="O1825" i="5" a="1"/>
  <c r="O1785" i="5" a="1"/>
  <c r="O1745" i="5" a="1"/>
  <c r="O1543" i="5" a="1"/>
  <c r="O1485" i="5" a="1"/>
  <c r="O1426" i="5" a="1"/>
  <c r="O1370" i="5" a="1"/>
  <c r="O1230" i="5" a="1"/>
  <c r="O1193" i="5" a="1"/>
  <c r="O1175" i="5" a="1"/>
  <c r="O1156" i="5" a="1"/>
  <c r="O1705" i="5" a="1"/>
  <c r="O1670" i="5" a="1"/>
  <c r="O1636" i="5" a="1"/>
  <c r="O1605" i="5" a="1"/>
  <c r="O1570" i="5" a="1"/>
  <c r="O1540" i="5" a="1"/>
  <c r="O1513" i="5" a="1"/>
  <c r="O1455" i="5" a="1"/>
  <c r="O1396" i="5" a="1"/>
  <c r="O1343" i="5" a="1"/>
  <c r="O1283" i="5" a="1"/>
  <c r="O1265" i="5" a="1"/>
  <c r="O1246" i="5" a="1"/>
  <c r="O1211" i="5" a="1"/>
  <c r="O1145" i="5" a="1"/>
  <c r="O1135" i="5" a="1"/>
  <c r="O1125" i="5" a="1"/>
  <c r="O1115" i="5" a="1"/>
  <c r="O1105" i="5" a="1"/>
  <c r="O1095" i="5" a="1"/>
  <c r="O1085" i="5" a="1"/>
  <c r="O1075" i="5" a="1"/>
  <c r="O1065" i="5" a="1"/>
  <c r="O1055" i="5" a="1"/>
  <c r="O1045" i="5" a="1"/>
  <c r="O1035" i="5" a="1"/>
  <c r="O1025" i="5" a="1"/>
  <c r="O1015" i="5" a="1"/>
  <c r="O1005" i="5" a="1"/>
  <c r="O995" i="5" a="1"/>
  <c r="O985" i="5" a="1"/>
  <c r="O975" i="5" a="1"/>
  <c r="O965" i="5" a="1"/>
  <c r="O955" i="5" a="1"/>
  <c r="O945" i="5" a="1"/>
  <c r="O935" i="5" a="1"/>
  <c r="O925" i="5" a="1"/>
  <c r="O915" i="5" a="1"/>
  <c r="O905" i="5" a="1"/>
  <c r="O895" i="5" a="1"/>
  <c r="O885" i="5" a="1"/>
  <c r="O875" i="5" a="1"/>
  <c r="O865" i="5" a="1"/>
  <c r="O855" i="5" a="1"/>
  <c r="O845" i="5" a="1"/>
  <c r="O835" i="5" a="1"/>
  <c r="O825" i="5" a="1"/>
  <c r="O815" i="5" a="1"/>
  <c r="O805" i="5" a="1"/>
  <c r="O795" i="5" a="1"/>
  <c r="O785" i="5" a="1"/>
  <c r="O775" i="5" a="1"/>
  <c r="O765" i="5" a="1"/>
  <c r="O755" i="5" a="1"/>
  <c r="O745" i="5" a="1"/>
  <c r="O735" i="5" a="1"/>
  <c r="O725" i="5" a="1"/>
  <c r="O715" i="5" a="1"/>
  <c r="O705" i="5" a="1"/>
  <c r="O695" i="5" a="1"/>
  <c r="O685" i="5" a="1"/>
  <c r="O675" i="5" a="1"/>
  <c r="O665" i="5" a="1"/>
  <c r="O655" i="5" a="1"/>
  <c r="O645" i="5" a="1"/>
  <c r="O635" i="5" a="1"/>
  <c r="O625" i="5" a="1"/>
  <c r="O615" i="5" a="1"/>
  <c r="O605" i="5" a="1"/>
  <c r="O595" i="5" a="1"/>
  <c r="O585" i="5" a="1"/>
  <c r="O575" i="5" a="1"/>
  <c r="O1975" i="5" a="1"/>
  <c r="O1935" i="5" a="1"/>
  <c r="O1895" i="5" a="1"/>
  <c r="O1855" i="5" a="1"/>
  <c r="O1815" i="5" a="1"/>
  <c r="O1775" i="5" a="1"/>
  <c r="O1735" i="5" a="1"/>
  <c r="O1696" i="5" a="1"/>
  <c r="O1665" i="5" a="1"/>
  <c r="O1630" i="5" a="1"/>
  <c r="O1596" i="5" a="1"/>
  <c r="O1565" i="5" a="1"/>
  <c r="O1535" i="5" a="1"/>
  <c r="O1476" i="5" a="1"/>
  <c r="O1420" i="5" a="1"/>
  <c r="O1393" i="5" a="1"/>
  <c r="O1336" i="5" a="1"/>
  <c r="O1316" i="5" a="1"/>
  <c r="O1280" i="5" a="1"/>
  <c r="O1243" i="5" a="1"/>
  <c r="O1225" i="5" a="1"/>
  <c r="O1206" i="5" a="1"/>
  <c r="O1171" i="5" a="1"/>
  <c r="O1153" i="5" a="1"/>
  <c r="O1143" i="5" a="1"/>
  <c r="O1133" i="5" a="1"/>
  <c r="O1123" i="5" a="1"/>
  <c r="O1113" i="5" a="1"/>
  <c r="O1103" i="5" a="1"/>
  <c r="O1093" i="5" a="1"/>
  <c r="O1083" i="5" a="1"/>
  <c r="O1073" i="5" a="1"/>
  <c r="O1063" i="5" a="1"/>
  <c r="O1053" i="5" a="1"/>
  <c r="O1043" i="5" a="1"/>
  <c r="O1033" i="5" a="1"/>
  <c r="O1023" i="5" a="1"/>
  <c r="O1013" i="5" a="1"/>
  <c r="O1003" i="5" a="1"/>
  <c r="O993" i="5" a="1"/>
  <c r="O983" i="5" a="1"/>
  <c r="O973" i="5" a="1"/>
  <c r="O963" i="5" a="1"/>
  <c r="O953" i="5" a="1"/>
  <c r="O943" i="5" a="1"/>
  <c r="O933" i="5" a="1"/>
  <c r="O923" i="5" a="1"/>
  <c r="O913" i="5" a="1"/>
  <c r="O903" i="5" a="1"/>
  <c r="O893" i="5" a="1"/>
  <c r="O883" i="5" a="1"/>
  <c r="O873" i="5" a="1"/>
  <c r="O863" i="5" a="1"/>
  <c r="O853" i="5" a="1"/>
  <c r="O843" i="5" a="1"/>
  <c r="O833" i="5" a="1"/>
  <c r="O823" i="5" a="1"/>
  <c r="O813" i="5" a="1"/>
  <c r="O803" i="5" a="1"/>
  <c r="O793" i="5" a="1"/>
  <c r="O783" i="5" a="1"/>
  <c r="O773" i="5" a="1"/>
  <c r="O763" i="5" a="1"/>
  <c r="O753" i="5" a="1"/>
  <c r="O743" i="5" a="1"/>
  <c r="O733" i="5" a="1"/>
  <c r="O723" i="5" a="1"/>
  <c r="O713" i="5" a="1"/>
  <c r="O703" i="5" a="1"/>
  <c r="O693" i="5" a="1"/>
  <c r="O683" i="5" a="1"/>
  <c r="O673" i="5" a="1"/>
  <c r="O663" i="5" a="1"/>
  <c r="O653" i="5" a="1"/>
  <c r="O643" i="5" a="1"/>
  <c r="O633" i="5" a="1"/>
  <c r="O623" i="5" a="1"/>
  <c r="O613" i="5" a="1"/>
  <c r="O603" i="5" a="1"/>
  <c r="O593" i="5" a="1"/>
  <c r="O583" i="5" a="1"/>
  <c r="O573" i="5" a="1"/>
  <c r="O1505" i="5" a="1"/>
  <c r="O1446" i="5" a="1"/>
  <c r="O1390" i="5" a="1"/>
  <c r="O1363" i="5" a="1"/>
  <c r="O1296" i="5" a="1"/>
  <c r="O1261" i="5" a="1"/>
  <c r="O1170" i="5" a="1"/>
  <c r="O1965" i="5" a="1"/>
  <c r="O1925" i="5" a="1"/>
  <c r="O1885" i="5" a="1"/>
  <c r="O1845" i="5" a="1"/>
  <c r="O1805" i="5" a="1"/>
  <c r="O1765" i="5" a="1"/>
  <c r="O1725" i="5" a="1"/>
  <c r="O1526" i="5" a="1"/>
  <c r="O1470" i="5" a="1"/>
  <c r="O1443" i="5" a="1"/>
  <c r="O1385" i="5" a="1"/>
  <c r="O1293" i="5" a="1"/>
  <c r="O1275" i="5" a="1"/>
  <c r="O1256" i="5" a="1"/>
  <c r="O1221" i="5" a="1"/>
  <c r="O1700" i="5" a="1"/>
  <c r="O1580" i="5" a="1"/>
  <c r="O1533" i="5" a="1"/>
  <c r="O1490" i="5" a="1"/>
  <c r="O1330" i="5" a="1"/>
  <c r="O1303" i="5" a="1"/>
  <c r="O1251" i="5" a="1"/>
  <c r="O1223" i="5" a="1"/>
  <c r="O1149" i="5" a="1"/>
  <c r="O1136" i="5" a="1"/>
  <c r="O1121" i="5" a="1"/>
  <c r="O1107" i="5" a="1"/>
  <c r="O1092" i="5" a="1"/>
  <c r="O1078" i="5" a="1"/>
  <c r="O1064" i="5" a="1"/>
  <c r="O1049" i="5" a="1"/>
  <c r="O1036" i="5" a="1"/>
  <c r="O1021" i="5" a="1"/>
  <c r="O1007" i="5" a="1"/>
  <c r="O992" i="5" a="1"/>
  <c r="O978" i="5" a="1"/>
  <c r="O964" i="5" a="1"/>
  <c r="O949" i="5" a="1"/>
  <c r="O936" i="5" a="1"/>
  <c r="O921" i="5" a="1"/>
  <c r="O907" i="5" a="1"/>
  <c r="O892" i="5" a="1"/>
  <c r="O878" i="5" a="1"/>
  <c r="O864" i="5" a="1"/>
  <c r="O849" i="5" a="1"/>
  <c r="O836" i="5" a="1"/>
  <c r="O821" i="5" a="1"/>
  <c r="O807" i="5" a="1"/>
  <c r="O792" i="5" a="1"/>
  <c r="O778" i="5" a="1"/>
  <c r="O764" i="5" a="1"/>
  <c r="O749" i="5" a="1"/>
  <c r="O736" i="5" a="1"/>
  <c r="O721" i="5" a="1"/>
  <c r="O707" i="5" a="1"/>
  <c r="O692" i="5" a="1"/>
  <c r="O678" i="5" a="1"/>
  <c r="O664" i="5" a="1"/>
  <c r="O624" i="5" a="1"/>
  <c r="O584" i="5" a="1"/>
  <c r="O571" i="5" a="1"/>
  <c r="O561" i="5" a="1"/>
  <c r="O551" i="5" a="1"/>
  <c r="O541" i="5" a="1"/>
  <c r="O531" i="5" a="1"/>
  <c r="O521" i="5" a="1"/>
  <c r="O511" i="5" a="1"/>
  <c r="O501" i="5" a="1"/>
  <c r="O491" i="5" a="1"/>
  <c r="O481" i="5" a="1"/>
  <c r="O471" i="5" a="1"/>
  <c r="O461" i="5" a="1"/>
  <c r="O451" i="5" a="1"/>
  <c r="O441" i="5" a="1"/>
  <c r="O431" i="5" a="1"/>
  <c r="O421" i="5" a="1"/>
  <c r="O411" i="5" a="1"/>
  <c r="O401" i="5" a="1"/>
  <c r="O391" i="5" a="1"/>
  <c r="O381" i="5" a="1"/>
  <c r="O371" i="5" a="1"/>
  <c r="O361" i="5" a="1"/>
  <c r="O351" i="5" a="1"/>
  <c r="O341" i="5" a="1"/>
  <c r="O331" i="5" a="1"/>
  <c r="O321" i="5" a="1"/>
  <c r="O311" i="5" a="1"/>
  <c r="O301" i="5" a="1"/>
  <c r="O291" i="5" a="1"/>
  <c r="O281" i="5" a="1"/>
  <c r="O271" i="5" a="1"/>
  <c r="O1876" i="5" a="1"/>
  <c r="O1626" i="5" a="1"/>
  <c r="O1530" i="5" a="1"/>
  <c r="O1856" i="5" a="1"/>
  <c r="O1690" i="5" a="1"/>
  <c r="O1480" i="5" a="1"/>
  <c r="O1436" i="5" a="1"/>
  <c r="O1400" i="5" a="1"/>
  <c r="O1356" i="5" a="1"/>
  <c r="O1325" i="5" a="1"/>
  <c r="O1271" i="5" a="1"/>
  <c r="O1245" i="5" a="1"/>
  <c r="O1166" i="5" a="1"/>
  <c r="O1147" i="5" a="1"/>
  <c r="O1132" i="5" a="1"/>
  <c r="O1118" i="5" a="1"/>
  <c r="O1104" i="5" a="1"/>
  <c r="O1089" i="5" a="1"/>
  <c r="O1076" i="5" a="1"/>
  <c r="O1061" i="5" a="1"/>
  <c r="O1047" i="5" a="1"/>
  <c r="O1032" i="5" a="1"/>
  <c r="O1018" i="5" a="1"/>
  <c r="O1004" i="5" a="1"/>
  <c r="O989" i="5" a="1"/>
  <c r="O976" i="5" a="1"/>
  <c r="O961" i="5" a="1"/>
  <c r="O947" i="5" a="1"/>
  <c r="O932" i="5" a="1"/>
  <c r="O918" i="5" a="1"/>
  <c r="O904" i="5" a="1"/>
  <c r="O889" i="5" a="1"/>
  <c r="O876" i="5" a="1"/>
  <c r="O861" i="5" a="1"/>
  <c r="O847" i="5" a="1"/>
  <c r="O832" i="5" a="1"/>
  <c r="O818" i="5" a="1"/>
  <c r="O804" i="5" a="1"/>
  <c r="O789" i="5" a="1"/>
  <c r="O776" i="5" a="1"/>
  <c r="O761" i="5" a="1"/>
  <c r="O747" i="5" a="1"/>
  <c r="O732" i="5" a="1"/>
  <c r="O718" i="5" a="1"/>
  <c r="O1956" i="5" a="1"/>
  <c r="O1766" i="5" a="1"/>
  <c r="O1616" i="5" a="1"/>
  <c r="O1566" i="5" a="1"/>
  <c r="O1523" i="5" a="1"/>
  <c r="O1295" i="5" a="1"/>
  <c r="O1270" i="5" a="1"/>
  <c r="O1216" i="5" a="1"/>
  <c r="O634" i="5" a="1"/>
  <c r="O594" i="5" a="1"/>
  <c r="O1936" i="5" a="1"/>
  <c r="O1685" i="5" a="1"/>
  <c r="O1520" i="5" a="1"/>
  <c r="O1475" i="5" a="1"/>
  <c r="O1435" i="5" a="1"/>
  <c r="O1395" i="5" a="1"/>
  <c r="O1353" i="5" a="1"/>
  <c r="O1323" i="5" a="1"/>
  <c r="O1191" i="5" a="1"/>
  <c r="O1163" i="5" a="1"/>
  <c r="O1146" i="5" a="1"/>
  <c r="O1131" i="5" a="1"/>
  <c r="O1117" i="5" a="1"/>
  <c r="O1102" i="5" a="1"/>
  <c r="O1088" i="5" a="1"/>
  <c r="O1074" i="5" a="1"/>
  <c r="O1059" i="5" a="1"/>
  <c r="O1046" i="5" a="1"/>
  <c r="O1031" i="5" a="1"/>
  <c r="O1017" i="5" a="1"/>
  <c r="O1002" i="5" a="1"/>
  <c r="O988" i="5" a="1"/>
  <c r="O974" i="5" a="1"/>
  <c r="O959" i="5" a="1"/>
  <c r="O946" i="5" a="1"/>
  <c r="O931" i="5" a="1"/>
  <c r="O917" i="5" a="1"/>
  <c r="O902" i="5" a="1"/>
  <c r="O888" i="5" a="1"/>
  <c r="O874" i="5" a="1"/>
  <c r="O859" i="5" a="1"/>
  <c r="O846" i="5" a="1"/>
  <c r="O831" i="5" a="1"/>
  <c r="O817" i="5" a="1"/>
  <c r="O802" i="5" a="1"/>
  <c r="O788" i="5" a="1"/>
  <c r="O774" i="5" a="1"/>
  <c r="O759" i="5" a="1"/>
  <c r="O746" i="5" a="1"/>
  <c r="O731" i="5" a="1"/>
  <c r="O717" i="5" a="1"/>
  <c r="O702" i="5" a="1"/>
  <c r="O688" i="5" a="1"/>
  <c r="O674" i="5" a="1"/>
  <c r="O647" i="5" a="1"/>
  <c r="O607" i="5" a="1"/>
  <c r="O568" i="5" a="1"/>
  <c r="O558" i="5" a="1"/>
  <c r="O548" i="5" a="1"/>
  <c r="O538" i="5" a="1"/>
  <c r="O528" i="5" a="1"/>
  <c r="O518" i="5" a="1"/>
  <c r="O508" i="5" a="1"/>
  <c r="O498" i="5" a="1"/>
  <c r="O488" i="5" a="1"/>
  <c r="O478" i="5" a="1"/>
  <c r="O468" i="5" a="1"/>
  <c r="O458" i="5" a="1"/>
  <c r="O448" i="5" a="1"/>
  <c r="O1846" i="5" a="1"/>
  <c r="O1615" i="5" a="1"/>
  <c r="O1560" i="5" a="1"/>
  <c r="O1351" i="5" a="1"/>
  <c r="O1321" i="5" a="1"/>
  <c r="O1241" i="5" a="1"/>
  <c r="O1215" i="5" a="1"/>
  <c r="O1190" i="5" a="1"/>
  <c r="O659" i="5" a="1"/>
  <c r="O632" i="5" a="1"/>
  <c r="O619" i="5" a="1"/>
  <c r="O592" i="5" a="1"/>
  <c r="O579" i="5" a="1"/>
  <c r="O1736" i="5" a="1"/>
  <c r="O1660" i="5" a="1"/>
  <c r="O1553" i="5" a="1"/>
  <c r="O1465" i="5" a="1"/>
  <c r="O1425" i="5" a="1"/>
  <c r="O1383" i="5" a="1"/>
  <c r="O1235" i="5" a="1"/>
  <c r="O1210" i="5" a="1"/>
  <c r="O657" i="5" a="1"/>
  <c r="O617" i="5" a="1"/>
  <c r="O577" i="5" a="1"/>
  <c r="O1916" i="5" a="1"/>
  <c r="O1600" i="5" a="1"/>
  <c r="O1550" i="5" a="1"/>
  <c r="O1506" i="5" a="1"/>
  <c r="O1380" i="5" a="1"/>
  <c r="O1345" i="5" a="1"/>
  <c r="O1313" i="5" a="1"/>
  <c r="O1286" i="5" a="1"/>
  <c r="O1260" i="5" a="1"/>
  <c r="O1141" i="5" a="1"/>
  <c r="O1127" i="5" a="1"/>
  <c r="O1112" i="5" a="1"/>
  <c r="O1098" i="5" a="1"/>
  <c r="O1084" i="5" a="1"/>
  <c r="O1069" i="5" a="1"/>
  <c r="O1056" i="5" a="1"/>
  <c r="O1041" i="5" a="1"/>
  <c r="O1027" i="5" a="1"/>
  <c r="O1012" i="5" a="1"/>
  <c r="O998" i="5" a="1"/>
  <c r="O984" i="5" a="1"/>
  <c r="O969" i="5" a="1"/>
  <c r="O956" i="5" a="1"/>
  <c r="O941" i="5" a="1"/>
  <c r="O927" i="5" a="1"/>
  <c r="O912" i="5" a="1"/>
  <c r="O898" i="5" a="1"/>
  <c r="O884" i="5" a="1"/>
  <c r="O869" i="5" a="1"/>
  <c r="O856" i="5" a="1"/>
  <c r="O841" i="5" a="1"/>
  <c r="O827" i="5" a="1"/>
  <c r="O812" i="5" a="1"/>
  <c r="O798" i="5" a="1"/>
  <c r="O784" i="5" a="1"/>
  <c r="O769" i="5" a="1"/>
  <c r="O756" i="5" a="1"/>
  <c r="O741" i="5" a="1"/>
  <c r="O727" i="5" a="1"/>
  <c r="O712" i="5" a="1"/>
  <c r="O698" i="5" a="1"/>
  <c r="O684" i="5" a="1"/>
  <c r="O669" i="5" a="1"/>
  <c r="O642" i="5" a="1"/>
  <c r="O629" i="5" a="1"/>
  <c r="O602" i="5" a="1"/>
  <c r="O589" i="5" a="1"/>
  <c r="O565" i="5" a="1"/>
  <c r="O555" i="5" a="1"/>
  <c r="O1816" i="5" a="1"/>
  <c r="O1240" i="5" a="1"/>
  <c r="O1201" i="5" a="1"/>
  <c r="O1161" i="5" a="1"/>
  <c r="O1137" i="5" a="1"/>
  <c r="O1114" i="5" a="1"/>
  <c r="O1026" i="5" a="1"/>
  <c r="O1006" i="5" a="1"/>
  <c r="O938" i="5" a="1"/>
  <c r="O916" i="5" a="1"/>
  <c r="O851" i="5" a="1"/>
  <c r="O828" i="5" a="1"/>
  <c r="O739" i="5" a="1"/>
  <c r="O719" i="5" a="1"/>
  <c r="O697" i="5" a="1"/>
  <c r="O564" i="5" a="1"/>
  <c r="O419" i="5" a="1"/>
  <c r="O406" i="5" a="1"/>
  <c r="O369" i="5" a="1"/>
  <c r="O356" i="5" a="1"/>
  <c r="O319" i="5" a="1"/>
  <c r="O306" i="5" a="1"/>
  <c r="O269" i="5" a="1"/>
  <c r="O919" i="5" a="1"/>
  <c r="O766" i="5" a="1"/>
  <c r="O420" i="5" a="1"/>
  <c r="O307" i="5" a="1"/>
  <c r="O1996" i="5" a="1"/>
  <c r="O1585" i="5" a="1"/>
  <c r="O1503" i="5" a="1"/>
  <c r="O1375" i="5" a="1"/>
  <c r="O1320" i="5" a="1"/>
  <c r="O1281" i="5" a="1"/>
  <c r="O1236" i="5" a="1"/>
  <c r="O1200" i="5" a="1"/>
  <c r="O1160" i="5" a="1"/>
  <c r="O1068" i="5" a="1"/>
  <c r="O1048" i="5" a="1"/>
  <c r="O981" i="5" a="1"/>
  <c r="O958" i="5" a="1"/>
  <c r="O894" i="5" a="1"/>
  <c r="O871" i="5" a="1"/>
  <c r="O782" i="5" a="1"/>
  <c r="O762" i="5" a="1"/>
  <c r="O677" i="5" a="1"/>
  <c r="O656" i="5" a="1"/>
  <c r="O638" i="5" a="1"/>
  <c r="O618" i="5" a="1"/>
  <c r="O599" i="5" a="1"/>
  <c r="O581" i="5" a="1"/>
  <c r="O550" i="5" a="1"/>
  <c r="O536" i="5" a="1"/>
  <c r="O523" i="5" a="1"/>
  <c r="O510" i="5" a="1"/>
  <c r="O496" i="5" a="1"/>
  <c r="O483" i="5" a="1"/>
  <c r="O470" i="5" a="1"/>
  <c r="O456" i="5" a="1"/>
  <c r="O443" i="5" a="1"/>
  <c r="O418" i="5" a="1"/>
  <c r="O405" i="5" a="1"/>
  <c r="O393" i="5" a="1"/>
  <c r="O368" i="5" a="1"/>
  <c r="O355" i="5" a="1"/>
  <c r="O343" i="5" a="1"/>
  <c r="O318" i="5" a="1"/>
  <c r="O305" i="5" a="1"/>
  <c r="O293" i="5" a="1"/>
  <c r="O268" i="5" a="1"/>
  <c r="O258" i="5" a="1"/>
  <c r="O248" i="5" a="1"/>
  <c r="O238" i="5" a="1"/>
  <c r="O228" i="5" a="1"/>
  <c r="O218" i="5" a="1"/>
  <c r="O208" i="5" a="1"/>
  <c r="O198" i="5" a="1"/>
  <c r="O188" i="5" a="1"/>
  <c r="O178" i="5" a="1"/>
  <c r="O168" i="5" a="1"/>
  <c r="O158" i="5" a="1"/>
  <c r="O148" i="5" a="1"/>
  <c r="O138" i="5" a="1"/>
  <c r="O128" i="5" a="1"/>
  <c r="O118" i="5" a="1"/>
  <c r="O108" i="5" a="1"/>
  <c r="O98" i="5" a="1"/>
  <c r="O1116" i="5" a="1"/>
  <c r="O1976" i="5" a="1"/>
  <c r="O1666" i="5" a="1"/>
  <c r="O1500" i="5" a="1"/>
  <c r="O1433" i="5" a="1"/>
  <c r="O1155" i="5" a="1"/>
  <c r="O1111" i="5" a="1"/>
  <c r="O1091" i="5" a="1"/>
  <c r="O1024" i="5" a="1"/>
  <c r="O1001" i="5" a="1"/>
  <c r="O937" i="5" a="1"/>
  <c r="O914" i="5" a="1"/>
  <c r="O826" i="5" a="1"/>
  <c r="O806" i="5" a="1"/>
  <c r="O738" i="5" a="1"/>
  <c r="O716" i="5" a="1"/>
  <c r="O696" i="5" a="1"/>
  <c r="O637" i="5" a="1"/>
  <c r="O563" i="5" a="1"/>
  <c r="O535" i="5" a="1"/>
  <c r="O495" i="5" a="1"/>
  <c r="O455" i="5" a="1"/>
  <c r="O430" i="5" a="1"/>
  <c r="O417" i="5" a="1"/>
  <c r="O380" i="5" a="1"/>
  <c r="O367" i="5" a="1"/>
  <c r="O330" i="5" a="1"/>
  <c r="O317" i="5" a="1"/>
  <c r="O280" i="5" a="1"/>
  <c r="O939" i="5" a="1"/>
  <c r="O829" i="5" a="1"/>
  <c r="O601" i="5" a="1"/>
  <c r="O539" i="5" a="1"/>
  <c r="O472" i="5" a="1"/>
  <c r="O357" i="5" a="1"/>
  <c r="O1966" i="5" a="1"/>
  <c r="O1806" i="5" a="1"/>
  <c r="O1576" i="5" a="1"/>
  <c r="O1430" i="5" a="1"/>
  <c r="O1373" i="5" a="1"/>
  <c r="O1315" i="5" a="1"/>
  <c r="O1276" i="5" a="1"/>
  <c r="O1233" i="5" a="1"/>
  <c r="O1196" i="5" a="1"/>
  <c r="O1134" i="5" a="1"/>
  <c r="O1067" i="5" a="1"/>
  <c r="O1044" i="5" a="1"/>
  <c r="O979" i="5" a="1"/>
  <c r="O957" i="5" a="1"/>
  <c r="O868" i="5" a="1"/>
  <c r="O848" i="5" a="1"/>
  <c r="O781" i="5" a="1"/>
  <c r="O758" i="5" a="1"/>
  <c r="O676" i="5" a="1"/>
  <c r="O654" i="5" a="1"/>
  <c r="O616" i="5" a="1"/>
  <c r="O598" i="5" a="1"/>
  <c r="O578" i="5" a="1"/>
  <c r="O549" i="5" a="1"/>
  <c r="O522" i="5" a="1"/>
  <c r="O509" i="5" a="1"/>
  <c r="O482" i="5" a="1"/>
  <c r="O469" i="5" a="1"/>
  <c r="O442" i="5" a="1"/>
  <c r="O404" i="5" a="1"/>
  <c r="O392" i="5" a="1"/>
  <c r="O354" i="5" a="1"/>
  <c r="O342" i="5" a="1"/>
  <c r="O304" i="5" a="1"/>
  <c r="O292" i="5" a="1"/>
  <c r="O267" i="5" a="1"/>
  <c r="O257" i="5" a="1"/>
  <c r="O247" i="5" a="1"/>
  <c r="O237" i="5" a="1"/>
  <c r="O227" i="5" a="1"/>
  <c r="O217" i="5" a="1"/>
  <c r="O207" i="5" a="1"/>
  <c r="O197" i="5" a="1"/>
  <c r="O187" i="5" a="1"/>
  <c r="O177" i="5" a="1"/>
  <c r="O167" i="5" a="1"/>
  <c r="O157" i="5" a="1"/>
  <c r="O147" i="5" a="1"/>
  <c r="O137" i="5" a="1"/>
  <c r="O127" i="5" a="1"/>
  <c r="O117" i="5" a="1"/>
  <c r="O107" i="5" a="1"/>
  <c r="O97" i="5" a="1"/>
  <c r="O1138" i="5" a="1"/>
  <c r="O679" i="5" a="1"/>
  <c r="O407" i="5" a="1"/>
  <c r="O1656" i="5" a="1"/>
  <c r="O1495" i="5" a="1"/>
  <c r="O1366" i="5" a="1"/>
  <c r="O1311" i="5" a="1"/>
  <c r="O1273" i="5" a="1"/>
  <c r="O1109" i="5" a="1"/>
  <c r="O1087" i="5" a="1"/>
  <c r="O1022" i="5" a="1"/>
  <c r="O999" i="5" a="1"/>
  <c r="O911" i="5" a="1"/>
  <c r="O891" i="5" a="1"/>
  <c r="O824" i="5" a="1"/>
  <c r="O801" i="5" a="1"/>
  <c r="O737" i="5" a="1"/>
  <c r="O714" i="5" a="1"/>
  <c r="O694" i="5" a="1"/>
  <c r="O672" i="5" a="1"/>
  <c r="O636" i="5" a="1"/>
  <c r="O597" i="5" a="1"/>
  <c r="O562" i="5" a="1"/>
  <c r="O547" i="5" a="1"/>
  <c r="O534" i="5" a="1"/>
  <c r="O507" i="5" a="1"/>
  <c r="O494" i="5" a="1"/>
  <c r="O467" i="5" a="1"/>
  <c r="O454" i="5" a="1"/>
  <c r="O429" i="5" a="1"/>
  <c r="O416" i="5" a="1"/>
  <c r="O379" i="5" a="1"/>
  <c r="O366" i="5" a="1"/>
  <c r="O329" i="5" a="1"/>
  <c r="O316" i="5" a="1"/>
  <c r="O279" i="5" a="1"/>
  <c r="O1423" i="5" a="1"/>
  <c r="O1365" i="5" a="1"/>
  <c r="O1310" i="5" a="1"/>
  <c r="O1195" i="5" a="1"/>
  <c r="O1152" i="5" a="1"/>
  <c r="O1129" i="5" a="1"/>
  <c r="O1066" i="5" a="1"/>
  <c r="O1042" i="5" a="1"/>
  <c r="O954" i="5" a="1"/>
  <c r="O934" i="5" a="1"/>
  <c r="O867" i="5" a="1"/>
  <c r="O844" i="5" a="1"/>
  <c r="O779" i="5" a="1"/>
  <c r="O757" i="5" a="1"/>
  <c r="O652" i="5" a="1"/>
  <c r="O614" i="5" a="1"/>
  <c r="O576" i="5" a="1"/>
  <c r="O428" i="5" a="1"/>
  <c r="O415" i="5" a="1"/>
  <c r="O403" i="5" a="1"/>
  <c r="O378" i="5" a="1"/>
  <c r="O365" i="5" a="1"/>
  <c r="O353" i="5" a="1"/>
  <c r="O328" i="5" a="1"/>
  <c r="O315" i="5" a="1"/>
  <c r="O303" i="5" a="1"/>
  <c r="O278" i="5" a="1"/>
  <c r="O266" i="5" a="1"/>
  <c r="O256" i="5" a="1"/>
  <c r="O246" i="5" a="1"/>
  <c r="O236" i="5" a="1"/>
  <c r="O226" i="5" a="1"/>
  <c r="O216" i="5" a="1"/>
  <c r="O206" i="5" a="1"/>
  <c r="O196" i="5" a="1"/>
  <c r="O186" i="5" a="1"/>
  <c r="O176" i="5" a="1"/>
  <c r="O166" i="5" a="1"/>
  <c r="O156" i="5" a="1"/>
  <c r="O146" i="5" a="1"/>
  <c r="O136" i="5" a="1"/>
  <c r="O126" i="5" a="1"/>
  <c r="O116" i="5" a="1"/>
  <c r="O106" i="5" a="1"/>
  <c r="O96" i="5" a="1"/>
  <c r="O1926" i="5" a="1"/>
  <c r="O1796" i="5" a="1"/>
  <c r="O1650" i="5" a="1"/>
  <c r="O1556" i="5" a="1"/>
  <c r="O1493" i="5" a="1"/>
  <c r="O1416" i="5" a="1"/>
  <c r="O1360" i="5" a="1"/>
  <c r="O1231" i="5" a="1"/>
  <c r="O1186" i="5" a="1"/>
  <c r="O1108" i="5" a="1"/>
  <c r="O1086" i="5" a="1"/>
  <c r="O997" i="5" a="1"/>
  <c r="O977" i="5" a="1"/>
  <c r="O909" i="5" a="1"/>
  <c r="O887" i="5" a="1"/>
  <c r="O822" i="5" a="1"/>
  <c r="O799" i="5" a="1"/>
  <c r="O711" i="5" a="1"/>
  <c r="O671" i="5" a="1"/>
  <c r="O596" i="5" a="1"/>
  <c r="O546" i="5" a="1"/>
  <c r="O533" i="5" a="1"/>
  <c r="O520" i="5" a="1"/>
  <c r="O506" i="5" a="1"/>
  <c r="O493" i="5" a="1"/>
  <c r="O480" i="5" a="1"/>
  <c r="O466" i="5" a="1"/>
  <c r="O453" i="5" a="1"/>
  <c r="O440" i="5" a="1"/>
  <c r="O427" i="5" a="1"/>
  <c r="O390" i="5" a="1"/>
  <c r="O377" i="5" a="1"/>
  <c r="O340" i="5" a="1"/>
  <c r="O327" i="5" a="1"/>
  <c r="O290" i="5" a="1"/>
  <c r="O277" i="5" a="1"/>
  <c r="O1776" i="5" a="1"/>
  <c r="O1486" i="5" a="1"/>
  <c r="O1306" i="5" a="1"/>
  <c r="O1266" i="5" a="1"/>
  <c r="O1151" i="5" a="1"/>
  <c r="O1128" i="5" a="1"/>
  <c r="O1039" i="5" a="1"/>
  <c r="O1019" i="5" a="1"/>
  <c r="O952" i="5" a="1"/>
  <c r="O929" i="5" a="1"/>
  <c r="O866" i="5" a="1"/>
  <c r="O842" i="5" a="1"/>
  <c r="O754" i="5" a="1"/>
  <c r="O734" i="5" a="1"/>
  <c r="O691" i="5" a="1"/>
  <c r="O651" i="5" a="1"/>
  <c r="O631" i="5" a="1"/>
  <c r="O612" i="5" a="1"/>
  <c r="O574" i="5" a="1"/>
  <c r="O560" i="5" a="1"/>
  <c r="O545" i="5" a="1"/>
  <c r="O505" i="5" a="1"/>
  <c r="O465" i="5" a="1"/>
  <c r="O414" i="5" a="1"/>
  <c r="O402" i="5" a="1"/>
  <c r="O364" i="5" a="1"/>
  <c r="O352" i="5" a="1"/>
  <c r="O314" i="5" a="1"/>
  <c r="O302" i="5" a="1"/>
  <c r="O265" i="5" a="1"/>
  <c r="O255" i="5" a="1"/>
  <c r="O245" i="5" a="1"/>
  <c r="O235" i="5" a="1"/>
  <c r="O225" i="5" a="1"/>
  <c r="O215" i="5" a="1"/>
  <c r="O205" i="5" a="1"/>
  <c r="O195" i="5" a="1"/>
  <c r="O185" i="5" a="1"/>
  <c r="O175" i="5" a="1"/>
  <c r="O165" i="5" a="1"/>
  <c r="O155" i="5" a="1"/>
  <c r="O145" i="5" a="1"/>
  <c r="O135" i="5" a="1"/>
  <c r="O125" i="5" a="1"/>
  <c r="O115" i="5" a="1"/>
  <c r="O105" i="5" a="1"/>
  <c r="O1483" i="5" a="1"/>
  <c r="O1415" i="5" a="1"/>
  <c r="O1350" i="5" a="1"/>
  <c r="O1226" i="5" a="1"/>
  <c r="O1185" i="5" a="1"/>
  <c r="O1082" i="5" a="1"/>
  <c r="O1062" i="5" a="1"/>
  <c r="O996" i="5" a="1"/>
  <c r="O972" i="5" a="1"/>
  <c r="O908" i="5" a="1"/>
  <c r="O886" i="5" a="1"/>
  <c r="O797" i="5" a="1"/>
  <c r="O777" i="5" a="1"/>
  <c r="O709" i="5" a="1"/>
  <c r="O668" i="5" a="1"/>
  <c r="O532" i="5" a="1"/>
  <c r="O519" i="5" a="1"/>
  <c r="O492" i="5" a="1"/>
  <c r="O479" i="5" a="1"/>
  <c r="O452" i="5" a="1"/>
  <c r="O439" i="5" a="1"/>
  <c r="O426" i="5" a="1"/>
  <c r="O389" i="5" a="1"/>
  <c r="O376" i="5" a="1"/>
  <c r="O339" i="5" a="1"/>
  <c r="O326" i="5" a="1"/>
  <c r="O289" i="5" a="1"/>
  <c r="O276" i="5" a="1"/>
  <c r="O1756" i="5" a="1"/>
  <c r="O1546" i="5" a="1"/>
  <c r="O1473" i="5" a="1"/>
  <c r="O1410" i="5" a="1"/>
  <c r="O1305" i="5" a="1"/>
  <c r="O1263" i="5" a="1"/>
  <c r="O1181" i="5" a="1"/>
  <c r="O1126" i="5" a="1"/>
  <c r="O1106" i="5" a="1"/>
  <c r="O1038" i="5" a="1"/>
  <c r="O1016" i="5" a="1"/>
  <c r="O951" i="5" a="1"/>
  <c r="O928" i="5" a="1"/>
  <c r="O839" i="5" a="1"/>
  <c r="O819" i="5" a="1"/>
  <c r="O752" i="5" a="1"/>
  <c r="O729" i="5" a="1"/>
  <c r="O689" i="5" a="1"/>
  <c r="O649" i="5" a="1"/>
  <c r="O611" i="5" a="1"/>
  <c r="O591" i="5" a="1"/>
  <c r="O559" i="5" a="1"/>
  <c r="O544" i="5" a="1"/>
  <c r="O517" i="5" a="1"/>
  <c r="O504" i="5" a="1"/>
  <c r="O477" i="5" a="1"/>
  <c r="O464" i="5" a="1"/>
  <c r="O438" i="5" a="1"/>
  <c r="O425" i="5" a="1"/>
  <c r="O413" i="5" a="1"/>
  <c r="O388" i="5" a="1"/>
  <c r="O375" i="5" a="1"/>
  <c r="O363" i="5" a="1"/>
  <c r="O338" i="5" a="1"/>
  <c r="O325" i="5" a="1"/>
  <c r="O313" i="5" a="1"/>
  <c r="O288" i="5" a="1"/>
  <c r="O275" i="5" a="1"/>
  <c r="O264" i="5" a="1"/>
  <c r="O254" i="5" a="1"/>
  <c r="O244" i="5" a="1"/>
  <c r="O234" i="5" a="1"/>
  <c r="O224" i="5" a="1"/>
  <c r="O214" i="5" a="1"/>
  <c r="O204" i="5" a="1"/>
  <c r="O194" i="5" a="1"/>
  <c r="O184" i="5" a="1"/>
  <c r="O174" i="5" a="1"/>
  <c r="O164" i="5" a="1"/>
  <c r="O154" i="5" a="1"/>
  <c r="O144" i="5" a="1"/>
  <c r="O134" i="5" a="1"/>
  <c r="O124" i="5" a="1"/>
  <c r="O114" i="5" a="1"/>
  <c r="O104" i="5" a="1"/>
  <c r="O1896" i="5" a="1"/>
  <c r="O1635" i="5" a="1"/>
  <c r="O1466" i="5" a="1"/>
  <c r="O1346" i="5" a="1"/>
  <c r="O1180" i="5" a="1"/>
  <c r="O1148" i="5" a="1"/>
  <c r="O1081" i="5" a="1"/>
  <c r="O1058" i="5" a="1"/>
  <c r="O994" i="5" a="1"/>
  <c r="O971" i="5" a="1"/>
  <c r="O882" i="5" a="1"/>
  <c r="O862" i="5" a="1"/>
  <c r="O796" i="5" a="1"/>
  <c r="O772" i="5" a="1"/>
  <c r="O708" i="5" a="1"/>
  <c r="O687" i="5" a="1"/>
  <c r="O667" i="5" a="1"/>
  <c r="O628" i="5" a="1"/>
  <c r="O572" i="5" a="1"/>
  <c r="O557" i="5" a="1"/>
  <c r="O437" i="5" a="1"/>
  <c r="O400" i="5" a="1"/>
  <c r="O387" i="5" a="1"/>
  <c r="O350" i="5" a="1"/>
  <c r="O337" i="5" a="1"/>
  <c r="O300" i="5" a="1"/>
  <c r="O287" i="5" a="1"/>
  <c r="O1545" i="5" a="1"/>
  <c r="O1406" i="5" a="1"/>
  <c r="O1341" i="5" a="1"/>
  <c r="O1301" i="5" a="1"/>
  <c r="O1124" i="5" a="1"/>
  <c r="O1101" i="5" a="1"/>
  <c r="O1037" i="5" a="1"/>
  <c r="O1014" i="5" a="1"/>
  <c r="O926" i="5" a="1"/>
  <c r="O906" i="5" a="1"/>
  <c r="O838" i="5" a="1"/>
  <c r="O816" i="5" a="1"/>
  <c r="O751" i="5" a="1"/>
  <c r="O728" i="5" a="1"/>
  <c r="O648" i="5" a="1"/>
  <c r="O609" i="5" a="1"/>
  <c r="O543" i="5" a="1"/>
  <c r="O530" i="5" a="1"/>
  <c r="O516" i="5" a="1"/>
  <c r="O503" i="5" a="1"/>
  <c r="O490" i="5" a="1"/>
  <c r="O476" i="5" a="1"/>
  <c r="O463" i="5" a="1"/>
  <c r="O450" i="5" a="1"/>
  <c r="O424" i="5" a="1"/>
  <c r="O412" i="5" a="1"/>
  <c r="O374" i="5" a="1"/>
  <c r="O362" i="5" a="1"/>
  <c r="O324" i="5" a="1"/>
  <c r="O312" i="5" a="1"/>
  <c r="O274" i="5" a="1"/>
  <c r="O263" i="5" a="1"/>
  <c r="O253" i="5" a="1"/>
  <c r="O243" i="5" a="1"/>
  <c r="O233" i="5" a="1"/>
  <c r="O223" i="5" a="1"/>
  <c r="O213" i="5" a="1"/>
  <c r="O203" i="5" a="1"/>
  <c r="O193" i="5" a="1"/>
  <c r="O183" i="5" a="1"/>
  <c r="O173" i="5" a="1"/>
  <c r="O163" i="5" a="1"/>
  <c r="O153" i="5" a="1"/>
  <c r="O143" i="5" a="1"/>
  <c r="O133" i="5" a="1"/>
  <c r="O123" i="5" a="1"/>
  <c r="O113" i="5" a="1"/>
  <c r="O103" i="5" a="1"/>
  <c r="O699" i="5" a="1"/>
  <c r="O566" i="5" a="1"/>
  <c r="O459" i="5" a="1"/>
  <c r="O1625" i="5" a="1"/>
  <c r="O1463" i="5" a="1"/>
  <c r="O1405" i="5" a="1"/>
  <c r="O1340" i="5" a="1"/>
  <c r="O1300" i="5" a="1"/>
  <c r="O1255" i="5" a="1"/>
  <c r="O1144" i="5" a="1"/>
  <c r="O1079" i="5" a="1"/>
  <c r="O1057" i="5" a="1"/>
  <c r="O968" i="5" a="1"/>
  <c r="O948" i="5" a="1"/>
  <c r="O881" i="5" a="1"/>
  <c r="O858" i="5" a="1"/>
  <c r="O794" i="5" a="1"/>
  <c r="O771" i="5" a="1"/>
  <c r="O686" i="5" a="1"/>
  <c r="O666" i="5" a="1"/>
  <c r="O646" i="5" a="1"/>
  <c r="O627" i="5" a="1"/>
  <c r="O588" i="5" a="1"/>
  <c r="O556" i="5" a="1"/>
  <c r="O515" i="5" a="1"/>
  <c r="O475" i="5" a="1"/>
  <c r="O436" i="5" a="1"/>
  <c r="O399" i="5" a="1"/>
  <c r="O386" i="5" a="1"/>
  <c r="O349" i="5" a="1"/>
  <c r="O336" i="5" a="1"/>
  <c r="O299" i="5" a="1"/>
  <c r="O286" i="5" a="1"/>
  <c r="O1886" i="5" a="1"/>
  <c r="O1726" i="5" a="1"/>
  <c r="O1536" i="5" a="1"/>
  <c r="O1460" i="5" a="1"/>
  <c r="O1176" i="5" a="1"/>
  <c r="O1122" i="5" a="1"/>
  <c r="O1099" i="5" a="1"/>
  <c r="O1011" i="5" a="1"/>
  <c r="O991" i="5" a="1"/>
  <c r="O924" i="5" a="1"/>
  <c r="O901" i="5" a="1"/>
  <c r="O837" i="5" a="1"/>
  <c r="O814" i="5" a="1"/>
  <c r="O726" i="5" a="1"/>
  <c r="O706" i="5" a="1"/>
  <c r="O608" i="5" a="1"/>
  <c r="O570" i="5" a="1"/>
  <c r="O542" i="5" a="1"/>
  <c r="O529" i="5" a="1"/>
  <c r="O502" i="5" a="1"/>
  <c r="O489" i="5" a="1"/>
  <c r="O462" i="5" a="1"/>
  <c r="O449" i="5" a="1"/>
  <c r="O435" i="5" a="1"/>
  <c r="O423" i="5" a="1"/>
  <c r="O398" i="5" a="1"/>
  <c r="O385" i="5" a="1"/>
  <c r="O373" i="5" a="1"/>
  <c r="O348" i="5" a="1"/>
  <c r="O335" i="5" a="1"/>
  <c r="O323" i="5" a="1"/>
  <c r="O298" i="5" a="1"/>
  <c r="O285" i="5" a="1"/>
  <c r="O273" i="5" a="1"/>
  <c r="O262" i="5" a="1"/>
  <c r="O252" i="5" a="1"/>
  <c r="O242" i="5" a="1"/>
  <c r="O232" i="5" a="1"/>
  <c r="O222" i="5" a="1"/>
  <c r="O212" i="5" a="1"/>
  <c r="O202" i="5" a="1"/>
  <c r="O192" i="5" a="1"/>
  <c r="O182" i="5" a="1"/>
  <c r="O172" i="5" a="1"/>
  <c r="O162" i="5" a="1"/>
  <c r="O152" i="5" a="1"/>
  <c r="O142" i="5" a="1"/>
  <c r="O132" i="5" a="1"/>
  <c r="O122" i="5" a="1"/>
  <c r="O112" i="5" a="1"/>
  <c r="O102" i="5" a="1"/>
  <c r="O852" i="5" a="1"/>
  <c r="O512" i="5" a="1"/>
  <c r="O370" i="5" a="1"/>
  <c r="O1610" i="5" a="1"/>
  <c r="O1403" i="5" a="1"/>
  <c r="O1335" i="5" a="1"/>
  <c r="O1291" i="5" a="1"/>
  <c r="O1253" i="5" a="1"/>
  <c r="O1213" i="5" a="1"/>
  <c r="O1142" i="5" a="1"/>
  <c r="O1054" i="5" a="1"/>
  <c r="O1034" i="5" a="1"/>
  <c r="O967" i="5" a="1"/>
  <c r="O944" i="5" a="1"/>
  <c r="O879" i="5" a="1"/>
  <c r="O857" i="5" a="1"/>
  <c r="O768" i="5" a="1"/>
  <c r="O748" i="5" a="1"/>
  <c r="O682" i="5" a="1"/>
  <c r="O644" i="5" a="1"/>
  <c r="O626" i="5" a="1"/>
  <c r="O606" i="5" a="1"/>
  <c r="O587" i="5" a="1"/>
  <c r="O554" i="5" a="1"/>
  <c r="O527" i="5" a="1"/>
  <c r="O514" i="5" a="1"/>
  <c r="O487" i="5" a="1"/>
  <c r="O474" i="5" a="1"/>
  <c r="O447" i="5" a="1"/>
  <c r="O410" i="5" a="1"/>
  <c r="O397" i="5" a="1"/>
  <c r="O360" i="5" a="1"/>
  <c r="O347" i="5" a="1"/>
  <c r="O310" i="5" a="1"/>
  <c r="O297" i="5" a="1"/>
  <c r="O742" i="5" a="1"/>
  <c r="O320" i="5" a="1"/>
  <c r="O1456" i="5" a="1"/>
  <c r="O1290" i="5" a="1"/>
  <c r="O1173" i="5" a="1"/>
  <c r="O1097" i="5" a="1"/>
  <c r="O1077" i="5" a="1"/>
  <c r="O1009" i="5" a="1"/>
  <c r="O987" i="5" a="1"/>
  <c r="O922" i="5" a="1"/>
  <c r="O899" i="5" a="1"/>
  <c r="O811" i="5" a="1"/>
  <c r="O791" i="5" a="1"/>
  <c r="O724" i="5" a="1"/>
  <c r="O704" i="5" a="1"/>
  <c r="O662" i="5" a="1"/>
  <c r="O569" i="5" a="1"/>
  <c r="O434" i="5" a="1"/>
  <c r="O422" i="5" a="1"/>
  <c r="O384" i="5" a="1"/>
  <c r="O372" i="5" a="1"/>
  <c r="O334" i="5" a="1"/>
  <c r="O322" i="5" a="1"/>
  <c r="O284" i="5" a="1"/>
  <c r="O272" i="5" a="1"/>
  <c r="O261" i="5" a="1"/>
  <c r="O251" i="5" a="1"/>
  <c r="O241" i="5" a="1"/>
  <c r="O231" i="5" a="1"/>
  <c r="O221" i="5" a="1"/>
  <c r="O211" i="5" a="1"/>
  <c r="O201" i="5" a="1"/>
  <c r="O191" i="5" a="1"/>
  <c r="O181" i="5" a="1"/>
  <c r="O171" i="5" a="1"/>
  <c r="O161" i="5" a="1"/>
  <c r="O151" i="5" a="1"/>
  <c r="O141" i="5" a="1"/>
  <c r="O131" i="5" a="1"/>
  <c r="O121" i="5" a="1"/>
  <c r="O111" i="5" a="1"/>
  <c r="O101" i="5" a="1"/>
  <c r="O1716" i="5" a="1"/>
  <c r="O1525" i="5" a="1"/>
  <c r="O1386" i="5" a="1"/>
  <c r="O1333" i="5" a="1"/>
  <c r="O1139" i="5" a="1"/>
  <c r="O1119" i="5" a="1"/>
  <c r="O1052" i="5" a="1"/>
  <c r="O1029" i="5" a="1"/>
  <c r="O966" i="5" a="1"/>
  <c r="O942" i="5" a="1"/>
  <c r="O854" i="5" a="1"/>
  <c r="O834" i="5" a="1"/>
  <c r="O767" i="5" a="1"/>
  <c r="O744" i="5" a="1"/>
  <c r="O701" i="5" a="1"/>
  <c r="O681" i="5" a="1"/>
  <c r="O641" i="5" a="1"/>
  <c r="O604" i="5" a="1"/>
  <c r="O586" i="5" a="1"/>
  <c r="O567" i="5" a="1"/>
  <c r="O553" i="5" a="1"/>
  <c r="O540" i="5" a="1"/>
  <c r="O526" i="5" a="1"/>
  <c r="O513" i="5" a="1"/>
  <c r="O500" i="5" a="1"/>
  <c r="O486" i="5" a="1"/>
  <c r="O473" i="5" a="1"/>
  <c r="O460" i="5" a="1"/>
  <c r="O446" i="5" a="1"/>
  <c r="O409" i="5" a="1"/>
  <c r="O396" i="5" a="1"/>
  <c r="O359" i="5" a="1"/>
  <c r="O346" i="5" a="1"/>
  <c r="O309" i="5" a="1"/>
  <c r="O296" i="5" a="1"/>
  <c r="O499" i="5" a="1"/>
  <c r="O1595" i="5" a="1"/>
  <c r="O1516" i="5" a="1"/>
  <c r="O1453" i="5" a="1"/>
  <c r="O1331" i="5" a="1"/>
  <c r="O1250" i="5" a="1"/>
  <c r="O1205" i="5" a="1"/>
  <c r="O1096" i="5" a="1"/>
  <c r="O1072" i="5" a="1"/>
  <c r="O1008" i="5" a="1"/>
  <c r="O986" i="5" a="1"/>
  <c r="O897" i="5" a="1"/>
  <c r="O877" i="5" a="1"/>
  <c r="O809" i="5" a="1"/>
  <c r="O787" i="5" a="1"/>
  <c r="O722" i="5" a="1"/>
  <c r="O661" i="5" a="1"/>
  <c r="O622" i="5" a="1"/>
  <c r="O525" i="5" a="1"/>
  <c r="O485" i="5" a="1"/>
  <c r="O445" i="5" a="1"/>
  <c r="O433" i="5" a="1"/>
  <c r="O408" i="5" a="1"/>
  <c r="O395" i="5" a="1"/>
  <c r="O383" i="5" a="1"/>
  <c r="O358" i="5" a="1"/>
  <c r="O345" i="5" a="1"/>
  <c r="O333" i="5" a="1"/>
  <c r="O308" i="5" a="1"/>
  <c r="O295" i="5" a="1"/>
  <c r="O283" i="5" a="1"/>
  <c r="O260" i="5" a="1"/>
  <c r="O250" i="5" a="1"/>
  <c r="O240" i="5" a="1"/>
  <c r="O230" i="5" a="1"/>
  <c r="O220" i="5" a="1"/>
  <c r="O210" i="5" a="1"/>
  <c r="O200" i="5" a="1"/>
  <c r="O190" i="5" a="1"/>
  <c r="O180" i="5" a="1"/>
  <c r="O170" i="5" a="1"/>
  <c r="O160" i="5" a="1"/>
  <c r="O150" i="5" a="1"/>
  <c r="O140" i="5" a="1"/>
  <c r="O130" i="5" a="1"/>
  <c r="O120" i="5" a="1"/>
  <c r="O110" i="5" a="1"/>
  <c r="O100" i="5" a="1"/>
  <c r="O552" i="5" a="1"/>
  <c r="O270" i="5" a="1"/>
  <c r="O1836" i="5" a="1"/>
  <c r="O1051" i="5" a="1"/>
  <c r="O382" i="5" a="1"/>
  <c r="O1695" i="5" a="1"/>
  <c r="O658" i="5" a="1"/>
  <c r="O159" i="5" a="1"/>
  <c r="O1590" i="5" a="1"/>
  <c r="O1028" i="5" a="1"/>
  <c r="O639" i="5" a="1"/>
  <c r="O149" i="5" a="1"/>
  <c r="O1510" i="5" a="1"/>
  <c r="O621" i="5" a="1"/>
  <c r="O344" i="5" a="1"/>
  <c r="O139" i="5" a="1"/>
  <c r="O1450" i="5" a="1"/>
  <c r="O332" i="5" a="1"/>
  <c r="O129" i="5" a="1"/>
  <c r="O1445" i="5" a="1"/>
  <c r="O582" i="5" a="1"/>
  <c r="O119" i="5" a="1"/>
  <c r="O1376" i="5" a="1"/>
  <c r="O982" i="5" a="1"/>
  <c r="O1326" i="5" a="1"/>
  <c r="O962" i="5" a="1"/>
  <c r="O294" i="5" a="1"/>
  <c r="O109" i="5" a="1"/>
  <c r="O1285" i="5" a="1"/>
  <c r="O537" i="5" a="1"/>
  <c r="O282" i="5" a="1"/>
  <c r="O524" i="5" a="1"/>
  <c r="O99" i="5" a="1"/>
  <c r="O896" i="5" a="1"/>
  <c r="O259" i="5" a="1"/>
  <c r="O872" i="5" a="1"/>
  <c r="O497" i="5" a="1"/>
  <c r="O249" i="5" a="1"/>
  <c r="O169" i="5" a="1"/>
  <c r="O484" i="5" a="1"/>
  <c r="O239" i="5" a="1"/>
  <c r="O394" i="5" a="1"/>
  <c r="O1203" i="5" a="1"/>
  <c r="O229" i="5" a="1"/>
  <c r="O808" i="5" a="1"/>
  <c r="O457" i="5" a="1"/>
  <c r="O219" i="5" a="1"/>
  <c r="O786" i="5" a="1"/>
  <c r="O444" i="5" a="1"/>
  <c r="O209" i="5" a="1"/>
  <c r="O432" i="5" a="1"/>
  <c r="O199" i="5" a="1"/>
  <c r="O1094" i="5" a="1"/>
  <c r="O189" i="5" a="1"/>
  <c r="O179" i="5" a="1"/>
  <c r="O1071" i="5" a="1"/>
  <c r="P2004" i="5" a="1"/>
  <c r="P2003" i="5" a="1"/>
  <c r="P2001" i="5" a="1"/>
  <c r="P2000" i="5" a="1"/>
  <c r="P1990" i="5" a="1"/>
  <c r="P1980" i="5" a="1"/>
  <c r="P1970" i="5" a="1"/>
  <c r="P1960" i="5" a="1"/>
  <c r="P1950" i="5" a="1"/>
  <c r="P1940" i="5" a="1"/>
  <c r="P1930" i="5" a="1"/>
  <c r="P1920" i="5" a="1"/>
  <c r="P1910" i="5" a="1"/>
  <c r="P1900" i="5" a="1"/>
  <c r="P1890" i="5" a="1"/>
  <c r="P1880" i="5" a="1"/>
  <c r="P1870" i="5" a="1"/>
  <c r="P1860" i="5" a="1"/>
  <c r="P1850" i="5" a="1"/>
  <c r="P1840" i="5" a="1"/>
  <c r="P1830" i="5" a="1"/>
  <c r="P1820" i="5" a="1"/>
  <c r="P1810" i="5" a="1"/>
  <c r="P1800" i="5" a="1"/>
  <c r="P1790" i="5" a="1"/>
  <c r="P1780" i="5" a="1"/>
  <c r="P1770" i="5" a="1"/>
  <c r="P1760" i="5" a="1"/>
  <c r="P1750" i="5" a="1"/>
  <c r="P1740" i="5" a="1"/>
  <c r="P1730" i="5" a="1"/>
  <c r="P1720" i="5" a="1"/>
  <c r="P1710" i="5" a="1"/>
  <c r="P1700" i="5" a="1"/>
  <c r="P1690" i="5" a="1"/>
  <c r="P1680" i="5" a="1"/>
  <c r="P1670" i="5" a="1"/>
  <c r="P1660" i="5" a="1"/>
  <c r="P1650" i="5" a="1"/>
  <c r="P1640" i="5" a="1"/>
  <c r="P1630" i="5" a="1"/>
  <c r="P1620" i="5" a="1"/>
  <c r="P1610" i="5" a="1"/>
  <c r="P1600" i="5" a="1"/>
  <c r="P1590" i="5" a="1"/>
  <c r="P1580" i="5" a="1"/>
  <c r="P1570" i="5" a="1"/>
  <c r="P1560" i="5" a="1"/>
  <c r="P1550" i="5" a="1"/>
  <c r="P1540" i="5" a="1"/>
  <c r="P1530" i="5" a="1"/>
  <c r="P1520" i="5" a="1"/>
  <c r="P1510" i="5" a="1"/>
  <c r="P1500" i="5" a="1"/>
  <c r="P1490" i="5" a="1"/>
  <c r="P1480" i="5" a="1"/>
  <c r="P1470" i="5" a="1"/>
  <c r="P1460" i="5" a="1"/>
  <c r="P1450" i="5" a="1"/>
  <c r="P1440" i="5" a="1"/>
  <c r="P1430" i="5" a="1"/>
  <c r="P1420" i="5" a="1"/>
  <c r="P1410" i="5" a="1"/>
  <c r="P1400" i="5" a="1"/>
  <c r="P1390" i="5" a="1"/>
  <c r="P1380" i="5" a="1"/>
  <c r="P1370" i="5" a="1"/>
  <c r="P1360" i="5" a="1"/>
  <c r="P1350" i="5" a="1"/>
  <c r="P1340" i="5" a="1"/>
  <c r="P1330" i="5" a="1"/>
  <c r="P1320" i="5" a="1"/>
  <c r="P1310" i="5" a="1"/>
  <c r="P1300" i="5" a="1"/>
  <c r="P1290" i="5" a="1"/>
  <c r="P1280" i="5" a="1"/>
  <c r="P1270" i="5" a="1"/>
  <c r="P1260" i="5" a="1"/>
  <c r="P1250" i="5" a="1"/>
  <c r="P1240" i="5" a="1"/>
  <c r="P1230" i="5" a="1"/>
  <c r="P1220" i="5" a="1"/>
  <c r="P1210" i="5" a="1"/>
  <c r="P1200" i="5" a="1"/>
  <c r="P1190" i="5" a="1"/>
  <c r="P1180" i="5" a="1"/>
  <c r="P1170" i="5" a="1"/>
  <c r="P1160" i="5" a="1"/>
  <c r="P1999" i="5" a="1"/>
  <c r="P1989" i="5" a="1"/>
  <c r="P1979" i="5" a="1"/>
  <c r="P1969" i="5" a="1"/>
  <c r="P1959" i="5" a="1"/>
  <c r="P1949" i="5" a="1"/>
  <c r="P1939" i="5" a="1"/>
  <c r="P1929" i="5" a="1"/>
  <c r="P1919" i="5" a="1"/>
  <c r="P1909" i="5" a="1"/>
  <c r="P1899" i="5" a="1"/>
  <c r="P1889" i="5" a="1"/>
  <c r="P1879" i="5" a="1"/>
  <c r="P1869" i="5" a="1"/>
  <c r="P1859" i="5" a="1"/>
  <c r="P1849" i="5" a="1"/>
  <c r="P1839" i="5" a="1"/>
  <c r="P1829" i="5" a="1"/>
  <c r="P1819" i="5" a="1"/>
  <c r="P1809" i="5" a="1"/>
  <c r="P1799" i="5" a="1"/>
  <c r="P1789" i="5" a="1"/>
  <c r="P1779" i="5" a="1"/>
  <c r="P1769" i="5" a="1"/>
  <c r="P1759" i="5" a="1"/>
  <c r="P1749" i="5" a="1"/>
  <c r="P1739" i="5" a="1"/>
  <c r="P1729" i="5" a="1"/>
  <c r="P1719" i="5" a="1"/>
  <c r="P1709" i="5" a="1"/>
  <c r="P1699" i="5" a="1"/>
  <c r="P1689" i="5" a="1"/>
  <c r="P1679" i="5" a="1"/>
  <c r="P1669" i="5" a="1"/>
  <c r="P1659" i="5" a="1"/>
  <c r="P1649" i="5" a="1"/>
  <c r="P1639" i="5" a="1"/>
  <c r="P1629" i="5" a="1"/>
  <c r="P1619" i="5" a="1"/>
  <c r="P1609" i="5" a="1"/>
  <c r="P1599" i="5" a="1"/>
  <c r="P1589" i="5" a="1"/>
  <c r="P1579" i="5" a="1"/>
  <c r="P1569" i="5" a="1"/>
  <c r="P1559" i="5" a="1"/>
  <c r="P1549" i="5" a="1"/>
  <c r="P1539" i="5" a="1"/>
  <c r="P1529" i="5" a="1"/>
  <c r="P1519" i="5" a="1"/>
  <c r="P1509" i="5" a="1"/>
  <c r="P1499" i="5" a="1"/>
  <c r="P1489" i="5" a="1"/>
  <c r="P1479" i="5" a="1"/>
  <c r="P1469" i="5" a="1"/>
  <c r="P1459" i="5" a="1"/>
  <c r="P1449" i="5" a="1"/>
  <c r="P1439" i="5" a="1"/>
  <c r="P1429" i="5" a="1"/>
  <c r="P1419" i="5" a="1"/>
  <c r="P1409" i="5" a="1"/>
  <c r="P1399" i="5" a="1"/>
  <c r="P1389" i="5" a="1"/>
  <c r="P1379" i="5" a="1"/>
  <c r="P1369" i="5" a="1"/>
  <c r="P1359" i="5" a="1"/>
  <c r="P1349" i="5" a="1"/>
  <c r="P1339" i="5" a="1"/>
  <c r="P1329" i="5" a="1"/>
  <c r="P1319" i="5" a="1"/>
  <c r="P1309" i="5" a="1"/>
  <c r="P1299" i="5" a="1"/>
  <c r="P1289" i="5" a="1"/>
  <c r="P1279" i="5" a="1"/>
  <c r="P1269" i="5" a="1"/>
  <c r="P1259" i="5" a="1"/>
  <c r="P1998" i="5" a="1"/>
  <c r="P1988" i="5" a="1"/>
  <c r="P1978" i="5" a="1"/>
  <c r="P1968" i="5" a="1"/>
  <c r="P1958" i="5" a="1"/>
  <c r="P1948" i="5" a="1"/>
  <c r="P1938" i="5" a="1"/>
  <c r="P1928" i="5" a="1"/>
  <c r="P1918" i="5" a="1"/>
  <c r="P1908" i="5" a="1"/>
  <c r="P1898" i="5" a="1"/>
  <c r="P1888" i="5" a="1"/>
  <c r="P1878" i="5" a="1"/>
  <c r="P1868" i="5" a="1"/>
  <c r="P1858" i="5" a="1"/>
  <c r="P1848" i="5" a="1"/>
  <c r="P1838" i="5" a="1"/>
  <c r="P1828" i="5" a="1"/>
  <c r="P1818" i="5" a="1"/>
  <c r="P1808" i="5" a="1"/>
  <c r="P1798" i="5" a="1"/>
  <c r="P1788" i="5" a="1"/>
  <c r="P1778" i="5" a="1"/>
  <c r="P1768" i="5" a="1"/>
  <c r="P1758" i="5" a="1"/>
  <c r="P1748" i="5" a="1"/>
  <c r="P1738" i="5" a="1"/>
  <c r="P1728" i="5" a="1"/>
  <c r="P1718" i="5" a="1"/>
  <c r="P1708" i="5" a="1"/>
  <c r="P1698" i="5" a="1"/>
  <c r="P1688" i="5" a="1"/>
  <c r="P1678" i="5" a="1"/>
  <c r="P1668" i="5" a="1"/>
  <c r="P1658" i="5" a="1"/>
  <c r="P1648" i="5" a="1"/>
  <c r="P1638" i="5" a="1"/>
  <c r="P1628" i="5" a="1"/>
  <c r="P1618" i="5" a="1"/>
  <c r="P1608" i="5" a="1"/>
  <c r="P1598" i="5" a="1"/>
  <c r="P1588" i="5" a="1"/>
  <c r="P1578" i="5" a="1"/>
  <c r="P1568" i="5" a="1"/>
  <c r="P1558" i="5" a="1"/>
  <c r="P1548" i="5" a="1"/>
  <c r="P1538" i="5" a="1"/>
  <c r="P1528" i="5" a="1"/>
  <c r="P1518" i="5" a="1"/>
  <c r="P1508" i="5" a="1"/>
  <c r="P1498" i="5" a="1"/>
  <c r="P1488" i="5" a="1"/>
  <c r="P1478" i="5" a="1"/>
  <c r="P1468" i="5" a="1"/>
  <c r="P1458" i="5" a="1"/>
  <c r="P1448" i="5" a="1"/>
  <c r="P1438" i="5" a="1"/>
  <c r="P1428" i="5" a="1"/>
  <c r="P1418" i="5" a="1"/>
  <c r="P1408" i="5" a="1"/>
  <c r="P1398" i="5" a="1"/>
  <c r="P1388" i="5" a="1"/>
  <c r="P1378" i="5" a="1"/>
  <c r="P1368" i="5" a="1"/>
  <c r="P1358" i="5" a="1"/>
  <c r="P1348" i="5" a="1"/>
  <c r="P1338" i="5" a="1"/>
  <c r="P1328" i="5" a="1"/>
  <c r="P1318" i="5" a="1"/>
  <c r="P1308" i="5" a="1"/>
  <c r="P1298" i="5" a="1"/>
  <c r="P1288" i="5" a="1"/>
  <c r="P1278" i="5" a="1"/>
  <c r="P1268" i="5" a="1"/>
  <c r="P1258" i="5" a="1"/>
  <c r="P1248" i="5" a="1"/>
  <c r="P1238" i="5" a="1"/>
  <c r="P1228" i="5" a="1"/>
  <c r="P1997" i="5" a="1"/>
  <c r="P1987" i="5" a="1"/>
  <c r="P1977" i="5" a="1"/>
  <c r="P1967" i="5" a="1"/>
  <c r="P1957" i="5" a="1"/>
  <c r="P1947" i="5" a="1"/>
  <c r="P1937" i="5" a="1"/>
  <c r="P1927" i="5" a="1"/>
  <c r="P1917" i="5" a="1"/>
  <c r="P1907" i="5" a="1"/>
  <c r="P1897" i="5" a="1"/>
  <c r="P1887" i="5" a="1"/>
  <c r="P1877" i="5" a="1"/>
  <c r="P1867" i="5" a="1"/>
  <c r="P1857" i="5" a="1"/>
  <c r="P1847" i="5" a="1"/>
  <c r="P1837" i="5" a="1"/>
  <c r="P1827" i="5" a="1"/>
  <c r="P1817" i="5" a="1"/>
  <c r="P1807" i="5" a="1"/>
  <c r="P1797" i="5" a="1"/>
  <c r="P1787" i="5" a="1"/>
  <c r="P1777" i="5" a="1"/>
  <c r="P1767" i="5" a="1"/>
  <c r="P1757" i="5" a="1"/>
  <c r="P1747" i="5" a="1"/>
  <c r="P1737" i="5" a="1"/>
  <c r="P1727" i="5" a="1"/>
  <c r="P1717" i="5" a="1"/>
  <c r="P1707" i="5" a="1"/>
  <c r="P1697" i="5" a="1"/>
  <c r="P1687" i="5" a="1"/>
  <c r="P1677" i="5" a="1"/>
  <c r="P1667" i="5" a="1"/>
  <c r="P1657" i="5" a="1"/>
  <c r="P1647" i="5" a="1"/>
  <c r="P1637" i="5" a="1"/>
  <c r="P1627" i="5" a="1"/>
  <c r="P1995" i="5" a="1"/>
  <c r="P1985" i="5" a="1"/>
  <c r="P1975" i="5" a="1"/>
  <c r="P1965" i="5" a="1"/>
  <c r="P1955" i="5" a="1"/>
  <c r="P1945" i="5" a="1"/>
  <c r="P1935" i="5" a="1"/>
  <c r="P1925" i="5" a="1"/>
  <c r="P1915" i="5" a="1"/>
  <c r="P1905" i="5" a="1"/>
  <c r="P1895" i="5" a="1"/>
  <c r="P1885" i="5" a="1"/>
  <c r="P1875" i="5" a="1"/>
  <c r="P1865" i="5" a="1"/>
  <c r="P1855" i="5" a="1"/>
  <c r="P1845" i="5" a="1"/>
  <c r="P1835" i="5" a="1"/>
  <c r="P1825" i="5" a="1"/>
  <c r="P1815" i="5" a="1"/>
  <c r="P1805" i="5" a="1"/>
  <c r="P1795" i="5" a="1"/>
  <c r="P1785" i="5" a="1"/>
  <c r="P1775" i="5" a="1"/>
  <c r="P1765" i="5" a="1"/>
  <c r="P1755" i="5" a="1"/>
  <c r="P1745" i="5" a="1"/>
  <c r="P1735" i="5" a="1"/>
  <c r="P1725" i="5" a="1"/>
  <c r="P1715" i="5" a="1"/>
  <c r="P1705" i="5" a="1"/>
  <c r="P1695" i="5" a="1"/>
  <c r="P1685" i="5" a="1"/>
  <c r="P1675" i="5" a="1"/>
  <c r="P1665" i="5" a="1"/>
  <c r="P1655" i="5" a="1"/>
  <c r="P1645" i="5" a="1"/>
  <c r="P1635" i="5" a="1"/>
  <c r="P1625" i="5" a="1"/>
  <c r="P1615" i="5" a="1"/>
  <c r="P1605" i="5" a="1"/>
  <c r="P1595" i="5" a="1"/>
  <c r="P1585" i="5" a="1"/>
  <c r="P1575" i="5" a="1"/>
  <c r="P1565" i="5" a="1"/>
  <c r="P1555" i="5" a="1"/>
  <c r="P1545" i="5" a="1"/>
  <c r="P1535" i="5" a="1"/>
  <c r="P1525" i="5" a="1"/>
  <c r="P1515" i="5" a="1"/>
  <c r="P1505" i="5" a="1"/>
  <c r="P1495" i="5" a="1"/>
  <c r="P1485" i="5" a="1"/>
  <c r="P1475" i="5" a="1"/>
  <c r="P1465" i="5" a="1"/>
  <c r="P1455" i="5" a="1"/>
  <c r="P1445" i="5" a="1"/>
  <c r="P1435" i="5" a="1"/>
  <c r="P1425" i="5" a="1"/>
  <c r="P1415" i="5" a="1"/>
  <c r="P1405" i="5" a="1"/>
  <c r="P1395" i="5" a="1"/>
  <c r="P1385" i="5" a="1"/>
  <c r="P1375" i="5" a="1"/>
  <c r="P1365" i="5" a="1"/>
  <c r="P1355" i="5" a="1"/>
  <c r="P1345" i="5" a="1"/>
  <c r="P1335" i="5" a="1"/>
  <c r="P1325" i="5" a="1"/>
  <c r="P1315" i="5" a="1"/>
  <c r="P1305" i="5" a="1"/>
  <c r="P1295" i="5" a="1"/>
  <c r="P1285" i="5" a="1"/>
  <c r="P1275" i="5" a="1"/>
  <c r="P1265" i="5" a="1"/>
  <c r="P1255" i="5" a="1"/>
  <c r="P1245" i="5" a="1"/>
  <c r="P1235" i="5" a="1"/>
  <c r="P1584" i="5" a="1"/>
  <c r="P1566" i="5" a="1"/>
  <c r="P1547" i="5" a="1"/>
  <c r="P1531" i="5" a="1"/>
  <c r="P1512" i="5" a="1"/>
  <c r="P1493" i="5" a="1"/>
  <c r="P1384" i="5" a="1"/>
  <c r="P1366" i="5" a="1"/>
  <c r="P1347" i="5" a="1"/>
  <c r="P1331" i="5" a="1"/>
  <c r="P1312" i="5" a="1"/>
  <c r="P1293" i="5" a="1"/>
  <c r="P1241" i="5" a="1"/>
  <c r="P1224" i="5" a="1"/>
  <c r="P2002" i="5" a="1"/>
  <c r="P1981" i="5" a="1"/>
  <c r="P1961" i="5" a="1"/>
  <c r="P1941" i="5" a="1"/>
  <c r="P1921" i="5" a="1"/>
  <c r="P1901" i="5" a="1"/>
  <c r="P1881" i="5" a="1"/>
  <c r="P1861" i="5" a="1"/>
  <c r="P1841" i="5" a="1"/>
  <c r="P1821" i="5" a="1"/>
  <c r="P1801" i="5" a="1"/>
  <c r="P1781" i="5" a="1"/>
  <c r="P1761" i="5" a="1"/>
  <c r="P1741" i="5" a="1"/>
  <c r="P1721" i="5" a="1"/>
  <c r="P1701" i="5" a="1"/>
  <c r="P1681" i="5" a="1"/>
  <c r="P1661" i="5" a="1"/>
  <c r="P1641" i="5" a="1"/>
  <c r="P1621" i="5" a="1"/>
  <c r="P1602" i="5" a="1"/>
  <c r="P1583" i="5" a="1"/>
  <c r="P1474" i="5" a="1"/>
  <c r="P1456" i="5" a="1"/>
  <c r="P1437" i="5" a="1"/>
  <c r="P1421" i="5" a="1"/>
  <c r="P1402" i="5" a="1"/>
  <c r="P1383" i="5" a="1"/>
  <c r="P1274" i="5" a="1"/>
  <c r="P1256" i="5" a="1"/>
  <c r="P1223" i="5" a="1"/>
  <c r="P1209" i="5" a="1"/>
  <c r="P1195" i="5" a="1"/>
  <c r="P1181" i="5" a="1"/>
  <c r="P1166" i="5" a="1"/>
  <c r="P1153" i="5" a="1"/>
  <c r="P1143" i="5" a="1"/>
  <c r="P1133" i="5" a="1"/>
  <c r="P1123" i="5" a="1"/>
  <c r="P1113" i="5" a="1"/>
  <c r="P1103" i="5" a="1"/>
  <c r="P1093" i="5" a="1"/>
  <c r="P1083" i="5" a="1"/>
  <c r="P1073" i="5" a="1"/>
  <c r="P1063" i="5" a="1"/>
  <c r="P1053" i="5" a="1"/>
  <c r="P1043" i="5" a="1"/>
  <c r="P1033" i="5" a="1"/>
  <c r="P1023" i="5" a="1"/>
  <c r="P1013" i="5" a="1"/>
  <c r="P1003" i="5" a="1"/>
  <c r="P993" i="5" a="1"/>
  <c r="P983" i="5" a="1"/>
  <c r="P973" i="5" a="1"/>
  <c r="P963" i="5" a="1"/>
  <c r="P953" i="5" a="1"/>
  <c r="P943" i="5" a="1"/>
  <c r="P933" i="5" a="1"/>
  <c r="P923" i="5" a="1"/>
  <c r="P913" i="5" a="1"/>
  <c r="P903" i="5" a="1"/>
  <c r="P893" i="5" a="1"/>
  <c r="P883" i="5" a="1"/>
  <c r="P873" i="5" a="1"/>
  <c r="P863" i="5" a="1"/>
  <c r="P853" i="5" a="1"/>
  <c r="P843" i="5" a="1"/>
  <c r="P833" i="5" a="1"/>
  <c r="P823" i="5" a="1"/>
  <c r="P813" i="5" a="1"/>
  <c r="P803" i="5" a="1"/>
  <c r="P793" i="5" a="1"/>
  <c r="P783" i="5" a="1"/>
  <c r="P773" i="5" a="1"/>
  <c r="P763" i="5" a="1"/>
  <c r="P753" i="5" a="1"/>
  <c r="P743" i="5" a="1"/>
  <c r="P733" i="5" a="1"/>
  <c r="P723" i="5" a="1"/>
  <c r="P713" i="5" a="1"/>
  <c r="P703" i="5" a="1"/>
  <c r="P693" i="5" a="1"/>
  <c r="P683" i="5" a="1"/>
  <c r="P673" i="5" a="1"/>
  <c r="P663" i="5" a="1"/>
  <c r="P653" i="5" a="1"/>
  <c r="P643" i="5" a="1"/>
  <c r="P633" i="5" a="1"/>
  <c r="P623" i="5" a="1"/>
  <c r="P613" i="5" a="1"/>
  <c r="P603" i="5" a="1"/>
  <c r="P593" i="5" a="1"/>
  <c r="P583" i="5" a="1"/>
  <c r="P573" i="5" a="1"/>
  <c r="P563" i="5" a="1"/>
  <c r="P553" i="5" a="1"/>
  <c r="P543" i="5" a="1"/>
  <c r="P533" i="5" a="1"/>
  <c r="P523" i="5" a="1"/>
  <c r="P513" i="5" a="1"/>
  <c r="P503" i="5" a="1"/>
  <c r="P493" i="5" a="1"/>
  <c r="P483" i="5" a="1"/>
  <c r="P1564" i="5" a="1"/>
  <c r="P1546" i="5" a="1"/>
  <c r="P1527" i="5" a="1"/>
  <c r="P1511" i="5" a="1"/>
  <c r="P1492" i="5" a="1"/>
  <c r="P1473" i="5" a="1"/>
  <c r="P1364" i="5" a="1"/>
  <c r="P1346" i="5" a="1"/>
  <c r="P1327" i="5" a="1"/>
  <c r="P1311" i="5" a="1"/>
  <c r="P1292" i="5" a="1"/>
  <c r="P1273" i="5" a="1"/>
  <c r="P1239" i="5" a="1"/>
  <c r="P1208" i="5" a="1"/>
  <c r="P1194" i="5" a="1"/>
  <c r="P1617" i="5" a="1"/>
  <c r="P1601" i="5" a="1"/>
  <c r="P1582" i="5" a="1"/>
  <c r="P1563" i="5" a="1"/>
  <c r="P1454" i="5" a="1"/>
  <c r="P1436" i="5" a="1"/>
  <c r="P1417" i="5" a="1"/>
  <c r="P1401" i="5" a="1"/>
  <c r="P1382" i="5" a="1"/>
  <c r="P1363" i="5" a="1"/>
  <c r="P1254" i="5" a="1"/>
  <c r="P1237" i="5" a="1"/>
  <c r="P1222" i="5" a="1"/>
  <c r="P1207" i="5" a="1"/>
  <c r="P1193" i="5" a="1"/>
  <c r="P1179" i="5" a="1"/>
  <c r="P1165" i="5" a="1"/>
  <c r="P1152" i="5" a="1"/>
  <c r="P1142" i="5" a="1"/>
  <c r="P1132" i="5" a="1"/>
  <c r="P1122" i="5" a="1"/>
  <c r="P1112" i="5" a="1"/>
  <c r="P1102" i="5" a="1"/>
  <c r="P1092" i="5" a="1"/>
  <c r="P1082" i="5" a="1"/>
  <c r="P1072" i="5" a="1"/>
  <c r="P1062" i="5" a="1"/>
  <c r="P1052" i="5" a="1"/>
  <c r="P1042" i="5" a="1"/>
  <c r="P1032" i="5" a="1"/>
  <c r="P1022" i="5" a="1"/>
  <c r="P1012" i="5" a="1"/>
  <c r="P1002" i="5" a="1"/>
  <c r="P992" i="5" a="1"/>
  <c r="P982" i="5" a="1"/>
  <c r="P972" i="5" a="1"/>
  <c r="P962" i="5" a="1"/>
  <c r="P952" i="5" a="1"/>
  <c r="P942" i="5" a="1"/>
  <c r="P932" i="5" a="1"/>
  <c r="P922" i="5" a="1"/>
  <c r="P912" i="5" a="1"/>
  <c r="P902" i="5" a="1"/>
  <c r="P892" i="5" a="1"/>
  <c r="P882" i="5" a="1"/>
  <c r="P872" i="5" a="1"/>
  <c r="P862" i="5" a="1"/>
  <c r="P852" i="5" a="1"/>
  <c r="P842" i="5" a="1"/>
  <c r="P832" i="5" a="1"/>
  <c r="P822" i="5" a="1"/>
  <c r="P812" i="5" a="1"/>
  <c r="P802" i="5" a="1"/>
  <c r="P792" i="5" a="1"/>
  <c r="P782" i="5" a="1"/>
  <c r="P772" i="5" a="1"/>
  <c r="P762" i="5" a="1"/>
  <c r="P752" i="5" a="1"/>
  <c r="P742" i="5" a="1"/>
  <c r="P732" i="5" a="1"/>
  <c r="P722" i="5" a="1"/>
  <c r="P712" i="5" a="1"/>
  <c r="P702" i="5" a="1"/>
  <c r="P692" i="5" a="1"/>
  <c r="P682" i="5" a="1"/>
  <c r="P672" i="5" a="1"/>
  <c r="P662" i="5" a="1"/>
  <c r="P652" i="5" a="1"/>
  <c r="P642" i="5" a="1"/>
  <c r="P632" i="5" a="1"/>
  <c r="P622" i="5" a="1"/>
  <c r="P612" i="5" a="1"/>
  <c r="P602" i="5" a="1"/>
  <c r="P592" i="5" a="1"/>
  <c r="P582" i="5" a="1"/>
  <c r="P572" i="5" a="1"/>
  <c r="P562" i="5" a="1"/>
  <c r="P552" i="5" a="1"/>
  <c r="P542" i="5" a="1"/>
  <c r="P532" i="5" a="1"/>
  <c r="P522" i="5" a="1"/>
  <c r="P512" i="5" a="1"/>
  <c r="P502" i="5" a="1"/>
  <c r="P492" i="5" a="1"/>
  <c r="P1996" i="5" a="1"/>
  <c r="P1976" i="5" a="1"/>
  <c r="P1956" i="5" a="1"/>
  <c r="P1936" i="5" a="1"/>
  <c r="P1916" i="5" a="1"/>
  <c r="P1896" i="5" a="1"/>
  <c r="P1876" i="5" a="1"/>
  <c r="P1616" i="5" a="1"/>
  <c r="P1597" i="5" a="1"/>
  <c r="P1581" i="5" a="1"/>
  <c r="P1562" i="5" a="1"/>
  <c r="P1543" i="5" a="1"/>
  <c r="P1434" i="5" a="1"/>
  <c r="P1416" i="5" a="1"/>
  <c r="P1397" i="5" a="1"/>
  <c r="P1381" i="5" a="1"/>
  <c r="P1362" i="5" a="1"/>
  <c r="P1343" i="5" a="1"/>
  <c r="P1994" i="5" a="1"/>
  <c r="P1974" i="5" a="1"/>
  <c r="P1954" i="5" a="1"/>
  <c r="P1934" i="5" a="1"/>
  <c r="P1914" i="5" a="1"/>
  <c r="P1894" i="5" a="1"/>
  <c r="P1874" i="5" a="1"/>
  <c r="P1854" i="5" a="1"/>
  <c r="P1834" i="5" a="1"/>
  <c r="P1814" i="5" a="1"/>
  <c r="P1794" i="5" a="1"/>
  <c r="P1774" i="5" a="1"/>
  <c r="P1754" i="5" a="1"/>
  <c r="P1734" i="5" a="1"/>
  <c r="P1714" i="5" a="1"/>
  <c r="P1694" i="5" a="1"/>
  <c r="P1674" i="5" a="1"/>
  <c r="P1654" i="5" a="1"/>
  <c r="P1634" i="5" a="1"/>
  <c r="P1524" i="5" a="1"/>
  <c r="P1506" i="5" a="1"/>
  <c r="P1487" i="5" a="1"/>
  <c r="P1471" i="5" a="1"/>
  <c r="P1452" i="5" a="1"/>
  <c r="P1433" i="5" a="1"/>
  <c r="P1324" i="5" a="1"/>
  <c r="P1306" i="5" a="1"/>
  <c r="P1287" i="5" a="1"/>
  <c r="P1271" i="5" a="1"/>
  <c r="P1993" i="5" a="1"/>
  <c r="P1973" i="5" a="1"/>
  <c r="P1953" i="5" a="1"/>
  <c r="P1933" i="5" a="1"/>
  <c r="P1913" i="5" a="1"/>
  <c r="P1893" i="5" a="1"/>
  <c r="P1873" i="5" a="1"/>
  <c r="P1853" i="5" a="1"/>
  <c r="P1833" i="5" a="1"/>
  <c r="P1813" i="5" a="1"/>
  <c r="P1793" i="5" a="1"/>
  <c r="P1773" i="5" a="1"/>
  <c r="P1753" i="5" a="1"/>
  <c r="P1733" i="5" a="1"/>
  <c r="P1713" i="5" a="1"/>
  <c r="P1693" i="5" a="1"/>
  <c r="P1673" i="5" a="1"/>
  <c r="P1653" i="5" a="1"/>
  <c r="P1633" i="5" a="1"/>
  <c r="P1614" i="5" a="1"/>
  <c r="P1596" i="5" a="1"/>
  <c r="P1577" i="5" a="1"/>
  <c r="P1561" i="5" a="1"/>
  <c r="P1542" i="5" a="1"/>
  <c r="P1523" i="5" a="1"/>
  <c r="P1414" i="5" a="1"/>
  <c r="P1396" i="5" a="1"/>
  <c r="P1377" i="5" a="1"/>
  <c r="P1992" i="5" a="1"/>
  <c r="P1972" i="5" a="1"/>
  <c r="P1952" i="5" a="1"/>
  <c r="P1932" i="5" a="1"/>
  <c r="P1912" i="5" a="1"/>
  <c r="P1892" i="5" a="1"/>
  <c r="P1872" i="5" a="1"/>
  <c r="P1852" i="5" a="1"/>
  <c r="P1832" i="5" a="1"/>
  <c r="P1812" i="5" a="1"/>
  <c r="P1792" i="5" a="1"/>
  <c r="P1772" i="5" a="1"/>
  <c r="P1752" i="5" a="1"/>
  <c r="P1732" i="5" a="1"/>
  <c r="P1712" i="5" a="1"/>
  <c r="P1692" i="5" a="1"/>
  <c r="P1672" i="5" a="1"/>
  <c r="P1652" i="5" a="1"/>
  <c r="P1632" i="5" a="1"/>
  <c r="P1594" i="5" a="1"/>
  <c r="P1576" i="5" a="1"/>
  <c r="P1557" i="5" a="1"/>
  <c r="P1541" i="5" a="1"/>
  <c r="P1522" i="5" a="1"/>
  <c r="P1503" i="5" a="1"/>
  <c r="P1394" i="5" a="1"/>
  <c r="P1376" i="5" a="1"/>
  <c r="P1357" i="5" a="1"/>
  <c r="P1341" i="5" a="1"/>
  <c r="P1322" i="5" a="1"/>
  <c r="P1303" i="5" a="1"/>
  <c r="P1217" i="5" a="1"/>
  <c r="P1203" i="5" a="1"/>
  <c r="P1189" i="5" a="1"/>
  <c r="P1175" i="5" a="1"/>
  <c r="P1161" i="5" a="1"/>
  <c r="P1149" i="5" a="1"/>
  <c r="P1139" i="5" a="1"/>
  <c r="P1129" i="5" a="1"/>
  <c r="P1119" i="5" a="1"/>
  <c r="P1109" i="5" a="1"/>
  <c r="P1099" i="5" a="1"/>
  <c r="P1089" i="5" a="1"/>
  <c r="P1079" i="5" a="1"/>
  <c r="P1069" i="5" a="1"/>
  <c r="P1059" i="5" a="1"/>
  <c r="P1049" i="5" a="1"/>
  <c r="P1039" i="5" a="1"/>
  <c r="P1029" i="5" a="1"/>
  <c r="P1019" i="5" a="1"/>
  <c r="P1009" i="5" a="1"/>
  <c r="P999" i="5" a="1"/>
  <c r="P989" i="5" a="1"/>
  <c r="P979" i="5" a="1"/>
  <c r="P969" i="5" a="1"/>
  <c r="P959" i="5" a="1"/>
  <c r="P949" i="5" a="1"/>
  <c r="P939" i="5" a="1"/>
  <c r="P929" i="5" a="1"/>
  <c r="P919" i="5" a="1"/>
  <c r="P909" i="5" a="1"/>
  <c r="P899" i="5" a="1"/>
  <c r="P889" i="5" a="1"/>
  <c r="P879" i="5" a="1"/>
  <c r="P869" i="5" a="1"/>
  <c r="P859" i="5" a="1"/>
  <c r="P849" i="5" a="1"/>
  <c r="P839" i="5" a="1"/>
  <c r="P829" i="5" a="1"/>
  <c r="P819" i="5" a="1"/>
  <c r="P809" i="5" a="1"/>
  <c r="P799" i="5" a="1"/>
  <c r="P789" i="5" a="1"/>
  <c r="P779" i="5" a="1"/>
  <c r="P769" i="5" a="1"/>
  <c r="P759" i="5" a="1"/>
  <c r="P749" i="5" a="1"/>
  <c r="P739" i="5" a="1"/>
  <c r="P729" i="5" a="1"/>
  <c r="P719" i="5" a="1"/>
  <c r="P709" i="5" a="1"/>
  <c r="P699" i="5" a="1"/>
  <c r="P689" i="5" a="1"/>
  <c r="P679" i="5" a="1"/>
  <c r="P669" i="5" a="1"/>
  <c r="P659" i="5" a="1"/>
  <c r="P649" i="5" a="1"/>
  <c r="P639" i="5" a="1"/>
  <c r="P629" i="5" a="1"/>
  <c r="P619" i="5" a="1"/>
  <c r="P609" i="5" a="1"/>
  <c r="P599" i="5" a="1"/>
  <c r="P589" i="5" a="1"/>
  <c r="P579" i="5" a="1"/>
  <c r="P569" i="5" a="1"/>
  <c r="P559" i="5" a="1"/>
  <c r="P549" i="5" a="1"/>
  <c r="P539" i="5" a="1"/>
  <c r="P529" i="5" a="1"/>
  <c r="P519" i="5" a="1"/>
  <c r="P509" i="5" a="1"/>
  <c r="P499" i="5" a="1"/>
  <c r="P489" i="5" a="1"/>
  <c r="P479" i="5" a="1"/>
  <c r="P1991" i="5" a="1"/>
  <c r="P1951" i="5" a="1"/>
  <c r="P1911" i="5" a="1"/>
  <c r="P1871" i="5" a="1"/>
  <c r="P1836" i="5" a="1"/>
  <c r="P1731" i="5" a="1"/>
  <c r="P1702" i="5" a="1"/>
  <c r="P1631" i="5" a="1"/>
  <c r="P1603" i="5" a="1"/>
  <c r="P1537" i="5" a="1"/>
  <c r="P1481" i="5" a="1"/>
  <c r="P1422" i="5" a="1"/>
  <c r="P1302" i="5" a="1"/>
  <c r="P1247" i="5" a="1"/>
  <c r="P1206" i="5" a="1"/>
  <c r="P1187" i="5" a="1"/>
  <c r="P1171" i="5" a="1"/>
  <c r="P1154" i="5" a="1"/>
  <c r="P1128" i="5" a="1"/>
  <c r="P1116" i="5" a="1"/>
  <c r="P1104" i="5" a="1"/>
  <c r="P1078" i="5" a="1"/>
  <c r="P1066" i="5" a="1"/>
  <c r="P1054" i="5" a="1"/>
  <c r="P1028" i="5" a="1"/>
  <c r="P1016" i="5" a="1"/>
  <c r="P1004" i="5" a="1"/>
  <c r="P978" i="5" a="1"/>
  <c r="P966" i="5" a="1"/>
  <c r="P954" i="5" a="1"/>
  <c r="P928" i="5" a="1"/>
  <c r="P916" i="5" a="1"/>
  <c r="P904" i="5" a="1"/>
  <c r="P878" i="5" a="1"/>
  <c r="P866" i="5" a="1"/>
  <c r="P854" i="5" a="1"/>
  <c r="P828" i="5" a="1"/>
  <c r="P816" i="5" a="1"/>
  <c r="P804" i="5" a="1"/>
  <c r="P778" i="5" a="1"/>
  <c r="P766" i="5" a="1"/>
  <c r="P707" i="5" a="1"/>
  <c r="P684" i="5" a="1"/>
  <c r="P660" i="5" a="1"/>
  <c r="P648" i="5" a="1"/>
  <c r="P625" i="5" a="1"/>
  <c r="P601" i="5" a="1"/>
  <c r="P566" i="5" a="1"/>
  <c r="P507" i="5" a="1"/>
  <c r="P484" i="5" a="1"/>
  <c r="P473" i="5" a="1"/>
  <c r="P463" i="5" a="1"/>
  <c r="P453" i="5" a="1"/>
  <c r="P443" i="5" a="1"/>
  <c r="P433" i="5" a="1"/>
  <c r="P423" i="5" a="1"/>
  <c r="P413" i="5" a="1"/>
  <c r="P403" i="5" a="1"/>
  <c r="P393" i="5" a="1"/>
  <c r="P383" i="5" a="1"/>
  <c r="P373" i="5" a="1"/>
  <c r="P363" i="5" a="1"/>
  <c r="P353" i="5" a="1"/>
  <c r="P343" i="5" a="1"/>
  <c r="P333" i="5" a="1"/>
  <c r="P323" i="5" a="1"/>
  <c r="P313" i="5" a="1"/>
  <c r="P303" i="5" a="1"/>
  <c r="P293" i="5" a="1"/>
  <c r="P283" i="5" a="1"/>
  <c r="P273" i="5" a="1"/>
  <c r="P263" i="5" a="1"/>
  <c r="P253" i="5" a="1"/>
  <c r="P243" i="5" a="1"/>
  <c r="P233" i="5" a="1"/>
  <c r="P223" i="5" a="1"/>
  <c r="P1831" i="5" a="1"/>
  <c r="P1796" i="5" a="1"/>
  <c r="P1763" i="5" a="1"/>
  <c r="P1663" i="5" a="1"/>
  <c r="P1536" i="5" a="1"/>
  <c r="P1504" i="5" a="1"/>
  <c r="P1477" i="5" a="1"/>
  <c r="P1413" i="5" a="1"/>
  <c r="P1301" i="5" a="1"/>
  <c r="P1272" i="5" a="1"/>
  <c r="P1246" i="5" a="1"/>
  <c r="P1205" i="5" a="1"/>
  <c r="P1186" i="5" a="1"/>
  <c r="P1169" i="5" a="1"/>
  <c r="P1127" i="5" a="1"/>
  <c r="P1115" i="5" a="1"/>
  <c r="P1077" i="5" a="1"/>
  <c r="P1065" i="5" a="1"/>
  <c r="P1027" i="5" a="1"/>
  <c r="P1015" i="5" a="1"/>
  <c r="P977" i="5" a="1"/>
  <c r="P965" i="5" a="1"/>
  <c r="P927" i="5" a="1"/>
  <c r="P915" i="5" a="1"/>
  <c r="P877" i="5" a="1"/>
  <c r="P865" i="5" a="1"/>
  <c r="P827" i="5" a="1"/>
  <c r="P815" i="5" a="1"/>
  <c r="P777" i="5" a="1"/>
  <c r="P765" i="5" a="1"/>
  <c r="P741" i="5" a="1"/>
  <c r="P706" i="5" a="1"/>
  <c r="P647" i="5" a="1"/>
  <c r="P624" i="5" a="1"/>
  <c r="P600" i="5" a="1"/>
  <c r="P588" i="5" a="1"/>
  <c r="P565" i="5" a="1"/>
  <c r="P541" i="5" a="1"/>
  <c r="P506" i="5" a="1"/>
  <c r="P472" i="5" a="1"/>
  <c r="P462" i="5" a="1"/>
  <c r="P452" i="5" a="1"/>
  <c r="P442" i="5" a="1"/>
  <c r="P432" i="5" a="1"/>
  <c r="P422" i="5" a="1"/>
  <c r="P412" i="5" a="1"/>
  <c r="P402" i="5" a="1"/>
  <c r="P392" i="5" a="1"/>
  <c r="P382" i="5" a="1"/>
  <c r="P372" i="5" a="1"/>
  <c r="P362" i="5" a="1"/>
  <c r="P352" i="5" a="1"/>
  <c r="P342" i="5" a="1"/>
  <c r="P332" i="5" a="1"/>
  <c r="P322" i="5" a="1"/>
  <c r="P312" i="5" a="1"/>
  <c r="P302" i="5" a="1"/>
  <c r="P292" i="5" a="1"/>
  <c r="P282" i="5" a="1"/>
  <c r="P272" i="5" a="1"/>
  <c r="P262" i="5" a="1"/>
  <c r="P252" i="5" a="1"/>
  <c r="P242" i="5" a="1"/>
  <c r="P232" i="5" a="1"/>
  <c r="P222" i="5" a="1"/>
  <c r="P212" i="5" a="1"/>
  <c r="P1971" i="5" a="1"/>
  <c r="P1931" i="5" a="1"/>
  <c r="P1891" i="5" a="1"/>
  <c r="P1822" i="5" a="1"/>
  <c r="P1783" i="5" a="1"/>
  <c r="P1683" i="5" a="1"/>
  <c r="P1613" i="5" a="1"/>
  <c r="P1554" i="5" a="1"/>
  <c r="P1496" i="5" a="1"/>
  <c r="P1463" i="5" a="1"/>
  <c r="P1432" i="5" a="1"/>
  <c r="P1344" i="5" a="1"/>
  <c r="P1262" i="5" a="1"/>
  <c r="P1236" i="5" a="1"/>
  <c r="P1216" i="5" a="1"/>
  <c r="P1198" i="5" a="1"/>
  <c r="P1178" i="5" a="1"/>
  <c r="P1147" i="5" a="1"/>
  <c r="P1135" i="5" a="1"/>
  <c r="P1097" i="5" a="1"/>
  <c r="P1085" i="5" a="1"/>
  <c r="P1047" i="5" a="1"/>
  <c r="P1035" i="5" a="1"/>
  <c r="P997" i="5" a="1"/>
  <c r="P985" i="5" a="1"/>
  <c r="P947" i="5" a="1"/>
  <c r="P935" i="5" a="1"/>
  <c r="P897" i="5" a="1"/>
  <c r="P885" i="5" a="1"/>
  <c r="P847" i="5" a="1"/>
  <c r="P835" i="5" a="1"/>
  <c r="P797" i="5" a="1"/>
  <c r="P785" i="5" a="1"/>
  <c r="P760" i="5" a="1"/>
  <c r="P748" i="5" a="1"/>
  <c r="P725" i="5" a="1"/>
  <c r="P701" i="5" a="1"/>
  <c r="P666" i="5" a="1"/>
  <c r="P607" i="5" a="1"/>
  <c r="P584" i="5" a="1"/>
  <c r="P560" i="5" a="1"/>
  <c r="P548" i="5" a="1"/>
  <c r="P1851" i="5" a="1"/>
  <c r="P1816" i="5" a="1"/>
  <c r="P1746" i="5" a="1"/>
  <c r="P1646" i="5" a="1"/>
  <c r="P1612" i="5" a="1"/>
  <c r="P1586" i="5" a="1"/>
  <c r="P1553" i="5" a="1"/>
  <c r="P1431" i="5" a="1"/>
  <c r="P1404" i="5" a="1"/>
  <c r="P1372" i="5" a="1"/>
  <c r="P1342" i="5" a="1"/>
  <c r="P1316" i="5" a="1"/>
  <c r="P1286" i="5" a="1"/>
  <c r="P1197" i="5" a="1"/>
  <c r="P1177" i="5" a="1"/>
  <c r="P1121" i="5" a="1"/>
  <c r="P1071" i="5" a="1"/>
  <c r="P1021" i="5" a="1"/>
  <c r="P971" i="5" a="1"/>
  <c r="P921" i="5" a="1"/>
  <c r="P871" i="5" a="1"/>
  <c r="P821" i="5" a="1"/>
  <c r="P771" i="5" a="1"/>
  <c r="P736" i="5" a="1"/>
  <c r="P677" i="5" a="1"/>
  <c r="P654" i="5" a="1"/>
  <c r="P630" i="5" a="1"/>
  <c r="P618" i="5" a="1"/>
  <c r="P595" i="5" a="1"/>
  <c r="P571" i="5" a="1"/>
  <c r="P536" i="5" a="1"/>
  <c r="P1846" i="5" a="1"/>
  <c r="P1743" i="5" a="1"/>
  <c r="P1643" i="5" a="1"/>
  <c r="P1517" i="5" a="1"/>
  <c r="P1486" i="5" a="1"/>
  <c r="P1461" i="5" a="1"/>
  <c r="P1337" i="5" a="1"/>
  <c r="P1313" i="5" a="1"/>
  <c r="P1257" i="5" a="1"/>
  <c r="P1232" i="5" a="1"/>
  <c r="P1213" i="5" a="1"/>
  <c r="P1157" i="5" a="1"/>
  <c r="P1145" i="5" a="1"/>
  <c r="P1107" i="5" a="1"/>
  <c r="P1095" i="5" a="1"/>
  <c r="P1057" i="5" a="1"/>
  <c r="P1045" i="5" a="1"/>
  <c r="P1007" i="5" a="1"/>
  <c r="P995" i="5" a="1"/>
  <c r="P957" i="5" a="1"/>
  <c r="P945" i="5" a="1"/>
  <c r="P907" i="5" a="1"/>
  <c r="P895" i="5" a="1"/>
  <c r="P857" i="5" a="1"/>
  <c r="P845" i="5" a="1"/>
  <c r="P807" i="5" a="1"/>
  <c r="P795" i="5" a="1"/>
  <c r="P746" i="5" a="1"/>
  <c r="P687" i="5" a="1"/>
  <c r="P664" i="5" a="1"/>
  <c r="P640" i="5" a="1"/>
  <c r="P628" i="5" a="1"/>
  <c r="P605" i="5" a="1"/>
  <c r="P581" i="5" a="1"/>
  <c r="P546" i="5" a="1"/>
  <c r="P487" i="5" a="1"/>
  <c r="P476" i="5" a="1"/>
  <c r="P466" i="5" a="1"/>
  <c r="P456" i="5" a="1"/>
  <c r="P1964" i="5" a="1"/>
  <c r="P1924" i="5" a="1"/>
  <c r="P1884" i="5" a="1"/>
  <c r="P1706" i="5" a="1"/>
  <c r="P1607" i="5" a="1"/>
  <c r="P1551" i="5" a="1"/>
  <c r="P1484" i="5" a="1"/>
  <c r="P1426" i="5" a="1"/>
  <c r="P1393" i="5" a="1"/>
  <c r="P1367" i="5" a="1"/>
  <c r="P1282" i="5" a="1"/>
  <c r="P1253" i="5" a="1"/>
  <c r="P1192" i="5" a="1"/>
  <c r="P1174" i="5" a="1"/>
  <c r="P1131" i="5" a="1"/>
  <c r="P1081" i="5" a="1"/>
  <c r="P1031" i="5" a="1"/>
  <c r="P981" i="5" a="1"/>
  <c r="P931" i="5" a="1"/>
  <c r="P881" i="5" a="1"/>
  <c r="P831" i="5" a="1"/>
  <c r="P781" i="5" a="1"/>
  <c r="P757" i="5" a="1"/>
  <c r="P734" i="5" a="1"/>
  <c r="P710" i="5" a="1"/>
  <c r="P698" i="5" a="1"/>
  <c r="P675" i="5" a="1"/>
  <c r="P651" i="5" a="1"/>
  <c r="P616" i="5" a="1"/>
  <c r="P557" i="5" a="1"/>
  <c r="P534" i="5" a="1"/>
  <c r="P1963" i="5" a="1"/>
  <c r="P1923" i="5" a="1"/>
  <c r="P1883" i="5" a="1"/>
  <c r="P1844" i="5" a="1"/>
  <c r="P1806" i="5" a="1"/>
  <c r="P1771" i="5" a="1"/>
  <c r="P1742" i="5" a="1"/>
  <c r="P1671" i="5" a="1"/>
  <c r="P1642" i="5" a="1"/>
  <c r="P1574" i="5" a="1"/>
  <c r="P1516" i="5" a="1"/>
  <c r="P1483" i="5" a="1"/>
  <c r="P1457" i="5" a="1"/>
  <c r="P1336" i="5" a="1"/>
  <c r="P1307" i="5" a="1"/>
  <c r="P1252" i="5" a="1"/>
  <c r="P1231" i="5" a="1"/>
  <c r="P1212" i="5" a="1"/>
  <c r="P1173" i="5" a="1"/>
  <c r="P1156" i="5" a="1"/>
  <c r="P1144" i="5" a="1"/>
  <c r="P1118" i="5" a="1"/>
  <c r="P1106" i="5" a="1"/>
  <c r="P1094" i="5" a="1"/>
  <c r="P1068" i="5" a="1"/>
  <c r="P1056" i="5" a="1"/>
  <c r="P1044" i="5" a="1"/>
  <c r="P1018" i="5" a="1"/>
  <c r="P1006" i="5" a="1"/>
  <c r="P994" i="5" a="1"/>
  <c r="P968" i="5" a="1"/>
  <c r="P956" i="5" a="1"/>
  <c r="P944" i="5" a="1"/>
  <c r="P918" i="5" a="1"/>
  <c r="P906" i="5" a="1"/>
  <c r="P894" i="5" a="1"/>
  <c r="P868" i="5" a="1"/>
  <c r="P856" i="5" a="1"/>
  <c r="P844" i="5" a="1"/>
  <c r="P818" i="5" a="1"/>
  <c r="P806" i="5" a="1"/>
  <c r="P794" i="5" a="1"/>
  <c r="P768" i="5" a="1"/>
  <c r="P745" i="5" a="1"/>
  <c r="P721" i="5" a="1"/>
  <c r="P686" i="5" a="1"/>
  <c r="P1942" i="5" a="1"/>
  <c r="P1711" i="5" a="1"/>
  <c r="P1662" i="5" a="1"/>
  <c r="P1611" i="5" a="1"/>
  <c r="P1467" i="5" a="1"/>
  <c r="P1423" i="5" a="1"/>
  <c r="P1333" i="5" a="1"/>
  <c r="P1294" i="5" a="1"/>
  <c r="P1159" i="5" a="1"/>
  <c r="P1138" i="5" a="1"/>
  <c r="P1120" i="5" a="1"/>
  <c r="P1100" i="5" a="1"/>
  <c r="P1080" i="5" a="1"/>
  <c r="P986" i="5" a="1"/>
  <c r="P908" i="5" a="1"/>
  <c r="P888" i="5" a="1"/>
  <c r="P870" i="5" a="1"/>
  <c r="P850" i="5" a="1"/>
  <c r="P830" i="5" a="1"/>
  <c r="P755" i="5" a="1"/>
  <c r="P718" i="5" a="1"/>
  <c r="P665" i="5" a="1"/>
  <c r="P631" i="5" a="1"/>
  <c r="P614" i="5" a="1"/>
  <c r="P597" i="5" a="1"/>
  <c r="P515" i="5" a="1"/>
  <c r="P500" i="5" a="1"/>
  <c r="P447" i="5" a="1"/>
  <c r="P424" i="5" a="1"/>
  <c r="P400" i="5" a="1"/>
  <c r="P365" i="5" a="1"/>
  <c r="P341" i="5" a="1"/>
  <c r="P318" i="5" a="1"/>
  <c r="P306" i="5" a="1"/>
  <c r="P259" i="5" a="1"/>
  <c r="P247" i="5" a="1"/>
  <c r="P224" i="5" a="1"/>
  <c r="P202" i="5" a="1"/>
  <c r="P192" i="5" a="1"/>
  <c r="P182" i="5" a="1"/>
  <c r="P172" i="5" a="1"/>
  <c r="P162" i="5" a="1"/>
  <c r="P152" i="5" a="1"/>
  <c r="P142" i="5" a="1"/>
  <c r="P132" i="5" a="1"/>
  <c r="P122" i="5" a="1"/>
  <c r="P112" i="5" a="1"/>
  <c r="P102" i="5" a="1"/>
  <c r="P1219" i="5" a="1"/>
  <c r="P1140" i="5" a="1"/>
  <c r="P1101" i="5" a="1"/>
  <c r="P1084" i="5" a="1"/>
  <c r="P987" i="5" a="1"/>
  <c r="P890" i="5" a="1"/>
  <c r="P814" i="5" a="1"/>
  <c r="P307" i="5" a="1"/>
  <c r="P225" i="5" a="1"/>
  <c r="P163" i="5" a="1"/>
  <c r="P1866" i="5" a="1"/>
  <c r="P1762" i="5" a="1"/>
  <c r="P1656" i="5" a="1"/>
  <c r="P1606" i="5" a="1"/>
  <c r="P1514" i="5" a="1"/>
  <c r="P1466" i="5" a="1"/>
  <c r="P1374" i="5" a="1"/>
  <c r="P1332" i="5" a="1"/>
  <c r="P1291" i="5" a="1"/>
  <c r="P1215" i="5" a="1"/>
  <c r="P1185" i="5" a="1"/>
  <c r="P1158" i="5" a="1"/>
  <c r="P1061" i="5" a="1"/>
  <c r="P1041" i="5" a="1"/>
  <c r="P1024" i="5" a="1"/>
  <c r="P946" i="5" a="1"/>
  <c r="P926" i="5" a="1"/>
  <c r="P811" i="5" a="1"/>
  <c r="P791" i="5" a="1"/>
  <c r="P774" i="5" a="1"/>
  <c r="P754" i="5" a="1"/>
  <c r="P737" i="5" a="1"/>
  <c r="P717" i="5" a="1"/>
  <c r="P700" i="5" a="1"/>
  <c r="P681" i="5" a="1"/>
  <c r="P646" i="5" a="1"/>
  <c r="P545" i="5" a="1"/>
  <c r="P528" i="5" a="1"/>
  <c r="P485" i="5" a="1"/>
  <c r="P471" i="5" a="1"/>
  <c r="P459" i="5" a="1"/>
  <c r="P435" i="5" a="1"/>
  <c r="P411" i="5" a="1"/>
  <c r="P388" i="5" a="1"/>
  <c r="P376" i="5" a="1"/>
  <c r="P329" i="5" a="1"/>
  <c r="P317" i="5" a="1"/>
  <c r="P294" i="5" a="1"/>
  <c r="P270" i="5" a="1"/>
  <c r="P235" i="5" a="1"/>
  <c r="P1476" i="5" a="1"/>
  <c r="P834" i="5" a="1"/>
  <c r="P531" i="5" a="1"/>
  <c r="P401" i="5" a="1"/>
  <c r="P153" i="5" a="1"/>
  <c r="P910" i="5" a="1"/>
  <c r="P1986" i="5" a="1"/>
  <c r="P1811" i="5" a="1"/>
  <c r="P1756" i="5" a="1"/>
  <c r="P1704" i="5" a="1"/>
  <c r="P1513" i="5" a="1"/>
  <c r="P1373" i="5" a="1"/>
  <c r="P1326" i="5" a="1"/>
  <c r="P1284" i="5" a="1"/>
  <c r="P1244" i="5" a="1"/>
  <c r="P1214" i="5" a="1"/>
  <c r="P1184" i="5" a="1"/>
  <c r="P1137" i="5" a="1"/>
  <c r="P1117" i="5" a="1"/>
  <c r="P1040" i="5" a="1"/>
  <c r="P1001" i="5" a="1"/>
  <c r="P984" i="5" a="1"/>
  <c r="P964" i="5" a="1"/>
  <c r="P887" i="5" a="1"/>
  <c r="P867" i="5" a="1"/>
  <c r="P790" i="5" a="1"/>
  <c r="P611" i="5" a="1"/>
  <c r="P596" i="5" a="1"/>
  <c r="P578" i="5" a="1"/>
  <c r="P514" i="5" a="1"/>
  <c r="P498" i="5" a="1"/>
  <c r="P446" i="5" a="1"/>
  <c r="P399" i="5" a="1"/>
  <c r="P387" i="5" a="1"/>
  <c r="P364" i="5" a="1"/>
  <c r="P340" i="5" a="1"/>
  <c r="P305" i="5" a="1"/>
  <c r="P281" i="5" a="1"/>
  <c r="P258" i="5" a="1"/>
  <c r="P246" i="5" a="1"/>
  <c r="P211" i="5" a="1"/>
  <c r="P201" i="5" a="1"/>
  <c r="P191" i="5" a="1"/>
  <c r="P181" i="5" a="1"/>
  <c r="P171" i="5" a="1"/>
  <c r="P161" i="5" a="1"/>
  <c r="P151" i="5" a="1"/>
  <c r="P141" i="5" a="1"/>
  <c r="P131" i="5" a="1"/>
  <c r="P121" i="5" a="1"/>
  <c r="P111" i="5" a="1"/>
  <c r="P101" i="5" a="1"/>
  <c r="P1064" i="5" a="1"/>
  <c r="P851" i="5" a="1"/>
  <c r="P720" i="5" a="1"/>
  <c r="P598" i="5" a="1"/>
  <c r="P425" i="5" a="1"/>
  <c r="P319" i="5" a="1"/>
  <c r="P143" i="5" a="1"/>
  <c r="P1823" i="5" a="1"/>
  <c r="P1926" i="5" a="1"/>
  <c r="P1864" i="5" a="1"/>
  <c r="P1703" i="5" a="1"/>
  <c r="P1604" i="5" a="1"/>
  <c r="P1556" i="5" a="1"/>
  <c r="P1507" i="5" a="1"/>
  <c r="P1464" i="5" a="1"/>
  <c r="P1412" i="5" a="1"/>
  <c r="P1323" i="5" a="1"/>
  <c r="P1283" i="5" a="1"/>
  <c r="P1243" i="5" a="1"/>
  <c r="P1183" i="5" a="1"/>
  <c r="P1155" i="5" a="1"/>
  <c r="P1098" i="5" a="1"/>
  <c r="P1060" i="5" a="1"/>
  <c r="P925" i="5" a="1"/>
  <c r="P905" i="5" a="1"/>
  <c r="P848" i="5" a="1"/>
  <c r="P810" i="5" a="1"/>
  <c r="P735" i="5" a="1"/>
  <c r="P716" i="5" a="1"/>
  <c r="P697" i="5" a="1"/>
  <c r="P680" i="5" a="1"/>
  <c r="P661" i="5" a="1"/>
  <c r="P645" i="5" a="1"/>
  <c r="P627" i="5" a="1"/>
  <c r="P577" i="5" a="1"/>
  <c r="P561" i="5" a="1"/>
  <c r="P544" i="5" a="1"/>
  <c r="P527" i="5" a="1"/>
  <c r="P470" i="5" a="1"/>
  <c r="P458" i="5" a="1"/>
  <c r="P434" i="5" a="1"/>
  <c r="P410" i="5" a="1"/>
  <c r="P375" i="5" a="1"/>
  <c r="P351" i="5" a="1"/>
  <c r="P328" i="5" a="1"/>
  <c r="P316" i="5" a="1"/>
  <c r="P269" i="5" a="1"/>
  <c r="P257" i="5" a="1"/>
  <c r="P234" i="5" a="1"/>
  <c r="P1567" i="5" a="1"/>
  <c r="P378" i="5" a="1"/>
  <c r="P193" i="5" a="1"/>
  <c r="P1472" i="5" a="1"/>
  <c r="P1025" i="5" a="1"/>
  <c r="P1984" i="5" a="1"/>
  <c r="P1863" i="5" a="1"/>
  <c r="P1804" i="5" a="1"/>
  <c r="P1651" i="5" a="1"/>
  <c r="P1462" i="5" a="1"/>
  <c r="P1371" i="5" a="1"/>
  <c r="P1281" i="5" a="1"/>
  <c r="P1211" i="5" a="1"/>
  <c r="P1136" i="5" a="1"/>
  <c r="P1058" i="5" a="1"/>
  <c r="P1038" i="5" a="1"/>
  <c r="P1020" i="5" a="1"/>
  <c r="P1000" i="5" a="1"/>
  <c r="P980" i="5" a="1"/>
  <c r="P886" i="5" a="1"/>
  <c r="P808" i="5" a="1"/>
  <c r="P788" i="5" a="1"/>
  <c r="P770" i="5" a="1"/>
  <c r="P751" i="5" a="1"/>
  <c r="P610" i="5" a="1"/>
  <c r="P594" i="5" a="1"/>
  <c r="P576" i="5" a="1"/>
  <c r="P497" i="5" a="1"/>
  <c r="P482" i="5" a="1"/>
  <c r="P457" i="5" a="1"/>
  <c r="P445" i="5" a="1"/>
  <c r="P421" i="5" a="1"/>
  <c r="P398" i="5" a="1"/>
  <c r="P386" i="5" a="1"/>
  <c r="P339" i="5" a="1"/>
  <c r="P327" i="5" a="1"/>
  <c r="P304" i="5" a="1"/>
  <c r="P280" i="5" a="1"/>
  <c r="P245" i="5" a="1"/>
  <c r="P221" i="5" a="1"/>
  <c r="P210" i="5" a="1"/>
  <c r="P200" i="5" a="1"/>
  <c r="P190" i="5" a="1"/>
  <c r="P180" i="5" a="1"/>
  <c r="P170" i="5" a="1"/>
  <c r="P160" i="5" a="1"/>
  <c r="P150" i="5" a="1"/>
  <c r="P140" i="5" a="1"/>
  <c r="P130" i="5" a="1"/>
  <c r="P120" i="5" a="1"/>
  <c r="P110" i="5" a="1"/>
  <c r="P100" i="5" a="1"/>
  <c r="P1296" i="5" a="1"/>
  <c r="P1983" i="5" a="1"/>
  <c r="P1922" i="5" a="1"/>
  <c r="P1803" i="5" a="1"/>
  <c r="P1751" i="5" a="1"/>
  <c r="P1696" i="5" a="1"/>
  <c r="P1593" i="5" a="1"/>
  <c r="P1502" i="5" a="1"/>
  <c r="P1411" i="5" a="1"/>
  <c r="P1242" i="5" a="1"/>
  <c r="P1182" i="5" a="1"/>
  <c r="P1096" i="5" a="1"/>
  <c r="P1076" i="5" a="1"/>
  <c r="P961" i="5" a="1"/>
  <c r="P941" i="5" a="1"/>
  <c r="P924" i="5" a="1"/>
  <c r="P846" i="5" a="1"/>
  <c r="P826" i="5" a="1"/>
  <c r="P715" i="5" a="1"/>
  <c r="P696" i="5" a="1"/>
  <c r="P644" i="5" a="1"/>
  <c r="P626" i="5" a="1"/>
  <c r="P526" i="5" a="1"/>
  <c r="P511" i="5" a="1"/>
  <c r="P469" i="5" a="1"/>
  <c r="P409" i="5" a="1"/>
  <c r="P397" i="5" a="1"/>
  <c r="P374" i="5" a="1"/>
  <c r="P350" i="5" a="1"/>
  <c r="P315" i="5" a="1"/>
  <c r="P291" i="5" a="1"/>
  <c r="P268" i="5" a="1"/>
  <c r="P256" i="5" a="1"/>
  <c r="P1862" i="5" a="1"/>
  <c r="P1802" i="5" a="1"/>
  <c r="P1552" i="5" a="1"/>
  <c r="P1453" i="5" a="1"/>
  <c r="P1361" i="5" a="1"/>
  <c r="P1321" i="5" a="1"/>
  <c r="P1277" i="5" a="1"/>
  <c r="P1151" i="5" a="1"/>
  <c r="P1134" i="5" a="1"/>
  <c r="P1114" i="5" a="1"/>
  <c r="P1037" i="5" a="1"/>
  <c r="P1017" i="5" a="1"/>
  <c r="P940" i="5" a="1"/>
  <c r="P901" i="5" a="1"/>
  <c r="P884" i="5" a="1"/>
  <c r="P864" i="5" a="1"/>
  <c r="P787" i="5" a="1"/>
  <c r="P767" i="5" a="1"/>
  <c r="P750" i="5" a="1"/>
  <c r="P731" i="5" a="1"/>
  <c r="P695" i="5" a="1"/>
  <c r="P678" i="5" a="1"/>
  <c r="P658" i="5" a="1"/>
  <c r="P591" i="5" a="1"/>
  <c r="P575" i="5" a="1"/>
  <c r="P558" i="5" a="1"/>
  <c r="P510" i="5" a="1"/>
  <c r="P496" i="5" a="1"/>
  <c r="P481" i="5" a="1"/>
  <c r="P444" i="5" a="1"/>
  <c r="P420" i="5" a="1"/>
  <c r="P385" i="5" a="1"/>
  <c r="P361" i="5" a="1"/>
  <c r="P338" i="5" a="1"/>
  <c r="P326" i="5" a="1"/>
  <c r="P279" i="5" a="1"/>
  <c r="P267" i="5" a="1"/>
  <c r="P244" i="5" a="1"/>
  <c r="P220" i="5" a="1"/>
  <c r="P209" i="5" a="1"/>
  <c r="P199" i="5" a="1"/>
  <c r="P189" i="5" a="1"/>
  <c r="P179" i="5" a="1"/>
  <c r="P169" i="5" a="1"/>
  <c r="P159" i="5" a="1"/>
  <c r="P149" i="5" a="1"/>
  <c r="P139" i="5" a="1"/>
  <c r="P129" i="5" a="1"/>
  <c r="P119" i="5" a="1"/>
  <c r="P109" i="5" a="1"/>
  <c r="P99" i="5" a="1"/>
  <c r="P1427" i="5" a="1"/>
  <c r="P1982" i="5" a="1"/>
  <c r="P1856" i="5" a="1"/>
  <c r="P1691" i="5" a="1"/>
  <c r="P1644" i="5" a="1"/>
  <c r="P1592" i="5" a="1"/>
  <c r="P1544" i="5" a="1"/>
  <c r="P1501" i="5" a="1"/>
  <c r="P1451" i="5" a="1"/>
  <c r="P1407" i="5" a="1"/>
  <c r="P1276" i="5" a="1"/>
  <c r="P1204" i="5" a="1"/>
  <c r="P1075" i="5" a="1"/>
  <c r="P1055" i="5" a="1"/>
  <c r="P998" i="5" a="1"/>
  <c r="P960" i="5" a="1"/>
  <c r="P825" i="5" a="1"/>
  <c r="P805" i="5" a="1"/>
  <c r="P730" i="5" a="1"/>
  <c r="P714" i="5" a="1"/>
  <c r="P694" i="5" a="1"/>
  <c r="P641" i="5" a="1"/>
  <c r="P608" i="5" a="1"/>
  <c r="P540" i="5" a="1"/>
  <c r="P525" i="5" a="1"/>
  <c r="P495" i="5" a="1"/>
  <c r="P468" i="5" a="1"/>
  <c r="P455" i="5" a="1"/>
  <c r="P431" i="5" a="1"/>
  <c r="P408" i="5" a="1"/>
  <c r="P396" i="5" a="1"/>
  <c r="P349" i="5" a="1"/>
  <c r="P337" i="5" a="1"/>
  <c r="P314" i="5" a="1"/>
  <c r="P290" i="5" a="1"/>
  <c r="P255" i="5" a="1"/>
  <c r="P231" i="5" a="1"/>
  <c r="P1521" i="5" a="1"/>
  <c r="P1906" i="5" a="1"/>
  <c r="P1791" i="5" a="1"/>
  <c r="P1744" i="5" a="1"/>
  <c r="P1636" i="5" a="1"/>
  <c r="P1447" i="5" a="1"/>
  <c r="P1356" i="5" a="1"/>
  <c r="P1317" i="5" a="1"/>
  <c r="P1234" i="5" a="1"/>
  <c r="P1176" i="5" a="1"/>
  <c r="P1150" i="5" a="1"/>
  <c r="P1130" i="5" a="1"/>
  <c r="P1036" i="5" a="1"/>
  <c r="P958" i="5" a="1"/>
  <c r="P938" i="5" a="1"/>
  <c r="P920" i="5" a="1"/>
  <c r="P900" i="5" a="1"/>
  <c r="P880" i="5" a="1"/>
  <c r="P786" i="5" a="1"/>
  <c r="P676" i="5" a="1"/>
  <c r="P657" i="5" a="1"/>
  <c r="P590" i="5" a="1"/>
  <c r="P574" i="5" a="1"/>
  <c r="P556" i="5" a="1"/>
  <c r="P524" i="5" a="1"/>
  <c r="P494" i="5" a="1"/>
  <c r="P480" i="5" a="1"/>
  <c r="P467" i="5" a="1"/>
  <c r="P419" i="5" a="1"/>
  <c r="P407" i="5" a="1"/>
  <c r="P384" i="5" a="1"/>
  <c r="P360" i="5" a="1"/>
  <c r="P325" i="5" a="1"/>
  <c r="P301" i="5" a="1"/>
  <c r="P278" i="5" a="1"/>
  <c r="P266" i="5" a="1"/>
  <c r="P219" i="5" a="1"/>
  <c r="P208" i="5" a="1"/>
  <c r="P198" i="5" a="1"/>
  <c r="P188" i="5" a="1"/>
  <c r="P178" i="5" a="1"/>
  <c r="P168" i="5" a="1"/>
  <c r="P158" i="5" a="1"/>
  <c r="P148" i="5" a="1"/>
  <c r="P138" i="5" a="1"/>
  <c r="P128" i="5" a="1"/>
  <c r="P118" i="5" a="1"/>
  <c r="P108" i="5" a="1"/>
  <c r="P98" i="5" a="1"/>
  <c r="P1736" i="5" a="1"/>
  <c r="P1591" i="5" a="1"/>
  <c r="P1497" i="5" a="1"/>
  <c r="P1446" i="5" a="1"/>
  <c r="P1406" i="5" a="1"/>
  <c r="P1354" i="5" a="1"/>
  <c r="P1267" i="5" a="1"/>
  <c r="P1233" i="5" a="1"/>
  <c r="P1202" i="5" a="1"/>
  <c r="P1111" i="5" a="1"/>
  <c r="P1091" i="5" a="1"/>
  <c r="P1074" i="5" a="1"/>
  <c r="P996" i="5" a="1"/>
  <c r="P976" i="5" a="1"/>
  <c r="P861" i="5" a="1"/>
  <c r="P841" i="5" a="1"/>
  <c r="P824" i="5" a="1"/>
  <c r="P747" i="5" a="1"/>
  <c r="P728" i="5" a="1"/>
  <c r="P711" i="5" a="1"/>
  <c r="P674" i="5" a="1"/>
  <c r="P606" i="5" a="1"/>
  <c r="P508" i="5" a="1"/>
  <c r="P454" i="5" a="1"/>
  <c r="P430" i="5" a="1"/>
  <c r="P395" i="5" a="1"/>
  <c r="P371" i="5" a="1"/>
  <c r="P348" i="5" a="1"/>
  <c r="P336" i="5" a="1"/>
  <c r="P289" i="5" a="1"/>
  <c r="P277" i="5" a="1"/>
  <c r="P254" i="5" a="1"/>
  <c r="P230" i="5" a="1"/>
  <c r="P1188" i="5" a="1"/>
  <c r="P1966" i="5" a="1"/>
  <c r="P1904" i="5" a="1"/>
  <c r="P1843" i="5" a="1"/>
  <c r="P1686" i="5" a="1"/>
  <c r="P1444" i="5" a="1"/>
  <c r="P1403" i="5" a="1"/>
  <c r="P1353" i="5" a="1"/>
  <c r="P1314" i="5" a="1"/>
  <c r="P1266" i="5" a="1"/>
  <c r="P1172" i="5" a="1"/>
  <c r="P1090" i="5" a="1"/>
  <c r="P1051" i="5" a="1"/>
  <c r="P1034" i="5" a="1"/>
  <c r="P1014" i="5" a="1"/>
  <c r="P937" i="5" a="1"/>
  <c r="P917" i="5" a="1"/>
  <c r="P840" i="5" a="1"/>
  <c r="P801" i="5" a="1"/>
  <c r="P784" i="5" a="1"/>
  <c r="P764" i="5" a="1"/>
  <c r="P656" i="5" a="1"/>
  <c r="P638" i="5" a="1"/>
  <c r="P555" i="5" a="1"/>
  <c r="P538" i="5" a="1"/>
  <c r="P441" i="5" a="1"/>
  <c r="P418" i="5" a="1"/>
  <c r="P406" i="5" a="1"/>
  <c r="P359" i="5" a="1"/>
  <c r="P347" i="5" a="1"/>
  <c r="P324" i="5" a="1"/>
  <c r="P300" i="5" a="1"/>
  <c r="P265" i="5" a="1"/>
  <c r="P241" i="5" a="1"/>
  <c r="P218" i="5" a="1"/>
  <c r="P207" i="5" a="1"/>
  <c r="P197" i="5" a="1"/>
  <c r="P187" i="5" a="1"/>
  <c r="P177" i="5" a="1"/>
  <c r="P167" i="5" a="1"/>
  <c r="P157" i="5" a="1"/>
  <c r="P147" i="5" a="1"/>
  <c r="P137" i="5" a="1"/>
  <c r="P127" i="5" a="1"/>
  <c r="P117" i="5" a="1"/>
  <c r="P107" i="5" a="1"/>
  <c r="P97" i="5" a="1"/>
  <c r="P1251" i="5" a="1"/>
  <c r="P1903" i="5" a="1"/>
  <c r="P1786" i="5" a="1"/>
  <c r="P1587" i="5" a="1"/>
  <c r="P1494" i="5" a="1"/>
  <c r="P1443" i="5" a="1"/>
  <c r="P1229" i="5" a="1"/>
  <c r="P1201" i="5" a="1"/>
  <c r="P1148" i="5" a="1"/>
  <c r="P1110" i="5" a="1"/>
  <c r="P975" i="5" a="1"/>
  <c r="P955" i="5" a="1"/>
  <c r="P898" i="5" a="1"/>
  <c r="P860" i="5" a="1"/>
  <c r="P727" i="5" a="1"/>
  <c r="P708" i="5" a="1"/>
  <c r="P691" i="5" a="1"/>
  <c r="P621" i="5" a="1"/>
  <c r="P604" i="5" a="1"/>
  <c r="P587" i="5" a="1"/>
  <c r="P554" i="5" a="1"/>
  <c r="P521" i="5" a="1"/>
  <c r="P478" i="5" a="1"/>
  <c r="P465" i="5" a="1"/>
  <c r="P429" i="5" a="1"/>
  <c r="P417" i="5" a="1"/>
  <c r="P394" i="5" a="1"/>
  <c r="P370" i="5" a="1"/>
  <c r="P335" i="5" a="1"/>
  <c r="P311" i="5" a="1"/>
  <c r="P288" i="5" a="1"/>
  <c r="P276" i="5" a="1"/>
  <c r="P229" i="5" a="1"/>
  <c r="P217" i="5" a="1"/>
  <c r="P1664" i="5" a="1"/>
  <c r="P113" i="5" a="1"/>
  <c r="P1962" i="5" a="1"/>
  <c r="P1842" i="5" a="1"/>
  <c r="P1684" i="5" a="1"/>
  <c r="P1626" i="5" a="1"/>
  <c r="P1534" i="5" a="1"/>
  <c r="P1491" i="5" a="1"/>
  <c r="P1392" i="5" a="1"/>
  <c r="P1352" i="5" a="1"/>
  <c r="P1304" i="5" a="1"/>
  <c r="P1264" i="5" a="1"/>
  <c r="P1227" i="5" a="1"/>
  <c r="P1108" i="5" a="1"/>
  <c r="P1088" i="5" a="1"/>
  <c r="P1070" i="5" a="1"/>
  <c r="P1050" i="5" a="1"/>
  <c r="P1030" i="5" a="1"/>
  <c r="P936" i="5" a="1"/>
  <c r="P858" i="5" a="1"/>
  <c r="P838" i="5" a="1"/>
  <c r="P820" i="5" a="1"/>
  <c r="P800" i="5" a="1"/>
  <c r="P780" i="5" a="1"/>
  <c r="P744" i="5" a="1"/>
  <c r="P671" i="5" a="1"/>
  <c r="P655" i="5" a="1"/>
  <c r="P637" i="5" a="1"/>
  <c r="P570" i="5" a="1"/>
  <c r="P537" i="5" a="1"/>
  <c r="P491" i="5" a="1"/>
  <c r="P477" i="5" a="1"/>
  <c r="P440" i="5" a="1"/>
  <c r="P405" i="5" a="1"/>
  <c r="P381" i="5" a="1"/>
  <c r="P358" i="5" a="1"/>
  <c r="P346" i="5" a="1"/>
  <c r="P299" i="5" a="1"/>
  <c r="P287" i="5" a="1"/>
  <c r="P264" i="5" a="1"/>
  <c r="P240" i="5" a="1"/>
  <c r="P206" i="5" a="1"/>
  <c r="P196" i="5" a="1"/>
  <c r="P186" i="5" a="1"/>
  <c r="P176" i="5" a="1"/>
  <c r="P166" i="5" a="1"/>
  <c r="P156" i="5" a="1"/>
  <c r="P146" i="5" a="1"/>
  <c r="P136" i="5" a="1"/>
  <c r="P126" i="5" a="1"/>
  <c r="P116" i="5" a="1"/>
  <c r="P106" i="5" a="1"/>
  <c r="P96" i="5" a="1"/>
  <c r="P1824" i="5" a="1"/>
  <c r="P103" i="5" a="1"/>
  <c r="P738" i="5" a="1"/>
  <c r="P1902" i="5" a="1"/>
  <c r="P1784" i="5" a="1"/>
  <c r="P1726" i="5" a="1"/>
  <c r="P1682" i="5" a="1"/>
  <c r="P1533" i="5" a="1"/>
  <c r="P1442" i="5" a="1"/>
  <c r="P1263" i="5" a="1"/>
  <c r="P1226" i="5" a="1"/>
  <c r="P1199" i="5" a="1"/>
  <c r="P1168" i="5" a="1"/>
  <c r="P1146" i="5" a="1"/>
  <c r="P1126" i="5" a="1"/>
  <c r="P1011" i="5" a="1"/>
  <c r="P991" i="5" a="1"/>
  <c r="P974" i="5" a="1"/>
  <c r="P896" i="5" a="1"/>
  <c r="P876" i="5" a="1"/>
  <c r="P726" i="5" a="1"/>
  <c r="P690" i="5" a="1"/>
  <c r="P670" i="5" a="1"/>
  <c r="P636" i="5" a="1"/>
  <c r="P620" i="5" a="1"/>
  <c r="P586" i="5" a="1"/>
  <c r="P568" i="5" a="1"/>
  <c r="P520" i="5" a="1"/>
  <c r="P505" i="5" a="1"/>
  <c r="P464" i="5" a="1"/>
  <c r="P451" i="5" a="1"/>
  <c r="P428" i="5" a="1"/>
  <c r="P416" i="5" a="1"/>
  <c r="P369" i="5" a="1"/>
  <c r="P357" i="5" a="1"/>
  <c r="P334" i="5" a="1"/>
  <c r="P310" i="5" a="1"/>
  <c r="P275" i="5" a="1"/>
  <c r="P251" i="5" a="1"/>
  <c r="P228" i="5" a="1"/>
  <c r="P216" i="5" a="1"/>
  <c r="P1722" i="5" a="1"/>
  <c r="P260" i="5" a="1"/>
  <c r="P183" i="5" a="1"/>
  <c r="P1764" i="5" a="1"/>
  <c r="P1005" i="5" a="1"/>
  <c r="P1782" i="5" a="1"/>
  <c r="P1676" i="5" a="1"/>
  <c r="P1624" i="5" a="1"/>
  <c r="P1573" i="5" a="1"/>
  <c r="P1482" i="5" a="1"/>
  <c r="P1391" i="5" a="1"/>
  <c r="P1351" i="5" a="1"/>
  <c r="P1225" i="5" a="1"/>
  <c r="P1167" i="5" a="1"/>
  <c r="P1087" i="5" a="1"/>
  <c r="P1067" i="5" a="1"/>
  <c r="P990" i="5" a="1"/>
  <c r="P951" i="5" a="1"/>
  <c r="P934" i="5" a="1"/>
  <c r="P914" i="5" a="1"/>
  <c r="P837" i="5" a="1"/>
  <c r="P817" i="5" a="1"/>
  <c r="P761" i="5" a="1"/>
  <c r="P688" i="5" a="1"/>
  <c r="P635" i="5" a="1"/>
  <c r="P551" i="5" a="1"/>
  <c r="P535" i="5" a="1"/>
  <c r="P490" i="5" a="1"/>
  <c r="P439" i="5" a="1"/>
  <c r="P427" i="5" a="1"/>
  <c r="P404" i="5" a="1"/>
  <c r="P380" i="5" a="1"/>
  <c r="P345" i="5" a="1"/>
  <c r="P321" i="5" a="1"/>
  <c r="P298" i="5" a="1"/>
  <c r="P286" i="5" a="1"/>
  <c r="P239" i="5" a="1"/>
  <c r="P227" i="5" a="1"/>
  <c r="P205" i="5" a="1"/>
  <c r="P195" i="5" a="1"/>
  <c r="P185" i="5" a="1"/>
  <c r="P175" i="5" a="1"/>
  <c r="P165" i="5" a="1"/>
  <c r="P155" i="5" a="1"/>
  <c r="P145" i="5" a="1"/>
  <c r="P135" i="5" a="1"/>
  <c r="P125" i="5" a="1"/>
  <c r="P115" i="5" a="1"/>
  <c r="P105" i="5" a="1"/>
  <c r="P967" i="5" a="1"/>
  <c r="P756" i="5" a="1"/>
  <c r="P615" i="5" a="1"/>
  <c r="P516" i="5" a="1"/>
  <c r="P366" i="5" a="1"/>
  <c r="P203" i="5" a="1"/>
  <c r="P133" i="5" a="1"/>
  <c r="P1946" i="5" a="1"/>
  <c r="P1776" i="5" a="1"/>
  <c r="P1724" i="5" a="1"/>
  <c r="P1623" i="5" a="1"/>
  <c r="P1532" i="5" a="1"/>
  <c r="P1441" i="5" a="1"/>
  <c r="P1387" i="5" a="1"/>
  <c r="P1261" i="5" a="1"/>
  <c r="P1196" i="5" a="1"/>
  <c r="P1125" i="5" a="1"/>
  <c r="P1105" i="5" a="1"/>
  <c r="P1048" i="5" a="1"/>
  <c r="P1010" i="5" a="1"/>
  <c r="P875" i="5" a="1"/>
  <c r="P855" i="5" a="1"/>
  <c r="P798" i="5" a="1"/>
  <c r="P724" i="5" a="1"/>
  <c r="P705" i="5" a="1"/>
  <c r="P585" i="5" a="1"/>
  <c r="P567" i="5" a="1"/>
  <c r="P518" i="5" a="1"/>
  <c r="P504" i="5" a="1"/>
  <c r="P475" i="5" a="1"/>
  <c r="P450" i="5" a="1"/>
  <c r="P415" i="5" a="1"/>
  <c r="P391" i="5" a="1"/>
  <c r="P368" i="5" a="1"/>
  <c r="P356" i="5" a="1"/>
  <c r="P309" i="5" a="1"/>
  <c r="P297" i="5" a="1"/>
  <c r="P274" i="5" a="1"/>
  <c r="P250" i="5" a="1"/>
  <c r="P215" i="5" a="1"/>
  <c r="P1766" i="5" a="1"/>
  <c r="P284" i="5" a="1"/>
  <c r="P173" i="5" a="1"/>
  <c r="P1886" i="5" a="1"/>
  <c r="P1826" i="5" a="1"/>
  <c r="P1723" i="5" a="1"/>
  <c r="P1572" i="5" a="1"/>
  <c r="P1386" i="5" a="1"/>
  <c r="P1297" i="5" a="1"/>
  <c r="P1221" i="5" a="1"/>
  <c r="P1191" i="5" a="1"/>
  <c r="P1164" i="5" a="1"/>
  <c r="P1086" i="5" a="1"/>
  <c r="P1008" i="5" a="1"/>
  <c r="P988" i="5" a="1"/>
  <c r="P970" i="5" a="1"/>
  <c r="P950" i="5" a="1"/>
  <c r="P930" i="5" a="1"/>
  <c r="P836" i="5" a="1"/>
  <c r="P740" i="5" a="1"/>
  <c r="P668" i="5" a="1"/>
  <c r="P650" i="5" a="1"/>
  <c r="P634" i="5" a="1"/>
  <c r="P617" i="5" a="1"/>
  <c r="P550" i="5" a="1"/>
  <c r="P517" i="5" a="1"/>
  <c r="P488" i="5" a="1"/>
  <c r="P438" i="5" a="1"/>
  <c r="P426" i="5" a="1"/>
  <c r="P379" i="5" a="1"/>
  <c r="P367" i="5" a="1"/>
  <c r="P344" i="5" a="1"/>
  <c r="P320" i="5" a="1"/>
  <c r="P285" i="5" a="1"/>
  <c r="P261" i="5" a="1"/>
  <c r="P238" i="5" a="1"/>
  <c r="P226" i="5" a="1"/>
  <c r="P204" i="5" a="1"/>
  <c r="P194" i="5" a="1"/>
  <c r="P184" i="5" a="1"/>
  <c r="P174" i="5" a="1"/>
  <c r="P164" i="5" a="1"/>
  <c r="P154" i="5" a="1"/>
  <c r="P144" i="5" a="1"/>
  <c r="P134" i="5" a="1"/>
  <c r="P124" i="5" a="1"/>
  <c r="P114" i="5" a="1"/>
  <c r="P104" i="5" a="1"/>
  <c r="P1882" i="5" a="1"/>
  <c r="P123" i="5" a="1"/>
  <c r="P1944" i="5" a="1"/>
  <c r="P1666" i="5" a="1"/>
  <c r="P1622" i="5" a="1"/>
  <c r="P1571" i="5" a="1"/>
  <c r="P1526" i="5" a="1"/>
  <c r="P1163" i="5" a="1"/>
  <c r="P1141" i="5" a="1"/>
  <c r="P1124" i="5" a="1"/>
  <c r="P1046" i="5" a="1"/>
  <c r="P1026" i="5" a="1"/>
  <c r="P911" i="5" a="1"/>
  <c r="P891" i="5" a="1"/>
  <c r="P874" i="5" a="1"/>
  <c r="P796" i="5" a="1"/>
  <c r="P776" i="5" a="1"/>
  <c r="P758" i="5" a="1"/>
  <c r="P704" i="5" a="1"/>
  <c r="P685" i="5" a="1"/>
  <c r="P474" i="5" a="1"/>
  <c r="P461" i="5" a="1"/>
  <c r="P449" i="5" a="1"/>
  <c r="P437" i="5" a="1"/>
  <c r="P414" i="5" a="1"/>
  <c r="P390" i="5" a="1"/>
  <c r="P355" i="5" a="1"/>
  <c r="P331" i="5" a="1"/>
  <c r="P308" i="5" a="1"/>
  <c r="P296" i="5" a="1"/>
  <c r="P249" i="5" a="1"/>
  <c r="P237" i="5" a="1"/>
  <c r="P214" i="5" a="1"/>
  <c r="P1943" i="5" a="1"/>
  <c r="P667" i="5" a="1"/>
  <c r="P1716" i="5" a="1"/>
  <c r="P1424" i="5" a="1"/>
  <c r="P330" i="5" a="1"/>
  <c r="P580" i="5" a="1"/>
  <c r="P1334" i="5" a="1"/>
  <c r="P564" i="5" a="1"/>
  <c r="P547" i="5" a="1"/>
  <c r="P295" i="5" a="1"/>
  <c r="P1249" i="5" a="1"/>
  <c r="P530" i="5" a="1"/>
  <c r="P1218" i="5" a="1"/>
  <c r="P271" i="5" a="1"/>
  <c r="P501" i="5" a="1"/>
  <c r="P1162" i="5" a="1"/>
  <c r="P486" i="5" a="1"/>
  <c r="P248" i="5" a="1"/>
  <c r="P236" i="5" a="1"/>
  <c r="P948" i="5" a="1"/>
  <c r="P460" i="5" a="1"/>
  <c r="P448" i="5" a="1"/>
  <c r="P213" i="5" a="1"/>
  <c r="P775" i="5" a="1"/>
  <c r="P436" i="5" a="1"/>
  <c r="P354" i="5" a="1"/>
  <c r="P389" i="5" a="1"/>
  <c r="P377" i="5" a="1"/>
  <c r="Q2004" i="5" a="1"/>
  <c r="Q1994" i="5" a="1"/>
  <c r="Q1984" i="5" a="1"/>
  <c r="Q1974" i="5" a="1"/>
  <c r="Q1964" i="5" a="1"/>
  <c r="Q1954" i="5" a="1"/>
  <c r="Q1944" i="5" a="1"/>
  <c r="Q1934" i="5" a="1"/>
  <c r="Q1924" i="5" a="1"/>
  <c r="Q1914" i="5" a="1"/>
  <c r="Q1904" i="5" a="1"/>
  <c r="Q1894" i="5" a="1"/>
  <c r="Q1884" i="5" a="1"/>
  <c r="Q1874" i="5" a="1"/>
  <c r="Q1864" i="5" a="1"/>
  <c r="Q1854" i="5" a="1"/>
  <c r="Q1844" i="5" a="1"/>
  <c r="Q1834" i="5" a="1"/>
  <c r="Q1824" i="5" a="1"/>
  <c r="Q1814" i="5" a="1"/>
  <c r="Q1804" i="5" a="1"/>
  <c r="Q1794" i="5" a="1"/>
  <c r="Q1784" i="5" a="1"/>
  <c r="Q1774" i="5" a="1"/>
  <c r="Q1764" i="5" a="1"/>
  <c r="Q1754" i="5" a="1"/>
  <c r="Q1744" i="5" a="1"/>
  <c r="Q1734" i="5" a="1"/>
  <c r="Q1724" i="5" a="1"/>
  <c r="Q1714" i="5" a="1"/>
  <c r="Q1704" i="5" a="1"/>
  <c r="Q1694" i="5" a="1"/>
  <c r="Q1684" i="5" a="1"/>
  <c r="Q1674" i="5" a="1"/>
  <c r="Q1664" i="5" a="1"/>
  <c r="Q1654" i="5" a="1"/>
  <c r="Q1644" i="5" a="1"/>
  <c r="Q1634" i="5" a="1"/>
  <c r="Q1624" i="5" a="1"/>
  <c r="Q1614" i="5" a="1"/>
  <c r="Q1604" i="5" a="1"/>
  <c r="Q1594" i="5" a="1"/>
  <c r="Q1584" i="5" a="1"/>
  <c r="Q1574" i="5" a="1"/>
  <c r="Q1564" i="5" a="1"/>
  <c r="Q1554" i="5" a="1"/>
  <c r="Q1544" i="5" a="1"/>
  <c r="Q1534" i="5" a="1"/>
  <c r="Q1524" i="5" a="1"/>
  <c r="Q1514" i="5" a="1"/>
  <c r="Q1504" i="5" a="1"/>
  <c r="Q1494" i="5" a="1"/>
  <c r="Q1484" i="5" a="1"/>
  <c r="Q1474" i="5" a="1"/>
  <c r="Q1464" i="5" a="1"/>
  <c r="Q1454" i="5" a="1"/>
  <c r="Q1444" i="5" a="1"/>
  <c r="Q1434" i="5" a="1"/>
  <c r="Q1424" i="5" a="1"/>
  <c r="Q1414" i="5" a="1"/>
  <c r="Q1404" i="5" a="1"/>
  <c r="Q1394" i="5" a="1"/>
  <c r="Q1384" i="5" a="1"/>
  <c r="Q1374" i="5" a="1"/>
  <c r="Q1364" i="5" a="1"/>
  <c r="Q1354" i="5" a="1"/>
  <c r="Q1344" i="5" a="1"/>
  <c r="Q1334" i="5" a="1"/>
  <c r="Q1324" i="5" a="1"/>
  <c r="Q1314" i="5" a="1"/>
  <c r="Q1304" i="5" a="1"/>
  <c r="Q1294" i="5" a="1"/>
  <c r="Q1284" i="5" a="1"/>
  <c r="Q1274" i="5" a="1"/>
  <c r="Q1264" i="5" a="1"/>
  <c r="Q1254" i="5" a="1"/>
  <c r="Q1244" i="5" a="1"/>
  <c r="Q1234" i="5" a="1"/>
  <c r="Q1224" i="5" a="1"/>
  <c r="Q1214" i="5" a="1"/>
  <c r="Q1204" i="5" a="1"/>
  <c r="Q1194" i="5" a="1"/>
  <c r="Q1184" i="5" a="1"/>
  <c r="Q1174" i="5" a="1"/>
  <c r="Q1164" i="5" a="1"/>
  <c r="Q1154" i="5" a="1"/>
  <c r="Q2001" i="5" a="1"/>
  <c r="Q1991" i="5" a="1"/>
  <c r="Q1981" i="5" a="1"/>
  <c r="Q1971" i="5" a="1"/>
  <c r="Q1961" i="5" a="1"/>
  <c r="Q1951" i="5" a="1"/>
  <c r="Q1941" i="5" a="1"/>
  <c r="Q1931" i="5" a="1"/>
  <c r="Q1921" i="5" a="1"/>
  <c r="Q1911" i="5" a="1"/>
  <c r="Q1901" i="5" a="1"/>
  <c r="Q1891" i="5" a="1"/>
  <c r="Q1881" i="5" a="1"/>
  <c r="Q1871" i="5" a="1"/>
  <c r="Q1861" i="5" a="1"/>
  <c r="Q1851" i="5" a="1"/>
  <c r="Q1841" i="5" a="1"/>
  <c r="Q1831" i="5" a="1"/>
  <c r="Q1821" i="5" a="1"/>
  <c r="Q1811" i="5" a="1"/>
  <c r="Q1801" i="5" a="1"/>
  <c r="Q1791" i="5" a="1"/>
  <c r="Q1781" i="5" a="1"/>
  <c r="Q1771" i="5" a="1"/>
  <c r="Q1761" i="5" a="1"/>
  <c r="Q1751" i="5" a="1"/>
  <c r="Q1741" i="5" a="1"/>
  <c r="Q1731" i="5" a="1"/>
  <c r="Q1721" i="5" a="1"/>
  <c r="Q1711" i="5" a="1"/>
  <c r="Q1701" i="5" a="1"/>
  <c r="Q1691" i="5" a="1"/>
  <c r="Q1681" i="5" a="1"/>
  <c r="Q1671" i="5" a="1"/>
  <c r="Q1661" i="5" a="1"/>
  <c r="Q1651" i="5" a="1"/>
  <c r="Q1641" i="5" a="1"/>
  <c r="Q1631" i="5" a="1"/>
  <c r="Q1621" i="5" a="1"/>
  <c r="Q1611" i="5" a="1"/>
  <c r="Q1601" i="5" a="1"/>
  <c r="Q1591" i="5" a="1"/>
  <c r="Q1581" i="5" a="1"/>
  <c r="Q1571" i="5" a="1"/>
  <c r="Q1561" i="5" a="1"/>
  <c r="Q1551" i="5" a="1"/>
  <c r="Q1541" i="5" a="1"/>
  <c r="Q1531" i="5" a="1"/>
  <c r="Q1521" i="5" a="1"/>
  <c r="Q1511" i="5" a="1"/>
  <c r="Q1501" i="5" a="1"/>
  <c r="Q1491" i="5" a="1"/>
  <c r="Q1481" i="5" a="1"/>
  <c r="Q1471" i="5" a="1"/>
  <c r="Q1461" i="5" a="1"/>
  <c r="Q1451" i="5" a="1"/>
  <c r="Q1441" i="5" a="1"/>
  <c r="Q1431" i="5" a="1"/>
  <c r="Q1421" i="5" a="1"/>
  <c r="Q1411" i="5" a="1"/>
  <c r="Q1401" i="5" a="1"/>
  <c r="Q1391" i="5" a="1"/>
  <c r="Q1381" i="5" a="1"/>
  <c r="Q1371" i="5" a="1"/>
  <c r="Q1361" i="5" a="1"/>
  <c r="Q1351" i="5" a="1"/>
  <c r="Q1341" i="5" a="1"/>
  <c r="Q1999" i="5" a="1"/>
  <c r="Q1989" i="5" a="1"/>
  <c r="Q1979" i="5" a="1"/>
  <c r="Q1969" i="5" a="1"/>
  <c r="Q1959" i="5" a="1"/>
  <c r="Q1949" i="5" a="1"/>
  <c r="Q1939" i="5" a="1"/>
  <c r="Q1929" i="5" a="1"/>
  <c r="Q1919" i="5" a="1"/>
  <c r="Q1909" i="5" a="1"/>
  <c r="Q1899" i="5" a="1"/>
  <c r="Q1889" i="5" a="1"/>
  <c r="Q1879" i="5" a="1"/>
  <c r="Q1869" i="5" a="1"/>
  <c r="Q1859" i="5" a="1"/>
  <c r="Q1849" i="5" a="1"/>
  <c r="Q1839" i="5" a="1"/>
  <c r="Q1829" i="5" a="1"/>
  <c r="Q1819" i="5" a="1"/>
  <c r="Q1809" i="5" a="1"/>
  <c r="Q1799" i="5" a="1"/>
  <c r="Q1789" i="5" a="1"/>
  <c r="Q1779" i="5" a="1"/>
  <c r="Q1769" i="5" a="1"/>
  <c r="Q1759" i="5" a="1"/>
  <c r="Q1749" i="5" a="1"/>
  <c r="Q1739" i="5" a="1"/>
  <c r="Q1729" i="5" a="1"/>
  <c r="Q1719" i="5" a="1"/>
  <c r="Q1709" i="5" a="1"/>
  <c r="Q1699" i="5" a="1"/>
  <c r="Q1689" i="5" a="1"/>
  <c r="Q1679" i="5" a="1"/>
  <c r="Q1669" i="5" a="1"/>
  <c r="Q1659" i="5" a="1"/>
  <c r="Q1649" i="5" a="1"/>
  <c r="Q1639" i="5" a="1"/>
  <c r="Q1629" i="5" a="1"/>
  <c r="Q1619" i="5" a="1"/>
  <c r="Q1609" i="5" a="1"/>
  <c r="Q1599" i="5" a="1"/>
  <c r="Q1589" i="5" a="1"/>
  <c r="Q1579" i="5" a="1"/>
  <c r="Q1569" i="5" a="1"/>
  <c r="Q1559" i="5" a="1"/>
  <c r="Q1549" i="5" a="1"/>
  <c r="Q1539" i="5" a="1"/>
  <c r="Q1529" i="5" a="1"/>
  <c r="Q1519" i="5" a="1"/>
  <c r="Q1509" i="5" a="1"/>
  <c r="Q1499" i="5" a="1"/>
  <c r="Q1489" i="5" a="1"/>
  <c r="Q1998" i="5" a="1"/>
  <c r="Q1988" i="5" a="1"/>
  <c r="Q1978" i="5" a="1"/>
  <c r="Q1968" i="5" a="1"/>
  <c r="Q1958" i="5" a="1"/>
  <c r="Q1948" i="5" a="1"/>
  <c r="Q1938" i="5" a="1"/>
  <c r="Q1928" i="5" a="1"/>
  <c r="Q1918" i="5" a="1"/>
  <c r="Q1908" i="5" a="1"/>
  <c r="Q1898" i="5" a="1"/>
  <c r="Q1888" i="5" a="1"/>
  <c r="Q1878" i="5" a="1"/>
  <c r="Q1868" i="5" a="1"/>
  <c r="Q1858" i="5" a="1"/>
  <c r="Q1848" i="5" a="1"/>
  <c r="Q1838" i="5" a="1"/>
  <c r="Q1828" i="5" a="1"/>
  <c r="Q1818" i="5" a="1"/>
  <c r="Q1808" i="5" a="1"/>
  <c r="Q1798" i="5" a="1"/>
  <c r="Q1788" i="5" a="1"/>
  <c r="Q1778" i="5" a="1"/>
  <c r="Q1768" i="5" a="1"/>
  <c r="Q1758" i="5" a="1"/>
  <c r="Q1748" i="5" a="1"/>
  <c r="Q1738" i="5" a="1"/>
  <c r="Q1728" i="5" a="1"/>
  <c r="Q1718" i="5" a="1"/>
  <c r="Q1708" i="5" a="1"/>
  <c r="Q1698" i="5" a="1"/>
  <c r="Q1688" i="5" a="1"/>
  <c r="Q1678" i="5" a="1"/>
  <c r="Q1668" i="5" a="1"/>
  <c r="Q1658" i="5" a="1"/>
  <c r="Q1648" i="5" a="1"/>
  <c r="Q1995" i="5" a="1"/>
  <c r="Q1985" i="5" a="1"/>
  <c r="Q1975" i="5" a="1"/>
  <c r="Q1965" i="5" a="1"/>
  <c r="Q1955" i="5" a="1"/>
  <c r="Q1945" i="5" a="1"/>
  <c r="Q1935" i="5" a="1"/>
  <c r="Q1925" i="5" a="1"/>
  <c r="Q1915" i="5" a="1"/>
  <c r="Q1905" i="5" a="1"/>
  <c r="Q1895" i="5" a="1"/>
  <c r="Q1885" i="5" a="1"/>
  <c r="Q1875" i="5" a="1"/>
  <c r="Q1865" i="5" a="1"/>
  <c r="Q1846" i="5" a="1"/>
  <c r="Q1810" i="5" a="1"/>
  <c r="Q1792" i="5" a="1"/>
  <c r="Q1775" i="5" a="1"/>
  <c r="Q1742" i="5" a="1"/>
  <c r="Q1725" i="5" a="1"/>
  <c r="Q1693" i="5" a="1"/>
  <c r="Q1677" i="5" a="1"/>
  <c r="Q1476" i="5" a="1"/>
  <c r="Q1436" i="5" a="1"/>
  <c r="Q1396" i="5" a="1"/>
  <c r="Q1356" i="5" a="1"/>
  <c r="Q1329" i="5" a="1"/>
  <c r="Q1317" i="5" a="1"/>
  <c r="Q1305" i="5" a="1"/>
  <c r="Q1292" i="5" a="1"/>
  <c r="Q1279" i="5" a="1"/>
  <c r="Q1267" i="5" a="1"/>
  <c r="Q1255" i="5" a="1"/>
  <c r="Q1242" i="5" a="1"/>
  <c r="Q1229" i="5" a="1"/>
  <c r="Q1217" i="5" a="1"/>
  <c r="Q1205" i="5" a="1"/>
  <c r="Q1192" i="5" a="1"/>
  <c r="Q1179" i="5" a="1"/>
  <c r="Q1167" i="5" a="1"/>
  <c r="Q1155" i="5" a="1"/>
  <c r="Q2002" i="5" a="1"/>
  <c r="Q1982" i="5" a="1"/>
  <c r="Q1962" i="5" a="1"/>
  <c r="Q1942" i="5" a="1"/>
  <c r="Q1922" i="5" a="1"/>
  <c r="Q1902" i="5" a="1"/>
  <c r="Q1882" i="5" a="1"/>
  <c r="Q1863" i="5" a="1"/>
  <c r="Q1845" i="5" a="1"/>
  <c r="Q1826" i="5" a="1"/>
  <c r="Q1790" i="5" a="1"/>
  <c r="Q1773" i="5" a="1"/>
  <c r="Q1756" i="5" a="1"/>
  <c r="Q1740" i="5" a="1"/>
  <c r="Q1723" i="5" a="1"/>
  <c r="Q1692" i="5" a="1"/>
  <c r="Q1676" i="5" a="1"/>
  <c r="Q1475" i="5" a="1"/>
  <c r="Q1435" i="5" a="1"/>
  <c r="Q1395" i="5" a="1"/>
  <c r="Q1355" i="5" a="1"/>
  <c r="Q1328" i="5" a="1"/>
  <c r="Q1316" i="5" a="1"/>
  <c r="Q1303" i="5" a="1"/>
  <c r="Q1291" i="5" a="1"/>
  <c r="Q1278" i="5" a="1"/>
  <c r="Q1266" i="5" a="1"/>
  <c r="Q1253" i="5" a="1"/>
  <c r="Q1241" i="5" a="1"/>
  <c r="Q1228" i="5" a="1"/>
  <c r="Q1216" i="5" a="1"/>
  <c r="Q1203" i="5" a="1"/>
  <c r="Q1191" i="5" a="1"/>
  <c r="Q1178" i="5" a="1"/>
  <c r="Q1166" i="5" a="1"/>
  <c r="Q1856" i="5" a="1"/>
  <c r="Q1820" i="5" a="1"/>
  <c r="Q1802" i="5" a="1"/>
  <c r="Q1767" i="5" a="1"/>
  <c r="Q1717" i="5" a="1"/>
  <c r="Q1702" i="5" a="1"/>
  <c r="Q1686" i="5" a="1"/>
  <c r="Q1640" i="5" a="1"/>
  <c r="Q1626" i="5" a="1"/>
  <c r="Q1612" i="5" a="1"/>
  <c r="Q1597" i="5" a="1"/>
  <c r="Q1583" i="5" a="1"/>
  <c r="Q1568" i="5" a="1"/>
  <c r="Q1555" i="5" a="1"/>
  <c r="Q1540" i="5" a="1"/>
  <c r="Q1526" i="5" a="1"/>
  <c r="Q1512" i="5" a="1"/>
  <c r="Q1497" i="5" a="1"/>
  <c r="Q1483" i="5" a="1"/>
  <c r="Q1469" i="5" a="1"/>
  <c r="Q1443" i="5" a="1"/>
  <c r="Q1429" i="5" a="1"/>
  <c r="Q1403" i="5" a="1"/>
  <c r="Q1389" i="5" a="1"/>
  <c r="Q1363" i="5" a="1"/>
  <c r="Q1349" i="5" a="1"/>
  <c r="Q1150" i="5" a="1"/>
  <c r="Q1140" i="5" a="1"/>
  <c r="Q1130" i="5" a="1"/>
  <c r="Q1120" i="5" a="1"/>
  <c r="Q1837" i="5" a="1"/>
  <c r="Q1783" i="5" a="1"/>
  <c r="Q1766" i="5" a="1"/>
  <c r="Q1750" i="5" a="1"/>
  <c r="Q1733" i="5" a="1"/>
  <c r="Q1716" i="5" a="1"/>
  <c r="Q1670" i="5" a="1"/>
  <c r="Q1655" i="5" a="1"/>
  <c r="Q1456" i="5" a="1"/>
  <c r="Q1416" i="5" a="1"/>
  <c r="Q1376" i="5" a="1"/>
  <c r="Q1336" i="5" a="1"/>
  <c r="Q1323" i="5" a="1"/>
  <c r="Q1311" i="5" a="1"/>
  <c r="Q1298" i="5" a="1"/>
  <c r="Q1286" i="5" a="1"/>
  <c r="Q1273" i="5" a="1"/>
  <c r="Q1261" i="5" a="1"/>
  <c r="Q1248" i="5" a="1"/>
  <c r="Q1236" i="5" a="1"/>
  <c r="Q1223" i="5" a="1"/>
  <c r="Q1211" i="5" a="1"/>
  <c r="Q1198" i="5" a="1"/>
  <c r="Q1186" i="5" a="1"/>
  <c r="Q1173" i="5" a="1"/>
  <c r="Q1161" i="5" a="1"/>
  <c r="Q1993" i="5" a="1"/>
  <c r="Q1973" i="5" a="1"/>
  <c r="Q1953" i="5" a="1"/>
  <c r="Q1933" i="5" a="1"/>
  <c r="Q1913" i="5" a="1"/>
  <c r="Q1893" i="5" a="1"/>
  <c r="Q1873" i="5" a="1"/>
  <c r="Q1855" i="5" a="1"/>
  <c r="Q1836" i="5" a="1"/>
  <c r="Q1800" i="5" a="1"/>
  <c r="Q1700" i="5" a="1"/>
  <c r="Q1685" i="5" a="1"/>
  <c r="Q1638" i="5" a="1"/>
  <c r="Q1625" i="5" a="1"/>
  <c r="Q1610" i="5" a="1"/>
  <c r="Q1596" i="5" a="1"/>
  <c r="Q1582" i="5" a="1"/>
  <c r="Q1567" i="5" a="1"/>
  <c r="Q1553" i="5" a="1"/>
  <c r="Q1538" i="5" a="1"/>
  <c r="Q1525" i="5" a="1"/>
  <c r="Q1510" i="5" a="1"/>
  <c r="Q1496" i="5" a="1"/>
  <c r="Q1482" i="5" a="1"/>
  <c r="Q1468" i="5" a="1"/>
  <c r="Q1442" i="5" a="1"/>
  <c r="Q1428" i="5" a="1"/>
  <c r="Q1402" i="5" a="1"/>
  <c r="Q1388" i="5" a="1"/>
  <c r="Q1362" i="5" a="1"/>
  <c r="Q1348" i="5" a="1"/>
  <c r="Q1310" i="5" a="1"/>
  <c r="Q1260" i="5" a="1"/>
  <c r="Q1210" i="5" a="1"/>
  <c r="Q1160" i="5" a="1"/>
  <c r="Q1149" i="5" a="1"/>
  <c r="Q1139" i="5" a="1"/>
  <c r="Q1129" i="5" a="1"/>
  <c r="Q1119" i="5" a="1"/>
  <c r="Q1109" i="5" a="1"/>
  <c r="Q1099" i="5" a="1"/>
  <c r="Q1089" i="5" a="1"/>
  <c r="Q1079" i="5" a="1"/>
  <c r="Q1069" i="5" a="1"/>
  <c r="Q1059" i="5" a="1"/>
  <c r="Q1049" i="5" a="1"/>
  <c r="Q1039" i="5" a="1"/>
  <c r="Q1029" i="5" a="1"/>
  <c r="Q1019" i="5" a="1"/>
  <c r="Q1009" i="5" a="1"/>
  <c r="Q999" i="5" a="1"/>
  <c r="Q989" i="5" a="1"/>
  <c r="Q979" i="5" a="1"/>
  <c r="Q969" i="5" a="1"/>
  <c r="Q959" i="5" a="1"/>
  <c r="Q949" i="5" a="1"/>
  <c r="Q939" i="5" a="1"/>
  <c r="Q929" i="5" a="1"/>
  <c r="Q919" i="5" a="1"/>
  <c r="Q909" i="5" a="1"/>
  <c r="Q899" i="5" a="1"/>
  <c r="Q889" i="5" a="1"/>
  <c r="Q879" i="5" a="1"/>
  <c r="Q869" i="5" a="1"/>
  <c r="Q859" i="5" a="1"/>
  <c r="Q849" i="5" a="1"/>
  <c r="Q839" i="5" a="1"/>
  <c r="Q829" i="5" a="1"/>
  <c r="Q819" i="5" a="1"/>
  <c r="Q809" i="5" a="1"/>
  <c r="Q799" i="5" a="1"/>
  <c r="Q789" i="5" a="1"/>
  <c r="Q779" i="5" a="1"/>
  <c r="Q769" i="5" a="1"/>
  <c r="Q1850" i="5" a="1"/>
  <c r="Q1832" i="5" a="1"/>
  <c r="Q1762" i="5" a="1"/>
  <c r="Q1745" i="5" a="1"/>
  <c r="Q1712" i="5" a="1"/>
  <c r="Q1696" i="5" a="1"/>
  <c r="Q1650" i="5" a="1"/>
  <c r="Q1478" i="5" a="1"/>
  <c r="Q1452" i="5" a="1"/>
  <c r="Q1438" i="5" a="1"/>
  <c r="Q1412" i="5" a="1"/>
  <c r="Q1398" i="5" a="1"/>
  <c r="Q1372" i="5" a="1"/>
  <c r="Q1358" i="5" a="1"/>
  <c r="Q1332" i="5" a="1"/>
  <c r="Q1319" i="5" a="1"/>
  <c r="Q1307" i="5" a="1"/>
  <c r="Q1295" i="5" a="1"/>
  <c r="Q1282" i="5" a="1"/>
  <c r="Q1269" i="5" a="1"/>
  <c r="Q1257" i="5" a="1"/>
  <c r="Q1245" i="5" a="1"/>
  <c r="Q1232" i="5" a="1"/>
  <c r="Q1219" i="5" a="1"/>
  <c r="Q1207" i="5" a="1"/>
  <c r="Q1195" i="5" a="1"/>
  <c r="Q1182" i="5" a="1"/>
  <c r="Q1169" i="5" a="1"/>
  <c r="Q1157" i="5" a="1"/>
  <c r="Q1987" i="5" a="1"/>
  <c r="Q1967" i="5" a="1"/>
  <c r="Q1947" i="5" a="1"/>
  <c r="Q1927" i="5" a="1"/>
  <c r="Q1907" i="5" a="1"/>
  <c r="Q1887" i="5" a="1"/>
  <c r="Q1867" i="5" a="1"/>
  <c r="Q1813" i="5" a="1"/>
  <c r="Q1795" i="5" a="1"/>
  <c r="Q1777" i="5" a="1"/>
  <c r="Q1727" i="5" a="1"/>
  <c r="Q1680" i="5" a="1"/>
  <c r="Q1665" i="5" a="1"/>
  <c r="Q1635" i="5" a="1"/>
  <c r="Q1620" i="5" a="1"/>
  <c r="Q1606" i="5" a="1"/>
  <c r="Q1592" i="5" a="1"/>
  <c r="Q1577" i="5" a="1"/>
  <c r="Q1563" i="5" a="1"/>
  <c r="Q1548" i="5" a="1"/>
  <c r="Q2003" i="5" a="1"/>
  <c r="Q1972" i="5" a="1"/>
  <c r="Q1880" i="5" a="1"/>
  <c r="Q1852" i="5" a="1"/>
  <c r="Q1796" i="5" a="1"/>
  <c r="Q1770" i="5" a="1"/>
  <c r="Q1743" i="5" a="1"/>
  <c r="Q1672" i="5" a="1"/>
  <c r="Q1646" i="5" a="1"/>
  <c r="Q1602" i="5" a="1"/>
  <c r="Q1580" i="5" a="1"/>
  <c r="Q1516" i="5" a="1"/>
  <c r="Q1399" i="5" a="1"/>
  <c r="Q1380" i="5" a="1"/>
  <c r="Q1343" i="5" a="1"/>
  <c r="Q1271" i="5" a="1"/>
  <c r="Q1235" i="5" a="1"/>
  <c r="Q1200" i="5" a="1"/>
  <c r="Q1134" i="5" a="1"/>
  <c r="Q1108" i="5" a="1"/>
  <c r="Q1083" i="5" a="1"/>
  <c r="Q1071" i="5" a="1"/>
  <c r="Q1058" i="5" a="1"/>
  <c r="Q1033" i="5" a="1"/>
  <c r="Q1021" i="5" a="1"/>
  <c r="Q1008" i="5" a="1"/>
  <c r="Q983" i="5" a="1"/>
  <c r="Q971" i="5" a="1"/>
  <c r="Q958" i="5" a="1"/>
  <c r="Q933" i="5" a="1"/>
  <c r="Q921" i="5" a="1"/>
  <c r="Q908" i="5" a="1"/>
  <c r="Q883" i="5" a="1"/>
  <c r="Q871" i="5" a="1"/>
  <c r="Q858" i="5" a="1"/>
  <c r="Q833" i="5" a="1"/>
  <c r="Q821" i="5" a="1"/>
  <c r="Q808" i="5" a="1"/>
  <c r="Q783" i="5" a="1"/>
  <c r="Q771" i="5" a="1"/>
  <c r="Q1940" i="5" a="1"/>
  <c r="Q2000" i="5" a="1"/>
  <c r="Q1966" i="5" a="1"/>
  <c r="Q1997" i="5" a="1"/>
  <c r="Q1936" i="5" a="1"/>
  <c r="Q1903" i="5" a="1"/>
  <c r="Q1872" i="5" a="1"/>
  <c r="Q1816" i="5" a="1"/>
  <c r="Q1763" i="5" a="1"/>
  <c r="Q1737" i="5" a="1"/>
  <c r="Q1642" i="5" a="1"/>
  <c r="Q1618" i="5" a="1"/>
  <c r="Q1575" i="5" a="1"/>
  <c r="Q1532" i="5" a="1"/>
  <c r="Q1472" i="5" a="1"/>
  <c r="Q1433" i="5" a="1"/>
  <c r="Q1377" i="5" a="1"/>
  <c r="Q1357" i="5" a="1"/>
  <c r="Q1338" i="5" a="1"/>
  <c r="Q1320" i="5" a="1"/>
  <c r="Q1302" i="5" a="1"/>
  <c r="Q1249" i="5" a="1"/>
  <c r="Q1231" i="5" a="1"/>
  <c r="Q1213" i="5" a="1"/>
  <c r="Q1177" i="5" a="1"/>
  <c r="Q1144" i="5" a="1"/>
  <c r="Q1105" i="5" a="1"/>
  <c r="Q1055" i="5" a="1"/>
  <c r="Q1005" i="5" a="1"/>
  <c r="Q955" i="5" a="1"/>
  <c r="Q905" i="5" a="1"/>
  <c r="Q855" i="5" a="1"/>
  <c r="Q805" i="5" a="1"/>
  <c r="Q757" i="5" a="1"/>
  <c r="Q747" i="5" a="1"/>
  <c r="Q737" i="5" a="1"/>
  <c r="Q727" i="5" a="1"/>
  <c r="Q717" i="5" a="1"/>
  <c r="Q707" i="5" a="1"/>
  <c r="Q697" i="5" a="1"/>
  <c r="Q687" i="5" a="1"/>
  <c r="Q677" i="5" a="1"/>
  <c r="Q667" i="5" a="1"/>
  <c r="Q657" i="5" a="1"/>
  <c r="Q647" i="5" a="1"/>
  <c r="Q1960" i="5" a="1"/>
  <c r="Q1930" i="5" a="1"/>
  <c r="Q1812" i="5" a="1"/>
  <c r="Q1735" i="5" a="1"/>
  <c r="Q1707" i="5" a="1"/>
  <c r="Q1660" i="5" a="1"/>
  <c r="Q1637" i="5" a="1"/>
  <c r="Q1572" i="5" a="1"/>
  <c r="Q1550" i="5" a="1"/>
  <c r="Q1528" i="5" a="1"/>
  <c r="Q1487" i="5" a="1"/>
  <c r="Q1449" i="5" a="1"/>
  <c r="Q1373" i="5" a="1"/>
  <c r="Q1335" i="5" a="1"/>
  <c r="Q1300" i="5" a="1"/>
  <c r="Q1246" i="5" a="1"/>
  <c r="Q1209" i="5" a="1"/>
  <c r="Q1103" i="5" a="1"/>
  <c r="Q1091" i="5" a="1"/>
  <c r="Q1078" i="5" a="1"/>
  <c r="Q1053" i="5" a="1"/>
  <c r="Q1041" i="5" a="1"/>
  <c r="Q1028" i="5" a="1"/>
  <c r="Q1003" i="5" a="1"/>
  <c r="Q991" i="5" a="1"/>
  <c r="Q978" i="5" a="1"/>
  <c r="Q953" i="5" a="1"/>
  <c r="Q941" i="5" a="1"/>
  <c r="Q928" i="5" a="1"/>
  <c r="Q903" i="5" a="1"/>
  <c r="Q891" i="5" a="1"/>
  <c r="Q878" i="5" a="1"/>
  <c r="Q853" i="5" a="1"/>
  <c r="Q841" i="5" a="1"/>
  <c r="Q828" i="5" a="1"/>
  <c r="Q803" i="5" a="1"/>
  <c r="Q791" i="5" a="1"/>
  <c r="Q778" i="5" a="1"/>
  <c r="Q766" i="5" a="1"/>
  <c r="Q1990" i="5" a="1"/>
  <c r="Q1866" i="5" a="1"/>
  <c r="Q1840" i="5" a="1"/>
  <c r="Q1785" i="5" a="1"/>
  <c r="Q1757" i="5" a="1"/>
  <c r="Q1732" i="5" a="1"/>
  <c r="Q1706" i="5" a="1"/>
  <c r="Q1683" i="5" a="1"/>
  <c r="Q1615" i="5" a="1"/>
  <c r="Q1593" i="5" a="1"/>
  <c r="Q1507" i="5" a="1"/>
  <c r="Q1467" i="5" a="1"/>
  <c r="Q1448" i="5" a="1"/>
  <c r="Q1430" i="5" a="1"/>
  <c r="Q1410" i="5" a="1"/>
  <c r="Q1392" i="5" a="1"/>
  <c r="Q1353" i="5" a="1"/>
  <c r="Q1299" i="5" a="1"/>
  <c r="Q1281" i="5" a="1"/>
  <c r="Q1263" i="5" a="1"/>
  <c r="Q1227" i="5" a="1"/>
  <c r="Q1175" i="5" a="1"/>
  <c r="Q1156" i="5" a="1"/>
  <c r="Q1142" i="5" a="1"/>
  <c r="Q1128" i="5" a="1"/>
  <c r="Q1115" i="5" a="1"/>
  <c r="Q1065" i="5" a="1"/>
  <c r="Q1015" i="5" a="1"/>
  <c r="Q965" i="5" a="1"/>
  <c r="Q915" i="5" a="1"/>
  <c r="Q865" i="5" a="1"/>
  <c r="Q815" i="5" a="1"/>
  <c r="Q755" i="5" a="1"/>
  <c r="Q745" i="5" a="1"/>
  <c r="Q735" i="5" a="1"/>
  <c r="Q725" i="5" a="1"/>
  <c r="Q715" i="5" a="1"/>
  <c r="Q705" i="5" a="1"/>
  <c r="Q695" i="5" a="1"/>
  <c r="Q685" i="5" a="1"/>
  <c r="Q675" i="5" a="1"/>
  <c r="Q665" i="5" a="1"/>
  <c r="Q655" i="5" a="1"/>
  <c r="Q645" i="5" a="1"/>
  <c r="Q1926" i="5" a="1"/>
  <c r="Q1897" i="5" a="1"/>
  <c r="Q1782" i="5" a="1"/>
  <c r="Q1636" i="5" a="1"/>
  <c r="Q1570" i="5" a="1"/>
  <c r="Q1547" i="5" a="1"/>
  <c r="Q1527" i="5" a="1"/>
  <c r="Q1506" i="5" a="1"/>
  <c r="Q1486" i="5" a="1"/>
  <c r="Q1447" i="5" a="1"/>
  <c r="Q1409" i="5" a="1"/>
  <c r="Q1333" i="5" a="1"/>
  <c r="Q1297" i="5" a="1"/>
  <c r="Q1280" i="5" a="1"/>
  <c r="Q1208" i="5" a="1"/>
  <c r="Q1190" i="5" a="1"/>
  <c r="Q1172" i="5" a="1"/>
  <c r="Q1114" i="5" a="1"/>
  <c r="Q1102" i="5" a="1"/>
  <c r="Q1090" i="5" a="1"/>
  <c r="Q1077" i="5" a="1"/>
  <c r="Q1064" i="5" a="1"/>
  <c r="Q1052" i="5" a="1"/>
  <c r="Q1040" i="5" a="1"/>
  <c r="Q1027" i="5" a="1"/>
  <c r="Q1014" i="5" a="1"/>
  <c r="Q1002" i="5" a="1"/>
  <c r="Q990" i="5" a="1"/>
  <c r="Q977" i="5" a="1"/>
  <c r="Q964" i="5" a="1"/>
  <c r="Q952" i="5" a="1"/>
  <c r="Q940" i="5" a="1"/>
  <c r="Q927" i="5" a="1"/>
  <c r="Q914" i="5" a="1"/>
  <c r="Q902" i="5" a="1"/>
  <c r="Q890" i="5" a="1"/>
  <c r="Q877" i="5" a="1"/>
  <c r="Q864" i="5" a="1"/>
  <c r="Q852" i="5" a="1"/>
  <c r="Q840" i="5" a="1"/>
  <c r="Q827" i="5" a="1"/>
  <c r="Q814" i="5" a="1"/>
  <c r="Q802" i="5" a="1"/>
  <c r="Q790" i="5" a="1"/>
  <c r="Q777" i="5" a="1"/>
  <c r="Q765" i="5" a="1"/>
  <c r="Q1986" i="5" a="1"/>
  <c r="Q1957" i="5" a="1"/>
  <c r="Q1896" i="5" a="1"/>
  <c r="Q1807" i="5" a="1"/>
  <c r="Q1755" i="5" a="1"/>
  <c r="Q1730" i="5" a="1"/>
  <c r="Q1705" i="5" a="1"/>
  <c r="Q1682" i="5" a="1"/>
  <c r="Q1657" i="5" a="1"/>
  <c r="Q1613" i="5" a="1"/>
  <c r="Q1590" i="5" a="1"/>
  <c r="Q1546" i="5" a="1"/>
  <c r="Q1466" i="5" a="1"/>
  <c r="Q1427" i="5" a="1"/>
  <c r="Q1408" i="5" a="1"/>
  <c r="Q1390" i="5" a="1"/>
  <c r="Q1370" i="5" a="1"/>
  <c r="Q1352" i="5" a="1"/>
  <c r="Q1315" i="5" a="1"/>
  <c r="Q1262" i="5" a="1"/>
  <c r="Q1243" i="5" a="1"/>
  <c r="Q1226" i="5" a="1"/>
  <c r="Q1189" i="5" a="1"/>
  <c r="Q1141" i="5" a="1"/>
  <c r="Q1127" i="5" a="1"/>
  <c r="Q1076" i="5" a="1"/>
  <c r="Q1026" i="5" a="1"/>
  <c r="Q976" i="5" a="1"/>
  <c r="Q926" i="5" a="1"/>
  <c r="Q876" i="5" a="1"/>
  <c r="Q826" i="5" a="1"/>
  <c r="Q776" i="5" a="1"/>
  <c r="Q764" i="5" a="1"/>
  <c r="Q754" i="5" a="1"/>
  <c r="Q744" i="5" a="1"/>
  <c r="Q734" i="5" a="1"/>
  <c r="Q724" i="5" a="1"/>
  <c r="Q714" i="5" a="1"/>
  <c r="Q704" i="5" a="1"/>
  <c r="Q694" i="5" a="1"/>
  <c r="Q684" i="5" a="1"/>
  <c r="Q674" i="5" a="1"/>
  <c r="Q664" i="5" a="1"/>
  <c r="Q654" i="5" a="1"/>
  <c r="Q644" i="5" a="1"/>
  <c r="Q634" i="5" a="1"/>
  <c r="Q624" i="5" a="1"/>
  <c r="Q614" i="5" a="1"/>
  <c r="Q604" i="5" a="1"/>
  <c r="Q594" i="5" a="1"/>
  <c r="Q584" i="5" a="1"/>
  <c r="Q574" i="5" a="1"/>
  <c r="Q564" i="5" a="1"/>
  <c r="Q554" i="5" a="1"/>
  <c r="Q544" i="5" a="1"/>
  <c r="Q534" i="5" a="1"/>
  <c r="Q524" i="5" a="1"/>
  <c r="Q514" i="5" a="1"/>
  <c r="Q504" i="5" a="1"/>
  <c r="Q494" i="5" a="1"/>
  <c r="Q484" i="5" a="1"/>
  <c r="Q474" i="5" a="1"/>
  <c r="Q464" i="5" a="1"/>
  <c r="Q454" i="5" a="1"/>
  <c r="Q444" i="5" a="1"/>
  <c r="Q434" i="5" a="1"/>
  <c r="Q424" i="5" a="1"/>
  <c r="Q414" i="5" a="1"/>
  <c r="Q404" i="5" a="1"/>
  <c r="Q394" i="5" a="1"/>
  <c r="Q384" i="5" a="1"/>
  <c r="Q1956" i="5" a="1"/>
  <c r="Q1923" i="5" a="1"/>
  <c r="Q1892" i="5" a="1"/>
  <c r="Q1862" i="5" a="1"/>
  <c r="Q1835" i="5" a="1"/>
  <c r="Q1806" i="5" a="1"/>
  <c r="Q1780" i="5" a="1"/>
  <c r="Q1633" i="5" a="1"/>
  <c r="Q1588" i="5" a="1"/>
  <c r="Q1545" i="5" a="1"/>
  <c r="Q1505" i="5" a="1"/>
  <c r="Q1485" i="5" a="1"/>
  <c r="Q1465" i="5" a="1"/>
  <c r="Q1446" i="5" a="1"/>
  <c r="Q1407" i="5" a="1"/>
  <c r="Q1369" i="5" a="1"/>
  <c r="Q1296" i="5" a="1"/>
  <c r="Q1259" i="5" a="1"/>
  <c r="Q1171" i="5" a="1"/>
  <c r="Q1153" i="5" a="1"/>
  <c r="Q1126" i="5" a="1"/>
  <c r="Q1113" i="5" a="1"/>
  <c r="Q1101" i="5" a="1"/>
  <c r="Q1088" i="5" a="1"/>
  <c r="Q1063" i="5" a="1"/>
  <c r="Q1051" i="5" a="1"/>
  <c r="Q1038" i="5" a="1"/>
  <c r="Q1013" i="5" a="1"/>
  <c r="Q1001" i="5" a="1"/>
  <c r="Q988" i="5" a="1"/>
  <c r="Q963" i="5" a="1"/>
  <c r="Q951" i="5" a="1"/>
  <c r="Q938" i="5" a="1"/>
  <c r="Q913" i="5" a="1"/>
  <c r="Q901" i="5" a="1"/>
  <c r="Q888" i="5" a="1"/>
  <c r="Q863" i="5" a="1"/>
  <c r="Q851" i="5" a="1"/>
  <c r="Q838" i="5" a="1"/>
  <c r="Q813" i="5" a="1"/>
  <c r="Q801" i="5" a="1"/>
  <c r="Q788" i="5" a="1"/>
  <c r="Q1983" i="5" a="1"/>
  <c r="Q1980" i="5" a="1"/>
  <c r="Q1976" i="5" a="1"/>
  <c r="Q1943" i="5" a="1"/>
  <c r="Q1912" i="5" a="1"/>
  <c r="Q1853" i="5" a="1"/>
  <c r="Q1825" i="5" a="1"/>
  <c r="Q1797" i="5" a="1"/>
  <c r="Q1720" i="5" a="1"/>
  <c r="Q1695" i="5" a="1"/>
  <c r="Q1647" i="5" a="1"/>
  <c r="Q1603" i="5" a="1"/>
  <c r="Q1558" i="5" a="1"/>
  <c r="Q1537" i="5" a="1"/>
  <c r="Q1517" i="5" a="1"/>
  <c r="Q1477" i="5" a="1"/>
  <c r="Q1458" i="5" a="1"/>
  <c r="Q1419" i="5" a="1"/>
  <c r="Q1400" i="5" a="1"/>
  <c r="Q1382" i="5" a="1"/>
  <c r="Q1326" i="5" a="1"/>
  <c r="Q1289" i="5" a="1"/>
  <c r="Q1237" i="5" a="1"/>
  <c r="Q1218" i="5" a="1"/>
  <c r="Q1201" i="5" a="1"/>
  <c r="Q1165" i="5" a="1"/>
  <c r="Q1148" i="5" a="1"/>
  <c r="Q1135" i="5" a="1"/>
  <c r="Q1122" i="5" a="1"/>
  <c r="Q1096" i="5" a="1"/>
  <c r="Q1046" i="5" a="1"/>
  <c r="Q996" i="5" a="1"/>
  <c r="Q946" i="5" a="1"/>
  <c r="Q896" i="5" a="1"/>
  <c r="Q846" i="5" a="1"/>
  <c r="Q796" i="5" a="1"/>
  <c r="Q760" i="5" a="1"/>
  <c r="Q750" i="5" a="1"/>
  <c r="Q740" i="5" a="1"/>
  <c r="Q730" i="5" a="1"/>
  <c r="Q720" i="5" a="1"/>
  <c r="Q710" i="5" a="1"/>
  <c r="Q700" i="5" a="1"/>
  <c r="Q690" i="5" a="1"/>
  <c r="Q680" i="5" a="1"/>
  <c r="Q670" i="5" a="1"/>
  <c r="Q660" i="5" a="1"/>
  <c r="Q650" i="5" a="1"/>
  <c r="Q640" i="5" a="1"/>
  <c r="Q630" i="5" a="1"/>
  <c r="Q620" i="5" a="1"/>
  <c r="Q610" i="5" a="1"/>
  <c r="Q600" i="5" a="1"/>
  <c r="Q590" i="5" a="1"/>
  <c r="Q580" i="5" a="1"/>
  <c r="Q570" i="5" a="1"/>
  <c r="Q560" i="5" a="1"/>
  <c r="Q550" i="5" a="1"/>
  <c r="Q1996" i="5" a="1"/>
  <c r="Q1870" i="5" a="1"/>
  <c r="Q1822" i="5" a="1"/>
  <c r="Q1652" i="5" a="1"/>
  <c r="Q1616" i="5" a="1"/>
  <c r="Q1578" i="5" a="1"/>
  <c r="Q1542" i="5" a="1"/>
  <c r="Q1508" i="5" a="1"/>
  <c r="Q1318" i="5" a="1"/>
  <c r="Q1197" i="5" a="1"/>
  <c r="Q1143" i="5" a="1"/>
  <c r="Q1098" i="5" a="1"/>
  <c r="Q1057" i="5" a="1"/>
  <c r="Q1016" i="5" a="1"/>
  <c r="Q994" i="5" a="1"/>
  <c r="Q973" i="5" a="1"/>
  <c r="Q932" i="5" a="1"/>
  <c r="Q911" i="5" a="1"/>
  <c r="Q870" i="5" a="1"/>
  <c r="Q848" i="5" a="1"/>
  <c r="Q807" i="5" a="1"/>
  <c r="Q716" i="5" a="1"/>
  <c r="Q666" i="5" a="1"/>
  <c r="Q633" i="5" a="1"/>
  <c r="Q607" i="5" a="1"/>
  <c r="Q593" i="5" a="1"/>
  <c r="Q531" i="5" a="1"/>
  <c r="Q519" i="5" a="1"/>
  <c r="Q496" i="5" a="1"/>
  <c r="Q472" i="5" a="1"/>
  <c r="Q461" i="5" a="1"/>
  <c r="Q450" i="5" a="1"/>
  <c r="Q383" i="5" a="1"/>
  <c r="Q373" i="5" a="1"/>
  <c r="Q363" i="5" a="1"/>
  <c r="Q353" i="5" a="1"/>
  <c r="Q343" i="5" a="1"/>
  <c r="Q333" i="5" a="1"/>
  <c r="Q323" i="5" a="1"/>
  <c r="Q313" i="5" a="1"/>
  <c r="Q303" i="5" a="1"/>
  <c r="Q293" i="5" a="1"/>
  <c r="Q283" i="5" a="1"/>
  <c r="Q273" i="5" a="1"/>
  <c r="Q263" i="5" a="1"/>
  <c r="Q253" i="5" a="1"/>
  <c r="Q243" i="5" a="1"/>
  <c r="Q233" i="5" a="1"/>
  <c r="Q223" i="5" a="1"/>
  <c r="Q213" i="5" a="1"/>
  <c r="Q203" i="5" a="1"/>
  <c r="Q193" i="5" a="1"/>
  <c r="Q183" i="5" a="1"/>
  <c r="Q173" i="5" a="1"/>
  <c r="Q163" i="5" a="1"/>
  <c r="Q153" i="5" a="1"/>
  <c r="Q143" i="5" a="1"/>
  <c r="Q133" i="5" a="1"/>
  <c r="Q123" i="5" a="1"/>
  <c r="Q113" i="5" a="1"/>
  <c r="Q1992" i="5" a="1"/>
  <c r="Q1917" i="5" a="1"/>
  <c r="Q1916" i="5" a="1"/>
  <c r="Q1860" i="5" a="1"/>
  <c r="Q1817" i="5" a="1"/>
  <c r="Q1977" i="5" a="1"/>
  <c r="Q1910" i="5" a="1"/>
  <c r="Q1970" i="5" a="1"/>
  <c r="Q1815" i="5" a="1"/>
  <c r="Q1963" i="5" a="1"/>
  <c r="Q1805" i="5" a="1"/>
  <c r="Q1605" i="5" a="1"/>
  <c r="Q1533" i="5" a="1"/>
  <c r="Q1498" i="5" a="1"/>
  <c r="Q1463" i="5" a="1"/>
  <c r="Q1367" i="5" a="1"/>
  <c r="Q1308" i="5" a="1"/>
  <c r="Q1250" i="5" a="1"/>
  <c r="Q1159" i="5" a="1"/>
  <c r="Q1112" i="5" a="1"/>
  <c r="Q1093" i="5" a="1"/>
  <c r="Q1072" i="5" a="1"/>
  <c r="Q1050" i="5" a="1"/>
  <c r="Q1031" i="5" a="1"/>
  <c r="Q1010" i="5" a="1"/>
  <c r="Q987" i="5" a="1"/>
  <c r="Q968" i="5" a="1"/>
  <c r="Q947" i="5" a="1"/>
  <c r="Q924" i="5" a="1"/>
  <c r="Q884" i="5" a="1"/>
  <c r="Q862" i="5" a="1"/>
  <c r="Q843" i="5" a="1"/>
  <c r="Q822" i="5" a="1"/>
  <c r="Q800" i="5" a="1"/>
  <c r="Q781" i="5" a="1"/>
  <c r="Q629" i="5" a="1"/>
  <c r="Q589" i="5" a="1"/>
  <c r="Q539" i="5" a="1"/>
  <c r="Q516" i="5" a="1"/>
  <c r="Q492" i="5" a="1"/>
  <c r="Q413" i="5" a="1"/>
  <c r="Q402" i="5" a="1"/>
  <c r="Q391" i="5" a="1"/>
  <c r="Q1952" i="5" a="1"/>
  <c r="Q1900" i="5" a="1"/>
  <c r="Q1803" i="5" a="1"/>
  <c r="Q1760" i="5" a="1"/>
  <c r="Q1715" i="5" a="1"/>
  <c r="Q1675" i="5" a="1"/>
  <c r="Q1600" i="5" a="1"/>
  <c r="Q1460" i="5" a="1"/>
  <c r="Q1432" i="5" a="1"/>
  <c r="Q1366" i="5" a="1"/>
  <c r="Q1337" i="5" a="1"/>
  <c r="Q1185" i="5" a="1"/>
  <c r="Q1133" i="5" a="1"/>
  <c r="Q1111" i="5" a="1"/>
  <c r="Q1070" i="5" a="1"/>
  <c r="Q1048" i="5" a="1"/>
  <c r="Q1007" i="5" a="1"/>
  <c r="Q966" i="5" a="1"/>
  <c r="Q944" i="5" a="1"/>
  <c r="Q923" i="5" a="1"/>
  <c r="Q882" i="5" a="1"/>
  <c r="Q861" i="5" a="1"/>
  <c r="Q820" i="5" a="1"/>
  <c r="Q798" i="5" a="1"/>
  <c r="Q726" i="5" a="1"/>
  <c r="Q676" i="5" a="1"/>
  <c r="Q628" i="5" a="1"/>
  <c r="Q615" i="5" a="1"/>
  <c r="Q588" i="5" a="1"/>
  <c r="Q538" i="5" a="1"/>
  <c r="Q515" i="5" a="1"/>
  <c r="Q491" i="5" a="1"/>
  <c r="Q479" i="5" a="1"/>
  <c r="Q423" i="5" a="1"/>
  <c r="Q412" i="5" a="1"/>
  <c r="Q401" i="5" a="1"/>
  <c r="Q390" i="5" a="1"/>
  <c r="Q379" i="5" a="1"/>
  <c r="Q369" i="5" a="1"/>
  <c r="Q359" i="5" a="1"/>
  <c r="Q349" i="5" a="1"/>
  <c r="Q339" i="5" a="1"/>
  <c r="Q329" i="5" a="1"/>
  <c r="Q319" i="5" a="1"/>
  <c r="Q1847" i="5" a="1"/>
  <c r="Q1753" i="5" a="1"/>
  <c r="Q1632" i="5" a="1"/>
  <c r="Q1562" i="5" a="1"/>
  <c r="Q1523" i="5" a="1"/>
  <c r="Q1493" i="5" a="1"/>
  <c r="Q1459" i="5" a="1"/>
  <c r="Q1426" i="5" a="1"/>
  <c r="Q1397" i="5" a="1"/>
  <c r="Q1331" i="5" a="1"/>
  <c r="Q1275" i="5" a="1"/>
  <c r="Q1215" i="5" a="1"/>
  <c r="Q1025" i="5" a="1"/>
  <c r="Q1006" i="5" a="1"/>
  <c r="Q985" i="5" a="1"/>
  <c r="Q775" i="5" a="1"/>
  <c r="Q758" i="5" a="1"/>
  <c r="Q741" i="5" a="1"/>
  <c r="Q723" i="5" a="1"/>
  <c r="Q708" i="5" a="1"/>
  <c r="Q691" i="5" a="1"/>
  <c r="Q673" i="5" a="1"/>
  <c r="Q658" i="5" a="1"/>
  <c r="Q641" i="5" a="1"/>
  <c r="Q601" i="5" a="1"/>
  <c r="Q575" i="5" a="1"/>
  <c r="Q562" i="5" a="1"/>
  <c r="Q549" i="5" a="1"/>
  <c r="Q526" i="5" a="1"/>
  <c r="Q502" i="5" a="1"/>
  <c r="Q467" i="5" a="1"/>
  <c r="Q456" i="5" a="1"/>
  <c r="Q445" i="5" a="1"/>
  <c r="Q389" i="5" a="1"/>
  <c r="Q1950" i="5" a="1"/>
  <c r="Q1890" i="5" a="1"/>
  <c r="Q1713" i="5" a="1"/>
  <c r="Q1673" i="5" a="1"/>
  <c r="Q1630" i="5" a="1"/>
  <c r="Q1598" i="5" a="1"/>
  <c r="Q1560" i="5" a="1"/>
  <c r="Q1492" i="5" a="1"/>
  <c r="Q1425" i="5" a="1"/>
  <c r="Q1365" i="5" a="1"/>
  <c r="Q1330" i="5" a="1"/>
  <c r="Q1272" i="5" a="1"/>
  <c r="Q1240" i="5" a="1"/>
  <c r="Q1183" i="5" a="1"/>
  <c r="Q1152" i="5" a="1"/>
  <c r="Q1132" i="5" a="1"/>
  <c r="Q1110" i="5" a="1"/>
  <c r="Q1087" i="5" a="1"/>
  <c r="Q1068" i="5" a="1"/>
  <c r="Q1047" i="5" a="1"/>
  <c r="Q1024" i="5" a="1"/>
  <c r="Q984" i="5" a="1"/>
  <c r="Q962" i="5" a="1"/>
  <c r="Q943" i="5" a="1"/>
  <c r="Q922" i="5" a="1"/>
  <c r="Q900" i="5" a="1"/>
  <c r="Q881" i="5" a="1"/>
  <c r="Q860" i="5" a="1"/>
  <c r="Q837" i="5" a="1"/>
  <c r="Q818" i="5" a="1"/>
  <c r="Q797" i="5" a="1"/>
  <c r="Q774" i="5" a="1"/>
  <c r="Q627" i="5" a="1"/>
  <c r="Q613" i="5" a="1"/>
  <c r="Q587" i="5" a="1"/>
  <c r="Q537" i="5" a="1"/>
  <c r="Q513" i="5" a="1"/>
  <c r="Q490" i="5" a="1"/>
  <c r="Q478" i="5" a="1"/>
  <c r="Q433" i="5" a="1"/>
  <c r="Q422" i="5" a="1"/>
  <c r="Q411" i="5" a="1"/>
  <c r="Q400" i="5" a="1"/>
  <c r="Q378" i="5" a="1"/>
  <c r="Q368" i="5" a="1"/>
  <c r="Q358" i="5" a="1"/>
  <c r="Q348" i="5" a="1"/>
  <c r="Q338" i="5" a="1"/>
  <c r="Q328" i="5" a="1"/>
  <c r="Q318" i="5" a="1"/>
  <c r="Q1946" i="5" a="1"/>
  <c r="Q1843" i="5" a="1"/>
  <c r="Q1752" i="5" a="1"/>
  <c r="Q1710" i="5" a="1"/>
  <c r="Q1557" i="5" a="1"/>
  <c r="Q1522" i="5" a="1"/>
  <c r="Q1490" i="5" a="1"/>
  <c r="Q1457" i="5" a="1"/>
  <c r="Q1360" i="5" a="1"/>
  <c r="Q1270" i="5" a="1"/>
  <c r="Q1239" i="5" a="1"/>
  <c r="Q1181" i="5" a="1"/>
  <c r="Q1131" i="5" a="1"/>
  <c r="Q1086" i="5" a="1"/>
  <c r="Q1067" i="5" a="1"/>
  <c r="Q1045" i="5" a="1"/>
  <c r="Q1004" i="5" a="1"/>
  <c r="Q942" i="5" a="1"/>
  <c r="Q880" i="5" a="1"/>
  <c r="Q836" i="5" a="1"/>
  <c r="Q817" i="5" a="1"/>
  <c r="Q795" i="5" a="1"/>
  <c r="Q739" i="5" a="1"/>
  <c r="Q722" i="5" a="1"/>
  <c r="Q689" i="5" a="1"/>
  <c r="Q672" i="5" a="1"/>
  <c r="Q639" i="5" a="1"/>
  <c r="Q599" i="5" a="1"/>
  <c r="Q573" i="5" a="1"/>
  <c r="Q561" i="5" a="1"/>
  <c r="Q548" i="5" a="1"/>
  <c r="Q525" i="5" a="1"/>
  <c r="Q501" i="5" a="1"/>
  <c r="Q489" i="5" a="1"/>
  <c r="Q466" i="5" a="1"/>
  <c r="Q455" i="5" a="1"/>
  <c r="Q399" i="5" a="1"/>
  <c r="Q388" i="5" a="1"/>
  <c r="Q1886" i="5" a="1"/>
  <c r="Q1842" i="5" a="1"/>
  <c r="Q1793" i="5" a="1"/>
  <c r="Q1667" i="5" a="1"/>
  <c r="Q1628" i="5" a="1"/>
  <c r="Q1595" i="5" a="1"/>
  <c r="Q1520" i="5" a="1"/>
  <c r="Q1488" i="5" a="1"/>
  <c r="Q1455" i="5" a="1"/>
  <c r="Q1423" i="5" a="1"/>
  <c r="Q1393" i="5" a="1"/>
  <c r="Q1359" i="5" a="1"/>
  <c r="Q1301" i="5" a="1"/>
  <c r="Q1212" i="5" a="1"/>
  <c r="Q1180" i="5" a="1"/>
  <c r="Q1151" i="5" a="1"/>
  <c r="Q1107" i="5" a="1"/>
  <c r="Q1066" i="5" a="1"/>
  <c r="Q1044" i="5" a="1"/>
  <c r="Q1023" i="5" a="1"/>
  <c r="Q982" i="5" a="1"/>
  <c r="Q961" i="5" a="1"/>
  <c r="Q920" i="5" a="1"/>
  <c r="Q898" i="5" a="1"/>
  <c r="Q857" i="5" a="1"/>
  <c r="Q816" i="5" a="1"/>
  <c r="Q794" i="5" a="1"/>
  <c r="Q773" i="5" a="1"/>
  <c r="Q756" i="5" a="1"/>
  <c r="Q706" i="5" a="1"/>
  <c r="Q656" i="5" a="1"/>
  <c r="Q626" i="5" a="1"/>
  <c r="Q612" i="5" a="1"/>
  <c r="Q586" i="5" a="1"/>
  <c r="Q536" i="5" a="1"/>
  <c r="Q512" i="5" a="1"/>
  <c r="Q477" i="5" a="1"/>
  <c r="Q443" i="5" a="1"/>
  <c r="Q432" i="5" a="1"/>
  <c r="Q421" i="5" a="1"/>
  <c r="Q410" i="5" a="1"/>
  <c r="Q377" i="5" a="1"/>
  <c r="Q367" i="5" a="1"/>
  <c r="Q357" i="5" a="1"/>
  <c r="Q347" i="5" a="1"/>
  <c r="Q337" i="5" a="1"/>
  <c r="Q327" i="5" a="1"/>
  <c r="Q317" i="5" a="1"/>
  <c r="Q307" i="5" a="1"/>
  <c r="Q297" i="5" a="1"/>
  <c r="Q287" i="5" a="1"/>
  <c r="Q277" i="5" a="1"/>
  <c r="Q267" i="5" a="1"/>
  <c r="Q257" i="5" a="1"/>
  <c r="Q247" i="5" a="1"/>
  <c r="Q237" i="5" a="1"/>
  <c r="Q227" i="5" a="1"/>
  <c r="Q217" i="5" a="1"/>
  <c r="Q207" i="5" a="1"/>
  <c r="Q197" i="5" a="1"/>
  <c r="Q187" i="5" a="1"/>
  <c r="Q177" i="5" a="1"/>
  <c r="Q167" i="5" a="1"/>
  <c r="Q157" i="5" a="1"/>
  <c r="Q147" i="5" a="1"/>
  <c r="Q137" i="5" a="1"/>
  <c r="Q127" i="5" a="1"/>
  <c r="Q117" i="5" a="1"/>
  <c r="Q107" i="5" a="1"/>
  <c r="Q1747" i="5" a="1"/>
  <c r="Q1883" i="5" a="1"/>
  <c r="Q1937" i="5" a="1"/>
  <c r="Q1830" i="5" a="1"/>
  <c r="Q1932" i="5" a="1"/>
  <c r="Q1786" i="5" a="1"/>
  <c r="Q1877" i="5" a="1"/>
  <c r="Q1827" i="5" a="1"/>
  <c r="Q1697" i="5" a="1"/>
  <c r="Q1656" i="5" a="1"/>
  <c r="Q1622" i="5" a="1"/>
  <c r="Q1585" i="5" a="1"/>
  <c r="Q1417" i="5" a="1"/>
  <c r="Q1350" i="5" a="1"/>
  <c r="Q1202" i="5" a="1"/>
  <c r="Q1170" i="5" a="1"/>
  <c r="Q1123" i="5" a="1"/>
  <c r="Q975" i="5" a="1"/>
  <c r="Q956" i="5" a="1"/>
  <c r="Q935" i="5" a="1"/>
  <c r="Q751" i="5" a="1"/>
  <c r="Q733" i="5" a="1"/>
  <c r="Q718" i="5" a="1"/>
  <c r="Q701" i="5" a="1"/>
  <c r="Q683" i="5" a="1"/>
  <c r="Q668" i="5" a="1"/>
  <c r="Q651" i="5" a="1"/>
  <c r="Q636" i="5" a="1"/>
  <c r="Q622" i="5" a="1"/>
  <c r="Q596" i="5" a="1"/>
  <c r="Q582" i="5" a="1"/>
  <c r="Q569" i="5" a="1"/>
  <c r="Q557" i="5" a="1"/>
  <c r="Q545" i="5" a="1"/>
  <c r="Q521" i="5" a="1"/>
  <c r="Q509" i="5" a="1"/>
  <c r="Q486" i="5" a="1"/>
  <c r="Q429" i="5" a="1"/>
  <c r="Q418" i="5" a="1"/>
  <c r="Q407" i="5" a="1"/>
  <c r="Q396" i="5" a="1"/>
  <c r="Q385" i="5" a="1"/>
  <c r="Q1576" i="5" a="1"/>
  <c r="Q1515" i="5" a="1"/>
  <c r="Q1462" i="5" a="1"/>
  <c r="Q1406" i="5" a="1"/>
  <c r="Q1306" i="5" a="1"/>
  <c r="Q1158" i="5" a="1"/>
  <c r="Q1118" i="5" a="1"/>
  <c r="Q1082" i="5" a="1"/>
  <c r="Q1012" i="5" a="1"/>
  <c r="Q945" i="5" a="1"/>
  <c r="Q910" i="5" a="1"/>
  <c r="Q873" i="5" a="1"/>
  <c r="Q842" i="5" a="1"/>
  <c r="Q770" i="5" a="1"/>
  <c r="Q742" i="5" a="1"/>
  <c r="Q686" i="5" a="1"/>
  <c r="Q659" i="5" a="1"/>
  <c r="Q632" i="5" a="1"/>
  <c r="Q609" i="5" a="1"/>
  <c r="Q527" i="5" a="1"/>
  <c r="Q468" i="5" a="1"/>
  <c r="Q430" i="5" a="1"/>
  <c r="Q393" i="5" a="1"/>
  <c r="Q361" i="5" a="1"/>
  <c r="Q345" i="5" a="1"/>
  <c r="Q314" i="5" a="1"/>
  <c r="Q301" i="5" a="1"/>
  <c r="Q288" i="5" a="1"/>
  <c r="Q274" i="5" a="1"/>
  <c r="Q261" i="5" a="1"/>
  <c r="Q248" i="5" a="1"/>
  <c r="Q234" i="5" a="1"/>
  <c r="Q221" i="5" a="1"/>
  <c r="Q209" i="5" a="1"/>
  <c r="Q196" i="5" a="1"/>
  <c r="Q171" i="5" a="1"/>
  <c r="Q159" i="5" a="1"/>
  <c r="Q146" i="5" a="1"/>
  <c r="Q121" i="5" a="1"/>
  <c r="Q109" i="5" a="1"/>
  <c r="Q98" i="5" a="1"/>
  <c r="Q806" i="5" a="1"/>
  <c r="Q743" i="5" a="1"/>
  <c r="Q713" i="5" a="1"/>
  <c r="Q661" i="5" a="1"/>
  <c r="Q528" i="5" a="1"/>
  <c r="Q449" i="5" a="1"/>
  <c r="Q184" i="5" a="1"/>
  <c r="Q1772" i="5" a="1"/>
  <c r="Q1573" i="5" a="1"/>
  <c r="Q1513" i="5" a="1"/>
  <c r="Q1252" i="5" a="1"/>
  <c r="Q1117" i="5" a="1"/>
  <c r="Q1081" i="5" a="1"/>
  <c r="Q974" i="5" a="1"/>
  <c r="Q872" i="5" a="1"/>
  <c r="Q835" i="5" a="1"/>
  <c r="Q804" i="5" a="1"/>
  <c r="Q768" i="5" a="1"/>
  <c r="Q738" i="5" a="1"/>
  <c r="Q712" i="5" a="1"/>
  <c r="Q653" i="5" a="1"/>
  <c r="Q608" i="5" a="1"/>
  <c r="Q585" i="5" a="1"/>
  <c r="Q566" i="5" a="1"/>
  <c r="Q523" i="5" a="1"/>
  <c r="Q506" i="5" a="1"/>
  <c r="Q465" i="5" a="1"/>
  <c r="Q448" i="5" a="1"/>
  <c r="Q409" i="5" a="1"/>
  <c r="Q375" i="5" a="1"/>
  <c r="Q344" i="5" a="1"/>
  <c r="Q330" i="5" a="1"/>
  <c r="Q567" i="5" a="1"/>
  <c r="Q1627" i="5" a="1"/>
  <c r="Q1453" i="5" a="1"/>
  <c r="Q1405" i="5" a="1"/>
  <c r="Q1347" i="5" a="1"/>
  <c r="Q1199" i="5" a="1"/>
  <c r="Q1116" i="5" a="1"/>
  <c r="Q1080" i="5" a="1"/>
  <c r="Q1043" i="5" a="1"/>
  <c r="Q1011" i="5" a="1"/>
  <c r="Q937" i="5" a="1"/>
  <c r="Q907" i="5" a="1"/>
  <c r="Q834" i="5" a="1"/>
  <c r="Q767" i="5" a="1"/>
  <c r="Q682" i="5" a="1"/>
  <c r="Q631" i="5" a="1"/>
  <c r="Q543" i="5" a="1"/>
  <c r="Q485" i="5" a="1"/>
  <c r="Q428" i="5" a="1"/>
  <c r="Q392" i="5" a="1"/>
  <c r="Q374" i="5" a="1"/>
  <c r="Q360" i="5" a="1"/>
  <c r="Q300" i="5" a="1"/>
  <c r="Q286" i="5" a="1"/>
  <c r="Q260" i="5" a="1"/>
  <c r="Q246" i="5" a="1"/>
  <c r="Q220" i="5" a="1"/>
  <c r="Q208" i="5" a="1"/>
  <c r="Q195" i="5" a="1"/>
  <c r="Q182" i="5" a="1"/>
  <c r="Q170" i="5" a="1"/>
  <c r="Q158" i="5" a="1"/>
  <c r="Q145" i="5" a="1"/>
  <c r="Q132" i="5" a="1"/>
  <c r="Q120" i="5" a="1"/>
  <c r="Q108" i="5" a="1"/>
  <c r="Q97" i="5" a="1"/>
  <c r="Q1256" i="5" a="1"/>
  <c r="Q469" i="5" a="1"/>
  <c r="Q1920" i="5" a="1"/>
  <c r="Q1690" i="5" a="1"/>
  <c r="Q1623" i="5" a="1"/>
  <c r="Q1566" i="5" a="1"/>
  <c r="Q1503" i="5" a="1"/>
  <c r="Q1346" i="5" a="1"/>
  <c r="Q1293" i="5" a="1"/>
  <c r="Q1251" i="5" a="1"/>
  <c r="Q1147" i="5" a="1"/>
  <c r="Q1075" i="5" a="1"/>
  <c r="Q1042" i="5" a="1"/>
  <c r="Q936" i="5" a="1"/>
  <c r="Q906" i="5" a="1"/>
  <c r="Q763" i="5" a="1"/>
  <c r="Q711" i="5" a="1"/>
  <c r="Q681" i="5" a="1"/>
  <c r="Q652" i="5" a="1"/>
  <c r="Q583" i="5" a="1"/>
  <c r="Q565" i="5" a="1"/>
  <c r="Q542" i="5" a="1"/>
  <c r="Q522" i="5" a="1"/>
  <c r="Q505" i="5" a="1"/>
  <c r="Q483" i="5" a="1"/>
  <c r="Q447" i="5" a="1"/>
  <c r="Q427" i="5" a="1"/>
  <c r="Q408" i="5" a="1"/>
  <c r="Q312" i="5" a="1"/>
  <c r="Q272" i="5" a="1"/>
  <c r="Q232" i="5" a="1"/>
  <c r="Q194" i="5" a="1"/>
  <c r="Q144" i="5" a="1"/>
  <c r="Q546" i="5" a="1"/>
  <c r="Q376" i="5" a="1"/>
  <c r="Q315" i="5" a="1"/>
  <c r="Q1906" i="5" a="1"/>
  <c r="Q1765" i="5" a="1"/>
  <c r="Q1565" i="5" a="1"/>
  <c r="Q1502" i="5" a="1"/>
  <c r="Q1450" i="5" a="1"/>
  <c r="Q1345" i="5" a="1"/>
  <c r="Q1247" i="5" a="1"/>
  <c r="Q1196" i="5" a="1"/>
  <c r="Q1146" i="5" a="1"/>
  <c r="Q1074" i="5" a="1"/>
  <c r="Q972" i="5" a="1"/>
  <c r="Q904" i="5" a="1"/>
  <c r="Q868" i="5" a="1"/>
  <c r="Q832" i="5" a="1"/>
  <c r="Q736" i="5" a="1"/>
  <c r="Q709" i="5" a="1"/>
  <c r="Q606" i="5" a="1"/>
  <c r="Q563" i="5" a="1"/>
  <c r="Q503" i="5" a="1"/>
  <c r="Q463" i="5" a="1"/>
  <c r="Q446" i="5" a="1"/>
  <c r="Q342" i="5" a="1"/>
  <c r="Q326" i="5" a="1"/>
  <c r="Q299" i="5" a="1"/>
  <c r="Q285" i="5" a="1"/>
  <c r="Q259" i="5" a="1"/>
  <c r="Q245" i="5" a="1"/>
  <c r="Q219" i="5" a="1"/>
  <c r="Q206" i="5" a="1"/>
  <c r="Q181" i="5" a="1"/>
  <c r="Q169" i="5" a="1"/>
  <c r="Q156" i="5" a="1"/>
  <c r="Q131" i="5" a="1"/>
  <c r="Q119" i="5" a="1"/>
  <c r="Q106" i="5" a="1"/>
  <c r="Q96" i="5" a="1"/>
  <c r="Q507" i="5" a="1"/>
  <c r="Q331" i="5" a="1"/>
  <c r="Q235" i="5" a="1"/>
  <c r="Q134" i="5" a="1"/>
  <c r="Q1687" i="5" a="1"/>
  <c r="Q1556" i="5" a="1"/>
  <c r="Q1445" i="5" a="1"/>
  <c r="Q1387" i="5" a="1"/>
  <c r="Q1342" i="5" a="1"/>
  <c r="Q1290" i="5" a="1"/>
  <c r="Q1238" i="5" a="1"/>
  <c r="Q1145" i="5" a="1"/>
  <c r="Q1106" i="5" a="1"/>
  <c r="Q1037" i="5" a="1"/>
  <c r="Q934" i="5" a="1"/>
  <c r="Q867" i="5" a="1"/>
  <c r="Q831" i="5" a="1"/>
  <c r="Q762" i="5" a="1"/>
  <c r="Q703" i="5" a="1"/>
  <c r="Q679" i="5" a="1"/>
  <c r="Q625" i="5" a="1"/>
  <c r="Q605" i="5" a="1"/>
  <c r="Q559" i="5" a="1"/>
  <c r="Q541" i="5" a="1"/>
  <c r="Q500" i="5" a="1"/>
  <c r="Q482" i="5" a="1"/>
  <c r="Q462" i="5" a="1"/>
  <c r="Q426" i="5" a="1"/>
  <c r="Q387" i="5" a="1"/>
  <c r="Q372" i="5" a="1"/>
  <c r="Q356" i="5" a="1"/>
  <c r="Q311" i="5" a="1"/>
  <c r="Q298" i="5" a="1"/>
  <c r="Q284" i="5" a="1"/>
  <c r="Q271" i="5" a="1"/>
  <c r="Q258" i="5" a="1"/>
  <c r="Q244" i="5" a="1"/>
  <c r="Q231" i="5" a="1"/>
  <c r="Q980" i="5" a="1"/>
  <c r="Q1876" i="5" a="1"/>
  <c r="Q1746" i="5" a="1"/>
  <c r="Q1617" i="5" a="1"/>
  <c r="Q1500" i="5" a="1"/>
  <c r="Q1340" i="5" a="1"/>
  <c r="Q1288" i="5" a="1"/>
  <c r="Q1193" i="5" a="1"/>
  <c r="Q1073" i="5" a="1"/>
  <c r="Q1036" i="5" a="1"/>
  <c r="Q1000" i="5" a="1"/>
  <c r="Q970" i="5" a="1"/>
  <c r="Q897" i="5" a="1"/>
  <c r="Q866" i="5" a="1"/>
  <c r="Q830" i="5" a="1"/>
  <c r="Q793" i="5" a="1"/>
  <c r="Q732" i="5" a="1"/>
  <c r="Q649" i="5" a="1"/>
  <c r="Q581" i="5" a="1"/>
  <c r="Q520" i="5" a="1"/>
  <c r="Q499" i="5" a="1"/>
  <c r="Q442" i="5" a="1"/>
  <c r="Q406" i="5" a="1"/>
  <c r="Q341" i="5" a="1"/>
  <c r="Q325" i="5" a="1"/>
  <c r="Q218" i="5" a="1"/>
  <c r="Q205" i="5" a="1"/>
  <c r="Q192" i="5" a="1"/>
  <c r="Q180" i="5" a="1"/>
  <c r="Q168" i="5" a="1"/>
  <c r="Q155" i="5" a="1"/>
  <c r="Q142" i="5" a="1"/>
  <c r="Q130" i="5" a="1"/>
  <c r="Q118" i="5" a="1"/>
  <c r="Q105" i="5" a="1"/>
  <c r="Q1552" i="5" a="1"/>
  <c r="Q1440" i="5" a="1"/>
  <c r="Q1386" i="5" a="1"/>
  <c r="Q1339" i="5" a="1"/>
  <c r="Q1287" i="5" a="1"/>
  <c r="Q1188" i="5" a="1"/>
  <c r="Q1104" i="5" a="1"/>
  <c r="Q1035" i="5" a="1"/>
  <c r="Q895" i="5" a="1"/>
  <c r="Q825" i="5" a="1"/>
  <c r="Q792" i="5" a="1"/>
  <c r="Q761" i="5" a="1"/>
  <c r="Q731" i="5" a="1"/>
  <c r="Q702" i="5" a="1"/>
  <c r="Q678" i="5" a="1"/>
  <c r="Q648" i="5" a="1"/>
  <c r="Q623" i="5" a="1"/>
  <c r="Q603" i="5" a="1"/>
  <c r="Q579" i="5" a="1"/>
  <c r="Q558" i="5" a="1"/>
  <c r="Q540" i="5" a="1"/>
  <c r="Q481" i="5" a="1"/>
  <c r="Q425" i="5" a="1"/>
  <c r="Q405" i="5" a="1"/>
  <c r="Q386" i="5" a="1"/>
  <c r="Q371" i="5" a="1"/>
  <c r="Q355" i="5" a="1"/>
  <c r="Q324" i="5" a="1"/>
  <c r="Q310" i="5" a="1"/>
  <c r="Q296" i="5" a="1"/>
  <c r="Q270" i="5" a="1"/>
  <c r="Q256" i="5" a="1"/>
  <c r="Q230" i="5" a="1"/>
  <c r="Q204" i="5" a="1"/>
  <c r="Q154" i="5" a="1"/>
  <c r="Q1608" i="5" a="1"/>
  <c r="Q1495" i="5" a="1"/>
  <c r="Q1439" i="5" a="1"/>
  <c r="Q1385" i="5" a="1"/>
  <c r="Q1285" i="5" a="1"/>
  <c r="Q1233" i="5" a="1"/>
  <c r="Q1187" i="5" a="1"/>
  <c r="Q1138" i="5" a="1"/>
  <c r="Q1034" i="5" a="1"/>
  <c r="Q998" i="5" a="1"/>
  <c r="Q967" i="5" a="1"/>
  <c r="Q931" i="5" a="1"/>
  <c r="Q894" i="5" a="1"/>
  <c r="Q824" i="5" a="1"/>
  <c r="Q759" i="5" a="1"/>
  <c r="Q602" i="5" a="1"/>
  <c r="Q518" i="5" a="1"/>
  <c r="Q498" i="5" a="1"/>
  <c r="Q480" i="5" a="1"/>
  <c r="Q460" i="5" a="1"/>
  <c r="Q441" i="5" a="1"/>
  <c r="Q354" i="5" a="1"/>
  <c r="Q340" i="5" a="1"/>
  <c r="Q282" i="5" a="1"/>
  <c r="Q242" i="5" a="1"/>
  <c r="Q216" i="5" a="1"/>
  <c r="Q191" i="5" a="1"/>
  <c r="Q179" i="5" a="1"/>
  <c r="Q166" i="5" a="1"/>
  <c r="Q141" i="5" a="1"/>
  <c r="Q129" i="5" a="1"/>
  <c r="Q116" i="5" a="1"/>
  <c r="Q104" i="5" a="1"/>
  <c r="Q1857" i="5" a="1"/>
  <c r="Q1543" i="5" a="1"/>
  <c r="Q1437" i="5" a="1"/>
  <c r="Q1383" i="5" a="1"/>
  <c r="Q1327" i="5" a="1"/>
  <c r="Q1283" i="5" a="1"/>
  <c r="Q1100" i="5" a="1"/>
  <c r="Q997" i="5" a="1"/>
  <c r="Q930" i="5" a="1"/>
  <c r="Q893" i="5" a="1"/>
  <c r="Q856" i="5" a="1"/>
  <c r="Q787" i="5" a="1"/>
  <c r="Q753" i="5" a="1"/>
  <c r="Q729" i="5" a="1"/>
  <c r="Q671" i="5" a="1"/>
  <c r="Q598" i="5" a="1"/>
  <c r="Q578" i="5" a="1"/>
  <c r="Q497" i="5" a="1"/>
  <c r="Q459" i="5" a="1"/>
  <c r="Q440" i="5" a="1"/>
  <c r="Q370" i="5" a="1"/>
  <c r="Q309" i="5" a="1"/>
  <c r="Q295" i="5" a="1"/>
  <c r="Q269" i="5" a="1"/>
  <c r="Q255" i="5" a="1"/>
  <c r="Q229" i="5" a="1"/>
  <c r="Q1162" i="5" a="1"/>
  <c r="Q1736" i="5" a="1"/>
  <c r="Q1666" i="5" a="1"/>
  <c r="Q1607" i="5" a="1"/>
  <c r="Q1379" i="5" a="1"/>
  <c r="Q1230" i="5" a="1"/>
  <c r="Q1137" i="5" a="1"/>
  <c r="Q1062" i="5" a="1"/>
  <c r="Q1032" i="5" a="1"/>
  <c r="Q995" i="5" a="1"/>
  <c r="Q960" i="5" a="1"/>
  <c r="Q892" i="5" a="1"/>
  <c r="Q823" i="5" a="1"/>
  <c r="Q786" i="5" a="1"/>
  <c r="Q699" i="5" a="1"/>
  <c r="Q646" i="5" a="1"/>
  <c r="Q621" i="5" a="1"/>
  <c r="Q556" i="5" a="1"/>
  <c r="Q535" i="5" a="1"/>
  <c r="Q517" i="5" a="1"/>
  <c r="Q476" i="5" a="1"/>
  <c r="Q439" i="5" a="1"/>
  <c r="Q420" i="5" a="1"/>
  <c r="Q403" i="5" a="1"/>
  <c r="Q322" i="5" a="1"/>
  <c r="Q308" i="5" a="1"/>
  <c r="Q294" i="5" a="1"/>
  <c r="Q281" i="5" a="1"/>
  <c r="Q268" i="5" a="1"/>
  <c r="Q254" i="5" a="1"/>
  <c r="Q241" i="5" a="1"/>
  <c r="Q228" i="5" a="1"/>
  <c r="Q215" i="5" a="1"/>
  <c r="Q202" i="5" a="1"/>
  <c r="Q190" i="5" a="1"/>
  <c r="Q178" i="5" a="1"/>
  <c r="Q165" i="5" a="1"/>
  <c r="Q152" i="5" a="1"/>
  <c r="Q140" i="5" a="1"/>
  <c r="Q128" i="5" a="1"/>
  <c r="Q115" i="5" a="1"/>
  <c r="Q103" i="5" a="1"/>
  <c r="Q1833" i="5" a="1"/>
  <c r="Q1726" i="5" a="1"/>
  <c r="Q1663" i="5" a="1"/>
  <c r="Q1480" i="5" a="1"/>
  <c r="Q1378" i="5" a="1"/>
  <c r="Q1325" i="5" a="1"/>
  <c r="Q1277" i="5" a="1"/>
  <c r="Q1225" i="5" a="1"/>
  <c r="Q1136" i="5" a="1"/>
  <c r="Q925" i="5" a="1"/>
  <c r="Q854" i="5" a="1"/>
  <c r="Q785" i="5" a="1"/>
  <c r="Q752" i="5" a="1"/>
  <c r="Q728" i="5" a="1"/>
  <c r="Q698" i="5" a="1"/>
  <c r="Q669" i="5" a="1"/>
  <c r="Q643" i="5" a="1"/>
  <c r="Q619" i="5" a="1"/>
  <c r="Q597" i="5" a="1"/>
  <c r="Q577" i="5" a="1"/>
  <c r="Q555" i="5" a="1"/>
  <c r="Q458" i="5" a="1"/>
  <c r="Q438" i="5" a="1"/>
  <c r="Q419" i="5" a="1"/>
  <c r="Q352" i="5" a="1"/>
  <c r="Q336" i="5" a="1"/>
  <c r="Q214" i="5" a="1"/>
  <c r="Q164" i="5" a="1"/>
  <c r="Q114" i="5" a="1"/>
  <c r="Q1662" i="5" a="1"/>
  <c r="Q1479" i="5" a="1"/>
  <c r="Q1322" i="5" a="1"/>
  <c r="Q1276" i="5" a="1"/>
  <c r="Q1222" i="5" a="1"/>
  <c r="Q1176" i="5" a="1"/>
  <c r="Q1097" i="5" a="1"/>
  <c r="Q1061" i="5" a="1"/>
  <c r="Q1030" i="5" a="1"/>
  <c r="Q993" i="5" a="1"/>
  <c r="Q957" i="5" a="1"/>
  <c r="Q887" i="5" a="1"/>
  <c r="Q784" i="5" a="1"/>
  <c r="Q642" i="5" a="1"/>
  <c r="Q576" i="5" a="1"/>
  <c r="Q533" i="5" a="1"/>
  <c r="Q495" i="5" a="1"/>
  <c r="Q475" i="5" a="1"/>
  <c r="Q457" i="5" a="1"/>
  <c r="Q382" i="5" a="1"/>
  <c r="Q366" i="5" a="1"/>
  <c r="Q321" i="5" a="1"/>
  <c r="Q306" i="5" a="1"/>
  <c r="Q280" i="5" a="1"/>
  <c r="Q266" i="5" a="1"/>
  <c r="Q240" i="5" a="1"/>
  <c r="Q226" i="5" a="1"/>
  <c r="Q201" i="5" a="1"/>
  <c r="Q189" i="5" a="1"/>
  <c r="Q176" i="5" a="1"/>
  <c r="Q151" i="5" a="1"/>
  <c r="Q139" i="5" a="1"/>
  <c r="Q126" i="5" a="1"/>
  <c r="Q102" i="5" a="1"/>
  <c r="Q1823" i="5" a="1"/>
  <c r="Q1653" i="5" a="1"/>
  <c r="Q1587" i="5" a="1"/>
  <c r="Q1536" i="5" a="1"/>
  <c r="Q1422" i="5" a="1"/>
  <c r="Q1375" i="5" a="1"/>
  <c r="Q1321" i="5" a="1"/>
  <c r="Q1268" i="5" a="1"/>
  <c r="Q1095" i="5" a="1"/>
  <c r="Q1060" i="5" a="1"/>
  <c r="Q992" i="5" a="1"/>
  <c r="Q886" i="5" a="1"/>
  <c r="Q850" i="5" a="1"/>
  <c r="Q721" i="5" a="1"/>
  <c r="Q638" i="5" a="1"/>
  <c r="Q618" i="5" a="1"/>
  <c r="Q595" i="5" a="1"/>
  <c r="Q572" i="5" a="1"/>
  <c r="Q553" i="5" a="1"/>
  <c r="Q532" i="5" a="1"/>
  <c r="Q473" i="5" a="1"/>
  <c r="Q437" i="5" a="1"/>
  <c r="Q398" i="5" a="1"/>
  <c r="Q351" i="5" a="1"/>
  <c r="Q335" i="5" a="1"/>
  <c r="Q292" i="5" a="1"/>
  <c r="Q252" i="5" a="1"/>
  <c r="Q487" i="5" a="1"/>
  <c r="Q1535" i="5" a="1"/>
  <c r="Q1420" i="5" a="1"/>
  <c r="Q1221" i="5" a="1"/>
  <c r="Q1168" i="5" a="1"/>
  <c r="Q1125" i="5" a="1"/>
  <c r="Q1094" i="5" a="1"/>
  <c r="Q1022" i="5" a="1"/>
  <c r="Q954" i="5" a="1"/>
  <c r="Q918" i="5" a="1"/>
  <c r="Q812" i="5" a="1"/>
  <c r="Q782" i="5" a="1"/>
  <c r="Q749" i="5" a="1"/>
  <c r="Q696" i="5" a="1"/>
  <c r="Q511" i="5" a="1"/>
  <c r="Q493" i="5" a="1"/>
  <c r="Q453" i="5" a="1"/>
  <c r="Q417" i="5" a="1"/>
  <c r="Q381" i="5" a="1"/>
  <c r="Q365" i="5" a="1"/>
  <c r="Q334" i="5" a="1"/>
  <c r="Q320" i="5" a="1"/>
  <c r="Q305" i="5" a="1"/>
  <c r="Q279" i="5" a="1"/>
  <c r="Q265" i="5" a="1"/>
  <c r="Q239" i="5" a="1"/>
  <c r="Q225" i="5" a="1"/>
  <c r="Q212" i="5" a="1"/>
  <c r="Q200" i="5" a="1"/>
  <c r="Q188" i="5" a="1"/>
  <c r="Q175" i="5" a="1"/>
  <c r="Q162" i="5" a="1"/>
  <c r="Q150" i="5" a="1"/>
  <c r="Q138" i="5" a="1"/>
  <c r="Q125" i="5" a="1"/>
  <c r="Q112" i="5" a="1"/>
  <c r="Q101" i="5" a="1"/>
  <c r="Q1722" i="5" a="1"/>
  <c r="Q1586" i="5" a="1"/>
  <c r="Q1473" i="5" a="1"/>
  <c r="Q1418" i="5" a="1"/>
  <c r="Q1368" i="5" a="1"/>
  <c r="Q1313" i="5" a="1"/>
  <c r="Q1220" i="5" a="1"/>
  <c r="Q1124" i="5" a="1"/>
  <c r="Q1056" i="5" a="1"/>
  <c r="Q917" i="5" a="1"/>
  <c r="Q885" i="5" a="1"/>
  <c r="Q748" i="5" a="1"/>
  <c r="Q719" i="5" a="1"/>
  <c r="Q693" i="5" a="1"/>
  <c r="Q663" i="5" a="1"/>
  <c r="Q637" i="5" a="1"/>
  <c r="Q617" i="5" a="1"/>
  <c r="Q571" i="5" a="1"/>
  <c r="Q552" i="5" a="1"/>
  <c r="Q436" i="5" a="1"/>
  <c r="Q416" i="5" a="1"/>
  <c r="Q397" i="5" a="1"/>
  <c r="Q364" i="5" a="1"/>
  <c r="Q350" i="5" a="1"/>
  <c r="Q304" i="5" a="1"/>
  <c r="Q291" i="5" a="1"/>
  <c r="Q278" i="5" a="1"/>
  <c r="Q264" i="5" a="1"/>
  <c r="Q251" i="5" a="1"/>
  <c r="Q238" i="5" a="1"/>
  <c r="Q224" i="5" a="1"/>
  <c r="Q174" i="5" a="1"/>
  <c r="Q124" i="5" a="1"/>
  <c r="Q275" i="5" a="1"/>
  <c r="Q1530" i="5" a="1"/>
  <c r="Q1265" i="5" a="1"/>
  <c r="Q1092" i="5" a="1"/>
  <c r="Q1020" i="5" a="1"/>
  <c r="Q986" i="5" a="1"/>
  <c r="Q950" i="5" a="1"/>
  <c r="Q916" i="5" a="1"/>
  <c r="Q847" i="5" a="1"/>
  <c r="Q811" i="5" a="1"/>
  <c r="Q780" i="5" a="1"/>
  <c r="Q692" i="5" a="1"/>
  <c r="Q616" i="5" a="1"/>
  <c r="Q592" i="5" a="1"/>
  <c r="Q551" i="5" a="1"/>
  <c r="Q530" i="5" a="1"/>
  <c r="Q510" i="5" a="1"/>
  <c r="Q471" i="5" a="1"/>
  <c r="Q452" i="5" a="1"/>
  <c r="Q435" i="5" a="1"/>
  <c r="Q380" i="5" a="1"/>
  <c r="Q211" i="5" a="1"/>
  <c r="Q199" i="5" a="1"/>
  <c r="Q186" i="5" a="1"/>
  <c r="Q161" i="5" a="1"/>
  <c r="Q149" i="5" a="1"/>
  <c r="Q136" i="5" a="1"/>
  <c r="Q111" i="5" a="1"/>
  <c r="Q100" i="5" a="1"/>
  <c r="Q1643" i="5" a="1"/>
  <c r="Q289" i="5" a="1"/>
  <c r="Q1703" i="5" a="1"/>
  <c r="Q1645" i="5" a="1"/>
  <c r="Q1415" i="5" a="1"/>
  <c r="Q1312" i="5" a="1"/>
  <c r="Q1258" i="5" a="1"/>
  <c r="Q1206" i="5" a="1"/>
  <c r="Q1163" i="5" a="1"/>
  <c r="Q1085" i="5" a="1"/>
  <c r="Q1054" i="5" a="1"/>
  <c r="Q1018" i="5" a="1"/>
  <c r="Q912" i="5" a="1"/>
  <c r="Q875" i="5" a="1"/>
  <c r="Q845" i="5" a="1"/>
  <c r="Q810" i="5" a="1"/>
  <c r="Q688" i="5" a="1"/>
  <c r="Q662" i="5" a="1"/>
  <c r="Q635" i="5" a="1"/>
  <c r="Q547" i="5" a="1"/>
  <c r="Q529" i="5" a="1"/>
  <c r="Q488" i="5" a="1"/>
  <c r="Q451" i="5" a="1"/>
  <c r="Q415" i="5" a="1"/>
  <c r="Q332" i="5" a="1"/>
  <c r="Q316" i="5" a="1"/>
  <c r="Q290" i="5" a="1"/>
  <c r="Q276" i="5" a="1"/>
  <c r="Q250" i="5" a="1"/>
  <c r="Q236" i="5" a="1"/>
  <c r="Q1776" i="5" a="1"/>
  <c r="Q249" i="5" a="1"/>
  <c r="Q1787" i="5" a="1"/>
  <c r="Q1518" i="5" a="1"/>
  <c r="Q1470" i="5" a="1"/>
  <c r="Q1413" i="5" a="1"/>
  <c r="Q1309" i="5" a="1"/>
  <c r="Q1121" i="5" a="1"/>
  <c r="Q1084" i="5" a="1"/>
  <c r="Q1017" i="5" a="1"/>
  <c r="Q981" i="5" a="1"/>
  <c r="Q948" i="5" a="1"/>
  <c r="Q874" i="5" a="1"/>
  <c r="Q844" i="5" a="1"/>
  <c r="Q772" i="5" a="1"/>
  <c r="Q746" i="5" a="1"/>
  <c r="Q611" i="5" a="1"/>
  <c r="Q591" i="5" a="1"/>
  <c r="Q568" i="5" a="1"/>
  <c r="Q508" i="5" a="1"/>
  <c r="Q470" i="5" a="1"/>
  <c r="Q431" i="5" a="1"/>
  <c r="Q395" i="5" a="1"/>
  <c r="Q362" i="5" a="1"/>
  <c r="Q346" i="5" a="1"/>
  <c r="Q302" i="5" a="1"/>
  <c r="Q262" i="5" a="1"/>
  <c r="Q222" i="5" a="1"/>
  <c r="Q210" i="5" a="1"/>
  <c r="Q198" i="5" a="1"/>
  <c r="Q185" i="5" a="1"/>
  <c r="Q172" i="5" a="1"/>
  <c r="Q160" i="5" a="1"/>
  <c r="Q148" i="5" a="1"/>
  <c r="Q135" i="5" a="1"/>
  <c r="Q122" i="5" a="1"/>
  <c r="Q110" i="5" a="1"/>
  <c r="Q99" i="5" a="1"/>
  <c r="R2003" i="5" a="1"/>
  <c r="R1993" i="5" a="1"/>
  <c r="R1983" i="5" a="1"/>
  <c r="R1973" i="5" a="1"/>
  <c r="R1963" i="5" a="1"/>
  <c r="R1953" i="5" a="1"/>
  <c r="R1943" i="5" a="1"/>
  <c r="R1933" i="5" a="1"/>
  <c r="R1923" i="5" a="1"/>
  <c r="R1913" i="5" a="1"/>
  <c r="R1903" i="5" a="1"/>
  <c r="R1893" i="5" a="1"/>
  <c r="R1883" i="5" a="1"/>
  <c r="R1873" i="5" a="1"/>
  <c r="R1863" i="5" a="1"/>
  <c r="R1853" i="5" a="1"/>
  <c r="R1843" i="5" a="1"/>
  <c r="R1833" i="5" a="1"/>
  <c r="R1823" i="5" a="1"/>
  <c r="R1813" i="5" a="1"/>
  <c r="R1803" i="5" a="1"/>
  <c r="R1793" i="5" a="1"/>
  <c r="R1783" i="5" a="1"/>
  <c r="R1773" i="5" a="1"/>
  <c r="R1763" i="5" a="1"/>
  <c r="R1753" i="5" a="1"/>
  <c r="R1743" i="5" a="1"/>
  <c r="R1733" i="5" a="1"/>
  <c r="R2002" i="5" a="1"/>
  <c r="R1992" i="5" a="1"/>
  <c r="R1982" i="5" a="1"/>
  <c r="R1972" i="5" a="1"/>
  <c r="R1962" i="5" a="1"/>
  <c r="R1952" i="5" a="1"/>
  <c r="R1942" i="5" a="1"/>
  <c r="R1932" i="5" a="1"/>
  <c r="R1922" i="5" a="1"/>
  <c r="R1912" i="5" a="1"/>
  <c r="R1902" i="5" a="1"/>
  <c r="R1892" i="5" a="1"/>
  <c r="R1882" i="5" a="1"/>
  <c r="R1872" i="5" a="1"/>
  <c r="R1862" i="5" a="1"/>
  <c r="R1852" i="5" a="1"/>
  <c r="R1842" i="5" a="1"/>
  <c r="R1832" i="5" a="1"/>
  <c r="R1822" i="5" a="1"/>
  <c r="R2001" i="5" a="1"/>
  <c r="R1991" i="5" a="1"/>
  <c r="R1981" i="5" a="1"/>
  <c r="R1971" i="5" a="1"/>
  <c r="R1961" i="5" a="1"/>
  <c r="R1951" i="5" a="1"/>
  <c r="R1941" i="5" a="1"/>
  <c r="R1931" i="5" a="1"/>
  <c r="R1921" i="5" a="1"/>
  <c r="R1911" i="5" a="1"/>
  <c r="R1901" i="5" a="1"/>
  <c r="R1891" i="5" a="1"/>
  <c r="R1881" i="5" a="1"/>
  <c r="R1871" i="5" a="1"/>
  <c r="R1861" i="5" a="1"/>
  <c r="R1851" i="5" a="1"/>
  <c r="R1841" i="5" a="1"/>
  <c r="R1831" i="5" a="1"/>
  <c r="R1821" i="5" a="1"/>
  <c r="R1811" i="5" a="1"/>
  <c r="R1801" i="5" a="1"/>
  <c r="R1791" i="5" a="1"/>
  <c r="R1781" i="5" a="1"/>
  <c r="R1771" i="5" a="1"/>
  <c r="R1761" i="5" a="1"/>
  <c r="R1751" i="5" a="1"/>
  <c r="R1741" i="5" a="1"/>
  <c r="R1731" i="5" a="1"/>
  <c r="R1721" i="5" a="1"/>
  <c r="R1711" i="5" a="1"/>
  <c r="R1701" i="5" a="1"/>
  <c r="R1691" i="5" a="1"/>
  <c r="R1681" i="5" a="1"/>
  <c r="R1671" i="5" a="1"/>
  <c r="R1661" i="5" a="1"/>
  <c r="R1651" i="5" a="1"/>
  <c r="R1641" i="5" a="1"/>
  <c r="R1631" i="5" a="1"/>
  <c r="R1621" i="5" a="1"/>
  <c r="R1611" i="5" a="1"/>
  <c r="R1601" i="5" a="1"/>
  <c r="R1591" i="5" a="1"/>
  <c r="R1581" i="5" a="1"/>
  <c r="R1571" i="5" a="1"/>
  <c r="R1561" i="5" a="1"/>
  <c r="R1551" i="5" a="1"/>
  <c r="R1541" i="5" a="1"/>
  <c r="R1531" i="5" a="1"/>
  <c r="R1521" i="5" a="1"/>
  <c r="R1511" i="5" a="1"/>
  <c r="R1501" i="5" a="1"/>
  <c r="R1491" i="5" a="1"/>
  <c r="R1481" i="5" a="1"/>
  <c r="R1471" i="5" a="1"/>
  <c r="R1461" i="5" a="1"/>
  <c r="R1451" i="5" a="1"/>
  <c r="R1441" i="5" a="1"/>
  <c r="R1431" i="5" a="1"/>
  <c r="R1421" i="5" a="1"/>
  <c r="R1411" i="5" a="1"/>
  <c r="R1401" i="5" a="1"/>
  <c r="R1391" i="5" a="1"/>
  <c r="R1381" i="5" a="1"/>
  <c r="R1371" i="5" a="1"/>
  <c r="R1361" i="5" a="1"/>
  <c r="R1351" i="5" a="1"/>
  <c r="R1341" i="5" a="1"/>
  <c r="R1331" i="5" a="1"/>
  <c r="R1321" i="5" a="1"/>
  <c r="R1311" i="5" a="1"/>
  <c r="R1301" i="5" a="1"/>
  <c r="R1291" i="5" a="1"/>
  <c r="R1281" i="5" a="1"/>
  <c r="R1271" i="5" a="1"/>
  <c r="R1261" i="5" a="1"/>
  <c r="R1251" i="5" a="1"/>
  <c r="R1241" i="5" a="1"/>
  <c r="R1231" i="5" a="1"/>
  <c r="R1221" i="5" a="1"/>
  <c r="R1211" i="5" a="1"/>
  <c r="R1201" i="5" a="1"/>
  <c r="R2000" i="5" a="1"/>
  <c r="R1990" i="5" a="1"/>
  <c r="R1980" i="5" a="1"/>
  <c r="R1970" i="5" a="1"/>
  <c r="R1960" i="5" a="1"/>
  <c r="R1950" i="5" a="1"/>
  <c r="R1940" i="5" a="1"/>
  <c r="R1930" i="5" a="1"/>
  <c r="R1920" i="5" a="1"/>
  <c r="R1910" i="5" a="1"/>
  <c r="R1900" i="5" a="1"/>
  <c r="R1890" i="5" a="1"/>
  <c r="R1880" i="5" a="1"/>
  <c r="R1870" i="5" a="1"/>
  <c r="R1860" i="5" a="1"/>
  <c r="R1850" i="5" a="1"/>
  <c r="R1840" i="5" a="1"/>
  <c r="R1830" i="5" a="1"/>
  <c r="R1820" i="5" a="1"/>
  <c r="R1810" i="5" a="1"/>
  <c r="R1800" i="5" a="1"/>
  <c r="R1790" i="5" a="1"/>
  <c r="R1780" i="5" a="1"/>
  <c r="R1770" i="5" a="1"/>
  <c r="R1760" i="5" a="1"/>
  <c r="R1750" i="5" a="1"/>
  <c r="R1740" i="5" a="1"/>
  <c r="R1730" i="5" a="1"/>
  <c r="R1720" i="5" a="1"/>
  <c r="R1710" i="5" a="1"/>
  <c r="R1700" i="5" a="1"/>
  <c r="R1690" i="5" a="1"/>
  <c r="R1680" i="5" a="1"/>
  <c r="R1670" i="5" a="1"/>
  <c r="R1660" i="5" a="1"/>
  <c r="R1650" i="5" a="1"/>
  <c r="R1640" i="5" a="1"/>
  <c r="R1630" i="5" a="1"/>
  <c r="R1620" i="5" a="1"/>
  <c r="R1610" i="5" a="1"/>
  <c r="R1600" i="5" a="1"/>
  <c r="R1590" i="5" a="1"/>
  <c r="R1580" i="5" a="1"/>
  <c r="R1570" i="5" a="1"/>
  <c r="R1560" i="5" a="1"/>
  <c r="R1550" i="5" a="1"/>
  <c r="R1540" i="5" a="1"/>
  <c r="R1530" i="5" a="1"/>
  <c r="R1520" i="5" a="1"/>
  <c r="R1510" i="5" a="1"/>
  <c r="R1500" i="5" a="1"/>
  <c r="R1490" i="5" a="1"/>
  <c r="R1480" i="5" a="1"/>
  <c r="R1470" i="5" a="1"/>
  <c r="R1460" i="5" a="1"/>
  <c r="R1450" i="5" a="1"/>
  <c r="R1440" i="5" a="1"/>
  <c r="R1430" i="5" a="1"/>
  <c r="R1420" i="5" a="1"/>
  <c r="R1410" i="5" a="1"/>
  <c r="R1400" i="5" a="1"/>
  <c r="R1390" i="5" a="1"/>
  <c r="R1380" i="5" a="1"/>
  <c r="R1370" i="5" a="1"/>
  <c r="R1360" i="5" a="1"/>
  <c r="R1350" i="5" a="1"/>
  <c r="R1340" i="5" a="1"/>
  <c r="R1330" i="5" a="1"/>
  <c r="R1320" i="5" a="1"/>
  <c r="R1310" i="5" a="1"/>
  <c r="R1300" i="5" a="1"/>
  <c r="R1290" i="5" a="1"/>
  <c r="R1280" i="5" a="1"/>
  <c r="R1270" i="5" a="1"/>
  <c r="R1260" i="5" a="1"/>
  <c r="R1250" i="5" a="1"/>
  <c r="R1240" i="5" a="1"/>
  <c r="R1230" i="5" a="1"/>
  <c r="R1220" i="5" a="1"/>
  <c r="R1210" i="5" a="1"/>
  <c r="R1200" i="5" a="1"/>
  <c r="R1190" i="5" a="1"/>
  <c r="R1180" i="5" a="1"/>
  <c r="R1170" i="5" a="1"/>
  <c r="R1160" i="5" a="1"/>
  <c r="R1999" i="5" a="1"/>
  <c r="R1989" i="5" a="1"/>
  <c r="R1979" i="5" a="1"/>
  <c r="R1969" i="5" a="1"/>
  <c r="R1959" i="5" a="1"/>
  <c r="R1949" i="5" a="1"/>
  <c r="R1939" i="5" a="1"/>
  <c r="R1929" i="5" a="1"/>
  <c r="R1919" i="5" a="1"/>
  <c r="R1909" i="5" a="1"/>
  <c r="R1899" i="5" a="1"/>
  <c r="R1889" i="5" a="1"/>
  <c r="R1879" i="5" a="1"/>
  <c r="R1869" i="5" a="1"/>
  <c r="R1859" i="5" a="1"/>
  <c r="R1849" i="5" a="1"/>
  <c r="R1839" i="5" a="1"/>
  <c r="R1829" i="5" a="1"/>
  <c r="R1819" i="5" a="1"/>
  <c r="R1809" i="5" a="1"/>
  <c r="R1799" i="5" a="1"/>
  <c r="R1789" i="5" a="1"/>
  <c r="R1779" i="5" a="1"/>
  <c r="R1769" i="5" a="1"/>
  <c r="R1759" i="5" a="1"/>
  <c r="R1749" i="5" a="1"/>
  <c r="R1739" i="5" a="1"/>
  <c r="R1729" i="5" a="1"/>
  <c r="R1719" i="5" a="1"/>
  <c r="R1709" i="5" a="1"/>
  <c r="R1699" i="5" a="1"/>
  <c r="R1689" i="5" a="1"/>
  <c r="R1679" i="5" a="1"/>
  <c r="R1669" i="5" a="1"/>
  <c r="R1659" i="5" a="1"/>
  <c r="R1649" i="5" a="1"/>
  <c r="R1639" i="5" a="1"/>
  <c r="R1629" i="5" a="1"/>
  <c r="R1619" i="5" a="1"/>
  <c r="R1609" i="5" a="1"/>
  <c r="R1599" i="5" a="1"/>
  <c r="R1589" i="5" a="1"/>
  <c r="R1579" i="5" a="1"/>
  <c r="R1569" i="5" a="1"/>
  <c r="R1559" i="5" a="1"/>
  <c r="R1549" i="5" a="1"/>
  <c r="R1539" i="5" a="1"/>
  <c r="R1529" i="5" a="1"/>
  <c r="R1519" i="5" a="1"/>
  <c r="R1509" i="5" a="1"/>
  <c r="R1499" i="5" a="1"/>
  <c r="R1489" i="5" a="1"/>
  <c r="R1479" i="5" a="1"/>
  <c r="R1469" i="5" a="1"/>
  <c r="R1459" i="5" a="1"/>
  <c r="R1449" i="5" a="1"/>
  <c r="R1439" i="5" a="1"/>
  <c r="R1429" i="5" a="1"/>
  <c r="R1419" i="5" a="1"/>
  <c r="R1409" i="5" a="1"/>
  <c r="R1399" i="5" a="1"/>
  <c r="R1389" i="5" a="1"/>
  <c r="R1379" i="5" a="1"/>
  <c r="R1369" i="5" a="1"/>
  <c r="R1359" i="5" a="1"/>
  <c r="R1349" i="5" a="1"/>
  <c r="R1339" i="5" a="1"/>
  <c r="R1329" i="5" a="1"/>
  <c r="R1319" i="5" a="1"/>
  <c r="R1309" i="5" a="1"/>
  <c r="R1299" i="5" a="1"/>
  <c r="R1289" i="5" a="1"/>
  <c r="R1279" i="5" a="1"/>
  <c r="R1269" i="5" a="1"/>
  <c r="R1259" i="5" a="1"/>
  <c r="R1249" i="5" a="1"/>
  <c r="R1239" i="5" a="1"/>
  <c r="R1229" i="5" a="1"/>
  <c r="R1219" i="5" a="1"/>
  <c r="R1209" i="5" a="1"/>
  <c r="R1199" i="5" a="1"/>
  <c r="R1189" i="5" a="1"/>
  <c r="R1179" i="5" a="1"/>
  <c r="R1169" i="5" a="1"/>
  <c r="R1159" i="5" a="1"/>
  <c r="R1998" i="5" a="1"/>
  <c r="R1988" i="5" a="1"/>
  <c r="R1978" i="5" a="1"/>
  <c r="R1968" i="5" a="1"/>
  <c r="R1958" i="5" a="1"/>
  <c r="R1948" i="5" a="1"/>
  <c r="R1938" i="5" a="1"/>
  <c r="R1928" i="5" a="1"/>
  <c r="R1918" i="5" a="1"/>
  <c r="R1908" i="5" a="1"/>
  <c r="R1898" i="5" a="1"/>
  <c r="R1888" i="5" a="1"/>
  <c r="R1878" i="5" a="1"/>
  <c r="R1868" i="5" a="1"/>
  <c r="R1858" i="5" a="1"/>
  <c r="R1848" i="5" a="1"/>
  <c r="R1838" i="5" a="1"/>
  <c r="R1828" i="5" a="1"/>
  <c r="R1818" i="5" a="1"/>
  <c r="R1808" i="5" a="1"/>
  <c r="R1798" i="5" a="1"/>
  <c r="R1788" i="5" a="1"/>
  <c r="R1778" i="5" a="1"/>
  <c r="R1768" i="5" a="1"/>
  <c r="R1758" i="5" a="1"/>
  <c r="R1748" i="5" a="1"/>
  <c r="R1738" i="5" a="1"/>
  <c r="R1728" i="5" a="1"/>
  <c r="R1718" i="5" a="1"/>
  <c r="R1708" i="5" a="1"/>
  <c r="R1698" i="5" a="1"/>
  <c r="R1688" i="5" a="1"/>
  <c r="R1678" i="5" a="1"/>
  <c r="R1668" i="5" a="1"/>
  <c r="R1658" i="5" a="1"/>
  <c r="R1648" i="5" a="1"/>
  <c r="R1638" i="5" a="1"/>
  <c r="R1628" i="5" a="1"/>
  <c r="R1618" i="5" a="1"/>
  <c r="R1608" i="5" a="1"/>
  <c r="R1598" i="5" a="1"/>
  <c r="R1588" i="5" a="1"/>
  <c r="R1578" i="5" a="1"/>
  <c r="R1568" i="5" a="1"/>
  <c r="R1558" i="5" a="1"/>
  <c r="R1548" i="5" a="1"/>
  <c r="R1538" i="5" a="1"/>
  <c r="R1528" i="5" a="1"/>
  <c r="R1518" i="5" a="1"/>
  <c r="R1508" i="5" a="1"/>
  <c r="R1498" i="5" a="1"/>
  <c r="R1488" i="5" a="1"/>
  <c r="R1478" i="5" a="1"/>
  <c r="R1468" i="5" a="1"/>
  <c r="R1458" i="5" a="1"/>
  <c r="R1448" i="5" a="1"/>
  <c r="R1438" i="5" a="1"/>
  <c r="R1428" i="5" a="1"/>
  <c r="R1418" i="5" a="1"/>
  <c r="R1408" i="5" a="1"/>
  <c r="R1398" i="5" a="1"/>
  <c r="R1388" i="5" a="1"/>
  <c r="R1378" i="5" a="1"/>
  <c r="R1368" i="5" a="1"/>
  <c r="R1358" i="5" a="1"/>
  <c r="R1348" i="5" a="1"/>
  <c r="R1338" i="5" a="1"/>
  <c r="R1328" i="5" a="1"/>
  <c r="R1318" i="5" a="1"/>
  <c r="R1308" i="5" a="1"/>
  <c r="R1298" i="5" a="1"/>
  <c r="R1288" i="5" a="1"/>
  <c r="R1278" i="5" a="1"/>
  <c r="R1268" i="5" a="1"/>
  <c r="R1258" i="5" a="1"/>
  <c r="R1248" i="5" a="1"/>
  <c r="R1238" i="5" a="1"/>
  <c r="R1228" i="5" a="1"/>
  <c r="R1218" i="5" a="1"/>
  <c r="R1208" i="5" a="1"/>
  <c r="R1198" i="5" a="1"/>
  <c r="R1188" i="5" a="1"/>
  <c r="R1178" i="5" a="1"/>
  <c r="R1168" i="5" a="1"/>
  <c r="R1158" i="5" a="1"/>
  <c r="R1997" i="5" a="1"/>
  <c r="R1987" i="5" a="1"/>
  <c r="R1977" i="5" a="1"/>
  <c r="R1967" i="5" a="1"/>
  <c r="R1957" i="5" a="1"/>
  <c r="R1947" i="5" a="1"/>
  <c r="R1937" i="5" a="1"/>
  <c r="R1927" i="5" a="1"/>
  <c r="R1917" i="5" a="1"/>
  <c r="R1907" i="5" a="1"/>
  <c r="R1897" i="5" a="1"/>
  <c r="R1887" i="5" a="1"/>
  <c r="R1877" i="5" a="1"/>
  <c r="R1867" i="5" a="1"/>
  <c r="R1857" i="5" a="1"/>
  <c r="R1847" i="5" a="1"/>
  <c r="R1837" i="5" a="1"/>
  <c r="R1827" i="5" a="1"/>
  <c r="R1817" i="5" a="1"/>
  <c r="R1807" i="5" a="1"/>
  <c r="R1797" i="5" a="1"/>
  <c r="R1787" i="5" a="1"/>
  <c r="R1777" i="5" a="1"/>
  <c r="R1767" i="5" a="1"/>
  <c r="R1757" i="5" a="1"/>
  <c r="R1747" i="5" a="1"/>
  <c r="R1737" i="5" a="1"/>
  <c r="R1727" i="5" a="1"/>
  <c r="R1717" i="5" a="1"/>
  <c r="R1707" i="5" a="1"/>
  <c r="R1697" i="5" a="1"/>
  <c r="R1687" i="5" a="1"/>
  <c r="R1677" i="5" a="1"/>
  <c r="R1667" i="5" a="1"/>
  <c r="R1657" i="5" a="1"/>
  <c r="R1647" i="5" a="1"/>
  <c r="R1637" i="5" a="1"/>
  <c r="R1627" i="5" a="1"/>
  <c r="R1617" i="5" a="1"/>
  <c r="R1607" i="5" a="1"/>
  <c r="R1597" i="5" a="1"/>
  <c r="R1587" i="5" a="1"/>
  <c r="R1577" i="5" a="1"/>
  <c r="R1567" i="5" a="1"/>
  <c r="R1557" i="5" a="1"/>
  <c r="R1547" i="5" a="1"/>
  <c r="R1537" i="5" a="1"/>
  <c r="R1527" i="5" a="1"/>
  <c r="R1517" i="5" a="1"/>
  <c r="R1507" i="5" a="1"/>
  <c r="R1497" i="5" a="1"/>
  <c r="R1487" i="5" a="1"/>
  <c r="R1477" i="5" a="1"/>
  <c r="R1467" i="5" a="1"/>
  <c r="R1457" i="5" a="1"/>
  <c r="R1447" i="5" a="1"/>
  <c r="R1437" i="5" a="1"/>
  <c r="R1427" i="5" a="1"/>
  <c r="R1417" i="5" a="1"/>
  <c r="R1407" i="5" a="1"/>
  <c r="R1397" i="5" a="1"/>
  <c r="R1387" i="5" a="1"/>
  <c r="R1377" i="5" a="1"/>
  <c r="R1367" i="5" a="1"/>
  <c r="R1357" i="5" a="1"/>
  <c r="R1347" i="5" a="1"/>
  <c r="R1337" i="5" a="1"/>
  <c r="R1327" i="5" a="1"/>
  <c r="R1317" i="5" a="1"/>
  <c r="R1307" i="5" a="1"/>
  <c r="R1297" i="5" a="1"/>
  <c r="R1287" i="5" a="1"/>
  <c r="R1277" i="5" a="1"/>
  <c r="R1267" i="5" a="1"/>
  <c r="R1257" i="5" a="1"/>
  <c r="R1247" i="5" a="1"/>
  <c r="R1237" i="5" a="1"/>
  <c r="R1227" i="5" a="1"/>
  <c r="R1217" i="5" a="1"/>
  <c r="R1207" i="5" a="1"/>
  <c r="R1197" i="5" a="1"/>
  <c r="R1187" i="5" a="1"/>
  <c r="R1177" i="5" a="1"/>
  <c r="R1167" i="5" a="1"/>
  <c r="R1157" i="5" a="1"/>
  <c r="R2004" i="5" a="1"/>
  <c r="R1954" i="5" a="1"/>
  <c r="R1904" i="5" a="1"/>
  <c r="R1854" i="5" a="1"/>
  <c r="R1805" i="5" a="1"/>
  <c r="R1716" i="5" a="1"/>
  <c r="R1696" i="5" a="1"/>
  <c r="R1676" i="5" a="1"/>
  <c r="R1656" i="5" a="1"/>
  <c r="R1636" i="5" a="1"/>
  <c r="R1616" i="5" a="1"/>
  <c r="R1596" i="5" a="1"/>
  <c r="R1576" i="5" a="1"/>
  <c r="R1556" i="5" a="1"/>
  <c r="R1536" i="5" a="1"/>
  <c r="R1516" i="5" a="1"/>
  <c r="R1496" i="5" a="1"/>
  <c r="R1476" i="5" a="1"/>
  <c r="R1456" i="5" a="1"/>
  <c r="R1436" i="5" a="1"/>
  <c r="R1416" i="5" a="1"/>
  <c r="R1396" i="5" a="1"/>
  <c r="R1376" i="5" a="1"/>
  <c r="R1356" i="5" a="1"/>
  <c r="R1336" i="5" a="1"/>
  <c r="R1316" i="5" a="1"/>
  <c r="R1296" i="5" a="1"/>
  <c r="R1276" i="5" a="1"/>
  <c r="R1256" i="5" a="1"/>
  <c r="R1236" i="5" a="1"/>
  <c r="R1216" i="5" a="1"/>
  <c r="R1196" i="5" a="1"/>
  <c r="R1161" i="5" a="1"/>
  <c r="R1148" i="5" a="1"/>
  <c r="R1138" i="5" a="1"/>
  <c r="R1128" i="5" a="1"/>
  <c r="R1118" i="5" a="1"/>
  <c r="R1108" i="5" a="1"/>
  <c r="R1098" i="5" a="1"/>
  <c r="R1088" i="5" a="1"/>
  <c r="R1078" i="5" a="1"/>
  <c r="R1068" i="5" a="1"/>
  <c r="R1058" i="5" a="1"/>
  <c r="R1048" i="5" a="1"/>
  <c r="R1038" i="5" a="1"/>
  <c r="R1028" i="5" a="1"/>
  <c r="R1018" i="5" a="1"/>
  <c r="R1008" i="5" a="1"/>
  <c r="R998" i="5" a="1"/>
  <c r="R988" i="5" a="1"/>
  <c r="R978" i="5" a="1"/>
  <c r="R968" i="5" a="1"/>
  <c r="R958" i="5" a="1"/>
  <c r="R948" i="5" a="1"/>
  <c r="R938" i="5" a="1"/>
  <c r="R928" i="5" a="1"/>
  <c r="R918" i="5" a="1"/>
  <c r="R908" i="5" a="1"/>
  <c r="R898" i="5" a="1"/>
  <c r="R888" i="5" a="1"/>
  <c r="R878" i="5" a="1"/>
  <c r="R868" i="5" a="1"/>
  <c r="R858" i="5" a="1"/>
  <c r="R848" i="5" a="1"/>
  <c r="R838" i="5" a="1"/>
  <c r="R828" i="5" a="1"/>
  <c r="R818" i="5" a="1"/>
  <c r="R808" i="5" a="1"/>
  <c r="R798" i="5" a="1"/>
  <c r="R788" i="5" a="1"/>
  <c r="R778" i="5" a="1"/>
  <c r="R768" i="5" a="1"/>
  <c r="R758" i="5" a="1"/>
  <c r="R748" i="5" a="1"/>
  <c r="R738" i="5" a="1"/>
  <c r="R728" i="5" a="1"/>
  <c r="R718" i="5" a="1"/>
  <c r="R708" i="5" a="1"/>
  <c r="R698" i="5" a="1"/>
  <c r="R688" i="5" a="1"/>
  <c r="R678" i="5" a="1"/>
  <c r="R668" i="5" a="1"/>
  <c r="R658" i="5" a="1"/>
  <c r="R648" i="5" a="1"/>
  <c r="R638" i="5" a="1"/>
  <c r="R1975" i="5" a="1"/>
  <c r="R1925" i="5" a="1"/>
  <c r="R1875" i="5" a="1"/>
  <c r="R1825" i="5" a="1"/>
  <c r="R1802" i="5" a="1"/>
  <c r="R1756" i="5" a="1"/>
  <c r="R1735" i="5" a="1"/>
  <c r="R1714" i="5" a="1"/>
  <c r="R1694" i="5" a="1"/>
  <c r="R1674" i="5" a="1"/>
  <c r="R1654" i="5" a="1"/>
  <c r="R1634" i="5" a="1"/>
  <c r="R1614" i="5" a="1"/>
  <c r="R1594" i="5" a="1"/>
  <c r="R1574" i="5" a="1"/>
  <c r="R1554" i="5" a="1"/>
  <c r="R1534" i="5" a="1"/>
  <c r="R1514" i="5" a="1"/>
  <c r="R1996" i="5" a="1"/>
  <c r="R1946" i="5" a="1"/>
  <c r="R1896" i="5" a="1"/>
  <c r="R1846" i="5" a="1"/>
  <c r="R1776" i="5" a="1"/>
  <c r="R1755" i="5" a="1"/>
  <c r="R1713" i="5" a="1"/>
  <c r="R1693" i="5" a="1"/>
  <c r="R1673" i="5" a="1"/>
  <c r="R1653" i="5" a="1"/>
  <c r="R1633" i="5" a="1"/>
  <c r="R1613" i="5" a="1"/>
  <c r="R1593" i="5" a="1"/>
  <c r="R1995" i="5" a="1"/>
  <c r="R1945" i="5" a="1"/>
  <c r="R1994" i="5" a="1"/>
  <c r="R1944" i="5" a="1"/>
  <c r="R1894" i="5" a="1"/>
  <c r="R1844" i="5" a="1"/>
  <c r="R1774" i="5" a="1"/>
  <c r="R1752" i="5" a="1"/>
  <c r="R1172" i="5" a="1"/>
  <c r="R1154" i="5" a="1"/>
  <c r="R1144" i="5" a="1"/>
  <c r="R1134" i="5" a="1"/>
  <c r="R1124" i="5" a="1"/>
  <c r="R1114" i="5" a="1"/>
  <c r="R1104" i="5" a="1"/>
  <c r="R1094" i="5" a="1"/>
  <c r="R1084" i="5" a="1"/>
  <c r="R1074" i="5" a="1"/>
  <c r="R1064" i="5" a="1"/>
  <c r="R1054" i="5" a="1"/>
  <c r="R1044" i="5" a="1"/>
  <c r="R1034" i="5" a="1"/>
  <c r="R1024" i="5" a="1"/>
  <c r="R1014" i="5" a="1"/>
  <c r="R1004" i="5" a="1"/>
  <c r="R994" i="5" a="1"/>
  <c r="R984" i="5" a="1"/>
  <c r="R974" i="5" a="1"/>
  <c r="R964" i="5" a="1"/>
  <c r="R954" i="5" a="1"/>
  <c r="R944" i="5" a="1"/>
  <c r="R934" i="5" a="1"/>
  <c r="R924" i="5" a="1"/>
  <c r="R914" i="5" a="1"/>
  <c r="R904" i="5" a="1"/>
  <c r="R894" i="5" a="1"/>
  <c r="R884" i="5" a="1"/>
  <c r="R874" i="5" a="1"/>
  <c r="R864" i="5" a="1"/>
  <c r="R854" i="5" a="1"/>
  <c r="R844" i="5" a="1"/>
  <c r="R834" i="5" a="1"/>
  <c r="R824" i="5" a="1"/>
  <c r="R814" i="5" a="1"/>
  <c r="R804" i="5" a="1"/>
  <c r="R794" i="5" a="1"/>
  <c r="R784" i="5" a="1"/>
  <c r="R774" i="5" a="1"/>
  <c r="R764" i="5" a="1"/>
  <c r="R754" i="5" a="1"/>
  <c r="R744" i="5" a="1"/>
  <c r="R734" i="5" a="1"/>
  <c r="R724" i="5" a="1"/>
  <c r="R714" i="5" a="1"/>
  <c r="R704" i="5" a="1"/>
  <c r="R694" i="5" a="1"/>
  <c r="R684" i="5" a="1"/>
  <c r="R674" i="5" a="1"/>
  <c r="R664" i="5" a="1"/>
  <c r="R654" i="5" a="1"/>
  <c r="R644" i="5" a="1"/>
  <c r="R634" i="5" a="1"/>
  <c r="R1966" i="5" a="1"/>
  <c r="R1916" i="5" a="1"/>
  <c r="R1866" i="5" a="1"/>
  <c r="R1794" i="5" a="1"/>
  <c r="R1772" i="5" a="1"/>
  <c r="R1726" i="5" a="1"/>
  <c r="R1706" i="5" a="1"/>
  <c r="R1686" i="5" a="1"/>
  <c r="R1666" i="5" a="1"/>
  <c r="R1646" i="5" a="1"/>
  <c r="R1626" i="5" a="1"/>
  <c r="R1606" i="5" a="1"/>
  <c r="R1586" i="5" a="1"/>
  <c r="R1566" i="5" a="1"/>
  <c r="R1546" i="5" a="1"/>
  <c r="R1526" i="5" a="1"/>
  <c r="R1506" i="5" a="1"/>
  <c r="R1486" i="5" a="1"/>
  <c r="R1466" i="5" a="1"/>
  <c r="R1446" i="5" a="1"/>
  <c r="R1426" i="5" a="1"/>
  <c r="R1406" i="5" a="1"/>
  <c r="R1386" i="5" a="1"/>
  <c r="R1366" i="5" a="1"/>
  <c r="R1346" i="5" a="1"/>
  <c r="R1326" i="5" a="1"/>
  <c r="R1306" i="5" a="1"/>
  <c r="R1286" i="5" a="1"/>
  <c r="R1266" i="5" a="1"/>
  <c r="R1246" i="5" a="1"/>
  <c r="R1226" i="5" a="1"/>
  <c r="R1206" i="5" a="1"/>
  <c r="R1153" i="5" a="1"/>
  <c r="R1143" i="5" a="1"/>
  <c r="R1133" i="5" a="1"/>
  <c r="R1123" i="5" a="1"/>
  <c r="R1113" i="5" a="1"/>
  <c r="R1103" i="5" a="1"/>
  <c r="R1093" i="5" a="1"/>
  <c r="R1083" i="5" a="1"/>
  <c r="R1073" i="5" a="1"/>
  <c r="R1063" i="5" a="1"/>
  <c r="R1053" i="5" a="1"/>
  <c r="R1043" i="5" a="1"/>
  <c r="R1033" i="5" a="1"/>
  <c r="R1023" i="5" a="1"/>
  <c r="R1013" i="5" a="1"/>
  <c r="R1003" i="5" a="1"/>
  <c r="R993" i="5" a="1"/>
  <c r="R983" i="5" a="1"/>
  <c r="R973" i="5" a="1"/>
  <c r="R963" i="5" a="1"/>
  <c r="R953" i="5" a="1"/>
  <c r="R943" i="5" a="1"/>
  <c r="R933" i="5" a="1"/>
  <c r="R923" i="5" a="1"/>
  <c r="R913" i="5" a="1"/>
  <c r="R903" i="5" a="1"/>
  <c r="R893" i="5" a="1"/>
  <c r="R883" i="5" a="1"/>
  <c r="R873" i="5" a="1"/>
  <c r="R863" i="5" a="1"/>
  <c r="R853" i="5" a="1"/>
  <c r="R843" i="5" a="1"/>
  <c r="R833" i="5" a="1"/>
  <c r="R823" i="5" a="1"/>
  <c r="R813" i="5" a="1"/>
  <c r="R803" i="5" a="1"/>
  <c r="R793" i="5" a="1"/>
  <c r="R783" i="5" a="1"/>
  <c r="R773" i="5" a="1"/>
  <c r="R763" i="5" a="1"/>
  <c r="R753" i="5" a="1"/>
  <c r="R743" i="5" a="1"/>
  <c r="R733" i="5" a="1"/>
  <c r="R723" i="5" a="1"/>
  <c r="R713" i="5" a="1"/>
  <c r="R703" i="5" a="1"/>
  <c r="R693" i="5" a="1"/>
  <c r="R683" i="5" a="1"/>
  <c r="R673" i="5" a="1"/>
  <c r="R663" i="5" a="1"/>
  <c r="R653" i="5" a="1"/>
  <c r="R643" i="5" a="1"/>
  <c r="R633" i="5" a="1"/>
  <c r="R1985" i="5" a="1"/>
  <c r="R1935" i="5" a="1"/>
  <c r="R1885" i="5" a="1"/>
  <c r="R1835" i="5" a="1"/>
  <c r="R1744" i="5" a="1"/>
  <c r="R1723" i="5" a="1"/>
  <c r="R1703" i="5" a="1"/>
  <c r="R1683" i="5" a="1"/>
  <c r="R1663" i="5" a="1"/>
  <c r="R1643" i="5" a="1"/>
  <c r="R1623" i="5" a="1"/>
  <c r="R1603" i="5" a="1"/>
  <c r="R1583" i="5" a="1"/>
  <c r="R1563" i="5" a="1"/>
  <c r="R1543" i="5" a="1"/>
  <c r="R1523" i="5" a="1"/>
  <c r="R1503" i="5" a="1"/>
  <c r="R1483" i="5" a="1"/>
  <c r="R1463" i="5" a="1"/>
  <c r="R1443" i="5" a="1"/>
  <c r="R1423" i="5" a="1"/>
  <c r="R1403" i="5" a="1"/>
  <c r="R1383" i="5" a="1"/>
  <c r="R1363" i="5" a="1"/>
  <c r="R1343" i="5" a="1"/>
  <c r="R1323" i="5" a="1"/>
  <c r="R1303" i="5" a="1"/>
  <c r="R1283" i="5" a="1"/>
  <c r="R1263" i="5" a="1"/>
  <c r="R1243" i="5" a="1"/>
  <c r="R1223" i="5" a="1"/>
  <c r="R1203" i="5" a="1"/>
  <c r="R1165" i="5" a="1"/>
  <c r="R1955" i="5" a="1"/>
  <c r="R1905" i="5" a="1"/>
  <c r="R1855" i="5" a="1"/>
  <c r="R1784" i="5" a="1"/>
  <c r="R1762" i="5" a="1"/>
  <c r="R1162" i="5" a="1"/>
  <c r="R1956" i="5" a="1"/>
  <c r="R1795" i="5" a="1"/>
  <c r="R1665" i="5" a="1"/>
  <c r="R1635" i="5" a="1"/>
  <c r="R1604" i="5" a="1"/>
  <c r="R1545" i="5" a="1"/>
  <c r="R1435" i="5" a="1"/>
  <c r="R1355" i="5" a="1"/>
  <c r="R1275" i="5" a="1"/>
  <c r="R1195" i="5" a="1"/>
  <c r="R1173" i="5" a="1"/>
  <c r="R1151" i="5" a="1"/>
  <c r="R1137" i="5" a="1"/>
  <c r="R1111" i="5" a="1"/>
  <c r="R1097" i="5" a="1"/>
  <c r="R1071" i="5" a="1"/>
  <c r="R1057" i="5" a="1"/>
  <c r="R1031" i="5" a="1"/>
  <c r="R1017" i="5" a="1"/>
  <c r="R991" i="5" a="1"/>
  <c r="R977" i="5" a="1"/>
  <c r="R951" i="5" a="1"/>
  <c r="R937" i="5" a="1"/>
  <c r="R911" i="5" a="1"/>
  <c r="R897" i="5" a="1"/>
  <c r="R871" i="5" a="1"/>
  <c r="R857" i="5" a="1"/>
  <c r="R831" i="5" a="1"/>
  <c r="R817" i="5" a="1"/>
  <c r="R791" i="5" a="1"/>
  <c r="R777" i="5" a="1"/>
  <c r="R751" i="5" a="1"/>
  <c r="R737" i="5" a="1"/>
  <c r="R711" i="5" a="1"/>
  <c r="R697" i="5" a="1"/>
  <c r="R659" i="5" a="1"/>
  <c r="R623" i="5" a="1"/>
  <c r="R613" i="5" a="1"/>
  <c r="R603" i="5" a="1"/>
  <c r="R593" i="5" a="1"/>
  <c r="R583" i="5" a="1"/>
  <c r="R573" i="5" a="1"/>
  <c r="R563" i="5" a="1"/>
  <c r="R553" i="5" a="1"/>
  <c r="R543" i="5" a="1"/>
  <c r="R533" i="5" a="1"/>
  <c r="R523" i="5" a="1"/>
  <c r="R513" i="5" a="1"/>
  <c r="R503" i="5" a="1"/>
  <c r="R493" i="5" a="1"/>
  <c r="R483" i="5" a="1"/>
  <c r="R473" i="5" a="1"/>
  <c r="R463" i="5" a="1"/>
  <c r="R453" i="5" a="1"/>
  <c r="R443" i="5" a="1"/>
  <c r="R433" i="5" a="1"/>
  <c r="R423" i="5" a="1"/>
  <c r="R413" i="5" a="1"/>
  <c r="R403" i="5" a="1"/>
  <c r="R393" i="5" a="1"/>
  <c r="R383" i="5" a="1"/>
  <c r="R373" i="5" a="1"/>
  <c r="R363" i="5" a="1"/>
  <c r="R353" i="5" a="1"/>
  <c r="R343" i="5" a="1"/>
  <c r="R333" i="5" a="1"/>
  <c r="R323" i="5" a="1"/>
  <c r="R313" i="5" a="1"/>
  <c r="R303" i="5" a="1"/>
  <c r="R293" i="5" a="1"/>
  <c r="R1725" i="5" a="1"/>
  <c r="R1906" i="5" a="1"/>
  <c r="R1864" i="5" a="1"/>
  <c r="R1824" i="5" a="1"/>
  <c r="R1786" i="5" a="1"/>
  <c r="R1986" i="5" a="1"/>
  <c r="R1856" i="5" a="1"/>
  <c r="R1984" i="5" a="1"/>
  <c r="R1936" i="5" a="1"/>
  <c r="R1815" i="5" a="1"/>
  <c r="R1782" i="5" a="1"/>
  <c r="R1746" i="5" a="1"/>
  <c r="R1715" i="5" a="1"/>
  <c r="R1684" i="5" a="1"/>
  <c r="R1592" i="5" a="1"/>
  <c r="R1505" i="5" a="1"/>
  <c r="R1453" i="5" a="1"/>
  <c r="R1425" i="5" a="1"/>
  <c r="R1373" i="5" a="1"/>
  <c r="R1345" i="5" a="1"/>
  <c r="R1293" i="5" a="1"/>
  <c r="R1265" i="5" a="1"/>
  <c r="R1213" i="5" a="1"/>
  <c r="R1163" i="5" a="1"/>
  <c r="R1132" i="5" a="1"/>
  <c r="R1119" i="5" a="1"/>
  <c r="R1092" i="5" a="1"/>
  <c r="R1079" i="5" a="1"/>
  <c r="R1052" i="5" a="1"/>
  <c r="R1039" i="5" a="1"/>
  <c r="R1012" i="5" a="1"/>
  <c r="R999" i="5" a="1"/>
  <c r="R972" i="5" a="1"/>
  <c r="R959" i="5" a="1"/>
  <c r="R932" i="5" a="1"/>
  <c r="R919" i="5" a="1"/>
  <c r="R892" i="5" a="1"/>
  <c r="R879" i="5" a="1"/>
  <c r="R852" i="5" a="1"/>
  <c r="R839" i="5" a="1"/>
  <c r="R812" i="5" a="1"/>
  <c r="R799" i="5" a="1"/>
  <c r="R772" i="5" a="1"/>
  <c r="R759" i="5" a="1"/>
  <c r="R732" i="5" a="1"/>
  <c r="R719" i="5" a="1"/>
  <c r="R692" i="5" a="1"/>
  <c r="R679" i="5" a="1"/>
  <c r="R629" i="5" a="1"/>
  <c r="R619" i="5" a="1"/>
  <c r="R609" i="5" a="1"/>
  <c r="R599" i="5" a="1"/>
  <c r="R589" i="5" a="1"/>
  <c r="R579" i="5" a="1"/>
  <c r="R569" i="5" a="1"/>
  <c r="R559" i="5" a="1"/>
  <c r="R549" i="5" a="1"/>
  <c r="R539" i="5" a="1"/>
  <c r="R529" i="5" a="1"/>
  <c r="R519" i="5" a="1"/>
  <c r="R509" i="5" a="1"/>
  <c r="R499" i="5" a="1"/>
  <c r="R489" i="5" a="1"/>
  <c r="R479" i="5" a="1"/>
  <c r="R469" i="5" a="1"/>
  <c r="R459" i="5" a="1"/>
  <c r="R449" i="5" a="1"/>
  <c r="R439" i="5" a="1"/>
  <c r="R429" i="5" a="1"/>
  <c r="R419" i="5" a="1"/>
  <c r="R409" i="5" a="1"/>
  <c r="R399" i="5" a="1"/>
  <c r="R389" i="5" a="1"/>
  <c r="R379" i="5" a="1"/>
  <c r="R369" i="5" a="1"/>
  <c r="R359" i="5" a="1"/>
  <c r="R349" i="5" a="1"/>
  <c r="R339" i="5" a="1"/>
  <c r="R329" i="5" a="1"/>
  <c r="R319" i="5" a="1"/>
  <c r="R309" i="5" a="1"/>
  <c r="R299" i="5" a="1"/>
  <c r="R289" i="5" a="1"/>
  <c r="R1895" i="5" a="1"/>
  <c r="R1814" i="5" a="1"/>
  <c r="R1652" i="5" a="1"/>
  <c r="R1622" i="5" a="1"/>
  <c r="R1562" i="5" a="1"/>
  <c r="R1533" i="5" a="1"/>
  <c r="R1504" i="5" a="1"/>
  <c r="R1452" i="5" a="1"/>
  <c r="R1424" i="5" a="1"/>
  <c r="R1372" i="5" a="1"/>
  <c r="R1344" i="5" a="1"/>
  <c r="R1292" i="5" a="1"/>
  <c r="R1264" i="5" a="1"/>
  <c r="R1212" i="5" a="1"/>
  <c r="R1185" i="5" a="1"/>
  <c r="R1145" i="5" a="1"/>
  <c r="R1105" i="5" a="1"/>
  <c r="R1065" i="5" a="1"/>
  <c r="R1025" i="5" a="1"/>
  <c r="R985" i="5" a="1"/>
  <c r="R945" i="5" a="1"/>
  <c r="R905" i="5" a="1"/>
  <c r="R865" i="5" a="1"/>
  <c r="R825" i="5" a="1"/>
  <c r="R785" i="5" a="1"/>
  <c r="R745" i="5" a="1"/>
  <c r="R705" i="5" a="1"/>
  <c r="R666" i="5" a="1"/>
  <c r="R641" i="5" a="1"/>
  <c r="R1934" i="5" a="1"/>
  <c r="R1745" i="5" a="1"/>
  <c r="R1712" i="5" a="1"/>
  <c r="R1682" i="5" a="1"/>
  <c r="R1532" i="5" a="1"/>
  <c r="R1475" i="5" a="1"/>
  <c r="R1395" i="5" a="1"/>
  <c r="R1315" i="5" a="1"/>
  <c r="R1235" i="5" a="1"/>
  <c r="R1184" i="5" a="1"/>
  <c r="R1131" i="5" a="1"/>
  <c r="R1117" i="5" a="1"/>
  <c r="R1091" i="5" a="1"/>
  <c r="R1077" i="5" a="1"/>
  <c r="R1051" i="5" a="1"/>
  <c r="R1037" i="5" a="1"/>
  <c r="R1011" i="5" a="1"/>
  <c r="R997" i="5" a="1"/>
  <c r="R971" i="5" a="1"/>
  <c r="R957" i="5" a="1"/>
  <c r="R931" i="5" a="1"/>
  <c r="R917" i="5" a="1"/>
  <c r="R891" i="5" a="1"/>
  <c r="R877" i="5" a="1"/>
  <c r="R851" i="5" a="1"/>
  <c r="R837" i="5" a="1"/>
  <c r="R811" i="5" a="1"/>
  <c r="R797" i="5" a="1"/>
  <c r="R771" i="5" a="1"/>
  <c r="R757" i="5" a="1"/>
  <c r="R731" i="5" a="1"/>
  <c r="R717" i="5" a="1"/>
  <c r="R691" i="5" a="1"/>
  <c r="R640" i="5" a="1"/>
  <c r="R628" i="5" a="1"/>
  <c r="R618" i="5" a="1"/>
  <c r="R608" i="5" a="1"/>
  <c r="R598" i="5" a="1"/>
  <c r="R588" i="5" a="1"/>
  <c r="R578" i="5" a="1"/>
  <c r="R568" i="5" a="1"/>
  <c r="R558" i="5" a="1"/>
  <c r="R548" i="5" a="1"/>
  <c r="R538" i="5" a="1"/>
  <c r="R528" i="5" a="1"/>
  <c r="R518" i="5" a="1"/>
  <c r="R508" i="5" a="1"/>
  <c r="R498" i="5" a="1"/>
  <c r="R488" i="5" a="1"/>
  <c r="R478" i="5" a="1"/>
  <c r="R468" i="5" a="1"/>
  <c r="R458" i="5" a="1"/>
  <c r="R448" i="5" a="1"/>
  <c r="R438" i="5" a="1"/>
  <c r="R428" i="5" a="1"/>
  <c r="R418" i="5" a="1"/>
  <c r="R408" i="5" a="1"/>
  <c r="R398" i="5" a="1"/>
  <c r="R388" i="5" a="1"/>
  <c r="R378" i="5" a="1"/>
  <c r="R368" i="5" a="1"/>
  <c r="R358" i="5" a="1"/>
  <c r="R348" i="5" a="1"/>
  <c r="R338" i="5" a="1"/>
  <c r="R328" i="5" a="1"/>
  <c r="R318" i="5" a="1"/>
  <c r="R308" i="5" a="1"/>
  <c r="R298" i="5" a="1"/>
  <c r="R288" i="5" a="1"/>
  <c r="R1976" i="5" a="1"/>
  <c r="R1812" i="5" a="1"/>
  <c r="R1974" i="5" a="1"/>
  <c r="R1926" i="5" a="1"/>
  <c r="R1965" i="5" a="1"/>
  <c r="R1924" i="5" a="1"/>
  <c r="R1804" i="5" a="1"/>
  <c r="R1704" i="5" a="1"/>
  <c r="R1612" i="5" a="1"/>
  <c r="R1582" i="5" a="1"/>
  <c r="R1553" i="5" a="1"/>
  <c r="R1524" i="5" a="1"/>
  <c r="R1495" i="5" a="1"/>
  <c r="R1415" i="5" a="1"/>
  <c r="R1335" i="5" a="1"/>
  <c r="R1255" i="5" a="1"/>
  <c r="R1176" i="5" a="1"/>
  <c r="R1141" i="5" a="1"/>
  <c r="R1127" i="5" a="1"/>
  <c r="R1101" i="5" a="1"/>
  <c r="R1087" i="5" a="1"/>
  <c r="R1061" i="5" a="1"/>
  <c r="R1047" i="5" a="1"/>
  <c r="R1021" i="5" a="1"/>
  <c r="R1007" i="5" a="1"/>
  <c r="R981" i="5" a="1"/>
  <c r="R967" i="5" a="1"/>
  <c r="R941" i="5" a="1"/>
  <c r="R927" i="5" a="1"/>
  <c r="R901" i="5" a="1"/>
  <c r="R887" i="5" a="1"/>
  <c r="R861" i="5" a="1"/>
  <c r="R847" i="5" a="1"/>
  <c r="R821" i="5" a="1"/>
  <c r="R807" i="5" a="1"/>
  <c r="R781" i="5" a="1"/>
  <c r="R767" i="5" a="1"/>
  <c r="R741" i="5" a="1"/>
  <c r="R727" i="5" a="1"/>
  <c r="R701" i="5" a="1"/>
  <c r="R687" i="5" a="1"/>
  <c r="R675" i="5" a="1"/>
  <c r="R662" i="5" a="1"/>
  <c r="R637" i="5" a="1"/>
  <c r="R1914" i="5" a="1"/>
  <c r="R1874" i="5" a="1"/>
  <c r="R1834" i="5" a="1"/>
  <c r="R1796" i="5" a="1"/>
  <c r="R1764" i="5" a="1"/>
  <c r="R1605" i="5" a="1"/>
  <c r="R1575" i="5" a="1"/>
  <c r="R1492" i="5" a="1"/>
  <c r="R1464" i="5" a="1"/>
  <c r="R1412" i="5" a="1"/>
  <c r="R1384" i="5" a="1"/>
  <c r="R1332" i="5" a="1"/>
  <c r="R1304" i="5" a="1"/>
  <c r="R1252" i="5" a="1"/>
  <c r="R1224" i="5" a="1"/>
  <c r="R1125" i="5" a="1"/>
  <c r="R1085" i="5" a="1"/>
  <c r="R1045" i="5" a="1"/>
  <c r="R1005" i="5" a="1"/>
  <c r="R965" i="5" a="1"/>
  <c r="R925" i="5" a="1"/>
  <c r="R885" i="5" a="1"/>
  <c r="R845" i="5" a="1"/>
  <c r="R805" i="5" a="1"/>
  <c r="R765" i="5" a="1"/>
  <c r="R725" i="5" a="1"/>
  <c r="R685" i="5" a="1"/>
  <c r="R672" i="5" a="1"/>
  <c r="R647" i="5" a="1"/>
  <c r="R635" i="5" a="1"/>
  <c r="R1964" i="5" a="1"/>
  <c r="R1845" i="5" a="1"/>
  <c r="R1775" i="5" a="1"/>
  <c r="R1722" i="5" a="1"/>
  <c r="R1632" i="5" a="1"/>
  <c r="R1432" i="5" a="1"/>
  <c r="R1393" i="5" a="1"/>
  <c r="R1314" i="5" a="1"/>
  <c r="R1242" i="5" a="1"/>
  <c r="R1202" i="5" a="1"/>
  <c r="R1166" i="5" a="1"/>
  <c r="R1142" i="5" a="1"/>
  <c r="R1009" i="5" a="1"/>
  <c r="R970" i="5" a="1"/>
  <c r="R952" i="5" a="1"/>
  <c r="R895" i="5" a="1"/>
  <c r="R856" i="5" a="1"/>
  <c r="R819" i="5" a="1"/>
  <c r="R800" i="5" a="1"/>
  <c r="R780" i="5" a="1"/>
  <c r="R742" i="5" a="1"/>
  <c r="R649" i="5" a="1"/>
  <c r="R602" i="5" a="1"/>
  <c r="R574" i="5" a="1"/>
  <c r="R560" i="5" a="1"/>
  <c r="R545" i="5" a="1"/>
  <c r="R531" i="5" a="1"/>
  <c r="R506" i="5" a="1"/>
  <c r="R481" i="5" a="1"/>
  <c r="R456" i="5" a="1"/>
  <c r="R431" i="5" a="1"/>
  <c r="R406" i="5" a="1"/>
  <c r="R381" i="5" a="1"/>
  <c r="R356" i="5" a="1"/>
  <c r="R331" i="5" a="1"/>
  <c r="R295" i="5" a="1"/>
  <c r="R1032" i="5" a="1"/>
  <c r="R936" i="5" a="1"/>
  <c r="R605" i="5" a="1"/>
  <c r="R534" i="5" a="1"/>
  <c r="R1675" i="5" a="1"/>
  <c r="R1585" i="5" a="1"/>
  <c r="R1544" i="5" a="1"/>
  <c r="R1392" i="5" a="1"/>
  <c r="R1353" i="5" a="1"/>
  <c r="R1274" i="5" a="1"/>
  <c r="R1122" i="5" a="1"/>
  <c r="R1066" i="5" a="1"/>
  <c r="R1046" i="5" a="1"/>
  <c r="R1027" i="5" a="1"/>
  <c r="R989" i="5" a="1"/>
  <c r="R950" i="5" a="1"/>
  <c r="R875" i="5" a="1"/>
  <c r="R836" i="5" a="1"/>
  <c r="R761" i="5" a="1"/>
  <c r="R722" i="5" a="1"/>
  <c r="R667" i="5" a="1"/>
  <c r="R631" i="5" a="1"/>
  <c r="R616" i="5" a="1"/>
  <c r="R587" i="5" a="1"/>
  <c r="R505" i="5" a="1"/>
  <c r="R455" i="5" a="1"/>
  <c r="R405" i="5" a="1"/>
  <c r="R355" i="5" a="1"/>
  <c r="R306" i="5" a="1"/>
  <c r="R283" i="5" a="1"/>
  <c r="R273" i="5" a="1"/>
  <c r="R263" i="5" a="1"/>
  <c r="R253" i="5" a="1"/>
  <c r="R243" i="5" a="1"/>
  <c r="R233" i="5" a="1"/>
  <c r="R223" i="5" a="1"/>
  <c r="R213" i="5" a="1"/>
  <c r="R203" i="5" a="1"/>
  <c r="R193" i="5" a="1"/>
  <c r="R183" i="5" a="1"/>
  <c r="R173" i="5" a="1"/>
  <c r="R163" i="5" a="1"/>
  <c r="R153" i="5" a="1"/>
  <c r="R143" i="5" a="1"/>
  <c r="R133" i="5" a="1"/>
  <c r="R123" i="5" a="1"/>
  <c r="R113" i="5" a="1"/>
  <c r="R103" i="5" a="1"/>
  <c r="R1402" i="5" a="1"/>
  <c r="R1672" i="5" a="1"/>
  <c r="R1584" i="5" a="1"/>
  <c r="R1502" i="5" a="1"/>
  <c r="R1465" i="5" a="1"/>
  <c r="R1352" i="5" a="1"/>
  <c r="R1313" i="5" a="1"/>
  <c r="R1234" i="5" a="1"/>
  <c r="R1164" i="5" a="1"/>
  <c r="R1140" i="5" a="1"/>
  <c r="R1102" i="5" a="1"/>
  <c r="R969" i="5" a="1"/>
  <c r="R930" i="5" a="1"/>
  <c r="R912" i="5" a="1"/>
  <c r="R855" i="5" a="1"/>
  <c r="R816" i="5" a="1"/>
  <c r="R779" i="5" a="1"/>
  <c r="R760" i="5" a="1"/>
  <c r="R740" i="5" a="1"/>
  <c r="R702" i="5" a="1"/>
  <c r="R665" i="5" a="1"/>
  <c r="R630" i="5" a="1"/>
  <c r="R615" i="5" a="1"/>
  <c r="R601" i="5" a="1"/>
  <c r="R572" i="5" a="1"/>
  <c r="R544" i="5" a="1"/>
  <c r="R530" i="5" a="1"/>
  <c r="R517" i="5" a="1"/>
  <c r="R492" i="5" a="1"/>
  <c r="R480" i="5" a="1"/>
  <c r="R467" i="5" a="1"/>
  <c r="R442" i="5" a="1"/>
  <c r="R430" i="5" a="1"/>
  <c r="R417" i="5" a="1"/>
  <c r="R392" i="5" a="1"/>
  <c r="R380" i="5" a="1"/>
  <c r="R367" i="5" a="1"/>
  <c r="R342" i="5" a="1"/>
  <c r="R330" i="5" a="1"/>
  <c r="R317" i="5" a="1"/>
  <c r="R294" i="5" a="1"/>
  <c r="R1174" i="5" a="1"/>
  <c r="R1050" i="5" a="1"/>
  <c r="R975" i="5" a="1"/>
  <c r="R899" i="5" a="1"/>
  <c r="R620" i="5" a="1"/>
  <c r="R1836" i="5" a="1"/>
  <c r="R1542" i="5" a="1"/>
  <c r="R1462" i="5" a="1"/>
  <c r="R1312" i="5" a="1"/>
  <c r="R1273" i="5" a="1"/>
  <c r="R1194" i="5" a="1"/>
  <c r="R1121" i="5" a="1"/>
  <c r="R1082" i="5" a="1"/>
  <c r="R1026" i="5" a="1"/>
  <c r="R1006" i="5" a="1"/>
  <c r="R987" i="5" a="1"/>
  <c r="R949" i="5" a="1"/>
  <c r="R910" i="5" a="1"/>
  <c r="R835" i="5" a="1"/>
  <c r="R796" i="5" a="1"/>
  <c r="R721" i="5" a="1"/>
  <c r="R682" i="5" a="1"/>
  <c r="R646" i="5" a="1"/>
  <c r="R586" i="5" a="1"/>
  <c r="R557" i="5" a="1"/>
  <c r="R504" i="5" a="1"/>
  <c r="R454" i="5" a="1"/>
  <c r="R404" i="5" a="1"/>
  <c r="R354" i="5" a="1"/>
  <c r="R305" i="5" a="1"/>
  <c r="R282" i="5" a="1"/>
  <c r="R272" i="5" a="1"/>
  <c r="R262" i="5" a="1"/>
  <c r="R252" i="5" a="1"/>
  <c r="R242" i="5" a="1"/>
  <c r="R232" i="5" a="1"/>
  <c r="R222" i="5" a="1"/>
  <c r="R212" i="5" a="1"/>
  <c r="R202" i="5" a="1"/>
  <c r="R192" i="5" a="1"/>
  <c r="R182" i="5" a="1"/>
  <c r="R172" i="5" a="1"/>
  <c r="R162" i="5" a="1"/>
  <c r="R152" i="5" a="1"/>
  <c r="R142" i="5" a="1"/>
  <c r="R132" i="5" a="1"/>
  <c r="R122" i="5" a="1"/>
  <c r="R112" i="5" a="1"/>
  <c r="R102" i="5" a="1"/>
  <c r="R1324" i="5" a="1"/>
  <c r="R1089" i="5" a="1"/>
  <c r="R880" i="5" a="1"/>
  <c r="R591" i="5" a="1"/>
  <c r="R471" i="5" a="1"/>
  <c r="R1766" i="5" a="1"/>
  <c r="R1625" i="5" a="1"/>
  <c r="R1422" i="5" a="1"/>
  <c r="R1385" i="5" a="1"/>
  <c r="R1272" i="5" a="1"/>
  <c r="R1233" i="5" a="1"/>
  <c r="R1139" i="5" a="1"/>
  <c r="R1120" i="5" a="1"/>
  <c r="R1100" i="5" a="1"/>
  <c r="R1062" i="5" a="1"/>
  <c r="R929" i="5" a="1"/>
  <c r="R890" i="5" a="1"/>
  <c r="R872" i="5" a="1"/>
  <c r="R815" i="5" a="1"/>
  <c r="R776" i="5" a="1"/>
  <c r="R739" i="5" a="1"/>
  <c r="R720" i="5" a="1"/>
  <c r="R700" i="5" a="1"/>
  <c r="R614" i="5" a="1"/>
  <c r="R600" i="5" a="1"/>
  <c r="R585" i="5" a="1"/>
  <c r="R571" i="5" a="1"/>
  <c r="R542" i="5" a="1"/>
  <c r="R516" i="5" a="1"/>
  <c r="R491" i="5" a="1"/>
  <c r="R466" i="5" a="1"/>
  <c r="R441" i="5" a="1"/>
  <c r="R416" i="5" a="1"/>
  <c r="R391" i="5" a="1"/>
  <c r="R366" i="5" a="1"/>
  <c r="R341" i="5" a="1"/>
  <c r="R316" i="5" a="1"/>
  <c r="R1826" i="5" a="1"/>
  <c r="R1765" i="5" a="1"/>
  <c r="R1664" i="5" a="1"/>
  <c r="R1624" i="5" a="1"/>
  <c r="R1382" i="5" a="1"/>
  <c r="R1232" i="5" a="1"/>
  <c r="R1193" i="5" a="1"/>
  <c r="R1156" i="5" a="1"/>
  <c r="R1081" i="5" a="1"/>
  <c r="R1042" i="5" a="1"/>
  <c r="R986" i="5" a="1"/>
  <c r="R966" i="5" a="1"/>
  <c r="R947" i="5" a="1"/>
  <c r="R909" i="5" a="1"/>
  <c r="R870" i="5" a="1"/>
  <c r="R795" i="5" a="1"/>
  <c r="R756" i="5" a="1"/>
  <c r="R681" i="5" a="1"/>
  <c r="R645" i="5" a="1"/>
  <c r="R627" i="5" a="1"/>
  <c r="R556" i="5" a="1"/>
  <c r="R515" i="5" a="1"/>
  <c r="R465" i="5" a="1"/>
  <c r="R415" i="5" a="1"/>
  <c r="R365" i="5" a="1"/>
  <c r="R304" i="5" a="1"/>
  <c r="R292" i="5" a="1"/>
  <c r="R281" i="5" a="1"/>
  <c r="R271" i="5" a="1"/>
  <c r="R261" i="5" a="1"/>
  <c r="R251" i="5" a="1"/>
  <c r="R241" i="5" a="1"/>
  <c r="R231" i="5" a="1"/>
  <c r="R221" i="5" a="1"/>
  <c r="R211" i="5" a="1"/>
  <c r="R201" i="5" a="1"/>
  <c r="R191" i="5" a="1"/>
  <c r="R181" i="5" a="1"/>
  <c r="R171" i="5" a="1"/>
  <c r="R161" i="5" a="1"/>
  <c r="R151" i="5" a="1"/>
  <c r="R141" i="5" a="1"/>
  <c r="R131" i="5" a="1"/>
  <c r="R121" i="5" a="1"/>
  <c r="R111" i="5" a="1"/>
  <c r="R101" i="5" a="1"/>
  <c r="R1494" i="5" a="1"/>
  <c r="R1342" i="5" a="1"/>
  <c r="R1305" i="5" a="1"/>
  <c r="R1192" i="5" a="1"/>
  <c r="R1136" i="5" a="1"/>
  <c r="R1099" i="5" a="1"/>
  <c r="R1080" i="5" a="1"/>
  <c r="R1060" i="5" a="1"/>
  <c r="R1022" i="5" a="1"/>
  <c r="R889" i="5" a="1"/>
  <c r="R850" i="5" a="1"/>
  <c r="R832" i="5" a="1"/>
  <c r="R775" i="5" a="1"/>
  <c r="R736" i="5" a="1"/>
  <c r="R699" i="5" a="1"/>
  <c r="R680" i="5" a="1"/>
  <c r="R612" i="5" a="1"/>
  <c r="R584" i="5" a="1"/>
  <c r="R570" i="5" a="1"/>
  <c r="R555" i="5" a="1"/>
  <c r="R541" i="5" a="1"/>
  <c r="R527" i="5" a="1"/>
  <c r="R502" i="5" a="1"/>
  <c r="R490" i="5" a="1"/>
  <c r="R477" i="5" a="1"/>
  <c r="R452" i="5" a="1"/>
  <c r="R440" i="5" a="1"/>
  <c r="R427" i="5" a="1"/>
  <c r="R402" i="5" a="1"/>
  <c r="R390" i="5" a="1"/>
  <c r="R377" i="5" a="1"/>
  <c r="R352" i="5" a="1"/>
  <c r="R340" i="5" a="1"/>
  <c r="R327" i="5" a="1"/>
  <c r="R315" i="5" a="1"/>
  <c r="R1705" i="5" a="1"/>
  <c r="R1662" i="5" a="1"/>
  <c r="R1573" i="5" a="1"/>
  <c r="R1535" i="5" a="1"/>
  <c r="R1455" i="5" a="1"/>
  <c r="R1302" i="5" a="1"/>
  <c r="R1191" i="5" a="1"/>
  <c r="R1155" i="5" a="1"/>
  <c r="R1116" i="5" a="1"/>
  <c r="R1041" i="5" a="1"/>
  <c r="R1002" i="5" a="1"/>
  <c r="R946" i="5" a="1"/>
  <c r="R926" i="5" a="1"/>
  <c r="R907" i="5" a="1"/>
  <c r="R869" i="5" a="1"/>
  <c r="R830" i="5" a="1"/>
  <c r="R755" i="5" a="1"/>
  <c r="R716" i="5" a="1"/>
  <c r="R661" i="5" a="1"/>
  <c r="R626" i="5" a="1"/>
  <c r="R597" i="5" a="1"/>
  <c r="R514" i="5" a="1"/>
  <c r="R464" i="5" a="1"/>
  <c r="R414" i="5" a="1"/>
  <c r="R364" i="5" a="1"/>
  <c r="R291" i="5" a="1"/>
  <c r="R280" i="5" a="1"/>
  <c r="R270" i="5" a="1"/>
  <c r="R260" i="5" a="1"/>
  <c r="R250" i="5" a="1"/>
  <c r="R240" i="5" a="1"/>
  <c r="R230" i="5" a="1"/>
  <c r="R220" i="5" a="1"/>
  <c r="R210" i="5" a="1"/>
  <c r="R200" i="5" a="1"/>
  <c r="R190" i="5" a="1"/>
  <c r="R180" i="5" a="1"/>
  <c r="R170" i="5" a="1"/>
  <c r="R160" i="5" a="1"/>
  <c r="R150" i="5" a="1"/>
  <c r="R140" i="5" a="1"/>
  <c r="R130" i="5" a="1"/>
  <c r="R120" i="5" a="1"/>
  <c r="R110" i="5" a="1"/>
  <c r="R100" i="5" a="1"/>
  <c r="R1915" i="5" a="1"/>
  <c r="R1816" i="5" a="1"/>
  <c r="R1754" i="5" a="1"/>
  <c r="R1615" i="5" a="1"/>
  <c r="R1572" i="5" a="1"/>
  <c r="R1493" i="5" a="1"/>
  <c r="R1454" i="5" a="1"/>
  <c r="R1414" i="5" a="1"/>
  <c r="R1262" i="5" a="1"/>
  <c r="R1225" i="5" a="1"/>
  <c r="R1135" i="5" a="1"/>
  <c r="R1096" i="5" a="1"/>
  <c r="R1059" i="5" a="1"/>
  <c r="R1040" i="5" a="1"/>
  <c r="R1020" i="5" a="1"/>
  <c r="R982" i="5" a="1"/>
  <c r="R849" i="5" a="1"/>
  <c r="R810" i="5" a="1"/>
  <c r="R792" i="5" a="1"/>
  <c r="R735" i="5" a="1"/>
  <c r="R696" i="5" a="1"/>
  <c r="R677" i="5" a="1"/>
  <c r="R660" i="5" a="1"/>
  <c r="R625" i="5" a="1"/>
  <c r="R611" i="5" a="1"/>
  <c r="R582" i="5" a="1"/>
  <c r="R554" i="5" a="1"/>
  <c r="R540" i="5" a="1"/>
  <c r="R526" i="5" a="1"/>
  <c r="R501" i="5" a="1"/>
  <c r="R476" i="5" a="1"/>
  <c r="R451" i="5" a="1"/>
  <c r="R426" i="5" a="1"/>
  <c r="R401" i="5" a="1"/>
  <c r="R376" i="5" a="1"/>
  <c r="R351" i="5" a="1"/>
  <c r="R326" i="5" a="1"/>
  <c r="R314" i="5" a="1"/>
  <c r="R302" i="5" a="1"/>
  <c r="R1702" i="5" a="1"/>
  <c r="R1375" i="5" a="1"/>
  <c r="R1222" i="5" a="1"/>
  <c r="R1186" i="5" a="1"/>
  <c r="R1115" i="5" a="1"/>
  <c r="R1076" i="5" a="1"/>
  <c r="R1001" i="5" a="1"/>
  <c r="R962" i="5" a="1"/>
  <c r="R906" i="5" a="1"/>
  <c r="R886" i="5" a="1"/>
  <c r="R867" i="5" a="1"/>
  <c r="R829" i="5" a="1"/>
  <c r="R790" i="5" a="1"/>
  <c r="R715" i="5" a="1"/>
  <c r="R642" i="5" a="1"/>
  <c r="R596" i="5" a="1"/>
  <c r="R567" i="5" a="1"/>
  <c r="R525" i="5" a="1"/>
  <c r="R475" i="5" a="1"/>
  <c r="R425" i="5" a="1"/>
  <c r="R375" i="5" a="1"/>
  <c r="R325" i="5" a="1"/>
  <c r="R290" i="5" a="1"/>
  <c r="R279" i="5" a="1"/>
  <c r="R269" i="5" a="1"/>
  <c r="R259" i="5" a="1"/>
  <c r="R249" i="5" a="1"/>
  <c r="R239" i="5" a="1"/>
  <c r="R229" i="5" a="1"/>
  <c r="R219" i="5" a="1"/>
  <c r="R209" i="5" a="1"/>
  <c r="R199" i="5" a="1"/>
  <c r="R189" i="5" a="1"/>
  <c r="R179" i="5" a="1"/>
  <c r="R169" i="5" a="1"/>
  <c r="R159" i="5" a="1"/>
  <c r="R149" i="5" a="1"/>
  <c r="R139" i="5" a="1"/>
  <c r="R129" i="5" a="1"/>
  <c r="R119" i="5" a="1"/>
  <c r="R109" i="5" a="1"/>
  <c r="R99" i="5" a="1"/>
  <c r="R446" i="5" a="1"/>
  <c r="R1413" i="5" a="1"/>
  <c r="R1374" i="5" a="1"/>
  <c r="R1334" i="5" a="1"/>
  <c r="R1183" i="5" a="1"/>
  <c r="R1152" i="5" a="1"/>
  <c r="R1095" i="5" a="1"/>
  <c r="R1056" i="5" a="1"/>
  <c r="R1019" i="5" a="1"/>
  <c r="R1000" i="5" a="1"/>
  <c r="R980" i="5" a="1"/>
  <c r="R942" i="5" a="1"/>
  <c r="R809" i="5" a="1"/>
  <c r="R770" i="5" a="1"/>
  <c r="R752" i="5" a="1"/>
  <c r="R695" i="5" a="1"/>
  <c r="R676" i="5" a="1"/>
  <c r="R624" i="5" a="1"/>
  <c r="R610" i="5" a="1"/>
  <c r="R595" i="5" a="1"/>
  <c r="R581" i="5" a="1"/>
  <c r="R552" i="5" a="1"/>
  <c r="R512" i="5" a="1"/>
  <c r="R500" i="5" a="1"/>
  <c r="R487" i="5" a="1"/>
  <c r="R462" i="5" a="1"/>
  <c r="R450" i="5" a="1"/>
  <c r="R437" i="5" a="1"/>
  <c r="R412" i="5" a="1"/>
  <c r="R400" i="5" a="1"/>
  <c r="R387" i="5" a="1"/>
  <c r="R362" i="5" a="1"/>
  <c r="R350" i="5" a="1"/>
  <c r="R337" i="5" a="1"/>
  <c r="R301" i="5" a="1"/>
  <c r="R860" i="5" a="1"/>
  <c r="R521" i="5" a="1"/>
  <c r="R421" i="5" a="1"/>
  <c r="R1886" i="5" a="1"/>
  <c r="R1806" i="5" a="1"/>
  <c r="R1695" i="5" a="1"/>
  <c r="R1655" i="5" a="1"/>
  <c r="R1525" i="5" a="1"/>
  <c r="R1485" i="5" a="1"/>
  <c r="R1295" i="5" a="1"/>
  <c r="R1182" i="5" a="1"/>
  <c r="R1150" i="5" a="1"/>
  <c r="R1075" i="5" a="1"/>
  <c r="R1036" i="5" a="1"/>
  <c r="R961" i="5" a="1"/>
  <c r="R922" i="5" a="1"/>
  <c r="R866" i="5" a="1"/>
  <c r="R846" i="5" a="1"/>
  <c r="R827" i="5" a="1"/>
  <c r="R789" i="5" a="1"/>
  <c r="R750" i="5" a="1"/>
  <c r="R657" i="5" a="1"/>
  <c r="R639" i="5" a="1"/>
  <c r="R566" i="5" a="1"/>
  <c r="R537" i="5" a="1"/>
  <c r="R524" i="5" a="1"/>
  <c r="R474" i="5" a="1"/>
  <c r="R424" i="5" a="1"/>
  <c r="R374" i="5" a="1"/>
  <c r="R324" i="5" a="1"/>
  <c r="R312" i="5" a="1"/>
  <c r="R278" i="5" a="1"/>
  <c r="R268" i="5" a="1"/>
  <c r="R258" i="5" a="1"/>
  <c r="R248" i="5" a="1"/>
  <c r="R238" i="5" a="1"/>
  <c r="R228" i="5" a="1"/>
  <c r="R218" i="5" a="1"/>
  <c r="R208" i="5" a="1"/>
  <c r="R198" i="5" a="1"/>
  <c r="R188" i="5" a="1"/>
  <c r="R178" i="5" a="1"/>
  <c r="R168" i="5" a="1"/>
  <c r="R158" i="5" a="1"/>
  <c r="R148" i="5" a="1"/>
  <c r="R138" i="5" a="1"/>
  <c r="R128" i="5" a="1"/>
  <c r="R118" i="5" a="1"/>
  <c r="R108" i="5" a="1"/>
  <c r="R98" i="5" a="1"/>
  <c r="R822" i="5" a="1"/>
  <c r="R496" i="5" a="1"/>
  <c r="R1742" i="5" a="1"/>
  <c r="R1565" i="5" a="1"/>
  <c r="R1484" i="5" a="1"/>
  <c r="R1445" i="5" a="1"/>
  <c r="R1333" i="5" a="1"/>
  <c r="R1294" i="5" a="1"/>
  <c r="R1254" i="5" a="1"/>
  <c r="R1181" i="5" a="1"/>
  <c r="R1130" i="5" a="1"/>
  <c r="R1112" i="5" a="1"/>
  <c r="R1055" i="5" a="1"/>
  <c r="R1016" i="5" a="1"/>
  <c r="R979" i="5" a="1"/>
  <c r="R960" i="5" a="1"/>
  <c r="R940" i="5" a="1"/>
  <c r="R902" i="5" a="1"/>
  <c r="R769" i="5" a="1"/>
  <c r="R730" i="5" a="1"/>
  <c r="R712" i="5" a="1"/>
  <c r="R622" i="5" a="1"/>
  <c r="R594" i="5" a="1"/>
  <c r="R580" i="5" a="1"/>
  <c r="R565" i="5" a="1"/>
  <c r="R551" i="5" a="1"/>
  <c r="R511" i="5" a="1"/>
  <c r="R486" i="5" a="1"/>
  <c r="R461" i="5" a="1"/>
  <c r="R436" i="5" a="1"/>
  <c r="R411" i="5" a="1"/>
  <c r="R386" i="5" a="1"/>
  <c r="R361" i="5" a="1"/>
  <c r="R336" i="5" a="1"/>
  <c r="R300" i="5" a="1"/>
  <c r="R1642" i="5" a="1"/>
  <c r="R1884" i="5" a="1"/>
  <c r="R1692" i="5" a="1"/>
  <c r="R1564" i="5" a="1"/>
  <c r="R1522" i="5" a="1"/>
  <c r="R1444" i="5" a="1"/>
  <c r="R1405" i="5" a="1"/>
  <c r="R1215" i="5" a="1"/>
  <c r="R1149" i="5" a="1"/>
  <c r="R1110" i="5" a="1"/>
  <c r="R1035" i="5" a="1"/>
  <c r="R996" i="5" a="1"/>
  <c r="R921" i="5" a="1"/>
  <c r="R882" i="5" a="1"/>
  <c r="R826" i="5" a="1"/>
  <c r="R806" i="5" a="1"/>
  <c r="R787" i="5" a="1"/>
  <c r="R749" i="5" a="1"/>
  <c r="R710" i="5" a="1"/>
  <c r="R656" i="5" a="1"/>
  <c r="R607" i="5" a="1"/>
  <c r="R536" i="5" a="1"/>
  <c r="R485" i="5" a="1"/>
  <c r="R435" i="5" a="1"/>
  <c r="R385" i="5" a="1"/>
  <c r="R335" i="5" a="1"/>
  <c r="R311" i="5" a="1"/>
  <c r="R287" i="5" a="1"/>
  <c r="R277" i="5" a="1"/>
  <c r="R267" i="5" a="1"/>
  <c r="R257" i="5" a="1"/>
  <c r="R247" i="5" a="1"/>
  <c r="R237" i="5" a="1"/>
  <c r="R227" i="5" a="1"/>
  <c r="R217" i="5" a="1"/>
  <c r="R207" i="5" a="1"/>
  <c r="R197" i="5" a="1"/>
  <c r="R187" i="5" a="1"/>
  <c r="R177" i="5" a="1"/>
  <c r="R167" i="5" a="1"/>
  <c r="R157" i="5" a="1"/>
  <c r="R147" i="5" a="1"/>
  <c r="R137" i="5" a="1"/>
  <c r="R127" i="5" a="1"/>
  <c r="R117" i="5" a="1"/>
  <c r="R107" i="5" a="1"/>
  <c r="R97" i="5" a="1"/>
  <c r="R1732" i="5" a="1"/>
  <c r="R1736" i="5" a="1"/>
  <c r="R1645" i="5" a="1"/>
  <c r="R1602" i="5" a="1"/>
  <c r="R1482" i="5" a="1"/>
  <c r="R1442" i="5" a="1"/>
  <c r="R1404" i="5" a="1"/>
  <c r="R1365" i="5" a="1"/>
  <c r="R1253" i="5" a="1"/>
  <c r="R1214" i="5" a="1"/>
  <c r="R1129" i="5" a="1"/>
  <c r="R1090" i="5" a="1"/>
  <c r="R1072" i="5" a="1"/>
  <c r="R1015" i="5" a="1"/>
  <c r="R976" i="5" a="1"/>
  <c r="R939" i="5" a="1"/>
  <c r="R920" i="5" a="1"/>
  <c r="R900" i="5" a="1"/>
  <c r="R862" i="5" a="1"/>
  <c r="R729" i="5" a="1"/>
  <c r="R690" i="5" a="1"/>
  <c r="R621" i="5" a="1"/>
  <c r="R592" i="5" a="1"/>
  <c r="R564" i="5" a="1"/>
  <c r="R550" i="5" a="1"/>
  <c r="R535" i="5" a="1"/>
  <c r="R522" i="5" a="1"/>
  <c r="R510" i="5" a="1"/>
  <c r="R497" i="5" a="1"/>
  <c r="R472" i="5" a="1"/>
  <c r="R460" i="5" a="1"/>
  <c r="R447" i="5" a="1"/>
  <c r="R422" i="5" a="1"/>
  <c r="R410" i="5" a="1"/>
  <c r="R397" i="5" a="1"/>
  <c r="R372" i="5" a="1"/>
  <c r="R360" i="5" a="1"/>
  <c r="R347" i="5" a="1"/>
  <c r="R322" i="5" a="1"/>
  <c r="R1876" i="5" a="1"/>
  <c r="R1792" i="5" a="1"/>
  <c r="R1734" i="5" a="1"/>
  <c r="R1644" i="5" a="1"/>
  <c r="R1515" i="5" a="1"/>
  <c r="R1364" i="5" a="1"/>
  <c r="R1325" i="5" a="1"/>
  <c r="R1175" i="5" a="1"/>
  <c r="R1147" i="5" a="1"/>
  <c r="R1109" i="5" a="1"/>
  <c r="R1070" i="5" a="1"/>
  <c r="R995" i="5" a="1"/>
  <c r="R956" i="5" a="1"/>
  <c r="R881" i="5" a="1"/>
  <c r="R842" i="5" a="1"/>
  <c r="R786" i="5" a="1"/>
  <c r="R766" i="5" a="1"/>
  <c r="R747" i="5" a="1"/>
  <c r="R709" i="5" a="1"/>
  <c r="R671" i="5" a="1"/>
  <c r="R655" i="5" a="1"/>
  <c r="R636" i="5" a="1"/>
  <c r="R606" i="5" a="1"/>
  <c r="R577" i="5" a="1"/>
  <c r="R484" i="5" a="1"/>
  <c r="R434" i="5" a="1"/>
  <c r="R384" i="5" a="1"/>
  <c r="R334" i="5" a="1"/>
  <c r="R310" i="5" a="1"/>
  <c r="R286" i="5" a="1"/>
  <c r="R276" i="5" a="1"/>
  <c r="R266" i="5" a="1"/>
  <c r="R256" i="5" a="1"/>
  <c r="R246" i="5" a="1"/>
  <c r="R236" i="5" a="1"/>
  <c r="R226" i="5" a="1"/>
  <c r="R216" i="5" a="1"/>
  <c r="R206" i="5" a="1"/>
  <c r="R196" i="5" a="1"/>
  <c r="R186" i="5" a="1"/>
  <c r="R176" i="5" a="1"/>
  <c r="R166" i="5" a="1"/>
  <c r="R156" i="5" a="1"/>
  <c r="R146" i="5" a="1"/>
  <c r="R136" i="5" a="1"/>
  <c r="R126" i="5" a="1"/>
  <c r="R116" i="5" a="1"/>
  <c r="R106" i="5" a="1"/>
  <c r="R96" i="5" a="1"/>
  <c r="R689" i="5" a="1"/>
  <c r="R1785" i="5" a="1"/>
  <c r="R1472" i="5" a="1"/>
  <c r="R1433" i="5" a="1"/>
  <c r="R1354" i="5" a="1"/>
  <c r="R1204" i="5" a="1"/>
  <c r="R1106" i="5" a="1"/>
  <c r="R1086" i="5" a="1"/>
  <c r="R1067" i="5" a="1"/>
  <c r="R1029" i="5" a="1"/>
  <c r="R990" i="5" a="1"/>
  <c r="R915" i="5" a="1"/>
  <c r="R876" i="5" a="1"/>
  <c r="R801" i="5" a="1"/>
  <c r="R762" i="5" a="1"/>
  <c r="R706" i="5" a="1"/>
  <c r="R686" i="5" a="1"/>
  <c r="R650" i="5" a="1"/>
  <c r="R632" i="5" a="1"/>
  <c r="R617" i="5" a="1"/>
  <c r="R546" i="5" a="1"/>
  <c r="R494" i="5" a="1"/>
  <c r="R444" i="5" a="1"/>
  <c r="R394" i="5" a="1"/>
  <c r="R344" i="5" a="1"/>
  <c r="R307" i="5" a="1"/>
  <c r="R284" i="5" a="1"/>
  <c r="R274" i="5" a="1"/>
  <c r="R264" i="5" a="1"/>
  <c r="R254" i="5" a="1"/>
  <c r="R244" i="5" a="1"/>
  <c r="R234" i="5" a="1"/>
  <c r="R224" i="5" a="1"/>
  <c r="R214" i="5" a="1"/>
  <c r="R204" i="5" a="1"/>
  <c r="R194" i="5" a="1"/>
  <c r="R184" i="5" a="1"/>
  <c r="R174" i="5" a="1"/>
  <c r="R164" i="5" a="1"/>
  <c r="R154" i="5" a="1"/>
  <c r="R144" i="5" a="1"/>
  <c r="R134" i="5" a="1"/>
  <c r="R124" i="5" a="1"/>
  <c r="R114" i="5" a="1"/>
  <c r="R104" i="5" a="1"/>
  <c r="R1285" i="5" a="1"/>
  <c r="R670" i="5" a="1"/>
  <c r="R562" i="5" a="1"/>
  <c r="R396" i="5" a="1"/>
  <c r="R1865" i="5" a="1"/>
  <c r="R604" i="5" a="1"/>
  <c r="R482" i="5" a="1"/>
  <c r="R370" i="5" a="1"/>
  <c r="R285" i="5" a="1"/>
  <c r="R1126" i="5" a="1"/>
  <c r="R296" i="5" a="1"/>
  <c r="R1434" i="5" a="1"/>
  <c r="R746" i="5" a="1"/>
  <c r="R215" i="5" a="1"/>
  <c r="R1146" i="5" a="1"/>
  <c r="R935" i="5" a="1"/>
  <c r="R590" i="5" a="1"/>
  <c r="R470" i="5" a="1"/>
  <c r="R145" i="5" a="1"/>
  <c r="R1107" i="5" a="1"/>
  <c r="R916" i="5" a="1"/>
  <c r="R726" i="5" a="1"/>
  <c r="R576" i="5" a="1"/>
  <c r="R357" i="5" a="1"/>
  <c r="R275" i="5" a="1"/>
  <c r="R1394" i="5" a="1"/>
  <c r="R575" i="5" a="1"/>
  <c r="R457" i="5" a="1"/>
  <c r="R346" i="5" a="1"/>
  <c r="R205" i="5" a="1"/>
  <c r="R1724" i="5" a="1"/>
  <c r="R1362" i="5" a="1"/>
  <c r="R707" i="5" a="1"/>
  <c r="R445" i="5" a="1"/>
  <c r="R345" i="5" a="1"/>
  <c r="R135" i="5" a="1"/>
  <c r="R1685" i="5" a="1"/>
  <c r="R896" i="5" a="1"/>
  <c r="R561" i="5" a="1"/>
  <c r="R265" i="5" a="1"/>
  <c r="R225" i="5" a="1"/>
  <c r="R155" i="5" a="1"/>
  <c r="R1069" i="5" a="1"/>
  <c r="R547" i="5" a="1"/>
  <c r="R195" i="5" a="1"/>
  <c r="R432" i="5" a="1"/>
  <c r="R125" i="5" a="1"/>
  <c r="R1474" i="5" a="1"/>
  <c r="R1322" i="5" a="1"/>
  <c r="R332" i="5" a="1"/>
  <c r="R255" i="5" a="1"/>
  <c r="R1284" i="5" a="1"/>
  <c r="R1049" i="5" a="1"/>
  <c r="R859" i="5" a="1"/>
  <c r="R669" i="5" a="1"/>
  <c r="R532" i="5" a="1"/>
  <c r="R420" i="5" a="1"/>
  <c r="R321" i="5" a="1"/>
  <c r="R185" i="5" a="1"/>
  <c r="R1171" i="5" a="1"/>
  <c r="R955" i="5" a="1"/>
  <c r="R1595" i="5" a="1"/>
  <c r="R1282" i="5" a="1"/>
  <c r="R1030" i="5" a="1"/>
  <c r="R841" i="5" a="1"/>
  <c r="R652" i="5" a="1"/>
  <c r="R115" i="5" a="1"/>
  <c r="R371" i="5" a="1"/>
  <c r="R1555" i="5" a="1"/>
  <c r="R1245" i="5" a="1"/>
  <c r="R840" i="5" a="1"/>
  <c r="R520" i="5" a="1"/>
  <c r="R320" i="5" a="1"/>
  <c r="R245" i="5" a="1"/>
  <c r="R1244" i="5" a="1"/>
  <c r="R651" i="5" a="1"/>
  <c r="R407" i="5" a="1"/>
  <c r="R175" i="5" a="1"/>
  <c r="R1473" i="5" a="1"/>
  <c r="R1552" i="5" a="1"/>
  <c r="R1010" i="5" a="1"/>
  <c r="R820" i="5" a="1"/>
  <c r="R395" i="5" a="1"/>
  <c r="R105" i="5" a="1"/>
  <c r="R382" i="5" a="1"/>
  <c r="R1513" i="5" a="1"/>
  <c r="R802" i="5" a="1"/>
  <c r="R507" i="5" a="1"/>
  <c r="R235" i="5" a="1"/>
  <c r="R782" i="5" a="1"/>
  <c r="R1512" i="5" a="1"/>
  <c r="R1205" i="5" a="1"/>
  <c r="R992" i="5" a="1"/>
  <c r="R495" i="5" a="1"/>
  <c r="R297" i="5" a="1"/>
  <c r="R165" i="5" a="1"/>
  <c r="S2004" i="5" a="1"/>
  <c r="S1994" i="5" a="1"/>
  <c r="S1984" i="5" a="1"/>
  <c r="S1974" i="5" a="1"/>
  <c r="S1964" i="5" a="1"/>
  <c r="S1954" i="5" a="1"/>
  <c r="S1944" i="5" a="1"/>
  <c r="S1934" i="5" a="1"/>
  <c r="S1924" i="5" a="1"/>
  <c r="S1914" i="5" a="1"/>
  <c r="S1904" i="5" a="1"/>
  <c r="S1894" i="5" a="1"/>
  <c r="S1884" i="5" a="1"/>
  <c r="S1874" i="5" a="1"/>
  <c r="S1864" i="5" a="1"/>
  <c r="S1854" i="5" a="1"/>
  <c r="S1844" i="5" a="1"/>
  <c r="S1834" i="5" a="1"/>
  <c r="S1824" i="5" a="1"/>
  <c r="S1814" i="5" a="1"/>
  <c r="S1804" i="5" a="1"/>
  <c r="S1794" i="5" a="1"/>
  <c r="S1784" i="5" a="1"/>
  <c r="S1774" i="5" a="1"/>
  <c r="S1764" i="5" a="1"/>
  <c r="S1754" i="5" a="1"/>
  <c r="S1744" i="5" a="1"/>
  <c r="S1734" i="5" a="1"/>
  <c r="S1724" i="5" a="1"/>
  <c r="S1714" i="5" a="1"/>
  <c r="S1704" i="5" a="1"/>
  <c r="S1694" i="5" a="1"/>
  <c r="S1684" i="5" a="1"/>
  <c r="S1674" i="5" a="1"/>
  <c r="S1664" i="5" a="1"/>
  <c r="S1654" i="5" a="1"/>
  <c r="S1644" i="5" a="1"/>
  <c r="S1634" i="5" a="1"/>
  <c r="S1624" i="5" a="1"/>
  <c r="S1614" i="5" a="1"/>
  <c r="S1604" i="5" a="1"/>
  <c r="S1594" i="5" a="1"/>
  <c r="S1584" i="5" a="1"/>
  <c r="S1574" i="5" a="1"/>
  <c r="S1564" i="5" a="1"/>
  <c r="S1554" i="5" a="1"/>
  <c r="S1544" i="5" a="1"/>
  <c r="S1534" i="5" a="1"/>
  <c r="S1524" i="5" a="1"/>
  <c r="S1514" i="5" a="1"/>
  <c r="S1504" i="5" a="1"/>
  <c r="S1494" i="5" a="1"/>
  <c r="S2003" i="5" a="1"/>
  <c r="S1993" i="5" a="1"/>
  <c r="S1983" i="5" a="1"/>
  <c r="S1973" i="5" a="1"/>
  <c r="S1963" i="5" a="1"/>
  <c r="S1953" i="5" a="1"/>
  <c r="S1943" i="5" a="1"/>
  <c r="S1933" i="5" a="1"/>
  <c r="S1923" i="5" a="1"/>
  <c r="S1913" i="5" a="1"/>
  <c r="S1903" i="5" a="1"/>
  <c r="S1893" i="5" a="1"/>
  <c r="S1883" i="5" a="1"/>
  <c r="S1873" i="5" a="1"/>
  <c r="S1863" i="5" a="1"/>
  <c r="S1853" i="5" a="1"/>
  <c r="S1843" i="5" a="1"/>
  <c r="S1833" i="5" a="1"/>
  <c r="S1823" i="5" a="1"/>
  <c r="S1813" i="5" a="1"/>
  <c r="S1803" i="5" a="1"/>
  <c r="S1793" i="5" a="1"/>
  <c r="S1783" i="5" a="1"/>
  <c r="S1773" i="5" a="1"/>
  <c r="S1763" i="5" a="1"/>
  <c r="S1753" i="5" a="1"/>
  <c r="S1743" i="5" a="1"/>
  <c r="S1733" i="5" a="1"/>
  <c r="S2002" i="5" a="1"/>
  <c r="S1992" i="5" a="1"/>
  <c r="S1982" i="5" a="1"/>
  <c r="S1972" i="5" a="1"/>
  <c r="S1962" i="5" a="1"/>
  <c r="S1952" i="5" a="1"/>
  <c r="S1942" i="5" a="1"/>
  <c r="S1932" i="5" a="1"/>
  <c r="S1922" i="5" a="1"/>
  <c r="S1912" i="5" a="1"/>
  <c r="S1902" i="5" a="1"/>
  <c r="S1892" i="5" a="1"/>
  <c r="S2001" i="5" a="1"/>
  <c r="S1991" i="5" a="1"/>
  <c r="S1981" i="5" a="1"/>
  <c r="S1971" i="5" a="1"/>
  <c r="S1961" i="5" a="1"/>
  <c r="S1951" i="5" a="1"/>
  <c r="S1941" i="5" a="1"/>
  <c r="S1931" i="5" a="1"/>
  <c r="S1921" i="5" a="1"/>
  <c r="S1911" i="5" a="1"/>
  <c r="S1901" i="5" a="1"/>
  <c r="S1891" i="5" a="1"/>
  <c r="S1881" i="5" a="1"/>
  <c r="S1871" i="5" a="1"/>
  <c r="S1861" i="5" a="1"/>
  <c r="S1851" i="5" a="1"/>
  <c r="S1841" i="5" a="1"/>
  <c r="S1831" i="5" a="1"/>
  <c r="S1821" i="5" a="1"/>
  <c r="S1811" i="5" a="1"/>
  <c r="S1801" i="5" a="1"/>
  <c r="S1791" i="5" a="1"/>
  <c r="S1781" i="5" a="1"/>
  <c r="S1771" i="5" a="1"/>
  <c r="S1761" i="5" a="1"/>
  <c r="S1751" i="5" a="1"/>
  <c r="S1741" i="5" a="1"/>
  <c r="S1731" i="5" a="1"/>
  <c r="S1721" i="5" a="1"/>
  <c r="S1711" i="5" a="1"/>
  <c r="S1701" i="5" a="1"/>
  <c r="S1691" i="5" a="1"/>
  <c r="S1681" i="5" a="1"/>
  <c r="S1671" i="5" a="1"/>
  <c r="S1661" i="5" a="1"/>
  <c r="S1651" i="5" a="1"/>
  <c r="S1641" i="5" a="1"/>
  <c r="S1631" i="5" a="1"/>
  <c r="S1621" i="5" a="1"/>
  <c r="S1611" i="5" a="1"/>
  <c r="S1601" i="5" a="1"/>
  <c r="S1591" i="5" a="1"/>
  <c r="S1581" i="5" a="1"/>
  <c r="S1571" i="5" a="1"/>
  <c r="S1561" i="5" a="1"/>
  <c r="S1551" i="5" a="1"/>
  <c r="S1541" i="5" a="1"/>
  <c r="S1531" i="5" a="1"/>
  <c r="S1521" i="5" a="1"/>
  <c r="S1511" i="5" a="1"/>
  <c r="S1501" i="5" a="1"/>
  <c r="S1491" i="5" a="1"/>
  <c r="S1481" i="5" a="1"/>
  <c r="S1471" i="5" a="1"/>
  <c r="S1461" i="5" a="1"/>
  <c r="S1451" i="5" a="1"/>
  <c r="S1441" i="5" a="1"/>
  <c r="S1431" i="5" a="1"/>
  <c r="S1421" i="5" a="1"/>
  <c r="S1411" i="5" a="1"/>
  <c r="S1401" i="5" a="1"/>
  <c r="S1391" i="5" a="1"/>
  <c r="S1381" i="5" a="1"/>
  <c r="S1371" i="5" a="1"/>
  <c r="S1361" i="5" a="1"/>
  <c r="S1351" i="5" a="1"/>
  <c r="S1341" i="5" a="1"/>
  <c r="S1331" i="5" a="1"/>
  <c r="S1321" i="5" a="1"/>
  <c r="S1311" i="5" a="1"/>
  <c r="S1301" i="5" a="1"/>
  <c r="S1291" i="5" a="1"/>
  <c r="S1281" i="5" a="1"/>
  <c r="S1271" i="5" a="1"/>
  <c r="S1261" i="5" a="1"/>
  <c r="S1251" i="5" a="1"/>
  <c r="S1241" i="5" a="1"/>
  <c r="S1231" i="5" a="1"/>
  <c r="S1221" i="5" a="1"/>
  <c r="S1211" i="5" a="1"/>
  <c r="S1201" i="5" a="1"/>
  <c r="S1191" i="5" a="1"/>
  <c r="S1181" i="5" a="1"/>
  <c r="S1171" i="5" a="1"/>
  <c r="S1161" i="5" a="1"/>
  <c r="S2000" i="5" a="1"/>
  <c r="S1990" i="5" a="1"/>
  <c r="S1980" i="5" a="1"/>
  <c r="S1970" i="5" a="1"/>
  <c r="S1960" i="5" a="1"/>
  <c r="S1950" i="5" a="1"/>
  <c r="S1940" i="5" a="1"/>
  <c r="S1930" i="5" a="1"/>
  <c r="S1920" i="5" a="1"/>
  <c r="S1910" i="5" a="1"/>
  <c r="S1900" i="5" a="1"/>
  <c r="S1890" i="5" a="1"/>
  <c r="S1880" i="5" a="1"/>
  <c r="S1870" i="5" a="1"/>
  <c r="S1860" i="5" a="1"/>
  <c r="S1850" i="5" a="1"/>
  <c r="S1840" i="5" a="1"/>
  <c r="S1830" i="5" a="1"/>
  <c r="S1820" i="5" a="1"/>
  <c r="S1810" i="5" a="1"/>
  <c r="S1800" i="5" a="1"/>
  <c r="S1790" i="5" a="1"/>
  <c r="S1780" i="5" a="1"/>
  <c r="S1770" i="5" a="1"/>
  <c r="S1760" i="5" a="1"/>
  <c r="S1750" i="5" a="1"/>
  <c r="S1740" i="5" a="1"/>
  <c r="S1730" i="5" a="1"/>
  <c r="S1720" i="5" a="1"/>
  <c r="S1710" i="5" a="1"/>
  <c r="S1700" i="5" a="1"/>
  <c r="S1690" i="5" a="1"/>
  <c r="S1680" i="5" a="1"/>
  <c r="S1670" i="5" a="1"/>
  <c r="S1660" i="5" a="1"/>
  <c r="S1650" i="5" a="1"/>
  <c r="S1640" i="5" a="1"/>
  <c r="S1630" i="5" a="1"/>
  <c r="S1620" i="5" a="1"/>
  <c r="S1610" i="5" a="1"/>
  <c r="S1600" i="5" a="1"/>
  <c r="S1590" i="5" a="1"/>
  <c r="S1580" i="5" a="1"/>
  <c r="S1570" i="5" a="1"/>
  <c r="S1560" i="5" a="1"/>
  <c r="S1550" i="5" a="1"/>
  <c r="S1540" i="5" a="1"/>
  <c r="S1530" i="5" a="1"/>
  <c r="S1520" i="5" a="1"/>
  <c r="S1510" i="5" a="1"/>
  <c r="S1500" i="5" a="1"/>
  <c r="S1490" i="5" a="1"/>
  <c r="S1480" i="5" a="1"/>
  <c r="S1470" i="5" a="1"/>
  <c r="S1460" i="5" a="1"/>
  <c r="S1450" i="5" a="1"/>
  <c r="S1440" i="5" a="1"/>
  <c r="S1430" i="5" a="1"/>
  <c r="S1420" i="5" a="1"/>
  <c r="S1410" i="5" a="1"/>
  <c r="S1400" i="5" a="1"/>
  <c r="S1390" i="5" a="1"/>
  <c r="S1380" i="5" a="1"/>
  <c r="S1370" i="5" a="1"/>
  <c r="S1360" i="5" a="1"/>
  <c r="S1350" i="5" a="1"/>
  <c r="S1340" i="5" a="1"/>
  <c r="S1330" i="5" a="1"/>
  <c r="S1320" i="5" a="1"/>
  <c r="S1310" i="5" a="1"/>
  <c r="S1300" i="5" a="1"/>
  <c r="S1290" i="5" a="1"/>
  <c r="S1280" i="5" a="1"/>
  <c r="S1270" i="5" a="1"/>
  <c r="S1260" i="5" a="1"/>
  <c r="S1250" i="5" a="1"/>
  <c r="S1240" i="5" a="1"/>
  <c r="S1230" i="5" a="1"/>
  <c r="S1220" i="5" a="1"/>
  <c r="S1210" i="5" a="1"/>
  <c r="S1200" i="5" a="1"/>
  <c r="S1190" i="5" a="1"/>
  <c r="S1180" i="5" a="1"/>
  <c r="S1170" i="5" a="1"/>
  <c r="S1160" i="5" a="1"/>
  <c r="S1999" i="5" a="1"/>
  <c r="S1989" i="5" a="1"/>
  <c r="S1979" i="5" a="1"/>
  <c r="S1969" i="5" a="1"/>
  <c r="S1959" i="5" a="1"/>
  <c r="S1949" i="5" a="1"/>
  <c r="S1939" i="5" a="1"/>
  <c r="S1929" i="5" a="1"/>
  <c r="S1919" i="5" a="1"/>
  <c r="S1909" i="5" a="1"/>
  <c r="S1899" i="5" a="1"/>
  <c r="S1889" i="5" a="1"/>
  <c r="S1879" i="5" a="1"/>
  <c r="S1869" i="5" a="1"/>
  <c r="S1997" i="5" a="1"/>
  <c r="S1987" i="5" a="1"/>
  <c r="S1977" i="5" a="1"/>
  <c r="S1967" i="5" a="1"/>
  <c r="S1957" i="5" a="1"/>
  <c r="S1947" i="5" a="1"/>
  <c r="S1937" i="5" a="1"/>
  <c r="S1927" i="5" a="1"/>
  <c r="S1917" i="5" a="1"/>
  <c r="S1907" i="5" a="1"/>
  <c r="S1897" i="5" a="1"/>
  <c r="S1887" i="5" a="1"/>
  <c r="S1877" i="5" a="1"/>
  <c r="S1867" i="5" a="1"/>
  <c r="S1857" i="5" a="1"/>
  <c r="S1847" i="5" a="1"/>
  <c r="S1837" i="5" a="1"/>
  <c r="S1827" i="5" a="1"/>
  <c r="S1817" i="5" a="1"/>
  <c r="S1807" i="5" a="1"/>
  <c r="S1797" i="5" a="1"/>
  <c r="S1787" i="5" a="1"/>
  <c r="S1777" i="5" a="1"/>
  <c r="S1767" i="5" a="1"/>
  <c r="S1757" i="5" a="1"/>
  <c r="S1747" i="5" a="1"/>
  <c r="S1737" i="5" a="1"/>
  <c r="S1727" i="5" a="1"/>
  <c r="S1717" i="5" a="1"/>
  <c r="S1707" i="5" a="1"/>
  <c r="S1697" i="5" a="1"/>
  <c r="S1687" i="5" a="1"/>
  <c r="S1677" i="5" a="1"/>
  <c r="S1667" i="5" a="1"/>
  <c r="S1657" i="5" a="1"/>
  <c r="S1647" i="5" a="1"/>
  <c r="S1637" i="5" a="1"/>
  <c r="S1627" i="5" a="1"/>
  <c r="S1617" i="5" a="1"/>
  <c r="S1607" i="5" a="1"/>
  <c r="S1597" i="5" a="1"/>
  <c r="S1587" i="5" a="1"/>
  <c r="S1577" i="5" a="1"/>
  <c r="S1567" i="5" a="1"/>
  <c r="S1557" i="5" a="1"/>
  <c r="S1547" i="5" a="1"/>
  <c r="S1537" i="5" a="1"/>
  <c r="S1527" i="5" a="1"/>
  <c r="S1998" i="5" a="1"/>
  <c r="S1958" i="5" a="1"/>
  <c r="S1918" i="5" a="1"/>
  <c r="S1882" i="5" a="1"/>
  <c r="S1849" i="5" a="1"/>
  <c r="S1822" i="5" a="1"/>
  <c r="S1795" i="5" a="1"/>
  <c r="S1736" i="5" a="1"/>
  <c r="S1709" i="5" a="1"/>
  <c r="S1659" i="5" a="1"/>
  <c r="S1609" i="5" a="1"/>
  <c r="S1559" i="5" a="1"/>
  <c r="S1512" i="5" a="1"/>
  <c r="S1488" i="5" a="1"/>
  <c r="S1468" i="5" a="1"/>
  <c r="S1448" i="5" a="1"/>
  <c r="S1428" i="5" a="1"/>
  <c r="S1408" i="5" a="1"/>
  <c r="S1388" i="5" a="1"/>
  <c r="S1368" i="5" a="1"/>
  <c r="S1348" i="5" a="1"/>
  <c r="S1329" i="5" a="1"/>
  <c r="S1313" i="5" a="1"/>
  <c r="S1294" i="5" a="1"/>
  <c r="S1257" i="5" a="1"/>
  <c r="S1238" i="5" a="1"/>
  <c r="S1222" i="5" a="1"/>
  <c r="S1185" i="5" a="1"/>
  <c r="S1154" i="5" a="1"/>
  <c r="S1144" i="5" a="1"/>
  <c r="S1134" i="5" a="1"/>
  <c r="S1124" i="5" a="1"/>
  <c r="S1114" i="5" a="1"/>
  <c r="S1104" i="5" a="1"/>
  <c r="S1094" i="5" a="1"/>
  <c r="S1084" i="5" a="1"/>
  <c r="S1074" i="5" a="1"/>
  <c r="S1064" i="5" a="1"/>
  <c r="S1054" i="5" a="1"/>
  <c r="S1044" i="5" a="1"/>
  <c r="S1034" i="5" a="1"/>
  <c r="S1024" i="5" a="1"/>
  <c r="S1014" i="5" a="1"/>
  <c r="S1004" i="5" a="1"/>
  <c r="S994" i="5" a="1"/>
  <c r="S984" i="5" a="1"/>
  <c r="S974" i="5" a="1"/>
  <c r="S964" i="5" a="1"/>
  <c r="S954" i="5" a="1"/>
  <c r="S944" i="5" a="1"/>
  <c r="S934" i="5" a="1"/>
  <c r="S924" i="5" a="1"/>
  <c r="S914" i="5" a="1"/>
  <c r="S904" i="5" a="1"/>
  <c r="S894" i="5" a="1"/>
  <c r="S884" i="5" a="1"/>
  <c r="S874" i="5" a="1"/>
  <c r="S864" i="5" a="1"/>
  <c r="S854" i="5" a="1"/>
  <c r="S844" i="5" a="1"/>
  <c r="S834" i="5" a="1"/>
  <c r="S824" i="5" a="1"/>
  <c r="S814" i="5" a="1"/>
  <c r="S804" i="5" a="1"/>
  <c r="S794" i="5" a="1"/>
  <c r="S784" i="5" a="1"/>
  <c r="S774" i="5" a="1"/>
  <c r="S764" i="5" a="1"/>
  <c r="S754" i="5" a="1"/>
  <c r="S744" i="5" a="1"/>
  <c r="S734" i="5" a="1"/>
  <c r="S724" i="5" a="1"/>
  <c r="S714" i="5" a="1"/>
  <c r="S704" i="5" a="1"/>
  <c r="S694" i="5" a="1"/>
  <c r="S684" i="5" a="1"/>
  <c r="S674" i="5" a="1"/>
  <c r="S664" i="5" a="1"/>
  <c r="S654" i="5" a="1"/>
  <c r="S644" i="5" a="1"/>
  <c r="S634" i="5" a="1"/>
  <c r="S624" i="5" a="1"/>
  <c r="S614" i="5" a="1"/>
  <c r="S604" i="5" a="1"/>
  <c r="S594" i="5" a="1"/>
  <c r="S1878" i="5" a="1"/>
  <c r="S1848" i="5" a="1"/>
  <c r="S1819" i="5" a="1"/>
  <c r="S1792" i="5" a="1"/>
  <c r="S1765" i="5" a="1"/>
  <c r="S1708" i="5" a="1"/>
  <c r="S1685" i="5" a="1"/>
  <c r="S1658" i="5" a="1"/>
  <c r="S1635" i="5" a="1"/>
  <c r="S1608" i="5" a="1"/>
  <c r="S1585" i="5" a="1"/>
  <c r="S1558" i="5" a="1"/>
  <c r="S1535" i="5" a="1"/>
  <c r="S1509" i="5" a="1"/>
  <c r="S1328" i="5" a="1"/>
  <c r="S1312" i="5" a="1"/>
  <c r="S1275" i="5" a="1"/>
  <c r="S1256" i="5" a="1"/>
  <c r="S1219" i="5" a="1"/>
  <c r="S1203" i="5" a="1"/>
  <c r="S1184" i="5" a="1"/>
  <c r="S1167" i="5" a="1"/>
  <c r="S1996" i="5" a="1"/>
  <c r="S1956" i="5" a="1"/>
  <c r="S1916" i="5" a="1"/>
  <c r="S1818" i="5" a="1"/>
  <c r="S1789" i="5" a="1"/>
  <c r="S1762" i="5" a="1"/>
  <c r="S1735" i="5" a="1"/>
  <c r="S1683" i="5" a="1"/>
  <c r="S1876" i="5" a="1"/>
  <c r="S1846" i="5" a="1"/>
  <c r="S1788" i="5" a="1"/>
  <c r="S1759" i="5" a="1"/>
  <c r="S1732" i="5" a="1"/>
  <c r="S1706" i="5" a="1"/>
  <c r="S1682" i="5" a="1"/>
  <c r="S1656" i="5" a="1"/>
  <c r="S1632" i="5" a="1"/>
  <c r="S1606" i="5" a="1"/>
  <c r="S1582" i="5" a="1"/>
  <c r="S1556" i="5" a="1"/>
  <c r="S1532" i="5" a="1"/>
  <c r="S1486" i="5" a="1"/>
  <c r="S1466" i="5" a="1"/>
  <c r="S1446" i="5" a="1"/>
  <c r="S1426" i="5" a="1"/>
  <c r="S1406" i="5" a="1"/>
  <c r="S1386" i="5" a="1"/>
  <c r="S1366" i="5" a="1"/>
  <c r="S1346" i="5" a="1"/>
  <c r="S1327" i="5" a="1"/>
  <c r="S1308" i="5" a="1"/>
  <c r="S1292" i="5" a="1"/>
  <c r="S1255" i="5" a="1"/>
  <c r="S1236" i="5" a="1"/>
  <c r="S1199" i="5" a="1"/>
  <c r="S1995" i="5" a="1"/>
  <c r="S1955" i="5" a="1"/>
  <c r="S1915" i="5" a="1"/>
  <c r="S1816" i="5" a="1"/>
  <c r="S1758" i="5" a="1"/>
  <c r="S1729" i="5" a="1"/>
  <c r="S1679" i="5" a="1"/>
  <c r="S1629" i="5" a="1"/>
  <c r="S1579" i="5" a="1"/>
  <c r="S1529" i="5" a="1"/>
  <c r="S1507" i="5" a="1"/>
  <c r="S1326" i="5" a="1"/>
  <c r="S1289" i="5" a="1"/>
  <c r="S1273" i="5" a="1"/>
  <c r="S1254" i="5" a="1"/>
  <c r="S1217" i="5" a="1"/>
  <c r="S1198" i="5" a="1"/>
  <c r="S1988" i="5" a="1"/>
  <c r="S1948" i="5" a="1"/>
  <c r="S1908" i="5" a="1"/>
  <c r="S1875" i="5" a="1"/>
  <c r="S1845" i="5" a="1"/>
  <c r="S1786" i="5" a="1"/>
  <c r="S1728" i="5" a="1"/>
  <c r="S1705" i="5" a="1"/>
  <c r="S1678" i="5" a="1"/>
  <c r="S1655" i="5" a="1"/>
  <c r="S1628" i="5" a="1"/>
  <c r="S1605" i="5" a="1"/>
  <c r="S1578" i="5" a="1"/>
  <c r="S1555" i="5" a="1"/>
  <c r="S1528" i="5" a="1"/>
  <c r="S1506" i="5" a="1"/>
  <c r="S1485" i="5" a="1"/>
  <c r="S1465" i="5" a="1"/>
  <c r="S1445" i="5" a="1"/>
  <c r="S1425" i="5" a="1"/>
  <c r="S1405" i="5" a="1"/>
  <c r="S1385" i="5" a="1"/>
  <c r="S1365" i="5" a="1"/>
  <c r="S1345" i="5" a="1"/>
  <c r="S1307" i="5" a="1"/>
  <c r="S1288" i="5" a="1"/>
  <c r="S1272" i="5" a="1"/>
  <c r="S1235" i="5" a="1"/>
  <c r="S1216" i="5" a="1"/>
  <c r="S1179" i="5" a="1"/>
  <c r="S1165" i="5" a="1"/>
  <c r="S1872" i="5" a="1"/>
  <c r="S1842" i="5" a="1"/>
  <c r="S1815" i="5" a="1"/>
  <c r="S1756" i="5" a="1"/>
  <c r="S1703" i="5" a="1"/>
  <c r="S1653" i="5" a="1"/>
  <c r="S1603" i="5" a="1"/>
  <c r="S1553" i="5" a="1"/>
  <c r="S1484" i="5" a="1"/>
  <c r="S1464" i="5" a="1"/>
  <c r="S1444" i="5" a="1"/>
  <c r="S1424" i="5" a="1"/>
  <c r="S1404" i="5" a="1"/>
  <c r="S1384" i="5" a="1"/>
  <c r="S1364" i="5" a="1"/>
  <c r="S1344" i="5" a="1"/>
  <c r="S1325" i="5" a="1"/>
  <c r="S1306" i="5" a="1"/>
  <c r="S1269" i="5" a="1"/>
  <c r="S1253" i="5" a="1"/>
  <c r="S1234" i="5" a="1"/>
  <c r="S1197" i="5" a="1"/>
  <c r="S1178" i="5" a="1"/>
  <c r="S1164" i="5" a="1"/>
  <c r="S1151" i="5" a="1"/>
  <c r="S1141" i="5" a="1"/>
  <c r="S1131" i="5" a="1"/>
  <c r="S1121" i="5" a="1"/>
  <c r="S1111" i="5" a="1"/>
  <c r="S1101" i="5" a="1"/>
  <c r="S1091" i="5" a="1"/>
  <c r="S1081" i="5" a="1"/>
  <c r="S1071" i="5" a="1"/>
  <c r="S1061" i="5" a="1"/>
  <c r="S1051" i="5" a="1"/>
  <c r="S1041" i="5" a="1"/>
  <c r="S1031" i="5" a="1"/>
  <c r="S1021" i="5" a="1"/>
  <c r="S1011" i="5" a="1"/>
  <c r="S1001" i="5" a="1"/>
  <c r="S991" i="5" a="1"/>
  <c r="S981" i="5" a="1"/>
  <c r="S971" i="5" a="1"/>
  <c r="S961" i="5" a="1"/>
  <c r="S951" i="5" a="1"/>
  <c r="S941" i="5" a="1"/>
  <c r="S931" i="5" a="1"/>
  <c r="S921" i="5" a="1"/>
  <c r="S911" i="5" a="1"/>
  <c r="S901" i="5" a="1"/>
  <c r="S891" i="5" a="1"/>
  <c r="S881" i="5" a="1"/>
  <c r="S871" i="5" a="1"/>
  <c r="S861" i="5" a="1"/>
  <c r="S851" i="5" a="1"/>
  <c r="S841" i="5" a="1"/>
  <c r="S831" i="5" a="1"/>
  <c r="S821" i="5" a="1"/>
  <c r="S811" i="5" a="1"/>
  <c r="S801" i="5" a="1"/>
  <c r="S791" i="5" a="1"/>
  <c r="S781" i="5" a="1"/>
  <c r="S771" i="5" a="1"/>
  <c r="S761" i="5" a="1"/>
  <c r="S751" i="5" a="1"/>
  <c r="S741" i="5" a="1"/>
  <c r="S731" i="5" a="1"/>
  <c r="S721" i="5" a="1"/>
  <c r="S711" i="5" a="1"/>
  <c r="S701" i="5" a="1"/>
  <c r="S691" i="5" a="1"/>
  <c r="S681" i="5" a="1"/>
  <c r="S671" i="5" a="1"/>
  <c r="S661" i="5" a="1"/>
  <c r="S651" i="5" a="1"/>
  <c r="S641" i="5" a="1"/>
  <c r="S631" i="5" a="1"/>
  <c r="S621" i="5" a="1"/>
  <c r="S611" i="5" a="1"/>
  <c r="S601" i="5" a="1"/>
  <c r="S591" i="5" a="1"/>
  <c r="S1986" i="5" a="1"/>
  <c r="S1946" i="5" a="1"/>
  <c r="S1906" i="5" a="1"/>
  <c r="S1868" i="5" a="1"/>
  <c r="S1839" i="5" a="1"/>
  <c r="S1812" i="5" a="1"/>
  <c r="S1785" i="5" a="1"/>
  <c r="S1726" i="5" a="1"/>
  <c r="S1702" i="5" a="1"/>
  <c r="S1676" i="5" a="1"/>
  <c r="S1652" i="5" a="1"/>
  <c r="S1626" i="5" a="1"/>
  <c r="S1602" i="5" a="1"/>
  <c r="S1576" i="5" a="1"/>
  <c r="S1552" i="5" a="1"/>
  <c r="S1526" i="5" a="1"/>
  <c r="S1505" i="5" a="1"/>
  <c r="S1483" i="5" a="1"/>
  <c r="S1463" i="5" a="1"/>
  <c r="S1443" i="5" a="1"/>
  <c r="S1423" i="5" a="1"/>
  <c r="S1403" i="5" a="1"/>
  <c r="S1383" i="5" a="1"/>
  <c r="S1363" i="5" a="1"/>
  <c r="S1343" i="5" a="1"/>
  <c r="S1324" i="5" a="1"/>
  <c r="S1287" i="5" a="1"/>
  <c r="S1268" i="5" a="1"/>
  <c r="S1252" i="5" a="1"/>
  <c r="S1215" i="5" a="1"/>
  <c r="S1196" i="5" a="1"/>
  <c r="S1838" i="5" a="1"/>
  <c r="S1809" i="5" a="1"/>
  <c r="S1782" i="5" a="1"/>
  <c r="S1755" i="5" a="1"/>
  <c r="S1699" i="5" a="1"/>
  <c r="S1649" i="5" a="1"/>
  <c r="S1599" i="5" a="1"/>
  <c r="S1549" i="5" a="1"/>
  <c r="S1503" i="5" a="1"/>
  <c r="S1482" i="5" a="1"/>
  <c r="S1462" i="5" a="1"/>
  <c r="S1442" i="5" a="1"/>
  <c r="S1422" i="5" a="1"/>
  <c r="S1402" i="5" a="1"/>
  <c r="S1382" i="5" a="1"/>
  <c r="S1362" i="5" a="1"/>
  <c r="S1342" i="5" a="1"/>
  <c r="S1305" i="5" a="1"/>
  <c r="S1286" i="5" a="1"/>
  <c r="S1249" i="5" a="1"/>
  <c r="S1233" i="5" a="1"/>
  <c r="S1214" i="5" a="1"/>
  <c r="S1177" i="5" a="1"/>
  <c r="S1163" i="5" a="1"/>
  <c r="S1150" i="5" a="1"/>
  <c r="S1140" i="5" a="1"/>
  <c r="S1130" i="5" a="1"/>
  <c r="S1120" i="5" a="1"/>
  <c r="S1110" i="5" a="1"/>
  <c r="S1100" i="5" a="1"/>
  <c r="S1090" i="5" a="1"/>
  <c r="S1080" i="5" a="1"/>
  <c r="S1070" i="5" a="1"/>
  <c r="S1060" i="5" a="1"/>
  <c r="S1050" i="5" a="1"/>
  <c r="S1040" i="5" a="1"/>
  <c r="S1030" i="5" a="1"/>
  <c r="S1020" i="5" a="1"/>
  <c r="S1010" i="5" a="1"/>
  <c r="S1000" i="5" a="1"/>
  <c r="S990" i="5" a="1"/>
  <c r="S980" i="5" a="1"/>
  <c r="S970" i="5" a="1"/>
  <c r="S960" i="5" a="1"/>
  <c r="S950" i="5" a="1"/>
  <c r="S940" i="5" a="1"/>
  <c r="S930" i="5" a="1"/>
  <c r="S920" i="5" a="1"/>
  <c r="S910" i="5" a="1"/>
  <c r="S900" i="5" a="1"/>
  <c r="S890" i="5" a="1"/>
  <c r="S880" i="5" a="1"/>
  <c r="S870" i="5" a="1"/>
  <c r="S860" i="5" a="1"/>
  <c r="S850" i="5" a="1"/>
  <c r="S840" i="5" a="1"/>
  <c r="S830" i="5" a="1"/>
  <c r="S820" i="5" a="1"/>
  <c r="S810" i="5" a="1"/>
  <c r="S800" i="5" a="1"/>
  <c r="S790" i="5" a="1"/>
  <c r="S780" i="5" a="1"/>
  <c r="S770" i="5" a="1"/>
  <c r="S760" i="5" a="1"/>
  <c r="S750" i="5" a="1"/>
  <c r="S740" i="5" a="1"/>
  <c r="S730" i="5" a="1"/>
  <c r="S720" i="5" a="1"/>
  <c r="S710" i="5" a="1"/>
  <c r="S700" i="5" a="1"/>
  <c r="S690" i="5" a="1"/>
  <c r="S680" i="5" a="1"/>
  <c r="S670" i="5" a="1"/>
  <c r="S660" i="5" a="1"/>
  <c r="S650" i="5" a="1"/>
  <c r="S640" i="5" a="1"/>
  <c r="S630" i="5" a="1"/>
  <c r="S620" i="5" a="1"/>
  <c r="S610" i="5" a="1"/>
  <c r="S600" i="5" a="1"/>
  <c r="S590" i="5" a="1"/>
  <c r="S1985" i="5" a="1"/>
  <c r="S1945" i="5" a="1"/>
  <c r="S1905" i="5" a="1"/>
  <c r="S1866" i="5" a="1"/>
  <c r="S1808" i="5" a="1"/>
  <c r="S1779" i="5" a="1"/>
  <c r="S1752" i="5" a="1"/>
  <c r="S1725" i="5" a="1"/>
  <c r="S1698" i="5" a="1"/>
  <c r="S1675" i="5" a="1"/>
  <c r="S1648" i="5" a="1"/>
  <c r="S1625" i="5" a="1"/>
  <c r="S1598" i="5" a="1"/>
  <c r="S1575" i="5" a="1"/>
  <c r="S1548" i="5" a="1"/>
  <c r="S1525" i="5" a="1"/>
  <c r="S1502" i="5" a="1"/>
  <c r="S1479" i="5" a="1"/>
  <c r="S1459" i="5" a="1"/>
  <c r="S1439" i="5" a="1"/>
  <c r="S1419" i="5" a="1"/>
  <c r="S1399" i="5" a="1"/>
  <c r="S1379" i="5" a="1"/>
  <c r="S1359" i="5" a="1"/>
  <c r="S1339" i="5" a="1"/>
  <c r="S1323" i="5" a="1"/>
  <c r="S1304" i="5" a="1"/>
  <c r="S1267" i="5" a="1"/>
  <c r="S1248" i="5" a="1"/>
  <c r="S1232" i="5" a="1"/>
  <c r="S1195" i="5" a="1"/>
  <c r="S1978" i="5" a="1"/>
  <c r="S1938" i="5" a="1"/>
  <c r="S1898" i="5" a="1"/>
  <c r="S1836" i="5" a="1"/>
  <c r="S1778" i="5" a="1"/>
  <c r="S1749" i="5" a="1"/>
  <c r="S1723" i="5" a="1"/>
  <c r="S1673" i="5" a="1"/>
  <c r="S1623" i="5" a="1"/>
  <c r="S1573" i="5" a="1"/>
  <c r="S1523" i="5" a="1"/>
  <c r="S1499" i="5" a="1"/>
  <c r="S1478" i="5" a="1"/>
  <c r="S1458" i="5" a="1"/>
  <c r="S1438" i="5" a="1"/>
  <c r="S1418" i="5" a="1"/>
  <c r="S1398" i="5" a="1"/>
  <c r="S1378" i="5" a="1"/>
  <c r="S1358" i="5" a="1"/>
  <c r="S1338" i="5" a="1"/>
  <c r="S1322" i="5" a="1"/>
  <c r="S1285" i="5" a="1"/>
  <c r="S1266" i="5" a="1"/>
  <c r="S1229" i="5" a="1"/>
  <c r="S1213" i="5" a="1"/>
  <c r="S1194" i="5" a="1"/>
  <c r="S1176" i="5" a="1"/>
  <c r="S1162" i="5" a="1"/>
  <c r="S1149" i="5" a="1"/>
  <c r="S1139" i="5" a="1"/>
  <c r="S1129" i="5" a="1"/>
  <c r="S1119" i="5" a="1"/>
  <c r="S1109" i="5" a="1"/>
  <c r="S1099" i="5" a="1"/>
  <c r="S1089" i="5" a="1"/>
  <c r="S1079" i="5" a="1"/>
  <c r="S1069" i="5" a="1"/>
  <c r="S1059" i="5" a="1"/>
  <c r="S1049" i="5" a="1"/>
  <c r="S1039" i="5" a="1"/>
  <c r="S1029" i="5" a="1"/>
  <c r="S1019" i="5" a="1"/>
  <c r="S1009" i="5" a="1"/>
  <c r="S999" i="5" a="1"/>
  <c r="S989" i="5" a="1"/>
  <c r="S979" i="5" a="1"/>
  <c r="S969" i="5" a="1"/>
  <c r="S959" i="5" a="1"/>
  <c r="S949" i="5" a="1"/>
  <c r="S939" i="5" a="1"/>
  <c r="S929" i="5" a="1"/>
  <c r="S919" i="5" a="1"/>
  <c r="S909" i="5" a="1"/>
  <c r="S899" i="5" a="1"/>
  <c r="S889" i="5" a="1"/>
  <c r="S879" i="5" a="1"/>
  <c r="S869" i="5" a="1"/>
  <c r="S859" i="5" a="1"/>
  <c r="S849" i="5" a="1"/>
  <c r="S839" i="5" a="1"/>
  <c r="S829" i="5" a="1"/>
  <c r="S819" i="5" a="1"/>
  <c r="S809" i="5" a="1"/>
  <c r="S799" i="5" a="1"/>
  <c r="S789" i="5" a="1"/>
  <c r="S779" i="5" a="1"/>
  <c r="S769" i="5" a="1"/>
  <c r="S759" i="5" a="1"/>
  <c r="S749" i="5" a="1"/>
  <c r="S739" i="5" a="1"/>
  <c r="S729" i="5" a="1"/>
  <c r="S719" i="5" a="1"/>
  <c r="S709" i="5" a="1"/>
  <c r="S699" i="5" a="1"/>
  <c r="S689" i="5" a="1"/>
  <c r="S679" i="5" a="1"/>
  <c r="S669" i="5" a="1"/>
  <c r="S659" i="5" a="1"/>
  <c r="S649" i="5" a="1"/>
  <c r="S639" i="5" a="1"/>
  <c r="S629" i="5" a="1"/>
  <c r="S619" i="5" a="1"/>
  <c r="S609" i="5" a="1"/>
  <c r="S599" i="5" a="1"/>
  <c r="S589" i="5" a="1"/>
  <c r="S1865" i="5" a="1"/>
  <c r="S1806" i="5" a="1"/>
  <c r="S1748" i="5" a="1"/>
  <c r="S1722" i="5" a="1"/>
  <c r="S1696" i="5" a="1"/>
  <c r="S1672" i="5" a="1"/>
  <c r="S1646" i="5" a="1"/>
  <c r="S1622" i="5" a="1"/>
  <c r="S1596" i="5" a="1"/>
  <c r="S1572" i="5" a="1"/>
  <c r="S1546" i="5" a="1"/>
  <c r="S1522" i="5" a="1"/>
  <c r="S1498" i="5" a="1"/>
  <c r="S1319" i="5" a="1"/>
  <c r="S1303" i="5" a="1"/>
  <c r="S1284" i="5" a="1"/>
  <c r="S1247" i="5" a="1"/>
  <c r="S1228" i="5" a="1"/>
  <c r="S1212" i="5" a="1"/>
  <c r="S1159" i="5" a="1"/>
  <c r="S1976" i="5" a="1"/>
  <c r="S1936" i="5" a="1"/>
  <c r="S1896" i="5" a="1"/>
  <c r="S1862" i="5" a="1"/>
  <c r="S1835" i="5" a="1"/>
  <c r="S1776" i="5" a="1"/>
  <c r="S1719" i="5" a="1"/>
  <c r="S1669" i="5" a="1"/>
  <c r="S1619" i="5" a="1"/>
  <c r="S1569" i="5" a="1"/>
  <c r="S1519" i="5" a="1"/>
  <c r="S1477" i="5" a="1"/>
  <c r="S1457" i="5" a="1"/>
  <c r="S1437" i="5" a="1"/>
  <c r="S1417" i="5" a="1"/>
  <c r="S1397" i="5" a="1"/>
  <c r="S1377" i="5" a="1"/>
  <c r="S1357" i="5" a="1"/>
  <c r="S1337" i="5" a="1"/>
  <c r="S1318" i="5" a="1"/>
  <c r="S1302" i="5" a="1"/>
  <c r="S1265" i="5" a="1"/>
  <c r="S1246" i="5" a="1"/>
  <c r="S1209" i="5" a="1"/>
  <c r="S1193" i="5" a="1"/>
  <c r="S1175" i="5" a="1"/>
  <c r="S1158" i="5" a="1"/>
  <c r="S1148" i="5" a="1"/>
  <c r="S1138" i="5" a="1"/>
  <c r="S1128" i="5" a="1"/>
  <c r="S1118" i="5" a="1"/>
  <c r="S1108" i="5" a="1"/>
  <c r="S1098" i="5" a="1"/>
  <c r="S1088" i="5" a="1"/>
  <c r="S1078" i="5" a="1"/>
  <c r="S1068" i="5" a="1"/>
  <c r="S1058" i="5" a="1"/>
  <c r="S1048" i="5" a="1"/>
  <c r="S1038" i="5" a="1"/>
  <c r="S1028" i="5" a="1"/>
  <c r="S1018" i="5" a="1"/>
  <c r="S1008" i="5" a="1"/>
  <c r="S998" i="5" a="1"/>
  <c r="S988" i="5" a="1"/>
  <c r="S978" i="5" a="1"/>
  <c r="S968" i="5" a="1"/>
  <c r="S958" i="5" a="1"/>
  <c r="S948" i="5" a="1"/>
  <c r="S938" i="5" a="1"/>
  <c r="S928" i="5" a="1"/>
  <c r="S918" i="5" a="1"/>
  <c r="S908" i="5" a="1"/>
  <c r="S898" i="5" a="1"/>
  <c r="S888" i="5" a="1"/>
  <c r="S878" i="5" a="1"/>
  <c r="S868" i="5" a="1"/>
  <c r="S858" i="5" a="1"/>
  <c r="S848" i="5" a="1"/>
  <c r="S838" i="5" a="1"/>
  <c r="S828" i="5" a="1"/>
  <c r="S818" i="5" a="1"/>
  <c r="S808" i="5" a="1"/>
  <c r="S798" i="5" a="1"/>
  <c r="S788" i="5" a="1"/>
  <c r="S778" i="5" a="1"/>
  <c r="S768" i="5" a="1"/>
  <c r="S758" i="5" a="1"/>
  <c r="S748" i="5" a="1"/>
  <c r="S738" i="5" a="1"/>
  <c r="S728" i="5" a="1"/>
  <c r="S718" i="5" a="1"/>
  <c r="S708" i="5" a="1"/>
  <c r="S698" i="5" a="1"/>
  <c r="S688" i="5" a="1"/>
  <c r="S678" i="5" a="1"/>
  <c r="S668" i="5" a="1"/>
  <c r="S658" i="5" a="1"/>
  <c r="S648" i="5" a="1"/>
  <c r="S638" i="5" a="1"/>
  <c r="S628" i="5" a="1"/>
  <c r="S618" i="5" a="1"/>
  <c r="S608" i="5" a="1"/>
  <c r="S598" i="5" a="1"/>
  <c r="S1859" i="5" a="1"/>
  <c r="S1832" i="5" a="1"/>
  <c r="S1805" i="5" a="1"/>
  <c r="S1746" i="5" a="1"/>
  <c r="S1718" i="5" a="1"/>
  <c r="S1695" i="5" a="1"/>
  <c r="S1668" i="5" a="1"/>
  <c r="S1645" i="5" a="1"/>
  <c r="S1618" i="5" a="1"/>
  <c r="S1595" i="5" a="1"/>
  <c r="S1568" i="5" a="1"/>
  <c r="S1545" i="5" a="1"/>
  <c r="S1518" i="5" a="1"/>
  <c r="S1497" i="5" a="1"/>
  <c r="S1476" i="5" a="1"/>
  <c r="S1456" i="5" a="1"/>
  <c r="S1436" i="5" a="1"/>
  <c r="S1416" i="5" a="1"/>
  <c r="S1396" i="5" a="1"/>
  <c r="S1376" i="5" a="1"/>
  <c r="S1356" i="5" a="1"/>
  <c r="S1336" i="5" a="1"/>
  <c r="S1299" i="5" a="1"/>
  <c r="S1283" i="5" a="1"/>
  <c r="S1264" i="5" a="1"/>
  <c r="S1227" i="5" a="1"/>
  <c r="S1208" i="5" a="1"/>
  <c r="S1192" i="5" a="1"/>
  <c r="S1174" i="5" a="1"/>
  <c r="S1968" i="5" a="1"/>
  <c r="S1928" i="5" a="1"/>
  <c r="S1888" i="5" a="1"/>
  <c r="S1828" i="5" a="1"/>
  <c r="S1799" i="5" a="1"/>
  <c r="S1772" i="5" a="1"/>
  <c r="S1745" i="5" a="1"/>
  <c r="S1716" i="5" a="1"/>
  <c r="S1975" i="5" a="1"/>
  <c r="S1829" i="5" a="1"/>
  <c r="S1639" i="5" a="1"/>
  <c r="S1566" i="5" a="1"/>
  <c r="S1496" i="5" a="1"/>
  <c r="S1447" i="5" a="1"/>
  <c r="S1389" i="5" a="1"/>
  <c r="S1333" i="5" a="1"/>
  <c r="S1225" i="5" a="1"/>
  <c r="S1182" i="5" a="1"/>
  <c r="S1057" i="5" a="1"/>
  <c r="S1037" i="5" a="1"/>
  <c r="S1017" i="5" a="1"/>
  <c r="S997" i="5" a="1"/>
  <c r="S977" i="5" a="1"/>
  <c r="S957" i="5" a="1"/>
  <c r="S937" i="5" a="1"/>
  <c r="S917" i="5" a="1"/>
  <c r="S897" i="5" a="1"/>
  <c r="S877" i="5" a="1"/>
  <c r="S857" i="5" a="1"/>
  <c r="S837" i="5" a="1"/>
  <c r="S817" i="5" a="1"/>
  <c r="S797" i="5" a="1"/>
  <c r="S777" i="5" a="1"/>
  <c r="S757" i="5" a="1"/>
  <c r="S737" i="5" a="1"/>
  <c r="S722" i="5" a="1"/>
  <c r="S703" i="5" a="1"/>
  <c r="S581" i="5" a="1"/>
  <c r="S571" i="5" a="1"/>
  <c r="S561" i="5" a="1"/>
  <c r="S551" i="5" a="1"/>
  <c r="S541" i="5" a="1"/>
  <c r="S531" i="5" a="1"/>
  <c r="S521" i="5" a="1"/>
  <c r="S511" i="5" a="1"/>
  <c r="S501" i="5" a="1"/>
  <c r="S491" i="5" a="1"/>
  <c r="S481" i="5" a="1"/>
  <c r="S471" i="5" a="1"/>
  <c r="S461" i="5" a="1"/>
  <c r="S451" i="5" a="1"/>
  <c r="S441" i="5" a="1"/>
  <c r="S431" i="5" a="1"/>
  <c r="S421" i="5" a="1"/>
  <c r="S411" i="5" a="1"/>
  <c r="S401" i="5" a="1"/>
  <c r="S391" i="5" a="1"/>
  <c r="S381" i="5" a="1"/>
  <c r="S371" i="5" a="1"/>
  <c r="S361" i="5" a="1"/>
  <c r="S351" i="5" a="1"/>
  <c r="S341" i="5" a="1"/>
  <c r="S331" i="5" a="1"/>
  <c r="S321" i="5" a="1"/>
  <c r="S311" i="5" a="1"/>
  <c r="S301" i="5" a="1"/>
  <c r="S291" i="5" a="1"/>
  <c r="S281" i="5" a="1"/>
  <c r="S271" i="5" a="1"/>
  <c r="S261" i="5" a="1"/>
  <c r="S251" i="5" a="1"/>
  <c r="S241" i="5" a="1"/>
  <c r="S231" i="5" a="1"/>
  <c r="S221" i="5" a="1"/>
  <c r="S211" i="5" a="1"/>
  <c r="S201" i="5" a="1"/>
  <c r="S191" i="5" a="1"/>
  <c r="S181" i="5" a="1"/>
  <c r="S171" i="5" a="1"/>
  <c r="S161" i="5" a="1"/>
  <c r="S151" i="5" a="1"/>
  <c r="S141" i="5" a="1"/>
  <c r="S131" i="5" a="1"/>
  <c r="S121" i="5" a="1"/>
  <c r="S111" i="5" a="1"/>
  <c r="S101" i="5" a="1"/>
  <c r="S1638" i="5" a="1"/>
  <c r="S1387" i="5" a="1"/>
  <c r="S1332" i="5" a="1"/>
  <c r="S1277" i="5" a="1"/>
  <c r="S1224" i="5" a="1"/>
  <c r="S1146" i="5" a="1"/>
  <c r="S1125" i="5" a="1"/>
  <c r="S1103" i="5" a="1"/>
  <c r="S1082" i="5" a="1"/>
  <c r="S665" i="5" a="1"/>
  <c r="S646" i="5" a="1"/>
  <c r="S627" i="5" a="1"/>
  <c r="S612" i="5" a="1"/>
  <c r="S593" i="5" a="1"/>
  <c r="S1966" i="5" a="1"/>
  <c r="S1826" i="5" a="1"/>
  <c r="S1715" i="5" a="1"/>
  <c r="S1565" i="5" a="1"/>
  <c r="S1495" i="5" a="1"/>
  <c r="S1435" i="5" a="1"/>
  <c r="S1276" i="5" a="1"/>
  <c r="S1173" i="5" a="1"/>
  <c r="S1077" i="5" a="1"/>
  <c r="S1056" i="5" a="1"/>
  <c r="S1036" i="5" a="1"/>
  <c r="S1016" i="5" a="1"/>
  <c r="S996" i="5" a="1"/>
  <c r="S976" i="5" a="1"/>
  <c r="S956" i="5" a="1"/>
  <c r="S936" i="5" a="1"/>
  <c r="S916" i="5" a="1"/>
  <c r="S1713" i="5" a="1"/>
  <c r="S1636" i="5" a="1"/>
  <c r="S1563" i="5" a="1"/>
  <c r="S1493" i="5" a="1"/>
  <c r="S1434" i="5" a="1"/>
  <c r="S1375" i="5" a="1"/>
  <c r="S1317" i="5" a="1"/>
  <c r="S1274" i="5" a="1"/>
  <c r="S1223" i="5" a="1"/>
  <c r="S1145" i="5" a="1"/>
  <c r="S1123" i="5" a="1"/>
  <c r="S1102" i="5" a="1"/>
  <c r="S1965" i="5" a="1"/>
  <c r="S1825" i="5" a="1"/>
  <c r="S1712" i="5" a="1"/>
  <c r="S1633" i="5" a="1"/>
  <c r="S1562" i="5" a="1"/>
  <c r="S1492" i="5" a="1"/>
  <c r="S1433" i="5" a="1"/>
  <c r="S1374" i="5" a="1"/>
  <c r="S1316" i="5" a="1"/>
  <c r="S1218" i="5" a="1"/>
  <c r="S1172" i="5" a="1"/>
  <c r="S1097" i="5" a="1"/>
  <c r="S1076" i="5" a="1"/>
  <c r="S1055" i="5" a="1"/>
  <c r="S1035" i="5" a="1"/>
  <c r="S1015" i="5" a="1"/>
  <c r="S995" i="5" a="1"/>
  <c r="S975" i="5" a="1"/>
  <c r="S955" i="5" a="1"/>
  <c r="S935" i="5" a="1"/>
  <c r="S915" i="5" a="1"/>
  <c r="S895" i="5" a="1"/>
  <c r="S875" i="5" a="1"/>
  <c r="S855" i="5" a="1"/>
  <c r="S835" i="5" a="1"/>
  <c r="S815" i="5" a="1"/>
  <c r="S795" i="5" a="1"/>
  <c r="S775" i="5" a="1"/>
  <c r="S755" i="5" a="1"/>
  <c r="S735" i="5" a="1"/>
  <c r="S716" i="5" a="1"/>
  <c r="S697" i="5" a="1"/>
  <c r="S682" i="5" a="1"/>
  <c r="S663" i="5" a="1"/>
  <c r="S579" i="5" a="1"/>
  <c r="S569" i="5" a="1"/>
  <c r="S559" i="5" a="1"/>
  <c r="S549" i="5" a="1"/>
  <c r="S539" i="5" a="1"/>
  <c r="S529" i="5" a="1"/>
  <c r="S519" i="5" a="1"/>
  <c r="S509" i="5" a="1"/>
  <c r="S499" i="5" a="1"/>
  <c r="S489" i="5" a="1"/>
  <c r="S479" i="5" a="1"/>
  <c r="S469" i="5" a="1"/>
  <c r="S459" i="5" a="1"/>
  <c r="S449" i="5" a="1"/>
  <c r="S439" i="5" a="1"/>
  <c r="S429" i="5" a="1"/>
  <c r="S419" i="5" a="1"/>
  <c r="S409" i="5" a="1"/>
  <c r="S399" i="5" a="1"/>
  <c r="S389" i="5" a="1"/>
  <c r="S379" i="5" a="1"/>
  <c r="S369" i="5" a="1"/>
  <c r="S359" i="5" a="1"/>
  <c r="S349" i="5" a="1"/>
  <c r="S339" i="5" a="1"/>
  <c r="S329" i="5" a="1"/>
  <c r="S319" i="5" a="1"/>
  <c r="S309" i="5" a="1"/>
  <c r="S299" i="5" a="1"/>
  <c r="S289" i="5" a="1"/>
  <c r="S279" i="5" a="1"/>
  <c r="S269" i="5" a="1"/>
  <c r="S259" i="5" a="1"/>
  <c r="S249" i="5" a="1"/>
  <c r="S239" i="5" a="1"/>
  <c r="S229" i="5" a="1"/>
  <c r="S219" i="5" a="1"/>
  <c r="S209" i="5" a="1"/>
  <c r="S199" i="5" a="1"/>
  <c r="S189" i="5" a="1"/>
  <c r="S179" i="5" a="1"/>
  <c r="S169" i="5" a="1"/>
  <c r="S159" i="5" a="1"/>
  <c r="S149" i="5" a="1"/>
  <c r="S139" i="5" a="1"/>
  <c r="S129" i="5" a="1"/>
  <c r="S119" i="5" a="1"/>
  <c r="S109" i="5" a="1"/>
  <c r="S99" i="5" a="1"/>
  <c r="S1926" i="5" a="1"/>
  <c r="S1796" i="5" a="1"/>
  <c r="S1688" i="5" a="1"/>
  <c r="S1615" i="5" a="1"/>
  <c r="S1539" i="5" a="1"/>
  <c r="S1475" i="5" a="1"/>
  <c r="S1367" i="5" a="1"/>
  <c r="S1258" i="5" a="1"/>
  <c r="S1166" i="5" a="1"/>
  <c r="S1137" i="5" a="1"/>
  <c r="S1116" i="5" a="1"/>
  <c r="S1095" i="5" a="1"/>
  <c r="S1073" i="5" a="1"/>
  <c r="S1925" i="5" a="1"/>
  <c r="S1613" i="5" a="1"/>
  <c r="S1538" i="5" a="1"/>
  <c r="S1474" i="5" a="1"/>
  <c r="S1415" i="5" a="1"/>
  <c r="S1309" i="5" a="1"/>
  <c r="S1205" i="5" a="1"/>
  <c r="S1052" i="5" a="1"/>
  <c r="S1032" i="5" a="1"/>
  <c r="S1012" i="5" a="1"/>
  <c r="S992" i="5" a="1"/>
  <c r="S972" i="5" a="1"/>
  <c r="S952" i="5" a="1"/>
  <c r="S932" i="5" a="1"/>
  <c r="S912" i="5" a="1"/>
  <c r="S892" i="5" a="1"/>
  <c r="S872" i="5" a="1"/>
  <c r="S852" i="5" a="1"/>
  <c r="S832" i="5" a="1"/>
  <c r="S812" i="5" a="1"/>
  <c r="S792" i="5" a="1"/>
  <c r="S772" i="5" a="1"/>
  <c r="S752" i="5" a="1"/>
  <c r="S732" i="5" a="1"/>
  <c r="S713" i="5" a="1"/>
  <c r="S1895" i="5" a="1"/>
  <c r="S1775" i="5" a="1"/>
  <c r="S1686" i="5" a="1"/>
  <c r="S1612" i="5" a="1"/>
  <c r="S1473" i="5" a="1"/>
  <c r="S1414" i="5" a="1"/>
  <c r="S1355" i="5" a="1"/>
  <c r="S1298" i="5" a="1"/>
  <c r="S1204" i="5" a="1"/>
  <c r="S1157" i="5" a="1"/>
  <c r="S1136" i="5" a="1"/>
  <c r="S1115" i="5" a="1"/>
  <c r="S1093" i="5" a="1"/>
  <c r="S1072" i="5" a="1"/>
  <c r="S1047" i="5" a="1"/>
  <c r="S1027" i="5" a="1"/>
  <c r="S1007" i="5" a="1"/>
  <c r="S987" i="5" a="1"/>
  <c r="S967" i="5" a="1"/>
  <c r="S947" i="5" a="1"/>
  <c r="S927" i="5" a="1"/>
  <c r="S907" i="5" a="1"/>
  <c r="S887" i="5" a="1"/>
  <c r="S867" i="5" a="1"/>
  <c r="S847" i="5" a="1"/>
  <c r="S827" i="5" a="1"/>
  <c r="S807" i="5" a="1"/>
  <c r="S787" i="5" a="1"/>
  <c r="S767" i="5" a="1"/>
  <c r="S747" i="5" a="1"/>
  <c r="S675" i="5" a="1"/>
  <c r="S656" i="5" a="1"/>
  <c r="S637" i="5" a="1"/>
  <c r="S622" i="5" a="1"/>
  <c r="S603" i="5" a="1"/>
  <c r="S586" i="5" a="1"/>
  <c r="S576" i="5" a="1"/>
  <c r="S566" i="5" a="1"/>
  <c r="S556" i="5" a="1"/>
  <c r="S546" i="5" a="1"/>
  <c r="S536" i="5" a="1"/>
  <c r="S526" i="5" a="1"/>
  <c r="S516" i="5" a="1"/>
  <c r="S506" i="5" a="1"/>
  <c r="S496" i="5" a="1"/>
  <c r="S486" i="5" a="1"/>
  <c r="S476" i="5" a="1"/>
  <c r="S466" i="5" a="1"/>
  <c r="S456" i="5" a="1"/>
  <c r="S446" i="5" a="1"/>
  <c r="S436" i="5" a="1"/>
  <c r="S426" i="5" a="1"/>
  <c r="S416" i="5" a="1"/>
  <c r="S406" i="5" a="1"/>
  <c r="S396" i="5" a="1"/>
  <c r="S386" i="5" a="1"/>
  <c r="S376" i="5" a="1"/>
  <c r="S366" i="5" a="1"/>
  <c r="S356" i="5" a="1"/>
  <c r="S346" i="5" a="1"/>
  <c r="S336" i="5" a="1"/>
  <c r="S326" i="5" a="1"/>
  <c r="S316" i="5" a="1"/>
  <c r="S306" i="5" a="1"/>
  <c r="S296" i="5" a="1"/>
  <c r="S286" i="5" a="1"/>
  <c r="S276" i="5" a="1"/>
  <c r="S266" i="5" a="1"/>
  <c r="S1769" i="5" a="1"/>
  <c r="S1536" i="5" a="1"/>
  <c r="S1472" i="5" a="1"/>
  <c r="S1413" i="5" a="1"/>
  <c r="S1354" i="5" a="1"/>
  <c r="S1245" i="5" a="1"/>
  <c r="S1202" i="5" a="1"/>
  <c r="S1067" i="5" a="1"/>
  <c r="S1886" i="5" a="1"/>
  <c r="S1768" i="5" a="1"/>
  <c r="S1666" i="5" a="1"/>
  <c r="S1593" i="5" a="1"/>
  <c r="S1533" i="5" a="1"/>
  <c r="S1469" i="5" a="1"/>
  <c r="S1412" i="5" a="1"/>
  <c r="S1353" i="5" a="1"/>
  <c r="S1297" i="5" a="1"/>
  <c r="S1244" i="5" a="1"/>
  <c r="S1189" i="5" a="1"/>
  <c r="S1156" i="5" a="1"/>
  <c r="S1135" i="5" a="1"/>
  <c r="S1113" i="5" a="1"/>
  <c r="S1092" i="5" a="1"/>
  <c r="S1046" i="5" a="1"/>
  <c r="S1026" i="5" a="1"/>
  <c r="S1006" i="5" a="1"/>
  <c r="S986" i="5" a="1"/>
  <c r="S966" i="5" a="1"/>
  <c r="S946" i="5" a="1"/>
  <c r="S926" i="5" a="1"/>
  <c r="S906" i="5" a="1"/>
  <c r="S886" i="5" a="1"/>
  <c r="S866" i="5" a="1"/>
  <c r="S846" i="5" a="1"/>
  <c r="S826" i="5" a="1"/>
  <c r="S806" i="5" a="1"/>
  <c r="S786" i="5" a="1"/>
  <c r="S766" i="5" a="1"/>
  <c r="S746" i="5" a="1"/>
  <c r="S655" i="5" a="1"/>
  <c r="S636" i="5" a="1"/>
  <c r="S617" i="5" a="1"/>
  <c r="S602" i="5" a="1"/>
  <c r="S585" i="5" a="1"/>
  <c r="S575" i="5" a="1"/>
  <c r="S565" i="5" a="1"/>
  <c r="S555" i="5" a="1"/>
  <c r="S545" i="5" a="1"/>
  <c r="S535" i="5" a="1"/>
  <c r="S525" i="5" a="1"/>
  <c r="S515" i="5" a="1"/>
  <c r="S505" i="5" a="1"/>
  <c r="S495" i="5" a="1"/>
  <c r="S485" i="5" a="1"/>
  <c r="S475" i="5" a="1"/>
  <c r="S465" i="5" a="1"/>
  <c r="S455" i="5" a="1"/>
  <c r="S445" i="5" a="1"/>
  <c r="S435" i="5" a="1"/>
  <c r="S425" i="5" a="1"/>
  <c r="S415" i="5" a="1"/>
  <c r="S405" i="5" a="1"/>
  <c r="S395" i="5" a="1"/>
  <c r="S385" i="5" a="1"/>
  <c r="S375" i="5" a="1"/>
  <c r="S365" i="5" a="1"/>
  <c r="S355" i="5" a="1"/>
  <c r="S345" i="5" a="1"/>
  <c r="S335" i="5" a="1"/>
  <c r="S325" i="5" a="1"/>
  <c r="S315" i="5" a="1"/>
  <c r="S305" i="5" a="1"/>
  <c r="S295" i="5" a="1"/>
  <c r="S285" i="5" a="1"/>
  <c r="S275" i="5" a="1"/>
  <c r="S265" i="5" a="1"/>
  <c r="S255" i="5" a="1"/>
  <c r="S245" i="5" a="1"/>
  <c r="S235" i="5" a="1"/>
  <c r="S225" i="5" a="1"/>
  <c r="S215" i="5" a="1"/>
  <c r="S205" i="5" a="1"/>
  <c r="S195" i="5" a="1"/>
  <c r="S185" i="5" a="1"/>
  <c r="S175" i="5" a="1"/>
  <c r="S165" i="5" a="1"/>
  <c r="S155" i="5" a="1"/>
  <c r="S145" i="5" a="1"/>
  <c r="S135" i="5" a="1"/>
  <c r="S125" i="5" a="1"/>
  <c r="S115" i="5" a="1"/>
  <c r="S105" i="5" a="1"/>
  <c r="S1592" i="5" a="1"/>
  <c r="S1467" i="5" a="1"/>
  <c r="S1409" i="5" a="1"/>
  <c r="S1352" i="5" a="1"/>
  <c r="S1296" i="5" a="1"/>
  <c r="S1188" i="5" a="1"/>
  <c r="S1087" i="5" a="1"/>
  <c r="S1066" i="5" a="1"/>
  <c r="S726" i="5" a="1"/>
  <c r="S707" i="5" a="1"/>
  <c r="S692" i="5" a="1"/>
  <c r="S673" i="5" a="1"/>
  <c r="S1885" i="5" a="1"/>
  <c r="S1766" i="5" a="1"/>
  <c r="S1665" i="5" a="1"/>
  <c r="S1589" i="5" a="1"/>
  <c r="S1517" i="5" a="1"/>
  <c r="S1407" i="5" a="1"/>
  <c r="S1349" i="5" a="1"/>
  <c r="S1243" i="5" a="1"/>
  <c r="S1155" i="5" a="1"/>
  <c r="S1133" i="5" a="1"/>
  <c r="S1112" i="5" a="1"/>
  <c r="S1045" i="5" a="1"/>
  <c r="S1025" i="5" a="1"/>
  <c r="S1005" i="5" a="1"/>
  <c r="S985" i="5" a="1"/>
  <c r="S965" i="5" a="1"/>
  <c r="S945" i="5" a="1"/>
  <c r="S925" i="5" a="1"/>
  <c r="S905" i="5" a="1"/>
  <c r="S885" i="5" a="1"/>
  <c r="S865" i="5" a="1"/>
  <c r="S845" i="5" a="1"/>
  <c r="S825" i="5" a="1"/>
  <c r="S805" i="5" a="1"/>
  <c r="S785" i="5" a="1"/>
  <c r="S765" i="5" a="1"/>
  <c r="S745" i="5" a="1"/>
  <c r="S635" i="5" a="1"/>
  <c r="S616" i="5" a="1"/>
  <c r="S597" i="5" a="1"/>
  <c r="S584" i="5" a="1"/>
  <c r="S574" i="5" a="1"/>
  <c r="S564" i="5" a="1"/>
  <c r="S554" i="5" a="1"/>
  <c r="S544" i="5" a="1"/>
  <c r="S534" i="5" a="1"/>
  <c r="S524" i="5" a="1"/>
  <c r="S514" i="5" a="1"/>
  <c r="S504" i="5" a="1"/>
  <c r="S494" i="5" a="1"/>
  <c r="S484" i="5" a="1"/>
  <c r="S474" i="5" a="1"/>
  <c r="S464" i="5" a="1"/>
  <c r="S454" i="5" a="1"/>
  <c r="S444" i="5" a="1"/>
  <c r="S434" i="5" a="1"/>
  <c r="S424" i="5" a="1"/>
  <c r="S414" i="5" a="1"/>
  <c r="S404" i="5" a="1"/>
  <c r="S394" i="5" a="1"/>
  <c r="S384" i="5" a="1"/>
  <c r="S374" i="5" a="1"/>
  <c r="S364" i="5" a="1"/>
  <c r="S354" i="5" a="1"/>
  <c r="S344" i="5" a="1"/>
  <c r="S334" i="5" a="1"/>
  <c r="S324" i="5" a="1"/>
  <c r="S314" i="5" a="1"/>
  <c r="S304" i="5" a="1"/>
  <c r="S294" i="5" a="1"/>
  <c r="S284" i="5" a="1"/>
  <c r="S274" i="5" a="1"/>
  <c r="S264" i="5" a="1"/>
  <c r="S254" i="5" a="1"/>
  <c r="S244" i="5" a="1"/>
  <c r="S234" i="5" a="1"/>
  <c r="S224" i="5" a="1"/>
  <c r="S214" i="5" a="1"/>
  <c r="S204" i="5" a="1"/>
  <c r="S194" i="5" a="1"/>
  <c r="S184" i="5" a="1"/>
  <c r="S174" i="5" a="1"/>
  <c r="S164" i="5" a="1"/>
  <c r="S154" i="5" a="1"/>
  <c r="S144" i="5" a="1"/>
  <c r="S134" i="5" a="1"/>
  <c r="S124" i="5" a="1"/>
  <c r="S114" i="5" a="1"/>
  <c r="S104" i="5" a="1"/>
  <c r="S1858" i="5" a="1"/>
  <c r="S1663" i="5" a="1"/>
  <c r="S1588" i="5" a="1"/>
  <c r="S1516" i="5" a="1"/>
  <c r="S1455" i="5" a="1"/>
  <c r="S1347" i="5" a="1"/>
  <c r="S1295" i="5" a="1"/>
  <c r="S1242" i="5" a="1"/>
  <c r="S1187" i="5" a="1"/>
  <c r="S1107" i="5" a="1"/>
  <c r="S1086" i="5" a="1"/>
  <c r="S1065" i="5" a="1"/>
  <c r="S725" i="5" a="1"/>
  <c r="S706" i="5" a="1"/>
  <c r="S687" i="5" a="1"/>
  <c r="S672" i="5" a="1"/>
  <c r="S653" i="5" a="1"/>
  <c r="S1856" i="5" a="1"/>
  <c r="S1742" i="5" a="1"/>
  <c r="S1662" i="5" a="1"/>
  <c r="S1454" i="5" a="1"/>
  <c r="S1395" i="5" a="1"/>
  <c r="S1293" i="5" a="1"/>
  <c r="S1239" i="5" a="1"/>
  <c r="S1186" i="5" a="1"/>
  <c r="S1153" i="5" a="1"/>
  <c r="S1132" i="5" a="1"/>
  <c r="S1935" i="5" a="1"/>
  <c r="S1586" i="5" a="1"/>
  <c r="S1392" i="5" a="1"/>
  <c r="S1207" i="5" a="1"/>
  <c r="S1106" i="5" a="1"/>
  <c r="S1042" i="5" a="1"/>
  <c r="S802" i="5" a="1"/>
  <c r="S763" i="5" a="1"/>
  <c r="S727" i="5" a="1"/>
  <c r="S595" i="5" a="1"/>
  <c r="S573" i="5" a="1"/>
  <c r="S557" i="5" a="1"/>
  <c r="S538" i="5" a="1"/>
  <c r="S410" i="5" a="1"/>
  <c r="S392" i="5" a="1"/>
  <c r="S373" i="5" a="1"/>
  <c r="S357" i="5" a="1"/>
  <c r="S338" i="5" a="1"/>
  <c r="S248" i="5" a="1"/>
  <c r="S198" i="5" a="1"/>
  <c r="S148" i="5" a="1"/>
  <c r="S98" i="5" a="1"/>
  <c r="S773" i="5" a="1"/>
  <c r="S1226" i="5" a="1"/>
  <c r="S540" i="5" a="1"/>
  <c r="S322" i="5" a="1"/>
  <c r="S250" i="5" a="1"/>
  <c r="S200" i="5" a="1"/>
  <c r="S1117" i="5" a="1"/>
  <c r="S558" i="5" a="1"/>
  <c r="S412" i="5" a="1"/>
  <c r="S217" i="5" a="1"/>
  <c r="S1583" i="5" a="1"/>
  <c r="S1373" i="5" a="1"/>
  <c r="S1206" i="5" a="1"/>
  <c r="S973" i="5" a="1"/>
  <c r="S873" i="5" a="1"/>
  <c r="S796" i="5" a="1"/>
  <c r="S695" i="5" a="1"/>
  <c r="S662" i="5" a="1"/>
  <c r="S626" i="5" a="1"/>
  <c r="S500" i="5" a="1"/>
  <c r="S482" i="5" a="1"/>
  <c r="S463" i="5" a="1"/>
  <c r="S447" i="5" a="1"/>
  <c r="S428" i="5" a="1"/>
  <c r="S300" i="5" a="1"/>
  <c r="S282" i="5" a="1"/>
  <c r="S263" i="5" a="1"/>
  <c r="S230" i="5" a="1"/>
  <c r="S213" i="5" a="1"/>
  <c r="S180" i="5" a="1"/>
  <c r="S163" i="5" a="1"/>
  <c r="S130" i="5" a="1"/>
  <c r="S113" i="5" a="1"/>
  <c r="S1053" i="5" a="1"/>
  <c r="S1043" i="5" a="1"/>
  <c r="S1372" i="5" a="1"/>
  <c r="S1105" i="5" a="1"/>
  <c r="S913" i="5" a="1"/>
  <c r="S762" i="5" a="1"/>
  <c r="S693" i="5" a="1"/>
  <c r="S625" i="5" a="1"/>
  <c r="S572" i="5" a="1"/>
  <c r="S553" i="5" a="1"/>
  <c r="S537" i="5" a="1"/>
  <c r="S518" i="5" a="1"/>
  <c r="S390" i="5" a="1"/>
  <c r="S372" i="5" a="1"/>
  <c r="S353" i="5" a="1"/>
  <c r="S337" i="5" a="1"/>
  <c r="S318" i="5" a="1"/>
  <c r="S247" i="5" a="1"/>
  <c r="S197" i="5" a="1"/>
  <c r="S147" i="5" a="1"/>
  <c r="S97" i="5" a="1"/>
  <c r="S702" i="5" a="1"/>
  <c r="S923" i="5" a="1"/>
  <c r="S1855" i="5" a="1"/>
  <c r="S1369" i="5" a="1"/>
  <c r="S1033" i="5" a="1"/>
  <c r="S963" i="5" a="1"/>
  <c r="S833" i="5" a="1"/>
  <c r="S756" i="5" a="1"/>
  <c r="S723" i="5" a="1"/>
  <c r="S657" i="5" a="1"/>
  <c r="S592" i="5" a="1"/>
  <c r="S480" i="5" a="1"/>
  <c r="S462" i="5" a="1"/>
  <c r="S443" i="5" a="1"/>
  <c r="S427" i="5" a="1"/>
  <c r="S408" i="5" a="1"/>
  <c r="S280" i="5" a="1"/>
  <c r="S262" i="5" a="1"/>
  <c r="S246" i="5" a="1"/>
  <c r="S212" i="5" a="1"/>
  <c r="S196" i="5" a="1"/>
  <c r="S162" i="5" a="1"/>
  <c r="S146" i="5" a="1"/>
  <c r="S112" i="5" a="1"/>
  <c r="S96" i="5" a="1"/>
  <c r="S633" i="5" a="1"/>
  <c r="S1852" i="5" a="1"/>
  <c r="S1543" i="5" a="1"/>
  <c r="S1335" i="5" a="1"/>
  <c r="S1183" i="5" a="1"/>
  <c r="S1096" i="5" a="1"/>
  <c r="S1023" i="5" a="1"/>
  <c r="S903" i="5" a="1"/>
  <c r="S686" i="5" a="1"/>
  <c r="S570" i="5" a="1"/>
  <c r="S552" i="5" a="1"/>
  <c r="S533" i="5" a="1"/>
  <c r="S517" i="5" a="1"/>
  <c r="S498" i="5" a="1"/>
  <c r="S370" i="5" a="1"/>
  <c r="S352" i="5" a="1"/>
  <c r="S333" i="5" a="1"/>
  <c r="S317" i="5" a="1"/>
  <c r="S298" i="5" a="1"/>
  <c r="S228" i="5" a="1"/>
  <c r="S178" i="5" a="1"/>
  <c r="S128" i="5" a="1"/>
  <c r="S1802" i="5" a="1"/>
  <c r="S1542" i="5" a="1"/>
  <c r="S1334" i="5" a="1"/>
  <c r="S1169" i="5" a="1"/>
  <c r="S962" i="5" a="1"/>
  <c r="S863" i="5" a="1"/>
  <c r="S793" i="5" a="1"/>
  <c r="S717" i="5" a="1"/>
  <c r="S623" i="5" a="1"/>
  <c r="S588" i="5" a="1"/>
  <c r="S460" i="5" a="1"/>
  <c r="S442" i="5" a="1"/>
  <c r="S423" i="5" a="1"/>
  <c r="S407" i="5" a="1"/>
  <c r="S388" i="5" a="1"/>
  <c r="S260" i="5" a="1"/>
  <c r="S243" i="5" a="1"/>
  <c r="S210" i="5" a="1"/>
  <c r="S193" i="5" a="1"/>
  <c r="S160" i="5" a="1"/>
  <c r="S143" i="5" a="1"/>
  <c r="S110" i="5" a="1"/>
  <c r="S1798" i="5" a="1"/>
  <c r="S1515" i="5" a="1"/>
  <c r="S1168" i="5" a="1"/>
  <c r="S1085" i="5" a="1"/>
  <c r="S1022" i="5" a="1"/>
  <c r="S902" i="5" a="1"/>
  <c r="S685" i="5" a="1"/>
  <c r="S652" i="5" a="1"/>
  <c r="S550" i="5" a="1"/>
  <c r="S532" i="5" a="1"/>
  <c r="S513" i="5" a="1"/>
  <c r="S497" i="5" a="1"/>
  <c r="S478" i="5" a="1"/>
  <c r="S350" i="5" a="1"/>
  <c r="S332" i="5" a="1"/>
  <c r="S313" i="5" a="1"/>
  <c r="S297" i="5" a="1"/>
  <c r="S278" i="5" a="1"/>
  <c r="S227" i="5" a="1"/>
  <c r="S177" i="5" a="1"/>
  <c r="S127" i="5" a="1"/>
  <c r="S733" i="5" a="1"/>
  <c r="S1513" i="5" a="1"/>
  <c r="S896" i="5" a="1"/>
  <c r="S862" i="5" a="1"/>
  <c r="S823" i="5" a="1"/>
  <c r="S753" i="5" a="1"/>
  <c r="S683" i="5" a="1"/>
  <c r="S615" i="5" a="1"/>
  <c r="S587" i="5" a="1"/>
  <c r="S568" i="5" a="1"/>
  <c r="S440" i="5" a="1"/>
  <c r="S422" i="5" a="1"/>
  <c r="S403" i="5" a="1"/>
  <c r="S387" i="5" a="1"/>
  <c r="S368" i="5" a="1"/>
  <c r="S242" i="5" a="1"/>
  <c r="S226" i="5" a="1"/>
  <c r="S192" i="5" a="1"/>
  <c r="S176" i="5" a="1"/>
  <c r="S142" i="5" a="1"/>
  <c r="S126" i="5" a="1"/>
  <c r="S882" i="5" a="1"/>
  <c r="S1739" i="5" a="1"/>
  <c r="S1508" i="5" a="1"/>
  <c r="S1315" i="5" a="1"/>
  <c r="S1083" i="5" a="1"/>
  <c r="S953" i="5" a="1"/>
  <c r="S856" i="5" a="1"/>
  <c r="S715" i="5" a="1"/>
  <c r="S647" i="5" a="1"/>
  <c r="S530" i="5" a="1"/>
  <c r="S512" i="5" a="1"/>
  <c r="S493" i="5" a="1"/>
  <c r="S477" i="5" a="1"/>
  <c r="S458" i="5" a="1"/>
  <c r="S330" i="5" a="1"/>
  <c r="S312" i="5" a="1"/>
  <c r="S293" i="5" a="1"/>
  <c r="S277" i="5" a="1"/>
  <c r="S258" i="5" a="1"/>
  <c r="S208" i="5" a="1"/>
  <c r="S158" i="5" a="1"/>
  <c r="S108" i="5" a="1"/>
  <c r="S843" i="5" a="1"/>
  <c r="S1738" i="5" a="1"/>
  <c r="S1489" i="5" a="1"/>
  <c r="S1314" i="5" a="1"/>
  <c r="S1152" i="5" a="1"/>
  <c r="S1013" i="5" a="1"/>
  <c r="S822" i="5" a="1"/>
  <c r="S783" i="5" a="1"/>
  <c r="S583" i="5" a="1"/>
  <c r="S567" i="5" a="1"/>
  <c r="S548" i="5" a="1"/>
  <c r="S420" i="5" a="1"/>
  <c r="S402" i="5" a="1"/>
  <c r="S383" i="5" a="1"/>
  <c r="S367" i="5" a="1"/>
  <c r="S348" i="5" a="1"/>
  <c r="S240" i="5" a="1"/>
  <c r="S223" i="5" a="1"/>
  <c r="S190" i="5" a="1"/>
  <c r="S173" i="5" a="1"/>
  <c r="S140" i="5" a="1"/>
  <c r="S123" i="5" a="1"/>
  <c r="S578" i="5" a="1"/>
  <c r="S450" i="5" a="1"/>
  <c r="S397" i="5" a="1"/>
  <c r="S378" i="5" a="1"/>
  <c r="S218" i="5" a="1"/>
  <c r="S503" i="5" a="1"/>
  <c r="S268" i="5" a="1"/>
  <c r="S1394" i="5" a="1"/>
  <c r="S596" i="5" a="1"/>
  <c r="S393" i="5" a="1"/>
  <c r="S1487" i="5" a="1"/>
  <c r="S1282" i="5" a="1"/>
  <c r="S1147" i="5" a="1"/>
  <c r="S1075" i="5" a="1"/>
  <c r="S1003" i="5" a="1"/>
  <c r="S943" i="5" a="1"/>
  <c r="S816" i="5" a="1"/>
  <c r="S677" i="5" a="1"/>
  <c r="S645" i="5" a="1"/>
  <c r="S613" i="5" a="1"/>
  <c r="S510" i="5" a="1"/>
  <c r="S492" i="5" a="1"/>
  <c r="S473" i="5" a="1"/>
  <c r="S457" i="5" a="1"/>
  <c r="S438" i="5" a="1"/>
  <c r="S310" i="5" a="1"/>
  <c r="S292" i="5" a="1"/>
  <c r="S273" i="5" a="1"/>
  <c r="S257" i="5" a="1"/>
  <c r="S207" i="5" a="1"/>
  <c r="S157" i="5" a="1"/>
  <c r="S107" i="5" a="1"/>
  <c r="S983" i="5" a="1"/>
  <c r="S803" i="5" a="1"/>
  <c r="S1693" i="5" a="1"/>
  <c r="S1279" i="5" a="1"/>
  <c r="S1143" i="5" a="1"/>
  <c r="S893" i="5" a="1"/>
  <c r="S782" i="5" a="1"/>
  <c r="S743" i="5" a="1"/>
  <c r="S712" i="5" a="1"/>
  <c r="S582" i="5" a="1"/>
  <c r="S563" i="5" a="1"/>
  <c r="S547" i="5" a="1"/>
  <c r="S528" i="5" a="1"/>
  <c r="S400" i="5" a="1"/>
  <c r="S382" i="5" a="1"/>
  <c r="S363" i="5" a="1"/>
  <c r="S347" i="5" a="1"/>
  <c r="S328" i="5" a="1"/>
  <c r="S256" i="5" a="1"/>
  <c r="S222" i="5" a="1"/>
  <c r="S206" i="5" a="1"/>
  <c r="S172" i="5" a="1"/>
  <c r="S156" i="5" a="1"/>
  <c r="S122" i="5" a="1"/>
  <c r="S106" i="5" a="1"/>
  <c r="S1126" i="5" a="1"/>
  <c r="S876" i="5" a="1"/>
  <c r="S1692" i="5" a="1"/>
  <c r="S1453" i="5" a="1"/>
  <c r="S1278" i="5" a="1"/>
  <c r="S1063" i="5" a="1"/>
  <c r="S1002" i="5" a="1"/>
  <c r="S942" i="5" a="1"/>
  <c r="S853" i="5" a="1"/>
  <c r="S776" i="5" a="1"/>
  <c r="S676" i="5" a="1"/>
  <c r="S643" i="5" a="1"/>
  <c r="S607" i="5" a="1"/>
  <c r="S490" i="5" a="1"/>
  <c r="S472" i="5" a="1"/>
  <c r="S453" i="5" a="1"/>
  <c r="S437" i="5" a="1"/>
  <c r="S418" i="5" a="1"/>
  <c r="S290" i="5" a="1"/>
  <c r="S272" i="5" a="1"/>
  <c r="S238" i="5" a="1"/>
  <c r="S188" i="5" a="1"/>
  <c r="S138" i="5" a="1"/>
  <c r="S413" i="5" a="1"/>
  <c r="S168" i="5" a="1"/>
  <c r="S1122" i="5" a="1"/>
  <c r="S522" i="5" a="1"/>
  <c r="S468" i="5" a="1"/>
  <c r="S340" i="5" a="1"/>
  <c r="S303" i="5" a="1"/>
  <c r="S233" i="5" a="1"/>
  <c r="S183" i="5" a="1"/>
  <c r="S100" i="5" a="1"/>
  <c r="S577" i="5" a="1"/>
  <c r="S430" i="5" a="1"/>
  <c r="S358" i="5" a="1"/>
  <c r="S117" i="5" a="1"/>
  <c r="S1689" i="5" a="1"/>
  <c r="S1452" i="5" a="1"/>
  <c r="S1263" i="5" a="1"/>
  <c r="S1142" i="5" a="1"/>
  <c r="S742" i="5" a="1"/>
  <c r="S705" i="5" a="1"/>
  <c r="S606" i="5" a="1"/>
  <c r="S580" i="5" a="1"/>
  <c r="S562" i="5" a="1"/>
  <c r="S543" i="5" a="1"/>
  <c r="S527" i="5" a="1"/>
  <c r="S508" i="5" a="1"/>
  <c r="S380" i="5" a="1"/>
  <c r="S362" i="5" a="1"/>
  <c r="S343" i="5" a="1"/>
  <c r="S327" i="5" a="1"/>
  <c r="S308" i="5" a="1"/>
  <c r="S253" i="5" a="1"/>
  <c r="S220" i="5" a="1"/>
  <c r="S203" i="5" a="1"/>
  <c r="S170" i="5" a="1"/>
  <c r="S153" i="5" a="1"/>
  <c r="S120" i="5" a="1"/>
  <c r="S103" i="5" a="1"/>
  <c r="S1429" i="5" a="1"/>
  <c r="S150" i="5" a="1"/>
  <c r="S982" i="5" a="1"/>
  <c r="S1449" i="5" a="1"/>
  <c r="S1262" i="5" a="1"/>
  <c r="S1127" i="5" a="1"/>
  <c r="S1062" i="5" a="1"/>
  <c r="S883" i="5" a="1"/>
  <c r="S813" i="5" a="1"/>
  <c r="S736" i="5" a="1"/>
  <c r="S642" i="5" a="1"/>
  <c r="S470" i="5" a="1"/>
  <c r="S452" i="5" a="1"/>
  <c r="S433" i="5" a="1"/>
  <c r="S417" i="5" a="1"/>
  <c r="S398" i="5" a="1"/>
  <c r="S270" i="5" a="1"/>
  <c r="S237" i="5" a="1"/>
  <c r="S187" i="5" a="1"/>
  <c r="S137" i="5" a="1"/>
  <c r="S1237" i="5" a="1"/>
  <c r="S842" i="5" a="1"/>
  <c r="S1643" i="5" a="1"/>
  <c r="S1432" i="5" a="1"/>
  <c r="S1259" i="5" a="1"/>
  <c r="S993" i="5" a="1"/>
  <c r="S933" i="5" a="1"/>
  <c r="S667" i="5" a="1"/>
  <c r="S605" i="5" a="1"/>
  <c r="S560" i="5" a="1"/>
  <c r="S542" i="5" a="1"/>
  <c r="S523" i="5" a="1"/>
  <c r="S507" i="5" a="1"/>
  <c r="S488" i="5" a="1"/>
  <c r="S360" i="5" a="1"/>
  <c r="S342" i="5" a="1"/>
  <c r="S323" i="5" a="1"/>
  <c r="S307" i="5" a="1"/>
  <c r="S288" i="5" a="1"/>
  <c r="S252" i="5" a="1"/>
  <c r="S236" i="5" a="1"/>
  <c r="S202" i="5" a="1"/>
  <c r="S186" i="5" a="1"/>
  <c r="S152" i="5" a="1"/>
  <c r="S136" i="5" a="1"/>
  <c r="S102" i="5" a="1"/>
  <c r="S1642" i="5" a="1"/>
  <c r="S432" i="5" a="1"/>
  <c r="S118" i="5" a="1"/>
  <c r="S1427" i="5" a="1"/>
  <c r="S487" i="5" a="1"/>
  <c r="S287" i="5" a="1"/>
  <c r="S133" i="5" a="1"/>
  <c r="S1616" i="5" a="1"/>
  <c r="S377" i="5" a="1"/>
  <c r="S1393" i="5" a="1"/>
  <c r="S922" i="5" a="1"/>
  <c r="S836" i="5" a="1"/>
  <c r="S696" i="5" a="1"/>
  <c r="S632" i="5" a="1"/>
  <c r="S520" i="5" a="1"/>
  <c r="S502" i="5" a="1"/>
  <c r="S483" i="5" a="1"/>
  <c r="S467" i="5" a="1"/>
  <c r="S448" i="5" a="1"/>
  <c r="S320" i="5" a="1"/>
  <c r="S302" i="5" a="1"/>
  <c r="S283" i="5" a="1"/>
  <c r="S267" i="5" a="1"/>
  <c r="S232" i="5" a="1"/>
  <c r="S216" i="5" a="1"/>
  <c r="S182" i="5" a="1"/>
  <c r="S166" i="5" a="1"/>
  <c r="S132" i="5" a="1"/>
  <c r="S116" i="5" a="1"/>
  <c r="S666" i="5" a="1"/>
  <c r="S167" i="5" a="1"/>
  <c r="T2004" i="5" a="1"/>
  <c r="T1994" i="5" a="1"/>
  <c r="T1984" i="5" a="1"/>
  <c r="T1974" i="5" a="1"/>
  <c r="T1964" i="5" a="1"/>
  <c r="T1954" i="5" a="1"/>
  <c r="T1944" i="5" a="1"/>
  <c r="T1934" i="5" a="1"/>
  <c r="T1924" i="5" a="1"/>
  <c r="T1914" i="5" a="1"/>
  <c r="T1904" i="5" a="1"/>
  <c r="T1894" i="5" a="1"/>
  <c r="T1884" i="5" a="1"/>
  <c r="T1874" i="5" a="1"/>
  <c r="T1864" i="5" a="1"/>
  <c r="T1854" i="5" a="1"/>
  <c r="T1844" i="5" a="1"/>
  <c r="T1834" i="5" a="1"/>
  <c r="T1824" i="5" a="1"/>
  <c r="T1814" i="5" a="1"/>
  <c r="T1804" i="5" a="1"/>
  <c r="T1794" i="5" a="1"/>
  <c r="T1784" i="5" a="1"/>
  <c r="T1774" i="5" a="1"/>
  <c r="T1764" i="5" a="1"/>
  <c r="T1754" i="5" a="1"/>
  <c r="T1744" i="5" a="1"/>
  <c r="T1734" i="5" a="1"/>
  <c r="T1724" i="5" a="1"/>
  <c r="T1714" i="5" a="1"/>
  <c r="T1704" i="5" a="1"/>
  <c r="T1694" i="5" a="1"/>
  <c r="T1684" i="5" a="1"/>
  <c r="T1674" i="5" a="1"/>
  <c r="T1664" i="5" a="1"/>
  <c r="T1654" i="5" a="1"/>
  <c r="T1644" i="5" a="1"/>
  <c r="T1634" i="5" a="1"/>
  <c r="T1624" i="5" a="1"/>
  <c r="T1614" i="5" a="1"/>
  <c r="T1604" i="5" a="1"/>
  <c r="T1594" i="5" a="1"/>
  <c r="T1584" i="5" a="1"/>
  <c r="T1574" i="5" a="1"/>
  <c r="T1564" i="5" a="1"/>
  <c r="T1554" i="5" a="1"/>
  <c r="T1544" i="5" a="1"/>
  <c r="T1534" i="5" a="1"/>
  <c r="T1524" i="5" a="1"/>
  <c r="T1514" i="5" a="1"/>
  <c r="T1504" i="5" a="1"/>
  <c r="T1494" i="5" a="1"/>
  <c r="T1484" i="5" a="1"/>
  <c r="T1474" i="5" a="1"/>
  <c r="T1464" i="5" a="1"/>
  <c r="T1454" i="5" a="1"/>
  <c r="T1444" i="5" a="1"/>
  <c r="T1434" i="5" a="1"/>
  <c r="T1424" i="5" a="1"/>
  <c r="T2002" i="5" a="1"/>
  <c r="T1992" i="5" a="1"/>
  <c r="T1982" i="5" a="1"/>
  <c r="T1972" i="5" a="1"/>
  <c r="T1962" i="5" a="1"/>
  <c r="T1952" i="5" a="1"/>
  <c r="T1942" i="5" a="1"/>
  <c r="T1932" i="5" a="1"/>
  <c r="T1922" i="5" a="1"/>
  <c r="T1912" i="5" a="1"/>
  <c r="T1902" i="5" a="1"/>
  <c r="T1892" i="5" a="1"/>
  <c r="T1882" i="5" a="1"/>
  <c r="T1872" i="5" a="1"/>
  <c r="T1862" i="5" a="1"/>
  <c r="T1852" i="5" a="1"/>
  <c r="T1842" i="5" a="1"/>
  <c r="T1832" i="5" a="1"/>
  <c r="T1822" i="5" a="1"/>
  <c r="T1812" i="5" a="1"/>
  <c r="T1802" i="5" a="1"/>
  <c r="T1792" i="5" a="1"/>
  <c r="T1782" i="5" a="1"/>
  <c r="T1772" i="5" a="1"/>
  <c r="T1762" i="5" a="1"/>
  <c r="T1752" i="5" a="1"/>
  <c r="T1742" i="5" a="1"/>
  <c r="T1732" i="5" a="1"/>
  <c r="T1722" i="5" a="1"/>
  <c r="T1712" i="5" a="1"/>
  <c r="T1702" i="5" a="1"/>
  <c r="T1692" i="5" a="1"/>
  <c r="T1682" i="5" a="1"/>
  <c r="T1672" i="5" a="1"/>
  <c r="T1662" i="5" a="1"/>
  <c r="T1652" i="5" a="1"/>
  <c r="T1642" i="5" a="1"/>
  <c r="T1632" i="5" a="1"/>
  <c r="T1622" i="5" a="1"/>
  <c r="T2001" i="5" a="1"/>
  <c r="T1991" i="5" a="1"/>
  <c r="T1981" i="5" a="1"/>
  <c r="T1971" i="5" a="1"/>
  <c r="T1961" i="5" a="1"/>
  <c r="T1951" i="5" a="1"/>
  <c r="T1941" i="5" a="1"/>
  <c r="T1931" i="5" a="1"/>
  <c r="T1921" i="5" a="1"/>
  <c r="T1911" i="5" a="1"/>
  <c r="T1901" i="5" a="1"/>
  <c r="T1891" i="5" a="1"/>
  <c r="T1881" i="5" a="1"/>
  <c r="T1871" i="5" a="1"/>
  <c r="T1861" i="5" a="1"/>
  <c r="T1851" i="5" a="1"/>
  <c r="T1841" i="5" a="1"/>
  <c r="T2000" i="5" a="1"/>
  <c r="T1999" i="5" a="1"/>
  <c r="T1989" i="5" a="1"/>
  <c r="T1979" i="5" a="1"/>
  <c r="T1969" i="5" a="1"/>
  <c r="T1959" i="5" a="1"/>
  <c r="T1949" i="5" a="1"/>
  <c r="T1939" i="5" a="1"/>
  <c r="T1929" i="5" a="1"/>
  <c r="T1919" i="5" a="1"/>
  <c r="T1909" i="5" a="1"/>
  <c r="T1899" i="5" a="1"/>
  <c r="T1889" i="5" a="1"/>
  <c r="T1879" i="5" a="1"/>
  <c r="T1869" i="5" a="1"/>
  <c r="T1859" i="5" a="1"/>
  <c r="T1849" i="5" a="1"/>
  <c r="T1839" i="5" a="1"/>
  <c r="T1829" i="5" a="1"/>
  <c r="T1819" i="5" a="1"/>
  <c r="T1809" i="5" a="1"/>
  <c r="T1799" i="5" a="1"/>
  <c r="T1789" i="5" a="1"/>
  <c r="T1779" i="5" a="1"/>
  <c r="T1769" i="5" a="1"/>
  <c r="T1759" i="5" a="1"/>
  <c r="T1749" i="5" a="1"/>
  <c r="T1739" i="5" a="1"/>
  <c r="T1729" i="5" a="1"/>
  <c r="T1719" i="5" a="1"/>
  <c r="T1709" i="5" a="1"/>
  <c r="T1699" i="5" a="1"/>
  <c r="T1689" i="5" a="1"/>
  <c r="T1679" i="5" a="1"/>
  <c r="T1669" i="5" a="1"/>
  <c r="T1659" i="5" a="1"/>
  <c r="T1649" i="5" a="1"/>
  <c r="T1639" i="5" a="1"/>
  <c r="T1629" i="5" a="1"/>
  <c r="T1619" i="5" a="1"/>
  <c r="T1609" i="5" a="1"/>
  <c r="T1599" i="5" a="1"/>
  <c r="T1589" i="5" a="1"/>
  <c r="T1579" i="5" a="1"/>
  <c r="T1569" i="5" a="1"/>
  <c r="T1559" i="5" a="1"/>
  <c r="T1549" i="5" a="1"/>
  <c r="T1539" i="5" a="1"/>
  <c r="T1529" i="5" a="1"/>
  <c r="T1519" i="5" a="1"/>
  <c r="T1509" i="5" a="1"/>
  <c r="T1499" i="5" a="1"/>
  <c r="T1489" i="5" a="1"/>
  <c r="T1479" i="5" a="1"/>
  <c r="T1469" i="5" a="1"/>
  <c r="T1459" i="5" a="1"/>
  <c r="T1449" i="5" a="1"/>
  <c r="T1439" i="5" a="1"/>
  <c r="T1429" i="5" a="1"/>
  <c r="T1419" i="5" a="1"/>
  <c r="T1409" i="5" a="1"/>
  <c r="T1399" i="5" a="1"/>
  <c r="T1389" i="5" a="1"/>
  <c r="T1379" i="5" a="1"/>
  <c r="T1369" i="5" a="1"/>
  <c r="T1359" i="5" a="1"/>
  <c r="T1349" i="5" a="1"/>
  <c r="T1339" i="5" a="1"/>
  <c r="T1329" i="5" a="1"/>
  <c r="T1319" i="5" a="1"/>
  <c r="T1309" i="5" a="1"/>
  <c r="T1299" i="5" a="1"/>
  <c r="T1289" i="5" a="1"/>
  <c r="T1279" i="5" a="1"/>
  <c r="T1269" i="5" a="1"/>
  <c r="T1259" i="5" a="1"/>
  <c r="T1249" i="5" a="1"/>
  <c r="T1239" i="5" a="1"/>
  <c r="T1229" i="5" a="1"/>
  <c r="T1219" i="5" a="1"/>
  <c r="T1209" i="5" a="1"/>
  <c r="T1199" i="5" a="1"/>
  <c r="T1189" i="5" a="1"/>
  <c r="T1179" i="5" a="1"/>
  <c r="T1169" i="5" a="1"/>
  <c r="T1159" i="5" a="1"/>
  <c r="T1998" i="5" a="1"/>
  <c r="T1988" i="5" a="1"/>
  <c r="T1978" i="5" a="1"/>
  <c r="T1968" i="5" a="1"/>
  <c r="T1958" i="5" a="1"/>
  <c r="T1948" i="5" a="1"/>
  <c r="T1938" i="5" a="1"/>
  <c r="T1928" i="5" a="1"/>
  <c r="T1918" i="5" a="1"/>
  <c r="T1908" i="5" a="1"/>
  <c r="T1898" i="5" a="1"/>
  <c r="T1888" i="5" a="1"/>
  <c r="T1878" i="5" a="1"/>
  <c r="T1868" i="5" a="1"/>
  <c r="T1858" i="5" a="1"/>
  <c r="T1848" i="5" a="1"/>
  <c r="T1838" i="5" a="1"/>
  <c r="T1828" i="5" a="1"/>
  <c r="T1818" i="5" a="1"/>
  <c r="T1808" i="5" a="1"/>
  <c r="T1798" i="5" a="1"/>
  <c r="T1788" i="5" a="1"/>
  <c r="T1778" i="5" a="1"/>
  <c r="T1768" i="5" a="1"/>
  <c r="T1758" i="5" a="1"/>
  <c r="T1748" i="5" a="1"/>
  <c r="T1738" i="5" a="1"/>
  <c r="T1728" i="5" a="1"/>
  <c r="T1718" i="5" a="1"/>
  <c r="T1708" i="5" a="1"/>
  <c r="T1698" i="5" a="1"/>
  <c r="T1688" i="5" a="1"/>
  <c r="T1678" i="5" a="1"/>
  <c r="T1668" i="5" a="1"/>
  <c r="T1658" i="5" a="1"/>
  <c r="T1648" i="5" a="1"/>
  <c r="T1638" i="5" a="1"/>
  <c r="T1628" i="5" a="1"/>
  <c r="T1618" i="5" a="1"/>
  <c r="T1608" i="5" a="1"/>
  <c r="T1598" i="5" a="1"/>
  <c r="T1588" i="5" a="1"/>
  <c r="T1578" i="5" a="1"/>
  <c r="T1568" i="5" a="1"/>
  <c r="T1558" i="5" a="1"/>
  <c r="T1997" i="5" a="1"/>
  <c r="T1987" i="5" a="1"/>
  <c r="T1977" i="5" a="1"/>
  <c r="T1967" i="5" a="1"/>
  <c r="T1957" i="5" a="1"/>
  <c r="T1947" i="5" a="1"/>
  <c r="T1937" i="5" a="1"/>
  <c r="T1927" i="5" a="1"/>
  <c r="T1917" i="5" a="1"/>
  <c r="T1907" i="5" a="1"/>
  <c r="T1897" i="5" a="1"/>
  <c r="T1887" i="5" a="1"/>
  <c r="T1877" i="5" a="1"/>
  <c r="T1867" i="5" a="1"/>
  <c r="T1857" i="5" a="1"/>
  <c r="T1847" i="5" a="1"/>
  <c r="T1837" i="5" a="1"/>
  <c r="T1827" i="5" a="1"/>
  <c r="T1817" i="5" a="1"/>
  <c r="T1807" i="5" a="1"/>
  <c r="T1797" i="5" a="1"/>
  <c r="T1787" i="5" a="1"/>
  <c r="T1777" i="5" a="1"/>
  <c r="T1767" i="5" a="1"/>
  <c r="T1757" i="5" a="1"/>
  <c r="T1747" i="5" a="1"/>
  <c r="T1737" i="5" a="1"/>
  <c r="T1727" i="5" a="1"/>
  <c r="T1717" i="5" a="1"/>
  <c r="T1707" i="5" a="1"/>
  <c r="T1697" i="5" a="1"/>
  <c r="T1687" i="5" a="1"/>
  <c r="T1677" i="5" a="1"/>
  <c r="T1667" i="5" a="1"/>
  <c r="T1657" i="5" a="1"/>
  <c r="T1647" i="5" a="1"/>
  <c r="T1637" i="5" a="1"/>
  <c r="T1627" i="5" a="1"/>
  <c r="T1617" i="5" a="1"/>
  <c r="T1607" i="5" a="1"/>
  <c r="T1597" i="5" a="1"/>
  <c r="T1587" i="5" a="1"/>
  <c r="T1577" i="5" a="1"/>
  <c r="T1567" i="5" a="1"/>
  <c r="T1557" i="5" a="1"/>
  <c r="T1547" i="5" a="1"/>
  <c r="T1537" i="5" a="1"/>
  <c r="T1527" i="5" a="1"/>
  <c r="T1517" i="5" a="1"/>
  <c r="T1507" i="5" a="1"/>
  <c r="T1497" i="5" a="1"/>
  <c r="T1487" i="5" a="1"/>
  <c r="T1477" i="5" a="1"/>
  <c r="T1467" i="5" a="1"/>
  <c r="T1457" i="5" a="1"/>
  <c r="T1447" i="5" a="1"/>
  <c r="T1437" i="5" a="1"/>
  <c r="T1427" i="5" a="1"/>
  <c r="T1417" i="5" a="1"/>
  <c r="T1407" i="5" a="1"/>
  <c r="T1397" i="5" a="1"/>
  <c r="T1387" i="5" a="1"/>
  <c r="T1377" i="5" a="1"/>
  <c r="T1367" i="5" a="1"/>
  <c r="T1357" i="5" a="1"/>
  <c r="T1347" i="5" a="1"/>
  <c r="T1337" i="5" a="1"/>
  <c r="T1327" i="5" a="1"/>
  <c r="T1317" i="5" a="1"/>
  <c r="T1307" i="5" a="1"/>
  <c r="T1297" i="5" a="1"/>
  <c r="T1287" i="5" a="1"/>
  <c r="T1277" i="5" a="1"/>
  <c r="T1267" i="5" a="1"/>
  <c r="T1257" i="5" a="1"/>
  <c r="T1247" i="5" a="1"/>
  <c r="T1237" i="5" a="1"/>
  <c r="T1227" i="5" a="1"/>
  <c r="T1217" i="5" a="1"/>
  <c r="T1207" i="5" a="1"/>
  <c r="T1197" i="5" a="1"/>
  <c r="T1187" i="5" a="1"/>
  <c r="T1177" i="5" a="1"/>
  <c r="T1167" i="5" a="1"/>
  <c r="T1157" i="5" a="1"/>
  <c r="T1996" i="5" a="1"/>
  <c r="T1986" i="5" a="1"/>
  <c r="T1976" i="5" a="1"/>
  <c r="T1966" i="5" a="1"/>
  <c r="T1956" i="5" a="1"/>
  <c r="T1946" i="5" a="1"/>
  <c r="T1936" i="5" a="1"/>
  <c r="T1926" i="5" a="1"/>
  <c r="T1916" i="5" a="1"/>
  <c r="T1906" i="5" a="1"/>
  <c r="T1896" i="5" a="1"/>
  <c r="T1886" i="5" a="1"/>
  <c r="T1876" i="5" a="1"/>
  <c r="T1866" i="5" a="1"/>
  <c r="T1856" i="5" a="1"/>
  <c r="T1846" i="5" a="1"/>
  <c r="T1836" i="5" a="1"/>
  <c r="T1826" i="5" a="1"/>
  <c r="T1816" i="5" a="1"/>
  <c r="T1806" i="5" a="1"/>
  <c r="T1796" i="5" a="1"/>
  <c r="T1786" i="5" a="1"/>
  <c r="T1776" i="5" a="1"/>
  <c r="T1766" i="5" a="1"/>
  <c r="T1756" i="5" a="1"/>
  <c r="T1746" i="5" a="1"/>
  <c r="T1736" i="5" a="1"/>
  <c r="T1726" i="5" a="1"/>
  <c r="T1716" i="5" a="1"/>
  <c r="T1706" i="5" a="1"/>
  <c r="T1696" i="5" a="1"/>
  <c r="T1686" i="5" a="1"/>
  <c r="T1676" i="5" a="1"/>
  <c r="T1666" i="5" a="1"/>
  <c r="T1656" i="5" a="1"/>
  <c r="T1646" i="5" a="1"/>
  <c r="T1636" i="5" a="1"/>
  <c r="T1626" i="5" a="1"/>
  <c r="T1616" i="5" a="1"/>
  <c r="T1606" i="5" a="1"/>
  <c r="T1596" i="5" a="1"/>
  <c r="T1586" i="5" a="1"/>
  <c r="T1576" i="5" a="1"/>
  <c r="T1566" i="5" a="1"/>
  <c r="T1556" i="5" a="1"/>
  <c r="T1546" i="5" a="1"/>
  <c r="T1536" i="5" a="1"/>
  <c r="T1526" i="5" a="1"/>
  <c r="T1516" i="5" a="1"/>
  <c r="T1506" i="5" a="1"/>
  <c r="T1496" i="5" a="1"/>
  <c r="T1486" i="5" a="1"/>
  <c r="T1476" i="5" a="1"/>
  <c r="T1466" i="5" a="1"/>
  <c r="T1456" i="5" a="1"/>
  <c r="T1446" i="5" a="1"/>
  <c r="T1436" i="5" a="1"/>
  <c r="T1426" i="5" a="1"/>
  <c r="T1416" i="5" a="1"/>
  <c r="T1406" i="5" a="1"/>
  <c r="T1396" i="5" a="1"/>
  <c r="T1386" i="5" a="1"/>
  <c r="T1376" i="5" a="1"/>
  <c r="T1366" i="5" a="1"/>
  <c r="T1356" i="5" a="1"/>
  <c r="T1346" i="5" a="1"/>
  <c r="T1336" i="5" a="1"/>
  <c r="T1326" i="5" a="1"/>
  <c r="T1316" i="5" a="1"/>
  <c r="T1306" i="5" a="1"/>
  <c r="T1296" i="5" a="1"/>
  <c r="T1286" i="5" a="1"/>
  <c r="T1276" i="5" a="1"/>
  <c r="T1266" i="5" a="1"/>
  <c r="T1256" i="5" a="1"/>
  <c r="T1246" i="5" a="1"/>
  <c r="T1236" i="5" a="1"/>
  <c r="T1226" i="5" a="1"/>
  <c r="T1216" i="5" a="1"/>
  <c r="T1206" i="5" a="1"/>
  <c r="T1196" i="5" a="1"/>
  <c r="T1186" i="5" a="1"/>
  <c r="T1176" i="5" a="1"/>
  <c r="T1166" i="5" a="1"/>
  <c r="T1156" i="5" a="1"/>
  <c r="T1995" i="5" a="1"/>
  <c r="T1985" i="5" a="1"/>
  <c r="T1975" i="5" a="1"/>
  <c r="T1965" i="5" a="1"/>
  <c r="T1955" i="5" a="1"/>
  <c r="T1945" i="5" a="1"/>
  <c r="T1935" i="5" a="1"/>
  <c r="T1925" i="5" a="1"/>
  <c r="T1915" i="5" a="1"/>
  <c r="T1905" i="5" a="1"/>
  <c r="T1895" i="5" a="1"/>
  <c r="T1885" i="5" a="1"/>
  <c r="T1875" i="5" a="1"/>
  <c r="T1865" i="5" a="1"/>
  <c r="T1855" i="5" a="1"/>
  <c r="T1845" i="5" a="1"/>
  <c r="T1835" i="5" a="1"/>
  <c r="T1825" i="5" a="1"/>
  <c r="T1815" i="5" a="1"/>
  <c r="T1805" i="5" a="1"/>
  <c r="T1795" i="5" a="1"/>
  <c r="T1785" i="5" a="1"/>
  <c r="T1775" i="5" a="1"/>
  <c r="T1765" i="5" a="1"/>
  <c r="T1755" i="5" a="1"/>
  <c r="T1745" i="5" a="1"/>
  <c r="T1735" i="5" a="1"/>
  <c r="T1783" i="5" a="1"/>
  <c r="T1761" i="5" a="1"/>
  <c r="T1740" i="5" a="1"/>
  <c r="T1643" i="5" a="1"/>
  <c r="T1625" i="5" a="1"/>
  <c r="T1542" i="5" a="1"/>
  <c r="T1481" i="5" a="1"/>
  <c r="T1465" i="5" a="1"/>
  <c r="T1420" i="5" a="1"/>
  <c r="T1391" i="5" a="1"/>
  <c r="T1362" i="5" a="1"/>
  <c r="T1348" i="5" a="1"/>
  <c r="T1333" i="5" a="1"/>
  <c r="T1320" i="5" a="1"/>
  <c r="T1291" i="5" a="1"/>
  <c r="T1262" i="5" a="1"/>
  <c r="T1248" i="5" a="1"/>
  <c r="T1233" i="5" a="1"/>
  <c r="T1220" i="5" a="1"/>
  <c r="T1192" i="5" a="1"/>
  <c r="T1152" i="5" a="1"/>
  <c r="T1142" i="5" a="1"/>
  <c r="T1132" i="5" a="1"/>
  <c r="T1122" i="5" a="1"/>
  <c r="T1112" i="5" a="1"/>
  <c r="T1102" i="5" a="1"/>
  <c r="T1092" i="5" a="1"/>
  <c r="T1082" i="5" a="1"/>
  <c r="T1072" i="5" a="1"/>
  <c r="T1062" i="5" a="1"/>
  <c r="T1052" i="5" a="1"/>
  <c r="T1042" i="5" a="1"/>
  <c r="T1032" i="5" a="1"/>
  <c r="T1022" i="5" a="1"/>
  <c r="T1012" i="5" a="1"/>
  <c r="T1002" i="5" a="1"/>
  <c r="T992" i="5" a="1"/>
  <c r="T982" i="5" a="1"/>
  <c r="T972" i="5" a="1"/>
  <c r="T962" i="5" a="1"/>
  <c r="T952" i="5" a="1"/>
  <c r="T942" i="5" a="1"/>
  <c r="T932" i="5" a="1"/>
  <c r="T922" i="5" a="1"/>
  <c r="T912" i="5" a="1"/>
  <c r="T902" i="5" a="1"/>
  <c r="T892" i="5" a="1"/>
  <c r="T882" i="5" a="1"/>
  <c r="T872" i="5" a="1"/>
  <c r="T862" i="5" a="1"/>
  <c r="T852" i="5" a="1"/>
  <c r="T842" i="5" a="1"/>
  <c r="T832" i="5" a="1"/>
  <c r="T822" i="5" a="1"/>
  <c r="T812" i="5" a="1"/>
  <c r="T802" i="5" a="1"/>
  <c r="T792" i="5" a="1"/>
  <c r="T782" i="5" a="1"/>
  <c r="T772" i="5" a="1"/>
  <c r="T762" i="5" a="1"/>
  <c r="T752" i="5" a="1"/>
  <c r="T2003" i="5" a="1"/>
  <c r="T1680" i="5" a="1"/>
  <c r="T1661" i="5" a="1"/>
  <c r="T1591" i="5" a="1"/>
  <c r="T1573" i="5" a="1"/>
  <c r="T1511" i="5" a="1"/>
  <c r="T1495" i="5" a="1"/>
  <c r="T1450" i="5" a="1"/>
  <c r="T1433" i="5" a="1"/>
  <c r="T1404" i="5" a="1"/>
  <c r="T1375" i="5" a="1"/>
  <c r="T1304" i="5" a="1"/>
  <c r="T1275" i="5" a="1"/>
  <c r="T1204" i="5" a="1"/>
  <c r="T1178" i="5" a="1"/>
  <c r="T1164" i="5" a="1"/>
  <c r="T1950" i="5" a="1"/>
  <c r="T1900" i="5" a="1"/>
  <c r="T1850" i="5" a="1"/>
  <c r="T1803" i="5" a="1"/>
  <c r="T1781" i="5" a="1"/>
  <c r="T1760" i="5" a="1"/>
  <c r="T1623" i="5" a="1"/>
  <c r="T1541" i="5" a="1"/>
  <c r="T1525" i="5" a="1"/>
  <c r="T1480" i="5" a="1"/>
  <c r="T1463" i="5" a="1"/>
  <c r="T1963" i="5" a="1"/>
  <c r="T1913" i="5" a="1"/>
  <c r="T1863" i="5" a="1"/>
  <c r="T1793" i="5" a="1"/>
  <c r="T1771" i="5" a="1"/>
  <c r="T1750" i="5" a="1"/>
  <c r="T1633" i="5" a="1"/>
  <c r="T1615" i="5" a="1"/>
  <c r="T1600" i="5" a="1"/>
  <c r="T1582" i="5" a="1"/>
  <c r="T1565" i="5" a="1"/>
  <c r="T1550" i="5" a="1"/>
  <c r="T1533" i="5" a="1"/>
  <c r="T1488" i="5" a="1"/>
  <c r="T1472" i="5" a="1"/>
  <c r="T1354" i="5" a="1"/>
  <c r="T1325" i="5" a="1"/>
  <c r="T1254" i="5" a="1"/>
  <c r="T1225" i="5" a="1"/>
  <c r="T1198" i="5" a="1"/>
  <c r="T1184" i="5" a="1"/>
  <c r="T1158" i="5" a="1"/>
  <c r="T1670" i="5" a="1"/>
  <c r="T1651" i="5" a="1"/>
  <c r="T1518" i="5" a="1"/>
  <c r="T1502" i="5" a="1"/>
  <c r="T1441" i="5" a="1"/>
  <c r="T1425" i="5" a="1"/>
  <c r="T1411" i="5" a="1"/>
  <c r="T1382" i="5" a="1"/>
  <c r="T1368" i="5" a="1"/>
  <c r="T1353" i="5" a="1"/>
  <c r="T1340" i="5" a="1"/>
  <c r="T1311" i="5" a="1"/>
  <c r="T1282" i="5" a="1"/>
  <c r="T1268" i="5" a="1"/>
  <c r="T1253" i="5" a="1"/>
  <c r="T1240" i="5" a="1"/>
  <c r="T1211" i="5" a="1"/>
  <c r="T1171" i="5" a="1"/>
  <c r="T1146" i="5" a="1"/>
  <c r="T1136" i="5" a="1"/>
  <c r="T1126" i="5" a="1"/>
  <c r="T1116" i="5" a="1"/>
  <c r="T1106" i="5" a="1"/>
  <c r="T1096" i="5" a="1"/>
  <c r="T1086" i="5" a="1"/>
  <c r="T1076" i="5" a="1"/>
  <c r="T1066" i="5" a="1"/>
  <c r="T1056" i="5" a="1"/>
  <c r="T1046" i="5" a="1"/>
  <c r="T1036" i="5" a="1"/>
  <c r="T1026" i="5" a="1"/>
  <c r="T1016" i="5" a="1"/>
  <c r="T1006" i="5" a="1"/>
  <c r="T996" i="5" a="1"/>
  <c r="T986" i="5" a="1"/>
  <c r="T976" i="5" a="1"/>
  <c r="T966" i="5" a="1"/>
  <c r="T956" i="5" a="1"/>
  <c r="T946" i="5" a="1"/>
  <c r="T936" i="5" a="1"/>
  <c r="T926" i="5" a="1"/>
  <c r="T916" i="5" a="1"/>
  <c r="T906" i="5" a="1"/>
  <c r="T896" i="5" a="1"/>
  <c r="T886" i="5" a="1"/>
  <c r="T876" i="5" a="1"/>
  <c r="T866" i="5" a="1"/>
  <c r="T856" i="5" a="1"/>
  <c r="T846" i="5" a="1"/>
  <c r="T836" i="5" a="1"/>
  <c r="T826" i="5" a="1"/>
  <c r="T1813" i="5" a="1"/>
  <c r="T1791" i="5" a="1"/>
  <c r="T1770" i="5" a="1"/>
  <c r="T1725" i="5" a="1"/>
  <c r="T1705" i="5" a="1"/>
  <c r="T1613" i="5" a="1"/>
  <c r="T1581" i="5" a="1"/>
  <c r="T1563" i="5" a="1"/>
  <c r="T1548" i="5" a="1"/>
  <c r="T1532" i="5" a="1"/>
  <c r="T1471" i="5" a="1"/>
  <c r="T1455" i="5" a="1"/>
  <c r="T1743" i="5" a="1"/>
  <c r="T1683" i="5" a="1"/>
  <c r="T1665" i="5" a="1"/>
  <c r="T1630" i="5" a="1"/>
  <c r="T1545" i="5" a="1"/>
  <c r="T1500" i="5" a="1"/>
  <c r="T1483" i="5" a="1"/>
  <c r="T1438" i="5" a="1"/>
  <c r="T1422" i="5" a="1"/>
  <c r="T1408" i="5" a="1"/>
  <c r="T1393" i="5" a="1"/>
  <c r="T1380" i="5" a="1"/>
  <c r="T1351" i="5" a="1"/>
  <c r="T1322" i="5" a="1"/>
  <c r="T1308" i="5" a="1"/>
  <c r="T1293" i="5" a="1"/>
  <c r="T1280" i="5" a="1"/>
  <c r="T1251" i="5" a="1"/>
  <c r="T1222" i="5" a="1"/>
  <c r="T1208" i="5" a="1"/>
  <c r="T1194" i="5" a="1"/>
  <c r="T1168" i="5" a="1"/>
  <c r="T1154" i="5" a="1"/>
  <c r="T1144" i="5" a="1"/>
  <c r="T1134" i="5" a="1"/>
  <c r="T1124" i="5" a="1"/>
  <c r="T1114" i="5" a="1"/>
  <c r="T1104" i="5" a="1"/>
  <c r="T1094" i="5" a="1"/>
  <c r="T1084" i="5" a="1"/>
  <c r="T1074" i="5" a="1"/>
  <c r="T1064" i="5" a="1"/>
  <c r="T1054" i="5" a="1"/>
  <c r="T1044" i="5" a="1"/>
  <c r="T1034" i="5" a="1"/>
  <c r="T1024" i="5" a="1"/>
  <c r="T1014" i="5" a="1"/>
  <c r="T1004" i="5" a="1"/>
  <c r="T994" i="5" a="1"/>
  <c r="T984" i="5" a="1"/>
  <c r="T974" i="5" a="1"/>
  <c r="T1831" i="5" a="1"/>
  <c r="T1810" i="5" a="1"/>
  <c r="T1721" i="5" a="1"/>
  <c r="T1701" i="5" a="1"/>
  <c r="T1611" i="5" a="1"/>
  <c r="T1593" i="5" a="1"/>
  <c r="T1561" i="5" a="1"/>
  <c r="T1530" i="5" a="1"/>
  <c r="T1513" i="5" a="1"/>
  <c r="T1468" i="5" a="1"/>
  <c r="T1452" i="5" a="1"/>
  <c r="T1364" i="5" a="1"/>
  <c r="T1335" i="5" a="1"/>
  <c r="T1264" i="5" a="1"/>
  <c r="T1235" i="5" a="1"/>
  <c r="T1181" i="5" a="1"/>
  <c r="T1953" i="5" a="1"/>
  <c r="T1870" i="5" a="1"/>
  <c r="T1830" i="5" a="1"/>
  <c r="T1910" i="5" a="1"/>
  <c r="T1753" i="5" a="1"/>
  <c r="T1715" i="5" a="1"/>
  <c r="T1685" i="5" a="1"/>
  <c r="T1655" i="5" a="1"/>
  <c r="T1570" i="5" a="1"/>
  <c r="T1491" i="5" a="1"/>
  <c r="T1442" i="5" a="1"/>
  <c r="T1418" i="5" a="1"/>
  <c r="T1400" i="5" a="1"/>
  <c r="T1378" i="5" a="1"/>
  <c r="T1358" i="5" a="1"/>
  <c r="T1338" i="5" a="1"/>
  <c r="T1298" i="5" a="1"/>
  <c r="T1195" i="5" a="1"/>
  <c r="T1175" i="5" a="1"/>
  <c r="T1141" i="5" a="1"/>
  <c r="T1128" i="5" a="1"/>
  <c r="T1113" i="5" a="1"/>
  <c r="T1099" i="5" a="1"/>
  <c r="T1085" i="5" a="1"/>
  <c r="T1070" i="5" a="1"/>
  <c r="T1057" i="5" a="1"/>
  <c r="T1041" i="5" a="1"/>
  <c r="T1028" i="5" a="1"/>
  <c r="T1013" i="5" a="1"/>
  <c r="T999" i="5" a="1"/>
  <c r="T985" i="5" a="1"/>
  <c r="T970" i="5" a="1"/>
  <c r="T944" i="5" a="1"/>
  <c r="T930" i="5" a="1"/>
  <c r="T904" i="5" a="1"/>
  <c r="T890" i="5" a="1"/>
  <c r="T864" i="5" a="1"/>
  <c r="T850" i="5" a="1"/>
  <c r="T813" i="5" a="1"/>
  <c r="T789" i="5" a="1"/>
  <c r="T754" i="5" a="1"/>
  <c r="T1860" i="5" a="1"/>
  <c r="T1943" i="5" a="1"/>
  <c r="T1820" i="5" a="1"/>
  <c r="T1780" i="5" a="1"/>
  <c r="T1562" i="5" a="1"/>
  <c r="T1460" i="5" a="1"/>
  <c r="T1435" i="5" a="1"/>
  <c r="T1414" i="5" a="1"/>
  <c r="T1394" i="5" a="1"/>
  <c r="T954" i="5" a="1"/>
  <c r="T940" i="5" a="1"/>
  <c r="T914" i="5" a="1"/>
  <c r="T900" i="5" a="1"/>
  <c r="T874" i="5" a="1"/>
  <c r="T860" i="5" a="1"/>
  <c r="T834" i="5" a="1"/>
  <c r="T821" i="5" a="1"/>
  <c r="T798" i="5" a="1"/>
  <c r="T786" i="5" a="1"/>
  <c r="T763" i="5" a="1"/>
  <c r="T740" i="5" a="1"/>
  <c r="T730" i="5" a="1"/>
  <c r="T720" i="5" a="1"/>
  <c r="T710" i="5" a="1"/>
  <c r="T700" i="5" a="1"/>
  <c r="T690" i="5" a="1"/>
  <c r="T680" i="5" a="1"/>
  <c r="T670" i="5" a="1"/>
  <c r="T660" i="5" a="1"/>
  <c r="T650" i="5" a="1"/>
  <c r="T640" i="5" a="1"/>
  <c r="T630" i="5" a="1"/>
  <c r="T620" i="5" a="1"/>
  <c r="T610" i="5" a="1"/>
  <c r="T600" i="5" a="1"/>
  <c r="T590" i="5" a="1"/>
  <c r="T580" i="5" a="1"/>
  <c r="T570" i="5" a="1"/>
  <c r="T560" i="5" a="1"/>
  <c r="T550" i="5" a="1"/>
  <c r="T540" i="5" a="1"/>
  <c r="T530" i="5" a="1"/>
  <c r="T520" i="5" a="1"/>
  <c r="T510" i="5" a="1"/>
  <c r="T500" i="5" a="1"/>
  <c r="T490" i="5" a="1"/>
  <c r="T1990" i="5" a="1"/>
  <c r="T1741" i="5" a="1"/>
  <c r="T1710" i="5" a="1"/>
  <c r="T1675" i="5" a="1"/>
  <c r="T1645" i="5" a="1"/>
  <c r="T1535" i="5" a="1"/>
  <c r="T1508" i="5" a="1"/>
  <c r="T1482" i="5" a="1"/>
  <c r="T1413" i="5" a="1"/>
  <c r="T1392" i="5" a="1"/>
  <c r="T1372" i="5" a="1"/>
  <c r="T1352" i="5" a="1"/>
  <c r="T1331" i="5" a="1"/>
  <c r="T1312" i="5" a="1"/>
  <c r="T1290" i="5" a="1"/>
  <c r="T1271" i="5" a="1"/>
  <c r="T1250" i="5" a="1"/>
  <c r="T1230" i="5" a="1"/>
  <c r="T1210" i="5" a="1"/>
  <c r="T1190" i="5" a="1"/>
  <c r="T1172" i="5" a="1"/>
  <c r="T1151" i="5" a="1"/>
  <c r="T1138" i="5" a="1"/>
  <c r="T1123" i="5" a="1"/>
  <c r="T1109" i="5" a="1"/>
  <c r="T1095" i="5" a="1"/>
  <c r="T1080" i="5" a="1"/>
  <c r="T1067" i="5" a="1"/>
  <c r="T1051" i="5" a="1"/>
  <c r="T1038" i="5" a="1"/>
  <c r="T1023" i="5" a="1"/>
  <c r="T1009" i="5" a="1"/>
  <c r="T995" i="5" a="1"/>
  <c r="T980" i="5" a="1"/>
  <c r="T967" i="5" a="1"/>
  <c r="T953" i="5" a="1"/>
  <c r="T927" i="5" a="1"/>
  <c r="T913" i="5" a="1"/>
  <c r="T887" i="5" a="1"/>
  <c r="T873" i="5" a="1"/>
  <c r="T847" i="5" a="1"/>
  <c r="T809" i="5" a="1"/>
  <c r="T1853" i="5" a="1"/>
  <c r="T1560" i="5" a="1"/>
  <c r="T1458" i="5" a="1"/>
  <c r="T1432" i="5" a="1"/>
  <c r="T939" i="5" a="1"/>
  <c r="T899" i="5" a="1"/>
  <c r="T859" i="5" a="1"/>
  <c r="T833" i="5" a="1"/>
  <c r="T820" i="5" a="1"/>
  <c r="T797" i="5" a="1"/>
  <c r="T785" i="5" a="1"/>
  <c r="T761" i="5" a="1"/>
  <c r="T739" i="5" a="1"/>
  <c r="T729" i="5" a="1"/>
  <c r="T719" i="5" a="1"/>
  <c r="T709" i="5" a="1"/>
  <c r="T699" i="5" a="1"/>
  <c r="T689" i="5" a="1"/>
  <c r="T679" i="5" a="1"/>
  <c r="T669" i="5" a="1"/>
  <c r="T659" i="5" a="1"/>
  <c r="T649" i="5" a="1"/>
  <c r="T639" i="5" a="1"/>
  <c r="T629" i="5" a="1"/>
  <c r="T619" i="5" a="1"/>
  <c r="T609" i="5" a="1"/>
  <c r="T599" i="5" a="1"/>
  <c r="T589" i="5" a="1"/>
  <c r="T579" i="5" a="1"/>
  <c r="T569" i="5" a="1"/>
  <c r="T559" i="5" a="1"/>
  <c r="T549" i="5" a="1"/>
  <c r="T539" i="5" a="1"/>
  <c r="T529" i="5" a="1"/>
  <c r="T519" i="5" a="1"/>
  <c r="T509" i="5" a="1"/>
  <c r="T499" i="5" a="1"/>
  <c r="T489" i="5" a="1"/>
  <c r="T479" i="5" a="1"/>
  <c r="T469" i="5" a="1"/>
  <c r="T459" i="5" a="1"/>
  <c r="T449" i="5" a="1"/>
  <c r="T439" i="5" a="1"/>
  <c r="T429" i="5" a="1"/>
  <c r="T419" i="5" a="1"/>
  <c r="T409" i="5" a="1"/>
  <c r="T399" i="5" a="1"/>
  <c r="T389" i="5" a="1"/>
  <c r="T379" i="5" a="1"/>
  <c r="T369" i="5" a="1"/>
  <c r="T1983" i="5" a="1"/>
  <c r="T1940" i="5" a="1"/>
  <c r="T1893" i="5" a="1"/>
  <c r="T1673" i="5" a="1"/>
  <c r="T1641" i="5" a="1"/>
  <c r="T1585" i="5" a="1"/>
  <c r="T1555" i="5" a="1"/>
  <c r="T1412" i="5" a="1"/>
  <c r="T1390" i="5" a="1"/>
  <c r="T1371" i="5" a="1"/>
  <c r="T1350" i="5" a="1"/>
  <c r="T1330" i="5" a="1"/>
  <c r="T1310" i="5" a="1"/>
  <c r="T1288" i="5" a="1"/>
  <c r="T1270" i="5" a="1"/>
  <c r="T1228" i="5" a="1"/>
  <c r="T1188" i="5" a="1"/>
  <c r="T1170" i="5" a="1"/>
  <c r="T1150" i="5" a="1"/>
  <c r="T1137" i="5" a="1"/>
  <c r="T1121" i="5" a="1"/>
  <c r="T1108" i="5" a="1"/>
  <c r="T1093" i="5" a="1"/>
  <c r="T1079" i="5" a="1"/>
  <c r="T1065" i="5" a="1"/>
  <c r="T1050" i="5" a="1"/>
  <c r="T1037" i="5" a="1"/>
  <c r="T1021" i="5" a="1"/>
  <c r="T1008" i="5" a="1"/>
  <c r="T993" i="5" a="1"/>
  <c r="T979" i="5" a="1"/>
  <c r="T965" i="5" a="1"/>
  <c r="T951" i="5" a="1"/>
  <c r="T925" i="5" a="1"/>
  <c r="T911" i="5" a="1"/>
  <c r="T885" i="5" a="1"/>
  <c r="T871" i="5" a="1"/>
  <c r="T845" i="5" a="1"/>
  <c r="T808" i="5" a="1"/>
  <c r="T796" i="5" a="1"/>
  <c r="T773" i="5" a="1"/>
  <c r="T749" i="5" a="1"/>
  <c r="T1980" i="5" a="1"/>
  <c r="T1811" i="5" a="1"/>
  <c r="T1703" i="5" a="1"/>
  <c r="T1612" i="5" a="1"/>
  <c r="T1531" i="5" a="1"/>
  <c r="T1505" i="5" a="1"/>
  <c r="T1478" i="5" a="1"/>
  <c r="T1453" i="5" a="1"/>
  <c r="T1431" i="5" a="1"/>
  <c r="T1245" i="5" a="1"/>
  <c r="T1205" i="5" a="1"/>
  <c r="T938" i="5" a="1"/>
  <c r="T898" i="5" a="1"/>
  <c r="T858" i="5" a="1"/>
  <c r="T831" i="5" a="1"/>
  <c r="T819" i="5" a="1"/>
  <c r="T784" i="5" a="1"/>
  <c r="T760" i="5" a="1"/>
  <c r="T738" i="5" a="1"/>
  <c r="T728" i="5" a="1"/>
  <c r="T718" i="5" a="1"/>
  <c r="T708" i="5" a="1"/>
  <c r="T698" i="5" a="1"/>
  <c r="T688" i="5" a="1"/>
  <c r="T678" i="5" a="1"/>
  <c r="T668" i="5" a="1"/>
  <c r="T658" i="5" a="1"/>
  <c r="T648" i="5" a="1"/>
  <c r="T638" i="5" a="1"/>
  <c r="T628" i="5" a="1"/>
  <c r="T618" i="5" a="1"/>
  <c r="T608" i="5" a="1"/>
  <c r="T598" i="5" a="1"/>
  <c r="T588" i="5" a="1"/>
  <c r="T578" i="5" a="1"/>
  <c r="T568" i="5" a="1"/>
  <c r="T558" i="5" a="1"/>
  <c r="T548" i="5" a="1"/>
  <c r="T538" i="5" a="1"/>
  <c r="T528" i="5" a="1"/>
  <c r="T518" i="5" a="1"/>
  <c r="T508" i="5" a="1"/>
  <c r="T498" i="5" a="1"/>
  <c r="T488" i="5" a="1"/>
  <c r="T478" i="5" a="1"/>
  <c r="T468" i="5" a="1"/>
  <c r="T458" i="5" a="1"/>
  <c r="T448" i="5" a="1"/>
  <c r="T438" i="5" a="1"/>
  <c r="T428" i="5" a="1"/>
  <c r="T418" i="5" a="1"/>
  <c r="T408" i="5" a="1"/>
  <c r="T398" i="5" a="1"/>
  <c r="T388" i="5" a="1"/>
  <c r="T378" i="5" a="1"/>
  <c r="T368" i="5" a="1"/>
  <c r="T1973" i="5" a="1"/>
  <c r="T1933" i="5" a="1"/>
  <c r="T1773" i="5" a="1"/>
  <c r="T1923" i="5" a="1"/>
  <c r="T1843" i="5" a="1"/>
  <c r="T1731" i="5" a="1"/>
  <c r="T1695" i="5" a="1"/>
  <c r="T1605" i="5" a="1"/>
  <c r="T1552" i="5" a="1"/>
  <c r="T1501" i="5" a="1"/>
  <c r="T1475" i="5" a="1"/>
  <c r="T1303" i="5" a="1"/>
  <c r="T1263" i="5" a="1"/>
  <c r="T1243" i="5" a="1"/>
  <c r="T1223" i="5" a="1"/>
  <c r="T1148" i="5" a="1"/>
  <c r="T1133" i="5" a="1"/>
  <c r="T1119" i="5" a="1"/>
  <c r="T1970" i="5" a="1"/>
  <c r="T1883" i="5" a="1"/>
  <c r="T1801" i="5" a="1"/>
  <c r="T1580" i="5" a="1"/>
  <c r="T1523" i="5" a="1"/>
  <c r="T1448" i="5" a="1"/>
  <c r="T1428" i="5" a="1"/>
  <c r="T1405" i="5" a="1"/>
  <c r="T1385" i="5" a="1"/>
  <c r="T1365" i="5" a="1"/>
  <c r="T1344" i="5" a="1"/>
  <c r="T1324" i="5" a="1"/>
  <c r="T1284" i="5" a="1"/>
  <c r="T1202" i="5" a="1"/>
  <c r="T1183" i="5" a="1"/>
  <c r="T1163" i="5" a="1"/>
  <c r="T961" i="5" a="1"/>
  <c r="T935" i="5" a="1"/>
  <c r="T921" i="5" a="1"/>
  <c r="T895" i="5" a="1"/>
  <c r="T881" i="5" a="1"/>
  <c r="T855" i="5" a="1"/>
  <c r="T841" i="5" a="1"/>
  <c r="T829" i="5" a="1"/>
  <c r="T817" i="5" a="1"/>
  <c r="T805" i="5" a="1"/>
  <c r="T781" i="5" a="1"/>
  <c r="T758" i="5" a="1"/>
  <c r="T746" i="5" a="1"/>
  <c r="T736" i="5" a="1"/>
  <c r="T726" i="5" a="1"/>
  <c r="T716" i="5" a="1"/>
  <c r="T706" i="5" a="1"/>
  <c r="T696" i="5" a="1"/>
  <c r="T686" i="5" a="1"/>
  <c r="T676" i="5" a="1"/>
  <c r="T666" i="5" a="1"/>
  <c r="T656" i="5" a="1"/>
  <c r="T646" i="5" a="1"/>
  <c r="T636" i="5" a="1"/>
  <c r="T626" i="5" a="1"/>
  <c r="T616" i="5" a="1"/>
  <c r="T1903" i="5" a="1"/>
  <c r="T1733" i="5" a="1"/>
  <c r="T1631" i="5" a="1"/>
  <c r="T1583" i="5" a="1"/>
  <c r="T1540" i="5" a="1"/>
  <c r="T1493" i="5" a="1"/>
  <c r="T1383" i="5" a="1"/>
  <c r="T1315" i="5" a="1"/>
  <c r="T1281" i="5" a="1"/>
  <c r="T1214" i="5" a="1"/>
  <c r="T1149" i="5" a="1"/>
  <c r="T1059" i="5" a="1"/>
  <c r="T1039" i="5" a="1"/>
  <c r="T991" i="5" a="1"/>
  <c r="T971" i="5" a="1"/>
  <c r="T909" i="5" a="1"/>
  <c r="T868" i="5" a="1"/>
  <c r="T849" i="5" a="1"/>
  <c r="T828" i="5" a="1"/>
  <c r="T791" i="5" a="1"/>
  <c r="T742" i="5" a="1"/>
  <c r="T727" i="5" a="1"/>
  <c r="T671" i="5" a="1"/>
  <c r="T642" i="5" a="1"/>
  <c r="T627" i="5" a="1"/>
  <c r="T586" i="5" a="1"/>
  <c r="T546" i="5" a="1"/>
  <c r="T506" i="5" a="1"/>
  <c r="T467" i="5" a="1"/>
  <c r="T455" i="5" a="1"/>
  <c r="T443" i="5" a="1"/>
  <c r="T417" i="5" a="1"/>
  <c r="T405" i="5" a="1"/>
  <c r="T393" i="5" a="1"/>
  <c r="T1890" i="5" a="1"/>
  <c r="T1451" i="5" a="1"/>
  <c r="T1345" i="5" a="1"/>
  <c r="T1244" i="5" a="1"/>
  <c r="T1213" i="5" a="1"/>
  <c r="T1180" i="5" a="1"/>
  <c r="T1127" i="5" a="1"/>
  <c r="T1101" i="5" a="1"/>
  <c r="T1081" i="5" a="1"/>
  <c r="T1035" i="5" a="1"/>
  <c r="T1015" i="5" a="1"/>
  <c r="T949" i="5" a="1"/>
  <c r="T908" i="5" a="1"/>
  <c r="T889" i="5" a="1"/>
  <c r="T810" i="5" a="1"/>
  <c r="T775" i="5" a="1"/>
  <c r="T757" i="5" a="1"/>
  <c r="T713" i="5" a="1"/>
  <c r="T684" i="5" a="1"/>
  <c r="T655" i="5" a="1"/>
  <c r="T613" i="5" a="1"/>
  <c r="T573" i="5" a="1"/>
  <c r="T533" i="5" a="1"/>
  <c r="T493" i="5" a="1"/>
  <c r="T480" i="5" a="1"/>
  <c r="T442" i="5" a="1"/>
  <c r="T430" i="5" a="1"/>
  <c r="T392" i="5" a="1"/>
  <c r="T380" i="5" a="1"/>
  <c r="T367" i="5" a="1"/>
  <c r="T357" i="5" a="1"/>
  <c r="T347" i="5" a="1"/>
  <c r="T337" i="5" a="1"/>
  <c r="T327" i="5" a="1"/>
  <c r="T317" i="5" a="1"/>
  <c r="T307" i="5" a="1"/>
  <c r="T297" i="5" a="1"/>
  <c r="T287" i="5" a="1"/>
  <c r="T277" i="5" a="1"/>
  <c r="T267" i="5" a="1"/>
  <c r="T257" i="5" a="1"/>
  <c r="T247" i="5" a="1"/>
  <c r="T237" i="5" a="1"/>
  <c r="T227" i="5" a="1"/>
  <c r="T217" i="5" a="1"/>
  <c r="T207" i="5" a="1"/>
  <c r="T197" i="5" a="1"/>
  <c r="T187" i="5" a="1"/>
  <c r="T177" i="5" a="1"/>
  <c r="T167" i="5" a="1"/>
  <c r="T157" i="5" a="1"/>
  <c r="T147" i="5" a="1"/>
  <c r="T137" i="5" a="1"/>
  <c r="T127" i="5" a="1"/>
  <c r="T117" i="5" a="1"/>
  <c r="T107" i="5" a="1"/>
  <c r="T97" i="5" a="1"/>
  <c r="T1993" i="5" a="1"/>
  <c r="T1880" i="5" a="1"/>
  <c r="T1800" i="5" a="1"/>
  <c r="T1730" i="5" a="1"/>
  <c r="T1681" i="5" a="1"/>
  <c r="T1538" i="5" a="1"/>
  <c r="T1492" i="5" a="1"/>
  <c r="T1415" i="5" a="1"/>
  <c r="T1381" i="5" a="1"/>
  <c r="T1343" i="5" a="1"/>
  <c r="T1314" i="5" a="1"/>
  <c r="T1278" i="5" a="1"/>
  <c r="T1242" i="5" a="1"/>
  <c r="T1147" i="5" a="1"/>
  <c r="T1078" i="5" a="1"/>
  <c r="T1058" i="5" a="1"/>
  <c r="T990" i="5" a="1"/>
  <c r="T948" i="5" a="1"/>
  <c r="T929" i="5" a="1"/>
  <c r="T867" i="5" a="1"/>
  <c r="T848" i="5" a="1"/>
  <c r="T827" i="5" a="1"/>
  <c r="T807" i="5" a="1"/>
  <c r="T790" i="5" a="1"/>
  <c r="T774" i="5" a="1"/>
  <c r="T756" i="5" a="1"/>
  <c r="T741" i="5" a="1"/>
  <c r="T712" i="5" a="1"/>
  <c r="T697" i="5" a="1"/>
  <c r="T641" i="5" a="1"/>
  <c r="T612" i="5" a="1"/>
  <c r="T585" i="5" a="1"/>
  <c r="T572" i="5" a="1"/>
  <c r="T545" i="5" a="1"/>
  <c r="T532" i="5" a="1"/>
  <c r="T505" i="5" a="1"/>
  <c r="T492" i="5" a="1"/>
  <c r="T466" i="5" a="1"/>
  <c r="T454" i="5" a="1"/>
  <c r="T416" i="5" a="1"/>
  <c r="T404" i="5" a="1"/>
  <c r="T1283" i="5" a="1"/>
  <c r="T1017" i="5" a="1"/>
  <c r="T1575" i="5" a="1"/>
  <c r="T1313" i="5" a="1"/>
  <c r="T1212" i="5" a="1"/>
  <c r="T1125" i="5" a="1"/>
  <c r="T1100" i="5" a="1"/>
  <c r="T1033" i="5" a="1"/>
  <c r="T989" i="5" a="1"/>
  <c r="T969" i="5" a="1"/>
  <c r="T907" i="5" a="1"/>
  <c r="T888" i="5" a="1"/>
  <c r="T844" i="5" a="1"/>
  <c r="T806" i="5" a="1"/>
  <c r="T771" i="5" a="1"/>
  <c r="T725" i="5" a="1"/>
  <c r="T683" i="5" a="1"/>
  <c r="T654" i="5" a="1"/>
  <c r="T625" i="5" a="1"/>
  <c r="T597" i="5" a="1"/>
  <c r="T557" i="5" a="1"/>
  <c r="T517" i="5" a="1"/>
  <c r="T441" i="5" a="1"/>
  <c r="T391" i="5" a="1"/>
  <c r="T366" i="5" a="1"/>
  <c r="T356" i="5" a="1"/>
  <c r="T346" i="5" a="1"/>
  <c r="T336" i="5" a="1"/>
  <c r="T326" i="5" a="1"/>
  <c r="T316" i="5" a="1"/>
  <c r="T306" i="5" a="1"/>
  <c r="T296" i="5" a="1"/>
  <c r="T286" i="5" a="1"/>
  <c r="T276" i="5" a="1"/>
  <c r="T266" i="5" a="1"/>
  <c r="T256" i="5" a="1"/>
  <c r="T246" i="5" a="1"/>
  <c r="T236" i="5" a="1"/>
  <c r="T226" i="5" a="1"/>
  <c r="T216" i="5" a="1"/>
  <c r="T206" i="5" a="1"/>
  <c r="T196" i="5" a="1"/>
  <c r="T186" i="5" a="1"/>
  <c r="T176" i="5" a="1"/>
  <c r="T166" i="5" a="1"/>
  <c r="T156" i="5" a="1"/>
  <c r="T146" i="5" a="1"/>
  <c r="T136" i="5" a="1"/>
  <c r="T126" i="5" a="1"/>
  <c r="T116" i="5" a="1"/>
  <c r="T106" i="5" a="1"/>
  <c r="T96" i="5" a="1"/>
  <c r="T1129" i="5" a="1"/>
  <c r="T1873" i="5" a="1"/>
  <c r="T1572" i="5" a="1"/>
  <c r="T1445" i="5" a="1"/>
  <c r="T1410" i="5" a="1"/>
  <c r="T1342" i="5" a="1"/>
  <c r="T1274" i="5" a="1"/>
  <c r="T1241" i="5" a="1"/>
  <c r="T1145" i="5" a="1"/>
  <c r="T1120" i="5" a="1"/>
  <c r="T1077" i="5" a="1"/>
  <c r="T1031" i="5" a="1"/>
  <c r="T1011" i="5" a="1"/>
  <c r="T947" i="5" a="1"/>
  <c r="T928" i="5" a="1"/>
  <c r="T884" i="5" a="1"/>
  <c r="T865" i="5" a="1"/>
  <c r="T843" i="5" a="1"/>
  <c r="T825" i="5" a="1"/>
  <c r="T755" i="5" a="1"/>
  <c r="T711" i="5" a="1"/>
  <c r="T682" i="5" a="1"/>
  <c r="T667" i="5" a="1"/>
  <c r="T611" i="5" a="1"/>
  <c r="T584" i="5" a="1"/>
  <c r="T571" i="5" a="1"/>
  <c r="T544" i="5" a="1"/>
  <c r="T531" i="5" a="1"/>
  <c r="T504" i="5" a="1"/>
  <c r="T491" i="5" a="1"/>
  <c r="T477" i="5" a="1"/>
  <c r="T465" i="5" a="1"/>
  <c r="T453" i="5" a="1"/>
  <c r="T427" i="5" a="1"/>
  <c r="T415" i="5" a="1"/>
  <c r="T403" i="5" a="1"/>
  <c r="T377" i="5" a="1"/>
  <c r="T1355" i="5" a="1"/>
  <c r="T1723" i="5" a="1"/>
  <c r="T1671" i="5" a="1"/>
  <c r="T1621" i="5" a="1"/>
  <c r="T1528" i="5" a="1"/>
  <c r="T1490" i="5" a="1"/>
  <c r="T1305" i="5" a="1"/>
  <c r="T1273" i="5" a="1"/>
  <c r="T1203" i="5" a="1"/>
  <c r="T1174" i="5" a="1"/>
  <c r="T1075" i="5" a="1"/>
  <c r="T1055" i="5" a="1"/>
  <c r="T988" i="5" a="1"/>
  <c r="T968" i="5" a="1"/>
  <c r="T924" i="5" a="1"/>
  <c r="T905" i="5" a="1"/>
  <c r="T883" i="5" a="1"/>
  <c r="T824" i="5" a="1"/>
  <c r="T788" i="5" a="1"/>
  <c r="T770" i="5" a="1"/>
  <c r="T724" i="5" a="1"/>
  <c r="T695" i="5" a="1"/>
  <c r="T653" i="5" a="1"/>
  <c r="T624" i="5" a="1"/>
  <c r="T596" i="5" a="1"/>
  <c r="T556" i="5" a="1"/>
  <c r="T516" i="5" a="1"/>
  <c r="T452" i="5" a="1"/>
  <c r="T440" i="5" a="1"/>
  <c r="T402" i="5" a="1"/>
  <c r="T390" i="5" a="1"/>
  <c r="T365" i="5" a="1"/>
  <c r="T355" i="5" a="1"/>
  <c r="T345" i="5" a="1"/>
  <c r="T335" i="5" a="1"/>
  <c r="T325" i="5" a="1"/>
  <c r="T315" i="5" a="1"/>
  <c r="T305" i="5" a="1"/>
  <c r="T295" i="5" a="1"/>
  <c r="T285" i="5" a="1"/>
  <c r="T275" i="5" a="1"/>
  <c r="T265" i="5" a="1"/>
  <c r="T255" i="5" a="1"/>
  <c r="T245" i="5" a="1"/>
  <c r="T235" i="5" a="1"/>
  <c r="T225" i="5" a="1"/>
  <c r="T215" i="5" a="1"/>
  <c r="T205" i="5" a="1"/>
  <c r="T195" i="5" a="1"/>
  <c r="T185" i="5" a="1"/>
  <c r="T175" i="5" a="1"/>
  <c r="T165" i="5" a="1"/>
  <c r="T155" i="5" a="1"/>
  <c r="T145" i="5" a="1"/>
  <c r="T135" i="5" a="1"/>
  <c r="T125" i="5" a="1"/>
  <c r="T115" i="5" a="1"/>
  <c r="T105" i="5" a="1"/>
  <c r="T1318" i="5" a="1"/>
  <c r="T1790" i="5" a="1"/>
  <c r="T1663" i="5" a="1"/>
  <c r="T1571" i="5" a="1"/>
  <c r="T1443" i="5" a="1"/>
  <c r="T1403" i="5" a="1"/>
  <c r="T1374" i="5" a="1"/>
  <c r="T1341" i="5" a="1"/>
  <c r="T1302" i="5" a="1"/>
  <c r="T1238" i="5" a="1"/>
  <c r="T1143" i="5" a="1"/>
  <c r="T1118" i="5" a="1"/>
  <c r="T1098" i="5" a="1"/>
  <c r="T1030" i="5" a="1"/>
  <c r="T1010" i="5" a="1"/>
  <c r="T964" i="5" a="1"/>
  <c r="T945" i="5" a="1"/>
  <c r="T923" i="5" a="1"/>
  <c r="T863" i="5" a="1"/>
  <c r="T804" i="5" a="1"/>
  <c r="T769" i="5" a="1"/>
  <c r="T737" i="5" a="1"/>
  <c r="T681" i="5" a="1"/>
  <c r="T652" i="5" a="1"/>
  <c r="T637" i="5" a="1"/>
  <c r="T583" i="5" a="1"/>
  <c r="T543" i="5" a="1"/>
  <c r="T503" i="5" a="1"/>
  <c r="T476" i="5" a="1"/>
  <c r="T464" i="5" a="1"/>
  <c r="T426" i="5" a="1"/>
  <c r="T414" i="5" a="1"/>
  <c r="T376" i="5" a="1"/>
  <c r="T1720" i="5" a="1"/>
  <c r="T1620" i="5" a="1"/>
  <c r="T1522" i="5" a="1"/>
  <c r="T1485" i="5" a="1"/>
  <c r="T1373" i="5" a="1"/>
  <c r="T1272" i="5" a="1"/>
  <c r="T1201" i="5" a="1"/>
  <c r="T1173" i="5" a="1"/>
  <c r="T1073" i="5" a="1"/>
  <c r="T1053" i="5" a="1"/>
  <c r="T1007" i="5" a="1"/>
  <c r="T987" i="5" a="1"/>
  <c r="T963" i="5" a="1"/>
  <c r="T903" i="5" a="1"/>
  <c r="T840" i="5" a="1"/>
  <c r="T823" i="5" a="1"/>
  <c r="T787" i="5" a="1"/>
  <c r="T753" i="5" a="1"/>
  <c r="T723" i="5" a="1"/>
  <c r="T694" i="5" a="1"/>
  <c r="T665" i="5" a="1"/>
  <c r="T623" i="5" a="1"/>
  <c r="T595" i="5" a="1"/>
  <c r="T582" i="5" a="1"/>
  <c r="T555" i="5" a="1"/>
  <c r="T542" i="5" a="1"/>
  <c r="T515" i="5" a="1"/>
  <c r="T502" i="5" a="1"/>
  <c r="T451" i="5" a="1"/>
  <c r="T401" i="5" a="1"/>
  <c r="T364" i="5" a="1"/>
  <c r="T354" i="5" a="1"/>
  <c r="T344" i="5" a="1"/>
  <c r="T334" i="5" a="1"/>
  <c r="T324" i="5" a="1"/>
  <c r="T314" i="5" a="1"/>
  <c r="T304" i="5" a="1"/>
  <c r="T294" i="5" a="1"/>
  <c r="T284" i="5" a="1"/>
  <c r="T274" i="5" a="1"/>
  <c r="T264" i="5" a="1"/>
  <c r="T254" i="5" a="1"/>
  <c r="T244" i="5" a="1"/>
  <c r="T234" i="5" a="1"/>
  <c r="T224" i="5" a="1"/>
  <c r="T214" i="5" a="1"/>
  <c r="T204" i="5" a="1"/>
  <c r="T194" i="5" a="1"/>
  <c r="T184" i="5" a="1"/>
  <c r="T174" i="5" a="1"/>
  <c r="T164" i="5" a="1"/>
  <c r="T154" i="5" a="1"/>
  <c r="T144" i="5" a="1"/>
  <c r="T134" i="5" a="1"/>
  <c r="T124" i="5" a="1"/>
  <c r="T114" i="5" a="1"/>
  <c r="T104" i="5" a="1"/>
  <c r="T1960" i="5" a="1"/>
  <c r="T1660" i="5" a="1"/>
  <c r="T1402" i="5" a="1"/>
  <c r="T1370" i="5" a="1"/>
  <c r="T1301" i="5" a="1"/>
  <c r="T1234" i="5" a="1"/>
  <c r="T1117" i="5" a="1"/>
  <c r="T1097" i="5" a="1"/>
  <c r="T1049" i="5" a="1"/>
  <c r="T1029" i="5" a="1"/>
  <c r="T943" i="5" a="1"/>
  <c r="T880" i="5" a="1"/>
  <c r="T861" i="5" a="1"/>
  <c r="T803" i="5" a="1"/>
  <c r="T768" i="5" a="1"/>
  <c r="T722" i="5" a="1"/>
  <c r="T707" i="5" a="1"/>
  <c r="T651" i="5" a="1"/>
  <c r="T622" i="5" a="1"/>
  <c r="T607" i="5" a="1"/>
  <c r="T567" i="5" a="1"/>
  <c r="T527" i="5" a="1"/>
  <c r="T487" i="5" a="1"/>
  <c r="T475" i="5" a="1"/>
  <c r="T463" i="5" a="1"/>
  <c r="T437" i="5" a="1"/>
  <c r="T425" i="5" a="1"/>
  <c r="T413" i="5" a="1"/>
  <c r="T387" i="5" a="1"/>
  <c r="T375" i="5" a="1"/>
  <c r="T1713" i="5" a="1"/>
  <c r="T1610" i="5" a="1"/>
  <c r="T1521" i="5" a="1"/>
  <c r="T1440" i="5" a="1"/>
  <c r="T1265" i="5" a="1"/>
  <c r="T1232" i="5" a="1"/>
  <c r="T1200" i="5" a="1"/>
  <c r="T1165" i="5" a="1"/>
  <c r="T1140" i="5" a="1"/>
  <c r="T1091" i="5" a="1"/>
  <c r="T1071" i="5" a="1"/>
  <c r="T1005" i="5" a="1"/>
  <c r="T920" i="5" a="1"/>
  <c r="T901" i="5" a="1"/>
  <c r="T839" i="5" a="1"/>
  <c r="T751" i="5" a="1"/>
  <c r="T735" i="5" a="1"/>
  <c r="T693" i="5" a="1"/>
  <c r="T664" i="5" a="1"/>
  <c r="T635" i="5" a="1"/>
  <c r="T594" i="5" a="1"/>
  <c r="T581" i="5" a="1"/>
  <c r="T554" i="5" a="1"/>
  <c r="T541" i="5" a="1"/>
  <c r="T514" i="5" a="1"/>
  <c r="T501" i="5" a="1"/>
  <c r="T462" i="5" a="1"/>
  <c r="T450" i="5" a="1"/>
  <c r="T412" i="5" a="1"/>
  <c r="T400" i="5" a="1"/>
  <c r="T363" i="5" a="1"/>
  <c r="T353" i="5" a="1"/>
  <c r="T343" i="5" a="1"/>
  <c r="T333" i="5" a="1"/>
  <c r="T323" i="5" a="1"/>
  <c r="T313" i="5" a="1"/>
  <c r="T303" i="5" a="1"/>
  <c r="T293" i="5" a="1"/>
  <c r="T283" i="5" a="1"/>
  <c r="T273" i="5" a="1"/>
  <c r="T263" i="5" a="1"/>
  <c r="T253" i="5" a="1"/>
  <c r="T243" i="5" a="1"/>
  <c r="T233" i="5" a="1"/>
  <c r="T223" i="5" a="1"/>
  <c r="T213" i="5" a="1"/>
  <c r="T203" i="5" a="1"/>
  <c r="T193" i="5" a="1"/>
  <c r="T183" i="5" a="1"/>
  <c r="T173" i="5" a="1"/>
  <c r="T163" i="5" a="1"/>
  <c r="T153" i="5" a="1"/>
  <c r="T143" i="5" a="1"/>
  <c r="T133" i="5" a="1"/>
  <c r="T123" i="5" a="1"/>
  <c r="T113" i="5" a="1"/>
  <c r="T103" i="5" a="1"/>
  <c r="T1421" i="5" a="1"/>
  <c r="T1603" i="5" a="1"/>
  <c r="T1473" i="5" a="1"/>
  <c r="T1401" i="5" a="1"/>
  <c r="T1363" i="5" a="1"/>
  <c r="T1334" i="5" a="1"/>
  <c r="T1300" i="5" a="1"/>
  <c r="T1261" i="5" a="1"/>
  <c r="T1115" i="5" a="1"/>
  <c r="T1048" i="5" a="1"/>
  <c r="T1003" i="5" a="1"/>
  <c r="T983" i="5" a="1"/>
  <c r="T960" i="5" a="1"/>
  <c r="T941" i="5" a="1"/>
  <c r="T879" i="5" a="1"/>
  <c r="T818" i="5" a="1"/>
  <c r="T801" i="5" a="1"/>
  <c r="T783" i="5" a="1"/>
  <c r="T767" i="5" a="1"/>
  <c r="T750" i="5" a="1"/>
  <c r="T721" i="5" a="1"/>
  <c r="T692" i="5" a="1"/>
  <c r="T677" i="5" a="1"/>
  <c r="T621" i="5" a="1"/>
  <c r="T606" i="5" a="1"/>
  <c r="T566" i="5" a="1"/>
  <c r="T526" i="5" a="1"/>
  <c r="T486" i="5" a="1"/>
  <c r="T474" i="5" a="1"/>
  <c r="T436" i="5" a="1"/>
  <c r="T424" i="5" a="1"/>
  <c r="T386" i="5" a="1"/>
  <c r="T374" i="5" a="1"/>
  <c r="T1461" i="5" a="1"/>
  <c r="T1153" i="5" a="1"/>
  <c r="T1763" i="5" a="1"/>
  <c r="T1711" i="5" a="1"/>
  <c r="T1520" i="5" a="1"/>
  <c r="T1332" i="5" a="1"/>
  <c r="T1231" i="5" a="1"/>
  <c r="T1162" i="5" a="1"/>
  <c r="T1139" i="5" a="1"/>
  <c r="T1090" i="5" a="1"/>
  <c r="T1047" i="5" a="1"/>
  <c r="T1027" i="5" a="1"/>
  <c r="T919" i="5" a="1"/>
  <c r="T857" i="5" a="1"/>
  <c r="T838" i="5" a="1"/>
  <c r="T800" i="5" a="1"/>
  <c r="T766" i="5" a="1"/>
  <c r="T748" i="5" a="1"/>
  <c r="T734" i="5" a="1"/>
  <c r="T705" i="5" a="1"/>
  <c r="T663" i="5" a="1"/>
  <c r="T634" i="5" a="1"/>
  <c r="T593" i="5" a="1"/>
  <c r="T553" i="5" a="1"/>
  <c r="T513" i="5" a="1"/>
  <c r="T461" i="5" a="1"/>
  <c r="T411" i="5" a="1"/>
  <c r="T362" i="5" a="1"/>
  <c r="T352" i="5" a="1"/>
  <c r="T342" i="5" a="1"/>
  <c r="T332" i="5" a="1"/>
  <c r="T322" i="5" a="1"/>
  <c r="T312" i="5" a="1"/>
  <c r="T302" i="5" a="1"/>
  <c r="T292" i="5" a="1"/>
  <c r="T282" i="5" a="1"/>
  <c r="T272" i="5" a="1"/>
  <c r="T262" i="5" a="1"/>
  <c r="T252" i="5" a="1"/>
  <c r="T242" i="5" a="1"/>
  <c r="T232" i="5" a="1"/>
  <c r="T222" i="5" a="1"/>
  <c r="T212" i="5" a="1"/>
  <c r="T202" i="5" a="1"/>
  <c r="T192" i="5" a="1"/>
  <c r="T182" i="5" a="1"/>
  <c r="T172" i="5" a="1"/>
  <c r="T162" i="5" a="1"/>
  <c r="T152" i="5" a="1"/>
  <c r="T142" i="5" a="1"/>
  <c r="T132" i="5" a="1"/>
  <c r="T122" i="5" a="1"/>
  <c r="T112" i="5" a="1"/>
  <c r="T102" i="5" a="1"/>
  <c r="T1543" i="5" a="1"/>
  <c r="T1590" i="5" a="1"/>
  <c r="T950" i="5" a="1"/>
  <c r="T1930" i="5" a="1"/>
  <c r="T1840" i="5" a="1"/>
  <c r="T1602" i="5" a="1"/>
  <c r="T1553" i="5" a="1"/>
  <c r="T1515" i="5" a="1"/>
  <c r="T1361" i="5" a="1"/>
  <c r="T1328" i="5" a="1"/>
  <c r="T1295" i="5" a="1"/>
  <c r="T1260" i="5" a="1"/>
  <c r="T1135" i="5" a="1"/>
  <c r="T1089" i="5" a="1"/>
  <c r="T1069" i="5" a="1"/>
  <c r="T1001" i="5" a="1"/>
  <c r="T981" i="5" a="1"/>
  <c r="T959" i="5" a="1"/>
  <c r="T897" i="5" a="1"/>
  <c r="T878" i="5" a="1"/>
  <c r="T837" i="5" a="1"/>
  <c r="T816" i="5" a="1"/>
  <c r="T765" i="5" a="1"/>
  <c r="T691" i="5" a="1"/>
  <c r="T662" i="5" a="1"/>
  <c r="T647" i="5" a="1"/>
  <c r="T605" i="5" a="1"/>
  <c r="T592" i="5" a="1"/>
  <c r="T565" i="5" a="1"/>
  <c r="T552" i="5" a="1"/>
  <c r="T525" i="5" a="1"/>
  <c r="T512" i="5" a="1"/>
  <c r="T485" i="5" a="1"/>
  <c r="T473" i="5" a="1"/>
  <c r="T447" i="5" a="1"/>
  <c r="T435" i="5" a="1"/>
  <c r="T423" i="5" a="1"/>
  <c r="T397" i="5" a="1"/>
  <c r="T385" i="5" a="1"/>
  <c r="T373" i="5" a="1"/>
  <c r="T1498" i="5" a="1"/>
  <c r="T1700" i="5" a="1"/>
  <c r="T1653" i="5" a="1"/>
  <c r="T1470" i="5" a="1"/>
  <c r="T1430" i="5" a="1"/>
  <c r="T1398" i="5" a="1"/>
  <c r="T1224" i="5" a="1"/>
  <c r="T1193" i="5" a="1"/>
  <c r="T1161" i="5" a="1"/>
  <c r="T1111" i="5" a="1"/>
  <c r="T1045" i="5" a="1"/>
  <c r="T1025" i="5" a="1"/>
  <c r="T978" i="5" a="1"/>
  <c r="T937" i="5" a="1"/>
  <c r="T918" i="5" a="1"/>
  <c r="T877" i="5" a="1"/>
  <c r="T799" i="5" a="1"/>
  <c r="T780" i="5" a="1"/>
  <c r="T747" i="5" a="1"/>
  <c r="T733" i="5" a="1"/>
  <c r="T704" i="5" a="1"/>
  <c r="T675" i="5" a="1"/>
  <c r="T633" i="5" a="1"/>
  <c r="T577" i="5" a="1"/>
  <c r="T537" i="5" a="1"/>
  <c r="T497" i="5" a="1"/>
  <c r="T472" i="5" a="1"/>
  <c r="T460" i="5" a="1"/>
  <c r="T422" i="5" a="1"/>
  <c r="T410" i="5" a="1"/>
  <c r="T372" i="5" a="1"/>
  <c r="T361" i="5" a="1"/>
  <c r="T351" i="5" a="1"/>
  <c r="T341" i="5" a="1"/>
  <c r="T331" i="5" a="1"/>
  <c r="T321" i="5" a="1"/>
  <c r="T311" i="5" a="1"/>
  <c r="T301" i="5" a="1"/>
  <c r="T291" i="5" a="1"/>
  <c r="T281" i="5" a="1"/>
  <c r="T271" i="5" a="1"/>
  <c r="T261" i="5" a="1"/>
  <c r="T251" i="5" a="1"/>
  <c r="T241" i="5" a="1"/>
  <c r="T231" i="5" a="1"/>
  <c r="T221" i="5" a="1"/>
  <c r="T211" i="5" a="1"/>
  <c r="T201" i="5" a="1"/>
  <c r="T191" i="5" a="1"/>
  <c r="T181" i="5" a="1"/>
  <c r="T171" i="5" a="1"/>
  <c r="T161" i="5" a="1"/>
  <c r="T151" i="5" a="1"/>
  <c r="T141" i="5" a="1"/>
  <c r="T131" i="5" a="1"/>
  <c r="T121" i="5" a="1"/>
  <c r="T111" i="5" a="1"/>
  <c r="T101" i="5" a="1"/>
  <c r="T1592" i="5" a="1"/>
  <c r="T1920" i="5" a="1"/>
  <c r="T1833" i="5" a="1"/>
  <c r="T1693" i="5" a="1"/>
  <c r="T1601" i="5" a="1"/>
  <c r="T1551" i="5" a="1"/>
  <c r="T1512" i="5" a="1"/>
  <c r="T1395" i="5" a="1"/>
  <c r="T1360" i="5" a="1"/>
  <c r="T1323" i="5" a="1"/>
  <c r="T1294" i="5" a="1"/>
  <c r="T1258" i="5" a="1"/>
  <c r="T1221" i="5" a="1"/>
  <c r="T1131" i="5" a="1"/>
  <c r="T1088" i="5" a="1"/>
  <c r="T1068" i="5" a="1"/>
  <c r="T1020" i="5" a="1"/>
  <c r="T1000" i="5" a="1"/>
  <c r="T958" i="5" a="1"/>
  <c r="T917" i="5" a="1"/>
  <c r="T854" i="5" a="1"/>
  <c r="T835" i="5" a="1"/>
  <c r="T815" i="5" a="1"/>
  <c r="T764" i="5" a="1"/>
  <c r="T732" i="5" a="1"/>
  <c r="T717" i="5" a="1"/>
  <c r="T661" i="5" a="1"/>
  <c r="T632" i="5" a="1"/>
  <c r="T617" i="5" a="1"/>
  <c r="T604" i="5" a="1"/>
  <c r="T591" i="5" a="1"/>
  <c r="T564" i="5" a="1"/>
  <c r="T551" i="5" a="1"/>
  <c r="T524" i="5" a="1"/>
  <c r="T511" i="5" a="1"/>
  <c r="T484" i="5" a="1"/>
  <c r="T446" i="5" a="1"/>
  <c r="T434" i="5" a="1"/>
  <c r="T396" i="5" a="1"/>
  <c r="T384" i="5" a="1"/>
  <c r="T1650" i="5" a="1"/>
  <c r="T1510" i="5" a="1"/>
  <c r="T1292" i="5" a="1"/>
  <c r="T1191" i="5" a="1"/>
  <c r="T1160" i="5" a="1"/>
  <c r="T1110" i="5" a="1"/>
  <c r="T1063" i="5" a="1"/>
  <c r="T1043" i="5" a="1"/>
  <c r="T977" i="5" a="1"/>
  <c r="T957" i="5" a="1"/>
  <c r="T894" i="5" a="1"/>
  <c r="T875" i="5" a="1"/>
  <c r="T853" i="5" a="1"/>
  <c r="T795" i="5" a="1"/>
  <c r="T779" i="5" a="1"/>
  <c r="T745" i="5" a="1"/>
  <c r="T703" i="5" a="1"/>
  <c r="T674" i="5" a="1"/>
  <c r="T645" i="5" a="1"/>
  <c r="T576" i="5" a="1"/>
  <c r="T536" i="5" a="1"/>
  <c r="T496" i="5" a="1"/>
  <c r="T471" i="5" a="1"/>
  <c r="T421" i="5" a="1"/>
  <c r="T371" i="5" a="1"/>
  <c r="T360" i="5" a="1"/>
  <c r="T350" i="5" a="1"/>
  <c r="T340" i="5" a="1"/>
  <c r="T330" i="5" a="1"/>
  <c r="T320" i="5" a="1"/>
  <c r="T310" i="5" a="1"/>
  <c r="T300" i="5" a="1"/>
  <c r="T290" i="5" a="1"/>
  <c r="T280" i="5" a="1"/>
  <c r="T270" i="5" a="1"/>
  <c r="T260" i="5" a="1"/>
  <c r="T250" i="5" a="1"/>
  <c r="T240" i="5" a="1"/>
  <c r="T230" i="5" a="1"/>
  <c r="T220" i="5" a="1"/>
  <c r="T210" i="5" a="1"/>
  <c r="T200" i="5" a="1"/>
  <c r="T190" i="5" a="1"/>
  <c r="T180" i="5" a="1"/>
  <c r="T170" i="5" a="1"/>
  <c r="T160" i="5" a="1"/>
  <c r="T150" i="5" a="1"/>
  <c r="T140" i="5" a="1"/>
  <c r="T130" i="5" a="1"/>
  <c r="T120" i="5" a="1"/>
  <c r="T110" i="5" a="1"/>
  <c r="T100" i="5" a="1"/>
  <c r="T1103" i="5" a="1"/>
  <c r="T1823" i="5" a="1"/>
  <c r="T1640" i="5" a="1"/>
  <c r="T1595" i="5" a="1"/>
  <c r="T1462" i="5" a="1"/>
  <c r="T1423" i="5" a="1"/>
  <c r="T1388" i="5" a="1"/>
  <c r="T1321" i="5" a="1"/>
  <c r="T1255" i="5" a="1"/>
  <c r="T1218" i="5" a="1"/>
  <c r="T1130" i="5" a="1"/>
  <c r="T1107" i="5" a="1"/>
  <c r="T1087" i="5" a="1"/>
  <c r="T1019" i="5" a="1"/>
  <c r="T975" i="5" a="1"/>
  <c r="T934" i="5" a="1"/>
  <c r="T915" i="5" a="1"/>
  <c r="T893" i="5" a="1"/>
  <c r="T814" i="5" a="1"/>
  <c r="T731" i="5" a="1"/>
  <c r="T702" i="5" a="1"/>
  <c r="T687" i="5" a="1"/>
  <c r="T631" i="5" a="1"/>
  <c r="T603" i="5" a="1"/>
  <c r="T563" i="5" a="1"/>
  <c r="T523" i="5" a="1"/>
  <c r="T483" i="5" a="1"/>
  <c r="T457" i="5" a="1"/>
  <c r="T445" i="5" a="1"/>
  <c r="T433" i="5" a="1"/>
  <c r="T407" i="5" a="1"/>
  <c r="T395" i="5" a="1"/>
  <c r="T383" i="5" a="1"/>
  <c r="T1635" i="5" a="1"/>
  <c r="T1083" i="5" a="1"/>
  <c r="T869" i="5" a="1"/>
  <c r="T1751" i="5" a="1"/>
  <c r="T1691" i="5" a="1"/>
  <c r="T1503" i="5" a="1"/>
  <c r="T1285" i="5" a="1"/>
  <c r="T1185" i="5" a="1"/>
  <c r="T1155" i="5" a="1"/>
  <c r="T1061" i="5" a="1"/>
  <c r="T1018" i="5" a="1"/>
  <c r="T998" i="5" a="1"/>
  <c r="T955" i="5" a="1"/>
  <c r="T933" i="5" a="1"/>
  <c r="T870" i="5" a="1"/>
  <c r="T851" i="5" a="1"/>
  <c r="T830" i="5" a="1"/>
  <c r="T794" i="5" a="1"/>
  <c r="T778" i="5" a="1"/>
  <c r="T744" i="5" a="1"/>
  <c r="T715" i="5" a="1"/>
  <c r="T673" i="5" a="1"/>
  <c r="T644" i="5" a="1"/>
  <c r="T615" i="5" a="1"/>
  <c r="T602" i="5" a="1"/>
  <c r="T575" i="5" a="1"/>
  <c r="T562" i="5" a="1"/>
  <c r="T535" i="5" a="1"/>
  <c r="T522" i="5" a="1"/>
  <c r="T495" i="5" a="1"/>
  <c r="T482" i="5" a="1"/>
  <c r="T470" i="5" a="1"/>
  <c r="T432" i="5" a="1"/>
  <c r="T420" i="5" a="1"/>
  <c r="T382" i="5" a="1"/>
  <c r="T370" i="5" a="1"/>
  <c r="T359" i="5" a="1"/>
  <c r="T349" i="5" a="1"/>
  <c r="T339" i="5" a="1"/>
  <c r="T329" i="5" a="1"/>
  <c r="T319" i="5" a="1"/>
  <c r="T309" i="5" a="1"/>
  <c r="T299" i="5" a="1"/>
  <c r="T289" i="5" a="1"/>
  <c r="T279" i="5" a="1"/>
  <c r="T269" i="5" a="1"/>
  <c r="T259" i="5" a="1"/>
  <c r="T249" i="5" a="1"/>
  <c r="T239" i="5" a="1"/>
  <c r="T229" i="5" a="1"/>
  <c r="T219" i="5" a="1"/>
  <c r="T209" i="5" a="1"/>
  <c r="T199" i="5" a="1"/>
  <c r="T189" i="5" a="1"/>
  <c r="T179" i="5" a="1"/>
  <c r="T169" i="5" a="1"/>
  <c r="T159" i="5" a="1"/>
  <c r="T149" i="5" a="1"/>
  <c r="T139" i="5" a="1"/>
  <c r="T129" i="5" a="1"/>
  <c r="T119" i="5" a="1"/>
  <c r="T109" i="5" a="1"/>
  <c r="T99" i="5" a="1"/>
  <c r="T1821" i="5" a="1"/>
  <c r="T1690" i="5" a="1"/>
  <c r="T1105" i="5" a="1"/>
  <c r="T1060" i="5" a="1"/>
  <c r="T1040" i="5" a="1"/>
  <c r="T973" i="5" a="1"/>
  <c r="T910" i="5" a="1"/>
  <c r="T891" i="5" a="1"/>
  <c r="T793" i="5" a="1"/>
  <c r="T777" i="5" a="1"/>
  <c r="T759" i="5" a="1"/>
  <c r="T701" i="5" a="1"/>
  <c r="T672" i="5" a="1"/>
  <c r="T657" i="5" a="1"/>
  <c r="T587" i="5" a="1"/>
  <c r="T547" i="5" a="1"/>
  <c r="T507" i="5" a="1"/>
  <c r="T456" i="5" a="1"/>
  <c r="T444" i="5" a="1"/>
  <c r="T406" i="5" a="1"/>
  <c r="T394" i="5" a="1"/>
  <c r="T1384" i="5" a="1"/>
  <c r="T685" i="5" a="1"/>
  <c r="T208" i="5" a="1"/>
  <c r="T198" i="5" a="1"/>
  <c r="T188" i="5" a="1"/>
  <c r="T643" i="5" a="1"/>
  <c r="T381" i="5" a="1"/>
  <c r="T178" i="5" a="1"/>
  <c r="T1252" i="5" a="1"/>
  <c r="T168" i="5" a="1"/>
  <c r="T1215" i="5" a="1"/>
  <c r="T614" i="5" a="1"/>
  <c r="T358" i="5" a="1"/>
  <c r="T158" i="5" a="1"/>
  <c r="T1182" i="5" a="1"/>
  <c r="T601" i="5" a="1"/>
  <c r="T348" i="5" a="1"/>
  <c r="T148" i="5" a="1"/>
  <c r="T338" i="5" a="1"/>
  <c r="T138" i="5" a="1"/>
  <c r="T997" i="5" a="1"/>
  <c r="T574" i="5" a="1"/>
  <c r="T328" i="5" a="1"/>
  <c r="T128" i="5" a="1"/>
  <c r="T561" i="5" a="1"/>
  <c r="T318" i="5" a="1"/>
  <c r="T118" i="5" a="1"/>
  <c r="T931" i="5" a="1"/>
  <c r="T308" i="5" a="1"/>
  <c r="T108" i="5" a="1"/>
  <c r="T534" i="5" a="1"/>
  <c r="T298" i="5" a="1"/>
  <c r="T98" i="5" a="1"/>
  <c r="T811" i="5" a="1"/>
  <c r="T521" i="5" a="1"/>
  <c r="T288" i="5" a="1"/>
  <c r="T278" i="5" a="1"/>
  <c r="T776" i="5" a="1"/>
  <c r="T494" i="5" a="1"/>
  <c r="T268" i="5" a="1"/>
  <c r="T238" i="5" a="1"/>
  <c r="T714" i="5" a="1"/>
  <c r="T481" i="5" a="1"/>
  <c r="T258" i="5" a="1"/>
  <c r="T743" i="5" a="1"/>
  <c r="T248" i="5" a="1"/>
  <c r="T228" i="5" a="1"/>
  <c r="T431" i="5" a="1"/>
  <c r="T218" i="5" a="1"/>
  <c r="U2003" i="5" a="1"/>
  <c r="U1993" i="5" a="1"/>
  <c r="U1983" i="5" a="1"/>
  <c r="U1973" i="5" a="1"/>
  <c r="U1963" i="5" a="1"/>
  <c r="U1953" i="5" a="1"/>
  <c r="U1943" i="5" a="1"/>
  <c r="U1933" i="5" a="1"/>
  <c r="U1923" i="5" a="1"/>
  <c r="U1913" i="5" a="1"/>
  <c r="U1903" i="5" a="1"/>
  <c r="U1893" i="5" a="1"/>
  <c r="U1883" i="5" a="1"/>
  <c r="U1873" i="5" a="1"/>
  <c r="U1863" i="5" a="1"/>
  <c r="U1853" i="5" a="1"/>
  <c r="U1843" i="5" a="1"/>
  <c r="U1833" i="5" a="1"/>
  <c r="U1823" i="5" a="1"/>
  <c r="U1813" i="5" a="1"/>
  <c r="U1803" i="5" a="1"/>
  <c r="U1793" i="5" a="1"/>
  <c r="U1783" i="5" a="1"/>
  <c r="U1773" i="5" a="1"/>
  <c r="U1763" i="5" a="1"/>
  <c r="U1753" i="5" a="1"/>
  <c r="U1743" i="5" a="1"/>
  <c r="U1733" i="5" a="1"/>
  <c r="U1723" i="5" a="1"/>
  <c r="U1713" i="5" a="1"/>
  <c r="U1703" i="5" a="1"/>
  <c r="U1693" i="5" a="1"/>
  <c r="U1683" i="5" a="1"/>
  <c r="U1673" i="5" a="1"/>
  <c r="U1663" i="5" a="1"/>
  <c r="U1653" i="5" a="1"/>
  <c r="U1643" i="5" a="1"/>
  <c r="U1633" i="5" a="1"/>
  <c r="U1623" i="5" a="1"/>
  <c r="U1613" i="5" a="1"/>
  <c r="U1603" i="5" a="1"/>
  <c r="U1593" i="5" a="1"/>
  <c r="U1583" i="5" a="1"/>
  <c r="U1573" i="5" a="1"/>
  <c r="U1563" i="5" a="1"/>
  <c r="U1553" i="5" a="1"/>
  <c r="U1543" i="5" a="1"/>
  <c r="U1533" i="5" a="1"/>
  <c r="U1523" i="5" a="1"/>
  <c r="U1513" i="5" a="1"/>
  <c r="U1503" i="5" a="1"/>
  <c r="U1493" i="5" a="1"/>
  <c r="U1483" i="5" a="1"/>
  <c r="U1473" i="5" a="1"/>
  <c r="U1463" i="5" a="1"/>
  <c r="U1453" i="5" a="1"/>
  <c r="U1443" i="5" a="1"/>
  <c r="U1433" i="5" a="1"/>
  <c r="U1423" i="5" a="1"/>
  <c r="U1413" i="5" a="1"/>
  <c r="U1403" i="5" a="1"/>
  <c r="U1393" i="5" a="1"/>
  <c r="U1383" i="5" a="1"/>
  <c r="U1373" i="5" a="1"/>
  <c r="U1363" i="5" a="1"/>
  <c r="U1353" i="5" a="1"/>
  <c r="U1343" i="5" a="1"/>
  <c r="U1333" i="5" a="1"/>
  <c r="U1323" i="5" a="1"/>
  <c r="U1313" i="5" a="1"/>
  <c r="U1303" i="5" a="1"/>
  <c r="U1293" i="5" a="1"/>
  <c r="U1283" i="5" a="1"/>
  <c r="U1273" i="5" a="1"/>
  <c r="U1263" i="5" a="1"/>
  <c r="U1253" i="5" a="1"/>
  <c r="U1243" i="5" a="1"/>
  <c r="U1233" i="5" a="1"/>
  <c r="U1223" i="5" a="1"/>
  <c r="U1213" i="5" a="1"/>
  <c r="U1203" i="5" a="1"/>
  <c r="U1193" i="5" a="1"/>
  <c r="U1183" i="5" a="1"/>
  <c r="U1173" i="5" a="1"/>
  <c r="U1163" i="5" a="1"/>
  <c r="U1153" i="5" a="1"/>
  <c r="U2002" i="5" a="1"/>
  <c r="U1992" i="5" a="1"/>
  <c r="U1982" i="5" a="1"/>
  <c r="U1972" i="5" a="1"/>
  <c r="U1962" i="5" a="1"/>
  <c r="U1952" i="5" a="1"/>
  <c r="U1942" i="5" a="1"/>
  <c r="U1932" i="5" a="1"/>
  <c r="U1922" i="5" a="1"/>
  <c r="U1912" i="5" a="1"/>
  <c r="U1902" i="5" a="1"/>
  <c r="U1892" i="5" a="1"/>
  <c r="U1882" i="5" a="1"/>
  <c r="U1872" i="5" a="1"/>
  <c r="U1862" i="5" a="1"/>
  <c r="U1852" i="5" a="1"/>
  <c r="U1842" i="5" a="1"/>
  <c r="U1832" i="5" a="1"/>
  <c r="U1822" i="5" a="1"/>
  <c r="U1812" i="5" a="1"/>
  <c r="U1802" i="5" a="1"/>
  <c r="U1792" i="5" a="1"/>
  <c r="U1782" i="5" a="1"/>
  <c r="U1772" i="5" a="1"/>
  <c r="U1762" i="5" a="1"/>
  <c r="U1752" i="5" a="1"/>
  <c r="U1742" i="5" a="1"/>
  <c r="U1732" i="5" a="1"/>
  <c r="U1722" i="5" a="1"/>
  <c r="U1712" i="5" a="1"/>
  <c r="U1702" i="5" a="1"/>
  <c r="U1692" i="5" a="1"/>
  <c r="U1682" i="5" a="1"/>
  <c r="U1672" i="5" a="1"/>
  <c r="U1662" i="5" a="1"/>
  <c r="U1652" i="5" a="1"/>
  <c r="U1642" i="5" a="1"/>
  <c r="U1632" i="5" a="1"/>
  <c r="U1622" i="5" a="1"/>
  <c r="U1612" i="5" a="1"/>
  <c r="U1602" i="5" a="1"/>
  <c r="U1592" i="5" a="1"/>
  <c r="U1582" i="5" a="1"/>
  <c r="U1572" i="5" a="1"/>
  <c r="U1562" i="5" a="1"/>
  <c r="U1552" i="5" a="1"/>
  <c r="U1542" i="5" a="1"/>
  <c r="U1532" i="5" a="1"/>
  <c r="U1522" i="5" a="1"/>
  <c r="U1512" i="5" a="1"/>
  <c r="U1502" i="5" a="1"/>
  <c r="U1492" i="5" a="1"/>
  <c r="U1482" i="5" a="1"/>
  <c r="U1472" i="5" a="1"/>
  <c r="U1462" i="5" a="1"/>
  <c r="U1452" i="5" a="1"/>
  <c r="U1442" i="5" a="1"/>
  <c r="U1432" i="5" a="1"/>
  <c r="U1422" i="5" a="1"/>
  <c r="U1412" i="5" a="1"/>
  <c r="U1402" i="5" a="1"/>
  <c r="U1392" i="5" a="1"/>
  <c r="U1382" i="5" a="1"/>
  <c r="U1372" i="5" a="1"/>
  <c r="U1362" i="5" a="1"/>
  <c r="U1352" i="5" a="1"/>
  <c r="U1342" i="5" a="1"/>
  <c r="U1332" i="5" a="1"/>
  <c r="U1322" i="5" a="1"/>
  <c r="U1312" i="5" a="1"/>
  <c r="U1302" i="5" a="1"/>
  <c r="U1292" i="5" a="1"/>
  <c r="U1282" i="5" a="1"/>
  <c r="U1272" i="5" a="1"/>
  <c r="U1262" i="5" a="1"/>
  <c r="U1252" i="5" a="1"/>
  <c r="U1242" i="5" a="1"/>
  <c r="U1232" i="5" a="1"/>
  <c r="U1222" i="5" a="1"/>
  <c r="U1212" i="5" a="1"/>
  <c r="U1202" i="5" a="1"/>
  <c r="U1192" i="5" a="1"/>
  <c r="U1182" i="5" a="1"/>
  <c r="U1172" i="5" a="1"/>
  <c r="U1162" i="5" a="1"/>
  <c r="U2001" i="5" a="1"/>
  <c r="U1991" i="5" a="1"/>
  <c r="U1981" i="5" a="1"/>
  <c r="U1971" i="5" a="1"/>
  <c r="U1961" i="5" a="1"/>
  <c r="U1951" i="5" a="1"/>
  <c r="U1941" i="5" a="1"/>
  <c r="U1931" i="5" a="1"/>
  <c r="U1921" i="5" a="1"/>
  <c r="U1911" i="5" a="1"/>
  <c r="U1901" i="5" a="1"/>
  <c r="U1891" i="5" a="1"/>
  <c r="U1881" i="5" a="1"/>
  <c r="U1871" i="5" a="1"/>
  <c r="U1861" i="5" a="1"/>
  <c r="U1851" i="5" a="1"/>
  <c r="U1841" i="5" a="1"/>
  <c r="U1831" i="5" a="1"/>
  <c r="U1821" i="5" a="1"/>
  <c r="U1811" i="5" a="1"/>
  <c r="U1801" i="5" a="1"/>
  <c r="U2000" i="5" a="1"/>
  <c r="U1990" i="5" a="1"/>
  <c r="U1980" i="5" a="1"/>
  <c r="U1970" i="5" a="1"/>
  <c r="U1960" i="5" a="1"/>
  <c r="U1950" i="5" a="1"/>
  <c r="U1940" i="5" a="1"/>
  <c r="U1930" i="5" a="1"/>
  <c r="U1920" i="5" a="1"/>
  <c r="U1910" i="5" a="1"/>
  <c r="U1900" i="5" a="1"/>
  <c r="U1890" i="5" a="1"/>
  <c r="U1880" i="5" a="1"/>
  <c r="U1870" i="5" a="1"/>
  <c r="U1860" i="5" a="1"/>
  <c r="U1850" i="5" a="1"/>
  <c r="U1840" i="5" a="1"/>
  <c r="U1830" i="5" a="1"/>
  <c r="U1999" i="5" a="1"/>
  <c r="U1989" i="5" a="1"/>
  <c r="U1979" i="5" a="1"/>
  <c r="U1969" i="5" a="1"/>
  <c r="U1959" i="5" a="1"/>
  <c r="U1949" i="5" a="1"/>
  <c r="U1939" i="5" a="1"/>
  <c r="U1929" i="5" a="1"/>
  <c r="U1919" i="5" a="1"/>
  <c r="U1909" i="5" a="1"/>
  <c r="U1899" i="5" a="1"/>
  <c r="U1889" i="5" a="1"/>
  <c r="U1879" i="5" a="1"/>
  <c r="U1869" i="5" a="1"/>
  <c r="U1859" i="5" a="1"/>
  <c r="U1849" i="5" a="1"/>
  <c r="U1839" i="5" a="1"/>
  <c r="U1829" i="5" a="1"/>
  <c r="U1819" i="5" a="1"/>
  <c r="U1809" i="5" a="1"/>
  <c r="U1799" i="5" a="1"/>
  <c r="U1789" i="5" a="1"/>
  <c r="U1779" i="5" a="1"/>
  <c r="U1769" i="5" a="1"/>
  <c r="U1759" i="5" a="1"/>
  <c r="U1749" i="5" a="1"/>
  <c r="U1739" i="5" a="1"/>
  <c r="U1729" i="5" a="1"/>
  <c r="U1719" i="5" a="1"/>
  <c r="U1709" i="5" a="1"/>
  <c r="U1699" i="5" a="1"/>
  <c r="U1689" i="5" a="1"/>
  <c r="U1679" i="5" a="1"/>
  <c r="U1669" i="5" a="1"/>
  <c r="U1659" i="5" a="1"/>
  <c r="U1649" i="5" a="1"/>
  <c r="U1639" i="5" a="1"/>
  <c r="U1629" i="5" a="1"/>
  <c r="U1619" i="5" a="1"/>
  <c r="U1609" i="5" a="1"/>
  <c r="U1599" i="5" a="1"/>
  <c r="U1589" i="5" a="1"/>
  <c r="U1579" i="5" a="1"/>
  <c r="U1569" i="5" a="1"/>
  <c r="U1559" i="5" a="1"/>
  <c r="U1549" i="5" a="1"/>
  <c r="U1539" i="5" a="1"/>
  <c r="U1529" i="5" a="1"/>
  <c r="U1519" i="5" a="1"/>
  <c r="U1509" i="5" a="1"/>
  <c r="U1499" i="5" a="1"/>
  <c r="U1489" i="5" a="1"/>
  <c r="U1479" i="5" a="1"/>
  <c r="U1469" i="5" a="1"/>
  <c r="U1459" i="5" a="1"/>
  <c r="U1449" i="5" a="1"/>
  <c r="U1439" i="5" a="1"/>
  <c r="U1429" i="5" a="1"/>
  <c r="U1419" i="5" a="1"/>
  <c r="U1409" i="5" a="1"/>
  <c r="U1399" i="5" a="1"/>
  <c r="U1389" i="5" a="1"/>
  <c r="U1379" i="5" a="1"/>
  <c r="U1369" i="5" a="1"/>
  <c r="U1359" i="5" a="1"/>
  <c r="U1349" i="5" a="1"/>
  <c r="U1339" i="5" a="1"/>
  <c r="U1329" i="5" a="1"/>
  <c r="U1319" i="5" a="1"/>
  <c r="U1309" i="5" a="1"/>
  <c r="U1299" i="5" a="1"/>
  <c r="U1289" i="5" a="1"/>
  <c r="U1279" i="5" a="1"/>
  <c r="U1269" i="5" a="1"/>
  <c r="U1259" i="5" a="1"/>
  <c r="U1249" i="5" a="1"/>
  <c r="U1239" i="5" a="1"/>
  <c r="U1229" i="5" a="1"/>
  <c r="U1219" i="5" a="1"/>
  <c r="U1209" i="5" a="1"/>
  <c r="U1199" i="5" a="1"/>
  <c r="U1189" i="5" a="1"/>
  <c r="U1179" i="5" a="1"/>
  <c r="U1169" i="5" a="1"/>
  <c r="U1159" i="5" a="1"/>
  <c r="U1998" i="5" a="1"/>
  <c r="U1988" i="5" a="1"/>
  <c r="U1978" i="5" a="1"/>
  <c r="U1968" i="5" a="1"/>
  <c r="U1958" i="5" a="1"/>
  <c r="U1948" i="5" a="1"/>
  <c r="U1938" i="5" a="1"/>
  <c r="U1928" i="5" a="1"/>
  <c r="U1918" i="5" a="1"/>
  <c r="U1908" i="5" a="1"/>
  <c r="U1898" i="5" a="1"/>
  <c r="U1888" i="5" a="1"/>
  <c r="U1878" i="5" a="1"/>
  <c r="U1868" i="5" a="1"/>
  <c r="U1858" i="5" a="1"/>
  <c r="U1848" i="5" a="1"/>
  <c r="U1838" i="5" a="1"/>
  <c r="U1828" i="5" a="1"/>
  <c r="U1818" i="5" a="1"/>
  <c r="U1808" i="5" a="1"/>
  <c r="U1798" i="5" a="1"/>
  <c r="U1788" i="5" a="1"/>
  <c r="U1778" i="5" a="1"/>
  <c r="U1768" i="5" a="1"/>
  <c r="U1758" i="5" a="1"/>
  <c r="U1748" i="5" a="1"/>
  <c r="U1738" i="5" a="1"/>
  <c r="U1728" i="5" a="1"/>
  <c r="U1718" i="5" a="1"/>
  <c r="U1708" i="5" a="1"/>
  <c r="U1698" i="5" a="1"/>
  <c r="U1688" i="5" a="1"/>
  <c r="U1678" i="5" a="1"/>
  <c r="U1668" i="5" a="1"/>
  <c r="U1658" i="5" a="1"/>
  <c r="U1648" i="5" a="1"/>
  <c r="U1638" i="5" a="1"/>
  <c r="U1628" i="5" a="1"/>
  <c r="U1618" i="5" a="1"/>
  <c r="U1608" i="5" a="1"/>
  <c r="U1598" i="5" a="1"/>
  <c r="U1588" i="5" a="1"/>
  <c r="U1578" i="5" a="1"/>
  <c r="U1568" i="5" a="1"/>
  <c r="U1558" i="5" a="1"/>
  <c r="U1548" i="5" a="1"/>
  <c r="U1538" i="5" a="1"/>
  <c r="U1528" i="5" a="1"/>
  <c r="U1518" i="5" a="1"/>
  <c r="U1508" i="5" a="1"/>
  <c r="U1498" i="5" a="1"/>
  <c r="U1488" i="5" a="1"/>
  <c r="U1478" i="5" a="1"/>
  <c r="U1468" i="5" a="1"/>
  <c r="U1458" i="5" a="1"/>
  <c r="U1448" i="5" a="1"/>
  <c r="U1438" i="5" a="1"/>
  <c r="U1428" i="5" a="1"/>
  <c r="U1418" i="5" a="1"/>
  <c r="U1408" i="5" a="1"/>
  <c r="U1398" i="5" a="1"/>
  <c r="U1388" i="5" a="1"/>
  <c r="U1378" i="5" a="1"/>
  <c r="U1368" i="5" a="1"/>
  <c r="U1358" i="5" a="1"/>
  <c r="U1348" i="5" a="1"/>
  <c r="U1338" i="5" a="1"/>
  <c r="U1328" i="5" a="1"/>
  <c r="U1318" i="5" a="1"/>
  <c r="U1308" i="5" a="1"/>
  <c r="U1298" i="5" a="1"/>
  <c r="U1288" i="5" a="1"/>
  <c r="U1278" i="5" a="1"/>
  <c r="U1268" i="5" a="1"/>
  <c r="U1258" i="5" a="1"/>
  <c r="U1248" i="5" a="1"/>
  <c r="U1238" i="5" a="1"/>
  <c r="U1228" i="5" a="1"/>
  <c r="U1218" i="5" a="1"/>
  <c r="U1208" i="5" a="1"/>
  <c r="U1995" i="5" a="1"/>
  <c r="U1985" i="5" a="1"/>
  <c r="U1975" i="5" a="1"/>
  <c r="U1965" i="5" a="1"/>
  <c r="U1955" i="5" a="1"/>
  <c r="U1945" i="5" a="1"/>
  <c r="U1935" i="5" a="1"/>
  <c r="U1925" i="5" a="1"/>
  <c r="U1915" i="5" a="1"/>
  <c r="U1905" i="5" a="1"/>
  <c r="U1895" i="5" a="1"/>
  <c r="U1885" i="5" a="1"/>
  <c r="U1875" i="5" a="1"/>
  <c r="U1865" i="5" a="1"/>
  <c r="U1855" i="5" a="1"/>
  <c r="U1845" i="5" a="1"/>
  <c r="U1835" i="5" a="1"/>
  <c r="U1825" i="5" a="1"/>
  <c r="U1815" i="5" a="1"/>
  <c r="U1805" i="5" a="1"/>
  <c r="U1795" i="5" a="1"/>
  <c r="U1785" i="5" a="1"/>
  <c r="U1775" i="5" a="1"/>
  <c r="U1765" i="5" a="1"/>
  <c r="U1755" i="5" a="1"/>
  <c r="U1745" i="5" a="1"/>
  <c r="U1735" i="5" a="1"/>
  <c r="U1725" i="5" a="1"/>
  <c r="U1715" i="5" a="1"/>
  <c r="U1705" i="5" a="1"/>
  <c r="U1695" i="5" a="1"/>
  <c r="U1685" i="5" a="1"/>
  <c r="U1675" i="5" a="1"/>
  <c r="U1665" i="5" a="1"/>
  <c r="U1655" i="5" a="1"/>
  <c r="U1645" i="5" a="1"/>
  <c r="U1635" i="5" a="1"/>
  <c r="U1625" i="5" a="1"/>
  <c r="U1615" i="5" a="1"/>
  <c r="U1605" i="5" a="1"/>
  <c r="U1595" i="5" a="1"/>
  <c r="U1585" i="5" a="1"/>
  <c r="U1575" i="5" a="1"/>
  <c r="U1565" i="5" a="1"/>
  <c r="U1555" i="5" a="1"/>
  <c r="U1545" i="5" a="1"/>
  <c r="U1535" i="5" a="1"/>
  <c r="U1525" i="5" a="1"/>
  <c r="U1515" i="5" a="1"/>
  <c r="U1505" i="5" a="1"/>
  <c r="U1495" i="5" a="1"/>
  <c r="U1485" i="5" a="1"/>
  <c r="U1475" i="5" a="1"/>
  <c r="U1465" i="5" a="1"/>
  <c r="U1455" i="5" a="1"/>
  <c r="U1445" i="5" a="1"/>
  <c r="U2004" i="5" a="1"/>
  <c r="U1936" i="5" a="1"/>
  <c r="U1904" i="5" a="1"/>
  <c r="U1836" i="5" a="1"/>
  <c r="U1806" i="5" a="1"/>
  <c r="U1780" i="5" a="1"/>
  <c r="U1730" i="5" a="1"/>
  <c r="U1706" i="5" a="1"/>
  <c r="U1684" i="5" a="1"/>
  <c r="U1640" i="5" a="1"/>
  <c r="U1617" i="5" a="1"/>
  <c r="U1434" i="5" a="1"/>
  <c r="U1397" i="5" a="1"/>
  <c r="U1380" i="5" a="1"/>
  <c r="U1361" i="5" a="1"/>
  <c r="U1325" i="5" a="1"/>
  <c r="U1306" i="5" a="1"/>
  <c r="U1234" i="5" a="1"/>
  <c r="U1198" i="5" a="1"/>
  <c r="U1181" i="5" a="1"/>
  <c r="U1165" i="5" a="1"/>
  <c r="U1967" i="5" a="1"/>
  <c r="U1867" i="5" a="1"/>
  <c r="U1754" i="5" a="1"/>
  <c r="U1661" i="5" a="1"/>
  <c r="U1616" i="5" a="1"/>
  <c r="U1594" i="5" a="1"/>
  <c r="U1415" i="5" a="1"/>
  <c r="U1396" i="5" a="1"/>
  <c r="U1324" i="5" a="1"/>
  <c r="U1287" i="5" a="1"/>
  <c r="U1270" i="5" a="1"/>
  <c r="U1251" i="5" a="1"/>
  <c r="U1215" i="5" a="1"/>
  <c r="U1197" i="5" a="1"/>
  <c r="U1164" i="5" a="1"/>
  <c r="U1150" i="5" a="1"/>
  <c r="U1140" i="5" a="1"/>
  <c r="U1130" i="5" a="1"/>
  <c r="U1120" i="5" a="1"/>
  <c r="U1110" i="5" a="1"/>
  <c r="U1100" i="5" a="1"/>
  <c r="U1090" i="5" a="1"/>
  <c r="U1080" i="5" a="1"/>
  <c r="U1070" i="5" a="1"/>
  <c r="U1060" i="5" a="1"/>
  <c r="U1050" i="5" a="1"/>
  <c r="U1040" i="5" a="1"/>
  <c r="U1030" i="5" a="1"/>
  <c r="U1020" i="5" a="1"/>
  <c r="U1010" i="5" a="1"/>
  <c r="U1000" i="5" a="1"/>
  <c r="U990" i="5" a="1"/>
  <c r="U980" i="5" a="1"/>
  <c r="U970" i="5" a="1"/>
  <c r="U960" i="5" a="1"/>
  <c r="U950" i="5" a="1"/>
  <c r="U940" i="5" a="1"/>
  <c r="U930" i="5" a="1"/>
  <c r="U920" i="5" a="1"/>
  <c r="U910" i="5" a="1"/>
  <c r="U900" i="5" a="1"/>
  <c r="U1966" i="5" a="1"/>
  <c r="U1934" i="5" a="1"/>
  <c r="U1866" i="5" a="1"/>
  <c r="U1834" i="5" a="1"/>
  <c r="U1804" i="5" a="1"/>
  <c r="U1777" i="5" a="1"/>
  <c r="U1727" i="5" a="1"/>
  <c r="U1704" i="5" a="1"/>
  <c r="U1660" i="5" a="1"/>
  <c r="U1637" i="5" a="1"/>
  <c r="U1571" i="5" a="1"/>
  <c r="U1551" i="5" a="1"/>
  <c r="U1531" i="5" a="1"/>
  <c r="U1511" i="5" a="1"/>
  <c r="U1491" i="5" a="1"/>
  <c r="U1471" i="5" a="1"/>
  <c r="U1451" i="5" a="1"/>
  <c r="U1414" i="5" a="1"/>
  <c r="U1377" i="5" a="1"/>
  <c r="U1360" i="5" a="1"/>
  <c r="U1341" i="5" a="1"/>
  <c r="U1997" i="5" a="1"/>
  <c r="U1897" i="5" a="1"/>
  <c r="U1776" i="5" a="1"/>
  <c r="U1751" i="5" a="1"/>
  <c r="U1726" i="5" a="1"/>
  <c r="U1681" i="5" a="1"/>
  <c r="U1636" i="5" a="1"/>
  <c r="U1614" i="5" a="1"/>
  <c r="U1431" i="5" a="1"/>
  <c r="U1395" i="5" a="1"/>
  <c r="U1376" i="5" a="1"/>
  <c r="U1304" i="5" a="1"/>
  <c r="U1267" i="5" a="1"/>
  <c r="U1250" i="5" a="1"/>
  <c r="U1231" i="5" a="1"/>
  <c r="U1996" i="5" a="1"/>
  <c r="U1964" i="5" a="1"/>
  <c r="U1896" i="5" a="1"/>
  <c r="U1864" i="5" a="1"/>
  <c r="U1800" i="5" a="1"/>
  <c r="U1750" i="5" a="1"/>
  <c r="U1680" i="5" a="1"/>
  <c r="U1657" i="5" a="1"/>
  <c r="U1591" i="5" a="1"/>
  <c r="U1570" i="5" a="1"/>
  <c r="U1550" i="5" a="1"/>
  <c r="U1530" i="5" a="1"/>
  <c r="U1510" i="5" a="1"/>
  <c r="U1490" i="5" a="1"/>
  <c r="U1470" i="5" a="1"/>
  <c r="U1450" i="5" a="1"/>
  <c r="U1394" i="5" a="1"/>
  <c r="U1357" i="5" a="1"/>
  <c r="U1340" i="5" a="1"/>
  <c r="U1321" i="5" a="1"/>
  <c r="U1285" i="5" a="1"/>
  <c r="U1266" i="5" a="1"/>
  <c r="U1195" i="5" a="1"/>
  <c r="U1178" i="5" a="1"/>
  <c r="U1161" i="5" a="1"/>
  <c r="U1927" i="5" a="1"/>
  <c r="U1827" i="5" a="1"/>
  <c r="U1774" i="5" a="1"/>
  <c r="U1724" i="5" a="1"/>
  <c r="U1701" i="5" a="1"/>
  <c r="U1656" i="5" a="1"/>
  <c r="U1634" i="5" a="1"/>
  <c r="U1590" i="5" a="1"/>
  <c r="U1430" i="5" a="1"/>
  <c r="U1411" i="5" a="1"/>
  <c r="U1375" i="5" a="1"/>
  <c r="U1994" i="5" a="1"/>
  <c r="U1926" i="5" a="1"/>
  <c r="U1894" i="5" a="1"/>
  <c r="U1826" i="5" a="1"/>
  <c r="U1797" i="5" a="1"/>
  <c r="U1747" i="5" a="1"/>
  <c r="U1700" i="5" a="1"/>
  <c r="U1677" i="5" a="1"/>
  <c r="U1611" i="5" a="1"/>
  <c r="U1567" i="5" a="1"/>
  <c r="U1547" i="5" a="1"/>
  <c r="U1527" i="5" a="1"/>
  <c r="U1507" i="5" a="1"/>
  <c r="U1487" i="5" a="1"/>
  <c r="U1467" i="5" a="1"/>
  <c r="U1447" i="5" a="1"/>
  <c r="U1957" i="5" a="1"/>
  <c r="U1857" i="5" a="1"/>
  <c r="U1796" i="5" a="1"/>
  <c r="U1771" i="5" a="1"/>
  <c r="U1746" i="5" a="1"/>
  <c r="U1721" i="5" a="1"/>
  <c r="U1676" i="5" a="1"/>
  <c r="U1654" i="5" a="1"/>
  <c r="U1610" i="5" a="1"/>
  <c r="U1587" i="5" a="1"/>
  <c r="U1566" i="5" a="1"/>
  <c r="U1546" i="5" a="1"/>
  <c r="U1526" i="5" a="1"/>
  <c r="U1506" i="5" a="1"/>
  <c r="U1486" i="5" a="1"/>
  <c r="U1466" i="5" a="1"/>
  <c r="U1446" i="5" a="1"/>
  <c r="U1427" i="5" a="1"/>
  <c r="U1410" i="5" a="1"/>
  <c r="U1391" i="5" a="1"/>
  <c r="U1355" i="5" a="1"/>
  <c r="U1336" i="5" a="1"/>
  <c r="U1264" i="5" a="1"/>
  <c r="U1227" i="5" a="1"/>
  <c r="U1210" i="5" a="1"/>
  <c r="U1147" i="5" a="1"/>
  <c r="U1137" i="5" a="1"/>
  <c r="U1127" i="5" a="1"/>
  <c r="U1117" i="5" a="1"/>
  <c r="U1107" i="5" a="1"/>
  <c r="U1097" i="5" a="1"/>
  <c r="U1087" i="5" a="1"/>
  <c r="U1077" i="5" a="1"/>
  <c r="U1067" i="5" a="1"/>
  <c r="U1057" i="5" a="1"/>
  <c r="U1047" i="5" a="1"/>
  <c r="U1037" i="5" a="1"/>
  <c r="U1027" i="5" a="1"/>
  <c r="U1017" i="5" a="1"/>
  <c r="U1007" i="5" a="1"/>
  <c r="U997" i="5" a="1"/>
  <c r="U987" i="5" a="1"/>
  <c r="U977" i="5" a="1"/>
  <c r="U967" i="5" a="1"/>
  <c r="U957" i="5" a="1"/>
  <c r="U947" i="5" a="1"/>
  <c r="U937" i="5" a="1"/>
  <c r="U927" i="5" a="1"/>
  <c r="U917" i="5" a="1"/>
  <c r="U907" i="5" a="1"/>
  <c r="U897" i="5" a="1"/>
  <c r="U887" i="5" a="1"/>
  <c r="U877" i="5" a="1"/>
  <c r="U867" i="5" a="1"/>
  <c r="U857" i="5" a="1"/>
  <c r="U847" i="5" a="1"/>
  <c r="U837" i="5" a="1"/>
  <c r="U827" i="5" a="1"/>
  <c r="U817" i="5" a="1"/>
  <c r="U807" i="5" a="1"/>
  <c r="U797" i="5" a="1"/>
  <c r="U787" i="5" a="1"/>
  <c r="U777" i="5" a="1"/>
  <c r="U767" i="5" a="1"/>
  <c r="U757" i="5" a="1"/>
  <c r="U747" i="5" a="1"/>
  <c r="U737" i="5" a="1"/>
  <c r="U727" i="5" a="1"/>
  <c r="U717" i="5" a="1"/>
  <c r="U1956" i="5" a="1"/>
  <c r="U1924" i="5" a="1"/>
  <c r="U1856" i="5" a="1"/>
  <c r="U1824" i="5" a="1"/>
  <c r="U1770" i="5" a="1"/>
  <c r="U1720" i="5" a="1"/>
  <c r="U1697" i="5" a="1"/>
  <c r="U1987" i="5" a="1"/>
  <c r="U1887" i="5" a="1"/>
  <c r="U1794" i="5" a="1"/>
  <c r="U1744" i="5" a="1"/>
  <c r="U1696" i="5" a="1"/>
  <c r="U1674" i="5" a="1"/>
  <c r="U1986" i="5" a="1"/>
  <c r="U1954" i="5" a="1"/>
  <c r="U1886" i="5" a="1"/>
  <c r="U1854" i="5" a="1"/>
  <c r="U1820" i="5" a="1"/>
  <c r="U1767" i="5" a="1"/>
  <c r="U1717" i="5" a="1"/>
  <c r="U1651" i="5" a="1"/>
  <c r="U1606" i="5" a="1"/>
  <c r="U1584" i="5" a="1"/>
  <c r="U1425" i="5" a="1"/>
  <c r="U1406" i="5" a="1"/>
  <c r="U1334" i="5" a="1"/>
  <c r="U1297" i="5" a="1"/>
  <c r="U1280" i="5" a="1"/>
  <c r="U1261" i="5" a="1"/>
  <c r="U1225" i="5" a="1"/>
  <c r="U1206" i="5" a="1"/>
  <c r="U1190" i="5" a="1"/>
  <c r="U1156" i="5" a="1"/>
  <c r="U1917" i="5" a="1"/>
  <c r="U1791" i="5" a="1"/>
  <c r="U1766" i="5" a="1"/>
  <c r="U1741" i="5" a="1"/>
  <c r="U1716" i="5" a="1"/>
  <c r="U1694" i="5" a="1"/>
  <c r="U1650" i="5" a="1"/>
  <c r="U1627" i="5" a="1"/>
  <c r="U1424" i="5" a="1"/>
  <c r="U1387" i="5" a="1"/>
  <c r="U1370" i="5" a="1"/>
  <c r="U1351" i="5" a="1"/>
  <c r="U1315" i="5" a="1"/>
  <c r="U1296" i="5" a="1"/>
  <c r="U1224" i="5" a="1"/>
  <c r="U1145" i="5" a="1"/>
  <c r="U1135" i="5" a="1"/>
  <c r="U1125" i="5" a="1"/>
  <c r="U1115" i="5" a="1"/>
  <c r="U1105" i="5" a="1"/>
  <c r="U1095" i="5" a="1"/>
  <c r="U1085" i="5" a="1"/>
  <c r="U1075" i="5" a="1"/>
  <c r="U1065" i="5" a="1"/>
  <c r="U1055" i="5" a="1"/>
  <c r="U1045" i="5" a="1"/>
  <c r="U1035" i="5" a="1"/>
  <c r="U1025" i="5" a="1"/>
  <c r="U1015" i="5" a="1"/>
  <c r="U1005" i="5" a="1"/>
  <c r="U995" i="5" a="1"/>
  <c r="U985" i="5" a="1"/>
  <c r="U975" i="5" a="1"/>
  <c r="U965" i="5" a="1"/>
  <c r="U955" i="5" a="1"/>
  <c r="U945" i="5" a="1"/>
  <c r="U935" i="5" a="1"/>
  <c r="U925" i="5" a="1"/>
  <c r="U915" i="5" a="1"/>
  <c r="U905" i="5" a="1"/>
  <c r="U895" i="5" a="1"/>
  <c r="U885" i="5" a="1"/>
  <c r="U875" i="5" a="1"/>
  <c r="U865" i="5" a="1"/>
  <c r="U855" i="5" a="1"/>
  <c r="U845" i="5" a="1"/>
  <c r="U835" i="5" a="1"/>
  <c r="U825" i="5" a="1"/>
  <c r="U815" i="5" a="1"/>
  <c r="U805" i="5" a="1"/>
  <c r="U795" i="5" a="1"/>
  <c r="U785" i="5" a="1"/>
  <c r="U775" i="5" a="1"/>
  <c r="U765" i="5" a="1"/>
  <c r="U755" i="5" a="1"/>
  <c r="U745" i="5" a="1"/>
  <c r="U735" i="5" a="1"/>
  <c r="U725" i="5" a="1"/>
  <c r="U715" i="5" a="1"/>
  <c r="U705" i="5" a="1"/>
  <c r="U695" i="5" a="1"/>
  <c r="U685" i="5" a="1"/>
  <c r="U675" i="5" a="1"/>
  <c r="U665" i="5" a="1"/>
  <c r="U655" i="5" a="1"/>
  <c r="U645" i="5" a="1"/>
  <c r="U635" i="5" a="1"/>
  <c r="U625" i="5" a="1"/>
  <c r="U615" i="5" a="1"/>
  <c r="U1984" i="5" a="1"/>
  <c r="U1916" i="5" a="1"/>
  <c r="U1884" i="5" a="1"/>
  <c r="U1817" i="5" a="1"/>
  <c r="U1790" i="5" a="1"/>
  <c r="U1740" i="5" a="1"/>
  <c r="U1671" i="5" a="1"/>
  <c r="U1626" i="5" a="1"/>
  <c r="U1604" i="5" a="1"/>
  <c r="U1561" i="5" a="1"/>
  <c r="U1541" i="5" a="1"/>
  <c r="U1521" i="5" a="1"/>
  <c r="U1501" i="5" a="1"/>
  <c r="U1481" i="5" a="1"/>
  <c r="U1461" i="5" a="1"/>
  <c r="U1441" i="5" a="1"/>
  <c r="U1405" i="5" a="1"/>
  <c r="U1386" i="5" a="1"/>
  <c r="U1314" i="5" a="1"/>
  <c r="U1277" i="5" a="1"/>
  <c r="U1260" i="5" a="1"/>
  <c r="U1241" i="5" a="1"/>
  <c r="U1205" i="5" a="1"/>
  <c r="U1188" i="5" a="1"/>
  <c r="U1171" i="5" a="1"/>
  <c r="U1155" i="5" a="1"/>
  <c r="U1947" i="5" a="1"/>
  <c r="U1847" i="5" a="1"/>
  <c r="U1816" i="5" a="1"/>
  <c r="U1764" i="5" a="1"/>
  <c r="U1714" i="5" a="1"/>
  <c r="U1670" i="5" a="1"/>
  <c r="U1647" i="5" a="1"/>
  <c r="U1581" i="5" a="1"/>
  <c r="U1404" i="5" a="1"/>
  <c r="U1367" i="5" a="1"/>
  <c r="U1350" i="5" a="1"/>
  <c r="U1331" i="5" a="1"/>
  <c r="U1295" i="5" a="1"/>
  <c r="U1276" i="5" a="1"/>
  <c r="U1204" i="5" a="1"/>
  <c r="U1187" i="5" a="1"/>
  <c r="U1946" i="5" a="1"/>
  <c r="U1914" i="5" a="1"/>
  <c r="U1846" i="5" a="1"/>
  <c r="U1787" i="5" a="1"/>
  <c r="U1737" i="5" a="1"/>
  <c r="U1691" i="5" a="1"/>
  <c r="U1646" i="5" a="1"/>
  <c r="U1624" i="5" a="1"/>
  <c r="U1580" i="5" a="1"/>
  <c r="U1560" i="5" a="1"/>
  <c r="U1540" i="5" a="1"/>
  <c r="U1520" i="5" a="1"/>
  <c r="U1500" i="5" a="1"/>
  <c r="U1480" i="5" a="1"/>
  <c r="U1460" i="5" a="1"/>
  <c r="U1440" i="5" a="1"/>
  <c r="U1421" i="5" a="1"/>
  <c r="U1385" i="5" a="1"/>
  <c r="U1366" i="5" a="1"/>
  <c r="U1977" i="5" a="1"/>
  <c r="U1877" i="5" a="1"/>
  <c r="U1814" i="5" a="1"/>
  <c r="U1786" i="5" a="1"/>
  <c r="U1761" i="5" a="1"/>
  <c r="U1736" i="5" a="1"/>
  <c r="U1690" i="5" a="1"/>
  <c r="U1667" i="5" a="1"/>
  <c r="U1601" i="5" a="1"/>
  <c r="U1384" i="5" a="1"/>
  <c r="U1347" i="5" a="1"/>
  <c r="U1330" i="5" a="1"/>
  <c r="U1311" i="5" a="1"/>
  <c r="U1275" i="5" a="1"/>
  <c r="U1256" i="5" a="1"/>
  <c r="U1143" i="5" a="1"/>
  <c r="U1133" i="5" a="1"/>
  <c r="U1123" i="5" a="1"/>
  <c r="U1113" i="5" a="1"/>
  <c r="U1103" i="5" a="1"/>
  <c r="U1093" i="5" a="1"/>
  <c r="U1083" i="5" a="1"/>
  <c r="U1073" i="5" a="1"/>
  <c r="U1063" i="5" a="1"/>
  <c r="U1053" i="5" a="1"/>
  <c r="U1043" i="5" a="1"/>
  <c r="U1033" i="5" a="1"/>
  <c r="U1023" i="5" a="1"/>
  <c r="U1013" i="5" a="1"/>
  <c r="U1003" i="5" a="1"/>
  <c r="U993" i="5" a="1"/>
  <c r="U983" i="5" a="1"/>
  <c r="U973" i="5" a="1"/>
  <c r="U963" i="5" a="1"/>
  <c r="U953" i="5" a="1"/>
  <c r="U943" i="5" a="1"/>
  <c r="U933" i="5" a="1"/>
  <c r="U923" i="5" a="1"/>
  <c r="U913" i="5" a="1"/>
  <c r="U903" i="5" a="1"/>
  <c r="U1976" i="5" a="1"/>
  <c r="U1944" i="5" a="1"/>
  <c r="U1876" i="5" a="1"/>
  <c r="U1844" i="5" a="1"/>
  <c r="U1760" i="5" a="1"/>
  <c r="U1711" i="5" a="1"/>
  <c r="U1666" i="5" a="1"/>
  <c r="U1644" i="5" a="1"/>
  <c r="U1600" i="5" a="1"/>
  <c r="U1577" i="5" a="1"/>
  <c r="U1557" i="5" a="1"/>
  <c r="U1537" i="5" a="1"/>
  <c r="U1517" i="5" a="1"/>
  <c r="U1497" i="5" a="1"/>
  <c r="U1477" i="5" a="1"/>
  <c r="U1457" i="5" a="1"/>
  <c r="U1437" i="5" a="1"/>
  <c r="U1420" i="5" a="1"/>
  <c r="U1401" i="5" a="1"/>
  <c r="U1365" i="5" a="1"/>
  <c r="U1346" i="5" a="1"/>
  <c r="U1274" i="5" a="1"/>
  <c r="U1237" i="5" a="1"/>
  <c r="U1220" i="5" a="1"/>
  <c r="U1201" i="5" a="1"/>
  <c r="U1185" i="5" a="1"/>
  <c r="U1168" i="5" a="1"/>
  <c r="U1937" i="5" a="1"/>
  <c r="U1837" i="5" a="1"/>
  <c r="U1807" i="5" a="1"/>
  <c r="U1781" i="5" a="1"/>
  <c r="U1756" i="5" a="1"/>
  <c r="U1731" i="5" a="1"/>
  <c r="U1707" i="5" a="1"/>
  <c r="U1641" i="5" a="1"/>
  <c r="U1596" i="5" a="1"/>
  <c r="U1574" i="5" a="1"/>
  <c r="U1554" i="5" a="1"/>
  <c r="U1534" i="5" a="1"/>
  <c r="U1514" i="5" a="1"/>
  <c r="U1494" i="5" a="1"/>
  <c r="U1474" i="5" a="1"/>
  <c r="U1454" i="5" a="1"/>
  <c r="U1435" i="5" a="1"/>
  <c r="U1416" i="5" a="1"/>
  <c r="U1344" i="5" a="1"/>
  <c r="U1307" i="5" a="1"/>
  <c r="U1290" i="5" a="1"/>
  <c r="U1271" i="5" a="1"/>
  <c r="U1235" i="5" a="1"/>
  <c r="U1216" i="5" a="1"/>
  <c r="U1151" i="5" a="1"/>
  <c r="U1141" i="5" a="1"/>
  <c r="U1131" i="5" a="1"/>
  <c r="U1121" i="5" a="1"/>
  <c r="U1111" i="5" a="1"/>
  <c r="U1101" i="5" a="1"/>
  <c r="U1091" i="5" a="1"/>
  <c r="U1081" i="5" a="1"/>
  <c r="U1071" i="5" a="1"/>
  <c r="U1061" i="5" a="1"/>
  <c r="U1687" i="5" a="1"/>
  <c r="U1326" i="5" a="1"/>
  <c r="U1016" i="5" a="1"/>
  <c r="U979" i="5" a="1"/>
  <c r="U961" i="5" a="1"/>
  <c r="U942" i="5" a="1"/>
  <c r="U924" i="5" a="1"/>
  <c r="U846" i="5" a="1"/>
  <c r="U831" i="5" a="1"/>
  <c r="U802" i="5" a="1"/>
  <c r="U746" i="5" a="1"/>
  <c r="U731" i="5" a="1"/>
  <c r="U703" i="5" a="1"/>
  <c r="U677" i="5" a="1"/>
  <c r="U663" i="5" a="1"/>
  <c r="U637" i="5" a="1"/>
  <c r="U623" i="5" a="1"/>
  <c r="U586" i="5" a="1"/>
  <c r="U575" i="5" a="1"/>
  <c r="U565" i="5" a="1"/>
  <c r="U555" i="5" a="1"/>
  <c r="U545" i="5" a="1"/>
  <c r="U535" i="5" a="1"/>
  <c r="U525" i="5" a="1"/>
  <c r="U515" i="5" a="1"/>
  <c r="U505" i="5" a="1"/>
  <c r="U495" i="5" a="1"/>
  <c r="U485" i="5" a="1"/>
  <c r="U475" i="5" a="1"/>
  <c r="U465" i="5" a="1"/>
  <c r="U455" i="5" a="1"/>
  <c r="U445" i="5" a="1"/>
  <c r="U435" i="5" a="1"/>
  <c r="U425" i="5" a="1"/>
  <c r="U415" i="5" a="1"/>
  <c r="U405" i="5" a="1"/>
  <c r="U395" i="5" a="1"/>
  <c r="U385" i="5" a="1"/>
  <c r="U375" i="5" a="1"/>
  <c r="U365" i="5" a="1"/>
  <c r="U355" i="5" a="1"/>
  <c r="U345" i="5" a="1"/>
  <c r="U335" i="5" a="1"/>
  <c r="U325" i="5" a="1"/>
  <c r="U315" i="5" a="1"/>
  <c r="U305" i="5" a="1"/>
  <c r="U295" i="5" a="1"/>
  <c r="U285" i="5" a="1"/>
  <c r="U275" i="5" a="1"/>
  <c r="U265" i="5" a="1"/>
  <c r="U255" i="5" a="1"/>
  <c r="U245" i="5" a="1"/>
  <c r="U235" i="5" a="1"/>
  <c r="U225" i="5" a="1"/>
  <c r="U215" i="5" a="1"/>
  <c r="U205" i="5" a="1"/>
  <c r="U195" i="5" a="1"/>
  <c r="U185" i="5" a="1"/>
  <c r="U175" i="5" a="1"/>
  <c r="U165" i="5" a="1"/>
  <c r="U155" i="5" a="1"/>
  <c r="U145" i="5" a="1"/>
  <c r="U135" i="5" a="1"/>
  <c r="U125" i="5" a="1"/>
  <c r="U115" i="5" a="1"/>
  <c r="U105" i="5" a="1"/>
  <c r="U1907" i="5" a="1"/>
  <c r="U1664" i="5" a="1"/>
  <c r="U1374" i="5" a="1"/>
  <c r="U1317" i="5" a="1"/>
  <c r="U1180" i="5" a="1"/>
  <c r="U1048" i="5" a="1"/>
  <c r="U976" i="5" a="1"/>
  <c r="U939" i="5" a="1"/>
  <c r="U921" i="5" a="1"/>
  <c r="U902" i="5" a="1"/>
  <c r="U871" i="5" a="1"/>
  <c r="U842" i="5" a="1"/>
  <c r="U786" i="5" a="1"/>
  <c r="U771" i="5" a="1"/>
  <c r="U742" i="5" a="1"/>
  <c r="U700" i="5" a="1"/>
  <c r="U660" i="5" a="1"/>
  <c r="U620" i="5" a="1"/>
  <c r="U595" i="5" a="1"/>
  <c r="U573" i="5" a="1"/>
  <c r="U563" i="5" a="1"/>
  <c r="U553" i="5" a="1"/>
  <c r="U543" i="5" a="1"/>
  <c r="U533" i="5" a="1"/>
  <c r="U523" i="5" a="1"/>
  <c r="U513" i="5" a="1"/>
  <c r="U503" i="5" a="1"/>
  <c r="U493" i="5" a="1"/>
  <c r="U483" i="5" a="1"/>
  <c r="U473" i="5" a="1"/>
  <c r="U463" i="5" a="1"/>
  <c r="U453" i="5" a="1"/>
  <c r="U443" i="5" a="1"/>
  <c r="U433" i="5" a="1"/>
  <c r="U423" i="5" a="1"/>
  <c r="U413" i="5" a="1"/>
  <c r="U403" i="5" a="1"/>
  <c r="U393" i="5" a="1"/>
  <c r="U383" i="5" a="1"/>
  <c r="U373" i="5" a="1"/>
  <c r="U363" i="5" a="1"/>
  <c r="U353" i="5" a="1"/>
  <c r="U343" i="5" a="1"/>
  <c r="U333" i="5" a="1"/>
  <c r="U323" i="5" a="1"/>
  <c r="U313" i="5" a="1"/>
  <c r="U303" i="5" a="1"/>
  <c r="U293" i="5" a="1"/>
  <c r="U283" i="5" a="1"/>
  <c r="U273" i="5" a="1"/>
  <c r="U263" i="5" a="1"/>
  <c r="U253" i="5" a="1"/>
  <c r="U243" i="5" a="1"/>
  <c r="U233" i="5" a="1"/>
  <c r="U223" i="5" a="1"/>
  <c r="U213" i="5" a="1"/>
  <c r="U203" i="5" a="1"/>
  <c r="U193" i="5" a="1"/>
  <c r="U183" i="5" a="1"/>
  <c r="U173" i="5" a="1"/>
  <c r="U163" i="5" a="1"/>
  <c r="U153" i="5" a="1"/>
  <c r="U143" i="5" a="1"/>
  <c r="U1810" i="5" a="1"/>
  <c r="U1630" i="5" a="1"/>
  <c r="U1524" i="5" a="1"/>
  <c r="U1426" i="5" a="1"/>
  <c r="U1301" i="5" a="1"/>
  <c r="U1255" i="5" a="1"/>
  <c r="U1167" i="5" a="1"/>
  <c r="U1042" i="5" a="1"/>
  <c r="U1024" i="5" a="1"/>
  <c r="U988" i="5" a="1"/>
  <c r="U916" i="5" a="1"/>
  <c r="U852" i="5" a="1"/>
  <c r="U796" i="5" a="1"/>
  <c r="U781" i="5" a="1"/>
  <c r="U752" i="5" a="1"/>
  <c r="U697" i="5" a="1"/>
  <c r="U683" i="5" a="1"/>
  <c r="U657" i="5" a="1"/>
  <c r="U643" i="5" a="1"/>
  <c r="U617" i="5" a="1"/>
  <c r="U580" i="5" a="1"/>
  <c r="U570" i="5" a="1"/>
  <c r="U560" i="5" a="1"/>
  <c r="U550" i="5" a="1"/>
  <c r="U540" i="5" a="1"/>
  <c r="U530" i="5" a="1"/>
  <c r="U520" i="5" a="1"/>
  <c r="U510" i="5" a="1"/>
  <c r="U500" i="5" a="1"/>
  <c r="U490" i="5" a="1"/>
  <c r="U480" i="5" a="1"/>
  <c r="U470" i="5" a="1"/>
  <c r="U460" i="5" a="1"/>
  <c r="U450" i="5" a="1"/>
  <c r="U440" i="5" a="1"/>
  <c r="U430" i="5" a="1"/>
  <c r="U420" i="5" a="1"/>
  <c r="U410" i="5" a="1"/>
  <c r="U400" i="5" a="1"/>
  <c r="U390" i="5" a="1"/>
  <c r="U380" i="5" a="1"/>
  <c r="U370" i="5" a="1"/>
  <c r="U360" i="5" a="1"/>
  <c r="U350" i="5" a="1"/>
  <c r="U340" i="5" a="1"/>
  <c r="U330" i="5" a="1"/>
  <c r="U320" i="5" a="1"/>
  <c r="U310" i="5" a="1"/>
  <c r="U300" i="5" a="1"/>
  <c r="U290" i="5" a="1"/>
  <c r="U280" i="5" a="1"/>
  <c r="U270" i="5" a="1"/>
  <c r="U260" i="5" a="1"/>
  <c r="U250" i="5" a="1"/>
  <c r="U240" i="5" a="1"/>
  <c r="U230" i="5" a="1"/>
  <c r="U220" i="5" a="1"/>
  <c r="U210" i="5" a="1"/>
  <c r="U200" i="5" a="1"/>
  <c r="U190" i="5" a="1"/>
  <c r="U180" i="5" a="1"/>
  <c r="U170" i="5" a="1"/>
  <c r="U160" i="5" a="1"/>
  <c r="U150" i="5" a="1"/>
  <c r="U140" i="5" a="1"/>
  <c r="U130" i="5" a="1"/>
  <c r="U120" i="5" a="1"/>
  <c r="U110" i="5" a="1"/>
  <c r="U100" i="5" a="1"/>
  <c r="U1621" i="5" a="1"/>
  <c r="U1516" i="5" a="1"/>
  <c r="U1354" i="5" a="1"/>
  <c r="U1300" i="5" a="1"/>
  <c r="U1254" i="5" a="1"/>
  <c r="U1166" i="5" a="1"/>
  <c r="U1006" i="5" a="1"/>
  <c r="U969" i="5" a="1"/>
  <c r="U951" i="5" a="1"/>
  <c r="U932" i="5" a="1"/>
  <c r="U914" i="5" a="1"/>
  <c r="U881" i="5" a="1"/>
  <c r="U838" i="5" a="1"/>
  <c r="U823" i="5" a="1"/>
  <c r="U809" i="5" a="1"/>
  <c r="U794" i="5" a="1"/>
  <c r="U780" i="5" a="1"/>
  <c r="U738" i="5" a="1"/>
  <c r="U723" i="5" a="1"/>
  <c r="U709" i="5" a="1"/>
  <c r="U682" i="5" a="1"/>
  <c r="U669" i="5" a="1"/>
  <c r="U642" i="5" a="1"/>
  <c r="U629" i="5" a="1"/>
  <c r="U603" i="5" a="1"/>
  <c r="U591" i="5" a="1"/>
  <c r="U1784" i="5" a="1"/>
  <c r="U1620" i="5" a="1"/>
  <c r="U1207" i="5" a="1"/>
  <c r="U1139" i="5" a="1"/>
  <c r="U1119" i="5" a="1"/>
  <c r="U1099" i="5" a="1"/>
  <c r="U1079" i="5" a="1"/>
  <c r="U1059" i="5" a="1"/>
  <c r="U1041" i="5" a="1"/>
  <c r="U1022" i="5" a="1"/>
  <c r="U1004" i="5" a="1"/>
  <c r="U968" i="5" a="1"/>
  <c r="U896" i="5" a="1"/>
  <c r="U880" i="5" a="1"/>
  <c r="U866" i="5" a="1"/>
  <c r="U851" i="5" a="1"/>
  <c r="U822" i="5" a="1"/>
  <c r="U766" i="5" a="1"/>
  <c r="U751" i="5" a="1"/>
  <c r="U722" i="5" a="1"/>
  <c r="U696" i="5" a="1"/>
  <c r="U656" i="5" a="1"/>
  <c r="U616" i="5" a="1"/>
  <c r="U602" i="5" a="1"/>
  <c r="U590" i="5" a="1"/>
  <c r="U579" i="5" a="1"/>
  <c r="U569" i="5" a="1"/>
  <c r="U559" i="5" a="1"/>
  <c r="U549" i="5" a="1"/>
  <c r="U539" i="5" a="1"/>
  <c r="U529" i="5" a="1"/>
  <c r="U519" i="5" a="1"/>
  <c r="U509" i="5" a="1"/>
  <c r="U499" i="5" a="1"/>
  <c r="U489" i="5" a="1"/>
  <c r="U479" i="5" a="1"/>
  <c r="U469" i="5" a="1"/>
  <c r="U459" i="5" a="1"/>
  <c r="U449" i="5" a="1"/>
  <c r="U439" i="5" a="1"/>
  <c r="U429" i="5" a="1"/>
  <c r="U419" i="5" a="1"/>
  <c r="U409" i="5" a="1"/>
  <c r="U399" i="5" a="1"/>
  <c r="U389" i="5" a="1"/>
  <c r="U379" i="5" a="1"/>
  <c r="U369" i="5" a="1"/>
  <c r="U359" i="5" a="1"/>
  <c r="U349" i="5" a="1"/>
  <c r="U339" i="5" a="1"/>
  <c r="U329" i="5" a="1"/>
  <c r="U319" i="5" a="1"/>
  <c r="U309" i="5" a="1"/>
  <c r="U299" i="5" a="1"/>
  <c r="U289" i="5" a="1"/>
  <c r="U279" i="5" a="1"/>
  <c r="U269" i="5" a="1"/>
  <c r="U259" i="5" a="1"/>
  <c r="U249" i="5" a="1"/>
  <c r="U1757" i="5" a="1"/>
  <c r="U1496" i="5" a="1"/>
  <c r="U1245" i="5" a="1"/>
  <c r="U1200" i="5" a="1"/>
  <c r="U1158" i="5" a="1"/>
  <c r="U1038" i="5" a="1"/>
  <c r="U966" i="5" a="1"/>
  <c r="U929" i="5" a="1"/>
  <c r="U911" i="5" a="1"/>
  <c r="U893" i="5" a="1"/>
  <c r="U878" i="5" a="1"/>
  <c r="U863" i="5" a="1"/>
  <c r="U849" i="5" a="1"/>
  <c r="U834" i="5" a="1"/>
  <c r="U820" i="5" a="1"/>
  <c r="U778" i="5" a="1"/>
  <c r="U763" i="5" a="1"/>
  <c r="U749" i="5" a="1"/>
  <c r="U734" i="5" a="1"/>
  <c r="U720" i="5" a="1"/>
  <c r="U707" i="5" a="1"/>
  <c r="U693" i="5" a="1"/>
  <c r="U667" i="5" a="1"/>
  <c r="U653" i="5" a="1"/>
  <c r="U627" i="5" a="1"/>
  <c r="U613" i="5" a="1"/>
  <c r="U600" i="5" a="1"/>
  <c r="U1974" i="5" a="1"/>
  <c r="U1484" i="5" a="1"/>
  <c r="U1371" i="5" a="1"/>
  <c r="U1286" i="5" a="1"/>
  <c r="U1226" i="5" a="1"/>
  <c r="U1019" i="5" a="1"/>
  <c r="U994" i="5" a="1"/>
  <c r="U891" i="5" a="1"/>
  <c r="U829" i="5" a="1"/>
  <c r="U808" i="5" a="1"/>
  <c r="U788" i="5" a="1"/>
  <c r="U688" i="5" a="1"/>
  <c r="U668" i="5" a="1"/>
  <c r="U649" i="5" a="1"/>
  <c r="U631" i="5" a="1"/>
  <c r="U611" i="5" a="1"/>
  <c r="U594" i="5" a="1"/>
  <c r="U577" i="5" a="1"/>
  <c r="U521" i="5" a="1"/>
  <c r="U506" i="5" a="1"/>
  <c r="U492" i="5" a="1"/>
  <c r="U477" i="5" a="1"/>
  <c r="U421" i="5" a="1"/>
  <c r="U406" i="5" a="1"/>
  <c r="U392" i="5" a="1"/>
  <c r="U377" i="5" a="1"/>
  <c r="U321" i="5" a="1"/>
  <c r="U306" i="5" a="1"/>
  <c r="U292" i="5" a="1"/>
  <c r="U277" i="5" a="1"/>
  <c r="U222" i="5" a="1"/>
  <c r="U182" i="5" a="1"/>
  <c r="U142" i="5" a="1"/>
  <c r="U129" i="5" a="1"/>
  <c r="U104" i="5" a="1"/>
  <c r="U998" i="5" a="1"/>
  <c r="U1631" i="5" a="1"/>
  <c r="U1476" i="5" a="1"/>
  <c r="U1364" i="5" a="1"/>
  <c r="U1284" i="5" a="1"/>
  <c r="U1221" i="5" a="1"/>
  <c r="U1160" i="5" a="1"/>
  <c r="U1129" i="5" a="1"/>
  <c r="U1102" i="5" a="1"/>
  <c r="U1072" i="5" a="1"/>
  <c r="U1046" i="5" a="1"/>
  <c r="U1018" i="5" a="1"/>
  <c r="U992" i="5" a="1"/>
  <c r="U941" i="5" a="1"/>
  <c r="U890" i="5" a="1"/>
  <c r="U869" i="5" a="1"/>
  <c r="U848" i="5" a="1"/>
  <c r="U828" i="5" a="1"/>
  <c r="U768" i="5" a="1"/>
  <c r="U706" i="5" a="1"/>
  <c r="U687" i="5" a="1"/>
  <c r="U630" i="5" a="1"/>
  <c r="U610" i="5" a="1"/>
  <c r="U548" i="5" a="1"/>
  <c r="U534" i="5" a="1"/>
  <c r="U448" i="5" a="1"/>
  <c r="U434" i="5" a="1"/>
  <c r="U348" i="5" a="1"/>
  <c r="U334" i="5" a="1"/>
  <c r="U248" i="5" a="1"/>
  <c r="U208" i="5" a="1"/>
  <c r="U168" i="5" a="1"/>
  <c r="U116" i="5" a="1"/>
  <c r="U408" i="5" a="1"/>
  <c r="U1157" i="5" a="1"/>
  <c r="U1128" i="5" a="1"/>
  <c r="U1098" i="5" a="1"/>
  <c r="U1044" i="5" a="1"/>
  <c r="U964" i="5" a="1"/>
  <c r="U912" i="5" a="1"/>
  <c r="U889" i="5" a="1"/>
  <c r="U806" i="5" a="1"/>
  <c r="U764" i="5" a="1"/>
  <c r="U744" i="5" a="1"/>
  <c r="U726" i="5" a="1"/>
  <c r="U704" i="5" a="1"/>
  <c r="U648" i="5" a="1"/>
  <c r="U628" i="5" a="1"/>
  <c r="U609" i="5" a="1"/>
  <c r="U593" i="5" a="1"/>
  <c r="U576" i="5" a="1"/>
  <c r="U562" i="5" a="1"/>
  <c r="U547" i="5" a="1"/>
  <c r="U491" i="5" a="1"/>
  <c r="U476" i="5" a="1"/>
  <c r="U462" i="5" a="1"/>
  <c r="U447" i="5" a="1"/>
  <c r="U391" i="5" a="1"/>
  <c r="U376" i="5" a="1"/>
  <c r="U362" i="5" a="1"/>
  <c r="U347" i="5" a="1"/>
  <c r="U291" i="5" a="1"/>
  <c r="U276" i="5" a="1"/>
  <c r="U262" i="5" a="1"/>
  <c r="U247" i="5" a="1"/>
  <c r="U234" i="5" a="1"/>
  <c r="U221" i="5" a="1"/>
  <c r="U207" i="5" a="1"/>
  <c r="U194" i="5" a="1"/>
  <c r="U181" i="5" a="1"/>
  <c r="U167" i="5" a="1"/>
  <c r="U154" i="5" a="1"/>
  <c r="U141" i="5" a="1"/>
  <c r="U128" i="5" a="1"/>
  <c r="U103" i="5" a="1"/>
  <c r="U1051" i="5" a="1"/>
  <c r="U711" i="5" a="1"/>
  <c r="U481" i="5" a="1"/>
  <c r="U381" i="5" a="1"/>
  <c r="U281" i="5" a="1"/>
  <c r="U198" i="5" a="1"/>
  <c r="U853" i="5" a="1"/>
  <c r="U1230" i="5" a="1"/>
  <c r="U422" i="5" a="1"/>
  <c r="U118" i="5" a="1"/>
  <c r="U1906" i="5" a="1"/>
  <c r="U1607" i="5" a="1"/>
  <c r="U1464" i="5" a="1"/>
  <c r="U1356" i="5" a="1"/>
  <c r="U1281" i="5" a="1"/>
  <c r="U1217" i="5" a="1"/>
  <c r="U1069" i="5" a="1"/>
  <c r="U991" i="5" a="1"/>
  <c r="U938" i="5" a="1"/>
  <c r="U888" i="5" a="1"/>
  <c r="U868" i="5" a="1"/>
  <c r="U804" i="5" a="1"/>
  <c r="U784" i="5" a="1"/>
  <c r="U724" i="5" a="1"/>
  <c r="U686" i="5" a="1"/>
  <c r="U666" i="5" a="1"/>
  <c r="U647" i="5" a="1"/>
  <c r="U592" i="5" a="1"/>
  <c r="U518" i="5" a="1"/>
  <c r="U504" i="5" a="1"/>
  <c r="U418" i="5" a="1"/>
  <c r="U404" i="5" a="1"/>
  <c r="U318" i="5" a="1"/>
  <c r="U304" i="5" a="1"/>
  <c r="U127" i="5" a="1"/>
  <c r="U1174" i="5" a="1"/>
  <c r="U1597" i="5" a="1"/>
  <c r="U1456" i="5" a="1"/>
  <c r="U1214" i="5" a="1"/>
  <c r="U1154" i="5" a="1"/>
  <c r="U1126" i="5" a="1"/>
  <c r="U1096" i="5" a="1"/>
  <c r="U1068" i="5" a="1"/>
  <c r="U1014" i="5" a="1"/>
  <c r="U962" i="5" a="1"/>
  <c r="U864" i="5" a="1"/>
  <c r="U844" i="5" a="1"/>
  <c r="U826" i="5" a="1"/>
  <c r="U762" i="5" a="1"/>
  <c r="U743" i="5" a="1"/>
  <c r="U702" i="5" a="1"/>
  <c r="U684" i="5" a="1"/>
  <c r="U664" i="5" a="1"/>
  <c r="U608" i="5" a="1"/>
  <c r="U561" i="5" a="1"/>
  <c r="U546" i="5" a="1"/>
  <c r="U532" i="5" a="1"/>
  <c r="U517" i="5" a="1"/>
  <c r="U461" i="5" a="1"/>
  <c r="U446" i="5" a="1"/>
  <c r="U432" i="5" a="1"/>
  <c r="U417" i="5" a="1"/>
  <c r="U361" i="5" a="1"/>
  <c r="U346" i="5" a="1"/>
  <c r="U332" i="5" a="1"/>
  <c r="U317" i="5" a="1"/>
  <c r="U261" i="5" a="1"/>
  <c r="U246" i="5" a="1"/>
  <c r="U219" i="5" a="1"/>
  <c r="U206" i="5" a="1"/>
  <c r="U179" i="5" a="1"/>
  <c r="U166" i="5" a="1"/>
  <c r="U139" i="5" a="1"/>
  <c r="U114" i="5" a="1"/>
  <c r="U102" i="5" a="1"/>
  <c r="U873" i="5" a="1"/>
  <c r="U184" i="5" a="1"/>
  <c r="U1874" i="5" a="1"/>
  <c r="U1586" i="5" a="1"/>
  <c r="U1345" i="5" a="1"/>
  <c r="U1211" i="5" a="1"/>
  <c r="U1152" i="5" a="1"/>
  <c r="U1124" i="5" a="1"/>
  <c r="U1094" i="5" a="1"/>
  <c r="U1039" i="5" a="1"/>
  <c r="U989" i="5" a="1"/>
  <c r="U909" i="5" a="1"/>
  <c r="U886" i="5" a="1"/>
  <c r="U824" i="5" a="1"/>
  <c r="U803" i="5" a="1"/>
  <c r="U783" i="5" a="1"/>
  <c r="U721" i="5" a="1"/>
  <c r="U646" i="5" a="1"/>
  <c r="U626" i="5" a="1"/>
  <c r="U607" i="5" a="1"/>
  <c r="U589" i="5" a="1"/>
  <c r="U574" i="5" a="1"/>
  <c r="U488" i="5" a="1"/>
  <c r="U474" i="5" a="1"/>
  <c r="U388" i="5" a="1"/>
  <c r="U374" i="5" a="1"/>
  <c r="U288" i="5" a="1"/>
  <c r="U274" i="5" a="1"/>
  <c r="U232" i="5" a="1"/>
  <c r="U192" i="5" a="1"/>
  <c r="U152" i="5" a="1"/>
  <c r="U126" i="5" a="1"/>
  <c r="U791" i="5" a="1"/>
  <c r="U652" i="5" a="1"/>
  <c r="U566" i="5" a="1"/>
  <c r="U452" i="5" a="1"/>
  <c r="U337" i="5" a="1"/>
  <c r="U238" i="5" a="1"/>
  <c r="U158" i="5" a="1"/>
  <c r="U1504" i="5" a="1"/>
  <c r="U581" i="5" a="1"/>
  <c r="U171" i="5" a="1"/>
  <c r="U1106" i="5" a="1"/>
  <c r="U1444" i="5" a="1"/>
  <c r="U1337" i="5" a="1"/>
  <c r="U1066" i="5" a="1"/>
  <c r="U1012" i="5" a="1"/>
  <c r="U986" i="5" a="1"/>
  <c r="U936" i="5" a="1"/>
  <c r="U908" i="5" a="1"/>
  <c r="U884" i="5" a="1"/>
  <c r="U862" i="5" a="1"/>
  <c r="U843" i="5" a="1"/>
  <c r="U782" i="5" a="1"/>
  <c r="U761" i="5" a="1"/>
  <c r="U741" i="5" a="1"/>
  <c r="U701" i="5" a="1"/>
  <c r="U681" i="5" a="1"/>
  <c r="U662" i="5" a="1"/>
  <c r="U644" i="5" a="1"/>
  <c r="U624" i="5" a="1"/>
  <c r="U588" i="5" a="1"/>
  <c r="U531" i="5" a="1"/>
  <c r="U516" i="5" a="1"/>
  <c r="U502" i="5" a="1"/>
  <c r="U487" i="5" a="1"/>
  <c r="U431" i="5" a="1"/>
  <c r="U416" i="5" a="1"/>
  <c r="U402" i="5" a="1"/>
  <c r="U387" i="5" a="1"/>
  <c r="U331" i="5" a="1"/>
  <c r="U316" i="5" a="1"/>
  <c r="U302" i="5" a="1"/>
  <c r="U287" i="5" a="1"/>
  <c r="U218" i="5" a="1"/>
  <c r="U178" i="5" a="1"/>
  <c r="U138" i="5" a="1"/>
  <c r="U113" i="5" a="1"/>
  <c r="U101" i="5" a="1"/>
  <c r="U1176" i="5" a="1"/>
  <c r="U1026" i="5" a="1"/>
  <c r="U1576" i="5" a="1"/>
  <c r="U1436" i="5" a="1"/>
  <c r="U1149" i="5" a="1"/>
  <c r="U1122" i="5" a="1"/>
  <c r="U1092" i="5" a="1"/>
  <c r="U1064" i="5" a="1"/>
  <c r="U1011" i="5" a="1"/>
  <c r="U984" i="5" a="1"/>
  <c r="U959" i="5" a="1"/>
  <c r="U934" i="5" a="1"/>
  <c r="U821" i="5" a="1"/>
  <c r="U801" i="5" a="1"/>
  <c r="U760" i="5" a="1"/>
  <c r="U740" i="5" a="1"/>
  <c r="U719" i="5" a="1"/>
  <c r="U680" i="5" a="1"/>
  <c r="U606" i="5" a="1"/>
  <c r="U558" i="5" a="1"/>
  <c r="U544" i="5" a="1"/>
  <c r="U458" i="5" a="1"/>
  <c r="U444" i="5" a="1"/>
  <c r="U358" i="5" a="1"/>
  <c r="U344" i="5" a="1"/>
  <c r="U258" i="5" a="1"/>
  <c r="U244" i="5" a="1"/>
  <c r="U231" i="5" a="1"/>
  <c r="U217" i="5" a="1"/>
  <c r="U204" i="5" a="1"/>
  <c r="U191" i="5" a="1"/>
  <c r="U177" i="5" a="1"/>
  <c r="U164" i="5" a="1"/>
  <c r="U151" i="5" a="1"/>
  <c r="U137" i="5" a="1"/>
  <c r="U1078" i="5" a="1"/>
  <c r="U672" i="5" a="1"/>
  <c r="U437" i="5" a="1"/>
  <c r="U790" i="5" a="1"/>
  <c r="U633" i="5" a="1"/>
  <c r="U308" i="5" a="1"/>
  <c r="U144" i="5" a="1"/>
  <c r="U1049" i="5" a="1"/>
  <c r="U1335" i="5" a="1"/>
  <c r="U1265" i="5" a="1"/>
  <c r="U1196" i="5" a="1"/>
  <c r="U1148" i="5" a="1"/>
  <c r="U1118" i="5" a="1"/>
  <c r="U1036" i="5" a="1"/>
  <c r="U982" i="5" a="1"/>
  <c r="U958" i="5" a="1"/>
  <c r="U931" i="5" a="1"/>
  <c r="U906" i="5" a="1"/>
  <c r="U883" i="5" a="1"/>
  <c r="U861" i="5" a="1"/>
  <c r="U841" i="5" a="1"/>
  <c r="U800" i="5" a="1"/>
  <c r="U779" i="5" a="1"/>
  <c r="U759" i="5" a="1"/>
  <c r="U699" i="5" a="1"/>
  <c r="U679" i="5" a="1"/>
  <c r="U661" i="5" a="1"/>
  <c r="U641" i="5" a="1"/>
  <c r="U622" i="5" a="1"/>
  <c r="U605" i="5" a="1"/>
  <c r="U587" i="5" a="1"/>
  <c r="U572" i="5" a="1"/>
  <c r="U557" i="5" a="1"/>
  <c r="U501" i="5" a="1"/>
  <c r="U486" i="5" a="1"/>
  <c r="U472" i="5" a="1"/>
  <c r="U457" i="5" a="1"/>
  <c r="U401" i="5" a="1"/>
  <c r="U386" i="5" a="1"/>
  <c r="U372" i="5" a="1"/>
  <c r="U357" i="5" a="1"/>
  <c r="U301" i="5" a="1"/>
  <c r="U286" i="5" a="1"/>
  <c r="U272" i="5" a="1"/>
  <c r="U257" i="5" a="1"/>
  <c r="U124" i="5" a="1"/>
  <c r="U112" i="5" a="1"/>
  <c r="U99" i="5" a="1"/>
  <c r="U999" i="5" a="1"/>
  <c r="U832" i="5" a="1"/>
  <c r="U812" i="5" a="1"/>
  <c r="U750" i="5" a="1"/>
  <c r="U691" i="5" a="1"/>
  <c r="U597" i="5" a="1"/>
  <c r="U552" i="5" a="1"/>
  <c r="U466" i="5" a="1"/>
  <c r="U946" i="5" a="1"/>
  <c r="U872" i="5" a="1"/>
  <c r="U494" i="5" a="1"/>
  <c r="U211" i="5" a="1"/>
  <c r="U1076" i="5" a="1"/>
  <c r="U1564" i="5" a="1"/>
  <c r="U1327" i="5" a="1"/>
  <c r="U1194" i="5" a="1"/>
  <c r="U1089" i="5" a="1"/>
  <c r="U1062" i="5" a="1"/>
  <c r="U1034" i="5" a="1"/>
  <c r="U1009" i="5" a="1"/>
  <c r="U904" i="5" a="1"/>
  <c r="U882" i="5" a="1"/>
  <c r="U860" i="5" a="1"/>
  <c r="U840" i="5" a="1"/>
  <c r="U819" i="5" a="1"/>
  <c r="U799" i="5" a="1"/>
  <c r="U739" i="5" a="1"/>
  <c r="U718" i="5" a="1"/>
  <c r="U640" i="5" a="1"/>
  <c r="U604" i="5" a="1"/>
  <c r="U528" i="5" a="1"/>
  <c r="U514" i="5" a="1"/>
  <c r="U428" i="5" a="1"/>
  <c r="U414" i="5" a="1"/>
  <c r="U328" i="5" a="1"/>
  <c r="U314" i="5" a="1"/>
  <c r="U229" i="5" a="1"/>
  <c r="U216" i="5" a="1"/>
  <c r="U189" i="5" a="1"/>
  <c r="U176" i="5" a="1"/>
  <c r="U149" i="5" a="1"/>
  <c r="U136" i="5" a="1"/>
  <c r="U1305" i="5" a="1"/>
  <c r="U157" i="5" a="1"/>
  <c r="U1381" i="5" a="1"/>
  <c r="U919" i="5" a="1"/>
  <c r="U850" i="5" a="1"/>
  <c r="U811" i="5" a="1"/>
  <c r="U689" i="5" a="1"/>
  <c r="U651" i="5" a="1"/>
  <c r="U612" i="5" a="1"/>
  <c r="U551" i="5" a="1"/>
  <c r="U507" i="5" a="1"/>
  <c r="U436" i="5" a="1"/>
  <c r="U336" i="5" a="1"/>
  <c r="U307" i="5" a="1"/>
  <c r="U131" i="5" a="1"/>
  <c r="U1734" i="5" a="1"/>
  <c r="U1556" i="5" a="1"/>
  <c r="U1417" i="5" a="1"/>
  <c r="U1146" i="5" a="1"/>
  <c r="U1116" i="5" a="1"/>
  <c r="U1088" i="5" a="1"/>
  <c r="U1058" i="5" a="1"/>
  <c r="U1032" i="5" a="1"/>
  <c r="U1008" i="5" a="1"/>
  <c r="U981" i="5" a="1"/>
  <c r="U956" i="5" a="1"/>
  <c r="U928" i="5" a="1"/>
  <c r="U859" i="5" a="1"/>
  <c r="U758" i="5" a="1"/>
  <c r="U698" i="5" a="1"/>
  <c r="U678" i="5" a="1"/>
  <c r="U659" i="5" a="1"/>
  <c r="U639" i="5" a="1"/>
  <c r="U621" i="5" a="1"/>
  <c r="U585" i="5" a="1"/>
  <c r="U571" i="5" a="1"/>
  <c r="U556" i="5" a="1"/>
  <c r="U542" i="5" a="1"/>
  <c r="U527" i="5" a="1"/>
  <c r="U471" i="5" a="1"/>
  <c r="U456" i="5" a="1"/>
  <c r="U442" i="5" a="1"/>
  <c r="U427" i="5" a="1"/>
  <c r="U371" i="5" a="1"/>
  <c r="U356" i="5" a="1"/>
  <c r="U342" i="5" a="1"/>
  <c r="U327" i="5" a="1"/>
  <c r="U271" i="5" a="1"/>
  <c r="U256" i="5" a="1"/>
  <c r="U242" i="5" a="1"/>
  <c r="U202" i="5" a="1"/>
  <c r="U162" i="5" a="1"/>
  <c r="U123" i="5" a="1"/>
  <c r="U111" i="5" a="1"/>
  <c r="U98" i="5" a="1"/>
  <c r="U1136" i="5" a="1"/>
  <c r="U634" i="5" a="1"/>
  <c r="U770" i="5" a="1"/>
  <c r="U1257" i="5" a="1"/>
  <c r="U1191" i="5" a="1"/>
  <c r="U1144" i="5" a="1"/>
  <c r="U1114" i="5" a="1"/>
  <c r="U954" i="5" a="1"/>
  <c r="U879" i="5" a="1"/>
  <c r="U839" i="5" a="1"/>
  <c r="U818" i="5" a="1"/>
  <c r="U798" i="5" a="1"/>
  <c r="U736" i="5" a="1"/>
  <c r="U716" i="5" a="1"/>
  <c r="U601" i="5" a="1"/>
  <c r="U498" i="5" a="1"/>
  <c r="U484" i="5" a="1"/>
  <c r="U398" i="5" a="1"/>
  <c r="U384" i="5" a="1"/>
  <c r="U298" i="5" a="1"/>
  <c r="U284" i="5" a="1"/>
  <c r="U228" i="5" a="1"/>
  <c r="U188" i="5" a="1"/>
  <c r="U148" i="5" a="1"/>
  <c r="U97" i="5" a="1"/>
  <c r="U1108" i="5" a="1"/>
  <c r="U614" i="5" a="1"/>
  <c r="U266" i="5" a="1"/>
  <c r="U119" i="5" a="1"/>
  <c r="U1175" i="5" a="1"/>
  <c r="U237" i="5" a="1"/>
  <c r="U1710" i="5" a="1"/>
  <c r="U1544" i="5" a="1"/>
  <c r="U1407" i="5" a="1"/>
  <c r="U1320" i="5" a="1"/>
  <c r="U1247" i="5" a="1"/>
  <c r="U1186" i="5" a="1"/>
  <c r="U1086" i="5" a="1"/>
  <c r="U1056" i="5" a="1"/>
  <c r="U1031" i="5" a="1"/>
  <c r="U978" i="5" a="1"/>
  <c r="U901" i="5" a="1"/>
  <c r="U858" i="5" a="1"/>
  <c r="U776" i="5" a="1"/>
  <c r="U756" i="5" a="1"/>
  <c r="U714" i="5" a="1"/>
  <c r="U694" i="5" a="1"/>
  <c r="U658" i="5" a="1"/>
  <c r="U638" i="5" a="1"/>
  <c r="U619" i="5" a="1"/>
  <c r="U584" i="5" a="1"/>
  <c r="U541" i="5" a="1"/>
  <c r="U526" i="5" a="1"/>
  <c r="U512" i="5" a="1"/>
  <c r="U497" i="5" a="1"/>
  <c r="U441" i="5" a="1"/>
  <c r="U426" i="5" a="1"/>
  <c r="U412" i="5" a="1"/>
  <c r="U397" i="5" a="1"/>
  <c r="U341" i="5" a="1"/>
  <c r="U326" i="5" a="1"/>
  <c r="U312" i="5" a="1"/>
  <c r="U297" i="5" a="1"/>
  <c r="U241" i="5" a="1"/>
  <c r="U227" i="5" a="1"/>
  <c r="U214" i="5" a="1"/>
  <c r="U201" i="5" a="1"/>
  <c r="U187" i="5" a="1"/>
  <c r="U174" i="5" a="1"/>
  <c r="U161" i="5" a="1"/>
  <c r="U147" i="5" a="1"/>
  <c r="U134" i="5" a="1"/>
  <c r="U122" i="5" a="1"/>
  <c r="U109" i="5" a="1"/>
  <c r="U1236" i="5" a="1"/>
  <c r="U730" i="5" a="1"/>
  <c r="U537" i="5" a="1"/>
  <c r="U366" i="5" a="1"/>
  <c r="U252" i="5" a="1"/>
  <c r="U132" i="5" a="1"/>
  <c r="U972" i="5" a="1"/>
  <c r="U710" i="5" a="1"/>
  <c r="U508" i="5" a="1"/>
  <c r="U294" i="5" a="1"/>
  <c r="U197" i="5" a="1"/>
  <c r="U106" i="5" a="1"/>
  <c r="U708" i="5" a="1"/>
  <c r="U1536" i="5" a="1"/>
  <c r="U1316" i="5" a="1"/>
  <c r="U1246" i="5" a="1"/>
  <c r="U1184" i="5" a="1"/>
  <c r="U1142" i="5" a="1"/>
  <c r="U1112" i="5" a="1"/>
  <c r="U1084" i="5" a="1"/>
  <c r="U1054" i="5" a="1"/>
  <c r="U1029" i="5" a="1"/>
  <c r="U1002" i="5" a="1"/>
  <c r="U952" i="5" a="1"/>
  <c r="U926" i="5" a="1"/>
  <c r="U836" i="5" a="1"/>
  <c r="U816" i="5" a="1"/>
  <c r="U774" i="5" a="1"/>
  <c r="U754" i="5" a="1"/>
  <c r="U733" i="5" a="1"/>
  <c r="U713" i="5" a="1"/>
  <c r="U676" i="5" a="1"/>
  <c r="U599" i="5" a="1"/>
  <c r="U583" i="5" a="1"/>
  <c r="U568" i="5" a="1"/>
  <c r="U554" i="5" a="1"/>
  <c r="U468" i="5" a="1"/>
  <c r="U454" i="5" a="1"/>
  <c r="U368" i="5" a="1"/>
  <c r="U354" i="5" a="1"/>
  <c r="U268" i="5" a="1"/>
  <c r="U254" i="5" a="1"/>
  <c r="U96" i="5" a="1"/>
  <c r="U1390" i="5" a="1"/>
  <c r="U352" i="5" a="1"/>
  <c r="U1294" i="5" a="1"/>
  <c r="U944" i="5" a="1"/>
  <c r="U892" i="5" a="1"/>
  <c r="U830" i="5" a="1"/>
  <c r="U729" i="5" a="1"/>
  <c r="U671" i="5" a="1"/>
  <c r="U632" i="5" a="1"/>
  <c r="U596" i="5" a="1"/>
  <c r="U536" i="5" a="1"/>
  <c r="U451" i="5" a="1"/>
  <c r="U407" i="5" a="1"/>
  <c r="U351" i="5" a="1"/>
  <c r="U322" i="5" a="1"/>
  <c r="U251" i="5" a="1"/>
  <c r="U1686" i="5" a="1"/>
  <c r="U1400" i="5" a="1"/>
  <c r="U1310" i="5" a="1"/>
  <c r="U1244" i="5" a="1"/>
  <c r="U1138" i="5" a="1"/>
  <c r="U1028" i="5" a="1"/>
  <c r="U1001" i="5" a="1"/>
  <c r="U949" i="5" a="1"/>
  <c r="U899" i="5" a="1"/>
  <c r="U876" i="5" a="1"/>
  <c r="U856" i="5" a="1"/>
  <c r="U814" i="5" a="1"/>
  <c r="U793" i="5" a="1"/>
  <c r="U773" i="5" a="1"/>
  <c r="U732" i="5" a="1"/>
  <c r="U712" i="5" a="1"/>
  <c r="U692" i="5" a="1"/>
  <c r="U674" i="5" a="1"/>
  <c r="U654" i="5" a="1"/>
  <c r="U618" i="5" a="1"/>
  <c r="U567" i="5" a="1"/>
  <c r="U511" i="5" a="1"/>
  <c r="U496" i="5" a="1"/>
  <c r="U482" i="5" a="1"/>
  <c r="U467" i="5" a="1"/>
  <c r="U411" i="5" a="1"/>
  <c r="U396" i="5" a="1"/>
  <c r="U382" i="5" a="1"/>
  <c r="U367" i="5" a="1"/>
  <c r="U311" i="5" a="1"/>
  <c r="U296" i="5" a="1"/>
  <c r="U282" i="5" a="1"/>
  <c r="U267" i="5" a="1"/>
  <c r="U239" i="5" a="1"/>
  <c r="U226" i="5" a="1"/>
  <c r="U199" i="5" a="1"/>
  <c r="U186" i="5" a="1"/>
  <c r="U159" i="5" a="1"/>
  <c r="U146" i="5" a="1"/>
  <c r="U133" i="5" a="1"/>
  <c r="U121" i="5" a="1"/>
  <c r="U108" i="5" a="1"/>
  <c r="U394" i="5" a="1"/>
  <c r="U1240" i="5" a="1"/>
  <c r="U1177" i="5" a="1"/>
  <c r="U1109" i="5" a="1"/>
  <c r="U1082" i="5" a="1"/>
  <c r="U1052" i="5" a="1"/>
  <c r="U974" i="5" a="1"/>
  <c r="U948" i="5" a="1"/>
  <c r="U922" i="5" a="1"/>
  <c r="U898" i="5" a="1"/>
  <c r="U874" i="5" a="1"/>
  <c r="U854" i="5" a="1"/>
  <c r="U833" i="5" a="1"/>
  <c r="U813" i="5" a="1"/>
  <c r="U792" i="5" a="1"/>
  <c r="U772" i="5" a="1"/>
  <c r="U753" i="5" a="1"/>
  <c r="U673" i="5" a="1"/>
  <c r="U636" i="5" a="1"/>
  <c r="U598" i="5" a="1"/>
  <c r="U582" i="5" a="1"/>
  <c r="U538" i="5" a="1"/>
  <c r="U524" i="5" a="1"/>
  <c r="U438" i="5" a="1"/>
  <c r="U424" i="5" a="1"/>
  <c r="U338" i="5" a="1"/>
  <c r="U324" i="5" a="1"/>
  <c r="U212" i="5" a="1"/>
  <c r="U172" i="5" a="1"/>
  <c r="U107" i="5" a="1"/>
  <c r="U1134" i="5" a="1"/>
  <c r="U690" i="5" a="1"/>
  <c r="U224" i="5" a="1"/>
  <c r="U522" i="5" a="1"/>
  <c r="U1291" i="5" a="1"/>
  <c r="U1170" i="5" a="1"/>
  <c r="U1132" i="5" a="1"/>
  <c r="U1104" i="5" a="1"/>
  <c r="U1074" i="5" a="1"/>
  <c r="U1021" i="5" a="1"/>
  <c r="U996" i="5" a="1"/>
  <c r="U971" i="5" a="1"/>
  <c r="U918" i="5" a="1"/>
  <c r="U870" i="5" a="1"/>
  <c r="U810" i="5" a="1"/>
  <c r="U789" i="5" a="1"/>
  <c r="U769" i="5" a="1"/>
  <c r="U748" i="5" a="1"/>
  <c r="U728" i="5" a="1"/>
  <c r="U670" i="5" a="1"/>
  <c r="U650" i="5" a="1"/>
  <c r="U578" i="5" a="1"/>
  <c r="U564" i="5" a="1"/>
  <c r="U478" i="5" a="1"/>
  <c r="U464" i="5" a="1"/>
  <c r="U378" i="5" a="1"/>
  <c r="U364" i="5" a="1"/>
  <c r="U278" i="5" a="1"/>
  <c r="U264" i="5" a="1"/>
  <c r="U236" i="5" a="1"/>
  <c r="U209" i="5" a="1"/>
  <c r="U196" i="5" a="1"/>
  <c r="U169" i="5" a="1"/>
  <c r="U156" i="5" a="1"/>
  <c r="U117" i="5" a="1"/>
  <c r="U894" i="5" a="1"/>
  <c r="V2004" i="5" a="1"/>
  <c r="V1994" i="5" a="1"/>
  <c r="V1984" i="5" a="1"/>
  <c r="V1974" i="5" a="1"/>
  <c r="V1964" i="5" a="1"/>
  <c r="V1954" i="5" a="1"/>
  <c r="V1944" i="5" a="1"/>
  <c r="V1934" i="5" a="1"/>
  <c r="V1924" i="5" a="1"/>
  <c r="V1914" i="5" a="1"/>
  <c r="V1904" i="5" a="1"/>
  <c r="V1894" i="5" a="1"/>
  <c r="V1884" i="5" a="1"/>
  <c r="V1874" i="5" a="1"/>
  <c r="V1864" i="5" a="1"/>
  <c r="V1854" i="5" a="1"/>
  <c r="V1844" i="5" a="1"/>
  <c r="V1834" i="5" a="1"/>
  <c r="V1824" i="5" a="1"/>
  <c r="V1814" i="5" a="1"/>
  <c r="V1804" i="5" a="1"/>
  <c r="V1794" i="5" a="1"/>
  <c r="V1784" i="5" a="1"/>
  <c r="V1774" i="5" a="1"/>
  <c r="V1764" i="5" a="1"/>
  <c r="V1754" i="5" a="1"/>
  <c r="V1744" i="5" a="1"/>
  <c r="V1734" i="5" a="1"/>
  <c r="V1724" i="5" a="1"/>
  <c r="V1714" i="5" a="1"/>
  <c r="V1704" i="5" a="1"/>
  <c r="V1694" i="5" a="1"/>
  <c r="V1684" i="5" a="1"/>
  <c r="V1674" i="5" a="1"/>
  <c r="V1664" i="5" a="1"/>
  <c r="V1654" i="5" a="1"/>
  <c r="V1644" i="5" a="1"/>
  <c r="V1634" i="5" a="1"/>
  <c r="V1624" i="5" a="1"/>
  <c r="V1614" i="5" a="1"/>
  <c r="V1604" i="5" a="1"/>
  <c r="V1594" i="5" a="1"/>
  <c r="V1584" i="5" a="1"/>
  <c r="V1574" i="5" a="1"/>
  <c r="V1564" i="5" a="1"/>
  <c r="V1554" i="5" a="1"/>
  <c r="V1544" i="5" a="1"/>
  <c r="V1534" i="5" a="1"/>
  <c r="V1524" i="5" a="1"/>
  <c r="V1514" i="5" a="1"/>
  <c r="V1504" i="5" a="1"/>
  <c r="V1494" i="5" a="1"/>
  <c r="V1484" i="5" a="1"/>
  <c r="V1474" i="5" a="1"/>
  <c r="V1464" i="5" a="1"/>
  <c r="V1454" i="5" a="1"/>
  <c r="V1444" i="5" a="1"/>
  <c r="V1434" i="5" a="1"/>
  <c r="V1424" i="5" a="1"/>
  <c r="V1414" i="5" a="1"/>
  <c r="V1404" i="5" a="1"/>
  <c r="V1394" i="5" a="1"/>
  <c r="V1384" i="5" a="1"/>
  <c r="V1374" i="5" a="1"/>
  <c r="V1364" i="5" a="1"/>
  <c r="V1354" i="5" a="1"/>
  <c r="V1344" i="5" a="1"/>
  <c r="V1334" i="5" a="1"/>
  <c r="V1324" i="5" a="1"/>
  <c r="V1314" i="5" a="1"/>
  <c r="V1304" i="5" a="1"/>
  <c r="V1294" i="5" a="1"/>
  <c r="V1284" i="5" a="1"/>
  <c r="V1274" i="5" a="1"/>
  <c r="V1264" i="5" a="1"/>
  <c r="V1254" i="5" a="1"/>
  <c r="V1244" i="5" a="1"/>
  <c r="V1234" i="5" a="1"/>
  <c r="V1224" i="5" a="1"/>
  <c r="V1214" i="5" a="1"/>
  <c r="V1204" i="5" a="1"/>
  <c r="V1194" i="5" a="1"/>
  <c r="V1184" i="5" a="1"/>
  <c r="V1174" i="5" a="1"/>
  <c r="V1164" i="5" a="1"/>
  <c r="V1154" i="5" a="1"/>
  <c r="V2003" i="5" a="1"/>
  <c r="V1993" i="5" a="1"/>
  <c r="V1983" i="5" a="1"/>
  <c r="V1973" i="5" a="1"/>
  <c r="V1963" i="5" a="1"/>
  <c r="V1953" i="5" a="1"/>
  <c r="V1943" i="5" a="1"/>
  <c r="V1933" i="5" a="1"/>
  <c r="V1923" i="5" a="1"/>
  <c r="V1913" i="5" a="1"/>
  <c r="V1903" i="5" a="1"/>
  <c r="V1893" i="5" a="1"/>
  <c r="V1883" i="5" a="1"/>
  <c r="V1873" i="5" a="1"/>
  <c r="V1863" i="5" a="1"/>
  <c r="V1853" i="5" a="1"/>
  <c r="V1843" i="5" a="1"/>
  <c r="V1833" i="5" a="1"/>
  <c r="V1823" i="5" a="1"/>
  <c r="V1813" i="5" a="1"/>
  <c r="V1803" i="5" a="1"/>
  <c r="V1793" i="5" a="1"/>
  <c r="V1783" i="5" a="1"/>
  <c r="V1773" i="5" a="1"/>
  <c r="V1763" i="5" a="1"/>
  <c r="V1753" i="5" a="1"/>
  <c r="V1743" i="5" a="1"/>
  <c r="V1733" i="5" a="1"/>
  <c r="V1723" i="5" a="1"/>
  <c r="V1713" i="5" a="1"/>
  <c r="V1703" i="5" a="1"/>
  <c r="V1693" i="5" a="1"/>
  <c r="V1683" i="5" a="1"/>
  <c r="V1673" i="5" a="1"/>
  <c r="V1663" i="5" a="1"/>
  <c r="V1653" i="5" a="1"/>
  <c r="V1643" i="5" a="1"/>
  <c r="V1633" i="5" a="1"/>
  <c r="V1623" i="5" a="1"/>
  <c r="V1613" i="5" a="1"/>
  <c r="V1603" i="5" a="1"/>
  <c r="V1593" i="5" a="1"/>
  <c r="V1583" i="5" a="1"/>
  <c r="V1573" i="5" a="1"/>
  <c r="V1563" i="5" a="1"/>
  <c r="V1553" i="5" a="1"/>
  <c r="V1543" i="5" a="1"/>
  <c r="V1533" i="5" a="1"/>
  <c r="V1523" i="5" a="1"/>
  <c r="V1513" i="5" a="1"/>
  <c r="V1503" i="5" a="1"/>
  <c r="V1493" i="5" a="1"/>
  <c r="V1483" i="5" a="1"/>
  <c r="V1473" i="5" a="1"/>
  <c r="V1463" i="5" a="1"/>
  <c r="V1453" i="5" a="1"/>
  <c r="V1443" i="5" a="1"/>
  <c r="V1433" i="5" a="1"/>
  <c r="V1423" i="5" a="1"/>
  <c r="V1413" i="5" a="1"/>
  <c r="V1403" i="5" a="1"/>
  <c r="V1393" i="5" a="1"/>
  <c r="V1383" i="5" a="1"/>
  <c r="V1373" i="5" a="1"/>
  <c r="V1363" i="5" a="1"/>
  <c r="V1353" i="5" a="1"/>
  <c r="V1343" i="5" a="1"/>
  <c r="V1333" i="5" a="1"/>
  <c r="V1323" i="5" a="1"/>
  <c r="V1313" i="5" a="1"/>
  <c r="V1303" i="5" a="1"/>
  <c r="V1293" i="5" a="1"/>
  <c r="V1283" i="5" a="1"/>
  <c r="V1273" i="5" a="1"/>
  <c r="V1263" i="5" a="1"/>
  <c r="V1253" i="5" a="1"/>
  <c r="V1243" i="5" a="1"/>
  <c r="V1233" i="5" a="1"/>
  <c r="V1223" i="5" a="1"/>
  <c r="V1213" i="5" a="1"/>
  <c r="V1203" i="5" a="1"/>
  <c r="V1193" i="5" a="1"/>
  <c r="V1183" i="5" a="1"/>
  <c r="V2002" i="5" a="1"/>
  <c r="V1992" i="5" a="1"/>
  <c r="V1982" i="5" a="1"/>
  <c r="V1972" i="5" a="1"/>
  <c r="V1962" i="5" a="1"/>
  <c r="V1952" i="5" a="1"/>
  <c r="V1942" i="5" a="1"/>
  <c r="V1932" i="5" a="1"/>
  <c r="V1922" i="5" a="1"/>
  <c r="V1912" i="5" a="1"/>
  <c r="V1902" i="5" a="1"/>
  <c r="V1892" i="5" a="1"/>
  <c r="V1882" i="5" a="1"/>
  <c r="V1872" i="5" a="1"/>
  <c r="V1862" i="5" a="1"/>
  <c r="V1852" i="5" a="1"/>
  <c r="V1842" i="5" a="1"/>
  <c r="V1832" i="5" a="1"/>
  <c r="V1822" i="5" a="1"/>
  <c r="V1812" i="5" a="1"/>
  <c r="V1802" i="5" a="1"/>
  <c r="V1792" i="5" a="1"/>
  <c r="V1782" i="5" a="1"/>
  <c r="V1772" i="5" a="1"/>
  <c r="V1762" i="5" a="1"/>
  <c r="V1752" i="5" a="1"/>
  <c r="V1742" i="5" a="1"/>
  <c r="V1732" i="5" a="1"/>
  <c r="V1722" i="5" a="1"/>
  <c r="V1712" i="5" a="1"/>
  <c r="V1702" i="5" a="1"/>
  <c r="V1692" i="5" a="1"/>
  <c r="V1682" i="5" a="1"/>
  <c r="V1672" i="5" a="1"/>
  <c r="V1662" i="5" a="1"/>
  <c r="V1652" i="5" a="1"/>
  <c r="V1642" i="5" a="1"/>
  <c r="V1632" i="5" a="1"/>
  <c r="V1622" i="5" a="1"/>
  <c r="V1612" i="5" a="1"/>
  <c r="V1602" i="5" a="1"/>
  <c r="V1592" i="5" a="1"/>
  <c r="V1582" i="5" a="1"/>
  <c r="V1572" i="5" a="1"/>
  <c r="V1562" i="5" a="1"/>
  <c r="V1552" i="5" a="1"/>
  <c r="V1542" i="5" a="1"/>
  <c r="V1532" i="5" a="1"/>
  <c r="V1522" i="5" a="1"/>
  <c r="V1512" i="5" a="1"/>
  <c r="V1502" i="5" a="1"/>
  <c r="V1492" i="5" a="1"/>
  <c r="V1482" i="5" a="1"/>
  <c r="V1472" i="5" a="1"/>
  <c r="V1462" i="5" a="1"/>
  <c r="V1452" i="5" a="1"/>
  <c r="V1442" i="5" a="1"/>
  <c r="V1432" i="5" a="1"/>
  <c r="V1422" i="5" a="1"/>
  <c r="V1412" i="5" a="1"/>
  <c r="V1402" i="5" a="1"/>
  <c r="V1392" i="5" a="1"/>
  <c r="V1382" i="5" a="1"/>
  <c r="V1372" i="5" a="1"/>
  <c r="V1362" i="5" a="1"/>
  <c r="V1352" i="5" a="1"/>
  <c r="V1342" i="5" a="1"/>
  <c r="V1332" i="5" a="1"/>
  <c r="V1322" i="5" a="1"/>
  <c r="V1312" i="5" a="1"/>
  <c r="V1302" i="5" a="1"/>
  <c r="V1292" i="5" a="1"/>
  <c r="V1282" i="5" a="1"/>
  <c r="V1272" i="5" a="1"/>
  <c r="V1262" i="5" a="1"/>
  <c r="V1252" i="5" a="1"/>
  <c r="V1242" i="5" a="1"/>
  <c r="V1232" i="5" a="1"/>
  <c r="V1222" i="5" a="1"/>
  <c r="V1212" i="5" a="1"/>
  <c r="V1202" i="5" a="1"/>
  <c r="V1192" i="5" a="1"/>
  <c r="V1182" i="5" a="1"/>
  <c r="V1172" i="5" a="1"/>
  <c r="V1162" i="5" a="1"/>
  <c r="V2001" i="5" a="1"/>
  <c r="V1991" i="5" a="1"/>
  <c r="V1981" i="5" a="1"/>
  <c r="V1971" i="5" a="1"/>
  <c r="V1961" i="5" a="1"/>
  <c r="V1951" i="5" a="1"/>
  <c r="V1941" i="5" a="1"/>
  <c r="V1931" i="5" a="1"/>
  <c r="V1921" i="5" a="1"/>
  <c r="V1911" i="5" a="1"/>
  <c r="V1901" i="5" a="1"/>
  <c r="V1891" i="5" a="1"/>
  <c r="V1881" i="5" a="1"/>
  <c r="V1871" i="5" a="1"/>
  <c r="V1861" i="5" a="1"/>
  <c r="V1851" i="5" a="1"/>
  <c r="V1841" i="5" a="1"/>
  <c r="V1831" i="5" a="1"/>
  <c r="V1821" i="5" a="1"/>
  <c r="V1811" i="5" a="1"/>
  <c r="V1801" i="5" a="1"/>
  <c r="V1791" i="5" a="1"/>
  <c r="V1781" i="5" a="1"/>
  <c r="V1771" i="5" a="1"/>
  <c r="V1761" i="5" a="1"/>
  <c r="V1751" i="5" a="1"/>
  <c r="V1741" i="5" a="1"/>
  <c r="V1731" i="5" a="1"/>
  <c r="V1721" i="5" a="1"/>
  <c r="V1711" i="5" a="1"/>
  <c r="V1701" i="5" a="1"/>
  <c r="V1691" i="5" a="1"/>
  <c r="V1681" i="5" a="1"/>
  <c r="V1671" i="5" a="1"/>
  <c r="V1661" i="5" a="1"/>
  <c r="V1651" i="5" a="1"/>
  <c r="V1641" i="5" a="1"/>
  <c r="V1631" i="5" a="1"/>
  <c r="V1621" i="5" a="1"/>
  <c r="V1611" i="5" a="1"/>
  <c r="V1601" i="5" a="1"/>
  <c r="V1591" i="5" a="1"/>
  <c r="V1581" i="5" a="1"/>
  <c r="V1571" i="5" a="1"/>
  <c r="V1561" i="5" a="1"/>
  <c r="V1551" i="5" a="1"/>
  <c r="V1541" i="5" a="1"/>
  <c r="V1531" i="5" a="1"/>
  <c r="V1521" i="5" a="1"/>
  <c r="V1511" i="5" a="1"/>
  <c r="V1501" i="5" a="1"/>
  <c r="V1491" i="5" a="1"/>
  <c r="V1481" i="5" a="1"/>
  <c r="V1471" i="5" a="1"/>
  <c r="V1461" i="5" a="1"/>
  <c r="V1451" i="5" a="1"/>
  <c r="V1441" i="5" a="1"/>
  <c r="V1431" i="5" a="1"/>
  <c r="V1421" i="5" a="1"/>
  <c r="V1411" i="5" a="1"/>
  <c r="V1401" i="5" a="1"/>
  <c r="V1391" i="5" a="1"/>
  <c r="V1381" i="5" a="1"/>
  <c r="V1371" i="5" a="1"/>
  <c r="V1361" i="5" a="1"/>
  <c r="V1351" i="5" a="1"/>
  <c r="V1341" i="5" a="1"/>
  <c r="V1331" i="5" a="1"/>
  <c r="V1321" i="5" a="1"/>
  <c r="V1311" i="5" a="1"/>
  <c r="V1301" i="5" a="1"/>
  <c r="V1291" i="5" a="1"/>
  <c r="V1281" i="5" a="1"/>
  <c r="V1271" i="5" a="1"/>
  <c r="V1261" i="5" a="1"/>
  <c r="V1251" i="5" a="1"/>
  <c r="V1241" i="5" a="1"/>
  <c r="V1231" i="5" a="1"/>
  <c r="V1221" i="5" a="1"/>
  <c r="V1211" i="5" a="1"/>
  <c r="V1998" i="5" a="1"/>
  <c r="V1988" i="5" a="1"/>
  <c r="V1978" i="5" a="1"/>
  <c r="V1968" i="5" a="1"/>
  <c r="V1958" i="5" a="1"/>
  <c r="V1948" i="5" a="1"/>
  <c r="V1938" i="5" a="1"/>
  <c r="V1928" i="5" a="1"/>
  <c r="V1918" i="5" a="1"/>
  <c r="V1908" i="5" a="1"/>
  <c r="V1898" i="5" a="1"/>
  <c r="V1888" i="5" a="1"/>
  <c r="V1878" i="5" a="1"/>
  <c r="V1868" i="5" a="1"/>
  <c r="V1858" i="5" a="1"/>
  <c r="V1848" i="5" a="1"/>
  <c r="V1838" i="5" a="1"/>
  <c r="V1828" i="5" a="1"/>
  <c r="V1818" i="5" a="1"/>
  <c r="V1808" i="5" a="1"/>
  <c r="V1798" i="5" a="1"/>
  <c r="V1788" i="5" a="1"/>
  <c r="V1778" i="5" a="1"/>
  <c r="V1768" i="5" a="1"/>
  <c r="V1758" i="5" a="1"/>
  <c r="V1748" i="5" a="1"/>
  <c r="V1738" i="5" a="1"/>
  <c r="V1728" i="5" a="1"/>
  <c r="V1718" i="5" a="1"/>
  <c r="V1708" i="5" a="1"/>
  <c r="V2000" i="5" a="1"/>
  <c r="V1950" i="5" a="1"/>
  <c r="V1900" i="5" a="1"/>
  <c r="V1850" i="5" a="1"/>
  <c r="V1800" i="5" a="1"/>
  <c r="V1750" i="5" a="1"/>
  <c r="V1700" i="5" a="1"/>
  <c r="V1679" i="5" a="1"/>
  <c r="V1657" i="5" a="1"/>
  <c r="V1636" i="5" a="1"/>
  <c r="V1615" i="5" a="1"/>
  <c r="V1568" i="5" a="1"/>
  <c r="V1500" i="5" a="1"/>
  <c r="V1479" i="5" a="1"/>
  <c r="V1457" i="5" a="1"/>
  <c r="V1436" i="5" a="1"/>
  <c r="V1415" i="5" a="1"/>
  <c r="V1368" i="5" a="1"/>
  <c r="V1300" i="5" a="1"/>
  <c r="V1279" i="5" a="1"/>
  <c r="V1257" i="5" a="1"/>
  <c r="V1236" i="5" a="1"/>
  <c r="V1215" i="5" a="1"/>
  <c r="V1191" i="5" a="1"/>
  <c r="V1160" i="5" a="1"/>
  <c r="V1149" i="5" a="1"/>
  <c r="V1139" i="5" a="1"/>
  <c r="V1129" i="5" a="1"/>
  <c r="V1119" i="5" a="1"/>
  <c r="V1109" i="5" a="1"/>
  <c r="V1099" i="5" a="1"/>
  <c r="V1089" i="5" a="1"/>
  <c r="V1079" i="5" a="1"/>
  <c r="V1069" i="5" a="1"/>
  <c r="V1059" i="5" a="1"/>
  <c r="V1049" i="5" a="1"/>
  <c r="V1039" i="5" a="1"/>
  <c r="V1029" i="5" a="1"/>
  <c r="V1019" i="5" a="1"/>
  <c r="V1009" i="5" a="1"/>
  <c r="V999" i="5" a="1"/>
  <c r="V989" i="5" a="1"/>
  <c r="V979" i="5" a="1"/>
  <c r="V969" i="5" a="1"/>
  <c r="V959" i="5" a="1"/>
  <c r="V949" i="5" a="1"/>
  <c r="V939" i="5" a="1"/>
  <c r="V929" i="5" a="1"/>
  <c r="V919" i="5" a="1"/>
  <c r="V909" i="5" a="1"/>
  <c r="V899" i="5" a="1"/>
  <c r="V889" i="5" a="1"/>
  <c r="V879" i="5" a="1"/>
  <c r="V869" i="5" a="1"/>
  <c r="V859" i="5" a="1"/>
  <c r="V849" i="5" a="1"/>
  <c r="V839" i="5" a="1"/>
  <c r="V829" i="5" a="1"/>
  <c r="V819" i="5" a="1"/>
  <c r="V809" i="5" a="1"/>
  <c r="V799" i="5" a="1"/>
  <c r="V789" i="5" a="1"/>
  <c r="V779" i="5" a="1"/>
  <c r="V769" i="5" a="1"/>
  <c r="V759" i="5" a="1"/>
  <c r="V749" i="5" a="1"/>
  <c r="V739" i="5" a="1"/>
  <c r="V729" i="5" a="1"/>
  <c r="V719" i="5" a="1"/>
  <c r="V709" i="5" a="1"/>
  <c r="V699" i="5" a="1"/>
  <c r="V689" i="5" a="1"/>
  <c r="V679" i="5" a="1"/>
  <c r="V669" i="5" a="1"/>
  <c r="V659" i="5" a="1"/>
  <c r="V649" i="5" a="1"/>
  <c r="V639" i="5" a="1"/>
  <c r="V629" i="5" a="1"/>
  <c r="V619" i="5" a="1"/>
  <c r="V609" i="5" a="1"/>
  <c r="V1976" i="5" a="1"/>
  <c r="V1926" i="5" a="1"/>
  <c r="V1876" i="5" a="1"/>
  <c r="V1826" i="5" a="1"/>
  <c r="V1776" i="5" a="1"/>
  <c r="V1726" i="5" a="1"/>
  <c r="V1678" i="5" a="1"/>
  <c r="V1610" i="5" a="1"/>
  <c r="V1589" i="5" a="1"/>
  <c r="V1567" i="5" a="1"/>
  <c r="V1546" i="5" a="1"/>
  <c r="V1525" i="5" a="1"/>
  <c r="V1478" i="5" a="1"/>
  <c r="V1410" i="5" a="1"/>
  <c r="V1389" i="5" a="1"/>
  <c r="V1367" i="5" a="1"/>
  <c r="V1346" i="5" a="1"/>
  <c r="V1325" i="5" a="1"/>
  <c r="V1278" i="5" a="1"/>
  <c r="V1210" i="5" a="1"/>
  <c r="V1176" i="5" a="1"/>
  <c r="V1999" i="5" a="1"/>
  <c r="V1949" i="5" a="1"/>
  <c r="V1899" i="5" a="1"/>
  <c r="V1849" i="5" a="1"/>
  <c r="V1799" i="5" a="1"/>
  <c r="V1749" i="5" a="1"/>
  <c r="V1997" i="5" a="1"/>
  <c r="V1975" i="5" a="1"/>
  <c r="V1947" i="5" a="1"/>
  <c r="V1925" i="5" a="1"/>
  <c r="V1897" i="5" a="1"/>
  <c r="V1875" i="5" a="1"/>
  <c r="V1847" i="5" a="1"/>
  <c r="V1825" i="5" a="1"/>
  <c r="V1797" i="5" a="1"/>
  <c r="V1775" i="5" a="1"/>
  <c r="V1747" i="5" a="1"/>
  <c r="V1725" i="5" a="1"/>
  <c r="V1698" i="5" a="1"/>
  <c r="V1630" i="5" a="1"/>
  <c r="V1609" i="5" a="1"/>
  <c r="V1587" i="5" a="1"/>
  <c r="V1566" i="5" a="1"/>
  <c r="V1545" i="5" a="1"/>
  <c r="V1498" i="5" a="1"/>
  <c r="V1430" i="5" a="1"/>
  <c r="V1409" i="5" a="1"/>
  <c r="V1387" i="5" a="1"/>
  <c r="V1366" i="5" a="1"/>
  <c r="V1345" i="5" a="1"/>
  <c r="V1298" i="5" a="1"/>
  <c r="V1230" i="5" a="1"/>
  <c r="V1209" i="5" a="1"/>
  <c r="V1175" i="5" a="1"/>
  <c r="V1996" i="5" a="1"/>
  <c r="V1946" i="5" a="1"/>
  <c r="V1896" i="5" a="1"/>
  <c r="V1846" i="5" a="1"/>
  <c r="V1796" i="5" a="1"/>
  <c r="V1746" i="5" a="1"/>
  <c r="V1650" i="5" a="1"/>
  <c r="V1629" i="5" a="1"/>
  <c r="V1607" i="5" a="1"/>
  <c r="V1586" i="5" a="1"/>
  <c r="V1565" i="5" a="1"/>
  <c r="V1518" i="5" a="1"/>
  <c r="V1450" i="5" a="1"/>
  <c r="V1429" i="5" a="1"/>
  <c r="V1407" i="5" a="1"/>
  <c r="V1386" i="5" a="1"/>
  <c r="V1365" i="5" a="1"/>
  <c r="V1318" i="5" a="1"/>
  <c r="V1250" i="5" a="1"/>
  <c r="V1229" i="5" a="1"/>
  <c r="V1207" i="5" a="1"/>
  <c r="V1171" i="5" a="1"/>
  <c r="V1157" i="5" a="1"/>
  <c r="V1969" i="5" a="1"/>
  <c r="V1919" i="5" a="1"/>
  <c r="V1869" i="5" a="1"/>
  <c r="V1819" i="5" a="1"/>
  <c r="V1769" i="5" a="1"/>
  <c r="V1719" i="5" a="1"/>
  <c r="V1696" i="5" a="1"/>
  <c r="V1675" i="5" a="1"/>
  <c r="V1628" i="5" a="1"/>
  <c r="V1560" i="5" a="1"/>
  <c r="V1995" i="5" a="1"/>
  <c r="V1967" i="5" a="1"/>
  <c r="V1945" i="5" a="1"/>
  <c r="V1917" i="5" a="1"/>
  <c r="V1895" i="5" a="1"/>
  <c r="V1867" i="5" a="1"/>
  <c r="V1845" i="5" a="1"/>
  <c r="V1817" i="5" a="1"/>
  <c r="V1795" i="5" a="1"/>
  <c r="V1767" i="5" a="1"/>
  <c r="V1745" i="5" a="1"/>
  <c r="V1717" i="5" a="1"/>
  <c r="V1670" i="5" a="1"/>
  <c r="V1649" i="5" a="1"/>
  <c r="V1627" i="5" a="1"/>
  <c r="V1606" i="5" a="1"/>
  <c r="V1585" i="5" a="1"/>
  <c r="V1538" i="5" a="1"/>
  <c r="V1470" i="5" a="1"/>
  <c r="V1449" i="5" a="1"/>
  <c r="V1427" i="5" a="1"/>
  <c r="V1406" i="5" a="1"/>
  <c r="V1385" i="5" a="1"/>
  <c r="V1338" i="5" a="1"/>
  <c r="V1270" i="5" a="1"/>
  <c r="V1249" i="5" a="1"/>
  <c r="V1227" i="5" a="1"/>
  <c r="V1206" i="5" a="1"/>
  <c r="V1187" i="5" a="1"/>
  <c r="V1170" i="5" a="1"/>
  <c r="V1156" i="5" a="1"/>
  <c r="V1990" i="5" a="1"/>
  <c r="V1940" i="5" a="1"/>
  <c r="V1890" i="5" a="1"/>
  <c r="V1840" i="5" a="1"/>
  <c r="V1790" i="5" a="1"/>
  <c r="V1740" i="5" a="1"/>
  <c r="V1695" i="5" a="1"/>
  <c r="V1648" i="5" a="1"/>
  <c r="V1580" i="5" a="1"/>
  <c r="V1559" i="5" a="1"/>
  <c r="V1537" i="5" a="1"/>
  <c r="V1516" i="5" a="1"/>
  <c r="V1495" i="5" a="1"/>
  <c r="V1448" i="5" a="1"/>
  <c r="V1380" i="5" a="1"/>
  <c r="V1359" i="5" a="1"/>
  <c r="V1337" i="5" a="1"/>
  <c r="V1316" i="5" a="1"/>
  <c r="V1295" i="5" a="1"/>
  <c r="V1248" i="5" a="1"/>
  <c r="V1145" i="5" a="1"/>
  <c r="V1135" i="5" a="1"/>
  <c r="V1125" i="5" a="1"/>
  <c r="V1115" i="5" a="1"/>
  <c r="V1105" i="5" a="1"/>
  <c r="V1095" i="5" a="1"/>
  <c r="V1085" i="5" a="1"/>
  <c r="V1075" i="5" a="1"/>
  <c r="V1065" i="5" a="1"/>
  <c r="V1055" i="5" a="1"/>
  <c r="V1045" i="5" a="1"/>
  <c r="V1035" i="5" a="1"/>
  <c r="V1025" i="5" a="1"/>
  <c r="V1015" i="5" a="1"/>
  <c r="V1005" i="5" a="1"/>
  <c r="V995" i="5" a="1"/>
  <c r="V985" i="5" a="1"/>
  <c r="V975" i="5" a="1"/>
  <c r="V965" i="5" a="1"/>
  <c r="V955" i="5" a="1"/>
  <c r="V945" i="5" a="1"/>
  <c r="V935" i="5" a="1"/>
  <c r="V925" i="5" a="1"/>
  <c r="V915" i="5" a="1"/>
  <c r="V905" i="5" a="1"/>
  <c r="V895" i="5" a="1"/>
  <c r="V885" i="5" a="1"/>
  <c r="V875" i="5" a="1"/>
  <c r="V865" i="5" a="1"/>
  <c r="V855" i="5" a="1"/>
  <c r="V845" i="5" a="1"/>
  <c r="V835" i="5" a="1"/>
  <c r="V825" i="5" a="1"/>
  <c r="V815" i="5" a="1"/>
  <c r="V805" i="5" a="1"/>
  <c r="V795" i="5" a="1"/>
  <c r="V785" i="5" a="1"/>
  <c r="V775" i="5" a="1"/>
  <c r="V765" i="5" a="1"/>
  <c r="V755" i="5" a="1"/>
  <c r="V745" i="5" a="1"/>
  <c r="V735" i="5" a="1"/>
  <c r="V725" i="5" a="1"/>
  <c r="V715" i="5" a="1"/>
  <c r="V705" i="5" a="1"/>
  <c r="V695" i="5" a="1"/>
  <c r="V685" i="5" a="1"/>
  <c r="V675" i="5" a="1"/>
  <c r="V665" i="5" a="1"/>
  <c r="V655" i="5" a="1"/>
  <c r="V645" i="5" a="1"/>
  <c r="V635" i="5" a="1"/>
  <c r="V625" i="5" a="1"/>
  <c r="V615" i="5" a="1"/>
  <c r="V1966" i="5" a="1"/>
  <c r="V1916" i="5" a="1"/>
  <c r="V1866" i="5" a="1"/>
  <c r="V1816" i="5" a="1"/>
  <c r="V1766" i="5" a="1"/>
  <c r="V1716" i="5" a="1"/>
  <c r="V1690" i="5" a="1"/>
  <c r="V1669" i="5" a="1"/>
  <c r="V1647" i="5" a="1"/>
  <c r="V1626" i="5" a="1"/>
  <c r="V1605" i="5" a="1"/>
  <c r="V1558" i="5" a="1"/>
  <c r="V1490" i="5" a="1"/>
  <c r="V1469" i="5" a="1"/>
  <c r="V1447" i="5" a="1"/>
  <c r="V1426" i="5" a="1"/>
  <c r="V1405" i="5" a="1"/>
  <c r="V1358" i="5" a="1"/>
  <c r="V1290" i="5" a="1"/>
  <c r="V1269" i="5" a="1"/>
  <c r="V1247" i="5" a="1"/>
  <c r="V1226" i="5" a="1"/>
  <c r="V1205" i="5" a="1"/>
  <c r="V1186" i="5" a="1"/>
  <c r="V1169" i="5" a="1"/>
  <c r="V1155" i="5" a="1"/>
  <c r="V1989" i="5" a="1"/>
  <c r="V1939" i="5" a="1"/>
  <c r="V1889" i="5" a="1"/>
  <c r="V1839" i="5" a="1"/>
  <c r="V1789" i="5" a="1"/>
  <c r="V1739" i="5" a="1"/>
  <c r="V1668" i="5" a="1"/>
  <c r="V1600" i="5" a="1"/>
  <c r="V1579" i="5" a="1"/>
  <c r="V1557" i="5" a="1"/>
  <c r="V1536" i="5" a="1"/>
  <c r="V1515" i="5" a="1"/>
  <c r="V1468" i="5" a="1"/>
  <c r="V1400" i="5" a="1"/>
  <c r="V1379" i="5" a="1"/>
  <c r="V1357" i="5" a="1"/>
  <c r="V1336" i="5" a="1"/>
  <c r="V1315" i="5" a="1"/>
  <c r="V1268" i="5" a="1"/>
  <c r="V1201" i="5" a="1"/>
  <c r="V1144" i="5" a="1"/>
  <c r="V1134" i="5" a="1"/>
  <c r="V1124" i="5" a="1"/>
  <c r="V1114" i="5" a="1"/>
  <c r="V1104" i="5" a="1"/>
  <c r="V1094" i="5" a="1"/>
  <c r="V1084" i="5" a="1"/>
  <c r="V1074" i="5" a="1"/>
  <c r="V1064" i="5" a="1"/>
  <c r="V1054" i="5" a="1"/>
  <c r="V1044" i="5" a="1"/>
  <c r="V1034" i="5" a="1"/>
  <c r="V1024" i="5" a="1"/>
  <c r="V1014" i="5" a="1"/>
  <c r="V1004" i="5" a="1"/>
  <c r="V994" i="5" a="1"/>
  <c r="V984" i="5" a="1"/>
  <c r="V974" i="5" a="1"/>
  <c r="V964" i="5" a="1"/>
  <c r="V954" i="5" a="1"/>
  <c r="V944" i="5" a="1"/>
  <c r="V934" i="5" a="1"/>
  <c r="V924" i="5" a="1"/>
  <c r="V914" i="5" a="1"/>
  <c r="V904" i="5" a="1"/>
  <c r="V894" i="5" a="1"/>
  <c r="V884" i="5" a="1"/>
  <c r="V874" i="5" a="1"/>
  <c r="V864" i="5" a="1"/>
  <c r="V854" i="5" a="1"/>
  <c r="V844" i="5" a="1"/>
  <c r="V834" i="5" a="1"/>
  <c r="V824" i="5" a="1"/>
  <c r="V814" i="5" a="1"/>
  <c r="V804" i="5" a="1"/>
  <c r="V794" i="5" a="1"/>
  <c r="V784" i="5" a="1"/>
  <c r="V774" i="5" a="1"/>
  <c r="V764" i="5" a="1"/>
  <c r="V754" i="5" a="1"/>
  <c r="V744" i="5" a="1"/>
  <c r="V734" i="5" a="1"/>
  <c r="V724" i="5" a="1"/>
  <c r="V714" i="5" a="1"/>
  <c r="V704" i="5" a="1"/>
  <c r="V694" i="5" a="1"/>
  <c r="V684" i="5" a="1"/>
  <c r="V674" i="5" a="1"/>
  <c r="V664" i="5" a="1"/>
  <c r="V654" i="5" a="1"/>
  <c r="V644" i="5" a="1"/>
  <c r="V634" i="5" a="1"/>
  <c r="V624" i="5" a="1"/>
  <c r="V614" i="5" a="1"/>
  <c r="V1987" i="5" a="1"/>
  <c r="V1965" i="5" a="1"/>
  <c r="V1937" i="5" a="1"/>
  <c r="V1915" i="5" a="1"/>
  <c r="V1887" i="5" a="1"/>
  <c r="V1865" i="5" a="1"/>
  <c r="V1837" i="5" a="1"/>
  <c r="V1815" i="5" a="1"/>
  <c r="V1787" i="5" a="1"/>
  <c r="V1765" i="5" a="1"/>
  <c r="V1737" i="5" a="1"/>
  <c r="V1715" i="5" a="1"/>
  <c r="V1689" i="5" a="1"/>
  <c r="V1667" i="5" a="1"/>
  <c r="V1646" i="5" a="1"/>
  <c r="V1625" i="5" a="1"/>
  <c r="V1578" i="5" a="1"/>
  <c r="V1510" i="5" a="1"/>
  <c r="V1489" i="5" a="1"/>
  <c r="V1467" i="5" a="1"/>
  <c r="V1446" i="5" a="1"/>
  <c r="V1425" i="5" a="1"/>
  <c r="V1378" i="5" a="1"/>
  <c r="V1310" i="5" a="1"/>
  <c r="V1289" i="5" a="1"/>
  <c r="V1267" i="5" a="1"/>
  <c r="V1246" i="5" a="1"/>
  <c r="V1225" i="5" a="1"/>
  <c r="V1200" i="5" a="1"/>
  <c r="V1185" i="5" a="1"/>
  <c r="V1168" i="5" a="1"/>
  <c r="V1960" i="5" a="1"/>
  <c r="V1910" i="5" a="1"/>
  <c r="V1860" i="5" a="1"/>
  <c r="V1810" i="5" a="1"/>
  <c r="V1760" i="5" a="1"/>
  <c r="V1710" i="5" a="1"/>
  <c r="V1688" i="5" a="1"/>
  <c r="V1620" i="5" a="1"/>
  <c r="V1599" i="5" a="1"/>
  <c r="V1577" i="5" a="1"/>
  <c r="V1556" i="5" a="1"/>
  <c r="V1535" i="5" a="1"/>
  <c r="V1488" i="5" a="1"/>
  <c r="V1420" i="5" a="1"/>
  <c r="V1399" i="5" a="1"/>
  <c r="V1377" i="5" a="1"/>
  <c r="V1356" i="5" a="1"/>
  <c r="V1335" i="5" a="1"/>
  <c r="V1288" i="5" a="1"/>
  <c r="V1986" i="5" a="1"/>
  <c r="V1936" i="5" a="1"/>
  <c r="V1886" i="5" a="1"/>
  <c r="V1836" i="5" a="1"/>
  <c r="V1786" i="5" a="1"/>
  <c r="V1736" i="5" a="1"/>
  <c r="V1687" i="5" a="1"/>
  <c r="V1666" i="5" a="1"/>
  <c r="V1645" i="5" a="1"/>
  <c r="V1598" i="5" a="1"/>
  <c r="V1530" i="5" a="1"/>
  <c r="V1509" i="5" a="1"/>
  <c r="V1487" i="5" a="1"/>
  <c r="V1466" i="5" a="1"/>
  <c r="V1445" i="5" a="1"/>
  <c r="V1398" i="5" a="1"/>
  <c r="V1330" i="5" a="1"/>
  <c r="V1309" i="5" a="1"/>
  <c r="V1287" i="5" a="1"/>
  <c r="V1266" i="5" a="1"/>
  <c r="V1985" i="5" a="1"/>
  <c r="V1957" i="5" a="1"/>
  <c r="V1935" i="5" a="1"/>
  <c r="V1907" i="5" a="1"/>
  <c r="V1885" i="5" a="1"/>
  <c r="V1857" i="5" a="1"/>
  <c r="V1835" i="5" a="1"/>
  <c r="V1807" i="5" a="1"/>
  <c r="V1785" i="5" a="1"/>
  <c r="V1757" i="5" a="1"/>
  <c r="V1735" i="5" a="1"/>
  <c r="V1707" i="5" a="1"/>
  <c r="V1686" i="5" a="1"/>
  <c r="V1665" i="5" a="1"/>
  <c r="V1618" i="5" a="1"/>
  <c r="V1550" i="5" a="1"/>
  <c r="V1529" i="5" a="1"/>
  <c r="V1507" i="5" a="1"/>
  <c r="V1486" i="5" a="1"/>
  <c r="V1465" i="5" a="1"/>
  <c r="V1418" i="5" a="1"/>
  <c r="V1350" i="5" a="1"/>
  <c r="V1329" i="5" a="1"/>
  <c r="V1307" i="5" a="1"/>
  <c r="V1286" i="5" a="1"/>
  <c r="V1265" i="5" a="1"/>
  <c r="V1218" i="5" a="1"/>
  <c r="V1197" i="5" a="1"/>
  <c r="V1829" i="5" a="1"/>
  <c r="V1676" i="5" a="1"/>
  <c r="V1547" i="5" a="1"/>
  <c r="V1376" i="5" a="1"/>
  <c r="V1326" i="5" a="1"/>
  <c r="V1219" i="5" a="1"/>
  <c r="V1180" i="5" a="1"/>
  <c r="V1152" i="5" a="1"/>
  <c r="V1132" i="5" a="1"/>
  <c r="V1112" i="5" a="1"/>
  <c r="V1092" i="5" a="1"/>
  <c r="V1072" i="5" a="1"/>
  <c r="V1052" i="5" a="1"/>
  <c r="V1032" i="5" a="1"/>
  <c r="V1012" i="5" a="1"/>
  <c r="V992" i="5" a="1"/>
  <c r="V972" i="5" a="1"/>
  <c r="V952" i="5" a="1"/>
  <c r="V932" i="5" a="1"/>
  <c r="V912" i="5" a="1"/>
  <c r="V892" i="5" a="1"/>
  <c r="V872" i="5" a="1"/>
  <c r="V852" i="5" a="1"/>
  <c r="V832" i="5" a="1"/>
  <c r="V812" i="5" a="1"/>
  <c r="V792" i="5" a="1"/>
  <c r="V772" i="5" a="1"/>
  <c r="V752" i="5" a="1"/>
  <c r="V732" i="5" a="1"/>
  <c r="V712" i="5" a="1"/>
  <c r="V692" i="5" a="1"/>
  <c r="V672" i="5" a="1"/>
  <c r="V652" i="5" a="1"/>
  <c r="V632" i="5" a="1"/>
  <c r="V612" i="5" a="1"/>
  <c r="V601" i="5" a="1"/>
  <c r="V591" i="5" a="1"/>
  <c r="V581" i="5" a="1"/>
  <c r="V571" i="5" a="1"/>
  <c r="V561" i="5" a="1"/>
  <c r="V551" i="5" a="1"/>
  <c r="V541" i="5" a="1"/>
  <c r="V531" i="5" a="1"/>
  <c r="V521" i="5" a="1"/>
  <c r="V511" i="5" a="1"/>
  <c r="V501" i="5" a="1"/>
  <c r="V491" i="5" a="1"/>
  <c r="V481" i="5" a="1"/>
  <c r="V471" i="5" a="1"/>
  <c r="V461" i="5" a="1"/>
  <c r="V451" i="5" a="1"/>
  <c r="V441" i="5" a="1"/>
  <c r="V431" i="5" a="1"/>
  <c r="V421" i="5" a="1"/>
  <c r="V411" i="5" a="1"/>
  <c r="V401" i="5" a="1"/>
  <c r="V391" i="5" a="1"/>
  <c r="V381" i="5" a="1"/>
  <c r="V371" i="5" a="1"/>
  <c r="V361" i="5" a="1"/>
  <c r="V351" i="5" a="1"/>
  <c r="V341" i="5" a="1"/>
  <c r="V331" i="5" a="1"/>
  <c r="V321" i="5" a="1"/>
  <c r="V311" i="5" a="1"/>
  <c r="V301" i="5" a="1"/>
  <c r="V291" i="5" a="1"/>
  <c r="V281" i="5" a="1"/>
  <c r="V271" i="5" a="1"/>
  <c r="V261" i="5" a="1"/>
  <c r="V251" i="5" a="1"/>
  <c r="V241" i="5" a="1"/>
  <c r="V231" i="5" a="1"/>
  <c r="V221" i="5" a="1"/>
  <c r="V211" i="5" a="1"/>
  <c r="V201" i="5" a="1"/>
  <c r="V191" i="5" a="1"/>
  <c r="V181" i="5" a="1"/>
  <c r="V171" i="5" a="1"/>
  <c r="V161" i="5" a="1"/>
  <c r="V151" i="5" a="1"/>
  <c r="V1906" i="5" a="1"/>
  <c r="V1827" i="5" a="1"/>
  <c r="V1608" i="5" a="1"/>
  <c r="V1435" i="5" a="1"/>
  <c r="V1375" i="5" a="1"/>
  <c r="V1320" i="5" a="1"/>
  <c r="V1260" i="5" a="1"/>
  <c r="V1217" i="5" a="1"/>
  <c r="V1179" i="5" a="1"/>
  <c r="V1151" i="5" a="1"/>
  <c r="V1131" i="5" a="1"/>
  <c r="V1111" i="5" a="1"/>
  <c r="V1091" i="5" a="1"/>
  <c r="V1071" i="5" a="1"/>
  <c r="V1051" i="5" a="1"/>
  <c r="V1031" i="5" a="1"/>
  <c r="V1011" i="5" a="1"/>
  <c r="V991" i="5" a="1"/>
  <c r="V971" i="5" a="1"/>
  <c r="V951" i="5" a="1"/>
  <c r="V931" i="5" a="1"/>
  <c r="V911" i="5" a="1"/>
  <c r="V891" i="5" a="1"/>
  <c r="V871" i="5" a="1"/>
  <c r="V851" i="5" a="1"/>
  <c r="V831" i="5" a="1"/>
  <c r="V811" i="5" a="1"/>
  <c r="V791" i="5" a="1"/>
  <c r="V771" i="5" a="1"/>
  <c r="V751" i="5" a="1"/>
  <c r="V731" i="5" a="1"/>
  <c r="V711" i="5" a="1"/>
  <c r="V691" i="5" a="1"/>
  <c r="V671" i="5" a="1"/>
  <c r="V651" i="5" a="1"/>
  <c r="V631" i="5" a="1"/>
  <c r="V611" i="5" a="1"/>
  <c r="V1980" i="5" a="1"/>
  <c r="V1820" i="5" a="1"/>
  <c r="V1730" i="5" a="1"/>
  <c r="V1660" i="5" a="1"/>
  <c r="V1597" i="5" a="1"/>
  <c r="V1540" i="5" a="1"/>
  <c r="V1485" i="5" a="1"/>
  <c r="V1370" i="5" a="1"/>
  <c r="V1319" i="5" a="1"/>
  <c r="V600" i="5" a="1"/>
  <c r="V590" i="5" a="1"/>
  <c r="V580" i="5" a="1"/>
  <c r="V570" i="5" a="1"/>
  <c r="V560" i="5" a="1"/>
  <c r="V550" i="5" a="1"/>
  <c r="V540" i="5" a="1"/>
  <c r="V530" i="5" a="1"/>
  <c r="V520" i="5" a="1"/>
  <c r="V510" i="5" a="1"/>
  <c r="V500" i="5" a="1"/>
  <c r="V490" i="5" a="1"/>
  <c r="V480" i="5" a="1"/>
  <c r="V470" i="5" a="1"/>
  <c r="V460" i="5" a="1"/>
  <c r="V450" i="5" a="1"/>
  <c r="V440" i="5" a="1"/>
  <c r="V430" i="5" a="1"/>
  <c r="V420" i="5" a="1"/>
  <c r="V410" i="5" a="1"/>
  <c r="V400" i="5" a="1"/>
  <c r="V390" i="5" a="1"/>
  <c r="V380" i="5" a="1"/>
  <c r="V370" i="5" a="1"/>
  <c r="V360" i="5" a="1"/>
  <c r="V350" i="5" a="1"/>
  <c r="V340" i="5" a="1"/>
  <c r="V330" i="5" a="1"/>
  <c r="V320" i="5" a="1"/>
  <c r="V310" i="5" a="1"/>
  <c r="V300" i="5" a="1"/>
  <c r="V290" i="5" a="1"/>
  <c r="V280" i="5" a="1"/>
  <c r="V270" i="5" a="1"/>
  <c r="V260" i="5" a="1"/>
  <c r="V250" i="5" a="1"/>
  <c r="V240" i="5" a="1"/>
  <c r="V230" i="5" a="1"/>
  <c r="V220" i="5" a="1"/>
  <c r="V210" i="5" a="1"/>
  <c r="V200" i="5" a="1"/>
  <c r="V190" i="5" a="1"/>
  <c r="V180" i="5" a="1"/>
  <c r="V170" i="5" a="1"/>
  <c r="V160" i="5" a="1"/>
  <c r="V150" i="5" a="1"/>
  <c r="V1977" i="5" a="1"/>
  <c r="V1806" i="5" a="1"/>
  <c r="V1727" i="5" a="1"/>
  <c r="V1658" i="5" a="1"/>
  <c r="V1970" i="5" a="1"/>
  <c r="V1880" i="5" a="1"/>
  <c r="V1720" i="5" a="1"/>
  <c r="V1656" i="5" a="1"/>
  <c r="V1959" i="5" a="1"/>
  <c r="V1805" i="5" a="1"/>
  <c r="V1709" i="5" a="1"/>
  <c r="V1655" i="5" a="1"/>
  <c r="V1588" i="5" a="1"/>
  <c r="V1475" i="5" a="1"/>
  <c r="V1416" i="5" a="1"/>
  <c r="V1360" i="5" a="1"/>
  <c r="V1146" i="5" a="1"/>
  <c r="V1126" i="5" a="1"/>
  <c r="V1106" i="5" a="1"/>
  <c r="V1086" i="5" a="1"/>
  <c r="V1066" i="5" a="1"/>
  <c r="V1046" i="5" a="1"/>
  <c r="V1026" i="5" a="1"/>
  <c r="V1006" i="5" a="1"/>
  <c r="V986" i="5" a="1"/>
  <c r="V966" i="5" a="1"/>
  <c r="V946" i="5" a="1"/>
  <c r="V926" i="5" a="1"/>
  <c r="V906" i="5" a="1"/>
  <c r="V886" i="5" a="1"/>
  <c r="V866" i="5" a="1"/>
  <c r="V846" i="5" a="1"/>
  <c r="V826" i="5" a="1"/>
  <c r="V806" i="5" a="1"/>
  <c r="V786" i="5" a="1"/>
  <c r="V766" i="5" a="1"/>
  <c r="V746" i="5" a="1"/>
  <c r="V726" i="5" a="1"/>
  <c r="V706" i="5" a="1"/>
  <c r="V686" i="5" a="1"/>
  <c r="V666" i="5" a="1"/>
  <c r="V646" i="5" a="1"/>
  <c r="V626" i="5" a="1"/>
  <c r="V1879" i="5" a="1"/>
  <c r="V1640" i="5" a="1"/>
  <c r="V1526" i="5" a="1"/>
  <c r="V1355" i="5" a="1"/>
  <c r="V1305" i="5" a="1"/>
  <c r="V1167" i="5" a="1"/>
  <c r="V1143" i="5" a="1"/>
  <c r="V1123" i="5" a="1"/>
  <c r="V1103" i="5" a="1"/>
  <c r="V1083" i="5" a="1"/>
  <c r="V1063" i="5" a="1"/>
  <c r="V1043" i="5" a="1"/>
  <c r="V1023" i="5" a="1"/>
  <c r="V1003" i="5" a="1"/>
  <c r="V983" i="5" a="1"/>
  <c r="V963" i="5" a="1"/>
  <c r="V943" i="5" a="1"/>
  <c r="V923" i="5" a="1"/>
  <c r="V903" i="5" a="1"/>
  <c r="V883" i="5" a="1"/>
  <c r="V863" i="5" a="1"/>
  <c r="V843" i="5" a="1"/>
  <c r="V823" i="5" a="1"/>
  <c r="V803" i="5" a="1"/>
  <c r="V783" i="5" a="1"/>
  <c r="V763" i="5" a="1"/>
  <c r="V743" i="5" a="1"/>
  <c r="V723" i="5" a="1"/>
  <c r="V703" i="5" a="1"/>
  <c r="V683" i="5" a="1"/>
  <c r="V663" i="5" a="1"/>
  <c r="V643" i="5" a="1"/>
  <c r="V623" i="5" a="1"/>
  <c r="V607" i="5" a="1"/>
  <c r="V597" i="5" a="1"/>
  <c r="V587" i="5" a="1"/>
  <c r="V577" i="5" a="1"/>
  <c r="V567" i="5" a="1"/>
  <c r="V557" i="5" a="1"/>
  <c r="V547" i="5" a="1"/>
  <c r="V537" i="5" a="1"/>
  <c r="V527" i="5" a="1"/>
  <c r="V517" i="5" a="1"/>
  <c r="V507" i="5" a="1"/>
  <c r="V497" i="5" a="1"/>
  <c r="V487" i="5" a="1"/>
  <c r="V477" i="5" a="1"/>
  <c r="V467" i="5" a="1"/>
  <c r="V457" i="5" a="1"/>
  <c r="V447" i="5" a="1"/>
  <c r="V437" i="5" a="1"/>
  <c r="V427" i="5" a="1"/>
  <c r="V417" i="5" a="1"/>
  <c r="V407" i="5" a="1"/>
  <c r="V397" i="5" a="1"/>
  <c r="V387" i="5" a="1"/>
  <c r="V377" i="5" a="1"/>
  <c r="V367" i="5" a="1"/>
  <c r="V357" i="5" a="1"/>
  <c r="V347" i="5" a="1"/>
  <c r="V337" i="5" a="1"/>
  <c r="V327" i="5" a="1"/>
  <c r="V317" i="5" a="1"/>
  <c r="V307" i="5" a="1"/>
  <c r="V297" i="5" a="1"/>
  <c r="V287" i="5" a="1"/>
  <c r="V277" i="5" a="1"/>
  <c r="V267" i="5" a="1"/>
  <c r="V257" i="5" a="1"/>
  <c r="V247" i="5" a="1"/>
  <c r="V237" i="5" a="1"/>
  <c r="V227" i="5" a="1"/>
  <c r="V217" i="5" a="1"/>
  <c r="V207" i="5" a="1"/>
  <c r="V197" i="5" a="1"/>
  <c r="V187" i="5" a="1"/>
  <c r="V177" i="5" a="1"/>
  <c r="V167" i="5" a="1"/>
  <c r="V157" i="5" a="1"/>
  <c r="V147" i="5" a="1"/>
  <c r="V1956" i="5" a="1"/>
  <c r="V1877" i="5" a="1"/>
  <c r="V1706" i="5" a="1"/>
  <c r="V1639" i="5" a="1"/>
  <c r="V1576" i="5" a="1"/>
  <c r="V1520" i="5" a="1"/>
  <c r="V1460" i="5" a="1"/>
  <c r="V1299" i="5" a="1"/>
  <c r="V1245" i="5" a="1"/>
  <c r="V1199" i="5" a="1"/>
  <c r="V1870" i="5" a="1"/>
  <c r="V1780" i="5" a="1"/>
  <c r="V1638" i="5" a="1"/>
  <c r="V1575" i="5" a="1"/>
  <c r="V1519" i="5" a="1"/>
  <c r="V1408" i="5" a="1"/>
  <c r="V1349" i="5" a="1"/>
  <c r="V1297" i="5" a="1"/>
  <c r="V1240" i="5" a="1"/>
  <c r="V1198" i="5" a="1"/>
  <c r="V1166" i="5" a="1"/>
  <c r="V1142" i="5" a="1"/>
  <c r="V1122" i="5" a="1"/>
  <c r="V1102" i="5" a="1"/>
  <c r="V1082" i="5" a="1"/>
  <c r="V1062" i="5" a="1"/>
  <c r="V1042" i="5" a="1"/>
  <c r="V1022" i="5" a="1"/>
  <c r="V1002" i="5" a="1"/>
  <c r="V982" i="5" a="1"/>
  <c r="V962" i="5" a="1"/>
  <c r="V942" i="5" a="1"/>
  <c r="V922" i="5" a="1"/>
  <c r="V902" i="5" a="1"/>
  <c r="V882" i="5" a="1"/>
  <c r="V862" i="5" a="1"/>
  <c r="V842" i="5" a="1"/>
  <c r="V822" i="5" a="1"/>
  <c r="V802" i="5" a="1"/>
  <c r="V782" i="5" a="1"/>
  <c r="V762" i="5" a="1"/>
  <c r="V742" i="5" a="1"/>
  <c r="V722" i="5" a="1"/>
  <c r="V702" i="5" a="1"/>
  <c r="V682" i="5" a="1"/>
  <c r="V662" i="5" a="1"/>
  <c r="V642" i="5" a="1"/>
  <c r="V622" i="5" a="1"/>
  <c r="V606" i="5" a="1"/>
  <c r="V596" i="5" a="1"/>
  <c r="V586" i="5" a="1"/>
  <c r="V576" i="5" a="1"/>
  <c r="V566" i="5" a="1"/>
  <c r="V556" i="5" a="1"/>
  <c r="V546" i="5" a="1"/>
  <c r="V536" i="5" a="1"/>
  <c r="V526" i="5" a="1"/>
  <c r="V516" i="5" a="1"/>
  <c r="V506" i="5" a="1"/>
  <c r="V496" i="5" a="1"/>
  <c r="V486" i="5" a="1"/>
  <c r="V476" i="5" a="1"/>
  <c r="V466" i="5" a="1"/>
  <c r="V456" i="5" a="1"/>
  <c r="V446" i="5" a="1"/>
  <c r="V436" i="5" a="1"/>
  <c r="V426" i="5" a="1"/>
  <c r="V416" i="5" a="1"/>
  <c r="V406" i="5" a="1"/>
  <c r="V396" i="5" a="1"/>
  <c r="V386" i="5" a="1"/>
  <c r="V376" i="5" a="1"/>
  <c r="V366" i="5" a="1"/>
  <c r="V356" i="5" a="1"/>
  <c r="V346" i="5" a="1"/>
  <c r="V336" i="5" a="1"/>
  <c r="V326" i="5" a="1"/>
  <c r="V316" i="5" a="1"/>
  <c r="V306" i="5" a="1"/>
  <c r="V296" i="5" a="1"/>
  <c r="V286" i="5" a="1"/>
  <c r="V276" i="5" a="1"/>
  <c r="V266" i="5" a="1"/>
  <c r="V256" i="5" a="1"/>
  <c r="V246" i="5" a="1"/>
  <c r="V236" i="5" a="1"/>
  <c r="V226" i="5" a="1"/>
  <c r="V216" i="5" a="1"/>
  <c r="V206" i="5" a="1"/>
  <c r="V196" i="5" a="1"/>
  <c r="V186" i="5" a="1"/>
  <c r="V176" i="5" a="1"/>
  <c r="V166" i="5" a="1"/>
  <c r="V156" i="5" a="1"/>
  <c r="V1955" i="5" a="1"/>
  <c r="V1859" i="5" a="1"/>
  <c r="V1705" i="5" a="1"/>
  <c r="V1637" i="5" a="1"/>
  <c r="V1570" i="5" a="1"/>
  <c r="V1517" i="5" a="1"/>
  <c r="V1459" i="5" a="1"/>
  <c r="V1348" i="5" a="1"/>
  <c r="V1296" i="5" a="1"/>
  <c r="V1239" i="5" a="1"/>
  <c r="V1165" i="5" a="1"/>
  <c r="V1141" i="5" a="1"/>
  <c r="V1121" i="5" a="1"/>
  <c r="V1101" i="5" a="1"/>
  <c r="V1081" i="5" a="1"/>
  <c r="V1061" i="5" a="1"/>
  <c r="V1041" i="5" a="1"/>
  <c r="V1021" i="5" a="1"/>
  <c r="V1001" i="5" a="1"/>
  <c r="V981" i="5" a="1"/>
  <c r="V961" i="5" a="1"/>
  <c r="V941" i="5" a="1"/>
  <c r="V921" i="5" a="1"/>
  <c r="V901" i="5" a="1"/>
  <c r="V881" i="5" a="1"/>
  <c r="V861" i="5" a="1"/>
  <c r="V841" i="5" a="1"/>
  <c r="V821" i="5" a="1"/>
  <c r="V801" i="5" a="1"/>
  <c r="V781" i="5" a="1"/>
  <c r="V761" i="5" a="1"/>
  <c r="V741" i="5" a="1"/>
  <c r="V721" i="5" a="1"/>
  <c r="V701" i="5" a="1"/>
  <c r="V681" i="5" a="1"/>
  <c r="V661" i="5" a="1"/>
  <c r="V641" i="5" a="1"/>
  <c r="V621" i="5" a="1"/>
  <c r="V1779" i="5" a="1"/>
  <c r="V1699" i="5" a="1"/>
  <c r="V1508" i="5" a="1"/>
  <c r="V1458" i="5" a="1"/>
  <c r="V1397" i="5" a="1"/>
  <c r="V1347" i="5" a="1"/>
  <c r="V1238" i="5" a="1"/>
  <c r="V1196" i="5" a="1"/>
  <c r="V1163" i="5" a="1"/>
  <c r="V605" i="5" a="1"/>
  <c r="V595" i="5" a="1"/>
  <c r="V585" i="5" a="1"/>
  <c r="V575" i="5" a="1"/>
  <c r="V565" i="5" a="1"/>
  <c r="V555" i="5" a="1"/>
  <c r="V545" i="5" a="1"/>
  <c r="V1856" i="5" a="1"/>
  <c r="V1777" i="5" a="1"/>
  <c r="V1697" i="5" a="1"/>
  <c r="V1635" i="5" a="1"/>
  <c r="V1569" i="5" a="1"/>
  <c r="V1456" i="5" a="1"/>
  <c r="V1396" i="5" a="1"/>
  <c r="V1237" i="5" a="1"/>
  <c r="V1161" i="5" a="1"/>
  <c r="V1140" i="5" a="1"/>
  <c r="V1120" i="5" a="1"/>
  <c r="V1100" i="5" a="1"/>
  <c r="V1080" i="5" a="1"/>
  <c r="V1060" i="5" a="1"/>
  <c r="V1040" i="5" a="1"/>
  <c r="V1020" i="5" a="1"/>
  <c r="V1000" i="5" a="1"/>
  <c r="V980" i="5" a="1"/>
  <c r="V960" i="5" a="1"/>
  <c r="V940" i="5" a="1"/>
  <c r="V920" i="5" a="1"/>
  <c r="V900" i="5" a="1"/>
  <c r="V880" i="5" a="1"/>
  <c r="V860" i="5" a="1"/>
  <c r="V840" i="5" a="1"/>
  <c r="V820" i="5" a="1"/>
  <c r="V800" i="5" a="1"/>
  <c r="V780" i="5" a="1"/>
  <c r="V760" i="5" a="1"/>
  <c r="V740" i="5" a="1"/>
  <c r="V720" i="5" a="1"/>
  <c r="V700" i="5" a="1"/>
  <c r="V680" i="5" a="1"/>
  <c r="V660" i="5" a="1"/>
  <c r="V640" i="5" a="1"/>
  <c r="V1855" i="5" a="1"/>
  <c r="V1759" i="5" a="1"/>
  <c r="V1619" i="5" a="1"/>
  <c r="V1395" i="5" a="1"/>
  <c r="V1339" i="5" a="1"/>
  <c r="V1280" i="5" a="1"/>
  <c r="V1235" i="5" a="1"/>
  <c r="V1190" i="5" a="1"/>
  <c r="V1159" i="5" a="1"/>
  <c r="V1138" i="5" a="1"/>
  <c r="V1118" i="5" a="1"/>
  <c r="V1098" i="5" a="1"/>
  <c r="V1078" i="5" a="1"/>
  <c r="V1058" i="5" a="1"/>
  <c r="V1038" i="5" a="1"/>
  <c r="V1018" i="5" a="1"/>
  <c r="V998" i="5" a="1"/>
  <c r="V978" i="5" a="1"/>
  <c r="V958" i="5" a="1"/>
  <c r="V938" i="5" a="1"/>
  <c r="V918" i="5" a="1"/>
  <c r="V898" i="5" a="1"/>
  <c r="V878" i="5" a="1"/>
  <c r="V858" i="5" a="1"/>
  <c r="V838" i="5" a="1"/>
  <c r="V818" i="5" a="1"/>
  <c r="V798" i="5" a="1"/>
  <c r="V778" i="5" a="1"/>
  <c r="V758" i="5" a="1"/>
  <c r="V738" i="5" a="1"/>
  <c r="V718" i="5" a="1"/>
  <c r="V698" i="5" a="1"/>
  <c r="V678" i="5" a="1"/>
  <c r="V658" i="5" a="1"/>
  <c r="V638" i="5" a="1"/>
  <c r="V618" i="5" a="1"/>
  <c r="V1755" i="5" a="1"/>
  <c r="V1555" i="5" a="1"/>
  <c r="V1438" i="5" a="1"/>
  <c r="V1317" i="5" a="1"/>
  <c r="V1096" i="5" a="1"/>
  <c r="V967" i="5" a="1"/>
  <c r="V917" i="5" a="1"/>
  <c r="V873" i="5" a="1"/>
  <c r="V830" i="5" a="1"/>
  <c r="V788" i="5" a="1"/>
  <c r="V696" i="5" a="1"/>
  <c r="V610" i="5" a="1"/>
  <c r="V494" i="5" a="1"/>
  <c r="V475" i="5" a="1"/>
  <c r="V443" i="5" a="1"/>
  <c r="V425" i="5" a="1"/>
  <c r="V393" i="5" a="1"/>
  <c r="V375" i="5" a="1"/>
  <c r="V343" i="5" a="1"/>
  <c r="V325" i="5" a="1"/>
  <c r="V293" i="5" a="1"/>
  <c r="V275" i="5" a="1"/>
  <c r="V243" i="5" a="1"/>
  <c r="V225" i="5" a="1"/>
  <c r="V193" i="5" a="1"/>
  <c r="V175" i="5" a="1"/>
  <c r="V132" i="5" a="1"/>
  <c r="V122" i="5" a="1"/>
  <c r="V112" i="5" a="1"/>
  <c r="V102" i="5" a="1"/>
  <c r="V933" i="5" a="1"/>
  <c r="V756" i="5" a="1"/>
  <c r="V627" i="5" a="1"/>
  <c r="V519" i="5" a="1"/>
  <c r="V449" i="5" a="1"/>
  <c r="V349" i="5" a="1"/>
  <c r="V136" i="5" a="1"/>
  <c r="V1809" i="5" a="1"/>
  <c r="V710" i="5" a="1"/>
  <c r="V115" i="5" a="1"/>
  <c r="V1590" i="5" a="1"/>
  <c r="V877" i="5" a="1"/>
  <c r="V656" i="5" a="1"/>
  <c r="V572" i="5" a="1"/>
  <c r="V495" i="5" a="1"/>
  <c r="V312" i="5" a="1"/>
  <c r="V244" i="5" a="1"/>
  <c r="V1439" i="5" a="1"/>
  <c r="V653" i="5" a="1"/>
  <c r="V428" i="5" a="1"/>
  <c r="V1979" i="5" a="1"/>
  <c r="V1437" i="5" a="1"/>
  <c r="V1308" i="5" a="1"/>
  <c r="V1208" i="5" a="1"/>
  <c r="V1137" i="5" a="1"/>
  <c r="V1093" i="5" a="1"/>
  <c r="V1050" i="5" a="1"/>
  <c r="V1008" i="5" a="1"/>
  <c r="V916" i="5" a="1"/>
  <c r="V787" i="5" a="1"/>
  <c r="V737" i="5" a="1"/>
  <c r="V693" i="5" a="1"/>
  <c r="V650" i="5" a="1"/>
  <c r="V589" i="5" a="1"/>
  <c r="V569" i="5" a="1"/>
  <c r="V549" i="5" a="1"/>
  <c r="V512" i="5" a="1"/>
  <c r="V493" i="5" a="1"/>
  <c r="V459" i="5" a="1"/>
  <c r="V409" i="5" a="1"/>
  <c r="V359" i="5" a="1"/>
  <c r="V309" i="5" a="1"/>
  <c r="V259" i="5" a="1"/>
  <c r="V209" i="5" a="1"/>
  <c r="V159" i="5" a="1"/>
  <c r="V143" i="5" a="1"/>
  <c r="V848" i="5" a="1"/>
  <c r="V1930" i="5" a="1"/>
  <c r="V1729" i="5" a="1"/>
  <c r="V1549" i="5" a="1"/>
  <c r="V1428" i="5" a="1"/>
  <c r="V1195" i="5" a="1"/>
  <c r="V1136" i="5" a="1"/>
  <c r="V1007" i="5" a="1"/>
  <c r="V957" i="5" a="1"/>
  <c r="V913" i="5" a="1"/>
  <c r="V870" i="5" a="1"/>
  <c r="V828" i="5" a="1"/>
  <c r="V736" i="5" a="1"/>
  <c r="V529" i="5" a="1"/>
  <c r="V474" i="5" a="1"/>
  <c r="V442" i="5" a="1"/>
  <c r="V424" i="5" a="1"/>
  <c r="V392" i="5" a="1"/>
  <c r="V374" i="5" a="1"/>
  <c r="V342" i="5" a="1"/>
  <c r="V324" i="5" a="1"/>
  <c r="V292" i="5" a="1"/>
  <c r="V274" i="5" a="1"/>
  <c r="V242" i="5" a="1"/>
  <c r="V224" i="5" a="1"/>
  <c r="V192" i="5" a="1"/>
  <c r="V174" i="5" a="1"/>
  <c r="V131" i="5" a="1"/>
  <c r="V121" i="5" a="1"/>
  <c r="V111" i="5" a="1"/>
  <c r="V101" i="5" a="1"/>
  <c r="V890" i="5" a="1"/>
  <c r="V1929" i="5" a="1"/>
  <c r="V1548" i="5" a="1"/>
  <c r="V1419" i="5" a="1"/>
  <c r="V1306" i="5" a="1"/>
  <c r="V1189" i="5" a="1"/>
  <c r="V1133" i="5" a="1"/>
  <c r="V1090" i="5" a="1"/>
  <c r="V1048" i="5" a="1"/>
  <c r="V956" i="5" a="1"/>
  <c r="V827" i="5" a="1"/>
  <c r="V777" i="5" a="1"/>
  <c r="V733" i="5" a="1"/>
  <c r="V690" i="5" a="1"/>
  <c r="V648" i="5" a="1"/>
  <c r="V608" i="5" a="1"/>
  <c r="V588" i="5" a="1"/>
  <c r="V568" i="5" a="1"/>
  <c r="V548" i="5" a="1"/>
  <c r="V492" i="5" a="1"/>
  <c r="V458" i="5" a="1"/>
  <c r="V408" i="5" a="1"/>
  <c r="V358" i="5" a="1"/>
  <c r="V308" i="5" a="1"/>
  <c r="V258" i="5" a="1"/>
  <c r="V208" i="5" a="1"/>
  <c r="V158" i="5" a="1"/>
  <c r="V142" i="5" a="1"/>
  <c r="V1027" i="5" a="1"/>
  <c r="V1927" i="5" a="1"/>
  <c r="V1685" i="5" a="1"/>
  <c r="V1539" i="5" a="1"/>
  <c r="V1417" i="5" a="1"/>
  <c r="V1285" i="5" a="1"/>
  <c r="V1188" i="5" a="1"/>
  <c r="V1047" i="5" a="1"/>
  <c r="V997" i="5" a="1"/>
  <c r="V953" i="5" a="1"/>
  <c r="V910" i="5" a="1"/>
  <c r="V868" i="5" a="1"/>
  <c r="V776" i="5" a="1"/>
  <c r="V647" i="5" a="1"/>
  <c r="V528" i="5" a="1"/>
  <c r="V509" i="5" a="1"/>
  <c r="V473" i="5" a="1"/>
  <c r="V455" i="5" a="1"/>
  <c r="V423" i="5" a="1"/>
  <c r="V405" i="5" a="1"/>
  <c r="V373" i="5" a="1"/>
  <c r="V355" i="5" a="1"/>
  <c r="V323" i="5" a="1"/>
  <c r="V305" i="5" a="1"/>
  <c r="V273" i="5" a="1"/>
  <c r="V255" i="5" a="1"/>
  <c r="V223" i="5" a="1"/>
  <c r="V205" i="5" a="1"/>
  <c r="V173" i="5" a="1"/>
  <c r="V155" i="5" a="1"/>
  <c r="V130" i="5" a="1"/>
  <c r="V120" i="5" a="1"/>
  <c r="V110" i="5" a="1"/>
  <c r="V100" i="5" a="1"/>
  <c r="V977" i="5" a="1"/>
  <c r="V976" i="5" a="1"/>
  <c r="V876" i="5" a="1"/>
  <c r="V1920" i="5" a="1"/>
  <c r="V1680" i="5" a="1"/>
  <c r="V1181" i="5" a="1"/>
  <c r="V1130" i="5" a="1"/>
  <c r="V1088" i="5" a="1"/>
  <c r="V996" i="5" a="1"/>
  <c r="V867" i="5" a="1"/>
  <c r="V817" i="5" a="1"/>
  <c r="V773" i="5" a="1"/>
  <c r="V730" i="5" a="1"/>
  <c r="V688" i="5" a="1"/>
  <c r="V604" i="5" a="1"/>
  <c r="V584" i="5" a="1"/>
  <c r="V564" i="5" a="1"/>
  <c r="V544" i="5" a="1"/>
  <c r="V525" i="5" a="1"/>
  <c r="V439" i="5" a="1"/>
  <c r="V389" i="5" a="1"/>
  <c r="V339" i="5" a="1"/>
  <c r="V289" i="5" a="1"/>
  <c r="V239" i="5" a="1"/>
  <c r="V189" i="5" a="1"/>
  <c r="V141" i="5" a="1"/>
  <c r="V598" i="5" a="1"/>
  <c r="V399" i="5" a="1"/>
  <c r="V249" i="5" a="1"/>
  <c r="V847" i="5" a="1"/>
  <c r="V668" i="5" a="1"/>
  <c r="V464" i="5" a="1"/>
  <c r="V382" i="5" a="1"/>
  <c r="V282" i="5" a="1"/>
  <c r="V135" i="5" a="1"/>
  <c r="V1328" i="5" a="1"/>
  <c r="V1327" i="5" a="1"/>
  <c r="V790" i="5" a="1"/>
  <c r="V592" i="5" a="1"/>
  <c r="V362" i="5" a="1"/>
  <c r="V133" i="5" a="1"/>
  <c r="V513" i="5" a="1"/>
  <c r="V144" i="5" a="1"/>
  <c r="V1909" i="5" a="1"/>
  <c r="V1528" i="5" a="1"/>
  <c r="V1277" i="5" a="1"/>
  <c r="V1087" i="5" a="1"/>
  <c r="V1037" i="5" a="1"/>
  <c r="V993" i="5" a="1"/>
  <c r="V950" i="5" a="1"/>
  <c r="V908" i="5" a="1"/>
  <c r="V816" i="5" a="1"/>
  <c r="V687" i="5" a="1"/>
  <c r="V637" i="5" a="1"/>
  <c r="V603" i="5" a="1"/>
  <c r="V583" i="5" a="1"/>
  <c r="V563" i="5" a="1"/>
  <c r="V543" i="5" a="1"/>
  <c r="V508" i="5" a="1"/>
  <c r="V489" i="5" a="1"/>
  <c r="V472" i="5" a="1"/>
  <c r="V454" i="5" a="1"/>
  <c r="V422" i="5" a="1"/>
  <c r="V404" i="5" a="1"/>
  <c r="V372" i="5" a="1"/>
  <c r="V354" i="5" a="1"/>
  <c r="V322" i="5" a="1"/>
  <c r="V304" i="5" a="1"/>
  <c r="V272" i="5" a="1"/>
  <c r="V254" i="5" a="1"/>
  <c r="V222" i="5" a="1"/>
  <c r="V204" i="5" a="1"/>
  <c r="V172" i="5" a="1"/>
  <c r="V154" i="5" a="1"/>
  <c r="V140" i="5" a="1"/>
  <c r="V129" i="5" a="1"/>
  <c r="V119" i="5" a="1"/>
  <c r="V109" i="5" a="1"/>
  <c r="V99" i="5" a="1"/>
  <c r="V928" i="5" a="1"/>
  <c r="V1056" i="5" a="1"/>
  <c r="V123" i="5" a="1"/>
  <c r="V747" i="5" a="1"/>
  <c r="V1905" i="5" a="1"/>
  <c r="V1677" i="5" a="1"/>
  <c r="V1527" i="5" a="1"/>
  <c r="V1390" i="5" a="1"/>
  <c r="V1276" i="5" a="1"/>
  <c r="V1178" i="5" a="1"/>
  <c r="V1128" i="5" a="1"/>
  <c r="V1036" i="5" a="1"/>
  <c r="V907" i="5" a="1"/>
  <c r="V857" i="5" a="1"/>
  <c r="V813" i="5" a="1"/>
  <c r="V770" i="5" a="1"/>
  <c r="V728" i="5" a="1"/>
  <c r="V636" i="5" a="1"/>
  <c r="V524" i="5" a="1"/>
  <c r="V505" i="5" a="1"/>
  <c r="V438" i="5" a="1"/>
  <c r="V388" i="5" a="1"/>
  <c r="V338" i="5" a="1"/>
  <c r="V288" i="5" a="1"/>
  <c r="V238" i="5" a="1"/>
  <c r="V188" i="5" a="1"/>
  <c r="V578" i="5" a="1"/>
  <c r="V299" i="5" a="1"/>
  <c r="V1110" i="5" a="1"/>
  <c r="V432" i="5" a="1"/>
  <c r="V125" i="5" a="1"/>
  <c r="V970" i="5" a="1"/>
  <c r="V1216" i="5" a="1"/>
  <c r="V394" i="5" a="1"/>
  <c r="V1097" i="5" a="1"/>
  <c r="V378" i="5" a="1"/>
  <c r="V1506" i="5" a="1"/>
  <c r="V1388" i="5" a="1"/>
  <c r="V1275" i="5" a="1"/>
  <c r="V1177" i="5" a="1"/>
  <c r="V1127" i="5" a="1"/>
  <c r="V1077" i="5" a="1"/>
  <c r="V1033" i="5" a="1"/>
  <c r="V990" i="5" a="1"/>
  <c r="V948" i="5" a="1"/>
  <c r="V856" i="5" a="1"/>
  <c r="V727" i="5" a="1"/>
  <c r="V677" i="5" a="1"/>
  <c r="V633" i="5" a="1"/>
  <c r="V602" i="5" a="1"/>
  <c r="V582" i="5" a="1"/>
  <c r="V562" i="5" a="1"/>
  <c r="V542" i="5" a="1"/>
  <c r="V523" i="5" a="1"/>
  <c r="V488" i="5" a="1"/>
  <c r="V453" i="5" a="1"/>
  <c r="V435" i="5" a="1"/>
  <c r="V403" i="5" a="1"/>
  <c r="V385" i="5" a="1"/>
  <c r="V353" i="5" a="1"/>
  <c r="V335" i="5" a="1"/>
  <c r="V303" i="5" a="1"/>
  <c r="V285" i="5" a="1"/>
  <c r="V253" i="5" a="1"/>
  <c r="V235" i="5" a="1"/>
  <c r="V203" i="5" a="1"/>
  <c r="V185" i="5" a="1"/>
  <c r="V153" i="5" a="1"/>
  <c r="V139" i="5" a="1"/>
  <c r="V128" i="5" a="1"/>
  <c r="V118" i="5" a="1"/>
  <c r="V108" i="5" a="1"/>
  <c r="V98" i="5" a="1"/>
  <c r="V1480" i="5" a="1"/>
  <c r="V149" i="5" a="1"/>
  <c r="V535" i="5" a="1"/>
  <c r="V232" i="5" a="1"/>
  <c r="V1057" i="5" a="1"/>
  <c r="V1010" i="5" a="1"/>
  <c r="V1659" i="5" a="1"/>
  <c r="V1505" i="5" a="1"/>
  <c r="V1259" i="5" a="1"/>
  <c r="V1076" i="5" a="1"/>
  <c r="V947" i="5" a="1"/>
  <c r="V897" i="5" a="1"/>
  <c r="V853" i="5" a="1"/>
  <c r="V810" i="5" a="1"/>
  <c r="V768" i="5" a="1"/>
  <c r="V676" i="5" a="1"/>
  <c r="V504" i="5" a="1"/>
  <c r="V485" i="5" a="1"/>
  <c r="V469" i="5" a="1"/>
  <c r="V419" i="5" a="1"/>
  <c r="V369" i="5" a="1"/>
  <c r="V319" i="5" a="1"/>
  <c r="V269" i="5" a="1"/>
  <c r="V219" i="5" a="1"/>
  <c r="V169" i="5" a="1"/>
  <c r="V558" i="5" a="1"/>
  <c r="V753" i="5" a="1"/>
  <c r="V364" i="5" a="1"/>
  <c r="V264" i="5" a="1"/>
  <c r="V164" i="5" a="1"/>
  <c r="V1756" i="5" a="1"/>
  <c r="V833" i="5" a="1"/>
  <c r="V613" i="5" a="1"/>
  <c r="V514" i="5" a="1"/>
  <c r="V462" i="5" a="1"/>
  <c r="V344" i="5" a="1"/>
  <c r="V262" i="5" a="1"/>
  <c r="V162" i="5" a="1"/>
  <c r="V478" i="5" a="1"/>
  <c r="V228" i="5" a="1"/>
  <c r="V1499" i="5" a="1"/>
  <c r="V1258" i="5" a="1"/>
  <c r="V1173" i="5" a="1"/>
  <c r="V1117" i="5" a="1"/>
  <c r="V1073" i="5" a="1"/>
  <c r="V1030" i="5" a="1"/>
  <c r="V988" i="5" a="1"/>
  <c r="V896" i="5" a="1"/>
  <c r="V767" i="5" a="1"/>
  <c r="V717" i="5" a="1"/>
  <c r="V673" i="5" a="1"/>
  <c r="V630" i="5" a="1"/>
  <c r="V522" i="5" a="1"/>
  <c r="V503" i="5" a="1"/>
  <c r="V452" i="5" a="1"/>
  <c r="V434" i="5" a="1"/>
  <c r="V402" i="5" a="1"/>
  <c r="V384" i="5" a="1"/>
  <c r="V352" i="5" a="1"/>
  <c r="V334" i="5" a="1"/>
  <c r="V302" i="5" a="1"/>
  <c r="V284" i="5" a="1"/>
  <c r="V252" i="5" a="1"/>
  <c r="V234" i="5" a="1"/>
  <c r="V202" i="5" a="1"/>
  <c r="V184" i="5" a="1"/>
  <c r="V152" i="5" a="1"/>
  <c r="V138" i="5" a="1"/>
  <c r="V127" i="5" a="1"/>
  <c r="V117" i="5" a="1"/>
  <c r="V107" i="5" a="1"/>
  <c r="V97" i="5" a="1"/>
  <c r="V538" i="5" a="1"/>
  <c r="V199" i="5" a="1"/>
  <c r="V1153" i="5" a="1"/>
  <c r="V314" i="5" a="1"/>
  <c r="V1107" i="5" a="1"/>
  <c r="V968" i="5" a="1"/>
  <c r="V1617" i="5" a="1"/>
  <c r="V1497" i="5" a="1"/>
  <c r="V1256" i="5" a="1"/>
  <c r="V1116" i="5" a="1"/>
  <c r="V987" i="5" a="1"/>
  <c r="V937" i="5" a="1"/>
  <c r="V893" i="5" a="1"/>
  <c r="V850" i="5" a="1"/>
  <c r="V808" i="5" a="1"/>
  <c r="V716" i="5" a="1"/>
  <c r="V599" i="5" a="1"/>
  <c r="V579" i="5" a="1"/>
  <c r="V559" i="5" a="1"/>
  <c r="V539" i="5" a="1"/>
  <c r="V484" i="5" a="1"/>
  <c r="V468" i="5" a="1"/>
  <c r="V418" i="5" a="1"/>
  <c r="V368" i="5" a="1"/>
  <c r="V318" i="5" a="1"/>
  <c r="V268" i="5" a="1"/>
  <c r="V218" i="5" a="1"/>
  <c r="V168" i="5" a="1"/>
  <c r="V137" i="5" a="1"/>
  <c r="V1616" i="5" a="1"/>
  <c r="V1068" i="5" a="1"/>
  <c r="V482" i="5" a="1"/>
  <c r="V182" i="5" a="1"/>
  <c r="V1013" i="5" a="1"/>
  <c r="V1148" i="5" a="1"/>
  <c r="V444" i="5" a="1"/>
  <c r="V103" i="5" a="1"/>
  <c r="V1053" i="5" a="1"/>
  <c r="V1830" i="5" a="1"/>
  <c r="V1496" i="5" a="1"/>
  <c r="V1369" i="5" a="1"/>
  <c r="V1255" i="5" a="1"/>
  <c r="V1158" i="5" a="1"/>
  <c r="V1113" i="5" a="1"/>
  <c r="V1070" i="5" a="1"/>
  <c r="V1028" i="5" a="1"/>
  <c r="V936" i="5" a="1"/>
  <c r="V807" i="5" a="1"/>
  <c r="V757" i="5" a="1"/>
  <c r="V713" i="5" a="1"/>
  <c r="V670" i="5" a="1"/>
  <c r="V628" i="5" a="1"/>
  <c r="V502" i="5" a="1"/>
  <c r="V483" i="5" a="1"/>
  <c r="V465" i="5" a="1"/>
  <c r="V433" i="5" a="1"/>
  <c r="V415" i="5" a="1"/>
  <c r="V383" i="5" a="1"/>
  <c r="V365" i="5" a="1"/>
  <c r="V333" i="5" a="1"/>
  <c r="V315" i="5" a="1"/>
  <c r="V283" i="5" a="1"/>
  <c r="V265" i="5" a="1"/>
  <c r="V233" i="5" a="1"/>
  <c r="V215" i="5" a="1"/>
  <c r="V183" i="5" a="1"/>
  <c r="V165" i="5" a="1"/>
  <c r="V126" i="5" a="1"/>
  <c r="V116" i="5" a="1"/>
  <c r="V106" i="5" a="1"/>
  <c r="V96" i="5" a="1"/>
  <c r="V797" i="5" a="1"/>
  <c r="V620" i="5" a="1"/>
  <c r="V414" i="5" a="1"/>
  <c r="V332" i="5" a="1"/>
  <c r="V214" i="5" a="1"/>
  <c r="V105" i="5" a="1"/>
  <c r="V1455" i="5" a="1"/>
  <c r="V1440" i="5" a="1"/>
  <c r="V748" i="5" a="1"/>
  <c r="V552" i="5" a="1"/>
  <c r="V412" i="5" a="1"/>
  <c r="V294" i="5" a="1"/>
  <c r="V212" i="5" a="1"/>
  <c r="V113" i="5" a="1"/>
  <c r="V697" i="5" a="1"/>
  <c r="V328" i="5" a="1"/>
  <c r="V178" i="5" a="1"/>
  <c r="V1596" i="5" a="1"/>
  <c r="V1477" i="5" a="1"/>
  <c r="V1340" i="5" a="1"/>
  <c r="V1228" i="5" a="1"/>
  <c r="V1067" i="5" a="1"/>
  <c r="V1017" i="5" a="1"/>
  <c r="V973" i="5" a="1"/>
  <c r="V930" i="5" a="1"/>
  <c r="V888" i="5" a="1"/>
  <c r="V796" i="5" a="1"/>
  <c r="V667" i="5" a="1"/>
  <c r="V594" i="5" a="1"/>
  <c r="V574" i="5" a="1"/>
  <c r="V554" i="5" a="1"/>
  <c r="V518" i="5" a="1"/>
  <c r="V499" i="5" a="1"/>
  <c r="V448" i="5" a="1"/>
  <c r="V398" i="5" a="1"/>
  <c r="V348" i="5" a="1"/>
  <c r="V298" i="5" a="1"/>
  <c r="V248" i="5" a="1"/>
  <c r="V198" i="5" a="1"/>
  <c r="V148" i="5" a="1"/>
  <c r="V1595" i="5" a="1"/>
  <c r="V707" i="5" a="1"/>
  <c r="V657" i="5" a="1"/>
  <c r="V616" i="5" a="1"/>
  <c r="V533" i="5" a="1"/>
  <c r="V498" i="5" a="1"/>
  <c r="V479" i="5" a="1"/>
  <c r="V379" i="5" a="1"/>
  <c r="V329" i="5" a="1"/>
  <c r="V279" i="5" a="1"/>
  <c r="V229" i="5" a="1"/>
  <c r="V179" i="5" a="1"/>
  <c r="V927" i="5" a="1"/>
  <c r="V1770" i="5" a="1"/>
  <c r="V1476" i="5" a="1"/>
  <c r="V1220" i="5" a="1"/>
  <c r="V1150" i="5" a="1"/>
  <c r="V1108" i="5" a="1"/>
  <c r="V1016" i="5" a="1"/>
  <c r="V887" i="5" a="1"/>
  <c r="V837" i="5" a="1"/>
  <c r="V793" i="5" a="1"/>
  <c r="V750" i="5" a="1"/>
  <c r="V708" i="5" a="1"/>
  <c r="V617" i="5" a="1"/>
  <c r="V593" i="5" a="1"/>
  <c r="V573" i="5" a="1"/>
  <c r="V553" i="5" a="1"/>
  <c r="V534" i="5" a="1"/>
  <c r="V515" i="5" a="1"/>
  <c r="V463" i="5" a="1"/>
  <c r="V445" i="5" a="1"/>
  <c r="V413" i="5" a="1"/>
  <c r="V395" i="5" a="1"/>
  <c r="V363" i="5" a="1"/>
  <c r="V345" i="5" a="1"/>
  <c r="V313" i="5" a="1"/>
  <c r="V295" i="5" a="1"/>
  <c r="V263" i="5" a="1"/>
  <c r="V245" i="5" a="1"/>
  <c r="V213" i="5" a="1"/>
  <c r="V195" i="5" a="1"/>
  <c r="V163" i="5" a="1"/>
  <c r="V146" i="5" a="1"/>
  <c r="V134" i="5" a="1"/>
  <c r="V124" i="5" a="1"/>
  <c r="V114" i="5" a="1"/>
  <c r="V104" i="5" a="1"/>
  <c r="V836" i="5" a="1"/>
  <c r="V429" i="5" a="1"/>
  <c r="V145" i="5" a="1"/>
  <c r="V194" i="5" a="1"/>
  <c r="V1147" i="5" a="1"/>
  <c r="V532" i="5" a="1"/>
  <c r="V278" i="5" a="1"/>
  <c r="G2004" i="5" a="1"/>
  <c r="G2003" i="5" a="1"/>
  <c r="G2002" i="5" a="1"/>
  <c r="G2001" i="5" a="1"/>
  <c r="G2000" i="5" a="1"/>
  <c r="G1999" i="5" a="1"/>
  <c r="G1998" i="5" a="1"/>
  <c r="G1997" i="5" a="1"/>
  <c r="G1996" i="5" a="1"/>
  <c r="G1995" i="5" a="1"/>
  <c r="G1994" i="5" a="1"/>
  <c r="G1993" i="5" a="1"/>
  <c r="G1992" i="5" a="1"/>
  <c r="G1991" i="5" a="1"/>
  <c r="G1990" i="5" a="1"/>
  <c r="G1989" i="5" a="1"/>
  <c r="G1988" i="5" a="1"/>
  <c r="G1987" i="5" a="1"/>
  <c r="G1986" i="5" a="1"/>
  <c r="G1985" i="5" a="1"/>
  <c r="G1984" i="5" a="1"/>
  <c r="G1983" i="5" a="1"/>
  <c r="G1982" i="5" a="1"/>
  <c r="G1981" i="5" a="1"/>
  <c r="G1980" i="5" a="1"/>
  <c r="G1979" i="5" a="1"/>
  <c r="G1978" i="5" a="1"/>
  <c r="G1977" i="5" a="1"/>
  <c r="G1976" i="5" a="1"/>
  <c r="G1975" i="5" a="1"/>
  <c r="G1974" i="5" a="1"/>
  <c r="G1973" i="5" a="1"/>
  <c r="G1972" i="5" a="1"/>
  <c r="G1971" i="5" a="1"/>
  <c r="G1970" i="5" a="1"/>
  <c r="G1969" i="5" a="1"/>
  <c r="G1968" i="5" a="1"/>
  <c r="G1967" i="5" a="1"/>
  <c r="G1966" i="5" a="1"/>
  <c r="G1965" i="5" a="1"/>
  <c r="G1964" i="5" a="1"/>
  <c r="G1963" i="5" a="1"/>
  <c r="G1962" i="5" a="1"/>
  <c r="G1961" i="5" a="1"/>
  <c r="G1960" i="5" a="1"/>
  <c r="G1959" i="5" a="1"/>
  <c r="G1958" i="5" a="1"/>
  <c r="G1957" i="5" a="1"/>
  <c r="G1956" i="5" a="1"/>
  <c r="G1955" i="5" a="1"/>
  <c r="G1954" i="5" a="1"/>
  <c r="G1953" i="5" a="1"/>
  <c r="G1952" i="5" a="1"/>
  <c r="G1951" i="5" a="1"/>
  <c r="G1950" i="5" a="1"/>
  <c r="G1949" i="5" a="1"/>
  <c r="G1948" i="5" a="1"/>
  <c r="G1947" i="5" a="1"/>
  <c r="G1945" i="5" a="1"/>
  <c r="G1946" i="5" a="1"/>
  <c r="G1944" i="5" a="1"/>
  <c r="G1943" i="5" a="1"/>
  <c r="G1942" i="5" a="1"/>
  <c r="G1941" i="5" a="1"/>
  <c r="G1940" i="5" a="1"/>
  <c r="G1939" i="5" a="1"/>
  <c r="G1938" i="5" a="1"/>
  <c r="G1937" i="5" a="1"/>
  <c r="G1936" i="5" a="1"/>
  <c r="G1935" i="5" a="1"/>
  <c r="G1934" i="5" a="1"/>
  <c r="G1933" i="5" a="1"/>
  <c r="G1932" i="5" a="1"/>
  <c r="G1931" i="5" a="1"/>
  <c r="G1930" i="5" a="1"/>
  <c r="G1929" i="5" a="1"/>
  <c r="G1928" i="5" a="1"/>
  <c r="G1927" i="5" a="1"/>
  <c r="G1926" i="5" a="1"/>
  <c r="G1925" i="5" a="1"/>
  <c r="G1924" i="5" a="1"/>
  <c r="G1923" i="5" a="1"/>
  <c r="G1922" i="5" a="1"/>
  <c r="G1921" i="5" a="1"/>
  <c r="G1920" i="5" a="1"/>
  <c r="G1919" i="5" a="1"/>
  <c r="G1918" i="5" a="1"/>
  <c r="G1917" i="5" a="1"/>
  <c r="G1916" i="5" a="1"/>
  <c r="G1915" i="5" a="1"/>
  <c r="G1914" i="5" a="1"/>
  <c r="G1913" i="5" a="1"/>
  <c r="G1912" i="5" a="1"/>
  <c r="G1911" i="5" a="1"/>
  <c r="G1910" i="5" a="1"/>
  <c r="G1909" i="5" a="1"/>
  <c r="G1908" i="5" a="1"/>
  <c r="G1907" i="5" a="1"/>
  <c r="G1906" i="5" a="1"/>
  <c r="G1905" i="5" a="1"/>
  <c r="G1904" i="5" a="1"/>
  <c r="G1903" i="5" a="1"/>
  <c r="G1902" i="5" a="1"/>
  <c r="G1901" i="5" a="1"/>
  <c r="G1900" i="5" a="1"/>
  <c r="G1899" i="5" a="1"/>
  <c r="G1898" i="5" a="1"/>
  <c r="G1897" i="5" a="1"/>
  <c r="G1896" i="5" a="1"/>
  <c r="G1895" i="5" a="1"/>
  <c r="G1894" i="5" a="1"/>
  <c r="G1893" i="5" a="1"/>
  <c r="G1892" i="5" a="1"/>
  <c r="G1891" i="5" a="1"/>
  <c r="G1890" i="5" a="1"/>
  <c r="G1889" i="5" a="1"/>
  <c r="G1888" i="5" a="1"/>
  <c r="G1887" i="5" a="1"/>
  <c r="G1886" i="5" a="1"/>
  <c r="G1885" i="5" a="1"/>
  <c r="G1884" i="5" a="1"/>
  <c r="G1883" i="5" a="1"/>
  <c r="G1882" i="5" a="1"/>
  <c r="G1881" i="5" a="1"/>
  <c r="G1880" i="5" a="1"/>
  <c r="G1879" i="5" a="1"/>
  <c r="G1878" i="5" a="1"/>
  <c r="G1877" i="5" a="1"/>
  <c r="G1876" i="5" a="1"/>
  <c r="G1875" i="5" a="1"/>
  <c r="G1874" i="5" a="1"/>
  <c r="G1873" i="5" a="1"/>
  <c r="G1872" i="5" a="1"/>
  <c r="G1871" i="5" a="1"/>
  <c r="G1870" i="5" a="1"/>
  <c r="G1869" i="5" a="1"/>
  <c r="G1868" i="5" a="1"/>
  <c r="G1867" i="5" a="1"/>
  <c r="G1866" i="5" a="1"/>
  <c r="G1865" i="5" a="1"/>
  <c r="G1864" i="5" a="1"/>
  <c r="G1863" i="5" a="1"/>
  <c r="G1862" i="5" a="1"/>
  <c r="G1861" i="5" a="1"/>
  <c r="G1860" i="5" a="1"/>
  <c r="G1859" i="5" a="1"/>
  <c r="G1858" i="5" a="1"/>
  <c r="G1857" i="5" a="1"/>
  <c r="G1856" i="5" a="1"/>
  <c r="G1855" i="5" a="1"/>
  <c r="G1854" i="5" a="1"/>
  <c r="G1853" i="5" a="1"/>
  <c r="G1852" i="5" a="1"/>
  <c r="G1851" i="5" a="1"/>
  <c r="G1850" i="5" a="1"/>
  <c r="G1849" i="5" a="1"/>
  <c r="G1848" i="5" a="1"/>
  <c r="G1847" i="5" a="1"/>
  <c r="G1846" i="5" a="1"/>
  <c r="G1845" i="5" a="1"/>
  <c r="G1844" i="5" a="1"/>
  <c r="G1843" i="5" a="1"/>
  <c r="G1842" i="5" a="1"/>
  <c r="G1841" i="5" a="1"/>
  <c r="G1840" i="5" a="1"/>
  <c r="G1839" i="5" a="1"/>
  <c r="G1838" i="5" a="1"/>
  <c r="G1837" i="5" a="1"/>
  <c r="G1836" i="5" a="1"/>
  <c r="G1835" i="5" a="1"/>
  <c r="G1834" i="5" a="1"/>
  <c r="G1833" i="5" a="1"/>
  <c r="G1832" i="5" a="1"/>
  <c r="G1831" i="5" a="1"/>
  <c r="G1830" i="5" a="1"/>
  <c r="G1829" i="5" a="1"/>
  <c r="G1828" i="5" a="1"/>
  <c r="G1827" i="5" a="1"/>
  <c r="G1826" i="5" a="1"/>
  <c r="G1825" i="5" a="1"/>
  <c r="G1824" i="5" a="1"/>
  <c r="G1823" i="5" a="1"/>
  <c r="G1822" i="5" a="1"/>
  <c r="G1821" i="5" a="1"/>
  <c r="G1820" i="5" a="1"/>
  <c r="G1819" i="5" a="1"/>
  <c r="G1818" i="5" a="1"/>
  <c r="G1817" i="5" a="1"/>
  <c r="G1816" i="5" a="1"/>
  <c r="G1815" i="5" a="1"/>
  <c r="G1814" i="5" a="1"/>
  <c r="G1813" i="5" a="1"/>
  <c r="G1812" i="5" a="1"/>
  <c r="G1811" i="5" a="1"/>
  <c r="G1810" i="5" a="1"/>
  <c r="G1809" i="5" a="1"/>
  <c r="G1808" i="5" a="1"/>
  <c r="G1807" i="5" a="1"/>
  <c r="G1806" i="5" a="1"/>
  <c r="G1805" i="5" a="1"/>
  <c r="G1804" i="5" a="1"/>
  <c r="G1803" i="5" a="1"/>
  <c r="G1802" i="5" a="1"/>
  <c r="G1801" i="5" a="1"/>
  <c r="G1800" i="5" a="1"/>
  <c r="G1799" i="5" a="1"/>
  <c r="G1798" i="5" a="1"/>
  <c r="G1797" i="5" a="1"/>
  <c r="G1796" i="5" a="1"/>
  <c r="G1795" i="5" a="1"/>
  <c r="G1794" i="5" a="1"/>
  <c r="G1793" i="5" a="1"/>
  <c r="G1792" i="5" a="1"/>
  <c r="G1791" i="5" a="1"/>
  <c r="G1790" i="5" a="1"/>
  <c r="G1789" i="5" a="1"/>
  <c r="G1788" i="5" a="1"/>
  <c r="G1787" i="5" a="1"/>
  <c r="G1786" i="5" a="1"/>
  <c r="G1785" i="5" a="1"/>
  <c r="G1784" i="5" a="1"/>
  <c r="G1783" i="5" a="1"/>
  <c r="G1782" i="5" a="1"/>
  <c r="G1781" i="5" a="1"/>
  <c r="G1780" i="5" a="1"/>
  <c r="G1779" i="5" a="1"/>
  <c r="G1778" i="5" a="1"/>
  <c r="G1777" i="5" a="1"/>
  <c r="G1776" i="5" a="1"/>
  <c r="G1775" i="5" a="1"/>
  <c r="G1774" i="5" a="1"/>
  <c r="G1773" i="5" a="1"/>
  <c r="G1772" i="5" a="1"/>
  <c r="G1771" i="5" a="1"/>
  <c r="G1770" i="5" a="1"/>
  <c r="G1769" i="5" a="1"/>
  <c r="G1768" i="5" a="1"/>
  <c r="G1767" i="5" a="1"/>
  <c r="G1766" i="5" a="1"/>
  <c r="G1765" i="5" a="1"/>
  <c r="G1764" i="5" a="1"/>
  <c r="G1763" i="5" a="1"/>
  <c r="G1762" i="5" a="1"/>
  <c r="G1761" i="5" a="1"/>
  <c r="G1760" i="5" a="1"/>
  <c r="G1759" i="5" a="1"/>
  <c r="G1758" i="5" a="1"/>
  <c r="G1757" i="5" a="1"/>
  <c r="G1756" i="5" a="1"/>
  <c r="G1755" i="5" a="1"/>
  <c r="G1754" i="5" a="1"/>
  <c r="G1753" i="5" a="1"/>
  <c r="G1752" i="5" a="1"/>
  <c r="G1751" i="5" a="1"/>
  <c r="G1750" i="5" a="1"/>
  <c r="G1749" i="5" a="1"/>
  <c r="G1748" i="5" a="1"/>
  <c r="G1747" i="5" a="1"/>
  <c r="G1746" i="5" a="1"/>
  <c r="G1745" i="5" a="1"/>
  <c r="G1744" i="5" a="1"/>
  <c r="G1743" i="5" a="1"/>
  <c r="G1742" i="5" a="1"/>
  <c r="G1741" i="5" a="1"/>
  <c r="G1740" i="5" a="1"/>
  <c r="G1739" i="5" a="1"/>
  <c r="G1738" i="5" a="1"/>
  <c r="G1737" i="5" a="1"/>
  <c r="G1736" i="5" a="1"/>
  <c r="G1735" i="5" a="1"/>
  <c r="G1734" i="5" a="1"/>
  <c r="G1733" i="5" a="1"/>
  <c r="G1732" i="5" a="1"/>
  <c r="G1731" i="5" a="1"/>
  <c r="G1730" i="5" a="1"/>
  <c r="G1729" i="5" a="1"/>
  <c r="G1728" i="5" a="1"/>
  <c r="G1727" i="5" a="1"/>
  <c r="G1726" i="5" a="1"/>
  <c r="G1725" i="5" a="1"/>
  <c r="G1724" i="5" a="1"/>
  <c r="G1723" i="5" a="1"/>
  <c r="G1722" i="5" a="1"/>
  <c r="G1721" i="5" a="1"/>
  <c r="G1720" i="5" a="1"/>
  <c r="G1719" i="5" a="1"/>
  <c r="G1718" i="5" a="1"/>
  <c r="G1717" i="5" a="1"/>
  <c r="G1716" i="5" a="1"/>
  <c r="G1715" i="5" a="1"/>
  <c r="G1714" i="5" a="1"/>
  <c r="G1713" i="5" a="1"/>
  <c r="G1712" i="5" a="1"/>
  <c r="G1711" i="5" a="1"/>
  <c r="G1710" i="5" a="1"/>
  <c r="G1709" i="5" a="1"/>
  <c r="G1708" i="5" a="1"/>
  <c r="G1707" i="5" a="1"/>
  <c r="G1706" i="5" a="1"/>
  <c r="G1705" i="5" a="1"/>
  <c r="G1704" i="5" a="1"/>
  <c r="G1703" i="5" a="1"/>
  <c r="G1702" i="5" a="1"/>
  <c r="G1701" i="5" a="1"/>
  <c r="G1700" i="5" a="1"/>
  <c r="G1699" i="5" a="1"/>
  <c r="G1698" i="5" a="1"/>
  <c r="G1697" i="5" a="1"/>
  <c r="G1696" i="5" a="1"/>
  <c r="G1695" i="5" a="1"/>
  <c r="G1694" i="5" a="1"/>
  <c r="G1693" i="5" a="1"/>
  <c r="G1692" i="5" a="1"/>
  <c r="G1691" i="5" a="1"/>
  <c r="G1690" i="5" a="1"/>
  <c r="G1689" i="5" a="1"/>
  <c r="G1688" i="5" a="1"/>
  <c r="G1687" i="5" a="1"/>
  <c r="G1686" i="5" a="1"/>
  <c r="G1685" i="5" a="1"/>
  <c r="G1684" i="5" a="1"/>
  <c r="G1683" i="5" a="1"/>
  <c r="G1682" i="5" a="1"/>
  <c r="G1681" i="5" a="1"/>
  <c r="G1680" i="5" a="1"/>
  <c r="G1679" i="5" a="1"/>
  <c r="G1678" i="5" a="1"/>
  <c r="G1677" i="5" a="1"/>
  <c r="G1676" i="5" a="1"/>
  <c r="G1675" i="5" a="1"/>
  <c r="G1674" i="5" a="1"/>
  <c r="G1673" i="5" a="1"/>
  <c r="G1672" i="5" a="1"/>
  <c r="G1671" i="5" a="1"/>
  <c r="G1670" i="5" a="1"/>
  <c r="G1669" i="5" a="1"/>
  <c r="G1668" i="5" a="1"/>
  <c r="G1667" i="5" a="1"/>
  <c r="G1666" i="5" a="1"/>
  <c r="G1665" i="5" a="1"/>
  <c r="G1664" i="5" a="1"/>
  <c r="G1663" i="5" a="1"/>
  <c r="G1662" i="5" a="1"/>
  <c r="G1661" i="5" a="1"/>
  <c r="G1660" i="5" a="1"/>
  <c r="G1659" i="5" a="1"/>
  <c r="G1658" i="5" a="1"/>
  <c r="G1657" i="5" a="1"/>
  <c r="G1656" i="5" a="1"/>
  <c r="G1655" i="5" a="1"/>
  <c r="G1654" i="5" a="1"/>
  <c r="G1653" i="5" a="1"/>
  <c r="G1652" i="5" a="1"/>
  <c r="G1651" i="5" a="1"/>
  <c r="G1650" i="5" a="1"/>
  <c r="G1649" i="5" a="1"/>
  <c r="G1648" i="5" a="1"/>
  <c r="G1647" i="5" a="1"/>
  <c r="G1646" i="5" a="1"/>
  <c r="G1645" i="5" a="1"/>
  <c r="G1644" i="5" a="1"/>
  <c r="G1643" i="5" a="1"/>
  <c r="G1642" i="5" a="1"/>
  <c r="G1641" i="5" a="1"/>
  <c r="G1640" i="5" a="1"/>
  <c r="G1639" i="5" a="1"/>
  <c r="G1638" i="5" a="1"/>
  <c r="G1637" i="5" a="1"/>
  <c r="G1636" i="5" a="1"/>
  <c r="G1635" i="5" a="1"/>
  <c r="G1634" i="5" a="1"/>
  <c r="G1633" i="5" a="1"/>
  <c r="G1632" i="5" a="1"/>
  <c r="G1631" i="5" a="1"/>
  <c r="G1630" i="5" a="1"/>
  <c r="G1629" i="5" a="1"/>
  <c r="G1628" i="5" a="1"/>
  <c r="G1627" i="5" a="1"/>
  <c r="G1626" i="5" a="1"/>
  <c r="G1625" i="5" a="1"/>
  <c r="G1624" i="5" a="1"/>
  <c r="G1623" i="5" a="1"/>
  <c r="G1622" i="5" a="1"/>
  <c r="G1621" i="5" a="1"/>
  <c r="G1620" i="5" a="1"/>
  <c r="G1619" i="5" a="1"/>
  <c r="G1618" i="5" a="1"/>
  <c r="G1617" i="5" a="1"/>
  <c r="G1616" i="5" a="1"/>
  <c r="G1615" i="5" a="1"/>
  <c r="G1614" i="5" a="1"/>
  <c r="G1613" i="5" a="1"/>
  <c r="G1612" i="5" a="1"/>
  <c r="G1611" i="5" a="1"/>
  <c r="G1610" i="5" a="1"/>
  <c r="G1609" i="5" a="1"/>
  <c r="G1608" i="5" a="1"/>
  <c r="G1607" i="5" a="1"/>
  <c r="G1606" i="5" a="1"/>
  <c r="G1605" i="5" a="1"/>
  <c r="G1604" i="5" a="1"/>
  <c r="G1603" i="5" a="1"/>
  <c r="G1602" i="5" a="1"/>
  <c r="G1601" i="5" a="1"/>
  <c r="G1600" i="5" a="1"/>
  <c r="G1599" i="5" a="1"/>
  <c r="G1598" i="5" a="1"/>
  <c r="G1597" i="5" a="1"/>
  <c r="G1596" i="5" a="1"/>
  <c r="G1595" i="5" a="1"/>
  <c r="G1594" i="5" a="1"/>
  <c r="G1593" i="5" a="1"/>
  <c r="G1592" i="5" a="1"/>
  <c r="G1591" i="5" a="1"/>
  <c r="G1590" i="5" a="1"/>
  <c r="G1589" i="5" a="1"/>
  <c r="G1588" i="5" a="1"/>
  <c r="G1587" i="5" a="1"/>
  <c r="G1586" i="5" a="1"/>
  <c r="G1585" i="5" a="1"/>
  <c r="G1584" i="5" a="1"/>
  <c r="G1583" i="5" a="1"/>
  <c r="G1582" i="5" a="1"/>
  <c r="G1581" i="5" a="1"/>
  <c r="G1580" i="5" a="1"/>
  <c r="G1579" i="5" a="1"/>
  <c r="G1578" i="5" a="1"/>
  <c r="G1577" i="5" a="1"/>
  <c r="G1576" i="5" a="1"/>
  <c r="G1575" i="5" a="1"/>
  <c r="G1574" i="5" a="1"/>
  <c r="G1573" i="5" a="1"/>
  <c r="G1572" i="5" a="1"/>
  <c r="G1571" i="5" a="1"/>
  <c r="G1570" i="5" a="1"/>
  <c r="G1569" i="5" a="1"/>
  <c r="G1568" i="5" a="1"/>
  <c r="G1567" i="5" a="1"/>
  <c r="G1566" i="5" a="1"/>
  <c r="G1565" i="5" a="1"/>
  <c r="G1564" i="5" a="1"/>
  <c r="G1563" i="5" a="1"/>
  <c r="G1562" i="5" a="1"/>
  <c r="G1561" i="5" a="1"/>
  <c r="G1560" i="5" a="1"/>
  <c r="G1559" i="5" a="1"/>
  <c r="G1558" i="5" a="1"/>
  <c r="G1557" i="5" a="1"/>
  <c r="G1556" i="5" a="1"/>
  <c r="G1555" i="5" a="1"/>
  <c r="G1554" i="5" a="1"/>
  <c r="G1553" i="5" a="1"/>
  <c r="G1552" i="5" a="1"/>
  <c r="G1551" i="5" a="1"/>
  <c r="G1550" i="5" a="1"/>
  <c r="G1549" i="5" a="1"/>
  <c r="G1548" i="5" a="1"/>
  <c r="G1547" i="5" a="1"/>
  <c r="G1546" i="5" a="1"/>
  <c r="G1545" i="5" a="1"/>
  <c r="G1544" i="5" a="1"/>
  <c r="G1543" i="5" a="1"/>
  <c r="G1542" i="5" a="1"/>
  <c r="G1541" i="5" a="1"/>
  <c r="G1540" i="5" a="1"/>
  <c r="G1539" i="5" a="1"/>
  <c r="G1538" i="5" a="1"/>
  <c r="G1537" i="5" a="1"/>
  <c r="G1536" i="5" a="1"/>
  <c r="G1535" i="5" a="1"/>
  <c r="G1534" i="5" a="1"/>
  <c r="G1533" i="5" a="1"/>
  <c r="G1532" i="5" a="1"/>
  <c r="G1531" i="5" a="1"/>
  <c r="G1530" i="5" a="1"/>
  <c r="G1529" i="5" a="1"/>
  <c r="G1528" i="5" a="1"/>
  <c r="G1527" i="5" a="1"/>
  <c r="G1526" i="5" a="1"/>
  <c r="G1525" i="5" a="1"/>
  <c r="G1524" i="5" a="1"/>
  <c r="G1523" i="5" a="1"/>
  <c r="G1522" i="5" a="1"/>
  <c r="G1521" i="5" a="1"/>
  <c r="G1520" i="5" a="1"/>
  <c r="G1519" i="5" a="1"/>
  <c r="G1518" i="5" a="1"/>
  <c r="G1517" i="5" a="1"/>
  <c r="G1516" i="5" a="1"/>
  <c r="G1515" i="5" a="1"/>
  <c r="G1514" i="5" a="1"/>
  <c r="G1513" i="5" a="1"/>
  <c r="G1512" i="5" a="1"/>
  <c r="G1511" i="5" a="1"/>
  <c r="G1510" i="5" a="1"/>
  <c r="G1509" i="5" a="1"/>
  <c r="G1508" i="5" a="1"/>
  <c r="G1507" i="5" a="1"/>
  <c r="G1506" i="5" a="1"/>
  <c r="G1505" i="5" a="1"/>
  <c r="G1504" i="5" a="1"/>
  <c r="G1503" i="5" a="1"/>
  <c r="G1502" i="5" a="1"/>
  <c r="G1501" i="5" a="1"/>
  <c r="G1500" i="5" a="1"/>
  <c r="G1499" i="5" a="1"/>
  <c r="G1498" i="5" a="1"/>
  <c r="G1497" i="5" a="1"/>
  <c r="G1496" i="5" a="1"/>
  <c r="G1495" i="5" a="1"/>
  <c r="G1494" i="5" a="1"/>
  <c r="G1493" i="5" a="1"/>
  <c r="G1492" i="5" a="1"/>
  <c r="G1491" i="5" a="1"/>
  <c r="G1490" i="5" a="1"/>
  <c r="G1489" i="5" a="1"/>
  <c r="G1488" i="5" a="1"/>
  <c r="G1487" i="5" a="1"/>
  <c r="G1486" i="5" a="1"/>
  <c r="G1485" i="5" a="1"/>
  <c r="G1484" i="5" a="1"/>
  <c r="G1483" i="5" a="1"/>
  <c r="G1482" i="5" a="1"/>
  <c r="G1481" i="5" a="1"/>
  <c r="G1480" i="5" a="1"/>
  <c r="G1479" i="5" a="1"/>
  <c r="G1478" i="5" a="1"/>
  <c r="G1477" i="5" a="1"/>
  <c r="G1476" i="5" a="1"/>
  <c r="G1475" i="5" a="1"/>
  <c r="G1474" i="5" a="1"/>
  <c r="G1473" i="5" a="1"/>
  <c r="G1472" i="5" a="1"/>
  <c r="G1471" i="5" a="1"/>
  <c r="G1470" i="5" a="1"/>
  <c r="G1469" i="5" a="1"/>
  <c r="G1468" i="5" a="1"/>
  <c r="G1467" i="5" a="1"/>
  <c r="G1466" i="5" a="1"/>
  <c r="G1465" i="5" a="1"/>
  <c r="G1464" i="5" a="1"/>
  <c r="G1463" i="5" a="1"/>
  <c r="G1462" i="5" a="1"/>
  <c r="G1461" i="5" a="1"/>
  <c r="G1460" i="5" a="1"/>
  <c r="G1459" i="5" a="1"/>
  <c r="G1458" i="5" a="1"/>
  <c r="G1457" i="5" a="1"/>
  <c r="G1456" i="5" a="1"/>
  <c r="G1455" i="5" a="1"/>
  <c r="G1454" i="5" a="1"/>
  <c r="G1453" i="5" a="1"/>
  <c r="G1452" i="5" a="1"/>
  <c r="G1451" i="5" a="1"/>
  <c r="G1450" i="5" a="1"/>
  <c r="G1449" i="5" a="1"/>
  <c r="G1448" i="5" a="1"/>
  <c r="G1447" i="5" a="1"/>
  <c r="G1446" i="5" a="1"/>
  <c r="G1445" i="5" a="1"/>
  <c r="G1444" i="5" a="1"/>
  <c r="G1443" i="5" a="1"/>
  <c r="G1442" i="5" a="1"/>
  <c r="G1441" i="5" a="1"/>
  <c r="G1440" i="5" a="1"/>
  <c r="G1439" i="5" a="1"/>
  <c r="G1438" i="5" a="1"/>
  <c r="G1437" i="5" a="1"/>
  <c r="G1436" i="5" a="1"/>
  <c r="G1435" i="5" a="1"/>
  <c r="G1434" i="5" a="1"/>
  <c r="G1433" i="5" a="1"/>
  <c r="G1432" i="5" a="1"/>
  <c r="G1431" i="5" a="1"/>
  <c r="G1430" i="5" a="1"/>
  <c r="G1429" i="5" a="1"/>
  <c r="G1428" i="5" a="1"/>
  <c r="G1427" i="5" a="1"/>
  <c r="G1426" i="5" a="1"/>
  <c r="G1425" i="5" a="1"/>
  <c r="G1424" i="5" a="1"/>
  <c r="G1423" i="5" a="1"/>
  <c r="G1422" i="5" a="1"/>
  <c r="G1421" i="5" a="1"/>
  <c r="G1420" i="5" a="1"/>
  <c r="G1419" i="5" a="1"/>
  <c r="G1418" i="5" a="1"/>
  <c r="G1417" i="5" a="1"/>
  <c r="G1416" i="5" a="1"/>
  <c r="G1415" i="5" a="1"/>
  <c r="G1414" i="5" a="1"/>
  <c r="G1413" i="5" a="1"/>
  <c r="G1412" i="5" a="1"/>
  <c r="G1411" i="5" a="1"/>
  <c r="G1410" i="5" a="1"/>
  <c r="G1409" i="5" a="1"/>
  <c r="G1408" i="5" a="1"/>
  <c r="G1407" i="5" a="1"/>
  <c r="G1406" i="5" a="1"/>
  <c r="G1405" i="5" a="1"/>
  <c r="G1404" i="5" a="1"/>
  <c r="G1403" i="5" a="1"/>
  <c r="G1402" i="5" a="1"/>
  <c r="G1401" i="5" a="1"/>
  <c r="G1400" i="5" a="1"/>
  <c r="G1399" i="5" a="1"/>
  <c r="G1398" i="5" a="1"/>
  <c r="G1397" i="5" a="1"/>
  <c r="G1396" i="5" a="1"/>
  <c r="G1395" i="5" a="1"/>
  <c r="G1394" i="5" a="1"/>
  <c r="G1393" i="5" a="1"/>
  <c r="G1392" i="5" a="1"/>
  <c r="G1391" i="5" a="1"/>
  <c r="G1390" i="5" a="1"/>
  <c r="G1389" i="5" a="1"/>
  <c r="G1388" i="5" a="1"/>
  <c r="G1387" i="5" a="1"/>
  <c r="G1386" i="5" a="1"/>
  <c r="G1385" i="5" a="1"/>
  <c r="G1384" i="5" a="1"/>
  <c r="G1383" i="5" a="1"/>
  <c r="G1382" i="5" a="1"/>
  <c r="G1381" i="5" a="1"/>
  <c r="G1380" i="5" a="1"/>
  <c r="G1379" i="5" a="1"/>
  <c r="G1378" i="5" a="1"/>
  <c r="G1377" i="5" a="1"/>
  <c r="G1376" i="5" a="1"/>
  <c r="G1375" i="5" a="1"/>
  <c r="G1374" i="5" a="1"/>
  <c r="G1373" i="5" a="1"/>
  <c r="G1372" i="5" a="1"/>
  <c r="G1371" i="5" a="1"/>
  <c r="G1370" i="5" a="1"/>
  <c r="G1369" i="5" a="1"/>
  <c r="G1368" i="5" a="1"/>
  <c r="G1367" i="5" a="1"/>
  <c r="G1366" i="5" a="1"/>
  <c r="G1365" i="5" a="1"/>
  <c r="G1364" i="5" a="1"/>
  <c r="G1363" i="5" a="1"/>
  <c r="G1362" i="5" a="1"/>
  <c r="G1361" i="5" a="1"/>
  <c r="G1360" i="5" a="1"/>
  <c r="G1359" i="5" a="1"/>
  <c r="G1358" i="5" a="1"/>
  <c r="G1357" i="5" a="1"/>
  <c r="G1356" i="5" a="1"/>
  <c r="G1355" i="5" a="1"/>
  <c r="G1354" i="5" a="1"/>
  <c r="G1353" i="5" a="1"/>
  <c r="G1352" i="5" a="1"/>
  <c r="G1351" i="5" a="1"/>
  <c r="G1350" i="5" a="1"/>
  <c r="G1349" i="5" a="1"/>
  <c r="G1348" i="5" a="1"/>
  <c r="G1347" i="5" a="1"/>
  <c r="G1346" i="5" a="1"/>
  <c r="G1345" i="5" a="1"/>
  <c r="G1344" i="5" a="1"/>
  <c r="G1343" i="5" a="1"/>
  <c r="G1342" i="5" a="1"/>
  <c r="G1341" i="5" a="1"/>
  <c r="G1340" i="5" a="1"/>
  <c r="G1339" i="5" a="1"/>
  <c r="G1338" i="5" a="1"/>
  <c r="G1337" i="5" a="1"/>
  <c r="G1336" i="5" a="1"/>
  <c r="G1335" i="5" a="1"/>
  <c r="G1334" i="5" a="1"/>
  <c r="G1333" i="5" a="1"/>
  <c r="G1332" i="5" a="1"/>
  <c r="G1331" i="5" a="1"/>
  <c r="G1330" i="5" a="1"/>
  <c r="G1329" i="5" a="1"/>
  <c r="G1328" i="5" a="1"/>
  <c r="G1327" i="5" a="1"/>
  <c r="G1326" i="5" a="1"/>
  <c r="G1325" i="5" a="1"/>
  <c r="G1324" i="5" a="1"/>
  <c r="G1323" i="5" a="1"/>
  <c r="G1322" i="5" a="1"/>
  <c r="G1321" i="5" a="1"/>
  <c r="G1320" i="5" a="1"/>
  <c r="G1319" i="5" a="1"/>
  <c r="G1318" i="5" a="1"/>
  <c r="G1317" i="5" a="1"/>
  <c r="G1316" i="5" a="1"/>
  <c r="G1315" i="5" a="1"/>
  <c r="G1314" i="5" a="1"/>
  <c r="G1313" i="5" a="1"/>
  <c r="G1312" i="5" a="1"/>
  <c r="G1311" i="5" a="1"/>
  <c r="G1310" i="5" a="1"/>
  <c r="G1309" i="5" a="1"/>
  <c r="G1308" i="5" a="1"/>
  <c r="G1307" i="5" a="1"/>
  <c r="G1306" i="5" a="1"/>
  <c r="G1305" i="5" a="1"/>
  <c r="G1304" i="5" a="1"/>
  <c r="G1303" i="5" a="1"/>
  <c r="G1302" i="5" a="1"/>
  <c r="G1301" i="5" a="1"/>
  <c r="G1300" i="5" a="1"/>
  <c r="G1299" i="5" a="1"/>
  <c r="G1298" i="5" a="1"/>
  <c r="G1297" i="5" a="1"/>
  <c r="G1296" i="5" a="1"/>
  <c r="G1295" i="5" a="1"/>
  <c r="G1294" i="5" a="1"/>
  <c r="G1293" i="5" a="1"/>
  <c r="G1292" i="5" a="1"/>
  <c r="G1291" i="5" a="1"/>
  <c r="G1290" i="5" a="1"/>
  <c r="G1289" i="5" a="1"/>
  <c r="G1288" i="5" a="1"/>
  <c r="G1287" i="5" a="1"/>
  <c r="G1286" i="5" a="1"/>
  <c r="G1285" i="5" a="1"/>
  <c r="G1284" i="5" a="1"/>
  <c r="G1283" i="5" a="1"/>
  <c r="G1282" i="5" a="1"/>
  <c r="G1281" i="5" a="1"/>
  <c r="G1280" i="5" a="1"/>
  <c r="G1279" i="5" a="1"/>
  <c r="G1278" i="5" a="1"/>
  <c r="G1277" i="5" a="1"/>
  <c r="G1276" i="5" a="1"/>
  <c r="G1275" i="5" a="1"/>
  <c r="G1274" i="5" a="1"/>
  <c r="G1273" i="5" a="1"/>
  <c r="G1272" i="5" a="1"/>
  <c r="G1271" i="5" a="1"/>
  <c r="G1270" i="5" a="1"/>
  <c r="G1269" i="5" a="1"/>
  <c r="G1268" i="5" a="1"/>
  <c r="G1267" i="5" a="1"/>
  <c r="G1266" i="5" a="1"/>
  <c r="G1265" i="5" a="1"/>
  <c r="G1264" i="5" a="1"/>
  <c r="G1263" i="5" a="1"/>
  <c r="G1262" i="5" a="1"/>
  <c r="G1261" i="5" a="1"/>
  <c r="G1260" i="5" a="1"/>
  <c r="G1259" i="5" a="1"/>
  <c r="G1258" i="5" a="1"/>
  <c r="G1257" i="5" a="1"/>
  <c r="G1256" i="5" a="1"/>
  <c r="G1255" i="5" a="1"/>
  <c r="G1254" i="5" a="1"/>
  <c r="G1253" i="5" a="1"/>
  <c r="G1252" i="5" a="1"/>
  <c r="G1251" i="5" a="1"/>
  <c r="G1250" i="5" a="1"/>
  <c r="G1249" i="5" a="1"/>
  <c r="G1248" i="5" a="1"/>
  <c r="G1247" i="5" a="1"/>
  <c r="G1246" i="5" a="1"/>
  <c r="G1245" i="5" a="1"/>
  <c r="G1244" i="5" a="1"/>
  <c r="G1243" i="5" a="1"/>
  <c r="G1242" i="5" a="1"/>
  <c r="G1241" i="5" a="1"/>
  <c r="G1240" i="5" a="1"/>
  <c r="G1239" i="5" a="1"/>
  <c r="G1238" i="5" a="1"/>
  <c r="G1237" i="5" a="1"/>
  <c r="G1236" i="5" a="1"/>
  <c r="G1235" i="5" a="1"/>
  <c r="G1234" i="5" a="1"/>
  <c r="G1233" i="5" a="1"/>
  <c r="G1232" i="5" a="1"/>
  <c r="G1231" i="5" a="1"/>
  <c r="G1230" i="5" a="1"/>
  <c r="G1229" i="5" a="1"/>
  <c r="G1228" i="5" a="1"/>
  <c r="G1227" i="5" a="1"/>
  <c r="G1226" i="5" a="1"/>
  <c r="G1225" i="5" a="1"/>
  <c r="G1224" i="5" a="1"/>
  <c r="G1223" i="5" a="1"/>
  <c r="G1222" i="5" a="1"/>
  <c r="G1221" i="5" a="1"/>
  <c r="G1220" i="5" a="1"/>
  <c r="G1219" i="5" a="1"/>
  <c r="G1218" i="5" a="1"/>
  <c r="G1217" i="5" a="1"/>
  <c r="G1216" i="5" a="1"/>
  <c r="G1215" i="5" a="1"/>
  <c r="G1214" i="5" a="1"/>
  <c r="G1213" i="5" a="1"/>
  <c r="G1212" i="5" a="1"/>
  <c r="G1211" i="5" a="1"/>
  <c r="G1210" i="5" a="1"/>
  <c r="G1209" i="5" a="1"/>
  <c r="G1208" i="5" a="1"/>
  <c r="G1207" i="5" a="1"/>
  <c r="G1206" i="5" a="1"/>
  <c r="G1205" i="5" a="1"/>
  <c r="G1204" i="5" a="1"/>
  <c r="G1203" i="5" a="1"/>
  <c r="G1202" i="5" a="1"/>
  <c r="G1201" i="5" a="1"/>
  <c r="G1200" i="5" a="1"/>
  <c r="G1199" i="5" a="1"/>
  <c r="G1198" i="5" a="1"/>
  <c r="G1197" i="5" a="1"/>
  <c r="G1196" i="5" a="1"/>
  <c r="G1195" i="5" a="1"/>
  <c r="G1194" i="5" a="1"/>
  <c r="G1193" i="5" a="1"/>
  <c r="G1192" i="5" a="1"/>
  <c r="G1191" i="5" a="1"/>
  <c r="G1190" i="5" a="1"/>
  <c r="G1189" i="5" a="1"/>
  <c r="G1188" i="5" a="1"/>
  <c r="G1187" i="5" a="1"/>
  <c r="G1186" i="5" a="1"/>
  <c r="G1185" i="5" a="1"/>
  <c r="G1184" i="5" a="1"/>
  <c r="G1183" i="5" a="1"/>
  <c r="G1182" i="5" a="1"/>
  <c r="G1181" i="5" a="1"/>
  <c r="G1180" i="5" a="1"/>
  <c r="G1179" i="5" a="1"/>
  <c r="G1178" i="5" a="1"/>
  <c r="G1177" i="5" a="1"/>
  <c r="G1176" i="5" a="1"/>
  <c r="G1175" i="5" a="1"/>
  <c r="G1174" i="5" a="1"/>
  <c r="G1173" i="5" a="1"/>
  <c r="G1172" i="5" a="1"/>
  <c r="G1171" i="5" a="1"/>
  <c r="G1170" i="5" a="1"/>
  <c r="G1169" i="5" a="1"/>
  <c r="G1168" i="5" a="1"/>
  <c r="G1167" i="5" a="1"/>
  <c r="G1166" i="5" a="1"/>
  <c r="G1165" i="5" a="1"/>
  <c r="G1164" i="5" a="1"/>
  <c r="G1163" i="5" a="1"/>
  <c r="G1162" i="5" a="1"/>
  <c r="G1161" i="5" a="1"/>
  <c r="G1160" i="5" a="1"/>
  <c r="G1159" i="5" a="1"/>
  <c r="G1158" i="5" a="1"/>
  <c r="G1157" i="5" a="1"/>
  <c r="G1156" i="5" a="1"/>
  <c r="G1155" i="5" a="1"/>
  <c r="G1154" i="5" a="1"/>
  <c r="G1153" i="5" a="1"/>
  <c r="G1152" i="5" a="1"/>
  <c r="G1151" i="5" a="1"/>
  <c r="G1150" i="5" a="1"/>
  <c r="G1149" i="5" a="1"/>
  <c r="G1148" i="5" a="1"/>
  <c r="G1147" i="5" a="1"/>
  <c r="G1146" i="5" a="1"/>
  <c r="G1145" i="5" a="1"/>
  <c r="G1144" i="5" a="1"/>
  <c r="G1143" i="5" a="1"/>
  <c r="G1142" i="5" a="1"/>
  <c r="G1141" i="5" a="1"/>
  <c r="G1140" i="5" a="1"/>
  <c r="G1139" i="5" a="1"/>
  <c r="G1138" i="5" a="1"/>
  <c r="G1137" i="5" a="1"/>
  <c r="G1136" i="5" a="1"/>
  <c r="G1135" i="5" a="1"/>
  <c r="G1134" i="5" a="1"/>
  <c r="G1133" i="5" a="1"/>
  <c r="G1132" i="5" a="1"/>
  <c r="G1131" i="5" a="1"/>
  <c r="G1130" i="5" a="1"/>
  <c r="G1129" i="5" a="1"/>
  <c r="G1128" i="5" a="1"/>
  <c r="G1127" i="5" a="1"/>
  <c r="G1126" i="5" a="1"/>
  <c r="G1125" i="5" a="1"/>
  <c r="G1124" i="5" a="1"/>
  <c r="G1123" i="5" a="1"/>
  <c r="G1122" i="5" a="1"/>
  <c r="G1121" i="5" a="1"/>
  <c r="G1120" i="5" a="1"/>
  <c r="G1119" i="5" a="1"/>
  <c r="G1118" i="5" a="1"/>
  <c r="G1117" i="5" a="1"/>
  <c r="G1116" i="5" a="1"/>
  <c r="G1115" i="5" a="1"/>
  <c r="G1114" i="5" a="1"/>
  <c r="G1113" i="5" a="1"/>
  <c r="G1112" i="5" a="1"/>
  <c r="G1111" i="5" a="1"/>
  <c r="G1110" i="5" a="1"/>
  <c r="G1109" i="5" a="1"/>
  <c r="G1108" i="5" a="1"/>
  <c r="G1107" i="5" a="1"/>
  <c r="G1106" i="5" a="1"/>
  <c r="G1105" i="5" a="1"/>
  <c r="G1104" i="5" a="1"/>
  <c r="G1103" i="5" a="1"/>
  <c r="G1102" i="5" a="1"/>
  <c r="G1101" i="5" a="1"/>
  <c r="G1100" i="5" a="1"/>
  <c r="G1099" i="5" a="1"/>
  <c r="G1098" i="5" a="1"/>
  <c r="G1097" i="5" a="1"/>
  <c r="G1096" i="5" a="1"/>
  <c r="G1095" i="5" a="1"/>
  <c r="G1094" i="5" a="1"/>
  <c r="G1093" i="5" a="1"/>
  <c r="G1092" i="5" a="1"/>
  <c r="G1091" i="5" a="1"/>
  <c r="G1090" i="5" a="1"/>
  <c r="G1089" i="5" a="1"/>
  <c r="G1088" i="5" a="1"/>
  <c r="G1087" i="5" a="1"/>
  <c r="G1086" i="5" a="1"/>
  <c r="G1085" i="5" a="1"/>
  <c r="G1084" i="5" a="1"/>
  <c r="G1083" i="5" a="1"/>
  <c r="G1082" i="5" a="1"/>
  <c r="G1081" i="5" a="1"/>
  <c r="G1080" i="5" a="1"/>
  <c r="G1079" i="5" a="1"/>
  <c r="G1078" i="5" a="1"/>
  <c r="G1077" i="5" a="1"/>
  <c r="G1076" i="5" a="1"/>
  <c r="G1075" i="5" a="1"/>
  <c r="G1074" i="5" a="1"/>
  <c r="G1073" i="5" a="1"/>
  <c r="G1072" i="5" a="1"/>
  <c r="G1071" i="5" a="1"/>
  <c r="G1070" i="5" a="1"/>
  <c r="G1069" i="5" a="1"/>
  <c r="G1068" i="5" a="1"/>
  <c r="G1067" i="5" a="1"/>
  <c r="G1066" i="5" a="1"/>
  <c r="G1065" i="5" a="1"/>
  <c r="G1064" i="5" a="1"/>
  <c r="G1063" i="5" a="1"/>
  <c r="G1062" i="5" a="1"/>
  <c r="G1061" i="5" a="1"/>
  <c r="G1060" i="5" a="1"/>
  <c r="G1059" i="5" a="1"/>
  <c r="G1058" i="5" a="1"/>
  <c r="G1057" i="5" a="1"/>
  <c r="G1056" i="5" a="1"/>
  <c r="G1055" i="5" a="1"/>
  <c r="G1054" i="5" a="1"/>
  <c r="G1053" i="5" a="1"/>
  <c r="G1052" i="5" a="1"/>
  <c r="G1051" i="5" a="1"/>
  <c r="G1050" i="5" a="1"/>
  <c r="G1049" i="5" a="1"/>
  <c r="G1048" i="5" a="1"/>
  <c r="G1047" i="5" a="1"/>
  <c r="G1046" i="5" a="1"/>
  <c r="G1045" i="5" a="1"/>
  <c r="G1044" i="5" a="1"/>
  <c r="G1043" i="5" a="1"/>
  <c r="G1042" i="5" a="1"/>
  <c r="G1041" i="5" a="1"/>
  <c r="G1040" i="5" a="1"/>
  <c r="G1039" i="5" a="1"/>
  <c r="G1038" i="5" a="1"/>
  <c r="G1037" i="5" a="1"/>
  <c r="G1036" i="5" a="1"/>
  <c r="G1035" i="5" a="1"/>
  <c r="G1034" i="5" a="1"/>
  <c r="G1033" i="5" a="1"/>
  <c r="G1032" i="5" a="1"/>
  <c r="G1031" i="5" a="1"/>
  <c r="G1030" i="5" a="1"/>
  <c r="G1029" i="5" a="1"/>
  <c r="G1028" i="5" a="1"/>
  <c r="G1027" i="5" a="1"/>
  <c r="G1026" i="5" a="1"/>
  <c r="G1025" i="5" a="1"/>
  <c r="G1024" i="5" a="1"/>
  <c r="G1023" i="5" a="1"/>
  <c r="G1022" i="5" a="1"/>
  <c r="G1021" i="5" a="1"/>
  <c r="G1020" i="5" a="1"/>
  <c r="G1019" i="5" a="1"/>
  <c r="G1018" i="5" a="1"/>
  <c r="G1017" i="5" a="1"/>
  <c r="G1016" i="5" a="1"/>
  <c r="G1015" i="5" a="1"/>
  <c r="G1014" i="5" a="1"/>
  <c r="G1013" i="5" a="1"/>
  <c r="G1012" i="5" a="1"/>
  <c r="G1011" i="5" a="1"/>
  <c r="G1010" i="5" a="1"/>
  <c r="G1009" i="5" a="1"/>
  <c r="G1008" i="5" a="1"/>
  <c r="G1005" i="5" a="1"/>
  <c r="G1006" i="5" a="1"/>
  <c r="G1007" i="5" a="1"/>
  <c r="G1004" i="5" a="1"/>
  <c r="G1003" i="5" a="1"/>
  <c r="G1002" i="5" a="1"/>
  <c r="G1001" i="5" a="1"/>
  <c r="G1000" i="5" a="1"/>
  <c r="G999" i="5" a="1"/>
  <c r="G998" i="5" a="1"/>
  <c r="G997" i="5" a="1"/>
  <c r="G996" i="5" a="1"/>
  <c r="G995" i="5" a="1"/>
  <c r="G994" i="5" a="1"/>
  <c r="G993" i="5" a="1"/>
  <c r="G992" i="5" a="1"/>
  <c r="G991" i="5" a="1"/>
  <c r="G990" i="5" a="1"/>
  <c r="G989" i="5" a="1"/>
  <c r="G988" i="5" a="1"/>
  <c r="G987" i="5" a="1"/>
  <c r="G986" i="5" a="1"/>
  <c r="G985" i="5" a="1"/>
  <c r="G984" i="5" a="1"/>
  <c r="G983" i="5" a="1"/>
  <c r="G982" i="5" a="1"/>
  <c r="G981" i="5" a="1"/>
  <c r="G980" i="5" a="1"/>
  <c r="G979" i="5" a="1"/>
  <c r="G978" i="5" a="1"/>
  <c r="G977" i="5" a="1"/>
  <c r="G976" i="5" a="1"/>
  <c r="G975" i="5" a="1"/>
  <c r="G974" i="5" a="1"/>
  <c r="G973" i="5" a="1"/>
  <c r="G972" i="5" a="1"/>
  <c r="G971" i="5" a="1"/>
  <c r="G970" i="5" a="1"/>
  <c r="G969" i="5" a="1"/>
  <c r="G968" i="5" a="1"/>
  <c r="G967" i="5" a="1"/>
  <c r="G966" i="5" a="1"/>
  <c r="G965" i="5" a="1"/>
  <c r="G964" i="5" a="1"/>
  <c r="G963" i="5" a="1"/>
  <c r="G962" i="5" a="1"/>
  <c r="G961" i="5" a="1"/>
  <c r="G960" i="5" a="1"/>
  <c r="G959" i="5" a="1"/>
  <c r="G958" i="5" a="1"/>
  <c r="G957" i="5" a="1"/>
  <c r="G956" i="5" a="1"/>
  <c r="G955" i="5" a="1"/>
  <c r="G954" i="5" a="1"/>
  <c r="G953" i="5" a="1"/>
  <c r="G952" i="5" a="1"/>
  <c r="G951" i="5" a="1"/>
  <c r="G950" i="5" a="1"/>
  <c r="G949" i="5" a="1"/>
  <c r="G948" i="5" a="1"/>
  <c r="G947" i="5" a="1"/>
  <c r="G946" i="5" a="1"/>
  <c r="G945" i="5" a="1"/>
  <c r="G944" i="5" a="1"/>
  <c r="G943" i="5" a="1"/>
  <c r="G942" i="5" a="1"/>
  <c r="G941" i="5" a="1"/>
  <c r="G940" i="5" a="1"/>
  <c r="G939" i="5" a="1"/>
  <c r="G938" i="5" a="1"/>
  <c r="G937" i="5" a="1"/>
  <c r="G936" i="5" a="1"/>
  <c r="G935" i="5" a="1"/>
  <c r="G934" i="5" a="1"/>
  <c r="G933" i="5" a="1"/>
  <c r="G932" i="5" a="1"/>
  <c r="G931" i="5" a="1"/>
  <c r="G930" i="5" a="1"/>
  <c r="G929" i="5" a="1"/>
  <c r="G928" i="5" a="1"/>
  <c r="G927" i="5" a="1"/>
  <c r="G926" i="5" a="1"/>
  <c r="G925" i="5" a="1"/>
  <c r="G924" i="5" a="1"/>
  <c r="G923" i="5" a="1"/>
  <c r="G922" i="5" a="1"/>
  <c r="G921" i="5" a="1"/>
  <c r="G920" i="5" a="1"/>
  <c r="G919" i="5" a="1"/>
  <c r="G918" i="5" a="1"/>
  <c r="G917" i="5" a="1"/>
  <c r="G916" i="5" a="1"/>
  <c r="G915" i="5" a="1"/>
  <c r="G914" i="5" a="1"/>
  <c r="G913" i="5" a="1"/>
  <c r="G912" i="5" a="1"/>
  <c r="G911" i="5" a="1"/>
  <c r="G910" i="5" a="1"/>
  <c r="G909" i="5" a="1"/>
  <c r="G908" i="5" a="1"/>
  <c r="G907" i="5" a="1"/>
  <c r="G906" i="5" a="1"/>
  <c r="G905" i="5" a="1"/>
  <c r="G904" i="5" a="1"/>
  <c r="G903" i="5" a="1"/>
  <c r="G902" i="5" a="1"/>
  <c r="G901" i="5" a="1"/>
  <c r="G900" i="5" a="1"/>
  <c r="G899" i="5" a="1"/>
  <c r="G898" i="5" a="1"/>
  <c r="G897" i="5" a="1"/>
  <c r="G896" i="5" a="1"/>
  <c r="G895" i="5" a="1"/>
  <c r="G894" i="5" a="1"/>
  <c r="G893" i="5" a="1"/>
  <c r="G892" i="5" a="1"/>
  <c r="G891" i="5" a="1"/>
  <c r="G890" i="5" a="1"/>
  <c r="G889" i="5" a="1"/>
  <c r="G888" i="5" a="1"/>
  <c r="G887" i="5" a="1"/>
  <c r="G886" i="5" a="1"/>
  <c r="G885" i="5" a="1"/>
  <c r="G884" i="5" a="1"/>
  <c r="G883" i="5" a="1"/>
  <c r="G882" i="5" a="1"/>
  <c r="G881" i="5" a="1"/>
  <c r="G880" i="5" a="1"/>
  <c r="G879" i="5" a="1"/>
  <c r="G878" i="5" a="1"/>
  <c r="G877" i="5" a="1"/>
  <c r="G876" i="5" a="1"/>
  <c r="G875" i="5" a="1"/>
  <c r="G874" i="5" a="1"/>
  <c r="G873" i="5" a="1"/>
  <c r="G872" i="5" a="1"/>
  <c r="G871" i="5" a="1"/>
  <c r="G870" i="5" a="1"/>
  <c r="G869" i="5" a="1"/>
  <c r="G868" i="5" a="1"/>
  <c r="G867" i="5" a="1"/>
  <c r="G866" i="5" a="1"/>
  <c r="G865" i="5" a="1"/>
  <c r="G864" i="5" a="1"/>
  <c r="G863" i="5" a="1"/>
  <c r="G862" i="5" a="1"/>
  <c r="G861" i="5" a="1"/>
  <c r="G860" i="5" a="1"/>
  <c r="G859" i="5" a="1"/>
  <c r="G858" i="5" a="1"/>
  <c r="G857" i="5" a="1"/>
  <c r="G856" i="5" a="1"/>
  <c r="G855" i="5" a="1"/>
  <c r="G854" i="5" a="1"/>
  <c r="G853" i="5" a="1"/>
  <c r="G852" i="5" a="1"/>
  <c r="G851" i="5" a="1"/>
  <c r="G850" i="5" a="1"/>
  <c r="G849" i="5" a="1"/>
  <c r="G848" i="5" a="1"/>
  <c r="G847" i="5" a="1"/>
  <c r="G846" i="5" a="1"/>
  <c r="G845" i="5" a="1"/>
  <c r="G844" i="5" a="1"/>
  <c r="G843" i="5" a="1"/>
  <c r="G842" i="5" a="1"/>
  <c r="G841" i="5" a="1"/>
  <c r="G840" i="5" a="1"/>
  <c r="G839" i="5" a="1"/>
  <c r="G838" i="5" a="1"/>
  <c r="G837" i="5" a="1"/>
  <c r="G836" i="5" a="1"/>
  <c r="G835" i="5" a="1"/>
  <c r="G834" i="5" a="1"/>
  <c r="G833" i="5" a="1"/>
  <c r="G832" i="5" a="1"/>
  <c r="G831" i="5" a="1"/>
  <c r="G830" i="5" a="1"/>
  <c r="G829" i="5" a="1"/>
  <c r="G828" i="5" a="1"/>
  <c r="G827" i="5" a="1"/>
  <c r="G826" i="5" a="1"/>
  <c r="G825" i="5" a="1"/>
  <c r="G824" i="5" a="1"/>
  <c r="G823" i="5" a="1"/>
  <c r="G822" i="5" a="1"/>
  <c r="G821" i="5" a="1"/>
  <c r="G820" i="5" a="1"/>
  <c r="G819" i="5" a="1"/>
  <c r="G818" i="5" a="1"/>
  <c r="G817" i="5" a="1"/>
  <c r="G816" i="5" a="1"/>
  <c r="G815" i="5" a="1"/>
  <c r="G814" i="5" a="1"/>
  <c r="G813" i="5" a="1"/>
  <c r="G812" i="5" a="1"/>
  <c r="G811" i="5" a="1"/>
  <c r="G810" i="5" a="1"/>
  <c r="G809" i="5" a="1"/>
  <c r="G808" i="5" a="1"/>
  <c r="G807" i="5" a="1"/>
  <c r="G806" i="5" a="1"/>
  <c r="G805" i="5" a="1"/>
  <c r="G804" i="5" a="1"/>
  <c r="G803" i="5" a="1"/>
  <c r="G802" i="5" a="1"/>
  <c r="G801" i="5" a="1"/>
  <c r="G800" i="5" a="1"/>
  <c r="G799" i="5" a="1"/>
  <c r="G798" i="5" a="1"/>
  <c r="G797" i="5" a="1"/>
  <c r="G796" i="5" a="1"/>
  <c r="G795" i="5" a="1"/>
  <c r="G794" i="5" a="1"/>
  <c r="G793" i="5" a="1"/>
  <c r="G792" i="5" a="1"/>
  <c r="G791" i="5" a="1"/>
  <c r="G790" i="5" a="1"/>
  <c r="G789" i="5" a="1"/>
  <c r="G788" i="5" a="1"/>
  <c r="G787" i="5" a="1"/>
  <c r="G786" i="5" a="1"/>
  <c r="G785" i="5" a="1"/>
  <c r="G784" i="5" a="1"/>
  <c r="G783" i="5" a="1"/>
  <c r="G782" i="5" a="1"/>
  <c r="G781" i="5" a="1"/>
  <c r="G780" i="5" a="1"/>
  <c r="G779" i="5" a="1"/>
  <c r="G778" i="5" a="1"/>
  <c r="G777" i="5" a="1"/>
  <c r="G776" i="5" a="1"/>
  <c r="G775" i="5" a="1"/>
  <c r="G774" i="5" a="1"/>
  <c r="G773" i="5" a="1"/>
  <c r="G772" i="5" a="1"/>
  <c r="G771" i="5" a="1"/>
  <c r="G770" i="5" a="1"/>
  <c r="G769" i="5" a="1"/>
  <c r="G768" i="5" a="1"/>
  <c r="G767" i="5" a="1"/>
  <c r="G766" i="5" a="1"/>
  <c r="G765" i="5" a="1"/>
  <c r="G764" i="5" a="1"/>
  <c r="G763" i="5" a="1"/>
  <c r="G762" i="5" a="1"/>
  <c r="G761" i="5" a="1"/>
  <c r="G760" i="5" a="1"/>
  <c r="G759" i="5" a="1"/>
  <c r="G758" i="5" a="1"/>
  <c r="G757" i="5" a="1"/>
  <c r="G756" i="5" a="1"/>
  <c r="G755" i="5" a="1"/>
  <c r="G754" i="5" a="1"/>
  <c r="G753" i="5" a="1"/>
  <c r="G752" i="5" a="1"/>
  <c r="G751" i="5" a="1"/>
  <c r="G750" i="5" a="1"/>
  <c r="G749" i="5" a="1"/>
  <c r="G748" i="5" a="1"/>
  <c r="G747" i="5" a="1"/>
  <c r="G746" i="5" a="1"/>
  <c r="G745" i="5" a="1"/>
  <c r="G744" i="5" a="1"/>
  <c r="G743" i="5" a="1"/>
  <c r="G742" i="5" a="1"/>
  <c r="G741" i="5" a="1"/>
  <c r="G740" i="5" a="1"/>
  <c r="G739" i="5" a="1"/>
  <c r="G738" i="5" a="1"/>
  <c r="G737" i="5" a="1"/>
  <c r="G736" i="5" a="1"/>
  <c r="G735" i="5" a="1"/>
  <c r="G734" i="5" a="1"/>
  <c r="G733" i="5" a="1"/>
  <c r="G732" i="5" a="1"/>
  <c r="G731" i="5" a="1"/>
  <c r="G730" i="5" a="1"/>
  <c r="G729" i="5" a="1"/>
  <c r="G728" i="5" a="1"/>
  <c r="G727" i="5" a="1"/>
  <c r="G726" i="5" a="1"/>
  <c r="G725" i="5" a="1"/>
  <c r="G724" i="5" a="1"/>
  <c r="G723" i="5" a="1"/>
  <c r="G722" i="5" a="1"/>
  <c r="G721" i="5" a="1"/>
  <c r="G720" i="5" a="1"/>
  <c r="G719" i="5" a="1"/>
  <c r="G718" i="5" a="1"/>
  <c r="G717" i="5" a="1"/>
  <c r="G716" i="5" a="1"/>
  <c r="G715" i="5" a="1"/>
  <c r="G714" i="5" a="1"/>
  <c r="G713" i="5" a="1"/>
  <c r="G712" i="5" a="1"/>
  <c r="G711" i="5" a="1"/>
  <c r="G710" i="5" a="1"/>
  <c r="G709" i="5" a="1"/>
  <c r="G708" i="5" a="1"/>
  <c r="G707" i="5" a="1"/>
  <c r="G706" i="5" a="1"/>
  <c r="G705" i="5" a="1"/>
  <c r="G2704" i="5" l="1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89" i="5"/>
  <c r="G2490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802" i="5"/>
  <c r="G2827" i="5"/>
  <c r="G2855" i="5"/>
  <c r="G2965" i="5"/>
  <c r="G2725" i="5"/>
  <c r="G2744" i="5"/>
  <c r="G2764" i="5"/>
  <c r="G2784" i="5"/>
  <c r="G2805" i="5"/>
  <c r="G2830" i="5"/>
  <c r="G2860" i="5"/>
  <c r="G2894" i="5"/>
  <c r="G2927" i="5"/>
  <c r="G2967" i="5"/>
  <c r="G2925" i="5"/>
  <c r="G2727" i="5"/>
  <c r="G2745" i="5"/>
  <c r="G2765" i="5"/>
  <c r="G2785" i="5"/>
  <c r="G2807" i="5"/>
  <c r="G2895" i="5"/>
  <c r="G2930" i="5"/>
  <c r="G2970" i="5"/>
  <c r="G2742" i="5"/>
  <c r="G2709" i="5"/>
  <c r="G2747" i="5"/>
  <c r="G2767" i="5"/>
  <c r="G2787" i="5"/>
  <c r="G2834" i="5"/>
  <c r="G2864" i="5"/>
  <c r="G2897" i="5"/>
  <c r="G2857" i="5"/>
  <c r="G2804" i="5"/>
  <c r="G2710" i="5"/>
  <c r="G2835" i="5"/>
  <c r="G2865" i="5"/>
  <c r="G2934" i="5"/>
  <c r="G2974" i="5"/>
  <c r="G2724" i="5"/>
  <c r="G2729" i="5"/>
  <c r="G2810" i="5"/>
  <c r="G2837" i="5"/>
  <c r="G2867" i="5"/>
  <c r="G2900" i="5"/>
  <c r="G2935" i="5"/>
  <c r="G2975" i="5"/>
  <c r="G2762" i="5"/>
  <c r="G2712" i="5"/>
  <c r="G2730" i="5"/>
  <c r="G2749" i="5"/>
  <c r="G2769" i="5"/>
  <c r="G2789" i="5"/>
  <c r="G2812" i="5"/>
  <c r="G2937" i="5"/>
  <c r="G2977" i="5"/>
  <c r="G2705" i="5"/>
  <c r="G2750" i="5"/>
  <c r="G2770" i="5"/>
  <c r="G2790" i="5"/>
  <c r="G2870" i="5"/>
  <c r="G2904" i="5"/>
  <c r="G2940" i="5"/>
  <c r="G2980" i="5"/>
  <c r="G2714" i="5"/>
  <c r="G2732" i="5"/>
  <c r="G2814" i="5"/>
  <c r="G2840" i="5"/>
  <c r="G2905" i="5"/>
  <c r="G2752" i="5"/>
  <c r="G2772" i="5"/>
  <c r="G2792" i="5"/>
  <c r="G2815" i="5"/>
  <c r="G2874" i="5"/>
  <c r="G2907" i="5"/>
  <c r="G2944" i="5"/>
  <c r="G2984" i="5"/>
  <c r="G2782" i="5"/>
  <c r="G2715" i="5"/>
  <c r="G2734" i="5"/>
  <c r="G2817" i="5"/>
  <c r="G2844" i="5"/>
  <c r="G2875" i="5"/>
  <c r="G2945" i="5"/>
  <c r="G2985" i="5"/>
  <c r="G2707" i="5"/>
  <c r="G2717" i="5"/>
  <c r="G2754" i="5"/>
  <c r="G2774" i="5"/>
  <c r="G2794" i="5"/>
  <c r="G2845" i="5"/>
  <c r="G2877" i="5"/>
  <c r="G2910" i="5"/>
  <c r="G2947" i="5"/>
  <c r="G2987" i="5"/>
  <c r="G2924" i="5"/>
  <c r="G2735" i="5"/>
  <c r="G2755" i="5"/>
  <c r="G2775" i="5"/>
  <c r="G2795" i="5"/>
  <c r="G2847" i="5"/>
  <c r="G2950" i="5"/>
  <c r="G2990" i="5"/>
  <c r="G2737" i="5"/>
  <c r="G2757" i="5"/>
  <c r="G2777" i="5"/>
  <c r="G2797" i="5"/>
  <c r="G2820" i="5"/>
  <c r="G2880" i="5"/>
  <c r="G2914" i="5"/>
  <c r="G2719" i="5"/>
  <c r="G2822" i="5"/>
  <c r="G2915" i="5"/>
  <c r="G2954" i="5"/>
  <c r="G2994" i="5"/>
  <c r="G2964" i="5"/>
  <c r="G2720" i="5"/>
  <c r="G2850" i="5"/>
  <c r="G2884" i="5"/>
  <c r="G2917" i="5"/>
  <c r="G2955" i="5"/>
  <c r="G2995" i="5"/>
  <c r="G2890" i="5"/>
  <c r="G2739" i="5"/>
  <c r="G2759" i="5"/>
  <c r="G2779" i="5"/>
  <c r="G2800" i="5"/>
  <c r="G2824" i="5"/>
  <c r="G2885" i="5"/>
  <c r="G2957" i="5"/>
  <c r="G3000" i="5"/>
  <c r="G2722" i="5"/>
  <c r="G2740" i="5"/>
  <c r="G2760" i="5"/>
  <c r="G2780" i="5"/>
  <c r="G2825" i="5"/>
  <c r="G2854" i="5"/>
  <c r="G2887" i="5"/>
  <c r="G2920" i="5"/>
  <c r="G2960" i="5"/>
  <c r="G2706" i="5"/>
  <c r="G2716" i="5"/>
  <c r="G2726" i="5"/>
  <c r="G2736" i="5"/>
  <c r="G2746" i="5"/>
  <c r="G2756" i="5"/>
  <c r="G2766" i="5"/>
  <c r="G2776" i="5"/>
  <c r="G2786" i="5"/>
  <c r="G2796" i="5"/>
  <c r="G2806" i="5"/>
  <c r="G2816" i="5"/>
  <c r="G2826" i="5"/>
  <c r="G2836" i="5"/>
  <c r="G2846" i="5"/>
  <c r="G2856" i="5"/>
  <c r="G2866" i="5"/>
  <c r="G2876" i="5"/>
  <c r="G2886" i="5"/>
  <c r="G2896" i="5"/>
  <c r="G2906" i="5"/>
  <c r="G2916" i="5"/>
  <c r="G2926" i="5"/>
  <c r="G2936" i="5"/>
  <c r="G2946" i="5"/>
  <c r="G2956" i="5"/>
  <c r="G2966" i="5"/>
  <c r="G2976" i="5"/>
  <c r="G2986" i="5"/>
  <c r="G2996" i="5"/>
  <c r="G2997" i="5"/>
  <c r="G2708" i="5"/>
  <c r="G2718" i="5"/>
  <c r="G2728" i="5"/>
  <c r="G2738" i="5"/>
  <c r="G2748" i="5"/>
  <c r="G2758" i="5"/>
  <c r="G2768" i="5"/>
  <c r="G2778" i="5"/>
  <c r="G2788" i="5"/>
  <c r="G2798" i="5"/>
  <c r="G2808" i="5"/>
  <c r="G2818" i="5"/>
  <c r="G2828" i="5"/>
  <c r="G2838" i="5"/>
  <c r="G2848" i="5"/>
  <c r="G2858" i="5"/>
  <c r="G2868" i="5"/>
  <c r="G2878" i="5"/>
  <c r="G2888" i="5"/>
  <c r="G2898" i="5"/>
  <c r="G2908" i="5"/>
  <c r="G2918" i="5"/>
  <c r="G2928" i="5"/>
  <c r="G2938" i="5"/>
  <c r="G2948" i="5"/>
  <c r="G2958" i="5"/>
  <c r="G2968" i="5"/>
  <c r="G2978" i="5"/>
  <c r="G2988" i="5"/>
  <c r="G2998" i="5"/>
  <c r="G2799" i="5"/>
  <c r="G2809" i="5"/>
  <c r="G2819" i="5"/>
  <c r="G2829" i="5"/>
  <c r="G2839" i="5"/>
  <c r="G2849" i="5"/>
  <c r="G2859" i="5"/>
  <c r="G2869" i="5"/>
  <c r="G2879" i="5"/>
  <c r="G2889" i="5"/>
  <c r="G2899" i="5"/>
  <c r="G2909" i="5"/>
  <c r="G2919" i="5"/>
  <c r="G2929" i="5"/>
  <c r="G2939" i="5"/>
  <c r="G2949" i="5"/>
  <c r="G2959" i="5"/>
  <c r="G2969" i="5"/>
  <c r="G2979" i="5"/>
  <c r="G2989" i="5"/>
  <c r="G2999" i="5"/>
  <c r="G2711" i="5"/>
  <c r="G2721" i="5"/>
  <c r="G2731" i="5"/>
  <c r="G2741" i="5"/>
  <c r="G2751" i="5"/>
  <c r="G2761" i="5"/>
  <c r="G2771" i="5"/>
  <c r="G2781" i="5"/>
  <c r="G2791" i="5"/>
  <c r="G2801" i="5"/>
  <c r="G2811" i="5"/>
  <c r="G2821" i="5"/>
  <c r="G2831" i="5"/>
  <c r="G2841" i="5"/>
  <c r="G2851" i="5"/>
  <c r="G2861" i="5"/>
  <c r="G2871" i="5"/>
  <c r="G2881" i="5"/>
  <c r="G2891" i="5"/>
  <c r="G2901" i="5"/>
  <c r="G2911" i="5"/>
  <c r="G2921" i="5"/>
  <c r="G2931" i="5"/>
  <c r="G2941" i="5"/>
  <c r="G2951" i="5"/>
  <c r="G2961" i="5"/>
  <c r="G2971" i="5"/>
  <c r="G2981" i="5"/>
  <c r="G2991" i="5"/>
  <c r="G3001" i="5"/>
  <c r="G2832" i="5"/>
  <c r="G2842" i="5"/>
  <c r="G2852" i="5"/>
  <c r="G2862" i="5"/>
  <c r="G2872" i="5"/>
  <c r="G2882" i="5"/>
  <c r="G2892" i="5"/>
  <c r="G2902" i="5"/>
  <c r="G2912" i="5"/>
  <c r="G2922" i="5"/>
  <c r="G2932" i="5"/>
  <c r="G2942" i="5"/>
  <c r="G2952" i="5"/>
  <c r="G2962" i="5"/>
  <c r="G2972" i="5"/>
  <c r="G2982" i="5"/>
  <c r="G2992" i="5"/>
  <c r="G3002" i="5"/>
  <c r="G2713" i="5"/>
  <c r="G2723" i="5"/>
  <c r="G2733" i="5"/>
  <c r="G2743" i="5"/>
  <c r="G2753" i="5"/>
  <c r="G2763" i="5"/>
  <c r="G2773" i="5"/>
  <c r="G2783" i="5"/>
  <c r="G2793" i="5"/>
  <c r="G2803" i="5"/>
  <c r="G2813" i="5"/>
  <c r="G2823" i="5"/>
  <c r="G2833" i="5"/>
  <c r="G2843" i="5"/>
  <c r="G2853" i="5"/>
  <c r="G2863" i="5"/>
  <c r="G2873" i="5"/>
  <c r="G2883" i="5"/>
  <c r="G2893" i="5"/>
  <c r="G2903" i="5"/>
  <c r="G2913" i="5"/>
  <c r="G2923" i="5"/>
  <c r="G2933" i="5"/>
  <c r="G2943" i="5"/>
  <c r="G2953" i="5"/>
  <c r="G2963" i="5"/>
  <c r="G2973" i="5"/>
  <c r="G2983" i="5"/>
  <c r="G2993" i="5"/>
  <c r="G3003" i="5"/>
  <c r="G3004" i="5"/>
  <c r="H397" i="5"/>
  <c r="H158" i="5"/>
  <c r="H426" i="5"/>
  <c r="H457" i="5"/>
  <c r="H194" i="5"/>
  <c r="H207" i="5"/>
  <c r="H220" i="5"/>
  <c r="H135" i="5"/>
  <c r="H523" i="5"/>
  <c r="H245" i="5"/>
  <c r="H539" i="5"/>
  <c r="H558" i="5"/>
  <c r="H575" i="5"/>
  <c r="H287" i="5"/>
  <c r="H301" i="5"/>
  <c r="H314" i="5"/>
  <c r="H330" i="5"/>
  <c r="H343" i="5"/>
  <c r="H1296" i="5"/>
  <c r="H99" i="5"/>
  <c r="H112" i="5"/>
  <c r="H1587" i="5"/>
  <c r="H1626" i="5"/>
  <c r="H183" i="5"/>
  <c r="H274" i="5"/>
  <c r="H371" i="5"/>
  <c r="H413" i="5"/>
  <c r="H492" i="5"/>
  <c r="H594" i="5"/>
  <c r="H648" i="5"/>
  <c r="H769" i="5"/>
  <c r="H1927" i="5"/>
  <c r="H100" i="5"/>
  <c r="H113" i="5"/>
  <c r="H136" i="5"/>
  <c r="H159" i="5"/>
  <c r="H172" i="5"/>
  <c r="H195" i="5"/>
  <c r="H208" i="5"/>
  <c r="H221" i="5"/>
  <c r="H248" i="5"/>
  <c r="H288" i="5"/>
  <c r="H302" i="5"/>
  <c r="H315" i="5"/>
  <c r="H331" i="5"/>
  <c r="H344" i="5"/>
  <c r="H428" i="5"/>
  <c r="H459" i="5"/>
  <c r="H477" i="5"/>
  <c r="H509" i="5"/>
  <c r="H543" i="5"/>
  <c r="H559" i="5"/>
  <c r="H612" i="5"/>
  <c r="H629" i="5"/>
  <c r="H687" i="5"/>
  <c r="H709" i="5"/>
  <c r="H729" i="5"/>
  <c r="H811" i="5"/>
  <c r="H872" i="5"/>
  <c r="H894" i="5"/>
  <c r="H1031" i="5"/>
  <c r="H1103" i="5"/>
  <c r="H1153" i="5"/>
  <c r="H1193" i="5"/>
  <c r="H1227" i="5"/>
  <c r="H1265" i="5"/>
  <c r="H1426" i="5"/>
  <c r="H1471" i="5"/>
  <c r="H1506" i="5"/>
  <c r="H1551" i="5"/>
  <c r="H1688" i="5"/>
  <c r="H1740" i="5"/>
  <c r="H1735" i="5"/>
  <c r="H443" i="5"/>
  <c r="H979" i="5"/>
  <c r="H102" i="5"/>
  <c r="H125" i="5"/>
  <c r="H148" i="5"/>
  <c r="H184" i="5"/>
  <c r="H234" i="5"/>
  <c r="H262" i="5"/>
  <c r="H275" i="5"/>
  <c r="H358" i="5"/>
  <c r="H372" i="5"/>
  <c r="H385" i="5"/>
  <c r="H401" i="5"/>
  <c r="H414" i="5"/>
  <c r="H444" i="5"/>
  <c r="H478" i="5"/>
  <c r="H493" i="5"/>
  <c r="H525" i="5"/>
  <c r="H577" i="5"/>
  <c r="H595" i="5"/>
  <c r="H649" i="5"/>
  <c r="H750" i="5"/>
  <c r="H791" i="5"/>
  <c r="H832" i="5"/>
  <c r="H853" i="5"/>
  <c r="H873" i="5"/>
  <c r="H914" i="5"/>
  <c r="H959" i="5"/>
  <c r="H981" i="5"/>
  <c r="H1054" i="5"/>
  <c r="H1077" i="5"/>
  <c r="H1129" i="5"/>
  <c r="H1231" i="5"/>
  <c r="H1305" i="5"/>
  <c r="H1345" i="5"/>
  <c r="H1388" i="5"/>
  <c r="H1428" i="5"/>
  <c r="H1507" i="5"/>
  <c r="H1591" i="5"/>
  <c r="H1631" i="5"/>
  <c r="H1690" i="5"/>
  <c r="H1741" i="5"/>
  <c r="H1798" i="5"/>
  <c r="H1857" i="5"/>
  <c r="H1935" i="5"/>
  <c r="H170" i="5"/>
  <c r="H1848" i="5"/>
  <c r="H114" i="5"/>
  <c r="H137" i="5"/>
  <c r="H160" i="5"/>
  <c r="H173" i="5"/>
  <c r="H222" i="5"/>
  <c r="H290" i="5"/>
  <c r="H303" i="5"/>
  <c r="H318" i="5"/>
  <c r="H332" i="5"/>
  <c r="H345" i="5"/>
  <c r="H429" i="5"/>
  <c r="H461" i="5"/>
  <c r="H494" i="5"/>
  <c r="H510" i="5"/>
  <c r="H544" i="5"/>
  <c r="H561" i="5"/>
  <c r="H578" i="5"/>
  <c r="H613" i="5"/>
  <c r="H632" i="5"/>
  <c r="H669" i="5"/>
  <c r="H688" i="5"/>
  <c r="H710" i="5"/>
  <c r="H730" i="5"/>
  <c r="H751" i="5"/>
  <c r="H773" i="5"/>
  <c r="H812" i="5"/>
  <c r="H833" i="5"/>
  <c r="H917" i="5"/>
  <c r="H936" i="5"/>
  <c r="H1006" i="5"/>
  <c r="H1032" i="5"/>
  <c r="H1056" i="5"/>
  <c r="H1079" i="5"/>
  <c r="H1104" i="5"/>
  <c r="H1266" i="5"/>
  <c r="H1308" i="5"/>
  <c r="H1390" i="5"/>
  <c r="H1430" i="5"/>
  <c r="H1510" i="5"/>
  <c r="H1691" i="5"/>
  <c r="H1745" i="5"/>
  <c r="H1800" i="5"/>
  <c r="H1926" i="5"/>
  <c r="H524" i="5"/>
  <c r="H667" i="5"/>
  <c r="H831" i="5"/>
  <c r="H1053" i="5"/>
  <c r="H1381" i="5"/>
  <c r="H103" i="5"/>
  <c r="H126" i="5"/>
  <c r="H149" i="5"/>
  <c r="H162" i="5"/>
  <c r="H185" i="5"/>
  <c r="H197" i="5"/>
  <c r="H210" i="5"/>
  <c r="H237" i="5"/>
  <c r="H250" i="5"/>
  <c r="H263" i="5"/>
  <c r="H360" i="5"/>
  <c r="H373" i="5"/>
  <c r="H388" i="5"/>
  <c r="H402" i="5"/>
  <c r="H415" i="5"/>
  <c r="H431" i="5"/>
  <c r="H464" i="5"/>
  <c r="H479" i="5"/>
  <c r="H545" i="5"/>
  <c r="H598" i="5"/>
  <c r="H652" i="5"/>
  <c r="H689" i="5"/>
  <c r="H731" i="5"/>
  <c r="H774" i="5"/>
  <c r="H792" i="5"/>
  <c r="H813" i="5"/>
  <c r="H834" i="5"/>
  <c r="H854" i="5"/>
  <c r="H874" i="5"/>
  <c r="H918" i="5"/>
  <c r="H937" i="5"/>
  <c r="H1034" i="5"/>
  <c r="H1106" i="5"/>
  <c r="H1131" i="5"/>
  <c r="H1155" i="5"/>
  <c r="H1197" i="5"/>
  <c r="H1267" i="5"/>
  <c r="H1346" i="5"/>
  <c r="H1557" i="5"/>
  <c r="H1635" i="5"/>
  <c r="H1695" i="5"/>
  <c r="H1801" i="5"/>
  <c r="H1871" i="5"/>
  <c r="H1941" i="5"/>
  <c r="H1845" i="5"/>
  <c r="H147" i="5"/>
  <c r="H357" i="5"/>
  <c r="H628" i="5"/>
  <c r="H789" i="5"/>
  <c r="H1225" i="5"/>
  <c r="H1590" i="5"/>
  <c r="H115" i="5"/>
  <c r="H138" i="5"/>
  <c r="H174" i="5"/>
  <c r="H223" i="5"/>
  <c r="H277" i="5"/>
  <c r="H291" i="5"/>
  <c r="H320" i="5"/>
  <c r="H333" i="5"/>
  <c r="H446" i="5"/>
  <c r="H495" i="5"/>
  <c r="H512" i="5"/>
  <c r="H529" i="5"/>
  <c r="H562" i="5"/>
  <c r="H581" i="5"/>
  <c r="H614" i="5"/>
  <c r="H670" i="5"/>
  <c r="H694" i="5"/>
  <c r="H712" i="5"/>
  <c r="H897" i="5"/>
  <c r="H962" i="5"/>
  <c r="H983" i="5"/>
  <c r="H1057" i="5"/>
  <c r="H1107" i="5"/>
  <c r="H1160" i="5"/>
  <c r="H1198" i="5"/>
  <c r="H1233" i="5"/>
  <c r="H1275" i="5"/>
  <c r="H1347" i="5"/>
  <c r="H1395" i="5"/>
  <c r="H1521" i="5"/>
  <c r="H1558" i="5"/>
  <c r="H1596" i="5"/>
  <c r="H1750" i="5"/>
  <c r="H1806" i="5"/>
  <c r="H1785" i="5"/>
  <c r="H233" i="5"/>
  <c r="H728" i="5"/>
  <c r="H1738" i="5"/>
  <c r="H104" i="5"/>
  <c r="H127" i="5"/>
  <c r="H150" i="5"/>
  <c r="H163" i="5"/>
  <c r="H186" i="5"/>
  <c r="H198" i="5"/>
  <c r="H211" i="5"/>
  <c r="H225" i="5"/>
  <c r="H238" i="5"/>
  <c r="H251" i="5"/>
  <c r="H264" i="5"/>
  <c r="H347" i="5"/>
  <c r="H361" i="5"/>
  <c r="H374" i="5"/>
  <c r="H390" i="5"/>
  <c r="H403" i="5"/>
  <c r="H432" i="5"/>
  <c r="H465" i="5"/>
  <c r="H480" i="5"/>
  <c r="H531" i="5"/>
  <c r="H546" i="5"/>
  <c r="H564" i="5"/>
  <c r="H599" i="5"/>
  <c r="H615" i="5"/>
  <c r="H635" i="5"/>
  <c r="H653" i="5"/>
  <c r="H713" i="5"/>
  <c r="H817" i="5"/>
  <c r="H837" i="5"/>
  <c r="H856" i="5"/>
  <c r="H878" i="5"/>
  <c r="H942" i="5"/>
  <c r="H984" i="5"/>
  <c r="H1011" i="5"/>
  <c r="H1059" i="5"/>
  <c r="H1133" i="5"/>
  <c r="H1200" i="5"/>
  <c r="H1236" i="5"/>
  <c r="H1435" i="5"/>
  <c r="H1560" i="5"/>
  <c r="H1645" i="5"/>
  <c r="H1696" i="5"/>
  <c r="H1807" i="5"/>
  <c r="H1876" i="5"/>
  <c r="H1947" i="5"/>
  <c r="H912" i="5"/>
  <c r="H124" i="5"/>
  <c r="H261" i="5"/>
  <c r="H384" i="5"/>
  <c r="H427" i="5"/>
  <c r="H686" i="5"/>
  <c r="H852" i="5"/>
  <c r="H958" i="5"/>
  <c r="H1027" i="5"/>
  <c r="H1126" i="5"/>
  <c r="H1191" i="5"/>
  <c r="H1628" i="5"/>
  <c r="H116" i="5"/>
  <c r="H139" i="5"/>
  <c r="H152" i="5"/>
  <c r="H175" i="5"/>
  <c r="H278" i="5"/>
  <c r="H292" i="5"/>
  <c r="H307" i="5"/>
  <c r="H321" i="5"/>
  <c r="H334" i="5"/>
  <c r="H417" i="5"/>
  <c r="H447" i="5"/>
  <c r="H481" i="5"/>
  <c r="H497" i="5"/>
  <c r="H513" i="5"/>
  <c r="H582" i="5"/>
  <c r="H616" i="5"/>
  <c r="H673" i="5"/>
  <c r="H734" i="5"/>
  <c r="H776" i="5"/>
  <c r="H796" i="5"/>
  <c r="H920" i="5"/>
  <c r="H964" i="5"/>
  <c r="H1036" i="5"/>
  <c r="H1086" i="5"/>
  <c r="H1111" i="5"/>
  <c r="H1240" i="5"/>
  <c r="H1277" i="5"/>
  <c r="H1316" i="5"/>
  <c r="H1355" i="5"/>
  <c r="H1396" i="5"/>
  <c r="H1476" i="5"/>
  <c r="H1701" i="5"/>
  <c r="H1811" i="5"/>
  <c r="H1877" i="5"/>
  <c r="H1948" i="5"/>
  <c r="H1547" i="5"/>
  <c r="H105" i="5"/>
  <c r="H128" i="5"/>
  <c r="H164" i="5"/>
  <c r="H187" i="5"/>
  <c r="H212" i="5"/>
  <c r="H252" i="5"/>
  <c r="H265" i="5"/>
  <c r="H294" i="5"/>
  <c r="H348" i="5"/>
  <c r="H362" i="5"/>
  <c r="H377" i="5"/>
  <c r="H391" i="5"/>
  <c r="H404" i="5"/>
  <c r="H433" i="5"/>
  <c r="H450" i="5"/>
  <c r="H466" i="5"/>
  <c r="H515" i="5"/>
  <c r="H532" i="5"/>
  <c r="H547" i="5"/>
  <c r="H565" i="5"/>
  <c r="H583" i="5"/>
  <c r="H600" i="5"/>
  <c r="H636" i="5"/>
  <c r="H655" i="5"/>
  <c r="H696" i="5"/>
  <c r="H714" i="5"/>
  <c r="H756" i="5"/>
  <c r="H818" i="5"/>
  <c r="H839" i="5"/>
  <c r="H899" i="5"/>
  <c r="H921" i="5"/>
  <c r="H944" i="5"/>
  <c r="H987" i="5"/>
  <c r="H1134" i="5"/>
  <c r="H1166" i="5"/>
  <c r="H1201" i="5"/>
  <c r="H1278" i="5"/>
  <c r="H1317" i="5"/>
  <c r="H1357" i="5"/>
  <c r="H1397" i="5"/>
  <c r="H1441" i="5"/>
  <c r="H1478" i="5"/>
  <c r="H1605" i="5"/>
  <c r="H1650" i="5"/>
  <c r="H1756" i="5"/>
  <c r="H1878" i="5"/>
  <c r="H1951" i="5"/>
  <c r="H117" i="5"/>
  <c r="H140" i="5"/>
  <c r="H153" i="5"/>
  <c r="H176" i="5"/>
  <c r="H200" i="5"/>
  <c r="H214" i="5"/>
  <c r="H227" i="5"/>
  <c r="H240" i="5"/>
  <c r="H280" i="5"/>
  <c r="H308" i="5"/>
  <c r="H322" i="5"/>
  <c r="H335" i="5"/>
  <c r="H418" i="5"/>
  <c r="H451" i="5"/>
  <c r="H482" i="5"/>
  <c r="H499" i="5"/>
  <c r="H516" i="5"/>
  <c r="H548" i="5"/>
  <c r="H584" i="5"/>
  <c r="H601" i="5"/>
  <c r="H617" i="5"/>
  <c r="H637" i="5"/>
  <c r="H674" i="5"/>
  <c r="H697" i="5"/>
  <c r="H736" i="5"/>
  <c r="H777" i="5"/>
  <c r="H798" i="5"/>
  <c r="H819" i="5"/>
  <c r="H858" i="5"/>
  <c r="H881" i="5"/>
  <c r="H1014" i="5"/>
  <c r="H1037" i="5"/>
  <c r="H1062" i="5"/>
  <c r="H1113" i="5"/>
  <c r="H1136" i="5"/>
  <c r="H1241" i="5"/>
  <c r="H1281" i="5"/>
  <c r="H1318" i="5"/>
  <c r="H1358" i="5"/>
  <c r="H1480" i="5"/>
  <c r="H1525" i="5"/>
  <c r="H1656" i="5"/>
  <c r="H1760" i="5"/>
  <c r="H1817" i="5"/>
  <c r="H1956" i="5"/>
  <c r="H1468" i="5"/>
  <c r="H106" i="5"/>
  <c r="H129" i="5"/>
  <c r="H142" i="5"/>
  <c r="H165" i="5"/>
  <c r="H188" i="5"/>
  <c r="H253" i="5"/>
  <c r="H295" i="5"/>
  <c r="H350" i="5"/>
  <c r="H378" i="5"/>
  <c r="H392" i="5"/>
  <c r="H405" i="5"/>
  <c r="H434" i="5"/>
  <c r="H467" i="5"/>
  <c r="H483" i="5"/>
  <c r="H533" i="5"/>
  <c r="H568" i="5"/>
  <c r="H638" i="5"/>
  <c r="H656" i="5"/>
  <c r="H677" i="5"/>
  <c r="H717" i="5"/>
  <c r="H739" i="5"/>
  <c r="H759" i="5"/>
  <c r="H800" i="5"/>
  <c r="H820" i="5"/>
  <c r="H840" i="5"/>
  <c r="H862" i="5"/>
  <c r="H900" i="5"/>
  <c r="H946" i="5"/>
  <c r="H966" i="5"/>
  <c r="H1016" i="5"/>
  <c r="H1039" i="5"/>
  <c r="H1066" i="5"/>
  <c r="H1089" i="5"/>
  <c r="H1171" i="5"/>
  <c r="H1283" i="5"/>
  <c r="H1321" i="5"/>
  <c r="H1405" i="5"/>
  <c r="H1487" i="5"/>
  <c r="H1610" i="5"/>
  <c r="H1657" i="5"/>
  <c r="H1706" i="5"/>
  <c r="H1768" i="5"/>
  <c r="H1820" i="5"/>
  <c r="H1885" i="5"/>
  <c r="H420" i="5"/>
  <c r="H453" i="5"/>
  <c r="H468" i="5"/>
  <c r="H500" i="5"/>
  <c r="H517" i="5"/>
  <c r="H550" i="5"/>
  <c r="H586" i="5"/>
  <c r="H622" i="5"/>
  <c r="H657" i="5"/>
  <c r="H698" i="5"/>
  <c r="H718" i="5"/>
  <c r="H761" i="5"/>
  <c r="H801" i="5"/>
  <c r="H821" i="5"/>
  <c r="H883" i="5"/>
  <c r="H903" i="5"/>
  <c r="H924" i="5"/>
  <c r="H968" i="5"/>
  <c r="H993" i="5"/>
  <c r="H1041" i="5"/>
  <c r="H1141" i="5"/>
  <c r="H1246" i="5"/>
  <c r="H1366" i="5"/>
  <c r="H1406" i="5"/>
  <c r="H1446" i="5"/>
  <c r="H1488" i="5"/>
  <c r="H1528" i="5"/>
  <c r="H1571" i="5"/>
  <c r="H1661" i="5"/>
  <c r="H1711" i="5"/>
  <c r="H1821" i="5"/>
  <c r="H1886" i="5"/>
  <c r="H1975" i="5"/>
  <c r="H310" i="5"/>
  <c r="H107" i="5"/>
  <c r="H130" i="5"/>
  <c r="H143" i="5"/>
  <c r="H166" i="5"/>
  <c r="H189" i="5"/>
  <c r="H203" i="5"/>
  <c r="H254" i="5"/>
  <c r="H283" i="5"/>
  <c r="H337" i="5"/>
  <c r="H351" i="5"/>
  <c r="H380" i="5"/>
  <c r="H393" i="5"/>
  <c r="H421" i="5"/>
  <c r="H518" i="5"/>
  <c r="H534" i="5"/>
  <c r="H551" i="5"/>
  <c r="H569" i="5"/>
  <c r="H603" i="5"/>
  <c r="H658" i="5"/>
  <c r="H678" i="5"/>
  <c r="H740" i="5"/>
  <c r="H802" i="5"/>
  <c r="H842" i="5"/>
  <c r="H864" i="5"/>
  <c r="H926" i="5"/>
  <c r="H947" i="5"/>
  <c r="H1019" i="5"/>
  <c r="H1067" i="5"/>
  <c r="H1091" i="5"/>
  <c r="H1173" i="5"/>
  <c r="H1247" i="5"/>
  <c r="H1286" i="5"/>
  <c r="H1367" i="5"/>
  <c r="H1407" i="5"/>
  <c r="H1447" i="5"/>
  <c r="H1530" i="5"/>
  <c r="H1895" i="5"/>
  <c r="H96" i="5"/>
  <c r="H119" i="5"/>
  <c r="H132" i="5"/>
  <c r="H155" i="5"/>
  <c r="H178" i="5"/>
  <c r="H242" i="5"/>
  <c r="H268" i="5"/>
  <c r="H297" i="5"/>
  <c r="H311" i="5"/>
  <c r="H324" i="5"/>
  <c r="H353" i="5"/>
  <c r="H407" i="5"/>
  <c r="H437" i="5"/>
  <c r="H454" i="5"/>
  <c r="H469" i="5"/>
  <c r="H486" i="5"/>
  <c r="H503" i="5"/>
  <c r="H587" i="5"/>
  <c r="H623" i="5"/>
  <c r="H641" i="5"/>
  <c r="H680" i="5"/>
  <c r="H699" i="5"/>
  <c r="H720" i="5"/>
  <c r="H741" i="5"/>
  <c r="H762" i="5"/>
  <c r="H781" i="5"/>
  <c r="H822" i="5"/>
  <c r="H884" i="5"/>
  <c r="H948" i="5"/>
  <c r="H969" i="5"/>
  <c r="H994" i="5"/>
  <c r="H1043" i="5"/>
  <c r="H1116" i="5"/>
  <c r="H1142" i="5"/>
  <c r="H1251" i="5"/>
  <c r="H1290" i="5"/>
  <c r="H1368" i="5"/>
  <c r="H1408" i="5"/>
  <c r="H1775" i="5"/>
  <c r="H1828" i="5"/>
  <c r="H1897" i="5"/>
  <c r="H1985" i="5"/>
  <c r="H365" i="5"/>
  <c r="H108" i="5"/>
  <c r="H144" i="5"/>
  <c r="H167" i="5"/>
  <c r="H190" i="5"/>
  <c r="H204" i="5"/>
  <c r="H217" i="5"/>
  <c r="H230" i="5"/>
  <c r="H255" i="5"/>
  <c r="H271" i="5"/>
  <c r="H284" i="5"/>
  <c r="H338" i="5"/>
  <c r="H367" i="5"/>
  <c r="H381" i="5"/>
  <c r="H394" i="5"/>
  <c r="H422" i="5"/>
  <c r="H520" i="5"/>
  <c r="H535" i="5"/>
  <c r="H553" i="5"/>
  <c r="H571" i="5"/>
  <c r="H588" i="5"/>
  <c r="H604" i="5"/>
  <c r="H624" i="5"/>
  <c r="H659" i="5"/>
  <c r="H721" i="5"/>
  <c r="H824" i="5"/>
  <c r="H843" i="5"/>
  <c r="H866" i="5"/>
  <c r="H906" i="5"/>
  <c r="H929" i="5"/>
  <c r="H949" i="5"/>
  <c r="H1021" i="5"/>
  <c r="H1093" i="5"/>
  <c r="H1144" i="5"/>
  <c r="H1410" i="5"/>
  <c r="H1451" i="5"/>
  <c r="H1531" i="5"/>
  <c r="H1617" i="5"/>
  <c r="H1665" i="5"/>
  <c r="H1716" i="5"/>
  <c r="H1776" i="5"/>
  <c r="H1831" i="5"/>
  <c r="H1898" i="5"/>
  <c r="H1988" i="5"/>
  <c r="H808" i="5"/>
  <c r="H933" i="5"/>
  <c r="H1001" i="5"/>
  <c r="H1024" i="5"/>
  <c r="H118" i="5"/>
  <c r="H201" i="5"/>
  <c r="H241" i="5"/>
  <c r="H267" i="5"/>
  <c r="H323" i="5"/>
  <c r="H97" i="5"/>
  <c r="H120" i="5"/>
  <c r="H133" i="5"/>
  <c r="H156" i="5"/>
  <c r="H179" i="5"/>
  <c r="H192" i="5"/>
  <c r="H243" i="5"/>
  <c r="H298" i="5"/>
  <c r="H312" i="5"/>
  <c r="H325" i="5"/>
  <c r="H354" i="5"/>
  <c r="H408" i="5"/>
  <c r="H424" i="5"/>
  <c r="H439" i="5"/>
  <c r="H455" i="5"/>
  <c r="H470" i="5"/>
  <c r="H487" i="5"/>
  <c r="H504" i="5"/>
  <c r="H521" i="5"/>
  <c r="H555" i="5"/>
  <c r="H572" i="5"/>
  <c r="H642" i="5"/>
  <c r="H662" i="5"/>
  <c r="H683" i="5"/>
  <c r="H700" i="5"/>
  <c r="H723" i="5"/>
  <c r="H743" i="5"/>
  <c r="H763" i="5"/>
  <c r="H786" i="5"/>
  <c r="H886" i="5"/>
  <c r="H931" i="5"/>
  <c r="H996" i="5"/>
  <c r="H1072" i="5"/>
  <c r="H1121" i="5"/>
  <c r="H1175" i="5"/>
  <c r="H1217" i="5"/>
  <c r="H1255" i="5"/>
  <c r="H1337" i="5"/>
  <c r="H1496" i="5"/>
  <c r="H1535" i="5"/>
  <c r="H1618" i="5"/>
  <c r="H1727" i="5"/>
  <c r="H1777" i="5"/>
  <c r="H1835" i="5"/>
  <c r="H1911" i="5"/>
  <c r="H109" i="5"/>
  <c r="H122" i="5"/>
  <c r="H145" i="5"/>
  <c r="H168" i="5"/>
  <c r="H205" i="5"/>
  <c r="H218" i="5"/>
  <c r="H231" i="5"/>
  <c r="H272" i="5"/>
  <c r="H285" i="5"/>
  <c r="H368" i="5"/>
  <c r="H382" i="5"/>
  <c r="H395" i="5"/>
  <c r="H472" i="5"/>
  <c r="H505" i="5"/>
  <c r="H625" i="5"/>
  <c r="H644" i="5"/>
  <c r="H724" i="5"/>
  <c r="H764" i="5"/>
  <c r="H806" i="5"/>
  <c r="H826" i="5"/>
  <c r="H847" i="5"/>
  <c r="H867" i="5"/>
  <c r="H887" i="5"/>
  <c r="H909" i="5"/>
  <c r="H951" i="5"/>
  <c r="H974" i="5"/>
  <c r="H997" i="5"/>
  <c r="H1047" i="5"/>
  <c r="H1097" i="5"/>
  <c r="H1146" i="5"/>
  <c r="H1178" i="5"/>
  <c r="H1220" i="5"/>
  <c r="H1338" i="5"/>
  <c r="H1457" i="5"/>
  <c r="H1497" i="5"/>
  <c r="H1540" i="5"/>
  <c r="H1581" i="5"/>
  <c r="H1667" i="5"/>
  <c r="H1728" i="5"/>
  <c r="H1778" i="5"/>
  <c r="H1836" i="5"/>
  <c r="H747" i="5"/>
  <c r="H869" i="5"/>
  <c r="H1074" i="5"/>
  <c r="H1421" i="5"/>
  <c r="H177" i="5"/>
  <c r="H215" i="5"/>
  <c r="H98" i="5"/>
  <c r="H134" i="5"/>
  <c r="H157" i="5"/>
  <c r="H180" i="5"/>
  <c r="H193" i="5"/>
  <c r="H244" i="5"/>
  <c r="H300" i="5"/>
  <c r="H313" i="5"/>
  <c r="H342" i="5"/>
  <c r="H355" i="5"/>
  <c r="H410" i="5"/>
  <c r="H425" i="5"/>
  <c r="H440" i="5"/>
  <c r="H456" i="5"/>
  <c r="H490" i="5"/>
  <c r="H522" i="5"/>
  <c r="H537" i="5"/>
  <c r="H556" i="5"/>
  <c r="H573" i="5"/>
  <c r="H590" i="5"/>
  <c r="H609" i="5"/>
  <c r="H684" i="5"/>
  <c r="H703" i="5"/>
  <c r="H787" i="5"/>
  <c r="H932" i="5"/>
  <c r="H976" i="5"/>
  <c r="H999" i="5"/>
  <c r="H1023" i="5"/>
  <c r="H1073" i="5"/>
  <c r="H1123" i="5"/>
  <c r="H1258" i="5"/>
  <c r="H1340" i="5"/>
  <c r="H1375" i="5"/>
  <c r="H1417" i="5"/>
  <c r="H1458" i="5"/>
  <c r="H1625" i="5"/>
  <c r="H1671" i="5"/>
  <c r="H1731" i="5"/>
  <c r="H1841" i="5"/>
  <c r="H1915" i="5"/>
  <c r="H1997" i="5"/>
  <c r="H611" i="5"/>
  <c r="H766" i="5"/>
  <c r="H954" i="5"/>
  <c r="H1150" i="5"/>
  <c r="H154" i="5"/>
  <c r="H228" i="5"/>
  <c r="H110" i="5"/>
  <c r="H123" i="5"/>
  <c r="H146" i="5"/>
  <c r="H169" i="5"/>
  <c r="H182" i="5"/>
  <c r="H232" i="5"/>
  <c r="H260" i="5"/>
  <c r="H273" i="5"/>
  <c r="H327" i="5"/>
  <c r="H370" i="5"/>
  <c r="H383" i="5"/>
  <c r="H412" i="5"/>
  <c r="H442" i="5"/>
  <c r="H473" i="5"/>
  <c r="H491" i="5"/>
  <c r="H506" i="5"/>
  <c r="H591" i="5"/>
  <c r="H626" i="5"/>
  <c r="H645" i="5"/>
  <c r="H664" i="5"/>
  <c r="H828" i="5"/>
  <c r="H848" i="5"/>
  <c r="H889" i="5"/>
  <c r="H910" i="5"/>
  <c r="H953" i="5"/>
  <c r="H1051" i="5"/>
  <c r="H1099" i="5"/>
  <c r="H1124" i="5"/>
  <c r="H1147" i="5"/>
  <c r="H1221" i="5"/>
  <c r="H1261" i="5"/>
  <c r="H1418" i="5"/>
  <c r="H1460" i="5"/>
  <c r="H1501" i="5"/>
  <c r="H1541" i="5"/>
  <c r="H1921" i="5"/>
  <c r="H1998" i="5"/>
  <c r="H445" i="5"/>
  <c r="H458" i="5"/>
  <c r="H471" i="5"/>
  <c r="H484" i="5"/>
  <c r="H498" i="5"/>
  <c r="H511" i="5"/>
  <c r="H536" i="5"/>
  <c r="H576" i="5"/>
  <c r="H589" i="5"/>
  <c r="H602" i="5"/>
  <c r="H672" i="5"/>
  <c r="H701" i="5"/>
  <c r="H733" i="5"/>
  <c r="H748" i="5"/>
  <c r="H778" i="5"/>
  <c r="H809" i="5"/>
  <c r="H841" i="5"/>
  <c r="H870" i="5"/>
  <c r="H919" i="5"/>
  <c r="H934" i="5"/>
  <c r="H950" i="5"/>
  <c r="H1004" i="5"/>
  <c r="H1022" i="5"/>
  <c r="H1076" i="5"/>
  <c r="H1094" i="5"/>
  <c r="H1114" i="5"/>
  <c r="H1177" i="5"/>
  <c r="H1205" i="5"/>
  <c r="H1263" i="5"/>
  <c r="H1293" i="5"/>
  <c r="H1351" i="5"/>
  <c r="H1475" i="5"/>
  <c r="H1505" i="5"/>
  <c r="H1538" i="5"/>
  <c r="H1566" i="5"/>
  <c r="H1597" i="5"/>
  <c r="H1630" i="5"/>
  <c r="H1666" i="5"/>
  <c r="H1710" i="5"/>
  <c r="H1751" i="5"/>
  <c r="H1795" i="5"/>
  <c r="H1945" i="5"/>
  <c r="H257" i="5"/>
  <c r="H281" i="5"/>
  <c r="H304" i="5"/>
  <c r="H340" i="5"/>
  <c r="H363" i="5"/>
  <c r="H398" i="5"/>
  <c r="H435" i="5"/>
  <c r="H448" i="5"/>
  <c r="H475" i="5"/>
  <c r="H488" i="5"/>
  <c r="H501" i="5"/>
  <c r="H526" i="5"/>
  <c r="H566" i="5"/>
  <c r="H579" i="5"/>
  <c r="H592" i="5"/>
  <c r="H605" i="5"/>
  <c r="H618" i="5"/>
  <c r="H633" i="5"/>
  <c r="H646" i="5"/>
  <c r="H707" i="5"/>
  <c r="H752" i="5"/>
  <c r="H783" i="5"/>
  <c r="H829" i="5"/>
  <c r="H859" i="5"/>
  <c r="H891" i="5"/>
  <c r="H922" i="5"/>
  <c r="H938" i="5"/>
  <c r="H991" i="5"/>
  <c r="H1007" i="5"/>
  <c r="H1044" i="5"/>
  <c r="H1083" i="5"/>
  <c r="H1101" i="5"/>
  <c r="H1117" i="5"/>
  <c r="H1156" i="5"/>
  <c r="H1215" i="5"/>
  <c r="H1243" i="5"/>
  <c r="H1297" i="5"/>
  <c r="H1328" i="5"/>
  <c r="H1391" i="5"/>
  <c r="H1545" i="5"/>
  <c r="H1575" i="5"/>
  <c r="H1606" i="5"/>
  <c r="H1680" i="5"/>
  <c r="H1717" i="5"/>
  <c r="H1761" i="5"/>
  <c r="H1905" i="5"/>
  <c r="H1957" i="5"/>
  <c r="H101" i="5"/>
  <c r="H111" i="5"/>
  <c r="H121" i="5"/>
  <c r="H131" i="5"/>
  <c r="H141" i="5"/>
  <c r="H151" i="5"/>
  <c r="H161" i="5"/>
  <c r="H171" i="5"/>
  <c r="H181" i="5"/>
  <c r="H191" i="5"/>
  <c r="H202" i="5"/>
  <c r="H213" i="5"/>
  <c r="H224" i="5"/>
  <c r="H235" i="5"/>
  <c r="H270" i="5"/>
  <c r="H293" i="5"/>
  <c r="H328" i="5"/>
  <c r="H352" i="5"/>
  <c r="H375" i="5"/>
  <c r="H387" i="5"/>
  <c r="H411" i="5"/>
  <c r="H423" i="5"/>
  <c r="H462" i="5"/>
  <c r="H514" i="5"/>
  <c r="H527" i="5"/>
  <c r="H540" i="5"/>
  <c r="H554" i="5"/>
  <c r="H661" i="5"/>
  <c r="H691" i="5"/>
  <c r="H722" i="5"/>
  <c r="H737" i="5"/>
  <c r="H799" i="5"/>
  <c r="H814" i="5"/>
  <c r="H844" i="5"/>
  <c r="H861" i="5"/>
  <c r="H907" i="5"/>
  <c r="H1026" i="5"/>
  <c r="H1063" i="5"/>
  <c r="H1119" i="5"/>
  <c r="H1137" i="5"/>
  <c r="H1158" i="5"/>
  <c r="H1190" i="5"/>
  <c r="H1298" i="5"/>
  <c r="H1330" i="5"/>
  <c r="H1607" i="5"/>
  <c r="H1638" i="5"/>
  <c r="H1805" i="5"/>
  <c r="H1846" i="5"/>
  <c r="H1958" i="5"/>
  <c r="H247" i="5"/>
  <c r="H258" i="5"/>
  <c r="H282" i="5"/>
  <c r="H305" i="5"/>
  <c r="H317" i="5"/>
  <c r="H341" i="5"/>
  <c r="H364" i="5"/>
  <c r="H400" i="5"/>
  <c r="H436" i="5"/>
  <c r="H476" i="5"/>
  <c r="H489" i="5"/>
  <c r="H502" i="5"/>
  <c r="H528" i="5"/>
  <c r="H542" i="5"/>
  <c r="H567" i="5"/>
  <c r="H580" i="5"/>
  <c r="H593" i="5"/>
  <c r="H606" i="5"/>
  <c r="H621" i="5"/>
  <c r="H634" i="5"/>
  <c r="H647" i="5"/>
  <c r="H708" i="5"/>
  <c r="H753" i="5"/>
  <c r="H830" i="5"/>
  <c r="H877" i="5"/>
  <c r="H892" i="5"/>
  <c r="H908" i="5"/>
  <c r="H923" i="5"/>
  <c r="H941" i="5"/>
  <c r="H956" i="5"/>
  <c r="H973" i="5"/>
  <c r="H992" i="5"/>
  <c r="H1009" i="5"/>
  <c r="H1046" i="5"/>
  <c r="H1084" i="5"/>
  <c r="H1102" i="5"/>
  <c r="H1216" i="5"/>
  <c r="H1245" i="5"/>
  <c r="H1425" i="5"/>
  <c r="H1455" i="5"/>
  <c r="H1485" i="5"/>
  <c r="H1518" i="5"/>
  <c r="H1546" i="5"/>
  <c r="H1580" i="5"/>
  <c r="H1608" i="5"/>
  <c r="H1640" i="5"/>
  <c r="H1685" i="5"/>
  <c r="H1725" i="5"/>
  <c r="H1847" i="5"/>
  <c r="H1907" i="5"/>
  <c r="H557" i="5"/>
  <c r="H570" i="5"/>
  <c r="H597" i="5"/>
  <c r="H610" i="5"/>
  <c r="H651" i="5"/>
  <c r="H681" i="5"/>
  <c r="H711" i="5"/>
  <c r="H726" i="5"/>
  <c r="H742" i="5"/>
  <c r="H788" i="5"/>
  <c r="H803" i="5"/>
  <c r="H851" i="5"/>
  <c r="H880" i="5"/>
  <c r="H896" i="5"/>
  <c r="H911" i="5"/>
  <c r="H927" i="5"/>
  <c r="H961" i="5"/>
  <c r="H977" i="5"/>
  <c r="H1071" i="5"/>
  <c r="H1087" i="5"/>
  <c r="H1170" i="5"/>
  <c r="H1196" i="5"/>
  <c r="H1280" i="5"/>
  <c r="H1310" i="5"/>
  <c r="H1341" i="5"/>
  <c r="H1371" i="5"/>
  <c r="H1431" i="5"/>
  <c r="H1495" i="5"/>
  <c r="H1555" i="5"/>
  <c r="H1585" i="5"/>
  <c r="H1868" i="5"/>
  <c r="H1987" i="5"/>
  <c r="H196" i="5"/>
  <c r="H206" i="5"/>
  <c r="H216" i="5"/>
  <c r="H226" i="5"/>
  <c r="H236" i="5"/>
  <c r="H246" i="5"/>
  <c r="H256" i="5"/>
  <c r="H266" i="5"/>
  <c r="H276" i="5"/>
  <c r="H286" i="5"/>
  <c r="H296" i="5"/>
  <c r="H306" i="5"/>
  <c r="H316" i="5"/>
  <c r="H326" i="5"/>
  <c r="H336" i="5"/>
  <c r="H346" i="5"/>
  <c r="H356" i="5"/>
  <c r="H366" i="5"/>
  <c r="H376" i="5"/>
  <c r="H386" i="5"/>
  <c r="H396" i="5"/>
  <c r="H406" i="5"/>
  <c r="H416" i="5"/>
  <c r="H438" i="5"/>
  <c r="H449" i="5"/>
  <c r="H460" i="5"/>
  <c r="H538" i="5"/>
  <c r="H549" i="5"/>
  <c r="H560" i="5"/>
  <c r="H627" i="5"/>
  <c r="H639" i="5"/>
  <c r="H663" i="5"/>
  <c r="H676" i="5"/>
  <c r="H702" i="5"/>
  <c r="H754" i="5"/>
  <c r="H767" i="5"/>
  <c r="H780" i="5"/>
  <c r="H794" i="5"/>
  <c r="H807" i="5"/>
  <c r="H898" i="5"/>
  <c r="H939" i="5"/>
  <c r="H967" i="5"/>
  <c r="H982" i="5"/>
  <c r="H1013" i="5"/>
  <c r="H1061" i="5"/>
  <c r="H1139" i="5"/>
  <c r="H1180" i="5"/>
  <c r="H1228" i="5"/>
  <c r="H1276" i="5"/>
  <c r="H1301" i="5"/>
  <c r="H1325" i="5"/>
  <c r="H1380" i="5"/>
  <c r="H1456" i="5"/>
  <c r="H1481" i="5"/>
  <c r="H1508" i="5"/>
  <c r="H1537" i="5"/>
  <c r="H1588" i="5"/>
  <c r="H1675" i="5"/>
  <c r="H1746" i="5"/>
  <c r="H1780" i="5"/>
  <c r="H1816" i="5"/>
  <c r="H1856" i="5"/>
  <c r="H1906" i="5"/>
  <c r="H441" i="5"/>
  <c r="H452" i="5"/>
  <c r="H463" i="5"/>
  <c r="H474" i="5"/>
  <c r="H485" i="5"/>
  <c r="H496" i="5"/>
  <c r="H507" i="5"/>
  <c r="H541" i="5"/>
  <c r="H552" i="5"/>
  <c r="H563" i="5"/>
  <c r="H574" i="5"/>
  <c r="H585" i="5"/>
  <c r="H596" i="5"/>
  <c r="H607" i="5"/>
  <c r="H631" i="5"/>
  <c r="H654" i="5"/>
  <c r="H666" i="5"/>
  <c r="H692" i="5"/>
  <c r="H706" i="5"/>
  <c r="H744" i="5"/>
  <c r="H770" i="5"/>
  <c r="H784" i="5"/>
  <c r="H797" i="5"/>
  <c r="H836" i="5"/>
  <c r="H888" i="5"/>
  <c r="H901" i="5"/>
  <c r="H943" i="5"/>
  <c r="H970" i="5"/>
  <c r="H1017" i="5"/>
  <c r="H1033" i="5"/>
  <c r="H1096" i="5"/>
  <c r="H1112" i="5"/>
  <c r="H1185" i="5"/>
  <c r="H1260" i="5"/>
  <c r="H1306" i="5"/>
  <c r="H1331" i="5"/>
  <c r="H1360" i="5"/>
  <c r="H1385" i="5"/>
  <c r="H1437" i="5"/>
  <c r="H1491" i="5"/>
  <c r="H1516" i="5"/>
  <c r="H1567" i="5"/>
  <c r="H1621" i="5"/>
  <c r="H1651" i="5"/>
  <c r="H1686" i="5"/>
  <c r="H1718" i="5"/>
  <c r="H1755" i="5"/>
  <c r="H1790" i="5"/>
  <c r="H1965" i="5"/>
  <c r="H199" i="5"/>
  <c r="H209" i="5"/>
  <c r="H219" i="5"/>
  <c r="H229" i="5"/>
  <c r="H239" i="5"/>
  <c r="H249" i="5"/>
  <c r="H259" i="5"/>
  <c r="H269" i="5"/>
  <c r="H279" i="5"/>
  <c r="H289" i="5"/>
  <c r="H299" i="5"/>
  <c r="H309" i="5"/>
  <c r="H319" i="5"/>
  <c r="H329" i="5"/>
  <c r="H339" i="5"/>
  <c r="H349" i="5"/>
  <c r="H359" i="5"/>
  <c r="H369" i="5"/>
  <c r="H379" i="5"/>
  <c r="H389" i="5"/>
  <c r="H399" i="5"/>
  <c r="H409" i="5"/>
  <c r="H419" i="5"/>
  <c r="H430" i="5"/>
  <c r="H508" i="5"/>
  <c r="H519" i="5"/>
  <c r="H530" i="5"/>
  <c r="H608" i="5"/>
  <c r="H619" i="5"/>
  <c r="H643" i="5"/>
  <c r="H719" i="5"/>
  <c r="H732" i="5"/>
  <c r="H758" i="5"/>
  <c r="H772" i="5"/>
  <c r="H810" i="5"/>
  <c r="H823" i="5"/>
  <c r="H850" i="5"/>
  <c r="H863" i="5"/>
  <c r="H876" i="5"/>
  <c r="H902" i="5"/>
  <c r="H930" i="5"/>
  <c r="H957" i="5"/>
  <c r="H971" i="5"/>
  <c r="H986" i="5"/>
  <c r="H1003" i="5"/>
  <c r="H1049" i="5"/>
  <c r="H1064" i="5"/>
  <c r="H1081" i="5"/>
  <c r="H1127" i="5"/>
  <c r="H1143" i="5"/>
  <c r="H1163" i="5"/>
  <c r="H1213" i="5"/>
  <c r="H1235" i="5"/>
  <c r="H1307" i="5"/>
  <c r="H1335" i="5"/>
  <c r="H1387" i="5"/>
  <c r="H1438" i="5"/>
  <c r="H1517" i="5"/>
  <c r="H1568" i="5"/>
  <c r="H1595" i="5"/>
  <c r="H1687" i="5"/>
  <c r="H1791" i="5"/>
  <c r="H1827" i="5"/>
  <c r="H1875" i="5"/>
  <c r="H1918" i="5"/>
  <c r="H668" i="5"/>
  <c r="H679" i="5"/>
  <c r="H690" i="5"/>
  <c r="H746" i="5"/>
  <c r="H757" i="5"/>
  <c r="H768" i="5"/>
  <c r="H779" i="5"/>
  <c r="H790" i="5"/>
  <c r="H846" i="5"/>
  <c r="H857" i="5"/>
  <c r="H868" i="5"/>
  <c r="H879" i="5"/>
  <c r="H890" i="5"/>
  <c r="H913" i="5"/>
  <c r="H960" i="5"/>
  <c r="H972" i="5"/>
  <c r="H1012" i="5"/>
  <c r="H1052" i="5"/>
  <c r="H1092" i="5"/>
  <c r="H1132" i="5"/>
  <c r="H1183" i="5"/>
  <c r="H1285" i="5"/>
  <c r="H1326" i="5"/>
  <c r="H1416" i="5"/>
  <c r="H1440" i="5"/>
  <c r="H1526" i="5"/>
  <c r="H1616" i="5"/>
  <c r="H1641" i="5"/>
  <c r="H1668" i="5"/>
  <c r="H1700" i="5"/>
  <c r="H1730" i="5"/>
  <c r="H1757" i="5"/>
  <c r="H1788" i="5"/>
  <c r="H1818" i="5"/>
  <c r="H1851" i="5"/>
  <c r="H1891" i="5"/>
  <c r="H1928" i="5"/>
  <c r="H1966" i="5"/>
  <c r="H1855" i="5"/>
  <c r="H1931" i="5"/>
  <c r="H1968" i="5"/>
  <c r="H620" i="5"/>
  <c r="H630" i="5"/>
  <c r="H640" i="5"/>
  <c r="H650" i="5"/>
  <c r="H660" i="5"/>
  <c r="H671" i="5"/>
  <c r="H682" i="5"/>
  <c r="H693" i="5"/>
  <c r="H704" i="5"/>
  <c r="H771" i="5"/>
  <c r="H782" i="5"/>
  <c r="H793" i="5"/>
  <c r="H804" i="5"/>
  <c r="H871" i="5"/>
  <c r="H882" i="5"/>
  <c r="H893" i="5"/>
  <c r="H904" i="5"/>
  <c r="H916" i="5"/>
  <c r="H928" i="5"/>
  <c r="H963" i="5"/>
  <c r="H1002" i="5"/>
  <c r="H1042" i="5"/>
  <c r="H1082" i="5"/>
  <c r="H1122" i="5"/>
  <c r="H1167" i="5"/>
  <c r="H1186" i="5"/>
  <c r="H1208" i="5"/>
  <c r="H1230" i="5"/>
  <c r="H1248" i="5"/>
  <c r="H1291" i="5"/>
  <c r="H1376" i="5"/>
  <c r="H1466" i="5"/>
  <c r="H1490" i="5"/>
  <c r="H1576" i="5"/>
  <c r="H1646" i="5"/>
  <c r="H1677" i="5"/>
  <c r="H1707" i="5"/>
  <c r="H1766" i="5"/>
  <c r="H1796" i="5"/>
  <c r="H1825" i="5"/>
  <c r="H1901" i="5"/>
  <c r="H1936" i="5"/>
  <c r="H1978" i="5"/>
  <c r="H716" i="5"/>
  <c r="H727" i="5"/>
  <c r="H738" i="5"/>
  <c r="H749" i="5"/>
  <c r="H760" i="5"/>
  <c r="H816" i="5"/>
  <c r="H827" i="5"/>
  <c r="H838" i="5"/>
  <c r="H849" i="5"/>
  <c r="H860" i="5"/>
  <c r="H940" i="5"/>
  <c r="H952" i="5"/>
  <c r="H989" i="5"/>
  <c r="H1029" i="5"/>
  <c r="H1069" i="5"/>
  <c r="H1109" i="5"/>
  <c r="H1168" i="5"/>
  <c r="H1188" i="5"/>
  <c r="H1210" i="5"/>
  <c r="H1271" i="5"/>
  <c r="H1356" i="5"/>
  <c r="H1378" i="5"/>
  <c r="H1401" i="5"/>
  <c r="H1445" i="5"/>
  <c r="H1467" i="5"/>
  <c r="H1556" i="5"/>
  <c r="H1578" i="5"/>
  <c r="H1601" i="5"/>
  <c r="H1648" i="5"/>
  <c r="H1678" i="5"/>
  <c r="H1708" i="5"/>
  <c r="H1737" i="5"/>
  <c r="H1767" i="5"/>
  <c r="H1797" i="5"/>
  <c r="H1826" i="5"/>
  <c r="H1865" i="5"/>
  <c r="H1938" i="5"/>
  <c r="H1995" i="5"/>
  <c r="H1996" i="5"/>
  <c r="H1161" i="5"/>
  <c r="H1206" i="5"/>
  <c r="H1237" i="5"/>
  <c r="H1253" i="5"/>
  <c r="H1268" i="5"/>
  <c r="H1300" i="5"/>
  <c r="H1315" i="5"/>
  <c r="H1348" i="5"/>
  <c r="H1365" i="5"/>
  <c r="H1398" i="5"/>
  <c r="H1415" i="5"/>
  <c r="H1448" i="5"/>
  <c r="H1465" i="5"/>
  <c r="H1498" i="5"/>
  <c r="H1515" i="5"/>
  <c r="H1548" i="5"/>
  <c r="H1565" i="5"/>
  <c r="H1598" i="5"/>
  <c r="H1615" i="5"/>
  <c r="H1697" i="5"/>
  <c r="H1720" i="5"/>
  <c r="H1765" i="5"/>
  <c r="H1786" i="5"/>
  <c r="H1808" i="5"/>
  <c r="H1858" i="5"/>
  <c r="H1887" i="5"/>
  <c r="H1916" i="5"/>
  <c r="H1976" i="5"/>
  <c r="H978" i="5"/>
  <c r="H988" i="5"/>
  <c r="H998" i="5"/>
  <c r="H1008" i="5"/>
  <c r="H1018" i="5"/>
  <c r="H1028" i="5"/>
  <c r="H1038" i="5"/>
  <c r="H1048" i="5"/>
  <c r="H1058" i="5"/>
  <c r="H1068" i="5"/>
  <c r="H1078" i="5"/>
  <c r="H1088" i="5"/>
  <c r="H1098" i="5"/>
  <c r="H1108" i="5"/>
  <c r="H1118" i="5"/>
  <c r="H1128" i="5"/>
  <c r="H1138" i="5"/>
  <c r="H1148" i="5"/>
  <c r="H1176" i="5"/>
  <c r="H1207" i="5"/>
  <c r="H1223" i="5"/>
  <c r="H1238" i="5"/>
  <c r="H1270" i="5"/>
  <c r="H1350" i="5"/>
  <c r="H1400" i="5"/>
  <c r="H1450" i="5"/>
  <c r="H1500" i="5"/>
  <c r="H1550" i="5"/>
  <c r="H1600" i="5"/>
  <c r="H1655" i="5"/>
  <c r="H1676" i="5"/>
  <c r="H1698" i="5"/>
  <c r="H1721" i="5"/>
  <c r="H1787" i="5"/>
  <c r="H1810" i="5"/>
  <c r="H1861" i="5"/>
  <c r="H1888" i="5"/>
  <c r="H1917" i="5"/>
  <c r="H1946" i="5"/>
  <c r="H1977" i="5"/>
  <c r="H980" i="5"/>
  <c r="H990" i="5"/>
  <c r="H1000" i="5"/>
  <c r="H1010" i="5"/>
  <c r="H1020" i="5"/>
  <c r="H1030" i="5"/>
  <c r="H1040" i="5"/>
  <c r="H1050" i="5"/>
  <c r="H1060" i="5"/>
  <c r="H1070" i="5"/>
  <c r="H1080" i="5"/>
  <c r="H1090" i="5"/>
  <c r="H1100" i="5"/>
  <c r="H1110" i="5"/>
  <c r="H1120" i="5"/>
  <c r="H1130" i="5"/>
  <c r="H1140" i="5"/>
  <c r="H1195" i="5"/>
  <c r="H1211" i="5"/>
  <c r="H1256" i="5"/>
  <c r="H1287" i="5"/>
  <c r="H1303" i="5"/>
  <c r="H1320" i="5"/>
  <c r="H1370" i="5"/>
  <c r="H1420" i="5"/>
  <c r="H1470" i="5"/>
  <c r="H1520" i="5"/>
  <c r="H1570" i="5"/>
  <c r="H1620" i="5"/>
  <c r="H1636" i="5"/>
  <c r="H1658" i="5"/>
  <c r="H1681" i="5"/>
  <c r="H1747" i="5"/>
  <c r="H1770" i="5"/>
  <c r="H1815" i="5"/>
  <c r="H1837" i="5"/>
  <c r="H1866" i="5"/>
  <c r="H1925" i="5"/>
  <c r="H1151" i="5"/>
  <c r="H1165" i="5"/>
  <c r="H1181" i="5"/>
  <c r="H1226" i="5"/>
  <c r="H1257" i="5"/>
  <c r="H1273" i="5"/>
  <c r="H1288" i="5"/>
  <c r="H1336" i="5"/>
  <c r="H1386" i="5"/>
  <c r="H1436" i="5"/>
  <c r="H1486" i="5"/>
  <c r="H1536" i="5"/>
  <c r="H1586" i="5"/>
  <c r="H1637" i="5"/>
  <c r="H1660" i="5"/>
  <c r="H1705" i="5"/>
  <c r="H1726" i="5"/>
  <c r="H1748" i="5"/>
  <c r="H1771" i="5"/>
  <c r="H1838" i="5"/>
  <c r="H1867" i="5"/>
  <c r="H1896" i="5"/>
  <c r="H1955" i="5"/>
  <c r="H1986" i="5"/>
  <c r="H665" i="5"/>
  <c r="H675" i="5"/>
  <c r="H685" i="5"/>
  <c r="H695" i="5"/>
  <c r="H705" i="5"/>
  <c r="H715" i="5"/>
  <c r="H725" i="5"/>
  <c r="H735" i="5"/>
  <c r="H745" i="5"/>
  <c r="H755" i="5"/>
  <c r="H765" i="5"/>
  <c r="H775" i="5"/>
  <c r="H785" i="5"/>
  <c r="H795" i="5"/>
  <c r="H805" i="5"/>
  <c r="H815" i="5"/>
  <c r="H825" i="5"/>
  <c r="H835" i="5"/>
  <c r="H845" i="5"/>
  <c r="H855" i="5"/>
  <c r="H865" i="5"/>
  <c r="H875" i="5"/>
  <c r="H885" i="5"/>
  <c r="H895" i="5"/>
  <c r="H905" i="5"/>
  <c r="H915" i="5"/>
  <c r="H925" i="5"/>
  <c r="H935" i="5"/>
  <c r="H945" i="5"/>
  <c r="H955" i="5"/>
  <c r="H965" i="5"/>
  <c r="H975" i="5"/>
  <c r="H985" i="5"/>
  <c r="H995" i="5"/>
  <c r="H1005" i="5"/>
  <c r="H1015" i="5"/>
  <c r="H1025" i="5"/>
  <c r="H1035" i="5"/>
  <c r="H1045" i="5"/>
  <c r="H1055" i="5"/>
  <c r="H1065" i="5"/>
  <c r="H1075" i="5"/>
  <c r="H1085" i="5"/>
  <c r="H1095" i="5"/>
  <c r="H1105" i="5"/>
  <c r="H1115" i="5"/>
  <c r="H1125" i="5"/>
  <c r="H1135" i="5"/>
  <c r="H1145" i="5"/>
  <c r="H1157" i="5"/>
  <c r="H1187" i="5"/>
  <c r="H1203" i="5"/>
  <c r="H1218" i="5"/>
  <c r="H1250" i="5"/>
  <c r="H1295" i="5"/>
  <c r="H1311" i="5"/>
  <c r="H1327" i="5"/>
  <c r="H1361" i="5"/>
  <c r="H1377" i="5"/>
  <c r="H1411" i="5"/>
  <c r="H1427" i="5"/>
  <c r="H1461" i="5"/>
  <c r="H1477" i="5"/>
  <c r="H1511" i="5"/>
  <c r="H1527" i="5"/>
  <c r="H1561" i="5"/>
  <c r="H1577" i="5"/>
  <c r="H1611" i="5"/>
  <c r="H1627" i="5"/>
  <c r="H1647" i="5"/>
  <c r="H1670" i="5"/>
  <c r="H1715" i="5"/>
  <c r="H1736" i="5"/>
  <c r="H1758" i="5"/>
  <c r="H1781" i="5"/>
  <c r="H1881" i="5"/>
  <c r="H1908" i="5"/>
  <c r="H1937" i="5"/>
  <c r="H1967" i="5"/>
  <c r="H1149" i="5"/>
  <c r="H1159" i="5"/>
  <c r="H1169" i="5"/>
  <c r="H1179" i="5"/>
  <c r="H1189" i="5"/>
  <c r="H1199" i="5"/>
  <c r="H1209" i="5"/>
  <c r="H1219" i="5"/>
  <c r="H1229" i="5"/>
  <c r="H1239" i="5"/>
  <c r="H1249" i="5"/>
  <c r="H1259" i="5"/>
  <c r="H1269" i="5"/>
  <c r="H1279" i="5"/>
  <c r="H1289" i="5"/>
  <c r="H1299" i="5"/>
  <c r="H1309" i="5"/>
  <c r="H1319" i="5"/>
  <c r="H1329" i="5"/>
  <c r="H1339" i="5"/>
  <c r="H1349" i="5"/>
  <c r="H1359" i="5"/>
  <c r="H1369" i="5"/>
  <c r="H1379" i="5"/>
  <c r="H1389" i="5"/>
  <c r="H1399" i="5"/>
  <c r="H1409" i="5"/>
  <c r="H1419" i="5"/>
  <c r="H1429" i="5"/>
  <c r="H1439" i="5"/>
  <c r="H1449" i="5"/>
  <c r="H1459" i="5"/>
  <c r="H1469" i="5"/>
  <c r="H1479" i="5"/>
  <c r="H1489" i="5"/>
  <c r="H1499" i="5"/>
  <c r="H1509" i="5"/>
  <c r="H1519" i="5"/>
  <c r="H1529" i="5"/>
  <c r="H1539" i="5"/>
  <c r="H1549" i="5"/>
  <c r="H1559" i="5"/>
  <c r="H1569" i="5"/>
  <c r="H1579" i="5"/>
  <c r="H1589" i="5"/>
  <c r="H1599" i="5"/>
  <c r="H1609" i="5"/>
  <c r="H1619" i="5"/>
  <c r="H1629" i="5"/>
  <c r="H1639" i="5"/>
  <c r="H1649" i="5"/>
  <c r="H1659" i="5"/>
  <c r="H1669" i="5"/>
  <c r="H1679" i="5"/>
  <c r="H1689" i="5"/>
  <c r="H1699" i="5"/>
  <c r="H1709" i="5"/>
  <c r="H1719" i="5"/>
  <c r="H1729" i="5"/>
  <c r="H1739" i="5"/>
  <c r="H1749" i="5"/>
  <c r="H1759" i="5"/>
  <c r="H1769" i="5"/>
  <c r="H1779" i="5"/>
  <c r="H1789" i="5"/>
  <c r="H1799" i="5"/>
  <c r="H1809" i="5"/>
  <c r="H1819" i="5"/>
  <c r="H1829" i="5"/>
  <c r="H1839" i="5"/>
  <c r="H1849" i="5"/>
  <c r="H1859" i="5"/>
  <c r="H1869" i="5"/>
  <c r="H1879" i="5"/>
  <c r="H1889" i="5"/>
  <c r="H1899" i="5"/>
  <c r="H1909" i="5"/>
  <c r="H1919" i="5"/>
  <c r="H1929" i="5"/>
  <c r="H1939" i="5"/>
  <c r="H1949" i="5"/>
  <c r="H1959" i="5"/>
  <c r="H1969" i="5"/>
  <c r="H1979" i="5"/>
  <c r="H1989" i="5"/>
  <c r="H1999" i="5"/>
  <c r="H1830" i="5"/>
  <c r="H1840" i="5"/>
  <c r="H1850" i="5"/>
  <c r="H1860" i="5"/>
  <c r="H1870" i="5"/>
  <c r="H1880" i="5"/>
  <c r="H1890" i="5"/>
  <c r="H1900" i="5"/>
  <c r="H1910" i="5"/>
  <c r="H1920" i="5"/>
  <c r="H1930" i="5"/>
  <c r="H1940" i="5"/>
  <c r="H1950" i="5"/>
  <c r="H1960" i="5"/>
  <c r="H1970" i="5"/>
  <c r="H1980" i="5"/>
  <c r="H1990" i="5"/>
  <c r="H2000" i="5"/>
  <c r="H1961" i="5"/>
  <c r="H1971" i="5"/>
  <c r="H1981" i="5"/>
  <c r="H1991" i="5"/>
  <c r="H2001" i="5"/>
  <c r="H1152" i="5"/>
  <c r="H1162" i="5"/>
  <c r="H1172" i="5"/>
  <c r="H1182" i="5"/>
  <c r="H1192" i="5"/>
  <c r="H1202" i="5"/>
  <c r="H1212" i="5"/>
  <c r="H1222" i="5"/>
  <c r="H1232" i="5"/>
  <c r="H1242" i="5"/>
  <c r="H1252" i="5"/>
  <c r="H1262" i="5"/>
  <c r="H1272" i="5"/>
  <c r="H1282" i="5"/>
  <c r="H1292" i="5"/>
  <c r="H1302" i="5"/>
  <c r="H1312" i="5"/>
  <c r="H1322" i="5"/>
  <c r="H1332" i="5"/>
  <c r="H1342" i="5"/>
  <c r="H1352" i="5"/>
  <c r="H1362" i="5"/>
  <c r="H1372" i="5"/>
  <c r="H1382" i="5"/>
  <c r="H1392" i="5"/>
  <c r="H1402" i="5"/>
  <c r="H1412" i="5"/>
  <c r="H1422" i="5"/>
  <c r="H1432" i="5"/>
  <c r="H1442" i="5"/>
  <c r="H1452" i="5"/>
  <c r="H1462" i="5"/>
  <c r="H1472" i="5"/>
  <c r="H1482" i="5"/>
  <c r="H1492" i="5"/>
  <c r="H1502" i="5"/>
  <c r="H1512" i="5"/>
  <c r="H1522" i="5"/>
  <c r="H1532" i="5"/>
  <c r="H1542" i="5"/>
  <c r="H1552" i="5"/>
  <c r="H1562" i="5"/>
  <c r="H1572" i="5"/>
  <c r="H1582" i="5"/>
  <c r="H1592" i="5"/>
  <c r="H1602" i="5"/>
  <c r="H1612" i="5"/>
  <c r="H1622" i="5"/>
  <c r="H1632" i="5"/>
  <c r="H1642" i="5"/>
  <c r="H1652" i="5"/>
  <c r="H1662" i="5"/>
  <c r="H1672" i="5"/>
  <c r="H1682" i="5"/>
  <c r="H1692" i="5"/>
  <c r="H1702" i="5"/>
  <c r="H1712" i="5"/>
  <c r="H1722" i="5"/>
  <c r="H1732" i="5"/>
  <c r="H1742" i="5"/>
  <c r="H1752" i="5"/>
  <c r="H1762" i="5"/>
  <c r="H1772" i="5"/>
  <c r="H1782" i="5"/>
  <c r="H1792" i="5"/>
  <c r="H1802" i="5"/>
  <c r="H1812" i="5"/>
  <c r="H1822" i="5"/>
  <c r="H1832" i="5"/>
  <c r="H1842" i="5"/>
  <c r="H1852" i="5"/>
  <c r="H1862" i="5"/>
  <c r="H1872" i="5"/>
  <c r="H1882" i="5"/>
  <c r="H1892" i="5"/>
  <c r="H1902" i="5"/>
  <c r="H1912" i="5"/>
  <c r="H1922" i="5"/>
  <c r="H1932" i="5"/>
  <c r="H1942" i="5"/>
  <c r="H1952" i="5"/>
  <c r="H1962" i="5"/>
  <c r="H1972" i="5"/>
  <c r="H1982" i="5"/>
  <c r="H1992" i="5"/>
  <c r="H2002" i="5"/>
  <c r="H1313" i="5"/>
  <c r="H1323" i="5"/>
  <c r="H1333" i="5"/>
  <c r="H1343" i="5"/>
  <c r="H1353" i="5"/>
  <c r="H1363" i="5"/>
  <c r="H1373" i="5"/>
  <c r="H1383" i="5"/>
  <c r="H1393" i="5"/>
  <c r="H1403" i="5"/>
  <c r="H1413" i="5"/>
  <c r="H1423" i="5"/>
  <c r="H1433" i="5"/>
  <c r="H1443" i="5"/>
  <c r="H1453" i="5"/>
  <c r="H1463" i="5"/>
  <c r="H1473" i="5"/>
  <c r="H1483" i="5"/>
  <c r="H1493" i="5"/>
  <c r="H1503" i="5"/>
  <c r="H1513" i="5"/>
  <c r="H1523" i="5"/>
  <c r="H1533" i="5"/>
  <c r="H1543" i="5"/>
  <c r="H1553" i="5"/>
  <c r="H1563" i="5"/>
  <c r="H1573" i="5"/>
  <c r="H1583" i="5"/>
  <c r="H1593" i="5"/>
  <c r="H1603" i="5"/>
  <c r="H1613" i="5"/>
  <c r="H1623" i="5"/>
  <c r="H1633" i="5"/>
  <c r="H1643" i="5"/>
  <c r="H1653" i="5"/>
  <c r="H1663" i="5"/>
  <c r="H1673" i="5"/>
  <c r="H1683" i="5"/>
  <c r="H1693" i="5"/>
  <c r="H1703" i="5"/>
  <c r="H1713" i="5"/>
  <c r="H1723" i="5"/>
  <c r="H1733" i="5"/>
  <c r="H1743" i="5"/>
  <c r="H1753" i="5"/>
  <c r="H1763" i="5"/>
  <c r="H1773" i="5"/>
  <c r="H1783" i="5"/>
  <c r="H1793" i="5"/>
  <c r="H1803" i="5"/>
  <c r="H1813" i="5"/>
  <c r="H1823" i="5"/>
  <c r="H1833" i="5"/>
  <c r="H1843" i="5"/>
  <c r="H1853" i="5"/>
  <c r="H1863" i="5"/>
  <c r="H1873" i="5"/>
  <c r="H1883" i="5"/>
  <c r="H1893" i="5"/>
  <c r="H1903" i="5"/>
  <c r="H1913" i="5"/>
  <c r="H1923" i="5"/>
  <c r="H1933" i="5"/>
  <c r="H1943" i="5"/>
  <c r="H1953" i="5"/>
  <c r="H1963" i="5"/>
  <c r="H1973" i="5"/>
  <c r="H1983" i="5"/>
  <c r="H1993" i="5"/>
  <c r="H2003" i="5"/>
  <c r="H1154" i="5"/>
  <c r="H1164" i="5"/>
  <c r="H1174" i="5"/>
  <c r="H1184" i="5"/>
  <c r="H1194" i="5"/>
  <c r="H1204" i="5"/>
  <c r="H1214" i="5"/>
  <c r="H1224" i="5"/>
  <c r="H1234" i="5"/>
  <c r="H1244" i="5"/>
  <c r="H1254" i="5"/>
  <c r="H1264" i="5"/>
  <c r="H1274" i="5"/>
  <c r="H1284" i="5"/>
  <c r="H1294" i="5"/>
  <c r="H1304" i="5"/>
  <c r="H1314" i="5"/>
  <c r="H1324" i="5"/>
  <c r="H1334" i="5"/>
  <c r="H1344" i="5"/>
  <c r="H1354" i="5"/>
  <c r="H1364" i="5"/>
  <c r="H1374" i="5"/>
  <c r="H1384" i="5"/>
  <c r="H1394" i="5"/>
  <c r="H1404" i="5"/>
  <c r="H1414" i="5"/>
  <c r="H1424" i="5"/>
  <c r="H1434" i="5"/>
  <c r="H1444" i="5"/>
  <c r="H1454" i="5"/>
  <c r="H1464" i="5"/>
  <c r="H1474" i="5"/>
  <c r="H1484" i="5"/>
  <c r="H1494" i="5"/>
  <c r="H1504" i="5"/>
  <c r="H1514" i="5"/>
  <c r="H1524" i="5"/>
  <c r="H1534" i="5"/>
  <c r="H1544" i="5"/>
  <c r="H1554" i="5"/>
  <c r="H1564" i="5"/>
  <c r="H1574" i="5"/>
  <c r="H1584" i="5"/>
  <c r="H1594" i="5"/>
  <c r="H1604" i="5"/>
  <c r="H1614" i="5"/>
  <c r="H1624" i="5"/>
  <c r="H1634" i="5"/>
  <c r="H1644" i="5"/>
  <c r="H1654" i="5"/>
  <c r="H1664" i="5"/>
  <c r="H1674" i="5"/>
  <c r="H1684" i="5"/>
  <c r="H1694" i="5"/>
  <c r="H1704" i="5"/>
  <c r="H1714" i="5"/>
  <c r="H1724" i="5"/>
  <c r="H1734" i="5"/>
  <c r="H1744" i="5"/>
  <c r="H1754" i="5"/>
  <c r="H1764" i="5"/>
  <c r="H1774" i="5"/>
  <c r="H1784" i="5"/>
  <c r="H1794" i="5"/>
  <c r="H1804" i="5"/>
  <c r="H1814" i="5"/>
  <c r="H1824" i="5"/>
  <c r="H1834" i="5"/>
  <c r="H1844" i="5"/>
  <c r="H1854" i="5"/>
  <c r="H1864" i="5"/>
  <c r="H1874" i="5"/>
  <c r="H1884" i="5"/>
  <c r="H1894" i="5"/>
  <c r="H1904" i="5"/>
  <c r="H1914" i="5"/>
  <c r="H1924" i="5"/>
  <c r="H1934" i="5"/>
  <c r="H1944" i="5"/>
  <c r="H1954" i="5"/>
  <c r="H1964" i="5"/>
  <c r="H1974" i="5"/>
  <c r="H1984" i="5"/>
  <c r="H1994" i="5"/>
  <c r="H2004" i="5"/>
  <c r="I481" i="5"/>
  <c r="I1442" i="5"/>
  <c r="I171" i="5"/>
  <c r="I301" i="5"/>
  <c r="I1093" i="5"/>
  <c r="I102" i="5"/>
  <c r="I112" i="5"/>
  <c r="I122" i="5"/>
  <c r="I132" i="5"/>
  <c r="I142" i="5"/>
  <c r="I152" i="5"/>
  <c r="I162" i="5"/>
  <c r="I172" i="5"/>
  <c r="I182" i="5"/>
  <c r="I192" i="5"/>
  <c r="I202" i="5"/>
  <c r="I212" i="5"/>
  <c r="I222" i="5"/>
  <c r="I232" i="5"/>
  <c r="I242" i="5"/>
  <c r="I252" i="5"/>
  <c r="I262" i="5"/>
  <c r="I272" i="5"/>
  <c r="I282" i="5"/>
  <c r="I292" i="5"/>
  <c r="I302" i="5"/>
  <c r="I312" i="5"/>
  <c r="I322" i="5"/>
  <c r="I332" i="5"/>
  <c r="I342" i="5"/>
  <c r="I366" i="5"/>
  <c r="I395" i="5"/>
  <c r="I438" i="5"/>
  <c r="I498" i="5"/>
  <c r="I513" i="5"/>
  <c r="I529" i="5"/>
  <c r="I545" i="5"/>
  <c r="I563" i="5"/>
  <c r="I582" i="5"/>
  <c r="I601" i="5"/>
  <c r="I675" i="5"/>
  <c r="I702" i="5"/>
  <c r="I877" i="5"/>
  <c r="I920" i="5"/>
  <c r="I959" i="5"/>
  <c r="I1002" i="5"/>
  <c r="I1102" i="5"/>
  <c r="I1146" i="5"/>
  <c r="I1200" i="5"/>
  <c r="I1257" i="5"/>
  <c r="I1541" i="5"/>
  <c r="I1659" i="5"/>
  <c r="I1827" i="5"/>
  <c r="I161" i="5"/>
  <c r="I291" i="5"/>
  <c r="I496" i="5"/>
  <c r="I353" i="5"/>
  <c r="I382" i="5"/>
  <c r="I411" i="5"/>
  <c r="I424" i="5"/>
  <c r="I439" i="5"/>
  <c r="I453" i="5"/>
  <c r="I468" i="5"/>
  <c r="I483" i="5"/>
  <c r="I499" i="5"/>
  <c r="I514" i="5"/>
  <c r="I564" i="5"/>
  <c r="I625" i="5"/>
  <c r="I651" i="5"/>
  <c r="I705" i="5"/>
  <c r="I732" i="5"/>
  <c r="I764" i="5"/>
  <c r="I802" i="5"/>
  <c r="I842" i="5"/>
  <c r="I879" i="5"/>
  <c r="I1054" i="5"/>
  <c r="I1103" i="5"/>
  <c r="I1202" i="5"/>
  <c r="I1319" i="5"/>
  <c r="I1371" i="5"/>
  <c r="I1457" i="5"/>
  <c r="I465" i="5"/>
  <c r="I151" i="5"/>
  <c r="I331" i="5"/>
  <c r="I1249" i="5"/>
  <c r="I1528" i="5"/>
  <c r="I103" i="5"/>
  <c r="I113" i="5"/>
  <c r="I123" i="5"/>
  <c r="I133" i="5"/>
  <c r="I143" i="5"/>
  <c r="I153" i="5"/>
  <c r="I163" i="5"/>
  <c r="I173" i="5"/>
  <c r="I183" i="5"/>
  <c r="I193" i="5"/>
  <c r="I203" i="5"/>
  <c r="I213" i="5"/>
  <c r="I223" i="5"/>
  <c r="I233" i="5"/>
  <c r="I243" i="5"/>
  <c r="I253" i="5"/>
  <c r="I263" i="5"/>
  <c r="I273" i="5"/>
  <c r="I283" i="5"/>
  <c r="I293" i="5"/>
  <c r="I303" i="5"/>
  <c r="I313" i="5"/>
  <c r="I323" i="5"/>
  <c r="I333" i="5"/>
  <c r="I343" i="5"/>
  <c r="I368" i="5"/>
  <c r="I396" i="5"/>
  <c r="I425" i="5"/>
  <c r="I469" i="5"/>
  <c r="I484" i="5"/>
  <c r="I515" i="5"/>
  <c r="I531" i="5"/>
  <c r="I546" i="5"/>
  <c r="I565" i="5"/>
  <c r="I583" i="5"/>
  <c r="I602" i="5"/>
  <c r="I676" i="5"/>
  <c r="I735" i="5"/>
  <c r="I884" i="5"/>
  <c r="I963" i="5"/>
  <c r="I1007" i="5"/>
  <c r="I1155" i="5"/>
  <c r="I1209" i="5"/>
  <c r="I1258" i="5"/>
  <c r="I1377" i="5"/>
  <c r="I1549" i="5"/>
  <c r="I1673" i="5"/>
  <c r="I1845" i="5"/>
  <c r="I191" i="5"/>
  <c r="I341" i="5"/>
  <c r="I543" i="5"/>
  <c r="I1310" i="5"/>
  <c r="I354" i="5"/>
  <c r="I369" i="5"/>
  <c r="I383" i="5"/>
  <c r="I412" i="5"/>
  <c r="I441" i="5"/>
  <c r="I454" i="5"/>
  <c r="I485" i="5"/>
  <c r="I501" i="5"/>
  <c r="I548" i="5"/>
  <c r="I584" i="5"/>
  <c r="I626" i="5"/>
  <c r="I652" i="5"/>
  <c r="I706" i="5"/>
  <c r="I803" i="5"/>
  <c r="I843" i="5"/>
  <c r="I927" i="5"/>
  <c r="I1009" i="5"/>
  <c r="I1058" i="5"/>
  <c r="I1104" i="5"/>
  <c r="I1320" i="5"/>
  <c r="I1464" i="5"/>
  <c r="I1550" i="5"/>
  <c r="I1675" i="5"/>
  <c r="I1850" i="5"/>
  <c r="I351" i="5"/>
  <c r="I596" i="5"/>
  <c r="I241" i="5"/>
  <c r="I1443" i="5"/>
  <c r="I1444" i="5"/>
  <c r="I104" i="5"/>
  <c r="I114" i="5"/>
  <c r="I124" i="5"/>
  <c r="I134" i="5"/>
  <c r="I144" i="5"/>
  <c r="I154" i="5"/>
  <c r="I164" i="5"/>
  <c r="I174" i="5"/>
  <c r="I184" i="5"/>
  <c r="I194" i="5"/>
  <c r="I204" i="5"/>
  <c r="I214" i="5"/>
  <c r="I224" i="5"/>
  <c r="I234" i="5"/>
  <c r="I244" i="5"/>
  <c r="I254" i="5"/>
  <c r="I264" i="5"/>
  <c r="I274" i="5"/>
  <c r="I284" i="5"/>
  <c r="I294" i="5"/>
  <c r="I304" i="5"/>
  <c r="I314" i="5"/>
  <c r="I324" i="5"/>
  <c r="I334" i="5"/>
  <c r="I344" i="5"/>
  <c r="I355" i="5"/>
  <c r="I398" i="5"/>
  <c r="I426" i="5"/>
  <c r="I455" i="5"/>
  <c r="I471" i="5"/>
  <c r="I516" i="5"/>
  <c r="I532" i="5"/>
  <c r="I566" i="5"/>
  <c r="I585" i="5"/>
  <c r="I604" i="5"/>
  <c r="I681" i="5"/>
  <c r="I736" i="5"/>
  <c r="I770" i="5"/>
  <c r="I807" i="5"/>
  <c r="I886" i="5"/>
  <c r="I929" i="5"/>
  <c r="I1110" i="5"/>
  <c r="I1269" i="5"/>
  <c r="I1328" i="5"/>
  <c r="I1467" i="5"/>
  <c r="I1044" i="5"/>
  <c r="I1253" i="5"/>
  <c r="I371" i="5"/>
  <c r="I384" i="5"/>
  <c r="I399" i="5"/>
  <c r="I413" i="5"/>
  <c r="I442" i="5"/>
  <c r="I486" i="5"/>
  <c r="I502" i="5"/>
  <c r="I551" i="5"/>
  <c r="I568" i="5"/>
  <c r="I605" i="5"/>
  <c r="I631" i="5"/>
  <c r="I655" i="5"/>
  <c r="I711" i="5"/>
  <c r="I809" i="5"/>
  <c r="I849" i="5"/>
  <c r="I1059" i="5"/>
  <c r="I1111" i="5"/>
  <c r="I1161" i="5"/>
  <c r="I1212" i="5"/>
  <c r="I1331" i="5"/>
  <c r="I1390" i="5"/>
  <c r="I1693" i="5"/>
  <c r="I1876" i="5"/>
  <c r="I422" i="5"/>
  <c r="I526" i="5"/>
  <c r="I645" i="5"/>
  <c r="I757" i="5"/>
  <c r="I111" i="5"/>
  <c r="I141" i="5"/>
  <c r="I211" i="5"/>
  <c r="I271" i="5"/>
  <c r="I321" i="5"/>
  <c r="I512" i="5"/>
  <c r="I562" i="5"/>
  <c r="I758" i="5"/>
  <c r="I1801" i="5"/>
  <c r="I352" i="5"/>
  <c r="I1370" i="5"/>
  <c r="I105" i="5"/>
  <c r="I115" i="5"/>
  <c r="I125" i="5"/>
  <c r="I135" i="5"/>
  <c r="I145" i="5"/>
  <c r="I155" i="5"/>
  <c r="I165" i="5"/>
  <c r="I175" i="5"/>
  <c r="I185" i="5"/>
  <c r="I195" i="5"/>
  <c r="I205" i="5"/>
  <c r="I215" i="5"/>
  <c r="I225" i="5"/>
  <c r="I235" i="5"/>
  <c r="I245" i="5"/>
  <c r="I255" i="5"/>
  <c r="I265" i="5"/>
  <c r="I275" i="5"/>
  <c r="I285" i="5"/>
  <c r="I295" i="5"/>
  <c r="I305" i="5"/>
  <c r="I315" i="5"/>
  <c r="I325" i="5"/>
  <c r="I335" i="5"/>
  <c r="I345" i="5"/>
  <c r="I356" i="5"/>
  <c r="I385" i="5"/>
  <c r="I428" i="5"/>
  <c r="I456" i="5"/>
  <c r="I472" i="5"/>
  <c r="I518" i="5"/>
  <c r="I533" i="5"/>
  <c r="I586" i="5"/>
  <c r="I682" i="5"/>
  <c r="I741" i="5"/>
  <c r="I776" i="5"/>
  <c r="I930" i="5"/>
  <c r="I972" i="5"/>
  <c r="I1068" i="5"/>
  <c r="I1112" i="5"/>
  <c r="I1162" i="5"/>
  <c r="I1219" i="5"/>
  <c r="I1270" i="5"/>
  <c r="I1478" i="5"/>
  <c r="I872" i="5"/>
  <c r="I914" i="5"/>
  <c r="I372" i="5"/>
  <c r="I401" i="5"/>
  <c r="I414" i="5"/>
  <c r="I429" i="5"/>
  <c r="I443" i="5"/>
  <c r="I488" i="5"/>
  <c r="I503" i="5"/>
  <c r="I519" i="5"/>
  <c r="I534" i="5"/>
  <c r="I552" i="5"/>
  <c r="I571" i="5"/>
  <c r="I588" i="5"/>
  <c r="I606" i="5"/>
  <c r="I632" i="5"/>
  <c r="I656" i="5"/>
  <c r="I685" i="5"/>
  <c r="I712" i="5"/>
  <c r="I814" i="5"/>
  <c r="I850" i="5"/>
  <c r="I892" i="5"/>
  <c r="I1018" i="5"/>
  <c r="I1120" i="5"/>
  <c r="I1332" i="5"/>
  <c r="I1484" i="5"/>
  <c r="I1573" i="5"/>
  <c r="I1893" i="5"/>
  <c r="I956" i="5"/>
  <c r="I96" i="5"/>
  <c r="I106" i="5"/>
  <c r="I116" i="5"/>
  <c r="I126" i="5"/>
  <c r="I136" i="5"/>
  <c r="I146" i="5"/>
  <c r="I156" i="5"/>
  <c r="I166" i="5"/>
  <c r="I176" i="5"/>
  <c r="I186" i="5"/>
  <c r="I196" i="5"/>
  <c r="I206" i="5"/>
  <c r="I216" i="5"/>
  <c r="I226" i="5"/>
  <c r="I236" i="5"/>
  <c r="I246" i="5"/>
  <c r="I256" i="5"/>
  <c r="I266" i="5"/>
  <c r="I276" i="5"/>
  <c r="I286" i="5"/>
  <c r="I296" i="5"/>
  <c r="I306" i="5"/>
  <c r="I316" i="5"/>
  <c r="I326" i="5"/>
  <c r="I336" i="5"/>
  <c r="I346" i="5"/>
  <c r="I358" i="5"/>
  <c r="I386" i="5"/>
  <c r="I415" i="5"/>
  <c r="I458" i="5"/>
  <c r="I473" i="5"/>
  <c r="I489" i="5"/>
  <c r="I504" i="5"/>
  <c r="I535" i="5"/>
  <c r="I715" i="5"/>
  <c r="I742" i="5"/>
  <c r="I777" i="5"/>
  <c r="I856" i="5"/>
  <c r="I934" i="5"/>
  <c r="I1020" i="5"/>
  <c r="I1069" i="5"/>
  <c r="I1121" i="5"/>
  <c r="I1220" i="5"/>
  <c r="I1279" i="5"/>
  <c r="I1486" i="5"/>
  <c r="I993" i="5"/>
  <c r="I359" i="5"/>
  <c r="I373" i="5"/>
  <c r="I402" i="5"/>
  <c r="I431" i="5"/>
  <c r="I444" i="5"/>
  <c r="I459" i="5"/>
  <c r="I474" i="5"/>
  <c r="I505" i="5"/>
  <c r="I521" i="5"/>
  <c r="I553" i="5"/>
  <c r="I572" i="5"/>
  <c r="I591" i="5"/>
  <c r="I611" i="5"/>
  <c r="I635" i="5"/>
  <c r="I661" i="5"/>
  <c r="I686" i="5"/>
  <c r="I745" i="5"/>
  <c r="I778" i="5"/>
  <c r="I816" i="5"/>
  <c r="I977" i="5"/>
  <c r="I1171" i="5"/>
  <c r="I1229" i="5"/>
  <c r="I1337" i="5"/>
  <c r="I1401" i="5"/>
  <c r="I1712" i="5"/>
  <c r="I1903" i="5"/>
  <c r="I261" i="5"/>
  <c r="I97" i="5"/>
  <c r="I107" i="5"/>
  <c r="I117" i="5"/>
  <c r="I127" i="5"/>
  <c r="I137" i="5"/>
  <c r="I147" i="5"/>
  <c r="I157" i="5"/>
  <c r="I167" i="5"/>
  <c r="I177" i="5"/>
  <c r="I187" i="5"/>
  <c r="I197" i="5"/>
  <c r="I207" i="5"/>
  <c r="I217" i="5"/>
  <c r="I227" i="5"/>
  <c r="I237" i="5"/>
  <c r="I247" i="5"/>
  <c r="I257" i="5"/>
  <c r="I267" i="5"/>
  <c r="I277" i="5"/>
  <c r="I287" i="5"/>
  <c r="I297" i="5"/>
  <c r="I307" i="5"/>
  <c r="I317" i="5"/>
  <c r="I327" i="5"/>
  <c r="I337" i="5"/>
  <c r="I347" i="5"/>
  <c r="I388" i="5"/>
  <c r="I416" i="5"/>
  <c r="I445" i="5"/>
  <c r="I475" i="5"/>
  <c r="I491" i="5"/>
  <c r="I536" i="5"/>
  <c r="I554" i="5"/>
  <c r="I716" i="5"/>
  <c r="I857" i="5"/>
  <c r="I900" i="5"/>
  <c r="I942" i="5"/>
  <c r="I979" i="5"/>
  <c r="I1025" i="5"/>
  <c r="I1122" i="5"/>
  <c r="I1339" i="5"/>
  <c r="I1413" i="5"/>
  <c r="I281" i="5"/>
  <c r="I1051" i="5"/>
  <c r="I361" i="5"/>
  <c r="I374" i="5"/>
  <c r="I389" i="5"/>
  <c r="I403" i="5"/>
  <c r="I432" i="5"/>
  <c r="I461" i="5"/>
  <c r="I506" i="5"/>
  <c r="I522" i="5"/>
  <c r="I538" i="5"/>
  <c r="I555" i="5"/>
  <c r="I573" i="5"/>
  <c r="I592" i="5"/>
  <c r="I612" i="5"/>
  <c r="I636" i="5"/>
  <c r="I662" i="5"/>
  <c r="I691" i="5"/>
  <c r="I746" i="5"/>
  <c r="I782" i="5"/>
  <c r="I821" i="5"/>
  <c r="I859" i="5"/>
  <c r="I984" i="5"/>
  <c r="I1077" i="5"/>
  <c r="I1126" i="5"/>
  <c r="I1231" i="5"/>
  <c r="I1289" i="5"/>
  <c r="I1348" i="5"/>
  <c r="I1414" i="5"/>
  <c r="I1595" i="5"/>
  <c r="I1738" i="5"/>
  <c r="I1930" i="5"/>
  <c r="I98" i="5"/>
  <c r="I108" i="5"/>
  <c r="I118" i="5"/>
  <c r="I128" i="5"/>
  <c r="I138" i="5"/>
  <c r="I148" i="5"/>
  <c r="I158" i="5"/>
  <c r="I168" i="5"/>
  <c r="I178" i="5"/>
  <c r="I188" i="5"/>
  <c r="I198" i="5"/>
  <c r="I208" i="5"/>
  <c r="I218" i="5"/>
  <c r="I228" i="5"/>
  <c r="I238" i="5"/>
  <c r="I248" i="5"/>
  <c r="I258" i="5"/>
  <c r="I268" i="5"/>
  <c r="I278" i="5"/>
  <c r="I288" i="5"/>
  <c r="I298" i="5"/>
  <c r="I308" i="5"/>
  <c r="I318" i="5"/>
  <c r="I328" i="5"/>
  <c r="I338" i="5"/>
  <c r="I348" i="5"/>
  <c r="I375" i="5"/>
  <c r="I418" i="5"/>
  <c r="I446" i="5"/>
  <c r="I476" i="5"/>
  <c r="I492" i="5"/>
  <c r="I539" i="5"/>
  <c r="I574" i="5"/>
  <c r="I721" i="5"/>
  <c r="I751" i="5"/>
  <c r="I943" i="5"/>
  <c r="I1291" i="5"/>
  <c r="I1420" i="5"/>
  <c r="I1505" i="5"/>
  <c r="I1601" i="5"/>
  <c r="I1948" i="5"/>
  <c r="I393" i="5"/>
  <c r="I1309" i="5"/>
  <c r="I121" i="5"/>
  <c r="I231" i="5"/>
  <c r="I581" i="5"/>
  <c r="I381" i="5"/>
  <c r="I672" i="5"/>
  <c r="I362" i="5"/>
  <c r="I391" i="5"/>
  <c r="I404" i="5"/>
  <c r="I419" i="5"/>
  <c r="I433" i="5"/>
  <c r="I462" i="5"/>
  <c r="I508" i="5"/>
  <c r="I523" i="5"/>
  <c r="I556" i="5"/>
  <c r="I575" i="5"/>
  <c r="I593" i="5"/>
  <c r="I615" i="5"/>
  <c r="I641" i="5"/>
  <c r="I665" i="5"/>
  <c r="I692" i="5"/>
  <c r="I789" i="5"/>
  <c r="I822" i="5"/>
  <c r="I863" i="5"/>
  <c r="I1035" i="5"/>
  <c r="I1085" i="5"/>
  <c r="I1181" i="5"/>
  <c r="I1237" i="5"/>
  <c r="I1349" i="5"/>
  <c r="I1193" i="5"/>
  <c r="I221" i="5"/>
  <c r="I423" i="5"/>
  <c r="I466" i="5"/>
  <c r="I544" i="5"/>
  <c r="I763" i="5"/>
  <c r="I99" i="5"/>
  <c r="I109" i="5"/>
  <c r="I119" i="5"/>
  <c r="I129" i="5"/>
  <c r="I139" i="5"/>
  <c r="I149" i="5"/>
  <c r="I159" i="5"/>
  <c r="I169" i="5"/>
  <c r="I179" i="5"/>
  <c r="I189" i="5"/>
  <c r="I199" i="5"/>
  <c r="I209" i="5"/>
  <c r="I219" i="5"/>
  <c r="I229" i="5"/>
  <c r="I239" i="5"/>
  <c r="I249" i="5"/>
  <c r="I259" i="5"/>
  <c r="I269" i="5"/>
  <c r="I279" i="5"/>
  <c r="I289" i="5"/>
  <c r="I299" i="5"/>
  <c r="I309" i="5"/>
  <c r="I319" i="5"/>
  <c r="I329" i="5"/>
  <c r="I339" i="5"/>
  <c r="I349" i="5"/>
  <c r="I376" i="5"/>
  <c r="I405" i="5"/>
  <c r="I448" i="5"/>
  <c r="I478" i="5"/>
  <c r="I493" i="5"/>
  <c r="I509" i="5"/>
  <c r="I524" i="5"/>
  <c r="I541" i="5"/>
  <c r="I558" i="5"/>
  <c r="I594" i="5"/>
  <c r="I695" i="5"/>
  <c r="I722" i="5"/>
  <c r="I752" i="5"/>
  <c r="I829" i="5"/>
  <c r="I906" i="5"/>
  <c r="I949" i="5"/>
  <c r="I987" i="5"/>
  <c r="I1087" i="5"/>
  <c r="I1136" i="5"/>
  <c r="I1350" i="5"/>
  <c r="I1422" i="5"/>
  <c r="I1509" i="5"/>
  <c r="I1604" i="5"/>
  <c r="I1759" i="5"/>
  <c r="I379" i="5"/>
  <c r="I1092" i="5"/>
  <c r="I201" i="5"/>
  <c r="I408" i="5"/>
  <c r="I1527" i="5"/>
  <c r="I409" i="5"/>
  <c r="I482" i="5"/>
  <c r="I646" i="5"/>
  <c r="I834" i="5"/>
  <c r="I363" i="5"/>
  <c r="I392" i="5"/>
  <c r="I421" i="5"/>
  <c r="I434" i="5"/>
  <c r="I449" i="5"/>
  <c r="I463" i="5"/>
  <c r="I479" i="5"/>
  <c r="I494" i="5"/>
  <c r="I525" i="5"/>
  <c r="I576" i="5"/>
  <c r="I595" i="5"/>
  <c r="I616" i="5"/>
  <c r="I642" i="5"/>
  <c r="I666" i="5"/>
  <c r="I725" i="5"/>
  <c r="I790" i="5"/>
  <c r="I992" i="5"/>
  <c r="I1036" i="5"/>
  <c r="I1191" i="5"/>
  <c r="I1240" i="5"/>
  <c r="I1298" i="5"/>
  <c r="I1358" i="5"/>
  <c r="I1434" i="5"/>
  <c r="I1626" i="5"/>
  <c r="I1784" i="5"/>
  <c r="I364" i="5"/>
  <c r="I451" i="5"/>
  <c r="I621" i="5"/>
  <c r="I671" i="5"/>
  <c r="I726" i="5"/>
  <c r="I1634" i="5"/>
  <c r="I101" i="5"/>
  <c r="I131" i="5"/>
  <c r="I181" i="5"/>
  <c r="I251" i="5"/>
  <c r="I311" i="5"/>
  <c r="I365" i="5"/>
  <c r="I436" i="5"/>
  <c r="I598" i="5"/>
  <c r="I701" i="5"/>
  <c r="I794" i="5"/>
  <c r="I394" i="5"/>
  <c r="I452" i="5"/>
  <c r="I528" i="5"/>
  <c r="I622" i="5"/>
  <c r="I731" i="5"/>
  <c r="I957" i="5"/>
  <c r="I100" i="5"/>
  <c r="I110" i="5"/>
  <c r="I120" i="5"/>
  <c r="I130" i="5"/>
  <c r="I140" i="5"/>
  <c r="I150" i="5"/>
  <c r="I160" i="5"/>
  <c r="I170" i="5"/>
  <c r="I180" i="5"/>
  <c r="I190" i="5"/>
  <c r="I200" i="5"/>
  <c r="I210" i="5"/>
  <c r="I220" i="5"/>
  <c r="I230" i="5"/>
  <c r="I240" i="5"/>
  <c r="I250" i="5"/>
  <c r="I260" i="5"/>
  <c r="I270" i="5"/>
  <c r="I280" i="5"/>
  <c r="I290" i="5"/>
  <c r="I300" i="5"/>
  <c r="I310" i="5"/>
  <c r="I320" i="5"/>
  <c r="I330" i="5"/>
  <c r="I340" i="5"/>
  <c r="I378" i="5"/>
  <c r="I406" i="5"/>
  <c r="I435" i="5"/>
  <c r="I464" i="5"/>
  <c r="I495" i="5"/>
  <c r="I511" i="5"/>
  <c r="I542" i="5"/>
  <c r="I561" i="5"/>
  <c r="I578" i="5"/>
  <c r="I696" i="5"/>
  <c r="I830" i="5"/>
  <c r="I913" i="5"/>
  <c r="I950" i="5"/>
  <c r="I1043" i="5"/>
  <c r="I1088" i="5"/>
  <c r="I1137" i="5"/>
  <c r="I1522" i="5"/>
  <c r="I1786" i="5"/>
  <c r="I1985" i="5"/>
  <c r="I759" i="5"/>
  <c r="I771" i="5"/>
  <c r="I783" i="5"/>
  <c r="I796" i="5"/>
  <c r="I810" i="5"/>
  <c r="I836" i="5"/>
  <c r="I864" i="5"/>
  <c r="I893" i="5"/>
  <c r="I907" i="5"/>
  <c r="I922" i="5"/>
  <c r="I936" i="5"/>
  <c r="I964" i="5"/>
  <c r="I1010" i="5"/>
  <c r="I1026" i="5"/>
  <c r="I1061" i="5"/>
  <c r="I1113" i="5"/>
  <c r="I1129" i="5"/>
  <c r="I1166" i="5"/>
  <c r="I1182" i="5"/>
  <c r="I1203" i="5"/>
  <c r="I1241" i="5"/>
  <c r="I1280" i="5"/>
  <c r="I1300" i="5"/>
  <c r="I1321" i="5"/>
  <c r="I1341" i="5"/>
  <c r="I1360" i="5"/>
  <c r="I1380" i="5"/>
  <c r="I1425" i="5"/>
  <c r="I1445" i="5"/>
  <c r="I1487" i="5"/>
  <c r="I1552" i="5"/>
  <c r="I1579" i="5"/>
  <c r="I1606" i="5"/>
  <c r="I1642" i="5"/>
  <c r="I1676" i="5"/>
  <c r="I1713" i="5"/>
  <c r="I1852" i="5"/>
  <c r="I357" i="5"/>
  <c r="I367" i="5"/>
  <c r="I377" i="5"/>
  <c r="I387" i="5"/>
  <c r="I397" i="5"/>
  <c r="I407" i="5"/>
  <c r="I417" i="5"/>
  <c r="I427" i="5"/>
  <c r="I437" i="5"/>
  <c r="I447" i="5"/>
  <c r="I457" i="5"/>
  <c r="I467" i="5"/>
  <c r="I477" i="5"/>
  <c r="I487" i="5"/>
  <c r="I497" i="5"/>
  <c r="I507" i="5"/>
  <c r="I517" i="5"/>
  <c r="I527" i="5"/>
  <c r="I537" i="5"/>
  <c r="I547" i="5"/>
  <c r="I557" i="5"/>
  <c r="I567" i="5"/>
  <c r="I577" i="5"/>
  <c r="I587" i="5"/>
  <c r="I597" i="5"/>
  <c r="I607" i="5"/>
  <c r="I617" i="5"/>
  <c r="I627" i="5"/>
  <c r="I637" i="5"/>
  <c r="I647" i="5"/>
  <c r="I657" i="5"/>
  <c r="I667" i="5"/>
  <c r="I677" i="5"/>
  <c r="I687" i="5"/>
  <c r="I697" i="5"/>
  <c r="I707" i="5"/>
  <c r="I717" i="5"/>
  <c r="I727" i="5"/>
  <c r="I737" i="5"/>
  <c r="I747" i="5"/>
  <c r="I823" i="5"/>
  <c r="I880" i="5"/>
  <c r="I909" i="5"/>
  <c r="I980" i="5"/>
  <c r="I994" i="5"/>
  <c r="I1011" i="5"/>
  <c r="I1062" i="5"/>
  <c r="I1079" i="5"/>
  <c r="I1096" i="5"/>
  <c r="I1147" i="5"/>
  <c r="I1221" i="5"/>
  <c r="I1260" i="5"/>
  <c r="I1281" i="5"/>
  <c r="I1301" i="5"/>
  <c r="I1361" i="5"/>
  <c r="I1382" i="5"/>
  <c r="I1402" i="5"/>
  <c r="I1468" i="5"/>
  <c r="I1531" i="5"/>
  <c r="I1644" i="5"/>
  <c r="I1678" i="5"/>
  <c r="I1760" i="5"/>
  <c r="I1808" i="5"/>
  <c r="I1904" i="5"/>
  <c r="I1959" i="5"/>
  <c r="I748" i="5"/>
  <c r="I760" i="5"/>
  <c r="I772" i="5"/>
  <c r="I784" i="5"/>
  <c r="I797" i="5"/>
  <c r="I811" i="5"/>
  <c r="I837" i="5"/>
  <c r="I852" i="5"/>
  <c r="I866" i="5"/>
  <c r="I894" i="5"/>
  <c r="I923" i="5"/>
  <c r="I937" i="5"/>
  <c r="I952" i="5"/>
  <c r="I966" i="5"/>
  <c r="I1012" i="5"/>
  <c r="I1046" i="5"/>
  <c r="I1063" i="5"/>
  <c r="I1098" i="5"/>
  <c r="I1114" i="5"/>
  <c r="I1132" i="5"/>
  <c r="I1167" i="5"/>
  <c r="I1184" i="5"/>
  <c r="I1204" i="5"/>
  <c r="I1223" i="5"/>
  <c r="I1243" i="5"/>
  <c r="I1322" i="5"/>
  <c r="I1344" i="5"/>
  <c r="I1403" i="5"/>
  <c r="I1426" i="5"/>
  <c r="I1446" i="5"/>
  <c r="I1533" i="5"/>
  <c r="I1611" i="5"/>
  <c r="I1645" i="5"/>
  <c r="I1909" i="5"/>
  <c r="I608" i="5"/>
  <c r="I618" i="5"/>
  <c r="I628" i="5"/>
  <c r="I638" i="5"/>
  <c r="I648" i="5"/>
  <c r="I658" i="5"/>
  <c r="I668" i="5"/>
  <c r="I678" i="5"/>
  <c r="I688" i="5"/>
  <c r="I698" i="5"/>
  <c r="I708" i="5"/>
  <c r="I718" i="5"/>
  <c r="I728" i="5"/>
  <c r="I738" i="5"/>
  <c r="I799" i="5"/>
  <c r="I824" i="5"/>
  <c r="I839" i="5"/>
  <c r="I910" i="5"/>
  <c r="I939" i="5"/>
  <c r="I1013" i="5"/>
  <c r="I1029" i="5"/>
  <c r="I1065" i="5"/>
  <c r="I1080" i="5"/>
  <c r="I1133" i="5"/>
  <c r="I1148" i="5"/>
  <c r="I1206" i="5"/>
  <c r="I1224" i="5"/>
  <c r="I1282" i="5"/>
  <c r="I1304" i="5"/>
  <c r="I1323" i="5"/>
  <c r="I1345" i="5"/>
  <c r="I1384" i="5"/>
  <c r="I1512" i="5"/>
  <c r="I1556" i="5"/>
  <c r="I1646" i="5"/>
  <c r="I1722" i="5"/>
  <c r="I1811" i="5"/>
  <c r="I1859" i="5"/>
  <c r="I1911" i="5"/>
  <c r="I1965" i="5"/>
  <c r="I749" i="5"/>
  <c r="I761" i="5"/>
  <c r="I773" i="5"/>
  <c r="I786" i="5"/>
  <c r="I812" i="5"/>
  <c r="I853" i="5"/>
  <c r="I867" i="5"/>
  <c r="I882" i="5"/>
  <c r="I896" i="5"/>
  <c r="I924" i="5"/>
  <c r="I953" i="5"/>
  <c r="I967" i="5"/>
  <c r="I982" i="5"/>
  <c r="I997" i="5"/>
  <c r="I1047" i="5"/>
  <c r="I1081" i="5"/>
  <c r="I1099" i="5"/>
  <c r="I1115" i="5"/>
  <c r="I1225" i="5"/>
  <c r="I1244" i="5"/>
  <c r="I1266" i="5"/>
  <c r="I1305" i="5"/>
  <c r="I1364" i="5"/>
  <c r="I1386" i="5"/>
  <c r="I1406" i="5"/>
  <c r="I1428" i="5"/>
  <c r="I1470" i="5"/>
  <c r="I1491" i="5"/>
  <c r="I1513" i="5"/>
  <c r="I1536" i="5"/>
  <c r="I1612" i="5"/>
  <c r="I1648" i="5"/>
  <c r="I1681" i="5"/>
  <c r="I1723" i="5"/>
  <c r="I1816" i="5"/>
  <c r="I1861" i="5"/>
  <c r="I1967" i="5"/>
  <c r="I549" i="5"/>
  <c r="I559" i="5"/>
  <c r="I569" i="5"/>
  <c r="I579" i="5"/>
  <c r="I589" i="5"/>
  <c r="I599" i="5"/>
  <c r="I609" i="5"/>
  <c r="I619" i="5"/>
  <c r="I629" i="5"/>
  <c r="I639" i="5"/>
  <c r="I649" i="5"/>
  <c r="I659" i="5"/>
  <c r="I669" i="5"/>
  <c r="I679" i="5"/>
  <c r="I689" i="5"/>
  <c r="I699" i="5"/>
  <c r="I709" i="5"/>
  <c r="I719" i="5"/>
  <c r="I729" i="5"/>
  <c r="I739" i="5"/>
  <c r="I800" i="5"/>
  <c r="I826" i="5"/>
  <c r="I840" i="5"/>
  <c r="I869" i="5"/>
  <c r="I940" i="5"/>
  <c r="I969" i="5"/>
  <c r="I999" i="5"/>
  <c r="I1014" i="5"/>
  <c r="I1032" i="5"/>
  <c r="I1066" i="5"/>
  <c r="I1151" i="5"/>
  <c r="I1169" i="5"/>
  <c r="I1188" i="5"/>
  <c r="I1207" i="5"/>
  <c r="I1227" i="5"/>
  <c r="I1245" i="5"/>
  <c r="I1284" i="5"/>
  <c r="I1306" i="5"/>
  <c r="I1324" i="5"/>
  <c r="I1346" i="5"/>
  <c r="I1366" i="5"/>
  <c r="I1387" i="5"/>
  <c r="I1408" i="5"/>
  <c r="I1449" i="5"/>
  <c r="I1557" i="5"/>
  <c r="I1584" i="5"/>
  <c r="I1614" i="5"/>
  <c r="I1727" i="5"/>
  <c r="I1770" i="5"/>
  <c r="I1817" i="5"/>
  <c r="I1915" i="5"/>
  <c r="I750" i="5"/>
  <c r="I762" i="5"/>
  <c r="I774" i="5"/>
  <c r="I787" i="5"/>
  <c r="I813" i="5"/>
  <c r="I854" i="5"/>
  <c r="I883" i="5"/>
  <c r="I897" i="5"/>
  <c r="I912" i="5"/>
  <c r="I926" i="5"/>
  <c r="I954" i="5"/>
  <c r="I983" i="5"/>
  <c r="I1033" i="5"/>
  <c r="I1048" i="5"/>
  <c r="I1101" i="5"/>
  <c r="I1135" i="5"/>
  <c r="I1190" i="5"/>
  <c r="I1208" i="5"/>
  <c r="I1228" i="5"/>
  <c r="I1267" i="5"/>
  <c r="I1286" i="5"/>
  <c r="I1326" i="5"/>
  <c r="I1347" i="5"/>
  <c r="I1367" i="5"/>
  <c r="I1430" i="5"/>
  <c r="I1453" i="5"/>
  <c r="I1471" i="5"/>
  <c r="I1495" i="5"/>
  <c r="I1514" i="5"/>
  <c r="I1537" i="5"/>
  <c r="I1586" i="5"/>
  <c r="I1616" i="5"/>
  <c r="I1649" i="5"/>
  <c r="I1728" i="5"/>
  <c r="I1920" i="5"/>
  <c r="I1970" i="5"/>
  <c r="I350" i="5"/>
  <c r="I360" i="5"/>
  <c r="I370" i="5"/>
  <c r="I380" i="5"/>
  <c r="I390" i="5"/>
  <c r="I400" i="5"/>
  <c r="I410" i="5"/>
  <c r="I420" i="5"/>
  <c r="I430" i="5"/>
  <c r="I440" i="5"/>
  <c r="I450" i="5"/>
  <c r="I460" i="5"/>
  <c r="I470" i="5"/>
  <c r="I480" i="5"/>
  <c r="I490" i="5"/>
  <c r="I500" i="5"/>
  <c r="I510" i="5"/>
  <c r="I520" i="5"/>
  <c r="I530" i="5"/>
  <c r="I540" i="5"/>
  <c r="I550" i="5"/>
  <c r="I560" i="5"/>
  <c r="I570" i="5"/>
  <c r="I580" i="5"/>
  <c r="I590" i="5"/>
  <c r="I600" i="5"/>
  <c r="I610" i="5"/>
  <c r="I620" i="5"/>
  <c r="I630" i="5"/>
  <c r="I640" i="5"/>
  <c r="I650" i="5"/>
  <c r="I660" i="5"/>
  <c r="I670" i="5"/>
  <c r="I680" i="5"/>
  <c r="I690" i="5"/>
  <c r="I700" i="5"/>
  <c r="I710" i="5"/>
  <c r="I720" i="5"/>
  <c r="I730" i="5"/>
  <c r="I740" i="5"/>
  <c r="I788" i="5"/>
  <c r="I801" i="5"/>
  <c r="I827" i="5"/>
  <c r="I870" i="5"/>
  <c r="I899" i="5"/>
  <c r="I970" i="5"/>
  <c r="I1000" i="5"/>
  <c r="I1015" i="5"/>
  <c r="I1118" i="5"/>
  <c r="I1154" i="5"/>
  <c r="I1170" i="5"/>
  <c r="I1246" i="5"/>
  <c r="I1327" i="5"/>
  <c r="I1411" i="5"/>
  <c r="I1472" i="5"/>
  <c r="I1515" i="5"/>
  <c r="I1617" i="5"/>
  <c r="I1652" i="5"/>
  <c r="I1690" i="5"/>
  <c r="I1776" i="5"/>
  <c r="I1823" i="5"/>
  <c r="I1922" i="5"/>
  <c r="I1976" i="5"/>
  <c r="I1389" i="5"/>
  <c r="I1431" i="5"/>
  <c r="I1454" i="5"/>
  <c r="I1473" i="5"/>
  <c r="I1497" i="5"/>
  <c r="I1517" i="5"/>
  <c r="I1539" i="5"/>
  <c r="I1564" i="5"/>
  <c r="I1589" i="5"/>
  <c r="I1731" i="5"/>
  <c r="I1824" i="5"/>
  <c r="I1875" i="5"/>
  <c r="I1923" i="5"/>
  <c r="I1978" i="5"/>
  <c r="I1412" i="5"/>
  <c r="I1476" i="5"/>
  <c r="I1498" i="5"/>
  <c r="I1519" i="5"/>
  <c r="I1565" i="5"/>
  <c r="I1590" i="5"/>
  <c r="I1620" i="5"/>
  <c r="I1737" i="5"/>
  <c r="I1779" i="5"/>
  <c r="I1928" i="5"/>
  <c r="I753" i="5"/>
  <c r="I766" i="5"/>
  <c r="I779" i="5"/>
  <c r="I791" i="5"/>
  <c r="I817" i="5"/>
  <c r="I831" i="5"/>
  <c r="I844" i="5"/>
  <c r="I873" i="5"/>
  <c r="I887" i="5"/>
  <c r="I902" i="5"/>
  <c r="I916" i="5"/>
  <c r="I944" i="5"/>
  <c r="I973" i="5"/>
  <c r="I989" i="5"/>
  <c r="I1003" i="5"/>
  <c r="I1021" i="5"/>
  <c r="I1055" i="5"/>
  <c r="I1070" i="5"/>
  <c r="I1157" i="5"/>
  <c r="I1176" i="5"/>
  <c r="I1195" i="5"/>
  <c r="I1215" i="5"/>
  <c r="I1232" i="5"/>
  <c r="I1292" i="5"/>
  <c r="I1311" i="5"/>
  <c r="I1333" i="5"/>
  <c r="I1353" i="5"/>
  <c r="I1373" i="5"/>
  <c r="I1393" i="5"/>
  <c r="I1415" i="5"/>
  <c r="I1436" i="5"/>
  <c r="I1480" i="5"/>
  <c r="I1500" i="5"/>
  <c r="I1523" i="5"/>
  <c r="I1542" i="5"/>
  <c r="I1627" i="5"/>
  <c r="I1661" i="5"/>
  <c r="I1697" i="5"/>
  <c r="I1744" i="5"/>
  <c r="I1834" i="5"/>
  <c r="I1884" i="5"/>
  <c r="I603" i="5"/>
  <c r="I613" i="5"/>
  <c r="I623" i="5"/>
  <c r="I633" i="5"/>
  <c r="I643" i="5"/>
  <c r="I653" i="5"/>
  <c r="I663" i="5"/>
  <c r="I673" i="5"/>
  <c r="I683" i="5"/>
  <c r="I693" i="5"/>
  <c r="I703" i="5"/>
  <c r="I713" i="5"/>
  <c r="I723" i="5"/>
  <c r="I733" i="5"/>
  <c r="I743" i="5"/>
  <c r="I804" i="5"/>
  <c r="I819" i="5"/>
  <c r="I860" i="5"/>
  <c r="I889" i="5"/>
  <c r="I960" i="5"/>
  <c r="I1037" i="5"/>
  <c r="I1072" i="5"/>
  <c r="I1124" i="5"/>
  <c r="I1140" i="5"/>
  <c r="I1178" i="5"/>
  <c r="I1233" i="5"/>
  <c r="I1254" i="5"/>
  <c r="I1271" i="5"/>
  <c r="I1293" i="5"/>
  <c r="I1313" i="5"/>
  <c r="I1334" i="5"/>
  <c r="I1354" i="5"/>
  <c r="I1375" i="5"/>
  <c r="I1438" i="5"/>
  <c r="I1458" i="5"/>
  <c r="I1543" i="5"/>
  <c r="I1597" i="5"/>
  <c r="I1628" i="5"/>
  <c r="I1664" i="5"/>
  <c r="I1745" i="5"/>
  <c r="I1886" i="5"/>
  <c r="I1939" i="5"/>
  <c r="I754" i="5"/>
  <c r="I767" i="5"/>
  <c r="I780" i="5"/>
  <c r="I792" i="5"/>
  <c r="I832" i="5"/>
  <c r="I846" i="5"/>
  <c r="I874" i="5"/>
  <c r="I903" i="5"/>
  <c r="I917" i="5"/>
  <c r="I932" i="5"/>
  <c r="I946" i="5"/>
  <c r="I974" i="5"/>
  <c r="I990" i="5"/>
  <c r="I1004" i="5"/>
  <c r="I1022" i="5"/>
  <c r="I1090" i="5"/>
  <c r="I1107" i="5"/>
  <c r="I1143" i="5"/>
  <c r="I1158" i="5"/>
  <c r="I1196" i="5"/>
  <c r="I1216" i="5"/>
  <c r="I1255" i="5"/>
  <c r="I1275" i="5"/>
  <c r="I1295" i="5"/>
  <c r="I1314" i="5"/>
  <c r="I1335" i="5"/>
  <c r="I1355" i="5"/>
  <c r="I1416" i="5"/>
  <c r="I1439" i="5"/>
  <c r="I1481" i="5"/>
  <c r="I1501" i="5"/>
  <c r="I1524" i="5"/>
  <c r="I1598" i="5"/>
  <c r="I1630" i="5"/>
  <c r="I1665" i="5"/>
  <c r="I1700" i="5"/>
  <c r="I1996" i="5"/>
  <c r="I614" i="5"/>
  <c r="I624" i="5"/>
  <c r="I634" i="5"/>
  <c r="I644" i="5"/>
  <c r="I654" i="5"/>
  <c r="I664" i="5"/>
  <c r="I674" i="5"/>
  <c r="I684" i="5"/>
  <c r="I694" i="5"/>
  <c r="I704" i="5"/>
  <c r="I714" i="5"/>
  <c r="I724" i="5"/>
  <c r="I734" i="5"/>
  <c r="I744" i="5"/>
  <c r="I768" i="5"/>
  <c r="I806" i="5"/>
  <c r="I820" i="5"/>
  <c r="I890" i="5"/>
  <c r="I919" i="5"/>
  <c r="I1057" i="5"/>
  <c r="I1074" i="5"/>
  <c r="I1091" i="5"/>
  <c r="I1109" i="5"/>
  <c r="I1125" i="5"/>
  <c r="I1179" i="5"/>
  <c r="I1197" i="5"/>
  <c r="I1217" i="5"/>
  <c r="I1256" i="5"/>
  <c r="I1276" i="5"/>
  <c r="I1315" i="5"/>
  <c r="I1357" i="5"/>
  <c r="I1376" i="5"/>
  <c r="I1398" i="5"/>
  <c r="I1417" i="5"/>
  <c r="I1459" i="5"/>
  <c r="I1503" i="5"/>
  <c r="I1570" i="5"/>
  <c r="I1600" i="5"/>
  <c r="I1633" i="5"/>
  <c r="I1705" i="5"/>
  <c r="I1792" i="5"/>
  <c r="I1841" i="5"/>
  <c r="I1941" i="5"/>
  <c r="I756" i="5"/>
  <c r="I769" i="5"/>
  <c r="I781" i="5"/>
  <c r="I793" i="5"/>
  <c r="I833" i="5"/>
  <c r="I847" i="5"/>
  <c r="I862" i="5"/>
  <c r="I876" i="5"/>
  <c r="I904" i="5"/>
  <c r="I933" i="5"/>
  <c r="I947" i="5"/>
  <c r="I962" i="5"/>
  <c r="I976" i="5"/>
  <c r="I1024" i="5"/>
  <c r="I1040" i="5"/>
  <c r="I1076" i="5"/>
  <c r="I1144" i="5"/>
  <c r="I1159" i="5"/>
  <c r="I1218" i="5"/>
  <c r="I1297" i="5"/>
  <c r="I1336" i="5"/>
  <c r="I1441" i="5"/>
  <c r="I1461" i="5"/>
  <c r="I1504" i="5"/>
  <c r="I1526" i="5"/>
  <c r="I1547" i="5"/>
  <c r="I1668" i="5"/>
  <c r="I1706" i="5"/>
  <c r="I1753" i="5"/>
  <c r="I1795" i="5"/>
  <c r="I1892" i="5"/>
  <c r="I1998" i="5"/>
  <c r="I1071" i="5"/>
  <c r="I1082" i="5"/>
  <c r="I1172" i="5"/>
  <c r="I1185" i="5"/>
  <c r="I1234" i="5"/>
  <c r="I1259" i="5"/>
  <c r="I1272" i="5"/>
  <c r="I1299" i="5"/>
  <c r="I1325" i="5"/>
  <c r="I1365" i="5"/>
  <c r="I1404" i="5"/>
  <c r="I1419" i="5"/>
  <c r="I1433" i="5"/>
  <c r="I1475" i="5"/>
  <c r="I1530" i="5"/>
  <c r="I1544" i="5"/>
  <c r="I1571" i="5"/>
  <c r="I1587" i="5"/>
  <c r="I1603" i="5"/>
  <c r="I1619" i="5"/>
  <c r="I1635" i="5"/>
  <c r="I1650" i="5"/>
  <c r="I1667" i="5"/>
  <c r="I1698" i="5"/>
  <c r="I1714" i="5"/>
  <c r="I1730" i="5"/>
  <c r="I1746" i="5"/>
  <c r="I1761" i="5"/>
  <c r="I1778" i="5"/>
  <c r="I1793" i="5"/>
  <c r="I1809" i="5"/>
  <c r="I1826" i="5"/>
  <c r="I1842" i="5"/>
  <c r="I1913" i="5"/>
  <c r="I1949" i="5"/>
  <c r="I1987" i="5"/>
  <c r="I755" i="5"/>
  <c r="I765" i="5"/>
  <c r="I775" i="5"/>
  <c r="I785" i="5"/>
  <c r="I795" i="5"/>
  <c r="I805" i="5"/>
  <c r="I815" i="5"/>
  <c r="I825" i="5"/>
  <c r="I835" i="5"/>
  <c r="I845" i="5"/>
  <c r="I855" i="5"/>
  <c r="I865" i="5"/>
  <c r="I875" i="5"/>
  <c r="I885" i="5"/>
  <c r="I895" i="5"/>
  <c r="I905" i="5"/>
  <c r="I915" i="5"/>
  <c r="I925" i="5"/>
  <c r="I935" i="5"/>
  <c r="I945" i="5"/>
  <c r="I955" i="5"/>
  <c r="I965" i="5"/>
  <c r="I975" i="5"/>
  <c r="I985" i="5"/>
  <c r="I995" i="5"/>
  <c r="I1005" i="5"/>
  <c r="I1016" i="5"/>
  <c r="I1027" i="5"/>
  <c r="I1038" i="5"/>
  <c r="I1049" i="5"/>
  <c r="I1060" i="5"/>
  <c r="I1083" i="5"/>
  <c r="I1094" i="5"/>
  <c r="I1105" i="5"/>
  <c r="I1116" i="5"/>
  <c r="I1127" i="5"/>
  <c r="I1138" i="5"/>
  <c r="I1149" i="5"/>
  <c r="I1160" i="5"/>
  <c r="I1173" i="5"/>
  <c r="I1186" i="5"/>
  <c r="I1198" i="5"/>
  <c r="I1210" i="5"/>
  <c r="I1222" i="5"/>
  <c r="I1235" i="5"/>
  <c r="I1247" i="5"/>
  <c r="I1273" i="5"/>
  <c r="I1287" i="5"/>
  <c r="I1312" i="5"/>
  <c r="I1338" i="5"/>
  <c r="I1352" i="5"/>
  <c r="I1378" i="5"/>
  <c r="I1391" i="5"/>
  <c r="I1405" i="5"/>
  <c r="I1447" i="5"/>
  <c r="I1460" i="5"/>
  <c r="I1489" i="5"/>
  <c r="I1502" i="5"/>
  <c r="I1516" i="5"/>
  <c r="I1545" i="5"/>
  <c r="I1558" i="5"/>
  <c r="I1572" i="5"/>
  <c r="I1682" i="5"/>
  <c r="I1715" i="5"/>
  <c r="I1844" i="5"/>
  <c r="I1860" i="5"/>
  <c r="I1878" i="5"/>
  <c r="I1895" i="5"/>
  <c r="I1914" i="5"/>
  <c r="I1931" i="5"/>
  <c r="I1950" i="5"/>
  <c r="I986" i="5"/>
  <c r="I996" i="5"/>
  <c r="I1006" i="5"/>
  <c r="I1017" i="5"/>
  <c r="I1028" i="5"/>
  <c r="I1039" i="5"/>
  <c r="I1050" i="5"/>
  <c r="I1073" i="5"/>
  <c r="I1084" i="5"/>
  <c r="I1095" i="5"/>
  <c r="I1106" i="5"/>
  <c r="I1117" i="5"/>
  <c r="I1128" i="5"/>
  <c r="I1139" i="5"/>
  <c r="I1150" i="5"/>
  <c r="I1175" i="5"/>
  <c r="I1187" i="5"/>
  <c r="I1199" i="5"/>
  <c r="I1211" i="5"/>
  <c r="I1236" i="5"/>
  <c r="I1248" i="5"/>
  <c r="I1261" i="5"/>
  <c r="I1288" i="5"/>
  <c r="I1379" i="5"/>
  <c r="I1392" i="5"/>
  <c r="I1435" i="5"/>
  <c r="I1448" i="5"/>
  <c r="I1490" i="5"/>
  <c r="I1546" i="5"/>
  <c r="I1559" i="5"/>
  <c r="I1575" i="5"/>
  <c r="I1605" i="5"/>
  <c r="I1637" i="5"/>
  <c r="I1653" i="5"/>
  <c r="I1684" i="5"/>
  <c r="I1716" i="5"/>
  <c r="I1733" i="5"/>
  <c r="I1748" i="5"/>
  <c r="I1764" i="5"/>
  <c r="I1828" i="5"/>
  <c r="I1897" i="5"/>
  <c r="I1934" i="5"/>
  <c r="I1952" i="5"/>
  <c r="I1990" i="5"/>
  <c r="I1622" i="5"/>
  <c r="I1686" i="5"/>
  <c r="I1701" i="5"/>
  <c r="I1717" i="5"/>
  <c r="I1765" i="5"/>
  <c r="I1797" i="5"/>
  <c r="I1812" i="5"/>
  <c r="I1916" i="5"/>
  <c r="I1953" i="5"/>
  <c r="I1971" i="5"/>
  <c r="I1991" i="5"/>
  <c r="I1560" i="5"/>
  <c r="I1576" i="5"/>
  <c r="I1623" i="5"/>
  <c r="I1638" i="5"/>
  <c r="I1670" i="5"/>
  <c r="I1734" i="5"/>
  <c r="I1749" i="5"/>
  <c r="I1781" i="5"/>
  <c r="I1813" i="5"/>
  <c r="I1830" i="5"/>
  <c r="I1864" i="5"/>
  <c r="I1881" i="5"/>
  <c r="I1898" i="5"/>
  <c r="I1917" i="5"/>
  <c r="I1972" i="5"/>
  <c r="I1992" i="5"/>
  <c r="I1041" i="5"/>
  <c r="I1052" i="5"/>
  <c r="I1141" i="5"/>
  <c r="I1152" i="5"/>
  <c r="I1164" i="5"/>
  <c r="I1213" i="5"/>
  <c r="I1250" i="5"/>
  <c r="I1264" i="5"/>
  <c r="I1277" i="5"/>
  <c r="I1302" i="5"/>
  <c r="I1342" i="5"/>
  <c r="I1368" i="5"/>
  <c r="I1395" i="5"/>
  <c r="I1409" i="5"/>
  <c r="I1423" i="5"/>
  <c r="I1450" i="5"/>
  <c r="I1465" i="5"/>
  <c r="I1506" i="5"/>
  <c r="I1520" i="5"/>
  <c r="I1534" i="5"/>
  <c r="I1561" i="5"/>
  <c r="I1608" i="5"/>
  <c r="I1639" i="5"/>
  <c r="I1656" i="5"/>
  <c r="I1687" i="5"/>
  <c r="I1703" i="5"/>
  <c r="I1719" i="5"/>
  <c r="I1735" i="5"/>
  <c r="I1750" i="5"/>
  <c r="I1767" i="5"/>
  <c r="I1798" i="5"/>
  <c r="I1814" i="5"/>
  <c r="I1848" i="5"/>
  <c r="I1865" i="5"/>
  <c r="I1900" i="5"/>
  <c r="I1937" i="5"/>
  <c r="I1956" i="5"/>
  <c r="I1973" i="5"/>
  <c r="I1993" i="5"/>
  <c r="I798" i="5"/>
  <c r="I808" i="5"/>
  <c r="I818" i="5"/>
  <c r="I828" i="5"/>
  <c r="I838" i="5"/>
  <c r="I848" i="5"/>
  <c r="I858" i="5"/>
  <c r="I868" i="5"/>
  <c r="I878" i="5"/>
  <c r="I888" i="5"/>
  <c r="I898" i="5"/>
  <c r="I908" i="5"/>
  <c r="I918" i="5"/>
  <c r="I928" i="5"/>
  <c r="I938" i="5"/>
  <c r="I948" i="5"/>
  <c r="I958" i="5"/>
  <c r="I968" i="5"/>
  <c r="I978" i="5"/>
  <c r="I988" i="5"/>
  <c r="I998" i="5"/>
  <c r="I1008" i="5"/>
  <c r="I1019" i="5"/>
  <c r="I1030" i="5"/>
  <c r="I1053" i="5"/>
  <c r="I1064" i="5"/>
  <c r="I1075" i="5"/>
  <c r="I1086" i="5"/>
  <c r="I1097" i="5"/>
  <c r="I1108" i="5"/>
  <c r="I1119" i="5"/>
  <c r="I1130" i="5"/>
  <c r="I1153" i="5"/>
  <c r="I1165" i="5"/>
  <c r="I1177" i="5"/>
  <c r="I1189" i="5"/>
  <c r="I1201" i="5"/>
  <c r="I1226" i="5"/>
  <c r="I1238" i="5"/>
  <c r="I1265" i="5"/>
  <c r="I1290" i="5"/>
  <c r="I1303" i="5"/>
  <c r="I1316" i="5"/>
  <c r="I1330" i="5"/>
  <c r="I1343" i="5"/>
  <c r="I1356" i="5"/>
  <c r="I1381" i="5"/>
  <c r="I1437" i="5"/>
  <c r="I1479" i="5"/>
  <c r="I1492" i="5"/>
  <c r="I1535" i="5"/>
  <c r="I1548" i="5"/>
  <c r="I1592" i="5"/>
  <c r="I1624" i="5"/>
  <c r="I1671" i="5"/>
  <c r="I1782" i="5"/>
  <c r="I1815" i="5"/>
  <c r="I1831" i="5"/>
  <c r="I1882" i="5"/>
  <c r="I1919" i="5"/>
  <c r="I1975" i="5"/>
  <c r="I1031" i="5"/>
  <c r="I1042" i="5"/>
  <c r="I1131" i="5"/>
  <c r="I1142" i="5"/>
  <c r="I1214" i="5"/>
  <c r="I1239" i="5"/>
  <c r="I1252" i="5"/>
  <c r="I1278" i="5"/>
  <c r="I1317" i="5"/>
  <c r="I1369" i="5"/>
  <c r="I1397" i="5"/>
  <c r="I1424" i="5"/>
  <c r="I1452" i="5"/>
  <c r="I1493" i="5"/>
  <c r="I1508" i="5"/>
  <c r="I1578" i="5"/>
  <c r="I1593" i="5"/>
  <c r="I1609" i="5"/>
  <c r="I1641" i="5"/>
  <c r="I1657" i="5"/>
  <c r="I1672" i="5"/>
  <c r="I1689" i="5"/>
  <c r="I1704" i="5"/>
  <c r="I1720" i="5"/>
  <c r="I1752" i="5"/>
  <c r="I1768" i="5"/>
  <c r="I1800" i="5"/>
  <c r="I1833" i="5"/>
  <c r="I1849" i="5"/>
  <c r="I1867" i="5"/>
  <c r="I1938" i="5"/>
  <c r="I1995" i="5"/>
  <c r="I1708" i="5"/>
  <c r="I1739" i="5"/>
  <c r="I1756" i="5"/>
  <c r="I1787" i="5"/>
  <c r="I1803" i="5"/>
  <c r="I1819" i="5"/>
  <c r="I1853" i="5"/>
  <c r="I1870" i="5"/>
  <c r="I1887" i="5"/>
  <c r="I1905" i="5"/>
  <c r="I1924" i="5"/>
  <c r="I1960" i="5"/>
  <c r="I841" i="5"/>
  <c r="I851" i="5"/>
  <c r="I861" i="5"/>
  <c r="I871" i="5"/>
  <c r="I881" i="5"/>
  <c r="I891" i="5"/>
  <c r="I901" i="5"/>
  <c r="I911" i="5"/>
  <c r="I921" i="5"/>
  <c r="I931" i="5"/>
  <c r="I941" i="5"/>
  <c r="I951" i="5"/>
  <c r="I961" i="5"/>
  <c r="I971" i="5"/>
  <c r="I981" i="5"/>
  <c r="I991" i="5"/>
  <c r="I1001" i="5"/>
  <c r="I1023" i="5"/>
  <c r="I1034" i="5"/>
  <c r="I1045" i="5"/>
  <c r="I1056" i="5"/>
  <c r="I1067" i="5"/>
  <c r="I1078" i="5"/>
  <c r="I1089" i="5"/>
  <c r="I1100" i="5"/>
  <c r="I1123" i="5"/>
  <c r="I1134" i="5"/>
  <c r="I1145" i="5"/>
  <c r="I1156" i="5"/>
  <c r="I1168" i="5"/>
  <c r="I1180" i="5"/>
  <c r="I1192" i="5"/>
  <c r="I1205" i="5"/>
  <c r="I1230" i="5"/>
  <c r="I1242" i="5"/>
  <c r="I1268" i="5"/>
  <c r="I1308" i="5"/>
  <c r="I1359" i="5"/>
  <c r="I1372" i="5"/>
  <c r="I1400" i="5"/>
  <c r="I1427" i="5"/>
  <c r="I1456" i="5"/>
  <c r="I1469" i="5"/>
  <c r="I1482" i="5"/>
  <c r="I1511" i="5"/>
  <c r="I1525" i="5"/>
  <c r="I1538" i="5"/>
  <c r="I1553" i="5"/>
  <c r="I1567" i="5"/>
  <c r="I1581" i="5"/>
  <c r="I1613" i="5"/>
  <c r="I1660" i="5"/>
  <c r="I1692" i="5"/>
  <c r="I1724" i="5"/>
  <c r="I1771" i="5"/>
  <c r="I1837" i="5"/>
  <c r="I1906" i="5"/>
  <c r="I1942" i="5"/>
  <c r="I1961" i="5"/>
  <c r="I1999" i="5"/>
  <c r="I1709" i="5"/>
  <c r="I1741" i="5"/>
  <c r="I1757" i="5"/>
  <c r="I1772" i="5"/>
  <c r="I1789" i="5"/>
  <c r="I1804" i="5"/>
  <c r="I1820" i="5"/>
  <c r="I1871" i="5"/>
  <c r="I1889" i="5"/>
  <c r="I1926" i="5"/>
  <c r="I1945" i="5"/>
  <c r="I1981" i="5"/>
  <c r="I2001" i="5"/>
  <c r="I1554" i="5"/>
  <c r="I1568" i="5"/>
  <c r="I1582" i="5"/>
  <c r="I1615" i="5"/>
  <c r="I1726" i="5"/>
  <c r="I1773" i="5"/>
  <c r="I1805" i="5"/>
  <c r="I1838" i="5"/>
  <c r="I1856" i="5"/>
  <c r="I1872" i="5"/>
  <c r="I1908" i="5"/>
  <c r="I1631" i="5"/>
  <c r="I1679" i="5"/>
  <c r="I1695" i="5"/>
  <c r="I1711" i="5"/>
  <c r="I1742" i="5"/>
  <c r="I1775" i="5"/>
  <c r="I1790" i="5"/>
  <c r="I1806" i="5"/>
  <c r="I1822" i="5"/>
  <c r="I1839" i="5"/>
  <c r="I1873" i="5"/>
  <c r="I1927" i="5"/>
  <c r="I1964" i="5"/>
  <c r="I1982" i="5"/>
  <c r="I2003" i="5"/>
  <c r="I1183" i="5"/>
  <c r="I1194" i="5"/>
  <c r="I1283" i="5"/>
  <c r="I1294" i="5"/>
  <c r="I1383" i="5"/>
  <c r="I1394" i="5"/>
  <c r="I1483" i="5"/>
  <c r="I1494" i="5"/>
  <c r="I1583" i="5"/>
  <c r="I1594" i="5"/>
  <c r="I1683" i="5"/>
  <c r="I1694" i="5"/>
  <c r="I1783" i="5"/>
  <c r="I1794" i="5"/>
  <c r="I1883" i="5"/>
  <c r="I1894" i="5"/>
  <c r="I1983" i="5"/>
  <c r="I1251" i="5"/>
  <c r="I1262" i="5"/>
  <c r="I1285" i="5"/>
  <c r="I1296" i="5"/>
  <c r="I1307" i="5"/>
  <c r="I1318" i="5"/>
  <c r="I1329" i="5"/>
  <c r="I1340" i="5"/>
  <c r="I1351" i="5"/>
  <c r="I1362" i="5"/>
  <c r="I1385" i="5"/>
  <c r="I1396" i="5"/>
  <c r="I1407" i="5"/>
  <c r="I1418" i="5"/>
  <c r="I1429" i="5"/>
  <c r="I1440" i="5"/>
  <c r="I1451" i="5"/>
  <c r="I1462" i="5"/>
  <c r="I1485" i="5"/>
  <c r="I1496" i="5"/>
  <c r="I1507" i="5"/>
  <c r="I1518" i="5"/>
  <c r="I1529" i="5"/>
  <c r="I1540" i="5"/>
  <c r="I1551" i="5"/>
  <c r="I1562" i="5"/>
  <c r="I1585" i="5"/>
  <c r="I1596" i="5"/>
  <c r="I1607" i="5"/>
  <c r="I1618" i="5"/>
  <c r="I1629" i="5"/>
  <c r="I1640" i="5"/>
  <c r="I1651" i="5"/>
  <c r="I1662" i="5"/>
  <c r="I1685" i="5"/>
  <c r="I1696" i="5"/>
  <c r="I1707" i="5"/>
  <c r="I1718" i="5"/>
  <c r="I1729" i="5"/>
  <c r="I1740" i="5"/>
  <c r="I1751" i="5"/>
  <c r="I1762" i="5"/>
  <c r="I1785" i="5"/>
  <c r="I1796" i="5"/>
  <c r="I1807" i="5"/>
  <c r="I1818" i="5"/>
  <c r="I1829" i="5"/>
  <c r="I1840" i="5"/>
  <c r="I1851" i="5"/>
  <c r="I1862" i="5"/>
  <c r="I1885" i="5"/>
  <c r="I1896" i="5"/>
  <c r="I1907" i="5"/>
  <c r="I1918" i="5"/>
  <c r="I1929" i="5"/>
  <c r="I1940" i="5"/>
  <c r="I1951" i="5"/>
  <c r="I1962" i="5"/>
  <c r="I1997" i="5"/>
  <c r="I1163" i="5"/>
  <c r="I1174" i="5"/>
  <c r="I1263" i="5"/>
  <c r="I1274" i="5"/>
  <c r="I1363" i="5"/>
  <c r="I1374" i="5"/>
  <c r="I1463" i="5"/>
  <c r="I1474" i="5"/>
  <c r="I1563" i="5"/>
  <c r="I1574" i="5"/>
  <c r="I1663" i="5"/>
  <c r="I1674" i="5"/>
  <c r="I1763" i="5"/>
  <c r="I1774" i="5"/>
  <c r="I1863" i="5"/>
  <c r="I1874" i="5"/>
  <c r="I1963" i="5"/>
  <c r="I1974" i="5"/>
  <c r="I1986" i="5"/>
  <c r="I1643" i="5"/>
  <c r="I1654" i="5"/>
  <c r="I1743" i="5"/>
  <c r="I1754" i="5"/>
  <c r="I1843" i="5"/>
  <c r="I1854" i="5"/>
  <c r="I1943" i="5"/>
  <c r="I1954" i="5"/>
  <c r="I1988" i="5"/>
  <c r="I1388" i="5"/>
  <c r="I1399" i="5"/>
  <c r="I1410" i="5"/>
  <c r="I1421" i="5"/>
  <c r="I1432" i="5"/>
  <c r="I1455" i="5"/>
  <c r="I1466" i="5"/>
  <c r="I1477" i="5"/>
  <c r="I1488" i="5"/>
  <c r="I1499" i="5"/>
  <c r="I1510" i="5"/>
  <c r="I1521" i="5"/>
  <c r="I1532" i="5"/>
  <c r="I1555" i="5"/>
  <c r="I1566" i="5"/>
  <c r="I1577" i="5"/>
  <c r="I1588" i="5"/>
  <c r="I1599" i="5"/>
  <c r="I1610" i="5"/>
  <c r="I1621" i="5"/>
  <c r="I1632" i="5"/>
  <c r="I1655" i="5"/>
  <c r="I1666" i="5"/>
  <c r="I1677" i="5"/>
  <c r="I1688" i="5"/>
  <c r="I1699" i="5"/>
  <c r="I1710" i="5"/>
  <c r="I1721" i="5"/>
  <c r="I1732" i="5"/>
  <c r="I1755" i="5"/>
  <c r="I1766" i="5"/>
  <c r="I1777" i="5"/>
  <c r="I1788" i="5"/>
  <c r="I1799" i="5"/>
  <c r="I1810" i="5"/>
  <c r="I1821" i="5"/>
  <c r="I1832" i="5"/>
  <c r="I1855" i="5"/>
  <c r="I1866" i="5"/>
  <c r="I1877" i="5"/>
  <c r="I1888" i="5"/>
  <c r="I1899" i="5"/>
  <c r="I1910" i="5"/>
  <c r="I1921" i="5"/>
  <c r="I1932" i="5"/>
  <c r="I1955" i="5"/>
  <c r="I1966" i="5"/>
  <c r="I1977" i="5"/>
  <c r="I2000" i="5"/>
  <c r="I1933" i="5"/>
  <c r="I1944" i="5"/>
  <c r="I1989" i="5"/>
  <c r="I1835" i="5"/>
  <c r="I1846" i="5"/>
  <c r="I1857" i="5"/>
  <c r="I1868" i="5"/>
  <c r="I1879" i="5"/>
  <c r="I1890" i="5"/>
  <c r="I1901" i="5"/>
  <c r="I1912" i="5"/>
  <c r="I1935" i="5"/>
  <c r="I1946" i="5"/>
  <c r="I1957" i="5"/>
  <c r="I1968" i="5"/>
  <c r="I1979" i="5"/>
  <c r="I2002" i="5"/>
  <c r="I1569" i="5"/>
  <c r="I1580" i="5"/>
  <c r="I1591" i="5"/>
  <c r="I1602" i="5"/>
  <c r="I1625" i="5"/>
  <c r="I1636" i="5"/>
  <c r="I1647" i="5"/>
  <c r="I1658" i="5"/>
  <c r="I1669" i="5"/>
  <c r="I1680" i="5"/>
  <c r="I1691" i="5"/>
  <c r="I1702" i="5"/>
  <c r="I1725" i="5"/>
  <c r="I1736" i="5"/>
  <c r="I1747" i="5"/>
  <c r="I1758" i="5"/>
  <c r="I1769" i="5"/>
  <c r="I1780" i="5"/>
  <c r="I1791" i="5"/>
  <c r="I1802" i="5"/>
  <c r="I1825" i="5"/>
  <c r="I1836" i="5"/>
  <c r="I1847" i="5"/>
  <c r="I1858" i="5"/>
  <c r="I1869" i="5"/>
  <c r="I1880" i="5"/>
  <c r="I1891" i="5"/>
  <c r="I1902" i="5"/>
  <c r="I1925" i="5"/>
  <c r="I1936" i="5"/>
  <c r="I1947" i="5"/>
  <c r="I1958" i="5"/>
  <c r="I1969" i="5"/>
  <c r="I1980" i="5"/>
  <c r="I1984" i="5"/>
  <c r="I1994" i="5"/>
  <c r="I2004" i="5"/>
  <c r="J107" i="5"/>
  <c r="J207" i="5"/>
  <c r="J317" i="5"/>
  <c r="J512" i="5"/>
  <c r="J775" i="5"/>
  <c r="J1332" i="5"/>
  <c r="J117" i="5"/>
  <c r="J217" i="5"/>
  <c r="J327" i="5"/>
  <c r="J536" i="5"/>
  <c r="J792" i="5"/>
  <c r="J337" i="5"/>
  <c r="J1370" i="5"/>
  <c r="J127" i="5"/>
  <c r="J227" i="5"/>
  <c r="J835" i="5"/>
  <c r="J1372" i="5"/>
  <c r="J857" i="5"/>
  <c r="J1413" i="5"/>
  <c r="J137" i="5"/>
  <c r="J237" i="5"/>
  <c r="J586" i="5"/>
  <c r="J1452" i="5"/>
  <c r="J147" i="5"/>
  <c r="J247" i="5"/>
  <c r="J386" i="5"/>
  <c r="J934" i="5"/>
  <c r="J1502" i="5"/>
  <c r="J962" i="5"/>
  <c r="J1247" i="5"/>
  <c r="J157" i="5"/>
  <c r="J257" i="5"/>
  <c r="J636" i="5"/>
  <c r="J1605" i="5"/>
  <c r="J167" i="5"/>
  <c r="J267" i="5"/>
  <c r="J436" i="5"/>
  <c r="J1057" i="5"/>
  <c r="J1093" i="5"/>
  <c r="J1653" i="5"/>
  <c r="J177" i="5"/>
  <c r="J277" i="5"/>
  <c r="J686" i="5"/>
  <c r="J187" i="5"/>
  <c r="J287" i="5"/>
  <c r="J486" i="5"/>
  <c r="J1812" i="5"/>
  <c r="J297" i="5"/>
  <c r="J1875" i="5"/>
  <c r="J97" i="5"/>
  <c r="J197" i="5"/>
  <c r="J307" i="5"/>
  <c r="J736" i="5"/>
  <c r="J1209" i="5"/>
  <c r="J1938" i="5"/>
  <c r="J374" i="5"/>
  <c r="J649" i="5"/>
  <c r="J98" i="5"/>
  <c r="J108" i="5"/>
  <c r="J118" i="5"/>
  <c r="J128" i="5"/>
  <c r="J138" i="5"/>
  <c r="J148" i="5"/>
  <c r="J158" i="5"/>
  <c r="J168" i="5"/>
  <c r="J178" i="5"/>
  <c r="J188" i="5"/>
  <c r="J198" i="5"/>
  <c r="J208" i="5"/>
  <c r="J218" i="5"/>
  <c r="J228" i="5"/>
  <c r="J238" i="5"/>
  <c r="J248" i="5"/>
  <c r="J258" i="5"/>
  <c r="J268" i="5"/>
  <c r="J278" i="5"/>
  <c r="J288" i="5"/>
  <c r="J298" i="5"/>
  <c r="J308" i="5"/>
  <c r="J318" i="5"/>
  <c r="J328" i="5"/>
  <c r="J338" i="5"/>
  <c r="J816" i="5"/>
  <c r="J837" i="5"/>
  <c r="J862" i="5"/>
  <c r="J885" i="5"/>
  <c r="J992" i="5"/>
  <c r="J1058" i="5"/>
  <c r="J1135" i="5"/>
  <c r="J1170" i="5"/>
  <c r="J1210" i="5"/>
  <c r="J1250" i="5"/>
  <c r="J1293" i="5"/>
  <c r="J1333" i="5"/>
  <c r="J1417" i="5"/>
  <c r="J1457" i="5"/>
  <c r="J1503" i="5"/>
  <c r="J1707" i="5"/>
  <c r="J1878" i="5"/>
  <c r="J1948" i="5"/>
  <c r="J351" i="5"/>
  <c r="J363" i="5"/>
  <c r="J375" i="5"/>
  <c r="J388" i="5"/>
  <c r="J401" i="5"/>
  <c r="J413" i="5"/>
  <c r="J425" i="5"/>
  <c r="J438" i="5"/>
  <c r="J451" i="5"/>
  <c r="J463" i="5"/>
  <c r="J475" i="5"/>
  <c r="J488" i="5"/>
  <c r="J501" i="5"/>
  <c r="J513" i="5"/>
  <c r="J525" i="5"/>
  <c r="J538" i="5"/>
  <c r="J551" i="5"/>
  <c r="J563" i="5"/>
  <c r="J575" i="5"/>
  <c r="J588" i="5"/>
  <c r="J601" i="5"/>
  <c r="J613" i="5"/>
  <c r="J625" i="5"/>
  <c r="J638" i="5"/>
  <c r="J651" i="5"/>
  <c r="J663" i="5"/>
  <c r="J675" i="5"/>
  <c r="J688" i="5"/>
  <c r="J701" i="5"/>
  <c r="J713" i="5"/>
  <c r="J725" i="5"/>
  <c r="J738" i="5"/>
  <c r="J751" i="5"/>
  <c r="J764" i="5"/>
  <c r="J795" i="5"/>
  <c r="J937" i="5"/>
  <c r="J1025" i="5"/>
  <c r="J1059" i="5"/>
  <c r="J1099" i="5"/>
  <c r="J1175" i="5"/>
  <c r="J1256" i="5"/>
  <c r="J1294" i="5"/>
  <c r="J1379" i="5"/>
  <c r="J1556" i="5"/>
  <c r="J1607" i="5"/>
  <c r="J1662" i="5"/>
  <c r="J1714" i="5"/>
  <c r="J1767" i="5"/>
  <c r="J1818" i="5"/>
  <c r="J1884" i="5"/>
  <c r="J362" i="5"/>
  <c r="J462" i="5"/>
  <c r="J699" i="5"/>
  <c r="J99" i="5"/>
  <c r="J109" i="5"/>
  <c r="J119" i="5"/>
  <c r="J129" i="5"/>
  <c r="J139" i="5"/>
  <c r="J149" i="5"/>
  <c r="J159" i="5"/>
  <c r="J169" i="5"/>
  <c r="J179" i="5"/>
  <c r="J189" i="5"/>
  <c r="J199" i="5"/>
  <c r="J209" i="5"/>
  <c r="J219" i="5"/>
  <c r="J229" i="5"/>
  <c r="J239" i="5"/>
  <c r="J249" i="5"/>
  <c r="J259" i="5"/>
  <c r="J269" i="5"/>
  <c r="J279" i="5"/>
  <c r="J289" i="5"/>
  <c r="J299" i="5"/>
  <c r="J309" i="5"/>
  <c r="J319" i="5"/>
  <c r="J329" i="5"/>
  <c r="J339" i="5"/>
  <c r="J376" i="5"/>
  <c r="J426" i="5"/>
  <c r="J476" i="5"/>
  <c r="J526" i="5"/>
  <c r="J576" i="5"/>
  <c r="J626" i="5"/>
  <c r="J676" i="5"/>
  <c r="J726" i="5"/>
  <c r="J778" i="5"/>
  <c r="J796" i="5"/>
  <c r="J817" i="5"/>
  <c r="J841" i="5"/>
  <c r="J887" i="5"/>
  <c r="J941" i="5"/>
  <c r="J965" i="5"/>
  <c r="J995" i="5"/>
  <c r="J1027" i="5"/>
  <c r="J1063" i="5"/>
  <c r="J1100" i="5"/>
  <c r="J1137" i="5"/>
  <c r="J1176" i="5"/>
  <c r="J1217" i="5"/>
  <c r="J1463" i="5"/>
  <c r="J1512" i="5"/>
  <c r="J1663" i="5"/>
  <c r="J1715" i="5"/>
  <c r="J1886" i="5"/>
  <c r="J1950" i="5"/>
  <c r="J349" i="5"/>
  <c r="J424" i="5"/>
  <c r="J524" i="5"/>
  <c r="J624" i="5"/>
  <c r="J352" i="5"/>
  <c r="J364" i="5"/>
  <c r="J389" i="5"/>
  <c r="J402" i="5"/>
  <c r="J414" i="5"/>
  <c r="J439" i="5"/>
  <c r="J452" i="5"/>
  <c r="J464" i="5"/>
  <c r="J489" i="5"/>
  <c r="J502" i="5"/>
  <c r="J514" i="5"/>
  <c r="J539" i="5"/>
  <c r="J552" i="5"/>
  <c r="J564" i="5"/>
  <c r="J589" i="5"/>
  <c r="J602" i="5"/>
  <c r="J614" i="5"/>
  <c r="J639" i="5"/>
  <c r="J652" i="5"/>
  <c r="J664" i="5"/>
  <c r="J689" i="5"/>
  <c r="J702" i="5"/>
  <c r="J714" i="5"/>
  <c r="J739" i="5"/>
  <c r="J765" i="5"/>
  <c r="J797" i="5"/>
  <c r="J842" i="5"/>
  <c r="J891" i="5"/>
  <c r="J915" i="5"/>
  <c r="J942" i="5"/>
  <c r="J966" i="5"/>
  <c r="J996" i="5"/>
  <c r="J1066" i="5"/>
  <c r="J1101" i="5"/>
  <c r="J1179" i="5"/>
  <c r="J1340" i="5"/>
  <c r="J1381" i="5"/>
  <c r="J1465" i="5"/>
  <c r="J1664" i="5"/>
  <c r="J1719" i="5"/>
  <c r="J1771" i="5"/>
  <c r="J1828" i="5"/>
  <c r="J1816" i="5"/>
  <c r="J100" i="5"/>
  <c r="J110" i="5"/>
  <c r="J120" i="5"/>
  <c r="J130" i="5"/>
  <c r="J140" i="5"/>
  <c r="J150" i="5"/>
  <c r="J160" i="5"/>
  <c r="J170" i="5"/>
  <c r="J180" i="5"/>
  <c r="J190" i="5"/>
  <c r="J200" i="5"/>
  <c r="J210" i="5"/>
  <c r="J220" i="5"/>
  <c r="J230" i="5"/>
  <c r="J240" i="5"/>
  <c r="J250" i="5"/>
  <c r="J260" i="5"/>
  <c r="J270" i="5"/>
  <c r="J280" i="5"/>
  <c r="J290" i="5"/>
  <c r="J300" i="5"/>
  <c r="J310" i="5"/>
  <c r="J320" i="5"/>
  <c r="J330" i="5"/>
  <c r="J753" i="5"/>
  <c r="J766" i="5"/>
  <c r="J779" i="5"/>
  <c r="J821" i="5"/>
  <c r="J865" i="5"/>
  <c r="J892" i="5"/>
  <c r="J916" i="5"/>
  <c r="J1068" i="5"/>
  <c r="J1138" i="5"/>
  <c r="J1221" i="5"/>
  <c r="J1259" i="5"/>
  <c r="J1302" i="5"/>
  <c r="J1341" i="5"/>
  <c r="J1382" i="5"/>
  <c r="J1426" i="5"/>
  <c r="J1566" i="5"/>
  <c r="J1613" i="5"/>
  <c r="J1772" i="5"/>
  <c r="J1829" i="5"/>
  <c r="J1953" i="5"/>
  <c r="J574" i="5"/>
  <c r="J1414" i="5"/>
  <c r="J341" i="5"/>
  <c r="J353" i="5"/>
  <c r="J365" i="5"/>
  <c r="J378" i="5"/>
  <c r="J391" i="5"/>
  <c r="J403" i="5"/>
  <c r="J415" i="5"/>
  <c r="J428" i="5"/>
  <c r="J441" i="5"/>
  <c r="J453" i="5"/>
  <c r="J465" i="5"/>
  <c r="J478" i="5"/>
  <c r="J491" i="5"/>
  <c r="J503" i="5"/>
  <c r="J515" i="5"/>
  <c r="J528" i="5"/>
  <c r="J541" i="5"/>
  <c r="J553" i="5"/>
  <c r="J565" i="5"/>
  <c r="J578" i="5"/>
  <c r="J591" i="5"/>
  <c r="J603" i="5"/>
  <c r="J615" i="5"/>
  <c r="J628" i="5"/>
  <c r="J641" i="5"/>
  <c r="J653" i="5"/>
  <c r="J665" i="5"/>
  <c r="J678" i="5"/>
  <c r="J691" i="5"/>
  <c r="J703" i="5"/>
  <c r="J715" i="5"/>
  <c r="J728" i="5"/>
  <c r="J741" i="5"/>
  <c r="J822" i="5"/>
  <c r="J866" i="5"/>
  <c r="J1104" i="5"/>
  <c r="J1140" i="5"/>
  <c r="J1181" i="5"/>
  <c r="J1345" i="5"/>
  <c r="J1428" i="5"/>
  <c r="J1469" i="5"/>
  <c r="J1567" i="5"/>
  <c r="J1615" i="5"/>
  <c r="J1668" i="5"/>
  <c r="J1720" i="5"/>
  <c r="J1780" i="5"/>
  <c r="J1894" i="5"/>
  <c r="J449" i="5"/>
  <c r="J763" i="5"/>
  <c r="J101" i="5"/>
  <c r="J111" i="5"/>
  <c r="J121" i="5"/>
  <c r="J131" i="5"/>
  <c r="J141" i="5"/>
  <c r="J151" i="5"/>
  <c r="J161" i="5"/>
  <c r="J171" i="5"/>
  <c r="J181" i="5"/>
  <c r="J191" i="5"/>
  <c r="J201" i="5"/>
  <c r="J211" i="5"/>
  <c r="J221" i="5"/>
  <c r="J231" i="5"/>
  <c r="J241" i="5"/>
  <c r="J251" i="5"/>
  <c r="J261" i="5"/>
  <c r="J271" i="5"/>
  <c r="J281" i="5"/>
  <c r="J291" i="5"/>
  <c r="J301" i="5"/>
  <c r="J311" i="5"/>
  <c r="J321" i="5"/>
  <c r="J331" i="5"/>
  <c r="J366" i="5"/>
  <c r="J416" i="5"/>
  <c r="J466" i="5"/>
  <c r="J516" i="5"/>
  <c r="J566" i="5"/>
  <c r="J616" i="5"/>
  <c r="J666" i="5"/>
  <c r="J716" i="5"/>
  <c r="J754" i="5"/>
  <c r="J781" i="5"/>
  <c r="J801" i="5"/>
  <c r="J845" i="5"/>
  <c r="J945" i="5"/>
  <c r="J971" i="5"/>
  <c r="J1035" i="5"/>
  <c r="J1182" i="5"/>
  <c r="J1224" i="5"/>
  <c r="J1306" i="5"/>
  <c r="J1385" i="5"/>
  <c r="J1471" i="5"/>
  <c r="J1525" i="5"/>
  <c r="J1619" i="5"/>
  <c r="J1781" i="5"/>
  <c r="J1957" i="5"/>
  <c r="J342" i="5"/>
  <c r="J354" i="5"/>
  <c r="J379" i="5"/>
  <c r="J392" i="5"/>
  <c r="J404" i="5"/>
  <c r="J429" i="5"/>
  <c r="J442" i="5"/>
  <c r="J454" i="5"/>
  <c r="J479" i="5"/>
  <c r="J492" i="5"/>
  <c r="J504" i="5"/>
  <c r="J529" i="5"/>
  <c r="J542" i="5"/>
  <c r="J554" i="5"/>
  <c r="J579" i="5"/>
  <c r="J592" i="5"/>
  <c r="J604" i="5"/>
  <c r="J629" i="5"/>
  <c r="J642" i="5"/>
  <c r="J654" i="5"/>
  <c r="J679" i="5"/>
  <c r="J692" i="5"/>
  <c r="J704" i="5"/>
  <c r="J729" i="5"/>
  <c r="J742" i="5"/>
  <c r="J768" i="5"/>
  <c r="J802" i="5"/>
  <c r="J824" i="5"/>
  <c r="J846" i="5"/>
  <c r="J895" i="5"/>
  <c r="J921" i="5"/>
  <c r="J946" i="5"/>
  <c r="J972" i="5"/>
  <c r="J1002" i="5"/>
  <c r="J1036" i="5"/>
  <c r="J1073" i="5"/>
  <c r="J1146" i="5"/>
  <c r="J1268" i="5"/>
  <c r="J1349" i="5"/>
  <c r="J1429" i="5"/>
  <c r="J1574" i="5"/>
  <c r="J1623" i="5"/>
  <c r="J1670" i="5"/>
  <c r="J1728" i="5"/>
  <c r="J1902" i="5"/>
  <c r="J102" i="5"/>
  <c r="J112" i="5"/>
  <c r="J122" i="5"/>
  <c r="J132" i="5"/>
  <c r="J142" i="5"/>
  <c r="J152" i="5"/>
  <c r="J162" i="5"/>
  <c r="J172" i="5"/>
  <c r="J182" i="5"/>
  <c r="J192" i="5"/>
  <c r="J202" i="5"/>
  <c r="J212" i="5"/>
  <c r="J222" i="5"/>
  <c r="J232" i="5"/>
  <c r="J242" i="5"/>
  <c r="J252" i="5"/>
  <c r="J262" i="5"/>
  <c r="J272" i="5"/>
  <c r="J282" i="5"/>
  <c r="J292" i="5"/>
  <c r="J302" i="5"/>
  <c r="J312" i="5"/>
  <c r="J322" i="5"/>
  <c r="J332" i="5"/>
  <c r="J755" i="5"/>
  <c r="J847" i="5"/>
  <c r="J871" i="5"/>
  <c r="J896" i="5"/>
  <c r="J922" i="5"/>
  <c r="J947" i="5"/>
  <c r="J974" i="5"/>
  <c r="J1037" i="5"/>
  <c r="J1074" i="5"/>
  <c r="J1113" i="5"/>
  <c r="J1148" i="5"/>
  <c r="J1187" i="5"/>
  <c r="J1269" i="5"/>
  <c r="J1391" i="5"/>
  <c r="J1476" i="5"/>
  <c r="J1527" i="5"/>
  <c r="J1578" i="5"/>
  <c r="J1626" i="5"/>
  <c r="J1678" i="5"/>
  <c r="J1729" i="5"/>
  <c r="J1785" i="5"/>
  <c r="J1844" i="5"/>
  <c r="J1905" i="5"/>
  <c r="J343" i="5"/>
  <c r="J355" i="5"/>
  <c r="J368" i="5"/>
  <c r="J381" i="5"/>
  <c r="J393" i="5"/>
  <c r="J405" i="5"/>
  <c r="J418" i="5"/>
  <c r="J431" i="5"/>
  <c r="J443" i="5"/>
  <c r="J455" i="5"/>
  <c r="J468" i="5"/>
  <c r="J481" i="5"/>
  <c r="J493" i="5"/>
  <c r="J505" i="5"/>
  <c r="J518" i="5"/>
  <c r="J531" i="5"/>
  <c r="J543" i="5"/>
  <c r="J555" i="5"/>
  <c r="J568" i="5"/>
  <c r="J581" i="5"/>
  <c r="J593" i="5"/>
  <c r="J605" i="5"/>
  <c r="J618" i="5"/>
  <c r="J631" i="5"/>
  <c r="J643" i="5"/>
  <c r="J655" i="5"/>
  <c r="J668" i="5"/>
  <c r="J681" i="5"/>
  <c r="J693" i="5"/>
  <c r="J705" i="5"/>
  <c r="J718" i="5"/>
  <c r="J731" i="5"/>
  <c r="J743" i="5"/>
  <c r="J756" i="5"/>
  <c r="J769" i="5"/>
  <c r="J804" i="5"/>
  <c r="J825" i="5"/>
  <c r="J872" i="5"/>
  <c r="J897" i="5"/>
  <c r="J924" i="5"/>
  <c r="J1005" i="5"/>
  <c r="J1229" i="5"/>
  <c r="J1270" i="5"/>
  <c r="J1394" i="5"/>
  <c r="J1434" i="5"/>
  <c r="J1579" i="5"/>
  <c r="J1679" i="5"/>
  <c r="J1786" i="5"/>
  <c r="J1845" i="5"/>
  <c r="J1909" i="5"/>
  <c r="J1971" i="5"/>
  <c r="J103" i="5"/>
  <c r="J113" i="5"/>
  <c r="J123" i="5"/>
  <c r="J133" i="5"/>
  <c r="J143" i="5"/>
  <c r="J153" i="5"/>
  <c r="J163" i="5"/>
  <c r="J173" i="5"/>
  <c r="J183" i="5"/>
  <c r="J193" i="5"/>
  <c r="J203" i="5"/>
  <c r="J213" i="5"/>
  <c r="J223" i="5"/>
  <c r="J233" i="5"/>
  <c r="J243" i="5"/>
  <c r="J253" i="5"/>
  <c r="J263" i="5"/>
  <c r="J273" i="5"/>
  <c r="J283" i="5"/>
  <c r="J293" i="5"/>
  <c r="J303" i="5"/>
  <c r="J313" i="5"/>
  <c r="J323" i="5"/>
  <c r="J333" i="5"/>
  <c r="J356" i="5"/>
  <c r="J406" i="5"/>
  <c r="J456" i="5"/>
  <c r="J506" i="5"/>
  <c r="J556" i="5"/>
  <c r="J606" i="5"/>
  <c r="J656" i="5"/>
  <c r="J706" i="5"/>
  <c r="J784" i="5"/>
  <c r="J827" i="5"/>
  <c r="J874" i="5"/>
  <c r="J975" i="5"/>
  <c r="J1006" i="5"/>
  <c r="J1038" i="5"/>
  <c r="J1115" i="5"/>
  <c r="J1155" i="5"/>
  <c r="J1193" i="5"/>
  <c r="J1232" i="5"/>
  <c r="J1271" i="5"/>
  <c r="J1316" i="5"/>
  <c r="J1356" i="5"/>
  <c r="J1395" i="5"/>
  <c r="J1478" i="5"/>
  <c r="J1631" i="5"/>
  <c r="J1681" i="5"/>
  <c r="J1734" i="5"/>
  <c r="J1848" i="5"/>
  <c r="J1916" i="5"/>
  <c r="J344" i="5"/>
  <c r="J369" i="5"/>
  <c r="J382" i="5"/>
  <c r="J394" i="5"/>
  <c r="J419" i="5"/>
  <c r="J432" i="5"/>
  <c r="J444" i="5"/>
  <c r="J469" i="5"/>
  <c r="J482" i="5"/>
  <c r="J494" i="5"/>
  <c r="J519" i="5"/>
  <c r="J532" i="5"/>
  <c r="J544" i="5"/>
  <c r="J569" i="5"/>
  <c r="J582" i="5"/>
  <c r="J594" i="5"/>
  <c r="J619" i="5"/>
  <c r="J632" i="5"/>
  <c r="J644" i="5"/>
  <c r="J669" i="5"/>
  <c r="J682" i="5"/>
  <c r="J694" i="5"/>
  <c r="J719" i="5"/>
  <c r="J732" i="5"/>
  <c r="J744" i="5"/>
  <c r="J771" i="5"/>
  <c r="J806" i="5"/>
  <c r="J851" i="5"/>
  <c r="J925" i="5"/>
  <c r="J951" i="5"/>
  <c r="J977" i="5"/>
  <c r="J1044" i="5"/>
  <c r="J1079" i="5"/>
  <c r="J1116" i="5"/>
  <c r="J1194" i="5"/>
  <c r="J1233" i="5"/>
  <c r="J1317" i="5"/>
  <c r="J1357" i="5"/>
  <c r="J1401" i="5"/>
  <c r="J1440" i="5"/>
  <c r="J1481" i="5"/>
  <c r="J1530" i="5"/>
  <c r="J1582" i="5"/>
  <c r="J1636" i="5"/>
  <c r="J1683" i="5"/>
  <c r="J1736" i="5"/>
  <c r="J1787" i="5"/>
  <c r="J1852" i="5"/>
  <c r="J104" i="5"/>
  <c r="J114" i="5"/>
  <c r="J124" i="5"/>
  <c r="J134" i="5"/>
  <c r="J144" i="5"/>
  <c r="J154" i="5"/>
  <c r="J164" i="5"/>
  <c r="J174" i="5"/>
  <c r="J184" i="5"/>
  <c r="J194" i="5"/>
  <c r="J204" i="5"/>
  <c r="J214" i="5"/>
  <c r="J224" i="5"/>
  <c r="J234" i="5"/>
  <c r="J244" i="5"/>
  <c r="J254" i="5"/>
  <c r="J264" i="5"/>
  <c r="J274" i="5"/>
  <c r="J284" i="5"/>
  <c r="J294" i="5"/>
  <c r="J304" i="5"/>
  <c r="J314" i="5"/>
  <c r="J324" i="5"/>
  <c r="J334" i="5"/>
  <c r="J758" i="5"/>
  <c r="J785" i="5"/>
  <c r="J852" i="5"/>
  <c r="J875" i="5"/>
  <c r="J901" i="5"/>
  <c r="J927" i="5"/>
  <c r="J1080" i="5"/>
  <c r="J1197" i="5"/>
  <c r="J1358" i="5"/>
  <c r="J1483" i="5"/>
  <c r="J1984" i="5"/>
  <c r="J399" i="5"/>
  <c r="J474" i="5"/>
  <c r="J612" i="5"/>
  <c r="J674" i="5"/>
  <c r="J724" i="5"/>
  <c r="J776" i="5"/>
  <c r="J912" i="5"/>
  <c r="J1134" i="5"/>
  <c r="J345" i="5"/>
  <c r="J358" i="5"/>
  <c r="J371" i="5"/>
  <c r="J383" i="5"/>
  <c r="J395" i="5"/>
  <c r="J408" i="5"/>
  <c r="J421" i="5"/>
  <c r="J433" i="5"/>
  <c r="J445" i="5"/>
  <c r="J458" i="5"/>
  <c r="J471" i="5"/>
  <c r="J483" i="5"/>
  <c r="J495" i="5"/>
  <c r="J508" i="5"/>
  <c r="J521" i="5"/>
  <c r="J533" i="5"/>
  <c r="J545" i="5"/>
  <c r="J558" i="5"/>
  <c r="J571" i="5"/>
  <c r="J583" i="5"/>
  <c r="J595" i="5"/>
  <c r="J608" i="5"/>
  <c r="J621" i="5"/>
  <c r="J633" i="5"/>
  <c r="J645" i="5"/>
  <c r="J658" i="5"/>
  <c r="J671" i="5"/>
  <c r="J683" i="5"/>
  <c r="J695" i="5"/>
  <c r="J708" i="5"/>
  <c r="J721" i="5"/>
  <c r="J733" i="5"/>
  <c r="J745" i="5"/>
  <c r="J786" i="5"/>
  <c r="J807" i="5"/>
  <c r="J832" i="5"/>
  <c r="J877" i="5"/>
  <c r="J954" i="5"/>
  <c r="J1014" i="5"/>
  <c r="J1047" i="5"/>
  <c r="J1238" i="5"/>
  <c r="J1318" i="5"/>
  <c r="J1360" i="5"/>
  <c r="J1444" i="5"/>
  <c r="J1539" i="5"/>
  <c r="J1587" i="5"/>
  <c r="J1742" i="5"/>
  <c r="J1797" i="5"/>
  <c r="J412" i="5"/>
  <c r="J499" i="5"/>
  <c r="J599" i="5"/>
  <c r="J712" i="5"/>
  <c r="J815" i="5"/>
  <c r="J884" i="5"/>
  <c r="J935" i="5"/>
  <c r="J987" i="5"/>
  <c r="J1020" i="5"/>
  <c r="J1292" i="5"/>
  <c r="J105" i="5"/>
  <c r="J115" i="5"/>
  <c r="J125" i="5"/>
  <c r="J135" i="5"/>
  <c r="J145" i="5"/>
  <c r="J155" i="5"/>
  <c r="J165" i="5"/>
  <c r="J175" i="5"/>
  <c r="J185" i="5"/>
  <c r="J195" i="5"/>
  <c r="J205" i="5"/>
  <c r="J215" i="5"/>
  <c r="J225" i="5"/>
  <c r="J235" i="5"/>
  <c r="J245" i="5"/>
  <c r="J255" i="5"/>
  <c r="J265" i="5"/>
  <c r="J275" i="5"/>
  <c r="J285" i="5"/>
  <c r="J295" i="5"/>
  <c r="J305" i="5"/>
  <c r="J315" i="5"/>
  <c r="J325" i="5"/>
  <c r="J335" i="5"/>
  <c r="J346" i="5"/>
  <c r="J396" i="5"/>
  <c r="J446" i="5"/>
  <c r="J496" i="5"/>
  <c r="J546" i="5"/>
  <c r="J596" i="5"/>
  <c r="J646" i="5"/>
  <c r="J696" i="5"/>
  <c r="J746" i="5"/>
  <c r="J759" i="5"/>
  <c r="J773" i="5"/>
  <c r="J787" i="5"/>
  <c r="J854" i="5"/>
  <c r="J904" i="5"/>
  <c r="J982" i="5"/>
  <c r="J1048" i="5"/>
  <c r="J1084" i="5"/>
  <c r="J1158" i="5"/>
  <c r="J1243" i="5"/>
  <c r="J1281" i="5"/>
  <c r="J1321" i="5"/>
  <c r="J1361" i="5"/>
  <c r="J1405" i="5"/>
  <c r="J1445" i="5"/>
  <c r="J1490" i="5"/>
  <c r="J1693" i="5"/>
  <c r="J1747" i="5"/>
  <c r="J1860" i="5"/>
  <c r="J549" i="5"/>
  <c r="J749" i="5"/>
  <c r="J359" i="5"/>
  <c r="J372" i="5"/>
  <c r="J384" i="5"/>
  <c r="J409" i="5"/>
  <c r="J422" i="5"/>
  <c r="J434" i="5"/>
  <c r="J459" i="5"/>
  <c r="J472" i="5"/>
  <c r="J484" i="5"/>
  <c r="J509" i="5"/>
  <c r="J522" i="5"/>
  <c r="J534" i="5"/>
  <c r="J559" i="5"/>
  <c r="J572" i="5"/>
  <c r="J584" i="5"/>
  <c r="J609" i="5"/>
  <c r="J622" i="5"/>
  <c r="J634" i="5"/>
  <c r="J659" i="5"/>
  <c r="J672" i="5"/>
  <c r="J684" i="5"/>
  <c r="J709" i="5"/>
  <c r="J722" i="5"/>
  <c r="J734" i="5"/>
  <c r="J812" i="5"/>
  <c r="J932" i="5"/>
  <c r="J1015" i="5"/>
  <c r="J1052" i="5"/>
  <c r="J1124" i="5"/>
  <c r="J1159" i="5"/>
  <c r="J1203" i="5"/>
  <c r="J1244" i="5"/>
  <c r="J1364" i="5"/>
  <c r="J1494" i="5"/>
  <c r="J1542" i="5"/>
  <c r="J1695" i="5"/>
  <c r="J1749" i="5"/>
  <c r="J1801" i="5"/>
  <c r="J1922" i="5"/>
  <c r="J1990" i="5"/>
  <c r="J562" i="5"/>
  <c r="J662" i="5"/>
  <c r="J1249" i="5"/>
  <c r="J96" i="5"/>
  <c r="J106" i="5"/>
  <c r="J116" i="5"/>
  <c r="J126" i="5"/>
  <c r="J136" i="5"/>
  <c r="J146" i="5"/>
  <c r="J156" i="5"/>
  <c r="J166" i="5"/>
  <c r="J176" i="5"/>
  <c r="J186" i="5"/>
  <c r="J196" i="5"/>
  <c r="J206" i="5"/>
  <c r="J216" i="5"/>
  <c r="J226" i="5"/>
  <c r="J236" i="5"/>
  <c r="J246" i="5"/>
  <c r="J256" i="5"/>
  <c r="J266" i="5"/>
  <c r="J276" i="5"/>
  <c r="J286" i="5"/>
  <c r="J296" i="5"/>
  <c r="J306" i="5"/>
  <c r="J316" i="5"/>
  <c r="J326" i="5"/>
  <c r="J336" i="5"/>
  <c r="J761" i="5"/>
  <c r="J774" i="5"/>
  <c r="J790" i="5"/>
  <c r="J834" i="5"/>
  <c r="J856" i="5"/>
  <c r="J882" i="5"/>
  <c r="J957" i="5"/>
  <c r="J1055" i="5"/>
  <c r="J1090" i="5"/>
  <c r="J1125" i="5"/>
  <c r="J1160" i="5"/>
  <c r="J1205" i="5"/>
  <c r="J1245" i="5"/>
  <c r="J1287" i="5"/>
  <c r="J1328" i="5"/>
  <c r="J1496" i="5"/>
  <c r="J1543" i="5"/>
  <c r="J1592" i="5"/>
  <c r="J1641" i="5"/>
  <c r="J1868" i="5"/>
  <c r="J1931" i="5"/>
  <c r="J348" i="5"/>
  <c r="J361" i="5"/>
  <c r="J373" i="5"/>
  <c r="J385" i="5"/>
  <c r="J398" i="5"/>
  <c r="J411" i="5"/>
  <c r="J423" i="5"/>
  <c r="J435" i="5"/>
  <c r="J448" i="5"/>
  <c r="J461" i="5"/>
  <c r="J473" i="5"/>
  <c r="J485" i="5"/>
  <c r="J498" i="5"/>
  <c r="J511" i="5"/>
  <c r="J523" i="5"/>
  <c r="J535" i="5"/>
  <c r="J548" i="5"/>
  <c r="J561" i="5"/>
  <c r="J573" i="5"/>
  <c r="J585" i="5"/>
  <c r="J598" i="5"/>
  <c r="J611" i="5"/>
  <c r="J623" i="5"/>
  <c r="J635" i="5"/>
  <c r="J648" i="5"/>
  <c r="J661" i="5"/>
  <c r="J673" i="5"/>
  <c r="J685" i="5"/>
  <c r="J698" i="5"/>
  <c r="J711" i="5"/>
  <c r="J723" i="5"/>
  <c r="J735" i="5"/>
  <c r="J748" i="5"/>
  <c r="J791" i="5"/>
  <c r="J907" i="5"/>
  <c r="J984" i="5"/>
  <c r="J1017" i="5"/>
  <c r="J1127" i="5"/>
  <c r="J1167" i="5"/>
  <c r="J1206" i="5"/>
  <c r="J1290" i="5"/>
  <c r="J1329" i="5"/>
  <c r="J1368" i="5"/>
  <c r="J1407" i="5"/>
  <c r="J1451" i="5"/>
  <c r="J1500" i="5"/>
  <c r="J1551" i="5"/>
  <c r="J1701" i="5"/>
  <c r="J1756" i="5"/>
  <c r="J1811" i="5"/>
  <c r="J1870" i="5"/>
  <c r="J1933" i="5"/>
  <c r="J1998" i="5"/>
  <c r="J347" i="5"/>
  <c r="J357" i="5"/>
  <c r="J367" i="5"/>
  <c r="J377" i="5"/>
  <c r="J387" i="5"/>
  <c r="J397" i="5"/>
  <c r="J407" i="5"/>
  <c r="J417" i="5"/>
  <c r="J427" i="5"/>
  <c r="J437" i="5"/>
  <c r="J447" i="5"/>
  <c r="J457" i="5"/>
  <c r="J467" i="5"/>
  <c r="J477" i="5"/>
  <c r="J487" i="5"/>
  <c r="J497" i="5"/>
  <c r="J507" i="5"/>
  <c r="J517" i="5"/>
  <c r="J527" i="5"/>
  <c r="J537" i="5"/>
  <c r="J547" i="5"/>
  <c r="J557" i="5"/>
  <c r="J567" i="5"/>
  <c r="J577" i="5"/>
  <c r="J587" i="5"/>
  <c r="J597" i="5"/>
  <c r="J607" i="5"/>
  <c r="J617" i="5"/>
  <c r="J627" i="5"/>
  <c r="J637" i="5"/>
  <c r="J647" i="5"/>
  <c r="J657" i="5"/>
  <c r="J667" i="5"/>
  <c r="J677" i="5"/>
  <c r="J687" i="5"/>
  <c r="J697" i="5"/>
  <c r="J707" i="5"/>
  <c r="J717" i="5"/>
  <c r="J727" i="5"/>
  <c r="J737" i="5"/>
  <c r="J747" i="5"/>
  <c r="J757" i="5"/>
  <c r="J767" i="5"/>
  <c r="J777" i="5"/>
  <c r="J805" i="5"/>
  <c r="J855" i="5"/>
  <c r="J905" i="5"/>
  <c r="J955" i="5"/>
  <c r="J1046" i="5"/>
  <c r="J1105" i="5"/>
  <c r="J1126" i="5"/>
  <c r="J1191" i="5"/>
  <c r="J1234" i="5"/>
  <c r="J1257" i="5"/>
  <c r="J1280" i="5"/>
  <c r="J1324" i="5"/>
  <c r="J1346" i="5"/>
  <c r="J1369" i="5"/>
  <c r="J1416" i="5"/>
  <c r="J1460" i="5"/>
  <c r="J1488" i="5"/>
  <c r="J1514" i="5"/>
  <c r="J1595" i="5"/>
  <c r="J1624" i="5"/>
  <c r="J1651" i="5"/>
  <c r="J1680" i="5"/>
  <c r="J1740" i="5"/>
  <c r="J1798" i="5"/>
  <c r="J1862" i="5"/>
  <c r="J1900" i="5"/>
  <c r="J1934" i="5"/>
  <c r="J1969" i="5"/>
  <c r="J906" i="5"/>
  <c r="J956" i="5"/>
  <c r="J1007" i="5"/>
  <c r="J1088" i="5"/>
  <c r="J1147" i="5"/>
  <c r="J1169" i="5"/>
  <c r="J1235" i="5"/>
  <c r="J1258" i="5"/>
  <c r="J1305" i="5"/>
  <c r="J1392" i="5"/>
  <c r="J1439" i="5"/>
  <c r="J1515" i="5"/>
  <c r="J1568" i="5"/>
  <c r="J1599" i="5"/>
  <c r="J1652" i="5"/>
  <c r="J1709" i="5"/>
  <c r="J1769" i="5"/>
  <c r="J1800" i="5"/>
  <c r="J1830" i="5"/>
  <c r="J1901" i="5"/>
  <c r="J1936" i="5"/>
  <c r="J1970" i="5"/>
  <c r="J1012" i="5"/>
  <c r="J1029" i="5"/>
  <c r="J1069" i="5"/>
  <c r="J1111" i="5"/>
  <c r="J1130" i="5"/>
  <c r="J1149" i="5"/>
  <c r="J1195" i="5"/>
  <c r="J1218" i="5"/>
  <c r="J1261" i="5"/>
  <c r="J1283" i="5"/>
  <c r="J1352" i="5"/>
  <c r="J1373" i="5"/>
  <c r="J1441" i="5"/>
  <c r="J1466" i="5"/>
  <c r="J1491" i="5"/>
  <c r="J1518" i="5"/>
  <c r="J1575" i="5"/>
  <c r="J1601" i="5"/>
  <c r="J1656" i="5"/>
  <c r="J1745" i="5"/>
  <c r="J1803" i="5"/>
  <c r="J1839" i="5"/>
  <c r="J1871" i="5"/>
  <c r="J1906" i="5"/>
  <c r="J1939" i="5"/>
  <c r="J1979" i="5"/>
  <c r="J826" i="5"/>
  <c r="J876" i="5"/>
  <c r="J926" i="5"/>
  <c r="J976" i="5"/>
  <c r="J994" i="5"/>
  <c r="J1049" i="5"/>
  <c r="J1091" i="5"/>
  <c r="J1112" i="5"/>
  <c r="J1151" i="5"/>
  <c r="J1172" i="5"/>
  <c r="J1241" i="5"/>
  <c r="J1262" i="5"/>
  <c r="J1284" i="5"/>
  <c r="J1330" i="5"/>
  <c r="J1353" i="5"/>
  <c r="J1377" i="5"/>
  <c r="J1397" i="5"/>
  <c r="J1419" i="5"/>
  <c r="J1467" i="5"/>
  <c r="J1492" i="5"/>
  <c r="J1576" i="5"/>
  <c r="J1602" i="5"/>
  <c r="J1629" i="5"/>
  <c r="J1689" i="5"/>
  <c r="J1717" i="5"/>
  <c r="J1746" i="5"/>
  <c r="J1773" i="5"/>
  <c r="J1808" i="5"/>
  <c r="J1840" i="5"/>
  <c r="J1872" i="5"/>
  <c r="J1941" i="5"/>
  <c r="J1980" i="5"/>
  <c r="J340" i="5"/>
  <c r="J350" i="5"/>
  <c r="J360" i="5"/>
  <c r="J370" i="5"/>
  <c r="J380" i="5"/>
  <c r="J390" i="5"/>
  <c r="J400" i="5"/>
  <c r="J410" i="5"/>
  <c r="J420" i="5"/>
  <c r="J430" i="5"/>
  <c r="J440" i="5"/>
  <c r="J450" i="5"/>
  <c r="J460" i="5"/>
  <c r="J470" i="5"/>
  <c r="J480" i="5"/>
  <c r="J490" i="5"/>
  <c r="J500" i="5"/>
  <c r="J510" i="5"/>
  <c r="J520" i="5"/>
  <c r="J530" i="5"/>
  <c r="J540" i="5"/>
  <c r="J550" i="5"/>
  <c r="J560" i="5"/>
  <c r="J570" i="5"/>
  <c r="J580" i="5"/>
  <c r="J590" i="5"/>
  <c r="J600" i="5"/>
  <c r="J610" i="5"/>
  <c r="J620" i="5"/>
  <c r="J630" i="5"/>
  <c r="J640" i="5"/>
  <c r="J650" i="5"/>
  <c r="J660" i="5"/>
  <c r="J670" i="5"/>
  <c r="J680" i="5"/>
  <c r="J690" i="5"/>
  <c r="J700" i="5"/>
  <c r="J710" i="5"/>
  <c r="J720" i="5"/>
  <c r="J730" i="5"/>
  <c r="J740" i="5"/>
  <c r="J750" i="5"/>
  <c r="J760" i="5"/>
  <c r="J770" i="5"/>
  <c r="J780" i="5"/>
  <c r="J794" i="5"/>
  <c r="J811" i="5"/>
  <c r="J844" i="5"/>
  <c r="J861" i="5"/>
  <c r="J894" i="5"/>
  <c r="J911" i="5"/>
  <c r="J944" i="5"/>
  <c r="J961" i="5"/>
  <c r="J1033" i="5"/>
  <c r="J1051" i="5"/>
  <c r="J1071" i="5"/>
  <c r="J1133" i="5"/>
  <c r="J1152" i="5"/>
  <c r="J1219" i="5"/>
  <c r="J1242" i="5"/>
  <c r="J1266" i="5"/>
  <c r="J1286" i="5"/>
  <c r="J1308" i="5"/>
  <c r="J1355" i="5"/>
  <c r="J1398" i="5"/>
  <c r="J1443" i="5"/>
  <c r="J1468" i="5"/>
  <c r="J1493" i="5"/>
  <c r="J1520" i="5"/>
  <c r="J1550" i="5"/>
  <c r="J1577" i="5"/>
  <c r="J1603" i="5"/>
  <c r="J1690" i="5"/>
  <c r="J1718" i="5"/>
  <c r="J1874" i="5"/>
  <c r="J1947" i="5"/>
  <c r="J1982" i="5"/>
  <c r="J752" i="5"/>
  <c r="J762" i="5"/>
  <c r="J772" i="5"/>
  <c r="J782" i="5"/>
  <c r="J814" i="5"/>
  <c r="J831" i="5"/>
  <c r="J864" i="5"/>
  <c r="J881" i="5"/>
  <c r="J914" i="5"/>
  <c r="J931" i="5"/>
  <c r="J964" i="5"/>
  <c r="J981" i="5"/>
  <c r="J997" i="5"/>
  <c r="J1016" i="5"/>
  <c r="J1077" i="5"/>
  <c r="J1136" i="5"/>
  <c r="J1157" i="5"/>
  <c r="J1222" i="5"/>
  <c r="J1246" i="5"/>
  <c r="J1315" i="5"/>
  <c r="J1380" i="5"/>
  <c r="J1403" i="5"/>
  <c r="J1427" i="5"/>
  <c r="J1472" i="5"/>
  <c r="J1555" i="5"/>
  <c r="J1580" i="5"/>
  <c r="J1611" i="5"/>
  <c r="J1638" i="5"/>
  <c r="J1694" i="5"/>
  <c r="J1753" i="5"/>
  <c r="J1783" i="5"/>
  <c r="J1815" i="5"/>
  <c r="J1883" i="5"/>
  <c r="J1987" i="5"/>
  <c r="J867" i="5"/>
  <c r="J902" i="5"/>
  <c r="J917" i="5"/>
  <c r="J952" i="5"/>
  <c r="J967" i="5"/>
  <c r="J1040" i="5"/>
  <c r="J1060" i="5"/>
  <c r="J1122" i="5"/>
  <c r="J1141" i="5"/>
  <c r="J1184" i="5"/>
  <c r="J1207" i="5"/>
  <c r="J1230" i="5"/>
  <c r="J1273" i="5"/>
  <c r="J1296" i="5"/>
  <c r="J1365" i="5"/>
  <c r="J1386" i="5"/>
  <c r="J1455" i="5"/>
  <c r="J1479" i="5"/>
  <c r="J1506" i="5"/>
  <c r="J1562" i="5"/>
  <c r="J1589" i="5"/>
  <c r="J1675" i="5"/>
  <c r="J1759" i="5"/>
  <c r="J1823" i="5"/>
  <c r="J1856" i="5"/>
  <c r="J2000" i="5"/>
  <c r="J985" i="5"/>
  <c r="J1004" i="5"/>
  <c r="J1023" i="5"/>
  <c r="J1041" i="5"/>
  <c r="J1102" i="5"/>
  <c r="J1123" i="5"/>
  <c r="J1162" i="5"/>
  <c r="J1185" i="5"/>
  <c r="J1253" i="5"/>
  <c r="J1275" i="5"/>
  <c r="J1342" i="5"/>
  <c r="J1389" i="5"/>
  <c r="J1409" i="5"/>
  <c r="J1431" i="5"/>
  <c r="J1456" i="5"/>
  <c r="J1480" i="5"/>
  <c r="J1537" i="5"/>
  <c r="J1563" i="5"/>
  <c r="J1590" i="5"/>
  <c r="J1617" i="5"/>
  <c r="J1645" i="5"/>
  <c r="J1703" i="5"/>
  <c r="J1760" i="5"/>
  <c r="J1795" i="5"/>
  <c r="J1826" i="5"/>
  <c r="J1857" i="5"/>
  <c r="J1890" i="5"/>
  <c r="J1926" i="5"/>
  <c r="J1963" i="5"/>
  <c r="J836" i="5"/>
  <c r="J886" i="5"/>
  <c r="J936" i="5"/>
  <c r="J986" i="5"/>
  <c r="J1024" i="5"/>
  <c r="J1062" i="5"/>
  <c r="J1082" i="5"/>
  <c r="J1144" i="5"/>
  <c r="J1163" i="5"/>
  <c r="J1231" i="5"/>
  <c r="J1278" i="5"/>
  <c r="J1298" i="5"/>
  <c r="J1320" i="5"/>
  <c r="J1343" i="5"/>
  <c r="J1367" i="5"/>
  <c r="J1432" i="5"/>
  <c r="J1508" i="5"/>
  <c r="J1538" i="5"/>
  <c r="J1564" i="5"/>
  <c r="J1591" i="5"/>
  <c r="J1649" i="5"/>
  <c r="J1733" i="5"/>
  <c r="J1827" i="5"/>
  <c r="J1859" i="5"/>
  <c r="J1891" i="5"/>
  <c r="J1965" i="5"/>
  <c r="J2002" i="5"/>
  <c r="J1028" i="5"/>
  <c r="J1050" i="5"/>
  <c r="J1061" i="5"/>
  <c r="J1072" i="5"/>
  <c r="J1083" i="5"/>
  <c r="J1094" i="5"/>
  <c r="J1150" i="5"/>
  <c r="J1161" i="5"/>
  <c r="J1173" i="5"/>
  <c r="J1186" i="5"/>
  <c r="J1198" i="5"/>
  <c r="J1260" i="5"/>
  <c r="J1272" i="5"/>
  <c r="J1285" i="5"/>
  <c r="J1297" i="5"/>
  <c r="J1309" i="5"/>
  <c r="J1334" i="5"/>
  <c r="J1371" i="5"/>
  <c r="J1383" i="5"/>
  <c r="J1396" i="5"/>
  <c r="J1408" i="5"/>
  <c r="J1420" i="5"/>
  <c r="J1482" i="5"/>
  <c r="J1495" i="5"/>
  <c r="J1507" i="5"/>
  <c r="J1519" i="5"/>
  <c r="J1531" i="5"/>
  <c r="J1544" i="5"/>
  <c r="J1593" i="5"/>
  <c r="J1606" i="5"/>
  <c r="J1618" i="5"/>
  <c r="J1630" i="5"/>
  <c r="J1642" i="5"/>
  <c r="J1669" i="5"/>
  <c r="J1682" i="5"/>
  <c r="J1708" i="5"/>
  <c r="J1735" i="5"/>
  <c r="J1774" i="5"/>
  <c r="J1817" i="5"/>
  <c r="J1846" i="5"/>
  <c r="J1861" i="5"/>
  <c r="J1876" i="5"/>
  <c r="J1892" i="5"/>
  <c r="J1908" i="5"/>
  <c r="J1923" i="5"/>
  <c r="J1956" i="5"/>
  <c r="J1989" i="5"/>
  <c r="J788" i="5"/>
  <c r="J798" i="5"/>
  <c r="J808" i="5"/>
  <c r="J818" i="5"/>
  <c r="J828" i="5"/>
  <c r="J838" i="5"/>
  <c r="J848" i="5"/>
  <c r="J858" i="5"/>
  <c r="J868" i="5"/>
  <c r="J878" i="5"/>
  <c r="J888" i="5"/>
  <c r="J898" i="5"/>
  <c r="J908" i="5"/>
  <c r="J918" i="5"/>
  <c r="J928" i="5"/>
  <c r="J938" i="5"/>
  <c r="J948" i="5"/>
  <c r="J958" i="5"/>
  <c r="J968" i="5"/>
  <c r="J978" i="5"/>
  <c r="J988" i="5"/>
  <c r="J998" i="5"/>
  <c r="J1008" i="5"/>
  <c r="J1018" i="5"/>
  <c r="J1039" i="5"/>
  <c r="J1095" i="5"/>
  <c r="J1106" i="5"/>
  <c r="J1117" i="5"/>
  <c r="J1128" i="5"/>
  <c r="J1139" i="5"/>
  <c r="J1174" i="5"/>
  <c r="J1199" i="5"/>
  <c r="J1211" i="5"/>
  <c r="J1223" i="5"/>
  <c r="J1236" i="5"/>
  <c r="J1248" i="5"/>
  <c r="J1310" i="5"/>
  <c r="J1322" i="5"/>
  <c r="J1335" i="5"/>
  <c r="J1347" i="5"/>
  <c r="J1359" i="5"/>
  <c r="J1384" i="5"/>
  <c r="J1421" i="5"/>
  <c r="J1433" i="5"/>
  <c r="J1446" i="5"/>
  <c r="J1458" i="5"/>
  <c r="J1470" i="5"/>
  <c r="J1532" i="5"/>
  <c r="J1545" i="5"/>
  <c r="J1557" i="5"/>
  <c r="J1569" i="5"/>
  <c r="J1581" i="5"/>
  <c r="J1594" i="5"/>
  <c r="J1644" i="5"/>
  <c r="J1657" i="5"/>
  <c r="J1696" i="5"/>
  <c r="J1722" i="5"/>
  <c r="J1748" i="5"/>
  <c r="J1761" i="5"/>
  <c r="J1775" i="5"/>
  <c r="J1789" i="5"/>
  <c r="J1802" i="5"/>
  <c r="J1831" i="5"/>
  <c r="J1847" i="5"/>
  <c r="J1893" i="5"/>
  <c r="J1925" i="5"/>
  <c r="J1972" i="5"/>
  <c r="J789" i="5"/>
  <c r="J799" i="5"/>
  <c r="J809" i="5"/>
  <c r="J819" i="5"/>
  <c r="J829" i="5"/>
  <c r="J839" i="5"/>
  <c r="J849" i="5"/>
  <c r="J859" i="5"/>
  <c r="J869" i="5"/>
  <c r="J879" i="5"/>
  <c r="J889" i="5"/>
  <c r="J899" i="5"/>
  <c r="J909" i="5"/>
  <c r="J919" i="5"/>
  <c r="J929" i="5"/>
  <c r="J939" i="5"/>
  <c r="J949" i="5"/>
  <c r="J959" i="5"/>
  <c r="J969" i="5"/>
  <c r="J979" i="5"/>
  <c r="J989" i="5"/>
  <c r="J999" i="5"/>
  <c r="J1009" i="5"/>
  <c r="J1019" i="5"/>
  <c r="J1030" i="5"/>
  <c r="J1085" i="5"/>
  <c r="J1096" i="5"/>
  <c r="J1107" i="5"/>
  <c r="J1118" i="5"/>
  <c r="J1129" i="5"/>
  <c r="J1188" i="5"/>
  <c r="J1200" i="5"/>
  <c r="J1212" i="5"/>
  <c r="J1225" i="5"/>
  <c r="J1237" i="5"/>
  <c r="J1274" i="5"/>
  <c r="J1299" i="5"/>
  <c r="J1311" i="5"/>
  <c r="J1323" i="5"/>
  <c r="J1336" i="5"/>
  <c r="J1348" i="5"/>
  <c r="J1410" i="5"/>
  <c r="J1422" i="5"/>
  <c r="J1435" i="5"/>
  <c r="J1447" i="5"/>
  <c r="J1459" i="5"/>
  <c r="J1484" i="5"/>
  <c r="J1521" i="5"/>
  <c r="J1533" i="5"/>
  <c r="J1546" i="5"/>
  <c r="J1558" i="5"/>
  <c r="J1570" i="5"/>
  <c r="J1632" i="5"/>
  <c r="J1658" i="5"/>
  <c r="J1671" i="5"/>
  <c r="J1684" i="5"/>
  <c r="J1697" i="5"/>
  <c r="J1723" i="5"/>
  <c r="J1762" i="5"/>
  <c r="J1776" i="5"/>
  <c r="J1790" i="5"/>
  <c r="J1805" i="5"/>
  <c r="J1833" i="5"/>
  <c r="J1849" i="5"/>
  <c r="J1895" i="5"/>
  <c r="J1927" i="5"/>
  <c r="J1958" i="5"/>
  <c r="J1974" i="5"/>
  <c r="J1991" i="5"/>
  <c r="J1485" i="5"/>
  <c r="J1497" i="5"/>
  <c r="J1509" i="5"/>
  <c r="J1534" i="5"/>
  <c r="J1571" i="5"/>
  <c r="J1583" i="5"/>
  <c r="J1596" i="5"/>
  <c r="J1608" i="5"/>
  <c r="J1620" i="5"/>
  <c r="J1646" i="5"/>
  <c r="J1685" i="5"/>
  <c r="J1711" i="5"/>
  <c r="J1724" i="5"/>
  <c r="J1737" i="5"/>
  <c r="J1750" i="5"/>
  <c r="J1819" i="5"/>
  <c r="J1834" i="5"/>
  <c r="J1863" i="5"/>
  <c r="J1879" i="5"/>
  <c r="J1911" i="5"/>
  <c r="J1942" i="5"/>
  <c r="J1959" i="5"/>
  <c r="J1992" i="5"/>
  <c r="J800" i="5"/>
  <c r="J810" i="5"/>
  <c r="J820" i="5"/>
  <c r="J830" i="5"/>
  <c r="J840" i="5"/>
  <c r="J850" i="5"/>
  <c r="J860" i="5"/>
  <c r="J870" i="5"/>
  <c r="J880" i="5"/>
  <c r="J890" i="5"/>
  <c r="J900" i="5"/>
  <c r="J910" i="5"/>
  <c r="J920" i="5"/>
  <c r="J930" i="5"/>
  <c r="J940" i="5"/>
  <c r="J950" i="5"/>
  <c r="J960" i="5"/>
  <c r="J970" i="5"/>
  <c r="J980" i="5"/>
  <c r="J990" i="5"/>
  <c r="J1000" i="5"/>
  <c r="J1010" i="5"/>
  <c r="J1031" i="5"/>
  <c r="J1075" i="5"/>
  <c r="J1086" i="5"/>
  <c r="J1097" i="5"/>
  <c r="J1108" i="5"/>
  <c r="J1119" i="5"/>
  <c r="J1164" i="5"/>
  <c r="J1177" i="5"/>
  <c r="J1189" i="5"/>
  <c r="J1201" i="5"/>
  <c r="J1213" i="5"/>
  <c r="J1226" i="5"/>
  <c r="J1288" i="5"/>
  <c r="J1300" i="5"/>
  <c r="J1312" i="5"/>
  <c r="J1325" i="5"/>
  <c r="J1337" i="5"/>
  <c r="J1374" i="5"/>
  <c r="J1399" i="5"/>
  <c r="J1411" i="5"/>
  <c r="J1423" i="5"/>
  <c r="J1436" i="5"/>
  <c r="J1448" i="5"/>
  <c r="J1510" i="5"/>
  <c r="J1522" i="5"/>
  <c r="J1535" i="5"/>
  <c r="J1547" i="5"/>
  <c r="J1559" i="5"/>
  <c r="J1584" i="5"/>
  <c r="J1621" i="5"/>
  <c r="J1633" i="5"/>
  <c r="J1659" i="5"/>
  <c r="J1672" i="5"/>
  <c r="J1698" i="5"/>
  <c r="J1725" i="5"/>
  <c r="J1738" i="5"/>
  <c r="J1763" i="5"/>
  <c r="J1778" i="5"/>
  <c r="J1791" i="5"/>
  <c r="J1806" i="5"/>
  <c r="J1835" i="5"/>
  <c r="J1850" i="5"/>
  <c r="J1864" i="5"/>
  <c r="J1880" i="5"/>
  <c r="J1928" i="5"/>
  <c r="J1944" i="5"/>
  <c r="J1960" i="5"/>
  <c r="J1976" i="5"/>
  <c r="J1993" i="5"/>
  <c r="J1021" i="5"/>
  <c r="J1042" i="5"/>
  <c r="J1053" i="5"/>
  <c r="J1064" i="5"/>
  <c r="J1120" i="5"/>
  <c r="J1131" i="5"/>
  <c r="J1142" i="5"/>
  <c r="J1153" i="5"/>
  <c r="J1165" i="5"/>
  <c r="J1214" i="5"/>
  <c r="J1227" i="5"/>
  <c r="J1239" i="5"/>
  <c r="J1251" i="5"/>
  <c r="J1263" i="5"/>
  <c r="J1276" i="5"/>
  <c r="J1338" i="5"/>
  <c r="J1350" i="5"/>
  <c r="J1362" i="5"/>
  <c r="J1375" i="5"/>
  <c r="J1387" i="5"/>
  <c r="J1424" i="5"/>
  <c r="J1449" i="5"/>
  <c r="J1461" i="5"/>
  <c r="J1473" i="5"/>
  <c r="J1486" i="5"/>
  <c r="J1498" i="5"/>
  <c r="J1560" i="5"/>
  <c r="J1572" i="5"/>
  <c r="J1585" i="5"/>
  <c r="J1597" i="5"/>
  <c r="J1609" i="5"/>
  <c r="J1634" i="5"/>
  <c r="J1647" i="5"/>
  <c r="J1660" i="5"/>
  <c r="J1686" i="5"/>
  <c r="J1712" i="5"/>
  <c r="J1751" i="5"/>
  <c r="J1764" i="5"/>
  <c r="J1792" i="5"/>
  <c r="J1820" i="5"/>
  <c r="J1836" i="5"/>
  <c r="J1865" i="5"/>
  <c r="J1881" i="5"/>
  <c r="J1897" i="5"/>
  <c r="J1912" i="5"/>
  <c r="J1945" i="5"/>
  <c r="J1994" i="5"/>
  <c r="J991" i="5"/>
  <c r="J1001" i="5"/>
  <c r="J1011" i="5"/>
  <c r="J1032" i="5"/>
  <c r="J1065" i="5"/>
  <c r="J1076" i="5"/>
  <c r="J1087" i="5"/>
  <c r="J1098" i="5"/>
  <c r="J1109" i="5"/>
  <c r="J1166" i="5"/>
  <c r="J1178" i="5"/>
  <c r="J1190" i="5"/>
  <c r="J1202" i="5"/>
  <c r="J1215" i="5"/>
  <c r="J1264" i="5"/>
  <c r="J1277" i="5"/>
  <c r="J1289" i="5"/>
  <c r="J1301" i="5"/>
  <c r="J1313" i="5"/>
  <c r="J1326" i="5"/>
  <c r="J1388" i="5"/>
  <c r="J1400" i="5"/>
  <c r="J1412" i="5"/>
  <c r="J1425" i="5"/>
  <c r="J1437" i="5"/>
  <c r="J1474" i="5"/>
  <c r="J1499" i="5"/>
  <c r="J1511" i="5"/>
  <c r="J1523" i="5"/>
  <c r="J1536" i="5"/>
  <c r="J1548" i="5"/>
  <c r="J1610" i="5"/>
  <c r="J1622" i="5"/>
  <c r="J1635" i="5"/>
  <c r="J1673" i="5"/>
  <c r="J1700" i="5"/>
  <c r="J1726" i="5"/>
  <c r="J1739" i="5"/>
  <c r="J1765" i="5"/>
  <c r="J1779" i="5"/>
  <c r="J1793" i="5"/>
  <c r="J1807" i="5"/>
  <c r="J1837" i="5"/>
  <c r="J1851" i="5"/>
  <c r="J1882" i="5"/>
  <c r="J1913" i="5"/>
  <c r="J1961" i="5"/>
  <c r="J1978" i="5"/>
  <c r="J1995" i="5"/>
  <c r="J1022" i="5"/>
  <c r="J1043" i="5"/>
  <c r="J1054" i="5"/>
  <c r="J1110" i="5"/>
  <c r="J1121" i="5"/>
  <c r="J1132" i="5"/>
  <c r="J1143" i="5"/>
  <c r="J1154" i="5"/>
  <c r="J1216" i="5"/>
  <c r="J1228" i="5"/>
  <c r="J1240" i="5"/>
  <c r="J1252" i="5"/>
  <c r="J1265" i="5"/>
  <c r="J1314" i="5"/>
  <c r="J1327" i="5"/>
  <c r="J1339" i="5"/>
  <c r="J1351" i="5"/>
  <c r="J1363" i="5"/>
  <c r="J1376" i="5"/>
  <c r="J1438" i="5"/>
  <c r="J1450" i="5"/>
  <c r="J1462" i="5"/>
  <c r="J1475" i="5"/>
  <c r="J1487" i="5"/>
  <c r="J1524" i="5"/>
  <c r="J1549" i="5"/>
  <c r="J1561" i="5"/>
  <c r="J1573" i="5"/>
  <c r="J1586" i="5"/>
  <c r="J1598" i="5"/>
  <c r="J1648" i="5"/>
  <c r="J1661" i="5"/>
  <c r="J1674" i="5"/>
  <c r="J1687" i="5"/>
  <c r="J1713" i="5"/>
  <c r="J1727" i="5"/>
  <c r="J1752" i="5"/>
  <c r="J1794" i="5"/>
  <c r="J1822" i="5"/>
  <c r="J1838" i="5"/>
  <c r="J1867" i="5"/>
  <c r="J1898" i="5"/>
  <c r="J1915" i="5"/>
  <c r="J1930" i="5"/>
  <c r="J1946" i="5"/>
  <c r="J783" i="5"/>
  <c r="J793" i="5"/>
  <c r="J803" i="5"/>
  <c r="J813" i="5"/>
  <c r="J823" i="5"/>
  <c r="J833" i="5"/>
  <c r="J843" i="5"/>
  <c r="J853" i="5"/>
  <c r="J863" i="5"/>
  <c r="J873" i="5"/>
  <c r="J883" i="5"/>
  <c r="J893" i="5"/>
  <c r="J903" i="5"/>
  <c r="J913" i="5"/>
  <c r="J923" i="5"/>
  <c r="J933" i="5"/>
  <c r="J943" i="5"/>
  <c r="J953" i="5"/>
  <c r="J963" i="5"/>
  <c r="J973" i="5"/>
  <c r="J983" i="5"/>
  <c r="J993" i="5"/>
  <c r="J1003" i="5"/>
  <c r="J1013" i="5"/>
  <c r="J1034" i="5"/>
  <c r="J1045" i="5"/>
  <c r="J1056" i="5"/>
  <c r="J1067" i="5"/>
  <c r="J1078" i="5"/>
  <c r="J1089" i="5"/>
  <c r="J1145" i="5"/>
  <c r="J1156" i="5"/>
  <c r="J1168" i="5"/>
  <c r="J1180" i="5"/>
  <c r="J1192" i="5"/>
  <c r="J1255" i="5"/>
  <c r="J1267" i="5"/>
  <c r="J1279" i="5"/>
  <c r="J1291" i="5"/>
  <c r="J1303" i="5"/>
  <c r="J1366" i="5"/>
  <c r="J1378" i="5"/>
  <c r="J1390" i="5"/>
  <c r="J1402" i="5"/>
  <c r="J1415" i="5"/>
  <c r="J1464" i="5"/>
  <c r="J1477" i="5"/>
  <c r="J1489" i="5"/>
  <c r="J1501" i="5"/>
  <c r="J1513" i="5"/>
  <c r="J1526" i="5"/>
  <c r="J1588" i="5"/>
  <c r="J1600" i="5"/>
  <c r="J1612" i="5"/>
  <c r="J1625" i="5"/>
  <c r="J1637" i="5"/>
  <c r="J1650" i="5"/>
  <c r="J1676" i="5"/>
  <c r="J1702" i="5"/>
  <c r="J1716" i="5"/>
  <c r="J1741" i="5"/>
  <c r="J1768" i="5"/>
  <c r="J1782" i="5"/>
  <c r="J1796" i="5"/>
  <c r="J1809" i="5"/>
  <c r="J1825" i="5"/>
  <c r="J1853" i="5"/>
  <c r="J1869" i="5"/>
  <c r="J1917" i="5"/>
  <c r="J1949" i="5"/>
  <c r="J1964" i="5"/>
  <c r="J1981" i="5"/>
  <c r="J1453" i="5"/>
  <c r="J1516" i="5"/>
  <c r="J1528" i="5"/>
  <c r="J1540" i="5"/>
  <c r="J1552" i="5"/>
  <c r="J1565" i="5"/>
  <c r="J1614" i="5"/>
  <c r="J1627" i="5"/>
  <c r="J1639" i="5"/>
  <c r="J1665" i="5"/>
  <c r="J1691" i="5"/>
  <c r="J1705" i="5"/>
  <c r="J1730" i="5"/>
  <c r="J1744" i="5"/>
  <c r="J1757" i="5"/>
  <c r="J1770" i="5"/>
  <c r="J1784" i="5"/>
  <c r="J1841" i="5"/>
  <c r="J1887" i="5"/>
  <c r="J1903" i="5"/>
  <c r="J1919" i="5"/>
  <c r="J1935" i="5"/>
  <c r="J1967" i="5"/>
  <c r="J1983" i="5"/>
  <c r="J2001" i="5"/>
  <c r="J1026" i="5"/>
  <c r="J1070" i="5"/>
  <c r="J1081" i="5"/>
  <c r="J1092" i="5"/>
  <c r="J1103" i="5"/>
  <c r="J1114" i="5"/>
  <c r="J1171" i="5"/>
  <c r="J1183" i="5"/>
  <c r="J1196" i="5"/>
  <c r="J1208" i="5"/>
  <c r="J1220" i="5"/>
  <c r="J1282" i="5"/>
  <c r="J1295" i="5"/>
  <c r="J1307" i="5"/>
  <c r="J1319" i="5"/>
  <c r="J1331" i="5"/>
  <c r="J1344" i="5"/>
  <c r="J1393" i="5"/>
  <c r="J1406" i="5"/>
  <c r="J1418" i="5"/>
  <c r="J1430" i="5"/>
  <c r="J1442" i="5"/>
  <c r="J1505" i="5"/>
  <c r="J1517" i="5"/>
  <c r="J1529" i="5"/>
  <c r="J1541" i="5"/>
  <c r="J1553" i="5"/>
  <c r="J1616" i="5"/>
  <c r="J1628" i="5"/>
  <c r="J1640" i="5"/>
  <c r="J1667" i="5"/>
  <c r="J1692" i="5"/>
  <c r="J1706" i="5"/>
  <c r="J1731" i="5"/>
  <c r="J1758" i="5"/>
  <c r="J1813" i="5"/>
  <c r="J1842" i="5"/>
  <c r="J1858" i="5"/>
  <c r="J1889" i="5"/>
  <c r="J1920" i="5"/>
  <c r="J1937" i="5"/>
  <c r="J1952" i="5"/>
  <c r="J1968" i="5"/>
  <c r="J2003" i="5"/>
  <c r="J1873" i="5"/>
  <c r="J1885" i="5"/>
  <c r="J1896" i="5"/>
  <c r="J1907" i="5"/>
  <c r="J1918" i="5"/>
  <c r="J1929" i="5"/>
  <c r="J1940" i="5"/>
  <c r="J1951" i="5"/>
  <c r="J1962" i="5"/>
  <c r="J1973" i="5"/>
  <c r="J1985" i="5"/>
  <c r="J1996" i="5"/>
  <c r="J1975" i="5"/>
  <c r="J1986" i="5"/>
  <c r="J1997" i="5"/>
  <c r="J1254" i="5"/>
  <c r="J1354" i="5"/>
  <c r="J1454" i="5"/>
  <c r="J1554" i="5"/>
  <c r="J1654" i="5"/>
  <c r="J1754" i="5"/>
  <c r="J1854" i="5"/>
  <c r="J1954" i="5"/>
  <c r="J1643" i="5"/>
  <c r="J1655" i="5"/>
  <c r="J1666" i="5"/>
  <c r="J1677" i="5"/>
  <c r="J1688" i="5"/>
  <c r="J1699" i="5"/>
  <c r="J1710" i="5"/>
  <c r="J1721" i="5"/>
  <c r="J1732" i="5"/>
  <c r="J1743" i="5"/>
  <c r="J1755" i="5"/>
  <c r="J1766" i="5"/>
  <c r="J1777" i="5"/>
  <c r="J1788" i="5"/>
  <c r="J1799" i="5"/>
  <c r="J1810" i="5"/>
  <c r="J1821" i="5"/>
  <c r="J1832" i="5"/>
  <c r="J1843" i="5"/>
  <c r="J1855" i="5"/>
  <c r="J1866" i="5"/>
  <c r="J1877" i="5"/>
  <c r="J1888" i="5"/>
  <c r="J1899" i="5"/>
  <c r="J1910" i="5"/>
  <c r="J1921" i="5"/>
  <c r="J1932" i="5"/>
  <c r="J1943" i="5"/>
  <c r="J1955" i="5"/>
  <c r="J1966" i="5"/>
  <c r="J1977" i="5"/>
  <c r="J1988" i="5"/>
  <c r="J1999" i="5"/>
  <c r="J1824" i="5"/>
  <c r="J1924" i="5"/>
  <c r="J1814" i="5"/>
  <c r="J1914" i="5"/>
  <c r="J1204" i="5"/>
  <c r="J1304" i="5"/>
  <c r="J1404" i="5"/>
  <c r="J1504" i="5"/>
  <c r="J1604" i="5"/>
  <c r="J1704" i="5"/>
  <c r="J1804" i="5"/>
  <c r="J1904" i="5"/>
  <c r="J2004" i="5"/>
  <c r="K103" i="5"/>
  <c r="K183" i="5"/>
  <c r="K243" i="5"/>
  <c r="K283" i="5"/>
  <c r="K351" i="5"/>
  <c r="K519" i="5"/>
  <c r="K717" i="5"/>
  <c r="K879" i="5"/>
  <c r="K1059" i="5"/>
  <c r="K1593" i="5"/>
  <c r="K1899" i="5"/>
  <c r="K104" i="5"/>
  <c r="K114" i="5"/>
  <c r="K124" i="5"/>
  <c r="K134" i="5"/>
  <c r="K144" i="5"/>
  <c r="K154" i="5"/>
  <c r="K164" i="5"/>
  <c r="K174" i="5"/>
  <c r="K184" i="5"/>
  <c r="K194" i="5"/>
  <c r="K204" i="5"/>
  <c r="K214" i="5"/>
  <c r="K224" i="5"/>
  <c r="K234" i="5"/>
  <c r="K244" i="5"/>
  <c r="K254" i="5"/>
  <c r="K264" i="5"/>
  <c r="K274" i="5"/>
  <c r="K284" i="5"/>
  <c r="K294" i="5"/>
  <c r="K304" i="5"/>
  <c r="K314" i="5"/>
  <c r="K324" i="5"/>
  <c r="K336" i="5"/>
  <c r="K352" i="5"/>
  <c r="K370" i="5"/>
  <c r="K386" i="5"/>
  <c r="K402" i="5"/>
  <c r="K420" i="5"/>
  <c r="K436" i="5"/>
  <c r="K452" i="5"/>
  <c r="K470" i="5"/>
  <c r="K486" i="5"/>
  <c r="K502" i="5"/>
  <c r="K520" i="5"/>
  <c r="K536" i="5"/>
  <c r="K629" i="5"/>
  <c r="K649" i="5"/>
  <c r="K694" i="5"/>
  <c r="K718" i="5"/>
  <c r="K743" i="5"/>
  <c r="K764" i="5"/>
  <c r="K789" i="5"/>
  <c r="K1001" i="5"/>
  <c r="K1066" i="5"/>
  <c r="K1153" i="5"/>
  <c r="K1238" i="5"/>
  <c r="K1278" i="5"/>
  <c r="K1442" i="5"/>
  <c r="K1492" i="5"/>
  <c r="K1546" i="5"/>
  <c r="K1606" i="5"/>
  <c r="K1656" i="5"/>
  <c r="K1759" i="5"/>
  <c r="K1088" i="5"/>
  <c r="K1826" i="5"/>
  <c r="K572" i="5"/>
  <c r="K591" i="5"/>
  <c r="K610" i="5"/>
  <c r="K631" i="5"/>
  <c r="K650" i="5"/>
  <c r="K671" i="5"/>
  <c r="K768" i="5"/>
  <c r="K850" i="5"/>
  <c r="K882" i="5"/>
  <c r="K914" i="5"/>
  <c r="K941" i="5"/>
  <c r="K1002" i="5"/>
  <c r="K1034" i="5"/>
  <c r="K1067" i="5"/>
  <c r="K1096" i="5"/>
  <c r="K1125" i="5"/>
  <c r="K1240" i="5"/>
  <c r="K1281" i="5"/>
  <c r="K1445" i="5"/>
  <c r="K1493" i="5"/>
  <c r="K1657" i="5"/>
  <c r="K1905" i="5"/>
  <c r="K223" i="5"/>
  <c r="K369" i="5"/>
  <c r="K1488" i="5"/>
  <c r="K535" i="5"/>
  <c r="K105" i="5"/>
  <c r="K115" i="5"/>
  <c r="K125" i="5"/>
  <c r="K135" i="5"/>
  <c r="K145" i="5"/>
  <c r="K155" i="5"/>
  <c r="K165" i="5"/>
  <c r="K175" i="5"/>
  <c r="K185" i="5"/>
  <c r="K195" i="5"/>
  <c r="K205" i="5"/>
  <c r="K215" i="5"/>
  <c r="K225" i="5"/>
  <c r="K235" i="5"/>
  <c r="K245" i="5"/>
  <c r="K255" i="5"/>
  <c r="K265" i="5"/>
  <c r="K275" i="5"/>
  <c r="K285" i="5"/>
  <c r="K295" i="5"/>
  <c r="K305" i="5"/>
  <c r="K315" i="5"/>
  <c r="K325" i="5"/>
  <c r="K339" i="5"/>
  <c r="K371" i="5"/>
  <c r="K389" i="5"/>
  <c r="K421" i="5"/>
  <c r="K439" i="5"/>
  <c r="K471" i="5"/>
  <c r="K489" i="5"/>
  <c r="K521" i="5"/>
  <c r="K539" i="5"/>
  <c r="K555" i="5"/>
  <c r="K653" i="5"/>
  <c r="K695" i="5"/>
  <c r="K719" i="5"/>
  <c r="K744" i="5"/>
  <c r="K770" i="5"/>
  <c r="K792" i="5"/>
  <c r="K820" i="5"/>
  <c r="K851" i="5"/>
  <c r="K1099" i="5"/>
  <c r="K1126" i="5"/>
  <c r="K1155" i="5"/>
  <c r="K1198" i="5"/>
  <c r="K1241" i="5"/>
  <c r="K1323" i="5"/>
  <c r="K1361" i="5"/>
  <c r="K1401" i="5"/>
  <c r="K1558" i="5"/>
  <c r="K1607" i="5"/>
  <c r="K1710" i="5"/>
  <c r="K1766" i="5"/>
  <c r="K1839" i="5"/>
  <c r="K113" i="5"/>
  <c r="K203" i="5"/>
  <c r="K293" i="5"/>
  <c r="K451" i="5"/>
  <c r="K693" i="5"/>
  <c r="K1756" i="5"/>
  <c r="K355" i="5"/>
  <c r="K405" i="5"/>
  <c r="K455" i="5"/>
  <c r="K505" i="5"/>
  <c r="K592" i="5"/>
  <c r="K611" i="5"/>
  <c r="K632" i="5"/>
  <c r="K674" i="5"/>
  <c r="K696" i="5"/>
  <c r="K720" i="5"/>
  <c r="K796" i="5"/>
  <c r="K883" i="5"/>
  <c r="K916" i="5"/>
  <c r="K949" i="5"/>
  <c r="K1035" i="5"/>
  <c r="K1068" i="5"/>
  <c r="K1100" i="5"/>
  <c r="K1130" i="5"/>
  <c r="K1242" i="5"/>
  <c r="K1283" i="5"/>
  <c r="K1326" i="5"/>
  <c r="K1362" i="5"/>
  <c r="K1402" i="5"/>
  <c r="K1446" i="5"/>
  <c r="K1498" i="5"/>
  <c r="K1659" i="5"/>
  <c r="K1909" i="5"/>
  <c r="K173" i="5"/>
  <c r="K401" i="5"/>
  <c r="K738" i="5"/>
  <c r="K571" i="5"/>
  <c r="K96" i="5"/>
  <c r="K106" i="5"/>
  <c r="K116" i="5"/>
  <c r="K126" i="5"/>
  <c r="K136" i="5"/>
  <c r="K146" i="5"/>
  <c r="K156" i="5"/>
  <c r="K166" i="5"/>
  <c r="K176" i="5"/>
  <c r="K186" i="5"/>
  <c r="K196" i="5"/>
  <c r="K206" i="5"/>
  <c r="K216" i="5"/>
  <c r="K226" i="5"/>
  <c r="K236" i="5"/>
  <c r="K246" i="5"/>
  <c r="K256" i="5"/>
  <c r="K266" i="5"/>
  <c r="K276" i="5"/>
  <c r="K286" i="5"/>
  <c r="K296" i="5"/>
  <c r="K306" i="5"/>
  <c r="K316" i="5"/>
  <c r="K326" i="5"/>
  <c r="K340" i="5"/>
  <c r="K356" i="5"/>
  <c r="K372" i="5"/>
  <c r="K390" i="5"/>
  <c r="K406" i="5"/>
  <c r="K422" i="5"/>
  <c r="K440" i="5"/>
  <c r="K456" i="5"/>
  <c r="K472" i="5"/>
  <c r="K490" i="5"/>
  <c r="K506" i="5"/>
  <c r="K522" i="5"/>
  <c r="K540" i="5"/>
  <c r="K559" i="5"/>
  <c r="K575" i="5"/>
  <c r="K633" i="5"/>
  <c r="K655" i="5"/>
  <c r="K745" i="5"/>
  <c r="K771" i="5"/>
  <c r="K823" i="5"/>
  <c r="K884" i="5"/>
  <c r="K917" i="5"/>
  <c r="K979" i="5"/>
  <c r="K1008" i="5"/>
  <c r="K1036" i="5"/>
  <c r="K1132" i="5"/>
  <c r="K1162" i="5"/>
  <c r="K1327" i="5"/>
  <c r="K1406" i="5"/>
  <c r="K1450" i="5"/>
  <c r="K1509" i="5"/>
  <c r="K1609" i="5"/>
  <c r="K1660" i="5"/>
  <c r="K1778" i="5"/>
  <c r="K1845" i="5"/>
  <c r="K133" i="5"/>
  <c r="K303" i="5"/>
  <c r="K906" i="5"/>
  <c r="K1887" i="5"/>
  <c r="K670" i="5"/>
  <c r="K1440" i="5"/>
  <c r="K612" i="5"/>
  <c r="K679" i="5"/>
  <c r="K699" i="5"/>
  <c r="K721" i="5"/>
  <c r="K746" i="5"/>
  <c r="K799" i="5"/>
  <c r="K856" i="5"/>
  <c r="K950" i="5"/>
  <c r="K981" i="5"/>
  <c r="K1009" i="5"/>
  <c r="K1070" i="5"/>
  <c r="K1102" i="5"/>
  <c r="K1133" i="5"/>
  <c r="K1205" i="5"/>
  <c r="K1245" i="5"/>
  <c r="K1287" i="5"/>
  <c r="K1371" i="5"/>
  <c r="K1451" i="5"/>
  <c r="K1510" i="5"/>
  <c r="K1560" i="5"/>
  <c r="K1610" i="5"/>
  <c r="K1668" i="5"/>
  <c r="K1727" i="5"/>
  <c r="K1779" i="5"/>
  <c r="K1910" i="5"/>
  <c r="K123" i="5"/>
  <c r="K193" i="5"/>
  <c r="K233" i="5"/>
  <c r="K263" i="5"/>
  <c r="K323" i="5"/>
  <c r="K501" i="5"/>
  <c r="K646" i="5"/>
  <c r="K815" i="5"/>
  <c r="K1032" i="5"/>
  <c r="K1655" i="5"/>
  <c r="K590" i="5"/>
  <c r="K1491" i="5"/>
  <c r="K97" i="5"/>
  <c r="K107" i="5"/>
  <c r="K117" i="5"/>
  <c r="K127" i="5"/>
  <c r="K137" i="5"/>
  <c r="K147" i="5"/>
  <c r="K157" i="5"/>
  <c r="K167" i="5"/>
  <c r="K177" i="5"/>
  <c r="K187" i="5"/>
  <c r="K197" i="5"/>
  <c r="K207" i="5"/>
  <c r="K217" i="5"/>
  <c r="K227" i="5"/>
  <c r="K237" i="5"/>
  <c r="K247" i="5"/>
  <c r="K257" i="5"/>
  <c r="K267" i="5"/>
  <c r="K277" i="5"/>
  <c r="K287" i="5"/>
  <c r="K297" i="5"/>
  <c r="K307" i="5"/>
  <c r="K317" i="5"/>
  <c r="K327" i="5"/>
  <c r="K341" i="5"/>
  <c r="K359" i="5"/>
  <c r="K391" i="5"/>
  <c r="K409" i="5"/>
  <c r="K441" i="5"/>
  <c r="K459" i="5"/>
  <c r="K491" i="5"/>
  <c r="K509" i="5"/>
  <c r="K541" i="5"/>
  <c r="K560" i="5"/>
  <c r="K579" i="5"/>
  <c r="K595" i="5"/>
  <c r="K634" i="5"/>
  <c r="K656" i="5"/>
  <c r="K680" i="5"/>
  <c r="K702" i="5"/>
  <c r="K772" i="5"/>
  <c r="K800" i="5"/>
  <c r="K831" i="5"/>
  <c r="K886" i="5"/>
  <c r="K918" i="5"/>
  <c r="K982" i="5"/>
  <c r="K1012" i="5"/>
  <c r="K1041" i="5"/>
  <c r="K1168" i="5"/>
  <c r="K1329" i="5"/>
  <c r="K1372" i="5"/>
  <c r="K1415" i="5"/>
  <c r="K1460" i="5"/>
  <c r="K1511" i="5"/>
  <c r="K1561" i="5"/>
  <c r="K1613" i="5"/>
  <c r="K1846" i="5"/>
  <c r="K1919" i="5"/>
  <c r="K1398" i="5"/>
  <c r="K375" i="5"/>
  <c r="K425" i="5"/>
  <c r="K475" i="5"/>
  <c r="K525" i="5"/>
  <c r="K657" i="5"/>
  <c r="K704" i="5"/>
  <c r="K724" i="5"/>
  <c r="K748" i="5"/>
  <c r="K773" i="5"/>
  <c r="K861" i="5"/>
  <c r="K919" i="5"/>
  <c r="K1014" i="5"/>
  <c r="K1071" i="5"/>
  <c r="K1103" i="5"/>
  <c r="K1170" i="5"/>
  <c r="K1211" i="5"/>
  <c r="K1248" i="5"/>
  <c r="K1288" i="5"/>
  <c r="K1330" i="5"/>
  <c r="K1373" i="5"/>
  <c r="K1417" i="5"/>
  <c r="K1461" i="5"/>
  <c r="K1512" i="5"/>
  <c r="K1728" i="5"/>
  <c r="K1780" i="5"/>
  <c r="K1272" i="5"/>
  <c r="K1311" i="5"/>
  <c r="K98" i="5"/>
  <c r="K108" i="5"/>
  <c r="K118" i="5"/>
  <c r="K128" i="5"/>
  <c r="K138" i="5"/>
  <c r="K148" i="5"/>
  <c r="K158" i="5"/>
  <c r="K168" i="5"/>
  <c r="K178" i="5"/>
  <c r="K188" i="5"/>
  <c r="K198" i="5"/>
  <c r="K208" i="5"/>
  <c r="K218" i="5"/>
  <c r="K228" i="5"/>
  <c r="K238" i="5"/>
  <c r="K248" i="5"/>
  <c r="K258" i="5"/>
  <c r="K268" i="5"/>
  <c r="K278" i="5"/>
  <c r="K288" i="5"/>
  <c r="K298" i="5"/>
  <c r="K308" i="5"/>
  <c r="K318" i="5"/>
  <c r="K328" i="5"/>
  <c r="K342" i="5"/>
  <c r="K360" i="5"/>
  <c r="K376" i="5"/>
  <c r="K392" i="5"/>
  <c r="K410" i="5"/>
  <c r="K426" i="5"/>
  <c r="K442" i="5"/>
  <c r="K460" i="5"/>
  <c r="K476" i="5"/>
  <c r="K492" i="5"/>
  <c r="K510" i="5"/>
  <c r="K526" i="5"/>
  <c r="K542" i="5"/>
  <c r="K561" i="5"/>
  <c r="K580" i="5"/>
  <c r="K599" i="5"/>
  <c r="K615" i="5"/>
  <c r="K635" i="5"/>
  <c r="K681" i="5"/>
  <c r="K728" i="5"/>
  <c r="K801" i="5"/>
  <c r="K832" i="5"/>
  <c r="K863" i="5"/>
  <c r="K891" i="5"/>
  <c r="K920" i="5"/>
  <c r="K952" i="5"/>
  <c r="K984" i="5"/>
  <c r="K1015" i="5"/>
  <c r="K1046" i="5"/>
  <c r="K1074" i="5"/>
  <c r="K1104" i="5"/>
  <c r="K1137" i="5"/>
  <c r="K1171" i="5"/>
  <c r="K1249" i="5"/>
  <c r="K1289" i="5"/>
  <c r="K1332" i="5"/>
  <c r="K1465" i="5"/>
  <c r="K1563" i="5"/>
  <c r="K1680" i="5"/>
  <c r="K1730" i="5"/>
  <c r="K1781" i="5"/>
  <c r="K1353" i="5"/>
  <c r="K658" i="5"/>
  <c r="K705" i="5"/>
  <c r="K730" i="5"/>
  <c r="K751" i="5"/>
  <c r="K864" i="5"/>
  <c r="K894" i="5"/>
  <c r="K923" i="5"/>
  <c r="K1016" i="5"/>
  <c r="K1048" i="5"/>
  <c r="K1173" i="5"/>
  <c r="K1216" i="5"/>
  <c r="K1257" i="5"/>
  <c r="K1295" i="5"/>
  <c r="K1376" i="5"/>
  <c r="K1418" i="5"/>
  <c r="K1513" i="5"/>
  <c r="K1571" i="5"/>
  <c r="K1681" i="5"/>
  <c r="K1731" i="5"/>
  <c r="K1785" i="5"/>
  <c r="K1857" i="5"/>
  <c r="K1937" i="5"/>
  <c r="K1120" i="5"/>
  <c r="K1595" i="5"/>
  <c r="K99" i="5"/>
  <c r="K109" i="5"/>
  <c r="K119" i="5"/>
  <c r="K129" i="5"/>
  <c r="K139" i="5"/>
  <c r="K149" i="5"/>
  <c r="K159" i="5"/>
  <c r="K169" i="5"/>
  <c r="K179" i="5"/>
  <c r="K189" i="5"/>
  <c r="K199" i="5"/>
  <c r="K209" i="5"/>
  <c r="K219" i="5"/>
  <c r="K229" i="5"/>
  <c r="K239" i="5"/>
  <c r="K249" i="5"/>
  <c r="K259" i="5"/>
  <c r="K269" i="5"/>
  <c r="K279" i="5"/>
  <c r="K289" i="5"/>
  <c r="K299" i="5"/>
  <c r="K309" i="5"/>
  <c r="K319" i="5"/>
  <c r="K329" i="5"/>
  <c r="K361" i="5"/>
  <c r="K379" i="5"/>
  <c r="K411" i="5"/>
  <c r="K429" i="5"/>
  <c r="K461" i="5"/>
  <c r="K479" i="5"/>
  <c r="K511" i="5"/>
  <c r="K529" i="5"/>
  <c r="K562" i="5"/>
  <c r="K581" i="5"/>
  <c r="K600" i="5"/>
  <c r="K619" i="5"/>
  <c r="K638" i="5"/>
  <c r="K682" i="5"/>
  <c r="K706" i="5"/>
  <c r="K754" i="5"/>
  <c r="K778" i="5"/>
  <c r="K802" i="5"/>
  <c r="K866" i="5"/>
  <c r="K897" i="5"/>
  <c r="K953" i="5"/>
  <c r="K985" i="5"/>
  <c r="K1080" i="5"/>
  <c r="K1108" i="5"/>
  <c r="K1138" i="5"/>
  <c r="K1175" i="5"/>
  <c r="K1259" i="5"/>
  <c r="K1336" i="5"/>
  <c r="K1377" i="5"/>
  <c r="K1466" i="5"/>
  <c r="K1572" i="5"/>
  <c r="K1632" i="5"/>
  <c r="K1682" i="5"/>
  <c r="K1732" i="5"/>
  <c r="K1795" i="5"/>
  <c r="K1193" i="5"/>
  <c r="K1355" i="5"/>
  <c r="K345" i="5"/>
  <c r="K395" i="5"/>
  <c r="K445" i="5"/>
  <c r="K495" i="5"/>
  <c r="K545" i="5"/>
  <c r="K620" i="5"/>
  <c r="K641" i="5"/>
  <c r="K661" i="5"/>
  <c r="K683" i="5"/>
  <c r="K707" i="5"/>
  <c r="K731" i="5"/>
  <c r="K756" i="5"/>
  <c r="K803" i="5"/>
  <c r="K834" i="5"/>
  <c r="K867" i="5"/>
  <c r="K898" i="5"/>
  <c r="K929" i="5"/>
  <c r="K957" i="5"/>
  <c r="K987" i="5"/>
  <c r="K1050" i="5"/>
  <c r="K1082" i="5"/>
  <c r="K1109" i="5"/>
  <c r="K1139" i="5"/>
  <c r="K1176" i="5"/>
  <c r="K1419" i="5"/>
  <c r="K1467" i="5"/>
  <c r="K1523" i="5"/>
  <c r="K1580" i="5"/>
  <c r="K1683" i="5"/>
  <c r="K1733" i="5"/>
  <c r="K1868" i="5"/>
  <c r="K1946" i="5"/>
  <c r="K1152" i="5"/>
  <c r="K100" i="5"/>
  <c r="K110" i="5"/>
  <c r="K120" i="5"/>
  <c r="K130" i="5"/>
  <c r="K140" i="5"/>
  <c r="K150" i="5"/>
  <c r="K160" i="5"/>
  <c r="K170" i="5"/>
  <c r="K180" i="5"/>
  <c r="K190" i="5"/>
  <c r="K200" i="5"/>
  <c r="K210" i="5"/>
  <c r="K220" i="5"/>
  <c r="K230" i="5"/>
  <c r="K240" i="5"/>
  <c r="K250" i="5"/>
  <c r="K260" i="5"/>
  <c r="K270" i="5"/>
  <c r="K280" i="5"/>
  <c r="K290" i="5"/>
  <c r="K300" i="5"/>
  <c r="K310" i="5"/>
  <c r="K320" i="5"/>
  <c r="K330" i="5"/>
  <c r="K346" i="5"/>
  <c r="K362" i="5"/>
  <c r="K380" i="5"/>
  <c r="K396" i="5"/>
  <c r="K412" i="5"/>
  <c r="K430" i="5"/>
  <c r="K446" i="5"/>
  <c r="K462" i="5"/>
  <c r="K480" i="5"/>
  <c r="K496" i="5"/>
  <c r="K512" i="5"/>
  <c r="K530" i="5"/>
  <c r="K582" i="5"/>
  <c r="K601" i="5"/>
  <c r="K643" i="5"/>
  <c r="K806" i="5"/>
  <c r="K899" i="5"/>
  <c r="K1020" i="5"/>
  <c r="K1051" i="5"/>
  <c r="K1218" i="5"/>
  <c r="K1260" i="5"/>
  <c r="K1339" i="5"/>
  <c r="K1420" i="5"/>
  <c r="K1525" i="5"/>
  <c r="K1633" i="5"/>
  <c r="K1685" i="5"/>
  <c r="K1739" i="5"/>
  <c r="K1947" i="5"/>
  <c r="K1195" i="5"/>
  <c r="K549" i="5"/>
  <c r="K565" i="5"/>
  <c r="K621" i="5"/>
  <c r="K686" i="5"/>
  <c r="K708" i="5"/>
  <c r="K732" i="5"/>
  <c r="K758" i="5"/>
  <c r="K835" i="5"/>
  <c r="K868" i="5"/>
  <c r="K900" i="5"/>
  <c r="K962" i="5"/>
  <c r="K1083" i="5"/>
  <c r="K1116" i="5"/>
  <c r="K1142" i="5"/>
  <c r="K1178" i="5"/>
  <c r="K1219" i="5"/>
  <c r="K1261" i="5"/>
  <c r="K1306" i="5"/>
  <c r="K1346" i="5"/>
  <c r="K1385" i="5"/>
  <c r="K1421" i="5"/>
  <c r="K1532" i="5"/>
  <c r="K1586" i="5"/>
  <c r="K1635" i="5"/>
  <c r="K1741" i="5"/>
  <c r="K1809" i="5"/>
  <c r="K1875" i="5"/>
  <c r="K1961" i="5"/>
  <c r="K213" i="5"/>
  <c r="K419" i="5"/>
  <c r="K761" i="5"/>
  <c r="K626" i="5"/>
  <c r="K881" i="5"/>
  <c r="K101" i="5"/>
  <c r="K111" i="5"/>
  <c r="K121" i="5"/>
  <c r="K131" i="5"/>
  <c r="K141" i="5"/>
  <c r="K151" i="5"/>
  <c r="K161" i="5"/>
  <c r="K171" i="5"/>
  <c r="K181" i="5"/>
  <c r="K191" i="5"/>
  <c r="K201" i="5"/>
  <c r="K211" i="5"/>
  <c r="K221" i="5"/>
  <c r="K231" i="5"/>
  <c r="K241" i="5"/>
  <c r="K251" i="5"/>
  <c r="K261" i="5"/>
  <c r="K271" i="5"/>
  <c r="K281" i="5"/>
  <c r="K291" i="5"/>
  <c r="K301" i="5"/>
  <c r="K311" i="5"/>
  <c r="K321" i="5"/>
  <c r="K331" i="5"/>
  <c r="K349" i="5"/>
  <c r="K381" i="5"/>
  <c r="K399" i="5"/>
  <c r="K431" i="5"/>
  <c r="K449" i="5"/>
  <c r="K481" i="5"/>
  <c r="K499" i="5"/>
  <c r="K531" i="5"/>
  <c r="K602" i="5"/>
  <c r="K644" i="5"/>
  <c r="K667" i="5"/>
  <c r="K687" i="5"/>
  <c r="K733" i="5"/>
  <c r="K811" i="5"/>
  <c r="K932" i="5"/>
  <c r="K964" i="5"/>
  <c r="K991" i="5"/>
  <c r="K1021" i="5"/>
  <c r="K1084" i="5"/>
  <c r="K1117" i="5"/>
  <c r="K1147" i="5"/>
  <c r="K1181" i="5"/>
  <c r="K1386" i="5"/>
  <c r="K1425" i="5"/>
  <c r="K1587" i="5"/>
  <c r="K1691" i="5"/>
  <c r="K1749" i="5"/>
  <c r="K1877" i="5"/>
  <c r="K163" i="5"/>
  <c r="K253" i="5"/>
  <c r="K669" i="5"/>
  <c r="K1000" i="5"/>
  <c r="K1705" i="5"/>
  <c r="K385" i="5"/>
  <c r="K485" i="5"/>
  <c r="K609" i="5"/>
  <c r="K816" i="5"/>
  <c r="K907" i="5"/>
  <c r="K365" i="5"/>
  <c r="K415" i="5"/>
  <c r="K465" i="5"/>
  <c r="K515" i="5"/>
  <c r="K550" i="5"/>
  <c r="K569" i="5"/>
  <c r="K585" i="5"/>
  <c r="K622" i="5"/>
  <c r="K690" i="5"/>
  <c r="K711" i="5"/>
  <c r="K759" i="5"/>
  <c r="K785" i="5"/>
  <c r="K840" i="5"/>
  <c r="K870" i="5"/>
  <c r="K902" i="5"/>
  <c r="K933" i="5"/>
  <c r="K996" i="5"/>
  <c r="K1054" i="5"/>
  <c r="K1150" i="5"/>
  <c r="K1221" i="5"/>
  <c r="K1308" i="5"/>
  <c r="K1350" i="5"/>
  <c r="K1429" i="5"/>
  <c r="K1485" i="5"/>
  <c r="K1693" i="5"/>
  <c r="K1750" i="5"/>
  <c r="K1810" i="5"/>
  <c r="K153" i="5"/>
  <c r="K273" i="5"/>
  <c r="K469" i="5"/>
  <c r="K788" i="5"/>
  <c r="K1539" i="5"/>
  <c r="K335" i="5"/>
  <c r="K435" i="5"/>
  <c r="K552" i="5"/>
  <c r="K741" i="5"/>
  <c r="K848" i="5"/>
  <c r="K102" i="5"/>
  <c r="K112" i="5"/>
  <c r="K122" i="5"/>
  <c r="K132" i="5"/>
  <c r="K142" i="5"/>
  <c r="K152" i="5"/>
  <c r="K162" i="5"/>
  <c r="K172" i="5"/>
  <c r="K182" i="5"/>
  <c r="K192" i="5"/>
  <c r="K202" i="5"/>
  <c r="K212" i="5"/>
  <c r="K222" i="5"/>
  <c r="K232" i="5"/>
  <c r="K242" i="5"/>
  <c r="K252" i="5"/>
  <c r="K262" i="5"/>
  <c r="K272" i="5"/>
  <c r="K282" i="5"/>
  <c r="K292" i="5"/>
  <c r="K302" i="5"/>
  <c r="K312" i="5"/>
  <c r="K322" i="5"/>
  <c r="K332" i="5"/>
  <c r="K350" i="5"/>
  <c r="K366" i="5"/>
  <c r="K382" i="5"/>
  <c r="K400" i="5"/>
  <c r="K416" i="5"/>
  <c r="K432" i="5"/>
  <c r="K450" i="5"/>
  <c r="K466" i="5"/>
  <c r="K482" i="5"/>
  <c r="K500" i="5"/>
  <c r="K516" i="5"/>
  <c r="K532" i="5"/>
  <c r="K623" i="5"/>
  <c r="K645" i="5"/>
  <c r="K668" i="5"/>
  <c r="K734" i="5"/>
  <c r="K760" i="5"/>
  <c r="K786" i="5"/>
  <c r="K844" i="5"/>
  <c r="K965" i="5"/>
  <c r="K999" i="5"/>
  <c r="K1024" i="5"/>
  <c r="K1086" i="5"/>
  <c r="K1118" i="5"/>
  <c r="K1266" i="5"/>
  <c r="K1351" i="5"/>
  <c r="K1538" i="5"/>
  <c r="K1588" i="5"/>
  <c r="K1642" i="5"/>
  <c r="K1700" i="5"/>
  <c r="K1751" i="5"/>
  <c r="K1878" i="5"/>
  <c r="K1983" i="5"/>
  <c r="K143" i="5"/>
  <c r="K313" i="5"/>
  <c r="K937" i="5"/>
  <c r="K1816" i="5"/>
  <c r="K647" i="5"/>
  <c r="K969" i="5"/>
  <c r="K551" i="5"/>
  <c r="K570" i="5"/>
  <c r="K589" i="5"/>
  <c r="K605" i="5"/>
  <c r="K692" i="5"/>
  <c r="K814" i="5"/>
  <c r="K847" i="5"/>
  <c r="K873" i="5"/>
  <c r="K903" i="5"/>
  <c r="K967" i="5"/>
  <c r="K1058" i="5"/>
  <c r="K1087" i="5"/>
  <c r="K1119" i="5"/>
  <c r="K1309" i="5"/>
  <c r="K1352" i="5"/>
  <c r="K1395" i="5"/>
  <c r="K1438" i="5"/>
  <c r="K1487" i="5"/>
  <c r="K1589" i="5"/>
  <c r="K1645" i="5"/>
  <c r="K1701" i="5"/>
  <c r="K1755" i="5"/>
  <c r="K1815" i="5"/>
  <c r="K1886" i="5"/>
  <c r="K627" i="5"/>
  <c r="K662" i="5"/>
  <c r="K700" i="5"/>
  <c r="K712" i="5"/>
  <c r="K779" i="5"/>
  <c r="K793" i="5"/>
  <c r="K808" i="5"/>
  <c r="K841" i="5"/>
  <c r="K858" i="5"/>
  <c r="K874" i="5"/>
  <c r="K908" i="5"/>
  <c r="K925" i="5"/>
  <c r="K959" i="5"/>
  <c r="K975" i="5"/>
  <c r="K992" i="5"/>
  <c r="K1025" i="5"/>
  <c r="K1043" i="5"/>
  <c r="K1076" i="5"/>
  <c r="K1093" i="5"/>
  <c r="K1110" i="5"/>
  <c r="K1127" i="5"/>
  <c r="K1143" i="5"/>
  <c r="K1185" i="5"/>
  <c r="K1229" i="5"/>
  <c r="K1251" i="5"/>
  <c r="K1273" i="5"/>
  <c r="K1363" i="5"/>
  <c r="K1387" i="5"/>
  <c r="K1430" i="5"/>
  <c r="K1453" i="5"/>
  <c r="K1499" i="5"/>
  <c r="K1548" i="5"/>
  <c r="K1575" i="5"/>
  <c r="K1620" i="5"/>
  <c r="K1646" i="5"/>
  <c r="K1669" i="5"/>
  <c r="K1696" i="5"/>
  <c r="K1827" i="5"/>
  <c r="K1859" i="5"/>
  <c r="K1890" i="5"/>
  <c r="K1925" i="5"/>
  <c r="K1963" i="5"/>
  <c r="K546" i="5"/>
  <c r="K556" i="5"/>
  <c r="K566" i="5"/>
  <c r="K576" i="5"/>
  <c r="K586" i="5"/>
  <c r="K596" i="5"/>
  <c r="K606" i="5"/>
  <c r="K616" i="5"/>
  <c r="K639" i="5"/>
  <c r="K651" i="5"/>
  <c r="K663" i="5"/>
  <c r="K675" i="5"/>
  <c r="K688" i="5"/>
  <c r="K713" i="5"/>
  <c r="K725" i="5"/>
  <c r="K739" i="5"/>
  <c r="K752" i="5"/>
  <c r="K765" i="5"/>
  <c r="K780" i="5"/>
  <c r="K809" i="5"/>
  <c r="K824" i="5"/>
  <c r="K859" i="5"/>
  <c r="K909" i="5"/>
  <c r="K926" i="5"/>
  <c r="K942" i="5"/>
  <c r="K976" i="5"/>
  <c r="K1026" i="5"/>
  <c r="K1060" i="5"/>
  <c r="K1078" i="5"/>
  <c r="K1128" i="5"/>
  <c r="K1163" i="5"/>
  <c r="K1208" i="5"/>
  <c r="K1252" i="5"/>
  <c r="K1297" i="5"/>
  <c r="K1320" i="5"/>
  <c r="K1340" i="5"/>
  <c r="K1366" i="5"/>
  <c r="K1408" i="5"/>
  <c r="K1432" i="5"/>
  <c r="K1455" i="5"/>
  <c r="K1478" i="5"/>
  <c r="K1621" i="5"/>
  <c r="K1718" i="5"/>
  <c r="K1745" i="5"/>
  <c r="K1797" i="5"/>
  <c r="K1828" i="5"/>
  <c r="K1860" i="5"/>
  <c r="K1893" i="5"/>
  <c r="K628" i="5"/>
  <c r="K640" i="5"/>
  <c r="K676" i="5"/>
  <c r="K701" i="5"/>
  <c r="K726" i="5"/>
  <c r="K740" i="5"/>
  <c r="K753" i="5"/>
  <c r="K766" i="5"/>
  <c r="K825" i="5"/>
  <c r="K843" i="5"/>
  <c r="K876" i="5"/>
  <c r="K893" i="5"/>
  <c r="K910" i="5"/>
  <c r="K927" i="5"/>
  <c r="K943" i="5"/>
  <c r="K961" i="5"/>
  <c r="K977" i="5"/>
  <c r="K1011" i="5"/>
  <c r="K1044" i="5"/>
  <c r="K1061" i="5"/>
  <c r="K1079" i="5"/>
  <c r="K1094" i="5"/>
  <c r="K1129" i="5"/>
  <c r="K1165" i="5"/>
  <c r="K1187" i="5"/>
  <c r="K1209" i="5"/>
  <c r="K1230" i="5"/>
  <c r="K1255" i="5"/>
  <c r="K1298" i="5"/>
  <c r="K1321" i="5"/>
  <c r="K1388" i="5"/>
  <c r="K1410" i="5"/>
  <c r="K1456" i="5"/>
  <c r="K1527" i="5"/>
  <c r="K1551" i="5"/>
  <c r="K1576" i="5"/>
  <c r="K1601" i="5"/>
  <c r="K1648" i="5"/>
  <c r="K1670" i="5"/>
  <c r="K1697" i="5"/>
  <c r="K1768" i="5"/>
  <c r="K1861" i="5"/>
  <c r="K1895" i="5"/>
  <c r="K1927" i="5"/>
  <c r="K1967" i="5"/>
  <c r="K337" i="5"/>
  <c r="K347" i="5"/>
  <c r="K357" i="5"/>
  <c r="K367" i="5"/>
  <c r="K377" i="5"/>
  <c r="K387" i="5"/>
  <c r="K397" i="5"/>
  <c r="K407" i="5"/>
  <c r="K417" i="5"/>
  <c r="K427" i="5"/>
  <c r="K437" i="5"/>
  <c r="K447" i="5"/>
  <c r="K457" i="5"/>
  <c r="K467" i="5"/>
  <c r="K477" i="5"/>
  <c r="K487" i="5"/>
  <c r="K497" i="5"/>
  <c r="K507" i="5"/>
  <c r="K517" i="5"/>
  <c r="K527" i="5"/>
  <c r="K537" i="5"/>
  <c r="K547" i="5"/>
  <c r="K557" i="5"/>
  <c r="K567" i="5"/>
  <c r="K577" i="5"/>
  <c r="K587" i="5"/>
  <c r="K597" i="5"/>
  <c r="K607" i="5"/>
  <c r="K617" i="5"/>
  <c r="K652" i="5"/>
  <c r="K664" i="5"/>
  <c r="K677" i="5"/>
  <c r="K689" i="5"/>
  <c r="K714" i="5"/>
  <c r="K781" i="5"/>
  <c r="K795" i="5"/>
  <c r="K826" i="5"/>
  <c r="K860" i="5"/>
  <c r="K878" i="5"/>
  <c r="K928" i="5"/>
  <c r="K995" i="5"/>
  <c r="K1028" i="5"/>
  <c r="K1045" i="5"/>
  <c r="K1113" i="5"/>
  <c r="K1145" i="5"/>
  <c r="K1166" i="5"/>
  <c r="K1210" i="5"/>
  <c r="K1231" i="5"/>
  <c r="K1345" i="5"/>
  <c r="K1367" i="5"/>
  <c r="K1413" i="5"/>
  <c r="K1433" i="5"/>
  <c r="K1480" i="5"/>
  <c r="K1553" i="5"/>
  <c r="K1602" i="5"/>
  <c r="K1625" i="5"/>
  <c r="K1649" i="5"/>
  <c r="K1672" i="5"/>
  <c r="K1720" i="5"/>
  <c r="K1747" i="5"/>
  <c r="K1770" i="5"/>
  <c r="K1798" i="5"/>
  <c r="K1830" i="5"/>
  <c r="K1928" i="5"/>
  <c r="K1435" i="5"/>
  <c r="K1481" i="5"/>
  <c r="K1528" i="5"/>
  <c r="K1555" i="5"/>
  <c r="K1577" i="5"/>
  <c r="K1626" i="5"/>
  <c r="K1650" i="5"/>
  <c r="K1773" i="5"/>
  <c r="K1801" i="5"/>
  <c r="K1865" i="5"/>
  <c r="K1896" i="5"/>
  <c r="K1929" i="5"/>
  <c r="K1969" i="5"/>
  <c r="K338" i="5"/>
  <c r="K348" i="5"/>
  <c r="K358" i="5"/>
  <c r="K368" i="5"/>
  <c r="K378" i="5"/>
  <c r="K388" i="5"/>
  <c r="K398" i="5"/>
  <c r="K408" i="5"/>
  <c r="K418" i="5"/>
  <c r="K428" i="5"/>
  <c r="K438" i="5"/>
  <c r="K448" i="5"/>
  <c r="K458" i="5"/>
  <c r="K468" i="5"/>
  <c r="K478" i="5"/>
  <c r="K488" i="5"/>
  <c r="K498" i="5"/>
  <c r="K508" i="5"/>
  <c r="K518" i="5"/>
  <c r="K528" i="5"/>
  <c r="K538" i="5"/>
  <c r="K548" i="5"/>
  <c r="K558" i="5"/>
  <c r="K568" i="5"/>
  <c r="K578" i="5"/>
  <c r="K588" i="5"/>
  <c r="K598" i="5"/>
  <c r="K608" i="5"/>
  <c r="K618" i="5"/>
  <c r="K630" i="5"/>
  <c r="K665" i="5"/>
  <c r="K678" i="5"/>
  <c r="K703" i="5"/>
  <c r="K715" i="5"/>
  <c r="K782" i="5"/>
  <c r="K828" i="5"/>
  <c r="K845" i="5"/>
  <c r="K913" i="5"/>
  <c r="K945" i="5"/>
  <c r="K963" i="5"/>
  <c r="K997" i="5"/>
  <c r="K1031" i="5"/>
  <c r="K1047" i="5"/>
  <c r="K1063" i="5"/>
  <c r="K1081" i="5"/>
  <c r="K1097" i="5"/>
  <c r="K1114" i="5"/>
  <c r="K1149" i="5"/>
  <c r="K1167" i="5"/>
  <c r="K1189" i="5"/>
  <c r="K1213" i="5"/>
  <c r="K1233" i="5"/>
  <c r="K1325" i="5"/>
  <c r="K1347" i="5"/>
  <c r="K1369" i="5"/>
  <c r="K1390" i="5"/>
  <c r="K1459" i="5"/>
  <c r="K1482" i="5"/>
  <c r="K1508" i="5"/>
  <c r="K1529" i="5"/>
  <c r="K1578" i="5"/>
  <c r="K1603" i="5"/>
  <c r="K1627" i="5"/>
  <c r="K1652" i="5"/>
  <c r="K1699" i="5"/>
  <c r="K1725" i="5"/>
  <c r="K1748" i="5"/>
  <c r="K1833" i="5"/>
  <c r="K1897" i="5"/>
  <c r="K1930" i="5"/>
  <c r="K642" i="5"/>
  <c r="K654" i="5"/>
  <c r="K666" i="5"/>
  <c r="K691" i="5"/>
  <c r="K716" i="5"/>
  <c r="K729" i="5"/>
  <c r="K742" i="5"/>
  <c r="K755" i="5"/>
  <c r="K769" i="5"/>
  <c r="K783" i="5"/>
  <c r="K798" i="5"/>
  <c r="K812" i="5"/>
  <c r="K846" i="5"/>
  <c r="K880" i="5"/>
  <c r="K896" i="5"/>
  <c r="K930" i="5"/>
  <c r="K947" i="5"/>
  <c r="K1064" i="5"/>
  <c r="K1098" i="5"/>
  <c r="K1190" i="5"/>
  <c r="K1215" i="5"/>
  <c r="K1258" i="5"/>
  <c r="K1280" i="5"/>
  <c r="K1305" i="5"/>
  <c r="K1348" i="5"/>
  <c r="K1370" i="5"/>
  <c r="K1392" i="5"/>
  <c r="K1416" i="5"/>
  <c r="K1531" i="5"/>
  <c r="K1653" i="5"/>
  <c r="K1777" i="5"/>
  <c r="K1807" i="5"/>
  <c r="K1836" i="5"/>
  <c r="K1866" i="5"/>
  <c r="K1898" i="5"/>
  <c r="K1935" i="5"/>
  <c r="K1978" i="5"/>
  <c r="K1979" i="5"/>
  <c r="K1945" i="5"/>
  <c r="K1980" i="5"/>
  <c r="K1987" i="5"/>
  <c r="K1948" i="5"/>
  <c r="K1995" i="5"/>
  <c r="K1495" i="5"/>
  <c r="K1541" i="5"/>
  <c r="K1566" i="5"/>
  <c r="K1638" i="5"/>
  <c r="K1665" i="5"/>
  <c r="K1686" i="5"/>
  <c r="K1711" i="5"/>
  <c r="K1735" i="5"/>
  <c r="K1760" i="5"/>
  <c r="K1786" i="5"/>
  <c r="K1848" i="5"/>
  <c r="K1911" i="5"/>
  <c r="K333" i="5"/>
  <c r="K343" i="5"/>
  <c r="K353" i="5"/>
  <c r="K363" i="5"/>
  <c r="K373" i="5"/>
  <c r="K383" i="5"/>
  <c r="K393" i="5"/>
  <c r="K403" i="5"/>
  <c r="K413" i="5"/>
  <c r="K423" i="5"/>
  <c r="K433" i="5"/>
  <c r="K443" i="5"/>
  <c r="K453" i="5"/>
  <c r="K463" i="5"/>
  <c r="K473" i="5"/>
  <c r="K483" i="5"/>
  <c r="K493" i="5"/>
  <c r="K503" i="5"/>
  <c r="K513" i="5"/>
  <c r="K523" i="5"/>
  <c r="K533" i="5"/>
  <c r="K543" i="5"/>
  <c r="K553" i="5"/>
  <c r="K563" i="5"/>
  <c r="K573" i="5"/>
  <c r="K583" i="5"/>
  <c r="K593" i="5"/>
  <c r="K603" i="5"/>
  <c r="K613" i="5"/>
  <c r="K624" i="5"/>
  <c r="K659" i="5"/>
  <c r="K684" i="5"/>
  <c r="K697" i="5"/>
  <c r="K709" i="5"/>
  <c r="K775" i="5"/>
  <c r="K790" i="5"/>
  <c r="K836" i="5"/>
  <c r="K854" i="5"/>
  <c r="K887" i="5"/>
  <c r="K904" i="5"/>
  <c r="K938" i="5"/>
  <c r="K972" i="5"/>
  <c r="K988" i="5"/>
  <c r="K1004" i="5"/>
  <c r="K1022" i="5"/>
  <c r="K1038" i="5"/>
  <c r="K1055" i="5"/>
  <c r="K1090" i="5"/>
  <c r="K1105" i="5"/>
  <c r="K1122" i="5"/>
  <c r="K1140" i="5"/>
  <c r="K1200" i="5"/>
  <c r="K1246" i="5"/>
  <c r="K1268" i="5"/>
  <c r="K1291" i="5"/>
  <c r="K1312" i="5"/>
  <c r="K1380" i="5"/>
  <c r="K1469" i="5"/>
  <c r="K1496" i="5"/>
  <c r="K1567" i="5"/>
  <c r="K1590" i="5"/>
  <c r="K1617" i="5"/>
  <c r="K1712" i="5"/>
  <c r="K1736" i="5"/>
  <c r="K1761" i="5"/>
  <c r="K1915" i="5"/>
  <c r="K1996" i="5"/>
  <c r="K636" i="5"/>
  <c r="K648" i="5"/>
  <c r="K660" i="5"/>
  <c r="K672" i="5"/>
  <c r="K710" i="5"/>
  <c r="K722" i="5"/>
  <c r="K735" i="5"/>
  <c r="K749" i="5"/>
  <c r="K762" i="5"/>
  <c r="K776" i="5"/>
  <c r="K821" i="5"/>
  <c r="K871" i="5"/>
  <c r="K888" i="5"/>
  <c r="K939" i="5"/>
  <c r="K989" i="5"/>
  <c r="K1005" i="5"/>
  <c r="K1056" i="5"/>
  <c r="K1106" i="5"/>
  <c r="K1123" i="5"/>
  <c r="K1179" i="5"/>
  <c r="K1202" i="5"/>
  <c r="K1226" i="5"/>
  <c r="K1269" i="5"/>
  <c r="K1292" i="5"/>
  <c r="K1313" i="5"/>
  <c r="K1337" i="5"/>
  <c r="K1381" i="5"/>
  <c r="K1403" i="5"/>
  <c r="K1427" i="5"/>
  <c r="K1448" i="5"/>
  <c r="K1471" i="5"/>
  <c r="K1520" i="5"/>
  <c r="K1545" i="5"/>
  <c r="K1569" i="5"/>
  <c r="K1591" i="5"/>
  <c r="K1666" i="5"/>
  <c r="K1763" i="5"/>
  <c r="K1819" i="5"/>
  <c r="K1849" i="5"/>
  <c r="K1881" i="5"/>
  <c r="K1953" i="5"/>
  <c r="K334" i="5"/>
  <c r="K344" i="5"/>
  <c r="K354" i="5"/>
  <c r="K364" i="5"/>
  <c r="K374" i="5"/>
  <c r="K384" i="5"/>
  <c r="K394" i="5"/>
  <c r="K404" i="5"/>
  <c r="K414" i="5"/>
  <c r="K424" i="5"/>
  <c r="K434" i="5"/>
  <c r="K444" i="5"/>
  <c r="K454" i="5"/>
  <c r="K464" i="5"/>
  <c r="K474" i="5"/>
  <c r="K484" i="5"/>
  <c r="K494" i="5"/>
  <c r="K504" i="5"/>
  <c r="K514" i="5"/>
  <c r="K524" i="5"/>
  <c r="K534" i="5"/>
  <c r="K544" i="5"/>
  <c r="K554" i="5"/>
  <c r="K564" i="5"/>
  <c r="K574" i="5"/>
  <c r="K584" i="5"/>
  <c r="K594" i="5"/>
  <c r="K604" i="5"/>
  <c r="K614" i="5"/>
  <c r="K625" i="5"/>
  <c r="K637" i="5"/>
  <c r="K673" i="5"/>
  <c r="K685" i="5"/>
  <c r="K698" i="5"/>
  <c r="K723" i="5"/>
  <c r="K736" i="5"/>
  <c r="K750" i="5"/>
  <c r="K763" i="5"/>
  <c r="K791" i="5"/>
  <c r="K805" i="5"/>
  <c r="K822" i="5"/>
  <c r="K838" i="5"/>
  <c r="K855" i="5"/>
  <c r="K890" i="5"/>
  <c r="K905" i="5"/>
  <c r="K922" i="5"/>
  <c r="K940" i="5"/>
  <c r="K955" i="5"/>
  <c r="K973" i="5"/>
  <c r="K1023" i="5"/>
  <c r="K1040" i="5"/>
  <c r="K1073" i="5"/>
  <c r="K1091" i="5"/>
  <c r="K1107" i="5"/>
  <c r="K1141" i="5"/>
  <c r="K1158" i="5"/>
  <c r="K1180" i="5"/>
  <c r="K1227" i="5"/>
  <c r="K1247" i="5"/>
  <c r="K1271" i="5"/>
  <c r="K1293" i="5"/>
  <c r="K1315" i="5"/>
  <c r="K1338" i="5"/>
  <c r="K1405" i="5"/>
  <c r="K1449" i="5"/>
  <c r="K1497" i="5"/>
  <c r="K1570" i="5"/>
  <c r="K1592" i="5"/>
  <c r="K1618" i="5"/>
  <c r="K1641" i="5"/>
  <c r="K1667" i="5"/>
  <c r="K1688" i="5"/>
  <c r="K1715" i="5"/>
  <c r="K1738" i="5"/>
  <c r="K1765" i="5"/>
  <c r="K1793" i="5"/>
  <c r="K1823" i="5"/>
  <c r="K1851" i="5"/>
  <c r="K1917" i="5"/>
  <c r="K1960" i="5"/>
  <c r="K774" i="5"/>
  <c r="K784" i="5"/>
  <c r="K794" i="5"/>
  <c r="K804" i="5"/>
  <c r="K827" i="5"/>
  <c r="K839" i="5"/>
  <c r="K862" i="5"/>
  <c r="K885" i="5"/>
  <c r="K921" i="5"/>
  <c r="K944" i="5"/>
  <c r="K956" i="5"/>
  <c r="K968" i="5"/>
  <c r="K980" i="5"/>
  <c r="K1003" i="5"/>
  <c r="K1027" i="5"/>
  <c r="K1039" i="5"/>
  <c r="K1062" i="5"/>
  <c r="K1085" i="5"/>
  <c r="K1121" i="5"/>
  <c r="K1144" i="5"/>
  <c r="K1172" i="5"/>
  <c r="K1188" i="5"/>
  <c r="K1203" i="5"/>
  <c r="K1235" i="5"/>
  <c r="K1250" i="5"/>
  <c r="K1267" i="5"/>
  <c r="K1282" i="5"/>
  <c r="K1328" i="5"/>
  <c r="K1360" i="5"/>
  <c r="K1391" i="5"/>
  <c r="K1407" i="5"/>
  <c r="K1486" i="5"/>
  <c r="K1500" i="5"/>
  <c r="K1533" i="5"/>
  <c r="K1565" i="5"/>
  <c r="K1579" i="5"/>
  <c r="K1611" i="5"/>
  <c r="K1658" i="5"/>
  <c r="K1673" i="5"/>
  <c r="K1689" i="5"/>
  <c r="K1706" i="5"/>
  <c r="K1721" i="5"/>
  <c r="K1737" i="5"/>
  <c r="K1787" i="5"/>
  <c r="K1805" i="5"/>
  <c r="K1837" i="5"/>
  <c r="K1853" i="5"/>
  <c r="K1869" i="5"/>
  <c r="K1920" i="5"/>
  <c r="K1955" i="5"/>
  <c r="K1970" i="5"/>
  <c r="K1988" i="5"/>
  <c r="K1470" i="5"/>
  <c r="K1501" i="5"/>
  <c r="K1518" i="5"/>
  <c r="K1535" i="5"/>
  <c r="K1549" i="5"/>
  <c r="K1612" i="5"/>
  <c r="K1628" i="5"/>
  <c r="K1643" i="5"/>
  <c r="K1675" i="5"/>
  <c r="K1690" i="5"/>
  <c r="K1707" i="5"/>
  <c r="K1722" i="5"/>
  <c r="K1753" i="5"/>
  <c r="K1769" i="5"/>
  <c r="K1820" i="5"/>
  <c r="K1855" i="5"/>
  <c r="K1870" i="5"/>
  <c r="K1888" i="5"/>
  <c r="K1906" i="5"/>
  <c r="K1921" i="5"/>
  <c r="K1938" i="5"/>
  <c r="K1989" i="5"/>
  <c r="K1788" i="5"/>
  <c r="K1806" i="5"/>
  <c r="K1821" i="5"/>
  <c r="K1838" i="5"/>
  <c r="K1889" i="5"/>
  <c r="K1956" i="5"/>
  <c r="K1973" i="5"/>
  <c r="K817" i="5"/>
  <c r="K829" i="5"/>
  <c r="K852" i="5"/>
  <c r="K875" i="5"/>
  <c r="K911" i="5"/>
  <c r="K934" i="5"/>
  <c r="K946" i="5"/>
  <c r="K958" i="5"/>
  <c r="K970" i="5"/>
  <c r="K993" i="5"/>
  <c r="K1017" i="5"/>
  <c r="K1029" i="5"/>
  <c r="K1052" i="5"/>
  <c r="K1075" i="5"/>
  <c r="K1111" i="5"/>
  <c r="K1134" i="5"/>
  <c r="K1146" i="5"/>
  <c r="K1206" i="5"/>
  <c r="K1220" i="5"/>
  <c r="K1253" i="5"/>
  <c r="K1285" i="5"/>
  <c r="K1299" i="5"/>
  <c r="K1331" i="5"/>
  <c r="K1378" i="5"/>
  <c r="K1393" i="5"/>
  <c r="K1409" i="5"/>
  <c r="K1426" i="5"/>
  <c r="K1441" i="5"/>
  <c r="K1457" i="5"/>
  <c r="K1472" i="5"/>
  <c r="K1505" i="5"/>
  <c r="K1536" i="5"/>
  <c r="K1550" i="5"/>
  <c r="K1581" i="5"/>
  <c r="K1598" i="5"/>
  <c r="K1615" i="5"/>
  <c r="K1629" i="5"/>
  <c r="K1692" i="5"/>
  <c r="K1708" i="5"/>
  <c r="K1723" i="5"/>
  <c r="K1789" i="5"/>
  <c r="K1856" i="5"/>
  <c r="K1873" i="5"/>
  <c r="K1907" i="5"/>
  <c r="K1923" i="5"/>
  <c r="K1939" i="5"/>
  <c r="K1957" i="5"/>
  <c r="K1975" i="5"/>
  <c r="K1990" i="5"/>
  <c r="K1958" i="5"/>
  <c r="K1976" i="5"/>
  <c r="K1991" i="5"/>
  <c r="K818" i="5"/>
  <c r="K830" i="5"/>
  <c r="K853" i="5"/>
  <c r="K877" i="5"/>
  <c r="K889" i="5"/>
  <c r="K912" i="5"/>
  <c r="K935" i="5"/>
  <c r="K971" i="5"/>
  <c r="K994" i="5"/>
  <c r="K1006" i="5"/>
  <c r="K1018" i="5"/>
  <c r="K1030" i="5"/>
  <c r="K1053" i="5"/>
  <c r="K1077" i="5"/>
  <c r="K1089" i="5"/>
  <c r="K1112" i="5"/>
  <c r="K1135" i="5"/>
  <c r="K1160" i="5"/>
  <c r="K1191" i="5"/>
  <c r="K1207" i="5"/>
  <c r="K1286" i="5"/>
  <c r="K1300" i="5"/>
  <c r="K1333" i="5"/>
  <c r="K1365" i="5"/>
  <c r="K1379" i="5"/>
  <c r="K1411" i="5"/>
  <c r="K1458" i="5"/>
  <c r="K1473" i="5"/>
  <c r="K1489" i="5"/>
  <c r="K1506" i="5"/>
  <c r="K1521" i="5"/>
  <c r="K1537" i="5"/>
  <c r="K1552" i="5"/>
  <c r="K1585" i="5"/>
  <c r="K1616" i="5"/>
  <c r="K1630" i="5"/>
  <c r="K1661" i="5"/>
  <c r="K1678" i="5"/>
  <c r="K1695" i="5"/>
  <c r="K1709" i="5"/>
  <c r="K1757" i="5"/>
  <c r="K1775" i="5"/>
  <c r="K1790" i="5"/>
  <c r="K1825" i="5"/>
  <c r="K1858" i="5"/>
  <c r="K1876" i="5"/>
  <c r="K1891" i="5"/>
  <c r="K1908" i="5"/>
  <c r="K1940" i="5"/>
  <c r="K727" i="5"/>
  <c r="K737" i="5"/>
  <c r="K747" i="5"/>
  <c r="K757" i="5"/>
  <c r="K767" i="5"/>
  <c r="K777" i="5"/>
  <c r="K787" i="5"/>
  <c r="K797" i="5"/>
  <c r="K807" i="5"/>
  <c r="K819" i="5"/>
  <c r="K842" i="5"/>
  <c r="K865" i="5"/>
  <c r="K901" i="5"/>
  <c r="K924" i="5"/>
  <c r="K936" i="5"/>
  <c r="K948" i="5"/>
  <c r="K960" i="5"/>
  <c r="K983" i="5"/>
  <c r="K1007" i="5"/>
  <c r="K1019" i="5"/>
  <c r="K1042" i="5"/>
  <c r="K1065" i="5"/>
  <c r="K1101" i="5"/>
  <c r="K1124" i="5"/>
  <c r="K1136" i="5"/>
  <c r="K1148" i="5"/>
  <c r="K1161" i="5"/>
  <c r="K1177" i="5"/>
  <c r="K1192" i="5"/>
  <c r="K1225" i="5"/>
  <c r="K1256" i="5"/>
  <c r="K1270" i="5"/>
  <c r="K1301" i="5"/>
  <c r="K1318" i="5"/>
  <c r="K1335" i="5"/>
  <c r="K1349" i="5"/>
  <c r="K1412" i="5"/>
  <c r="K1428" i="5"/>
  <c r="K1443" i="5"/>
  <c r="K1475" i="5"/>
  <c r="K1490" i="5"/>
  <c r="K1507" i="5"/>
  <c r="K1522" i="5"/>
  <c r="K1568" i="5"/>
  <c r="K1600" i="5"/>
  <c r="K1631" i="5"/>
  <c r="K1647" i="5"/>
  <c r="K1726" i="5"/>
  <c r="K1740" i="5"/>
  <c r="K1758" i="5"/>
  <c r="K1776" i="5"/>
  <c r="K1791" i="5"/>
  <c r="K1808" i="5"/>
  <c r="K1840" i="5"/>
  <c r="K1926" i="5"/>
  <c r="K1959" i="5"/>
  <c r="K1977" i="5"/>
  <c r="K1993" i="5"/>
  <c r="K810" i="5"/>
  <c r="K833" i="5"/>
  <c r="K857" i="5"/>
  <c r="K869" i="5"/>
  <c r="K892" i="5"/>
  <c r="K915" i="5"/>
  <c r="K951" i="5"/>
  <c r="K974" i="5"/>
  <c r="K986" i="5"/>
  <c r="K998" i="5"/>
  <c r="K1010" i="5"/>
  <c r="K1033" i="5"/>
  <c r="K1057" i="5"/>
  <c r="K1069" i="5"/>
  <c r="K1092" i="5"/>
  <c r="K1115" i="5"/>
  <c r="K1151" i="5"/>
  <c r="K1212" i="5"/>
  <c r="K1228" i="5"/>
  <c r="K1243" i="5"/>
  <c r="K1275" i="5"/>
  <c r="K1290" i="5"/>
  <c r="K1307" i="5"/>
  <c r="K1322" i="5"/>
  <c r="K1368" i="5"/>
  <c r="K1400" i="5"/>
  <c r="K1431" i="5"/>
  <c r="K1447" i="5"/>
  <c r="K1526" i="5"/>
  <c r="K1540" i="5"/>
  <c r="K1573" i="5"/>
  <c r="K1605" i="5"/>
  <c r="K1619" i="5"/>
  <c r="K1651" i="5"/>
  <c r="K1698" i="5"/>
  <c r="K1713" i="5"/>
  <c r="K1729" i="5"/>
  <c r="K1746" i="5"/>
  <c r="K1796" i="5"/>
  <c r="K1811" i="5"/>
  <c r="K1829" i="5"/>
  <c r="K1847" i="5"/>
  <c r="K1863" i="5"/>
  <c r="K1879" i="5"/>
  <c r="K1965" i="5"/>
  <c r="K1997" i="5"/>
  <c r="K1880" i="5"/>
  <c r="K1916" i="5"/>
  <c r="K1966" i="5"/>
  <c r="K1981" i="5"/>
  <c r="K1998" i="5"/>
  <c r="K1933" i="5"/>
  <c r="K1949" i="5"/>
  <c r="K1999" i="5"/>
  <c r="K2000" i="5"/>
  <c r="K1799" i="5"/>
  <c r="K1817" i="5"/>
  <c r="K1835" i="5"/>
  <c r="K1867" i="5"/>
  <c r="K1883" i="5"/>
  <c r="K1900" i="5"/>
  <c r="K1918" i="5"/>
  <c r="K1950" i="5"/>
  <c r="K1985" i="5"/>
  <c r="K2001" i="5"/>
  <c r="K813" i="5"/>
  <c r="K837" i="5"/>
  <c r="K849" i="5"/>
  <c r="K872" i="5"/>
  <c r="K895" i="5"/>
  <c r="K931" i="5"/>
  <c r="K954" i="5"/>
  <c r="K966" i="5"/>
  <c r="K978" i="5"/>
  <c r="K990" i="5"/>
  <c r="K1013" i="5"/>
  <c r="K1037" i="5"/>
  <c r="K1049" i="5"/>
  <c r="K1072" i="5"/>
  <c r="K1095" i="5"/>
  <c r="K1131" i="5"/>
  <c r="K1169" i="5"/>
  <c r="K1186" i="5"/>
  <c r="K1201" i="5"/>
  <c r="K1217" i="5"/>
  <c r="K1232" i="5"/>
  <c r="K1265" i="5"/>
  <c r="K1296" i="5"/>
  <c r="K1310" i="5"/>
  <c r="K1341" i="5"/>
  <c r="K1358" i="5"/>
  <c r="K1375" i="5"/>
  <c r="K1389" i="5"/>
  <c r="K1452" i="5"/>
  <c r="K1468" i="5"/>
  <c r="K1483" i="5"/>
  <c r="K1515" i="5"/>
  <c r="K1530" i="5"/>
  <c r="K1547" i="5"/>
  <c r="K1562" i="5"/>
  <c r="K1608" i="5"/>
  <c r="K1640" i="5"/>
  <c r="K1671" i="5"/>
  <c r="K1687" i="5"/>
  <c r="K1767" i="5"/>
  <c r="K1783" i="5"/>
  <c r="K1800" i="5"/>
  <c r="K1818" i="5"/>
  <c r="K1850" i="5"/>
  <c r="K1885" i="5"/>
  <c r="K1901" i="5"/>
  <c r="K1936" i="5"/>
  <c r="K1951" i="5"/>
  <c r="K1968" i="5"/>
  <c r="K1986" i="5"/>
  <c r="K1156" i="5"/>
  <c r="K1182" i="5"/>
  <c r="K1196" i="5"/>
  <c r="K1222" i="5"/>
  <c r="K1236" i="5"/>
  <c r="K1262" i="5"/>
  <c r="K1276" i="5"/>
  <c r="K1302" i="5"/>
  <c r="K1316" i="5"/>
  <c r="K1342" i="5"/>
  <c r="K1356" i="5"/>
  <c r="K1382" i="5"/>
  <c r="K1396" i="5"/>
  <c r="K1422" i="5"/>
  <c r="K1436" i="5"/>
  <c r="K1462" i="5"/>
  <c r="K1476" i="5"/>
  <c r="K1502" i="5"/>
  <c r="K1516" i="5"/>
  <c r="K1542" i="5"/>
  <c r="K1556" i="5"/>
  <c r="K1582" i="5"/>
  <c r="K1596" i="5"/>
  <c r="K1622" i="5"/>
  <c r="K1636" i="5"/>
  <c r="K1662" i="5"/>
  <c r="K1676" i="5"/>
  <c r="K1702" i="5"/>
  <c r="K1716" i="5"/>
  <c r="K1742" i="5"/>
  <c r="K1813" i="5"/>
  <c r="K1841" i="5"/>
  <c r="K1913" i="5"/>
  <c r="K1941" i="5"/>
  <c r="K1157" i="5"/>
  <c r="K1183" i="5"/>
  <c r="K1197" i="5"/>
  <c r="K1223" i="5"/>
  <c r="K1237" i="5"/>
  <c r="K1263" i="5"/>
  <c r="K1277" i="5"/>
  <c r="K1303" i="5"/>
  <c r="K1317" i="5"/>
  <c r="K1343" i="5"/>
  <c r="K1357" i="5"/>
  <c r="K1383" i="5"/>
  <c r="K1397" i="5"/>
  <c r="K1423" i="5"/>
  <c r="K1437" i="5"/>
  <c r="K1463" i="5"/>
  <c r="K1477" i="5"/>
  <c r="K1503" i="5"/>
  <c r="K1517" i="5"/>
  <c r="K1543" i="5"/>
  <c r="K1557" i="5"/>
  <c r="K1583" i="5"/>
  <c r="K1597" i="5"/>
  <c r="K1623" i="5"/>
  <c r="K1637" i="5"/>
  <c r="K1663" i="5"/>
  <c r="K1677" i="5"/>
  <c r="K1703" i="5"/>
  <c r="K1717" i="5"/>
  <c r="K1743" i="5"/>
  <c r="K1771" i="5"/>
  <c r="K1843" i="5"/>
  <c r="K1871" i="5"/>
  <c r="K1943" i="5"/>
  <c r="K1971" i="5"/>
  <c r="K1159" i="5"/>
  <c r="K1199" i="5"/>
  <c r="K1239" i="5"/>
  <c r="K1279" i="5"/>
  <c r="K1319" i="5"/>
  <c r="K1359" i="5"/>
  <c r="K1399" i="5"/>
  <c r="K1439" i="5"/>
  <c r="K1479" i="5"/>
  <c r="K1519" i="5"/>
  <c r="K1559" i="5"/>
  <c r="K1599" i="5"/>
  <c r="K1639" i="5"/>
  <c r="K1679" i="5"/>
  <c r="K1719" i="5"/>
  <c r="K1803" i="5"/>
  <c r="K1831" i="5"/>
  <c r="K1903" i="5"/>
  <c r="K1931" i="5"/>
  <c r="K2003" i="5"/>
  <c r="K1752" i="5"/>
  <c r="K1762" i="5"/>
  <c r="K1772" i="5"/>
  <c r="K1782" i="5"/>
  <c r="K1792" i="5"/>
  <c r="K1802" i="5"/>
  <c r="K1812" i="5"/>
  <c r="K1822" i="5"/>
  <c r="K1832" i="5"/>
  <c r="K1842" i="5"/>
  <c r="K1852" i="5"/>
  <c r="K1862" i="5"/>
  <c r="K1872" i="5"/>
  <c r="K1882" i="5"/>
  <c r="K1892" i="5"/>
  <c r="K1902" i="5"/>
  <c r="K1912" i="5"/>
  <c r="K1922" i="5"/>
  <c r="K1932" i="5"/>
  <c r="K1942" i="5"/>
  <c r="K1952" i="5"/>
  <c r="K1962" i="5"/>
  <c r="K1972" i="5"/>
  <c r="K1982" i="5"/>
  <c r="K1992" i="5"/>
  <c r="K2002" i="5"/>
  <c r="K1154" i="5"/>
  <c r="K1164" i="5"/>
  <c r="K1174" i="5"/>
  <c r="K1184" i="5"/>
  <c r="K1194" i="5"/>
  <c r="K1204" i="5"/>
  <c r="K1214" i="5"/>
  <c r="K1224" i="5"/>
  <c r="K1234" i="5"/>
  <c r="K1244" i="5"/>
  <c r="K1254" i="5"/>
  <c r="K1264" i="5"/>
  <c r="K1274" i="5"/>
  <c r="K1284" i="5"/>
  <c r="K1294" i="5"/>
  <c r="K1304" i="5"/>
  <c r="K1314" i="5"/>
  <c r="K1324" i="5"/>
  <c r="K1334" i="5"/>
  <c r="K1344" i="5"/>
  <c r="K1354" i="5"/>
  <c r="K1364" i="5"/>
  <c r="K1374" i="5"/>
  <c r="K1384" i="5"/>
  <c r="K1394" i="5"/>
  <c r="K1404" i="5"/>
  <c r="K1414" i="5"/>
  <c r="K1424" i="5"/>
  <c r="K1434" i="5"/>
  <c r="K1444" i="5"/>
  <c r="K1454" i="5"/>
  <c r="K1464" i="5"/>
  <c r="K1474" i="5"/>
  <c r="K1484" i="5"/>
  <c r="K1494" i="5"/>
  <c r="K1504" i="5"/>
  <c r="K1514" i="5"/>
  <c r="K1524" i="5"/>
  <c r="K1534" i="5"/>
  <c r="K1544" i="5"/>
  <c r="K1554" i="5"/>
  <c r="K1564" i="5"/>
  <c r="K1574" i="5"/>
  <c r="K1584" i="5"/>
  <c r="K1594" i="5"/>
  <c r="K1604" i="5"/>
  <c r="K1614" i="5"/>
  <c r="K1624" i="5"/>
  <c r="K1634" i="5"/>
  <c r="K1644" i="5"/>
  <c r="K1654" i="5"/>
  <c r="K1664" i="5"/>
  <c r="K1674" i="5"/>
  <c r="K1684" i="5"/>
  <c r="K1694" i="5"/>
  <c r="K1704" i="5"/>
  <c r="K1714" i="5"/>
  <c r="K1724" i="5"/>
  <c r="K1734" i="5"/>
  <c r="K1744" i="5"/>
  <c r="K1754" i="5"/>
  <c r="K1764" i="5"/>
  <c r="K1774" i="5"/>
  <c r="K1784" i="5"/>
  <c r="K1794" i="5"/>
  <c r="K1804" i="5"/>
  <c r="K1814" i="5"/>
  <c r="K1824" i="5"/>
  <c r="K1834" i="5"/>
  <c r="K1844" i="5"/>
  <c r="K1854" i="5"/>
  <c r="K1864" i="5"/>
  <c r="K1874" i="5"/>
  <c r="K1884" i="5"/>
  <c r="K1894" i="5"/>
  <c r="K1904" i="5"/>
  <c r="K1914" i="5"/>
  <c r="K1924" i="5"/>
  <c r="K1934" i="5"/>
  <c r="K1944" i="5"/>
  <c r="K1954" i="5"/>
  <c r="K1964" i="5"/>
  <c r="K1974" i="5"/>
  <c r="K1984" i="5"/>
  <c r="K1994" i="5"/>
  <c r="K2004" i="5"/>
  <c r="L507" i="5"/>
  <c r="L618" i="5"/>
  <c r="L701" i="5"/>
  <c r="L751" i="5"/>
  <c r="L801" i="5"/>
  <c r="L836" i="5"/>
  <c r="L851" i="5"/>
  <c r="L888" i="5"/>
  <c r="L104" i="5"/>
  <c r="L114" i="5"/>
  <c r="L124" i="5"/>
  <c r="L134" i="5"/>
  <c r="L144" i="5"/>
  <c r="L154" i="5"/>
  <c r="L164" i="5"/>
  <c r="L174" i="5"/>
  <c r="L184" i="5"/>
  <c r="L194" i="5"/>
  <c r="L204" i="5"/>
  <c r="L214" i="5"/>
  <c r="L224" i="5"/>
  <c r="L234" i="5"/>
  <c r="L244" i="5"/>
  <c r="L254" i="5"/>
  <c r="L264" i="5"/>
  <c r="L274" i="5"/>
  <c r="L284" i="5"/>
  <c r="L294" i="5"/>
  <c r="L304" i="5"/>
  <c r="L314" i="5"/>
  <c r="L324" i="5"/>
  <c r="L334" i="5"/>
  <c r="L344" i="5"/>
  <c r="L354" i="5"/>
  <c r="L364" i="5"/>
  <c r="L374" i="5"/>
  <c r="L384" i="5"/>
  <c r="L394" i="5"/>
  <c r="L404" i="5"/>
  <c r="L414" i="5"/>
  <c r="L424" i="5"/>
  <c r="L434" i="5"/>
  <c r="L444" i="5"/>
  <c r="L454" i="5"/>
  <c r="L464" i="5"/>
  <c r="L476" i="5"/>
  <c r="L520" i="5"/>
  <c r="L537" i="5"/>
  <c r="L551" i="5"/>
  <c r="L924" i="5"/>
  <c r="L941" i="5"/>
  <c r="L959" i="5"/>
  <c r="L978" i="5"/>
  <c r="L997" i="5"/>
  <c r="L1016" i="5"/>
  <c r="L1037" i="5"/>
  <c r="L1058" i="5"/>
  <c r="L1079" i="5"/>
  <c r="L1190" i="5"/>
  <c r="L1314" i="5"/>
  <c r="L1716" i="5"/>
  <c r="L105" i="5"/>
  <c r="L115" i="5"/>
  <c r="L125" i="5"/>
  <c r="L135" i="5"/>
  <c r="L145" i="5"/>
  <c r="L155" i="5"/>
  <c r="L165" i="5"/>
  <c r="L175" i="5"/>
  <c r="L185" i="5"/>
  <c r="L195" i="5"/>
  <c r="L205" i="5"/>
  <c r="L215" i="5"/>
  <c r="L225" i="5"/>
  <c r="L235" i="5"/>
  <c r="L245" i="5"/>
  <c r="L255" i="5"/>
  <c r="L265" i="5"/>
  <c r="L275" i="5"/>
  <c r="L285" i="5"/>
  <c r="L295" i="5"/>
  <c r="L305" i="5"/>
  <c r="L315" i="5"/>
  <c r="L325" i="5"/>
  <c r="L335" i="5"/>
  <c r="L345" i="5"/>
  <c r="L355" i="5"/>
  <c r="L365" i="5"/>
  <c r="L375" i="5"/>
  <c r="L385" i="5"/>
  <c r="L395" i="5"/>
  <c r="L405" i="5"/>
  <c r="L415" i="5"/>
  <c r="L425" i="5"/>
  <c r="L435" i="5"/>
  <c r="L445" i="5"/>
  <c r="L455" i="5"/>
  <c r="L465" i="5"/>
  <c r="L477" i="5"/>
  <c r="L491" i="5"/>
  <c r="L522" i="5"/>
  <c r="L538" i="5"/>
  <c r="L554" i="5"/>
  <c r="L602" i="5"/>
  <c r="L652" i="5"/>
  <c r="L702" i="5"/>
  <c r="L752" i="5"/>
  <c r="L802" i="5"/>
  <c r="L852" i="5"/>
  <c r="L944" i="5"/>
  <c r="L961" i="5"/>
  <c r="L979" i="5"/>
  <c r="L998" i="5"/>
  <c r="L1017" i="5"/>
  <c r="L1038" i="5"/>
  <c r="L1059" i="5"/>
  <c r="L1081" i="5"/>
  <c r="L1594" i="5"/>
  <c r="L1757" i="5"/>
  <c r="L1587" i="5"/>
  <c r="L492" i="5"/>
  <c r="L508" i="5"/>
  <c r="L524" i="5"/>
  <c r="L569" i="5"/>
  <c r="L587" i="5"/>
  <c r="L604" i="5"/>
  <c r="L619" i="5"/>
  <c r="L637" i="5"/>
  <c r="L654" i="5"/>
  <c r="L669" i="5"/>
  <c r="L687" i="5"/>
  <c r="L704" i="5"/>
  <c r="L719" i="5"/>
  <c r="L737" i="5"/>
  <c r="L754" i="5"/>
  <c r="L769" i="5"/>
  <c r="L787" i="5"/>
  <c r="L804" i="5"/>
  <c r="L819" i="5"/>
  <c r="L837" i="5"/>
  <c r="L854" i="5"/>
  <c r="L871" i="5"/>
  <c r="L889" i="5"/>
  <c r="L908" i="5"/>
  <c r="L927" i="5"/>
  <c r="L946" i="5"/>
  <c r="L962" i="5"/>
  <c r="L1082" i="5"/>
  <c r="L1108" i="5"/>
  <c r="L1139" i="5"/>
  <c r="L1217" i="5"/>
  <c r="L1346" i="5"/>
  <c r="L1467" i="5"/>
  <c r="L1617" i="5"/>
  <c r="L1466" i="5"/>
  <c r="L96" i="5"/>
  <c r="L106" i="5"/>
  <c r="L116" i="5"/>
  <c r="L126" i="5"/>
  <c r="L136" i="5"/>
  <c r="L146" i="5"/>
  <c r="L156" i="5"/>
  <c r="L166" i="5"/>
  <c r="L176" i="5"/>
  <c r="L186" i="5"/>
  <c r="L196" i="5"/>
  <c r="L206" i="5"/>
  <c r="L216" i="5"/>
  <c r="L226" i="5"/>
  <c r="L236" i="5"/>
  <c r="L246" i="5"/>
  <c r="L256" i="5"/>
  <c r="L266" i="5"/>
  <c r="L276" i="5"/>
  <c r="L286" i="5"/>
  <c r="L296" i="5"/>
  <c r="L306" i="5"/>
  <c r="L316" i="5"/>
  <c r="L326" i="5"/>
  <c r="L336" i="5"/>
  <c r="L346" i="5"/>
  <c r="L356" i="5"/>
  <c r="L366" i="5"/>
  <c r="L376" i="5"/>
  <c r="L386" i="5"/>
  <c r="L396" i="5"/>
  <c r="L406" i="5"/>
  <c r="L416" i="5"/>
  <c r="L426" i="5"/>
  <c r="L436" i="5"/>
  <c r="L446" i="5"/>
  <c r="L456" i="5"/>
  <c r="L466" i="5"/>
  <c r="L478" i="5"/>
  <c r="L494" i="5"/>
  <c r="L539" i="5"/>
  <c r="L556" i="5"/>
  <c r="L856" i="5"/>
  <c r="L872" i="5"/>
  <c r="L964" i="5"/>
  <c r="L981" i="5"/>
  <c r="L999" i="5"/>
  <c r="L1018" i="5"/>
  <c r="L1039" i="5"/>
  <c r="L1061" i="5"/>
  <c r="L1474" i="5"/>
  <c r="L1766" i="5"/>
  <c r="L1337" i="5"/>
  <c r="L509" i="5"/>
  <c r="L526" i="5"/>
  <c r="L571" i="5"/>
  <c r="L588" i="5"/>
  <c r="L606" i="5"/>
  <c r="L621" i="5"/>
  <c r="L638" i="5"/>
  <c r="L656" i="5"/>
  <c r="L671" i="5"/>
  <c r="L688" i="5"/>
  <c r="L706" i="5"/>
  <c r="L721" i="5"/>
  <c r="L738" i="5"/>
  <c r="L756" i="5"/>
  <c r="L771" i="5"/>
  <c r="L788" i="5"/>
  <c r="L806" i="5"/>
  <c r="L821" i="5"/>
  <c r="L838" i="5"/>
  <c r="L874" i="5"/>
  <c r="L891" i="5"/>
  <c r="L909" i="5"/>
  <c r="L928" i="5"/>
  <c r="L947" i="5"/>
  <c r="L966" i="5"/>
  <c r="L982" i="5"/>
  <c r="L1062" i="5"/>
  <c r="L1087" i="5"/>
  <c r="L1109" i="5"/>
  <c r="L1226" i="5"/>
  <c r="L1347" i="5"/>
  <c r="L1497" i="5"/>
  <c r="L1626" i="5"/>
  <c r="L1767" i="5"/>
  <c r="L601" i="5"/>
  <c r="L1194" i="5"/>
  <c r="L97" i="5"/>
  <c r="L107" i="5"/>
  <c r="L117" i="5"/>
  <c r="L127" i="5"/>
  <c r="L137" i="5"/>
  <c r="L147" i="5"/>
  <c r="L157" i="5"/>
  <c r="L167" i="5"/>
  <c r="L177" i="5"/>
  <c r="L187" i="5"/>
  <c r="L197" i="5"/>
  <c r="L207" i="5"/>
  <c r="L217" i="5"/>
  <c r="L227" i="5"/>
  <c r="L237" i="5"/>
  <c r="L247" i="5"/>
  <c r="L257" i="5"/>
  <c r="L267" i="5"/>
  <c r="L277" i="5"/>
  <c r="L287" i="5"/>
  <c r="L297" i="5"/>
  <c r="L307" i="5"/>
  <c r="L317" i="5"/>
  <c r="L327" i="5"/>
  <c r="L337" i="5"/>
  <c r="L347" i="5"/>
  <c r="L357" i="5"/>
  <c r="L367" i="5"/>
  <c r="L377" i="5"/>
  <c r="L387" i="5"/>
  <c r="L397" i="5"/>
  <c r="L407" i="5"/>
  <c r="L417" i="5"/>
  <c r="L427" i="5"/>
  <c r="L437" i="5"/>
  <c r="L447" i="5"/>
  <c r="L457" i="5"/>
  <c r="L467" i="5"/>
  <c r="L479" i="5"/>
  <c r="L496" i="5"/>
  <c r="L540" i="5"/>
  <c r="L557" i="5"/>
  <c r="L572" i="5"/>
  <c r="L622" i="5"/>
  <c r="L672" i="5"/>
  <c r="L722" i="5"/>
  <c r="L772" i="5"/>
  <c r="L822" i="5"/>
  <c r="L857" i="5"/>
  <c r="L876" i="5"/>
  <c r="L892" i="5"/>
  <c r="L984" i="5"/>
  <c r="L1001" i="5"/>
  <c r="L1019" i="5"/>
  <c r="L1041" i="5"/>
  <c r="L1354" i="5"/>
  <c r="L651" i="5"/>
  <c r="L1107" i="5"/>
  <c r="L510" i="5"/>
  <c r="L527" i="5"/>
  <c r="L541" i="5"/>
  <c r="L574" i="5"/>
  <c r="L589" i="5"/>
  <c r="L607" i="5"/>
  <c r="L624" i="5"/>
  <c r="L639" i="5"/>
  <c r="L657" i="5"/>
  <c r="L674" i="5"/>
  <c r="L689" i="5"/>
  <c r="L707" i="5"/>
  <c r="L724" i="5"/>
  <c r="L739" i="5"/>
  <c r="L757" i="5"/>
  <c r="L774" i="5"/>
  <c r="L789" i="5"/>
  <c r="L807" i="5"/>
  <c r="L824" i="5"/>
  <c r="L839" i="5"/>
  <c r="L894" i="5"/>
  <c r="L911" i="5"/>
  <c r="L929" i="5"/>
  <c r="L948" i="5"/>
  <c r="L967" i="5"/>
  <c r="L986" i="5"/>
  <c r="L1002" i="5"/>
  <c r="L1042" i="5"/>
  <c r="L1067" i="5"/>
  <c r="L1088" i="5"/>
  <c r="L1148" i="5"/>
  <c r="L1227" i="5"/>
  <c r="L1377" i="5"/>
  <c r="L1506" i="5"/>
  <c r="L1627" i="5"/>
  <c r="L1817" i="5"/>
  <c r="L552" i="5"/>
  <c r="L736" i="5"/>
  <c r="L98" i="5"/>
  <c r="L108" i="5"/>
  <c r="L118" i="5"/>
  <c r="L128" i="5"/>
  <c r="L138" i="5"/>
  <c r="L148" i="5"/>
  <c r="L158" i="5"/>
  <c r="L168" i="5"/>
  <c r="L178" i="5"/>
  <c r="L188" i="5"/>
  <c r="L198" i="5"/>
  <c r="L208" i="5"/>
  <c r="L218" i="5"/>
  <c r="L228" i="5"/>
  <c r="L238" i="5"/>
  <c r="L248" i="5"/>
  <c r="L258" i="5"/>
  <c r="L268" i="5"/>
  <c r="L278" i="5"/>
  <c r="L288" i="5"/>
  <c r="L298" i="5"/>
  <c r="L308" i="5"/>
  <c r="L318" i="5"/>
  <c r="L328" i="5"/>
  <c r="L338" i="5"/>
  <c r="L348" i="5"/>
  <c r="L358" i="5"/>
  <c r="L368" i="5"/>
  <c r="L378" i="5"/>
  <c r="L388" i="5"/>
  <c r="L398" i="5"/>
  <c r="L408" i="5"/>
  <c r="L418" i="5"/>
  <c r="L428" i="5"/>
  <c r="L438" i="5"/>
  <c r="L448" i="5"/>
  <c r="L458" i="5"/>
  <c r="L468" i="5"/>
  <c r="L480" i="5"/>
  <c r="L497" i="5"/>
  <c r="L511" i="5"/>
  <c r="L542" i="5"/>
  <c r="L558" i="5"/>
  <c r="L858" i="5"/>
  <c r="L877" i="5"/>
  <c r="L896" i="5"/>
  <c r="L912" i="5"/>
  <c r="L1004" i="5"/>
  <c r="L1021" i="5"/>
  <c r="L1234" i="5"/>
  <c r="L1634" i="5"/>
  <c r="L1826" i="5"/>
  <c r="L481" i="5"/>
  <c r="L512" i="5"/>
  <c r="L528" i="5"/>
  <c r="L544" i="5"/>
  <c r="L576" i="5"/>
  <c r="L591" i="5"/>
  <c r="L608" i="5"/>
  <c r="L626" i="5"/>
  <c r="L641" i="5"/>
  <c r="L658" i="5"/>
  <c r="L676" i="5"/>
  <c r="L691" i="5"/>
  <c r="L708" i="5"/>
  <c r="L726" i="5"/>
  <c r="L741" i="5"/>
  <c r="L758" i="5"/>
  <c r="L776" i="5"/>
  <c r="L791" i="5"/>
  <c r="L808" i="5"/>
  <c r="L826" i="5"/>
  <c r="L841" i="5"/>
  <c r="L914" i="5"/>
  <c r="L931" i="5"/>
  <c r="L949" i="5"/>
  <c r="L968" i="5"/>
  <c r="L987" i="5"/>
  <c r="L1006" i="5"/>
  <c r="L1022" i="5"/>
  <c r="L1047" i="5"/>
  <c r="L1068" i="5"/>
  <c r="L1089" i="5"/>
  <c r="L1118" i="5"/>
  <c r="L1149" i="5"/>
  <c r="L1257" i="5"/>
  <c r="L1386" i="5"/>
  <c r="L1507" i="5"/>
  <c r="L1657" i="5"/>
  <c r="L1827" i="5"/>
  <c r="L99" i="5"/>
  <c r="L109" i="5"/>
  <c r="L119" i="5"/>
  <c r="L129" i="5"/>
  <c r="L139" i="5"/>
  <c r="L149" i="5"/>
  <c r="L159" i="5"/>
  <c r="L169" i="5"/>
  <c r="L179" i="5"/>
  <c r="L189" i="5"/>
  <c r="L199" i="5"/>
  <c r="L209" i="5"/>
  <c r="L219" i="5"/>
  <c r="L229" i="5"/>
  <c r="L239" i="5"/>
  <c r="L249" i="5"/>
  <c r="L259" i="5"/>
  <c r="L269" i="5"/>
  <c r="L279" i="5"/>
  <c r="L289" i="5"/>
  <c r="L299" i="5"/>
  <c r="L309" i="5"/>
  <c r="L319" i="5"/>
  <c r="L329" i="5"/>
  <c r="L339" i="5"/>
  <c r="L349" i="5"/>
  <c r="L359" i="5"/>
  <c r="L369" i="5"/>
  <c r="L379" i="5"/>
  <c r="L389" i="5"/>
  <c r="L399" i="5"/>
  <c r="L409" i="5"/>
  <c r="L419" i="5"/>
  <c r="L429" i="5"/>
  <c r="L439" i="5"/>
  <c r="L449" i="5"/>
  <c r="L459" i="5"/>
  <c r="L469" i="5"/>
  <c r="L482" i="5"/>
  <c r="L498" i="5"/>
  <c r="L514" i="5"/>
  <c r="L559" i="5"/>
  <c r="L592" i="5"/>
  <c r="L642" i="5"/>
  <c r="L692" i="5"/>
  <c r="L742" i="5"/>
  <c r="L792" i="5"/>
  <c r="L842" i="5"/>
  <c r="L859" i="5"/>
  <c r="L878" i="5"/>
  <c r="L897" i="5"/>
  <c r="L916" i="5"/>
  <c r="L932" i="5"/>
  <c r="L1514" i="5"/>
  <c r="L568" i="5"/>
  <c r="L1138" i="5"/>
  <c r="L484" i="5"/>
  <c r="L529" i="5"/>
  <c r="L546" i="5"/>
  <c r="L577" i="5"/>
  <c r="L594" i="5"/>
  <c r="L609" i="5"/>
  <c r="L627" i="5"/>
  <c r="L644" i="5"/>
  <c r="L659" i="5"/>
  <c r="L677" i="5"/>
  <c r="L694" i="5"/>
  <c r="L709" i="5"/>
  <c r="L727" i="5"/>
  <c r="L744" i="5"/>
  <c r="L759" i="5"/>
  <c r="L777" i="5"/>
  <c r="L794" i="5"/>
  <c r="L809" i="5"/>
  <c r="L827" i="5"/>
  <c r="L844" i="5"/>
  <c r="L934" i="5"/>
  <c r="L951" i="5"/>
  <c r="L969" i="5"/>
  <c r="L988" i="5"/>
  <c r="L1007" i="5"/>
  <c r="L1027" i="5"/>
  <c r="L1048" i="5"/>
  <c r="L1069" i="5"/>
  <c r="L1091" i="5"/>
  <c r="L1119" i="5"/>
  <c r="L1266" i="5"/>
  <c r="L1387" i="5"/>
  <c r="L1537" i="5"/>
  <c r="L1666" i="5"/>
  <c r="L1836" i="5"/>
  <c r="L668" i="5"/>
  <c r="L818" i="5"/>
  <c r="L100" i="5"/>
  <c r="L110" i="5"/>
  <c r="L120" i="5"/>
  <c r="L130" i="5"/>
  <c r="L140" i="5"/>
  <c r="L150" i="5"/>
  <c r="L160" i="5"/>
  <c r="L170" i="5"/>
  <c r="L180" i="5"/>
  <c r="L190" i="5"/>
  <c r="L200" i="5"/>
  <c r="L210" i="5"/>
  <c r="L220" i="5"/>
  <c r="L230" i="5"/>
  <c r="L240" i="5"/>
  <c r="L250" i="5"/>
  <c r="L260" i="5"/>
  <c r="L270" i="5"/>
  <c r="L280" i="5"/>
  <c r="L290" i="5"/>
  <c r="L300" i="5"/>
  <c r="L310" i="5"/>
  <c r="L320" i="5"/>
  <c r="L330" i="5"/>
  <c r="L340" i="5"/>
  <c r="L350" i="5"/>
  <c r="L360" i="5"/>
  <c r="L370" i="5"/>
  <c r="L380" i="5"/>
  <c r="L390" i="5"/>
  <c r="L400" i="5"/>
  <c r="L410" i="5"/>
  <c r="L420" i="5"/>
  <c r="L430" i="5"/>
  <c r="L440" i="5"/>
  <c r="L450" i="5"/>
  <c r="L460" i="5"/>
  <c r="L470" i="5"/>
  <c r="L499" i="5"/>
  <c r="L516" i="5"/>
  <c r="L560" i="5"/>
  <c r="L861" i="5"/>
  <c r="L879" i="5"/>
  <c r="L898" i="5"/>
  <c r="L917" i="5"/>
  <c r="L936" i="5"/>
  <c r="L952" i="5"/>
  <c r="L1158" i="5"/>
  <c r="L1394" i="5"/>
  <c r="L1837" i="5"/>
  <c r="L942" i="5"/>
  <c r="L486" i="5"/>
  <c r="L530" i="5"/>
  <c r="L547" i="5"/>
  <c r="L561" i="5"/>
  <c r="L578" i="5"/>
  <c r="L596" i="5"/>
  <c r="L611" i="5"/>
  <c r="L628" i="5"/>
  <c r="L646" i="5"/>
  <c r="L661" i="5"/>
  <c r="L678" i="5"/>
  <c r="L696" i="5"/>
  <c r="L711" i="5"/>
  <c r="L728" i="5"/>
  <c r="L746" i="5"/>
  <c r="L761" i="5"/>
  <c r="L778" i="5"/>
  <c r="L796" i="5"/>
  <c r="L811" i="5"/>
  <c r="L828" i="5"/>
  <c r="L846" i="5"/>
  <c r="L862" i="5"/>
  <c r="L954" i="5"/>
  <c r="L971" i="5"/>
  <c r="L989" i="5"/>
  <c r="L1008" i="5"/>
  <c r="L1028" i="5"/>
  <c r="L1049" i="5"/>
  <c r="L1071" i="5"/>
  <c r="L1097" i="5"/>
  <c r="L1159" i="5"/>
  <c r="L1267" i="5"/>
  <c r="L1417" i="5"/>
  <c r="L1546" i="5"/>
  <c r="L1667" i="5"/>
  <c r="L101" i="5"/>
  <c r="L111" i="5"/>
  <c r="L121" i="5"/>
  <c r="L131" i="5"/>
  <c r="L141" i="5"/>
  <c r="L151" i="5"/>
  <c r="L161" i="5"/>
  <c r="L171" i="5"/>
  <c r="L181" i="5"/>
  <c r="L191" i="5"/>
  <c r="L201" i="5"/>
  <c r="L211" i="5"/>
  <c r="L221" i="5"/>
  <c r="L231" i="5"/>
  <c r="L241" i="5"/>
  <c r="L251" i="5"/>
  <c r="L261" i="5"/>
  <c r="L271" i="5"/>
  <c r="L281" i="5"/>
  <c r="L291" i="5"/>
  <c r="L301" i="5"/>
  <c r="L311" i="5"/>
  <c r="L321" i="5"/>
  <c r="L331" i="5"/>
  <c r="L341" i="5"/>
  <c r="L351" i="5"/>
  <c r="L361" i="5"/>
  <c r="L371" i="5"/>
  <c r="L381" i="5"/>
  <c r="L391" i="5"/>
  <c r="L401" i="5"/>
  <c r="L411" i="5"/>
  <c r="L421" i="5"/>
  <c r="L431" i="5"/>
  <c r="L441" i="5"/>
  <c r="L451" i="5"/>
  <c r="L461" i="5"/>
  <c r="L471" i="5"/>
  <c r="L500" i="5"/>
  <c r="L517" i="5"/>
  <c r="L531" i="5"/>
  <c r="L562" i="5"/>
  <c r="L612" i="5"/>
  <c r="L662" i="5"/>
  <c r="L712" i="5"/>
  <c r="L762" i="5"/>
  <c r="L812" i="5"/>
  <c r="L864" i="5"/>
  <c r="L881" i="5"/>
  <c r="L899" i="5"/>
  <c r="L918" i="5"/>
  <c r="L937" i="5"/>
  <c r="L956" i="5"/>
  <c r="L972" i="5"/>
  <c r="L1072" i="5"/>
  <c r="L1160" i="5"/>
  <c r="L1274" i="5"/>
  <c r="L1674" i="5"/>
  <c r="L926" i="5"/>
  <c r="L472" i="5"/>
  <c r="L487" i="5"/>
  <c r="L501" i="5"/>
  <c r="L532" i="5"/>
  <c r="L548" i="5"/>
  <c r="L564" i="5"/>
  <c r="L579" i="5"/>
  <c r="L597" i="5"/>
  <c r="L614" i="5"/>
  <c r="L629" i="5"/>
  <c r="L647" i="5"/>
  <c r="L664" i="5"/>
  <c r="L679" i="5"/>
  <c r="L697" i="5"/>
  <c r="L714" i="5"/>
  <c r="L729" i="5"/>
  <c r="L747" i="5"/>
  <c r="L764" i="5"/>
  <c r="L779" i="5"/>
  <c r="L797" i="5"/>
  <c r="L814" i="5"/>
  <c r="L829" i="5"/>
  <c r="L847" i="5"/>
  <c r="L866" i="5"/>
  <c r="L882" i="5"/>
  <c r="L974" i="5"/>
  <c r="L991" i="5"/>
  <c r="L1009" i="5"/>
  <c r="L1029" i="5"/>
  <c r="L1051" i="5"/>
  <c r="L1098" i="5"/>
  <c r="L1128" i="5"/>
  <c r="L1162" i="5"/>
  <c r="L1297" i="5"/>
  <c r="L1426" i="5"/>
  <c r="L1547" i="5"/>
  <c r="L1704" i="5"/>
  <c r="L1906" i="5"/>
  <c r="L718" i="5"/>
  <c r="L102" i="5"/>
  <c r="L112" i="5"/>
  <c r="L122" i="5"/>
  <c r="L132" i="5"/>
  <c r="L142" i="5"/>
  <c r="L152" i="5"/>
  <c r="L162" i="5"/>
  <c r="L172" i="5"/>
  <c r="L182" i="5"/>
  <c r="L192" i="5"/>
  <c r="L202" i="5"/>
  <c r="L212" i="5"/>
  <c r="L222" i="5"/>
  <c r="L232" i="5"/>
  <c r="L242" i="5"/>
  <c r="L252" i="5"/>
  <c r="L262" i="5"/>
  <c r="L272" i="5"/>
  <c r="L282" i="5"/>
  <c r="L292" i="5"/>
  <c r="L302" i="5"/>
  <c r="L312" i="5"/>
  <c r="L322" i="5"/>
  <c r="L332" i="5"/>
  <c r="L342" i="5"/>
  <c r="L352" i="5"/>
  <c r="L362" i="5"/>
  <c r="L372" i="5"/>
  <c r="L382" i="5"/>
  <c r="L392" i="5"/>
  <c r="L402" i="5"/>
  <c r="L412" i="5"/>
  <c r="L422" i="5"/>
  <c r="L432" i="5"/>
  <c r="L442" i="5"/>
  <c r="L452" i="5"/>
  <c r="L462" i="5"/>
  <c r="L502" i="5"/>
  <c r="L518" i="5"/>
  <c r="L534" i="5"/>
  <c r="L884" i="5"/>
  <c r="L901" i="5"/>
  <c r="L919" i="5"/>
  <c r="L938" i="5"/>
  <c r="L957" i="5"/>
  <c r="L976" i="5"/>
  <c r="L992" i="5"/>
  <c r="L1052" i="5"/>
  <c r="L1077" i="5"/>
  <c r="L1163" i="5"/>
  <c r="L1554" i="5"/>
  <c r="L1706" i="5"/>
  <c r="L521" i="5"/>
  <c r="L869" i="5"/>
  <c r="L488" i="5"/>
  <c r="L504" i="5"/>
  <c r="L549" i="5"/>
  <c r="L566" i="5"/>
  <c r="L581" i="5"/>
  <c r="L598" i="5"/>
  <c r="L616" i="5"/>
  <c r="L631" i="5"/>
  <c r="L648" i="5"/>
  <c r="L666" i="5"/>
  <c r="L681" i="5"/>
  <c r="L698" i="5"/>
  <c r="L716" i="5"/>
  <c r="L731" i="5"/>
  <c r="L748" i="5"/>
  <c r="L766" i="5"/>
  <c r="L781" i="5"/>
  <c r="L798" i="5"/>
  <c r="L816" i="5"/>
  <c r="L831" i="5"/>
  <c r="L848" i="5"/>
  <c r="L867" i="5"/>
  <c r="L886" i="5"/>
  <c r="L902" i="5"/>
  <c r="L994" i="5"/>
  <c r="L1011" i="5"/>
  <c r="L1031" i="5"/>
  <c r="L1099" i="5"/>
  <c r="L1129" i="5"/>
  <c r="L1306" i="5"/>
  <c r="L1427" i="5"/>
  <c r="L1577" i="5"/>
  <c r="L1707" i="5"/>
  <c r="L1916" i="5"/>
  <c r="L490" i="5"/>
  <c r="L586" i="5"/>
  <c r="L686" i="5"/>
  <c r="L768" i="5"/>
  <c r="L907" i="5"/>
  <c r="L103" i="5"/>
  <c r="L113" i="5"/>
  <c r="L123" i="5"/>
  <c r="L133" i="5"/>
  <c r="L143" i="5"/>
  <c r="L153" i="5"/>
  <c r="L163" i="5"/>
  <c r="L173" i="5"/>
  <c r="L183" i="5"/>
  <c r="L193" i="5"/>
  <c r="L203" i="5"/>
  <c r="L213" i="5"/>
  <c r="L223" i="5"/>
  <c r="L233" i="5"/>
  <c r="L243" i="5"/>
  <c r="L253" i="5"/>
  <c r="L263" i="5"/>
  <c r="L273" i="5"/>
  <c r="L283" i="5"/>
  <c r="L293" i="5"/>
  <c r="L303" i="5"/>
  <c r="L313" i="5"/>
  <c r="L323" i="5"/>
  <c r="L333" i="5"/>
  <c r="L343" i="5"/>
  <c r="L353" i="5"/>
  <c r="L363" i="5"/>
  <c r="L373" i="5"/>
  <c r="L383" i="5"/>
  <c r="L393" i="5"/>
  <c r="L403" i="5"/>
  <c r="L413" i="5"/>
  <c r="L423" i="5"/>
  <c r="L433" i="5"/>
  <c r="L443" i="5"/>
  <c r="L453" i="5"/>
  <c r="L463" i="5"/>
  <c r="L474" i="5"/>
  <c r="L519" i="5"/>
  <c r="L536" i="5"/>
  <c r="L582" i="5"/>
  <c r="L632" i="5"/>
  <c r="L682" i="5"/>
  <c r="L732" i="5"/>
  <c r="L782" i="5"/>
  <c r="L832" i="5"/>
  <c r="L904" i="5"/>
  <c r="L921" i="5"/>
  <c r="L939" i="5"/>
  <c r="L958" i="5"/>
  <c r="L977" i="5"/>
  <c r="L996" i="5"/>
  <c r="L1012" i="5"/>
  <c r="L1032" i="5"/>
  <c r="L1057" i="5"/>
  <c r="L1078" i="5"/>
  <c r="L1434" i="5"/>
  <c r="L1714" i="5"/>
  <c r="L636" i="5"/>
  <c r="L786" i="5"/>
  <c r="L489" i="5"/>
  <c r="L506" i="5"/>
  <c r="L550" i="5"/>
  <c r="L567" i="5"/>
  <c r="L584" i="5"/>
  <c r="L599" i="5"/>
  <c r="L617" i="5"/>
  <c r="L634" i="5"/>
  <c r="L649" i="5"/>
  <c r="L667" i="5"/>
  <c r="L684" i="5"/>
  <c r="L699" i="5"/>
  <c r="L717" i="5"/>
  <c r="L734" i="5"/>
  <c r="L749" i="5"/>
  <c r="L767" i="5"/>
  <c r="L784" i="5"/>
  <c r="L799" i="5"/>
  <c r="L817" i="5"/>
  <c r="L834" i="5"/>
  <c r="L849" i="5"/>
  <c r="L868" i="5"/>
  <c r="L887" i="5"/>
  <c r="L906" i="5"/>
  <c r="L922" i="5"/>
  <c r="L1014" i="5"/>
  <c r="L1101" i="5"/>
  <c r="L1187" i="5"/>
  <c r="L1307" i="5"/>
  <c r="L1457" i="5"/>
  <c r="L1586" i="5"/>
  <c r="L570" i="5"/>
  <c r="L580" i="5"/>
  <c r="L590" i="5"/>
  <c r="L600" i="5"/>
  <c r="L610" i="5"/>
  <c r="L620" i="5"/>
  <c r="L630" i="5"/>
  <c r="L640" i="5"/>
  <c r="L650" i="5"/>
  <c r="L660" i="5"/>
  <c r="L670" i="5"/>
  <c r="L680" i="5"/>
  <c r="L690" i="5"/>
  <c r="L700" i="5"/>
  <c r="L710" i="5"/>
  <c r="L720" i="5"/>
  <c r="L730" i="5"/>
  <c r="L740" i="5"/>
  <c r="L750" i="5"/>
  <c r="L760" i="5"/>
  <c r="L770" i="5"/>
  <c r="L780" i="5"/>
  <c r="L790" i="5"/>
  <c r="L800" i="5"/>
  <c r="L810" i="5"/>
  <c r="L820" i="5"/>
  <c r="L830" i="5"/>
  <c r="L840" i="5"/>
  <c r="L850" i="5"/>
  <c r="L860" i="5"/>
  <c r="L870" i="5"/>
  <c r="L880" i="5"/>
  <c r="L890" i="5"/>
  <c r="L900" i="5"/>
  <c r="L910" i="5"/>
  <c r="L920" i="5"/>
  <c r="L930" i="5"/>
  <c r="L940" i="5"/>
  <c r="L950" i="5"/>
  <c r="L960" i="5"/>
  <c r="L970" i="5"/>
  <c r="L980" i="5"/>
  <c r="L990" i="5"/>
  <c r="L1000" i="5"/>
  <c r="L1010" i="5"/>
  <c r="L1020" i="5"/>
  <c r="L1030" i="5"/>
  <c r="L1040" i="5"/>
  <c r="L1050" i="5"/>
  <c r="L1060" i="5"/>
  <c r="L1070" i="5"/>
  <c r="L1080" i="5"/>
  <c r="L1090" i="5"/>
  <c r="L1100" i="5"/>
  <c r="L1110" i="5"/>
  <c r="L1120" i="5"/>
  <c r="L1130" i="5"/>
  <c r="L1140" i="5"/>
  <c r="L1150" i="5"/>
  <c r="L1164" i="5"/>
  <c r="L1196" i="5"/>
  <c r="L1717" i="5"/>
  <c r="L1776" i="5"/>
  <c r="L1926" i="5"/>
  <c r="L1236" i="5"/>
  <c r="L1276" i="5"/>
  <c r="L1316" i="5"/>
  <c r="L1356" i="5"/>
  <c r="L1396" i="5"/>
  <c r="L1436" i="5"/>
  <c r="L1476" i="5"/>
  <c r="L1516" i="5"/>
  <c r="L1556" i="5"/>
  <c r="L1596" i="5"/>
  <c r="L1636" i="5"/>
  <c r="L1676" i="5"/>
  <c r="L1724" i="5"/>
  <c r="L1777" i="5"/>
  <c r="L1846" i="5"/>
  <c r="L1111" i="5"/>
  <c r="L1121" i="5"/>
  <c r="L1131" i="5"/>
  <c r="L1141" i="5"/>
  <c r="L1151" i="5"/>
  <c r="L1166" i="5"/>
  <c r="L1197" i="5"/>
  <c r="L1847" i="5"/>
  <c r="L1936" i="5"/>
  <c r="L1200" i="5"/>
  <c r="L1237" i="5"/>
  <c r="L1277" i="5"/>
  <c r="L1317" i="5"/>
  <c r="L1357" i="5"/>
  <c r="L1397" i="5"/>
  <c r="L1437" i="5"/>
  <c r="L1477" i="5"/>
  <c r="L1517" i="5"/>
  <c r="L1557" i="5"/>
  <c r="L1597" i="5"/>
  <c r="L1637" i="5"/>
  <c r="L1677" i="5"/>
  <c r="L1726" i="5"/>
  <c r="L1786" i="5"/>
  <c r="L1092" i="5"/>
  <c r="L1102" i="5"/>
  <c r="L1112" i="5"/>
  <c r="L1122" i="5"/>
  <c r="L1132" i="5"/>
  <c r="L1142" i="5"/>
  <c r="L1152" i="5"/>
  <c r="L1167" i="5"/>
  <c r="L1204" i="5"/>
  <c r="L1244" i="5"/>
  <c r="L1284" i="5"/>
  <c r="L1324" i="5"/>
  <c r="L1364" i="5"/>
  <c r="L1404" i="5"/>
  <c r="L1444" i="5"/>
  <c r="L1484" i="5"/>
  <c r="L1524" i="5"/>
  <c r="L1564" i="5"/>
  <c r="L1604" i="5"/>
  <c r="L1644" i="5"/>
  <c r="L1684" i="5"/>
  <c r="L1727" i="5"/>
  <c r="L1787" i="5"/>
  <c r="L1856" i="5"/>
  <c r="L1946" i="5"/>
  <c r="L1170" i="5"/>
  <c r="L1734" i="5"/>
  <c r="L1857" i="5"/>
  <c r="L473" i="5"/>
  <c r="L483" i="5"/>
  <c r="L493" i="5"/>
  <c r="L503" i="5"/>
  <c r="L513" i="5"/>
  <c r="L523" i="5"/>
  <c r="L533" i="5"/>
  <c r="L543" i="5"/>
  <c r="L553" i="5"/>
  <c r="L563" i="5"/>
  <c r="L573" i="5"/>
  <c r="L583" i="5"/>
  <c r="L593" i="5"/>
  <c r="L603" i="5"/>
  <c r="L613" i="5"/>
  <c r="L623" i="5"/>
  <c r="L633" i="5"/>
  <c r="L643" i="5"/>
  <c r="L653" i="5"/>
  <c r="L663" i="5"/>
  <c r="L673" i="5"/>
  <c r="L683" i="5"/>
  <c r="L693" i="5"/>
  <c r="L703" i="5"/>
  <c r="L713" i="5"/>
  <c r="L723" i="5"/>
  <c r="L733" i="5"/>
  <c r="L743" i="5"/>
  <c r="L753" i="5"/>
  <c r="L763" i="5"/>
  <c r="L773" i="5"/>
  <c r="L783" i="5"/>
  <c r="L793" i="5"/>
  <c r="L803" i="5"/>
  <c r="L813" i="5"/>
  <c r="L823" i="5"/>
  <c r="L833" i="5"/>
  <c r="L843" i="5"/>
  <c r="L853" i="5"/>
  <c r="L863" i="5"/>
  <c r="L873" i="5"/>
  <c r="L883" i="5"/>
  <c r="L893" i="5"/>
  <c r="L903" i="5"/>
  <c r="L913" i="5"/>
  <c r="L923" i="5"/>
  <c r="L933" i="5"/>
  <c r="L943" i="5"/>
  <c r="L953" i="5"/>
  <c r="L963" i="5"/>
  <c r="L973" i="5"/>
  <c r="L983" i="5"/>
  <c r="L993" i="5"/>
  <c r="L1003" i="5"/>
  <c r="L1013" i="5"/>
  <c r="L1023" i="5"/>
  <c r="L1033" i="5"/>
  <c r="L1043" i="5"/>
  <c r="L1053" i="5"/>
  <c r="L1063" i="5"/>
  <c r="L1073" i="5"/>
  <c r="L1083" i="5"/>
  <c r="L1093" i="5"/>
  <c r="L1103" i="5"/>
  <c r="L1113" i="5"/>
  <c r="L1123" i="5"/>
  <c r="L1133" i="5"/>
  <c r="L1143" i="5"/>
  <c r="L1153" i="5"/>
  <c r="L1174" i="5"/>
  <c r="L1206" i="5"/>
  <c r="L1246" i="5"/>
  <c r="L1286" i="5"/>
  <c r="L1326" i="5"/>
  <c r="L1366" i="5"/>
  <c r="L1406" i="5"/>
  <c r="L1446" i="5"/>
  <c r="L1486" i="5"/>
  <c r="L1526" i="5"/>
  <c r="L1566" i="5"/>
  <c r="L1606" i="5"/>
  <c r="L1646" i="5"/>
  <c r="L1686" i="5"/>
  <c r="L1796" i="5"/>
  <c r="L1956" i="5"/>
  <c r="L1736" i="5"/>
  <c r="L1797" i="5"/>
  <c r="L1866" i="5"/>
  <c r="L1024" i="5"/>
  <c r="L1034" i="5"/>
  <c r="L1044" i="5"/>
  <c r="L1054" i="5"/>
  <c r="L1064" i="5"/>
  <c r="L1074" i="5"/>
  <c r="L1084" i="5"/>
  <c r="L1094" i="5"/>
  <c r="L1104" i="5"/>
  <c r="L1114" i="5"/>
  <c r="L1124" i="5"/>
  <c r="L1134" i="5"/>
  <c r="L1144" i="5"/>
  <c r="L1154" i="5"/>
  <c r="L1176" i="5"/>
  <c r="L1207" i="5"/>
  <c r="L1247" i="5"/>
  <c r="L1287" i="5"/>
  <c r="L1327" i="5"/>
  <c r="L1367" i="5"/>
  <c r="L1407" i="5"/>
  <c r="L1447" i="5"/>
  <c r="L1487" i="5"/>
  <c r="L1527" i="5"/>
  <c r="L1567" i="5"/>
  <c r="L1607" i="5"/>
  <c r="L1647" i="5"/>
  <c r="L1687" i="5"/>
  <c r="L1737" i="5"/>
  <c r="L1867" i="5"/>
  <c r="L1966" i="5"/>
  <c r="L1214" i="5"/>
  <c r="L1254" i="5"/>
  <c r="L1294" i="5"/>
  <c r="L1334" i="5"/>
  <c r="L1374" i="5"/>
  <c r="L1414" i="5"/>
  <c r="L1454" i="5"/>
  <c r="L1494" i="5"/>
  <c r="L1534" i="5"/>
  <c r="L1574" i="5"/>
  <c r="L1614" i="5"/>
  <c r="L1654" i="5"/>
  <c r="L1694" i="5"/>
  <c r="L1744" i="5"/>
  <c r="L1806" i="5"/>
  <c r="L475" i="5"/>
  <c r="L485" i="5"/>
  <c r="L495" i="5"/>
  <c r="L505" i="5"/>
  <c r="L515" i="5"/>
  <c r="L525" i="5"/>
  <c r="L535" i="5"/>
  <c r="L545" i="5"/>
  <c r="L555" i="5"/>
  <c r="L565" i="5"/>
  <c r="L575" i="5"/>
  <c r="L585" i="5"/>
  <c r="L595" i="5"/>
  <c r="L605" i="5"/>
  <c r="L615" i="5"/>
  <c r="L625" i="5"/>
  <c r="L635" i="5"/>
  <c r="L645" i="5"/>
  <c r="L655" i="5"/>
  <c r="L665" i="5"/>
  <c r="L675" i="5"/>
  <c r="L685" i="5"/>
  <c r="L695" i="5"/>
  <c r="L705" i="5"/>
  <c r="L715" i="5"/>
  <c r="L725" i="5"/>
  <c r="L735" i="5"/>
  <c r="L745" i="5"/>
  <c r="L755" i="5"/>
  <c r="L765" i="5"/>
  <c r="L775" i="5"/>
  <c r="L785" i="5"/>
  <c r="L795" i="5"/>
  <c r="L805" i="5"/>
  <c r="L815" i="5"/>
  <c r="L825" i="5"/>
  <c r="L835" i="5"/>
  <c r="L845" i="5"/>
  <c r="L855" i="5"/>
  <c r="L865" i="5"/>
  <c r="L875" i="5"/>
  <c r="L885" i="5"/>
  <c r="L895" i="5"/>
  <c r="L905" i="5"/>
  <c r="L915" i="5"/>
  <c r="L925" i="5"/>
  <c r="L935" i="5"/>
  <c r="L945" i="5"/>
  <c r="L955" i="5"/>
  <c r="L965" i="5"/>
  <c r="L975" i="5"/>
  <c r="L985" i="5"/>
  <c r="L995" i="5"/>
  <c r="L1005" i="5"/>
  <c r="L1015" i="5"/>
  <c r="L1025" i="5"/>
  <c r="L1035" i="5"/>
  <c r="L1045" i="5"/>
  <c r="L1055" i="5"/>
  <c r="L1065" i="5"/>
  <c r="L1075" i="5"/>
  <c r="L1085" i="5"/>
  <c r="L1095" i="5"/>
  <c r="L1105" i="5"/>
  <c r="L1115" i="5"/>
  <c r="L1125" i="5"/>
  <c r="L1135" i="5"/>
  <c r="L1145" i="5"/>
  <c r="L1155" i="5"/>
  <c r="L1177" i="5"/>
  <c r="L1807" i="5"/>
  <c r="L1876" i="5"/>
  <c r="L1976" i="5"/>
  <c r="L1180" i="5"/>
  <c r="L1216" i="5"/>
  <c r="L1256" i="5"/>
  <c r="L1296" i="5"/>
  <c r="L1336" i="5"/>
  <c r="L1376" i="5"/>
  <c r="L1416" i="5"/>
  <c r="L1456" i="5"/>
  <c r="L1496" i="5"/>
  <c r="L1536" i="5"/>
  <c r="L1576" i="5"/>
  <c r="L1616" i="5"/>
  <c r="L1656" i="5"/>
  <c r="L1696" i="5"/>
  <c r="L1746" i="5"/>
  <c r="L1026" i="5"/>
  <c r="L1036" i="5"/>
  <c r="L1046" i="5"/>
  <c r="L1056" i="5"/>
  <c r="L1066" i="5"/>
  <c r="L1076" i="5"/>
  <c r="L1086" i="5"/>
  <c r="L1096" i="5"/>
  <c r="L1106" i="5"/>
  <c r="L1116" i="5"/>
  <c r="L1126" i="5"/>
  <c r="L1136" i="5"/>
  <c r="L1146" i="5"/>
  <c r="L1156" i="5"/>
  <c r="L1184" i="5"/>
  <c r="L1697" i="5"/>
  <c r="L1747" i="5"/>
  <c r="L1816" i="5"/>
  <c r="L1886" i="5"/>
  <c r="L1986" i="5"/>
  <c r="L1117" i="5"/>
  <c r="L1127" i="5"/>
  <c r="L1137" i="5"/>
  <c r="L1147" i="5"/>
  <c r="L1157" i="5"/>
  <c r="L1186" i="5"/>
  <c r="L1224" i="5"/>
  <c r="L1264" i="5"/>
  <c r="L1304" i="5"/>
  <c r="L1344" i="5"/>
  <c r="L1384" i="5"/>
  <c r="L1424" i="5"/>
  <c r="L1464" i="5"/>
  <c r="L1504" i="5"/>
  <c r="L1544" i="5"/>
  <c r="L1584" i="5"/>
  <c r="L1624" i="5"/>
  <c r="L1664" i="5"/>
  <c r="L1756" i="5"/>
  <c r="L1896" i="5"/>
  <c r="L1996" i="5"/>
  <c r="L1165" i="5"/>
  <c r="L1175" i="5"/>
  <c r="L1185" i="5"/>
  <c r="L1195" i="5"/>
  <c r="L1205" i="5"/>
  <c r="L1215" i="5"/>
  <c r="L1225" i="5"/>
  <c r="L1235" i="5"/>
  <c r="L1245" i="5"/>
  <c r="L1255" i="5"/>
  <c r="L1265" i="5"/>
  <c r="L1275" i="5"/>
  <c r="L1285" i="5"/>
  <c r="L1295" i="5"/>
  <c r="L1305" i="5"/>
  <c r="L1315" i="5"/>
  <c r="L1325" i="5"/>
  <c r="L1335" i="5"/>
  <c r="L1345" i="5"/>
  <c r="L1355" i="5"/>
  <c r="L1365" i="5"/>
  <c r="L1375" i="5"/>
  <c r="L1385" i="5"/>
  <c r="L1395" i="5"/>
  <c r="L1405" i="5"/>
  <c r="L1415" i="5"/>
  <c r="L1425" i="5"/>
  <c r="L1435" i="5"/>
  <c r="L1445" i="5"/>
  <c r="L1455" i="5"/>
  <c r="L1465" i="5"/>
  <c r="L1475" i="5"/>
  <c r="L1485" i="5"/>
  <c r="L1495" i="5"/>
  <c r="L1505" i="5"/>
  <c r="L1515" i="5"/>
  <c r="L1525" i="5"/>
  <c r="L1535" i="5"/>
  <c r="L1545" i="5"/>
  <c r="L1555" i="5"/>
  <c r="L1565" i="5"/>
  <c r="L1575" i="5"/>
  <c r="L1585" i="5"/>
  <c r="L1595" i="5"/>
  <c r="L1605" i="5"/>
  <c r="L1615" i="5"/>
  <c r="L1625" i="5"/>
  <c r="L1635" i="5"/>
  <c r="L1645" i="5"/>
  <c r="L1655" i="5"/>
  <c r="L1665" i="5"/>
  <c r="L1675" i="5"/>
  <c r="L1685" i="5"/>
  <c r="L1695" i="5"/>
  <c r="L1705" i="5"/>
  <c r="L1715" i="5"/>
  <c r="L1725" i="5"/>
  <c r="L1735" i="5"/>
  <c r="L1745" i="5"/>
  <c r="L1755" i="5"/>
  <c r="L1765" i="5"/>
  <c r="L1775" i="5"/>
  <c r="L1785" i="5"/>
  <c r="L1795" i="5"/>
  <c r="L1805" i="5"/>
  <c r="L1815" i="5"/>
  <c r="L1825" i="5"/>
  <c r="L1835" i="5"/>
  <c r="L1845" i="5"/>
  <c r="L1855" i="5"/>
  <c r="L1865" i="5"/>
  <c r="L1875" i="5"/>
  <c r="L1885" i="5"/>
  <c r="L1895" i="5"/>
  <c r="L1905" i="5"/>
  <c r="L1915" i="5"/>
  <c r="L1925" i="5"/>
  <c r="L1935" i="5"/>
  <c r="L1945" i="5"/>
  <c r="L1955" i="5"/>
  <c r="L1965" i="5"/>
  <c r="L1975" i="5"/>
  <c r="L1985" i="5"/>
  <c r="L1995" i="5"/>
  <c r="L1877" i="5"/>
  <c r="L1887" i="5"/>
  <c r="L1897" i="5"/>
  <c r="L1907" i="5"/>
  <c r="L1917" i="5"/>
  <c r="L1927" i="5"/>
  <c r="L1937" i="5"/>
  <c r="L1947" i="5"/>
  <c r="L1957" i="5"/>
  <c r="L1967" i="5"/>
  <c r="L1977" i="5"/>
  <c r="L1987" i="5"/>
  <c r="L1997" i="5"/>
  <c r="L1168" i="5"/>
  <c r="L1178" i="5"/>
  <c r="L1188" i="5"/>
  <c r="L1198" i="5"/>
  <c r="L1208" i="5"/>
  <c r="L1218" i="5"/>
  <c r="L1228" i="5"/>
  <c r="L1238" i="5"/>
  <c r="L1248" i="5"/>
  <c r="L1258" i="5"/>
  <c r="L1268" i="5"/>
  <c r="L1278" i="5"/>
  <c r="L1288" i="5"/>
  <c r="L1298" i="5"/>
  <c r="L1308" i="5"/>
  <c r="L1318" i="5"/>
  <c r="L1328" i="5"/>
  <c r="L1338" i="5"/>
  <c r="L1348" i="5"/>
  <c r="L1358" i="5"/>
  <c r="L1368" i="5"/>
  <c r="L1378" i="5"/>
  <c r="L1388" i="5"/>
  <c r="L1398" i="5"/>
  <c r="L1408" i="5"/>
  <c r="L1418" i="5"/>
  <c r="L1428" i="5"/>
  <c r="L1438" i="5"/>
  <c r="L1448" i="5"/>
  <c r="L1458" i="5"/>
  <c r="L1468" i="5"/>
  <c r="L1478" i="5"/>
  <c r="L1488" i="5"/>
  <c r="L1498" i="5"/>
  <c r="L1508" i="5"/>
  <c r="L1518" i="5"/>
  <c r="L1528" i="5"/>
  <c r="L1538" i="5"/>
  <c r="L1548" i="5"/>
  <c r="L1558" i="5"/>
  <c r="L1568" i="5"/>
  <c r="L1578" i="5"/>
  <c r="L1588" i="5"/>
  <c r="L1598" i="5"/>
  <c r="L1608" i="5"/>
  <c r="L1618" i="5"/>
  <c r="L1628" i="5"/>
  <c r="L1638" i="5"/>
  <c r="L1648" i="5"/>
  <c r="L1658" i="5"/>
  <c r="L1668" i="5"/>
  <c r="L1678" i="5"/>
  <c r="L1688" i="5"/>
  <c r="L1698" i="5"/>
  <c r="L1708" i="5"/>
  <c r="L1718" i="5"/>
  <c r="L1728" i="5"/>
  <c r="L1738" i="5"/>
  <c r="L1748" i="5"/>
  <c r="L1758" i="5"/>
  <c r="L1768" i="5"/>
  <c r="L1778" i="5"/>
  <c r="L1788" i="5"/>
  <c r="L1798" i="5"/>
  <c r="L1808" i="5"/>
  <c r="L1818" i="5"/>
  <c r="L1828" i="5"/>
  <c r="L1838" i="5"/>
  <c r="L1848" i="5"/>
  <c r="L1858" i="5"/>
  <c r="L1868" i="5"/>
  <c r="L1878" i="5"/>
  <c r="L1888" i="5"/>
  <c r="L1898" i="5"/>
  <c r="L1908" i="5"/>
  <c r="L1918" i="5"/>
  <c r="L1928" i="5"/>
  <c r="L1938" i="5"/>
  <c r="L1948" i="5"/>
  <c r="L1958" i="5"/>
  <c r="L1968" i="5"/>
  <c r="L1978" i="5"/>
  <c r="L1988" i="5"/>
  <c r="L1998" i="5"/>
  <c r="L1169" i="5"/>
  <c r="L1179" i="5"/>
  <c r="L1189" i="5"/>
  <c r="L1199" i="5"/>
  <c r="L1209" i="5"/>
  <c r="L1219" i="5"/>
  <c r="L1229" i="5"/>
  <c r="L1239" i="5"/>
  <c r="L1249" i="5"/>
  <c r="L1259" i="5"/>
  <c r="L1269" i="5"/>
  <c r="L1279" i="5"/>
  <c r="L1289" i="5"/>
  <c r="L1299" i="5"/>
  <c r="L1309" i="5"/>
  <c r="L1319" i="5"/>
  <c r="L1329" i="5"/>
  <c r="L1339" i="5"/>
  <c r="L1349" i="5"/>
  <c r="L1359" i="5"/>
  <c r="L1369" i="5"/>
  <c r="L1379" i="5"/>
  <c r="L1389" i="5"/>
  <c r="L1399" i="5"/>
  <c r="L1409" i="5"/>
  <c r="L1419" i="5"/>
  <c r="L1429" i="5"/>
  <c r="L1439" i="5"/>
  <c r="L1449" i="5"/>
  <c r="L1459" i="5"/>
  <c r="L1469" i="5"/>
  <c r="L1479" i="5"/>
  <c r="L1489" i="5"/>
  <c r="L1499" i="5"/>
  <c r="L1509" i="5"/>
  <c r="L1519" i="5"/>
  <c r="L1529" i="5"/>
  <c r="L1539" i="5"/>
  <c r="L1549" i="5"/>
  <c r="L1559" i="5"/>
  <c r="L1569" i="5"/>
  <c r="L1579" i="5"/>
  <c r="L1589" i="5"/>
  <c r="L1599" i="5"/>
  <c r="L1609" i="5"/>
  <c r="L1619" i="5"/>
  <c r="L1629" i="5"/>
  <c r="L1639" i="5"/>
  <c r="L1649" i="5"/>
  <c r="L1659" i="5"/>
  <c r="L1669" i="5"/>
  <c r="L1679" i="5"/>
  <c r="L1689" i="5"/>
  <c r="L1699" i="5"/>
  <c r="L1709" i="5"/>
  <c r="L1719" i="5"/>
  <c r="L1729" i="5"/>
  <c r="L1739" i="5"/>
  <c r="L1749" i="5"/>
  <c r="L1759" i="5"/>
  <c r="L1769" i="5"/>
  <c r="L1779" i="5"/>
  <c r="L1789" i="5"/>
  <c r="L1799" i="5"/>
  <c r="L1809" i="5"/>
  <c r="L1819" i="5"/>
  <c r="L1829" i="5"/>
  <c r="L1839" i="5"/>
  <c r="L1849" i="5"/>
  <c r="L1859" i="5"/>
  <c r="L1869" i="5"/>
  <c r="L1879" i="5"/>
  <c r="L1889" i="5"/>
  <c r="L1899" i="5"/>
  <c r="L1909" i="5"/>
  <c r="L1919" i="5"/>
  <c r="L1929" i="5"/>
  <c r="L1939" i="5"/>
  <c r="L1949" i="5"/>
  <c r="L1959" i="5"/>
  <c r="L1969" i="5"/>
  <c r="L1979" i="5"/>
  <c r="L1989" i="5"/>
  <c r="L1999" i="5"/>
  <c r="L1210" i="5"/>
  <c r="L1220" i="5"/>
  <c r="L1230" i="5"/>
  <c r="L1240" i="5"/>
  <c r="L1250" i="5"/>
  <c r="L1260" i="5"/>
  <c r="L1270" i="5"/>
  <c r="L1280" i="5"/>
  <c r="L1290" i="5"/>
  <c r="L1300" i="5"/>
  <c r="L1310" i="5"/>
  <c r="L1320" i="5"/>
  <c r="L1330" i="5"/>
  <c r="L1340" i="5"/>
  <c r="L1350" i="5"/>
  <c r="L1360" i="5"/>
  <c r="L1370" i="5"/>
  <c r="L1380" i="5"/>
  <c r="L1390" i="5"/>
  <c r="L1400" i="5"/>
  <c r="L1410" i="5"/>
  <c r="L1420" i="5"/>
  <c r="L1430" i="5"/>
  <c r="L1440" i="5"/>
  <c r="L1450" i="5"/>
  <c r="L1460" i="5"/>
  <c r="L1470" i="5"/>
  <c r="L1480" i="5"/>
  <c r="L1490" i="5"/>
  <c r="L1500" i="5"/>
  <c r="L1510" i="5"/>
  <c r="L1520" i="5"/>
  <c r="L1530" i="5"/>
  <c r="L1540" i="5"/>
  <c r="L1550" i="5"/>
  <c r="L1560" i="5"/>
  <c r="L1570" i="5"/>
  <c r="L1580" i="5"/>
  <c r="L1590" i="5"/>
  <c r="L1600" i="5"/>
  <c r="L1610" i="5"/>
  <c r="L1620" i="5"/>
  <c r="L1630" i="5"/>
  <c r="L1640" i="5"/>
  <c r="L1650" i="5"/>
  <c r="L1660" i="5"/>
  <c r="L1670" i="5"/>
  <c r="L1680" i="5"/>
  <c r="L1690" i="5"/>
  <c r="L1700" i="5"/>
  <c r="L1710" i="5"/>
  <c r="L1720" i="5"/>
  <c r="L1730" i="5"/>
  <c r="L1740" i="5"/>
  <c r="L1750" i="5"/>
  <c r="L1760" i="5"/>
  <c r="L1770" i="5"/>
  <c r="L1780" i="5"/>
  <c r="L1790" i="5"/>
  <c r="L1800" i="5"/>
  <c r="L1810" i="5"/>
  <c r="L1820" i="5"/>
  <c r="L1830" i="5"/>
  <c r="L1840" i="5"/>
  <c r="L1850" i="5"/>
  <c r="L1860" i="5"/>
  <c r="L1870" i="5"/>
  <c r="L1880" i="5"/>
  <c r="L1890" i="5"/>
  <c r="L1900" i="5"/>
  <c r="L1910" i="5"/>
  <c r="L1920" i="5"/>
  <c r="L1930" i="5"/>
  <c r="L1940" i="5"/>
  <c r="L1950" i="5"/>
  <c r="L1960" i="5"/>
  <c r="L1970" i="5"/>
  <c r="L1980" i="5"/>
  <c r="L1990" i="5"/>
  <c r="L2000" i="5"/>
  <c r="L1161" i="5"/>
  <c r="L1171" i="5"/>
  <c r="L1181" i="5"/>
  <c r="L1191" i="5"/>
  <c r="L1201" i="5"/>
  <c r="L1211" i="5"/>
  <c r="L1221" i="5"/>
  <c r="L1231" i="5"/>
  <c r="L1241" i="5"/>
  <c r="L1251" i="5"/>
  <c r="L1261" i="5"/>
  <c r="L1271" i="5"/>
  <c r="L1281" i="5"/>
  <c r="L1291" i="5"/>
  <c r="L1301" i="5"/>
  <c r="L1311" i="5"/>
  <c r="L1321" i="5"/>
  <c r="L1331" i="5"/>
  <c r="L1341" i="5"/>
  <c r="L1351" i="5"/>
  <c r="L1361" i="5"/>
  <c r="L1371" i="5"/>
  <c r="L1381" i="5"/>
  <c r="L1391" i="5"/>
  <c r="L1401" i="5"/>
  <c r="L1411" i="5"/>
  <c r="L1421" i="5"/>
  <c r="L1431" i="5"/>
  <c r="L1441" i="5"/>
  <c r="L1451" i="5"/>
  <c r="L1461" i="5"/>
  <c r="L1471" i="5"/>
  <c r="L1481" i="5"/>
  <c r="L1491" i="5"/>
  <c r="L1501" i="5"/>
  <c r="L1511" i="5"/>
  <c r="L1521" i="5"/>
  <c r="L1531" i="5"/>
  <c r="L1541" i="5"/>
  <c r="L1551" i="5"/>
  <c r="L1561" i="5"/>
  <c r="L1571" i="5"/>
  <c r="L1581" i="5"/>
  <c r="L1591" i="5"/>
  <c r="L1601" i="5"/>
  <c r="L1611" i="5"/>
  <c r="L1621" i="5"/>
  <c r="L1631" i="5"/>
  <c r="L1641" i="5"/>
  <c r="L1651" i="5"/>
  <c r="L1661" i="5"/>
  <c r="L1671" i="5"/>
  <c r="L1681" i="5"/>
  <c r="L1691" i="5"/>
  <c r="L1701" i="5"/>
  <c r="L1711" i="5"/>
  <c r="L1721" i="5"/>
  <c r="L1731" i="5"/>
  <c r="L1741" i="5"/>
  <c r="L1751" i="5"/>
  <c r="L1761" i="5"/>
  <c r="L1771" i="5"/>
  <c r="L1781" i="5"/>
  <c r="L1791" i="5"/>
  <c r="L1801" i="5"/>
  <c r="L1811" i="5"/>
  <c r="L1821" i="5"/>
  <c r="L1831" i="5"/>
  <c r="L1841" i="5"/>
  <c r="L1851" i="5"/>
  <c r="L1861" i="5"/>
  <c r="L1871" i="5"/>
  <c r="L1881" i="5"/>
  <c r="L1891" i="5"/>
  <c r="L1901" i="5"/>
  <c r="L1911" i="5"/>
  <c r="L1921" i="5"/>
  <c r="L1931" i="5"/>
  <c r="L1941" i="5"/>
  <c r="L1951" i="5"/>
  <c r="L1961" i="5"/>
  <c r="L1971" i="5"/>
  <c r="L1981" i="5"/>
  <c r="L1991" i="5"/>
  <c r="L2001" i="5"/>
  <c r="L1172" i="5"/>
  <c r="L1182" i="5"/>
  <c r="L1192" i="5"/>
  <c r="L1202" i="5"/>
  <c r="L1212" i="5"/>
  <c r="L1222" i="5"/>
  <c r="L1232" i="5"/>
  <c r="L1242" i="5"/>
  <c r="L1252" i="5"/>
  <c r="L1262" i="5"/>
  <c r="L1272" i="5"/>
  <c r="L1282" i="5"/>
  <c r="L1292" i="5"/>
  <c r="L1302" i="5"/>
  <c r="L1312" i="5"/>
  <c r="L1322" i="5"/>
  <c r="L1332" i="5"/>
  <c r="L1342" i="5"/>
  <c r="L1352" i="5"/>
  <c r="L1362" i="5"/>
  <c r="L1372" i="5"/>
  <c r="L1382" i="5"/>
  <c r="L1392" i="5"/>
  <c r="L1402" i="5"/>
  <c r="L1412" i="5"/>
  <c r="L1422" i="5"/>
  <c r="L1432" i="5"/>
  <c r="L1442" i="5"/>
  <c r="L1452" i="5"/>
  <c r="L1462" i="5"/>
  <c r="L1472" i="5"/>
  <c r="L1482" i="5"/>
  <c r="L1492" i="5"/>
  <c r="L1502" i="5"/>
  <c r="L1512" i="5"/>
  <c r="L1522" i="5"/>
  <c r="L1532" i="5"/>
  <c r="L1542" i="5"/>
  <c r="L1552" i="5"/>
  <c r="L1562" i="5"/>
  <c r="L1572" i="5"/>
  <c r="L1582" i="5"/>
  <c r="L1592" i="5"/>
  <c r="L1602" i="5"/>
  <c r="L1612" i="5"/>
  <c r="L1622" i="5"/>
  <c r="L1632" i="5"/>
  <c r="L1642" i="5"/>
  <c r="L1652" i="5"/>
  <c r="L1662" i="5"/>
  <c r="L1672" i="5"/>
  <c r="L1682" i="5"/>
  <c r="L1692" i="5"/>
  <c r="L1702" i="5"/>
  <c r="L1712" i="5"/>
  <c r="L1722" i="5"/>
  <c r="L1732" i="5"/>
  <c r="L1742" i="5"/>
  <c r="L1752" i="5"/>
  <c r="L1762" i="5"/>
  <c r="L1772" i="5"/>
  <c r="L1782" i="5"/>
  <c r="L1792" i="5"/>
  <c r="L1802" i="5"/>
  <c r="L1812" i="5"/>
  <c r="L1822" i="5"/>
  <c r="L1832" i="5"/>
  <c r="L1842" i="5"/>
  <c r="L1852" i="5"/>
  <c r="L1862" i="5"/>
  <c r="L1872" i="5"/>
  <c r="L1882" i="5"/>
  <c r="L1892" i="5"/>
  <c r="L1902" i="5"/>
  <c r="L1912" i="5"/>
  <c r="L1922" i="5"/>
  <c r="L1932" i="5"/>
  <c r="L1942" i="5"/>
  <c r="L1952" i="5"/>
  <c r="L1962" i="5"/>
  <c r="L1972" i="5"/>
  <c r="L1982" i="5"/>
  <c r="L1992" i="5"/>
  <c r="L2002" i="5"/>
  <c r="L1173" i="5"/>
  <c r="L1183" i="5"/>
  <c r="L1193" i="5"/>
  <c r="L1203" i="5"/>
  <c r="L1213" i="5"/>
  <c r="L1223" i="5"/>
  <c r="L1233" i="5"/>
  <c r="L1243" i="5"/>
  <c r="L1253" i="5"/>
  <c r="L1263" i="5"/>
  <c r="L1273" i="5"/>
  <c r="L1283" i="5"/>
  <c r="L1293" i="5"/>
  <c r="L1303" i="5"/>
  <c r="L1313" i="5"/>
  <c r="L1323" i="5"/>
  <c r="L1333" i="5"/>
  <c r="L1343" i="5"/>
  <c r="L1353" i="5"/>
  <c r="L1363" i="5"/>
  <c r="L1373" i="5"/>
  <c r="L1383" i="5"/>
  <c r="L1393" i="5"/>
  <c r="L1403" i="5"/>
  <c r="L1413" i="5"/>
  <c r="L1423" i="5"/>
  <c r="L1433" i="5"/>
  <c r="L1443" i="5"/>
  <c r="L1453" i="5"/>
  <c r="L1463" i="5"/>
  <c r="L1473" i="5"/>
  <c r="L1483" i="5"/>
  <c r="L1493" i="5"/>
  <c r="L1503" i="5"/>
  <c r="L1513" i="5"/>
  <c r="L1523" i="5"/>
  <c r="L1533" i="5"/>
  <c r="L1543" i="5"/>
  <c r="L1553" i="5"/>
  <c r="L1563" i="5"/>
  <c r="L1573" i="5"/>
  <c r="L1583" i="5"/>
  <c r="L1593" i="5"/>
  <c r="L1603" i="5"/>
  <c r="L1613" i="5"/>
  <c r="L1623" i="5"/>
  <c r="L1633" i="5"/>
  <c r="L1643" i="5"/>
  <c r="L1653" i="5"/>
  <c r="L1663" i="5"/>
  <c r="L1673" i="5"/>
  <c r="L1683" i="5"/>
  <c r="L1693" i="5"/>
  <c r="L1703" i="5"/>
  <c r="L1713" i="5"/>
  <c r="L1723" i="5"/>
  <c r="L1733" i="5"/>
  <c r="L1743" i="5"/>
  <c r="L1753" i="5"/>
  <c r="L1763" i="5"/>
  <c r="L1773" i="5"/>
  <c r="L1783" i="5"/>
  <c r="L1793" i="5"/>
  <c r="L1803" i="5"/>
  <c r="L1813" i="5"/>
  <c r="L1823" i="5"/>
  <c r="L1833" i="5"/>
  <c r="L1843" i="5"/>
  <c r="L1853" i="5"/>
  <c r="L1863" i="5"/>
  <c r="L1873" i="5"/>
  <c r="L1883" i="5"/>
  <c r="L1893" i="5"/>
  <c r="L1903" i="5"/>
  <c r="L1913" i="5"/>
  <c r="L1923" i="5"/>
  <c r="L1933" i="5"/>
  <c r="L1943" i="5"/>
  <c r="L1953" i="5"/>
  <c r="L1963" i="5"/>
  <c r="L1973" i="5"/>
  <c r="L1983" i="5"/>
  <c r="L1993" i="5"/>
  <c r="L2003" i="5"/>
  <c r="L1754" i="5"/>
  <c r="L1764" i="5"/>
  <c r="L1774" i="5"/>
  <c r="L1784" i="5"/>
  <c r="L1794" i="5"/>
  <c r="L1804" i="5"/>
  <c r="L1814" i="5"/>
  <c r="L1824" i="5"/>
  <c r="L1834" i="5"/>
  <c r="L1844" i="5"/>
  <c r="L1854" i="5"/>
  <c r="L1864" i="5"/>
  <c r="L1874" i="5"/>
  <c r="L1884" i="5"/>
  <c r="L1894" i="5"/>
  <c r="L1904" i="5"/>
  <c r="L1914" i="5"/>
  <c r="L1924" i="5"/>
  <c r="L1934" i="5"/>
  <c r="L1944" i="5"/>
  <c r="L1954" i="5"/>
  <c r="L1964" i="5"/>
  <c r="L1974" i="5"/>
  <c r="L1984" i="5"/>
  <c r="L1994" i="5"/>
  <c r="L2004" i="5"/>
  <c r="M104" i="5"/>
  <c r="M163" i="5"/>
  <c r="M279" i="5"/>
  <c r="M373" i="5"/>
  <c r="M434" i="5"/>
  <c r="M505" i="5"/>
  <c r="M580" i="5"/>
  <c r="M1069" i="5"/>
  <c r="M1376" i="5"/>
  <c r="M135" i="5"/>
  <c r="M164" i="5"/>
  <c r="M203" i="5"/>
  <c r="M243" i="5"/>
  <c r="M284" i="5"/>
  <c r="M330" i="5"/>
  <c r="M378" i="5"/>
  <c r="M446" i="5"/>
  <c r="M1093" i="5"/>
  <c r="M165" i="5"/>
  <c r="M379" i="5"/>
  <c r="M519" i="5"/>
  <c r="M779" i="5"/>
  <c r="M1465" i="5"/>
  <c r="M1082" i="5"/>
  <c r="M333" i="5"/>
  <c r="M382" i="5"/>
  <c r="M520" i="5"/>
  <c r="M595" i="5"/>
  <c r="M677" i="5"/>
  <c r="M789" i="5"/>
  <c r="M1495" i="5"/>
  <c r="M113" i="5"/>
  <c r="M290" i="5"/>
  <c r="M336" i="5"/>
  <c r="M455" i="5"/>
  <c r="M797" i="5"/>
  <c r="M950" i="5"/>
  <c r="M1131" i="5"/>
  <c r="M1525" i="5"/>
  <c r="M769" i="5"/>
  <c r="M143" i="5"/>
  <c r="M341" i="5"/>
  <c r="M391" i="5"/>
  <c r="M610" i="5"/>
  <c r="M691" i="5"/>
  <c r="M960" i="5"/>
  <c r="M1141" i="5"/>
  <c r="M1556" i="5"/>
  <c r="M114" i="5"/>
  <c r="M173" i="5"/>
  <c r="M213" i="5"/>
  <c r="M253" i="5"/>
  <c r="M295" i="5"/>
  <c r="M392" i="5"/>
  <c r="M461" i="5"/>
  <c r="M535" i="5"/>
  <c r="M810" i="5"/>
  <c r="M963" i="5"/>
  <c r="M1153" i="5"/>
  <c r="M115" i="5"/>
  <c r="M144" i="5"/>
  <c r="M342" i="5"/>
  <c r="M393" i="5"/>
  <c r="M463" i="5"/>
  <c r="M536" i="5"/>
  <c r="M611" i="5"/>
  <c r="M692" i="5"/>
  <c r="M820" i="5"/>
  <c r="M1168" i="5"/>
  <c r="M145" i="5"/>
  <c r="M399" i="5"/>
  <c r="M469" i="5"/>
  <c r="M620" i="5"/>
  <c r="M821" i="5"/>
  <c r="M984" i="5"/>
  <c r="M1180" i="5"/>
  <c r="M1651" i="5"/>
  <c r="M105" i="5"/>
  <c r="M301" i="5"/>
  <c r="M348" i="5"/>
  <c r="M475" i="5"/>
  <c r="M625" i="5"/>
  <c r="M985" i="5"/>
  <c r="M1195" i="5"/>
  <c r="M1681" i="5"/>
  <c r="M134" i="5"/>
  <c r="M353" i="5"/>
  <c r="M405" i="5"/>
  <c r="M549" i="5"/>
  <c r="M626" i="5"/>
  <c r="M709" i="5"/>
  <c r="M842" i="5"/>
  <c r="M1209" i="5"/>
  <c r="M1712" i="5"/>
  <c r="M123" i="5"/>
  <c r="M183" i="5"/>
  <c r="M223" i="5"/>
  <c r="M263" i="5"/>
  <c r="M306" i="5"/>
  <c r="M476" i="5"/>
  <c r="M550" i="5"/>
  <c r="M627" i="5"/>
  <c r="M844" i="5"/>
  <c r="M1746" i="5"/>
  <c r="M153" i="5"/>
  <c r="M354" i="5"/>
  <c r="M413" i="5"/>
  <c r="M484" i="5"/>
  <c r="M558" i="5"/>
  <c r="M725" i="5"/>
  <c r="M855" i="5"/>
  <c r="M1777" i="5"/>
  <c r="M124" i="5"/>
  <c r="M356" i="5"/>
  <c r="M489" i="5"/>
  <c r="M642" i="5"/>
  <c r="M1021" i="5"/>
  <c r="M1810" i="5"/>
  <c r="M125" i="5"/>
  <c r="M154" i="5"/>
  <c r="M313" i="5"/>
  <c r="M360" i="5"/>
  <c r="M418" i="5"/>
  <c r="M490" i="5"/>
  <c r="M564" i="5"/>
  <c r="M736" i="5"/>
  <c r="M867" i="5"/>
  <c r="M1032" i="5"/>
  <c r="M1269" i="5"/>
  <c r="M155" i="5"/>
  <c r="M419" i="5"/>
  <c r="M643" i="5"/>
  <c r="M741" i="5"/>
  <c r="M1282" i="5"/>
  <c r="M193" i="5"/>
  <c r="M233" i="5"/>
  <c r="M273" i="5"/>
  <c r="M318" i="5"/>
  <c r="M365" i="5"/>
  <c r="M426" i="5"/>
  <c r="M1047" i="5"/>
  <c r="M1298" i="5"/>
  <c r="M103" i="5"/>
  <c r="M319" i="5"/>
  <c r="M433" i="5"/>
  <c r="M504" i="5"/>
  <c r="M579" i="5"/>
  <c r="M657" i="5"/>
  <c r="M751" i="5"/>
  <c r="M890" i="5"/>
  <c r="M1055" i="5"/>
  <c r="M1312" i="5"/>
  <c r="M133" i="5"/>
  <c r="M321" i="5"/>
  <c r="M368" i="5"/>
  <c r="M759" i="5"/>
  <c r="M1057" i="5"/>
  <c r="M1342" i="5"/>
  <c r="M1969" i="5"/>
  <c r="M99" i="5"/>
  <c r="M109" i="5"/>
  <c r="M119" i="5"/>
  <c r="M129" i="5"/>
  <c r="M139" i="5"/>
  <c r="M149" i="5"/>
  <c r="M159" i="5"/>
  <c r="M169" i="5"/>
  <c r="M179" i="5"/>
  <c r="M189" i="5"/>
  <c r="M199" i="5"/>
  <c r="M209" i="5"/>
  <c r="M219" i="5"/>
  <c r="M229" i="5"/>
  <c r="M239" i="5"/>
  <c r="M249" i="5"/>
  <c r="M259" i="5"/>
  <c r="M269" i="5"/>
  <c r="M325" i="5"/>
  <c r="M349" i="5"/>
  <c r="M386" i="5"/>
  <c r="M400" i="5"/>
  <c r="M441" i="5"/>
  <c r="M470" i="5"/>
  <c r="M498" i="5"/>
  <c r="M514" i="5"/>
  <c r="M528" i="5"/>
  <c r="M543" i="5"/>
  <c r="M589" i="5"/>
  <c r="M603" i="5"/>
  <c r="M635" i="5"/>
  <c r="M651" i="5"/>
  <c r="M668" i="5"/>
  <c r="M685" i="5"/>
  <c r="M702" i="5"/>
  <c r="M718" i="5"/>
  <c r="M790" i="5"/>
  <c r="M834" i="5"/>
  <c r="M880" i="5"/>
  <c r="M902" i="5"/>
  <c r="M999" i="5"/>
  <c r="M1094" i="5"/>
  <c r="M1143" i="5"/>
  <c r="M1169" i="5"/>
  <c r="M1196" i="5"/>
  <c r="M1226" i="5"/>
  <c r="M1255" i="5"/>
  <c r="M1283" i="5"/>
  <c r="M1315" i="5"/>
  <c r="M1377" i="5"/>
  <c r="M1406" i="5"/>
  <c r="M1437" i="5"/>
  <c r="M1557" i="5"/>
  <c r="M1588" i="5"/>
  <c r="M1619" i="5"/>
  <c r="M1715" i="5"/>
  <c r="M1877" i="5"/>
  <c r="M1906" i="5"/>
  <c r="M1970" i="5"/>
  <c r="M280" i="5"/>
  <c r="M291" i="5"/>
  <c r="M302" i="5"/>
  <c r="M314" i="5"/>
  <c r="M361" i="5"/>
  <c r="M374" i="5"/>
  <c r="M414" i="5"/>
  <c r="M443" i="5"/>
  <c r="M456" i="5"/>
  <c r="M485" i="5"/>
  <c r="M499" i="5"/>
  <c r="M529" i="5"/>
  <c r="M545" i="5"/>
  <c r="M559" i="5"/>
  <c r="M574" i="5"/>
  <c r="M621" i="5"/>
  <c r="M653" i="5"/>
  <c r="M686" i="5"/>
  <c r="M719" i="5"/>
  <c r="M737" i="5"/>
  <c r="M772" i="5"/>
  <c r="M791" i="5"/>
  <c r="M812" i="5"/>
  <c r="M835" i="5"/>
  <c r="M857" i="5"/>
  <c r="M951" i="5"/>
  <c r="M975" i="5"/>
  <c r="M1000" i="5"/>
  <c r="M1049" i="5"/>
  <c r="M1071" i="5"/>
  <c r="M1144" i="5"/>
  <c r="M1170" i="5"/>
  <c r="M1229" i="5"/>
  <c r="M1256" i="5"/>
  <c r="M1289" i="5"/>
  <c r="M1407" i="5"/>
  <c r="M1467" i="5"/>
  <c r="M1498" i="5"/>
  <c r="M1526" i="5"/>
  <c r="M1589" i="5"/>
  <c r="M1620" i="5"/>
  <c r="M1683" i="5"/>
  <c r="M1719" i="5"/>
  <c r="M1748" i="5"/>
  <c r="M1780" i="5"/>
  <c r="M1845" i="5"/>
  <c r="M1908" i="5"/>
  <c r="M1945" i="5"/>
  <c r="M100" i="5"/>
  <c r="M110" i="5"/>
  <c r="M120" i="5"/>
  <c r="M130" i="5"/>
  <c r="M140" i="5"/>
  <c r="M150" i="5"/>
  <c r="M160" i="5"/>
  <c r="M170" i="5"/>
  <c r="M180" i="5"/>
  <c r="M190" i="5"/>
  <c r="M200" i="5"/>
  <c r="M210" i="5"/>
  <c r="M220" i="5"/>
  <c r="M230" i="5"/>
  <c r="M240" i="5"/>
  <c r="M250" i="5"/>
  <c r="M260" i="5"/>
  <c r="M270" i="5"/>
  <c r="M303" i="5"/>
  <c r="M326" i="5"/>
  <c r="M338" i="5"/>
  <c r="M350" i="5"/>
  <c r="M401" i="5"/>
  <c r="M428" i="5"/>
  <c r="M471" i="5"/>
  <c r="M500" i="5"/>
  <c r="M515" i="5"/>
  <c r="M546" i="5"/>
  <c r="M590" i="5"/>
  <c r="M606" i="5"/>
  <c r="M637" i="5"/>
  <c r="M669" i="5"/>
  <c r="M703" i="5"/>
  <c r="M753" i="5"/>
  <c r="M773" i="5"/>
  <c r="M859" i="5"/>
  <c r="M881" i="5"/>
  <c r="M904" i="5"/>
  <c r="M930" i="5"/>
  <c r="M1025" i="5"/>
  <c r="M1050" i="5"/>
  <c r="M1072" i="5"/>
  <c r="M1258" i="5"/>
  <c r="M1318" i="5"/>
  <c r="M1348" i="5"/>
  <c r="M1378" i="5"/>
  <c r="M1408" i="5"/>
  <c r="M1438" i="5"/>
  <c r="M1527" i="5"/>
  <c r="M1558" i="5"/>
  <c r="M1622" i="5"/>
  <c r="M1656" i="5"/>
  <c r="M1686" i="5"/>
  <c r="M1720" i="5"/>
  <c r="M1781" i="5"/>
  <c r="M1815" i="5"/>
  <c r="M1879" i="5"/>
  <c r="M281" i="5"/>
  <c r="M292" i="5"/>
  <c r="M315" i="5"/>
  <c r="M339" i="5"/>
  <c r="M362" i="5"/>
  <c r="M375" i="5"/>
  <c r="M388" i="5"/>
  <c r="M402" i="5"/>
  <c r="M415" i="5"/>
  <c r="M429" i="5"/>
  <c r="M444" i="5"/>
  <c r="M473" i="5"/>
  <c r="M486" i="5"/>
  <c r="M516" i="5"/>
  <c r="M577" i="5"/>
  <c r="M622" i="5"/>
  <c r="M638" i="5"/>
  <c r="M721" i="5"/>
  <c r="M738" i="5"/>
  <c r="M793" i="5"/>
  <c r="M837" i="5"/>
  <c r="M882" i="5"/>
  <c r="M931" i="5"/>
  <c r="M980" i="5"/>
  <c r="M1074" i="5"/>
  <c r="M1149" i="5"/>
  <c r="M1173" i="5"/>
  <c r="M1201" i="5"/>
  <c r="M1230" i="5"/>
  <c r="M1290" i="5"/>
  <c r="M1319" i="5"/>
  <c r="M1350" i="5"/>
  <c r="M1379" i="5"/>
  <c r="M1439" i="5"/>
  <c r="M1528" i="5"/>
  <c r="M1623" i="5"/>
  <c r="M1657" i="5"/>
  <c r="M1751" i="5"/>
  <c r="M1881" i="5"/>
  <c r="M1946" i="5"/>
  <c r="M1976" i="5"/>
  <c r="M101" i="5"/>
  <c r="M111" i="5"/>
  <c r="M121" i="5"/>
  <c r="M131" i="5"/>
  <c r="M141" i="5"/>
  <c r="M151" i="5"/>
  <c r="M161" i="5"/>
  <c r="M171" i="5"/>
  <c r="M181" i="5"/>
  <c r="M191" i="5"/>
  <c r="M201" i="5"/>
  <c r="M211" i="5"/>
  <c r="M221" i="5"/>
  <c r="M231" i="5"/>
  <c r="M241" i="5"/>
  <c r="M251" i="5"/>
  <c r="M261" i="5"/>
  <c r="M271" i="5"/>
  <c r="M293" i="5"/>
  <c r="M304" i="5"/>
  <c r="M351" i="5"/>
  <c r="M363" i="5"/>
  <c r="M389" i="5"/>
  <c r="M403" i="5"/>
  <c r="M430" i="5"/>
  <c r="M458" i="5"/>
  <c r="M501" i="5"/>
  <c r="M547" i="5"/>
  <c r="M561" i="5"/>
  <c r="M591" i="5"/>
  <c r="M607" i="5"/>
  <c r="M639" i="5"/>
  <c r="M655" i="5"/>
  <c r="M671" i="5"/>
  <c r="M689" i="5"/>
  <c r="M756" i="5"/>
  <c r="M774" i="5"/>
  <c r="M883" i="5"/>
  <c r="M932" i="5"/>
  <c r="M1003" i="5"/>
  <c r="M1027" i="5"/>
  <c r="M1051" i="5"/>
  <c r="M1077" i="5"/>
  <c r="M1101" i="5"/>
  <c r="M1124" i="5"/>
  <c r="M1174" i="5"/>
  <c r="M1291" i="5"/>
  <c r="M1351" i="5"/>
  <c r="M1470" i="5"/>
  <c r="M1500" i="5"/>
  <c r="M1565" i="5"/>
  <c r="M1592" i="5"/>
  <c r="M1658" i="5"/>
  <c r="M1788" i="5"/>
  <c r="M1817" i="5"/>
  <c r="M1915" i="5"/>
  <c r="M1977" i="5"/>
  <c r="M282" i="5"/>
  <c r="M316" i="5"/>
  <c r="M328" i="5"/>
  <c r="M340" i="5"/>
  <c r="M376" i="5"/>
  <c r="M390" i="5"/>
  <c r="M416" i="5"/>
  <c r="M445" i="5"/>
  <c r="M459" i="5"/>
  <c r="M474" i="5"/>
  <c r="M503" i="5"/>
  <c r="M517" i="5"/>
  <c r="M532" i="5"/>
  <c r="M562" i="5"/>
  <c r="M578" i="5"/>
  <c r="M592" i="5"/>
  <c r="M609" i="5"/>
  <c r="M623" i="5"/>
  <c r="M656" i="5"/>
  <c r="M672" i="5"/>
  <c r="M690" i="5"/>
  <c r="M706" i="5"/>
  <c r="M739" i="5"/>
  <c r="M795" i="5"/>
  <c r="M819" i="5"/>
  <c r="M884" i="5"/>
  <c r="M909" i="5"/>
  <c r="M933" i="5"/>
  <c r="M983" i="5"/>
  <c r="M1004" i="5"/>
  <c r="M1031" i="5"/>
  <c r="M1125" i="5"/>
  <c r="M1150" i="5"/>
  <c r="M1176" i="5"/>
  <c r="M1206" i="5"/>
  <c r="M1231" i="5"/>
  <c r="M1261" i="5"/>
  <c r="M1352" i="5"/>
  <c r="M1415" i="5"/>
  <c r="M1441" i="5"/>
  <c r="M1531" i="5"/>
  <c r="M1596" i="5"/>
  <c r="M1631" i="5"/>
  <c r="M1691" i="5"/>
  <c r="M1757" i="5"/>
  <c r="M1789" i="5"/>
  <c r="M1855" i="5"/>
  <c r="M1882" i="5"/>
  <c r="M1979" i="5"/>
  <c r="M102" i="5"/>
  <c r="M112" i="5"/>
  <c r="M122" i="5"/>
  <c r="M132" i="5"/>
  <c r="M142" i="5"/>
  <c r="M152" i="5"/>
  <c r="M162" i="5"/>
  <c r="M172" i="5"/>
  <c r="M182" i="5"/>
  <c r="M192" i="5"/>
  <c r="M202" i="5"/>
  <c r="M212" i="5"/>
  <c r="M222" i="5"/>
  <c r="M232" i="5"/>
  <c r="M242" i="5"/>
  <c r="M252" i="5"/>
  <c r="M262" i="5"/>
  <c r="M272" i="5"/>
  <c r="M283" i="5"/>
  <c r="M294" i="5"/>
  <c r="M305" i="5"/>
  <c r="M329" i="5"/>
  <c r="M352" i="5"/>
  <c r="M364" i="5"/>
  <c r="M404" i="5"/>
  <c r="M431" i="5"/>
  <c r="M460" i="5"/>
  <c r="M488" i="5"/>
  <c r="M548" i="5"/>
  <c r="M563" i="5"/>
  <c r="M640" i="5"/>
  <c r="M673" i="5"/>
  <c r="M740" i="5"/>
  <c r="M757" i="5"/>
  <c r="M775" i="5"/>
  <c r="M840" i="5"/>
  <c r="M865" i="5"/>
  <c r="M885" i="5"/>
  <c r="M1054" i="5"/>
  <c r="M1102" i="5"/>
  <c r="M1292" i="5"/>
  <c r="M1323" i="5"/>
  <c r="M1355" i="5"/>
  <c r="M1416" i="5"/>
  <c r="M1472" i="5"/>
  <c r="M1505" i="5"/>
  <c r="M1533" i="5"/>
  <c r="M1567" i="5"/>
  <c r="M1695" i="5"/>
  <c r="M1726" i="5"/>
  <c r="M1758" i="5"/>
  <c r="M1820" i="5"/>
  <c r="M1883" i="5"/>
  <c r="M1917" i="5"/>
  <c r="M1948" i="5"/>
  <c r="M1980" i="5"/>
  <c r="M1103" i="5"/>
  <c r="M1127" i="5"/>
  <c r="M1151" i="5"/>
  <c r="M1233" i="5"/>
  <c r="M1295" i="5"/>
  <c r="M1325" i="5"/>
  <c r="M1356" i="5"/>
  <c r="M1417" i="5"/>
  <c r="M1479" i="5"/>
  <c r="M1569" i="5"/>
  <c r="M1632" i="5"/>
  <c r="M1662" i="5"/>
  <c r="M1727" i="5"/>
  <c r="M1791" i="5"/>
  <c r="M1856" i="5"/>
  <c r="M1886" i="5"/>
  <c r="M726" i="5"/>
  <c r="M760" i="5"/>
  <c r="M777" i="5"/>
  <c r="M889" i="5"/>
  <c r="M914" i="5"/>
  <c r="M1009" i="5"/>
  <c r="M1033" i="5"/>
  <c r="M1081" i="5"/>
  <c r="M1208" i="5"/>
  <c r="M1236" i="5"/>
  <c r="M1326" i="5"/>
  <c r="M1357" i="5"/>
  <c r="M1387" i="5"/>
  <c r="M1446" i="5"/>
  <c r="M1506" i="5"/>
  <c r="M1601" i="5"/>
  <c r="M1633" i="5"/>
  <c r="M1665" i="5"/>
  <c r="M1698" i="5"/>
  <c r="M1823" i="5"/>
  <c r="M1920" i="5"/>
  <c r="M1949" i="5"/>
  <c r="M1331" i="5"/>
  <c r="M1449" i="5"/>
  <c r="M1480" i="5"/>
  <c r="M1541" i="5"/>
  <c r="M1570" i="5"/>
  <c r="M1667" i="5"/>
  <c r="M1762" i="5"/>
  <c r="M1792" i="5"/>
  <c r="M1825" i="5"/>
  <c r="M1888" i="5"/>
  <c r="M1951" i="5"/>
  <c r="M1987" i="5"/>
  <c r="M174" i="5"/>
  <c r="M184" i="5"/>
  <c r="M194" i="5"/>
  <c r="M204" i="5"/>
  <c r="M214" i="5"/>
  <c r="M224" i="5"/>
  <c r="M234" i="5"/>
  <c r="M244" i="5"/>
  <c r="M254" i="5"/>
  <c r="M264" i="5"/>
  <c r="M274" i="5"/>
  <c r="M285" i="5"/>
  <c r="M296" i="5"/>
  <c r="M331" i="5"/>
  <c r="M343" i="5"/>
  <c r="M366" i="5"/>
  <c r="M380" i="5"/>
  <c r="M406" i="5"/>
  <c r="M420" i="5"/>
  <c r="M448" i="5"/>
  <c r="M491" i="5"/>
  <c r="M506" i="5"/>
  <c r="M521" i="5"/>
  <c r="M567" i="5"/>
  <c r="M596" i="5"/>
  <c r="M628" i="5"/>
  <c r="M659" i="5"/>
  <c r="M710" i="5"/>
  <c r="M727" i="5"/>
  <c r="M761" i="5"/>
  <c r="M891" i="5"/>
  <c r="M915" i="5"/>
  <c r="M1010" i="5"/>
  <c r="M1034" i="5"/>
  <c r="M1059" i="5"/>
  <c r="M1083" i="5"/>
  <c r="M1132" i="5"/>
  <c r="M1358" i="5"/>
  <c r="M1390" i="5"/>
  <c r="M1420" i="5"/>
  <c r="M1450" i="5"/>
  <c r="M1605" i="5"/>
  <c r="M1636" i="5"/>
  <c r="M1668" i="5"/>
  <c r="M1699" i="5"/>
  <c r="M1730" i="5"/>
  <c r="M1765" i="5"/>
  <c r="M1793" i="5"/>
  <c r="M1826" i="5"/>
  <c r="M1858" i="5"/>
  <c r="M1891" i="5"/>
  <c r="M1923" i="5"/>
  <c r="M1955" i="5"/>
  <c r="M308" i="5"/>
  <c r="M320" i="5"/>
  <c r="M355" i="5"/>
  <c r="M394" i="5"/>
  <c r="M435" i="5"/>
  <c r="M449" i="5"/>
  <c r="M464" i="5"/>
  <c r="M493" i="5"/>
  <c r="M537" i="5"/>
  <c r="M598" i="5"/>
  <c r="M612" i="5"/>
  <c r="M678" i="5"/>
  <c r="M712" i="5"/>
  <c r="M803" i="5"/>
  <c r="M987" i="5"/>
  <c r="M1035" i="5"/>
  <c r="M1084" i="5"/>
  <c r="M1133" i="5"/>
  <c r="M1211" i="5"/>
  <c r="M1240" i="5"/>
  <c r="M1272" i="5"/>
  <c r="M1332" i="5"/>
  <c r="M1361" i="5"/>
  <c r="M1393" i="5"/>
  <c r="M1451" i="5"/>
  <c r="M1481" i="5"/>
  <c r="M1542" i="5"/>
  <c r="M1572" i="5"/>
  <c r="M1700" i="5"/>
  <c r="M1767" i="5"/>
  <c r="M1796" i="5"/>
  <c r="M1892" i="5"/>
  <c r="M1925" i="5"/>
  <c r="M175" i="5"/>
  <c r="M185" i="5"/>
  <c r="M195" i="5"/>
  <c r="M205" i="5"/>
  <c r="M215" i="5"/>
  <c r="M225" i="5"/>
  <c r="M235" i="5"/>
  <c r="M245" i="5"/>
  <c r="M255" i="5"/>
  <c r="M265" i="5"/>
  <c r="M275" i="5"/>
  <c r="M286" i="5"/>
  <c r="M297" i="5"/>
  <c r="M309" i="5"/>
  <c r="M332" i="5"/>
  <c r="M344" i="5"/>
  <c r="M381" i="5"/>
  <c r="M421" i="5"/>
  <c r="M450" i="5"/>
  <c r="M478" i="5"/>
  <c r="M507" i="5"/>
  <c r="M522" i="5"/>
  <c r="M568" i="5"/>
  <c r="M582" i="5"/>
  <c r="M629" i="5"/>
  <c r="M645" i="5"/>
  <c r="M728" i="5"/>
  <c r="M745" i="5"/>
  <c r="M762" i="5"/>
  <c r="M824" i="5"/>
  <c r="M849" i="5"/>
  <c r="M869" i="5"/>
  <c r="M892" i="5"/>
  <c r="M941" i="5"/>
  <c r="M965" i="5"/>
  <c r="M1085" i="5"/>
  <c r="M1188" i="5"/>
  <c r="M1243" i="5"/>
  <c r="M1273" i="5"/>
  <c r="M1305" i="5"/>
  <c r="M1333" i="5"/>
  <c r="M1395" i="5"/>
  <c r="M1543" i="5"/>
  <c r="M1573" i="5"/>
  <c r="M1608" i="5"/>
  <c r="M1637" i="5"/>
  <c r="M1701" i="5"/>
  <c r="M1768" i="5"/>
  <c r="M1831" i="5"/>
  <c r="M1893" i="5"/>
  <c r="M1992" i="5"/>
  <c r="M395" i="5"/>
  <c r="M408" i="5"/>
  <c r="M423" i="5"/>
  <c r="M436" i="5"/>
  <c r="M465" i="5"/>
  <c r="M479" i="5"/>
  <c r="M494" i="5"/>
  <c r="M508" i="5"/>
  <c r="M524" i="5"/>
  <c r="M538" i="5"/>
  <c r="M553" i="5"/>
  <c r="M583" i="5"/>
  <c r="M599" i="5"/>
  <c r="M631" i="5"/>
  <c r="M646" i="5"/>
  <c r="M662" i="5"/>
  <c r="M679" i="5"/>
  <c r="M696" i="5"/>
  <c r="M713" i="5"/>
  <c r="M729" i="5"/>
  <c r="M783" i="5"/>
  <c r="M804" i="5"/>
  <c r="M850" i="5"/>
  <c r="M990" i="5"/>
  <c r="M1015" i="5"/>
  <c r="M1065" i="5"/>
  <c r="M1110" i="5"/>
  <c r="M1216" i="5"/>
  <c r="M1275" i="5"/>
  <c r="M1365" i="5"/>
  <c r="M1423" i="5"/>
  <c r="M1482" i="5"/>
  <c r="M1512" i="5"/>
  <c r="M1576" i="5"/>
  <c r="M1639" i="5"/>
  <c r="M1675" i="5"/>
  <c r="M1705" i="5"/>
  <c r="M1799" i="5"/>
  <c r="M1929" i="5"/>
  <c r="M1960" i="5"/>
  <c r="M1993" i="5"/>
  <c r="M96" i="5"/>
  <c r="M106" i="5"/>
  <c r="M116" i="5"/>
  <c r="M126" i="5"/>
  <c r="M136" i="5"/>
  <c r="M146" i="5"/>
  <c r="M156" i="5"/>
  <c r="M166" i="5"/>
  <c r="M176" i="5"/>
  <c r="M186" i="5"/>
  <c r="M196" i="5"/>
  <c r="M206" i="5"/>
  <c r="M216" i="5"/>
  <c r="M226" i="5"/>
  <c r="M236" i="5"/>
  <c r="M246" i="5"/>
  <c r="M256" i="5"/>
  <c r="M266" i="5"/>
  <c r="M276" i="5"/>
  <c r="M287" i="5"/>
  <c r="M298" i="5"/>
  <c r="M310" i="5"/>
  <c r="M345" i="5"/>
  <c r="M369" i="5"/>
  <c r="M383" i="5"/>
  <c r="M409" i="5"/>
  <c r="M451" i="5"/>
  <c r="M480" i="5"/>
  <c r="M569" i="5"/>
  <c r="M584" i="5"/>
  <c r="M680" i="5"/>
  <c r="M697" i="5"/>
  <c r="M730" i="5"/>
  <c r="M748" i="5"/>
  <c r="M763" i="5"/>
  <c r="M871" i="5"/>
  <c r="M897" i="5"/>
  <c r="M943" i="5"/>
  <c r="M1039" i="5"/>
  <c r="M1112" i="5"/>
  <c r="M1189" i="5"/>
  <c r="M1306" i="5"/>
  <c r="M1336" i="5"/>
  <c r="M1366" i="5"/>
  <c r="M1396" i="5"/>
  <c r="M1425" i="5"/>
  <c r="M1457" i="5"/>
  <c r="M1483" i="5"/>
  <c r="M1546" i="5"/>
  <c r="M1579" i="5"/>
  <c r="M1641" i="5"/>
  <c r="M1706" i="5"/>
  <c r="M1737" i="5"/>
  <c r="M1769" i="5"/>
  <c r="M1805" i="5"/>
  <c r="M1836" i="5"/>
  <c r="M1867" i="5"/>
  <c r="M1899" i="5"/>
  <c r="M1995" i="5"/>
  <c r="M299" i="5"/>
  <c r="M322" i="5"/>
  <c r="M334" i="5"/>
  <c r="M370" i="5"/>
  <c r="M396" i="5"/>
  <c r="M410" i="5"/>
  <c r="M424" i="5"/>
  <c r="M453" i="5"/>
  <c r="M466" i="5"/>
  <c r="M495" i="5"/>
  <c r="M525" i="5"/>
  <c r="M556" i="5"/>
  <c r="M600" i="5"/>
  <c r="M616" i="5"/>
  <c r="M632" i="5"/>
  <c r="M665" i="5"/>
  <c r="M731" i="5"/>
  <c r="M851" i="5"/>
  <c r="M992" i="5"/>
  <c r="M1137" i="5"/>
  <c r="M1161" i="5"/>
  <c r="M1218" i="5"/>
  <c r="M1248" i="5"/>
  <c r="M1277" i="5"/>
  <c r="M1367" i="5"/>
  <c r="M1427" i="5"/>
  <c r="M1458" i="5"/>
  <c r="M1519" i="5"/>
  <c r="M1580" i="5"/>
  <c r="M1611" i="5"/>
  <c r="M1643" i="5"/>
  <c r="M1679" i="5"/>
  <c r="M1707" i="5"/>
  <c r="M1742" i="5"/>
  <c r="M1868" i="5"/>
  <c r="M1965" i="5"/>
  <c r="M97" i="5"/>
  <c r="M107" i="5"/>
  <c r="M117" i="5"/>
  <c r="M127" i="5"/>
  <c r="M137" i="5"/>
  <c r="M147" i="5"/>
  <c r="M157" i="5"/>
  <c r="M167" i="5"/>
  <c r="M177" i="5"/>
  <c r="M187" i="5"/>
  <c r="M197" i="5"/>
  <c r="M207" i="5"/>
  <c r="M217" i="5"/>
  <c r="M227" i="5"/>
  <c r="M237" i="5"/>
  <c r="M247" i="5"/>
  <c r="M257" i="5"/>
  <c r="M267" i="5"/>
  <c r="M277" i="5"/>
  <c r="M288" i="5"/>
  <c r="M311" i="5"/>
  <c r="M323" i="5"/>
  <c r="M346" i="5"/>
  <c r="M358" i="5"/>
  <c r="M384" i="5"/>
  <c r="M438" i="5"/>
  <c r="M481" i="5"/>
  <c r="M526" i="5"/>
  <c r="M540" i="5"/>
  <c r="M570" i="5"/>
  <c r="M585" i="5"/>
  <c r="M617" i="5"/>
  <c r="M648" i="5"/>
  <c r="M666" i="5"/>
  <c r="M681" i="5"/>
  <c r="M698" i="5"/>
  <c r="M715" i="5"/>
  <c r="M732" i="5"/>
  <c r="M749" i="5"/>
  <c r="M765" i="5"/>
  <c r="M807" i="5"/>
  <c r="M830" i="5"/>
  <c r="M921" i="5"/>
  <c r="M969" i="5"/>
  <c r="M1019" i="5"/>
  <c r="M1043" i="5"/>
  <c r="M1067" i="5"/>
  <c r="M1090" i="5"/>
  <c r="M1115" i="5"/>
  <c r="M1190" i="5"/>
  <c r="M1219" i="5"/>
  <c r="M1337" i="5"/>
  <c r="M1368" i="5"/>
  <c r="M1398" i="5"/>
  <c r="M1429" i="5"/>
  <c r="M1743" i="5"/>
  <c r="M1772" i="5"/>
  <c r="M1806" i="5"/>
  <c r="M1837" i="5"/>
  <c r="M1869" i="5"/>
  <c r="M1900" i="5"/>
  <c r="M1931" i="5"/>
  <c r="M1996" i="5"/>
  <c r="M289" i="5"/>
  <c r="M300" i="5"/>
  <c r="M335" i="5"/>
  <c r="M359" i="5"/>
  <c r="M371" i="5"/>
  <c r="M411" i="5"/>
  <c r="M425" i="5"/>
  <c r="M439" i="5"/>
  <c r="M454" i="5"/>
  <c r="M483" i="5"/>
  <c r="M496" i="5"/>
  <c r="M511" i="5"/>
  <c r="M541" i="5"/>
  <c r="M557" i="5"/>
  <c r="M571" i="5"/>
  <c r="M601" i="5"/>
  <c r="M633" i="5"/>
  <c r="M649" i="5"/>
  <c r="M682" i="5"/>
  <c r="M716" i="5"/>
  <c r="M750" i="5"/>
  <c r="M767" i="5"/>
  <c r="M787" i="5"/>
  <c r="M832" i="5"/>
  <c r="M875" i="5"/>
  <c r="M924" i="5"/>
  <c r="M949" i="5"/>
  <c r="M997" i="5"/>
  <c r="M1091" i="5"/>
  <c r="M1139" i="5"/>
  <c r="M1166" i="5"/>
  <c r="M1191" i="5"/>
  <c r="M1339" i="5"/>
  <c r="M1399" i="5"/>
  <c r="M1430" i="5"/>
  <c r="M1460" i="5"/>
  <c r="M1522" i="5"/>
  <c r="M1617" i="5"/>
  <c r="M1648" i="5"/>
  <c r="M1680" i="5"/>
  <c r="M1745" i="5"/>
  <c r="M1775" i="5"/>
  <c r="M1808" i="5"/>
  <c r="M1901" i="5"/>
  <c r="M1932" i="5"/>
  <c r="M98" i="5"/>
  <c r="M108" i="5"/>
  <c r="M118" i="5"/>
  <c r="M128" i="5"/>
  <c r="M138" i="5"/>
  <c r="M148" i="5"/>
  <c r="M158" i="5"/>
  <c r="M168" i="5"/>
  <c r="M178" i="5"/>
  <c r="M188" i="5"/>
  <c r="M198" i="5"/>
  <c r="M208" i="5"/>
  <c r="M218" i="5"/>
  <c r="M228" i="5"/>
  <c r="M238" i="5"/>
  <c r="M248" i="5"/>
  <c r="M258" i="5"/>
  <c r="M268" i="5"/>
  <c r="M278" i="5"/>
  <c r="M312" i="5"/>
  <c r="M324" i="5"/>
  <c r="M372" i="5"/>
  <c r="M385" i="5"/>
  <c r="M398" i="5"/>
  <c r="M412" i="5"/>
  <c r="M440" i="5"/>
  <c r="M468" i="5"/>
  <c r="M527" i="5"/>
  <c r="M542" i="5"/>
  <c r="M588" i="5"/>
  <c r="M618" i="5"/>
  <c r="M650" i="5"/>
  <c r="M667" i="5"/>
  <c r="M701" i="5"/>
  <c r="M733" i="5"/>
  <c r="M809" i="5"/>
  <c r="M833" i="5"/>
  <c r="M854" i="5"/>
  <c r="M877" i="5"/>
  <c r="M901" i="5"/>
  <c r="M925" i="5"/>
  <c r="M972" i="5"/>
  <c r="M1020" i="5"/>
  <c r="M1044" i="5"/>
  <c r="M1092" i="5"/>
  <c r="M1250" i="5"/>
  <c r="M1281" i="5"/>
  <c r="M1340" i="5"/>
  <c r="M1372" i="5"/>
  <c r="M1400" i="5"/>
  <c r="M1493" i="5"/>
  <c r="M1523" i="5"/>
  <c r="M1555" i="5"/>
  <c r="M1587" i="5"/>
  <c r="M1838" i="5"/>
  <c r="M1870" i="5"/>
  <c r="M1936" i="5"/>
  <c r="M1968" i="5"/>
  <c r="M510" i="5"/>
  <c r="M531" i="5"/>
  <c r="M552" i="5"/>
  <c r="M573" i="5"/>
  <c r="M594" i="5"/>
  <c r="M605" i="5"/>
  <c r="M661" i="5"/>
  <c r="M708" i="5"/>
  <c r="M720" i="5"/>
  <c r="M743" i="5"/>
  <c r="M755" i="5"/>
  <c r="M781" i="5"/>
  <c r="M827" i="5"/>
  <c r="M843" i="5"/>
  <c r="M874" i="5"/>
  <c r="M940" i="5"/>
  <c r="M957" i="5"/>
  <c r="M974" i="5"/>
  <c r="M991" i="5"/>
  <c r="M1024" i="5"/>
  <c r="M1042" i="5"/>
  <c r="M1109" i="5"/>
  <c r="M1160" i="5"/>
  <c r="M1178" i="5"/>
  <c r="M1198" i="5"/>
  <c r="M1239" i="5"/>
  <c r="M1260" i="5"/>
  <c r="M1280" i="5"/>
  <c r="M1302" i="5"/>
  <c r="M1343" i="5"/>
  <c r="M1469" i="5"/>
  <c r="M1490" i="5"/>
  <c r="M1511" i="5"/>
  <c r="M1532" i="5"/>
  <c r="M1577" i="5"/>
  <c r="M1600" i="5"/>
  <c r="M1645" i="5"/>
  <c r="M1689" i="5"/>
  <c r="M1711" i="5"/>
  <c r="M1732" i="5"/>
  <c r="M1822" i="5"/>
  <c r="M1846" i="5"/>
  <c r="M1889" i="5"/>
  <c r="M1912" i="5"/>
  <c r="M1933" i="5"/>
  <c r="M1957" i="5"/>
  <c r="M512" i="5"/>
  <c r="M533" i="5"/>
  <c r="M554" i="5"/>
  <c r="M575" i="5"/>
  <c r="M586" i="5"/>
  <c r="M663" i="5"/>
  <c r="M675" i="5"/>
  <c r="M687" i="5"/>
  <c r="M722" i="5"/>
  <c r="M746" i="5"/>
  <c r="M770" i="5"/>
  <c r="M784" i="5"/>
  <c r="M845" i="5"/>
  <c r="M893" i="5"/>
  <c r="M910" i="5"/>
  <c r="M927" i="5"/>
  <c r="M944" i="5"/>
  <c r="M961" i="5"/>
  <c r="M977" i="5"/>
  <c r="M995" i="5"/>
  <c r="M1079" i="5"/>
  <c r="M1113" i="5"/>
  <c r="M1145" i="5"/>
  <c r="M1162" i="5"/>
  <c r="M1183" i="5"/>
  <c r="M1203" i="5"/>
  <c r="M1221" i="5"/>
  <c r="M1245" i="5"/>
  <c r="M1262" i="5"/>
  <c r="M1391" i="5"/>
  <c r="M1410" i="5"/>
  <c r="M1431" i="5"/>
  <c r="M1452" i="5"/>
  <c r="M1475" i="5"/>
  <c r="M1496" i="5"/>
  <c r="M1516" i="5"/>
  <c r="M1538" i="5"/>
  <c r="M1581" i="5"/>
  <c r="M1627" i="5"/>
  <c r="M1649" i="5"/>
  <c r="M1670" i="5"/>
  <c r="M1760" i="5"/>
  <c r="M1782" i="5"/>
  <c r="M1827" i="5"/>
  <c r="M1850" i="5"/>
  <c r="M1895" i="5"/>
  <c r="M1939" i="5"/>
  <c r="M1961" i="5"/>
  <c r="M1982" i="5"/>
  <c r="M422" i="5"/>
  <c r="M432" i="5"/>
  <c r="M442" i="5"/>
  <c r="M452" i="5"/>
  <c r="M462" i="5"/>
  <c r="M472" i="5"/>
  <c r="M482" i="5"/>
  <c r="M492" i="5"/>
  <c r="M502" i="5"/>
  <c r="M523" i="5"/>
  <c r="M544" i="5"/>
  <c r="M565" i="5"/>
  <c r="M576" i="5"/>
  <c r="M597" i="5"/>
  <c r="M608" i="5"/>
  <c r="M619" i="5"/>
  <c r="M630" i="5"/>
  <c r="M641" i="5"/>
  <c r="M652" i="5"/>
  <c r="M676" i="5"/>
  <c r="M699" i="5"/>
  <c r="M711" i="5"/>
  <c r="M758" i="5"/>
  <c r="M771" i="5"/>
  <c r="M799" i="5"/>
  <c r="M815" i="5"/>
  <c r="M831" i="5"/>
  <c r="M862" i="5"/>
  <c r="M894" i="5"/>
  <c r="M912" i="5"/>
  <c r="M1030" i="5"/>
  <c r="M1045" i="5"/>
  <c r="M1062" i="5"/>
  <c r="M1164" i="5"/>
  <c r="M1184" i="5"/>
  <c r="M1204" i="5"/>
  <c r="M1223" i="5"/>
  <c r="M1307" i="5"/>
  <c r="M1328" i="5"/>
  <c r="M1349" i="5"/>
  <c r="M1411" i="5"/>
  <c r="M1455" i="5"/>
  <c r="M1539" i="5"/>
  <c r="M1560" i="5"/>
  <c r="M1606" i="5"/>
  <c r="M1696" i="5"/>
  <c r="M1741" i="5"/>
  <c r="M1783" i="5"/>
  <c r="M1807" i="5"/>
  <c r="M1829" i="5"/>
  <c r="M1851" i="5"/>
  <c r="M1872" i="5"/>
  <c r="M1918" i="5"/>
  <c r="M513" i="5"/>
  <c r="M534" i="5"/>
  <c r="M555" i="5"/>
  <c r="M566" i="5"/>
  <c r="M587" i="5"/>
  <c r="M688" i="5"/>
  <c r="M700" i="5"/>
  <c r="M723" i="5"/>
  <c r="M735" i="5"/>
  <c r="M747" i="5"/>
  <c r="M785" i="5"/>
  <c r="M800" i="5"/>
  <c r="M847" i="5"/>
  <c r="M863" i="5"/>
  <c r="M879" i="5"/>
  <c r="M913" i="5"/>
  <c r="M945" i="5"/>
  <c r="M962" i="5"/>
  <c r="M1012" i="5"/>
  <c r="M1063" i="5"/>
  <c r="M1080" i="5"/>
  <c r="M1097" i="5"/>
  <c r="M1114" i="5"/>
  <c r="M1130" i="5"/>
  <c r="M1165" i="5"/>
  <c r="M1185" i="5"/>
  <c r="M1205" i="5"/>
  <c r="M1225" i="5"/>
  <c r="M1246" i="5"/>
  <c r="M1266" i="5"/>
  <c r="M1288" i="5"/>
  <c r="M1329" i="5"/>
  <c r="M1392" i="5"/>
  <c r="M1436" i="5"/>
  <c r="M1476" i="5"/>
  <c r="M1586" i="5"/>
  <c r="M1629" i="5"/>
  <c r="M1650" i="5"/>
  <c r="M1673" i="5"/>
  <c r="M1718" i="5"/>
  <c r="M1761" i="5"/>
  <c r="M1830" i="5"/>
  <c r="M1873" i="5"/>
  <c r="M1898" i="5"/>
  <c r="M1941" i="5"/>
  <c r="M1962" i="5"/>
  <c r="M307" i="5"/>
  <c r="M317" i="5"/>
  <c r="M327" i="5"/>
  <c r="M337" i="5"/>
  <c r="M347" i="5"/>
  <c r="M357" i="5"/>
  <c r="M367" i="5"/>
  <c r="M377" i="5"/>
  <c r="M387" i="5"/>
  <c r="M397" i="5"/>
  <c r="M407" i="5"/>
  <c r="M417" i="5"/>
  <c r="M427" i="5"/>
  <c r="M437" i="5"/>
  <c r="M447" i="5"/>
  <c r="M457" i="5"/>
  <c r="M467" i="5"/>
  <c r="M477" i="5"/>
  <c r="M487" i="5"/>
  <c r="M497" i="5"/>
  <c r="M518" i="5"/>
  <c r="M539" i="5"/>
  <c r="M560" i="5"/>
  <c r="M581" i="5"/>
  <c r="M602" i="5"/>
  <c r="M613" i="5"/>
  <c r="M636" i="5"/>
  <c r="M647" i="5"/>
  <c r="M658" i="5"/>
  <c r="M670" i="5"/>
  <c r="M693" i="5"/>
  <c r="M705" i="5"/>
  <c r="M717" i="5"/>
  <c r="M752" i="5"/>
  <c r="M792" i="5"/>
  <c r="M822" i="5"/>
  <c r="M839" i="5"/>
  <c r="M903" i="5"/>
  <c r="M937" i="5"/>
  <c r="M953" i="5"/>
  <c r="M971" i="5"/>
  <c r="M1037" i="5"/>
  <c r="M1089" i="5"/>
  <c r="M1104" i="5"/>
  <c r="M1121" i="5"/>
  <c r="M1175" i="5"/>
  <c r="M1194" i="5"/>
  <c r="M1232" i="5"/>
  <c r="M1276" i="5"/>
  <c r="M1338" i="5"/>
  <c r="M1380" i="5"/>
  <c r="M1401" i="5"/>
  <c r="M1422" i="5"/>
  <c r="M1443" i="5"/>
  <c r="M1466" i="5"/>
  <c r="M1486" i="5"/>
  <c r="M1508" i="5"/>
  <c r="M1549" i="5"/>
  <c r="M1595" i="5"/>
  <c r="M1618" i="5"/>
  <c r="M1638" i="5"/>
  <c r="M1682" i="5"/>
  <c r="M1729" i="5"/>
  <c r="M1773" i="5"/>
  <c r="M1819" i="5"/>
  <c r="M1839" i="5"/>
  <c r="M1861" i="5"/>
  <c r="M1907" i="5"/>
  <c r="M1930" i="5"/>
  <c r="M1950" i="5"/>
  <c r="M509" i="5"/>
  <c r="M530" i="5"/>
  <c r="M551" i="5"/>
  <c r="M572" i="5"/>
  <c r="M593" i="5"/>
  <c r="M615" i="5"/>
  <c r="M660" i="5"/>
  <c r="M683" i="5"/>
  <c r="M695" i="5"/>
  <c r="M707" i="5"/>
  <c r="M742" i="5"/>
  <c r="M780" i="5"/>
  <c r="M825" i="5"/>
  <c r="M872" i="5"/>
  <c r="M939" i="5"/>
  <c r="M973" i="5"/>
  <c r="M989" i="5"/>
  <c r="M1007" i="5"/>
  <c r="M1022" i="5"/>
  <c r="M1140" i="5"/>
  <c r="M1157" i="5"/>
  <c r="M1177" i="5"/>
  <c r="M1197" i="5"/>
  <c r="M1278" i="5"/>
  <c r="M1299" i="5"/>
  <c r="M1320" i="5"/>
  <c r="M1362" i="5"/>
  <c r="M1382" i="5"/>
  <c r="M1468" i="5"/>
  <c r="M1489" i="5"/>
  <c r="M1510" i="5"/>
  <c r="M1530" i="5"/>
  <c r="M1575" i="5"/>
  <c r="M1642" i="5"/>
  <c r="M1710" i="5"/>
  <c r="M1755" i="5"/>
  <c r="M1776" i="5"/>
  <c r="M1842" i="5"/>
  <c r="M1887" i="5"/>
  <c r="M1956" i="5"/>
  <c r="M1999" i="5"/>
  <c r="M802" i="5"/>
  <c r="M814" i="5"/>
  <c r="M861" i="5"/>
  <c r="M873" i="5"/>
  <c r="M920" i="5"/>
  <c r="M955" i="5"/>
  <c r="M967" i="5"/>
  <c r="M979" i="5"/>
  <c r="M1002" i="5"/>
  <c r="M1014" i="5"/>
  <c r="M1061" i="5"/>
  <c r="M1073" i="5"/>
  <c r="M1120" i="5"/>
  <c r="M1155" i="5"/>
  <c r="M1182" i="5"/>
  <c r="M1224" i="5"/>
  <c r="M1238" i="5"/>
  <c r="M1252" i="5"/>
  <c r="M1268" i="5"/>
  <c r="M1311" i="5"/>
  <c r="M1327" i="5"/>
  <c r="M1341" i="5"/>
  <c r="M1370" i="5"/>
  <c r="M1386" i="5"/>
  <c r="M1445" i="5"/>
  <c r="M1473" i="5"/>
  <c r="M1488" i="5"/>
  <c r="M1502" i="5"/>
  <c r="M1518" i="5"/>
  <c r="M1548" i="5"/>
  <c r="M1562" i="5"/>
  <c r="M1610" i="5"/>
  <c r="M1626" i="5"/>
  <c r="M1672" i="5"/>
  <c r="M1688" i="5"/>
  <c r="M1736" i="5"/>
  <c r="M1750" i="5"/>
  <c r="M1798" i="5"/>
  <c r="M1812" i="5"/>
  <c r="M1860" i="5"/>
  <c r="M1876" i="5"/>
  <c r="M1922" i="5"/>
  <c r="M1938" i="5"/>
  <c r="M1986" i="5"/>
  <c r="M887" i="5"/>
  <c r="M899" i="5"/>
  <c r="M922" i="5"/>
  <c r="M934" i="5"/>
  <c r="M981" i="5"/>
  <c r="M993" i="5"/>
  <c r="M1040" i="5"/>
  <c r="M1075" i="5"/>
  <c r="M1087" i="5"/>
  <c r="M1099" i="5"/>
  <c r="M1122" i="5"/>
  <c r="M1134" i="5"/>
  <c r="M1171" i="5"/>
  <c r="M1199" i="5"/>
  <c r="M1212" i="5"/>
  <c r="M1227" i="5"/>
  <c r="M1241" i="5"/>
  <c r="M1270" i="5"/>
  <c r="M1286" i="5"/>
  <c r="M1345" i="5"/>
  <c r="M1373" i="5"/>
  <c r="M1388" i="5"/>
  <c r="M1402" i="5"/>
  <c r="M1418" i="5"/>
  <c r="M1461" i="5"/>
  <c r="M1477" i="5"/>
  <c r="M1491" i="5"/>
  <c r="M1520" i="5"/>
  <c r="M1536" i="5"/>
  <c r="M1550" i="5"/>
  <c r="M1598" i="5"/>
  <c r="M1612" i="5"/>
  <c r="M1660" i="5"/>
  <c r="M1676" i="5"/>
  <c r="M1722" i="5"/>
  <c r="M1738" i="5"/>
  <c r="M1786" i="5"/>
  <c r="M1800" i="5"/>
  <c r="M1848" i="5"/>
  <c r="M1862" i="5"/>
  <c r="M1910" i="5"/>
  <c r="M1926" i="5"/>
  <c r="M1972" i="5"/>
  <c r="M1988" i="5"/>
  <c r="M805" i="5"/>
  <c r="M817" i="5"/>
  <c r="M829" i="5"/>
  <c r="M852" i="5"/>
  <c r="M864" i="5"/>
  <c r="M911" i="5"/>
  <c r="M923" i="5"/>
  <c r="M970" i="5"/>
  <c r="M1005" i="5"/>
  <c r="M1017" i="5"/>
  <c r="M1029" i="5"/>
  <c r="M1052" i="5"/>
  <c r="M1064" i="5"/>
  <c r="M1111" i="5"/>
  <c r="M1123" i="5"/>
  <c r="M1186" i="5"/>
  <c r="M1213" i="5"/>
  <c r="M1257" i="5"/>
  <c r="M1300" i="5"/>
  <c r="M1316" i="5"/>
  <c r="M1330" i="5"/>
  <c r="M1375" i="5"/>
  <c r="M1389" i="5"/>
  <c r="M1405" i="5"/>
  <c r="M1432" i="5"/>
  <c r="M1448" i="5"/>
  <c r="M1507" i="5"/>
  <c r="M1551" i="5"/>
  <c r="M1568" i="5"/>
  <c r="M1582" i="5"/>
  <c r="M1615" i="5"/>
  <c r="M1630" i="5"/>
  <c r="M1646" i="5"/>
  <c r="M1677" i="5"/>
  <c r="M1692" i="5"/>
  <c r="M1708" i="5"/>
  <c r="M1723" i="5"/>
  <c r="M1739" i="5"/>
  <c r="M1756" i="5"/>
  <c r="M1770" i="5"/>
  <c r="M1801" i="5"/>
  <c r="M1818" i="5"/>
  <c r="M1832" i="5"/>
  <c r="M1865" i="5"/>
  <c r="M1880" i="5"/>
  <c r="M1896" i="5"/>
  <c r="M1927" i="5"/>
  <c r="M1942" i="5"/>
  <c r="M1958" i="5"/>
  <c r="M1973" i="5"/>
  <c r="M1989" i="5"/>
  <c r="M782" i="5"/>
  <c r="M794" i="5"/>
  <c r="M841" i="5"/>
  <c r="M853" i="5"/>
  <c r="M900" i="5"/>
  <c r="M935" i="5"/>
  <c r="M947" i="5"/>
  <c r="M959" i="5"/>
  <c r="M982" i="5"/>
  <c r="M994" i="5"/>
  <c r="M1041" i="5"/>
  <c r="M1053" i="5"/>
  <c r="M1100" i="5"/>
  <c r="M1135" i="5"/>
  <c r="M1147" i="5"/>
  <c r="M1159" i="5"/>
  <c r="M1172" i="5"/>
  <c r="M1200" i="5"/>
  <c r="M1214" i="5"/>
  <c r="M1228" i="5"/>
  <c r="M1242" i="5"/>
  <c r="M1287" i="5"/>
  <c r="M1301" i="5"/>
  <c r="M1317" i="5"/>
  <c r="M1346" i="5"/>
  <c r="M1360" i="5"/>
  <c r="M1419" i="5"/>
  <c r="M1433" i="5"/>
  <c r="M1462" i="5"/>
  <c r="M1478" i="5"/>
  <c r="M1492" i="5"/>
  <c r="M1537" i="5"/>
  <c r="M1583" i="5"/>
  <c r="M1599" i="5"/>
  <c r="M1661" i="5"/>
  <c r="M1693" i="5"/>
  <c r="M1725" i="5"/>
  <c r="M1787" i="5"/>
  <c r="M1833" i="5"/>
  <c r="M1849" i="5"/>
  <c r="M1911" i="5"/>
  <c r="M1943" i="5"/>
  <c r="M1975" i="5"/>
  <c r="M1991" i="5"/>
  <c r="M604" i="5"/>
  <c r="M614" i="5"/>
  <c r="M624" i="5"/>
  <c r="M634" i="5"/>
  <c r="M644" i="5"/>
  <c r="M654" i="5"/>
  <c r="M664" i="5"/>
  <c r="M674" i="5"/>
  <c r="M684" i="5"/>
  <c r="M694" i="5"/>
  <c r="M704" i="5"/>
  <c r="M714" i="5"/>
  <c r="M724" i="5"/>
  <c r="M734" i="5"/>
  <c r="M744" i="5"/>
  <c r="M754" i="5"/>
  <c r="M764" i="5"/>
  <c r="M811" i="5"/>
  <c r="M823" i="5"/>
  <c r="M870" i="5"/>
  <c r="M905" i="5"/>
  <c r="M917" i="5"/>
  <c r="M929" i="5"/>
  <c r="M952" i="5"/>
  <c r="M964" i="5"/>
  <c r="M1011" i="5"/>
  <c r="M1023" i="5"/>
  <c r="M1070" i="5"/>
  <c r="M1105" i="5"/>
  <c r="M1117" i="5"/>
  <c r="M1129" i="5"/>
  <c r="M1152" i="5"/>
  <c r="M1192" i="5"/>
  <c r="M1207" i="5"/>
  <c r="M1220" i="5"/>
  <c r="M1249" i="5"/>
  <c r="M1265" i="5"/>
  <c r="M1279" i="5"/>
  <c r="M1293" i="5"/>
  <c r="M1308" i="5"/>
  <c r="M1322" i="5"/>
  <c r="M1381" i="5"/>
  <c r="M1426" i="5"/>
  <c r="M1440" i="5"/>
  <c r="M1456" i="5"/>
  <c r="M1499" i="5"/>
  <c r="M1515" i="5"/>
  <c r="M1529" i="5"/>
  <c r="M1545" i="5"/>
  <c r="M1591" i="5"/>
  <c r="M1607" i="5"/>
  <c r="M1655" i="5"/>
  <c r="M1669" i="5"/>
  <c r="M1717" i="5"/>
  <c r="M1731" i="5"/>
  <c r="M1779" i="5"/>
  <c r="M1795" i="5"/>
  <c r="M1841" i="5"/>
  <c r="M1857" i="5"/>
  <c r="M1905" i="5"/>
  <c r="M1919" i="5"/>
  <c r="M1967" i="5"/>
  <c r="M1981" i="5"/>
  <c r="M1998" i="5"/>
  <c r="M801" i="5"/>
  <c r="M813" i="5"/>
  <c r="M860" i="5"/>
  <c r="M895" i="5"/>
  <c r="M907" i="5"/>
  <c r="M919" i="5"/>
  <c r="M942" i="5"/>
  <c r="M954" i="5"/>
  <c r="M1001" i="5"/>
  <c r="M1013" i="5"/>
  <c r="M1060" i="5"/>
  <c r="M1095" i="5"/>
  <c r="M1107" i="5"/>
  <c r="M1119" i="5"/>
  <c r="M1142" i="5"/>
  <c r="M1154" i="5"/>
  <c r="M1167" i="5"/>
  <c r="M1222" i="5"/>
  <c r="M1237" i="5"/>
  <c r="M1251" i="5"/>
  <c r="M1267" i="5"/>
  <c r="M1296" i="5"/>
  <c r="M1310" i="5"/>
  <c r="M1369" i="5"/>
  <c r="M1383" i="5"/>
  <c r="M1412" i="5"/>
  <c r="M1428" i="5"/>
  <c r="M1442" i="5"/>
  <c r="M1487" i="5"/>
  <c r="M1501" i="5"/>
  <c r="M1517" i="5"/>
  <c r="M1561" i="5"/>
  <c r="M1593" i="5"/>
  <c r="M1625" i="5"/>
  <c r="M1687" i="5"/>
  <c r="M1733" i="5"/>
  <c r="M1749" i="5"/>
  <c r="M1811" i="5"/>
  <c r="M1843" i="5"/>
  <c r="M1875" i="5"/>
  <c r="M1937" i="5"/>
  <c r="M1983" i="5"/>
  <c r="M1163" i="5"/>
  <c r="M1187" i="5"/>
  <c r="M1210" i="5"/>
  <c r="M1235" i="5"/>
  <c r="M1247" i="5"/>
  <c r="M1259" i="5"/>
  <c r="M1271" i="5"/>
  <c r="M1285" i="5"/>
  <c r="M1297" i="5"/>
  <c r="M1309" i="5"/>
  <c r="M1321" i="5"/>
  <c r="M1335" i="5"/>
  <c r="M1347" i="5"/>
  <c r="M1359" i="5"/>
  <c r="M1371" i="5"/>
  <c r="M1385" i="5"/>
  <c r="M1397" i="5"/>
  <c r="M1409" i="5"/>
  <c r="M1421" i="5"/>
  <c r="M1435" i="5"/>
  <c r="M1447" i="5"/>
  <c r="M1459" i="5"/>
  <c r="M1471" i="5"/>
  <c r="M1485" i="5"/>
  <c r="M1497" i="5"/>
  <c r="M1509" i="5"/>
  <c r="M1521" i="5"/>
  <c r="M1535" i="5"/>
  <c r="M1547" i="5"/>
  <c r="M1559" i="5"/>
  <c r="M1571" i="5"/>
  <c r="M1585" i="5"/>
  <c r="M1597" i="5"/>
  <c r="M1609" i="5"/>
  <c r="M1621" i="5"/>
  <c r="M1635" i="5"/>
  <c r="M1647" i="5"/>
  <c r="M1659" i="5"/>
  <c r="M1671" i="5"/>
  <c r="M1685" i="5"/>
  <c r="M1697" i="5"/>
  <c r="M1709" i="5"/>
  <c r="M1721" i="5"/>
  <c r="M1735" i="5"/>
  <c r="M1747" i="5"/>
  <c r="M1759" i="5"/>
  <c r="M1771" i="5"/>
  <c r="M1785" i="5"/>
  <c r="M1797" i="5"/>
  <c r="M1809" i="5"/>
  <c r="M1821" i="5"/>
  <c r="M1835" i="5"/>
  <c r="M1847" i="5"/>
  <c r="M1859" i="5"/>
  <c r="M1871" i="5"/>
  <c r="M1885" i="5"/>
  <c r="M1897" i="5"/>
  <c r="M1909" i="5"/>
  <c r="M1921" i="5"/>
  <c r="M1935" i="5"/>
  <c r="M1947" i="5"/>
  <c r="M1959" i="5"/>
  <c r="M1971" i="5"/>
  <c r="M1985" i="5"/>
  <c r="M1997" i="5"/>
  <c r="M2000" i="5"/>
  <c r="M766" i="5"/>
  <c r="M776" i="5"/>
  <c r="M786" i="5"/>
  <c r="M796" i="5"/>
  <c r="M806" i="5"/>
  <c r="M816" i="5"/>
  <c r="M826" i="5"/>
  <c r="M836" i="5"/>
  <c r="M846" i="5"/>
  <c r="M856" i="5"/>
  <c r="M866" i="5"/>
  <c r="M876" i="5"/>
  <c r="M886" i="5"/>
  <c r="M896" i="5"/>
  <c r="M906" i="5"/>
  <c r="M916" i="5"/>
  <c r="M926" i="5"/>
  <c r="M936" i="5"/>
  <c r="M946" i="5"/>
  <c r="M956" i="5"/>
  <c r="M966" i="5"/>
  <c r="M976" i="5"/>
  <c r="M986" i="5"/>
  <c r="M996" i="5"/>
  <c r="M1006" i="5"/>
  <c r="M1016" i="5"/>
  <c r="M1026" i="5"/>
  <c r="M1036" i="5"/>
  <c r="M1046" i="5"/>
  <c r="M1056" i="5"/>
  <c r="M1066" i="5"/>
  <c r="M1076" i="5"/>
  <c r="M1086" i="5"/>
  <c r="M1096" i="5"/>
  <c r="M1106" i="5"/>
  <c r="M1116" i="5"/>
  <c r="M1126" i="5"/>
  <c r="M1136" i="5"/>
  <c r="M1146" i="5"/>
  <c r="M1156" i="5"/>
  <c r="M1179" i="5"/>
  <c r="M1202" i="5"/>
  <c r="M1215" i="5"/>
  <c r="M1263" i="5"/>
  <c r="M1313" i="5"/>
  <c r="M1363" i="5"/>
  <c r="M1413" i="5"/>
  <c r="M1463" i="5"/>
  <c r="M1513" i="5"/>
  <c r="M1563" i="5"/>
  <c r="M1613" i="5"/>
  <c r="M1663" i="5"/>
  <c r="M1713" i="5"/>
  <c r="M1763" i="5"/>
  <c r="M1813" i="5"/>
  <c r="M1863" i="5"/>
  <c r="M1913" i="5"/>
  <c r="M1963" i="5"/>
  <c r="M2001" i="5"/>
  <c r="M1540" i="5"/>
  <c r="M1552" i="5"/>
  <c r="M1566" i="5"/>
  <c r="M1578" i="5"/>
  <c r="M1590" i="5"/>
  <c r="M1602" i="5"/>
  <c r="M1616" i="5"/>
  <c r="M1628" i="5"/>
  <c r="M1640" i="5"/>
  <c r="M1652" i="5"/>
  <c r="M1666" i="5"/>
  <c r="M1678" i="5"/>
  <c r="M1690" i="5"/>
  <c r="M1702" i="5"/>
  <c r="M1716" i="5"/>
  <c r="M1728" i="5"/>
  <c r="M1740" i="5"/>
  <c r="M1752" i="5"/>
  <c r="M1766" i="5"/>
  <c r="M1778" i="5"/>
  <c r="M1790" i="5"/>
  <c r="M1802" i="5"/>
  <c r="M1816" i="5"/>
  <c r="M1828" i="5"/>
  <c r="M1840" i="5"/>
  <c r="M1852" i="5"/>
  <c r="M1866" i="5"/>
  <c r="M1878" i="5"/>
  <c r="M1890" i="5"/>
  <c r="M1902" i="5"/>
  <c r="M1916" i="5"/>
  <c r="M1928" i="5"/>
  <c r="M1940" i="5"/>
  <c r="M1952" i="5"/>
  <c r="M1966" i="5"/>
  <c r="M1978" i="5"/>
  <c r="M1990" i="5"/>
  <c r="M2002" i="5"/>
  <c r="M768" i="5"/>
  <c r="M778" i="5"/>
  <c r="M788" i="5"/>
  <c r="M798" i="5"/>
  <c r="M808" i="5"/>
  <c r="M818" i="5"/>
  <c r="M828" i="5"/>
  <c r="M838" i="5"/>
  <c r="M848" i="5"/>
  <c r="M858" i="5"/>
  <c r="M868" i="5"/>
  <c r="M878" i="5"/>
  <c r="M888" i="5"/>
  <c r="M898" i="5"/>
  <c r="M908" i="5"/>
  <c r="M918" i="5"/>
  <c r="M928" i="5"/>
  <c r="M938" i="5"/>
  <c r="M948" i="5"/>
  <c r="M958" i="5"/>
  <c r="M968" i="5"/>
  <c r="M978" i="5"/>
  <c r="M988" i="5"/>
  <c r="M998" i="5"/>
  <c r="M1008" i="5"/>
  <c r="M1018" i="5"/>
  <c r="M1028" i="5"/>
  <c r="M1038" i="5"/>
  <c r="M1048" i="5"/>
  <c r="M1058" i="5"/>
  <c r="M1068" i="5"/>
  <c r="M1078" i="5"/>
  <c r="M1088" i="5"/>
  <c r="M1098" i="5"/>
  <c r="M1108" i="5"/>
  <c r="M1118" i="5"/>
  <c r="M1128" i="5"/>
  <c r="M1138" i="5"/>
  <c r="M1148" i="5"/>
  <c r="M1158" i="5"/>
  <c r="M1181" i="5"/>
  <c r="M1193" i="5"/>
  <c r="M1217" i="5"/>
  <c r="M1253" i="5"/>
  <c r="M1303" i="5"/>
  <c r="M1353" i="5"/>
  <c r="M1403" i="5"/>
  <c r="M1453" i="5"/>
  <c r="M1503" i="5"/>
  <c r="M1553" i="5"/>
  <c r="M1603" i="5"/>
  <c r="M1653" i="5"/>
  <c r="M1703" i="5"/>
  <c r="M1753" i="5"/>
  <c r="M1803" i="5"/>
  <c r="M1853" i="5"/>
  <c r="M1903" i="5"/>
  <c r="M1953" i="5"/>
  <c r="M2003" i="5"/>
  <c r="M1234" i="5"/>
  <c r="M1244" i="5"/>
  <c r="M1254" i="5"/>
  <c r="M1264" i="5"/>
  <c r="M1274" i="5"/>
  <c r="M1284" i="5"/>
  <c r="M1294" i="5"/>
  <c r="M1304" i="5"/>
  <c r="M1314" i="5"/>
  <c r="M1324" i="5"/>
  <c r="M1334" i="5"/>
  <c r="M1344" i="5"/>
  <c r="M1354" i="5"/>
  <c r="M1364" i="5"/>
  <c r="M1374" i="5"/>
  <c r="M1384" i="5"/>
  <c r="M1394" i="5"/>
  <c r="M1404" i="5"/>
  <c r="M1414" i="5"/>
  <c r="M1424" i="5"/>
  <c r="M1434" i="5"/>
  <c r="M1444" i="5"/>
  <c r="M1454" i="5"/>
  <c r="M1464" i="5"/>
  <c r="M1474" i="5"/>
  <c r="M1484" i="5"/>
  <c r="M1494" i="5"/>
  <c r="M1504" i="5"/>
  <c r="M1514" i="5"/>
  <c r="M1524" i="5"/>
  <c r="M1534" i="5"/>
  <c r="M1544" i="5"/>
  <c r="M1554" i="5"/>
  <c r="M1564" i="5"/>
  <c r="M1574" i="5"/>
  <c r="M1584" i="5"/>
  <c r="M1594" i="5"/>
  <c r="M1604" i="5"/>
  <c r="M1614" i="5"/>
  <c r="M1624" i="5"/>
  <c r="M1634" i="5"/>
  <c r="M1644" i="5"/>
  <c r="M1654" i="5"/>
  <c r="M1664" i="5"/>
  <c r="M1674" i="5"/>
  <c r="M1684" i="5"/>
  <c r="M1694" i="5"/>
  <c r="M1704" i="5"/>
  <c r="M1714" i="5"/>
  <c r="M1724" i="5"/>
  <c r="M1734" i="5"/>
  <c r="M1744" i="5"/>
  <c r="M1754" i="5"/>
  <c r="M1764" i="5"/>
  <c r="M1774" i="5"/>
  <c r="M1784" i="5"/>
  <c r="M1794" i="5"/>
  <c r="M1804" i="5"/>
  <c r="M1814" i="5"/>
  <c r="M1824" i="5"/>
  <c r="M1834" i="5"/>
  <c r="M1844" i="5"/>
  <c r="M1854" i="5"/>
  <c r="M1864" i="5"/>
  <c r="M1874" i="5"/>
  <c r="M1884" i="5"/>
  <c r="M1894" i="5"/>
  <c r="M1904" i="5"/>
  <c r="M1914" i="5"/>
  <c r="M1924" i="5"/>
  <c r="M1934" i="5"/>
  <c r="M1944" i="5"/>
  <c r="M1954" i="5"/>
  <c r="M1964" i="5"/>
  <c r="M1974" i="5"/>
  <c r="M1984" i="5"/>
  <c r="M1994" i="5"/>
  <c r="M2004" i="5"/>
  <c r="N104" i="5"/>
  <c r="N124" i="5"/>
  <c r="N346" i="5"/>
  <c r="N134" i="5"/>
  <c r="N649" i="5"/>
  <c r="N144" i="5"/>
  <c r="N666" i="5"/>
  <c r="N154" i="5"/>
  <c r="N386" i="5"/>
  <c r="N164" i="5"/>
  <c r="N701" i="5"/>
  <c r="N174" i="5"/>
  <c r="N413" i="5"/>
  <c r="N718" i="5"/>
  <c r="N184" i="5"/>
  <c r="N427" i="5"/>
  <c r="N758" i="5"/>
  <c r="N194" i="5"/>
  <c r="N204" i="5"/>
  <c r="N456" i="5"/>
  <c r="N802" i="5"/>
  <c r="N214" i="5"/>
  <c r="N224" i="5"/>
  <c r="N485" i="5"/>
  <c r="N1511" i="5"/>
  <c r="N498" i="5"/>
  <c r="N246" i="5"/>
  <c r="N513" i="5"/>
  <c r="N1577" i="5"/>
  <c r="N527" i="5"/>
  <c r="N1609" i="5"/>
  <c r="N1640" i="5"/>
  <c r="N293" i="5"/>
  <c r="N1703" i="5"/>
  <c r="N114" i="5"/>
  <c r="N306" i="5"/>
  <c r="N587" i="5"/>
  <c r="N1845" i="5"/>
  <c r="N235" i="5"/>
  <c r="N258" i="5"/>
  <c r="N282" i="5"/>
  <c r="N294" i="5"/>
  <c r="N333" i="5"/>
  <c r="N373" i="5"/>
  <c r="N557" i="5"/>
  <c r="N601" i="5"/>
  <c r="N619" i="5"/>
  <c r="N633" i="5"/>
  <c r="N650" i="5"/>
  <c r="N760" i="5"/>
  <c r="N781" i="5"/>
  <c r="N803" i="5"/>
  <c r="N899" i="5"/>
  <c r="N954" i="5"/>
  <c r="N976" i="5"/>
  <c r="N1004" i="5"/>
  <c r="N1028" i="5"/>
  <c r="N1055" i="5"/>
  <c r="N1108" i="5"/>
  <c r="N1158" i="5"/>
  <c r="N1189" i="5"/>
  <c r="N1221" i="5"/>
  <c r="N1287" i="5"/>
  <c r="N1320" i="5"/>
  <c r="N1349" i="5"/>
  <c r="N1546" i="5"/>
  <c r="N1673" i="5"/>
  <c r="N1846" i="5"/>
  <c r="N1887" i="5"/>
  <c r="N1920" i="5"/>
  <c r="N1960" i="5"/>
  <c r="N1959" i="5"/>
  <c r="N105" i="5"/>
  <c r="N115" i="5"/>
  <c r="N125" i="5"/>
  <c r="N135" i="5"/>
  <c r="N145" i="5"/>
  <c r="N155" i="5"/>
  <c r="N165" i="5"/>
  <c r="N175" i="5"/>
  <c r="N185" i="5"/>
  <c r="N195" i="5"/>
  <c r="N205" i="5"/>
  <c r="N215" i="5"/>
  <c r="N225" i="5"/>
  <c r="N247" i="5"/>
  <c r="N271" i="5"/>
  <c r="N307" i="5"/>
  <c r="N347" i="5"/>
  <c r="N387" i="5"/>
  <c r="N415" i="5"/>
  <c r="N428" i="5"/>
  <c r="N443" i="5"/>
  <c r="N457" i="5"/>
  <c r="N486" i="5"/>
  <c r="N515" i="5"/>
  <c r="N528" i="5"/>
  <c r="N543" i="5"/>
  <c r="N588" i="5"/>
  <c r="N602" i="5"/>
  <c r="N667" i="5"/>
  <c r="N702" i="5"/>
  <c r="N741" i="5"/>
  <c r="N761" i="5"/>
  <c r="N804" i="5"/>
  <c r="N828" i="5"/>
  <c r="N852" i="5"/>
  <c r="N875" i="5"/>
  <c r="N1029" i="5"/>
  <c r="N1057" i="5"/>
  <c r="N1082" i="5"/>
  <c r="N1190" i="5"/>
  <c r="N1223" i="5"/>
  <c r="N1321" i="5"/>
  <c r="N1388" i="5"/>
  <c r="N1450" i="5"/>
  <c r="N1481" i="5"/>
  <c r="N1515" i="5"/>
  <c r="N1548" i="5"/>
  <c r="N1611" i="5"/>
  <c r="N1745" i="5"/>
  <c r="N1776" i="5"/>
  <c r="N1848" i="5"/>
  <c r="N1925" i="5"/>
  <c r="N1886" i="5"/>
  <c r="N236" i="5"/>
  <c r="N283" i="5"/>
  <c r="N295" i="5"/>
  <c r="N335" i="5"/>
  <c r="N375" i="5"/>
  <c r="N558" i="5"/>
  <c r="N603" i="5"/>
  <c r="N620" i="5"/>
  <c r="N652" i="5"/>
  <c r="N762" i="5"/>
  <c r="N782" i="5"/>
  <c r="N855" i="5"/>
  <c r="N876" i="5"/>
  <c r="N955" i="5"/>
  <c r="N1005" i="5"/>
  <c r="N1031" i="5"/>
  <c r="N1058" i="5"/>
  <c r="N1084" i="5"/>
  <c r="N1109" i="5"/>
  <c r="N1134" i="5"/>
  <c r="N1159" i="5"/>
  <c r="N1197" i="5"/>
  <c r="N1225" i="5"/>
  <c r="N1259" i="5"/>
  <c r="N1323" i="5"/>
  <c r="N1353" i="5"/>
  <c r="N1483" i="5"/>
  <c r="N1516" i="5"/>
  <c r="N1615" i="5"/>
  <c r="N1643" i="5"/>
  <c r="N1709" i="5"/>
  <c r="N1777" i="5"/>
  <c r="N1850" i="5"/>
  <c r="N1961" i="5"/>
  <c r="N96" i="5"/>
  <c r="N106" i="5"/>
  <c r="N116" i="5"/>
  <c r="N126" i="5"/>
  <c r="N136" i="5"/>
  <c r="N146" i="5"/>
  <c r="N156" i="5"/>
  <c r="N166" i="5"/>
  <c r="N176" i="5"/>
  <c r="N186" i="5"/>
  <c r="N196" i="5"/>
  <c r="N206" i="5"/>
  <c r="N216" i="5"/>
  <c r="N226" i="5"/>
  <c r="N248" i="5"/>
  <c r="N272" i="5"/>
  <c r="N284" i="5"/>
  <c r="N308" i="5"/>
  <c r="N322" i="5"/>
  <c r="N348" i="5"/>
  <c r="N362" i="5"/>
  <c r="N388" i="5"/>
  <c r="N402" i="5"/>
  <c r="N416" i="5"/>
  <c r="N445" i="5"/>
  <c r="N458" i="5"/>
  <c r="N473" i="5"/>
  <c r="N487" i="5"/>
  <c r="N516" i="5"/>
  <c r="N545" i="5"/>
  <c r="N574" i="5"/>
  <c r="N589" i="5"/>
  <c r="N636" i="5"/>
  <c r="N668" i="5"/>
  <c r="N703" i="5"/>
  <c r="N742" i="5"/>
  <c r="N829" i="5"/>
  <c r="N857" i="5"/>
  <c r="N878" i="5"/>
  <c r="N929" i="5"/>
  <c r="N956" i="5"/>
  <c r="N981" i="5"/>
  <c r="N1006" i="5"/>
  <c r="N1033" i="5"/>
  <c r="N1138" i="5"/>
  <c r="N1198" i="5"/>
  <c r="N1227" i="5"/>
  <c r="N1260" i="5"/>
  <c r="N1357" i="5"/>
  <c r="N1389" i="5"/>
  <c r="N1451" i="5"/>
  <c r="N1486" i="5"/>
  <c r="N1581" i="5"/>
  <c r="N1616" i="5"/>
  <c r="N1646" i="5"/>
  <c r="N1746" i="5"/>
  <c r="N1778" i="5"/>
  <c r="N1890" i="5"/>
  <c r="N1965" i="5"/>
  <c r="N237" i="5"/>
  <c r="N261" i="5"/>
  <c r="N296" i="5"/>
  <c r="N336" i="5"/>
  <c r="N376" i="5"/>
  <c r="N559" i="5"/>
  <c r="N576" i="5"/>
  <c r="N606" i="5"/>
  <c r="N621" i="5"/>
  <c r="N637" i="5"/>
  <c r="N653" i="5"/>
  <c r="N669" i="5"/>
  <c r="N688" i="5"/>
  <c r="N723" i="5"/>
  <c r="N783" i="5"/>
  <c r="N831" i="5"/>
  <c r="N905" i="5"/>
  <c r="N957" i="5"/>
  <c r="N982" i="5"/>
  <c r="N1034" i="5"/>
  <c r="N1139" i="5"/>
  <c r="N1163" i="5"/>
  <c r="N1228" i="5"/>
  <c r="N1359" i="5"/>
  <c r="N1421" i="5"/>
  <c r="N1490" i="5"/>
  <c r="N1713" i="5"/>
  <c r="N1818" i="5"/>
  <c r="N1857" i="5"/>
  <c r="N1966" i="5"/>
  <c r="N97" i="5"/>
  <c r="N107" i="5"/>
  <c r="N117" i="5"/>
  <c r="N127" i="5"/>
  <c r="N137" i="5"/>
  <c r="N147" i="5"/>
  <c r="N157" i="5"/>
  <c r="N167" i="5"/>
  <c r="N177" i="5"/>
  <c r="N187" i="5"/>
  <c r="N197" i="5"/>
  <c r="N207" i="5"/>
  <c r="N217" i="5"/>
  <c r="N227" i="5"/>
  <c r="N273" i="5"/>
  <c r="N285" i="5"/>
  <c r="N323" i="5"/>
  <c r="N363" i="5"/>
  <c r="N403" i="5"/>
  <c r="N417" i="5"/>
  <c r="N446" i="5"/>
  <c r="N475" i="5"/>
  <c r="N488" i="5"/>
  <c r="N503" i="5"/>
  <c r="N517" i="5"/>
  <c r="N546" i="5"/>
  <c r="N560" i="5"/>
  <c r="N590" i="5"/>
  <c r="N638" i="5"/>
  <c r="N670" i="5"/>
  <c r="N689" i="5"/>
  <c r="N743" i="5"/>
  <c r="N833" i="5"/>
  <c r="N858" i="5"/>
  <c r="N1038" i="5"/>
  <c r="N1061" i="5"/>
  <c r="N1088" i="5"/>
  <c r="N1199" i="5"/>
  <c r="N1261" i="5"/>
  <c r="N1296" i="5"/>
  <c r="N1327" i="5"/>
  <c r="N1360" i="5"/>
  <c r="N1390" i="5"/>
  <c r="N1453" i="5"/>
  <c r="N1553" i="5"/>
  <c r="N1585" i="5"/>
  <c r="N1619" i="5"/>
  <c r="N1650" i="5"/>
  <c r="N1683" i="5"/>
  <c r="N1747" i="5"/>
  <c r="N1819" i="5"/>
  <c r="N1859" i="5"/>
  <c r="N1891" i="5"/>
  <c r="N1931" i="5"/>
  <c r="N1738" i="5"/>
  <c r="N238" i="5"/>
  <c r="N262" i="5"/>
  <c r="N274" i="5"/>
  <c r="N297" i="5"/>
  <c r="N337" i="5"/>
  <c r="N377" i="5"/>
  <c r="N561" i="5"/>
  <c r="N577" i="5"/>
  <c r="N608" i="5"/>
  <c r="N622" i="5"/>
  <c r="N639" i="5"/>
  <c r="N671" i="5"/>
  <c r="N727" i="5"/>
  <c r="N767" i="5"/>
  <c r="N811" i="5"/>
  <c r="N834" i="5"/>
  <c r="N908" i="5"/>
  <c r="N933" i="5"/>
  <c r="N958" i="5"/>
  <c r="N1062" i="5"/>
  <c r="N1113" i="5"/>
  <c r="N1141" i="5"/>
  <c r="N1231" i="5"/>
  <c r="N1297" i="5"/>
  <c r="N1587" i="5"/>
  <c r="N1620" i="5"/>
  <c r="N1685" i="5"/>
  <c r="N1716" i="5"/>
  <c r="N1789" i="5"/>
  <c r="N1860" i="5"/>
  <c r="N1895" i="5"/>
  <c r="N1935" i="5"/>
  <c r="N1971" i="5"/>
  <c r="N98" i="5"/>
  <c r="N108" i="5"/>
  <c r="N118" i="5"/>
  <c r="N128" i="5"/>
  <c r="N138" i="5"/>
  <c r="N148" i="5"/>
  <c r="N158" i="5"/>
  <c r="N168" i="5"/>
  <c r="N178" i="5"/>
  <c r="N188" i="5"/>
  <c r="N198" i="5"/>
  <c r="N208" i="5"/>
  <c r="N218" i="5"/>
  <c r="N228" i="5"/>
  <c r="N251" i="5"/>
  <c r="N286" i="5"/>
  <c r="N325" i="5"/>
  <c r="N365" i="5"/>
  <c r="N405" i="5"/>
  <c r="N418" i="5"/>
  <c r="N433" i="5"/>
  <c r="N447" i="5"/>
  <c r="N476" i="5"/>
  <c r="N505" i="5"/>
  <c r="N518" i="5"/>
  <c r="N533" i="5"/>
  <c r="N547" i="5"/>
  <c r="N562" i="5"/>
  <c r="N672" i="5"/>
  <c r="N690" i="5"/>
  <c r="N707" i="5"/>
  <c r="N837" i="5"/>
  <c r="N884" i="5"/>
  <c r="N935" i="5"/>
  <c r="N988" i="5"/>
  <c r="N1039" i="5"/>
  <c r="N1063" i="5"/>
  <c r="N1115" i="5"/>
  <c r="N1200" i="5"/>
  <c r="N1265" i="5"/>
  <c r="N1363" i="5"/>
  <c r="N1393" i="5"/>
  <c r="N1459" i="5"/>
  <c r="N1493" i="5"/>
  <c r="N1525" i="5"/>
  <c r="N1589" i="5"/>
  <c r="N1653" i="5"/>
  <c r="N1686" i="5"/>
  <c r="N1720" i="5"/>
  <c r="N1749" i="5"/>
  <c r="N1896" i="5"/>
  <c r="N1936" i="5"/>
  <c r="N263" i="5"/>
  <c r="N275" i="5"/>
  <c r="N298" i="5"/>
  <c r="N312" i="5"/>
  <c r="N338" i="5"/>
  <c r="N352" i="5"/>
  <c r="N378" i="5"/>
  <c r="N392" i="5"/>
  <c r="N563" i="5"/>
  <c r="N578" i="5"/>
  <c r="N609" i="5"/>
  <c r="N623" i="5"/>
  <c r="N641" i="5"/>
  <c r="N656" i="5"/>
  <c r="N673" i="5"/>
  <c r="N708" i="5"/>
  <c r="N728" i="5"/>
  <c r="N768" i="5"/>
  <c r="N813" i="5"/>
  <c r="N861" i="5"/>
  <c r="N887" i="5"/>
  <c r="N909" i="5"/>
  <c r="N937" i="5"/>
  <c r="N1064" i="5"/>
  <c r="N1091" i="5"/>
  <c r="N1143" i="5"/>
  <c r="N1170" i="5"/>
  <c r="N1238" i="5"/>
  <c r="N1266" i="5"/>
  <c r="N1301" i="5"/>
  <c r="N1331" i="5"/>
  <c r="N1365" i="5"/>
  <c r="N1396" i="5"/>
  <c r="N1495" i="5"/>
  <c r="N1526" i="5"/>
  <c r="N1590" i="5"/>
  <c r="N1623" i="5"/>
  <c r="N1721" i="5"/>
  <c r="N1751" i="5"/>
  <c r="N1790" i="5"/>
  <c r="N1861" i="5"/>
  <c r="N1937" i="5"/>
  <c r="N99" i="5"/>
  <c r="N109" i="5"/>
  <c r="N119" i="5"/>
  <c r="N129" i="5"/>
  <c r="N139" i="5"/>
  <c r="N149" i="5"/>
  <c r="N159" i="5"/>
  <c r="N169" i="5"/>
  <c r="N179" i="5"/>
  <c r="N189" i="5"/>
  <c r="N199" i="5"/>
  <c r="N209" i="5"/>
  <c r="N219" i="5"/>
  <c r="N229" i="5"/>
  <c r="N252" i="5"/>
  <c r="N264" i="5"/>
  <c r="N287" i="5"/>
  <c r="N326" i="5"/>
  <c r="N366" i="5"/>
  <c r="N406" i="5"/>
  <c r="N435" i="5"/>
  <c r="N448" i="5"/>
  <c r="N463" i="5"/>
  <c r="N477" i="5"/>
  <c r="N506" i="5"/>
  <c r="N535" i="5"/>
  <c r="N548" i="5"/>
  <c r="N691" i="5"/>
  <c r="N729" i="5"/>
  <c r="N938" i="5"/>
  <c r="N1066" i="5"/>
  <c r="N1092" i="5"/>
  <c r="N1119" i="5"/>
  <c r="N1173" i="5"/>
  <c r="N1201" i="5"/>
  <c r="N1366" i="5"/>
  <c r="N1463" i="5"/>
  <c r="N1596" i="5"/>
  <c r="N1625" i="5"/>
  <c r="N1658" i="5"/>
  <c r="N1723" i="5"/>
  <c r="N1755" i="5"/>
  <c r="N1978" i="5"/>
  <c r="N241" i="5"/>
  <c r="N276" i="5"/>
  <c r="N313" i="5"/>
  <c r="N353" i="5"/>
  <c r="N393" i="5"/>
  <c r="N579" i="5"/>
  <c r="N610" i="5"/>
  <c r="N626" i="5"/>
  <c r="N642" i="5"/>
  <c r="N657" i="5"/>
  <c r="N676" i="5"/>
  <c r="N750" i="5"/>
  <c r="N770" i="5"/>
  <c r="N814" i="5"/>
  <c r="N888" i="5"/>
  <c r="N939" i="5"/>
  <c r="N964" i="5"/>
  <c r="N991" i="5"/>
  <c r="N1016" i="5"/>
  <c r="N1041" i="5"/>
  <c r="N1093" i="5"/>
  <c r="N1144" i="5"/>
  <c r="N1203" i="5"/>
  <c r="N1240" i="5"/>
  <c r="N1335" i="5"/>
  <c r="N1400" i="5"/>
  <c r="N1465" i="5"/>
  <c r="N1496" i="5"/>
  <c r="N1560" i="5"/>
  <c r="N1626" i="5"/>
  <c r="N1689" i="5"/>
  <c r="N1725" i="5"/>
  <c r="N1758" i="5"/>
  <c r="N1791" i="5"/>
  <c r="N1905" i="5"/>
  <c r="N100" i="5"/>
  <c r="N110" i="5"/>
  <c r="N120" i="5"/>
  <c r="N130" i="5"/>
  <c r="N140" i="5"/>
  <c r="N150" i="5"/>
  <c r="N160" i="5"/>
  <c r="N170" i="5"/>
  <c r="N180" i="5"/>
  <c r="N190" i="5"/>
  <c r="N200" i="5"/>
  <c r="N210" i="5"/>
  <c r="N220" i="5"/>
  <c r="N230" i="5"/>
  <c r="N253" i="5"/>
  <c r="N265" i="5"/>
  <c r="N288" i="5"/>
  <c r="N327" i="5"/>
  <c r="N367" i="5"/>
  <c r="N407" i="5"/>
  <c r="N436" i="5"/>
  <c r="N465" i="5"/>
  <c r="N478" i="5"/>
  <c r="N493" i="5"/>
  <c r="N507" i="5"/>
  <c r="N536" i="5"/>
  <c r="N566" i="5"/>
  <c r="N627" i="5"/>
  <c r="N658" i="5"/>
  <c r="N692" i="5"/>
  <c r="N711" i="5"/>
  <c r="N730" i="5"/>
  <c r="N752" i="5"/>
  <c r="N793" i="5"/>
  <c r="N815" i="5"/>
  <c r="N841" i="5"/>
  <c r="N913" i="5"/>
  <c r="N967" i="5"/>
  <c r="N1017" i="5"/>
  <c r="N1072" i="5"/>
  <c r="N1122" i="5"/>
  <c r="N1145" i="5"/>
  <c r="N1303" i="5"/>
  <c r="N1337" i="5"/>
  <c r="N1369" i="5"/>
  <c r="N1433" i="5"/>
  <c r="N1597" i="5"/>
  <c r="N1627" i="5"/>
  <c r="N1660" i="5"/>
  <c r="N1759" i="5"/>
  <c r="N1829" i="5"/>
  <c r="N1908" i="5"/>
  <c r="N1986" i="5"/>
  <c r="N242" i="5"/>
  <c r="N254" i="5"/>
  <c r="N277" i="5"/>
  <c r="N315" i="5"/>
  <c r="N355" i="5"/>
  <c r="N395" i="5"/>
  <c r="N580" i="5"/>
  <c r="N597" i="5"/>
  <c r="N611" i="5"/>
  <c r="N628" i="5"/>
  <c r="N643" i="5"/>
  <c r="N677" i="5"/>
  <c r="N713" i="5"/>
  <c r="N817" i="5"/>
  <c r="N915" i="5"/>
  <c r="N941" i="5"/>
  <c r="N992" i="5"/>
  <c r="N1096" i="5"/>
  <c r="N1147" i="5"/>
  <c r="N1209" i="5"/>
  <c r="N1275" i="5"/>
  <c r="N1338" i="5"/>
  <c r="N1370" i="5"/>
  <c r="N1435" i="5"/>
  <c r="N1469" i="5"/>
  <c r="N1536" i="5"/>
  <c r="N1598" i="5"/>
  <c r="N1628" i="5"/>
  <c r="N1661" i="5"/>
  <c r="N1727" i="5"/>
  <c r="N1795" i="5"/>
  <c r="N101" i="5"/>
  <c r="N111" i="5"/>
  <c r="N121" i="5"/>
  <c r="N131" i="5"/>
  <c r="N141" i="5"/>
  <c r="N151" i="5"/>
  <c r="N161" i="5"/>
  <c r="N171" i="5"/>
  <c r="N181" i="5"/>
  <c r="N191" i="5"/>
  <c r="N201" i="5"/>
  <c r="N211" i="5"/>
  <c r="N221" i="5"/>
  <c r="N231" i="5"/>
  <c r="N266" i="5"/>
  <c r="N302" i="5"/>
  <c r="N328" i="5"/>
  <c r="N342" i="5"/>
  <c r="N368" i="5"/>
  <c r="N382" i="5"/>
  <c r="N408" i="5"/>
  <c r="N423" i="5"/>
  <c r="N437" i="5"/>
  <c r="N466" i="5"/>
  <c r="N495" i="5"/>
  <c r="N508" i="5"/>
  <c r="N523" i="5"/>
  <c r="N537" i="5"/>
  <c r="N567" i="5"/>
  <c r="N581" i="5"/>
  <c r="N753" i="5"/>
  <c r="N794" i="5"/>
  <c r="N818" i="5"/>
  <c r="N891" i="5"/>
  <c r="N917" i="5"/>
  <c r="N1073" i="5"/>
  <c r="N1123" i="5"/>
  <c r="N1243" i="5"/>
  <c r="N1345" i="5"/>
  <c r="N1407" i="5"/>
  <c r="N1470" i="5"/>
  <c r="N1697" i="5"/>
  <c r="N1837" i="5"/>
  <c r="N1870" i="5"/>
  <c r="N1909" i="5"/>
  <c r="N1991" i="5"/>
  <c r="N243" i="5"/>
  <c r="N255" i="5"/>
  <c r="N278" i="5"/>
  <c r="N316" i="5"/>
  <c r="N356" i="5"/>
  <c r="N396" i="5"/>
  <c r="N582" i="5"/>
  <c r="N598" i="5"/>
  <c r="N612" i="5"/>
  <c r="N630" i="5"/>
  <c r="N678" i="5"/>
  <c r="N795" i="5"/>
  <c r="N892" i="5"/>
  <c r="N943" i="5"/>
  <c r="N1047" i="5"/>
  <c r="N1151" i="5"/>
  <c r="N1245" i="5"/>
  <c r="N1375" i="5"/>
  <c r="N1471" i="5"/>
  <c r="N1537" i="5"/>
  <c r="N1599" i="5"/>
  <c r="N1665" i="5"/>
  <c r="N1728" i="5"/>
  <c r="N1875" i="5"/>
  <c r="N874" i="5"/>
  <c r="N1054" i="5"/>
  <c r="N102" i="5"/>
  <c r="N112" i="5"/>
  <c r="N122" i="5"/>
  <c r="N132" i="5"/>
  <c r="N142" i="5"/>
  <c r="N152" i="5"/>
  <c r="N162" i="5"/>
  <c r="N172" i="5"/>
  <c r="N182" i="5"/>
  <c r="N192" i="5"/>
  <c r="N202" i="5"/>
  <c r="N212" i="5"/>
  <c r="N222" i="5"/>
  <c r="N232" i="5"/>
  <c r="N244" i="5"/>
  <c r="N267" i="5"/>
  <c r="N291" i="5"/>
  <c r="N303" i="5"/>
  <c r="N343" i="5"/>
  <c r="N383" i="5"/>
  <c r="N425" i="5"/>
  <c r="N438" i="5"/>
  <c r="N453" i="5"/>
  <c r="N467" i="5"/>
  <c r="N496" i="5"/>
  <c r="N525" i="5"/>
  <c r="N538" i="5"/>
  <c r="N553" i="5"/>
  <c r="N568" i="5"/>
  <c r="N583" i="5"/>
  <c r="N613" i="5"/>
  <c r="N662" i="5"/>
  <c r="N679" i="5"/>
  <c r="N697" i="5"/>
  <c r="N797" i="5"/>
  <c r="N872" i="5"/>
  <c r="N921" i="5"/>
  <c r="N944" i="5"/>
  <c r="N971" i="5"/>
  <c r="N995" i="5"/>
  <c r="N1023" i="5"/>
  <c r="N1049" i="5"/>
  <c r="N1074" i="5"/>
  <c r="N1152" i="5"/>
  <c r="N1216" i="5"/>
  <c r="N1310" i="5"/>
  <c r="N1346" i="5"/>
  <c r="N1376" i="5"/>
  <c r="N1408" i="5"/>
  <c r="N1439" i="5"/>
  <c r="N1473" i="5"/>
  <c r="N1507" i="5"/>
  <c r="N1569" i="5"/>
  <c r="N1638" i="5"/>
  <c r="N1700" i="5"/>
  <c r="N1800" i="5"/>
  <c r="N1995" i="5"/>
  <c r="N923" i="5"/>
  <c r="N1478" i="5"/>
  <c r="N256" i="5"/>
  <c r="N317" i="5"/>
  <c r="N357" i="5"/>
  <c r="N397" i="5"/>
  <c r="N584" i="5"/>
  <c r="N599" i="5"/>
  <c r="N631" i="5"/>
  <c r="N646" i="5"/>
  <c r="N698" i="5"/>
  <c r="N798" i="5"/>
  <c r="N845" i="5"/>
  <c r="N945" i="5"/>
  <c r="N972" i="5"/>
  <c r="N998" i="5"/>
  <c r="N1126" i="5"/>
  <c r="N1155" i="5"/>
  <c r="N1377" i="5"/>
  <c r="N1475" i="5"/>
  <c r="N1538" i="5"/>
  <c r="N1573" i="5"/>
  <c r="N1731" i="5"/>
  <c r="N1805" i="5"/>
  <c r="N827" i="5"/>
  <c r="N975" i="5"/>
  <c r="N1078" i="5"/>
  <c r="N1220" i="5"/>
  <c r="N1386" i="5"/>
  <c r="N103" i="5"/>
  <c r="N113" i="5"/>
  <c r="N123" i="5"/>
  <c r="N133" i="5"/>
  <c r="N143" i="5"/>
  <c r="N153" i="5"/>
  <c r="N163" i="5"/>
  <c r="N173" i="5"/>
  <c r="N183" i="5"/>
  <c r="N193" i="5"/>
  <c r="N203" i="5"/>
  <c r="N213" i="5"/>
  <c r="N223" i="5"/>
  <c r="N233" i="5"/>
  <c r="N245" i="5"/>
  <c r="N268" i="5"/>
  <c r="N292" i="5"/>
  <c r="N305" i="5"/>
  <c r="N345" i="5"/>
  <c r="N385" i="5"/>
  <c r="N426" i="5"/>
  <c r="N455" i="5"/>
  <c r="N468" i="5"/>
  <c r="N483" i="5"/>
  <c r="N497" i="5"/>
  <c r="N526" i="5"/>
  <c r="N569" i="5"/>
  <c r="N616" i="5"/>
  <c r="N647" i="5"/>
  <c r="N680" i="5"/>
  <c r="N699" i="5"/>
  <c r="N717" i="5"/>
  <c r="N825" i="5"/>
  <c r="N847" i="5"/>
  <c r="N873" i="5"/>
  <c r="N896" i="5"/>
  <c r="N922" i="5"/>
  <c r="N947" i="5"/>
  <c r="N973" i="5"/>
  <c r="N1025" i="5"/>
  <c r="N1051" i="5"/>
  <c r="N1075" i="5"/>
  <c r="N1156" i="5"/>
  <c r="N1185" i="5"/>
  <c r="N1347" i="5"/>
  <c r="N1378" i="5"/>
  <c r="N1410" i="5"/>
  <c r="N1445" i="5"/>
  <c r="N1510" i="5"/>
  <c r="N1603" i="5"/>
  <c r="N1639" i="5"/>
  <c r="N1701" i="5"/>
  <c r="N1733" i="5"/>
  <c r="N1769" i="5"/>
  <c r="N1807" i="5"/>
  <c r="N1841" i="5"/>
  <c r="N1878" i="5"/>
  <c r="N1915" i="5"/>
  <c r="N1958" i="5"/>
  <c r="N1996" i="5"/>
  <c r="N740" i="5"/>
  <c r="N1027" i="5"/>
  <c r="N1449" i="5"/>
  <c r="N234" i="5"/>
  <c r="N257" i="5"/>
  <c r="N281" i="5"/>
  <c r="N318" i="5"/>
  <c r="N332" i="5"/>
  <c r="N358" i="5"/>
  <c r="N372" i="5"/>
  <c r="N398" i="5"/>
  <c r="N556" i="5"/>
  <c r="N600" i="5"/>
  <c r="N617" i="5"/>
  <c r="N632" i="5"/>
  <c r="N648" i="5"/>
  <c r="N757" i="5"/>
  <c r="N780" i="5"/>
  <c r="N826" i="5"/>
  <c r="N849" i="5"/>
  <c r="N974" i="5"/>
  <c r="N1026" i="5"/>
  <c r="N1053" i="5"/>
  <c r="N1076" i="5"/>
  <c r="N1105" i="5"/>
  <c r="N1129" i="5"/>
  <c r="N1157" i="5"/>
  <c r="N1219" i="5"/>
  <c r="N1286" i="5"/>
  <c r="N1348" i="5"/>
  <c r="N1411" i="5"/>
  <c r="N1477" i="5"/>
  <c r="N1607" i="5"/>
  <c r="N1737" i="5"/>
  <c r="N1770" i="5"/>
  <c r="N1916" i="5"/>
  <c r="N301" i="5"/>
  <c r="N311" i="5"/>
  <c r="N321" i="5"/>
  <c r="N331" i="5"/>
  <c r="N341" i="5"/>
  <c r="N351" i="5"/>
  <c r="N361" i="5"/>
  <c r="N371" i="5"/>
  <c r="N381" i="5"/>
  <c r="N391" i="5"/>
  <c r="N401" i="5"/>
  <c r="N411" i="5"/>
  <c r="N421" i="5"/>
  <c r="N431" i="5"/>
  <c r="N441" i="5"/>
  <c r="N451" i="5"/>
  <c r="N461" i="5"/>
  <c r="N471" i="5"/>
  <c r="N481" i="5"/>
  <c r="N491" i="5"/>
  <c r="N501" i="5"/>
  <c r="N511" i="5"/>
  <c r="N521" i="5"/>
  <c r="N531" i="5"/>
  <c r="N541" i="5"/>
  <c r="N551" i="5"/>
  <c r="N572" i="5"/>
  <c r="N593" i="5"/>
  <c r="N660" i="5"/>
  <c r="N683" i="5"/>
  <c r="N709" i="5"/>
  <c r="N721" i="5"/>
  <c r="N733" i="5"/>
  <c r="N747" i="5"/>
  <c r="N773" i="5"/>
  <c r="N787" i="5"/>
  <c r="N864" i="5"/>
  <c r="N881" i="5"/>
  <c r="N897" i="5"/>
  <c r="N912" i="5"/>
  <c r="N931" i="5"/>
  <c r="N946" i="5"/>
  <c r="N997" i="5"/>
  <c r="N1014" i="5"/>
  <c r="N1098" i="5"/>
  <c r="N1114" i="5"/>
  <c r="N1132" i="5"/>
  <c r="N1187" i="5"/>
  <c r="N1271" i="5"/>
  <c r="N1290" i="5"/>
  <c r="N1315" i="5"/>
  <c r="N1333" i="5"/>
  <c r="N1397" i="5"/>
  <c r="N1419" i="5"/>
  <c r="N1438" i="5"/>
  <c r="N1461" i="5"/>
  <c r="N1523" i="5"/>
  <c r="N1545" i="5"/>
  <c r="N1566" i="5"/>
  <c r="N1586" i="5"/>
  <c r="N1670" i="5"/>
  <c r="N1690" i="5"/>
  <c r="N1801" i="5"/>
  <c r="N1849" i="5"/>
  <c r="N1876" i="5"/>
  <c r="N1946" i="5"/>
  <c r="N1976" i="5"/>
  <c r="N412" i="5"/>
  <c r="N422" i="5"/>
  <c r="N432" i="5"/>
  <c r="N442" i="5"/>
  <c r="N452" i="5"/>
  <c r="N462" i="5"/>
  <c r="N472" i="5"/>
  <c r="N482" i="5"/>
  <c r="N492" i="5"/>
  <c r="N502" i="5"/>
  <c r="N512" i="5"/>
  <c r="N522" i="5"/>
  <c r="N532" i="5"/>
  <c r="N542" i="5"/>
  <c r="N552" i="5"/>
  <c r="N573" i="5"/>
  <c r="N594" i="5"/>
  <c r="N661" i="5"/>
  <c r="N710" i="5"/>
  <c r="N722" i="5"/>
  <c r="N748" i="5"/>
  <c r="N788" i="5"/>
  <c r="N819" i="5"/>
  <c r="N851" i="5"/>
  <c r="N866" i="5"/>
  <c r="N882" i="5"/>
  <c r="N898" i="5"/>
  <c r="N914" i="5"/>
  <c r="N932" i="5"/>
  <c r="N966" i="5"/>
  <c r="N999" i="5"/>
  <c r="N1015" i="5"/>
  <c r="N1032" i="5"/>
  <c r="N1099" i="5"/>
  <c r="N1117" i="5"/>
  <c r="N1133" i="5"/>
  <c r="N1169" i="5"/>
  <c r="N1188" i="5"/>
  <c r="N1211" i="5"/>
  <c r="N1273" i="5"/>
  <c r="N1295" i="5"/>
  <c r="N1316" i="5"/>
  <c r="N1336" i="5"/>
  <c r="N1420" i="5"/>
  <c r="N1440" i="5"/>
  <c r="N1547" i="5"/>
  <c r="N1588" i="5"/>
  <c r="N1610" i="5"/>
  <c r="N1671" i="5"/>
  <c r="N1695" i="5"/>
  <c r="N1715" i="5"/>
  <c r="N1736" i="5"/>
  <c r="N1828" i="5"/>
  <c r="N1851" i="5"/>
  <c r="N1877" i="5"/>
  <c r="N1977" i="5"/>
  <c r="N564" i="5"/>
  <c r="N596" i="5"/>
  <c r="N607" i="5"/>
  <c r="N618" i="5"/>
  <c r="N629" i="5"/>
  <c r="N640" i="5"/>
  <c r="N651" i="5"/>
  <c r="N687" i="5"/>
  <c r="N737" i="5"/>
  <c r="N763" i="5"/>
  <c r="N777" i="5"/>
  <c r="N791" i="5"/>
  <c r="N805" i="5"/>
  <c r="N822" i="5"/>
  <c r="N838" i="5"/>
  <c r="N869" i="5"/>
  <c r="N951" i="5"/>
  <c r="N968" i="5"/>
  <c r="N1002" i="5"/>
  <c r="N1085" i="5"/>
  <c r="N1213" i="5"/>
  <c r="N1233" i="5"/>
  <c r="N1257" i="5"/>
  <c r="N1276" i="5"/>
  <c r="N1298" i="5"/>
  <c r="N1339" i="5"/>
  <c r="N1487" i="5"/>
  <c r="N1508" i="5"/>
  <c r="N1550" i="5"/>
  <c r="N1633" i="5"/>
  <c r="N1698" i="5"/>
  <c r="N1760" i="5"/>
  <c r="N1808" i="5"/>
  <c r="N1830" i="5"/>
  <c r="N1928" i="5"/>
  <c r="N304" i="5"/>
  <c r="N314" i="5"/>
  <c r="N324" i="5"/>
  <c r="N334" i="5"/>
  <c r="N344" i="5"/>
  <c r="N354" i="5"/>
  <c r="N364" i="5"/>
  <c r="N374" i="5"/>
  <c r="N384" i="5"/>
  <c r="N394" i="5"/>
  <c r="N404" i="5"/>
  <c r="N414" i="5"/>
  <c r="N424" i="5"/>
  <c r="N434" i="5"/>
  <c r="N444" i="5"/>
  <c r="N454" i="5"/>
  <c r="N464" i="5"/>
  <c r="N474" i="5"/>
  <c r="N484" i="5"/>
  <c r="N494" i="5"/>
  <c r="N504" i="5"/>
  <c r="N514" i="5"/>
  <c r="N524" i="5"/>
  <c r="N534" i="5"/>
  <c r="N544" i="5"/>
  <c r="N554" i="5"/>
  <c r="N586" i="5"/>
  <c r="N663" i="5"/>
  <c r="N700" i="5"/>
  <c r="N712" i="5"/>
  <c r="N751" i="5"/>
  <c r="N806" i="5"/>
  <c r="N853" i="5"/>
  <c r="N885" i="5"/>
  <c r="N919" i="5"/>
  <c r="N934" i="5"/>
  <c r="N952" i="5"/>
  <c r="N1018" i="5"/>
  <c r="N1037" i="5"/>
  <c r="N1052" i="5"/>
  <c r="N1086" i="5"/>
  <c r="N1135" i="5"/>
  <c r="N1154" i="5"/>
  <c r="N1171" i="5"/>
  <c r="N1195" i="5"/>
  <c r="N1215" i="5"/>
  <c r="N1236" i="5"/>
  <c r="N1319" i="5"/>
  <c r="N1340" i="5"/>
  <c r="N1361" i="5"/>
  <c r="N1403" i="5"/>
  <c r="N1423" i="5"/>
  <c r="N1447" i="5"/>
  <c r="N1466" i="5"/>
  <c r="N1488" i="5"/>
  <c r="N1570" i="5"/>
  <c r="N1595" i="5"/>
  <c r="N1636" i="5"/>
  <c r="N1740" i="5"/>
  <c r="N1761" i="5"/>
  <c r="N1858" i="5"/>
  <c r="N1879" i="5"/>
  <c r="N1907" i="5"/>
  <c r="N1979" i="5"/>
  <c r="N738" i="5"/>
  <c r="N778" i="5"/>
  <c r="N792" i="5"/>
  <c r="N823" i="5"/>
  <c r="N839" i="5"/>
  <c r="N854" i="5"/>
  <c r="N886" i="5"/>
  <c r="N969" i="5"/>
  <c r="N986" i="5"/>
  <c r="N1003" i="5"/>
  <c r="N1019" i="5"/>
  <c r="N1087" i="5"/>
  <c r="N1121" i="5"/>
  <c r="N1137" i="5"/>
  <c r="N1237" i="5"/>
  <c r="N1258" i="5"/>
  <c r="N1300" i="5"/>
  <c r="N1383" i="5"/>
  <c r="N1448" i="5"/>
  <c r="N1509" i="5"/>
  <c r="N1551" i="5"/>
  <c r="N1571" i="5"/>
  <c r="N1613" i="5"/>
  <c r="N1657" i="5"/>
  <c r="N1699" i="5"/>
  <c r="N1719" i="5"/>
  <c r="N1787" i="5"/>
  <c r="N1809" i="5"/>
  <c r="N1880" i="5"/>
  <c r="N1929" i="5"/>
  <c r="N1980" i="5"/>
  <c r="N239" i="5"/>
  <c r="N249" i="5"/>
  <c r="N259" i="5"/>
  <c r="N269" i="5"/>
  <c r="N279" i="5"/>
  <c r="N289" i="5"/>
  <c r="N299" i="5"/>
  <c r="N309" i="5"/>
  <c r="N319" i="5"/>
  <c r="N329" i="5"/>
  <c r="N339" i="5"/>
  <c r="N349" i="5"/>
  <c r="N359" i="5"/>
  <c r="N369" i="5"/>
  <c r="N379" i="5"/>
  <c r="N389" i="5"/>
  <c r="N399" i="5"/>
  <c r="N409" i="5"/>
  <c r="N419" i="5"/>
  <c r="N429" i="5"/>
  <c r="N439" i="5"/>
  <c r="N449" i="5"/>
  <c r="N459" i="5"/>
  <c r="N469" i="5"/>
  <c r="N479" i="5"/>
  <c r="N489" i="5"/>
  <c r="N499" i="5"/>
  <c r="N509" i="5"/>
  <c r="N519" i="5"/>
  <c r="N529" i="5"/>
  <c r="N539" i="5"/>
  <c r="N549" i="5"/>
  <c r="N570" i="5"/>
  <c r="N591" i="5"/>
  <c r="N681" i="5"/>
  <c r="N693" i="5"/>
  <c r="N719" i="5"/>
  <c r="N731" i="5"/>
  <c r="N771" i="5"/>
  <c r="N799" i="5"/>
  <c r="N846" i="5"/>
  <c r="N862" i="5"/>
  <c r="N877" i="5"/>
  <c r="N893" i="5"/>
  <c r="N926" i="5"/>
  <c r="N959" i="5"/>
  <c r="N978" i="5"/>
  <c r="N993" i="5"/>
  <c r="N1011" i="5"/>
  <c r="N1077" i="5"/>
  <c r="N1095" i="5"/>
  <c r="N1111" i="5"/>
  <c r="N1183" i="5"/>
  <c r="N1246" i="5"/>
  <c r="N1288" i="5"/>
  <c r="N1373" i="5"/>
  <c r="N1415" i="5"/>
  <c r="N1436" i="5"/>
  <c r="N1497" i="5"/>
  <c r="N1520" i="5"/>
  <c r="N1539" i="5"/>
  <c r="N1561" i="5"/>
  <c r="N1645" i="5"/>
  <c r="N1687" i="5"/>
  <c r="N1750" i="5"/>
  <c r="N1775" i="5"/>
  <c r="N1796" i="5"/>
  <c r="N1821" i="5"/>
  <c r="N1917" i="5"/>
  <c r="N1941" i="5"/>
  <c r="N1967" i="5"/>
  <c r="N240" i="5"/>
  <c r="N250" i="5"/>
  <c r="N260" i="5"/>
  <c r="N270" i="5"/>
  <c r="N280" i="5"/>
  <c r="N290" i="5"/>
  <c r="N300" i="5"/>
  <c r="N310" i="5"/>
  <c r="N320" i="5"/>
  <c r="N330" i="5"/>
  <c r="N340" i="5"/>
  <c r="N350" i="5"/>
  <c r="N360" i="5"/>
  <c r="N370" i="5"/>
  <c r="N380" i="5"/>
  <c r="N390" i="5"/>
  <c r="N400" i="5"/>
  <c r="N410" i="5"/>
  <c r="N420" i="5"/>
  <c r="N430" i="5"/>
  <c r="N440" i="5"/>
  <c r="N450" i="5"/>
  <c r="N460" i="5"/>
  <c r="N470" i="5"/>
  <c r="N480" i="5"/>
  <c r="N490" i="5"/>
  <c r="N500" i="5"/>
  <c r="N510" i="5"/>
  <c r="N520" i="5"/>
  <c r="N530" i="5"/>
  <c r="N540" i="5"/>
  <c r="N550" i="5"/>
  <c r="N571" i="5"/>
  <c r="N592" i="5"/>
  <c r="N659" i="5"/>
  <c r="N682" i="5"/>
  <c r="N720" i="5"/>
  <c r="N732" i="5"/>
  <c r="N772" i="5"/>
  <c r="N816" i="5"/>
  <c r="N832" i="5"/>
  <c r="N863" i="5"/>
  <c r="N879" i="5"/>
  <c r="N895" i="5"/>
  <c r="N911" i="5"/>
  <c r="N979" i="5"/>
  <c r="N994" i="5"/>
  <c r="N1013" i="5"/>
  <c r="N1046" i="5"/>
  <c r="N1079" i="5"/>
  <c r="N1097" i="5"/>
  <c r="N1112" i="5"/>
  <c r="N1131" i="5"/>
  <c r="N1146" i="5"/>
  <c r="N1165" i="5"/>
  <c r="N1186" i="5"/>
  <c r="N1247" i="5"/>
  <c r="N1270" i="5"/>
  <c r="N1289" i="5"/>
  <c r="N1311" i="5"/>
  <c r="N1395" i="5"/>
  <c r="N1437" i="5"/>
  <c r="N1521" i="5"/>
  <c r="N1540" i="5"/>
  <c r="N1565" i="5"/>
  <c r="N1583" i="5"/>
  <c r="N1647" i="5"/>
  <c r="N1669" i="5"/>
  <c r="N1688" i="5"/>
  <c r="N1711" i="5"/>
  <c r="N1799" i="5"/>
  <c r="N1825" i="5"/>
  <c r="N1847" i="5"/>
  <c r="N1945" i="5"/>
  <c r="N1970" i="5"/>
  <c r="N686" i="5"/>
  <c r="N696" i="5"/>
  <c r="N706" i="5"/>
  <c r="N716" i="5"/>
  <c r="N726" i="5"/>
  <c r="N736" i="5"/>
  <c r="N746" i="5"/>
  <c r="N756" i="5"/>
  <c r="N766" i="5"/>
  <c r="N776" i="5"/>
  <c r="N786" i="5"/>
  <c r="N809" i="5"/>
  <c r="N821" i="5"/>
  <c r="N844" i="5"/>
  <c r="N856" i="5"/>
  <c r="N868" i="5"/>
  <c r="N903" i="5"/>
  <c r="N927" i="5"/>
  <c r="N962" i="5"/>
  <c r="N985" i="5"/>
  <c r="N1009" i="5"/>
  <c r="N1021" i="5"/>
  <c r="N1044" i="5"/>
  <c r="N1056" i="5"/>
  <c r="N1068" i="5"/>
  <c r="N1103" i="5"/>
  <c r="N1127" i="5"/>
  <c r="N1177" i="5"/>
  <c r="N1207" i="5"/>
  <c r="N1250" i="5"/>
  <c r="N1309" i="5"/>
  <c r="N1325" i="5"/>
  <c r="N1398" i="5"/>
  <c r="N1427" i="5"/>
  <c r="N1457" i="5"/>
  <c r="N1500" i="5"/>
  <c r="N1559" i="5"/>
  <c r="N1575" i="5"/>
  <c r="N1648" i="5"/>
  <c r="N1677" i="5"/>
  <c r="N1707" i="5"/>
  <c r="N1767" i="5"/>
  <c r="N1817" i="5"/>
  <c r="N1835" i="5"/>
  <c r="N1867" i="5"/>
  <c r="N1900" i="5"/>
  <c r="N1918" i="5"/>
  <c r="N1950" i="5"/>
  <c r="N1987" i="5"/>
  <c r="N904" i="5"/>
  <c r="N916" i="5"/>
  <c r="N928" i="5"/>
  <c r="N963" i="5"/>
  <c r="N987" i="5"/>
  <c r="N1022" i="5"/>
  <c r="N1045" i="5"/>
  <c r="N1069" i="5"/>
  <c r="N1081" i="5"/>
  <c r="N1104" i="5"/>
  <c r="N1116" i="5"/>
  <c r="N1128" i="5"/>
  <c r="N1164" i="5"/>
  <c r="N1178" i="5"/>
  <c r="N1193" i="5"/>
  <c r="N1208" i="5"/>
  <c r="N1251" i="5"/>
  <c r="N1281" i="5"/>
  <c r="N1326" i="5"/>
  <c r="N1385" i="5"/>
  <c r="N1399" i="5"/>
  <c r="N1413" i="5"/>
  <c r="N1428" i="5"/>
  <c r="N1443" i="5"/>
  <c r="N1458" i="5"/>
  <c r="N1501" i="5"/>
  <c r="N1531" i="5"/>
  <c r="N1576" i="5"/>
  <c r="N1635" i="5"/>
  <c r="N1649" i="5"/>
  <c r="N1663" i="5"/>
  <c r="N1678" i="5"/>
  <c r="N1693" i="5"/>
  <c r="N1708" i="5"/>
  <c r="N1768" i="5"/>
  <c r="N1786" i="5"/>
  <c r="N1836" i="5"/>
  <c r="N1901" i="5"/>
  <c r="N1919" i="5"/>
  <c r="N1951" i="5"/>
  <c r="N1988" i="5"/>
  <c r="N1989" i="5"/>
  <c r="N812" i="5"/>
  <c r="N835" i="5"/>
  <c r="N859" i="5"/>
  <c r="N871" i="5"/>
  <c r="N894" i="5"/>
  <c r="N906" i="5"/>
  <c r="N918" i="5"/>
  <c r="N953" i="5"/>
  <c r="N977" i="5"/>
  <c r="N1012" i="5"/>
  <c r="N1035" i="5"/>
  <c r="N1059" i="5"/>
  <c r="N1071" i="5"/>
  <c r="N1094" i="5"/>
  <c r="N1106" i="5"/>
  <c r="N1118" i="5"/>
  <c r="N1153" i="5"/>
  <c r="N1166" i="5"/>
  <c r="N1196" i="5"/>
  <c r="N1210" i="5"/>
  <c r="N1239" i="5"/>
  <c r="N1253" i="5"/>
  <c r="N1269" i="5"/>
  <c r="N1283" i="5"/>
  <c r="N1371" i="5"/>
  <c r="N1387" i="5"/>
  <c r="N1416" i="5"/>
  <c r="N1446" i="5"/>
  <c r="N1460" i="5"/>
  <c r="N1489" i="5"/>
  <c r="N1503" i="5"/>
  <c r="N1519" i="5"/>
  <c r="N1533" i="5"/>
  <c r="N1621" i="5"/>
  <c r="N1637" i="5"/>
  <c r="N1666" i="5"/>
  <c r="N1696" i="5"/>
  <c r="N1710" i="5"/>
  <c r="N1739" i="5"/>
  <c r="N1820" i="5"/>
  <c r="N1888" i="5"/>
  <c r="N1906" i="5"/>
  <c r="N1938" i="5"/>
  <c r="N1990" i="5"/>
  <c r="N739" i="5"/>
  <c r="N749" i="5"/>
  <c r="N759" i="5"/>
  <c r="N769" i="5"/>
  <c r="N779" i="5"/>
  <c r="N789" i="5"/>
  <c r="N801" i="5"/>
  <c r="N824" i="5"/>
  <c r="N836" i="5"/>
  <c r="N848" i="5"/>
  <c r="N883" i="5"/>
  <c r="N907" i="5"/>
  <c r="N942" i="5"/>
  <c r="N965" i="5"/>
  <c r="N989" i="5"/>
  <c r="N1001" i="5"/>
  <c r="N1024" i="5"/>
  <c r="N1036" i="5"/>
  <c r="N1048" i="5"/>
  <c r="N1083" i="5"/>
  <c r="N1107" i="5"/>
  <c r="N1142" i="5"/>
  <c r="N1181" i="5"/>
  <c r="N1226" i="5"/>
  <c r="N1285" i="5"/>
  <c r="N1299" i="5"/>
  <c r="N1313" i="5"/>
  <c r="N1328" i="5"/>
  <c r="N1343" i="5"/>
  <c r="N1358" i="5"/>
  <c r="N1401" i="5"/>
  <c r="N1431" i="5"/>
  <c r="N1476" i="5"/>
  <c r="N1535" i="5"/>
  <c r="N1549" i="5"/>
  <c r="N1563" i="5"/>
  <c r="N1578" i="5"/>
  <c r="N1593" i="5"/>
  <c r="N1608" i="5"/>
  <c r="N1651" i="5"/>
  <c r="N1681" i="5"/>
  <c r="N1726" i="5"/>
  <c r="N1771" i="5"/>
  <c r="N1788" i="5"/>
  <c r="N1806" i="5"/>
  <c r="N1838" i="5"/>
  <c r="N1871" i="5"/>
  <c r="N1889" i="5"/>
  <c r="N1921" i="5"/>
  <c r="N1957" i="5"/>
  <c r="N1975" i="5"/>
  <c r="N1947" i="5"/>
  <c r="N1999" i="5"/>
  <c r="N604" i="5"/>
  <c r="N614" i="5"/>
  <c r="N624" i="5"/>
  <c r="N634" i="5"/>
  <c r="N644" i="5"/>
  <c r="N654" i="5"/>
  <c r="N664" i="5"/>
  <c r="N674" i="5"/>
  <c r="N684" i="5"/>
  <c r="N694" i="5"/>
  <c r="N704" i="5"/>
  <c r="N714" i="5"/>
  <c r="N724" i="5"/>
  <c r="N734" i="5"/>
  <c r="N744" i="5"/>
  <c r="N754" i="5"/>
  <c r="N764" i="5"/>
  <c r="N774" i="5"/>
  <c r="N784" i="5"/>
  <c r="N807" i="5"/>
  <c r="N842" i="5"/>
  <c r="N865" i="5"/>
  <c r="N889" i="5"/>
  <c r="N901" i="5"/>
  <c r="N924" i="5"/>
  <c r="N936" i="5"/>
  <c r="N948" i="5"/>
  <c r="N983" i="5"/>
  <c r="N1007" i="5"/>
  <c r="N1042" i="5"/>
  <c r="N1065" i="5"/>
  <c r="N1089" i="5"/>
  <c r="N1101" i="5"/>
  <c r="N1124" i="5"/>
  <c r="N1136" i="5"/>
  <c r="N1148" i="5"/>
  <c r="N1175" i="5"/>
  <c r="N1248" i="5"/>
  <c r="N1277" i="5"/>
  <c r="N1307" i="5"/>
  <c r="N1350" i="5"/>
  <c r="N1409" i="5"/>
  <c r="N1425" i="5"/>
  <c r="N1498" i="5"/>
  <c r="N1527" i="5"/>
  <c r="N1557" i="5"/>
  <c r="N1600" i="5"/>
  <c r="N1659" i="5"/>
  <c r="N1675" i="5"/>
  <c r="N1765" i="5"/>
  <c r="N1779" i="5"/>
  <c r="N1815" i="5"/>
  <c r="N1865" i="5"/>
  <c r="N1930" i="5"/>
  <c r="N1948" i="5"/>
  <c r="N2000" i="5"/>
  <c r="N555" i="5"/>
  <c r="N565" i="5"/>
  <c r="N575" i="5"/>
  <c r="N585" i="5"/>
  <c r="N595" i="5"/>
  <c r="N605" i="5"/>
  <c r="N615" i="5"/>
  <c r="N625" i="5"/>
  <c r="N635" i="5"/>
  <c r="N645" i="5"/>
  <c r="N655" i="5"/>
  <c r="N665" i="5"/>
  <c r="N675" i="5"/>
  <c r="N685" i="5"/>
  <c r="N695" i="5"/>
  <c r="N705" i="5"/>
  <c r="N715" i="5"/>
  <c r="N725" i="5"/>
  <c r="N735" i="5"/>
  <c r="N745" i="5"/>
  <c r="N755" i="5"/>
  <c r="N765" i="5"/>
  <c r="N775" i="5"/>
  <c r="N785" i="5"/>
  <c r="N796" i="5"/>
  <c r="N808" i="5"/>
  <c r="N843" i="5"/>
  <c r="N867" i="5"/>
  <c r="N902" i="5"/>
  <c r="N925" i="5"/>
  <c r="N949" i="5"/>
  <c r="N961" i="5"/>
  <c r="N984" i="5"/>
  <c r="N996" i="5"/>
  <c r="N1008" i="5"/>
  <c r="N1043" i="5"/>
  <c r="N1067" i="5"/>
  <c r="N1102" i="5"/>
  <c r="N1125" i="5"/>
  <c r="N1149" i="5"/>
  <c r="N1161" i="5"/>
  <c r="N1176" i="5"/>
  <c r="N1235" i="5"/>
  <c r="N1249" i="5"/>
  <c r="N1263" i="5"/>
  <c r="N1278" i="5"/>
  <c r="N1293" i="5"/>
  <c r="N1308" i="5"/>
  <c r="N1351" i="5"/>
  <c r="N1381" i="5"/>
  <c r="N1426" i="5"/>
  <c r="N1485" i="5"/>
  <c r="N1499" i="5"/>
  <c r="N1513" i="5"/>
  <c r="N1528" i="5"/>
  <c r="N1543" i="5"/>
  <c r="N1558" i="5"/>
  <c r="N1601" i="5"/>
  <c r="N1631" i="5"/>
  <c r="N1676" i="5"/>
  <c r="N1735" i="5"/>
  <c r="N1766" i="5"/>
  <c r="N1780" i="5"/>
  <c r="N1816" i="5"/>
  <c r="N1831" i="5"/>
  <c r="N1866" i="5"/>
  <c r="N1899" i="5"/>
  <c r="N1949" i="5"/>
  <c r="N2001" i="5"/>
  <c r="N1167" i="5"/>
  <c r="N1179" i="5"/>
  <c r="N1191" i="5"/>
  <c r="N1205" i="5"/>
  <c r="N1217" i="5"/>
  <c r="N1229" i="5"/>
  <c r="N1241" i="5"/>
  <c r="N1255" i="5"/>
  <c r="N1267" i="5"/>
  <c r="N1279" i="5"/>
  <c r="N1291" i="5"/>
  <c r="N1305" i="5"/>
  <c r="N1317" i="5"/>
  <c r="N1329" i="5"/>
  <c r="N1341" i="5"/>
  <c r="N1355" i="5"/>
  <c r="N1367" i="5"/>
  <c r="N1379" i="5"/>
  <c r="N1391" i="5"/>
  <c r="N1405" i="5"/>
  <c r="N1417" i="5"/>
  <c r="N1429" i="5"/>
  <c r="N1441" i="5"/>
  <c r="N1455" i="5"/>
  <c r="N1467" i="5"/>
  <c r="N1479" i="5"/>
  <c r="N1491" i="5"/>
  <c r="N1505" i="5"/>
  <c r="N1517" i="5"/>
  <c r="N1529" i="5"/>
  <c r="N1541" i="5"/>
  <c r="N1555" i="5"/>
  <c r="N1567" i="5"/>
  <c r="N1579" i="5"/>
  <c r="N1591" i="5"/>
  <c r="N1605" i="5"/>
  <c r="N1617" i="5"/>
  <c r="N1629" i="5"/>
  <c r="N1641" i="5"/>
  <c r="N1655" i="5"/>
  <c r="N1667" i="5"/>
  <c r="N1679" i="5"/>
  <c r="N1691" i="5"/>
  <c r="N1705" i="5"/>
  <c r="N1717" i="5"/>
  <c r="N1729" i="5"/>
  <c r="N1741" i="5"/>
  <c r="N1756" i="5"/>
  <c r="N1781" i="5"/>
  <c r="N1797" i="5"/>
  <c r="N1810" i="5"/>
  <c r="N1826" i="5"/>
  <c r="N1839" i="5"/>
  <c r="N1855" i="5"/>
  <c r="N1868" i="5"/>
  <c r="N1881" i="5"/>
  <c r="N1897" i="5"/>
  <c r="N1910" i="5"/>
  <c r="N1926" i="5"/>
  <c r="N1939" i="5"/>
  <c r="N1955" i="5"/>
  <c r="N1968" i="5"/>
  <c r="N1981" i="5"/>
  <c r="N1997" i="5"/>
  <c r="N1168" i="5"/>
  <c r="N1180" i="5"/>
  <c r="N1206" i="5"/>
  <c r="N1218" i="5"/>
  <c r="N1230" i="5"/>
  <c r="N1256" i="5"/>
  <c r="N1268" i="5"/>
  <c r="N1280" i="5"/>
  <c r="N1306" i="5"/>
  <c r="N1318" i="5"/>
  <c r="N1330" i="5"/>
  <c r="N1356" i="5"/>
  <c r="N1368" i="5"/>
  <c r="N1380" i="5"/>
  <c r="N1406" i="5"/>
  <c r="N1418" i="5"/>
  <c r="N1430" i="5"/>
  <c r="N1456" i="5"/>
  <c r="N1468" i="5"/>
  <c r="N1480" i="5"/>
  <c r="N1506" i="5"/>
  <c r="N1518" i="5"/>
  <c r="N1530" i="5"/>
  <c r="N1556" i="5"/>
  <c r="N1568" i="5"/>
  <c r="N1580" i="5"/>
  <c r="N1606" i="5"/>
  <c r="N1618" i="5"/>
  <c r="N1630" i="5"/>
  <c r="N1656" i="5"/>
  <c r="N1668" i="5"/>
  <c r="N1680" i="5"/>
  <c r="N1706" i="5"/>
  <c r="N1718" i="5"/>
  <c r="N1730" i="5"/>
  <c r="N1757" i="5"/>
  <c r="N1785" i="5"/>
  <c r="N1798" i="5"/>
  <c r="N1811" i="5"/>
  <c r="N1827" i="5"/>
  <c r="N1840" i="5"/>
  <c r="N1856" i="5"/>
  <c r="N1869" i="5"/>
  <c r="N1885" i="5"/>
  <c r="N1898" i="5"/>
  <c r="N1911" i="5"/>
  <c r="N1927" i="5"/>
  <c r="N1940" i="5"/>
  <c r="N1956" i="5"/>
  <c r="N1969" i="5"/>
  <c r="N1985" i="5"/>
  <c r="N1998" i="5"/>
  <c r="N790" i="5"/>
  <c r="N800" i="5"/>
  <c r="N810" i="5"/>
  <c r="N820" i="5"/>
  <c r="N830" i="5"/>
  <c r="N840" i="5"/>
  <c r="N850" i="5"/>
  <c r="N860" i="5"/>
  <c r="N870" i="5"/>
  <c r="N880" i="5"/>
  <c r="N890" i="5"/>
  <c r="N900" i="5"/>
  <c r="N910" i="5"/>
  <c r="N920" i="5"/>
  <c r="N930" i="5"/>
  <c r="N940" i="5"/>
  <c r="N950" i="5"/>
  <c r="N960" i="5"/>
  <c r="N970" i="5"/>
  <c r="N980" i="5"/>
  <c r="N990" i="5"/>
  <c r="N1000" i="5"/>
  <c r="N1010" i="5"/>
  <c r="N1020" i="5"/>
  <c r="N1030" i="5"/>
  <c r="N1040" i="5"/>
  <c r="N1050" i="5"/>
  <c r="N1060" i="5"/>
  <c r="N1070" i="5"/>
  <c r="N1080" i="5"/>
  <c r="N1090" i="5"/>
  <c r="N1100" i="5"/>
  <c r="N1110" i="5"/>
  <c r="N1120" i="5"/>
  <c r="N1130" i="5"/>
  <c r="N1140" i="5"/>
  <c r="N1150" i="5"/>
  <c r="N1160" i="5"/>
  <c r="N1748" i="5"/>
  <c r="N1162" i="5"/>
  <c r="N1172" i="5"/>
  <c r="N1182" i="5"/>
  <c r="N1192" i="5"/>
  <c r="N1202" i="5"/>
  <c r="N1212" i="5"/>
  <c r="N1222" i="5"/>
  <c r="N1232" i="5"/>
  <c r="N1242" i="5"/>
  <c r="N1252" i="5"/>
  <c r="N1262" i="5"/>
  <c r="N1272" i="5"/>
  <c r="N1282" i="5"/>
  <c r="N1292" i="5"/>
  <c r="N1302" i="5"/>
  <c r="N1312" i="5"/>
  <c r="N1322" i="5"/>
  <c r="N1332" i="5"/>
  <c r="N1342" i="5"/>
  <c r="N1352" i="5"/>
  <c r="N1362" i="5"/>
  <c r="N1372" i="5"/>
  <c r="N1382" i="5"/>
  <c r="N1392" i="5"/>
  <c r="N1402" i="5"/>
  <c r="N1412" i="5"/>
  <c r="N1422" i="5"/>
  <c r="N1432" i="5"/>
  <c r="N1442" i="5"/>
  <c r="N1452" i="5"/>
  <c r="N1462" i="5"/>
  <c r="N1472" i="5"/>
  <c r="N1482" i="5"/>
  <c r="N1492" i="5"/>
  <c r="N1502" i="5"/>
  <c r="N1512" i="5"/>
  <c r="N1522" i="5"/>
  <c r="N1532" i="5"/>
  <c r="N1542" i="5"/>
  <c r="N1552" i="5"/>
  <c r="N1562" i="5"/>
  <c r="N1572" i="5"/>
  <c r="N1582" i="5"/>
  <c r="N1592" i="5"/>
  <c r="N1602" i="5"/>
  <c r="N1612" i="5"/>
  <c r="N1622" i="5"/>
  <c r="N1632" i="5"/>
  <c r="N1642" i="5"/>
  <c r="N1652" i="5"/>
  <c r="N1662" i="5"/>
  <c r="N1672" i="5"/>
  <c r="N1682" i="5"/>
  <c r="N1692" i="5"/>
  <c r="N1702" i="5"/>
  <c r="N1712" i="5"/>
  <c r="N1722" i="5"/>
  <c r="N1732" i="5"/>
  <c r="N1742" i="5"/>
  <c r="N1752" i="5"/>
  <c r="N1762" i="5"/>
  <c r="N1772" i="5"/>
  <c r="N1782" i="5"/>
  <c r="N1792" i="5"/>
  <c r="N1802" i="5"/>
  <c r="N1812" i="5"/>
  <c r="N1822" i="5"/>
  <c r="N1832" i="5"/>
  <c r="N1842" i="5"/>
  <c r="N1852" i="5"/>
  <c r="N1862" i="5"/>
  <c r="N1872" i="5"/>
  <c r="N1882" i="5"/>
  <c r="N1892" i="5"/>
  <c r="N1902" i="5"/>
  <c r="N1912" i="5"/>
  <c r="N1922" i="5"/>
  <c r="N1932" i="5"/>
  <c r="N1942" i="5"/>
  <c r="N1952" i="5"/>
  <c r="N1962" i="5"/>
  <c r="N1972" i="5"/>
  <c r="N1982" i="5"/>
  <c r="N1992" i="5"/>
  <c r="N2002" i="5"/>
  <c r="N1743" i="5"/>
  <c r="N1753" i="5"/>
  <c r="N1763" i="5"/>
  <c r="N1773" i="5"/>
  <c r="N1783" i="5"/>
  <c r="N1793" i="5"/>
  <c r="N1803" i="5"/>
  <c r="N1813" i="5"/>
  <c r="N1823" i="5"/>
  <c r="N1833" i="5"/>
  <c r="N1843" i="5"/>
  <c r="N1853" i="5"/>
  <c r="N1863" i="5"/>
  <c r="N1873" i="5"/>
  <c r="N1883" i="5"/>
  <c r="N1893" i="5"/>
  <c r="N1903" i="5"/>
  <c r="N1913" i="5"/>
  <c r="N1923" i="5"/>
  <c r="N1933" i="5"/>
  <c r="N1943" i="5"/>
  <c r="N1953" i="5"/>
  <c r="N1963" i="5"/>
  <c r="N1973" i="5"/>
  <c r="N1983" i="5"/>
  <c r="N1993" i="5"/>
  <c r="N2003" i="5"/>
  <c r="N1174" i="5"/>
  <c r="N1184" i="5"/>
  <c r="N1194" i="5"/>
  <c r="N1204" i="5"/>
  <c r="N1214" i="5"/>
  <c r="N1224" i="5"/>
  <c r="N1234" i="5"/>
  <c r="N1244" i="5"/>
  <c r="N1254" i="5"/>
  <c r="N1264" i="5"/>
  <c r="N1274" i="5"/>
  <c r="N1284" i="5"/>
  <c r="N1294" i="5"/>
  <c r="N1304" i="5"/>
  <c r="N1314" i="5"/>
  <c r="N1324" i="5"/>
  <c r="N1334" i="5"/>
  <c r="N1344" i="5"/>
  <c r="N1354" i="5"/>
  <c r="N1364" i="5"/>
  <c r="N1374" i="5"/>
  <c r="N1384" i="5"/>
  <c r="N1394" i="5"/>
  <c r="N1404" i="5"/>
  <c r="N1414" i="5"/>
  <c r="N1424" i="5"/>
  <c r="N1434" i="5"/>
  <c r="N1444" i="5"/>
  <c r="N1454" i="5"/>
  <c r="N1464" i="5"/>
  <c r="N1474" i="5"/>
  <c r="N1484" i="5"/>
  <c r="N1494" i="5"/>
  <c r="N1504" i="5"/>
  <c r="N1514" i="5"/>
  <c r="N1524" i="5"/>
  <c r="N1534" i="5"/>
  <c r="N1544" i="5"/>
  <c r="N1554" i="5"/>
  <c r="N1564" i="5"/>
  <c r="N1574" i="5"/>
  <c r="N1584" i="5"/>
  <c r="N1594" i="5"/>
  <c r="N1604" i="5"/>
  <c r="N1614" i="5"/>
  <c r="N1624" i="5"/>
  <c r="N1634" i="5"/>
  <c r="N1644" i="5"/>
  <c r="N1654" i="5"/>
  <c r="N1664" i="5"/>
  <c r="N1674" i="5"/>
  <c r="N1684" i="5"/>
  <c r="N1694" i="5"/>
  <c r="N1704" i="5"/>
  <c r="N1714" i="5"/>
  <c r="N1724" i="5"/>
  <c r="N1734" i="5"/>
  <c r="N1744" i="5"/>
  <c r="N1754" i="5"/>
  <c r="N1764" i="5"/>
  <c r="N1774" i="5"/>
  <c r="N1784" i="5"/>
  <c r="N1794" i="5"/>
  <c r="N1804" i="5"/>
  <c r="N1814" i="5"/>
  <c r="N1824" i="5"/>
  <c r="N1834" i="5"/>
  <c r="N1844" i="5"/>
  <c r="N1854" i="5"/>
  <c r="N1864" i="5"/>
  <c r="N1874" i="5"/>
  <c r="N1884" i="5"/>
  <c r="N1894" i="5"/>
  <c r="N1904" i="5"/>
  <c r="N1914" i="5"/>
  <c r="N1924" i="5"/>
  <c r="N1934" i="5"/>
  <c r="N1944" i="5"/>
  <c r="N1954" i="5"/>
  <c r="N1964" i="5"/>
  <c r="N1974" i="5"/>
  <c r="N1984" i="5"/>
  <c r="N1994" i="5"/>
  <c r="N2004" i="5"/>
  <c r="O1071" i="5"/>
  <c r="O179" i="5"/>
  <c r="O189" i="5"/>
  <c r="O1094" i="5"/>
  <c r="O199" i="5"/>
  <c r="O432" i="5"/>
  <c r="O209" i="5"/>
  <c r="O444" i="5"/>
  <c r="O786" i="5"/>
  <c r="O219" i="5"/>
  <c r="O457" i="5"/>
  <c r="O808" i="5"/>
  <c r="O229" i="5"/>
  <c r="O1203" i="5"/>
  <c r="O394" i="5"/>
  <c r="O239" i="5"/>
  <c r="O484" i="5"/>
  <c r="O169" i="5"/>
  <c r="O249" i="5"/>
  <c r="O497" i="5"/>
  <c r="O872" i="5"/>
  <c r="O259" i="5"/>
  <c r="O896" i="5"/>
  <c r="O99" i="5"/>
  <c r="O524" i="5"/>
  <c r="O282" i="5"/>
  <c r="O537" i="5"/>
  <c r="O1285" i="5"/>
  <c r="O109" i="5"/>
  <c r="O294" i="5"/>
  <c r="O962" i="5"/>
  <c r="O1326" i="5"/>
  <c r="O982" i="5"/>
  <c r="O1376" i="5"/>
  <c r="O119" i="5"/>
  <c r="O582" i="5"/>
  <c r="O1445" i="5"/>
  <c r="O129" i="5"/>
  <c r="O332" i="5"/>
  <c r="O1450" i="5"/>
  <c r="O139" i="5"/>
  <c r="O344" i="5"/>
  <c r="O621" i="5"/>
  <c r="O1510" i="5"/>
  <c r="O149" i="5"/>
  <c r="O639" i="5"/>
  <c r="O1028" i="5"/>
  <c r="O1590" i="5"/>
  <c r="O159" i="5"/>
  <c r="O658" i="5"/>
  <c r="O1695" i="5"/>
  <c r="O382" i="5"/>
  <c r="O1051" i="5"/>
  <c r="O1836" i="5"/>
  <c r="O270" i="5"/>
  <c r="O552" i="5"/>
  <c r="O100" i="5"/>
  <c r="O110" i="5"/>
  <c r="O120" i="5"/>
  <c r="O130" i="5"/>
  <c r="O140" i="5"/>
  <c r="O150" i="5"/>
  <c r="O160" i="5"/>
  <c r="O170" i="5"/>
  <c r="O180" i="5"/>
  <c r="O190" i="5"/>
  <c r="O200" i="5"/>
  <c r="O210" i="5"/>
  <c r="O220" i="5"/>
  <c r="O230" i="5"/>
  <c r="O240" i="5"/>
  <c r="O250" i="5"/>
  <c r="O260" i="5"/>
  <c r="O283" i="5"/>
  <c r="O295" i="5"/>
  <c r="O308" i="5"/>
  <c r="O333" i="5"/>
  <c r="O345" i="5"/>
  <c r="O358" i="5"/>
  <c r="O383" i="5"/>
  <c r="O395" i="5"/>
  <c r="O408" i="5"/>
  <c r="O433" i="5"/>
  <c r="O445" i="5"/>
  <c r="O485" i="5"/>
  <c r="O525" i="5"/>
  <c r="O622" i="5"/>
  <c r="O661" i="5"/>
  <c r="O722" i="5"/>
  <c r="O787" i="5"/>
  <c r="O809" i="5"/>
  <c r="O877" i="5"/>
  <c r="O897" i="5"/>
  <c r="O986" i="5"/>
  <c r="O1008" i="5"/>
  <c r="O1072" i="5"/>
  <c r="O1096" i="5"/>
  <c r="O1205" i="5"/>
  <c r="O1250" i="5"/>
  <c r="O1331" i="5"/>
  <c r="O1453" i="5"/>
  <c r="O1516" i="5"/>
  <c r="O1595" i="5"/>
  <c r="O499" i="5"/>
  <c r="O296" i="5"/>
  <c r="O309" i="5"/>
  <c r="O346" i="5"/>
  <c r="O359" i="5"/>
  <c r="O396" i="5"/>
  <c r="O409" i="5"/>
  <c r="O446" i="5"/>
  <c r="O460" i="5"/>
  <c r="O473" i="5"/>
  <c r="O486" i="5"/>
  <c r="O500" i="5"/>
  <c r="O513" i="5"/>
  <c r="O526" i="5"/>
  <c r="O540" i="5"/>
  <c r="O553" i="5"/>
  <c r="O567" i="5"/>
  <c r="O586" i="5"/>
  <c r="O604" i="5"/>
  <c r="O641" i="5"/>
  <c r="O681" i="5"/>
  <c r="O701" i="5"/>
  <c r="O744" i="5"/>
  <c r="O767" i="5"/>
  <c r="O834" i="5"/>
  <c r="O854" i="5"/>
  <c r="O942" i="5"/>
  <c r="O966" i="5"/>
  <c r="O1029" i="5"/>
  <c r="O1052" i="5"/>
  <c r="O1119" i="5"/>
  <c r="O1139" i="5"/>
  <c r="O1333" i="5"/>
  <c r="O1386" i="5"/>
  <c r="O1525" i="5"/>
  <c r="O1716" i="5"/>
  <c r="O101" i="5"/>
  <c r="O111" i="5"/>
  <c r="O121" i="5"/>
  <c r="O131" i="5"/>
  <c r="O141" i="5"/>
  <c r="O151" i="5"/>
  <c r="O161" i="5"/>
  <c r="O171" i="5"/>
  <c r="O181" i="5"/>
  <c r="O191" i="5"/>
  <c r="O201" i="5"/>
  <c r="O211" i="5"/>
  <c r="O221" i="5"/>
  <c r="O231" i="5"/>
  <c r="O241" i="5"/>
  <c r="O251" i="5"/>
  <c r="O261" i="5"/>
  <c r="O272" i="5"/>
  <c r="O284" i="5"/>
  <c r="O322" i="5"/>
  <c r="O334" i="5"/>
  <c r="O372" i="5"/>
  <c r="O384" i="5"/>
  <c r="O422" i="5"/>
  <c r="O434" i="5"/>
  <c r="O569" i="5"/>
  <c r="O662" i="5"/>
  <c r="O704" i="5"/>
  <c r="O724" i="5"/>
  <c r="O791" i="5"/>
  <c r="O811" i="5"/>
  <c r="O899" i="5"/>
  <c r="O922" i="5"/>
  <c r="O987" i="5"/>
  <c r="O1009" i="5"/>
  <c r="O1077" i="5"/>
  <c r="O1097" i="5"/>
  <c r="O1173" i="5"/>
  <c r="O1290" i="5"/>
  <c r="O1456" i="5"/>
  <c r="O320" i="5"/>
  <c r="O742" i="5"/>
  <c r="O297" i="5"/>
  <c r="O310" i="5"/>
  <c r="O347" i="5"/>
  <c r="O360" i="5"/>
  <c r="O397" i="5"/>
  <c r="O410" i="5"/>
  <c r="O447" i="5"/>
  <c r="O474" i="5"/>
  <c r="O487" i="5"/>
  <c r="O514" i="5"/>
  <c r="O527" i="5"/>
  <c r="O554" i="5"/>
  <c r="O587" i="5"/>
  <c r="O606" i="5"/>
  <c r="O626" i="5"/>
  <c r="O644" i="5"/>
  <c r="O682" i="5"/>
  <c r="O748" i="5"/>
  <c r="O768" i="5"/>
  <c r="O857" i="5"/>
  <c r="O879" i="5"/>
  <c r="O944" i="5"/>
  <c r="O967" i="5"/>
  <c r="O1034" i="5"/>
  <c r="O1054" i="5"/>
  <c r="O1142" i="5"/>
  <c r="O1213" i="5"/>
  <c r="O1253" i="5"/>
  <c r="O1291" i="5"/>
  <c r="O1335" i="5"/>
  <c r="O1403" i="5"/>
  <c r="O1610" i="5"/>
  <c r="O370" i="5"/>
  <c r="O512" i="5"/>
  <c r="O852" i="5"/>
  <c r="O102" i="5"/>
  <c r="O112" i="5"/>
  <c r="O122" i="5"/>
  <c r="O132" i="5"/>
  <c r="O142" i="5"/>
  <c r="O152" i="5"/>
  <c r="O162" i="5"/>
  <c r="O172" i="5"/>
  <c r="O182" i="5"/>
  <c r="O192" i="5"/>
  <c r="O202" i="5"/>
  <c r="O212" i="5"/>
  <c r="O222" i="5"/>
  <c r="O232" i="5"/>
  <c r="O242" i="5"/>
  <c r="O252" i="5"/>
  <c r="O262" i="5"/>
  <c r="O273" i="5"/>
  <c r="O285" i="5"/>
  <c r="O298" i="5"/>
  <c r="O323" i="5"/>
  <c r="O335" i="5"/>
  <c r="O348" i="5"/>
  <c r="O373" i="5"/>
  <c r="O385" i="5"/>
  <c r="O398" i="5"/>
  <c r="O423" i="5"/>
  <c r="O435" i="5"/>
  <c r="O449" i="5"/>
  <c r="O462" i="5"/>
  <c r="O489" i="5"/>
  <c r="O502" i="5"/>
  <c r="O529" i="5"/>
  <c r="O542" i="5"/>
  <c r="O570" i="5"/>
  <c r="O608" i="5"/>
  <c r="O706" i="5"/>
  <c r="O726" i="5"/>
  <c r="O814" i="5"/>
  <c r="O837" i="5"/>
  <c r="O901" i="5"/>
  <c r="O924" i="5"/>
  <c r="O991" i="5"/>
  <c r="O1011" i="5"/>
  <c r="O1099" i="5"/>
  <c r="O1122" i="5"/>
  <c r="O1176" i="5"/>
  <c r="O1460" i="5"/>
  <c r="O1536" i="5"/>
  <c r="O1726" i="5"/>
  <c r="O1886" i="5"/>
  <c r="O286" i="5"/>
  <c r="O299" i="5"/>
  <c r="O336" i="5"/>
  <c r="O349" i="5"/>
  <c r="O386" i="5"/>
  <c r="O399" i="5"/>
  <c r="O436" i="5"/>
  <c r="O475" i="5"/>
  <c r="O515" i="5"/>
  <c r="O556" i="5"/>
  <c r="O588" i="5"/>
  <c r="O627" i="5"/>
  <c r="O646" i="5"/>
  <c r="O666" i="5"/>
  <c r="O686" i="5"/>
  <c r="O771" i="5"/>
  <c r="O794" i="5"/>
  <c r="O858" i="5"/>
  <c r="O881" i="5"/>
  <c r="O948" i="5"/>
  <c r="O968" i="5"/>
  <c r="O1057" i="5"/>
  <c r="O1079" i="5"/>
  <c r="O1144" i="5"/>
  <c r="O1255" i="5"/>
  <c r="O1300" i="5"/>
  <c r="O1340" i="5"/>
  <c r="O1405" i="5"/>
  <c r="O1463" i="5"/>
  <c r="O1625" i="5"/>
  <c r="O459" i="5"/>
  <c r="O566" i="5"/>
  <c r="O699" i="5"/>
  <c r="O103" i="5"/>
  <c r="O113" i="5"/>
  <c r="O123" i="5"/>
  <c r="O133" i="5"/>
  <c r="O143" i="5"/>
  <c r="O153" i="5"/>
  <c r="O163" i="5"/>
  <c r="O173" i="5"/>
  <c r="O183" i="5"/>
  <c r="O193" i="5"/>
  <c r="O203" i="5"/>
  <c r="O213" i="5"/>
  <c r="O223" i="5"/>
  <c r="O233" i="5"/>
  <c r="O243" i="5"/>
  <c r="O253" i="5"/>
  <c r="O263" i="5"/>
  <c r="O274" i="5"/>
  <c r="O312" i="5"/>
  <c r="O324" i="5"/>
  <c r="O362" i="5"/>
  <c r="O374" i="5"/>
  <c r="O412" i="5"/>
  <c r="O424" i="5"/>
  <c r="O450" i="5"/>
  <c r="O463" i="5"/>
  <c r="O476" i="5"/>
  <c r="O490" i="5"/>
  <c r="O503" i="5"/>
  <c r="O516" i="5"/>
  <c r="O530" i="5"/>
  <c r="O543" i="5"/>
  <c r="O609" i="5"/>
  <c r="O648" i="5"/>
  <c r="O728" i="5"/>
  <c r="O751" i="5"/>
  <c r="O816" i="5"/>
  <c r="O838" i="5"/>
  <c r="O906" i="5"/>
  <c r="O926" i="5"/>
  <c r="O1014" i="5"/>
  <c r="O1037" i="5"/>
  <c r="O1101" i="5"/>
  <c r="O1124" i="5"/>
  <c r="O1301" i="5"/>
  <c r="O1341" i="5"/>
  <c r="O1406" i="5"/>
  <c r="O1545" i="5"/>
  <c r="O287" i="5"/>
  <c r="O300" i="5"/>
  <c r="O337" i="5"/>
  <c r="O350" i="5"/>
  <c r="O387" i="5"/>
  <c r="O400" i="5"/>
  <c r="O437" i="5"/>
  <c r="O557" i="5"/>
  <c r="O572" i="5"/>
  <c r="O628" i="5"/>
  <c r="O667" i="5"/>
  <c r="O687" i="5"/>
  <c r="O708" i="5"/>
  <c r="O772" i="5"/>
  <c r="O796" i="5"/>
  <c r="O862" i="5"/>
  <c r="O882" i="5"/>
  <c r="O971" i="5"/>
  <c r="O994" i="5"/>
  <c r="O1058" i="5"/>
  <c r="O1081" i="5"/>
  <c r="O1148" i="5"/>
  <c r="O1180" i="5"/>
  <c r="O1346" i="5"/>
  <c r="O1466" i="5"/>
  <c r="O1635" i="5"/>
  <c r="O1896" i="5"/>
  <c r="O104" i="5"/>
  <c r="O114" i="5"/>
  <c r="O124" i="5"/>
  <c r="O134" i="5"/>
  <c r="O144" i="5"/>
  <c r="O154" i="5"/>
  <c r="O164" i="5"/>
  <c r="O174" i="5"/>
  <c r="O184" i="5"/>
  <c r="O194" i="5"/>
  <c r="O204" i="5"/>
  <c r="O214" i="5"/>
  <c r="O224" i="5"/>
  <c r="O234" i="5"/>
  <c r="O244" i="5"/>
  <c r="O254" i="5"/>
  <c r="O264" i="5"/>
  <c r="O275" i="5"/>
  <c r="O288" i="5"/>
  <c r="O313" i="5"/>
  <c r="O325" i="5"/>
  <c r="O338" i="5"/>
  <c r="O363" i="5"/>
  <c r="O375" i="5"/>
  <c r="O388" i="5"/>
  <c r="O413" i="5"/>
  <c r="O425" i="5"/>
  <c r="O438" i="5"/>
  <c r="O464" i="5"/>
  <c r="O477" i="5"/>
  <c r="O504" i="5"/>
  <c r="O517" i="5"/>
  <c r="O544" i="5"/>
  <c r="O559" i="5"/>
  <c r="O591" i="5"/>
  <c r="O611" i="5"/>
  <c r="O649" i="5"/>
  <c r="O689" i="5"/>
  <c r="O729" i="5"/>
  <c r="O752" i="5"/>
  <c r="O819" i="5"/>
  <c r="O839" i="5"/>
  <c r="O928" i="5"/>
  <c r="O951" i="5"/>
  <c r="O1016" i="5"/>
  <c r="O1038" i="5"/>
  <c r="O1106" i="5"/>
  <c r="O1126" i="5"/>
  <c r="O1181" i="5"/>
  <c r="O1263" i="5"/>
  <c r="O1305" i="5"/>
  <c r="O1410" i="5"/>
  <c r="O1473" i="5"/>
  <c r="O1546" i="5"/>
  <c r="O1756" i="5"/>
  <c r="O276" i="5"/>
  <c r="O289" i="5"/>
  <c r="O326" i="5"/>
  <c r="O339" i="5"/>
  <c r="O376" i="5"/>
  <c r="O389" i="5"/>
  <c r="O426" i="5"/>
  <c r="O439" i="5"/>
  <c r="O452" i="5"/>
  <c r="O479" i="5"/>
  <c r="O492" i="5"/>
  <c r="O519" i="5"/>
  <c r="O532" i="5"/>
  <c r="O668" i="5"/>
  <c r="O709" i="5"/>
  <c r="O777" i="5"/>
  <c r="O797" i="5"/>
  <c r="O886" i="5"/>
  <c r="O908" i="5"/>
  <c r="O972" i="5"/>
  <c r="O996" i="5"/>
  <c r="O1062" i="5"/>
  <c r="O1082" i="5"/>
  <c r="O1185" i="5"/>
  <c r="O1226" i="5"/>
  <c r="O1350" i="5"/>
  <c r="O1415" i="5"/>
  <c r="O1483" i="5"/>
  <c r="O105" i="5"/>
  <c r="O115" i="5"/>
  <c r="O125" i="5"/>
  <c r="O135" i="5"/>
  <c r="O145" i="5"/>
  <c r="O155" i="5"/>
  <c r="O165" i="5"/>
  <c r="O175" i="5"/>
  <c r="O185" i="5"/>
  <c r="O195" i="5"/>
  <c r="O205" i="5"/>
  <c r="O215" i="5"/>
  <c r="O225" i="5"/>
  <c r="O235" i="5"/>
  <c r="O245" i="5"/>
  <c r="O255" i="5"/>
  <c r="O265" i="5"/>
  <c r="O302" i="5"/>
  <c r="O314" i="5"/>
  <c r="O352" i="5"/>
  <c r="O364" i="5"/>
  <c r="O402" i="5"/>
  <c r="O414" i="5"/>
  <c r="O465" i="5"/>
  <c r="O505" i="5"/>
  <c r="O545" i="5"/>
  <c r="O560" i="5"/>
  <c r="O574" i="5"/>
  <c r="O612" i="5"/>
  <c r="O631" i="5"/>
  <c r="O651" i="5"/>
  <c r="O691" i="5"/>
  <c r="O734" i="5"/>
  <c r="O754" i="5"/>
  <c r="O842" i="5"/>
  <c r="O866" i="5"/>
  <c r="O929" i="5"/>
  <c r="O952" i="5"/>
  <c r="O1019" i="5"/>
  <c r="O1039" i="5"/>
  <c r="O1128" i="5"/>
  <c r="O1151" i="5"/>
  <c r="O1266" i="5"/>
  <c r="O1306" i="5"/>
  <c r="O1486" i="5"/>
  <c r="O1776" i="5"/>
  <c r="O277" i="5"/>
  <c r="O290" i="5"/>
  <c r="O327" i="5"/>
  <c r="O340" i="5"/>
  <c r="O377" i="5"/>
  <c r="O390" i="5"/>
  <c r="O427" i="5"/>
  <c r="O440" i="5"/>
  <c r="O453" i="5"/>
  <c r="O466" i="5"/>
  <c r="O480" i="5"/>
  <c r="O493" i="5"/>
  <c r="O506" i="5"/>
  <c r="O520" i="5"/>
  <c r="O533" i="5"/>
  <c r="O546" i="5"/>
  <c r="O596" i="5"/>
  <c r="O671" i="5"/>
  <c r="O711" i="5"/>
  <c r="O799" i="5"/>
  <c r="O822" i="5"/>
  <c r="O887" i="5"/>
  <c r="O909" i="5"/>
  <c r="O977" i="5"/>
  <c r="O997" i="5"/>
  <c r="O1086" i="5"/>
  <c r="O1108" i="5"/>
  <c r="O1186" i="5"/>
  <c r="O1231" i="5"/>
  <c r="O1360" i="5"/>
  <c r="O1416" i="5"/>
  <c r="O1493" i="5"/>
  <c r="O1556" i="5"/>
  <c r="O1650" i="5"/>
  <c r="O1796" i="5"/>
  <c r="O1926" i="5"/>
  <c r="O96" i="5"/>
  <c r="O106" i="5"/>
  <c r="O116" i="5"/>
  <c r="O126" i="5"/>
  <c r="O136" i="5"/>
  <c r="O146" i="5"/>
  <c r="O156" i="5"/>
  <c r="O166" i="5"/>
  <c r="O176" i="5"/>
  <c r="O186" i="5"/>
  <c r="O196" i="5"/>
  <c r="O206" i="5"/>
  <c r="O216" i="5"/>
  <c r="O226" i="5"/>
  <c r="O236" i="5"/>
  <c r="O246" i="5"/>
  <c r="O256" i="5"/>
  <c r="O266" i="5"/>
  <c r="O278" i="5"/>
  <c r="O303" i="5"/>
  <c r="O315" i="5"/>
  <c r="O328" i="5"/>
  <c r="O353" i="5"/>
  <c r="O365" i="5"/>
  <c r="O378" i="5"/>
  <c r="O403" i="5"/>
  <c r="O415" i="5"/>
  <c r="O428" i="5"/>
  <c r="O576" i="5"/>
  <c r="O614" i="5"/>
  <c r="O652" i="5"/>
  <c r="O757" i="5"/>
  <c r="O779" i="5"/>
  <c r="O844" i="5"/>
  <c r="O867" i="5"/>
  <c r="O934" i="5"/>
  <c r="O954" i="5"/>
  <c r="O1042" i="5"/>
  <c r="O1066" i="5"/>
  <c r="O1129" i="5"/>
  <c r="O1152" i="5"/>
  <c r="O1195" i="5"/>
  <c r="O1310" i="5"/>
  <c r="O1365" i="5"/>
  <c r="O1423" i="5"/>
  <c r="O279" i="5"/>
  <c r="O316" i="5"/>
  <c r="O329" i="5"/>
  <c r="O366" i="5"/>
  <c r="O379" i="5"/>
  <c r="O416" i="5"/>
  <c r="O429" i="5"/>
  <c r="O454" i="5"/>
  <c r="O467" i="5"/>
  <c r="O494" i="5"/>
  <c r="O507" i="5"/>
  <c r="O534" i="5"/>
  <c r="O547" i="5"/>
  <c r="O562" i="5"/>
  <c r="O597" i="5"/>
  <c r="O636" i="5"/>
  <c r="O672" i="5"/>
  <c r="O694" i="5"/>
  <c r="O714" i="5"/>
  <c r="O737" i="5"/>
  <c r="O801" i="5"/>
  <c r="O824" i="5"/>
  <c r="O891" i="5"/>
  <c r="O911" i="5"/>
  <c r="O999" i="5"/>
  <c r="O1022" i="5"/>
  <c r="O1087" i="5"/>
  <c r="O1109" i="5"/>
  <c r="O1273" i="5"/>
  <c r="O1311" i="5"/>
  <c r="O1366" i="5"/>
  <c r="O1495" i="5"/>
  <c r="O1656" i="5"/>
  <c r="O407" i="5"/>
  <c r="O679" i="5"/>
  <c r="O1138" i="5"/>
  <c r="O97" i="5"/>
  <c r="O107" i="5"/>
  <c r="O117" i="5"/>
  <c r="O127" i="5"/>
  <c r="O137" i="5"/>
  <c r="O147" i="5"/>
  <c r="O157" i="5"/>
  <c r="O167" i="5"/>
  <c r="O177" i="5"/>
  <c r="O187" i="5"/>
  <c r="O197" i="5"/>
  <c r="O207" i="5"/>
  <c r="O217" i="5"/>
  <c r="O227" i="5"/>
  <c r="O237" i="5"/>
  <c r="O247" i="5"/>
  <c r="O257" i="5"/>
  <c r="O267" i="5"/>
  <c r="O292" i="5"/>
  <c r="O304" i="5"/>
  <c r="O342" i="5"/>
  <c r="O354" i="5"/>
  <c r="O392" i="5"/>
  <c r="O404" i="5"/>
  <c r="O442" i="5"/>
  <c r="O469" i="5"/>
  <c r="O482" i="5"/>
  <c r="O509" i="5"/>
  <c r="O522" i="5"/>
  <c r="O549" i="5"/>
  <c r="O578" i="5"/>
  <c r="O598" i="5"/>
  <c r="O616" i="5"/>
  <c r="O654" i="5"/>
  <c r="O676" i="5"/>
  <c r="O758" i="5"/>
  <c r="O781" i="5"/>
  <c r="O848" i="5"/>
  <c r="O868" i="5"/>
  <c r="O957" i="5"/>
  <c r="O979" i="5"/>
  <c r="O1044" i="5"/>
  <c r="O1067" i="5"/>
  <c r="O1134" i="5"/>
  <c r="O1196" i="5"/>
  <c r="O1233" i="5"/>
  <c r="O1276" i="5"/>
  <c r="O1315" i="5"/>
  <c r="O1373" i="5"/>
  <c r="O1430" i="5"/>
  <c r="O1576" i="5"/>
  <c r="O1806" i="5"/>
  <c r="O1966" i="5"/>
  <c r="O357" i="5"/>
  <c r="O472" i="5"/>
  <c r="O539" i="5"/>
  <c r="O601" i="5"/>
  <c r="O829" i="5"/>
  <c r="O939" i="5"/>
  <c r="O280" i="5"/>
  <c r="O317" i="5"/>
  <c r="O330" i="5"/>
  <c r="O367" i="5"/>
  <c r="O380" i="5"/>
  <c r="O417" i="5"/>
  <c r="O430" i="5"/>
  <c r="O455" i="5"/>
  <c r="O495" i="5"/>
  <c r="O535" i="5"/>
  <c r="O563" i="5"/>
  <c r="O637" i="5"/>
  <c r="O696" i="5"/>
  <c r="O716" i="5"/>
  <c r="O738" i="5"/>
  <c r="O806" i="5"/>
  <c r="O826" i="5"/>
  <c r="O914" i="5"/>
  <c r="O937" i="5"/>
  <c r="O1001" i="5"/>
  <c r="O1024" i="5"/>
  <c r="O1091" i="5"/>
  <c r="O1111" i="5"/>
  <c r="O1155" i="5"/>
  <c r="O1433" i="5"/>
  <c r="O1500" i="5"/>
  <c r="O1666" i="5"/>
  <c r="O1976" i="5"/>
  <c r="O1116" i="5"/>
  <c r="O98" i="5"/>
  <c r="O108" i="5"/>
  <c r="O118" i="5"/>
  <c r="O128" i="5"/>
  <c r="O138" i="5"/>
  <c r="O148" i="5"/>
  <c r="O158" i="5"/>
  <c r="O168" i="5"/>
  <c r="O178" i="5"/>
  <c r="O188" i="5"/>
  <c r="O198" i="5"/>
  <c r="O208" i="5"/>
  <c r="O218" i="5"/>
  <c r="O228" i="5"/>
  <c r="O238" i="5"/>
  <c r="O248" i="5"/>
  <c r="O258" i="5"/>
  <c r="O268" i="5"/>
  <c r="O293" i="5"/>
  <c r="O305" i="5"/>
  <c r="O318" i="5"/>
  <c r="O343" i="5"/>
  <c r="O355" i="5"/>
  <c r="O368" i="5"/>
  <c r="O393" i="5"/>
  <c r="O405" i="5"/>
  <c r="O418" i="5"/>
  <c r="O443" i="5"/>
  <c r="O456" i="5"/>
  <c r="O470" i="5"/>
  <c r="O483" i="5"/>
  <c r="O496" i="5"/>
  <c r="O510" i="5"/>
  <c r="O523" i="5"/>
  <c r="O536" i="5"/>
  <c r="O550" i="5"/>
  <c r="O581" i="5"/>
  <c r="O599" i="5"/>
  <c r="O618" i="5"/>
  <c r="O638" i="5"/>
  <c r="O656" i="5"/>
  <c r="O677" i="5"/>
  <c r="O762" i="5"/>
  <c r="O782" i="5"/>
  <c r="O871" i="5"/>
  <c r="O894" i="5"/>
  <c r="O958" i="5"/>
  <c r="O981" i="5"/>
  <c r="O1048" i="5"/>
  <c r="O1068" i="5"/>
  <c r="O1160" i="5"/>
  <c r="O1200" i="5"/>
  <c r="O1236" i="5"/>
  <c r="O1281" i="5"/>
  <c r="O1320" i="5"/>
  <c r="O1375" i="5"/>
  <c r="O1503" i="5"/>
  <c r="O1585" i="5"/>
  <c r="O1996" i="5"/>
  <c r="O307" i="5"/>
  <c r="O420" i="5"/>
  <c r="O766" i="5"/>
  <c r="O919" i="5"/>
  <c r="O269" i="5"/>
  <c r="O306" i="5"/>
  <c r="O319" i="5"/>
  <c r="O356" i="5"/>
  <c r="O369" i="5"/>
  <c r="O406" i="5"/>
  <c r="O419" i="5"/>
  <c r="O564" i="5"/>
  <c r="O697" i="5"/>
  <c r="O719" i="5"/>
  <c r="O739" i="5"/>
  <c r="O828" i="5"/>
  <c r="O851" i="5"/>
  <c r="O916" i="5"/>
  <c r="O938" i="5"/>
  <c r="O1006" i="5"/>
  <c r="O1026" i="5"/>
  <c r="O1114" i="5"/>
  <c r="O1137" i="5"/>
  <c r="O1161" i="5"/>
  <c r="O1201" i="5"/>
  <c r="O1240" i="5"/>
  <c r="O1816" i="5"/>
  <c r="O555" i="5"/>
  <c r="O565" i="5"/>
  <c r="O589" i="5"/>
  <c r="O602" i="5"/>
  <c r="O629" i="5"/>
  <c r="O642" i="5"/>
  <c r="O669" i="5"/>
  <c r="O684" i="5"/>
  <c r="O698" i="5"/>
  <c r="O712" i="5"/>
  <c r="O727" i="5"/>
  <c r="O741" i="5"/>
  <c r="O756" i="5"/>
  <c r="O769" i="5"/>
  <c r="O784" i="5"/>
  <c r="O798" i="5"/>
  <c r="O812" i="5"/>
  <c r="O827" i="5"/>
  <c r="O841" i="5"/>
  <c r="O856" i="5"/>
  <c r="O869" i="5"/>
  <c r="O884" i="5"/>
  <c r="O898" i="5"/>
  <c r="O912" i="5"/>
  <c r="O927" i="5"/>
  <c r="O941" i="5"/>
  <c r="O956" i="5"/>
  <c r="O969" i="5"/>
  <c r="O984" i="5"/>
  <c r="O998" i="5"/>
  <c r="O1012" i="5"/>
  <c r="O1027" i="5"/>
  <c r="O1041" i="5"/>
  <c r="O1056" i="5"/>
  <c r="O1069" i="5"/>
  <c r="O1084" i="5"/>
  <c r="O1098" i="5"/>
  <c r="O1112" i="5"/>
  <c r="O1127" i="5"/>
  <c r="O1141" i="5"/>
  <c r="O1260" i="5"/>
  <c r="O1286" i="5"/>
  <c r="O1313" i="5"/>
  <c r="O1345" i="5"/>
  <c r="O1380" i="5"/>
  <c r="O1506" i="5"/>
  <c r="O1550" i="5"/>
  <c r="O1600" i="5"/>
  <c r="O1916" i="5"/>
  <c r="O577" i="5"/>
  <c r="O617" i="5"/>
  <c r="O657" i="5"/>
  <c r="O1210" i="5"/>
  <c r="O1235" i="5"/>
  <c r="O1383" i="5"/>
  <c r="O1425" i="5"/>
  <c r="O1465" i="5"/>
  <c r="O1553" i="5"/>
  <c r="O1660" i="5"/>
  <c r="O1736" i="5"/>
  <c r="O579" i="5"/>
  <c r="O592" i="5"/>
  <c r="O619" i="5"/>
  <c r="O632" i="5"/>
  <c r="O659" i="5"/>
  <c r="O1190" i="5"/>
  <c r="O1215" i="5"/>
  <c r="O1241" i="5"/>
  <c r="O1321" i="5"/>
  <c r="O1351" i="5"/>
  <c r="O1560" i="5"/>
  <c r="O1615" i="5"/>
  <c r="O1846" i="5"/>
  <c r="O448" i="5"/>
  <c r="O458" i="5"/>
  <c r="O468" i="5"/>
  <c r="O478" i="5"/>
  <c r="O488" i="5"/>
  <c r="O498" i="5"/>
  <c r="O508" i="5"/>
  <c r="O518" i="5"/>
  <c r="O528" i="5"/>
  <c r="O538" i="5"/>
  <c r="O548" i="5"/>
  <c r="O558" i="5"/>
  <c r="O568" i="5"/>
  <c r="O607" i="5"/>
  <c r="O647" i="5"/>
  <c r="O674" i="5"/>
  <c r="O688" i="5"/>
  <c r="O702" i="5"/>
  <c r="O717" i="5"/>
  <c r="O731" i="5"/>
  <c r="O746" i="5"/>
  <c r="O759" i="5"/>
  <c r="O774" i="5"/>
  <c r="O788" i="5"/>
  <c r="O802" i="5"/>
  <c r="O817" i="5"/>
  <c r="O831" i="5"/>
  <c r="O846" i="5"/>
  <c r="O859" i="5"/>
  <c r="O874" i="5"/>
  <c r="O888" i="5"/>
  <c r="O902" i="5"/>
  <c r="O917" i="5"/>
  <c r="O931" i="5"/>
  <c r="O946" i="5"/>
  <c r="O959" i="5"/>
  <c r="O974" i="5"/>
  <c r="O988" i="5"/>
  <c r="O1002" i="5"/>
  <c r="O1017" i="5"/>
  <c r="O1031" i="5"/>
  <c r="O1046" i="5"/>
  <c r="O1059" i="5"/>
  <c r="O1074" i="5"/>
  <c r="O1088" i="5"/>
  <c r="O1102" i="5"/>
  <c r="O1117" i="5"/>
  <c r="O1131" i="5"/>
  <c r="O1146" i="5"/>
  <c r="O1163" i="5"/>
  <c r="O1191" i="5"/>
  <c r="O1323" i="5"/>
  <c r="O1353" i="5"/>
  <c r="O1395" i="5"/>
  <c r="O1435" i="5"/>
  <c r="O1475" i="5"/>
  <c r="O1520" i="5"/>
  <c r="O1685" i="5"/>
  <c r="O1936" i="5"/>
  <c r="O594" i="5"/>
  <c r="O634" i="5"/>
  <c r="O1216" i="5"/>
  <c r="O1270" i="5"/>
  <c r="O1295" i="5"/>
  <c r="O1523" i="5"/>
  <c r="O1566" i="5"/>
  <c r="O1616" i="5"/>
  <c r="O1766" i="5"/>
  <c r="O1956" i="5"/>
  <c r="O718" i="5"/>
  <c r="O732" i="5"/>
  <c r="O747" i="5"/>
  <c r="O761" i="5"/>
  <c r="O776" i="5"/>
  <c r="O789" i="5"/>
  <c r="O804" i="5"/>
  <c r="O818" i="5"/>
  <c r="O832" i="5"/>
  <c r="O847" i="5"/>
  <c r="O861" i="5"/>
  <c r="O876" i="5"/>
  <c r="O889" i="5"/>
  <c r="O904" i="5"/>
  <c r="O918" i="5"/>
  <c r="O932" i="5"/>
  <c r="O947" i="5"/>
  <c r="O961" i="5"/>
  <c r="O976" i="5"/>
  <c r="O989" i="5"/>
  <c r="O1004" i="5"/>
  <c r="O1018" i="5"/>
  <c r="O1032" i="5"/>
  <c r="O1047" i="5"/>
  <c r="O1061" i="5"/>
  <c r="O1076" i="5"/>
  <c r="O1089" i="5"/>
  <c r="O1104" i="5"/>
  <c r="O1118" i="5"/>
  <c r="O1132" i="5"/>
  <c r="O1147" i="5"/>
  <c r="O1166" i="5"/>
  <c r="O1245" i="5"/>
  <c r="O1271" i="5"/>
  <c r="O1325" i="5"/>
  <c r="O1356" i="5"/>
  <c r="O1400" i="5"/>
  <c r="O1436" i="5"/>
  <c r="O1480" i="5"/>
  <c r="O1690" i="5"/>
  <c r="O1856" i="5"/>
  <c r="O1530" i="5"/>
  <c r="O1626" i="5"/>
  <c r="O1876" i="5"/>
  <c r="O271" i="5"/>
  <c r="O281" i="5"/>
  <c r="O291" i="5"/>
  <c r="O301" i="5"/>
  <c r="O311" i="5"/>
  <c r="O321" i="5"/>
  <c r="O331" i="5"/>
  <c r="O341" i="5"/>
  <c r="O351" i="5"/>
  <c r="O361" i="5"/>
  <c r="O371" i="5"/>
  <c r="O381" i="5"/>
  <c r="O391" i="5"/>
  <c r="O401" i="5"/>
  <c r="O411" i="5"/>
  <c r="O421" i="5"/>
  <c r="O431" i="5"/>
  <c r="O441" i="5"/>
  <c r="O451" i="5"/>
  <c r="O461" i="5"/>
  <c r="O471" i="5"/>
  <c r="O481" i="5"/>
  <c r="O491" i="5"/>
  <c r="O501" i="5"/>
  <c r="O511" i="5"/>
  <c r="O521" i="5"/>
  <c r="O531" i="5"/>
  <c r="O541" i="5"/>
  <c r="O551" i="5"/>
  <c r="O561" i="5"/>
  <c r="O571" i="5"/>
  <c r="O584" i="5"/>
  <c r="O624" i="5"/>
  <c r="O664" i="5"/>
  <c r="O678" i="5"/>
  <c r="O692" i="5"/>
  <c r="O707" i="5"/>
  <c r="O721" i="5"/>
  <c r="O736" i="5"/>
  <c r="O749" i="5"/>
  <c r="O764" i="5"/>
  <c r="O778" i="5"/>
  <c r="O792" i="5"/>
  <c r="O807" i="5"/>
  <c r="O821" i="5"/>
  <c r="O836" i="5"/>
  <c r="O849" i="5"/>
  <c r="O864" i="5"/>
  <c r="O878" i="5"/>
  <c r="O892" i="5"/>
  <c r="O907" i="5"/>
  <c r="O921" i="5"/>
  <c r="O936" i="5"/>
  <c r="O949" i="5"/>
  <c r="O964" i="5"/>
  <c r="O978" i="5"/>
  <c r="O992" i="5"/>
  <c r="O1007" i="5"/>
  <c r="O1021" i="5"/>
  <c r="O1036" i="5"/>
  <c r="O1049" i="5"/>
  <c r="O1064" i="5"/>
  <c r="O1078" i="5"/>
  <c r="O1092" i="5"/>
  <c r="O1107" i="5"/>
  <c r="O1121" i="5"/>
  <c r="O1136" i="5"/>
  <c r="O1149" i="5"/>
  <c r="O1223" i="5"/>
  <c r="O1251" i="5"/>
  <c r="O1303" i="5"/>
  <c r="O1330" i="5"/>
  <c r="O1490" i="5"/>
  <c r="O1533" i="5"/>
  <c r="O1580" i="5"/>
  <c r="O1700" i="5"/>
  <c r="O1221" i="5"/>
  <c r="O1256" i="5"/>
  <c r="O1275" i="5"/>
  <c r="O1293" i="5"/>
  <c r="O1385" i="5"/>
  <c r="O1443" i="5"/>
  <c r="O1470" i="5"/>
  <c r="O1526" i="5"/>
  <c r="O1725" i="5"/>
  <c r="O1765" i="5"/>
  <c r="O1805" i="5"/>
  <c r="O1845" i="5"/>
  <c r="O1885" i="5"/>
  <c r="O1925" i="5"/>
  <c r="O1965" i="5"/>
  <c r="O1170" i="5"/>
  <c r="O1261" i="5"/>
  <c r="O1296" i="5"/>
  <c r="O1363" i="5"/>
  <c r="O1390" i="5"/>
  <c r="O1446" i="5"/>
  <c r="O1505" i="5"/>
  <c r="O573" i="5"/>
  <c r="O583" i="5"/>
  <c r="O593" i="5"/>
  <c r="O603" i="5"/>
  <c r="O613" i="5"/>
  <c r="O623" i="5"/>
  <c r="O633" i="5"/>
  <c r="O643" i="5"/>
  <c r="O653" i="5"/>
  <c r="O663" i="5"/>
  <c r="O673" i="5"/>
  <c r="O683" i="5"/>
  <c r="O693" i="5"/>
  <c r="O703" i="5"/>
  <c r="O713" i="5"/>
  <c r="O723" i="5"/>
  <c r="O733" i="5"/>
  <c r="O743" i="5"/>
  <c r="O753" i="5"/>
  <c r="O763" i="5"/>
  <c r="O773" i="5"/>
  <c r="O783" i="5"/>
  <c r="O793" i="5"/>
  <c r="O803" i="5"/>
  <c r="O813" i="5"/>
  <c r="O823" i="5"/>
  <c r="O833" i="5"/>
  <c r="O843" i="5"/>
  <c r="O853" i="5"/>
  <c r="O863" i="5"/>
  <c r="O873" i="5"/>
  <c r="O883" i="5"/>
  <c r="O893" i="5"/>
  <c r="O903" i="5"/>
  <c r="O913" i="5"/>
  <c r="O923" i="5"/>
  <c r="O933" i="5"/>
  <c r="O943" i="5"/>
  <c r="O953" i="5"/>
  <c r="O963" i="5"/>
  <c r="O973" i="5"/>
  <c r="O983" i="5"/>
  <c r="O993" i="5"/>
  <c r="O1003" i="5"/>
  <c r="O1013" i="5"/>
  <c r="O1023" i="5"/>
  <c r="O1033" i="5"/>
  <c r="O1043" i="5"/>
  <c r="O1053" i="5"/>
  <c r="O1063" i="5"/>
  <c r="O1073" i="5"/>
  <c r="O1083" i="5"/>
  <c r="O1093" i="5"/>
  <c r="O1103" i="5"/>
  <c r="O1113" i="5"/>
  <c r="O1123" i="5"/>
  <c r="O1133" i="5"/>
  <c r="O1143" i="5"/>
  <c r="O1153" i="5"/>
  <c r="O1171" i="5"/>
  <c r="O1206" i="5"/>
  <c r="O1225" i="5"/>
  <c r="O1243" i="5"/>
  <c r="O1280" i="5"/>
  <c r="O1316" i="5"/>
  <c r="O1336" i="5"/>
  <c r="O1393" i="5"/>
  <c r="O1420" i="5"/>
  <c r="O1476" i="5"/>
  <c r="O1535" i="5"/>
  <c r="O1565" i="5"/>
  <c r="O1596" i="5"/>
  <c r="O1630" i="5"/>
  <c r="O1665" i="5"/>
  <c r="O1696" i="5"/>
  <c r="O1735" i="5"/>
  <c r="O1775" i="5"/>
  <c r="O1815" i="5"/>
  <c r="O1855" i="5"/>
  <c r="O1895" i="5"/>
  <c r="O1935" i="5"/>
  <c r="O1975" i="5"/>
  <c r="O575" i="5"/>
  <c r="O585" i="5"/>
  <c r="O595" i="5"/>
  <c r="O605" i="5"/>
  <c r="O615" i="5"/>
  <c r="O625" i="5"/>
  <c r="O635" i="5"/>
  <c r="O645" i="5"/>
  <c r="O655" i="5"/>
  <c r="O665" i="5"/>
  <c r="O675" i="5"/>
  <c r="O685" i="5"/>
  <c r="O695" i="5"/>
  <c r="O705" i="5"/>
  <c r="O715" i="5"/>
  <c r="O725" i="5"/>
  <c r="O735" i="5"/>
  <c r="O745" i="5"/>
  <c r="O755" i="5"/>
  <c r="O765" i="5"/>
  <c r="O775" i="5"/>
  <c r="O785" i="5"/>
  <c r="O795" i="5"/>
  <c r="O805" i="5"/>
  <c r="O815" i="5"/>
  <c r="O825" i="5"/>
  <c r="O835" i="5"/>
  <c r="O845" i="5"/>
  <c r="O855" i="5"/>
  <c r="O865" i="5"/>
  <c r="O875" i="5"/>
  <c r="O885" i="5"/>
  <c r="O895" i="5"/>
  <c r="O905" i="5"/>
  <c r="O915" i="5"/>
  <c r="O925" i="5"/>
  <c r="O935" i="5"/>
  <c r="O945" i="5"/>
  <c r="O955" i="5"/>
  <c r="O965" i="5"/>
  <c r="O975" i="5"/>
  <c r="O985" i="5"/>
  <c r="O995" i="5"/>
  <c r="O1005" i="5"/>
  <c r="O1015" i="5"/>
  <c r="O1025" i="5"/>
  <c r="O1035" i="5"/>
  <c r="O1045" i="5"/>
  <c r="O1055" i="5"/>
  <c r="O1065" i="5"/>
  <c r="O1075" i="5"/>
  <c r="O1085" i="5"/>
  <c r="O1095" i="5"/>
  <c r="O1105" i="5"/>
  <c r="O1115" i="5"/>
  <c r="O1125" i="5"/>
  <c r="O1135" i="5"/>
  <c r="O1145" i="5"/>
  <c r="O1211" i="5"/>
  <c r="O1246" i="5"/>
  <c r="O1265" i="5"/>
  <c r="O1283" i="5"/>
  <c r="O1343" i="5"/>
  <c r="O1396" i="5"/>
  <c r="O1455" i="5"/>
  <c r="O1513" i="5"/>
  <c r="O1540" i="5"/>
  <c r="O1570" i="5"/>
  <c r="O1605" i="5"/>
  <c r="O1636" i="5"/>
  <c r="O1670" i="5"/>
  <c r="O1705" i="5"/>
  <c r="O1156" i="5"/>
  <c r="O1175" i="5"/>
  <c r="O1193" i="5"/>
  <c r="O1230" i="5"/>
  <c r="O1370" i="5"/>
  <c r="O1426" i="5"/>
  <c r="O1485" i="5"/>
  <c r="O1543" i="5"/>
  <c r="O1745" i="5"/>
  <c r="O1785" i="5"/>
  <c r="O1825" i="5"/>
  <c r="O1865" i="5"/>
  <c r="O1905" i="5"/>
  <c r="O1945" i="5"/>
  <c r="O1985" i="5"/>
  <c r="O1515" i="5"/>
  <c r="O1575" i="5"/>
  <c r="O1606" i="5"/>
  <c r="O1640" i="5"/>
  <c r="O1675" i="5"/>
  <c r="O1706" i="5"/>
  <c r="O1746" i="5"/>
  <c r="O1786" i="5"/>
  <c r="O1826" i="5"/>
  <c r="O1866" i="5"/>
  <c r="O1906" i="5"/>
  <c r="O1946" i="5"/>
  <c r="O1986" i="5"/>
  <c r="O1645" i="5"/>
  <c r="O1676" i="5"/>
  <c r="O1710" i="5"/>
  <c r="O1646" i="5"/>
  <c r="O1680" i="5"/>
  <c r="O1715" i="5"/>
  <c r="O1755" i="5"/>
  <c r="O1795" i="5"/>
  <c r="O1835" i="5"/>
  <c r="O1875" i="5"/>
  <c r="O1915" i="5"/>
  <c r="O1955" i="5"/>
  <c r="O1995" i="5"/>
  <c r="O580" i="5"/>
  <c r="O590" i="5"/>
  <c r="O600" i="5"/>
  <c r="O610" i="5"/>
  <c r="O620" i="5"/>
  <c r="O630" i="5"/>
  <c r="O640" i="5"/>
  <c r="O650" i="5"/>
  <c r="O660" i="5"/>
  <c r="O670" i="5"/>
  <c r="O680" i="5"/>
  <c r="O690" i="5"/>
  <c r="O700" i="5"/>
  <c r="O710" i="5"/>
  <c r="O720" i="5"/>
  <c r="O730" i="5"/>
  <c r="O740" i="5"/>
  <c r="O750" i="5"/>
  <c r="O760" i="5"/>
  <c r="O770" i="5"/>
  <c r="O780" i="5"/>
  <c r="O790" i="5"/>
  <c r="O800" i="5"/>
  <c r="O810" i="5"/>
  <c r="O820" i="5"/>
  <c r="O830" i="5"/>
  <c r="O840" i="5"/>
  <c r="O850" i="5"/>
  <c r="O860" i="5"/>
  <c r="O870" i="5"/>
  <c r="O880" i="5"/>
  <c r="O890" i="5"/>
  <c r="O900" i="5"/>
  <c r="O910" i="5"/>
  <c r="O920" i="5"/>
  <c r="O930" i="5"/>
  <c r="O940" i="5"/>
  <c r="O950" i="5"/>
  <c r="O960" i="5"/>
  <c r="O970" i="5"/>
  <c r="O980" i="5"/>
  <c r="O990" i="5"/>
  <c r="O1000" i="5"/>
  <c r="O1010" i="5"/>
  <c r="O1020" i="5"/>
  <c r="O1030" i="5"/>
  <c r="O1040" i="5"/>
  <c r="O1050" i="5"/>
  <c r="O1060" i="5"/>
  <c r="O1070" i="5"/>
  <c r="O1080" i="5"/>
  <c r="O1090" i="5"/>
  <c r="O1100" i="5"/>
  <c r="O1110" i="5"/>
  <c r="O1120" i="5"/>
  <c r="O1130" i="5"/>
  <c r="O1140" i="5"/>
  <c r="O1150" i="5"/>
  <c r="O1165" i="5"/>
  <c r="O1183" i="5"/>
  <c r="O1220" i="5"/>
  <c r="O1355" i="5"/>
  <c r="O1413" i="5"/>
  <c r="O1440" i="5"/>
  <c r="O1496" i="5"/>
  <c r="O1555" i="5"/>
  <c r="O1586" i="5"/>
  <c r="O1620" i="5"/>
  <c r="O1655" i="5"/>
  <c r="O1686" i="5"/>
  <c r="O1157" i="5"/>
  <c r="O1167" i="5"/>
  <c r="O1177" i="5"/>
  <c r="O1187" i="5"/>
  <c r="O1197" i="5"/>
  <c r="O1207" i="5"/>
  <c r="O1217" i="5"/>
  <c r="O1227" i="5"/>
  <c r="O1237" i="5"/>
  <c r="O1247" i="5"/>
  <c r="O1257" i="5"/>
  <c r="O1267" i="5"/>
  <c r="O1277" i="5"/>
  <c r="O1287" i="5"/>
  <c r="O1297" i="5"/>
  <c r="O1307" i="5"/>
  <c r="O1317" i="5"/>
  <c r="O1327" i="5"/>
  <c r="O1337" i="5"/>
  <c r="O1347" i="5"/>
  <c r="O1357" i="5"/>
  <c r="O1367" i="5"/>
  <c r="O1377" i="5"/>
  <c r="O1387" i="5"/>
  <c r="O1397" i="5"/>
  <c r="O1407" i="5"/>
  <c r="O1417" i="5"/>
  <c r="O1427" i="5"/>
  <c r="O1437" i="5"/>
  <c r="O1447" i="5"/>
  <c r="O1457" i="5"/>
  <c r="O1467" i="5"/>
  <c r="O1477" i="5"/>
  <c r="O1487" i="5"/>
  <c r="O1497" i="5"/>
  <c r="O1507" i="5"/>
  <c r="O1517" i="5"/>
  <c r="O1527" i="5"/>
  <c r="O1537" i="5"/>
  <c r="O1547" i="5"/>
  <c r="O1557" i="5"/>
  <c r="O1567" i="5"/>
  <c r="O1577" i="5"/>
  <c r="O1587" i="5"/>
  <c r="O1597" i="5"/>
  <c r="O1607" i="5"/>
  <c r="O1617" i="5"/>
  <c r="O1627" i="5"/>
  <c r="O1637" i="5"/>
  <c r="O1647" i="5"/>
  <c r="O1657" i="5"/>
  <c r="O1667" i="5"/>
  <c r="O1677" i="5"/>
  <c r="O1687" i="5"/>
  <c r="O1697" i="5"/>
  <c r="O1707" i="5"/>
  <c r="O1717" i="5"/>
  <c r="O1727" i="5"/>
  <c r="O1737" i="5"/>
  <c r="O1747" i="5"/>
  <c r="O1757" i="5"/>
  <c r="O1767" i="5"/>
  <c r="O1777" i="5"/>
  <c r="O1787" i="5"/>
  <c r="O1797" i="5"/>
  <c r="O1807" i="5"/>
  <c r="O1817" i="5"/>
  <c r="O1827" i="5"/>
  <c r="O1837" i="5"/>
  <c r="O1847" i="5"/>
  <c r="O1857" i="5"/>
  <c r="O1867" i="5"/>
  <c r="O1877" i="5"/>
  <c r="O1887" i="5"/>
  <c r="O1897" i="5"/>
  <c r="O1907" i="5"/>
  <c r="O1917" i="5"/>
  <c r="O1927" i="5"/>
  <c r="O1937" i="5"/>
  <c r="O1947" i="5"/>
  <c r="O1957" i="5"/>
  <c r="O1967" i="5"/>
  <c r="O1977" i="5"/>
  <c r="O1987" i="5"/>
  <c r="O1997" i="5"/>
  <c r="O1158" i="5"/>
  <c r="O1168" i="5"/>
  <c r="O1178" i="5"/>
  <c r="O1188" i="5"/>
  <c r="O1198" i="5"/>
  <c r="O1208" i="5"/>
  <c r="O1218" i="5"/>
  <c r="O1228" i="5"/>
  <c r="O1238" i="5"/>
  <c r="O1248" i="5"/>
  <c r="O1258" i="5"/>
  <c r="O1268" i="5"/>
  <c r="O1278" i="5"/>
  <c r="O1288" i="5"/>
  <c r="O1298" i="5"/>
  <c r="O1308" i="5"/>
  <c r="O1318" i="5"/>
  <c r="O1328" i="5"/>
  <c r="O1338" i="5"/>
  <c r="O1348" i="5"/>
  <c r="O1358" i="5"/>
  <c r="O1368" i="5"/>
  <c r="O1378" i="5"/>
  <c r="O1388" i="5"/>
  <c r="O1398" i="5"/>
  <c r="O1408" i="5"/>
  <c r="O1418" i="5"/>
  <c r="O1428" i="5"/>
  <c r="O1438" i="5"/>
  <c r="O1448" i="5"/>
  <c r="O1458" i="5"/>
  <c r="O1468" i="5"/>
  <c r="O1478" i="5"/>
  <c r="O1488" i="5"/>
  <c r="O1498" i="5"/>
  <c r="O1508" i="5"/>
  <c r="O1518" i="5"/>
  <c r="O1528" i="5"/>
  <c r="O1538" i="5"/>
  <c r="O1548" i="5"/>
  <c r="O1558" i="5"/>
  <c r="O1568" i="5"/>
  <c r="O1578" i="5"/>
  <c r="O1588" i="5"/>
  <c r="O1598" i="5"/>
  <c r="O1608" i="5"/>
  <c r="O1618" i="5"/>
  <c r="O1628" i="5"/>
  <c r="O1638" i="5"/>
  <c r="O1648" i="5"/>
  <c r="O1658" i="5"/>
  <c r="O1668" i="5"/>
  <c r="O1678" i="5"/>
  <c r="O1688" i="5"/>
  <c r="O1698" i="5"/>
  <c r="O1708" i="5"/>
  <c r="O1718" i="5"/>
  <c r="O1728" i="5"/>
  <c r="O1738" i="5"/>
  <c r="O1748" i="5"/>
  <c r="O1758" i="5"/>
  <c r="O1768" i="5"/>
  <c r="O1778" i="5"/>
  <c r="O1788" i="5"/>
  <c r="O1798" i="5"/>
  <c r="O1808" i="5"/>
  <c r="O1818" i="5"/>
  <c r="O1828" i="5"/>
  <c r="O1838" i="5"/>
  <c r="O1848" i="5"/>
  <c r="O1858" i="5"/>
  <c r="O1868" i="5"/>
  <c r="O1878" i="5"/>
  <c r="O1888" i="5"/>
  <c r="O1898" i="5"/>
  <c r="O1908" i="5"/>
  <c r="O1918" i="5"/>
  <c r="O1928" i="5"/>
  <c r="O1938" i="5"/>
  <c r="O1948" i="5"/>
  <c r="O1958" i="5"/>
  <c r="O1968" i="5"/>
  <c r="O1978" i="5"/>
  <c r="O1988" i="5"/>
  <c r="O1998" i="5"/>
  <c r="O1159" i="5"/>
  <c r="O1169" i="5"/>
  <c r="O1179" i="5"/>
  <c r="O1189" i="5"/>
  <c r="O1199" i="5"/>
  <c r="O1209" i="5"/>
  <c r="O1219" i="5"/>
  <c r="O1229" i="5"/>
  <c r="O1239" i="5"/>
  <c r="O1249" i="5"/>
  <c r="O1259" i="5"/>
  <c r="O1269" i="5"/>
  <c r="O1279" i="5"/>
  <c r="O1289" i="5"/>
  <c r="O1299" i="5"/>
  <c r="O1309" i="5"/>
  <c r="O1319" i="5"/>
  <c r="O1329" i="5"/>
  <c r="O1339" i="5"/>
  <c r="O1349" i="5"/>
  <c r="O1359" i="5"/>
  <c r="O1369" i="5"/>
  <c r="O1379" i="5"/>
  <c r="O1389" i="5"/>
  <c r="O1399" i="5"/>
  <c r="O1409" i="5"/>
  <c r="O1419" i="5"/>
  <c r="O1429" i="5"/>
  <c r="O1439" i="5"/>
  <c r="O1449" i="5"/>
  <c r="O1459" i="5"/>
  <c r="O1469" i="5"/>
  <c r="O1479" i="5"/>
  <c r="O1489" i="5"/>
  <c r="O1499" i="5"/>
  <c r="O1509" i="5"/>
  <c r="O1519" i="5"/>
  <c r="O1529" i="5"/>
  <c r="O1539" i="5"/>
  <c r="O1549" i="5"/>
  <c r="O1559" i="5"/>
  <c r="O1569" i="5"/>
  <c r="O1579" i="5"/>
  <c r="O1589" i="5"/>
  <c r="O1599" i="5"/>
  <c r="O1609" i="5"/>
  <c r="O1619" i="5"/>
  <c r="O1629" i="5"/>
  <c r="O1639" i="5"/>
  <c r="O1649" i="5"/>
  <c r="O1659" i="5"/>
  <c r="O1669" i="5"/>
  <c r="O1679" i="5"/>
  <c r="O1689" i="5"/>
  <c r="O1699" i="5"/>
  <c r="O1709" i="5"/>
  <c r="O1719" i="5"/>
  <c r="O1729" i="5"/>
  <c r="O1739" i="5"/>
  <c r="O1749" i="5"/>
  <c r="O1759" i="5"/>
  <c r="O1769" i="5"/>
  <c r="O1779" i="5"/>
  <c r="O1789" i="5"/>
  <c r="O1799" i="5"/>
  <c r="O1809" i="5"/>
  <c r="O1819" i="5"/>
  <c r="O1829" i="5"/>
  <c r="O1839" i="5"/>
  <c r="O1849" i="5"/>
  <c r="O1859" i="5"/>
  <c r="O1869" i="5"/>
  <c r="O1879" i="5"/>
  <c r="O1889" i="5"/>
  <c r="O1899" i="5"/>
  <c r="O1909" i="5"/>
  <c r="O1919" i="5"/>
  <c r="O1929" i="5"/>
  <c r="O1939" i="5"/>
  <c r="O1949" i="5"/>
  <c r="O1959" i="5"/>
  <c r="O1969" i="5"/>
  <c r="O1979" i="5"/>
  <c r="O1989" i="5"/>
  <c r="O1999" i="5"/>
  <c r="O1720" i="5"/>
  <c r="O1730" i="5"/>
  <c r="O1740" i="5"/>
  <c r="O1750" i="5"/>
  <c r="O1760" i="5"/>
  <c r="O1770" i="5"/>
  <c r="O1780" i="5"/>
  <c r="O1790" i="5"/>
  <c r="O1800" i="5"/>
  <c r="O1810" i="5"/>
  <c r="O1820" i="5"/>
  <c r="O1830" i="5"/>
  <c r="O1840" i="5"/>
  <c r="O1850" i="5"/>
  <c r="O1860" i="5"/>
  <c r="O1870" i="5"/>
  <c r="O1880" i="5"/>
  <c r="O1890" i="5"/>
  <c r="O1900" i="5"/>
  <c r="O1910" i="5"/>
  <c r="O1920" i="5"/>
  <c r="O1930" i="5"/>
  <c r="O1940" i="5"/>
  <c r="O1950" i="5"/>
  <c r="O1960" i="5"/>
  <c r="O1970" i="5"/>
  <c r="O1980" i="5"/>
  <c r="O1990" i="5"/>
  <c r="O2000" i="5"/>
  <c r="O1361" i="5"/>
  <c r="O1371" i="5"/>
  <c r="O1381" i="5"/>
  <c r="O1391" i="5"/>
  <c r="O1401" i="5"/>
  <c r="O1411" i="5"/>
  <c r="O1421" i="5"/>
  <c r="O1431" i="5"/>
  <c r="O1441" i="5"/>
  <c r="O1451" i="5"/>
  <c r="O1461" i="5"/>
  <c r="O1471" i="5"/>
  <c r="O1481" i="5"/>
  <c r="O1491" i="5"/>
  <c r="O1501" i="5"/>
  <c r="O1511" i="5"/>
  <c r="O1521" i="5"/>
  <c r="O1531" i="5"/>
  <c r="O1541" i="5"/>
  <c r="O1551" i="5"/>
  <c r="O1561" i="5"/>
  <c r="O1571" i="5"/>
  <c r="O1581" i="5"/>
  <c r="O1591" i="5"/>
  <c r="O1601" i="5"/>
  <c r="O1611" i="5"/>
  <c r="O1621" i="5"/>
  <c r="O1631" i="5"/>
  <c r="O1641" i="5"/>
  <c r="O1651" i="5"/>
  <c r="O1661" i="5"/>
  <c r="O1671" i="5"/>
  <c r="O1681" i="5"/>
  <c r="O1691" i="5"/>
  <c r="O1701" i="5"/>
  <c r="O1711" i="5"/>
  <c r="O1721" i="5"/>
  <c r="O1731" i="5"/>
  <c r="O1741" i="5"/>
  <c r="O1751" i="5"/>
  <c r="O1761" i="5"/>
  <c r="O1771" i="5"/>
  <c r="O1781" i="5"/>
  <c r="O1791" i="5"/>
  <c r="O1801" i="5"/>
  <c r="O1811" i="5"/>
  <c r="O1821" i="5"/>
  <c r="O1831" i="5"/>
  <c r="O1841" i="5"/>
  <c r="O1851" i="5"/>
  <c r="O1861" i="5"/>
  <c r="O1871" i="5"/>
  <c r="O1881" i="5"/>
  <c r="O1891" i="5"/>
  <c r="O1901" i="5"/>
  <c r="O1911" i="5"/>
  <c r="O1921" i="5"/>
  <c r="O1931" i="5"/>
  <c r="O1941" i="5"/>
  <c r="O1951" i="5"/>
  <c r="O1961" i="5"/>
  <c r="O1971" i="5"/>
  <c r="O1981" i="5"/>
  <c r="O1991" i="5"/>
  <c r="O2001" i="5"/>
  <c r="O1162" i="5"/>
  <c r="O1172" i="5"/>
  <c r="O1182" i="5"/>
  <c r="O1192" i="5"/>
  <c r="O1202" i="5"/>
  <c r="O1212" i="5"/>
  <c r="O1222" i="5"/>
  <c r="O1232" i="5"/>
  <c r="O1242" i="5"/>
  <c r="O1252" i="5"/>
  <c r="O1262" i="5"/>
  <c r="O1272" i="5"/>
  <c r="O1282" i="5"/>
  <c r="O1292" i="5"/>
  <c r="O1302" i="5"/>
  <c r="O1312" i="5"/>
  <c r="O1322" i="5"/>
  <c r="O1332" i="5"/>
  <c r="O1342" i="5"/>
  <c r="O1352" i="5"/>
  <c r="O1362" i="5"/>
  <c r="O1372" i="5"/>
  <c r="O1382" i="5"/>
  <c r="O1392" i="5"/>
  <c r="O1402" i="5"/>
  <c r="O1412" i="5"/>
  <c r="O1422" i="5"/>
  <c r="O1432" i="5"/>
  <c r="O1442" i="5"/>
  <c r="O1452" i="5"/>
  <c r="O1462" i="5"/>
  <c r="O1472" i="5"/>
  <c r="O1482" i="5"/>
  <c r="O1492" i="5"/>
  <c r="O1502" i="5"/>
  <c r="O1512" i="5"/>
  <c r="O1522" i="5"/>
  <c r="O1532" i="5"/>
  <c r="O1542" i="5"/>
  <c r="O1552" i="5"/>
  <c r="O1562" i="5"/>
  <c r="O1572" i="5"/>
  <c r="O1582" i="5"/>
  <c r="O1592" i="5"/>
  <c r="O1602" i="5"/>
  <c r="O1612" i="5"/>
  <c r="O1622" i="5"/>
  <c r="O1632" i="5"/>
  <c r="O1642" i="5"/>
  <c r="O1652" i="5"/>
  <c r="O1662" i="5"/>
  <c r="O1672" i="5"/>
  <c r="O1682" i="5"/>
  <c r="O1692" i="5"/>
  <c r="O1702" i="5"/>
  <c r="O1712" i="5"/>
  <c r="O1722" i="5"/>
  <c r="O1732" i="5"/>
  <c r="O1742" i="5"/>
  <c r="O1752" i="5"/>
  <c r="O1762" i="5"/>
  <c r="O1772" i="5"/>
  <c r="O1782" i="5"/>
  <c r="O1792" i="5"/>
  <c r="O1802" i="5"/>
  <c r="O1812" i="5"/>
  <c r="O1822" i="5"/>
  <c r="O1832" i="5"/>
  <c r="O1842" i="5"/>
  <c r="O1852" i="5"/>
  <c r="O1862" i="5"/>
  <c r="O1872" i="5"/>
  <c r="O1882" i="5"/>
  <c r="O1892" i="5"/>
  <c r="O1902" i="5"/>
  <c r="O1912" i="5"/>
  <c r="O1922" i="5"/>
  <c r="O1932" i="5"/>
  <c r="O1942" i="5"/>
  <c r="O1952" i="5"/>
  <c r="O1962" i="5"/>
  <c r="O1972" i="5"/>
  <c r="O1982" i="5"/>
  <c r="O1992" i="5"/>
  <c r="O2002" i="5"/>
  <c r="O1563" i="5"/>
  <c r="O1573" i="5"/>
  <c r="O1583" i="5"/>
  <c r="O1593" i="5"/>
  <c r="O1603" i="5"/>
  <c r="O1613" i="5"/>
  <c r="O1623" i="5"/>
  <c r="O1633" i="5"/>
  <c r="O1643" i="5"/>
  <c r="O1653" i="5"/>
  <c r="O1663" i="5"/>
  <c r="O1673" i="5"/>
  <c r="O1683" i="5"/>
  <c r="O1693" i="5"/>
  <c r="O1703" i="5"/>
  <c r="O1713" i="5"/>
  <c r="O1723" i="5"/>
  <c r="O1733" i="5"/>
  <c r="O1743" i="5"/>
  <c r="O1753" i="5"/>
  <c r="O1763" i="5"/>
  <c r="O1773" i="5"/>
  <c r="O1783" i="5"/>
  <c r="O1793" i="5"/>
  <c r="O1803" i="5"/>
  <c r="O1813" i="5"/>
  <c r="O1823" i="5"/>
  <c r="O1833" i="5"/>
  <c r="O1843" i="5"/>
  <c r="O1853" i="5"/>
  <c r="O1863" i="5"/>
  <c r="O1873" i="5"/>
  <c r="O1883" i="5"/>
  <c r="O1893" i="5"/>
  <c r="O1903" i="5"/>
  <c r="O1913" i="5"/>
  <c r="O1923" i="5"/>
  <c r="O1933" i="5"/>
  <c r="O1943" i="5"/>
  <c r="O1953" i="5"/>
  <c r="O1963" i="5"/>
  <c r="O1973" i="5"/>
  <c r="O1983" i="5"/>
  <c r="O1993" i="5"/>
  <c r="O2003" i="5"/>
  <c r="O1154" i="5"/>
  <c r="O1164" i="5"/>
  <c r="O1174" i="5"/>
  <c r="O1184" i="5"/>
  <c r="O1194" i="5"/>
  <c r="O1204" i="5"/>
  <c r="O1214" i="5"/>
  <c r="O1224" i="5"/>
  <c r="O1234" i="5"/>
  <c r="O1244" i="5"/>
  <c r="O1254" i="5"/>
  <c r="O1264" i="5"/>
  <c r="O1274" i="5"/>
  <c r="O1284" i="5"/>
  <c r="O1294" i="5"/>
  <c r="O1304" i="5"/>
  <c r="O1314" i="5"/>
  <c r="O1324" i="5"/>
  <c r="O1334" i="5"/>
  <c r="O1344" i="5"/>
  <c r="O1354" i="5"/>
  <c r="O1364" i="5"/>
  <c r="O1374" i="5"/>
  <c r="O1384" i="5"/>
  <c r="O1394" i="5"/>
  <c r="O1404" i="5"/>
  <c r="O1414" i="5"/>
  <c r="O1424" i="5"/>
  <c r="O1434" i="5"/>
  <c r="O1444" i="5"/>
  <c r="O1454" i="5"/>
  <c r="O1464" i="5"/>
  <c r="O1474" i="5"/>
  <c r="O1484" i="5"/>
  <c r="O1494" i="5"/>
  <c r="O1504" i="5"/>
  <c r="O1514" i="5"/>
  <c r="O1524" i="5"/>
  <c r="O1534" i="5"/>
  <c r="O1544" i="5"/>
  <c r="O1554" i="5"/>
  <c r="O1564" i="5"/>
  <c r="O1574" i="5"/>
  <c r="O1584" i="5"/>
  <c r="O1594" i="5"/>
  <c r="O1604" i="5"/>
  <c r="O1614" i="5"/>
  <c r="O1624" i="5"/>
  <c r="O1634" i="5"/>
  <c r="O1644" i="5"/>
  <c r="O1654" i="5"/>
  <c r="O1664" i="5"/>
  <c r="O1674" i="5"/>
  <c r="O1684" i="5"/>
  <c r="O1694" i="5"/>
  <c r="O1704" i="5"/>
  <c r="O1714" i="5"/>
  <c r="O1724" i="5"/>
  <c r="O1734" i="5"/>
  <c r="O1744" i="5"/>
  <c r="O1754" i="5"/>
  <c r="O1764" i="5"/>
  <c r="O1774" i="5"/>
  <c r="O1784" i="5"/>
  <c r="O1794" i="5"/>
  <c r="O1804" i="5"/>
  <c r="O1814" i="5"/>
  <c r="O1824" i="5"/>
  <c r="O1834" i="5"/>
  <c r="O1844" i="5"/>
  <c r="O1854" i="5"/>
  <c r="O1864" i="5"/>
  <c r="O1874" i="5"/>
  <c r="O1884" i="5"/>
  <c r="O1894" i="5"/>
  <c r="O1904" i="5"/>
  <c r="O1914" i="5"/>
  <c r="O1924" i="5"/>
  <c r="O1934" i="5"/>
  <c r="O1944" i="5"/>
  <c r="O1954" i="5"/>
  <c r="O1964" i="5"/>
  <c r="O1974" i="5"/>
  <c r="O1984" i="5"/>
  <c r="O1994" i="5"/>
  <c r="O2004" i="5"/>
  <c r="P377" i="5"/>
  <c r="P389" i="5"/>
  <c r="P354" i="5"/>
  <c r="P436" i="5"/>
  <c r="P775" i="5"/>
  <c r="P213" i="5"/>
  <c r="P448" i="5"/>
  <c r="P460" i="5"/>
  <c r="P948" i="5"/>
  <c r="P236" i="5"/>
  <c r="P248" i="5"/>
  <c r="P486" i="5"/>
  <c r="P1162" i="5"/>
  <c r="P501" i="5"/>
  <c r="P271" i="5"/>
  <c r="P1218" i="5"/>
  <c r="P530" i="5"/>
  <c r="P1249" i="5"/>
  <c r="P295" i="5"/>
  <c r="P547" i="5"/>
  <c r="P564" i="5"/>
  <c r="P1334" i="5"/>
  <c r="P580" i="5"/>
  <c r="P330" i="5"/>
  <c r="P1424" i="5"/>
  <c r="P1716" i="5"/>
  <c r="P667" i="5"/>
  <c r="P1943" i="5"/>
  <c r="P214" i="5"/>
  <c r="P237" i="5"/>
  <c r="P249" i="5"/>
  <c r="P296" i="5"/>
  <c r="P308" i="5"/>
  <c r="P331" i="5"/>
  <c r="P355" i="5"/>
  <c r="P390" i="5"/>
  <c r="P414" i="5"/>
  <c r="P437" i="5"/>
  <c r="P449" i="5"/>
  <c r="P461" i="5"/>
  <c r="P474" i="5"/>
  <c r="P685" i="5"/>
  <c r="P704" i="5"/>
  <c r="P758" i="5"/>
  <c r="P776" i="5"/>
  <c r="P796" i="5"/>
  <c r="P874" i="5"/>
  <c r="P891" i="5"/>
  <c r="P911" i="5"/>
  <c r="P1026" i="5"/>
  <c r="P1046" i="5"/>
  <c r="P1124" i="5"/>
  <c r="P1141" i="5"/>
  <c r="P1163" i="5"/>
  <c r="P1526" i="5"/>
  <c r="P1571" i="5"/>
  <c r="P1622" i="5"/>
  <c r="P1666" i="5"/>
  <c r="P1944" i="5"/>
  <c r="P123" i="5"/>
  <c r="P1882" i="5"/>
  <c r="P104" i="5"/>
  <c r="P114" i="5"/>
  <c r="P124" i="5"/>
  <c r="P134" i="5"/>
  <c r="P144" i="5"/>
  <c r="P154" i="5"/>
  <c r="P164" i="5"/>
  <c r="P174" i="5"/>
  <c r="P184" i="5"/>
  <c r="P194" i="5"/>
  <c r="P204" i="5"/>
  <c r="P226" i="5"/>
  <c r="P238" i="5"/>
  <c r="P261" i="5"/>
  <c r="P285" i="5"/>
  <c r="P320" i="5"/>
  <c r="P344" i="5"/>
  <c r="P367" i="5"/>
  <c r="P379" i="5"/>
  <c r="P426" i="5"/>
  <c r="P438" i="5"/>
  <c r="P488" i="5"/>
  <c r="P517" i="5"/>
  <c r="P550" i="5"/>
  <c r="P617" i="5"/>
  <c r="P634" i="5"/>
  <c r="P650" i="5"/>
  <c r="P668" i="5"/>
  <c r="P740" i="5"/>
  <c r="P836" i="5"/>
  <c r="P930" i="5"/>
  <c r="P950" i="5"/>
  <c r="P970" i="5"/>
  <c r="P988" i="5"/>
  <c r="P1008" i="5"/>
  <c r="P1086" i="5"/>
  <c r="P1164" i="5"/>
  <c r="P1191" i="5"/>
  <c r="P1221" i="5"/>
  <c r="P1297" i="5"/>
  <c r="P1386" i="5"/>
  <c r="P1572" i="5"/>
  <c r="P1723" i="5"/>
  <c r="P1826" i="5"/>
  <c r="P1886" i="5"/>
  <c r="P173" i="5"/>
  <c r="P284" i="5"/>
  <c r="P1766" i="5"/>
  <c r="P215" i="5"/>
  <c r="P250" i="5"/>
  <c r="P274" i="5"/>
  <c r="P297" i="5"/>
  <c r="P309" i="5"/>
  <c r="P356" i="5"/>
  <c r="P368" i="5"/>
  <c r="P391" i="5"/>
  <c r="P415" i="5"/>
  <c r="P450" i="5"/>
  <c r="P475" i="5"/>
  <c r="P504" i="5"/>
  <c r="P518" i="5"/>
  <c r="P567" i="5"/>
  <c r="P585" i="5"/>
  <c r="P705" i="5"/>
  <c r="P724" i="5"/>
  <c r="P798" i="5"/>
  <c r="P855" i="5"/>
  <c r="P875" i="5"/>
  <c r="P1010" i="5"/>
  <c r="P1048" i="5"/>
  <c r="P1105" i="5"/>
  <c r="P1125" i="5"/>
  <c r="P1196" i="5"/>
  <c r="P1261" i="5"/>
  <c r="P1387" i="5"/>
  <c r="P1441" i="5"/>
  <c r="P1532" i="5"/>
  <c r="P1623" i="5"/>
  <c r="P1724" i="5"/>
  <c r="P1776" i="5"/>
  <c r="P1946" i="5"/>
  <c r="P133" i="5"/>
  <c r="P203" i="5"/>
  <c r="P366" i="5"/>
  <c r="P516" i="5"/>
  <c r="P615" i="5"/>
  <c r="P756" i="5"/>
  <c r="P967" i="5"/>
  <c r="P105" i="5"/>
  <c r="P115" i="5"/>
  <c r="P125" i="5"/>
  <c r="P135" i="5"/>
  <c r="P145" i="5"/>
  <c r="P155" i="5"/>
  <c r="P165" i="5"/>
  <c r="P175" i="5"/>
  <c r="P185" i="5"/>
  <c r="P195" i="5"/>
  <c r="P205" i="5"/>
  <c r="P227" i="5"/>
  <c r="P239" i="5"/>
  <c r="P286" i="5"/>
  <c r="P298" i="5"/>
  <c r="P321" i="5"/>
  <c r="P345" i="5"/>
  <c r="P380" i="5"/>
  <c r="P404" i="5"/>
  <c r="P427" i="5"/>
  <c r="P439" i="5"/>
  <c r="P490" i="5"/>
  <c r="P535" i="5"/>
  <c r="P551" i="5"/>
  <c r="P635" i="5"/>
  <c r="P688" i="5"/>
  <c r="P761" i="5"/>
  <c r="P817" i="5"/>
  <c r="P837" i="5"/>
  <c r="P914" i="5"/>
  <c r="P934" i="5"/>
  <c r="P951" i="5"/>
  <c r="P990" i="5"/>
  <c r="P1067" i="5"/>
  <c r="P1087" i="5"/>
  <c r="P1167" i="5"/>
  <c r="P1225" i="5"/>
  <c r="P1351" i="5"/>
  <c r="P1391" i="5"/>
  <c r="P1482" i="5"/>
  <c r="P1573" i="5"/>
  <c r="P1624" i="5"/>
  <c r="P1676" i="5"/>
  <c r="P1782" i="5"/>
  <c r="P1005" i="5"/>
  <c r="P1764" i="5"/>
  <c r="P183" i="5"/>
  <c r="P260" i="5"/>
  <c r="P1722" i="5"/>
  <c r="P216" i="5"/>
  <c r="P228" i="5"/>
  <c r="P251" i="5"/>
  <c r="P275" i="5"/>
  <c r="P310" i="5"/>
  <c r="P334" i="5"/>
  <c r="P357" i="5"/>
  <c r="P369" i="5"/>
  <c r="P416" i="5"/>
  <c r="P428" i="5"/>
  <c r="P451" i="5"/>
  <c r="P464" i="5"/>
  <c r="P505" i="5"/>
  <c r="P520" i="5"/>
  <c r="P568" i="5"/>
  <c r="P586" i="5"/>
  <c r="P620" i="5"/>
  <c r="P636" i="5"/>
  <c r="P670" i="5"/>
  <c r="P690" i="5"/>
  <c r="P726" i="5"/>
  <c r="P876" i="5"/>
  <c r="P896" i="5"/>
  <c r="P974" i="5"/>
  <c r="P991" i="5"/>
  <c r="P1011" i="5"/>
  <c r="P1126" i="5"/>
  <c r="P1146" i="5"/>
  <c r="P1168" i="5"/>
  <c r="P1199" i="5"/>
  <c r="P1226" i="5"/>
  <c r="P1263" i="5"/>
  <c r="P1442" i="5"/>
  <c r="P1533" i="5"/>
  <c r="P1682" i="5"/>
  <c r="P1726" i="5"/>
  <c r="P1784" i="5"/>
  <c r="P1902" i="5"/>
  <c r="P738" i="5"/>
  <c r="P103" i="5"/>
  <c r="P1824" i="5"/>
  <c r="P96" i="5"/>
  <c r="P106" i="5"/>
  <c r="P116" i="5"/>
  <c r="P126" i="5"/>
  <c r="P136" i="5"/>
  <c r="P146" i="5"/>
  <c r="P156" i="5"/>
  <c r="P166" i="5"/>
  <c r="P176" i="5"/>
  <c r="P186" i="5"/>
  <c r="P196" i="5"/>
  <c r="P206" i="5"/>
  <c r="P240" i="5"/>
  <c r="P264" i="5"/>
  <c r="P287" i="5"/>
  <c r="P299" i="5"/>
  <c r="P346" i="5"/>
  <c r="P358" i="5"/>
  <c r="P381" i="5"/>
  <c r="P405" i="5"/>
  <c r="P440" i="5"/>
  <c r="P477" i="5"/>
  <c r="P491" i="5"/>
  <c r="P537" i="5"/>
  <c r="P570" i="5"/>
  <c r="P637" i="5"/>
  <c r="P655" i="5"/>
  <c r="P671" i="5"/>
  <c r="P744" i="5"/>
  <c r="P780" i="5"/>
  <c r="P800" i="5"/>
  <c r="P820" i="5"/>
  <c r="P838" i="5"/>
  <c r="P858" i="5"/>
  <c r="P936" i="5"/>
  <c r="P1030" i="5"/>
  <c r="P1050" i="5"/>
  <c r="P1070" i="5"/>
  <c r="P1088" i="5"/>
  <c r="P1108" i="5"/>
  <c r="P1227" i="5"/>
  <c r="P1264" i="5"/>
  <c r="P1304" i="5"/>
  <c r="P1352" i="5"/>
  <c r="P1392" i="5"/>
  <c r="P1491" i="5"/>
  <c r="P1534" i="5"/>
  <c r="P1626" i="5"/>
  <c r="P1684" i="5"/>
  <c r="P1842" i="5"/>
  <c r="P1962" i="5"/>
  <c r="P113" i="5"/>
  <c r="P1664" i="5"/>
  <c r="P217" i="5"/>
  <c r="P229" i="5"/>
  <c r="P276" i="5"/>
  <c r="P288" i="5"/>
  <c r="P311" i="5"/>
  <c r="P335" i="5"/>
  <c r="P370" i="5"/>
  <c r="P394" i="5"/>
  <c r="P417" i="5"/>
  <c r="P429" i="5"/>
  <c r="P465" i="5"/>
  <c r="P478" i="5"/>
  <c r="P521" i="5"/>
  <c r="P554" i="5"/>
  <c r="P587" i="5"/>
  <c r="P604" i="5"/>
  <c r="P621" i="5"/>
  <c r="P691" i="5"/>
  <c r="P708" i="5"/>
  <c r="P727" i="5"/>
  <c r="P860" i="5"/>
  <c r="P898" i="5"/>
  <c r="P955" i="5"/>
  <c r="P975" i="5"/>
  <c r="P1110" i="5"/>
  <c r="P1148" i="5"/>
  <c r="P1201" i="5"/>
  <c r="P1229" i="5"/>
  <c r="P1443" i="5"/>
  <c r="P1494" i="5"/>
  <c r="P1587" i="5"/>
  <c r="P1786" i="5"/>
  <c r="P1903" i="5"/>
  <c r="P1251" i="5"/>
  <c r="P97" i="5"/>
  <c r="P107" i="5"/>
  <c r="P117" i="5"/>
  <c r="P127" i="5"/>
  <c r="P137" i="5"/>
  <c r="P147" i="5"/>
  <c r="P157" i="5"/>
  <c r="P167" i="5"/>
  <c r="P177" i="5"/>
  <c r="P187" i="5"/>
  <c r="P197" i="5"/>
  <c r="P207" i="5"/>
  <c r="P218" i="5"/>
  <c r="P241" i="5"/>
  <c r="P265" i="5"/>
  <c r="P300" i="5"/>
  <c r="P324" i="5"/>
  <c r="P347" i="5"/>
  <c r="P359" i="5"/>
  <c r="P406" i="5"/>
  <c r="P418" i="5"/>
  <c r="P441" i="5"/>
  <c r="P538" i="5"/>
  <c r="P555" i="5"/>
  <c r="P638" i="5"/>
  <c r="P656" i="5"/>
  <c r="P764" i="5"/>
  <c r="P784" i="5"/>
  <c r="P801" i="5"/>
  <c r="P840" i="5"/>
  <c r="P917" i="5"/>
  <c r="P937" i="5"/>
  <c r="P1014" i="5"/>
  <c r="P1034" i="5"/>
  <c r="P1051" i="5"/>
  <c r="P1090" i="5"/>
  <c r="P1172" i="5"/>
  <c r="P1266" i="5"/>
  <c r="P1314" i="5"/>
  <c r="P1353" i="5"/>
  <c r="P1403" i="5"/>
  <c r="P1444" i="5"/>
  <c r="P1686" i="5"/>
  <c r="P1843" i="5"/>
  <c r="P1904" i="5"/>
  <c r="P1966" i="5"/>
  <c r="P1188" i="5"/>
  <c r="P230" i="5"/>
  <c r="P254" i="5"/>
  <c r="P277" i="5"/>
  <c r="P289" i="5"/>
  <c r="P336" i="5"/>
  <c r="P348" i="5"/>
  <c r="P371" i="5"/>
  <c r="P395" i="5"/>
  <c r="P430" i="5"/>
  <c r="P454" i="5"/>
  <c r="P508" i="5"/>
  <c r="P606" i="5"/>
  <c r="P674" i="5"/>
  <c r="P711" i="5"/>
  <c r="P728" i="5"/>
  <c r="P747" i="5"/>
  <c r="P824" i="5"/>
  <c r="P841" i="5"/>
  <c r="P861" i="5"/>
  <c r="P976" i="5"/>
  <c r="P996" i="5"/>
  <c r="P1074" i="5"/>
  <c r="P1091" i="5"/>
  <c r="P1111" i="5"/>
  <c r="P1202" i="5"/>
  <c r="P1233" i="5"/>
  <c r="P1267" i="5"/>
  <c r="P1354" i="5"/>
  <c r="P1406" i="5"/>
  <c r="P1446" i="5"/>
  <c r="P1497" i="5"/>
  <c r="P1591" i="5"/>
  <c r="P1736" i="5"/>
  <c r="P98" i="5"/>
  <c r="P108" i="5"/>
  <c r="P118" i="5"/>
  <c r="P128" i="5"/>
  <c r="P138" i="5"/>
  <c r="P148" i="5"/>
  <c r="P158" i="5"/>
  <c r="P168" i="5"/>
  <c r="P178" i="5"/>
  <c r="P188" i="5"/>
  <c r="P198" i="5"/>
  <c r="P208" i="5"/>
  <c r="P219" i="5"/>
  <c r="P266" i="5"/>
  <c r="P278" i="5"/>
  <c r="P301" i="5"/>
  <c r="P325" i="5"/>
  <c r="P360" i="5"/>
  <c r="P384" i="5"/>
  <c r="P407" i="5"/>
  <c r="P419" i="5"/>
  <c r="P467" i="5"/>
  <c r="P480" i="5"/>
  <c r="P494" i="5"/>
  <c r="P524" i="5"/>
  <c r="P556" i="5"/>
  <c r="P574" i="5"/>
  <c r="P590" i="5"/>
  <c r="P657" i="5"/>
  <c r="P676" i="5"/>
  <c r="P786" i="5"/>
  <c r="P880" i="5"/>
  <c r="P900" i="5"/>
  <c r="P920" i="5"/>
  <c r="P938" i="5"/>
  <c r="P958" i="5"/>
  <c r="P1036" i="5"/>
  <c r="P1130" i="5"/>
  <c r="P1150" i="5"/>
  <c r="P1176" i="5"/>
  <c r="P1234" i="5"/>
  <c r="P1317" i="5"/>
  <c r="P1356" i="5"/>
  <c r="P1447" i="5"/>
  <c r="P1636" i="5"/>
  <c r="P1744" i="5"/>
  <c r="P1791" i="5"/>
  <c r="P1906" i="5"/>
  <c r="P1521" i="5"/>
  <c r="P231" i="5"/>
  <c r="P255" i="5"/>
  <c r="P290" i="5"/>
  <c r="P314" i="5"/>
  <c r="P337" i="5"/>
  <c r="P349" i="5"/>
  <c r="P396" i="5"/>
  <c r="P408" i="5"/>
  <c r="P431" i="5"/>
  <c r="P455" i="5"/>
  <c r="P468" i="5"/>
  <c r="P495" i="5"/>
  <c r="P525" i="5"/>
  <c r="P540" i="5"/>
  <c r="P608" i="5"/>
  <c r="P641" i="5"/>
  <c r="P694" i="5"/>
  <c r="P714" i="5"/>
  <c r="P730" i="5"/>
  <c r="P805" i="5"/>
  <c r="P825" i="5"/>
  <c r="P960" i="5"/>
  <c r="P998" i="5"/>
  <c r="P1055" i="5"/>
  <c r="P1075" i="5"/>
  <c r="P1204" i="5"/>
  <c r="P1276" i="5"/>
  <c r="P1407" i="5"/>
  <c r="P1451" i="5"/>
  <c r="P1501" i="5"/>
  <c r="P1544" i="5"/>
  <c r="P1592" i="5"/>
  <c r="P1644" i="5"/>
  <c r="P1691" i="5"/>
  <c r="P1856" i="5"/>
  <c r="P1982" i="5"/>
  <c r="P1427" i="5"/>
  <c r="P99" i="5"/>
  <c r="P109" i="5"/>
  <c r="P119" i="5"/>
  <c r="P129" i="5"/>
  <c r="P139" i="5"/>
  <c r="P149" i="5"/>
  <c r="P159" i="5"/>
  <c r="P169" i="5"/>
  <c r="P179" i="5"/>
  <c r="P189" i="5"/>
  <c r="P199" i="5"/>
  <c r="P209" i="5"/>
  <c r="P220" i="5"/>
  <c r="P244" i="5"/>
  <c r="P267" i="5"/>
  <c r="P279" i="5"/>
  <c r="P326" i="5"/>
  <c r="P338" i="5"/>
  <c r="P361" i="5"/>
  <c r="P385" i="5"/>
  <c r="P420" i="5"/>
  <c r="P444" i="5"/>
  <c r="P481" i="5"/>
  <c r="P496" i="5"/>
  <c r="P510" i="5"/>
  <c r="P558" i="5"/>
  <c r="P575" i="5"/>
  <c r="P591" i="5"/>
  <c r="P658" i="5"/>
  <c r="P678" i="5"/>
  <c r="P695" i="5"/>
  <c r="P731" i="5"/>
  <c r="P750" i="5"/>
  <c r="P767" i="5"/>
  <c r="P787" i="5"/>
  <c r="P864" i="5"/>
  <c r="P884" i="5"/>
  <c r="P901" i="5"/>
  <c r="P940" i="5"/>
  <c r="P1017" i="5"/>
  <c r="P1037" i="5"/>
  <c r="P1114" i="5"/>
  <c r="P1134" i="5"/>
  <c r="P1151" i="5"/>
  <c r="P1277" i="5"/>
  <c r="P1321" i="5"/>
  <c r="P1361" i="5"/>
  <c r="P1453" i="5"/>
  <c r="P1552" i="5"/>
  <c r="P1802" i="5"/>
  <c r="P1862" i="5"/>
  <c r="P256" i="5"/>
  <c r="P268" i="5"/>
  <c r="P291" i="5"/>
  <c r="P315" i="5"/>
  <c r="P350" i="5"/>
  <c r="P374" i="5"/>
  <c r="P397" i="5"/>
  <c r="P409" i="5"/>
  <c r="P469" i="5"/>
  <c r="P511" i="5"/>
  <c r="P526" i="5"/>
  <c r="P626" i="5"/>
  <c r="P644" i="5"/>
  <c r="P696" i="5"/>
  <c r="P715" i="5"/>
  <c r="P826" i="5"/>
  <c r="P846" i="5"/>
  <c r="P924" i="5"/>
  <c r="P941" i="5"/>
  <c r="P961" i="5"/>
  <c r="P1076" i="5"/>
  <c r="P1096" i="5"/>
  <c r="P1182" i="5"/>
  <c r="P1242" i="5"/>
  <c r="P1411" i="5"/>
  <c r="P1502" i="5"/>
  <c r="P1593" i="5"/>
  <c r="P1696" i="5"/>
  <c r="P1751" i="5"/>
  <c r="P1803" i="5"/>
  <c r="P1922" i="5"/>
  <c r="P1983" i="5"/>
  <c r="P1296" i="5"/>
  <c r="P100" i="5"/>
  <c r="P110" i="5"/>
  <c r="P120" i="5"/>
  <c r="P130" i="5"/>
  <c r="P140" i="5"/>
  <c r="P150" i="5"/>
  <c r="P160" i="5"/>
  <c r="P170" i="5"/>
  <c r="P180" i="5"/>
  <c r="P190" i="5"/>
  <c r="P200" i="5"/>
  <c r="P210" i="5"/>
  <c r="P221" i="5"/>
  <c r="P245" i="5"/>
  <c r="P280" i="5"/>
  <c r="P304" i="5"/>
  <c r="P327" i="5"/>
  <c r="P339" i="5"/>
  <c r="P386" i="5"/>
  <c r="P398" i="5"/>
  <c r="P421" i="5"/>
  <c r="P445" i="5"/>
  <c r="P457" i="5"/>
  <c r="P482" i="5"/>
  <c r="P497" i="5"/>
  <c r="P576" i="5"/>
  <c r="P594" i="5"/>
  <c r="P610" i="5"/>
  <c r="P751" i="5"/>
  <c r="P770" i="5"/>
  <c r="P788" i="5"/>
  <c r="P808" i="5"/>
  <c r="P886" i="5"/>
  <c r="P980" i="5"/>
  <c r="P1000" i="5"/>
  <c r="P1020" i="5"/>
  <c r="P1038" i="5"/>
  <c r="P1058" i="5"/>
  <c r="P1136" i="5"/>
  <c r="P1211" i="5"/>
  <c r="P1281" i="5"/>
  <c r="P1371" i="5"/>
  <c r="P1462" i="5"/>
  <c r="P1651" i="5"/>
  <c r="P1804" i="5"/>
  <c r="P1863" i="5"/>
  <c r="P1984" i="5"/>
  <c r="P1025" i="5"/>
  <c r="P1472" i="5"/>
  <c r="P193" i="5"/>
  <c r="P378" i="5"/>
  <c r="P1567" i="5"/>
  <c r="P234" i="5"/>
  <c r="P257" i="5"/>
  <c r="P269" i="5"/>
  <c r="P316" i="5"/>
  <c r="P328" i="5"/>
  <c r="P351" i="5"/>
  <c r="P375" i="5"/>
  <c r="P410" i="5"/>
  <c r="P434" i="5"/>
  <c r="P458" i="5"/>
  <c r="P470" i="5"/>
  <c r="P527" i="5"/>
  <c r="P544" i="5"/>
  <c r="P561" i="5"/>
  <c r="P577" i="5"/>
  <c r="P627" i="5"/>
  <c r="P645" i="5"/>
  <c r="P661" i="5"/>
  <c r="P680" i="5"/>
  <c r="P697" i="5"/>
  <c r="P716" i="5"/>
  <c r="P735" i="5"/>
  <c r="P810" i="5"/>
  <c r="P848" i="5"/>
  <c r="P905" i="5"/>
  <c r="P925" i="5"/>
  <c r="P1060" i="5"/>
  <c r="P1098" i="5"/>
  <c r="P1155" i="5"/>
  <c r="P1183" i="5"/>
  <c r="P1243" i="5"/>
  <c r="P1283" i="5"/>
  <c r="P1323" i="5"/>
  <c r="P1412" i="5"/>
  <c r="P1464" i="5"/>
  <c r="P1507" i="5"/>
  <c r="P1556" i="5"/>
  <c r="P1604" i="5"/>
  <c r="P1703" i="5"/>
  <c r="P1864" i="5"/>
  <c r="P1926" i="5"/>
  <c r="P1823" i="5"/>
  <c r="P143" i="5"/>
  <c r="P319" i="5"/>
  <c r="P425" i="5"/>
  <c r="P598" i="5"/>
  <c r="P720" i="5"/>
  <c r="P851" i="5"/>
  <c r="P1064" i="5"/>
  <c r="P101" i="5"/>
  <c r="P111" i="5"/>
  <c r="P121" i="5"/>
  <c r="P131" i="5"/>
  <c r="P141" i="5"/>
  <c r="P151" i="5"/>
  <c r="P161" i="5"/>
  <c r="P171" i="5"/>
  <c r="P181" i="5"/>
  <c r="P191" i="5"/>
  <c r="P201" i="5"/>
  <c r="P211" i="5"/>
  <c r="P246" i="5"/>
  <c r="P258" i="5"/>
  <c r="P281" i="5"/>
  <c r="P305" i="5"/>
  <c r="P340" i="5"/>
  <c r="P364" i="5"/>
  <c r="P387" i="5"/>
  <c r="P399" i="5"/>
  <c r="P446" i="5"/>
  <c r="P498" i="5"/>
  <c r="P514" i="5"/>
  <c r="P578" i="5"/>
  <c r="P596" i="5"/>
  <c r="P611" i="5"/>
  <c r="P790" i="5"/>
  <c r="P867" i="5"/>
  <c r="P887" i="5"/>
  <c r="P964" i="5"/>
  <c r="P984" i="5"/>
  <c r="P1001" i="5"/>
  <c r="P1040" i="5"/>
  <c r="P1117" i="5"/>
  <c r="P1137" i="5"/>
  <c r="P1184" i="5"/>
  <c r="P1214" i="5"/>
  <c r="P1244" i="5"/>
  <c r="P1284" i="5"/>
  <c r="P1326" i="5"/>
  <c r="P1373" i="5"/>
  <c r="P1513" i="5"/>
  <c r="P1704" i="5"/>
  <c r="P1756" i="5"/>
  <c r="P1811" i="5"/>
  <c r="P1986" i="5"/>
  <c r="P910" i="5"/>
  <c r="P153" i="5"/>
  <c r="P401" i="5"/>
  <c r="P531" i="5"/>
  <c r="P834" i="5"/>
  <c r="P1476" i="5"/>
  <c r="P235" i="5"/>
  <c r="P270" i="5"/>
  <c r="P294" i="5"/>
  <c r="P317" i="5"/>
  <c r="P329" i="5"/>
  <c r="P376" i="5"/>
  <c r="P388" i="5"/>
  <c r="P411" i="5"/>
  <c r="P435" i="5"/>
  <c r="P459" i="5"/>
  <c r="P471" i="5"/>
  <c r="P485" i="5"/>
  <c r="P528" i="5"/>
  <c r="P545" i="5"/>
  <c r="P646" i="5"/>
  <c r="P681" i="5"/>
  <c r="P700" i="5"/>
  <c r="P717" i="5"/>
  <c r="P737" i="5"/>
  <c r="P754" i="5"/>
  <c r="P774" i="5"/>
  <c r="P791" i="5"/>
  <c r="P811" i="5"/>
  <c r="P926" i="5"/>
  <c r="P946" i="5"/>
  <c r="P1024" i="5"/>
  <c r="P1041" i="5"/>
  <c r="P1061" i="5"/>
  <c r="P1158" i="5"/>
  <c r="P1185" i="5"/>
  <c r="P1215" i="5"/>
  <c r="P1291" i="5"/>
  <c r="P1332" i="5"/>
  <c r="P1374" i="5"/>
  <c r="P1466" i="5"/>
  <c r="P1514" i="5"/>
  <c r="P1606" i="5"/>
  <c r="P1656" i="5"/>
  <c r="P1762" i="5"/>
  <c r="P1866" i="5"/>
  <c r="P163" i="5"/>
  <c r="P225" i="5"/>
  <c r="P307" i="5"/>
  <c r="P814" i="5"/>
  <c r="P890" i="5"/>
  <c r="P987" i="5"/>
  <c r="P1084" i="5"/>
  <c r="P1101" i="5"/>
  <c r="P1140" i="5"/>
  <c r="P1219" i="5"/>
  <c r="P102" i="5"/>
  <c r="P112" i="5"/>
  <c r="P122" i="5"/>
  <c r="P132" i="5"/>
  <c r="P142" i="5"/>
  <c r="P152" i="5"/>
  <c r="P162" i="5"/>
  <c r="P172" i="5"/>
  <c r="P182" i="5"/>
  <c r="P192" i="5"/>
  <c r="P202" i="5"/>
  <c r="P224" i="5"/>
  <c r="P247" i="5"/>
  <c r="P259" i="5"/>
  <c r="P306" i="5"/>
  <c r="P318" i="5"/>
  <c r="P341" i="5"/>
  <c r="P365" i="5"/>
  <c r="P400" i="5"/>
  <c r="P424" i="5"/>
  <c r="P447" i="5"/>
  <c r="P500" i="5"/>
  <c r="P515" i="5"/>
  <c r="P597" i="5"/>
  <c r="P614" i="5"/>
  <c r="P631" i="5"/>
  <c r="P665" i="5"/>
  <c r="P718" i="5"/>
  <c r="P755" i="5"/>
  <c r="P830" i="5"/>
  <c r="P850" i="5"/>
  <c r="P870" i="5"/>
  <c r="P888" i="5"/>
  <c r="P908" i="5"/>
  <c r="P986" i="5"/>
  <c r="P1080" i="5"/>
  <c r="P1100" i="5"/>
  <c r="P1120" i="5"/>
  <c r="P1138" i="5"/>
  <c r="P1159" i="5"/>
  <c r="P1294" i="5"/>
  <c r="P1333" i="5"/>
  <c r="P1423" i="5"/>
  <c r="P1467" i="5"/>
  <c r="P1611" i="5"/>
  <c r="P1662" i="5"/>
  <c r="P1711" i="5"/>
  <c r="P1942" i="5"/>
  <c r="P686" i="5"/>
  <c r="P721" i="5"/>
  <c r="P745" i="5"/>
  <c r="P768" i="5"/>
  <c r="P794" i="5"/>
  <c r="P806" i="5"/>
  <c r="P818" i="5"/>
  <c r="P844" i="5"/>
  <c r="P856" i="5"/>
  <c r="P868" i="5"/>
  <c r="P894" i="5"/>
  <c r="P906" i="5"/>
  <c r="P918" i="5"/>
  <c r="P944" i="5"/>
  <c r="P956" i="5"/>
  <c r="P968" i="5"/>
  <c r="P994" i="5"/>
  <c r="P1006" i="5"/>
  <c r="P1018" i="5"/>
  <c r="P1044" i="5"/>
  <c r="P1056" i="5"/>
  <c r="P1068" i="5"/>
  <c r="P1094" i="5"/>
  <c r="P1106" i="5"/>
  <c r="P1118" i="5"/>
  <c r="P1144" i="5"/>
  <c r="P1156" i="5"/>
  <c r="P1173" i="5"/>
  <c r="P1212" i="5"/>
  <c r="P1231" i="5"/>
  <c r="P1252" i="5"/>
  <c r="P1307" i="5"/>
  <c r="P1336" i="5"/>
  <c r="P1457" i="5"/>
  <c r="P1483" i="5"/>
  <c r="P1516" i="5"/>
  <c r="P1574" i="5"/>
  <c r="P1642" i="5"/>
  <c r="P1671" i="5"/>
  <c r="P1742" i="5"/>
  <c r="P1771" i="5"/>
  <c r="P1806" i="5"/>
  <c r="P1844" i="5"/>
  <c r="P1883" i="5"/>
  <c r="P1923" i="5"/>
  <c r="P1963" i="5"/>
  <c r="P534" i="5"/>
  <c r="P557" i="5"/>
  <c r="P616" i="5"/>
  <c r="P651" i="5"/>
  <c r="P675" i="5"/>
  <c r="P698" i="5"/>
  <c r="P710" i="5"/>
  <c r="P734" i="5"/>
  <c r="P757" i="5"/>
  <c r="P781" i="5"/>
  <c r="P831" i="5"/>
  <c r="P881" i="5"/>
  <c r="P931" i="5"/>
  <c r="P981" i="5"/>
  <c r="P1031" i="5"/>
  <c r="P1081" i="5"/>
  <c r="P1131" i="5"/>
  <c r="P1174" i="5"/>
  <c r="P1192" i="5"/>
  <c r="P1253" i="5"/>
  <c r="P1282" i="5"/>
  <c r="P1367" i="5"/>
  <c r="P1393" i="5"/>
  <c r="P1426" i="5"/>
  <c r="P1484" i="5"/>
  <c r="P1551" i="5"/>
  <c r="P1607" i="5"/>
  <c r="P1706" i="5"/>
  <c r="P1884" i="5"/>
  <c r="P1924" i="5"/>
  <c r="P1964" i="5"/>
  <c r="P456" i="5"/>
  <c r="P466" i="5"/>
  <c r="P476" i="5"/>
  <c r="P487" i="5"/>
  <c r="P546" i="5"/>
  <c r="P581" i="5"/>
  <c r="P605" i="5"/>
  <c r="P628" i="5"/>
  <c r="P640" i="5"/>
  <c r="P664" i="5"/>
  <c r="P687" i="5"/>
  <c r="P746" i="5"/>
  <c r="P795" i="5"/>
  <c r="P807" i="5"/>
  <c r="P845" i="5"/>
  <c r="P857" i="5"/>
  <c r="P895" i="5"/>
  <c r="P907" i="5"/>
  <c r="P945" i="5"/>
  <c r="P957" i="5"/>
  <c r="P995" i="5"/>
  <c r="P1007" i="5"/>
  <c r="P1045" i="5"/>
  <c r="P1057" i="5"/>
  <c r="P1095" i="5"/>
  <c r="P1107" i="5"/>
  <c r="P1145" i="5"/>
  <c r="P1157" i="5"/>
  <c r="P1213" i="5"/>
  <c r="P1232" i="5"/>
  <c r="P1257" i="5"/>
  <c r="P1313" i="5"/>
  <c r="P1337" i="5"/>
  <c r="P1461" i="5"/>
  <c r="P1486" i="5"/>
  <c r="P1517" i="5"/>
  <c r="P1643" i="5"/>
  <c r="P1743" i="5"/>
  <c r="P1846" i="5"/>
  <c r="P536" i="5"/>
  <c r="P571" i="5"/>
  <c r="P595" i="5"/>
  <c r="P618" i="5"/>
  <c r="P630" i="5"/>
  <c r="P654" i="5"/>
  <c r="P677" i="5"/>
  <c r="P736" i="5"/>
  <c r="P771" i="5"/>
  <c r="P821" i="5"/>
  <c r="P871" i="5"/>
  <c r="P921" i="5"/>
  <c r="P971" i="5"/>
  <c r="P1021" i="5"/>
  <c r="P1071" i="5"/>
  <c r="P1121" i="5"/>
  <c r="P1177" i="5"/>
  <c r="P1197" i="5"/>
  <c r="P1286" i="5"/>
  <c r="P1316" i="5"/>
  <c r="P1342" i="5"/>
  <c r="P1372" i="5"/>
  <c r="P1404" i="5"/>
  <c r="P1431" i="5"/>
  <c r="P1553" i="5"/>
  <c r="P1586" i="5"/>
  <c r="P1612" i="5"/>
  <c r="P1646" i="5"/>
  <c r="P1746" i="5"/>
  <c r="P1816" i="5"/>
  <c r="P1851" i="5"/>
  <c r="P548" i="5"/>
  <c r="P560" i="5"/>
  <c r="P584" i="5"/>
  <c r="P607" i="5"/>
  <c r="P666" i="5"/>
  <c r="P701" i="5"/>
  <c r="P725" i="5"/>
  <c r="P748" i="5"/>
  <c r="P760" i="5"/>
  <c r="P785" i="5"/>
  <c r="P797" i="5"/>
  <c r="P835" i="5"/>
  <c r="P847" i="5"/>
  <c r="P885" i="5"/>
  <c r="P897" i="5"/>
  <c r="P935" i="5"/>
  <c r="P947" i="5"/>
  <c r="P985" i="5"/>
  <c r="P997" i="5"/>
  <c r="P1035" i="5"/>
  <c r="P1047" i="5"/>
  <c r="P1085" i="5"/>
  <c r="P1097" i="5"/>
  <c r="P1135" i="5"/>
  <c r="P1147" i="5"/>
  <c r="P1178" i="5"/>
  <c r="P1198" i="5"/>
  <c r="P1216" i="5"/>
  <c r="P1236" i="5"/>
  <c r="P1262" i="5"/>
  <c r="P1344" i="5"/>
  <c r="P1432" i="5"/>
  <c r="P1463" i="5"/>
  <c r="P1496" i="5"/>
  <c r="P1554" i="5"/>
  <c r="P1613" i="5"/>
  <c r="P1683" i="5"/>
  <c r="P1783" i="5"/>
  <c r="P1822" i="5"/>
  <c r="P1891" i="5"/>
  <c r="P1931" i="5"/>
  <c r="P1971" i="5"/>
  <c r="P212" i="5"/>
  <c r="P222" i="5"/>
  <c r="P232" i="5"/>
  <c r="P242" i="5"/>
  <c r="P252" i="5"/>
  <c r="P262" i="5"/>
  <c r="P272" i="5"/>
  <c r="P282" i="5"/>
  <c r="P292" i="5"/>
  <c r="P302" i="5"/>
  <c r="P312" i="5"/>
  <c r="P322" i="5"/>
  <c r="P332" i="5"/>
  <c r="P342" i="5"/>
  <c r="P352" i="5"/>
  <c r="P362" i="5"/>
  <c r="P372" i="5"/>
  <c r="P382" i="5"/>
  <c r="P392" i="5"/>
  <c r="P402" i="5"/>
  <c r="P412" i="5"/>
  <c r="P422" i="5"/>
  <c r="P432" i="5"/>
  <c r="P442" i="5"/>
  <c r="P452" i="5"/>
  <c r="P462" i="5"/>
  <c r="P472" i="5"/>
  <c r="P506" i="5"/>
  <c r="P541" i="5"/>
  <c r="P565" i="5"/>
  <c r="P588" i="5"/>
  <c r="P600" i="5"/>
  <c r="P624" i="5"/>
  <c r="P647" i="5"/>
  <c r="P706" i="5"/>
  <c r="P741" i="5"/>
  <c r="P765" i="5"/>
  <c r="P777" i="5"/>
  <c r="P815" i="5"/>
  <c r="P827" i="5"/>
  <c r="P865" i="5"/>
  <c r="P877" i="5"/>
  <c r="P915" i="5"/>
  <c r="P927" i="5"/>
  <c r="P965" i="5"/>
  <c r="P977" i="5"/>
  <c r="P1015" i="5"/>
  <c r="P1027" i="5"/>
  <c r="P1065" i="5"/>
  <c r="P1077" i="5"/>
  <c r="P1115" i="5"/>
  <c r="P1127" i="5"/>
  <c r="P1169" i="5"/>
  <c r="P1186" i="5"/>
  <c r="P1205" i="5"/>
  <c r="P1246" i="5"/>
  <c r="P1272" i="5"/>
  <c r="P1301" i="5"/>
  <c r="P1413" i="5"/>
  <c r="P1477" i="5"/>
  <c r="P1504" i="5"/>
  <c r="P1536" i="5"/>
  <c r="P1663" i="5"/>
  <c r="P1763" i="5"/>
  <c r="P1796" i="5"/>
  <c r="P1831" i="5"/>
  <c r="P223" i="5"/>
  <c r="P233" i="5"/>
  <c r="P243" i="5"/>
  <c r="P253" i="5"/>
  <c r="P263" i="5"/>
  <c r="P273" i="5"/>
  <c r="P283" i="5"/>
  <c r="P293" i="5"/>
  <c r="P303" i="5"/>
  <c r="P313" i="5"/>
  <c r="P323" i="5"/>
  <c r="P333" i="5"/>
  <c r="P343" i="5"/>
  <c r="P353" i="5"/>
  <c r="P363" i="5"/>
  <c r="P373" i="5"/>
  <c r="P383" i="5"/>
  <c r="P393" i="5"/>
  <c r="P403" i="5"/>
  <c r="P413" i="5"/>
  <c r="P423" i="5"/>
  <c r="P433" i="5"/>
  <c r="P443" i="5"/>
  <c r="P453" i="5"/>
  <c r="P463" i="5"/>
  <c r="P473" i="5"/>
  <c r="P484" i="5"/>
  <c r="P507" i="5"/>
  <c r="P566" i="5"/>
  <c r="P601" i="5"/>
  <c r="P625" i="5"/>
  <c r="P648" i="5"/>
  <c r="P660" i="5"/>
  <c r="P684" i="5"/>
  <c r="P707" i="5"/>
  <c r="P766" i="5"/>
  <c r="P778" i="5"/>
  <c r="P804" i="5"/>
  <c r="P816" i="5"/>
  <c r="P828" i="5"/>
  <c r="P854" i="5"/>
  <c r="P866" i="5"/>
  <c r="P878" i="5"/>
  <c r="P904" i="5"/>
  <c r="P916" i="5"/>
  <c r="P928" i="5"/>
  <c r="P954" i="5"/>
  <c r="P966" i="5"/>
  <c r="P978" i="5"/>
  <c r="P1004" i="5"/>
  <c r="P1016" i="5"/>
  <c r="P1028" i="5"/>
  <c r="P1054" i="5"/>
  <c r="P1066" i="5"/>
  <c r="P1078" i="5"/>
  <c r="P1104" i="5"/>
  <c r="P1116" i="5"/>
  <c r="P1128" i="5"/>
  <c r="P1154" i="5"/>
  <c r="P1171" i="5"/>
  <c r="P1187" i="5"/>
  <c r="P1206" i="5"/>
  <c r="P1247" i="5"/>
  <c r="P1302" i="5"/>
  <c r="P1422" i="5"/>
  <c r="P1481" i="5"/>
  <c r="P1537" i="5"/>
  <c r="P1603" i="5"/>
  <c r="P1631" i="5"/>
  <c r="P1702" i="5"/>
  <c r="P1731" i="5"/>
  <c r="P1836" i="5"/>
  <c r="P1871" i="5"/>
  <c r="P1911" i="5"/>
  <c r="P1951" i="5"/>
  <c r="P1991" i="5"/>
  <c r="P479" i="5"/>
  <c r="P489" i="5"/>
  <c r="P499" i="5"/>
  <c r="P509" i="5"/>
  <c r="P519" i="5"/>
  <c r="P529" i="5"/>
  <c r="P539" i="5"/>
  <c r="P549" i="5"/>
  <c r="P559" i="5"/>
  <c r="P569" i="5"/>
  <c r="P579" i="5"/>
  <c r="P589" i="5"/>
  <c r="P599" i="5"/>
  <c r="P609" i="5"/>
  <c r="P619" i="5"/>
  <c r="P629" i="5"/>
  <c r="P639" i="5"/>
  <c r="P649" i="5"/>
  <c r="P659" i="5"/>
  <c r="P669" i="5"/>
  <c r="P679" i="5"/>
  <c r="P689" i="5"/>
  <c r="P699" i="5"/>
  <c r="P709" i="5"/>
  <c r="P719" i="5"/>
  <c r="P729" i="5"/>
  <c r="P739" i="5"/>
  <c r="P749" i="5"/>
  <c r="P759" i="5"/>
  <c r="P769" i="5"/>
  <c r="P779" i="5"/>
  <c r="P789" i="5"/>
  <c r="P799" i="5"/>
  <c r="P809" i="5"/>
  <c r="P819" i="5"/>
  <c r="P829" i="5"/>
  <c r="P839" i="5"/>
  <c r="P849" i="5"/>
  <c r="P859" i="5"/>
  <c r="P869" i="5"/>
  <c r="P879" i="5"/>
  <c r="P889" i="5"/>
  <c r="P899" i="5"/>
  <c r="P909" i="5"/>
  <c r="P919" i="5"/>
  <c r="P929" i="5"/>
  <c r="P939" i="5"/>
  <c r="P949" i="5"/>
  <c r="P959" i="5"/>
  <c r="P969" i="5"/>
  <c r="P979" i="5"/>
  <c r="P989" i="5"/>
  <c r="P999" i="5"/>
  <c r="P1009" i="5"/>
  <c r="P1019" i="5"/>
  <c r="P1029" i="5"/>
  <c r="P1039" i="5"/>
  <c r="P1049" i="5"/>
  <c r="P1059" i="5"/>
  <c r="P1069" i="5"/>
  <c r="P1079" i="5"/>
  <c r="P1089" i="5"/>
  <c r="P1099" i="5"/>
  <c r="P1109" i="5"/>
  <c r="P1119" i="5"/>
  <c r="P1129" i="5"/>
  <c r="P1139" i="5"/>
  <c r="P1149" i="5"/>
  <c r="P1161" i="5"/>
  <c r="P1175" i="5"/>
  <c r="P1189" i="5"/>
  <c r="P1203" i="5"/>
  <c r="P1217" i="5"/>
  <c r="P1303" i="5"/>
  <c r="P1322" i="5"/>
  <c r="P1341" i="5"/>
  <c r="P1357" i="5"/>
  <c r="P1376" i="5"/>
  <c r="P1394" i="5"/>
  <c r="P1503" i="5"/>
  <c r="P1522" i="5"/>
  <c r="P1541" i="5"/>
  <c r="P1557" i="5"/>
  <c r="P1576" i="5"/>
  <c r="P1594" i="5"/>
  <c r="P1632" i="5"/>
  <c r="P1652" i="5"/>
  <c r="P1672" i="5"/>
  <c r="P1692" i="5"/>
  <c r="P1712" i="5"/>
  <c r="P1732" i="5"/>
  <c r="P1752" i="5"/>
  <c r="P1772" i="5"/>
  <c r="P1792" i="5"/>
  <c r="P1812" i="5"/>
  <c r="P1832" i="5"/>
  <c r="P1852" i="5"/>
  <c r="P1872" i="5"/>
  <c r="P1892" i="5"/>
  <c r="P1912" i="5"/>
  <c r="P1932" i="5"/>
  <c r="P1952" i="5"/>
  <c r="P1972" i="5"/>
  <c r="P1992" i="5"/>
  <c r="P1377" i="5"/>
  <c r="P1396" i="5"/>
  <c r="P1414" i="5"/>
  <c r="P1523" i="5"/>
  <c r="P1542" i="5"/>
  <c r="P1561" i="5"/>
  <c r="P1577" i="5"/>
  <c r="P1596" i="5"/>
  <c r="P1614" i="5"/>
  <c r="P1633" i="5"/>
  <c r="P1653" i="5"/>
  <c r="P1673" i="5"/>
  <c r="P1693" i="5"/>
  <c r="P1713" i="5"/>
  <c r="P1733" i="5"/>
  <c r="P1753" i="5"/>
  <c r="P1773" i="5"/>
  <c r="P1793" i="5"/>
  <c r="P1813" i="5"/>
  <c r="P1833" i="5"/>
  <c r="P1853" i="5"/>
  <c r="P1873" i="5"/>
  <c r="P1893" i="5"/>
  <c r="P1913" i="5"/>
  <c r="P1933" i="5"/>
  <c r="P1953" i="5"/>
  <c r="P1973" i="5"/>
  <c r="P1993" i="5"/>
  <c r="P1271" i="5"/>
  <c r="P1287" i="5"/>
  <c r="P1306" i="5"/>
  <c r="P1324" i="5"/>
  <c r="P1433" i="5"/>
  <c r="P1452" i="5"/>
  <c r="P1471" i="5"/>
  <c r="P1487" i="5"/>
  <c r="P1506" i="5"/>
  <c r="P1524" i="5"/>
  <c r="P1634" i="5"/>
  <c r="P1654" i="5"/>
  <c r="P1674" i="5"/>
  <c r="P1694" i="5"/>
  <c r="P1714" i="5"/>
  <c r="P1734" i="5"/>
  <c r="P1754" i="5"/>
  <c r="P1774" i="5"/>
  <c r="P1794" i="5"/>
  <c r="P1814" i="5"/>
  <c r="P1834" i="5"/>
  <c r="P1854" i="5"/>
  <c r="P1874" i="5"/>
  <c r="P1894" i="5"/>
  <c r="P1914" i="5"/>
  <c r="P1934" i="5"/>
  <c r="P1954" i="5"/>
  <c r="P1974" i="5"/>
  <c r="P1994" i="5"/>
  <c r="P1343" i="5"/>
  <c r="P1362" i="5"/>
  <c r="P1381" i="5"/>
  <c r="P1397" i="5"/>
  <c r="P1416" i="5"/>
  <c r="P1434" i="5"/>
  <c r="P1543" i="5"/>
  <c r="P1562" i="5"/>
  <c r="P1581" i="5"/>
  <c r="P1597" i="5"/>
  <c r="P1616" i="5"/>
  <c r="P1876" i="5"/>
  <c r="P1896" i="5"/>
  <c r="P1916" i="5"/>
  <c r="P1936" i="5"/>
  <c r="P1956" i="5"/>
  <c r="P1976" i="5"/>
  <c r="P1996" i="5"/>
  <c r="P492" i="5"/>
  <c r="P502" i="5"/>
  <c r="P512" i="5"/>
  <c r="P522" i="5"/>
  <c r="P532" i="5"/>
  <c r="P542" i="5"/>
  <c r="P552" i="5"/>
  <c r="P562" i="5"/>
  <c r="P572" i="5"/>
  <c r="P582" i="5"/>
  <c r="P592" i="5"/>
  <c r="P602" i="5"/>
  <c r="P612" i="5"/>
  <c r="P622" i="5"/>
  <c r="P632" i="5"/>
  <c r="P642" i="5"/>
  <c r="P652" i="5"/>
  <c r="P662" i="5"/>
  <c r="P672" i="5"/>
  <c r="P682" i="5"/>
  <c r="P692" i="5"/>
  <c r="P702" i="5"/>
  <c r="P712" i="5"/>
  <c r="P722" i="5"/>
  <c r="P732" i="5"/>
  <c r="P742" i="5"/>
  <c r="P752" i="5"/>
  <c r="P762" i="5"/>
  <c r="P772" i="5"/>
  <c r="P782" i="5"/>
  <c r="P792" i="5"/>
  <c r="P802" i="5"/>
  <c r="P812" i="5"/>
  <c r="P822" i="5"/>
  <c r="P832" i="5"/>
  <c r="P842" i="5"/>
  <c r="P852" i="5"/>
  <c r="P862" i="5"/>
  <c r="P872" i="5"/>
  <c r="P882" i="5"/>
  <c r="P892" i="5"/>
  <c r="P902" i="5"/>
  <c r="P912" i="5"/>
  <c r="P922" i="5"/>
  <c r="P932" i="5"/>
  <c r="P942" i="5"/>
  <c r="P952" i="5"/>
  <c r="P962" i="5"/>
  <c r="P972" i="5"/>
  <c r="P982" i="5"/>
  <c r="P992" i="5"/>
  <c r="P1002" i="5"/>
  <c r="P1012" i="5"/>
  <c r="P1022" i="5"/>
  <c r="P1032" i="5"/>
  <c r="P1042" i="5"/>
  <c r="P1052" i="5"/>
  <c r="P1062" i="5"/>
  <c r="P1072" i="5"/>
  <c r="P1082" i="5"/>
  <c r="P1092" i="5"/>
  <c r="P1102" i="5"/>
  <c r="P1112" i="5"/>
  <c r="P1122" i="5"/>
  <c r="P1132" i="5"/>
  <c r="P1142" i="5"/>
  <c r="P1152" i="5"/>
  <c r="P1165" i="5"/>
  <c r="P1179" i="5"/>
  <c r="P1193" i="5"/>
  <c r="P1207" i="5"/>
  <c r="P1222" i="5"/>
  <c r="P1237" i="5"/>
  <c r="P1254" i="5"/>
  <c r="P1363" i="5"/>
  <c r="P1382" i="5"/>
  <c r="P1401" i="5"/>
  <c r="P1417" i="5"/>
  <c r="P1436" i="5"/>
  <c r="P1454" i="5"/>
  <c r="P1563" i="5"/>
  <c r="P1582" i="5"/>
  <c r="P1601" i="5"/>
  <c r="P1617" i="5"/>
  <c r="P1194" i="5"/>
  <c r="P1208" i="5"/>
  <c r="P1239" i="5"/>
  <c r="P1273" i="5"/>
  <c r="P1292" i="5"/>
  <c r="P1311" i="5"/>
  <c r="P1327" i="5"/>
  <c r="P1346" i="5"/>
  <c r="P1364" i="5"/>
  <c r="P1473" i="5"/>
  <c r="P1492" i="5"/>
  <c r="P1511" i="5"/>
  <c r="P1527" i="5"/>
  <c r="P1546" i="5"/>
  <c r="P1564" i="5"/>
  <c r="P483" i="5"/>
  <c r="P493" i="5"/>
  <c r="P503" i="5"/>
  <c r="P513" i="5"/>
  <c r="P523" i="5"/>
  <c r="P533" i="5"/>
  <c r="P543" i="5"/>
  <c r="P553" i="5"/>
  <c r="P563" i="5"/>
  <c r="P573" i="5"/>
  <c r="P583" i="5"/>
  <c r="P593" i="5"/>
  <c r="P603" i="5"/>
  <c r="P613" i="5"/>
  <c r="P623" i="5"/>
  <c r="P633" i="5"/>
  <c r="P643" i="5"/>
  <c r="P653" i="5"/>
  <c r="P663" i="5"/>
  <c r="P673" i="5"/>
  <c r="P683" i="5"/>
  <c r="P693" i="5"/>
  <c r="P703" i="5"/>
  <c r="P713" i="5"/>
  <c r="P723" i="5"/>
  <c r="P733" i="5"/>
  <c r="P743" i="5"/>
  <c r="P753" i="5"/>
  <c r="P763" i="5"/>
  <c r="P773" i="5"/>
  <c r="P783" i="5"/>
  <c r="P793" i="5"/>
  <c r="P803" i="5"/>
  <c r="P813" i="5"/>
  <c r="P823" i="5"/>
  <c r="P833" i="5"/>
  <c r="P843" i="5"/>
  <c r="P853" i="5"/>
  <c r="P863" i="5"/>
  <c r="P873" i="5"/>
  <c r="P883" i="5"/>
  <c r="P893" i="5"/>
  <c r="P903" i="5"/>
  <c r="P913" i="5"/>
  <c r="P923" i="5"/>
  <c r="P933" i="5"/>
  <c r="P943" i="5"/>
  <c r="P953" i="5"/>
  <c r="P963" i="5"/>
  <c r="P973" i="5"/>
  <c r="P983" i="5"/>
  <c r="P993" i="5"/>
  <c r="P1003" i="5"/>
  <c r="P1013" i="5"/>
  <c r="P1023" i="5"/>
  <c r="P1033" i="5"/>
  <c r="P1043" i="5"/>
  <c r="P1053" i="5"/>
  <c r="P1063" i="5"/>
  <c r="P1073" i="5"/>
  <c r="P1083" i="5"/>
  <c r="P1093" i="5"/>
  <c r="P1103" i="5"/>
  <c r="P1113" i="5"/>
  <c r="P1123" i="5"/>
  <c r="P1133" i="5"/>
  <c r="P1143" i="5"/>
  <c r="P1153" i="5"/>
  <c r="P1166" i="5"/>
  <c r="P1181" i="5"/>
  <c r="P1195" i="5"/>
  <c r="P1209" i="5"/>
  <c r="P1223" i="5"/>
  <c r="P1256" i="5"/>
  <c r="P1274" i="5"/>
  <c r="P1383" i="5"/>
  <c r="P1402" i="5"/>
  <c r="P1421" i="5"/>
  <c r="P1437" i="5"/>
  <c r="P1456" i="5"/>
  <c r="P1474" i="5"/>
  <c r="P1583" i="5"/>
  <c r="P1602" i="5"/>
  <c r="P1621" i="5"/>
  <c r="P1641" i="5"/>
  <c r="P1661" i="5"/>
  <c r="P1681" i="5"/>
  <c r="P1701" i="5"/>
  <c r="P1721" i="5"/>
  <c r="P1741" i="5"/>
  <c r="P1761" i="5"/>
  <c r="P1781" i="5"/>
  <c r="P1801" i="5"/>
  <c r="P1821" i="5"/>
  <c r="P1841" i="5"/>
  <c r="P1861" i="5"/>
  <c r="P1881" i="5"/>
  <c r="P1901" i="5"/>
  <c r="P1921" i="5"/>
  <c r="P1941" i="5"/>
  <c r="P1961" i="5"/>
  <c r="P1981" i="5"/>
  <c r="P2002" i="5"/>
  <c r="P1224" i="5"/>
  <c r="P1241" i="5"/>
  <c r="P1293" i="5"/>
  <c r="P1312" i="5"/>
  <c r="P1331" i="5"/>
  <c r="P1347" i="5"/>
  <c r="P1366" i="5"/>
  <c r="P1384" i="5"/>
  <c r="P1493" i="5"/>
  <c r="P1512" i="5"/>
  <c r="P1531" i="5"/>
  <c r="P1547" i="5"/>
  <c r="P1566" i="5"/>
  <c r="P1584" i="5"/>
  <c r="P1235" i="5"/>
  <c r="P1245" i="5"/>
  <c r="P1255" i="5"/>
  <c r="P1265" i="5"/>
  <c r="P1275" i="5"/>
  <c r="P1285" i="5"/>
  <c r="P1295" i="5"/>
  <c r="P1305" i="5"/>
  <c r="P1315" i="5"/>
  <c r="P1325" i="5"/>
  <c r="P1335" i="5"/>
  <c r="P1345" i="5"/>
  <c r="P1355" i="5"/>
  <c r="P1365" i="5"/>
  <c r="P1375" i="5"/>
  <c r="P1385" i="5"/>
  <c r="P1395" i="5"/>
  <c r="P1405" i="5"/>
  <c r="P1415" i="5"/>
  <c r="P1425" i="5"/>
  <c r="P1435" i="5"/>
  <c r="P1445" i="5"/>
  <c r="P1455" i="5"/>
  <c r="P1465" i="5"/>
  <c r="P1475" i="5"/>
  <c r="P1485" i="5"/>
  <c r="P1495" i="5"/>
  <c r="P1505" i="5"/>
  <c r="P1515" i="5"/>
  <c r="P1525" i="5"/>
  <c r="P1535" i="5"/>
  <c r="P1545" i="5"/>
  <c r="P1555" i="5"/>
  <c r="P1565" i="5"/>
  <c r="P1575" i="5"/>
  <c r="P1585" i="5"/>
  <c r="P1595" i="5"/>
  <c r="P1605" i="5"/>
  <c r="P1615" i="5"/>
  <c r="P1625" i="5"/>
  <c r="P1635" i="5"/>
  <c r="P1645" i="5"/>
  <c r="P1655" i="5"/>
  <c r="P1665" i="5"/>
  <c r="P1675" i="5"/>
  <c r="P1685" i="5"/>
  <c r="P1695" i="5"/>
  <c r="P1705" i="5"/>
  <c r="P1715" i="5"/>
  <c r="P1725" i="5"/>
  <c r="P1735" i="5"/>
  <c r="P1745" i="5"/>
  <c r="P1755" i="5"/>
  <c r="P1765" i="5"/>
  <c r="P1775" i="5"/>
  <c r="P1785" i="5"/>
  <c r="P1795" i="5"/>
  <c r="P1805" i="5"/>
  <c r="P1815" i="5"/>
  <c r="P1825" i="5"/>
  <c r="P1835" i="5"/>
  <c r="P1845" i="5"/>
  <c r="P1855" i="5"/>
  <c r="P1865" i="5"/>
  <c r="P1875" i="5"/>
  <c r="P1885" i="5"/>
  <c r="P1895" i="5"/>
  <c r="P1905" i="5"/>
  <c r="P1915" i="5"/>
  <c r="P1925" i="5"/>
  <c r="P1935" i="5"/>
  <c r="P1945" i="5"/>
  <c r="P1955" i="5"/>
  <c r="P1965" i="5"/>
  <c r="P1975" i="5"/>
  <c r="P1985" i="5"/>
  <c r="P1995" i="5"/>
  <c r="P1627" i="5"/>
  <c r="P1637" i="5"/>
  <c r="P1647" i="5"/>
  <c r="P1657" i="5"/>
  <c r="P1667" i="5"/>
  <c r="P1677" i="5"/>
  <c r="P1687" i="5"/>
  <c r="P1697" i="5"/>
  <c r="P1707" i="5"/>
  <c r="P1717" i="5"/>
  <c r="P1727" i="5"/>
  <c r="P1737" i="5"/>
  <c r="P1747" i="5"/>
  <c r="P1757" i="5"/>
  <c r="P1767" i="5"/>
  <c r="P1777" i="5"/>
  <c r="P1787" i="5"/>
  <c r="P1797" i="5"/>
  <c r="P1807" i="5"/>
  <c r="P1817" i="5"/>
  <c r="P1827" i="5"/>
  <c r="P1837" i="5"/>
  <c r="P1847" i="5"/>
  <c r="P1857" i="5"/>
  <c r="P1867" i="5"/>
  <c r="P1877" i="5"/>
  <c r="P1887" i="5"/>
  <c r="P1897" i="5"/>
  <c r="P1907" i="5"/>
  <c r="P1917" i="5"/>
  <c r="P1927" i="5"/>
  <c r="P1937" i="5"/>
  <c r="P1947" i="5"/>
  <c r="P1957" i="5"/>
  <c r="P1967" i="5"/>
  <c r="P1977" i="5"/>
  <c r="P1987" i="5"/>
  <c r="P1997" i="5"/>
  <c r="P1228" i="5"/>
  <c r="P1238" i="5"/>
  <c r="P1248" i="5"/>
  <c r="P1258" i="5"/>
  <c r="P1268" i="5"/>
  <c r="P1278" i="5"/>
  <c r="P1288" i="5"/>
  <c r="P1298" i="5"/>
  <c r="P1308" i="5"/>
  <c r="P1318" i="5"/>
  <c r="P1328" i="5"/>
  <c r="P1338" i="5"/>
  <c r="P1348" i="5"/>
  <c r="P1358" i="5"/>
  <c r="P1368" i="5"/>
  <c r="P1378" i="5"/>
  <c r="P1388" i="5"/>
  <c r="P1398" i="5"/>
  <c r="P1408" i="5"/>
  <c r="P1418" i="5"/>
  <c r="P1428" i="5"/>
  <c r="P1438" i="5"/>
  <c r="P1448" i="5"/>
  <c r="P1458" i="5"/>
  <c r="P1468" i="5"/>
  <c r="P1478" i="5"/>
  <c r="P1488" i="5"/>
  <c r="P1498" i="5"/>
  <c r="P1508" i="5"/>
  <c r="P1518" i="5"/>
  <c r="P1528" i="5"/>
  <c r="P1538" i="5"/>
  <c r="P1548" i="5"/>
  <c r="P1558" i="5"/>
  <c r="P1568" i="5"/>
  <c r="P1578" i="5"/>
  <c r="P1588" i="5"/>
  <c r="P1598" i="5"/>
  <c r="P1608" i="5"/>
  <c r="P1618" i="5"/>
  <c r="P1628" i="5"/>
  <c r="P1638" i="5"/>
  <c r="P1648" i="5"/>
  <c r="P1658" i="5"/>
  <c r="P1668" i="5"/>
  <c r="P1678" i="5"/>
  <c r="P1688" i="5"/>
  <c r="P1698" i="5"/>
  <c r="P1708" i="5"/>
  <c r="P1718" i="5"/>
  <c r="P1728" i="5"/>
  <c r="P1738" i="5"/>
  <c r="P1748" i="5"/>
  <c r="P1758" i="5"/>
  <c r="P1768" i="5"/>
  <c r="P1778" i="5"/>
  <c r="P1788" i="5"/>
  <c r="P1798" i="5"/>
  <c r="P1808" i="5"/>
  <c r="P1818" i="5"/>
  <c r="P1828" i="5"/>
  <c r="P1838" i="5"/>
  <c r="P1848" i="5"/>
  <c r="P1858" i="5"/>
  <c r="P1868" i="5"/>
  <c r="P1878" i="5"/>
  <c r="P1888" i="5"/>
  <c r="P1898" i="5"/>
  <c r="P1908" i="5"/>
  <c r="P1918" i="5"/>
  <c r="P1928" i="5"/>
  <c r="P1938" i="5"/>
  <c r="P1948" i="5"/>
  <c r="P1958" i="5"/>
  <c r="P1968" i="5"/>
  <c r="P1978" i="5"/>
  <c r="P1988" i="5"/>
  <c r="P1998" i="5"/>
  <c r="P1259" i="5"/>
  <c r="P1269" i="5"/>
  <c r="P1279" i="5"/>
  <c r="P1289" i="5"/>
  <c r="P1299" i="5"/>
  <c r="P1309" i="5"/>
  <c r="P1319" i="5"/>
  <c r="P1329" i="5"/>
  <c r="P1339" i="5"/>
  <c r="P1349" i="5"/>
  <c r="P1359" i="5"/>
  <c r="P1369" i="5"/>
  <c r="P1379" i="5"/>
  <c r="P1389" i="5"/>
  <c r="P1399" i="5"/>
  <c r="P1409" i="5"/>
  <c r="P1419" i="5"/>
  <c r="P1429" i="5"/>
  <c r="P1439" i="5"/>
  <c r="P1449" i="5"/>
  <c r="P1459" i="5"/>
  <c r="P1469" i="5"/>
  <c r="P1479" i="5"/>
  <c r="P1489" i="5"/>
  <c r="P1499" i="5"/>
  <c r="P1509" i="5"/>
  <c r="P1519" i="5"/>
  <c r="P1529" i="5"/>
  <c r="P1539" i="5"/>
  <c r="P1549" i="5"/>
  <c r="P1559" i="5"/>
  <c r="P1569" i="5"/>
  <c r="P1579" i="5"/>
  <c r="P1589" i="5"/>
  <c r="P1599" i="5"/>
  <c r="P1609" i="5"/>
  <c r="P1619" i="5"/>
  <c r="P1629" i="5"/>
  <c r="P1639" i="5"/>
  <c r="P1649" i="5"/>
  <c r="P1659" i="5"/>
  <c r="P1669" i="5"/>
  <c r="P1679" i="5"/>
  <c r="P1689" i="5"/>
  <c r="P1699" i="5"/>
  <c r="P1709" i="5"/>
  <c r="P1719" i="5"/>
  <c r="P1729" i="5"/>
  <c r="P1739" i="5"/>
  <c r="P1749" i="5"/>
  <c r="P1759" i="5"/>
  <c r="P1769" i="5"/>
  <c r="P1779" i="5"/>
  <c r="P1789" i="5"/>
  <c r="P1799" i="5"/>
  <c r="P1809" i="5"/>
  <c r="P1819" i="5"/>
  <c r="P1829" i="5"/>
  <c r="P1839" i="5"/>
  <c r="P1849" i="5"/>
  <c r="P1859" i="5"/>
  <c r="P1869" i="5"/>
  <c r="P1879" i="5"/>
  <c r="P1889" i="5"/>
  <c r="P1899" i="5"/>
  <c r="P1909" i="5"/>
  <c r="P1919" i="5"/>
  <c r="P1929" i="5"/>
  <c r="P1939" i="5"/>
  <c r="P1949" i="5"/>
  <c r="P1959" i="5"/>
  <c r="P1969" i="5"/>
  <c r="P1979" i="5"/>
  <c r="P1989" i="5"/>
  <c r="P1999" i="5"/>
  <c r="P1160" i="5"/>
  <c r="P1170" i="5"/>
  <c r="P1180" i="5"/>
  <c r="P1190" i="5"/>
  <c r="P1200" i="5"/>
  <c r="P1210" i="5"/>
  <c r="P1220" i="5"/>
  <c r="P1230" i="5"/>
  <c r="P1240" i="5"/>
  <c r="P1250" i="5"/>
  <c r="P1260" i="5"/>
  <c r="P1270" i="5"/>
  <c r="P1280" i="5"/>
  <c r="P1290" i="5"/>
  <c r="P1300" i="5"/>
  <c r="P1310" i="5"/>
  <c r="P1320" i="5"/>
  <c r="P1330" i="5"/>
  <c r="P1340" i="5"/>
  <c r="P1350" i="5"/>
  <c r="P1360" i="5"/>
  <c r="P1370" i="5"/>
  <c r="P1380" i="5"/>
  <c r="P1390" i="5"/>
  <c r="P1400" i="5"/>
  <c r="P1410" i="5"/>
  <c r="P1420" i="5"/>
  <c r="P1430" i="5"/>
  <c r="P1440" i="5"/>
  <c r="P1450" i="5"/>
  <c r="P1460" i="5"/>
  <c r="P1470" i="5"/>
  <c r="P1480" i="5"/>
  <c r="P1490" i="5"/>
  <c r="P1500" i="5"/>
  <c r="P1510" i="5"/>
  <c r="P1520" i="5"/>
  <c r="P1530" i="5"/>
  <c r="P1540" i="5"/>
  <c r="P1550" i="5"/>
  <c r="P1560" i="5"/>
  <c r="P1570" i="5"/>
  <c r="P1580" i="5"/>
  <c r="P1590" i="5"/>
  <c r="P1600" i="5"/>
  <c r="P1610" i="5"/>
  <c r="P1620" i="5"/>
  <c r="P1630" i="5"/>
  <c r="P1640" i="5"/>
  <c r="P1650" i="5"/>
  <c r="P1660" i="5"/>
  <c r="P1670" i="5"/>
  <c r="P1680" i="5"/>
  <c r="P1690" i="5"/>
  <c r="P1700" i="5"/>
  <c r="P1710" i="5"/>
  <c r="P1720" i="5"/>
  <c r="P1730" i="5"/>
  <c r="P1740" i="5"/>
  <c r="P1750" i="5"/>
  <c r="P1760" i="5"/>
  <c r="P1770" i="5"/>
  <c r="P1780" i="5"/>
  <c r="P1790" i="5"/>
  <c r="P1800" i="5"/>
  <c r="P1810" i="5"/>
  <c r="P1820" i="5"/>
  <c r="P1830" i="5"/>
  <c r="P1840" i="5"/>
  <c r="P1850" i="5"/>
  <c r="P1860" i="5"/>
  <c r="P1870" i="5"/>
  <c r="P1880" i="5"/>
  <c r="P1890" i="5"/>
  <c r="P1900" i="5"/>
  <c r="P1910" i="5"/>
  <c r="P1920" i="5"/>
  <c r="P1930" i="5"/>
  <c r="P1940" i="5"/>
  <c r="P1950" i="5"/>
  <c r="P1960" i="5"/>
  <c r="P1970" i="5"/>
  <c r="P1980" i="5"/>
  <c r="P1990" i="5"/>
  <c r="P2000" i="5"/>
  <c r="P2001" i="5"/>
  <c r="P2003" i="5"/>
  <c r="P2004" i="5"/>
  <c r="Q99" i="5"/>
  <c r="Q110" i="5"/>
  <c r="Q122" i="5"/>
  <c r="Q135" i="5"/>
  <c r="Q148" i="5"/>
  <c r="Q160" i="5"/>
  <c r="Q172" i="5"/>
  <c r="Q185" i="5"/>
  <c r="Q198" i="5"/>
  <c r="Q210" i="5"/>
  <c r="Q222" i="5"/>
  <c r="Q262" i="5"/>
  <c r="Q302" i="5"/>
  <c r="Q346" i="5"/>
  <c r="Q362" i="5"/>
  <c r="Q395" i="5"/>
  <c r="Q431" i="5"/>
  <c r="Q470" i="5"/>
  <c r="Q508" i="5"/>
  <c r="Q568" i="5"/>
  <c r="Q591" i="5"/>
  <c r="Q611" i="5"/>
  <c r="Q746" i="5"/>
  <c r="Q772" i="5"/>
  <c r="Q844" i="5"/>
  <c r="Q874" i="5"/>
  <c r="Q948" i="5"/>
  <c r="Q981" i="5"/>
  <c r="Q1017" i="5"/>
  <c r="Q1084" i="5"/>
  <c r="Q1121" i="5"/>
  <c r="Q1309" i="5"/>
  <c r="Q1413" i="5"/>
  <c r="Q1470" i="5"/>
  <c r="Q1518" i="5"/>
  <c r="Q1787" i="5"/>
  <c r="Q249" i="5"/>
  <c r="Q1776" i="5"/>
  <c r="Q236" i="5"/>
  <c r="Q250" i="5"/>
  <c r="Q276" i="5"/>
  <c r="Q290" i="5"/>
  <c r="Q316" i="5"/>
  <c r="Q332" i="5"/>
  <c r="Q415" i="5"/>
  <c r="Q451" i="5"/>
  <c r="Q488" i="5"/>
  <c r="Q529" i="5"/>
  <c r="Q547" i="5"/>
  <c r="Q635" i="5"/>
  <c r="Q662" i="5"/>
  <c r="Q688" i="5"/>
  <c r="Q810" i="5"/>
  <c r="Q845" i="5"/>
  <c r="Q875" i="5"/>
  <c r="Q912" i="5"/>
  <c r="Q1018" i="5"/>
  <c r="Q1054" i="5"/>
  <c r="Q1085" i="5"/>
  <c r="Q1163" i="5"/>
  <c r="Q1206" i="5"/>
  <c r="Q1258" i="5"/>
  <c r="Q1312" i="5"/>
  <c r="Q1415" i="5"/>
  <c r="Q1645" i="5"/>
  <c r="Q1703" i="5"/>
  <c r="Q289" i="5"/>
  <c r="Q1643" i="5"/>
  <c r="Q100" i="5"/>
  <c r="Q111" i="5"/>
  <c r="Q136" i="5"/>
  <c r="Q149" i="5"/>
  <c r="Q161" i="5"/>
  <c r="Q186" i="5"/>
  <c r="Q199" i="5"/>
  <c r="Q211" i="5"/>
  <c r="Q380" i="5"/>
  <c r="Q435" i="5"/>
  <c r="Q452" i="5"/>
  <c r="Q471" i="5"/>
  <c r="Q510" i="5"/>
  <c r="Q530" i="5"/>
  <c r="Q551" i="5"/>
  <c r="Q592" i="5"/>
  <c r="Q616" i="5"/>
  <c r="Q692" i="5"/>
  <c r="Q780" i="5"/>
  <c r="Q811" i="5"/>
  <c r="Q847" i="5"/>
  <c r="Q916" i="5"/>
  <c r="Q950" i="5"/>
  <c r="Q986" i="5"/>
  <c r="Q1020" i="5"/>
  <c r="Q1092" i="5"/>
  <c r="Q1265" i="5"/>
  <c r="Q1530" i="5"/>
  <c r="Q275" i="5"/>
  <c r="Q124" i="5"/>
  <c r="Q174" i="5"/>
  <c r="Q224" i="5"/>
  <c r="Q238" i="5"/>
  <c r="Q251" i="5"/>
  <c r="Q264" i="5"/>
  <c r="Q278" i="5"/>
  <c r="Q291" i="5"/>
  <c r="Q304" i="5"/>
  <c r="Q350" i="5"/>
  <c r="Q364" i="5"/>
  <c r="Q397" i="5"/>
  <c r="Q416" i="5"/>
  <c r="Q436" i="5"/>
  <c r="Q552" i="5"/>
  <c r="Q571" i="5"/>
  <c r="Q617" i="5"/>
  <c r="Q637" i="5"/>
  <c r="Q663" i="5"/>
  <c r="Q693" i="5"/>
  <c r="Q719" i="5"/>
  <c r="Q748" i="5"/>
  <c r="Q885" i="5"/>
  <c r="Q917" i="5"/>
  <c r="Q1056" i="5"/>
  <c r="Q1124" i="5"/>
  <c r="Q1220" i="5"/>
  <c r="Q1313" i="5"/>
  <c r="Q1368" i="5"/>
  <c r="Q1418" i="5"/>
  <c r="Q1473" i="5"/>
  <c r="Q1586" i="5"/>
  <c r="Q1722" i="5"/>
  <c r="Q101" i="5"/>
  <c r="Q112" i="5"/>
  <c r="Q125" i="5"/>
  <c r="Q138" i="5"/>
  <c r="Q150" i="5"/>
  <c r="Q162" i="5"/>
  <c r="Q175" i="5"/>
  <c r="Q188" i="5"/>
  <c r="Q200" i="5"/>
  <c r="Q212" i="5"/>
  <c r="Q225" i="5"/>
  <c r="Q239" i="5"/>
  <c r="Q265" i="5"/>
  <c r="Q279" i="5"/>
  <c r="Q305" i="5"/>
  <c r="Q320" i="5"/>
  <c r="Q334" i="5"/>
  <c r="Q365" i="5"/>
  <c r="Q381" i="5"/>
  <c r="Q417" i="5"/>
  <c r="Q453" i="5"/>
  <c r="Q493" i="5"/>
  <c r="Q511" i="5"/>
  <c r="Q696" i="5"/>
  <c r="Q749" i="5"/>
  <c r="Q782" i="5"/>
  <c r="Q812" i="5"/>
  <c r="Q918" i="5"/>
  <c r="Q954" i="5"/>
  <c r="Q1022" i="5"/>
  <c r="Q1094" i="5"/>
  <c r="Q1125" i="5"/>
  <c r="Q1168" i="5"/>
  <c r="Q1221" i="5"/>
  <c r="Q1420" i="5"/>
  <c r="Q1535" i="5"/>
  <c r="Q487" i="5"/>
  <c r="Q252" i="5"/>
  <c r="Q292" i="5"/>
  <c r="Q335" i="5"/>
  <c r="Q351" i="5"/>
  <c r="Q398" i="5"/>
  <c r="Q437" i="5"/>
  <c r="Q473" i="5"/>
  <c r="Q532" i="5"/>
  <c r="Q553" i="5"/>
  <c r="Q572" i="5"/>
  <c r="Q595" i="5"/>
  <c r="Q618" i="5"/>
  <c r="Q638" i="5"/>
  <c r="Q721" i="5"/>
  <c r="Q850" i="5"/>
  <c r="Q886" i="5"/>
  <c r="Q992" i="5"/>
  <c r="Q1060" i="5"/>
  <c r="Q1095" i="5"/>
  <c r="Q1268" i="5"/>
  <c r="Q1321" i="5"/>
  <c r="Q1375" i="5"/>
  <c r="Q1422" i="5"/>
  <c r="Q1536" i="5"/>
  <c r="Q1587" i="5"/>
  <c r="Q1653" i="5"/>
  <c r="Q1823" i="5"/>
  <c r="Q102" i="5"/>
  <c r="Q126" i="5"/>
  <c r="Q139" i="5"/>
  <c r="Q151" i="5"/>
  <c r="Q176" i="5"/>
  <c r="Q189" i="5"/>
  <c r="Q201" i="5"/>
  <c r="Q226" i="5"/>
  <c r="Q240" i="5"/>
  <c r="Q266" i="5"/>
  <c r="Q280" i="5"/>
  <c r="Q306" i="5"/>
  <c r="Q321" i="5"/>
  <c r="Q366" i="5"/>
  <c r="Q382" i="5"/>
  <c r="Q457" i="5"/>
  <c r="Q475" i="5"/>
  <c r="Q495" i="5"/>
  <c r="Q533" i="5"/>
  <c r="Q576" i="5"/>
  <c r="Q642" i="5"/>
  <c r="Q784" i="5"/>
  <c r="Q887" i="5"/>
  <c r="Q957" i="5"/>
  <c r="Q993" i="5"/>
  <c r="Q1030" i="5"/>
  <c r="Q1061" i="5"/>
  <c r="Q1097" i="5"/>
  <c r="Q1176" i="5"/>
  <c r="Q1222" i="5"/>
  <c r="Q1276" i="5"/>
  <c r="Q1322" i="5"/>
  <c r="Q1479" i="5"/>
  <c r="Q1662" i="5"/>
  <c r="Q114" i="5"/>
  <c r="Q164" i="5"/>
  <c r="Q214" i="5"/>
  <c r="Q336" i="5"/>
  <c r="Q352" i="5"/>
  <c r="Q419" i="5"/>
  <c r="Q438" i="5"/>
  <c r="Q458" i="5"/>
  <c r="Q555" i="5"/>
  <c r="Q577" i="5"/>
  <c r="Q597" i="5"/>
  <c r="Q619" i="5"/>
  <c r="Q643" i="5"/>
  <c r="Q669" i="5"/>
  <c r="Q698" i="5"/>
  <c r="Q728" i="5"/>
  <c r="Q752" i="5"/>
  <c r="Q785" i="5"/>
  <c r="Q854" i="5"/>
  <c r="Q925" i="5"/>
  <c r="Q1136" i="5"/>
  <c r="Q1225" i="5"/>
  <c r="Q1277" i="5"/>
  <c r="Q1325" i="5"/>
  <c r="Q1378" i="5"/>
  <c r="Q1480" i="5"/>
  <c r="Q1663" i="5"/>
  <c r="Q1726" i="5"/>
  <c r="Q1833" i="5"/>
  <c r="Q103" i="5"/>
  <c r="Q115" i="5"/>
  <c r="Q128" i="5"/>
  <c r="Q140" i="5"/>
  <c r="Q152" i="5"/>
  <c r="Q165" i="5"/>
  <c r="Q178" i="5"/>
  <c r="Q190" i="5"/>
  <c r="Q202" i="5"/>
  <c r="Q215" i="5"/>
  <c r="Q228" i="5"/>
  <c r="Q241" i="5"/>
  <c r="Q254" i="5"/>
  <c r="Q268" i="5"/>
  <c r="Q281" i="5"/>
  <c r="Q294" i="5"/>
  <c r="Q308" i="5"/>
  <c r="Q322" i="5"/>
  <c r="Q403" i="5"/>
  <c r="Q420" i="5"/>
  <c r="Q439" i="5"/>
  <c r="Q476" i="5"/>
  <c r="Q517" i="5"/>
  <c r="Q535" i="5"/>
  <c r="Q556" i="5"/>
  <c r="Q621" i="5"/>
  <c r="Q646" i="5"/>
  <c r="Q699" i="5"/>
  <c r="Q786" i="5"/>
  <c r="Q823" i="5"/>
  <c r="Q892" i="5"/>
  <c r="Q960" i="5"/>
  <c r="Q995" i="5"/>
  <c r="Q1032" i="5"/>
  <c r="Q1062" i="5"/>
  <c r="Q1137" i="5"/>
  <c r="Q1230" i="5"/>
  <c r="Q1379" i="5"/>
  <c r="Q1607" i="5"/>
  <c r="Q1666" i="5"/>
  <c r="Q1736" i="5"/>
  <c r="Q1162" i="5"/>
  <c r="Q229" i="5"/>
  <c r="Q255" i="5"/>
  <c r="Q269" i="5"/>
  <c r="Q295" i="5"/>
  <c r="Q309" i="5"/>
  <c r="Q370" i="5"/>
  <c r="Q440" i="5"/>
  <c r="Q459" i="5"/>
  <c r="Q497" i="5"/>
  <c r="Q578" i="5"/>
  <c r="Q598" i="5"/>
  <c r="Q671" i="5"/>
  <c r="Q729" i="5"/>
  <c r="Q753" i="5"/>
  <c r="Q787" i="5"/>
  <c r="Q856" i="5"/>
  <c r="Q893" i="5"/>
  <c r="Q930" i="5"/>
  <c r="Q997" i="5"/>
  <c r="Q1100" i="5"/>
  <c r="Q1283" i="5"/>
  <c r="Q1327" i="5"/>
  <c r="Q1383" i="5"/>
  <c r="Q1437" i="5"/>
  <c r="Q1543" i="5"/>
  <c r="Q1857" i="5"/>
  <c r="Q104" i="5"/>
  <c r="Q116" i="5"/>
  <c r="Q129" i="5"/>
  <c r="Q141" i="5"/>
  <c r="Q166" i="5"/>
  <c r="Q179" i="5"/>
  <c r="Q191" i="5"/>
  <c r="Q216" i="5"/>
  <c r="Q242" i="5"/>
  <c r="Q282" i="5"/>
  <c r="Q340" i="5"/>
  <c r="Q354" i="5"/>
  <c r="Q441" i="5"/>
  <c r="Q460" i="5"/>
  <c r="Q480" i="5"/>
  <c r="Q498" i="5"/>
  <c r="Q518" i="5"/>
  <c r="Q602" i="5"/>
  <c r="Q759" i="5"/>
  <c r="Q824" i="5"/>
  <c r="Q894" i="5"/>
  <c r="Q931" i="5"/>
  <c r="Q967" i="5"/>
  <c r="Q998" i="5"/>
  <c r="Q1034" i="5"/>
  <c r="Q1138" i="5"/>
  <c r="Q1187" i="5"/>
  <c r="Q1233" i="5"/>
  <c r="Q1285" i="5"/>
  <c r="Q1385" i="5"/>
  <c r="Q1439" i="5"/>
  <c r="Q1495" i="5"/>
  <c r="Q1608" i="5"/>
  <c r="Q154" i="5"/>
  <c r="Q204" i="5"/>
  <c r="Q230" i="5"/>
  <c r="Q256" i="5"/>
  <c r="Q270" i="5"/>
  <c r="Q296" i="5"/>
  <c r="Q310" i="5"/>
  <c r="Q324" i="5"/>
  <c r="Q355" i="5"/>
  <c r="Q371" i="5"/>
  <c r="Q386" i="5"/>
  <c r="Q405" i="5"/>
  <c r="Q425" i="5"/>
  <c r="Q481" i="5"/>
  <c r="Q540" i="5"/>
  <c r="Q558" i="5"/>
  <c r="Q579" i="5"/>
  <c r="Q603" i="5"/>
  <c r="Q623" i="5"/>
  <c r="Q648" i="5"/>
  <c r="Q678" i="5"/>
  <c r="Q702" i="5"/>
  <c r="Q731" i="5"/>
  <c r="Q761" i="5"/>
  <c r="Q792" i="5"/>
  <c r="Q825" i="5"/>
  <c r="Q895" i="5"/>
  <c r="Q1035" i="5"/>
  <c r="Q1104" i="5"/>
  <c r="Q1188" i="5"/>
  <c r="Q1287" i="5"/>
  <c r="Q1339" i="5"/>
  <c r="Q1386" i="5"/>
  <c r="Q1440" i="5"/>
  <c r="Q1552" i="5"/>
  <c r="Q105" i="5"/>
  <c r="Q118" i="5"/>
  <c r="Q130" i="5"/>
  <c r="Q142" i="5"/>
  <c r="Q155" i="5"/>
  <c r="Q168" i="5"/>
  <c r="Q180" i="5"/>
  <c r="Q192" i="5"/>
  <c r="Q205" i="5"/>
  <c r="Q218" i="5"/>
  <c r="Q325" i="5"/>
  <c r="Q341" i="5"/>
  <c r="Q406" i="5"/>
  <c r="Q442" i="5"/>
  <c r="Q499" i="5"/>
  <c r="Q520" i="5"/>
  <c r="Q581" i="5"/>
  <c r="Q649" i="5"/>
  <c r="Q732" i="5"/>
  <c r="Q793" i="5"/>
  <c r="Q830" i="5"/>
  <c r="Q866" i="5"/>
  <c r="Q897" i="5"/>
  <c r="Q970" i="5"/>
  <c r="Q1000" i="5"/>
  <c r="Q1036" i="5"/>
  <c r="Q1073" i="5"/>
  <c r="Q1193" i="5"/>
  <c r="Q1288" i="5"/>
  <c r="Q1340" i="5"/>
  <c r="Q1500" i="5"/>
  <c r="Q1617" i="5"/>
  <c r="Q1746" i="5"/>
  <c r="Q1876" i="5"/>
  <c r="Q980" i="5"/>
  <c r="Q231" i="5"/>
  <c r="Q244" i="5"/>
  <c r="Q258" i="5"/>
  <c r="Q271" i="5"/>
  <c r="Q284" i="5"/>
  <c r="Q298" i="5"/>
  <c r="Q311" i="5"/>
  <c r="Q356" i="5"/>
  <c r="Q372" i="5"/>
  <c r="Q387" i="5"/>
  <c r="Q426" i="5"/>
  <c r="Q462" i="5"/>
  <c r="Q482" i="5"/>
  <c r="Q500" i="5"/>
  <c r="Q541" i="5"/>
  <c r="Q559" i="5"/>
  <c r="Q605" i="5"/>
  <c r="Q625" i="5"/>
  <c r="Q679" i="5"/>
  <c r="Q703" i="5"/>
  <c r="Q762" i="5"/>
  <c r="Q831" i="5"/>
  <c r="Q867" i="5"/>
  <c r="Q934" i="5"/>
  <c r="Q1037" i="5"/>
  <c r="Q1106" i="5"/>
  <c r="Q1145" i="5"/>
  <c r="Q1238" i="5"/>
  <c r="Q1290" i="5"/>
  <c r="Q1342" i="5"/>
  <c r="Q1387" i="5"/>
  <c r="Q1445" i="5"/>
  <c r="Q1556" i="5"/>
  <c r="Q1687" i="5"/>
  <c r="Q134" i="5"/>
  <c r="Q235" i="5"/>
  <c r="Q331" i="5"/>
  <c r="Q507" i="5"/>
  <c r="Q96" i="5"/>
  <c r="Q106" i="5"/>
  <c r="Q119" i="5"/>
  <c r="Q131" i="5"/>
  <c r="Q156" i="5"/>
  <c r="Q169" i="5"/>
  <c r="Q181" i="5"/>
  <c r="Q206" i="5"/>
  <c r="Q219" i="5"/>
  <c r="Q245" i="5"/>
  <c r="Q259" i="5"/>
  <c r="Q285" i="5"/>
  <c r="Q299" i="5"/>
  <c r="Q326" i="5"/>
  <c r="Q342" i="5"/>
  <c r="Q446" i="5"/>
  <c r="Q463" i="5"/>
  <c r="Q503" i="5"/>
  <c r="Q563" i="5"/>
  <c r="Q606" i="5"/>
  <c r="Q709" i="5"/>
  <c r="Q736" i="5"/>
  <c r="Q832" i="5"/>
  <c r="Q868" i="5"/>
  <c r="Q904" i="5"/>
  <c r="Q972" i="5"/>
  <c r="Q1074" i="5"/>
  <c r="Q1146" i="5"/>
  <c r="Q1196" i="5"/>
  <c r="Q1247" i="5"/>
  <c r="Q1345" i="5"/>
  <c r="Q1450" i="5"/>
  <c r="Q1502" i="5"/>
  <c r="Q1565" i="5"/>
  <c r="Q1765" i="5"/>
  <c r="Q1906" i="5"/>
  <c r="Q315" i="5"/>
  <c r="Q376" i="5"/>
  <c r="Q546" i="5"/>
  <c r="Q144" i="5"/>
  <c r="Q194" i="5"/>
  <c r="Q232" i="5"/>
  <c r="Q272" i="5"/>
  <c r="Q312" i="5"/>
  <c r="Q408" i="5"/>
  <c r="Q427" i="5"/>
  <c r="Q447" i="5"/>
  <c r="Q483" i="5"/>
  <c r="Q505" i="5"/>
  <c r="Q522" i="5"/>
  <c r="Q542" i="5"/>
  <c r="Q565" i="5"/>
  <c r="Q583" i="5"/>
  <c r="Q652" i="5"/>
  <c r="Q681" i="5"/>
  <c r="Q711" i="5"/>
  <c r="Q763" i="5"/>
  <c r="Q906" i="5"/>
  <c r="Q936" i="5"/>
  <c r="Q1042" i="5"/>
  <c r="Q1075" i="5"/>
  <c r="Q1147" i="5"/>
  <c r="Q1251" i="5"/>
  <c r="Q1293" i="5"/>
  <c r="Q1346" i="5"/>
  <c r="Q1503" i="5"/>
  <c r="Q1566" i="5"/>
  <c r="Q1623" i="5"/>
  <c r="Q1690" i="5"/>
  <c r="Q1920" i="5"/>
  <c r="Q469" i="5"/>
  <c r="Q1256" i="5"/>
  <c r="Q97" i="5"/>
  <c r="Q108" i="5"/>
  <c r="Q120" i="5"/>
  <c r="Q132" i="5"/>
  <c r="Q145" i="5"/>
  <c r="Q158" i="5"/>
  <c r="Q170" i="5"/>
  <c r="Q182" i="5"/>
  <c r="Q195" i="5"/>
  <c r="Q208" i="5"/>
  <c r="Q220" i="5"/>
  <c r="Q246" i="5"/>
  <c r="Q260" i="5"/>
  <c r="Q286" i="5"/>
  <c r="Q300" i="5"/>
  <c r="Q360" i="5"/>
  <c r="Q374" i="5"/>
  <c r="Q392" i="5"/>
  <c r="Q428" i="5"/>
  <c r="Q485" i="5"/>
  <c r="Q543" i="5"/>
  <c r="Q631" i="5"/>
  <c r="Q682" i="5"/>
  <c r="Q767" i="5"/>
  <c r="Q834" i="5"/>
  <c r="Q907" i="5"/>
  <c r="Q937" i="5"/>
  <c r="Q1011" i="5"/>
  <c r="Q1043" i="5"/>
  <c r="Q1080" i="5"/>
  <c r="Q1116" i="5"/>
  <c r="Q1199" i="5"/>
  <c r="Q1347" i="5"/>
  <c r="Q1405" i="5"/>
  <c r="Q1453" i="5"/>
  <c r="Q1627" i="5"/>
  <c r="Q567" i="5"/>
  <c r="Q330" i="5"/>
  <c r="Q344" i="5"/>
  <c r="Q375" i="5"/>
  <c r="Q409" i="5"/>
  <c r="Q448" i="5"/>
  <c r="Q465" i="5"/>
  <c r="Q506" i="5"/>
  <c r="Q523" i="5"/>
  <c r="Q566" i="5"/>
  <c r="Q585" i="5"/>
  <c r="Q608" i="5"/>
  <c r="Q653" i="5"/>
  <c r="Q712" i="5"/>
  <c r="Q738" i="5"/>
  <c r="Q768" i="5"/>
  <c r="Q804" i="5"/>
  <c r="Q835" i="5"/>
  <c r="Q872" i="5"/>
  <c r="Q974" i="5"/>
  <c r="Q1081" i="5"/>
  <c r="Q1117" i="5"/>
  <c r="Q1252" i="5"/>
  <c r="Q1513" i="5"/>
  <c r="Q1573" i="5"/>
  <c r="Q1772" i="5"/>
  <c r="Q184" i="5"/>
  <c r="Q449" i="5"/>
  <c r="Q528" i="5"/>
  <c r="Q661" i="5"/>
  <c r="Q713" i="5"/>
  <c r="Q743" i="5"/>
  <c r="Q806" i="5"/>
  <c r="Q98" i="5"/>
  <c r="Q109" i="5"/>
  <c r="Q121" i="5"/>
  <c r="Q146" i="5"/>
  <c r="Q159" i="5"/>
  <c r="Q171" i="5"/>
  <c r="Q196" i="5"/>
  <c r="Q209" i="5"/>
  <c r="Q221" i="5"/>
  <c r="Q234" i="5"/>
  <c r="Q248" i="5"/>
  <c r="Q261" i="5"/>
  <c r="Q274" i="5"/>
  <c r="Q288" i="5"/>
  <c r="Q301" i="5"/>
  <c r="Q314" i="5"/>
  <c r="Q345" i="5"/>
  <c r="Q361" i="5"/>
  <c r="Q393" i="5"/>
  <c r="Q430" i="5"/>
  <c r="Q468" i="5"/>
  <c r="Q527" i="5"/>
  <c r="Q609" i="5"/>
  <c r="Q632" i="5"/>
  <c r="Q659" i="5"/>
  <c r="Q686" i="5"/>
  <c r="Q742" i="5"/>
  <c r="Q770" i="5"/>
  <c r="Q842" i="5"/>
  <c r="Q873" i="5"/>
  <c r="Q910" i="5"/>
  <c r="Q945" i="5"/>
  <c r="Q1012" i="5"/>
  <c r="Q1082" i="5"/>
  <c r="Q1118" i="5"/>
  <c r="Q1158" i="5"/>
  <c r="Q1306" i="5"/>
  <c r="Q1406" i="5"/>
  <c r="Q1462" i="5"/>
  <c r="Q1515" i="5"/>
  <c r="Q1576" i="5"/>
  <c r="Q385" i="5"/>
  <c r="Q396" i="5"/>
  <c r="Q407" i="5"/>
  <c r="Q418" i="5"/>
  <c r="Q429" i="5"/>
  <c r="Q486" i="5"/>
  <c r="Q509" i="5"/>
  <c r="Q521" i="5"/>
  <c r="Q545" i="5"/>
  <c r="Q557" i="5"/>
  <c r="Q569" i="5"/>
  <c r="Q582" i="5"/>
  <c r="Q596" i="5"/>
  <c r="Q622" i="5"/>
  <c r="Q636" i="5"/>
  <c r="Q651" i="5"/>
  <c r="Q668" i="5"/>
  <c r="Q683" i="5"/>
  <c r="Q701" i="5"/>
  <c r="Q718" i="5"/>
  <c r="Q733" i="5"/>
  <c r="Q751" i="5"/>
  <c r="Q935" i="5"/>
  <c r="Q956" i="5"/>
  <c r="Q975" i="5"/>
  <c r="Q1123" i="5"/>
  <c r="Q1170" i="5"/>
  <c r="Q1202" i="5"/>
  <c r="Q1350" i="5"/>
  <c r="Q1417" i="5"/>
  <c r="Q1585" i="5"/>
  <c r="Q1622" i="5"/>
  <c r="Q1656" i="5"/>
  <c r="Q1697" i="5"/>
  <c r="Q1827" i="5"/>
  <c r="Q1877" i="5"/>
  <c r="Q1786" i="5"/>
  <c r="Q1932" i="5"/>
  <c r="Q1830" i="5"/>
  <c r="Q1937" i="5"/>
  <c r="Q1883" i="5"/>
  <c r="Q1747" i="5"/>
  <c r="Q107" i="5"/>
  <c r="Q117" i="5"/>
  <c r="Q127" i="5"/>
  <c r="Q137" i="5"/>
  <c r="Q147" i="5"/>
  <c r="Q157" i="5"/>
  <c r="Q167" i="5"/>
  <c r="Q177" i="5"/>
  <c r="Q187" i="5"/>
  <c r="Q197" i="5"/>
  <c r="Q207" i="5"/>
  <c r="Q217" i="5"/>
  <c r="Q227" i="5"/>
  <c r="Q237" i="5"/>
  <c r="Q247" i="5"/>
  <c r="Q257" i="5"/>
  <c r="Q267" i="5"/>
  <c r="Q277" i="5"/>
  <c r="Q287" i="5"/>
  <c r="Q297" i="5"/>
  <c r="Q307" i="5"/>
  <c r="Q317" i="5"/>
  <c r="Q327" i="5"/>
  <c r="Q337" i="5"/>
  <c r="Q347" i="5"/>
  <c r="Q357" i="5"/>
  <c r="Q367" i="5"/>
  <c r="Q377" i="5"/>
  <c r="Q410" i="5"/>
  <c r="Q421" i="5"/>
  <c r="Q432" i="5"/>
  <c r="Q443" i="5"/>
  <c r="Q477" i="5"/>
  <c r="Q512" i="5"/>
  <c r="Q536" i="5"/>
  <c r="Q586" i="5"/>
  <c r="Q612" i="5"/>
  <c r="Q626" i="5"/>
  <c r="Q656" i="5"/>
  <c r="Q706" i="5"/>
  <c r="Q756" i="5"/>
  <c r="Q773" i="5"/>
  <c r="Q794" i="5"/>
  <c r="Q816" i="5"/>
  <c r="Q857" i="5"/>
  <c r="Q898" i="5"/>
  <c r="Q920" i="5"/>
  <c r="Q961" i="5"/>
  <c r="Q982" i="5"/>
  <c r="Q1023" i="5"/>
  <c r="Q1044" i="5"/>
  <c r="Q1066" i="5"/>
  <c r="Q1107" i="5"/>
  <c r="Q1151" i="5"/>
  <c r="Q1180" i="5"/>
  <c r="Q1212" i="5"/>
  <c r="Q1301" i="5"/>
  <c r="Q1359" i="5"/>
  <c r="Q1393" i="5"/>
  <c r="Q1423" i="5"/>
  <c r="Q1455" i="5"/>
  <c r="Q1488" i="5"/>
  <c r="Q1520" i="5"/>
  <c r="Q1595" i="5"/>
  <c r="Q1628" i="5"/>
  <c r="Q1667" i="5"/>
  <c r="Q1793" i="5"/>
  <c r="Q1842" i="5"/>
  <c r="Q1886" i="5"/>
  <c r="Q388" i="5"/>
  <c r="Q399" i="5"/>
  <c r="Q455" i="5"/>
  <c r="Q466" i="5"/>
  <c r="Q489" i="5"/>
  <c r="Q501" i="5"/>
  <c r="Q525" i="5"/>
  <c r="Q548" i="5"/>
  <c r="Q561" i="5"/>
  <c r="Q573" i="5"/>
  <c r="Q599" i="5"/>
  <c r="Q639" i="5"/>
  <c r="Q672" i="5"/>
  <c r="Q689" i="5"/>
  <c r="Q722" i="5"/>
  <c r="Q739" i="5"/>
  <c r="Q795" i="5"/>
  <c r="Q817" i="5"/>
  <c r="Q836" i="5"/>
  <c r="Q880" i="5"/>
  <c r="Q942" i="5"/>
  <c r="Q1004" i="5"/>
  <c r="Q1045" i="5"/>
  <c r="Q1067" i="5"/>
  <c r="Q1086" i="5"/>
  <c r="Q1131" i="5"/>
  <c r="Q1181" i="5"/>
  <c r="Q1239" i="5"/>
  <c r="Q1270" i="5"/>
  <c r="Q1360" i="5"/>
  <c r="Q1457" i="5"/>
  <c r="Q1490" i="5"/>
  <c r="Q1522" i="5"/>
  <c r="Q1557" i="5"/>
  <c r="Q1710" i="5"/>
  <c r="Q1752" i="5"/>
  <c r="Q1843" i="5"/>
  <c r="Q1946" i="5"/>
  <c r="Q318" i="5"/>
  <c r="Q328" i="5"/>
  <c r="Q338" i="5"/>
  <c r="Q348" i="5"/>
  <c r="Q358" i="5"/>
  <c r="Q368" i="5"/>
  <c r="Q378" i="5"/>
  <c r="Q400" i="5"/>
  <c r="Q411" i="5"/>
  <c r="Q422" i="5"/>
  <c r="Q433" i="5"/>
  <c r="Q478" i="5"/>
  <c r="Q490" i="5"/>
  <c r="Q513" i="5"/>
  <c r="Q537" i="5"/>
  <c r="Q587" i="5"/>
  <c r="Q613" i="5"/>
  <c r="Q627" i="5"/>
  <c r="Q774" i="5"/>
  <c r="Q797" i="5"/>
  <c r="Q818" i="5"/>
  <c r="Q837" i="5"/>
  <c r="Q860" i="5"/>
  <c r="Q881" i="5"/>
  <c r="Q900" i="5"/>
  <c r="Q922" i="5"/>
  <c r="Q943" i="5"/>
  <c r="Q962" i="5"/>
  <c r="Q984" i="5"/>
  <c r="Q1024" i="5"/>
  <c r="Q1047" i="5"/>
  <c r="Q1068" i="5"/>
  <c r="Q1087" i="5"/>
  <c r="Q1110" i="5"/>
  <c r="Q1132" i="5"/>
  <c r="Q1152" i="5"/>
  <c r="Q1183" i="5"/>
  <c r="Q1240" i="5"/>
  <c r="Q1272" i="5"/>
  <c r="Q1330" i="5"/>
  <c r="Q1365" i="5"/>
  <c r="Q1425" i="5"/>
  <c r="Q1492" i="5"/>
  <c r="Q1560" i="5"/>
  <c r="Q1598" i="5"/>
  <c r="Q1630" i="5"/>
  <c r="Q1673" i="5"/>
  <c r="Q1713" i="5"/>
  <c r="Q1890" i="5"/>
  <c r="Q1950" i="5"/>
  <c r="Q389" i="5"/>
  <c r="Q445" i="5"/>
  <c r="Q456" i="5"/>
  <c r="Q467" i="5"/>
  <c r="Q502" i="5"/>
  <c r="Q526" i="5"/>
  <c r="Q549" i="5"/>
  <c r="Q562" i="5"/>
  <c r="Q575" i="5"/>
  <c r="Q601" i="5"/>
  <c r="Q641" i="5"/>
  <c r="Q658" i="5"/>
  <c r="Q673" i="5"/>
  <c r="Q691" i="5"/>
  <c r="Q708" i="5"/>
  <c r="Q723" i="5"/>
  <c r="Q741" i="5"/>
  <c r="Q758" i="5"/>
  <c r="Q775" i="5"/>
  <c r="Q985" i="5"/>
  <c r="Q1006" i="5"/>
  <c r="Q1025" i="5"/>
  <c r="Q1215" i="5"/>
  <c r="Q1275" i="5"/>
  <c r="Q1331" i="5"/>
  <c r="Q1397" i="5"/>
  <c r="Q1426" i="5"/>
  <c r="Q1459" i="5"/>
  <c r="Q1493" i="5"/>
  <c r="Q1523" i="5"/>
  <c r="Q1562" i="5"/>
  <c r="Q1632" i="5"/>
  <c r="Q1753" i="5"/>
  <c r="Q1847" i="5"/>
  <c r="Q319" i="5"/>
  <c r="Q329" i="5"/>
  <c r="Q339" i="5"/>
  <c r="Q349" i="5"/>
  <c r="Q359" i="5"/>
  <c r="Q369" i="5"/>
  <c r="Q379" i="5"/>
  <c r="Q390" i="5"/>
  <c r="Q401" i="5"/>
  <c r="Q412" i="5"/>
  <c r="Q423" i="5"/>
  <c r="Q479" i="5"/>
  <c r="Q491" i="5"/>
  <c r="Q515" i="5"/>
  <c r="Q538" i="5"/>
  <c r="Q588" i="5"/>
  <c r="Q615" i="5"/>
  <c r="Q628" i="5"/>
  <c r="Q676" i="5"/>
  <c r="Q726" i="5"/>
  <c r="Q798" i="5"/>
  <c r="Q820" i="5"/>
  <c r="Q861" i="5"/>
  <c r="Q882" i="5"/>
  <c r="Q923" i="5"/>
  <c r="Q944" i="5"/>
  <c r="Q966" i="5"/>
  <c r="Q1007" i="5"/>
  <c r="Q1048" i="5"/>
  <c r="Q1070" i="5"/>
  <c r="Q1111" i="5"/>
  <c r="Q1133" i="5"/>
  <c r="Q1185" i="5"/>
  <c r="Q1337" i="5"/>
  <c r="Q1366" i="5"/>
  <c r="Q1432" i="5"/>
  <c r="Q1460" i="5"/>
  <c r="Q1600" i="5"/>
  <c r="Q1675" i="5"/>
  <c r="Q1715" i="5"/>
  <c r="Q1760" i="5"/>
  <c r="Q1803" i="5"/>
  <c r="Q1900" i="5"/>
  <c r="Q1952" i="5"/>
  <c r="Q391" i="5"/>
  <c r="Q402" i="5"/>
  <c r="Q413" i="5"/>
  <c r="Q492" i="5"/>
  <c r="Q516" i="5"/>
  <c r="Q539" i="5"/>
  <c r="Q589" i="5"/>
  <c r="Q629" i="5"/>
  <c r="Q781" i="5"/>
  <c r="Q800" i="5"/>
  <c r="Q822" i="5"/>
  <c r="Q843" i="5"/>
  <c r="Q862" i="5"/>
  <c r="Q884" i="5"/>
  <c r="Q924" i="5"/>
  <c r="Q947" i="5"/>
  <c r="Q968" i="5"/>
  <c r="Q987" i="5"/>
  <c r="Q1010" i="5"/>
  <c r="Q1031" i="5"/>
  <c r="Q1050" i="5"/>
  <c r="Q1072" i="5"/>
  <c r="Q1093" i="5"/>
  <c r="Q1112" i="5"/>
  <c r="Q1159" i="5"/>
  <c r="Q1250" i="5"/>
  <c r="Q1308" i="5"/>
  <c r="Q1367" i="5"/>
  <c r="Q1463" i="5"/>
  <c r="Q1498" i="5"/>
  <c r="Q1533" i="5"/>
  <c r="Q1605" i="5"/>
  <c r="Q1805" i="5"/>
  <c r="Q1963" i="5"/>
  <c r="Q1815" i="5"/>
  <c r="Q1970" i="5"/>
  <c r="Q1910" i="5"/>
  <c r="Q1977" i="5"/>
  <c r="Q1817" i="5"/>
  <c r="Q1860" i="5"/>
  <c r="Q1916" i="5"/>
  <c r="Q1917" i="5"/>
  <c r="Q1992" i="5"/>
  <c r="Q113" i="5"/>
  <c r="Q123" i="5"/>
  <c r="Q133" i="5"/>
  <c r="Q143" i="5"/>
  <c r="Q153" i="5"/>
  <c r="Q163" i="5"/>
  <c r="Q173" i="5"/>
  <c r="Q183" i="5"/>
  <c r="Q193" i="5"/>
  <c r="Q203" i="5"/>
  <c r="Q213" i="5"/>
  <c r="Q223" i="5"/>
  <c r="Q233" i="5"/>
  <c r="Q243" i="5"/>
  <c r="Q253" i="5"/>
  <c r="Q263" i="5"/>
  <c r="Q273" i="5"/>
  <c r="Q283" i="5"/>
  <c r="Q293" i="5"/>
  <c r="Q303" i="5"/>
  <c r="Q313" i="5"/>
  <c r="Q323" i="5"/>
  <c r="Q333" i="5"/>
  <c r="Q343" i="5"/>
  <c r="Q353" i="5"/>
  <c r="Q363" i="5"/>
  <c r="Q373" i="5"/>
  <c r="Q383" i="5"/>
  <c r="Q450" i="5"/>
  <c r="Q461" i="5"/>
  <c r="Q472" i="5"/>
  <c r="Q496" i="5"/>
  <c r="Q519" i="5"/>
  <c r="Q531" i="5"/>
  <c r="Q593" i="5"/>
  <c r="Q607" i="5"/>
  <c r="Q633" i="5"/>
  <c r="Q666" i="5"/>
  <c r="Q716" i="5"/>
  <c r="Q807" i="5"/>
  <c r="Q848" i="5"/>
  <c r="Q870" i="5"/>
  <c r="Q911" i="5"/>
  <c r="Q932" i="5"/>
  <c r="Q973" i="5"/>
  <c r="Q994" i="5"/>
  <c r="Q1016" i="5"/>
  <c r="Q1057" i="5"/>
  <c r="Q1098" i="5"/>
  <c r="Q1143" i="5"/>
  <c r="Q1197" i="5"/>
  <c r="Q1318" i="5"/>
  <c r="Q1508" i="5"/>
  <c r="Q1542" i="5"/>
  <c r="Q1578" i="5"/>
  <c r="Q1616" i="5"/>
  <c r="Q1652" i="5"/>
  <c r="Q1822" i="5"/>
  <c r="Q1870" i="5"/>
  <c r="Q1996" i="5"/>
  <c r="Q550" i="5"/>
  <c r="Q560" i="5"/>
  <c r="Q570" i="5"/>
  <c r="Q580" i="5"/>
  <c r="Q590" i="5"/>
  <c r="Q600" i="5"/>
  <c r="Q610" i="5"/>
  <c r="Q620" i="5"/>
  <c r="Q630" i="5"/>
  <c r="Q640" i="5"/>
  <c r="Q650" i="5"/>
  <c r="Q660" i="5"/>
  <c r="Q670" i="5"/>
  <c r="Q680" i="5"/>
  <c r="Q690" i="5"/>
  <c r="Q700" i="5"/>
  <c r="Q710" i="5"/>
  <c r="Q720" i="5"/>
  <c r="Q730" i="5"/>
  <c r="Q740" i="5"/>
  <c r="Q750" i="5"/>
  <c r="Q760" i="5"/>
  <c r="Q796" i="5"/>
  <c r="Q846" i="5"/>
  <c r="Q896" i="5"/>
  <c r="Q946" i="5"/>
  <c r="Q996" i="5"/>
  <c r="Q1046" i="5"/>
  <c r="Q1096" i="5"/>
  <c r="Q1122" i="5"/>
  <c r="Q1135" i="5"/>
  <c r="Q1148" i="5"/>
  <c r="Q1165" i="5"/>
  <c r="Q1201" i="5"/>
  <c r="Q1218" i="5"/>
  <c r="Q1237" i="5"/>
  <c r="Q1289" i="5"/>
  <c r="Q1326" i="5"/>
  <c r="Q1382" i="5"/>
  <c r="Q1400" i="5"/>
  <c r="Q1419" i="5"/>
  <c r="Q1458" i="5"/>
  <c r="Q1477" i="5"/>
  <c r="Q1517" i="5"/>
  <c r="Q1537" i="5"/>
  <c r="Q1558" i="5"/>
  <c r="Q1603" i="5"/>
  <c r="Q1647" i="5"/>
  <c r="Q1695" i="5"/>
  <c r="Q1720" i="5"/>
  <c r="Q1797" i="5"/>
  <c r="Q1825" i="5"/>
  <c r="Q1853" i="5"/>
  <c r="Q1912" i="5"/>
  <c r="Q1943" i="5"/>
  <c r="Q1976" i="5"/>
  <c r="Q1980" i="5"/>
  <c r="Q1983" i="5"/>
  <c r="Q788" i="5"/>
  <c r="Q801" i="5"/>
  <c r="Q813" i="5"/>
  <c r="Q838" i="5"/>
  <c r="Q851" i="5"/>
  <c r="Q863" i="5"/>
  <c r="Q888" i="5"/>
  <c r="Q901" i="5"/>
  <c r="Q913" i="5"/>
  <c r="Q938" i="5"/>
  <c r="Q951" i="5"/>
  <c r="Q963" i="5"/>
  <c r="Q988" i="5"/>
  <c r="Q1001" i="5"/>
  <c r="Q1013" i="5"/>
  <c r="Q1038" i="5"/>
  <c r="Q1051" i="5"/>
  <c r="Q1063" i="5"/>
  <c r="Q1088" i="5"/>
  <c r="Q1101" i="5"/>
  <c r="Q1113" i="5"/>
  <c r="Q1126" i="5"/>
  <c r="Q1153" i="5"/>
  <c r="Q1171" i="5"/>
  <c r="Q1259" i="5"/>
  <c r="Q1296" i="5"/>
  <c r="Q1369" i="5"/>
  <c r="Q1407" i="5"/>
  <c r="Q1446" i="5"/>
  <c r="Q1465" i="5"/>
  <c r="Q1485" i="5"/>
  <c r="Q1505" i="5"/>
  <c r="Q1545" i="5"/>
  <c r="Q1588" i="5"/>
  <c r="Q1633" i="5"/>
  <c r="Q1780" i="5"/>
  <c r="Q1806" i="5"/>
  <c r="Q1835" i="5"/>
  <c r="Q1862" i="5"/>
  <c r="Q1892" i="5"/>
  <c r="Q1923" i="5"/>
  <c r="Q1956" i="5"/>
  <c r="Q384" i="5"/>
  <c r="Q394" i="5"/>
  <c r="Q404" i="5"/>
  <c r="Q414" i="5"/>
  <c r="Q424" i="5"/>
  <c r="Q434" i="5"/>
  <c r="Q444" i="5"/>
  <c r="Q454" i="5"/>
  <c r="Q464" i="5"/>
  <c r="Q474" i="5"/>
  <c r="Q484" i="5"/>
  <c r="Q494" i="5"/>
  <c r="Q504" i="5"/>
  <c r="Q514" i="5"/>
  <c r="Q524" i="5"/>
  <c r="Q534" i="5"/>
  <c r="Q544" i="5"/>
  <c r="Q554" i="5"/>
  <c r="Q564" i="5"/>
  <c r="Q574" i="5"/>
  <c r="Q584" i="5"/>
  <c r="Q594" i="5"/>
  <c r="Q604" i="5"/>
  <c r="Q614" i="5"/>
  <c r="Q624" i="5"/>
  <c r="Q634" i="5"/>
  <c r="Q644" i="5"/>
  <c r="Q654" i="5"/>
  <c r="Q664" i="5"/>
  <c r="Q674" i="5"/>
  <c r="Q684" i="5"/>
  <c r="Q694" i="5"/>
  <c r="Q704" i="5"/>
  <c r="Q714" i="5"/>
  <c r="Q724" i="5"/>
  <c r="Q734" i="5"/>
  <c r="Q744" i="5"/>
  <c r="Q754" i="5"/>
  <c r="Q764" i="5"/>
  <c r="Q776" i="5"/>
  <c r="Q826" i="5"/>
  <c r="Q876" i="5"/>
  <c r="Q926" i="5"/>
  <c r="Q976" i="5"/>
  <c r="Q1026" i="5"/>
  <c r="Q1076" i="5"/>
  <c r="Q1127" i="5"/>
  <c r="Q1141" i="5"/>
  <c r="Q1189" i="5"/>
  <c r="Q1226" i="5"/>
  <c r="Q1243" i="5"/>
  <c r="Q1262" i="5"/>
  <c r="Q1315" i="5"/>
  <c r="Q1352" i="5"/>
  <c r="Q1370" i="5"/>
  <c r="Q1390" i="5"/>
  <c r="Q1408" i="5"/>
  <c r="Q1427" i="5"/>
  <c r="Q1466" i="5"/>
  <c r="Q1546" i="5"/>
  <c r="Q1590" i="5"/>
  <c r="Q1613" i="5"/>
  <c r="Q1657" i="5"/>
  <c r="Q1682" i="5"/>
  <c r="Q1705" i="5"/>
  <c r="Q1730" i="5"/>
  <c r="Q1755" i="5"/>
  <c r="Q1807" i="5"/>
  <c r="Q1896" i="5"/>
  <c r="Q1957" i="5"/>
  <c r="Q1986" i="5"/>
  <c r="Q765" i="5"/>
  <c r="Q777" i="5"/>
  <c r="Q790" i="5"/>
  <c r="Q802" i="5"/>
  <c r="Q814" i="5"/>
  <c r="Q827" i="5"/>
  <c r="Q840" i="5"/>
  <c r="Q852" i="5"/>
  <c r="Q864" i="5"/>
  <c r="Q877" i="5"/>
  <c r="Q890" i="5"/>
  <c r="Q902" i="5"/>
  <c r="Q914" i="5"/>
  <c r="Q927" i="5"/>
  <c r="Q940" i="5"/>
  <c r="Q952" i="5"/>
  <c r="Q964" i="5"/>
  <c r="Q977" i="5"/>
  <c r="Q990" i="5"/>
  <c r="Q1002" i="5"/>
  <c r="Q1014" i="5"/>
  <c r="Q1027" i="5"/>
  <c r="Q1040" i="5"/>
  <c r="Q1052" i="5"/>
  <c r="Q1064" i="5"/>
  <c r="Q1077" i="5"/>
  <c r="Q1090" i="5"/>
  <c r="Q1102" i="5"/>
  <c r="Q1114" i="5"/>
  <c r="Q1172" i="5"/>
  <c r="Q1190" i="5"/>
  <c r="Q1208" i="5"/>
  <c r="Q1280" i="5"/>
  <c r="Q1297" i="5"/>
  <c r="Q1333" i="5"/>
  <c r="Q1409" i="5"/>
  <c r="Q1447" i="5"/>
  <c r="Q1486" i="5"/>
  <c r="Q1506" i="5"/>
  <c r="Q1527" i="5"/>
  <c r="Q1547" i="5"/>
  <c r="Q1570" i="5"/>
  <c r="Q1636" i="5"/>
  <c r="Q1782" i="5"/>
  <c r="Q1897" i="5"/>
  <c r="Q1926" i="5"/>
  <c r="Q645" i="5"/>
  <c r="Q655" i="5"/>
  <c r="Q665" i="5"/>
  <c r="Q675" i="5"/>
  <c r="Q685" i="5"/>
  <c r="Q695" i="5"/>
  <c r="Q705" i="5"/>
  <c r="Q715" i="5"/>
  <c r="Q725" i="5"/>
  <c r="Q735" i="5"/>
  <c r="Q745" i="5"/>
  <c r="Q755" i="5"/>
  <c r="Q815" i="5"/>
  <c r="Q865" i="5"/>
  <c r="Q915" i="5"/>
  <c r="Q965" i="5"/>
  <c r="Q1015" i="5"/>
  <c r="Q1065" i="5"/>
  <c r="Q1115" i="5"/>
  <c r="Q1128" i="5"/>
  <c r="Q1142" i="5"/>
  <c r="Q1156" i="5"/>
  <c r="Q1175" i="5"/>
  <c r="Q1227" i="5"/>
  <c r="Q1263" i="5"/>
  <c r="Q1281" i="5"/>
  <c r="Q1299" i="5"/>
  <c r="Q1353" i="5"/>
  <c r="Q1392" i="5"/>
  <c r="Q1410" i="5"/>
  <c r="Q1430" i="5"/>
  <c r="Q1448" i="5"/>
  <c r="Q1467" i="5"/>
  <c r="Q1507" i="5"/>
  <c r="Q1593" i="5"/>
  <c r="Q1615" i="5"/>
  <c r="Q1683" i="5"/>
  <c r="Q1706" i="5"/>
  <c r="Q1732" i="5"/>
  <c r="Q1757" i="5"/>
  <c r="Q1785" i="5"/>
  <c r="Q1840" i="5"/>
  <c r="Q1866" i="5"/>
  <c r="Q1990" i="5"/>
  <c r="Q766" i="5"/>
  <c r="Q778" i="5"/>
  <c r="Q791" i="5"/>
  <c r="Q803" i="5"/>
  <c r="Q828" i="5"/>
  <c r="Q841" i="5"/>
  <c r="Q853" i="5"/>
  <c r="Q878" i="5"/>
  <c r="Q891" i="5"/>
  <c r="Q903" i="5"/>
  <c r="Q928" i="5"/>
  <c r="Q941" i="5"/>
  <c r="Q953" i="5"/>
  <c r="Q978" i="5"/>
  <c r="Q991" i="5"/>
  <c r="Q1003" i="5"/>
  <c r="Q1028" i="5"/>
  <c r="Q1041" i="5"/>
  <c r="Q1053" i="5"/>
  <c r="Q1078" i="5"/>
  <c r="Q1091" i="5"/>
  <c r="Q1103" i="5"/>
  <c r="Q1209" i="5"/>
  <c r="Q1246" i="5"/>
  <c r="Q1300" i="5"/>
  <c r="Q1335" i="5"/>
  <c r="Q1373" i="5"/>
  <c r="Q1449" i="5"/>
  <c r="Q1487" i="5"/>
  <c r="Q1528" i="5"/>
  <c r="Q1550" i="5"/>
  <c r="Q1572" i="5"/>
  <c r="Q1637" i="5"/>
  <c r="Q1660" i="5"/>
  <c r="Q1707" i="5"/>
  <c r="Q1735" i="5"/>
  <c r="Q1812" i="5"/>
  <c r="Q1930" i="5"/>
  <c r="Q1960" i="5"/>
  <c r="Q647" i="5"/>
  <c r="Q657" i="5"/>
  <c r="Q667" i="5"/>
  <c r="Q677" i="5"/>
  <c r="Q687" i="5"/>
  <c r="Q697" i="5"/>
  <c r="Q707" i="5"/>
  <c r="Q717" i="5"/>
  <c r="Q727" i="5"/>
  <c r="Q737" i="5"/>
  <c r="Q747" i="5"/>
  <c r="Q757" i="5"/>
  <c r="Q805" i="5"/>
  <c r="Q855" i="5"/>
  <c r="Q905" i="5"/>
  <c r="Q955" i="5"/>
  <c r="Q1005" i="5"/>
  <c r="Q1055" i="5"/>
  <c r="Q1105" i="5"/>
  <c r="Q1144" i="5"/>
  <c r="Q1177" i="5"/>
  <c r="Q1213" i="5"/>
  <c r="Q1231" i="5"/>
  <c r="Q1249" i="5"/>
  <c r="Q1302" i="5"/>
  <c r="Q1320" i="5"/>
  <c r="Q1338" i="5"/>
  <c r="Q1357" i="5"/>
  <c r="Q1377" i="5"/>
  <c r="Q1433" i="5"/>
  <c r="Q1472" i="5"/>
  <c r="Q1532" i="5"/>
  <c r="Q1575" i="5"/>
  <c r="Q1618" i="5"/>
  <c r="Q1642" i="5"/>
  <c r="Q1737" i="5"/>
  <c r="Q1763" i="5"/>
  <c r="Q1816" i="5"/>
  <c r="Q1872" i="5"/>
  <c r="Q1903" i="5"/>
  <c r="Q1936" i="5"/>
  <c r="Q1997" i="5"/>
  <c r="Q1966" i="5"/>
  <c r="Q2000" i="5"/>
  <c r="Q1940" i="5"/>
  <c r="Q771" i="5"/>
  <c r="Q783" i="5"/>
  <c r="Q808" i="5"/>
  <c r="Q821" i="5"/>
  <c r="Q833" i="5"/>
  <c r="Q858" i="5"/>
  <c r="Q871" i="5"/>
  <c r="Q883" i="5"/>
  <c r="Q908" i="5"/>
  <c r="Q921" i="5"/>
  <c r="Q933" i="5"/>
  <c r="Q958" i="5"/>
  <c r="Q971" i="5"/>
  <c r="Q983" i="5"/>
  <c r="Q1008" i="5"/>
  <c r="Q1021" i="5"/>
  <c r="Q1033" i="5"/>
  <c r="Q1058" i="5"/>
  <c r="Q1071" i="5"/>
  <c r="Q1083" i="5"/>
  <c r="Q1108" i="5"/>
  <c r="Q1134" i="5"/>
  <c r="Q1200" i="5"/>
  <c r="Q1235" i="5"/>
  <c r="Q1271" i="5"/>
  <c r="Q1343" i="5"/>
  <c r="Q1380" i="5"/>
  <c r="Q1399" i="5"/>
  <c r="Q1516" i="5"/>
  <c r="Q1580" i="5"/>
  <c r="Q1602" i="5"/>
  <c r="Q1646" i="5"/>
  <c r="Q1672" i="5"/>
  <c r="Q1743" i="5"/>
  <c r="Q1770" i="5"/>
  <c r="Q1796" i="5"/>
  <c r="Q1852" i="5"/>
  <c r="Q1880" i="5"/>
  <c r="Q1972" i="5"/>
  <c r="Q2003" i="5"/>
  <c r="Q1548" i="5"/>
  <c r="Q1563" i="5"/>
  <c r="Q1577" i="5"/>
  <c r="Q1592" i="5"/>
  <c r="Q1606" i="5"/>
  <c r="Q1620" i="5"/>
  <c r="Q1635" i="5"/>
  <c r="Q1665" i="5"/>
  <c r="Q1680" i="5"/>
  <c r="Q1727" i="5"/>
  <c r="Q1777" i="5"/>
  <c r="Q1795" i="5"/>
  <c r="Q1813" i="5"/>
  <c r="Q1867" i="5"/>
  <c r="Q1887" i="5"/>
  <c r="Q1907" i="5"/>
  <c r="Q1927" i="5"/>
  <c r="Q1947" i="5"/>
  <c r="Q1967" i="5"/>
  <c r="Q1987" i="5"/>
  <c r="Q1157" i="5"/>
  <c r="Q1169" i="5"/>
  <c r="Q1182" i="5"/>
  <c r="Q1195" i="5"/>
  <c r="Q1207" i="5"/>
  <c r="Q1219" i="5"/>
  <c r="Q1232" i="5"/>
  <c r="Q1245" i="5"/>
  <c r="Q1257" i="5"/>
  <c r="Q1269" i="5"/>
  <c r="Q1282" i="5"/>
  <c r="Q1295" i="5"/>
  <c r="Q1307" i="5"/>
  <c r="Q1319" i="5"/>
  <c r="Q1332" i="5"/>
  <c r="Q1358" i="5"/>
  <c r="Q1372" i="5"/>
  <c r="Q1398" i="5"/>
  <c r="Q1412" i="5"/>
  <c r="Q1438" i="5"/>
  <c r="Q1452" i="5"/>
  <c r="Q1478" i="5"/>
  <c r="Q1650" i="5"/>
  <c r="Q1696" i="5"/>
  <c r="Q1712" i="5"/>
  <c r="Q1745" i="5"/>
  <c r="Q1762" i="5"/>
  <c r="Q1832" i="5"/>
  <c r="Q1850" i="5"/>
  <c r="Q769" i="5"/>
  <c r="Q779" i="5"/>
  <c r="Q789" i="5"/>
  <c r="Q799" i="5"/>
  <c r="Q809" i="5"/>
  <c r="Q819" i="5"/>
  <c r="Q829" i="5"/>
  <c r="Q839" i="5"/>
  <c r="Q849" i="5"/>
  <c r="Q859" i="5"/>
  <c r="Q869" i="5"/>
  <c r="Q879" i="5"/>
  <c r="Q889" i="5"/>
  <c r="Q899" i="5"/>
  <c r="Q909" i="5"/>
  <c r="Q919" i="5"/>
  <c r="Q929" i="5"/>
  <c r="Q939" i="5"/>
  <c r="Q949" i="5"/>
  <c r="Q959" i="5"/>
  <c r="Q969" i="5"/>
  <c r="Q979" i="5"/>
  <c r="Q989" i="5"/>
  <c r="Q999" i="5"/>
  <c r="Q1009" i="5"/>
  <c r="Q1019" i="5"/>
  <c r="Q1029" i="5"/>
  <c r="Q1039" i="5"/>
  <c r="Q1049" i="5"/>
  <c r="Q1059" i="5"/>
  <c r="Q1069" i="5"/>
  <c r="Q1079" i="5"/>
  <c r="Q1089" i="5"/>
  <c r="Q1099" i="5"/>
  <c r="Q1109" i="5"/>
  <c r="Q1119" i="5"/>
  <c r="Q1129" i="5"/>
  <c r="Q1139" i="5"/>
  <c r="Q1149" i="5"/>
  <c r="Q1160" i="5"/>
  <c r="Q1210" i="5"/>
  <c r="Q1260" i="5"/>
  <c r="Q1310" i="5"/>
  <c r="Q1348" i="5"/>
  <c r="Q1362" i="5"/>
  <c r="Q1388" i="5"/>
  <c r="Q1402" i="5"/>
  <c r="Q1428" i="5"/>
  <c r="Q1442" i="5"/>
  <c r="Q1468" i="5"/>
  <c r="Q1482" i="5"/>
  <c r="Q1496" i="5"/>
  <c r="Q1510" i="5"/>
  <c r="Q1525" i="5"/>
  <c r="Q1538" i="5"/>
  <c r="Q1553" i="5"/>
  <c r="Q1567" i="5"/>
  <c r="Q1582" i="5"/>
  <c r="Q1596" i="5"/>
  <c r="Q1610" i="5"/>
  <c r="Q1625" i="5"/>
  <c r="Q1638" i="5"/>
  <c r="Q1685" i="5"/>
  <c r="Q1700" i="5"/>
  <c r="Q1800" i="5"/>
  <c r="Q1836" i="5"/>
  <c r="Q1855" i="5"/>
  <c r="Q1873" i="5"/>
  <c r="Q1893" i="5"/>
  <c r="Q1913" i="5"/>
  <c r="Q1933" i="5"/>
  <c r="Q1953" i="5"/>
  <c r="Q1973" i="5"/>
  <c r="Q1993" i="5"/>
  <c r="Q1161" i="5"/>
  <c r="Q1173" i="5"/>
  <c r="Q1186" i="5"/>
  <c r="Q1198" i="5"/>
  <c r="Q1211" i="5"/>
  <c r="Q1223" i="5"/>
  <c r="Q1236" i="5"/>
  <c r="Q1248" i="5"/>
  <c r="Q1261" i="5"/>
  <c r="Q1273" i="5"/>
  <c r="Q1286" i="5"/>
  <c r="Q1298" i="5"/>
  <c r="Q1311" i="5"/>
  <c r="Q1323" i="5"/>
  <c r="Q1336" i="5"/>
  <c r="Q1376" i="5"/>
  <c r="Q1416" i="5"/>
  <c r="Q1456" i="5"/>
  <c r="Q1655" i="5"/>
  <c r="Q1670" i="5"/>
  <c r="Q1716" i="5"/>
  <c r="Q1733" i="5"/>
  <c r="Q1750" i="5"/>
  <c r="Q1766" i="5"/>
  <c r="Q1783" i="5"/>
  <c r="Q1837" i="5"/>
  <c r="Q1120" i="5"/>
  <c r="Q1130" i="5"/>
  <c r="Q1140" i="5"/>
  <c r="Q1150" i="5"/>
  <c r="Q1349" i="5"/>
  <c r="Q1363" i="5"/>
  <c r="Q1389" i="5"/>
  <c r="Q1403" i="5"/>
  <c r="Q1429" i="5"/>
  <c r="Q1443" i="5"/>
  <c r="Q1469" i="5"/>
  <c r="Q1483" i="5"/>
  <c r="Q1497" i="5"/>
  <c r="Q1512" i="5"/>
  <c r="Q1526" i="5"/>
  <c r="Q1540" i="5"/>
  <c r="Q1555" i="5"/>
  <c r="Q1568" i="5"/>
  <c r="Q1583" i="5"/>
  <c r="Q1597" i="5"/>
  <c r="Q1612" i="5"/>
  <c r="Q1626" i="5"/>
  <c r="Q1640" i="5"/>
  <c r="Q1686" i="5"/>
  <c r="Q1702" i="5"/>
  <c r="Q1717" i="5"/>
  <c r="Q1767" i="5"/>
  <c r="Q1802" i="5"/>
  <c r="Q1820" i="5"/>
  <c r="Q1856" i="5"/>
  <c r="Q1166" i="5"/>
  <c r="Q1178" i="5"/>
  <c r="Q1191" i="5"/>
  <c r="Q1203" i="5"/>
  <c r="Q1216" i="5"/>
  <c r="Q1228" i="5"/>
  <c r="Q1241" i="5"/>
  <c r="Q1253" i="5"/>
  <c r="Q1266" i="5"/>
  <c r="Q1278" i="5"/>
  <c r="Q1291" i="5"/>
  <c r="Q1303" i="5"/>
  <c r="Q1316" i="5"/>
  <c r="Q1328" i="5"/>
  <c r="Q1355" i="5"/>
  <c r="Q1395" i="5"/>
  <c r="Q1435" i="5"/>
  <c r="Q1475" i="5"/>
  <c r="Q1676" i="5"/>
  <c r="Q1692" i="5"/>
  <c r="Q1723" i="5"/>
  <c r="Q1740" i="5"/>
  <c r="Q1756" i="5"/>
  <c r="Q1773" i="5"/>
  <c r="Q1790" i="5"/>
  <c r="Q1826" i="5"/>
  <c r="Q1845" i="5"/>
  <c r="Q1863" i="5"/>
  <c r="Q1882" i="5"/>
  <c r="Q1902" i="5"/>
  <c r="Q1922" i="5"/>
  <c r="Q1942" i="5"/>
  <c r="Q1962" i="5"/>
  <c r="Q1982" i="5"/>
  <c r="Q2002" i="5"/>
  <c r="Q1155" i="5"/>
  <c r="Q1167" i="5"/>
  <c r="Q1179" i="5"/>
  <c r="Q1192" i="5"/>
  <c r="Q1205" i="5"/>
  <c r="Q1217" i="5"/>
  <c r="Q1229" i="5"/>
  <c r="Q1242" i="5"/>
  <c r="Q1255" i="5"/>
  <c r="Q1267" i="5"/>
  <c r="Q1279" i="5"/>
  <c r="Q1292" i="5"/>
  <c r="Q1305" i="5"/>
  <c r="Q1317" i="5"/>
  <c r="Q1329" i="5"/>
  <c r="Q1356" i="5"/>
  <c r="Q1396" i="5"/>
  <c r="Q1436" i="5"/>
  <c r="Q1476" i="5"/>
  <c r="Q1677" i="5"/>
  <c r="Q1693" i="5"/>
  <c r="Q1725" i="5"/>
  <c r="Q1742" i="5"/>
  <c r="Q1775" i="5"/>
  <c r="Q1792" i="5"/>
  <c r="Q1810" i="5"/>
  <c r="Q1846" i="5"/>
  <c r="Q1865" i="5"/>
  <c r="Q1875" i="5"/>
  <c r="Q1885" i="5"/>
  <c r="Q1895" i="5"/>
  <c r="Q1905" i="5"/>
  <c r="Q1915" i="5"/>
  <c r="Q1925" i="5"/>
  <c r="Q1935" i="5"/>
  <c r="Q1945" i="5"/>
  <c r="Q1955" i="5"/>
  <c r="Q1965" i="5"/>
  <c r="Q1975" i="5"/>
  <c r="Q1985" i="5"/>
  <c r="Q1995" i="5"/>
  <c r="Q1648" i="5"/>
  <c r="Q1658" i="5"/>
  <c r="Q1668" i="5"/>
  <c r="Q1678" i="5"/>
  <c r="Q1688" i="5"/>
  <c r="Q1698" i="5"/>
  <c r="Q1708" i="5"/>
  <c r="Q1718" i="5"/>
  <c r="Q1728" i="5"/>
  <c r="Q1738" i="5"/>
  <c r="Q1748" i="5"/>
  <c r="Q1758" i="5"/>
  <c r="Q1768" i="5"/>
  <c r="Q1778" i="5"/>
  <c r="Q1788" i="5"/>
  <c r="Q1798" i="5"/>
  <c r="Q1808" i="5"/>
  <c r="Q1818" i="5"/>
  <c r="Q1828" i="5"/>
  <c r="Q1838" i="5"/>
  <c r="Q1848" i="5"/>
  <c r="Q1858" i="5"/>
  <c r="Q1868" i="5"/>
  <c r="Q1878" i="5"/>
  <c r="Q1888" i="5"/>
  <c r="Q1898" i="5"/>
  <c r="Q1908" i="5"/>
  <c r="Q1918" i="5"/>
  <c r="Q1928" i="5"/>
  <c r="Q1938" i="5"/>
  <c r="Q1948" i="5"/>
  <c r="Q1958" i="5"/>
  <c r="Q1968" i="5"/>
  <c r="Q1978" i="5"/>
  <c r="Q1988" i="5"/>
  <c r="Q1998" i="5"/>
  <c r="Q1489" i="5"/>
  <c r="Q1499" i="5"/>
  <c r="Q1509" i="5"/>
  <c r="Q1519" i="5"/>
  <c r="Q1529" i="5"/>
  <c r="Q1539" i="5"/>
  <c r="Q1549" i="5"/>
  <c r="Q1559" i="5"/>
  <c r="Q1569" i="5"/>
  <c r="Q1579" i="5"/>
  <c r="Q1589" i="5"/>
  <c r="Q1599" i="5"/>
  <c r="Q1609" i="5"/>
  <c r="Q1619" i="5"/>
  <c r="Q1629" i="5"/>
  <c r="Q1639" i="5"/>
  <c r="Q1649" i="5"/>
  <c r="Q1659" i="5"/>
  <c r="Q1669" i="5"/>
  <c r="Q1679" i="5"/>
  <c r="Q1689" i="5"/>
  <c r="Q1699" i="5"/>
  <c r="Q1709" i="5"/>
  <c r="Q1719" i="5"/>
  <c r="Q1729" i="5"/>
  <c r="Q1739" i="5"/>
  <c r="Q1749" i="5"/>
  <c r="Q1759" i="5"/>
  <c r="Q1769" i="5"/>
  <c r="Q1779" i="5"/>
  <c r="Q1789" i="5"/>
  <c r="Q1799" i="5"/>
  <c r="Q1809" i="5"/>
  <c r="Q1819" i="5"/>
  <c r="Q1829" i="5"/>
  <c r="Q1839" i="5"/>
  <c r="Q1849" i="5"/>
  <c r="Q1859" i="5"/>
  <c r="Q1869" i="5"/>
  <c r="Q1879" i="5"/>
  <c r="Q1889" i="5"/>
  <c r="Q1899" i="5"/>
  <c r="Q1909" i="5"/>
  <c r="Q1919" i="5"/>
  <c r="Q1929" i="5"/>
  <c r="Q1939" i="5"/>
  <c r="Q1949" i="5"/>
  <c r="Q1959" i="5"/>
  <c r="Q1969" i="5"/>
  <c r="Q1979" i="5"/>
  <c r="Q1989" i="5"/>
  <c r="Q1999" i="5"/>
  <c r="Q1341" i="5"/>
  <c r="Q1351" i="5"/>
  <c r="Q1361" i="5"/>
  <c r="Q1371" i="5"/>
  <c r="Q1381" i="5"/>
  <c r="Q1391" i="5"/>
  <c r="Q1401" i="5"/>
  <c r="Q1411" i="5"/>
  <c r="Q1421" i="5"/>
  <c r="Q1431" i="5"/>
  <c r="Q1441" i="5"/>
  <c r="Q1451" i="5"/>
  <c r="Q1461" i="5"/>
  <c r="Q1471" i="5"/>
  <c r="Q1481" i="5"/>
  <c r="Q1491" i="5"/>
  <c r="Q1501" i="5"/>
  <c r="Q1511" i="5"/>
  <c r="Q1521" i="5"/>
  <c r="Q1531" i="5"/>
  <c r="Q1541" i="5"/>
  <c r="Q1551" i="5"/>
  <c r="Q1561" i="5"/>
  <c r="Q1571" i="5"/>
  <c r="Q1581" i="5"/>
  <c r="Q1591" i="5"/>
  <c r="Q1601" i="5"/>
  <c r="Q1611" i="5"/>
  <c r="Q1621" i="5"/>
  <c r="Q1631" i="5"/>
  <c r="Q1641" i="5"/>
  <c r="Q1651" i="5"/>
  <c r="Q1661" i="5"/>
  <c r="Q1671" i="5"/>
  <c r="Q1681" i="5"/>
  <c r="Q1691" i="5"/>
  <c r="Q1701" i="5"/>
  <c r="Q1711" i="5"/>
  <c r="Q1721" i="5"/>
  <c r="Q1731" i="5"/>
  <c r="Q1741" i="5"/>
  <c r="Q1751" i="5"/>
  <c r="Q1761" i="5"/>
  <c r="Q1771" i="5"/>
  <c r="Q1781" i="5"/>
  <c r="Q1791" i="5"/>
  <c r="Q1801" i="5"/>
  <c r="Q1811" i="5"/>
  <c r="Q1821" i="5"/>
  <c r="Q1831" i="5"/>
  <c r="Q1841" i="5"/>
  <c r="Q1851" i="5"/>
  <c r="Q1861" i="5"/>
  <c r="Q1871" i="5"/>
  <c r="Q1881" i="5"/>
  <c r="Q1891" i="5"/>
  <c r="Q1901" i="5"/>
  <c r="Q1911" i="5"/>
  <c r="Q1921" i="5"/>
  <c r="Q1931" i="5"/>
  <c r="Q1941" i="5"/>
  <c r="Q1951" i="5"/>
  <c r="Q1961" i="5"/>
  <c r="Q1971" i="5"/>
  <c r="Q1981" i="5"/>
  <c r="Q1991" i="5"/>
  <c r="Q2001" i="5"/>
  <c r="Q1154" i="5"/>
  <c r="Q1164" i="5"/>
  <c r="Q1174" i="5"/>
  <c r="Q1184" i="5"/>
  <c r="Q1194" i="5"/>
  <c r="Q1204" i="5"/>
  <c r="Q1214" i="5"/>
  <c r="Q1224" i="5"/>
  <c r="Q1234" i="5"/>
  <c r="Q1244" i="5"/>
  <c r="Q1254" i="5"/>
  <c r="Q1264" i="5"/>
  <c r="Q1274" i="5"/>
  <c r="Q1284" i="5"/>
  <c r="Q1294" i="5"/>
  <c r="Q1304" i="5"/>
  <c r="Q1314" i="5"/>
  <c r="Q1324" i="5"/>
  <c r="Q1334" i="5"/>
  <c r="Q1344" i="5"/>
  <c r="Q1354" i="5"/>
  <c r="Q1364" i="5"/>
  <c r="Q1374" i="5"/>
  <c r="Q1384" i="5"/>
  <c r="Q1394" i="5"/>
  <c r="Q1404" i="5"/>
  <c r="Q1414" i="5"/>
  <c r="Q1424" i="5"/>
  <c r="Q1434" i="5"/>
  <c r="Q1444" i="5"/>
  <c r="Q1454" i="5"/>
  <c r="Q1464" i="5"/>
  <c r="Q1474" i="5"/>
  <c r="Q1484" i="5"/>
  <c r="Q1494" i="5"/>
  <c r="Q1504" i="5"/>
  <c r="Q1514" i="5"/>
  <c r="Q1524" i="5"/>
  <c r="Q1534" i="5"/>
  <c r="Q1544" i="5"/>
  <c r="Q1554" i="5"/>
  <c r="Q1564" i="5"/>
  <c r="Q1574" i="5"/>
  <c r="Q1584" i="5"/>
  <c r="Q1594" i="5"/>
  <c r="Q1604" i="5"/>
  <c r="Q1614" i="5"/>
  <c r="Q1624" i="5"/>
  <c r="Q1634" i="5"/>
  <c r="Q1644" i="5"/>
  <c r="Q1654" i="5"/>
  <c r="Q1664" i="5"/>
  <c r="Q1674" i="5"/>
  <c r="Q1684" i="5"/>
  <c r="Q1694" i="5"/>
  <c r="Q1704" i="5"/>
  <c r="Q1714" i="5"/>
  <c r="Q1724" i="5"/>
  <c r="Q1734" i="5"/>
  <c r="Q1744" i="5"/>
  <c r="Q1754" i="5"/>
  <c r="Q1764" i="5"/>
  <c r="Q1774" i="5"/>
  <c r="Q1784" i="5"/>
  <c r="Q1794" i="5"/>
  <c r="Q1804" i="5"/>
  <c r="Q1814" i="5"/>
  <c r="Q1824" i="5"/>
  <c r="Q1834" i="5"/>
  <c r="Q1844" i="5"/>
  <c r="Q1854" i="5"/>
  <c r="Q1864" i="5"/>
  <c r="Q1874" i="5"/>
  <c r="Q1884" i="5"/>
  <c r="Q1894" i="5"/>
  <c r="Q1904" i="5"/>
  <c r="Q1914" i="5"/>
  <c r="Q1924" i="5"/>
  <c r="Q1934" i="5"/>
  <c r="Q1944" i="5"/>
  <c r="Q1954" i="5"/>
  <c r="Q1964" i="5"/>
  <c r="Q1974" i="5"/>
  <c r="Q1984" i="5"/>
  <c r="Q1994" i="5"/>
  <c r="Q2004" i="5"/>
  <c r="R165" i="5"/>
  <c r="R297" i="5"/>
  <c r="R495" i="5"/>
  <c r="R992" i="5"/>
  <c r="R1205" i="5"/>
  <c r="R1512" i="5"/>
  <c r="R782" i="5"/>
  <c r="R235" i="5"/>
  <c r="R507" i="5"/>
  <c r="R802" i="5"/>
  <c r="R1513" i="5"/>
  <c r="R382" i="5"/>
  <c r="R105" i="5"/>
  <c r="R395" i="5"/>
  <c r="R820" i="5"/>
  <c r="R1010" i="5"/>
  <c r="R1552" i="5"/>
  <c r="R1473" i="5"/>
  <c r="R175" i="5"/>
  <c r="R407" i="5"/>
  <c r="R651" i="5"/>
  <c r="R1244" i="5"/>
  <c r="R245" i="5"/>
  <c r="R320" i="5"/>
  <c r="R520" i="5"/>
  <c r="R840" i="5"/>
  <c r="R1245" i="5"/>
  <c r="R1555" i="5"/>
  <c r="R371" i="5"/>
  <c r="R115" i="5"/>
  <c r="R652" i="5"/>
  <c r="R841" i="5"/>
  <c r="R1030" i="5"/>
  <c r="R1282" i="5"/>
  <c r="R1595" i="5"/>
  <c r="R955" i="5"/>
  <c r="R1171" i="5"/>
  <c r="R185" i="5"/>
  <c r="R321" i="5"/>
  <c r="R420" i="5"/>
  <c r="R532" i="5"/>
  <c r="R669" i="5"/>
  <c r="R859" i="5"/>
  <c r="R1049" i="5"/>
  <c r="R1284" i="5"/>
  <c r="R255" i="5"/>
  <c r="R332" i="5"/>
  <c r="R1322" i="5"/>
  <c r="R1474" i="5"/>
  <c r="R125" i="5"/>
  <c r="R432" i="5"/>
  <c r="R195" i="5"/>
  <c r="R547" i="5"/>
  <c r="R1069" i="5"/>
  <c r="R155" i="5"/>
  <c r="R225" i="5"/>
  <c r="R265" i="5"/>
  <c r="R561" i="5"/>
  <c r="R896" i="5"/>
  <c r="R1685" i="5"/>
  <c r="R135" i="5"/>
  <c r="R345" i="5"/>
  <c r="R445" i="5"/>
  <c r="R707" i="5"/>
  <c r="R1362" i="5"/>
  <c r="R1724" i="5"/>
  <c r="R205" i="5"/>
  <c r="R346" i="5"/>
  <c r="R457" i="5"/>
  <c r="R575" i="5"/>
  <c r="R1394" i="5"/>
  <c r="R275" i="5"/>
  <c r="R357" i="5"/>
  <c r="R576" i="5"/>
  <c r="R726" i="5"/>
  <c r="R916" i="5"/>
  <c r="R1107" i="5"/>
  <c r="R145" i="5"/>
  <c r="R470" i="5"/>
  <c r="R590" i="5"/>
  <c r="R935" i="5"/>
  <c r="R1146" i="5"/>
  <c r="R215" i="5"/>
  <c r="R746" i="5"/>
  <c r="R1434" i="5"/>
  <c r="R296" i="5"/>
  <c r="R1126" i="5"/>
  <c r="R285" i="5"/>
  <c r="R370" i="5"/>
  <c r="R482" i="5"/>
  <c r="R604" i="5"/>
  <c r="R1865" i="5"/>
  <c r="R396" i="5"/>
  <c r="R562" i="5"/>
  <c r="R670" i="5"/>
  <c r="R1285" i="5"/>
  <c r="R104" i="5"/>
  <c r="R114" i="5"/>
  <c r="R124" i="5"/>
  <c r="R134" i="5"/>
  <c r="R144" i="5"/>
  <c r="R154" i="5"/>
  <c r="R164" i="5"/>
  <c r="R174" i="5"/>
  <c r="R184" i="5"/>
  <c r="R194" i="5"/>
  <c r="R204" i="5"/>
  <c r="R214" i="5"/>
  <c r="R224" i="5"/>
  <c r="R234" i="5"/>
  <c r="R244" i="5"/>
  <c r="R254" i="5"/>
  <c r="R264" i="5"/>
  <c r="R274" i="5"/>
  <c r="R284" i="5"/>
  <c r="R307" i="5"/>
  <c r="R344" i="5"/>
  <c r="R394" i="5"/>
  <c r="R444" i="5"/>
  <c r="R494" i="5"/>
  <c r="R546" i="5"/>
  <c r="R617" i="5"/>
  <c r="R632" i="5"/>
  <c r="R650" i="5"/>
  <c r="R686" i="5"/>
  <c r="R706" i="5"/>
  <c r="R762" i="5"/>
  <c r="R801" i="5"/>
  <c r="R876" i="5"/>
  <c r="R915" i="5"/>
  <c r="R990" i="5"/>
  <c r="R1029" i="5"/>
  <c r="R1067" i="5"/>
  <c r="R1086" i="5"/>
  <c r="R1106" i="5"/>
  <c r="R1204" i="5"/>
  <c r="R1354" i="5"/>
  <c r="R1433" i="5"/>
  <c r="R1472" i="5"/>
  <c r="R1785" i="5"/>
  <c r="R689" i="5"/>
  <c r="R96" i="5"/>
  <c r="R106" i="5"/>
  <c r="R116" i="5"/>
  <c r="R126" i="5"/>
  <c r="R136" i="5"/>
  <c r="R146" i="5"/>
  <c r="R156" i="5"/>
  <c r="R166" i="5"/>
  <c r="R176" i="5"/>
  <c r="R186" i="5"/>
  <c r="R196" i="5"/>
  <c r="R206" i="5"/>
  <c r="R216" i="5"/>
  <c r="R226" i="5"/>
  <c r="R236" i="5"/>
  <c r="R246" i="5"/>
  <c r="R256" i="5"/>
  <c r="R266" i="5"/>
  <c r="R276" i="5"/>
  <c r="R286" i="5"/>
  <c r="R310" i="5"/>
  <c r="R334" i="5"/>
  <c r="R384" i="5"/>
  <c r="R434" i="5"/>
  <c r="R484" i="5"/>
  <c r="R577" i="5"/>
  <c r="R606" i="5"/>
  <c r="R636" i="5"/>
  <c r="R655" i="5"/>
  <c r="R671" i="5"/>
  <c r="R709" i="5"/>
  <c r="R747" i="5"/>
  <c r="R766" i="5"/>
  <c r="R786" i="5"/>
  <c r="R842" i="5"/>
  <c r="R881" i="5"/>
  <c r="R956" i="5"/>
  <c r="R995" i="5"/>
  <c r="R1070" i="5"/>
  <c r="R1109" i="5"/>
  <c r="R1147" i="5"/>
  <c r="R1175" i="5"/>
  <c r="R1325" i="5"/>
  <c r="R1364" i="5"/>
  <c r="R1515" i="5"/>
  <c r="R1644" i="5"/>
  <c r="R1734" i="5"/>
  <c r="R1792" i="5"/>
  <c r="R1876" i="5"/>
  <c r="R322" i="5"/>
  <c r="R347" i="5"/>
  <c r="R360" i="5"/>
  <c r="R372" i="5"/>
  <c r="R397" i="5"/>
  <c r="R410" i="5"/>
  <c r="R422" i="5"/>
  <c r="R447" i="5"/>
  <c r="R460" i="5"/>
  <c r="R472" i="5"/>
  <c r="R497" i="5"/>
  <c r="R510" i="5"/>
  <c r="R522" i="5"/>
  <c r="R535" i="5"/>
  <c r="R550" i="5"/>
  <c r="R564" i="5"/>
  <c r="R592" i="5"/>
  <c r="R621" i="5"/>
  <c r="R690" i="5"/>
  <c r="R729" i="5"/>
  <c r="R862" i="5"/>
  <c r="R900" i="5"/>
  <c r="R920" i="5"/>
  <c r="R939" i="5"/>
  <c r="R976" i="5"/>
  <c r="R1015" i="5"/>
  <c r="R1072" i="5"/>
  <c r="R1090" i="5"/>
  <c r="R1129" i="5"/>
  <c r="R1214" i="5"/>
  <c r="R1253" i="5"/>
  <c r="R1365" i="5"/>
  <c r="R1404" i="5"/>
  <c r="R1442" i="5"/>
  <c r="R1482" i="5"/>
  <c r="R1602" i="5"/>
  <c r="R1645" i="5"/>
  <c r="R1736" i="5"/>
  <c r="R1732" i="5"/>
  <c r="R97" i="5"/>
  <c r="R107" i="5"/>
  <c r="R117" i="5"/>
  <c r="R127" i="5"/>
  <c r="R137" i="5"/>
  <c r="R147" i="5"/>
  <c r="R157" i="5"/>
  <c r="R167" i="5"/>
  <c r="R177" i="5"/>
  <c r="R187" i="5"/>
  <c r="R197" i="5"/>
  <c r="R207" i="5"/>
  <c r="R217" i="5"/>
  <c r="R227" i="5"/>
  <c r="R237" i="5"/>
  <c r="R247" i="5"/>
  <c r="R257" i="5"/>
  <c r="R267" i="5"/>
  <c r="R277" i="5"/>
  <c r="R287" i="5"/>
  <c r="R311" i="5"/>
  <c r="R335" i="5"/>
  <c r="R385" i="5"/>
  <c r="R435" i="5"/>
  <c r="R485" i="5"/>
  <c r="R536" i="5"/>
  <c r="R607" i="5"/>
  <c r="R656" i="5"/>
  <c r="R710" i="5"/>
  <c r="R749" i="5"/>
  <c r="R787" i="5"/>
  <c r="R806" i="5"/>
  <c r="R826" i="5"/>
  <c r="R882" i="5"/>
  <c r="R921" i="5"/>
  <c r="R996" i="5"/>
  <c r="R1035" i="5"/>
  <c r="R1110" i="5"/>
  <c r="R1149" i="5"/>
  <c r="R1215" i="5"/>
  <c r="R1405" i="5"/>
  <c r="R1444" i="5"/>
  <c r="R1522" i="5"/>
  <c r="R1564" i="5"/>
  <c r="R1692" i="5"/>
  <c r="R1884" i="5"/>
  <c r="R1642" i="5"/>
  <c r="R300" i="5"/>
  <c r="R336" i="5"/>
  <c r="R361" i="5"/>
  <c r="R386" i="5"/>
  <c r="R411" i="5"/>
  <c r="R436" i="5"/>
  <c r="R461" i="5"/>
  <c r="R486" i="5"/>
  <c r="R511" i="5"/>
  <c r="R551" i="5"/>
  <c r="R565" i="5"/>
  <c r="R580" i="5"/>
  <c r="R594" i="5"/>
  <c r="R622" i="5"/>
  <c r="R712" i="5"/>
  <c r="R730" i="5"/>
  <c r="R769" i="5"/>
  <c r="R902" i="5"/>
  <c r="R940" i="5"/>
  <c r="R960" i="5"/>
  <c r="R979" i="5"/>
  <c r="R1016" i="5"/>
  <c r="R1055" i="5"/>
  <c r="R1112" i="5"/>
  <c r="R1130" i="5"/>
  <c r="R1181" i="5"/>
  <c r="R1254" i="5"/>
  <c r="R1294" i="5"/>
  <c r="R1333" i="5"/>
  <c r="R1445" i="5"/>
  <c r="R1484" i="5"/>
  <c r="R1565" i="5"/>
  <c r="R1742" i="5"/>
  <c r="R496" i="5"/>
  <c r="R822" i="5"/>
  <c r="R98" i="5"/>
  <c r="R108" i="5"/>
  <c r="R118" i="5"/>
  <c r="R128" i="5"/>
  <c r="R138" i="5"/>
  <c r="R148" i="5"/>
  <c r="R158" i="5"/>
  <c r="R168" i="5"/>
  <c r="R178" i="5"/>
  <c r="R188" i="5"/>
  <c r="R198" i="5"/>
  <c r="R208" i="5"/>
  <c r="R218" i="5"/>
  <c r="R228" i="5"/>
  <c r="R238" i="5"/>
  <c r="R248" i="5"/>
  <c r="R258" i="5"/>
  <c r="R268" i="5"/>
  <c r="R278" i="5"/>
  <c r="R312" i="5"/>
  <c r="R324" i="5"/>
  <c r="R374" i="5"/>
  <c r="R424" i="5"/>
  <c r="R474" i="5"/>
  <c r="R524" i="5"/>
  <c r="R537" i="5"/>
  <c r="R566" i="5"/>
  <c r="R639" i="5"/>
  <c r="R657" i="5"/>
  <c r="R750" i="5"/>
  <c r="R789" i="5"/>
  <c r="R827" i="5"/>
  <c r="R846" i="5"/>
  <c r="R866" i="5"/>
  <c r="R922" i="5"/>
  <c r="R961" i="5"/>
  <c r="R1036" i="5"/>
  <c r="R1075" i="5"/>
  <c r="R1150" i="5"/>
  <c r="R1182" i="5"/>
  <c r="R1295" i="5"/>
  <c r="R1485" i="5"/>
  <c r="R1525" i="5"/>
  <c r="R1655" i="5"/>
  <c r="R1695" i="5"/>
  <c r="R1806" i="5"/>
  <c r="R1886" i="5"/>
  <c r="R421" i="5"/>
  <c r="R521" i="5"/>
  <c r="R860" i="5"/>
  <c r="R301" i="5"/>
  <c r="R337" i="5"/>
  <c r="R350" i="5"/>
  <c r="R362" i="5"/>
  <c r="R387" i="5"/>
  <c r="R400" i="5"/>
  <c r="R412" i="5"/>
  <c r="R437" i="5"/>
  <c r="R450" i="5"/>
  <c r="R462" i="5"/>
  <c r="R487" i="5"/>
  <c r="R500" i="5"/>
  <c r="R512" i="5"/>
  <c r="R552" i="5"/>
  <c r="R581" i="5"/>
  <c r="R595" i="5"/>
  <c r="R610" i="5"/>
  <c r="R624" i="5"/>
  <c r="R676" i="5"/>
  <c r="R695" i="5"/>
  <c r="R752" i="5"/>
  <c r="R770" i="5"/>
  <c r="R809" i="5"/>
  <c r="R942" i="5"/>
  <c r="R980" i="5"/>
  <c r="R1000" i="5"/>
  <c r="R1019" i="5"/>
  <c r="R1056" i="5"/>
  <c r="R1095" i="5"/>
  <c r="R1152" i="5"/>
  <c r="R1183" i="5"/>
  <c r="R1334" i="5"/>
  <c r="R1374" i="5"/>
  <c r="R1413" i="5"/>
  <c r="R446" i="5"/>
  <c r="R99" i="5"/>
  <c r="R109" i="5"/>
  <c r="R119" i="5"/>
  <c r="R129" i="5"/>
  <c r="R139" i="5"/>
  <c r="R149" i="5"/>
  <c r="R159" i="5"/>
  <c r="R169" i="5"/>
  <c r="R179" i="5"/>
  <c r="R189" i="5"/>
  <c r="R199" i="5"/>
  <c r="R209" i="5"/>
  <c r="R219" i="5"/>
  <c r="R229" i="5"/>
  <c r="R239" i="5"/>
  <c r="R249" i="5"/>
  <c r="R259" i="5"/>
  <c r="R269" i="5"/>
  <c r="R279" i="5"/>
  <c r="R290" i="5"/>
  <c r="R325" i="5"/>
  <c r="R375" i="5"/>
  <c r="R425" i="5"/>
  <c r="R475" i="5"/>
  <c r="R525" i="5"/>
  <c r="R567" i="5"/>
  <c r="R596" i="5"/>
  <c r="R642" i="5"/>
  <c r="R715" i="5"/>
  <c r="R790" i="5"/>
  <c r="R829" i="5"/>
  <c r="R867" i="5"/>
  <c r="R886" i="5"/>
  <c r="R906" i="5"/>
  <c r="R962" i="5"/>
  <c r="R1001" i="5"/>
  <c r="R1076" i="5"/>
  <c r="R1115" i="5"/>
  <c r="R1186" i="5"/>
  <c r="R1222" i="5"/>
  <c r="R1375" i="5"/>
  <c r="R1702" i="5"/>
  <c r="R302" i="5"/>
  <c r="R314" i="5"/>
  <c r="R326" i="5"/>
  <c r="R351" i="5"/>
  <c r="R376" i="5"/>
  <c r="R401" i="5"/>
  <c r="R426" i="5"/>
  <c r="R451" i="5"/>
  <c r="R476" i="5"/>
  <c r="R501" i="5"/>
  <c r="R526" i="5"/>
  <c r="R540" i="5"/>
  <c r="R554" i="5"/>
  <c r="R582" i="5"/>
  <c r="R611" i="5"/>
  <c r="R625" i="5"/>
  <c r="R660" i="5"/>
  <c r="R677" i="5"/>
  <c r="R696" i="5"/>
  <c r="R735" i="5"/>
  <c r="R792" i="5"/>
  <c r="R810" i="5"/>
  <c r="R849" i="5"/>
  <c r="R982" i="5"/>
  <c r="R1020" i="5"/>
  <c r="R1040" i="5"/>
  <c r="R1059" i="5"/>
  <c r="R1096" i="5"/>
  <c r="R1135" i="5"/>
  <c r="R1225" i="5"/>
  <c r="R1262" i="5"/>
  <c r="R1414" i="5"/>
  <c r="R1454" i="5"/>
  <c r="R1493" i="5"/>
  <c r="R1572" i="5"/>
  <c r="R1615" i="5"/>
  <c r="R1754" i="5"/>
  <c r="R1816" i="5"/>
  <c r="R1915" i="5"/>
  <c r="R100" i="5"/>
  <c r="R110" i="5"/>
  <c r="R120" i="5"/>
  <c r="R130" i="5"/>
  <c r="R140" i="5"/>
  <c r="R150" i="5"/>
  <c r="R160" i="5"/>
  <c r="R170" i="5"/>
  <c r="R180" i="5"/>
  <c r="R190" i="5"/>
  <c r="R200" i="5"/>
  <c r="R210" i="5"/>
  <c r="R220" i="5"/>
  <c r="R230" i="5"/>
  <c r="R240" i="5"/>
  <c r="R250" i="5"/>
  <c r="R260" i="5"/>
  <c r="R270" i="5"/>
  <c r="R280" i="5"/>
  <c r="R291" i="5"/>
  <c r="R364" i="5"/>
  <c r="R414" i="5"/>
  <c r="R464" i="5"/>
  <c r="R514" i="5"/>
  <c r="R597" i="5"/>
  <c r="R626" i="5"/>
  <c r="R661" i="5"/>
  <c r="R716" i="5"/>
  <c r="R755" i="5"/>
  <c r="R830" i="5"/>
  <c r="R869" i="5"/>
  <c r="R907" i="5"/>
  <c r="R926" i="5"/>
  <c r="R946" i="5"/>
  <c r="R1002" i="5"/>
  <c r="R1041" i="5"/>
  <c r="R1116" i="5"/>
  <c r="R1155" i="5"/>
  <c r="R1191" i="5"/>
  <c r="R1302" i="5"/>
  <c r="R1455" i="5"/>
  <c r="R1535" i="5"/>
  <c r="R1573" i="5"/>
  <c r="R1662" i="5"/>
  <c r="R1705" i="5"/>
  <c r="R315" i="5"/>
  <c r="R327" i="5"/>
  <c r="R340" i="5"/>
  <c r="R352" i="5"/>
  <c r="R377" i="5"/>
  <c r="R390" i="5"/>
  <c r="R402" i="5"/>
  <c r="R427" i="5"/>
  <c r="R440" i="5"/>
  <c r="R452" i="5"/>
  <c r="R477" i="5"/>
  <c r="R490" i="5"/>
  <c r="R502" i="5"/>
  <c r="R527" i="5"/>
  <c r="R541" i="5"/>
  <c r="R555" i="5"/>
  <c r="R570" i="5"/>
  <c r="R584" i="5"/>
  <c r="R612" i="5"/>
  <c r="R680" i="5"/>
  <c r="R699" i="5"/>
  <c r="R736" i="5"/>
  <c r="R775" i="5"/>
  <c r="R832" i="5"/>
  <c r="R850" i="5"/>
  <c r="R889" i="5"/>
  <c r="R1022" i="5"/>
  <c r="R1060" i="5"/>
  <c r="R1080" i="5"/>
  <c r="R1099" i="5"/>
  <c r="R1136" i="5"/>
  <c r="R1192" i="5"/>
  <c r="R1305" i="5"/>
  <c r="R1342" i="5"/>
  <c r="R1494" i="5"/>
  <c r="R101" i="5"/>
  <c r="R111" i="5"/>
  <c r="R121" i="5"/>
  <c r="R131" i="5"/>
  <c r="R141" i="5"/>
  <c r="R151" i="5"/>
  <c r="R161" i="5"/>
  <c r="R171" i="5"/>
  <c r="R181" i="5"/>
  <c r="R191" i="5"/>
  <c r="R201" i="5"/>
  <c r="R211" i="5"/>
  <c r="R221" i="5"/>
  <c r="R231" i="5"/>
  <c r="R241" i="5"/>
  <c r="R251" i="5"/>
  <c r="R261" i="5"/>
  <c r="R271" i="5"/>
  <c r="R281" i="5"/>
  <c r="R292" i="5"/>
  <c r="R304" i="5"/>
  <c r="R365" i="5"/>
  <c r="R415" i="5"/>
  <c r="R465" i="5"/>
  <c r="R515" i="5"/>
  <c r="R556" i="5"/>
  <c r="R627" i="5"/>
  <c r="R645" i="5"/>
  <c r="R681" i="5"/>
  <c r="R756" i="5"/>
  <c r="R795" i="5"/>
  <c r="R870" i="5"/>
  <c r="R909" i="5"/>
  <c r="R947" i="5"/>
  <c r="R966" i="5"/>
  <c r="R986" i="5"/>
  <c r="R1042" i="5"/>
  <c r="R1081" i="5"/>
  <c r="R1156" i="5"/>
  <c r="R1193" i="5"/>
  <c r="R1232" i="5"/>
  <c r="R1382" i="5"/>
  <c r="R1624" i="5"/>
  <c r="R1664" i="5"/>
  <c r="R1765" i="5"/>
  <c r="R1826" i="5"/>
  <c r="R316" i="5"/>
  <c r="R341" i="5"/>
  <c r="R366" i="5"/>
  <c r="R391" i="5"/>
  <c r="R416" i="5"/>
  <c r="R441" i="5"/>
  <c r="R466" i="5"/>
  <c r="R491" i="5"/>
  <c r="R516" i="5"/>
  <c r="R542" i="5"/>
  <c r="R571" i="5"/>
  <c r="R585" i="5"/>
  <c r="R600" i="5"/>
  <c r="R614" i="5"/>
  <c r="R700" i="5"/>
  <c r="R720" i="5"/>
  <c r="R739" i="5"/>
  <c r="R776" i="5"/>
  <c r="R815" i="5"/>
  <c r="R872" i="5"/>
  <c r="R890" i="5"/>
  <c r="R929" i="5"/>
  <c r="R1062" i="5"/>
  <c r="R1100" i="5"/>
  <c r="R1120" i="5"/>
  <c r="R1139" i="5"/>
  <c r="R1233" i="5"/>
  <c r="R1272" i="5"/>
  <c r="R1385" i="5"/>
  <c r="R1422" i="5"/>
  <c r="R1625" i="5"/>
  <c r="R1766" i="5"/>
  <c r="R471" i="5"/>
  <c r="R591" i="5"/>
  <c r="R880" i="5"/>
  <c r="R1089" i="5"/>
  <c r="R1324" i="5"/>
  <c r="R102" i="5"/>
  <c r="R112" i="5"/>
  <c r="R122" i="5"/>
  <c r="R132" i="5"/>
  <c r="R142" i="5"/>
  <c r="R152" i="5"/>
  <c r="R162" i="5"/>
  <c r="R172" i="5"/>
  <c r="R182" i="5"/>
  <c r="R192" i="5"/>
  <c r="R202" i="5"/>
  <c r="R212" i="5"/>
  <c r="R222" i="5"/>
  <c r="R232" i="5"/>
  <c r="R242" i="5"/>
  <c r="R252" i="5"/>
  <c r="R262" i="5"/>
  <c r="R272" i="5"/>
  <c r="R282" i="5"/>
  <c r="R305" i="5"/>
  <c r="R354" i="5"/>
  <c r="R404" i="5"/>
  <c r="R454" i="5"/>
  <c r="R504" i="5"/>
  <c r="R557" i="5"/>
  <c r="R586" i="5"/>
  <c r="R646" i="5"/>
  <c r="R682" i="5"/>
  <c r="R721" i="5"/>
  <c r="R796" i="5"/>
  <c r="R835" i="5"/>
  <c r="R910" i="5"/>
  <c r="R949" i="5"/>
  <c r="R987" i="5"/>
  <c r="R1006" i="5"/>
  <c r="R1026" i="5"/>
  <c r="R1082" i="5"/>
  <c r="R1121" i="5"/>
  <c r="R1194" i="5"/>
  <c r="R1273" i="5"/>
  <c r="R1312" i="5"/>
  <c r="R1462" i="5"/>
  <c r="R1542" i="5"/>
  <c r="R1836" i="5"/>
  <c r="R620" i="5"/>
  <c r="R899" i="5"/>
  <c r="R975" i="5"/>
  <c r="R1050" i="5"/>
  <c r="R1174" i="5"/>
  <c r="R294" i="5"/>
  <c r="R317" i="5"/>
  <c r="R330" i="5"/>
  <c r="R342" i="5"/>
  <c r="R367" i="5"/>
  <c r="R380" i="5"/>
  <c r="R392" i="5"/>
  <c r="R417" i="5"/>
  <c r="R430" i="5"/>
  <c r="R442" i="5"/>
  <c r="R467" i="5"/>
  <c r="R480" i="5"/>
  <c r="R492" i="5"/>
  <c r="R517" i="5"/>
  <c r="R530" i="5"/>
  <c r="R544" i="5"/>
  <c r="R572" i="5"/>
  <c r="R601" i="5"/>
  <c r="R615" i="5"/>
  <c r="R630" i="5"/>
  <c r="R665" i="5"/>
  <c r="R702" i="5"/>
  <c r="R740" i="5"/>
  <c r="R760" i="5"/>
  <c r="R779" i="5"/>
  <c r="R816" i="5"/>
  <c r="R855" i="5"/>
  <c r="R912" i="5"/>
  <c r="R930" i="5"/>
  <c r="R969" i="5"/>
  <c r="R1102" i="5"/>
  <c r="R1140" i="5"/>
  <c r="R1164" i="5"/>
  <c r="R1234" i="5"/>
  <c r="R1313" i="5"/>
  <c r="R1352" i="5"/>
  <c r="R1465" i="5"/>
  <c r="R1502" i="5"/>
  <c r="R1584" i="5"/>
  <c r="R1672" i="5"/>
  <c r="R1402" i="5"/>
  <c r="R103" i="5"/>
  <c r="R113" i="5"/>
  <c r="R123" i="5"/>
  <c r="R133" i="5"/>
  <c r="R143" i="5"/>
  <c r="R153" i="5"/>
  <c r="R163" i="5"/>
  <c r="R173" i="5"/>
  <c r="R183" i="5"/>
  <c r="R193" i="5"/>
  <c r="R203" i="5"/>
  <c r="R213" i="5"/>
  <c r="R223" i="5"/>
  <c r="R233" i="5"/>
  <c r="R243" i="5"/>
  <c r="R253" i="5"/>
  <c r="R263" i="5"/>
  <c r="R273" i="5"/>
  <c r="R283" i="5"/>
  <c r="R306" i="5"/>
  <c r="R355" i="5"/>
  <c r="R405" i="5"/>
  <c r="R455" i="5"/>
  <c r="R505" i="5"/>
  <c r="R587" i="5"/>
  <c r="R616" i="5"/>
  <c r="R631" i="5"/>
  <c r="R667" i="5"/>
  <c r="R722" i="5"/>
  <c r="R761" i="5"/>
  <c r="R836" i="5"/>
  <c r="R875" i="5"/>
  <c r="R950" i="5"/>
  <c r="R989" i="5"/>
  <c r="R1027" i="5"/>
  <c r="R1046" i="5"/>
  <c r="R1066" i="5"/>
  <c r="R1122" i="5"/>
  <c r="R1274" i="5"/>
  <c r="R1353" i="5"/>
  <c r="R1392" i="5"/>
  <c r="R1544" i="5"/>
  <c r="R1585" i="5"/>
  <c r="R1675" i="5"/>
  <c r="R534" i="5"/>
  <c r="R605" i="5"/>
  <c r="R936" i="5"/>
  <c r="R1032" i="5"/>
  <c r="R295" i="5"/>
  <c r="R331" i="5"/>
  <c r="R356" i="5"/>
  <c r="R381" i="5"/>
  <c r="R406" i="5"/>
  <c r="R431" i="5"/>
  <c r="R456" i="5"/>
  <c r="R481" i="5"/>
  <c r="R506" i="5"/>
  <c r="R531" i="5"/>
  <c r="R545" i="5"/>
  <c r="R560" i="5"/>
  <c r="R574" i="5"/>
  <c r="R602" i="5"/>
  <c r="R649" i="5"/>
  <c r="R742" i="5"/>
  <c r="R780" i="5"/>
  <c r="R800" i="5"/>
  <c r="R819" i="5"/>
  <c r="R856" i="5"/>
  <c r="R895" i="5"/>
  <c r="R952" i="5"/>
  <c r="R970" i="5"/>
  <c r="R1009" i="5"/>
  <c r="R1142" i="5"/>
  <c r="R1166" i="5"/>
  <c r="R1202" i="5"/>
  <c r="R1242" i="5"/>
  <c r="R1314" i="5"/>
  <c r="R1393" i="5"/>
  <c r="R1432" i="5"/>
  <c r="R1632" i="5"/>
  <c r="R1722" i="5"/>
  <c r="R1775" i="5"/>
  <c r="R1845" i="5"/>
  <c r="R1964" i="5"/>
  <c r="R635" i="5"/>
  <c r="R647" i="5"/>
  <c r="R672" i="5"/>
  <c r="R685" i="5"/>
  <c r="R725" i="5"/>
  <c r="R765" i="5"/>
  <c r="R805" i="5"/>
  <c r="R845" i="5"/>
  <c r="R885" i="5"/>
  <c r="R925" i="5"/>
  <c r="R965" i="5"/>
  <c r="R1005" i="5"/>
  <c r="R1045" i="5"/>
  <c r="R1085" i="5"/>
  <c r="R1125" i="5"/>
  <c r="R1224" i="5"/>
  <c r="R1252" i="5"/>
  <c r="R1304" i="5"/>
  <c r="R1332" i="5"/>
  <c r="R1384" i="5"/>
  <c r="R1412" i="5"/>
  <c r="R1464" i="5"/>
  <c r="R1492" i="5"/>
  <c r="R1575" i="5"/>
  <c r="R1605" i="5"/>
  <c r="R1764" i="5"/>
  <c r="R1796" i="5"/>
  <c r="R1834" i="5"/>
  <c r="R1874" i="5"/>
  <c r="R1914" i="5"/>
  <c r="R637" i="5"/>
  <c r="R662" i="5"/>
  <c r="R675" i="5"/>
  <c r="R687" i="5"/>
  <c r="R701" i="5"/>
  <c r="R727" i="5"/>
  <c r="R741" i="5"/>
  <c r="R767" i="5"/>
  <c r="R781" i="5"/>
  <c r="R807" i="5"/>
  <c r="R821" i="5"/>
  <c r="R847" i="5"/>
  <c r="R861" i="5"/>
  <c r="R887" i="5"/>
  <c r="R901" i="5"/>
  <c r="R927" i="5"/>
  <c r="R941" i="5"/>
  <c r="R967" i="5"/>
  <c r="R981" i="5"/>
  <c r="R1007" i="5"/>
  <c r="R1021" i="5"/>
  <c r="R1047" i="5"/>
  <c r="R1061" i="5"/>
  <c r="R1087" i="5"/>
  <c r="R1101" i="5"/>
  <c r="R1127" i="5"/>
  <c r="R1141" i="5"/>
  <c r="R1176" i="5"/>
  <c r="R1255" i="5"/>
  <c r="R1335" i="5"/>
  <c r="R1415" i="5"/>
  <c r="R1495" i="5"/>
  <c r="R1524" i="5"/>
  <c r="R1553" i="5"/>
  <c r="R1582" i="5"/>
  <c r="R1612" i="5"/>
  <c r="R1704" i="5"/>
  <c r="R1804" i="5"/>
  <c r="R1924" i="5"/>
  <c r="R1965" i="5"/>
  <c r="R1926" i="5"/>
  <c r="R1974" i="5"/>
  <c r="R1812" i="5"/>
  <c r="R1976" i="5"/>
  <c r="R288" i="5"/>
  <c r="R298" i="5"/>
  <c r="R308" i="5"/>
  <c r="R318" i="5"/>
  <c r="R328" i="5"/>
  <c r="R338" i="5"/>
  <c r="R348" i="5"/>
  <c r="R358" i="5"/>
  <c r="R368" i="5"/>
  <c r="R378" i="5"/>
  <c r="R388" i="5"/>
  <c r="R398" i="5"/>
  <c r="R408" i="5"/>
  <c r="R418" i="5"/>
  <c r="R428" i="5"/>
  <c r="R438" i="5"/>
  <c r="R448" i="5"/>
  <c r="R458" i="5"/>
  <c r="R468" i="5"/>
  <c r="R478" i="5"/>
  <c r="R488" i="5"/>
  <c r="R498" i="5"/>
  <c r="R508" i="5"/>
  <c r="R518" i="5"/>
  <c r="R528" i="5"/>
  <c r="R538" i="5"/>
  <c r="R548" i="5"/>
  <c r="R558" i="5"/>
  <c r="R568" i="5"/>
  <c r="R578" i="5"/>
  <c r="R588" i="5"/>
  <c r="R598" i="5"/>
  <c r="R608" i="5"/>
  <c r="R618" i="5"/>
  <c r="R628" i="5"/>
  <c r="R640" i="5"/>
  <c r="R691" i="5"/>
  <c r="R717" i="5"/>
  <c r="R731" i="5"/>
  <c r="R757" i="5"/>
  <c r="R771" i="5"/>
  <c r="R797" i="5"/>
  <c r="R811" i="5"/>
  <c r="R837" i="5"/>
  <c r="R851" i="5"/>
  <c r="R877" i="5"/>
  <c r="R891" i="5"/>
  <c r="R917" i="5"/>
  <c r="R931" i="5"/>
  <c r="R957" i="5"/>
  <c r="R971" i="5"/>
  <c r="R997" i="5"/>
  <c r="R1011" i="5"/>
  <c r="R1037" i="5"/>
  <c r="R1051" i="5"/>
  <c r="R1077" i="5"/>
  <c r="R1091" i="5"/>
  <c r="R1117" i="5"/>
  <c r="R1131" i="5"/>
  <c r="R1184" i="5"/>
  <c r="R1235" i="5"/>
  <c r="R1315" i="5"/>
  <c r="R1395" i="5"/>
  <c r="R1475" i="5"/>
  <c r="R1532" i="5"/>
  <c r="R1682" i="5"/>
  <c r="R1712" i="5"/>
  <c r="R1745" i="5"/>
  <c r="R1934" i="5"/>
  <c r="R641" i="5"/>
  <c r="R666" i="5"/>
  <c r="R705" i="5"/>
  <c r="R745" i="5"/>
  <c r="R785" i="5"/>
  <c r="R825" i="5"/>
  <c r="R865" i="5"/>
  <c r="R905" i="5"/>
  <c r="R945" i="5"/>
  <c r="R985" i="5"/>
  <c r="R1025" i="5"/>
  <c r="R1065" i="5"/>
  <c r="R1105" i="5"/>
  <c r="R1145" i="5"/>
  <c r="R1185" i="5"/>
  <c r="R1212" i="5"/>
  <c r="R1264" i="5"/>
  <c r="R1292" i="5"/>
  <c r="R1344" i="5"/>
  <c r="R1372" i="5"/>
  <c r="R1424" i="5"/>
  <c r="R1452" i="5"/>
  <c r="R1504" i="5"/>
  <c r="R1533" i="5"/>
  <c r="R1562" i="5"/>
  <c r="R1622" i="5"/>
  <c r="R1652" i="5"/>
  <c r="R1814" i="5"/>
  <c r="R1895" i="5"/>
  <c r="R289" i="5"/>
  <c r="R299" i="5"/>
  <c r="R309" i="5"/>
  <c r="R319" i="5"/>
  <c r="R329" i="5"/>
  <c r="R339" i="5"/>
  <c r="R349" i="5"/>
  <c r="R359" i="5"/>
  <c r="R369" i="5"/>
  <c r="R379" i="5"/>
  <c r="R389" i="5"/>
  <c r="R399" i="5"/>
  <c r="R409" i="5"/>
  <c r="R419" i="5"/>
  <c r="R429" i="5"/>
  <c r="R439" i="5"/>
  <c r="R449" i="5"/>
  <c r="R459" i="5"/>
  <c r="R469" i="5"/>
  <c r="R479" i="5"/>
  <c r="R489" i="5"/>
  <c r="R499" i="5"/>
  <c r="R509" i="5"/>
  <c r="R519" i="5"/>
  <c r="R529" i="5"/>
  <c r="R539" i="5"/>
  <c r="R549" i="5"/>
  <c r="R559" i="5"/>
  <c r="R569" i="5"/>
  <c r="R579" i="5"/>
  <c r="R589" i="5"/>
  <c r="R599" i="5"/>
  <c r="R609" i="5"/>
  <c r="R619" i="5"/>
  <c r="R629" i="5"/>
  <c r="R679" i="5"/>
  <c r="R692" i="5"/>
  <c r="R719" i="5"/>
  <c r="R732" i="5"/>
  <c r="R759" i="5"/>
  <c r="R772" i="5"/>
  <c r="R799" i="5"/>
  <c r="R812" i="5"/>
  <c r="R839" i="5"/>
  <c r="R852" i="5"/>
  <c r="R879" i="5"/>
  <c r="R892" i="5"/>
  <c r="R919" i="5"/>
  <c r="R932" i="5"/>
  <c r="R959" i="5"/>
  <c r="R972" i="5"/>
  <c r="R999" i="5"/>
  <c r="R1012" i="5"/>
  <c r="R1039" i="5"/>
  <c r="R1052" i="5"/>
  <c r="R1079" i="5"/>
  <c r="R1092" i="5"/>
  <c r="R1119" i="5"/>
  <c r="R1132" i="5"/>
  <c r="R1163" i="5"/>
  <c r="R1213" i="5"/>
  <c r="R1265" i="5"/>
  <c r="R1293" i="5"/>
  <c r="R1345" i="5"/>
  <c r="R1373" i="5"/>
  <c r="R1425" i="5"/>
  <c r="R1453" i="5"/>
  <c r="R1505" i="5"/>
  <c r="R1592" i="5"/>
  <c r="R1684" i="5"/>
  <c r="R1715" i="5"/>
  <c r="R1746" i="5"/>
  <c r="R1782" i="5"/>
  <c r="R1815" i="5"/>
  <c r="R1936" i="5"/>
  <c r="R1984" i="5"/>
  <c r="R1856" i="5"/>
  <c r="R1986" i="5"/>
  <c r="R1786" i="5"/>
  <c r="R1824" i="5"/>
  <c r="R1864" i="5"/>
  <c r="R1906" i="5"/>
  <c r="R1725" i="5"/>
  <c r="R293" i="5"/>
  <c r="R303" i="5"/>
  <c r="R313" i="5"/>
  <c r="R323" i="5"/>
  <c r="R333" i="5"/>
  <c r="R343" i="5"/>
  <c r="R353" i="5"/>
  <c r="R363" i="5"/>
  <c r="R373" i="5"/>
  <c r="R383" i="5"/>
  <c r="R393" i="5"/>
  <c r="R403" i="5"/>
  <c r="R413" i="5"/>
  <c r="R423" i="5"/>
  <c r="R433" i="5"/>
  <c r="R443" i="5"/>
  <c r="R453" i="5"/>
  <c r="R463" i="5"/>
  <c r="R473" i="5"/>
  <c r="R483" i="5"/>
  <c r="R493" i="5"/>
  <c r="R503" i="5"/>
  <c r="R513" i="5"/>
  <c r="R523" i="5"/>
  <c r="R533" i="5"/>
  <c r="R543" i="5"/>
  <c r="R553" i="5"/>
  <c r="R563" i="5"/>
  <c r="R573" i="5"/>
  <c r="R583" i="5"/>
  <c r="R593" i="5"/>
  <c r="R603" i="5"/>
  <c r="R613" i="5"/>
  <c r="R623" i="5"/>
  <c r="R659" i="5"/>
  <c r="R697" i="5"/>
  <c r="R711" i="5"/>
  <c r="R737" i="5"/>
  <c r="R751" i="5"/>
  <c r="R777" i="5"/>
  <c r="R791" i="5"/>
  <c r="R817" i="5"/>
  <c r="R831" i="5"/>
  <c r="R857" i="5"/>
  <c r="R871" i="5"/>
  <c r="R897" i="5"/>
  <c r="R911" i="5"/>
  <c r="R937" i="5"/>
  <c r="R951" i="5"/>
  <c r="R977" i="5"/>
  <c r="R991" i="5"/>
  <c r="R1017" i="5"/>
  <c r="R1031" i="5"/>
  <c r="R1057" i="5"/>
  <c r="R1071" i="5"/>
  <c r="R1097" i="5"/>
  <c r="R1111" i="5"/>
  <c r="R1137" i="5"/>
  <c r="R1151" i="5"/>
  <c r="R1173" i="5"/>
  <c r="R1195" i="5"/>
  <c r="R1275" i="5"/>
  <c r="R1355" i="5"/>
  <c r="R1435" i="5"/>
  <c r="R1545" i="5"/>
  <c r="R1604" i="5"/>
  <c r="R1635" i="5"/>
  <c r="R1665" i="5"/>
  <c r="R1795" i="5"/>
  <c r="R1956" i="5"/>
  <c r="R1162" i="5"/>
  <c r="R1762" i="5"/>
  <c r="R1784" i="5"/>
  <c r="R1855" i="5"/>
  <c r="R1905" i="5"/>
  <c r="R1955" i="5"/>
  <c r="R1165" i="5"/>
  <c r="R1203" i="5"/>
  <c r="R1223" i="5"/>
  <c r="R1243" i="5"/>
  <c r="R1263" i="5"/>
  <c r="R1283" i="5"/>
  <c r="R1303" i="5"/>
  <c r="R1323" i="5"/>
  <c r="R1343" i="5"/>
  <c r="R1363" i="5"/>
  <c r="R1383" i="5"/>
  <c r="R1403" i="5"/>
  <c r="R1423" i="5"/>
  <c r="R1443" i="5"/>
  <c r="R1463" i="5"/>
  <c r="R1483" i="5"/>
  <c r="R1503" i="5"/>
  <c r="R1523" i="5"/>
  <c r="R1543" i="5"/>
  <c r="R1563" i="5"/>
  <c r="R1583" i="5"/>
  <c r="R1603" i="5"/>
  <c r="R1623" i="5"/>
  <c r="R1643" i="5"/>
  <c r="R1663" i="5"/>
  <c r="R1683" i="5"/>
  <c r="R1703" i="5"/>
  <c r="R1723" i="5"/>
  <c r="R1744" i="5"/>
  <c r="R1835" i="5"/>
  <c r="R1885" i="5"/>
  <c r="R1935" i="5"/>
  <c r="R1985" i="5"/>
  <c r="R633" i="5"/>
  <c r="R643" i="5"/>
  <c r="R653" i="5"/>
  <c r="R663" i="5"/>
  <c r="R673" i="5"/>
  <c r="R683" i="5"/>
  <c r="R693" i="5"/>
  <c r="R703" i="5"/>
  <c r="R713" i="5"/>
  <c r="R723" i="5"/>
  <c r="R733" i="5"/>
  <c r="R743" i="5"/>
  <c r="R753" i="5"/>
  <c r="R763" i="5"/>
  <c r="R773" i="5"/>
  <c r="R783" i="5"/>
  <c r="R793" i="5"/>
  <c r="R803" i="5"/>
  <c r="R813" i="5"/>
  <c r="R823" i="5"/>
  <c r="R833" i="5"/>
  <c r="R843" i="5"/>
  <c r="R853" i="5"/>
  <c r="R863" i="5"/>
  <c r="R873" i="5"/>
  <c r="R883" i="5"/>
  <c r="R893" i="5"/>
  <c r="R903" i="5"/>
  <c r="R913" i="5"/>
  <c r="R923" i="5"/>
  <c r="R933" i="5"/>
  <c r="R943" i="5"/>
  <c r="R953" i="5"/>
  <c r="R963" i="5"/>
  <c r="R973" i="5"/>
  <c r="R983" i="5"/>
  <c r="R993" i="5"/>
  <c r="R1003" i="5"/>
  <c r="R1013" i="5"/>
  <c r="R1023" i="5"/>
  <c r="R1033" i="5"/>
  <c r="R1043" i="5"/>
  <c r="R1053" i="5"/>
  <c r="R1063" i="5"/>
  <c r="R1073" i="5"/>
  <c r="R1083" i="5"/>
  <c r="R1093" i="5"/>
  <c r="R1103" i="5"/>
  <c r="R1113" i="5"/>
  <c r="R1123" i="5"/>
  <c r="R1133" i="5"/>
  <c r="R1143" i="5"/>
  <c r="R1153" i="5"/>
  <c r="R1206" i="5"/>
  <c r="R1226" i="5"/>
  <c r="R1246" i="5"/>
  <c r="R1266" i="5"/>
  <c r="R1286" i="5"/>
  <c r="R1306" i="5"/>
  <c r="R1326" i="5"/>
  <c r="R1346" i="5"/>
  <c r="R1366" i="5"/>
  <c r="R1386" i="5"/>
  <c r="R1406" i="5"/>
  <c r="R1426" i="5"/>
  <c r="R1446" i="5"/>
  <c r="R1466" i="5"/>
  <c r="R1486" i="5"/>
  <c r="R1506" i="5"/>
  <c r="R1526" i="5"/>
  <c r="R1546" i="5"/>
  <c r="R1566" i="5"/>
  <c r="R1586" i="5"/>
  <c r="R1606" i="5"/>
  <c r="R1626" i="5"/>
  <c r="R1646" i="5"/>
  <c r="R1666" i="5"/>
  <c r="R1686" i="5"/>
  <c r="R1706" i="5"/>
  <c r="R1726" i="5"/>
  <c r="R1772" i="5"/>
  <c r="R1794" i="5"/>
  <c r="R1866" i="5"/>
  <c r="R1916" i="5"/>
  <c r="R1966" i="5"/>
  <c r="R634" i="5"/>
  <c r="R644" i="5"/>
  <c r="R654" i="5"/>
  <c r="R664" i="5"/>
  <c r="R674" i="5"/>
  <c r="R684" i="5"/>
  <c r="R694" i="5"/>
  <c r="R704" i="5"/>
  <c r="R714" i="5"/>
  <c r="R724" i="5"/>
  <c r="R734" i="5"/>
  <c r="R744" i="5"/>
  <c r="R754" i="5"/>
  <c r="R764" i="5"/>
  <c r="R774" i="5"/>
  <c r="R784" i="5"/>
  <c r="R794" i="5"/>
  <c r="R804" i="5"/>
  <c r="R814" i="5"/>
  <c r="R824" i="5"/>
  <c r="R834" i="5"/>
  <c r="R844" i="5"/>
  <c r="R854" i="5"/>
  <c r="R864" i="5"/>
  <c r="R874" i="5"/>
  <c r="R884" i="5"/>
  <c r="R894" i="5"/>
  <c r="R904" i="5"/>
  <c r="R914" i="5"/>
  <c r="R924" i="5"/>
  <c r="R934" i="5"/>
  <c r="R944" i="5"/>
  <c r="R954" i="5"/>
  <c r="R964" i="5"/>
  <c r="R974" i="5"/>
  <c r="R984" i="5"/>
  <c r="R994" i="5"/>
  <c r="R1004" i="5"/>
  <c r="R1014" i="5"/>
  <c r="R1024" i="5"/>
  <c r="R1034" i="5"/>
  <c r="R1044" i="5"/>
  <c r="R1054" i="5"/>
  <c r="R1064" i="5"/>
  <c r="R1074" i="5"/>
  <c r="R1084" i="5"/>
  <c r="R1094" i="5"/>
  <c r="R1104" i="5"/>
  <c r="R1114" i="5"/>
  <c r="R1124" i="5"/>
  <c r="R1134" i="5"/>
  <c r="R1144" i="5"/>
  <c r="R1154" i="5"/>
  <c r="R1172" i="5"/>
  <c r="R1752" i="5"/>
  <c r="R1774" i="5"/>
  <c r="R1844" i="5"/>
  <c r="R1894" i="5"/>
  <c r="R1944" i="5"/>
  <c r="R1994" i="5"/>
  <c r="R1945" i="5"/>
  <c r="R1995" i="5"/>
  <c r="R1593" i="5"/>
  <c r="R1613" i="5"/>
  <c r="R1633" i="5"/>
  <c r="R1653" i="5"/>
  <c r="R1673" i="5"/>
  <c r="R1693" i="5"/>
  <c r="R1713" i="5"/>
  <c r="R1755" i="5"/>
  <c r="R1776" i="5"/>
  <c r="R1846" i="5"/>
  <c r="R1896" i="5"/>
  <c r="R1946" i="5"/>
  <c r="R1996" i="5"/>
  <c r="R1514" i="5"/>
  <c r="R1534" i="5"/>
  <c r="R1554" i="5"/>
  <c r="R1574" i="5"/>
  <c r="R1594" i="5"/>
  <c r="R1614" i="5"/>
  <c r="R1634" i="5"/>
  <c r="R1654" i="5"/>
  <c r="R1674" i="5"/>
  <c r="R1694" i="5"/>
  <c r="R1714" i="5"/>
  <c r="R1735" i="5"/>
  <c r="R1756" i="5"/>
  <c r="R1802" i="5"/>
  <c r="R1825" i="5"/>
  <c r="R1875" i="5"/>
  <c r="R1925" i="5"/>
  <c r="R1975" i="5"/>
  <c r="R638" i="5"/>
  <c r="R648" i="5"/>
  <c r="R658" i="5"/>
  <c r="R668" i="5"/>
  <c r="R678" i="5"/>
  <c r="R688" i="5"/>
  <c r="R698" i="5"/>
  <c r="R708" i="5"/>
  <c r="R718" i="5"/>
  <c r="R728" i="5"/>
  <c r="R738" i="5"/>
  <c r="R748" i="5"/>
  <c r="R758" i="5"/>
  <c r="R768" i="5"/>
  <c r="R778" i="5"/>
  <c r="R788" i="5"/>
  <c r="R798" i="5"/>
  <c r="R808" i="5"/>
  <c r="R818" i="5"/>
  <c r="R828" i="5"/>
  <c r="R838" i="5"/>
  <c r="R848" i="5"/>
  <c r="R858" i="5"/>
  <c r="R868" i="5"/>
  <c r="R878" i="5"/>
  <c r="R888" i="5"/>
  <c r="R898" i="5"/>
  <c r="R908" i="5"/>
  <c r="R918" i="5"/>
  <c r="R928" i="5"/>
  <c r="R938" i="5"/>
  <c r="R948" i="5"/>
  <c r="R958" i="5"/>
  <c r="R968" i="5"/>
  <c r="R978" i="5"/>
  <c r="R988" i="5"/>
  <c r="R998" i="5"/>
  <c r="R1008" i="5"/>
  <c r="R1018" i="5"/>
  <c r="R1028" i="5"/>
  <c r="R1038" i="5"/>
  <c r="R1048" i="5"/>
  <c r="R1058" i="5"/>
  <c r="R1068" i="5"/>
  <c r="R1078" i="5"/>
  <c r="R1088" i="5"/>
  <c r="R1098" i="5"/>
  <c r="R1108" i="5"/>
  <c r="R1118" i="5"/>
  <c r="R1128" i="5"/>
  <c r="R1138" i="5"/>
  <c r="R1148" i="5"/>
  <c r="R1161" i="5"/>
  <c r="R1196" i="5"/>
  <c r="R1216" i="5"/>
  <c r="R1236" i="5"/>
  <c r="R1256" i="5"/>
  <c r="R1276" i="5"/>
  <c r="R1296" i="5"/>
  <c r="R1316" i="5"/>
  <c r="R1336" i="5"/>
  <c r="R1356" i="5"/>
  <c r="R1376" i="5"/>
  <c r="R1396" i="5"/>
  <c r="R1416" i="5"/>
  <c r="R1436" i="5"/>
  <c r="R1456" i="5"/>
  <c r="R1476" i="5"/>
  <c r="R1496" i="5"/>
  <c r="R1516" i="5"/>
  <c r="R1536" i="5"/>
  <c r="R1556" i="5"/>
  <c r="R1576" i="5"/>
  <c r="R1596" i="5"/>
  <c r="R1616" i="5"/>
  <c r="R1636" i="5"/>
  <c r="R1656" i="5"/>
  <c r="R1676" i="5"/>
  <c r="R1696" i="5"/>
  <c r="R1716" i="5"/>
  <c r="R1805" i="5"/>
  <c r="R1854" i="5"/>
  <c r="R1904" i="5"/>
  <c r="R1954" i="5"/>
  <c r="R2004" i="5"/>
  <c r="R1157" i="5"/>
  <c r="R1167" i="5"/>
  <c r="R1177" i="5"/>
  <c r="R1187" i="5"/>
  <c r="R1197" i="5"/>
  <c r="R1207" i="5"/>
  <c r="R1217" i="5"/>
  <c r="R1227" i="5"/>
  <c r="R1237" i="5"/>
  <c r="R1247" i="5"/>
  <c r="R1257" i="5"/>
  <c r="R1267" i="5"/>
  <c r="R1277" i="5"/>
  <c r="R1287" i="5"/>
  <c r="R1297" i="5"/>
  <c r="R1307" i="5"/>
  <c r="R1317" i="5"/>
  <c r="R1327" i="5"/>
  <c r="R1337" i="5"/>
  <c r="R1347" i="5"/>
  <c r="R1357" i="5"/>
  <c r="R1367" i="5"/>
  <c r="R1377" i="5"/>
  <c r="R1387" i="5"/>
  <c r="R1397" i="5"/>
  <c r="R1407" i="5"/>
  <c r="R1417" i="5"/>
  <c r="R1427" i="5"/>
  <c r="R1437" i="5"/>
  <c r="R1447" i="5"/>
  <c r="R1457" i="5"/>
  <c r="R1467" i="5"/>
  <c r="R1477" i="5"/>
  <c r="R1487" i="5"/>
  <c r="R1497" i="5"/>
  <c r="R1507" i="5"/>
  <c r="R1517" i="5"/>
  <c r="R1527" i="5"/>
  <c r="R1537" i="5"/>
  <c r="R1547" i="5"/>
  <c r="R1557" i="5"/>
  <c r="R1567" i="5"/>
  <c r="R1577" i="5"/>
  <c r="R1587" i="5"/>
  <c r="R1597" i="5"/>
  <c r="R1607" i="5"/>
  <c r="R1617" i="5"/>
  <c r="R1627" i="5"/>
  <c r="R1637" i="5"/>
  <c r="R1647" i="5"/>
  <c r="R1657" i="5"/>
  <c r="R1667" i="5"/>
  <c r="R1677" i="5"/>
  <c r="R1687" i="5"/>
  <c r="R1697" i="5"/>
  <c r="R1707" i="5"/>
  <c r="R1717" i="5"/>
  <c r="R1727" i="5"/>
  <c r="R1737" i="5"/>
  <c r="R1747" i="5"/>
  <c r="R1757" i="5"/>
  <c r="R1767" i="5"/>
  <c r="R1777" i="5"/>
  <c r="R1787" i="5"/>
  <c r="R1797" i="5"/>
  <c r="R1807" i="5"/>
  <c r="R1817" i="5"/>
  <c r="R1827" i="5"/>
  <c r="R1837" i="5"/>
  <c r="R1847" i="5"/>
  <c r="R1857" i="5"/>
  <c r="R1867" i="5"/>
  <c r="R1877" i="5"/>
  <c r="R1887" i="5"/>
  <c r="R1897" i="5"/>
  <c r="R1907" i="5"/>
  <c r="R1917" i="5"/>
  <c r="R1927" i="5"/>
  <c r="R1937" i="5"/>
  <c r="R1947" i="5"/>
  <c r="R1957" i="5"/>
  <c r="R1967" i="5"/>
  <c r="R1977" i="5"/>
  <c r="R1987" i="5"/>
  <c r="R1997" i="5"/>
  <c r="R1158" i="5"/>
  <c r="R1168" i="5"/>
  <c r="R1178" i="5"/>
  <c r="R1188" i="5"/>
  <c r="R1198" i="5"/>
  <c r="R1208" i="5"/>
  <c r="R1218" i="5"/>
  <c r="R1228" i="5"/>
  <c r="R1238" i="5"/>
  <c r="R1248" i="5"/>
  <c r="R1258" i="5"/>
  <c r="R1268" i="5"/>
  <c r="R1278" i="5"/>
  <c r="R1288" i="5"/>
  <c r="R1298" i="5"/>
  <c r="R1308" i="5"/>
  <c r="R1318" i="5"/>
  <c r="R1328" i="5"/>
  <c r="R1338" i="5"/>
  <c r="R1348" i="5"/>
  <c r="R1358" i="5"/>
  <c r="R1368" i="5"/>
  <c r="R1378" i="5"/>
  <c r="R1388" i="5"/>
  <c r="R1398" i="5"/>
  <c r="R1408" i="5"/>
  <c r="R1418" i="5"/>
  <c r="R1428" i="5"/>
  <c r="R1438" i="5"/>
  <c r="R1448" i="5"/>
  <c r="R1458" i="5"/>
  <c r="R1468" i="5"/>
  <c r="R1478" i="5"/>
  <c r="R1488" i="5"/>
  <c r="R1498" i="5"/>
  <c r="R1508" i="5"/>
  <c r="R1518" i="5"/>
  <c r="R1528" i="5"/>
  <c r="R1538" i="5"/>
  <c r="R1548" i="5"/>
  <c r="R1558" i="5"/>
  <c r="R1568" i="5"/>
  <c r="R1578" i="5"/>
  <c r="R1588" i="5"/>
  <c r="R1598" i="5"/>
  <c r="R1608" i="5"/>
  <c r="R1618" i="5"/>
  <c r="R1628" i="5"/>
  <c r="R1638" i="5"/>
  <c r="R1648" i="5"/>
  <c r="R1658" i="5"/>
  <c r="R1668" i="5"/>
  <c r="R1678" i="5"/>
  <c r="R1688" i="5"/>
  <c r="R1698" i="5"/>
  <c r="R1708" i="5"/>
  <c r="R1718" i="5"/>
  <c r="R1728" i="5"/>
  <c r="R1738" i="5"/>
  <c r="R1748" i="5"/>
  <c r="R1758" i="5"/>
  <c r="R1768" i="5"/>
  <c r="R1778" i="5"/>
  <c r="R1788" i="5"/>
  <c r="R1798" i="5"/>
  <c r="R1808" i="5"/>
  <c r="R1818" i="5"/>
  <c r="R1828" i="5"/>
  <c r="R1838" i="5"/>
  <c r="R1848" i="5"/>
  <c r="R1858" i="5"/>
  <c r="R1868" i="5"/>
  <c r="R1878" i="5"/>
  <c r="R1888" i="5"/>
  <c r="R1898" i="5"/>
  <c r="R1908" i="5"/>
  <c r="R1918" i="5"/>
  <c r="R1928" i="5"/>
  <c r="R1938" i="5"/>
  <c r="R1948" i="5"/>
  <c r="R1958" i="5"/>
  <c r="R1968" i="5"/>
  <c r="R1978" i="5"/>
  <c r="R1988" i="5"/>
  <c r="R1998" i="5"/>
  <c r="R1159" i="5"/>
  <c r="R1169" i="5"/>
  <c r="R1179" i="5"/>
  <c r="R1189" i="5"/>
  <c r="R1199" i="5"/>
  <c r="R1209" i="5"/>
  <c r="R1219" i="5"/>
  <c r="R1229" i="5"/>
  <c r="R1239" i="5"/>
  <c r="R1249" i="5"/>
  <c r="R1259" i="5"/>
  <c r="R1269" i="5"/>
  <c r="R1279" i="5"/>
  <c r="R1289" i="5"/>
  <c r="R1299" i="5"/>
  <c r="R1309" i="5"/>
  <c r="R1319" i="5"/>
  <c r="R1329" i="5"/>
  <c r="R1339" i="5"/>
  <c r="R1349" i="5"/>
  <c r="R1359" i="5"/>
  <c r="R1369" i="5"/>
  <c r="R1379" i="5"/>
  <c r="R1389" i="5"/>
  <c r="R1399" i="5"/>
  <c r="R1409" i="5"/>
  <c r="R1419" i="5"/>
  <c r="R1429" i="5"/>
  <c r="R1439" i="5"/>
  <c r="R1449" i="5"/>
  <c r="R1459" i="5"/>
  <c r="R1469" i="5"/>
  <c r="R1479" i="5"/>
  <c r="R1489" i="5"/>
  <c r="R1499" i="5"/>
  <c r="R1509" i="5"/>
  <c r="R1519" i="5"/>
  <c r="R1529" i="5"/>
  <c r="R1539" i="5"/>
  <c r="R1549" i="5"/>
  <c r="R1559" i="5"/>
  <c r="R1569" i="5"/>
  <c r="R1579" i="5"/>
  <c r="R1589" i="5"/>
  <c r="R1599" i="5"/>
  <c r="R1609" i="5"/>
  <c r="R1619" i="5"/>
  <c r="R1629" i="5"/>
  <c r="R1639" i="5"/>
  <c r="R1649" i="5"/>
  <c r="R1659" i="5"/>
  <c r="R1669" i="5"/>
  <c r="R1679" i="5"/>
  <c r="R1689" i="5"/>
  <c r="R1699" i="5"/>
  <c r="R1709" i="5"/>
  <c r="R1719" i="5"/>
  <c r="R1729" i="5"/>
  <c r="R1739" i="5"/>
  <c r="R1749" i="5"/>
  <c r="R1759" i="5"/>
  <c r="R1769" i="5"/>
  <c r="R1779" i="5"/>
  <c r="R1789" i="5"/>
  <c r="R1799" i="5"/>
  <c r="R1809" i="5"/>
  <c r="R1819" i="5"/>
  <c r="R1829" i="5"/>
  <c r="R1839" i="5"/>
  <c r="R1849" i="5"/>
  <c r="R1859" i="5"/>
  <c r="R1869" i="5"/>
  <c r="R1879" i="5"/>
  <c r="R1889" i="5"/>
  <c r="R1899" i="5"/>
  <c r="R1909" i="5"/>
  <c r="R1919" i="5"/>
  <c r="R1929" i="5"/>
  <c r="R1939" i="5"/>
  <c r="R1949" i="5"/>
  <c r="R1959" i="5"/>
  <c r="R1969" i="5"/>
  <c r="R1979" i="5"/>
  <c r="R1989" i="5"/>
  <c r="R1999" i="5"/>
  <c r="R1160" i="5"/>
  <c r="R1170" i="5"/>
  <c r="R1180" i="5"/>
  <c r="R1190" i="5"/>
  <c r="R1200" i="5"/>
  <c r="R1210" i="5"/>
  <c r="R1220" i="5"/>
  <c r="R1230" i="5"/>
  <c r="R1240" i="5"/>
  <c r="R1250" i="5"/>
  <c r="R1260" i="5"/>
  <c r="R1270" i="5"/>
  <c r="R1280" i="5"/>
  <c r="R1290" i="5"/>
  <c r="R1300" i="5"/>
  <c r="R1310" i="5"/>
  <c r="R1320" i="5"/>
  <c r="R1330" i="5"/>
  <c r="R1340" i="5"/>
  <c r="R1350" i="5"/>
  <c r="R1360" i="5"/>
  <c r="R1370" i="5"/>
  <c r="R1380" i="5"/>
  <c r="R1390" i="5"/>
  <c r="R1400" i="5"/>
  <c r="R1410" i="5"/>
  <c r="R1420" i="5"/>
  <c r="R1430" i="5"/>
  <c r="R1440" i="5"/>
  <c r="R1450" i="5"/>
  <c r="R1460" i="5"/>
  <c r="R1470" i="5"/>
  <c r="R1480" i="5"/>
  <c r="R1490" i="5"/>
  <c r="R1500" i="5"/>
  <c r="R1510" i="5"/>
  <c r="R1520" i="5"/>
  <c r="R1530" i="5"/>
  <c r="R1540" i="5"/>
  <c r="R1550" i="5"/>
  <c r="R1560" i="5"/>
  <c r="R1570" i="5"/>
  <c r="R1580" i="5"/>
  <c r="R1590" i="5"/>
  <c r="R1600" i="5"/>
  <c r="R1610" i="5"/>
  <c r="R1620" i="5"/>
  <c r="R1630" i="5"/>
  <c r="R1640" i="5"/>
  <c r="R1650" i="5"/>
  <c r="R1660" i="5"/>
  <c r="R1670" i="5"/>
  <c r="R1680" i="5"/>
  <c r="R1690" i="5"/>
  <c r="R1700" i="5"/>
  <c r="R1710" i="5"/>
  <c r="R1720" i="5"/>
  <c r="R1730" i="5"/>
  <c r="R1740" i="5"/>
  <c r="R1750" i="5"/>
  <c r="R1760" i="5"/>
  <c r="R1770" i="5"/>
  <c r="R1780" i="5"/>
  <c r="R1790" i="5"/>
  <c r="R1800" i="5"/>
  <c r="R1810" i="5"/>
  <c r="R1820" i="5"/>
  <c r="R1830" i="5"/>
  <c r="R1840" i="5"/>
  <c r="R1850" i="5"/>
  <c r="R1860" i="5"/>
  <c r="R1870" i="5"/>
  <c r="R1880" i="5"/>
  <c r="R1890" i="5"/>
  <c r="R1900" i="5"/>
  <c r="R1910" i="5"/>
  <c r="R1920" i="5"/>
  <c r="R1930" i="5"/>
  <c r="R1940" i="5"/>
  <c r="R1950" i="5"/>
  <c r="R1960" i="5"/>
  <c r="R1970" i="5"/>
  <c r="R1980" i="5"/>
  <c r="R1990" i="5"/>
  <c r="R2000" i="5"/>
  <c r="R1201" i="5"/>
  <c r="R1211" i="5"/>
  <c r="R1221" i="5"/>
  <c r="R1231" i="5"/>
  <c r="R1241" i="5"/>
  <c r="R1251" i="5"/>
  <c r="R1261" i="5"/>
  <c r="R1271" i="5"/>
  <c r="R1281" i="5"/>
  <c r="R1291" i="5"/>
  <c r="R1301" i="5"/>
  <c r="R1311" i="5"/>
  <c r="R1321" i="5"/>
  <c r="R1331" i="5"/>
  <c r="R1341" i="5"/>
  <c r="R1351" i="5"/>
  <c r="R1361" i="5"/>
  <c r="R1371" i="5"/>
  <c r="R1381" i="5"/>
  <c r="R1391" i="5"/>
  <c r="R1401" i="5"/>
  <c r="R1411" i="5"/>
  <c r="R1421" i="5"/>
  <c r="R1431" i="5"/>
  <c r="R1441" i="5"/>
  <c r="R1451" i="5"/>
  <c r="R1461" i="5"/>
  <c r="R1471" i="5"/>
  <c r="R1481" i="5"/>
  <c r="R1491" i="5"/>
  <c r="R1501" i="5"/>
  <c r="R1511" i="5"/>
  <c r="R1521" i="5"/>
  <c r="R1531" i="5"/>
  <c r="R1541" i="5"/>
  <c r="R1551" i="5"/>
  <c r="R1561" i="5"/>
  <c r="R1571" i="5"/>
  <c r="R1581" i="5"/>
  <c r="R1591" i="5"/>
  <c r="R1601" i="5"/>
  <c r="R1611" i="5"/>
  <c r="R1621" i="5"/>
  <c r="R1631" i="5"/>
  <c r="R1641" i="5"/>
  <c r="R1651" i="5"/>
  <c r="R1661" i="5"/>
  <c r="R1671" i="5"/>
  <c r="R1681" i="5"/>
  <c r="R1691" i="5"/>
  <c r="R1701" i="5"/>
  <c r="R1711" i="5"/>
  <c r="R1721" i="5"/>
  <c r="R1731" i="5"/>
  <c r="R1741" i="5"/>
  <c r="R1751" i="5"/>
  <c r="R1761" i="5"/>
  <c r="R1771" i="5"/>
  <c r="R1781" i="5"/>
  <c r="R1791" i="5"/>
  <c r="R1801" i="5"/>
  <c r="R1811" i="5"/>
  <c r="R1821" i="5"/>
  <c r="R1831" i="5"/>
  <c r="R1841" i="5"/>
  <c r="R1851" i="5"/>
  <c r="R1861" i="5"/>
  <c r="R1871" i="5"/>
  <c r="R1881" i="5"/>
  <c r="R1891" i="5"/>
  <c r="R1901" i="5"/>
  <c r="R1911" i="5"/>
  <c r="R1921" i="5"/>
  <c r="R1931" i="5"/>
  <c r="R1941" i="5"/>
  <c r="R1951" i="5"/>
  <c r="R1961" i="5"/>
  <c r="R1971" i="5"/>
  <c r="R1981" i="5"/>
  <c r="R1991" i="5"/>
  <c r="R2001" i="5"/>
  <c r="R1822" i="5"/>
  <c r="R1832" i="5"/>
  <c r="R1842" i="5"/>
  <c r="R1852" i="5"/>
  <c r="R1862" i="5"/>
  <c r="R1872" i="5"/>
  <c r="R1882" i="5"/>
  <c r="R1892" i="5"/>
  <c r="R1902" i="5"/>
  <c r="R1912" i="5"/>
  <c r="R1922" i="5"/>
  <c r="R1932" i="5"/>
  <c r="R1942" i="5"/>
  <c r="R1952" i="5"/>
  <c r="R1962" i="5"/>
  <c r="R1972" i="5"/>
  <c r="R1982" i="5"/>
  <c r="R1992" i="5"/>
  <c r="R2002" i="5"/>
  <c r="R1733" i="5"/>
  <c r="R1743" i="5"/>
  <c r="R1753" i="5"/>
  <c r="R1763" i="5"/>
  <c r="R1773" i="5"/>
  <c r="R1783" i="5"/>
  <c r="R1793" i="5"/>
  <c r="R1803" i="5"/>
  <c r="R1813" i="5"/>
  <c r="R1823" i="5"/>
  <c r="R1833" i="5"/>
  <c r="R1843" i="5"/>
  <c r="R1853" i="5"/>
  <c r="R1863" i="5"/>
  <c r="R1873" i="5"/>
  <c r="R1883" i="5"/>
  <c r="R1893" i="5"/>
  <c r="R1903" i="5"/>
  <c r="R1913" i="5"/>
  <c r="R1923" i="5"/>
  <c r="R1933" i="5"/>
  <c r="R1943" i="5"/>
  <c r="R1953" i="5"/>
  <c r="R1963" i="5"/>
  <c r="R1973" i="5"/>
  <c r="R1983" i="5"/>
  <c r="R1993" i="5"/>
  <c r="R2003" i="5"/>
  <c r="S167" i="5"/>
  <c r="S666" i="5"/>
  <c r="S116" i="5"/>
  <c r="S132" i="5"/>
  <c r="S166" i="5"/>
  <c r="S182" i="5"/>
  <c r="S216" i="5"/>
  <c r="S232" i="5"/>
  <c r="S267" i="5"/>
  <c r="S283" i="5"/>
  <c r="S302" i="5"/>
  <c r="S320" i="5"/>
  <c r="S448" i="5"/>
  <c r="S467" i="5"/>
  <c r="S483" i="5"/>
  <c r="S502" i="5"/>
  <c r="S520" i="5"/>
  <c r="S632" i="5"/>
  <c r="S696" i="5"/>
  <c r="S836" i="5"/>
  <c r="S922" i="5"/>
  <c r="S1393" i="5"/>
  <c r="S377" i="5"/>
  <c r="S1616" i="5"/>
  <c r="S133" i="5"/>
  <c r="S287" i="5"/>
  <c r="S487" i="5"/>
  <c r="S1427" i="5"/>
  <c r="S118" i="5"/>
  <c r="S432" i="5"/>
  <c r="S1642" i="5"/>
  <c r="S102" i="5"/>
  <c r="S136" i="5"/>
  <c r="S152" i="5"/>
  <c r="S186" i="5"/>
  <c r="S202" i="5"/>
  <c r="S236" i="5"/>
  <c r="S252" i="5"/>
  <c r="S288" i="5"/>
  <c r="S307" i="5"/>
  <c r="S323" i="5"/>
  <c r="S342" i="5"/>
  <c r="S360" i="5"/>
  <c r="S488" i="5"/>
  <c r="S507" i="5"/>
  <c r="S523" i="5"/>
  <c r="S542" i="5"/>
  <c r="S560" i="5"/>
  <c r="S605" i="5"/>
  <c r="S667" i="5"/>
  <c r="S933" i="5"/>
  <c r="S993" i="5"/>
  <c r="S1259" i="5"/>
  <c r="S1432" i="5"/>
  <c r="S1643" i="5"/>
  <c r="S842" i="5"/>
  <c r="S1237" i="5"/>
  <c r="S137" i="5"/>
  <c r="S187" i="5"/>
  <c r="S237" i="5"/>
  <c r="S270" i="5"/>
  <c r="S398" i="5"/>
  <c r="S417" i="5"/>
  <c r="S433" i="5"/>
  <c r="S452" i="5"/>
  <c r="S470" i="5"/>
  <c r="S642" i="5"/>
  <c r="S736" i="5"/>
  <c r="S813" i="5"/>
  <c r="S883" i="5"/>
  <c r="S1062" i="5"/>
  <c r="S1127" i="5"/>
  <c r="S1262" i="5"/>
  <c r="S1449" i="5"/>
  <c r="S982" i="5"/>
  <c r="S150" i="5"/>
  <c r="S1429" i="5"/>
  <c r="S103" i="5"/>
  <c r="S120" i="5"/>
  <c r="S153" i="5"/>
  <c r="S170" i="5"/>
  <c r="S203" i="5"/>
  <c r="S220" i="5"/>
  <c r="S253" i="5"/>
  <c r="S308" i="5"/>
  <c r="S327" i="5"/>
  <c r="S343" i="5"/>
  <c r="S362" i="5"/>
  <c r="S380" i="5"/>
  <c r="S508" i="5"/>
  <c r="S527" i="5"/>
  <c r="S543" i="5"/>
  <c r="S562" i="5"/>
  <c r="S580" i="5"/>
  <c r="S606" i="5"/>
  <c r="S705" i="5"/>
  <c r="S742" i="5"/>
  <c r="S1142" i="5"/>
  <c r="S1263" i="5"/>
  <c r="S1452" i="5"/>
  <c r="S1689" i="5"/>
  <c r="S117" i="5"/>
  <c r="S358" i="5"/>
  <c r="S430" i="5"/>
  <c r="S577" i="5"/>
  <c r="S100" i="5"/>
  <c r="S183" i="5"/>
  <c r="S233" i="5"/>
  <c r="S303" i="5"/>
  <c r="S340" i="5"/>
  <c r="S468" i="5"/>
  <c r="S522" i="5"/>
  <c r="S1122" i="5"/>
  <c r="S168" i="5"/>
  <c r="S413" i="5"/>
  <c r="S138" i="5"/>
  <c r="S188" i="5"/>
  <c r="S238" i="5"/>
  <c r="S272" i="5"/>
  <c r="S290" i="5"/>
  <c r="S418" i="5"/>
  <c r="S437" i="5"/>
  <c r="S453" i="5"/>
  <c r="S472" i="5"/>
  <c r="S490" i="5"/>
  <c r="S607" i="5"/>
  <c r="S643" i="5"/>
  <c r="S676" i="5"/>
  <c r="S776" i="5"/>
  <c r="S853" i="5"/>
  <c r="S942" i="5"/>
  <c r="S1002" i="5"/>
  <c r="S1063" i="5"/>
  <c r="S1278" i="5"/>
  <c r="S1453" i="5"/>
  <c r="S1692" i="5"/>
  <c r="S876" i="5"/>
  <c r="S1126" i="5"/>
  <c r="S106" i="5"/>
  <c r="S122" i="5"/>
  <c r="S156" i="5"/>
  <c r="S172" i="5"/>
  <c r="S206" i="5"/>
  <c r="S222" i="5"/>
  <c r="S256" i="5"/>
  <c r="S328" i="5"/>
  <c r="S347" i="5"/>
  <c r="S363" i="5"/>
  <c r="S382" i="5"/>
  <c r="S400" i="5"/>
  <c r="S528" i="5"/>
  <c r="S547" i="5"/>
  <c r="S563" i="5"/>
  <c r="S582" i="5"/>
  <c r="S712" i="5"/>
  <c r="S743" i="5"/>
  <c r="S782" i="5"/>
  <c r="S893" i="5"/>
  <c r="S1143" i="5"/>
  <c r="S1279" i="5"/>
  <c r="S1693" i="5"/>
  <c r="S803" i="5"/>
  <c r="S983" i="5"/>
  <c r="S107" i="5"/>
  <c r="S157" i="5"/>
  <c r="S207" i="5"/>
  <c r="S257" i="5"/>
  <c r="S273" i="5"/>
  <c r="S292" i="5"/>
  <c r="S310" i="5"/>
  <c r="S438" i="5"/>
  <c r="S457" i="5"/>
  <c r="S473" i="5"/>
  <c r="S492" i="5"/>
  <c r="S510" i="5"/>
  <c r="S613" i="5"/>
  <c r="S645" i="5"/>
  <c r="S677" i="5"/>
  <c r="S816" i="5"/>
  <c r="S943" i="5"/>
  <c r="S1003" i="5"/>
  <c r="S1075" i="5"/>
  <c r="S1147" i="5"/>
  <c r="S1282" i="5"/>
  <c r="S1487" i="5"/>
  <c r="S393" i="5"/>
  <c r="S596" i="5"/>
  <c r="S1394" i="5"/>
  <c r="S268" i="5"/>
  <c r="S503" i="5"/>
  <c r="S218" i="5"/>
  <c r="S378" i="5"/>
  <c r="S397" i="5"/>
  <c r="S450" i="5"/>
  <c r="S578" i="5"/>
  <c r="S123" i="5"/>
  <c r="S140" i="5"/>
  <c r="S173" i="5"/>
  <c r="S190" i="5"/>
  <c r="S223" i="5"/>
  <c r="S240" i="5"/>
  <c r="S348" i="5"/>
  <c r="S367" i="5"/>
  <c r="S383" i="5"/>
  <c r="S402" i="5"/>
  <c r="S420" i="5"/>
  <c r="S548" i="5"/>
  <c r="S567" i="5"/>
  <c r="S583" i="5"/>
  <c r="S783" i="5"/>
  <c r="S822" i="5"/>
  <c r="S1013" i="5"/>
  <c r="S1152" i="5"/>
  <c r="S1314" i="5"/>
  <c r="S1489" i="5"/>
  <c r="S1738" i="5"/>
  <c r="S843" i="5"/>
  <c r="S108" i="5"/>
  <c r="S158" i="5"/>
  <c r="S208" i="5"/>
  <c r="S258" i="5"/>
  <c r="S277" i="5"/>
  <c r="S293" i="5"/>
  <c r="S312" i="5"/>
  <c r="S330" i="5"/>
  <c r="S458" i="5"/>
  <c r="S477" i="5"/>
  <c r="S493" i="5"/>
  <c r="S512" i="5"/>
  <c r="S530" i="5"/>
  <c r="S647" i="5"/>
  <c r="S715" i="5"/>
  <c r="S856" i="5"/>
  <c r="S953" i="5"/>
  <c r="S1083" i="5"/>
  <c r="S1315" i="5"/>
  <c r="S1508" i="5"/>
  <c r="S1739" i="5"/>
  <c r="S882" i="5"/>
  <c r="S126" i="5"/>
  <c r="S142" i="5"/>
  <c r="S176" i="5"/>
  <c r="S192" i="5"/>
  <c r="S226" i="5"/>
  <c r="S242" i="5"/>
  <c r="S368" i="5"/>
  <c r="S387" i="5"/>
  <c r="S403" i="5"/>
  <c r="S422" i="5"/>
  <c r="S440" i="5"/>
  <c r="S568" i="5"/>
  <c r="S587" i="5"/>
  <c r="S615" i="5"/>
  <c r="S683" i="5"/>
  <c r="S753" i="5"/>
  <c r="S823" i="5"/>
  <c r="S862" i="5"/>
  <c r="S896" i="5"/>
  <c r="S1513" i="5"/>
  <c r="S733" i="5"/>
  <c r="S127" i="5"/>
  <c r="S177" i="5"/>
  <c r="S227" i="5"/>
  <c r="S278" i="5"/>
  <c r="S297" i="5"/>
  <c r="S313" i="5"/>
  <c r="S332" i="5"/>
  <c r="S350" i="5"/>
  <c r="S478" i="5"/>
  <c r="S497" i="5"/>
  <c r="S513" i="5"/>
  <c r="S532" i="5"/>
  <c r="S550" i="5"/>
  <c r="S652" i="5"/>
  <c r="S685" i="5"/>
  <c r="S902" i="5"/>
  <c r="S1022" i="5"/>
  <c r="S1085" i="5"/>
  <c r="S1168" i="5"/>
  <c r="S1515" i="5"/>
  <c r="S1798" i="5"/>
  <c r="S110" i="5"/>
  <c r="S143" i="5"/>
  <c r="S160" i="5"/>
  <c r="S193" i="5"/>
  <c r="S210" i="5"/>
  <c r="S243" i="5"/>
  <c r="S260" i="5"/>
  <c r="S388" i="5"/>
  <c r="S407" i="5"/>
  <c r="S423" i="5"/>
  <c r="S442" i="5"/>
  <c r="S460" i="5"/>
  <c r="S588" i="5"/>
  <c r="S623" i="5"/>
  <c r="S717" i="5"/>
  <c r="S793" i="5"/>
  <c r="S863" i="5"/>
  <c r="S962" i="5"/>
  <c r="S1169" i="5"/>
  <c r="S1334" i="5"/>
  <c r="S1542" i="5"/>
  <c r="S1802" i="5"/>
  <c r="S128" i="5"/>
  <c r="S178" i="5"/>
  <c r="S228" i="5"/>
  <c r="S298" i="5"/>
  <c r="S317" i="5"/>
  <c r="S333" i="5"/>
  <c r="S352" i="5"/>
  <c r="S370" i="5"/>
  <c r="S498" i="5"/>
  <c r="S517" i="5"/>
  <c r="S533" i="5"/>
  <c r="S552" i="5"/>
  <c r="S570" i="5"/>
  <c r="S686" i="5"/>
  <c r="S903" i="5"/>
  <c r="S1023" i="5"/>
  <c r="S1096" i="5"/>
  <c r="S1183" i="5"/>
  <c r="S1335" i="5"/>
  <c r="S1543" i="5"/>
  <c r="S1852" i="5"/>
  <c r="S633" i="5"/>
  <c r="S96" i="5"/>
  <c r="S112" i="5"/>
  <c r="S146" i="5"/>
  <c r="S162" i="5"/>
  <c r="S196" i="5"/>
  <c r="S212" i="5"/>
  <c r="S246" i="5"/>
  <c r="S262" i="5"/>
  <c r="S280" i="5"/>
  <c r="S408" i="5"/>
  <c r="S427" i="5"/>
  <c r="S443" i="5"/>
  <c r="S462" i="5"/>
  <c r="S480" i="5"/>
  <c r="S592" i="5"/>
  <c r="S657" i="5"/>
  <c r="S723" i="5"/>
  <c r="S756" i="5"/>
  <c r="S833" i="5"/>
  <c r="S963" i="5"/>
  <c r="S1033" i="5"/>
  <c r="S1369" i="5"/>
  <c r="S1855" i="5"/>
  <c r="S923" i="5"/>
  <c r="S702" i="5"/>
  <c r="S97" i="5"/>
  <c r="S147" i="5"/>
  <c r="S197" i="5"/>
  <c r="S247" i="5"/>
  <c r="S318" i="5"/>
  <c r="S337" i="5"/>
  <c r="S353" i="5"/>
  <c r="S372" i="5"/>
  <c r="S390" i="5"/>
  <c r="S518" i="5"/>
  <c r="S537" i="5"/>
  <c r="S553" i="5"/>
  <c r="S572" i="5"/>
  <c r="S625" i="5"/>
  <c r="S693" i="5"/>
  <c r="S762" i="5"/>
  <c r="S913" i="5"/>
  <c r="S1105" i="5"/>
  <c r="S1372" i="5"/>
  <c r="S1043" i="5"/>
  <c r="S1053" i="5"/>
  <c r="S113" i="5"/>
  <c r="S130" i="5"/>
  <c r="S163" i="5"/>
  <c r="S180" i="5"/>
  <c r="S213" i="5"/>
  <c r="S230" i="5"/>
  <c r="S263" i="5"/>
  <c r="S282" i="5"/>
  <c r="S300" i="5"/>
  <c r="S428" i="5"/>
  <c r="S447" i="5"/>
  <c r="S463" i="5"/>
  <c r="S482" i="5"/>
  <c r="S500" i="5"/>
  <c r="S626" i="5"/>
  <c r="S662" i="5"/>
  <c r="S695" i="5"/>
  <c r="S796" i="5"/>
  <c r="S873" i="5"/>
  <c r="S973" i="5"/>
  <c r="S1206" i="5"/>
  <c r="S1373" i="5"/>
  <c r="S1583" i="5"/>
  <c r="S217" i="5"/>
  <c r="S412" i="5"/>
  <c r="S558" i="5"/>
  <c r="S1117" i="5"/>
  <c r="S200" i="5"/>
  <c r="S250" i="5"/>
  <c r="S322" i="5"/>
  <c r="S540" i="5"/>
  <c r="S1226" i="5"/>
  <c r="S773" i="5"/>
  <c r="S98" i="5"/>
  <c r="S148" i="5"/>
  <c r="S198" i="5"/>
  <c r="S248" i="5"/>
  <c r="S338" i="5"/>
  <c r="S357" i="5"/>
  <c r="S373" i="5"/>
  <c r="S392" i="5"/>
  <c r="S410" i="5"/>
  <c r="S538" i="5"/>
  <c r="S557" i="5"/>
  <c r="S573" i="5"/>
  <c r="S595" i="5"/>
  <c r="S727" i="5"/>
  <c r="S763" i="5"/>
  <c r="S802" i="5"/>
  <c r="S1042" i="5"/>
  <c r="S1106" i="5"/>
  <c r="S1207" i="5"/>
  <c r="S1392" i="5"/>
  <c r="S1586" i="5"/>
  <c r="S1935" i="5"/>
  <c r="S1132" i="5"/>
  <c r="S1153" i="5"/>
  <c r="S1186" i="5"/>
  <c r="S1239" i="5"/>
  <c r="S1293" i="5"/>
  <c r="S1395" i="5"/>
  <c r="S1454" i="5"/>
  <c r="S1662" i="5"/>
  <c r="S1742" i="5"/>
  <c r="S1856" i="5"/>
  <c r="S653" i="5"/>
  <c r="S672" i="5"/>
  <c r="S687" i="5"/>
  <c r="S706" i="5"/>
  <c r="S725" i="5"/>
  <c r="S1065" i="5"/>
  <c r="S1086" i="5"/>
  <c r="S1107" i="5"/>
  <c r="S1187" i="5"/>
  <c r="S1242" i="5"/>
  <c r="S1295" i="5"/>
  <c r="S1347" i="5"/>
  <c r="S1455" i="5"/>
  <c r="S1516" i="5"/>
  <c r="S1588" i="5"/>
  <c r="S1663" i="5"/>
  <c r="S1858" i="5"/>
  <c r="S104" i="5"/>
  <c r="S114" i="5"/>
  <c r="S124" i="5"/>
  <c r="S134" i="5"/>
  <c r="S144" i="5"/>
  <c r="S154" i="5"/>
  <c r="S164" i="5"/>
  <c r="S174" i="5"/>
  <c r="S184" i="5"/>
  <c r="S194" i="5"/>
  <c r="S204" i="5"/>
  <c r="S214" i="5"/>
  <c r="S224" i="5"/>
  <c r="S234" i="5"/>
  <c r="S244" i="5"/>
  <c r="S254" i="5"/>
  <c r="S264" i="5"/>
  <c r="S274" i="5"/>
  <c r="S284" i="5"/>
  <c r="S294" i="5"/>
  <c r="S304" i="5"/>
  <c r="S314" i="5"/>
  <c r="S324" i="5"/>
  <c r="S334" i="5"/>
  <c r="S344" i="5"/>
  <c r="S354" i="5"/>
  <c r="S364" i="5"/>
  <c r="S374" i="5"/>
  <c r="S384" i="5"/>
  <c r="S394" i="5"/>
  <c r="S404" i="5"/>
  <c r="S414" i="5"/>
  <c r="S424" i="5"/>
  <c r="S434" i="5"/>
  <c r="S444" i="5"/>
  <c r="S454" i="5"/>
  <c r="S464" i="5"/>
  <c r="S474" i="5"/>
  <c r="S484" i="5"/>
  <c r="S494" i="5"/>
  <c r="S504" i="5"/>
  <c r="S514" i="5"/>
  <c r="S524" i="5"/>
  <c r="S534" i="5"/>
  <c r="S544" i="5"/>
  <c r="S554" i="5"/>
  <c r="S564" i="5"/>
  <c r="S574" i="5"/>
  <c r="S584" i="5"/>
  <c r="S597" i="5"/>
  <c r="S616" i="5"/>
  <c r="S635" i="5"/>
  <c r="S745" i="5"/>
  <c r="S765" i="5"/>
  <c r="S785" i="5"/>
  <c r="S805" i="5"/>
  <c r="S825" i="5"/>
  <c r="S845" i="5"/>
  <c r="S865" i="5"/>
  <c r="S885" i="5"/>
  <c r="S905" i="5"/>
  <c r="S925" i="5"/>
  <c r="S945" i="5"/>
  <c r="S965" i="5"/>
  <c r="S985" i="5"/>
  <c r="S1005" i="5"/>
  <c r="S1025" i="5"/>
  <c r="S1045" i="5"/>
  <c r="S1112" i="5"/>
  <c r="S1133" i="5"/>
  <c r="S1155" i="5"/>
  <c r="S1243" i="5"/>
  <c r="S1349" i="5"/>
  <c r="S1407" i="5"/>
  <c r="S1517" i="5"/>
  <c r="S1589" i="5"/>
  <c r="S1665" i="5"/>
  <c r="S1766" i="5"/>
  <c r="S1885" i="5"/>
  <c r="S673" i="5"/>
  <c r="S692" i="5"/>
  <c r="S707" i="5"/>
  <c r="S726" i="5"/>
  <c r="S1066" i="5"/>
  <c r="S1087" i="5"/>
  <c r="S1188" i="5"/>
  <c r="S1296" i="5"/>
  <c r="S1352" i="5"/>
  <c r="S1409" i="5"/>
  <c r="S1467" i="5"/>
  <c r="S1592" i="5"/>
  <c r="S105" i="5"/>
  <c r="S115" i="5"/>
  <c r="S125" i="5"/>
  <c r="S135" i="5"/>
  <c r="S145" i="5"/>
  <c r="S155" i="5"/>
  <c r="S165" i="5"/>
  <c r="S175" i="5"/>
  <c r="S185" i="5"/>
  <c r="S195" i="5"/>
  <c r="S205" i="5"/>
  <c r="S215" i="5"/>
  <c r="S225" i="5"/>
  <c r="S235" i="5"/>
  <c r="S245" i="5"/>
  <c r="S255" i="5"/>
  <c r="S265" i="5"/>
  <c r="S275" i="5"/>
  <c r="S285" i="5"/>
  <c r="S295" i="5"/>
  <c r="S305" i="5"/>
  <c r="S315" i="5"/>
  <c r="S325" i="5"/>
  <c r="S335" i="5"/>
  <c r="S345" i="5"/>
  <c r="S355" i="5"/>
  <c r="S365" i="5"/>
  <c r="S375" i="5"/>
  <c r="S385" i="5"/>
  <c r="S395" i="5"/>
  <c r="S405" i="5"/>
  <c r="S415" i="5"/>
  <c r="S425" i="5"/>
  <c r="S435" i="5"/>
  <c r="S445" i="5"/>
  <c r="S455" i="5"/>
  <c r="S465" i="5"/>
  <c r="S475" i="5"/>
  <c r="S485" i="5"/>
  <c r="S495" i="5"/>
  <c r="S505" i="5"/>
  <c r="S515" i="5"/>
  <c r="S525" i="5"/>
  <c r="S535" i="5"/>
  <c r="S545" i="5"/>
  <c r="S555" i="5"/>
  <c r="S565" i="5"/>
  <c r="S575" i="5"/>
  <c r="S585" i="5"/>
  <c r="S602" i="5"/>
  <c r="S617" i="5"/>
  <c r="S636" i="5"/>
  <c r="S655" i="5"/>
  <c r="S746" i="5"/>
  <c r="S766" i="5"/>
  <c r="S786" i="5"/>
  <c r="S806" i="5"/>
  <c r="S826" i="5"/>
  <c r="S846" i="5"/>
  <c r="S866" i="5"/>
  <c r="S886" i="5"/>
  <c r="S906" i="5"/>
  <c r="S926" i="5"/>
  <c r="S946" i="5"/>
  <c r="S966" i="5"/>
  <c r="S986" i="5"/>
  <c r="S1006" i="5"/>
  <c r="S1026" i="5"/>
  <c r="S1046" i="5"/>
  <c r="S1092" i="5"/>
  <c r="S1113" i="5"/>
  <c r="S1135" i="5"/>
  <c r="S1156" i="5"/>
  <c r="S1189" i="5"/>
  <c r="S1244" i="5"/>
  <c r="S1297" i="5"/>
  <c r="S1353" i="5"/>
  <c r="S1412" i="5"/>
  <c r="S1469" i="5"/>
  <c r="S1533" i="5"/>
  <c r="S1593" i="5"/>
  <c r="S1666" i="5"/>
  <c r="S1768" i="5"/>
  <c r="S1886" i="5"/>
  <c r="S1067" i="5"/>
  <c r="S1202" i="5"/>
  <c r="S1245" i="5"/>
  <c r="S1354" i="5"/>
  <c r="S1413" i="5"/>
  <c r="S1472" i="5"/>
  <c r="S1536" i="5"/>
  <c r="S1769" i="5"/>
  <c r="S266" i="5"/>
  <c r="S276" i="5"/>
  <c r="S286" i="5"/>
  <c r="S296" i="5"/>
  <c r="S306" i="5"/>
  <c r="S316" i="5"/>
  <c r="S326" i="5"/>
  <c r="S336" i="5"/>
  <c r="S346" i="5"/>
  <c r="S356" i="5"/>
  <c r="S366" i="5"/>
  <c r="S376" i="5"/>
  <c r="S386" i="5"/>
  <c r="S396" i="5"/>
  <c r="S406" i="5"/>
  <c r="S416" i="5"/>
  <c r="S426" i="5"/>
  <c r="S436" i="5"/>
  <c r="S446" i="5"/>
  <c r="S456" i="5"/>
  <c r="S466" i="5"/>
  <c r="S476" i="5"/>
  <c r="S486" i="5"/>
  <c r="S496" i="5"/>
  <c r="S506" i="5"/>
  <c r="S516" i="5"/>
  <c r="S526" i="5"/>
  <c r="S536" i="5"/>
  <c r="S546" i="5"/>
  <c r="S556" i="5"/>
  <c r="S566" i="5"/>
  <c r="S576" i="5"/>
  <c r="S586" i="5"/>
  <c r="S603" i="5"/>
  <c r="S622" i="5"/>
  <c r="S637" i="5"/>
  <c r="S656" i="5"/>
  <c r="S675" i="5"/>
  <c r="S747" i="5"/>
  <c r="S767" i="5"/>
  <c r="S787" i="5"/>
  <c r="S807" i="5"/>
  <c r="S827" i="5"/>
  <c r="S847" i="5"/>
  <c r="S867" i="5"/>
  <c r="S887" i="5"/>
  <c r="S907" i="5"/>
  <c r="S927" i="5"/>
  <c r="S947" i="5"/>
  <c r="S967" i="5"/>
  <c r="S987" i="5"/>
  <c r="S1007" i="5"/>
  <c r="S1027" i="5"/>
  <c r="S1047" i="5"/>
  <c r="S1072" i="5"/>
  <c r="S1093" i="5"/>
  <c r="S1115" i="5"/>
  <c r="S1136" i="5"/>
  <c r="S1157" i="5"/>
  <c r="S1204" i="5"/>
  <c r="S1298" i="5"/>
  <c r="S1355" i="5"/>
  <c r="S1414" i="5"/>
  <c r="S1473" i="5"/>
  <c r="S1612" i="5"/>
  <c r="S1686" i="5"/>
  <c r="S1775" i="5"/>
  <c r="S1895" i="5"/>
  <c r="S713" i="5"/>
  <c r="S732" i="5"/>
  <c r="S752" i="5"/>
  <c r="S772" i="5"/>
  <c r="S792" i="5"/>
  <c r="S812" i="5"/>
  <c r="S832" i="5"/>
  <c r="S852" i="5"/>
  <c r="S872" i="5"/>
  <c r="S892" i="5"/>
  <c r="S912" i="5"/>
  <c r="S932" i="5"/>
  <c r="S952" i="5"/>
  <c r="S972" i="5"/>
  <c r="S992" i="5"/>
  <c r="S1012" i="5"/>
  <c r="S1032" i="5"/>
  <c r="S1052" i="5"/>
  <c r="S1205" i="5"/>
  <c r="S1309" i="5"/>
  <c r="S1415" i="5"/>
  <c r="S1474" i="5"/>
  <c r="S1538" i="5"/>
  <c r="S1613" i="5"/>
  <c r="S1925" i="5"/>
  <c r="S1073" i="5"/>
  <c r="S1095" i="5"/>
  <c r="S1116" i="5"/>
  <c r="S1137" i="5"/>
  <c r="S1166" i="5"/>
  <c r="S1258" i="5"/>
  <c r="S1367" i="5"/>
  <c r="S1475" i="5"/>
  <c r="S1539" i="5"/>
  <c r="S1615" i="5"/>
  <c r="S1688" i="5"/>
  <c r="S1796" i="5"/>
  <c r="S1926" i="5"/>
  <c r="S99" i="5"/>
  <c r="S109" i="5"/>
  <c r="S119" i="5"/>
  <c r="S129" i="5"/>
  <c r="S139" i="5"/>
  <c r="S149" i="5"/>
  <c r="S159" i="5"/>
  <c r="S169" i="5"/>
  <c r="S179" i="5"/>
  <c r="S189" i="5"/>
  <c r="S199" i="5"/>
  <c r="S209" i="5"/>
  <c r="S219" i="5"/>
  <c r="S229" i="5"/>
  <c r="S239" i="5"/>
  <c r="S249" i="5"/>
  <c r="S259" i="5"/>
  <c r="S269" i="5"/>
  <c r="S279" i="5"/>
  <c r="S289" i="5"/>
  <c r="S299" i="5"/>
  <c r="S309" i="5"/>
  <c r="S319" i="5"/>
  <c r="S329" i="5"/>
  <c r="S339" i="5"/>
  <c r="S349" i="5"/>
  <c r="S359" i="5"/>
  <c r="S369" i="5"/>
  <c r="S379" i="5"/>
  <c r="S389" i="5"/>
  <c r="S399" i="5"/>
  <c r="S409" i="5"/>
  <c r="S419" i="5"/>
  <c r="S429" i="5"/>
  <c r="S439" i="5"/>
  <c r="S449" i="5"/>
  <c r="S459" i="5"/>
  <c r="S469" i="5"/>
  <c r="S479" i="5"/>
  <c r="S489" i="5"/>
  <c r="S499" i="5"/>
  <c r="S509" i="5"/>
  <c r="S519" i="5"/>
  <c r="S529" i="5"/>
  <c r="S539" i="5"/>
  <c r="S549" i="5"/>
  <c r="S559" i="5"/>
  <c r="S569" i="5"/>
  <c r="S579" i="5"/>
  <c r="S663" i="5"/>
  <c r="S682" i="5"/>
  <c r="S697" i="5"/>
  <c r="S716" i="5"/>
  <c r="S735" i="5"/>
  <c r="S755" i="5"/>
  <c r="S775" i="5"/>
  <c r="S795" i="5"/>
  <c r="S815" i="5"/>
  <c r="S835" i="5"/>
  <c r="S855" i="5"/>
  <c r="S875" i="5"/>
  <c r="S895" i="5"/>
  <c r="S915" i="5"/>
  <c r="S935" i="5"/>
  <c r="S955" i="5"/>
  <c r="S975" i="5"/>
  <c r="S995" i="5"/>
  <c r="S1015" i="5"/>
  <c r="S1035" i="5"/>
  <c r="S1055" i="5"/>
  <c r="S1076" i="5"/>
  <c r="S1097" i="5"/>
  <c r="S1172" i="5"/>
  <c r="S1218" i="5"/>
  <c r="S1316" i="5"/>
  <c r="S1374" i="5"/>
  <c r="S1433" i="5"/>
  <c r="S1492" i="5"/>
  <c r="S1562" i="5"/>
  <c r="S1633" i="5"/>
  <c r="S1712" i="5"/>
  <c r="S1825" i="5"/>
  <c r="S1965" i="5"/>
  <c r="S1102" i="5"/>
  <c r="S1123" i="5"/>
  <c r="S1145" i="5"/>
  <c r="S1223" i="5"/>
  <c r="S1274" i="5"/>
  <c r="S1317" i="5"/>
  <c r="S1375" i="5"/>
  <c r="S1434" i="5"/>
  <c r="S1493" i="5"/>
  <c r="S1563" i="5"/>
  <c r="S1636" i="5"/>
  <c r="S1713" i="5"/>
  <c r="S916" i="5"/>
  <c r="S936" i="5"/>
  <c r="S956" i="5"/>
  <c r="S976" i="5"/>
  <c r="S996" i="5"/>
  <c r="S1016" i="5"/>
  <c r="S1036" i="5"/>
  <c r="S1056" i="5"/>
  <c r="S1077" i="5"/>
  <c r="S1173" i="5"/>
  <c r="S1276" i="5"/>
  <c r="S1435" i="5"/>
  <c r="S1495" i="5"/>
  <c r="S1565" i="5"/>
  <c r="S1715" i="5"/>
  <c r="S1826" i="5"/>
  <c r="S1966" i="5"/>
  <c r="S593" i="5"/>
  <c r="S612" i="5"/>
  <c r="S627" i="5"/>
  <c r="S646" i="5"/>
  <c r="S665" i="5"/>
  <c r="S1082" i="5"/>
  <c r="S1103" i="5"/>
  <c r="S1125" i="5"/>
  <c r="S1146" i="5"/>
  <c r="S1224" i="5"/>
  <c r="S1277" i="5"/>
  <c r="S1332" i="5"/>
  <c r="S1387" i="5"/>
  <c r="S1638" i="5"/>
  <c r="S101" i="5"/>
  <c r="S111" i="5"/>
  <c r="S121" i="5"/>
  <c r="S131" i="5"/>
  <c r="S141" i="5"/>
  <c r="S151" i="5"/>
  <c r="S161" i="5"/>
  <c r="S171" i="5"/>
  <c r="S181" i="5"/>
  <c r="S191" i="5"/>
  <c r="S201" i="5"/>
  <c r="S211" i="5"/>
  <c r="S221" i="5"/>
  <c r="S231" i="5"/>
  <c r="S241" i="5"/>
  <c r="S251" i="5"/>
  <c r="S261" i="5"/>
  <c r="S271" i="5"/>
  <c r="S281" i="5"/>
  <c r="S291" i="5"/>
  <c r="S301" i="5"/>
  <c r="S311" i="5"/>
  <c r="S321" i="5"/>
  <c r="S331" i="5"/>
  <c r="S341" i="5"/>
  <c r="S351" i="5"/>
  <c r="S361" i="5"/>
  <c r="S371" i="5"/>
  <c r="S381" i="5"/>
  <c r="S391" i="5"/>
  <c r="S401" i="5"/>
  <c r="S411" i="5"/>
  <c r="S421" i="5"/>
  <c r="S431" i="5"/>
  <c r="S441" i="5"/>
  <c r="S451" i="5"/>
  <c r="S461" i="5"/>
  <c r="S471" i="5"/>
  <c r="S481" i="5"/>
  <c r="S491" i="5"/>
  <c r="S501" i="5"/>
  <c r="S511" i="5"/>
  <c r="S521" i="5"/>
  <c r="S531" i="5"/>
  <c r="S541" i="5"/>
  <c r="S551" i="5"/>
  <c r="S561" i="5"/>
  <c r="S571" i="5"/>
  <c r="S581" i="5"/>
  <c r="S703" i="5"/>
  <c r="S722" i="5"/>
  <c r="S737" i="5"/>
  <c r="S757" i="5"/>
  <c r="S777" i="5"/>
  <c r="S797" i="5"/>
  <c r="S817" i="5"/>
  <c r="S837" i="5"/>
  <c r="S857" i="5"/>
  <c r="S877" i="5"/>
  <c r="S897" i="5"/>
  <c r="S917" i="5"/>
  <c r="S937" i="5"/>
  <c r="S957" i="5"/>
  <c r="S977" i="5"/>
  <c r="S997" i="5"/>
  <c r="S1017" i="5"/>
  <c r="S1037" i="5"/>
  <c r="S1057" i="5"/>
  <c r="S1182" i="5"/>
  <c r="S1225" i="5"/>
  <c r="S1333" i="5"/>
  <c r="S1389" i="5"/>
  <c r="S1447" i="5"/>
  <c r="S1496" i="5"/>
  <c r="S1566" i="5"/>
  <c r="S1639" i="5"/>
  <c r="S1829" i="5"/>
  <c r="S1975" i="5"/>
  <c r="S1716" i="5"/>
  <c r="S1745" i="5"/>
  <c r="S1772" i="5"/>
  <c r="S1799" i="5"/>
  <c r="S1828" i="5"/>
  <c r="S1888" i="5"/>
  <c r="S1928" i="5"/>
  <c r="S1968" i="5"/>
  <c r="S1174" i="5"/>
  <c r="S1192" i="5"/>
  <c r="S1208" i="5"/>
  <c r="S1227" i="5"/>
  <c r="S1264" i="5"/>
  <c r="S1283" i="5"/>
  <c r="S1299" i="5"/>
  <c r="S1336" i="5"/>
  <c r="S1356" i="5"/>
  <c r="S1376" i="5"/>
  <c r="S1396" i="5"/>
  <c r="S1416" i="5"/>
  <c r="S1436" i="5"/>
  <c r="S1456" i="5"/>
  <c r="S1476" i="5"/>
  <c r="S1497" i="5"/>
  <c r="S1518" i="5"/>
  <c r="S1545" i="5"/>
  <c r="S1568" i="5"/>
  <c r="S1595" i="5"/>
  <c r="S1618" i="5"/>
  <c r="S1645" i="5"/>
  <c r="S1668" i="5"/>
  <c r="S1695" i="5"/>
  <c r="S1718" i="5"/>
  <c r="S1746" i="5"/>
  <c r="S1805" i="5"/>
  <c r="S1832" i="5"/>
  <c r="S1859" i="5"/>
  <c r="S598" i="5"/>
  <c r="S608" i="5"/>
  <c r="S618" i="5"/>
  <c r="S628" i="5"/>
  <c r="S638" i="5"/>
  <c r="S648" i="5"/>
  <c r="S658" i="5"/>
  <c r="S668" i="5"/>
  <c r="S678" i="5"/>
  <c r="S688" i="5"/>
  <c r="S698" i="5"/>
  <c r="S708" i="5"/>
  <c r="S718" i="5"/>
  <c r="S728" i="5"/>
  <c r="S738" i="5"/>
  <c r="S748" i="5"/>
  <c r="S758" i="5"/>
  <c r="S768" i="5"/>
  <c r="S778" i="5"/>
  <c r="S788" i="5"/>
  <c r="S798" i="5"/>
  <c r="S808" i="5"/>
  <c r="S818" i="5"/>
  <c r="S828" i="5"/>
  <c r="S838" i="5"/>
  <c r="S848" i="5"/>
  <c r="S858" i="5"/>
  <c r="S868" i="5"/>
  <c r="S878" i="5"/>
  <c r="S888" i="5"/>
  <c r="S898" i="5"/>
  <c r="S908" i="5"/>
  <c r="S918" i="5"/>
  <c r="S928" i="5"/>
  <c r="S938" i="5"/>
  <c r="S948" i="5"/>
  <c r="S958" i="5"/>
  <c r="S968" i="5"/>
  <c r="S978" i="5"/>
  <c r="S988" i="5"/>
  <c r="S998" i="5"/>
  <c r="S1008" i="5"/>
  <c r="S1018" i="5"/>
  <c r="S1028" i="5"/>
  <c r="S1038" i="5"/>
  <c r="S1048" i="5"/>
  <c r="S1058" i="5"/>
  <c r="S1068" i="5"/>
  <c r="S1078" i="5"/>
  <c r="S1088" i="5"/>
  <c r="S1098" i="5"/>
  <c r="S1108" i="5"/>
  <c r="S1118" i="5"/>
  <c r="S1128" i="5"/>
  <c r="S1138" i="5"/>
  <c r="S1148" i="5"/>
  <c r="S1158" i="5"/>
  <c r="S1175" i="5"/>
  <c r="S1193" i="5"/>
  <c r="S1209" i="5"/>
  <c r="S1246" i="5"/>
  <c r="S1265" i="5"/>
  <c r="S1302" i="5"/>
  <c r="S1318" i="5"/>
  <c r="S1337" i="5"/>
  <c r="S1357" i="5"/>
  <c r="S1377" i="5"/>
  <c r="S1397" i="5"/>
  <c r="S1417" i="5"/>
  <c r="S1437" i="5"/>
  <c r="S1457" i="5"/>
  <c r="S1477" i="5"/>
  <c r="S1519" i="5"/>
  <c r="S1569" i="5"/>
  <c r="S1619" i="5"/>
  <c r="S1669" i="5"/>
  <c r="S1719" i="5"/>
  <c r="S1776" i="5"/>
  <c r="S1835" i="5"/>
  <c r="S1862" i="5"/>
  <c r="S1896" i="5"/>
  <c r="S1936" i="5"/>
  <c r="S1976" i="5"/>
  <c r="S1159" i="5"/>
  <c r="S1212" i="5"/>
  <c r="S1228" i="5"/>
  <c r="S1247" i="5"/>
  <c r="S1284" i="5"/>
  <c r="S1303" i="5"/>
  <c r="S1319" i="5"/>
  <c r="S1498" i="5"/>
  <c r="S1522" i="5"/>
  <c r="S1546" i="5"/>
  <c r="S1572" i="5"/>
  <c r="S1596" i="5"/>
  <c r="S1622" i="5"/>
  <c r="S1646" i="5"/>
  <c r="S1672" i="5"/>
  <c r="S1696" i="5"/>
  <c r="S1722" i="5"/>
  <c r="S1748" i="5"/>
  <c r="S1806" i="5"/>
  <c r="S1865" i="5"/>
  <c r="S589" i="5"/>
  <c r="S599" i="5"/>
  <c r="S609" i="5"/>
  <c r="S619" i="5"/>
  <c r="S629" i="5"/>
  <c r="S639" i="5"/>
  <c r="S649" i="5"/>
  <c r="S659" i="5"/>
  <c r="S669" i="5"/>
  <c r="S679" i="5"/>
  <c r="S689" i="5"/>
  <c r="S699" i="5"/>
  <c r="S709" i="5"/>
  <c r="S719" i="5"/>
  <c r="S729" i="5"/>
  <c r="S739" i="5"/>
  <c r="S749" i="5"/>
  <c r="S759" i="5"/>
  <c r="S769" i="5"/>
  <c r="S779" i="5"/>
  <c r="S789" i="5"/>
  <c r="S799" i="5"/>
  <c r="S809" i="5"/>
  <c r="S819" i="5"/>
  <c r="S829" i="5"/>
  <c r="S839" i="5"/>
  <c r="S849" i="5"/>
  <c r="S859" i="5"/>
  <c r="S869" i="5"/>
  <c r="S879" i="5"/>
  <c r="S889" i="5"/>
  <c r="S899" i="5"/>
  <c r="S909" i="5"/>
  <c r="S919" i="5"/>
  <c r="S929" i="5"/>
  <c r="S939" i="5"/>
  <c r="S949" i="5"/>
  <c r="S959" i="5"/>
  <c r="S969" i="5"/>
  <c r="S979" i="5"/>
  <c r="S989" i="5"/>
  <c r="S999" i="5"/>
  <c r="S1009" i="5"/>
  <c r="S1019" i="5"/>
  <c r="S1029" i="5"/>
  <c r="S1039" i="5"/>
  <c r="S1049" i="5"/>
  <c r="S1059" i="5"/>
  <c r="S1069" i="5"/>
  <c r="S1079" i="5"/>
  <c r="S1089" i="5"/>
  <c r="S1099" i="5"/>
  <c r="S1109" i="5"/>
  <c r="S1119" i="5"/>
  <c r="S1129" i="5"/>
  <c r="S1139" i="5"/>
  <c r="S1149" i="5"/>
  <c r="S1162" i="5"/>
  <c r="S1176" i="5"/>
  <c r="S1194" i="5"/>
  <c r="S1213" i="5"/>
  <c r="S1229" i="5"/>
  <c r="S1266" i="5"/>
  <c r="S1285" i="5"/>
  <c r="S1322" i="5"/>
  <c r="S1338" i="5"/>
  <c r="S1358" i="5"/>
  <c r="S1378" i="5"/>
  <c r="S1398" i="5"/>
  <c r="S1418" i="5"/>
  <c r="S1438" i="5"/>
  <c r="S1458" i="5"/>
  <c r="S1478" i="5"/>
  <c r="S1499" i="5"/>
  <c r="S1523" i="5"/>
  <c r="S1573" i="5"/>
  <c r="S1623" i="5"/>
  <c r="S1673" i="5"/>
  <c r="S1723" i="5"/>
  <c r="S1749" i="5"/>
  <c r="S1778" i="5"/>
  <c r="S1836" i="5"/>
  <c r="S1898" i="5"/>
  <c r="S1938" i="5"/>
  <c r="S1978" i="5"/>
  <c r="S1195" i="5"/>
  <c r="S1232" i="5"/>
  <c r="S1248" i="5"/>
  <c r="S1267" i="5"/>
  <c r="S1304" i="5"/>
  <c r="S1323" i="5"/>
  <c r="S1339" i="5"/>
  <c r="S1359" i="5"/>
  <c r="S1379" i="5"/>
  <c r="S1399" i="5"/>
  <c r="S1419" i="5"/>
  <c r="S1439" i="5"/>
  <c r="S1459" i="5"/>
  <c r="S1479" i="5"/>
  <c r="S1502" i="5"/>
  <c r="S1525" i="5"/>
  <c r="S1548" i="5"/>
  <c r="S1575" i="5"/>
  <c r="S1598" i="5"/>
  <c r="S1625" i="5"/>
  <c r="S1648" i="5"/>
  <c r="S1675" i="5"/>
  <c r="S1698" i="5"/>
  <c r="S1725" i="5"/>
  <c r="S1752" i="5"/>
  <c r="S1779" i="5"/>
  <c r="S1808" i="5"/>
  <c r="S1866" i="5"/>
  <c r="S1905" i="5"/>
  <c r="S1945" i="5"/>
  <c r="S1985" i="5"/>
  <c r="S590" i="5"/>
  <c r="S600" i="5"/>
  <c r="S610" i="5"/>
  <c r="S620" i="5"/>
  <c r="S630" i="5"/>
  <c r="S640" i="5"/>
  <c r="S650" i="5"/>
  <c r="S660" i="5"/>
  <c r="S670" i="5"/>
  <c r="S680" i="5"/>
  <c r="S690" i="5"/>
  <c r="S700" i="5"/>
  <c r="S710" i="5"/>
  <c r="S720" i="5"/>
  <c r="S730" i="5"/>
  <c r="S740" i="5"/>
  <c r="S750" i="5"/>
  <c r="S760" i="5"/>
  <c r="S770" i="5"/>
  <c r="S780" i="5"/>
  <c r="S790" i="5"/>
  <c r="S800" i="5"/>
  <c r="S810" i="5"/>
  <c r="S820" i="5"/>
  <c r="S830" i="5"/>
  <c r="S840" i="5"/>
  <c r="S850" i="5"/>
  <c r="S860" i="5"/>
  <c r="S870" i="5"/>
  <c r="S880" i="5"/>
  <c r="S890" i="5"/>
  <c r="S900" i="5"/>
  <c r="S910" i="5"/>
  <c r="S920" i="5"/>
  <c r="S930" i="5"/>
  <c r="S940" i="5"/>
  <c r="S950" i="5"/>
  <c r="S960" i="5"/>
  <c r="S970" i="5"/>
  <c r="S980" i="5"/>
  <c r="S990" i="5"/>
  <c r="S1000" i="5"/>
  <c r="S1010" i="5"/>
  <c r="S1020" i="5"/>
  <c r="S1030" i="5"/>
  <c r="S1040" i="5"/>
  <c r="S1050" i="5"/>
  <c r="S1060" i="5"/>
  <c r="S1070" i="5"/>
  <c r="S1080" i="5"/>
  <c r="S1090" i="5"/>
  <c r="S1100" i="5"/>
  <c r="S1110" i="5"/>
  <c r="S1120" i="5"/>
  <c r="S1130" i="5"/>
  <c r="S1140" i="5"/>
  <c r="S1150" i="5"/>
  <c r="S1163" i="5"/>
  <c r="S1177" i="5"/>
  <c r="S1214" i="5"/>
  <c r="S1233" i="5"/>
  <c r="S1249" i="5"/>
  <c r="S1286" i="5"/>
  <c r="S1305" i="5"/>
  <c r="S1342" i="5"/>
  <c r="S1362" i="5"/>
  <c r="S1382" i="5"/>
  <c r="S1402" i="5"/>
  <c r="S1422" i="5"/>
  <c r="S1442" i="5"/>
  <c r="S1462" i="5"/>
  <c r="S1482" i="5"/>
  <c r="S1503" i="5"/>
  <c r="S1549" i="5"/>
  <c r="S1599" i="5"/>
  <c r="S1649" i="5"/>
  <c r="S1699" i="5"/>
  <c r="S1755" i="5"/>
  <c r="S1782" i="5"/>
  <c r="S1809" i="5"/>
  <c r="S1838" i="5"/>
  <c r="S1196" i="5"/>
  <c r="S1215" i="5"/>
  <c r="S1252" i="5"/>
  <c r="S1268" i="5"/>
  <c r="S1287" i="5"/>
  <c r="S1324" i="5"/>
  <c r="S1343" i="5"/>
  <c r="S1363" i="5"/>
  <c r="S1383" i="5"/>
  <c r="S1403" i="5"/>
  <c r="S1423" i="5"/>
  <c r="S1443" i="5"/>
  <c r="S1463" i="5"/>
  <c r="S1483" i="5"/>
  <c r="S1505" i="5"/>
  <c r="S1526" i="5"/>
  <c r="S1552" i="5"/>
  <c r="S1576" i="5"/>
  <c r="S1602" i="5"/>
  <c r="S1626" i="5"/>
  <c r="S1652" i="5"/>
  <c r="S1676" i="5"/>
  <c r="S1702" i="5"/>
  <c r="S1726" i="5"/>
  <c r="S1785" i="5"/>
  <c r="S1812" i="5"/>
  <c r="S1839" i="5"/>
  <c r="S1868" i="5"/>
  <c r="S1906" i="5"/>
  <c r="S1946" i="5"/>
  <c r="S1986" i="5"/>
  <c r="S591" i="5"/>
  <c r="S601" i="5"/>
  <c r="S611" i="5"/>
  <c r="S621" i="5"/>
  <c r="S631" i="5"/>
  <c r="S641" i="5"/>
  <c r="S651" i="5"/>
  <c r="S661" i="5"/>
  <c r="S671" i="5"/>
  <c r="S681" i="5"/>
  <c r="S691" i="5"/>
  <c r="S701" i="5"/>
  <c r="S711" i="5"/>
  <c r="S721" i="5"/>
  <c r="S731" i="5"/>
  <c r="S741" i="5"/>
  <c r="S751" i="5"/>
  <c r="S761" i="5"/>
  <c r="S771" i="5"/>
  <c r="S781" i="5"/>
  <c r="S791" i="5"/>
  <c r="S801" i="5"/>
  <c r="S811" i="5"/>
  <c r="S821" i="5"/>
  <c r="S831" i="5"/>
  <c r="S841" i="5"/>
  <c r="S851" i="5"/>
  <c r="S861" i="5"/>
  <c r="S871" i="5"/>
  <c r="S881" i="5"/>
  <c r="S891" i="5"/>
  <c r="S901" i="5"/>
  <c r="S911" i="5"/>
  <c r="S921" i="5"/>
  <c r="S931" i="5"/>
  <c r="S941" i="5"/>
  <c r="S951" i="5"/>
  <c r="S961" i="5"/>
  <c r="S971" i="5"/>
  <c r="S981" i="5"/>
  <c r="S991" i="5"/>
  <c r="S1001" i="5"/>
  <c r="S1011" i="5"/>
  <c r="S1021" i="5"/>
  <c r="S1031" i="5"/>
  <c r="S1041" i="5"/>
  <c r="S1051" i="5"/>
  <c r="S1061" i="5"/>
  <c r="S1071" i="5"/>
  <c r="S1081" i="5"/>
  <c r="S1091" i="5"/>
  <c r="S1101" i="5"/>
  <c r="S1111" i="5"/>
  <c r="S1121" i="5"/>
  <c r="S1131" i="5"/>
  <c r="S1141" i="5"/>
  <c r="S1151" i="5"/>
  <c r="S1164" i="5"/>
  <c r="S1178" i="5"/>
  <c r="S1197" i="5"/>
  <c r="S1234" i="5"/>
  <c r="S1253" i="5"/>
  <c r="S1269" i="5"/>
  <c r="S1306" i="5"/>
  <c r="S1325" i="5"/>
  <c r="S1344" i="5"/>
  <c r="S1364" i="5"/>
  <c r="S1384" i="5"/>
  <c r="S1404" i="5"/>
  <c r="S1424" i="5"/>
  <c r="S1444" i="5"/>
  <c r="S1464" i="5"/>
  <c r="S1484" i="5"/>
  <c r="S1553" i="5"/>
  <c r="S1603" i="5"/>
  <c r="S1653" i="5"/>
  <c r="S1703" i="5"/>
  <c r="S1756" i="5"/>
  <c r="S1815" i="5"/>
  <c r="S1842" i="5"/>
  <c r="S1872" i="5"/>
  <c r="S1165" i="5"/>
  <c r="S1179" i="5"/>
  <c r="S1216" i="5"/>
  <c r="S1235" i="5"/>
  <c r="S1272" i="5"/>
  <c r="S1288" i="5"/>
  <c r="S1307" i="5"/>
  <c r="S1345" i="5"/>
  <c r="S1365" i="5"/>
  <c r="S1385" i="5"/>
  <c r="S1405" i="5"/>
  <c r="S1425" i="5"/>
  <c r="S1445" i="5"/>
  <c r="S1465" i="5"/>
  <c r="S1485" i="5"/>
  <c r="S1506" i="5"/>
  <c r="S1528" i="5"/>
  <c r="S1555" i="5"/>
  <c r="S1578" i="5"/>
  <c r="S1605" i="5"/>
  <c r="S1628" i="5"/>
  <c r="S1655" i="5"/>
  <c r="S1678" i="5"/>
  <c r="S1705" i="5"/>
  <c r="S1728" i="5"/>
  <c r="S1786" i="5"/>
  <c r="S1845" i="5"/>
  <c r="S1875" i="5"/>
  <c r="S1908" i="5"/>
  <c r="S1948" i="5"/>
  <c r="S1988" i="5"/>
  <c r="S1198" i="5"/>
  <c r="S1217" i="5"/>
  <c r="S1254" i="5"/>
  <c r="S1273" i="5"/>
  <c r="S1289" i="5"/>
  <c r="S1326" i="5"/>
  <c r="S1507" i="5"/>
  <c r="S1529" i="5"/>
  <c r="S1579" i="5"/>
  <c r="S1629" i="5"/>
  <c r="S1679" i="5"/>
  <c r="S1729" i="5"/>
  <c r="S1758" i="5"/>
  <c r="S1816" i="5"/>
  <c r="S1915" i="5"/>
  <c r="S1955" i="5"/>
  <c r="S1995" i="5"/>
  <c r="S1199" i="5"/>
  <c r="S1236" i="5"/>
  <c r="S1255" i="5"/>
  <c r="S1292" i="5"/>
  <c r="S1308" i="5"/>
  <c r="S1327" i="5"/>
  <c r="S1346" i="5"/>
  <c r="S1366" i="5"/>
  <c r="S1386" i="5"/>
  <c r="S1406" i="5"/>
  <c r="S1426" i="5"/>
  <c r="S1446" i="5"/>
  <c r="S1466" i="5"/>
  <c r="S1486" i="5"/>
  <c r="S1532" i="5"/>
  <c r="S1556" i="5"/>
  <c r="S1582" i="5"/>
  <c r="S1606" i="5"/>
  <c r="S1632" i="5"/>
  <c r="S1656" i="5"/>
  <c r="S1682" i="5"/>
  <c r="S1706" i="5"/>
  <c r="S1732" i="5"/>
  <c r="S1759" i="5"/>
  <c r="S1788" i="5"/>
  <c r="S1846" i="5"/>
  <c r="S1876" i="5"/>
  <c r="S1683" i="5"/>
  <c r="S1735" i="5"/>
  <c r="S1762" i="5"/>
  <c r="S1789" i="5"/>
  <c r="S1818" i="5"/>
  <c r="S1916" i="5"/>
  <c r="S1956" i="5"/>
  <c r="S1996" i="5"/>
  <c r="S1167" i="5"/>
  <c r="S1184" i="5"/>
  <c r="S1203" i="5"/>
  <c r="S1219" i="5"/>
  <c r="S1256" i="5"/>
  <c r="S1275" i="5"/>
  <c r="S1312" i="5"/>
  <c r="S1328" i="5"/>
  <c r="S1509" i="5"/>
  <c r="S1535" i="5"/>
  <c r="S1558" i="5"/>
  <c r="S1585" i="5"/>
  <c r="S1608" i="5"/>
  <c r="S1635" i="5"/>
  <c r="S1658" i="5"/>
  <c r="S1685" i="5"/>
  <c r="S1708" i="5"/>
  <c r="S1765" i="5"/>
  <c r="S1792" i="5"/>
  <c r="S1819" i="5"/>
  <c r="S1848" i="5"/>
  <c r="S1878" i="5"/>
  <c r="S594" i="5"/>
  <c r="S604" i="5"/>
  <c r="S614" i="5"/>
  <c r="S624" i="5"/>
  <c r="S634" i="5"/>
  <c r="S644" i="5"/>
  <c r="S654" i="5"/>
  <c r="S664" i="5"/>
  <c r="S674" i="5"/>
  <c r="S684" i="5"/>
  <c r="S694" i="5"/>
  <c r="S704" i="5"/>
  <c r="S714" i="5"/>
  <c r="S724" i="5"/>
  <c r="S734" i="5"/>
  <c r="S744" i="5"/>
  <c r="S754" i="5"/>
  <c r="S764" i="5"/>
  <c r="S774" i="5"/>
  <c r="S784" i="5"/>
  <c r="S794" i="5"/>
  <c r="S804" i="5"/>
  <c r="S814" i="5"/>
  <c r="S824" i="5"/>
  <c r="S834" i="5"/>
  <c r="S844" i="5"/>
  <c r="S854" i="5"/>
  <c r="S864" i="5"/>
  <c r="S874" i="5"/>
  <c r="S884" i="5"/>
  <c r="S894" i="5"/>
  <c r="S904" i="5"/>
  <c r="S914" i="5"/>
  <c r="S924" i="5"/>
  <c r="S934" i="5"/>
  <c r="S944" i="5"/>
  <c r="S954" i="5"/>
  <c r="S964" i="5"/>
  <c r="S974" i="5"/>
  <c r="S984" i="5"/>
  <c r="S994" i="5"/>
  <c r="S1004" i="5"/>
  <c r="S1014" i="5"/>
  <c r="S1024" i="5"/>
  <c r="S1034" i="5"/>
  <c r="S1044" i="5"/>
  <c r="S1054" i="5"/>
  <c r="S1064" i="5"/>
  <c r="S1074" i="5"/>
  <c r="S1084" i="5"/>
  <c r="S1094" i="5"/>
  <c r="S1104" i="5"/>
  <c r="S1114" i="5"/>
  <c r="S1124" i="5"/>
  <c r="S1134" i="5"/>
  <c r="S1144" i="5"/>
  <c r="S1154" i="5"/>
  <c r="S1185" i="5"/>
  <c r="S1222" i="5"/>
  <c r="S1238" i="5"/>
  <c r="S1257" i="5"/>
  <c r="S1294" i="5"/>
  <c r="S1313" i="5"/>
  <c r="S1329" i="5"/>
  <c r="S1348" i="5"/>
  <c r="S1368" i="5"/>
  <c r="S1388" i="5"/>
  <c r="S1408" i="5"/>
  <c r="S1428" i="5"/>
  <c r="S1448" i="5"/>
  <c r="S1468" i="5"/>
  <c r="S1488" i="5"/>
  <c r="S1512" i="5"/>
  <c r="S1559" i="5"/>
  <c r="S1609" i="5"/>
  <c r="S1659" i="5"/>
  <c r="S1709" i="5"/>
  <c r="S1736" i="5"/>
  <c r="S1795" i="5"/>
  <c r="S1822" i="5"/>
  <c r="S1849" i="5"/>
  <c r="S1882" i="5"/>
  <c r="S1918" i="5"/>
  <c r="S1958" i="5"/>
  <c r="S1998" i="5"/>
  <c r="S1527" i="5"/>
  <c r="S1537" i="5"/>
  <c r="S1547" i="5"/>
  <c r="S1557" i="5"/>
  <c r="S1567" i="5"/>
  <c r="S1577" i="5"/>
  <c r="S1587" i="5"/>
  <c r="S1597" i="5"/>
  <c r="S1607" i="5"/>
  <c r="S1617" i="5"/>
  <c r="S1627" i="5"/>
  <c r="S1637" i="5"/>
  <c r="S1647" i="5"/>
  <c r="S1657" i="5"/>
  <c r="S1667" i="5"/>
  <c r="S1677" i="5"/>
  <c r="S1687" i="5"/>
  <c r="S1697" i="5"/>
  <c r="S1707" i="5"/>
  <c r="S1717" i="5"/>
  <c r="S1727" i="5"/>
  <c r="S1737" i="5"/>
  <c r="S1747" i="5"/>
  <c r="S1757" i="5"/>
  <c r="S1767" i="5"/>
  <c r="S1777" i="5"/>
  <c r="S1787" i="5"/>
  <c r="S1797" i="5"/>
  <c r="S1807" i="5"/>
  <c r="S1817" i="5"/>
  <c r="S1827" i="5"/>
  <c r="S1837" i="5"/>
  <c r="S1847" i="5"/>
  <c r="S1857" i="5"/>
  <c r="S1867" i="5"/>
  <c r="S1877" i="5"/>
  <c r="S1887" i="5"/>
  <c r="S1897" i="5"/>
  <c r="S1907" i="5"/>
  <c r="S1917" i="5"/>
  <c r="S1927" i="5"/>
  <c r="S1937" i="5"/>
  <c r="S1947" i="5"/>
  <c r="S1957" i="5"/>
  <c r="S1967" i="5"/>
  <c r="S1977" i="5"/>
  <c r="S1987" i="5"/>
  <c r="S1997" i="5"/>
  <c r="S1869" i="5"/>
  <c r="S1879" i="5"/>
  <c r="S1889" i="5"/>
  <c r="S1899" i="5"/>
  <c r="S1909" i="5"/>
  <c r="S1919" i="5"/>
  <c r="S1929" i="5"/>
  <c r="S1939" i="5"/>
  <c r="S1949" i="5"/>
  <c r="S1959" i="5"/>
  <c r="S1969" i="5"/>
  <c r="S1979" i="5"/>
  <c r="S1989" i="5"/>
  <c r="S1999" i="5"/>
  <c r="S1160" i="5"/>
  <c r="S1170" i="5"/>
  <c r="S1180" i="5"/>
  <c r="S1190" i="5"/>
  <c r="S1200" i="5"/>
  <c r="S1210" i="5"/>
  <c r="S1220" i="5"/>
  <c r="S1230" i="5"/>
  <c r="S1240" i="5"/>
  <c r="S1250" i="5"/>
  <c r="S1260" i="5"/>
  <c r="S1270" i="5"/>
  <c r="S1280" i="5"/>
  <c r="S1290" i="5"/>
  <c r="S1300" i="5"/>
  <c r="S1310" i="5"/>
  <c r="S1320" i="5"/>
  <c r="S1330" i="5"/>
  <c r="S1340" i="5"/>
  <c r="S1350" i="5"/>
  <c r="S1360" i="5"/>
  <c r="S1370" i="5"/>
  <c r="S1380" i="5"/>
  <c r="S1390" i="5"/>
  <c r="S1400" i="5"/>
  <c r="S1410" i="5"/>
  <c r="S1420" i="5"/>
  <c r="S1430" i="5"/>
  <c r="S1440" i="5"/>
  <c r="S1450" i="5"/>
  <c r="S1460" i="5"/>
  <c r="S1470" i="5"/>
  <c r="S1480" i="5"/>
  <c r="S1490" i="5"/>
  <c r="S1500" i="5"/>
  <c r="S1510" i="5"/>
  <c r="S1520" i="5"/>
  <c r="S1530" i="5"/>
  <c r="S1540" i="5"/>
  <c r="S1550" i="5"/>
  <c r="S1560" i="5"/>
  <c r="S1570" i="5"/>
  <c r="S1580" i="5"/>
  <c r="S1590" i="5"/>
  <c r="S1600" i="5"/>
  <c r="S1610" i="5"/>
  <c r="S1620" i="5"/>
  <c r="S1630" i="5"/>
  <c r="S1640" i="5"/>
  <c r="S1650" i="5"/>
  <c r="S1660" i="5"/>
  <c r="S1670" i="5"/>
  <c r="S1680" i="5"/>
  <c r="S1690" i="5"/>
  <c r="S1700" i="5"/>
  <c r="S1710" i="5"/>
  <c r="S1720" i="5"/>
  <c r="S1730" i="5"/>
  <c r="S1740" i="5"/>
  <c r="S1750" i="5"/>
  <c r="S1760" i="5"/>
  <c r="S1770" i="5"/>
  <c r="S1780" i="5"/>
  <c r="S1790" i="5"/>
  <c r="S1800" i="5"/>
  <c r="S1810" i="5"/>
  <c r="S1820" i="5"/>
  <c r="S1830" i="5"/>
  <c r="S1840" i="5"/>
  <c r="S1850" i="5"/>
  <c r="S1860" i="5"/>
  <c r="S1870" i="5"/>
  <c r="S1880" i="5"/>
  <c r="S1890" i="5"/>
  <c r="S1900" i="5"/>
  <c r="S1910" i="5"/>
  <c r="S1920" i="5"/>
  <c r="S1930" i="5"/>
  <c r="S1940" i="5"/>
  <c r="S1950" i="5"/>
  <c r="S1960" i="5"/>
  <c r="S1970" i="5"/>
  <c r="S1980" i="5"/>
  <c r="S1990" i="5"/>
  <c r="S2000" i="5"/>
  <c r="S1161" i="5"/>
  <c r="S1171" i="5"/>
  <c r="S1181" i="5"/>
  <c r="S1191" i="5"/>
  <c r="S1201" i="5"/>
  <c r="S1211" i="5"/>
  <c r="S1221" i="5"/>
  <c r="S1231" i="5"/>
  <c r="S1241" i="5"/>
  <c r="S1251" i="5"/>
  <c r="S1261" i="5"/>
  <c r="S1271" i="5"/>
  <c r="S1281" i="5"/>
  <c r="S1291" i="5"/>
  <c r="S1301" i="5"/>
  <c r="S1311" i="5"/>
  <c r="S1321" i="5"/>
  <c r="S1331" i="5"/>
  <c r="S1341" i="5"/>
  <c r="S1351" i="5"/>
  <c r="S1361" i="5"/>
  <c r="S1371" i="5"/>
  <c r="S1381" i="5"/>
  <c r="S1391" i="5"/>
  <c r="S1401" i="5"/>
  <c r="S1411" i="5"/>
  <c r="S1421" i="5"/>
  <c r="S1431" i="5"/>
  <c r="S1441" i="5"/>
  <c r="S1451" i="5"/>
  <c r="S1461" i="5"/>
  <c r="S1471" i="5"/>
  <c r="S1481" i="5"/>
  <c r="S1491" i="5"/>
  <c r="S1501" i="5"/>
  <c r="S1511" i="5"/>
  <c r="S1521" i="5"/>
  <c r="S1531" i="5"/>
  <c r="S1541" i="5"/>
  <c r="S1551" i="5"/>
  <c r="S1561" i="5"/>
  <c r="S1571" i="5"/>
  <c r="S1581" i="5"/>
  <c r="S1591" i="5"/>
  <c r="S1601" i="5"/>
  <c r="S1611" i="5"/>
  <c r="S1621" i="5"/>
  <c r="S1631" i="5"/>
  <c r="S1641" i="5"/>
  <c r="S1651" i="5"/>
  <c r="S1661" i="5"/>
  <c r="S1671" i="5"/>
  <c r="S1681" i="5"/>
  <c r="S1691" i="5"/>
  <c r="S1701" i="5"/>
  <c r="S1711" i="5"/>
  <c r="S1721" i="5"/>
  <c r="S1731" i="5"/>
  <c r="S1741" i="5"/>
  <c r="S1751" i="5"/>
  <c r="S1761" i="5"/>
  <c r="S1771" i="5"/>
  <c r="S1781" i="5"/>
  <c r="S1791" i="5"/>
  <c r="S1801" i="5"/>
  <c r="S1811" i="5"/>
  <c r="S1821" i="5"/>
  <c r="S1831" i="5"/>
  <c r="S1841" i="5"/>
  <c r="S1851" i="5"/>
  <c r="S1861" i="5"/>
  <c r="S1871" i="5"/>
  <c r="S1881" i="5"/>
  <c r="S1891" i="5"/>
  <c r="S1901" i="5"/>
  <c r="S1911" i="5"/>
  <c r="S1921" i="5"/>
  <c r="S1931" i="5"/>
  <c r="S1941" i="5"/>
  <c r="S1951" i="5"/>
  <c r="S1961" i="5"/>
  <c r="S1971" i="5"/>
  <c r="S1981" i="5"/>
  <c r="S1991" i="5"/>
  <c r="S2001" i="5"/>
  <c r="S1892" i="5"/>
  <c r="S1902" i="5"/>
  <c r="S1912" i="5"/>
  <c r="S1922" i="5"/>
  <c r="S1932" i="5"/>
  <c r="S1942" i="5"/>
  <c r="S1952" i="5"/>
  <c r="S1962" i="5"/>
  <c r="S1972" i="5"/>
  <c r="S1982" i="5"/>
  <c r="S1992" i="5"/>
  <c r="S2002" i="5"/>
  <c r="S1733" i="5"/>
  <c r="S1743" i="5"/>
  <c r="S1753" i="5"/>
  <c r="S1763" i="5"/>
  <c r="S1773" i="5"/>
  <c r="S1783" i="5"/>
  <c r="S1793" i="5"/>
  <c r="S1803" i="5"/>
  <c r="S1813" i="5"/>
  <c r="S1823" i="5"/>
  <c r="S1833" i="5"/>
  <c r="S1843" i="5"/>
  <c r="S1853" i="5"/>
  <c r="S1863" i="5"/>
  <c r="S1873" i="5"/>
  <c r="S1883" i="5"/>
  <c r="S1893" i="5"/>
  <c r="S1903" i="5"/>
  <c r="S1913" i="5"/>
  <c r="S1923" i="5"/>
  <c r="S1933" i="5"/>
  <c r="S1943" i="5"/>
  <c r="S1953" i="5"/>
  <c r="S1963" i="5"/>
  <c r="S1973" i="5"/>
  <c r="S1983" i="5"/>
  <c r="S1993" i="5"/>
  <c r="S2003" i="5"/>
  <c r="S1494" i="5"/>
  <c r="S1504" i="5"/>
  <c r="S1514" i="5"/>
  <c r="S1524" i="5"/>
  <c r="S1534" i="5"/>
  <c r="S1544" i="5"/>
  <c r="S1554" i="5"/>
  <c r="S1564" i="5"/>
  <c r="S1574" i="5"/>
  <c r="S1584" i="5"/>
  <c r="S1594" i="5"/>
  <c r="S1604" i="5"/>
  <c r="S1614" i="5"/>
  <c r="S1624" i="5"/>
  <c r="S1634" i="5"/>
  <c r="S1644" i="5"/>
  <c r="S1654" i="5"/>
  <c r="S1664" i="5"/>
  <c r="S1674" i="5"/>
  <c r="S1684" i="5"/>
  <c r="S1694" i="5"/>
  <c r="S1704" i="5"/>
  <c r="S1714" i="5"/>
  <c r="S1724" i="5"/>
  <c r="S1734" i="5"/>
  <c r="S1744" i="5"/>
  <c r="S1754" i="5"/>
  <c r="S1764" i="5"/>
  <c r="S1774" i="5"/>
  <c r="S1784" i="5"/>
  <c r="S1794" i="5"/>
  <c r="S1804" i="5"/>
  <c r="S1814" i="5"/>
  <c r="S1824" i="5"/>
  <c r="S1834" i="5"/>
  <c r="S1844" i="5"/>
  <c r="S1854" i="5"/>
  <c r="S1864" i="5"/>
  <c r="S1874" i="5"/>
  <c r="S1884" i="5"/>
  <c r="S1894" i="5"/>
  <c r="S1904" i="5"/>
  <c r="S1914" i="5"/>
  <c r="S1924" i="5"/>
  <c r="S1934" i="5"/>
  <c r="S1944" i="5"/>
  <c r="S1954" i="5"/>
  <c r="S1964" i="5"/>
  <c r="S1974" i="5"/>
  <c r="S1984" i="5"/>
  <c r="S1994" i="5"/>
  <c r="S2004" i="5"/>
  <c r="T218" i="5"/>
  <c r="T431" i="5"/>
  <c r="T228" i="5"/>
  <c r="T248" i="5"/>
  <c r="T743" i="5"/>
  <c r="T258" i="5"/>
  <c r="T481" i="5"/>
  <c r="T714" i="5"/>
  <c r="T238" i="5"/>
  <c r="T268" i="5"/>
  <c r="T494" i="5"/>
  <c r="T776" i="5"/>
  <c r="T278" i="5"/>
  <c r="T288" i="5"/>
  <c r="T521" i="5"/>
  <c r="T811" i="5"/>
  <c r="T98" i="5"/>
  <c r="T298" i="5"/>
  <c r="T534" i="5"/>
  <c r="T108" i="5"/>
  <c r="T308" i="5"/>
  <c r="T931" i="5"/>
  <c r="T118" i="5"/>
  <c r="T318" i="5"/>
  <c r="T561" i="5"/>
  <c r="T128" i="5"/>
  <c r="T328" i="5"/>
  <c r="T574" i="5"/>
  <c r="T997" i="5"/>
  <c r="T138" i="5"/>
  <c r="T338" i="5"/>
  <c r="T148" i="5"/>
  <c r="T348" i="5"/>
  <c r="T601" i="5"/>
  <c r="T1182" i="5"/>
  <c r="T158" i="5"/>
  <c r="T358" i="5"/>
  <c r="T614" i="5"/>
  <c r="T1215" i="5"/>
  <c r="T168" i="5"/>
  <c r="T1252" i="5"/>
  <c r="T178" i="5"/>
  <c r="T381" i="5"/>
  <c r="T643" i="5"/>
  <c r="T188" i="5"/>
  <c r="T198" i="5"/>
  <c r="T208" i="5"/>
  <c r="T685" i="5"/>
  <c r="T1384" i="5"/>
  <c r="T394" i="5"/>
  <c r="T406" i="5"/>
  <c r="T444" i="5"/>
  <c r="T456" i="5"/>
  <c r="T507" i="5"/>
  <c r="T547" i="5"/>
  <c r="T587" i="5"/>
  <c r="T657" i="5"/>
  <c r="T672" i="5"/>
  <c r="T701" i="5"/>
  <c r="T759" i="5"/>
  <c r="T777" i="5"/>
  <c r="T793" i="5"/>
  <c r="T891" i="5"/>
  <c r="T910" i="5"/>
  <c r="T973" i="5"/>
  <c r="T1040" i="5"/>
  <c r="T1060" i="5"/>
  <c r="T1105" i="5"/>
  <c r="T1690" i="5"/>
  <c r="T1821" i="5"/>
  <c r="T99" i="5"/>
  <c r="T109" i="5"/>
  <c r="T119" i="5"/>
  <c r="T129" i="5"/>
  <c r="T139" i="5"/>
  <c r="T149" i="5"/>
  <c r="T159" i="5"/>
  <c r="T169" i="5"/>
  <c r="T179" i="5"/>
  <c r="T189" i="5"/>
  <c r="T199" i="5"/>
  <c r="T209" i="5"/>
  <c r="T219" i="5"/>
  <c r="T229" i="5"/>
  <c r="T239" i="5"/>
  <c r="T249" i="5"/>
  <c r="T259" i="5"/>
  <c r="T269" i="5"/>
  <c r="T279" i="5"/>
  <c r="T289" i="5"/>
  <c r="T299" i="5"/>
  <c r="T309" i="5"/>
  <c r="T319" i="5"/>
  <c r="T329" i="5"/>
  <c r="T339" i="5"/>
  <c r="T349" i="5"/>
  <c r="T359" i="5"/>
  <c r="T370" i="5"/>
  <c r="T382" i="5"/>
  <c r="T420" i="5"/>
  <c r="T432" i="5"/>
  <c r="T470" i="5"/>
  <c r="T482" i="5"/>
  <c r="T495" i="5"/>
  <c r="T522" i="5"/>
  <c r="T535" i="5"/>
  <c r="T562" i="5"/>
  <c r="T575" i="5"/>
  <c r="T602" i="5"/>
  <c r="T615" i="5"/>
  <c r="T644" i="5"/>
  <c r="T673" i="5"/>
  <c r="T715" i="5"/>
  <c r="T744" i="5"/>
  <c r="T778" i="5"/>
  <c r="T794" i="5"/>
  <c r="T830" i="5"/>
  <c r="T851" i="5"/>
  <c r="T870" i="5"/>
  <c r="T933" i="5"/>
  <c r="T955" i="5"/>
  <c r="T998" i="5"/>
  <c r="T1018" i="5"/>
  <c r="T1061" i="5"/>
  <c r="T1155" i="5"/>
  <c r="T1185" i="5"/>
  <c r="T1285" i="5"/>
  <c r="T1503" i="5"/>
  <c r="T1691" i="5"/>
  <c r="T1751" i="5"/>
  <c r="T869" i="5"/>
  <c r="T1083" i="5"/>
  <c r="T1635" i="5"/>
  <c r="T383" i="5"/>
  <c r="T395" i="5"/>
  <c r="T407" i="5"/>
  <c r="T433" i="5"/>
  <c r="T445" i="5"/>
  <c r="T457" i="5"/>
  <c r="T483" i="5"/>
  <c r="T523" i="5"/>
  <c r="T563" i="5"/>
  <c r="T603" i="5"/>
  <c r="T631" i="5"/>
  <c r="T687" i="5"/>
  <c r="T702" i="5"/>
  <c r="T731" i="5"/>
  <c r="T814" i="5"/>
  <c r="T893" i="5"/>
  <c r="T915" i="5"/>
  <c r="T934" i="5"/>
  <c r="T975" i="5"/>
  <c r="T1019" i="5"/>
  <c r="T1087" i="5"/>
  <c r="T1107" i="5"/>
  <c r="T1130" i="5"/>
  <c r="T1218" i="5"/>
  <c r="T1255" i="5"/>
  <c r="T1321" i="5"/>
  <c r="T1388" i="5"/>
  <c r="T1423" i="5"/>
  <c r="T1462" i="5"/>
  <c r="T1595" i="5"/>
  <c r="T1640" i="5"/>
  <c r="T1823" i="5"/>
  <c r="T1103" i="5"/>
  <c r="T100" i="5"/>
  <c r="T110" i="5"/>
  <c r="T120" i="5"/>
  <c r="T130" i="5"/>
  <c r="T140" i="5"/>
  <c r="T150" i="5"/>
  <c r="T160" i="5"/>
  <c r="T170" i="5"/>
  <c r="T180" i="5"/>
  <c r="T190" i="5"/>
  <c r="T200" i="5"/>
  <c r="T210" i="5"/>
  <c r="T220" i="5"/>
  <c r="T230" i="5"/>
  <c r="T240" i="5"/>
  <c r="T250" i="5"/>
  <c r="T260" i="5"/>
  <c r="T270" i="5"/>
  <c r="T280" i="5"/>
  <c r="T290" i="5"/>
  <c r="T300" i="5"/>
  <c r="T310" i="5"/>
  <c r="T320" i="5"/>
  <c r="T330" i="5"/>
  <c r="T340" i="5"/>
  <c r="T350" i="5"/>
  <c r="T360" i="5"/>
  <c r="T371" i="5"/>
  <c r="T421" i="5"/>
  <c r="T471" i="5"/>
  <c r="T496" i="5"/>
  <c r="T536" i="5"/>
  <c r="T576" i="5"/>
  <c r="T645" i="5"/>
  <c r="T674" i="5"/>
  <c r="T703" i="5"/>
  <c r="T745" i="5"/>
  <c r="T779" i="5"/>
  <c r="T795" i="5"/>
  <c r="T853" i="5"/>
  <c r="T875" i="5"/>
  <c r="T894" i="5"/>
  <c r="T957" i="5"/>
  <c r="T977" i="5"/>
  <c r="T1043" i="5"/>
  <c r="T1063" i="5"/>
  <c r="T1110" i="5"/>
  <c r="T1160" i="5"/>
  <c r="T1191" i="5"/>
  <c r="T1292" i="5"/>
  <c r="T1510" i="5"/>
  <c r="T1650" i="5"/>
  <c r="T384" i="5"/>
  <c r="T396" i="5"/>
  <c r="T434" i="5"/>
  <c r="T446" i="5"/>
  <c r="T484" i="5"/>
  <c r="T511" i="5"/>
  <c r="T524" i="5"/>
  <c r="T551" i="5"/>
  <c r="T564" i="5"/>
  <c r="T591" i="5"/>
  <c r="T604" i="5"/>
  <c r="T617" i="5"/>
  <c r="T632" i="5"/>
  <c r="T661" i="5"/>
  <c r="T717" i="5"/>
  <c r="T732" i="5"/>
  <c r="T764" i="5"/>
  <c r="T815" i="5"/>
  <c r="T835" i="5"/>
  <c r="T854" i="5"/>
  <c r="T917" i="5"/>
  <c r="T958" i="5"/>
  <c r="T1000" i="5"/>
  <c r="T1020" i="5"/>
  <c r="T1068" i="5"/>
  <c r="T1088" i="5"/>
  <c r="T1131" i="5"/>
  <c r="T1221" i="5"/>
  <c r="T1258" i="5"/>
  <c r="T1294" i="5"/>
  <c r="T1323" i="5"/>
  <c r="T1360" i="5"/>
  <c r="T1395" i="5"/>
  <c r="T1512" i="5"/>
  <c r="T1551" i="5"/>
  <c r="T1601" i="5"/>
  <c r="T1693" i="5"/>
  <c r="T1833" i="5"/>
  <c r="T1920" i="5"/>
  <c r="T1592" i="5"/>
  <c r="T101" i="5"/>
  <c r="T111" i="5"/>
  <c r="T121" i="5"/>
  <c r="T131" i="5"/>
  <c r="T141" i="5"/>
  <c r="T151" i="5"/>
  <c r="T161" i="5"/>
  <c r="T171" i="5"/>
  <c r="T181" i="5"/>
  <c r="T191" i="5"/>
  <c r="T201" i="5"/>
  <c r="T211" i="5"/>
  <c r="T221" i="5"/>
  <c r="T231" i="5"/>
  <c r="T241" i="5"/>
  <c r="T251" i="5"/>
  <c r="T261" i="5"/>
  <c r="T271" i="5"/>
  <c r="T281" i="5"/>
  <c r="T291" i="5"/>
  <c r="T301" i="5"/>
  <c r="T311" i="5"/>
  <c r="T321" i="5"/>
  <c r="T331" i="5"/>
  <c r="T341" i="5"/>
  <c r="T351" i="5"/>
  <c r="T361" i="5"/>
  <c r="T372" i="5"/>
  <c r="T410" i="5"/>
  <c r="T422" i="5"/>
  <c r="T460" i="5"/>
  <c r="T472" i="5"/>
  <c r="T497" i="5"/>
  <c r="T537" i="5"/>
  <c r="T577" i="5"/>
  <c r="T633" i="5"/>
  <c r="T675" i="5"/>
  <c r="T704" i="5"/>
  <c r="T733" i="5"/>
  <c r="T747" i="5"/>
  <c r="T780" i="5"/>
  <c r="T799" i="5"/>
  <c r="T877" i="5"/>
  <c r="T918" i="5"/>
  <c r="T937" i="5"/>
  <c r="T978" i="5"/>
  <c r="T1025" i="5"/>
  <c r="T1045" i="5"/>
  <c r="T1111" i="5"/>
  <c r="T1161" i="5"/>
  <c r="T1193" i="5"/>
  <c r="T1224" i="5"/>
  <c r="T1398" i="5"/>
  <c r="T1430" i="5"/>
  <c r="T1470" i="5"/>
  <c r="T1653" i="5"/>
  <c r="T1700" i="5"/>
  <c r="T1498" i="5"/>
  <c r="T373" i="5"/>
  <c r="T385" i="5"/>
  <c r="T397" i="5"/>
  <c r="T423" i="5"/>
  <c r="T435" i="5"/>
  <c r="T447" i="5"/>
  <c r="T473" i="5"/>
  <c r="T485" i="5"/>
  <c r="T512" i="5"/>
  <c r="T525" i="5"/>
  <c r="T552" i="5"/>
  <c r="T565" i="5"/>
  <c r="T592" i="5"/>
  <c r="T605" i="5"/>
  <c r="T647" i="5"/>
  <c r="T662" i="5"/>
  <c r="T691" i="5"/>
  <c r="T765" i="5"/>
  <c r="T816" i="5"/>
  <c r="T837" i="5"/>
  <c r="T878" i="5"/>
  <c r="T897" i="5"/>
  <c r="T959" i="5"/>
  <c r="T981" i="5"/>
  <c r="T1001" i="5"/>
  <c r="T1069" i="5"/>
  <c r="T1089" i="5"/>
  <c r="T1135" i="5"/>
  <c r="T1260" i="5"/>
  <c r="T1295" i="5"/>
  <c r="T1328" i="5"/>
  <c r="T1361" i="5"/>
  <c r="T1515" i="5"/>
  <c r="T1553" i="5"/>
  <c r="T1602" i="5"/>
  <c r="T1840" i="5"/>
  <c r="T1930" i="5"/>
  <c r="T950" i="5"/>
  <c r="T1590" i="5"/>
  <c r="T1543" i="5"/>
  <c r="T102" i="5"/>
  <c r="T112" i="5"/>
  <c r="T122" i="5"/>
  <c r="T132" i="5"/>
  <c r="T142" i="5"/>
  <c r="T152" i="5"/>
  <c r="T162" i="5"/>
  <c r="T172" i="5"/>
  <c r="T182" i="5"/>
  <c r="T192" i="5"/>
  <c r="T202" i="5"/>
  <c r="T212" i="5"/>
  <c r="T222" i="5"/>
  <c r="T232" i="5"/>
  <c r="T242" i="5"/>
  <c r="T252" i="5"/>
  <c r="T262" i="5"/>
  <c r="T272" i="5"/>
  <c r="T282" i="5"/>
  <c r="T292" i="5"/>
  <c r="T302" i="5"/>
  <c r="T312" i="5"/>
  <c r="T322" i="5"/>
  <c r="T332" i="5"/>
  <c r="T342" i="5"/>
  <c r="T352" i="5"/>
  <c r="T362" i="5"/>
  <c r="T411" i="5"/>
  <c r="T461" i="5"/>
  <c r="T513" i="5"/>
  <c r="T553" i="5"/>
  <c r="T593" i="5"/>
  <c r="T634" i="5"/>
  <c r="T663" i="5"/>
  <c r="T705" i="5"/>
  <c r="T734" i="5"/>
  <c r="T748" i="5"/>
  <c r="T766" i="5"/>
  <c r="T800" i="5"/>
  <c r="T838" i="5"/>
  <c r="T857" i="5"/>
  <c r="T919" i="5"/>
  <c r="T1027" i="5"/>
  <c r="T1047" i="5"/>
  <c r="T1090" i="5"/>
  <c r="T1139" i="5"/>
  <c r="T1162" i="5"/>
  <c r="T1231" i="5"/>
  <c r="T1332" i="5"/>
  <c r="T1520" i="5"/>
  <c r="T1711" i="5"/>
  <c r="T1763" i="5"/>
  <c r="T1153" i="5"/>
  <c r="T1461" i="5"/>
  <c r="T374" i="5"/>
  <c r="T386" i="5"/>
  <c r="T424" i="5"/>
  <c r="T436" i="5"/>
  <c r="T474" i="5"/>
  <c r="T486" i="5"/>
  <c r="T526" i="5"/>
  <c r="T566" i="5"/>
  <c r="T606" i="5"/>
  <c r="T621" i="5"/>
  <c r="T677" i="5"/>
  <c r="T692" i="5"/>
  <c r="T721" i="5"/>
  <c r="T750" i="5"/>
  <c r="T767" i="5"/>
  <c r="T783" i="5"/>
  <c r="T801" i="5"/>
  <c r="T818" i="5"/>
  <c r="T879" i="5"/>
  <c r="T941" i="5"/>
  <c r="T960" i="5"/>
  <c r="T983" i="5"/>
  <c r="T1003" i="5"/>
  <c r="T1048" i="5"/>
  <c r="T1115" i="5"/>
  <c r="T1261" i="5"/>
  <c r="T1300" i="5"/>
  <c r="T1334" i="5"/>
  <c r="T1363" i="5"/>
  <c r="T1401" i="5"/>
  <c r="T1473" i="5"/>
  <c r="T1603" i="5"/>
  <c r="T1421" i="5"/>
  <c r="T103" i="5"/>
  <c r="T113" i="5"/>
  <c r="T123" i="5"/>
  <c r="T133" i="5"/>
  <c r="T143" i="5"/>
  <c r="T153" i="5"/>
  <c r="T163" i="5"/>
  <c r="T173" i="5"/>
  <c r="T183" i="5"/>
  <c r="T193" i="5"/>
  <c r="T203" i="5"/>
  <c r="T213" i="5"/>
  <c r="T223" i="5"/>
  <c r="T233" i="5"/>
  <c r="T243" i="5"/>
  <c r="T253" i="5"/>
  <c r="T263" i="5"/>
  <c r="T273" i="5"/>
  <c r="T283" i="5"/>
  <c r="T293" i="5"/>
  <c r="T303" i="5"/>
  <c r="T313" i="5"/>
  <c r="T323" i="5"/>
  <c r="T333" i="5"/>
  <c r="T343" i="5"/>
  <c r="T353" i="5"/>
  <c r="T363" i="5"/>
  <c r="T400" i="5"/>
  <c r="T412" i="5"/>
  <c r="T450" i="5"/>
  <c r="T462" i="5"/>
  <c r="T501" i="5"/>
  <c r="T514" i="5"/>
  <c r="T541" i="5"/>
  <c r="T554" i="5"/>
  <c r="T581" i="5"/>
  <c r="T594" i="5"/>
  <c r="T635" i="5"/>
  <c r="T664" i="5"/>
  <c r="T693" i="5"/>
  <c r="T735" i="5"/>
  <c r="T751" i="5"/>
  <c r="T839" i="5"/>
  <c r="T901" i="5"/>
  <c r="T920" i="5"/>
  <c r="T1005" i="5"/>
  <c r="T1071" i="5"/>
  <c r="T1091" i="5"/>
  <c r="T1140" i="5"/>
  <c r="T1165" i="5"/>
  <c r="T1200" i="5"/>
  <c r="T1232" i="5"/>
  <c r="T1265" i="5"/>
  <c r="T1440" i="5"/>
  <c r="T1521" i="5"/>
  <c r="T1610" i="5"/>
  <c r="T1713" i="5"/>
  <c r="T375" i="5"/>
  <c r="T387" i="5"/>
  <c r="T413" i="5"/>
  <c r="T425" i="5"/>
  <c r="T437" i="5"/>
  <c r="T463" i="5"/>
  <c r="T475" i="5"/>
  <c r="T487" i="5"/>
  <c r="T527" i="5"/>
  <c r="T567" i="5"/>
  <c r="T607" i="5"/>
  <c r="T622" i="5"/>
  <c r="T651" i="5"/>
  <c r="T707" i="5"/>
  <c r="T722" i="5"/>
  <c r="T768" i="5"/>
  <c r="T803" i="5"/>
  <c r="T861" i="5"/>
  <c r="T880" i="5"/>
  <c r="T943" i="5"/>
  <c r="T1029" i="5"/>
  <c r="T1049" i="5"/>
  <c r="T1097" i="5"/>
  <c r="T1117" i="5"/>
  <c r="T1234" i="5"/>
  <c r="T1301" i="5"/>
  <c r="T1370" i="5"/>
  <c r="T1402" i="5"/>
  <c r="T1660" i="5"/>
  <c r="T1960" i="5"/>
  <c r="T104" i="5"/>
  <c r="T114" i="5"/>
  <c r="T124" i="5"/>
  <c r="T134" i="5"/>
  <c r="T144" i="5"/>
  <c r="T154" i="5"/>
  <c r="T164" i="5"/>
  <c r="T174" i="5"/>
  <c r="T184" i="5"/>
  <c r="T194" i="5"/>
  <c r="T204" i="5"/>
  <c r="T214" i="5"/>
  <c r="T224" i="5"/>
  <c r="T234" i="5"/>
  <c r="T244" i="5"/>
  <c r="T254" i="5"/>
  <c r="T264" i="5"/>
  <c r="T274" i="5"/>
  <c r="T284" i="5"/>
  <c r="T294" i="5"/>
  <c r="T304" i="5"/>
  <c r="T314" i="5"/>
  <c r="T324" i="5"/>
  <c r="T334" i="5"/>
  <c r="T344" i="5"/>
  <c r="T354" i="5"/>
  <c r="T364" i="5"/>
  <c r="T401" i="5"/>
  <c r="T451" i="5"/>
  <c r="T502" i="5"/>
  <c r="T515" i="5"/>
  <c r="T542" i="5"/>
  <c r="T555" i="5"/>
  <c r="T582" i="5"/>
  <c r="T595" i="5"/>
  <c r="T623" i="5"/>
  <c r="T665" i="5"/>
  <c r="T694" i="5"/>
  <c r="T723" i="5"/>
  <c r="T753" i="5"/>
  <c r="T787" i="5"/>
  <c r="T823" i="5"/>
  <c r="T840" i="5"/>
  <c r="T903" i="5"/>
  <c r="T963" i="5"/>
  <c r="T987" i="5"/>
  <c r="T1007" i="5"/>
  <c r="T1053" i="5"/>
  <c r="T1073" i="5"/>
  <c r="T1173" i="5"/>
  <c r="T1201" i="5"/>
  <c r="T1272" i="5"/>
  <c r="T1373" i="5"/>
  <c r="T1485" i="5"/>
  <c r="T1522" i="5"/>
  <c r="T1620" i="5"/>
  <c r="T1720" i="5"/>
  <c r="T376" i="5"/>
  <c r="T414" i="5"/>
  <c r="T426" i="5"/>
  <c r="T464" i="5"/>
  <c r="T476" i="5"/>
  <c r="T503" i="5"/>
  <c r="T543" i="5"/>
  <c r="T583" i="5"/>
  <c r="T637" i="5"/>
  <c r="T652" i="5"/>
  <c r="T681" i="5"/>
  <c r="T737" i="5"/>
  <c r="T769" i="5"/>
  <c r="T804" i="5"/>
  <c r="T863" i="5"/>
  <c r="T923" i="5"/>
  <c r="T945" i="5"/>
  <c r="T964" i="5"/>
  <c r="T1010" i="5"/>
  <c r="T1030" i="5"/>
  <c r="T1098" i="5"/>
  <c r="T1118" i="5"/>
  <c r="T1143" i="5"/>
  <c r="T1238" i="5"/>
  <c r="T1302" i="5"/>
  <c r="T1341" i="5"/>
  <c r="T1374" i="5"/>
  <c r="T1403" i="5"/>
  <c r="T1443" i="5"/>
  <c r="T1571" i="5"/>
  <c r="T1663" i="5"/>
  <c r="T1790" i="5"/>
  <c r="T1318" i="5"/>
  <c r="T105" i="5"/>
  <c r="T115" i="5"/>
  <c r="T125" i="5"/>
  <c r="T135" i="5"/>
  <c r="T145" i="5"/>
  <c r="T155" i="5"/>
  <c r="T165" i="5"/>
  <c r="T175" i="5"/>
  <c r="T185" i="5"/>
  <c r="T195" i="5"/>
  <c r="T205" i="5"/>
  <c r="T215" i="5"/>
  <c r="T225" i="5"/>
  <c r="T235" i="5"/>
  <c r="T245" i="5"/>
  <c r="T255" i="5"/>
  <c r="T265" i="5"/>
  <c r="T275" i="5"/>
  <c r="T285" i="5"/>
  <c r="T295" i="5"/>
  <c r="T305" i="5"/>
  <c r="T315" i="5"/>
  <c r="T325" i="5"/>
  <c r="T335" i="5"/>
  <c r="T345" i="5"/>
  <c r="T355" i="5"/>
  <c r="T365" i="5"/>
  <c r="T390" i="5"/>
  <c r="T402" i="5"/>
  <c r="T440" i="5"/>
  <c r="T452" i="5"/>
  <c r="T516" i="5"/>
  <c r="T556" i="5"/>
  <c r="T596" i="5"/>
  <c r="T624" i="5"/>
  <c r="T653" i="5"/>
  <c r="T695" i="5"/>
  <c r="T724" i="5"/>
  <c r="T770" i="5"/>
  <c r="T788" i="5"/>
  <c r="T824" i="5"/>
  <c r="T883" i="5"/>
  <c r="T905" i="5"/>
  <c r="T924" i="5"/>
  <c r="T968" i="5"/>
  <c r="T988" i="5"/>
  <c r="T1055" i="5"/>
  <c r="T1075" i="5"/>
  <c r="T1174" i="5"/>
  <c r="T1203" i="5"/>
  <c r="T1273" i="5"/>
  <c r="T1305" i="5"/>
  <c r="T1490" i="5"/>
  <c r="T1528" i="5"/>
  <c r="T1621" i="5"/>
  <c r="T1671" i="5"/>
  <c r="T1723" i="5"/>
  <c r="T1355" i="5"/>
  <c r="T377" i="5"/>
  <c r="T403" i="5"/>
  <c r="T415" i="5"/>
  <c r="T427" i="5"/>
  <c r="T453" i="5"/>
  <c r="T465" i="5"/>
  <c r="T477" i="5"/>
  <c r="T491" i="5"/>
  <c r="T504" i="5"/>
  <c r="T531" i="5"/>
  <c r="T544" i="5"/>
  <c r="T571" i="5"/>
  <c r="T584" i="5"/>
  <c r="T611" i="5"/>
  <c r="T667" i="5"/>
  <c r="T682" i="5"/>
  <c r="T711" i="5"/>
  <c r="T755" i="5"/>
  <c r="T825" i="5"/>
  <c r="T843" i="5"/>
  <c r="T865" i="5"/>
  <c r="T884" i="5"/>
  <c r="T928" i="5"/>
  <c r="T947" i="5"/>
  <c r="T1011" i="5"/>
  <c r="T1031" i="5"/>
  <c r="T1077" i="5"/>
  <c r="T1120" i="5"/>
  <c r="T1145" i="5"/>
  <c r="T1241" i="5"/>
  <c r="T1274" i="5"/>
  <c r="T1342" i="5"/>
  <c r="T1410" i="5"/>
  <c r="T1445" i="5"/>
  <c r="T1572" i="5"/>
  <c r="T1873" i="5"/>
  <c r="T1129" i="5"/>
  <c r="T96" i="5"/>
  <c r="T106" i="5"/>
  <c r="T116" i="5"/>
  <c r="T126" i="5"/>
  <c r="T136" i="5"/>
  <c r="T146" i="5"/>
  <c r="T156" i="5"/>
  <c r="T166" i="5"/>
  <c r="T176" i="5"/>
  <c r="T186" i="5"/>
  <c r="T196" i="5"/>
  <c r="T206" i="5"/>
  <c r="T216" i="5"/>
  <c r="T226" i="5"/>
  <c r="T236" i="5"/>
  <c r="T246" i="5"/>
  <c r="T256" i="5"/>
  <c r="T266" i="5"/>
  <c r="T276" i="5"/>
  <c r="T286" i="5"/>
  <c r="T296" i="5"/>
  <c r="T306" i="5"/>
  <c r="T316" i="5"/>
  <c r="T326" i="5"/>
  <c r="T336" i="5"/>
  <c r="T346" i="5"/>
  <c r="T356" i="5"/>
  <c r="T366" i="5"/>
  <c r="T391" i="5"/>
  <c r="T441" i="5"/>
  <c r="T517" i="5"/>
  <c r="T557" i="5"/>
  <c r="T597" i="5"/>
  <c r="T625" i="5"/>
  <c r="T654" i="5"/>
  <c r="T683" i="5"/>
  <c r="T725" i="5"/>
  <c r="T771" i="5"/>
  <c r="T806" i="5"/>
  <c r="T844" i="5"/>
  <c r="T888" i="5"/>
  <c r="T907" i="5"/>
  <c r="T969" i="5"/>
  <c r="T989" i="5"/>
  <c r="T1033" i="5"/>
  <c r="T1100" i="5"/>
  <c r="T1125" i="5"/>
  <c r="T1212" i="5"/>
  <c r="T1313" i="5"/>
  <c r="T1575" i="5"/>
  <c r="T1017" i="5"/>
  <c r="T1283" i="5"/>
  <c r="T404" i="5"/>
  <c r="T416" i="5"/>
  <c r="T454" i="5"/>
  <c r="T466" i="5"/>
  <c r="T492" i="5"/>
  <c r="T505" i="5"/>
  <c r="T532" i="5"/>
  <c r="T545" i="5"/>
  <c r="T572" i="5"/>
  <c r="T585" i="5"/>
  <c r="T612" i="5"/>
  <c r="T641" i="5"/>
  <c r="T697" i="5"/>
  <c r="T712" i="5"/>
  <c r="T741" i="5"/>
  <c r="T756" i="5"/>
  <c r="T774" i="5"/>
  <c r="T790" i="5"/>
  <c r="T807" i="5"/>
  <c r="T827" i="5"/>
  <c r="T848" i="5"/>
  <c r="T867" i="5"/>
  <c r="T929" i="5"/>
  <c r="T948" i="5"/>
  <c r="T990" i="5"/>
  <c r="T1058" i="5"/>
  <c r="T1078" i="5"/>
  <c r="T1147" i="5"/>
  <c r="T1242" i="5"/>
  <c r="T1278" i="5"/>
  <c r="T1314" i="5"/>
  <c r="T1343" i="5"/>
  <c r="T1381" i="5"/>
  <c r="T1415" i="5"/>
  <c r="T1492" i="5"/>
  <c r="T1538" i="5"/>
  <c r="T1681" i="5"/>
  <c r="T1730" i="5"/>
  <c r="T1800" i="5"/>
  <c r="T1880" i="5"/>
  <c r="T1993" i="5"/>
  <c r="T97" i="5"/>
  <c r="T107" i="5"/>
  <c r="T117" i="5"/>
  <c r="T127" i="5"/>
  <c r="T137" i="5"/>
  <c r="T147" i="5"/>
  <c r="T157" i="5"/>
  <c r="T167" i="5"/>
  <c r="T177" i="5"/>
  <c r="T187" i="5"/>
  <c r="T197" i="5"/>
  <c r="T207" i="5"/>
  <c r="T217" i="5"/>
  <c r="T227" i="5"/>
  <c r="T237" i="5"/>
  <c r="T247" i="5"/>
  <c r="T257" i="5"/>
  <c r="T267" i="5"/>
  <c r="T277" i="5"/>
  <c r="T287" i="5"/>
  <c r="T297" i="5"/>
  <c r="T307" i="5"/>
  <c r="T317" i="5"/>
  <c r="T327" i="5"/>
  <c r="T337" i="5"/>
  <c r="T347" i="5"/>
  <c r="T357" i="5"/>
  <c r="T367" i="5"/>
  <c r="T380" i="5"/>
  <c r="T392" i="5"/>
  <c r="T430" i="5"/>
  <c r="T442" i="5"/>
  <c r="T480" i="5"/>
  <c r="T493" i="5"/>
  <c r="T533" i="5"/>
  <c r="T573" i="5"/>
  <c r="T613" i="5"/>
  <c r="T655" i="5"/>
  <c r="T684" i="5"/>
  <c r="T713" i="5"/>
  <c r="T757" i="5"/>
  <c r="T775" i="5"/>
  <c r="T810" i="5"/>
  <c r="T889" i="5"/>
  <c r="T908" i="5"/>
  <c r="T949" i="5"/>
  <c r="T1015" i="5"/>
  <c r="T1035" i="5"/>
  <c r="T1081" i="5"/>
  <c r="T1101" i="5"/>
  <c r="T1127" i="5"/>
  <c r="T1180" i="5"/>
  <c r="T1213" i="5"/>
  <c r="T1244" i="5"/>
  <c r="T1345" i="5"/>
  <c r="T1451" i="5"/>
  <c r="T1890" i="5"/>
  <c r="T393" i="5"/>
  <c r="T405" i="5"/>
  <c r="T417" i="5"/>
  <c r="T443" i="5"/>
  <c r="T455" i="5"/>
  <c r="T467" i="5"/>
  <c r="T506" i="5"/>
  <c r="T546" i="5"/>
  <c r="T586" i="5"/>
  <c r="T627" i="5"/>
  <c r="T642" i="5"/>
  <c r="T671" i="5"/>
  <c r="T727" i="5"/>
  <c r="T742" i="5"/>
  <c r="T791" i="5"/>
  <c r="T828" i="5"/>
  <c r="T849" i="5"/>
  <c r="T868" i="5"/>
  <c r="T909" i="5"/>
  <c r="T971" i="5"/>
  <c r="T991" i="5"/>
  <c r="T1039" i="5"/>
  <c r="T1059" i="5"/>
  <c r="T1149" i="5"/>
  <c r="T1214" i="5"/>
  <c r="T1281" i="5"/>
  <c r="T1315" i="5"/>
  <c r="T1383" i="5"/>
  <c r="T1493" i="5"/>
  <c r="T1540" i="5"/>
  <c r="T1583" i="5"/>
  <c r="T1631" i="5"/>
  <c r="T1733" i="5"/>
  <c r="T1903" i="5"/>
  <c r="T616" i="5"/>
  <c r="T626" i="5"/>
  <c r="T636" i="5"/>
  <c r="T646" i="5"/>
  <c r="T656" i="5"/>
  <c r="T666" i="5"/>
  <c r="T676" i="5"/>
  <c r="T686" i="5"/>
  <c r="T696" i="5"/>
  <c r="T706" i="5"/>
  <c r="T716" i="5"/>
  <c r="T726" i="5"/>
  <c r="T736" i="5"/>
  <c r="T746" i="5"/>
  <c r="T758" i="5"/>
  <c r="T781" i="5"/>
  <c r="T805" i="5"/>
  <c r="T817" i="5"/>
  <c r="T829" i="5"/>
  <c r="T841" i="5"/>
  <c r="T855" i="5"/>
  <c r="T881" i="5"/>
  <c r="T895" i="5"/>
  <c r="T921" i="5"/>
  <c r="T935" i="5"/>
  <c r="T961" i="5"/>
  <c r="T1163" i="5"/>
  <c r="T1183" i="5"/>
  <c r="T1202" i="5"/>
  <c r="T1284" i="5"/>
  <c r="T1324" i="5"/>
  <c r="T1344" i="5"/>
  <c r="T1365" i="5"/>
  <c r="T1385" i="5"/>
  <c r="T1405" i="5"/>
  <c r="T1428" i="5"/>
  <c r="T1448" i="5"/>
  <c r="T1523" i="5"/>
  <c r="T1580" i="5"/>
  <c r="T1801" i="5"/>
  <c r="T1883" i="5"/>
  <c r="T1970" i="5"/>
  <c r="T1119" i="5"/>
  <c r="T1133" i="5"/>
  <c r="T1148" i="5"/>
  <c r="T1223" i="5"/>
  <c r="T1243" i="5"/>
  <c r="T1263" i="5"/>
  <c r="T1303" i="5"/>
  <c r="T1475" i="5"/>
  <c r="T1501" i="5"/>
  <c r="T1552" i="5"/>
  <c r="T1605" i="5"/>
  <c r="T1695" i="5"/>
  <c r="T1731" i="5"/>
  <c r="T1843" i="5"/>
  <c r="T1923" i="5"/>
  <c r="T1773" i="5"/>
  <c r="T1933" i="5"/>
  <c r="T1973" i="5"/>
  <c r="T368" i="5"/>
  <c r="T378" i="5"/>
  <c r="T388" i="5"/>
  <c r="T398" i="5"/>
  <c r="T408" i="5"/>
  <c r="T418" i="5"/>
  <c r="T428" i="5"/>
  <c r="T438" i="5"/>
  <c r="T448" i="5"/>
  <c r="T458" i="5"/>
  <c r="T468" i="5"/>
  <c r="T478" i="5"/>
  <c r="T488" i="5"/>
  <c r="T498" i="5"/>
  <c r="T508" i="5"/>
  <c r="T518" i="5"/>
  <c r="T528" i="5"/>
  <c r="T538" i="5"/>
  <c r="T548" i="5"/>
  <c r="T558" i="5"/>
  <c r="T568" i="5"/>
  <c r="T578" i="5"/>
  <c r="T588" i="5"/>
  <c r="T598" i="5"/>
  <c r="T608" i="5"/>
  <c r="T618" i="5"/>
  <c r="T628" i="5"/>
  <c r="T638" i="5"/>
  <c r="T648" i="5"/>
  <c r="T658" i="5"/>
  <c r="T668" i="5"/>
  <c r="T678" i="5"/>
  <c r="T688" i="5"/>
  <c r="T698" i="5"/>
  <c r="T708" i="5"/>
  <c r="T718" i="5"/>
  <c r="T728" i="5"/>
  <c r="T738" i="5"/>
  <c r="T760" i="5"/>
  <c r="T784" i="5"/>
  <c r="T819" i="5"/>
  <c r="T831" i="5"/>
  <c r="T858" i="5"/>
  <c r="T898" i="5"/>
  <c r="T938" i="5"/>
  <c r="T1205" i="5"/>
  <c r="T1245" i="5"/>
  <c r="T1431" i="5"/>
  <c r="T1453" i="5"/>
  <c r="T1478" i="5"/>
  <c r="T1505" i="5"/>
  <c r="T1531" i="5"/>
  <c r="T1612" i="5"/>
  <c r="T1703" i="5"/>
  <c r="T1811" i="5"/>
  <c r="T1980" i="5"/>
  <c r="T749" i="5"/>
  <c r="T773" i="5"/>
  <c r="T796" i="5"/>
  <c r="T808" i="5"/>
  <c r="T845" i="5"/>
  <c r="T871" i="5"/>
  <c r="T885" i="5"/>
  <c r="T911" i="5"/>
  <c r="T925" i="5"/>
  <c r="T951" i="5"/>
  <c r="T965" i="5"/>
  <c r="T979" i="5"/>
  <c r="T993" i="5"/>
  <c r="T1008" i="5"/>
  <c r="T1021" i="5"/>
  <c r="T1037" i="5"/>
  <c r="T1050" i="5"/>
  <c r="T1065" i="5"/>
  <c r="T1079" i="5"/>
  <c r="T1093" i="5"/>
  <c r="T1108" i="5"/>
  <c r="T1121" i="5"/>
  <c r="T1137" i="5"/>
  <c r="T1150" i="5"/>
  <c r="T1170" i="5"/>
  <c r="T1188" i="5"/>
  <c r="T1228" i="5"/>
  <c r="T1270" i="5"/>
  <c r="T1288" i="5"/>
  <c r="T1310" i="5"/>
  <c r="T1330" i="5"/>
  <c r="T1350" i="5"/>
  <c r="T1371" i="5"/>
  <c r="T1390" i="5"/>
  <c r="T1412" i="5"/>
  <c r="T1555" i="5"/>
  <c r="T1585" i="5"/>
  <c r="T1641" i="5"/>
  <c r="T1673" i="5"/>
  <c r="T1893" i="5"/>
  <c r="T1940" i="5"/>
  <c r="T1983" i="5"/>
  <c r="T369" i="5"/>
  <c r="T379" i="5"/>
  <c r="T389" i="5"/>
  <c r="T399" i="5"/>
  <c r="T409" i="5"/>
  <c r="T419" i="5"/>
  <c r="T429" i="5"/>
  <c r="T439" i="5"/>
  <c r="T449" i="5"/>
  <c r="T459" i="5"/>
  <c r="T469" i="5"/>
  <c r="T479" i="5"/>
  <c r="T489" i="5"/>
  <c r="T499" i="5"/>
  <c r="T509" i="5"/>
  <c r="T519" i="5"/>
  <c r="T529" i="5"/>
  <c r="T539" i="5"/>
  <c r="T549" i="5"/>
  <c r="T559" i="5"/>
  <c r="T569" i="5"/>
  <c r="T579" i="5"/>
  <c r="T589" i="5"/>
  <c r="T599" i="5"/>
  <c r="T609" i="5"/>
  <c r="T619" i="5"/>
  <c r="T629" i="5"/>
  <c r="T639" i="5"/>
  <c r="T649" i="5"/>
  <c r="T659" i="5"/>
  <c r="T669" i="5"/>
  <c r="T679" i="5"/>
  <c r="T689" i="5"/>
  <c r="T699" i="5"/>
  <c r="T709" i="5"/>
  <c r="T719" i="5"/>
  <c r="T729" i="5"/>
  <c r="T739" i="5"/>
  <c r="T761" i="5"/>
  <c r="T785" i="5"/>
  <c r="T797" i="5"/>
  <c r="T820" i="5"/>
  <c r="T833" i="5"/>
  <c r="T859" i="5"/>
  <c r="T899" i="5"/>
  <c r="T939" i="5"/>
  <c r="T1432" i="5"/>
  <c r="T1458" i="5"/>
  <c r="T1560" i="5"/>
  <c r="T1853" i="5"/>
  <c r="T809" i="5"/>
  <c r="T847" i="5"/>
  <c r="T873" i="5"/>
  <c r="T887" i="5"/>
  <c r="T913" i="5"/>
  <c r="T927" i="5"/>
  <c r="T953" i="5"/>
  <c r="T967" i="5"/>
  <c r="T980" i="5"/>
  <c r="T995" i="5"/>
  <c r="T1009" i="5"/>
  <c r="T1023" i="5"/>
  <c r="T1038" i="5"/>
  <c r="T1051" i="5"/>
  <c r="T1067" i="5"/>
  <c r="T1080" i="5"/>
  <c r="T1095" i="5"/>
  <c r="T1109" i="5"/>
  <c r="T1123" i="5"/>
  <c r="T1138" i="5"/>
  <c r="T1151" i="5"/>
  <c r="T1172" i="5"/>
  <c r="T1190" i="5"/>
  <c r="T1210" i="5"/>
  <c r="T1230" i="5"/>
  <c r="T1250" i="5"/>
  <c r="T1271" i="5"/>
  <c r="T1290" i="5"/>
  <c r="T1312" i="5"/>
  <c r="T1331" i="5"/>
  <c r="T1352" i="5"/>
  <c r="T1372" i="5"/>
  <c r="T1392" i="5"/>
  <c r="T1413" i="5"/>
  <c r="T1482" i="5"/>
  <c r="T1508" i="5"/>
  <c r="T1535" i="5"/>
  <c r="T1645" i="5"/>
  <c r="T1675" i="5"/>
  <c r="T1710" i="5"/>
  <c r="T1741" i="5"/>
  <c r="T1990" i="5"/>
  <c r="T490" i="5"/>
  <c r="T500" i="5"/>
  <c r="T510" i="5"/>
  <c r="T520" i="5"/>
  <c r="T530" i="5"/>
  <c r="T540" i="5"/>
  <c r="T550" i="5"/>
  <c r="T560" i="5"/>
  <c r="T570" i="5"/>
  <c r="T580" i="5"/>
  <c r="T590" i="5"/>
  <c r="T600" i="5"/>
  <c r="T610" i="5"/>
  <c r="T620" i="5"/>
  <c r="T630" i="5"/>
  <c r="T640" i="5"/>
  <c r="T650" i="5"/>
  <c r="T660" i="5"/>
  <c r="T670" i="5"/>
  <c r="T680" i="5"/>
  <c r="T690" i="5"/>
  <c r="T700" i="5"/>
  <c r="T710" i="5"/>
  <c r="T720" i="5"/>
  <c r="T730" i="5"/>
  <c r="T740" i="5"/>
  <c r="T763" i="5"/>
  <c r="T786" i="5"/>
  <c r="T798" i="5"/>
  <c r="T821" i="5"/>
  <c r="T834" i="5"/>
  <c r="T860" i="5"/>
  <c r="T874" i="5"/>
  <c r="T900" i="5"/>
  <c r="T914" i="5"/>
  <c r="T940" i="5"/>
  <c r="T954" i="5"/>
  <c r="T1394" i="5"/>
  <c r="T1414" i="5"/>
  <c r="T1435" i="5"/>
  <c r="T1460" i="5"/>
  <c r="T1562" i="5"/>
  <c r="T1780" i="5"/>
  <c r="T1820" i="5"/>
  <c r="T1943" i="5"/>
  <c r="T1860" i="5"/>
  <c r="T754" i="5"/>
  <c r="T789" i="5"/>
  <c r="T813" i="5"/>
  <c r="T850" i="5"/>
  <c r="T864" i="5"/>
  <c r="T890" i="5"/>
  <c r="T904" i="5"/>
  <c r="T930" i="5"/>
  <c r="T944" i="5"/>
  <c r="T970" i="5"/>
  <c r="T985" i="5"/>
  <c r="T999" i="5"/>
  <c r="T1013" i="5"/>
  <c r="T1028" i="5"/>
  <c r="T1041" i="5"/>
  <c r="T1057" i="5"/>
  <c r="T1070" i="5"/>
  <c r="T1085" i="5"/>
  <c r="T1099" i="5"/>
  <c r="T1113" i="5"/>
  <c r="T1128" i="5"/>
  <c r="T1141" i="5"/>
  <c r="T1175" i="5"/>
  <c r="T1195" i="5"/>
  <c r="T1298" i="5"/>
  <c r="T1338" i="5"/>
  <c r="T1358" i="5"/>
  <c r="T1378" i="5"/>
  <c r="T1400" i="5"/>
  <c r="T1418" i="5"/>
  <c r="T1442" i="5"/>
  <c r="T1491" i="5"/>
  <c r="T1570" i="5"/>
  <c r="T1655" i="5"/>
  <c r="T1685" i="5"/>
  <c r="T1715" i="5"/>
  <c r="T1753" i="5"/>
  <c r="T1910" i="5"/>
  <c r="T1830" i="5"/>
  <c r="T1870" i="5"/>
  <c r="T1953" i="5"/>
  <c r="T1181" i="5"/>
  <c r="T1235" i="5"/>
  <c r="T1264" i="5"/>
  <c r="T1335" i="5"/>
  <c r="T1364" i="5"/>
  <c r="T1452" i="5"/>
  <c r="T1468" i="5"/>
  <c r="T1513" i="5"/>
  <c r="T1530" i="5"/>
  <c r="T1561" i="5"/>
  <c r="T1593" i="5"/>
  <c r="T1611" i="5"/>
  <c r="T1701" i="5"/>
  <c r="T1721" i="5"/>
  <c r="T1810" i="5"/>
  <c r="T1831" i="5"/>
  <c r="T974" i="5"/>
  <c r="T984" i="5"/>
  <c r="T994" i="5"/>
  <c r="T1004" i="5"/>
  <c r="T1014" i="5"/>
  <c r="T1024" i="5"/>
  <c r="T1034" i="5"/>
  <c r="T1044" i="5"/>
  <c r="T1054" i="5"/>
  <c r="T1064" i="5"/>
  <c r="T1074" i="5"/>
  <c r="T1084" i="5"/>
  <c r="T1094" i="5"/>
  <c r="T1104" i="5"/>
  <c r="T1114" i="5"/>
  <c r="T1124" i="5"/>
  <c r="T1134" i="5"/>
  <c r="T1144" i="5"/>
  <c r="T1154" i="5"/>
  <c r="T1168" i="5"/>
  <c r="T1194" i="5"/>
  <c r="T1208" i="5"/>
  <c r="T1222" i="5"/>
  <c r="T1251" i="5"/>
  <c r="T1280" i="5"/>
  <c r="T1293" i="5"/>
  <c r="T1308" i="5"/>
  <c r="T1322" i="5"/>
  <c r="T1351" i="5"/>
  <c r="T1380" i="5"/>
  <c r="T1393" i="5"/>
  <c r="T1408" i="5"/>
  <c r="T1422" i="5"/>
  <c r="T1438" i="5"/>
  <c r="T1483" i="5"/>
  <c r="T1500" i="5"/>
  <c r="T1545" i="5"/>
  <c r="T1630" i="5"/>
  <c r="T1665" i="5"/>
  <c r="T1683" i="5"/>
  <c r="T1743" i="5"/>
  <c r="T1455" i="5"/>
  <c r="T1471" i="5"/>
  <c r="T1532" i="5"/>
  <c r="T1548" i="5"/>
  <c r="T1563" i="5"/>
  <c r="T1581" i="5"/>
  <c r="T1613" i="5"/>
  <c r="T1705" i="5"/>
  <c r="T1725" i="5"/>
  <c r="T1770" i="5"/>
  <c r="T1791" i="5"/>
  <c r="T1813" i="5"/>
  <c r="T826" i="5"/>
  <c r="T836" i="5"/>
  <c r="T846" i="5"/>
  <c r="T856" i="5"/>
  <c r="T866" i="5"/>
  <c r="T876" i="5"/>
  <c r="T886" i="5"/>
  <c r="T896" i="5"/>
  <c r="T906" i="5"/>
  <c r="T916" i="5"/>
  <c r="T926" i="5"/>
  <c r="T936" i="5"/>
  <c r="T946" i="5"/>
  <c r="T956" i="5"/>
  <c r="T966" i="5"/>
  <c r="T976" i="5"/>
  <c r="T986" i="5"/>
  <c r="T996" i="5"/>
  <c r="T1006" i="5"/>
  <c r="T1016" i="5"/>
  <c r="T1026" i="5"/>
  <c r="T1036" i="5"/>
  <c r="T1046" i="5"/>
  <c r="T1056" i="5"/>
  <c r="T1066" i="5"/>
  <c r="T1076" i="5"/>
  <c r="T1086" i="5"/>
  <c r="T1096" i="5"/>
  <c r="T1106" i="5"/>
  <c r="T1116" i="5"/>
  <c r="T1126" i="5"/>
  <c r="T1136" i="5"/>
  <c r="T1146" i="5"/>
  <c r="T1171" i="5"/>
  <c r="T1211" i="5"/>
  <c r="T1240" i="5"/>
  <c r="T1253" i="5"/>
  <c r="T1268" i="5"/>
  <c r="T1282" i="5"/>
  <c r="T1311" i="5"/>
  <c r="T1340" i="5"/>
  <c r="T1353" i="5"/>
  <c r="T1368" i="5"/>
  <c r="T1382" i="5"/>
  <c r="T1411" i="5"/>
  <c r="T1425" i="5"/>
  <c r="T1441" i="5"/>
  <c r="T1502" i="5"/>
  <c r="T1518" i="5"/>
  <c r="T1651" i="5"/>
  <c r="T1670" i="5"/>
  <c r="T1158" i="5"/>
  <c r="T1184" i="5"/>
  <c r="T1198" i="5"/>
  <c r="T1225" i="5"/>
  <c r="T1254" i="5"/>
  <c r="T1325" i="5"/>
  <c r="T1354" i="5"/>
  <c r="T1472" i="5"/>
  <c r="T1488" i="5"/>
  <c r="T1533" i="5"/>
  <c r="T1550" i="5"/>
  <c r="T1565" i="5"/>
  <c r="T1582" i="5"/>
  <c r="T1600" i="5"/>
  <c r="T1615" i="5"/>
  <c r="T1633" i="5"/>
  <c r="T1750" i="5"/>
  <c r="T1771" i="5"/>
  <c r="T1793" i="5"/>
  <c r="T1863" i="5"/>
  <c r="T1913" i="5"/>
  <c r="T1963" i="5"/>
  <c r="T1463" i="5"/>
  <c r="T1480" i="5"/>
  <c r="T1525" i="5"/>
  <c r="T1541" i="5"/>
  <c r="T1623" i="5"/>
  <c r="T1760" i="5"/>
  <c r="T1781" i="5"/>
  <c r="T1803" i="5"/>
  <c r="T1850" i="5"/>
  <c r="T1900" i="5"/>
  <c r="T1950" i="5"/>
  <c r="T1164" i="5"/>
  <c r="T1178" i="5"/>
  <c r="T1204" i="5"/>
  <c r="T1275" i="5"/>
  <c r="T1304" i="5"/>
  <c r="T1375" i="5"/>
  <c r="T1404" i="5"/>
  <c r="T1433" i="5"/>
  <c r="T1450" i="5"/>
  <c r="T1495" i="5"/>
  <c r="T1511" i="5"/>
  <c r="T1573" i="5"/>
  <c r="T1591" i="5"/>
  <c r="T1661" i="5"/>
  <c r="T1680" i="5"/>
  <c r="T2003" i="5"/>
  <c r="T752" i="5"/>
  <c r="T762" i="5"/>
  <c r="T772" i="5"/>
  <c r="T782" i="5"/>
  <c r="T792" i="5"/>
  <c r="T802" i="5"/>
  <c r="T812" i="5"/>
  <c r="T822" i="5"/>
  <c r="T832" i="5"/>
  <c r="T842" i="5"/>
  <c r="T852" i="5"/>
  <c r="T862" i="5"/>
  <c r="T872" i="5"/>
  <c r="T882" i="5"/>
  <c r="T892" i="5"/>
  <c r="T902" i="5"/>
  <c r="T912" i="5"/>
  <c r="T922" i="5"/>
  <c r="T932" i="5"/>
  <c r="T942" i="5"/>
  <c r="T952" i="5"/>
  <c r="T962" i="5"/>
  <c r="T972" i="5"/>
  <c r="T982" i="5"/>
  <c r="T992" i="5"/>
  <c r="T1002" i="5"/>
  <c r="T1012" i="5"/>
  <c r="T1022" i="5"/>
  <c r="T1032" i="5"/>
  <c r="T1042" i="5"/>
  <c r="T1052" i="5"/>
  <c r="T1062" i="5"/>
  <c r="T1072" i="5"/>
  <c r="T1082" i="5"/>
  <c r="T1092" i="5"/>
  <c r="T1102" i="5"/>
  <c r="T1112" i="5"/>
  <c r="T1122" i="5"/>
  <c r="T1132" i="5"/>
  <c r="T1142" i="5"/>
  <c r="T1152" i="5"/>
  <c r="T1192" i="5"/>
  <c r="T1220" i="5"/>
  <c r="T1233" i="5"/>
  <c r="T1248" i="5"/>
  <c r="T1262" i="5"/>
  <c r="T1291" i="5"/>
  <c r="T1320" i="5"/>
  <c r="T1333" i="5"/>
  <c r="T1348" i="5"/>
  <c r="T1362" i="5"/>
  <c r="T1391" i="5"/>
  <c r="T1420" i="5"/>
  <c r="T1465" i="5"/>
  <c r="T1481" i="5"/>
  <c r="T1542" i="5"/>
  <c r="T1625" i="5"/>
  <c r="T1643" i="5"/>
  <c r="T1740" i="5"/>
  <c r="T1761" i="5"/>
  <c r="T1783" i="5"/>
  <c r="T1735" i="5"/>
  <c r="T1745" i="5"/>
  <c r="T1755" i="5"/>
  <c r="T1765" i="5"/>
  <c r="T1775" i="5"/>
  <c r="T1785" i="5"/>
  <c r="T1795" i="5"/>
  <c r="T1805" i="5"/>
  <c r="T1815" i="5"/>
  <c r="T1825" i="5"/>
  <c r="T1835" i="5"/>
  <c r="T1845" i="5"/>
  <c r="T1855" i="5"/>
  <c r="T1865" i="5"/>
  <c r="T1875" i="5"/>
  <c r="T1885" i="5"/>
  <c r="T1895" i="5"/>
  <c r="T1905" i="5"/>
  <c r="T1915" i="5"/>
  <c r="T1925" i="5"/>
  <c r="T1935" i="5"/>
  <c r="T1945" i="5"/>
  <c r="T1955" i="5"/>
  <c r="T1965" i="5"/>
  <c r="T1975" i="5"/>
  <c r="T1985" i="5"/>
  <c r="T1995" i="5"/>
  <c r="T1156" i="5"/>
  <c r="T1166" i="5"/>
  <c r="T1176" i="5"/>
  <c r="T1186" i="5"/>
  <c r="T1196" i="5"/>
  <c r="T1206" i="5"/>
  <c r="T1216" i="5"/>
  <c r="T1226" i="5"/>
  <c r="T1236" i="5"/>
  <c r="T1246" i="5"/>
  <c r="T1256" i="5"/>
  <c r="T1266" i="5"/>
  <c r="T1276" i="5"/>
  <c r="T1286" i="5"/>
  <c r="T1296" i="5"/>
  <c r="T1306" i="5"/>
  <c r="T1316" i="5"/>
  <c r="T1326" i="5"/>
  <c r="T1336" i="5"/>
  <c r="T1346" i="5"/>
  <c r="T1356" i="5"/>
  <c r="T1366" i="5"/>
  <c r="T1376" i="5"/>
  <c r="T1386" i="5"/>
  <c r="T1396" i="5"/>
  <c r="T1406" i="5"/>
  <c r="T1416" i="5"/>
  <c r="T1426" i="5"/>
  <c r="T1436" i="5"/>
  <c r="T1446" i="5"/>
  <c r="T1456" i="5"/>
  <c r="T1466" i="5"/>
  <c r="T1476" i="5"/>
  <c r="T1486" i="5"/>
  <c r="T1496" i="5"/>
  <c r="T1506" i="5"/>
  <c r="T1516" i="5"/>
  <c r="T1526" i="5"/>
  <c r="T1536" i="5"/>
  <c r="T1546" i="5"/>
  <c r="T1556" i="5"/>
  <c r="T1566" i="5"/>
  <c r="T1576" i="5"/>
  <c r="T1586" i="5"/>
  <c r="T1596" i="5"/>
  <c r="T1606" i="5"/>
  <c r="T1616" i="5"/>
  <c r="T1626" i="5"/>
  <c r="T1636" i="5"/>
  <c r="T1646" i="5"/>
  <c r="T1656" i="5"/>
  <c r="T1666" i="5"/>
  <c r="T1676" i="5"/>
  <c r="T1686" i="5"/>
  <c r="T1696" i="5"/>
  <c r="T1706" i="5"/>
  <c r="T1716" i="5"/>
  <c r="T1726" i="5"/>
  <c r="T1736" i="5"/>
  <c r="T1746" i="5"/>
  <c r="T1756" i="5"/>
  <c r="T1766" i="5"/>
  <c r="T1776" i="5"/>
  <c r="T1786" i="5"/>
  <c r="T1796" i="5"/>
  <c r="T1806" i="5"/>
  <c r="T1816" i="5"/>
  <c r="T1826" i="5"/>
  <c r="T1836" i="5"/>
  <c r="T1846" i="5"/>
  <c r="T1856" i="5"/>
  <c r="T1866" i="5"/>
  <c r="T1876" i="5"/>
  <c r="T1886" i="5"/>
  <c r="T1896" i="5"/>
  <c r="T1906" i="5"/>
  <c r="T1916" i="5"/>
  <c r="T1926" i="5"/>
  <c r="T1936" i="5"/>
  <c r="T1946" i="5"/>
  <c r="T1956" i="5"/>
  <c r="T1966" i="5"/>
  <c r="T1976" i="5"/>
  <c r="T1986" i="5"/>
  <c r="T1996" i="5"/>
  <c r="T1157" i="5"/>
  <c r="T1167" i="5"/>
  <c r="T1177" i="5"/>
  <c r="T1187" i="5"/>
  <c r="T1197" i="5"/>
  <c r="T1207" i="5"/>
  <c r="T1217" i="5"/>
  <c r="T1227" i="5"/>
  <c r="T1237" i="5"/>
  <c r="T1247" i="5"/>
  <c r="T1257" i="5"/>
  <c r="T1267" i="5"/>
  <c r="T1277" i="5"/>
  <c r="T1287" i="5"/>
  <c r="T1297" i="5"/>
  <c r="T1307" i="5"/>
  <c r="T1317" i="5"/>
  <c r="T1327" i="5"/>
  <c r="T1337" i="5"/>
  <c r="T1347" i="5"/>
  <c r="T1357" i="5"/>
  <c r="T1367" i="5"/>
  <c r="T1377" i="5"/>
  <c r="T1387" i="5"/>
  <c r="T1397" i="5"/>
  <c r="T1407" i="5"/>
  <c r="T1417" i="5"/>
  <c r="T1427" i="5"/>
  <c r="T1437" i="5"/>
  <c r="T1447" i="5"/>
  <c r="T1457" i="5"/>
  <c r="T1467" i="5"/>
  <c r="T1477" i="5"/>
  <c r="T1487" i="5"/>
  <c r="T1497" i="5"/>
  <c r="T1507" i="5"/>
  <c r="T1517" i="5"/>
  <c r="T1527" i="5"/>
  <c r="T1537" i="5"/>
  <c r="T1547" i="5"/>
  <c r="T1557" i="5"/>
  <c r="T1567" i="5"/>
  <c r="T1577" i="5"/>
  <c r="T1587" i="5"/>
  <c r="T1597" i="5"/>
  <c r="T1607" i="5"/>
  <c r="T1617" i="5"/>
  <c r="T1627" i="5"/>
  <c r="T1637" i="5"/>
  <c r="T1647" i="5"/>
  <c r="T1657" i="5"/>
  <c r="T1667" i="5"/>
  <c r="T1677" i="5"/>
  <c r="T1687" i="5"/>
  <c r="T1697" i="5"/>
  <c r="T1707" i="5"/>
  <c r="T1717" i="5"/>
  <c r="T1727" i="5"/>
  <c r="T1737" i="5"/>
  <c r="T1747" i="5"/>
  <c r="T1757" i="5"/>
  <c r="T1767" i="5"/>
  <c r="T1777" i="5"/>
  <c r="T1787" i="5"/>
  <c r="T1797" i="5"/>
  <c r="T1807" i="5"/>
  <c r="T1817" i="5"/>
  <c r="T1827" i="5"/>
  <c r="T1837" i="5"/>
  <c r="T1847" i="5"/>
  <c r="T1857" i="5"/>
  <c r="T1867" i="5"/>
  <c r="T1877" i="5"/>
  <c r="T1887" i="5"/>
  <c r="T1897" i="5"/>
  <c r="T1907" i="5"/>
  <c r="T1917" i="5"/>
  <c r="T1927" i="5"/>
  <c r="T1937" i="5"/>
  <c r="T1947" i="5"/>
  <c r="T1957" i="5"/>
  <c r="T1967" i="5"/>
  <c r="T1977" i="5"/>
  <c r="T1987" i="5"/>
  <c r="T1997" i="5"/>
  <c r="T1558" i="5"/>
  <c r="T1568" i="5"/>
  <c r="T1578" i="5"/>
  <c r="T1588" i="5"/>
  <c r="T1598" i="5"/>
  <c r="T1608" i="5"/>
  <c r="T1618" i="5"/>
  <c r="T1628" i="5"/>
  <c r="T1638" i="5"/>
  <c r="T1648" i="5"/>
  <c r="T1658" i="5"/>
  <c r="T1668" i="5"/>
  <c r="T1678" i="5"/>
  <c r="T1688" i="5"/>
  <c r="T1698" i="5"/>
  <c r="T1708" i="5"/>
  <c r="T1718" i="5"/>
  <c r="T1728" i="5"/>
  <c r="T1738" i="5"/>
  <c r="T1748" i="5"/>
  <c r="T1758" i="5"/>
  <c r="T1768" i="5"/>
  <c r="T1778" i="5"/>
  <c r="T1788" i="5"/>
  <c r="T1798" i="5"/>
  <c r="T1808" i="5"/>
  <c r="T1818" i="5"/>
  <c r="T1828" i="5"/>
  <c r="T1838" i="5"/>
  <c r="T1848" i="5"/>
  <c r="T1858" i="5"/>
  <c r="T1868" i="5"/>
  <c r="T1878" i="5"/>
  <c r="T1888" i="5"/>
  <c r="T1898" i="5"/>
  <c r="T1908" i="5"/>
  <c r="T1918" i="5"/>
  <c r="T1928" i="5"/>
  <c r="T1938" i="5"/>
  <c r="T1948" i="5"/>
  <c r="T1958" i="5"/>
  <c r="T1968" i="5"/>
  <c r="T1978" i="5"/>
  <c r="T1988" i="5"/>
  <c r="T1998" i="5"/>
  <c r="T1159" i="5"/>
  <c r="T1169" i="5"/>
  <c r="T1179" i="5"/>
  <c r="T1189" i="5"/>
  <c r="T1199" i="5"/>
  <c r="T1209" i="5"/>
  <c r="T1219" i="5"/>
  <c r="T1229" i="5"/>
  <c r="T1239" i="5"/>
  <c r="T1249" i="5"/>
  <c r="T1259" i="5"/>
  <c r="T1269" i="5"/>
  <c r="T1279" i="5"/>
  <c r="T1289" i="5"/>
  <c r="T1299" i="5"/>
  <c r="T1309" i="5"/>
  <c r="T1319" i="5"/>
  <c r="T1329" i="5"/>
  <c r="T1339" i="5"/>
  <c r="T1349" i="5"/>
  <c r="T1359" i="5"/>
  <c r="T1369" i="5"/>
  <c r="T1379" i="5"/>
  <c r="T1389" i="5"/>
  <c r="T1399" i="5"/>
  <c r="T1409" i="5"/>
  <c r="T1419" i="5"/>
  <c r="T1429" i="5"/>
  <c r="T1439" i="5"/>
  <c r="T1449" i="5"/>
  <c r="T1459" i="5"/>
  <c r="T1469" i="5"/>
  <c r="T1479" i="5"/>
  <c r="T1489" i="5"/>
  <c r="T1499" i="5"/>
  <c r="T1509" i="5"/>
  <c r="T1519" i="5"/>
  <c r="T1529" i="5"/>
  <c r="T1539" i="5"/>
  <c r="T1549" i="5"/>
  <c r="T1559" i="5"/>
  <c r="T1569" i="5"/>
  <c r="T1579" i="5"/>
  <c r="T1589" i="5"/>
  <c r="T1599" i="5"/>
  <c r="T1609" i="5"/>
  <c r="T1619" i="5"/>
  <c r="T1629" i="5"/>
  <c r="T1639" i="5"/>
  <c r="T1649" i="5"/>
  <c r="T1659" i="5"/>
  <c r="T1669" i="5"/>
  <c r="T1679" i="5"/>
  <c r="T1689" i="5"/>
  <c r="T1699" i="5"/>
  <c r="T1709" i="5"/>
  <c r="T1719" i="5"/>
  <c r="T1729" i="5"/>
  <c r="T1739" i="5"/>
  <c r="T1749" i="5"/>
  <c r="T1759" i="5"/>
  <c r="T1769" i="5"/>
  <c r="T1779" i="5"/>
  <c r="T1789" i="5"/>
  <c r="T1799" i="5"/>
  <c r="T1809" i="5"/>
  <c r="T1819" i="5"/>
  <c r="T1829" i="5"/>
  <c r="T1839" i="5"/>
  <c r="T1849" i="5"/>
  <c r="T1859" i="5"/>
  <c r="T1869" i="5"/>
  <c r="T1879" i="5"/>
  <c r="T1889" i="5"/>
  <c r="T1899" i="5"/>
  <c r="T1909" i="5"/>
  <c r="T1919" i="5"/>
  <c r="T1929" i="5"/>
  <c r="T1939" i="5"/>
  <c r="T1949" i="5"/>
  <c r="T1959" i="5"/>
  <c r="T1969" i="5"/>
  <c r="T1979" i="5"/>
  <c r="T1989" i="5"/>
  <c r="T1999" i="5"/>
  <c r="T2000" i="5"/>
  <c r="T1841" i="5"/>
  <c r="T1851" i="5"/>
  <c r="T1861" i="5"/>
  <c r="T1871" i="5"/>
  <c r="T1881" i="5"/>
  <c r="T1891" i="5"/>
  <c r="T1901" i="5"/>
  <c r="T1911" i="5"/>
  <c r="T1921" i="5"/>
  <c r="T1931" i="5"/>
  <c r="T1941" i="5"/>
  <c r="T1951" i="5"/>
  <c r="T1961" i="5"/>
  <c r="T1971" i="5"/>
  <c r="T1981" i="5"/>
  <c r="T1991" i="5"/>
  <c r="T2001" i="5"/>
  <c r="T1622" i="5"/>
  <c r="T1632" i="5"/>
  <c r="T1642" i="5"/>
  <c r="T1652" i="5"/>
  <c r="T1662" i="5"/>
  <c r="T1672" i="5"/>
  <c r="T1682" i="5"/>
  <c r="T1692" i="5"/>
  <c r="T1702" i="5"/>
  <c r="T1712" i="5"/>
  <c r="T1722" i="5"/>
  <c r="T1732" i="5"/>
  <c r="T1742" i="5"/>
  <c r="T1752" i="5"/>
  <c r="T1762" i="5"/>
  <c r="T1772" i="5"/>
  <c r="T1782" i="5"/>
  <c r="T1792" i="5"/>
  <c r="T1802" i="5"/>
  <c r="T1812" i="5"/>
  <c r="T1822" i="5"/>
  <c r="T1832" i="5"/>
  <c r="T1842" i="5"/>
  <c r="T1852" i="5"/>
  <c r="T1862" i="5"/>
  <c r="T1872" i="5"/>
  <c r="T1882" i="5"/>
  <c r="T1892" i="5"/>
  <c r="T1902" i="5"/>
  <c r="T1912" i="5"/>
  <c r="T1922" i="5"/>
  <c r="T1932" i="5"/>
  <c r="T1942" i="5"/>
  <c r="T1952" i="5"/>
  <c r="T1962" i="5"/>
  <c r="T1972" i="5"/>
  <c r="T1982" i="5"/>
  <c r="T1992" i="5"/>
  <c r="T2002" i="5"/>
  <c r="T1424" i="5"/>
  <c r="T1434" i="5"/>
  <c r="T1444" i="5"/>
  <c r="T1454" i="5"/>
  <c r="T1464" i="5"/>
  <c r="T1474" i="5"/>
  <c r="T1484" i="5"/>
  <c r="T1494" i="5"/>
  <c r="T1504" i="5"/>
  <c r="T1514" i="5"/>
  <c r="T1524" i="5"/>
  <c r="T1534" i="5"/>
  <c r="T1544" i="5"/>
  <c r="T1554" i="5"/>
  <c r="T1564" i="5"/>
  <c r="T1574" i="5"/>
  <c r="T1584" i="5"/>
  <c r="T1594" i="5"/>
  <c r="T1604" i="5"/>
  <c r="T1614" i="5"/>
  <c r="T1624" i="5"/>
  <c r="T1634" i="5"/>
  <c r="T1644" i="5"/>
  <c r="T1654" i="5"/>
  <c r="T1664" i="5"/>
  <c r="T1674" i="5"/>
  <c r="T1684" i="5"/>
  <c r="T1694" i="5"/>
  <c r="T1704" i="5"/>
  <c r="T1714" i="5"/>
  <c r="T1724" i="5"/>
  <c r="T1734" i="5"/>
  <c r="T1744" i="5"/>
  <c r="T1754" i="5"/>
  <c r="T1764" i="5"/>
  <c r="T1774" i="5"/>
  <c r="T1784" i="5"/>
  <c r="T1794" i="5"/>
  <c r="T1804" i="5"/>
  <c r="T1814" i="5"/>
  <c r="T1824" i="5"/>
  <c r="T1834" i="5"/>
  <c r="T1844" i="5"/>
  <c r="T1854" i="5"/>
  <c r="T1864" i="5"/>
  <c r="T1874" i="5"/>
  <c r="T1884" i="5"/>
  <c r="T1894" i="5"/>
  <c r="T1904" i="5"/>
  <c r="T1914" i="5"/>
  <c r="T1924" i="5"/>
  <c r="T1934" i="5"/>
  <c r="T1944" i="5"/>
  <c r="T1954" i="5"/>
  <c r="T1964" i="5"/>
  <c r="T1974" i="5"/>
  <c r="T1984" i="5"/>
  <c r="T1994" i="5"/>
  <c r="T2004" i="5"/>
  <c r="U894" i="5"/>
  <c r="U117" i="5"/>
  <c r="U156" i="5"/>
  <c r="U169" i="5"/>
  <c r="U196" i="5"/>
  <c r="U209" i="5"/>
  <c r="U236" i="5"/>
  <c r="U264" i="5"/>
  <c r="U278" i="5"/>
  <c r="U364" i="5"/>
  <c r="U378" i="5"/>
  <c r="U464" i="5"/>
  <c r="U478" i="5"/>
  <c r="U564" i="5"/>
  <c r="U578" i="5"/>
  <c r="U650" i="5"/>
  <c r="U670" i="5"/>
  <c r="U728" i="5"/>
  <c r="U748" i="5"/>
  <c r="U769" i="5"/>
  <c r="U789" i="5"/>
  <c r="U810" i="5"/>
  <c r="U870" i="5"/>
  <c r="U918" i="5"/>
  <c r="U971" i="5"/>
  <c r="U996" i="5"/>
  <c r="U1021" i="5"/>
  <c r="U1074" i="5"/>
  <c r="U1104" i="5"/>
  <c r="U1132" i="5"/>
  <c r="U1170" i="5"/>
  <c r="U1291" i="5"/>
  <c r="U522" i="5"/>
  <c r="U224" i="5"/>
  <c r="U690" i="5"/>
  <c r="U1134" i="5"/>
  <c r="U107" i="5"/>
  <c r="U172" i="5"/>
  <c r="U212" i="5"/>
  <c r="U324" i="5"/>
  <c r="U338" i="5"/>
  <c r="U424" i="5"/>
  <c r="U438" i="5"/>
  <c r="U524" i="5"/>
  <c r="U538" i="5"/>
  <c r="U582" i="5"/>
  <c r="U598" i="5"/>
  <c r="U636" i="5"/>
  <c r="U673" i="5"/>
  <c r="U753" i="5"/>
  <c r="U772" i="5"/>
  <c r="U792" i="5"/>
  <c r="U813" i="5"/>
  <c r="U833" i="5"/>
  <c r="U854" i="5"/>
  <c r="U874" i="5"/>
  <c r="U898" i="5"/>
  <c r="U922" i="5"/>
  <c r="U948" i="5"/>
  <c r="U974" i="5"/>
  <c r="U1052" i="5"/>
  <c r="U1082" i="5"/>
  <c r="U1109" i="5"/>
  <c r="U1177" i="5"/>
  <c r="U1240" i="5"/>
  <c r="U394" i="5"/>
  <c r="U108" i="5"/>
  <c r="U121" i="5"/>
  <c r="U133" i="5"/>
  <c r="U146" i="5"/>
  <c r="U159" i="5"/>
  <c r="U186" i="5"/>
  <c r="U199" i="5"/>
  <c r="U226" i="5"/>
  <c r="U239" i="5"/>
  <c r="U267" i="5"/>
  <c r="U282" i="5"/>
  <c r="U296" i="5"/>
  <c r="U311" i="5"/>
  <c r="U367" i="5"/>
  <c r="U382" i="5"/>
  <c r="U396" i="5"/>
  <c r="U411" i="5"/>
  <c r="U467" i="5"/>
  <c r="U482" i="5"/>
  <c r="U496" i="5"/>
  <c r="U511" i="5"/>
  <c r="U567" i="5"/>
  <c r="U618" i="5"/>
  <c r="U654" i="5"/>
  <c r="U674" i="5"/>
  <c r="U692" i="5"/>
  <c r="U712" i="5"/>
  <c r="U732" i="5"/>
  <c r="U773" i="5"/>
  <c r="U793" i="5"/>
  <c r="U814" i="5"/>
  <c r="U856" i="5"/>
  <c r="U876" i="5"/>
  <c r="U899" i="5"/>
  <c r="U949" i="5"/>
  <c r="U1001" i="5"/>
  <c r="U1028" i="5"/>
  <c r="U1138" i="5"/>
  <c r="U1244" i="5"/>
  <c r="U1310" i="5"/>
  <c r="U1400" i="5"/>
  <c r="U1686" i="5"/>
  <c r="U251" i="5"/>
  <c r="U322" i="5"/>
  <c r="U351" i="5"/>
  <c r="U407" i="5"/>
  <c r="U451" i="5"/>
  <c r="U536" i="5"/>
  <c r="U596" i="5"/>
  <c r="U632" i="5"/>
  <c r="U671" i="5"/>
  <c r="U729" i="5"/>
  <c r="U830" i="5"/>
  <c r="U892" i="5"/>
  <c r="U944" i="5"/>
  <c r="U1294" i="5"/>
  <c r="U352" i="5"/>
  <c r="U1390" i="5"/>
  <c r="U96" i="5"/>
  <c r="U254" i="5"/>
  <c r="U268" i="5"/>
  <c r="U354" i="5"/>
  <c r="U368" i="5"/>
  <c r="U454" i="5"/>
  <c r="U468" i="5"/>
  <c r="U554" i="5"/>
  <c r="U568" i="5"/>
  <c r="U583" i="5"/>
  <c r="U599" i="5"/>
  <c r="U676" i="5"/>
  <c r="U713" i="5"/>
  <c r="U733" i="5"/>
  <c r="U754" i="5"/>
  <c r="U774" i="5"/>
  <c r="U816" i="5"/>
  <c r="U836" i="5"/>
  <c r="U926" i="5"/>
  <c r="U952" i="5"/>
  <c r="U1002" i="5"/>
  <c r="U1029" i="5"/>
  <c r="U1054" i="5"/>
  <c r="U1084" i="5"/>
  <c r="U1112" i="5"/>
  <c r="U1142" i="5"/>
  <c r="U1184" i="5"/>
  <c r="U1246" i="5"/>
  <c r="U1316" i="5"/>
  <c r="U1536" i="5"/>
  <c r="U708" i="5"/>
  <c r="U106" i="5"/>
  <c r="U197" i="5"/>
  <c r="U294" i="5"/>
  <c r="U508" i="5"/>
  <c r="U710" i="5"/>
  <c r="U972" i="5"/>
  <c r="U132" i="5"/>
  <c r="U252" i="5"/>
  <c r="U366" i="5"/>
  <c r="U537" i="5"/>
  <c r="U730" i="5"/>
  <c r="U1236" i="5"/>
  <c r="U109" i="5"/>
  <c r="U122" i="5"/>
  <c r="U134" i="5"/>
  <c r="U147" i="5"/>
  <c r="U161" i="5"/>
  <c r="U174" i="5"/>
  <c r="U187" i="5"/>
  <c r="U201" i="5"/>
  <c r="U214" i="5"/>
  <c r="U227" i="5"/>
  <c r="U241" i="5"/>
  <c r="U297" i="5"/>
  <c r="U312" i="5"/>
  <c r="U326" i="5"/>
  <c r="U341" i="5"/>
  <c r="U397" i="5"/>
  <c r="U412" i="5"/>
  <c r="U426" i="5"/>
  <c r="U441" i="5"/>
  <c r="U497" i="5"/>
  <c r="U512" i="5"/>
  <c r="U526" i="5"/>
  <c r="U541" i="5"/>
  <c r="U584" i="5"/>
  <c r="U619" i="5"/>
  <c r="U638" i="5"/>
  <c r="U658" i="5"/>
  <c r="U694" i="5"/>
  <c r="U714" i="5"/>
  <c r="U756" i="5"/>
  <c r="U776" i="5"/>
  <c r="U858" i="5"/>
  <c r="U901" i="5"/>
  <c r="U978" i="5"/>
  <c r="U1031" i="5"/>
  <c r="U1056" i="5"/>
  <c r="U1086" i="5"/>
  <c r="U1186" i="5"/>
  <c r="U1247" i="5"/>
  <c r="U1320" i="5"/>
  <c r="U1407" i="5"/>
  <c r="U1544" i="5"/>
  <c r="U1710" i="5"/>
  <c r="U237" i="5"/>
  <c r="U1175" i="5"/>
  <c r="U119" i="5"/>
  <c r="U266" i="5"/>
  <c r="U614" i="5"/>
  <c r="U1108" i="5"/>
  <c r="U97" i="5"/>
  <c r="U148" i="5"/>
  <c r="U188" i="5"/>
  <c r="U228" i="5"/>
  <c r="U284" i="5"/>
  <c r="U298" i="5"/>
  <c r="U384" i="5"/>
  <c r="U398" i="5"/>
  <c r="U484" i="5"/>
  <c r="U498" i="5"/>
  <c r="U601" i="5"/>
  <c r="U716" i="5"/>
  <c r="U736" i="5"/>
  <c r="U798" i="5"/>
  <c r="U818" i="5"/>
  <c r="U839" i="5"/>
  <c r="U879" i="5"/>
  <c r="U954" i="5"/>
  <c r="U1114" i="5"/>
  <c r="U1144" i="5"/>
  <c r="U1191" i="5"/>
  <c r="U1257" i="5"/>
  <c r="U770" i="5"/>
  <c r="U634" i="5"/>
  <c r="U1136" i="5"/>
  <c r="U98" i="5"/>
  <c r="U111" i="5"/>
  <c r="U123" i="5"/>
  <c r="U162" i="5"/>
  <c r="U202" i="5"/>
  <c r="U242" i="5"/>
  <c r="U256" i="5"/>
  <c r="U271" i="5"/>
  <c r="U327" i="5"/>
  <c r="U342" i="5"/>
  <c r="U356" i="5"/>
  <c r="U371" i="5"/>
  <c r="U427" i="5"/>
  <c r="U442" i="5"/>
  <c r="U456" i="5"/>
  <c r="U471" i="5"/>
  <c r="U527" i="5"/>
  <c r="U542" i="5"/>
  <c r="U556" i="5"/>
  <c r="U571" i="5"/>
  <c r="U585" i="5"/>
  <c r="U621" i="5"/>
  <c r="U639" i="5"/>
  <c r="U659" i="5"/>
  <c r="U678" i="5"/>
  <c r="U698" i="5"/>
  <c r="U758" i="5"/>
  <c r="U859" i="5"/>
  <c r="U928" i="5"/>
  <c r="U956" i="5"/>
  <c r="U981" i="5"/>
  <c r="U1008" i="5"/>
  <c r="U1032" i="5"/>
  <c r="U1058" i="5"/>
  <c r="U1088" i="5"/>
  <c r="U1116" i="5"/>
  <c r="U1146" i="5"/>
  <c r="U1417" i="5"/>
  <c r="U1556" i="5"/>
  <c r="U1734" i="5"/>
  <c r="U131" i="5"/>
  <c r="U307" i="5"/>
  <c r="U336" i="5"/>
  <c r="U436" i="5"/>
  <c r="U507" i="5"/>
  <c r="U551" i="5"/>
  <c r="U612" i="5"/>
  <c r="U651" i="5"/>
  <c r="U689" i="5"/>
  <c r="U811" i="5"/>
  <c r="U850" i="5"/>
  <c r="U919" i="5"/>
  <c r="U1381" i="5"/>
  <c r="U157" i="5"/>
  <c r="U1305" i="5"/>
  <c r="U136" i="5"/>
  <c r="U149" i="5"/>
  <c r="U176" i="5"/>
  <c r="U189" i="5"/>
  <c r="U216" i="5"/>
  <c r="U229" i="5"/>
  <c r="U314" i="5"/>
  <c r="U328" i="5"/>
  <c r="U414" i="5"/>
  <c r="U428" i="5"/>
  <c r="U514" i="5"/>
  <c r="U528" i="5"/>
  <c r="U604" i="5"/>
  <c r="U640" i="5"/>
  <c r="U718" i="5"/>
  <c r="U739" i="5"/>
  <c r="U799" i="5"/>
  <c r="U819" i="5"/>
  <c r="U840" i="5"/>
  <c r="U860" i="5"/>
  <c r="U882" i="5"/>
  <c r="U904" i="5"/>
  <c r="U1009" i="5"/>
  <c r="U1034" i="5"/>
  <c r="U1062" i="5"/>
  <c r="U1089" i="5"/>
  <c r="U1194" i="5"/>
  <c r="U1327" i="5"/>
  <c r="U1564" i="5"/>
  <c r="U1076" i="5"/>
  <c r="U211" i="5"/>
  <c r="U494" i="5"/>
  <c r="U872" i="5"/>
  <c r="U946" i="5"/>
  <c r="U466" i="5"/>
  <c r="U552" i="5"/>
  <c r="U597" i="5"/>
  <c r="U691" i="5"/>
  <c r="U750" i="5"/>
  <c r="U812" i="5"/>
  <c r="U832" i="5"/>
  <c r="U999" i="5"/>
  <c r="U99" i="5"/>
  <c r="U112" i="5"/>
  <c r="U124" i="5"/>
  <c r="U257" i="5"/>
  <c r="U272" i="5"/>
  <c r="U286" i="5"/>
  <c r="U301" i="5"/>
  <c r="U357" i="5"/>
  <c r="U372" i="5"/>
  <c r="U386" i="5"/>
  <c r="U401" i="5"/>
  <c r="U457" i="5"/>
  <c r="U472" i="5"/>
  <c r="U486" i="5"/>
  <c r="U501" i="5"/>
  <c r="U557" i="5"/>
  <c r="U572" i="5"/>
  <c r="U587" i="5"/>
  <c r="U605" i="5"/>
  <c r="U622" i="5"/>
  <c r="U641" i="5"/>
  <c r="U661" i="5"/>
  <c r="U679" i="5"/>
  <c r="U699" i="5"/>
  <c r="U759" i="5"/>
  <c r="U779" i="5"/>
  <c r="U800" i="5"/>
  <c r="U841" i="5"/>
  <c r="U861" i="5"/>
  <c r="U883" i="5"/>
  <c r="U906" i="5"/>
  <c r="U931" i="5"/>
  <c r="U958" i="5"/>
  <c r="U982" i="5"/>
  <c r="U1036" i="5"/>
  <c r="U1118" i="5"/>
  <c r="U1148" i="5"/>
  <c r="U1196" i="5"/>
  <c r="U1265" i="5"/>
  <c r="U1335" i="5"/>
  <c r="U1049" i="5"/>
  <c r="U144" i="5"/>
  <c r="U308" i="5"/>
  <c r="U633" i="5"/>
  <c r="U790" i="5"/>
  <c r="U437" i="5"/>
  <c r="U672" i="5"/>
  <c r="U1078" i="5"/>
  <c r="U137" i="5"/>
  <c r="U151" i="5"/>
  <c r="U164" i="5"/>
  <c r="U177" i="5"/>
  <c r="U191" i="5"/>
  <c r="U204" i="5"/>
  <c r="U217" i="5"/>
  <c r="U231" i="5"/>
  <c r="U244" i="5"/>
  <c r="U258" i="5"/>
  <c r="U344" i="5"/>
  <c r="U358" i="5"/>
  <c r="U444" i="5"/>
  <c r="U458" i="5"/>
  <c r="U544" i="5"/>
  <c r="U558" i="5"/>
  <c r="U606" i="5"/>
  <c r="U680" i="5"/>
  <c r="U719" i="5"/>
  <c r="U740" i="5"/>
  <c r="U760" i="5"/>
  <c r="U801" i="5"/>
  <c r="U821" i="5"/>
  <c r="U934" i="5"/>
  <c r="U959" i="5"/>
  <c r="U984" i="5"/>
  <c r="U1011" i="5"/>
  <c r="U1064" i="5"/>
  <c r="U1092" i="5"/>
  <c r="U1122" i="5"/>
  <c r="U1149" i="5"/>
  <c r="U1436" i="5"/>
  <c r="U1576" i="5"/>
  <c r="U1026" i="5"/>
  <c r="U1176" i="5"/>
  <c r="U101" i="5"/>
  <c r="U113" i="5"/>
  <c r="U138" i="5"/>
  <c r="U178" i="5"/>
  <c r="U218" i="5"/>
  <c r="U287" i="5"/>
  <c r="U302" i="5"/>
  <c r="U316" i="5"/>
  <c r="U331" i="5"/>
  <c r="U387" i="5"/>
  <c r="U402" i="5"/>
  <c r="U416" i="5"/>
  <c r="U431" i="5"/>
  <c r="U487" i="5"/>
  <c r="U502" i="5"/>
  <c r="U516" i="5"/>
  <c r="U531" i="5"/>
  <c r="U588" i="5"/>
  <c r="U624" i="5"/>
  <c r="U644" i="5"/>
  <c r="U662" i="5"/>
  <c r="U681" i="5"/>
  <c r="U701" i="5"/>
  <c r="U741" i="5"/>
  <c r="U761" i="5"/>
  <c r="U782" i="5"/>
  <c r="U843" i="5"/>
  <c r="U862" i="5"/>
  <c r="U884" i="5"/>
  <c r="U908" i="5"/>
  <c r="U936" i="5"/>
  <c r="U986" i="5"/>
  <c r="U1012" i="5"/>
  <c r="U1066" i="5"/>
  <c r="U1337" i="5"/>
  <c r="U1444" i="5"/>
  <c r="U1106" i="5"/>
  <c r="U171" i="5"/>
  <c r="U581" i="5"/>
  <c r="U1504" i="5"/>
  <c r="U158" i="5"/>
  <c r="U238" i="5"/>
  <c r="U337" i="5"/>
  <c r="U452" i="5"/>
  <c r="U566" i="5"/>
  <c r="U652" i="5"/>
  <c r="U791" i="5"/>
  <c r="U126" i="5"/>
  <c r="U152" i="5"/>
  <c r="U192" i="5"/>
  <c r="U232" i="5"/>
  <c r="U274" i="5"/>
  <c r="U288" i="5"/>
  <c r="U374" i="5"/>
  <c r="U388" i="5"/>
  <c r="U474" i="5"/>
  <c r="U488" i="5"/>
  <c r="U574" i="5"/>
  <c r="U589" i="5"/>
  <c r="U607" i="5"/>
  <c r="U626" i="5"/>
  <c r="U646" i="5"/>
  <c r="U721" i="5"/>
  <c r="U783" i="5"/>
  <c r="U803" i="5"/>
  <c r="U824" i="5"/>
  <c r="U886" i="5"/>
  <c r="U909" i="5"/>
  <c r="U989" i="5"/>
  <c r="U1039" i="5"/>
  <c r="U1094" i="5"/>
  <c r="U1124" i="5"/>
  <c r="U1152" i="5"/>
  <c r="U1211" i="5"/>
  <c r="U1345" i="5"/>
  <c r="U1586" i="5"/>
  <c r="U1874" i="5"/>
  <c r="U184" i="5"/>
  <c r="U873" i="5"/>
  <c r="U102" i="5"/>
  <c r="U114" i="5"/>
  <c r="U139" i="5"/>
  <c r="U166" i="5"/>
  <c r="U179" i="5"/>
  <c r="U206" i="5"/>
  <c r="U219" i="5"/>
  <c r="U246" i="5"/>
  <c r="U261" i="5"/>
  <c r="U317" i="5"/>
  <c r="U332" i="5"/>
  <c r="U346" i="5"/>
  <c r="U361" i="5"/>
  <c r="U417" i="5"/>
  <c r="U432" i="5"/>
  <c r="U446" i="5"/>
  <c r="U461" i="5"/>
  <c r="U517" i="5"/>
  <c r="U532" i="5"/>
  <c r="U546" i="5"/>
  <c r="U561" i="5"/>
  <c r="U608" i="5"/>
  <c r="U664" i="5"/>
  <c r="U684" i="5"/>
  <c r="U702" i="5"/>
  <c r="U743" i="5"/>
  <c r="U762" i="5"/>
  <c r="U826" i="5"/>
  <c r="U844" i="5"/>
  <c r="U864" i="5"/>
  <c r="U962" i="5"/>
  <c r="U1014" i="5"/>
  <c r="U1068" i="5"/>
  <c r="U1096" i="5"/>
  <c r="U1126" i="5"/>
  <c r="U1154" i="5"/>
  <c r="U1214" i="5"/>
  <c r="U1456" i="5"/>
  <c r="U1597" i="5"/>
  <c r="U1174" i="5"/>
  <c r="U127" i="5"/>
  <c r="U304" i="5"/>
  <c r="U318" i="5"/>
  <c r="U404" i="5"/>
  <c r="U418" i="5"/>
  <c r="U504" i="5"/>
  <c r="U518" i="5"/>
  <c r="U592" i="5"/>
  <c r="U647" i="5"/>
  <c r="U666" i="5"/>
  <c r="U686" i="5"/>
  <c r="U724" i="5"/>
  <c r="U784" i="5"/>
  <c r="U804" i="5"/>
  <c r="U868" i="5"/>
  <c r="U888" i="5"/>
  <c r="U938" i="5"/>
  <c r="U991" i="5"/>
  <c r="U1069" i="5"/>
  <c r="U1217" i="5"/>
  <c r="U1281" i="5"/>
  <c r="U1356" i="5"/>
  <c r="U1464" i="5"/>
  <c r="U1607" i="5"/>
  <c r="U1906" i="5"/>
  <c r="U118" i="5"/>
  <c r="U422" i="5"/>
  <c r="U1230" i="5"/>
  <c r="U853" i="5"/>
  <c r="U198" i="5"/>
  <c r="U281" i="5"/>
  <c r="U381" i="5"/>
  <c r="U481" i="5"/>
  <c r="U711" i="5"/>
  <c r="U1051" i="5"/>
  <c r="U103" i="5"/>
  <c r="U128" i="5"/>
  <c r="U141" i="5"/>
  <c r="U154" i="5"/>
  <c r="U167" i="5"/>
  <c r="U181" i="5"/>
  <c r="U194" i="5"/>
  <c r="U207" i="5"/>
  <c r="U221" i="5"/>
  <c r="U234" i="5"/>
  <c r="U247" i="5"/>
  <c r="U262" i="5"/>
  <c r="U276" i="5"/>
  <c r="U291" i="5"/>
  <c r="U347" i="5"/>
  <c r="U362" i="5"/>
  <c r="U376" i="5"/>
  <c r="U391" i="5"/>
  <c r="U447" i="5"/>
  <c r="U462" i="5"/>
  <c r="U476" i="5"/>
  <c r="U491" i="5"/>
  <c r="U547" i="5"/>
  <c r="U562" i="5"/>
  <c r="U576" i="5"/>
  <c r="U593" i="5"/>
  <c r="U609" i="5"/>
  <c r="U628" i="5"/>
  <c r="U648" i="5"/>
  <c r="U704" i="5"/>
  <c r="U726" i="5"/>
  <c r="U744" i="5"/>
  <c r="U764" i="5"/>
  <c r="U806" i="5"/>
  <c r="U889" i="5"/>
  <c r="U912" i="5"/>
  <c r="U964" i="5"/>
  <c r="U1044" i="5"/>
  <c r="U1098" i="5"/>
  <c r="U1128" i="5"/>
  <c r="U1157" i="5"/>
  <c r="U408" i="5"/>
  <c r="U116" i="5"/>
  <c r="U168" i="5"/>
  <c r="U208" i="5"/>
  <c r="U248" i="5"/>
  <c r="U334" i="5"/>
  <c r="U348" i="5"/>
  <c r="U434" i="5"/>
  <c r="U448" i="5"/>
  <c r="U534" i="5"/>
  <c r="U548" i="5"/>
  <c r="U610" i="5"/>
  <c r="U630" i="5"/>
  <c r="U687" i="5"/>
  <c r="U706" i="5"/>
  <c r="U768" i="5"/>
  <c r="U828" i="5"/>
  <c r="U848" i="5"/>
  <c r="U869" i="5"/>
  <c r="U890" i="5"/>
  <c r="U941" i="5"/>
  <c r="U992" i="5"/>
  <c r="U1018" i="5"/>
  <c r="U1046" i="5"/>
  <c r="U1072" i="5"/>
  <c r="U1102" i="5"/>
  <c r="U1129" i="5"/>
  <c r="U1160" i="5"/>
  <c r="U1221" i="5"/>
  <c r="U1284" i="5"/>
  <c r="U1364" i="5"/>
  <c r="U1476" i="5"/>
  <c r="U1631" i="5"/>
  <c r="U998" i="5"/>
  <c r="U104" i="5"/>
  <c r="U129" i="5"/>
  <c r="U142" i="5"/>
  <c r="U182" i="5"/>
  <c r="U222" i="5"/>
  <c r="U277" i="5"/>
  <c r="U292" i="5"/>
  <c r="U306" i="5"/>
  <c r="U321" i="5"/>
  <c r="U377" i="5"/>
  <c r="U392" i="5"/>
  <c r="U406" i="5"/>
  <c r="U421" i="5"/>
  <c r="U477" i="5"/>
  <c r="U492" i="5"/>
  <c r="U506" i="5"/>
  <c r="U521" i="5"/>
  <c r="U577" i="5"/>
  <c r="U594" i="5"/>
  <c r="U611" i="5"/>
  <c r="U631" i="5"/>
  <c r="U649" i="5"/>
  <c r="U668" i="5"/>
  <c r="U688" i="5"/>
  <c r="U788" i="5"/>
  <c r="U808" i="5"/>
  <c r="U829" i="5"/>
  <c r="U891" i="5"/>
  <c r="U994" i="5"/>
  <c r="U1019" i="5"/>
  <c r="U1226" i="5"/>
  <c r="U1286" i="5"/>
  <c r="U1371" i="5"/>
  <c r="U1484" i="5"/>
  <c r="U1974" i="5"/>
  <c r="U600" i="5"/>
  <c r="U613" i="5"/>
  <c r="U627" i="5"/>
  <c r="U653" i="5"/>
  <c r="U667" i="5"/>
  <c r="U693" i="5"/>
  <c r="U707" i="5"/>
  <c r="U720" i="5"/>
  <c r="U734" i="5"/>
  <c r="U749" i="5"/>
  <c r="U763" i="5"/>
  <c r="U778" i="5"/>
  <c r="U820" i="5"/>
  <c r="U834" i="5"/>
  <c r="U849" i="5"/>
  <c r="U863" i="5"/>
  <c r="U878" i="5"/>
  <c r="U893" i="5"/>
  <c r="U911" i="5"/>
  <c r="U929" i="5"/>
  <c r="U966" i="5"/>
  <c r="U1038" i="5"/>
  <c r="U1158" i="5"/>
  <c r="U1200" i="5"/>
  <c r="U1245" i="5"/>
  <c r="U1496" i="5"/>
  <c r="U1757" i="5"/>
  <c r="U249" i="5"/>
  <c r="U259" i="5"/>
  <c r="U269" i="5"/>
  <c r="U279" i="5"/>
  <c r="U289" i="5"/>
  <c r="U299" i="5"/>
  <c r="U309" i="5"/>
  <c r="U319" i="5"/>
  <c r="U329" i="5"/>
  <c r="U339" i="5"/>
  <c r="U349" i="5"/>
  <c r="U359" i="5"/>
  <c r="U369" i="5"/>
  <c r="U379" i="5"/>
  <c r="U389" i="5"/>
  <c r="U399" i="5"/>
  <c r="U409" i="5"/>
  <c r="U419" i="5"/>
  <c r="U429" i="5"/>
  <c r="U439" i="5"/>
  <c r="U449" i="5"/>
  <c r="U459" i="5"/>
  <c r="U469" i="5"/>
  <c r="U479" i="5"/>
  <c r="U489" i="5"/>
  <c r="U499" i="5"/>
  <c r="U509" i="5"/>
  <c r="U519" i="5"/>
  <c r="U529" i="5"/>
  <c r="U539" i="5"/>
  <c r="U549" i="5"/>
  <c r="U559" i="5"/>
  <c r="U569" i="5"/>
  <c r="U579" i="5"/>
  <c r="U590" i="5"/>
  <c r="U602" i="5"/>
  <c r="U616" i="5"/>
  <c r="U656" i="5"/>
  <c r="U696" i="5"/>
  <c r="U722" i="5"/>
  <c r="U751" i="5"/>
  <c r="U766" i="5"/>
  <c r="U822" i="5"/>
  <c r="U851" i="5"/>
  <c r="U866" i="5"/>
  <c r="U880" i="5"/>
  <c r="U896" i="5"/>
  <c r="U968" i="5"/>
  <c r="U1004" i="5"/>
  <c r="U1022" i="5"/>
  <c r="U1041" i="5"/>
  <c r="U1059" i="5"/>
  <c r="U1079" i="5"/>
  <c r="U1099" i="5"/>
  <c r="U1119" i="5"/>
  <c r="U1139" i="5"/>
  <c r="U1207" i="5"/>
  <c r="U1620" i="5"/>
  <c r="U1784" i="5"/>
  <c r="U591" i="5"/>
  <c r="U603" i="5"/>
  <c r="U629" i="5"/>
  <c r="U642" i="5"/>
  <c r="U669" i="5"/>
  <c r="U682" i="5"/>
  <c r="U709" i="5"/>
  <c r="U723" i="5"/>
  <c r="U738" i="5"/>
  <c r="U780" i="5"/>
  <c r="U794" i="5"/>
  <c r="U809" i="5"/>
  <c r="U823" i="5"/>
  <c r="U838" i="5"/>
  <c r="U881" i="5"/>
  <c r="U914" i="5"/>
  <c r="U932" i="5"/>
  <c r="U951" i="5"/>
  <c r="U969" i="5"/>
  <c r="U1006" i="5"/>
  <c r="U1166" i="5"/>
  <c r="U1254" i="5"/>
  <c r="U1300" i="5"/>
  <c r="U1354" i="5"/>
  <c r="U1516" i="5"/>
  <c r="U1621" i="5"/>
  <c r="U100" i="5"/>
  <c r="U110" i="5"/>
  <c r="U120" i="5"/>
  <c r="U130" i="5"/>
  <c r="U140" i="5"/>
  <c r="U150" i="5"/>
  <c r="U160" i="5"/>
  <c r="U170" i="5"/>
  <c r="U180" i="5"/>
  <c r="U190" i="5"/>
  <c r="U200" i="5"/>
  <c r="U210" i="5"/>
  <c r="U220" i="5"/>
  <c r="U230" i="5"/>
  <c r="U240" i="5"/>
  <c r="U250" i="5"/>
  <c r="U260" i="5"/>
  <c r="U270" i="5"/>
  <c r="U280" i="5"/>
  <c r="U290" i="5"/>
  <c r="U300" i="5"/>
  <c r="U310" i="5"/>
  <c r="U320" i="5"/>
  <c r="U330" i="5"/>
  <c r="U340" i="5"/>
  <c r="U350" i="5"/>
  <c r="U360" i="5"/>
  <c r="U370" i="5"/>
  <c r="U380" i="5"/>
  <c r="U390" i="5"/>
  <c r="U400" i="5"/>
  <c r="U410" i="5"/>
  <c r="U420" i="5"/>
  <c r="U430" i="5"/>
  <c r="U440" i="5"/>
  <c r="U450" i="5"/>
  <c r="U460" i="5"/>
  <c r="U470" i="5"/>
  <c r="U480" i="5"/>
  <c r="U490" i="5"/>
  <c r="U500" i="5"/>
  <c r="U510" i="5"/>
  <c r="U520" i="5"/>
  <c r="U530" i="5"/>
  <c r="U540" i="5"/>
  <c r="U550" i="5"/>
  <c r="U560" i="5"/>
  <c r="U570" i="5"/>
  <c r="U580" i="5"/>
  <c r="U617" i="5"/>
  <c r="U643" i="5"/>
  <c r="U657" i="5"/>
  <c r="U683" i="5"/>
  <c r="U697" i="5"/>
  <c r="U752" i="5"/>
  <c r="U781" i="5"/>
  <c r="U796" i="5"/>
  <c r="U852" i="5"/>
  <c r="U916" i="5"/>
  <c r="U988" i="5"/>
  <c r="U1024" i="5"/>
  <c r="U1042" i="5"/>
  <c r="U1167" i="5"/>
  <c r="U1255" i="5"/>
  <c r="U1301" i="5"/>
  <c r="U1426" i="5"/>
  <c r="U1524" i="5"/>
  <c r="U1630" i="5"/>
  <c r="U1810" i="5"/>
  <c r="U143" i="5"/>
  <c r="U153" i="5"/>
  <c r="U163" i="5"/>
  <c r="U173" i="5"/>
  <c r="U183" i="5"/>
  <c r="U193" i="5"/>
  <c r="U203" i="5"/>
  <c r="U213" i="5"/>
  <c r="U223" i="5"/>
  <c r="U233" i="5"/>
  <c r="U243" i="5"/>
  <c r="U253" i="5"/>
  <c r="U263" i="5"/>
  <c r="U273" i="5"/>
  <c r="U283" i="5"/>
  <c r="U293" i="5"/>
  <c r="U303" i="5"/>
  <c r="U313" i="5"/>
  <c r="U323" i="5"/>
  <c r="U333" i="5"/>
  <c r="U343" i="5"/>
  <c r="U353" i="5"/>
  <c r="U363" i="5"/>
  <c r="U373" i="5"/>
  <c r="U383" i="5"/>
  <c r="U393" i="5"/>
  <c r="U403" i="5"/>
  <c r="U413" i="5"/>
  <c r="U423" i="5"/>
  <c r="U433" i="5"/>
  <c r="U443" i="5"/>
  <c r="U453" i="5"/>
  <c r="U463" i="5"/>
  <c r="U473" i="5"/>
  <c r="U483" i="5"/>
  <c r="U493" i="5"/>
  <c r="U503" i="5"/>
  <c r="U513" i="5"/>
  <c r="U523" i="5"/>
  <c r="U533" i="5"/>
  <c r="U543" i="5"/>
  <c r="U553" i="5"/>
  <c r="U563" i="5"/>
  <c r="U573" i="5"/>
  <c r="U595" i="5"/>
  <c r="U620" i="5"/>
  <c r="U660" i="5"/>
  <c r="U700" i="5"/>
  <c r="U742" i="5"/>
  <c r="U771" i="5"/>
  <c r="U786" i="5"/>
  <c r="U842" i="5"/>
  <c r="U871" i="5"/>
  <c r="U902" i="5"/>
  <c r="U921" i="5"/>
  <c r="U939" i="5"/>
  <c r="U976" i="5"/>
  <c r="U1048" i="5"/>
  <c r="U1180" i="5"/>
  <c r="U1317" i="5"/>
  <c r="U1374" i="5"/>
  <c r="U1664" i="5"/>
  <c r="U1907" i="5"/>
  <c r="U105" i="5"/>
  <c r="U115" i="5"/>
  <c r="U125" i="5"/>
  <c r="U135" i="5"/>
  <c r="U145" i="5"/>
  <c r="U155" i="5"/>
  <c r="U165" i="5"/>
  <c r="U175" i="5"/>
  <c r="U185" i="5"/>
  <c r="U195" i="5"/>
  <c r="U205" i="5"/>
  <c r="U215" i="5"/>
  <c r="U225" i="5"/>
  <c r="U235" i="5"/>
  <c r="U245" i="5"/>
  <c r="U255" i="5"/>
  <c r="U265" i="5"/>
  <c r="U275" i="5"/>
  <c r="U285" i="5"/>
  <c r="U295" i="5"/>
  <c r="U305" i="5"/>
  <c r="U315" i="5"/>
  <c r="U325" i="5"/>
  <c r="U335" i="5"/>
  <c r="U345" i="5"/>
  <c r="U355" i="5"/>
  <c r="U365" i="5"/>
  <c r="U375" i="5"/>
  <c r="U385" i="5"/>
  <c r="U395" i="5"/>
  <c r="U405" i="5"/>
  <c r="U415" i="5"/>
  <c r="U425" i="5"/>
  <c r="U435" i="5"/>
  <c r="U445" i="5"/>
  <c r="U455" i="5"/>
  <c r="U465" i="5"/>
  <c r="U475" i="5"/>
  <c r="U485" i="5"/>
  <c r="U495" i="5"/>
  <c r="U505" i="5"/>
  <c r="U515" i="5"/>
  <c r="U525" i="5"/>
  <c r="U535" i="5"/>
  <c r="U545" i="5"/>
  <c r="U555" i="5"/>
  <c r="U565" i="5"/>
  <c r="U575" i="5"/>
  <c r="U586" i="5"/>
  <c r="U623" i="5"/>
  <c r="U637" i="5"/>
  <c r="U663" i="5"/>
  <c r="U677" i="5"/>
  <c r="U703" i="5"/>
  <c r="U731" i="5"/>
  <c r="U746" i="5"/>
  <c r="U802" i="5"/>
  <c r="U831" i="5"/>
  <c r="U846" i="5"/>
  <c r="U924" i="5"/>
  <c r="U942" i="5"/>
  <c r="U961" i="5"/>
  <c r="U979" i="5"/>
  <c r="U1016" i="5"/>
  <c r="U1326" i="5"/>
  <c r="U1687" i="5"/>
  <c r="U1061" i="5"/>
  <c r="U1071" i="5"/>
  <c r="U1081" i="5"/>
  <c r="U1091" i="5"/>
  <c r="U1101" i="5"/>
  <c r="U1111" i="5"/>
  <c r="U1121" i="5"/>
  <c r="U1131" i="5"/>
  <c r="U1141" i="5"/>
  <c r="U1151" i="5"/>
  <c r="U1216" i="5"/>
  <c r="U1235" i="5"/>
  <c r="U1271" i="5"/>
  <c r="U1290" i="5"/>
  <c r="U1307" i="5"/>
  <c r="U1344" i="5"/>
  <c r="U1416" i="5"/>
  <c r="U1435" i="5"/>
  <c r="U1454" i="5"/>
  <c r="U1474" i="5"/>
  <c r="U1494" i="5"/>
  <c r="U1514" i="5"/>
  <c r="U1534" i="5"/>
  <c r="U1554" i="5"/>
  <c r="U1574" i="5"/>
  <c r="U1596" i="5"/>
  <c r="U1641" i="5"/>
  <c r="U1707" i="5"/>
  <c r="U1731" i="5"/>
  <c r="U1756" i="5"/>
  <c r="U1781" i="5"/>
  <c r="U1807" i="5"/>
  <c r="U1837" i="5"/>
  <c r="U1937" i="5"/>
  <c r="U1168" i="5"/>
  <c r="U1185" i="5"/>
  <c r="U1201" i="5"/>
  <c r="U1220" i="5"/>
  <c r="U1237" i="5"/>
  <c r="U1274" i="5"/>
  <c r="U1346" i="5"/>
  <c r="U1365" i="5"/>
  <c r="U1401" i="5"/>
  <c r="U1420" i="5"/>
  <c r="U1437" i="5"/>
  <c r="U1457" i="5"/>
  <c r="U1477" i="5"/>
  <c r="U1497" i="5"/>
  <c r="U1517" i="5"/>
  <c r="U1537" i="5"/>
  <c r="U1557" i="5"/>
  <c r="U1577" i="5"/>
  <c r="U1600" i="5"/>
  <c r="U1644" i="5"/>
  <c r="U1666" i="5"/>
  <c r="U1711" i="5"/>
  <c r="U1760" i="5"/>
  <c r="U1844" i="5"/>
  <c r="U1876" i="5"/>
  <c r="U1944" i="5"/>
  <c r="U1976" i="5"/>
  <c r="U903" i="5"/>
  <c r="U913" i="5"/>
  <c r="U923" i="5"/>
  <c r="U933" i="5"/>
  <c r="U943" i="5"/>
  <c r="U953" i="5"/>
  <c r="U963" i="5"/>
  <c r="U973" i="5"/>
  <c r="U983" i="5"/>
  <c r="U993" i="5"/>
  <c r="U1003" i="5"/>
  <c r="U1013" i="5"/>
  <c r="U1023" i="5"/>
  <c r="U1033" i="5"/>
  <c r="U1043" i="5"/>
  <c r="U1053" i="5"/>
  <c r="U1063" i="5"/>
  <c r="U1073" i="5"/>
  <c r="U1083" i="5"/>
  <c r="U1093" i="5"/>
  <c r="U1103" i="5"/>
  <c r="U1113" i="5"/>
  <c r="U1123" i="5"/>
  <c r="U1133" i="5"/>
  <c r="U1143" i="5"/>
  <c r="U1256" i="5"/>
  <c r="U1275" i="5"/>
  <c r="U1311" i="5"/>
  <c r="U1330" i="5"/>
  <c r="U1347" i="5"/>
  <c r="U1384" i="5"/>
  <c r="U1601" i="5"/>
  <c r="U1667" i="5"/>
  <c r="U1690" i="5"/>
  <c r="U1736" i="5"/>
  <c r="U1761" i="5"/>
  <c r="U1786" i="5"/>
  <c r="U1814" i="5"/>
  <c r="U1877" i="5"/>
  <c r="U1977" i="5"/>
  <c r="U1366" i="5"/>
  <c r="U1385" i="5"/>
  <c r="U1421" i="5"/>
  <c r="U1440" i="5"/>
  <c r="U1460" i="5"/>
  <c r="U1480" i="5"/>
  <c r="U1500" i="5"/>
  <c r="U1520" i="5"/>
  <c r="U1540" i="5"/>
  <c r="U1560" i="5"/>
  <c r="U1580" i="5"/>
  <c r="U1624" i="5"/>
  <c r="U1646" i="5"/>
  <c r="U1691" i="5"/>
  <c r="U1737" i="5"/>
  <c r="U1787" i="5"/>
  <c r="U1846" i="5"/>
  <c r="U1914" i="5"/>
  <c r="U1946" i="5"/>
  <c r="U1187" i="5"/>
  <c r="U1204" i="5"/>
  <c r="U1276" i="5"/>
  <c r="U1295" i="5"/>
  <c r="U1331" i="5"/>
  <c r="U1350" i="5"/>
  <c r="U1367" i="5"/>
  <c r="U1404" i="5"/>
  <c r="U1581" i="5"/>
  <c r="U1647" i="5"/>
  <c r="U1670" i="5"/>
  <c r="U1714" i="5"/>
  <c r="U1764" i="5"/>
  <c r="U1816" i="5"/>
  <c r="U1847" i="5"/>
  <c r="U1947" i="5"/>
  <c r="U1155" i="5"/>
  <c r="U1171" i="5"/>
  <c r="U1188" i="5"/>
  <c r="U1205" i="5"/>
  <c r="U1241" i="5"/>
  <c r="U1260" i="5"/>
  <c r="U1277" i="5"/>
  <c r="U1314" i="5"/>
  <c r="U1386" i="5"/>
  <c r="U1405" i="5"/>
  <c r="U1441" i="5"/>
  <c r="U1461" i="5"/>
  <c r="U1481" i="5"/>
  <c r="U1501" i="5"/>
  <c r="U1521" i="5"/>
  <c r="U1541" i="5"/>
  <c r="U1561" i="5"/>
  <c r="U1604" i="5"/>
  <c r="U1626" i="5"/>
  <c r="U1671" i="5"/>
  <c r="U1740" i="5"/>
  <c r="U1790" i="5"/>
  <c r="U1817" i="5"/>
  <c r="U1884" i="5"/>
  <c r="U1916" i="5"/>
  <c r="U1984" i="5"/>
  <c r="U615" i="5"/>
  <c r="U625" i="5"/>
  <c r="U635" i="5"/>
  <c r="U645" i="5"/>
  <c r="U655" i="5"/>
  <c r="U665" i="5"/>
  <c r="U675" i="5"/>
  <c r="U685" i="5"/>
  <c r="U695" i="5"/>
  <c r="U705" i="5"/>
  <c r="U715" i="5"/>
  <c r="U725" i="5"/>
  <c r="U735" i="5"/>
  <c r="U745" i="5"/>
  <c r="U755" i="5"/>
  <c r="U765" i="5"/>
  <c r="U775" i="5"/>
  <c r="U785" i="5"/>
  <c r="U795" i="5"/>
  <c r="U805" i="5"/>
  <c r="U815" i="5"/>
  <c r="U825" i="5"/>
  <c r="U835" i="5"/>
  <c r="U845" i="5"/>
  <c r="U855" i="5"/>
  <c r="U865" i="5"/>
  <c r="U875" i="5"/>
  <c r="U885" i="5"/>
  <c r="U895" i="5"/>
  <c r="U905" i="5"/>
  <c r="U915" i="5"/>
  <c r="U925" i="5"/>
  <c r="U935" i="5"/>
  <c r="U945" i="5"/>
  <c r="U955" i="5"/>
  <c r="U965" i="5"/>
  <c r="U975" i="5"/>
  <c r="U985" i="5"/>
  <c r="U995" i="5"/>
  <c r="U1005" i="5"/>
  <c r="U1015" i="5"/>
  <c r="U1025" i="5"/>
  <c r="U1035" i="5"/>
  <c r="U1045" i="5"/>
  <c r="U1055" i="5"/>
  <c r="U1065" i="5"/>
  <c r="U1075" i="5"/>
  <c r="U1085" i="5"/>
  <c r="U1095" i="5"/>
  <c r="U1105" i="5"/>
  <c r="U1115" i="5"/>
  <c r="U1125" i="5"/>
  <c r="U1135" i="5"/>
  <c r="U1145" i="5"/>
  <c r="U1224" i="5"/>
  <c r="U1296" i="5"/>
  <c r="U1315" i="5"/>
  <c r="U1351" i="5"/>
  <c r="U1370" i="5"/>
  <c r="U1387" i="5"/>
  <c r="U1424" i="5"/>
  <c r="U1627" i="5"/>
  <c r="U1650" i="5"/>
  <c r="U1694" i="5"/>
  <c r="U1716" i="5"/>
  <c r="U1741" i="5"/>
  <c r="U1766" i="5"/>
  <c r="U1791" i="5"/>
  <c r="U1917" i="5"/>
  <c r="U1156" i="5"/>
  <c r="U1190" i="5"/>
  <c r="U1206" i="5"/>
  <c r="U1225" i="5"/>
  <c r="U1261" i="5"/>
  <c r="U1280" i="5"/>
  <c r="U1297" i="5"/>
  <c r="U1334" i="5"/>
  <c r="U1406" i="5"/>
  <c r="U1425" i="5"/>
  <c r="U1584" i="5"/>
  <c r="U1606" i="5"/>
  <c r="U1651" i="5"/>
  <c r="U1717" i="5"/>
  <c r="U1767" i="5"/>
  <c r="U1820" i="5"/>
  <c r="U1854" i="5"/>
  <c r="U1886" i="5"/>
  <c r="U1954" i="5"/>
  <c r="U1986" i="5"/>
  <c r="U1674" i="5"/>
  <c r="U1696" i="5"/>
  <c r="U1744" i="5"/>
  <c r="U1794" i="5"/>
  <c r="U1887" i="5"/>
  <c r="U1987" i="5"/>
  <c r="U1697" i="5"/>
  <c r="U1720" i="5"/>
  <c r="U1770" i="5"/>
  <c r="U1824" i="5"/>
  <c r="U1856" i="5"/>
  <c r="U1924" i="5"/>
  <c r="U1956" i="5"/>
  <c r="U717" i="5"/>
  <c r="U727" i="5"/>
  <c r="U737" i="5"/>
  <c r="U747" i="5"/>
  <c r="U757" i="5"/>
  <c r="U767" i="5"/>
  <c r="U777" i="5"/>
  <c r="U787" i="5"/>
  <c r="U797" i="5"/>
  <c r="U807" i="5"/>
  <c r="U817" i="5"/>
  <c r="U827" i="5"/>
  <c r="U837" i="5"/>
  <c r="U847" i="5"/>
  <c r="U857" i="5"/>
  <c r="U867" i="5"/>
  <c r="U877" i="5"/>
  <c r="U887" i="5"/>
  <c r="U897" i="5"/>
  <c r="U907" i="5"/>
  <c r="U917" i="5"/>
  <c r="U927" i="5"/>
  <c r="U937" i="5"/>
  <c r="U947" i="5"/>
  <c r="U957" i="5"/>
  <c r="U967" i="5"/>
  <c r="U977" i="5"/>
  <c r="U987" i="5"/>
  <c r="U997" i="5"/>
  <c r="U1007" i="5"/>
  <c r="U1017" i="5"/>
  <c r="U1027" i="5"/>
  <c r="U1037" i="5"/>
  <c r="U1047" i="5"/>
  <c r="U1057" i="5"/>
  <c r="U1067" i="5"/>
  <c r="U1077" i="5"/>
  <c r="U1087" i="5"/>
  <c r="U1097" i="5"/>
  <c r="U1107" i="5"/>
  <c r="U1117" i="5"/>
  <c r="U1127" i="5"/>
  <c r="U1137" i="5"/>
  <c r="U1147" i="5"/>
  <c r="U1210" i="5"/>
  <c r="U1227" i="5"/>
  <c r="U1264" i="5"/>
  <c r="U1336" i="5"/>
  <c r="U1355" i="5"/>
  <c r="U1391" i="5"/>
  <c r="U1410" i="5"/>
  <c r="U1427" i="5"/>
  <c r="U1446" i="5"/>
  <c r="U1466" i="5"/>
  <c r="U1486" i="5"/>
  <c r="U1506" i="5"/>
  <c r="U1526" i="5"/>
  <c r="U1546" i="5"/>
  <c r="U1566" i="5"/>
  <c r="U1587" i="5"/>
  <c r="U1610" i="5"/>
  <c r="U1654" i="5"/>
  <c r="U1676" i="5"/>
  <c r="U1721" i="5"/>
  <c r="U1746" i="5"/>
  <c r="U1771" i="5"/>
  <c r="U1796" i="5"/>
  <c r="U1857" i="5"/>
  <c r="U1957" i="5"/>
  <c r="U1447" i="5"/>
  <c r="U1467" i="5"/>
  <c r="U1487" i="5"/>
  <c r="U1507" i="5"/>
  <c r="U1527" i="5"/>
  <c r="U1547" i="5"/>
  <c r="U1567" i="5"/>
  <c r="U1611" i="5"/>
  <c r="U1677" i="5"/>
  <c r="U1700" i="5"/>
  <c r="U1747" i="5"/>
  <c r="U1797" i="5"/>
  <c r="U1826" i="5"/>
  <c r="U1894" i="5"/>
  <c r="U1926" i="5"/>
  <c r="U1994" i="5"/>
  <c r="U1375" i="5"/>
  <c r="U1411" i="5"/>
  <c r="U1430" i="5"/>
  <c r="U1590" i="5"/>
  <c r="U1634" i="5"/>
  <c r="U1656" i="5"/>
  <c r="U1701" i="5"/>
  <c r="U1724" i="5"/>
  <c r="U1774" i="5"/>
  <c r="U1827" i="5"/>
  <c r="U1927" i="5"/>
  <c r="U1161" i="5"/>
  <c r="U1178" i="5"/>
  <c r="U1195" i="5"/>
  <c r="U1266" i="5"/>
  <c r="U1285" i="5"/>
  <c r="U1321" i="5"/>
  <c r="U1340" i="5"/>
  <c r="U1357" i="5"/>
  <c r="U1394" i="5"/>
  <c r="U1450" i="5"/>
  <c r="U1470" i="5"/>
  <c r="U1490" i="5"/>
  <c r="U1510" i="5"/>
  <c r="U1530" i="5"/>
  <c r="U1550" i="5"/>
  <c r="U1570" i="5"/>
  <c r="U1591" i="5"/>
  <c r="U1657" i="5"/>
  <c r="U1680" i="5"/>
  <c r="U1750" i="5"/>
  <c r="U1800" i="5"/>
  <c r="U1864" i="5"/>
  <c r="U1896" i="5"/>
  <c r="U1964" i="5"/>
  <c r="U1996" i="5"/>
  <c r="U1231" i="5"/>
  <c r="U1250" i="5"/>
  <c r="U1267" i="5"/>
  <c r="U1304" i="5"/>
  <c r="U1376" i="5"/>
  <c r="U1395" i="5"/>
  <c r="U1431" i="5"/>
  <c r="U1614" i="5"/>
  <c r="U1636" i="5"/>
  <c r="U1681" i="5"/>
  <c r="U1726" i="5"/>
  <c r="U1751" i="5"/>
  <c r="U1776" i="5"/>
  <c r="U1897" i="5"/>
  <c r="U1997" i="5"/>
  <c r="U1341" i="5"/>
  <c r="U1360" i="5"/>
  <c r="U1377" i="5"/>
  <c r="U1414" i="5"/>
  <c r="U1451" i="5"/>
  <c r="U1471" i="5"/>
  <c r="U1491" i="5"/>
  <c r="U1511" i="5"/>
  <c r="U1531" i="5"/>
  <c r="U1551" i="5"/>
  <c r="U1571" i="5"/>
  <c r="U1637" i="5"/>
  <c r="U1660" i="5"/>
  <c r="U1704" i="5"/>
  <c r="U1727" i="5"/>
  <c r="U1777" i="5"/>
  <c r="U1804" i="5"/>
  <c r="U1834" i="5"/>
  <c r="U1866" i="5"/>
  <c r="U1934" i="5"/>
  <c r="U1966" i="5"/>
  <c r="U900" i="5"/>
  <c r="U910" i="5"/>
  <c r="U920" i="5"/>
  <c r="U930" i="5"/>
  <c r="U940" i="5"/>
  <c r="U950" i="5"/>
  <c r="U960" i="5"/>
  <c r="U970" i="5"/>
  <c r="U980" i="5"/>
  <c r="U990" i="5"/>
  <c r="U1000" i="5"/>
  <c r="U1010" i="5"/>
  <c r="U1020" i="5"/>
  <c r="U1030" i="5"/>
  <c r="U1040" i="5"/>
  <c r="U1050" i="5"/>
  <c r="U1060" i="5"/>
  <c r="U1070" i="5"/>
  <c r="U1080" i="5"/>
  <c r="U1090" i="5"/>
  <c r="U1100" i="5"/>
  <c r="U1110" i="5"/>
  <c r="U1120" i="5"/>
  <c r="U1130" i="5"/>
  <c r="U1140" i="5"/>
  <c r="U1150" i="5"/>
  <c r="U1164" i="5"/>
  <c r="U1197" i="5"/>
  <c r="U1215" i="5"/>
  <c r="U1251" i="5"/>
  <c r="U1270" i="5"/>
  <c r="U1287" i="5"/>
  <c r="U1324" i="5"/>
  <c r="U1396" i="5"/>
  <c r="U1415" i="5"/>
  <c r="U1594" i="5"/>
  <c r="U1616" i="5"/>
  <c r="U1661" i="5"/>
  <c r="U1754" i="5"/>
  <c r="U1867" i="5"/>
  <c r="U1967" i="5"/>
  <c r="U1165" i="5"/>
  <c r="U1181" i="5"/>
  <c r="U1198" i="5"/>
  <c r="U1234" i="5"/>
  <c r="U1306" i="5"/>
  <c r="U1325" i="5"/>
  <c r="U1361" i="5"/>
  <c r="U1380" i="5"/>
  <c r="U1397" i="5"/>
  <c r="U1434" i="5"/>
  <c r="U1617" i="5"/>
  <c r="U1640" i="5"/>
  <c r="U1684" i="5"/>
  <c r="U1706" i="5"/>
  <c r="U1730" i="5"/>
  <c r="U1780" i="5"/>
  <c r="U1806" i="5"/>
  <c r="U1836" i="5"/>
  <c r="U1904" i="5"/>
  <c r="U1936" i="5"/>
  <c r="U2004" i="5"/>
  <c r="U1445" i="5"/>
  <c r="U1455" i="5"/>
  <c r="U1465" i="5"/>
  <c r="U1475" i="5"/>
  <c r="U1485" i="5"/>
  <c r="U1495" i="5"/>
  <c r="U1505" i="5"/>
  <c r="U1515" i="5"/>
  <c r="U1525" i="5"/>
  <c r="U1535" i="5"/>
  <c r="U1545" i="5"/>
  <c r="U1555" i="5"/>
  <c r="U1565" i="5"/>
  <c r="U1575" i="5"/>
  <c r="U1585" i="5"/>
  <c r="U1595" i="5"/>
  <c r="U1605" i="5"/>
  <c r="U1615" i="5"/>
  <c r="U1625" i="5"/>
  <c r="U1635" i="5"/>
  <c r="U1645" i="5"/>
  <c r="U1655" i="5"/>
  <c r="U1665" i="5"/>
  <c r="U1675" i="5"/>
  <c r="U1685" i="5"/>
  <c r="U1695" i="5"/>
  <c r="U1705" i="5"/>
  <c r="U1715" i="5"/>
  <c r="U1725" i="5"/>
  <c r="U1735" i="5"/>
  <c r="U1745" i="5"/>
  <c r="U1755" i="5"/>
  <c r="U1765" i="5"/>
  <c r="U1775" i="5"/>
  <c r="U1785" i="5"/>
  <c r="U1795" i="5"/>
  <c r="U1805" i="5"/>
  <c r="U1815" i="5"/>
  <c r="U1825" i="5"/>
  <c r="U1835" i="5"/>
  <c r="U1845" i="5"/>
  <c r="U1855" i="5"/>
  <c r="U1865" i="5"/>
  <c r="U1875" i="5"/>
  <c r="U1885" i="5"/>
  <c r="U1895" i="5"/>
  <c r="U1905" i="5"/>
  <c r="U1915" i="5"/>
  <c r="U1925" i="5"/>
  <c r="U1935" i="5"/>
  <c r="U1945" i="5"/>
  <c r="U1955" i="5"/>
  <c r="U1965" i="5"/>
  <c r="U1975" i="5"/>
  <c r="U1985" i="5"/>
  <c r="U1995" i="5"/>
  <c r="U1208" i="5"/>
  <c r="U1218" i="5"/>
  <c r="U1228" i="5"/>
  <c r="U1238" i="5"/>
  <c r="U1248" i="5"/>
  <c r="U1258" i="5"/>
  <c r="U1268" i="5"/>
  <c r="U1278" i="5"/>
  <c r="U1288" i="5"/>
  <c r="U1298" i="5"/>
  <c r="U1308" i="5"/>
  <c r="U1318" i="5"/>
  <c r="U1328" i="5"/>
  <c r="U1338" i="5"/>
  <c r="U1348" i="5"/>
  <c r="U1358" i="5"/>
  <c r="U1368" i="5"/>
  <c r="U1378" i="5"/>
  <c r="U1388" i="5"/>
  <c r="U1398" i="5"/>
  <c r="U1408" i="5"/>
  <c r="U1418" i="5"/>
  <c r="U1428" i="5"/>
  <c r="U1438" i="5"/>
  <c r="U1448" i="5"/>
  <c r="U1458" i="5"/>
  <c r="U1468" i="5"/>
  <c r="U1478" i="5"/>
  <c r="U1488" i="5"/>
  <c r="U1498" i="5"/>
  <c r="U1508" i="5"/>
  <c r="U1518" i="5"/>
  <c r="U1528" i="5"/>
  <c r="U1538" i="5"/>
  <c r="U1548" i="5"/>
  <c r="U1558" i="5"/>
  <c r="U1568" i="5"/>
  <c r="U1578" i="5"/>
  <c r="U1588" i="5"/>
  <c r="U1598" i="5"/>
  <c r="U1608" i="5"/>
  <c r="U1618" i="5"/>
  <c r="U1628" i="5"/>
  <c r="U1638" i="5"/>
  <c r="U1648" i="5"/>
  <c r="U1658" i="5"/>
  <c r="U1668" i="5"/>
  <c r="U1678" i="5"/>
  <c r="U1688" i="5"/>
  <c r="U1698" i="5"/>
  <c r="U1708" i="5"/>
  <c r="U1718" i="5"/>
  <c r="U1728" i="5"/>
  <c r="U1738" i="5"/>
  <c r="U1748" i="5"/>
  <c r="U1758" i="5"/>
  <c r="U1768" i="5"/>
  <c r="U1778" i="5"/>
  <c r="U1788" i="5"/>
  <c r="U1798" i="5"/>
  <c r="U1808" i="5"/>
  <c r="U1818" i="5"/>
  <c r="U1828" i="5"/>
  <c r="U1838" i="5"/>
  <c r="U1848" i="5"/>
  <c r="U1858" i="5"/>
  <c r="U1868" i="5"/>
  <c r="U1878" i="5"/>
  <c r="U1888" i="5"/>
  <c r="U1898" i="5"/>
  <c r="U1908" i="5"/>
  <c r="U1918" i="5"/>
  <c r="U1928" i="5"/>
  <c r="U1938" i="5"/>
  <c r="U1948" i="5"/>
  <c r="U1958" i="5"/>
  <c r="U1968" i="5"/>
  <c r="U1978" i="5"/>
  <c r="U1988" i="5"/>
  <c r="U1998" i="5"/>
  <c r="U1159" i="5"/>
  <c r="U1169" i="5"/>
  <c r="U1179" i="5"/>
  <c r="U1189" i="5"/>
  <c r="U1199" i="5"/>
  <c r="U1209" i="5"/>
  <c r="U1219" i="5"/>
  <c r="U1229" i="5"/>
  <c r="U1239" i="5"/>
  <c r="U1249" i="5"/>
  <c r="U1259" i="5"/>
  <c r="U1269" i="5"/>
  <c r="U1279" i="5"/>
  <c r="U1289" i="5"/>
  <c r="U1299" i="5"/>
  <c r="U1309" i="5"/>
  <c r="U1319" i="5"/>
  <c r="U1329" i="5"/>
  <c r="U1339" i="5"/>
  <c r="U1349" i="5"/>
  <c r="U1359" i="5"/>
  <c r="U1369" i="5"/>
  <c r="U1379" i="5"/>
  <c r="U1389" i="5"/>
  <c r="U1399" i="5"/>
  <c r="U1409" i="5"/>
  <c r="U1419" i="5"/>
  <c r="U1429" i="5"/>
  <c r="U1439" i="5"/>
  <c r="U1449" i="5"/>
  <c r="U1459" i="5"/>
  <c r="U1469" i="5"/>
  <c r="U1479" i="5"/>
  <c r="U1489" i="5"/>
  <c r="U1499" i="5"/>
  <c r="U1509" i="5"/>
  <c r="U1519" i="5"/>
  <c r="U1529" i="5"/>
  <c r="U1539" i="5"/>
  <c r="U1549" i="5"/>
  <c r="U1559" i="5"/>
  <c r="U1569" i="5"/>
  <c r="U1579" i="5"/>
  <c r="U1589" i="5"/>
  <c r="U1599" i="5"/>
  <c r="U1609" i="5"/>
  <c r="U1619" i="5"/>
  <c r="U1629" i="5"/>
  <c r="U1639" i="5"/>
  <c r="U1649" i="5"/>
  <c r="U1659" i="5"/>
  <c r="U1669" i="5"/>
  <c r="U1679" i="5"/>
  <c r="U1689" i="5"/>
  <c r="U1699" i="5"/>
  <c r="U1709" i="5"/>
  <c r="U1719" i="5"/>
  <c r="U1729" i="5"/>
  <c r="U1739" i="5"/>
  <c r="U1749" i="5"/>
  <c r="U1759" i="5"/>
  <c r="U1769" i="5"/>
  <c r="U1779" i="5"/>
  <c r="U1789" i="5"/>
  <c r="U1799" i="5"/>
  <c r="U1809" i="5"/>
  <c r="U1819" i="5"/>
  <c r="U1829" i="5"/>
  <c r="U1839" i="5"/>
  <c r="U1849" i="5"/>
  <c r="U1859" i="5"/>
  <c r="U1869" i="5"/>
  <c r="U1879" i="5"/>
  <c r="U1889" i="5"/>
  <c r="U1899" i="5"/>
  <c r="U1909" i="5"/>
  <c r="U1919" i="5"/>
  <c r="U1929" i="5"/>
  <c r="U1939" i="5"/>
  <c r="U1949" i="5"/>
  <c r="U1959" i="5"/>
  <c r="U1969" i="5"/>
  <c r="U1979" i="5"/>
  <c r="U1989" i="5"/>
  <c r="U1999" i="5"/>
  <c r="U1830" i="5"/>
  <c r="U1840" i="5"/>
  <c r="U1850" i="5"/>
  <c r="U1860" i="5"/>
  <c r="U1870" i="5"/>
  <c r="U1880" i="5"/>
  <c r="U1890" i="5"/>
  <c r="U1900" i="5"/>
  <c r="U1910" i="5"/>
  <c r="U1920" i="5"/>
  <c r="U1930" i="5"/>
  <c r="U1940" i="5"/>
  <c r="U1950" i="5"/>
  <c r="U1960" i="5"/>
  <c r="U1970" i="5"/>
  <c r="U1980" i="5"/>
  <c r="U1990" i="5"/>
  <c r="U2000" i="5"/>
  <c r="U1801" i="5"/>
  <c r="U1811" i="5"/>
  <c r="U1821" i="5"/>
  <c r="U1831" i="5"/>
  <c r="U1841" i="5"/>
  <c r="U1851" i="5"/>
  <c r="U1861" i="5"/>
  <c r="U1871" i="5"/>
  <c r="U1881" i="5"/>
  <c r="U1891" i="5"/>
  <c r="U1901" i="5"/>
  <c r="U1911" i="5"/>
  <c r="U1921" i="5"/>
  <c r="U1931" i="5"/>
  <c r="U1941" i="5"/>
  <c r="U1951" i="5"/>
  <c r="U1961" i="5"/>
  <c r="U1971" i="5"/>
  <c r="U1981" i="5"/>
  <c r="U1991" i="5"/>
  <c r="U2001" i="5"/>
  <c r="U1162" i="5"/>
  <c r="U1172" i="5"/>
  <c r="U1182" i="5"/>
  <c r="U1192" i="5"/>
  <c r="U1202" i="5"/>
  <c r="U1212" i="5"/>
  <c r="U1222" i="5"/>
  <c r="U1232" i="5"/>
  <c r="U1242" i="5"/>
  <c r="U1252" i="5"/>
  <c r="U1262" i="5"/>
  <c r="U1272" i="5"/>
  <c r="U1282" i="5"/>
  <c r="U1292" i="5"/>
  <c r="U1302" i="5"/>
  <c r="U1312" i="5"/>
  <c r="U1322" i="5"/>
  <c r="U1332" i="5"/>
  <c r="U1342" i="5"/>
  <c r="U1352" i="5"/>
  <c r="U1362" i="5"/>
  <c r="U1372" i="5"/>
  <c r="U1382" i="5"/>
  <c r="U1392" i="5"/>
  <c r="U1402" i="5"/>
  <c r="U1412" i="5"/>
  <c r="U1422" i="5"/>
  <c r="U1432" i="5"/>
  <c r="U1442" i="5"/>
  <c r="U1452" i="5"/>
  <c r="U1462" i="5"/>
  <c r="U1472" i="5"/>
  <c r="U1482" i="5"/>
  <c r="U1492" i="5"/>
  <c r="U1502" i="5"/>
  <c r="U1512" i="5"/>
  <c r="U1522" i="5"/>
  <c r="U1532" i="5"/>
  <c r="U1542" i="5"/>
  <c r="U1552" i="5"/>
  <c r="U1562" i="5"/>
  <c r="U1572" i="5"/>
  <c r="U1582" i="5"/>
  <c r="U1592" i="5"/>
  <c r="U1602" i="5"/>
  <c r="U1612" i="5"/>
  <c r="U1622" i="5"/>
  <c r="U1632" i="5"/>
  <c r="U1642" i="5"/>
  <c r="U1652" i="5"/>
  <c r="U1662" i="5"/>
  <c r="U1672" i="5"/>
  <c r="U1682" i="5"/>
  <c r="U1692" i="5"/>
  <c r="U1702" i="5"/>
  <c r="U1712" i="5"/>
  <c r="U1722" i="5"/>
  <c r="U1732" i="5"/>
  <c r="U1742" i="5"/>
  <c r="U1752" i="5"/>
  <c r="U1762" i="5"/>
  <c r="U1772" i="5"/>
  <c r="U1782" i="5"/>
  <c r="U1792" i="5"/>
  <c r="U1802" i="5"/>
  <c r="U1812" i="5"/>
  <c r="U1822" i="5"/>
  <c r="U1832" i="5"/>
  <c r="U1842" i="5"/>
  <c r="U1852" i="5"/>
  <c r="U1862" i="5"/>
  <c r="U1872" i="5"/>
  <c r="U1882" i="5"/>
  <c r="U1892" i="5"/>
  <c r="U1902" i="5"/>
  <c r="U1912" i="5"/>
  <c r="U1922" i="5"/>
  <c r="U1932" i="5"/>
  <c r="U1942" i="5"/>
  <c r="U1952" i="5"/>
  <c r="U1962" i="5"/>
  <c r="U1972" i="5"/>
  <c r="U1982" i="5"/>
  <c r="U1992" i="5"/>
  <c r="U2002" i="5"/>
  <c r="U1153" i="5"/>
  <c r="U1163" i="5"/>
  <c r="U1173" i="5"/>
  <c r="U1183" i="5"/>
  <c r="U1193" i="5"/>
  <c r="U1203" i="5"/>
  <c r="U1213" i="5"/>
  <c r="U1223" i="5"/>
  <c r="U1233" i="5"/>
  <c r="U1243" i="5"/>
  <c r="U1253" i="5"/>
  <c r="U1263" i="5"/>
  <c r="U1273" i="5"/>
  <c r="U1283" i="5"/>
  <c r="U1293" i="5"/>
  <c r="U1303" i="5"/>
  <c r="U1313" i="5"/>
  <c r="U1323" i="5"/>
  <c r="U1333" i="5"/>
  <c r="U1343" i="5"/>
  <c r="U1353" i="5"/>
  <c r="U1363" i="5"/>
  <c r="U1373" i="5"/>
  <c r="U1383" i="5"/>
  <c r="U1393" i="5"/>
  <c r="U1403" i="5"/>
  <c r="U1413" i="5"/>
  <c r="U1423" i="5"/>
  <c r="U1433" i="5"/>
  <c r="U1443" i="5"/>
  <c r="U1453" i="5"/>
  <c r="U1463" i="5"/>
  <c r="U1473" i="5"/>
  <c r="U1483" i="5"/>
  <c r="U1493" i="5"/>
  <c r="U1503" i="5"/>
  <c r="U1513" i="5"/>
  <c r="U1523" i="5"/>
  <c r="U1533" i="5"/>
  <c r="U1543" i="5"/>
  <c r="U1553" i="5"/>
  <c r="U1563" i="5"/>
  <c r="U1573" i="5"/>
  <c r="U1583" i="5"/>
  <c r="U1593" i="5"/>
  <c r="U1603" i="5"/>
  <c r="U1613" i="5"/>
  <c r="U1623" i="5"/>
  <c r="U1633" i="5"/>
  <c r="U1643" i="5"/>
  <c r="U1653" i="5"/>
  <c r="U1663" i="5"/>
  <c r="U1673" i="5"/>
  <c r="U1683" i="5"/>
  <c r="U1693" i="5"/>
  <c r="U1703" i="5"/>
  <c r="U1713" i="5"/>
  <c r="U1723" i="5"/>
  <c r="U1733" i="5"/>
  <c r="U1743" i="5"/>
  <c r="U1753" i="5"/>
  <c r="U1763" i="5"/>
  <c r="U1773" i="5"/>
  <c r="U1783" i="5"/>
  <c r="U1793" i="5"/>
  <c r="U1803" i="5"/>
  <c r="U1813" i="5"/>
  <c r="U1823" i="5"/>
  <c r="U1833" i="5"/>
  <c r="U1843" i="5"/>
  <c r="U1853" i="5"/>
  <c r="U1863" i="5"/>
  <c r="U1873" i="5"/>
  <c r="U1883" i="5"/>
  <c r="U1893" i="5"/>
  <c r="U1903" i="5"/>
  <c r="U1913" i="5"/>
  <c r="U1923" i="5"/>
  <c r="U1933" i="5"/>
  <c r="U1943" i="5"/>
  <c r="U1953" i="5"/>
  <c r="U1963" i="5"/>
  <c r="U1973" i="5"/>
  <c r="U1983" i="5"/>
  <c r="U1993" i="5"/>
  <c r="U2003" i="5"/>
  <c r="V278" i="5"/>
  <c r="V532" i="5"/>
  <c r="V1147" i="5"/>
  <c r="V194" i="5"/>
  <c r="V145" i="5"/>
  <c r="V429" i="5"/>
  <c r="V836" i="5"/>
  <c r="V104" i="5"/>
  <c r="V114" i="5"/>
  <c r="V124" i="5"/>
  <c r="V134" i="5"/>
  <c r="V146" i="5"/>
  <c r="V163" i="5"/>
  <c r="V195" i="5"/>
  <c r="V213" i="5"/>
  <c r="V245" i="5"/>
  <c r="V263" i="5"/>
  <c r="V295" i="5"/>
  <c r="V313" i="5"/>
  <c r="V345" i="5"/>
  <c r="V363" i="5"/>
  <c r="V395" i="5"/>
  <c r="V413" i="5"/>
  <c r="V445" i="5"/>
  <c r="V463" i="5"/>
  <c r="V515" i="5"/>
  <c r="V534" i="5"/>
  <c r="V553" i="5"/>
  <c r="V573" i="5"/>
  <c r="V593" i="5"/>
  <c r="V617" i="5"/>
  <c r="V708" i="5"/>
  <c r="V750" i="5"/>
  <c r="V793" i="5"/>
  <c r="V837" i="5"/>
  <c r="V887" i="5"/>
  <c r="V1016" i="5"/>
  <c r="V1108" i="5"/>
  <c r="V1150" i="5"/>
  <c r="V1220" i="5"/>
  <c r="V1476" i="5"/>
  <c r="V1770" i="5"/>
  <c r="V927" i="5"/>
  <c r="V179" i="5"/>
  <c r="V229" i="5"/>
  <c r="V279" i="5"/>
  <c r="V329" i="5"/>
  <c r="V379" i="5"/>
  <c r="V479" i="5"/>
  <c r="V498" i="5"/>
  <c r="V533" i="5"/>
  <c r="V616" i="5"/>
  <c r="V657" i="5"/>
  <c r="V707" i="5"/>
  <c r="V1595" i="5"/>
  <c r="V148" i="5"/>
  <c r="V198" i="5"/>
  <c r="V248" i="5"/>
  <c r="V298" i="5"/>
  <c r="V348" i="5"/>
  <c r="V398" i="5"/>
  <c r="V448" i="5"/>
  <c r="V499" i="5"/>
  <c r="V518" i="5"/>
  <c r="V554" i="5"/>
  <c r="V574" i="5"/>
  <c r="V594" i="5"/>
  <c r="V667" i="5"/>
  <c r="V796" i="5"/>
  <c r="V888" i="5"/>
  <c r="V930" i="5"/>
  <c r="V973" i="5"/>
  <c r="V1017" i="5"/>
  <c r="V1067" i="5"/>
  <c r="V1228" i="5"/>
  <c r="V1340" i="5"/>
  <c r="V1477" i="5"/>
  <c r="V1596" i="5"/>
  <c r="V178" i="5"/>
  <c r="V328" i="5"/>
  <c r="V697" i="5"/>
  <c r="V113" i="5"/>
  <c r="V212" i="5"/>
  <c r="V294" i="5"/>
  <c r="V412" i="5"/>
  <c r="V552" i="5"/>
  <c r="V748" i="5"/>
  <c r="V1440" i="5"/>
  <c r="V1455" i="5"/>
  <c r="V105" i="5"/>
  <c r="V214" i="5"/>
  <c r="V332" i="5"/>
  <c r="V414" i="5"/>
  <c r="V620" i="5"/>
  <c r="V797" i="5"/>
  <c r="V96" i="5"/>
  <c r="V106" i="5"/>
  <c r="V116" i="5"/>
  <c r="V126" i="5"/>
  <c r="V165" i="5"/>
  <c r="V183" i="5"/>
  <c r="V215" i="5"/>
  <c r="V233" i="5"/>
  <c r="V265" i="5"/>
  <c r="V283" i="5"/>
  <c r="V315" i="5"/>
  <c r="V333" i="5"/>
  <c r="V365" i="5"/>
  <c r="V383" i="5"/>
  <c r="V415" i="5"/>
  <c r="V433" i="5"/>
  <c r="V465" i="5"/>
  <c r="V483" i="5"/>
  <c r="V502" i="5"/>
  <c r="V628" i="5"/>
  <c r="V670" i="5"/>
  <c r="V713" i="5"/>
  <c r="V757" i="5"/>
  <c r="V807" i="5"/>
  <c r="V936" i="5"/>
  <c r="V1028" i="5"/>
  <c r="V1070" i="5"/>
  <c r="V1113" i="5"/>
  <c r="V1158" i="5"/>
  <c r="V1255" i="5"/>
  <c r="V1369" i="5"/>
  <c r="V1496" i="5"/>
  <c r="V1830" i="5"/>
  <c r="V1053" i="5"/>
  <c r="V103" i="5"/>
  <c r="V444" i="5"/>
  <c r="V1148" i="5"/>
  <c r="V1013" i="5"/>
  <c r="V182" i="5"/>
  <c r="V482" i="5"/>
  <c r="V1068" i="5"/>
  <c r="V1616" i="5"/>
  <c r="V137" i="5"/>
  <c r="V168" i="5"/>
  <c r="V218" i="5"/>
  <c r="V268" i="5"/>
  <c r="V318" i="5"/>
  <c r="V368" i="5"/>
  <c r="V418" i="5"/>
  <c r="V468" i="5"/>
  <c r="V484" i="5"/>
  <c r="V539" i="5"/>
  <c r="V559" i="5"/>
  <c r="V579" i="5"/>
  <c r="V599" i="5"/>
  <c r="V716" i="5"/>
  <c r="V808" i="5"/>
  <c r="V850" i="5"/>
  <c r="V893" i="5"/>
  <c r="V937" i="5"/>
  <c r="V987" i="5"/>
  <c r="V1116" i="5"/>
  <c r="V1256" i="5"/>
  <c r="V1497" i="5"/>
  <c r="V1617" i="5"/>
  <c r="V968" i="5"/>
  <c r="V1107" i="5"/>
  <c r="V314" i="5"/>
  <c r="V1153" i="5"/>
  <c r="V199" i="5"/>
  <c r="V538" i="5"/>
  <c r="V97" i="5"/>
  <c r="V107" i="5"/>
  <c r="V117" i="5"/>
  <c r="V127" i="5"/>
  <c r="V138" i="5"/>
  <c r="V152" i="5"/>
  <c r="V184" i="5"/>
  <c r="V202" i="5"/>
  <c r="V234" i="5"/>
  <c r="V252" i="5"/>
  <c r="V284" i="5"/>
  <c r="V302" i="5"/>
  <c r="V334" i="5"/>
  <c r="V352" i="5"/>
  <c r="V384" i="5"/>
  <c r="V402" i="5"/>
  <c r="V434" i="5"/>
  <c r="V452" i="5"/>
  <c r="V503" i="5"/>
  <c r="V522" i="5"/>
  <c r="V630" i="5"/>
  <c r="V673" i="5"/>
  <c r="V717" i="5"/>
  <c r="V767" i="5"/>
  <c r="V896" i="5"/>
  <c r="V988" i="5"/>
  <c r="V1030" i="5"/>
  <c r="V1073" i="5"/>
  <c r="V1117" i="5"/>
  <c r="V1173" i="5"/>
  <c r="V1258" i="5"/>
  <c r="V1499" i="5"/>
  <c r="V228" i="5"/>
  <c r="V478" i="5"/>
  <c r="V162" i="5"/>
  <c r="V262" i="5"/>
  <c r="V344" i="5"/>
  <c r="V462" i="5"/>
  <c r="V514" i="5"/>
  <c r="V613" i="5"/>
  <c r="V833" i="5"/>
  <c r="V1756" i="5"/>
  <c r="V164" i="5"/>
  <c r="V264" i="5"/>
  <c r="V364" i="5"/>
  <c r="V753" i="5"/>
  <c r="V558" i="5"/>
  <c r="V169" i="5"/>
  <c r="V219" i="5"/>
  <c r="V269" i="5"/>
  <c r="V319" i="5"/>
  <c r="V369" i="5"/>
  <c r="V419" i="5"/>
  <c r="V469" i="5"/>
  <c r="V485" i="5"/>
  <c r="V504" i="5"/>
  <c r="V676" i="5"/>
  <c r="V768" i="5"/>
  <c r="V810" i="5"/>
  <c r="V853" i="5"/>
  <c r="V897" i="5"/>
  <c r="V947" i="5"/>
  <c r="V1076" i="5"/>
  <c r="V1259" i="5"/>
  <c r="V1505" i="5"/>
  <c r="V1659" i="5"/>
  <c r="V1010" i="5"/>
  <c r="V1057" i="5"/>
  <c r="V232" i="5"/>
  <c r="V535" i="5"/>
  <c r="V149" i="5"/>
  <c r="V1480" i="5"/>
  <c r="V98" i="5"/>
  <c r="V108" i="5"/>
  <c r="V118" i="5"/>
  <c r="V128" i="5"/>
  <c r="V139" i="5"/>
  <c r="V153" i="5"/>
  <c r="V185" i="5"/>
  <c r="V203" i="5"/>
  <c r="V235" i="5"/>
  <c r="V253" i="5"/>
  <c r="V285" i="5"/>
  <c r="V303" i="5"/>
  <c r="V335" i="5"/>
  <c r="V353" i="5"/>
  <c r="V385" i="5"/>
  <c r="V403" i="5"/>
  <c r="V435" i="5"/>
  <c r="V453" i="5"/>
  <c r="V488" i="5"/>
  <c r="V523" i="5"/>
  <c r="V542" i="5"/>
  <c r="V562" i="5"/>
  <c r="V582" i="5"/>
  <c r="V602" i="5"/>
  <c r="V633" i="5"/>
  <c r="V677" i="5"/>
  <c r="V727" i="5"/>
  <c r="V856" i="5"/>
  <c r="V948" i="5"/>
  <c r="V990" i="5"/>
  <c r="V1033" i="5"/>
  <c r="V1077" i="5"/>
  <c r="V1127" i="5"/>
  <c r="V1177" i="5"/>
  <c r="V1275" i="5"/>
  <c r="V1388" i="5"/>
  <c r="V1506" i="5"/>
  <c r="V378" i="5"/>
  <c r="V1097" i="5"/>
  <c r="V394" i="5"/>
  <c r="V1216" i="5"/>
  <c r="V970" i="5"/>
  <c r="V125" i="5"/>
  <c r="V432" i="5"/>
  <c r="V1110" i="5"/>
  <c r="V299" i="5"/>
  <c r="V578" i="5"/>
  <c r="V188" i="5"/>
  <c r="V238" i="5"/>
  <c r="V288" i="5"/>
  <c r="V338" i="5"/>
  <c r="V388" i="5"/>
  <c r="V438" i="5"/>
  <c r="V505" i="5"/>
  <c r="V524" i="5"/>
  <c r="V636" i="5"/>
  <c r="V728" i="5"/>
  <c r="V770" i="5"/>
  <c r="V813" i="5"/>
  <c r="V857" i="5"/>
  <c r="V907" i="5"/>
  <c r="V1036" i="5"/>
  <c r="V1128" i="5"/>
  <c r="V1178" i="5"/>
  <c r="V1276" i="5"/>
  <c r="V1390" i="5"/>
  <c r="V1527" i="5"/>
  <c r="V1677" i="5"/>
  <c r="V1905" i="5"/>
  <c r="V747" i="5"/>
  <c r="V123" i="5"/>
  <c r="V1056" i="5"/>
  <c r="V928" i="5"/>
  <c r="V99" i="5"/>
  <c r="V109" i="5"/>
  <c r="V119" i="5"/>
  <c r="V129" i="5"/>
  <c r="V140" i="5"/>
  <c r="V154" i="5"/>
  <c r="V172" i="5"/>
  <c r="V204" i="5"/>
  <c r="V222" i="5"/>
  <c r="V254" i="5"/>
  <c r="V272" i="5"/>
  <c r="V304" i="5"/>
  <c r="V322" i="5"/>
  <c r="V354" i="5"/>
  <c r="V372" i="5"/>
  <c r="V404" i="5"/>
  <c r="V422" i="5"/>
  <c r="V454" i="5"/>
  <c r="V472" i="5"/>
  <c r="V489" i="5"/>
  <c r="V508" i="5"/>
  <c r="V543" i="5"/>
  <c r="V563" i="5"/>
  <c r="V583" i="5"/>
  <c r="V603" i="5"/>
  <c r="V637" i="5"/>
  <c r="V687" i="5"/>
  <c r="V816" i="5"/>
  <c r="V908" i="5"/>
  <c r="V950" i="5"/>
  <c r="V993" i="5"/>
  <c r="V1037" i="5"/>
  <c r="V1087" i="5"/>
  <c r="V1277" i="5"/>
  <c r="V1528" i="5"/>
  <c r="V1909" i="5"/>
  <c r="V144" i="5"/>
  <c r="V513" i="5"/>
  <c r="V133" i="5"/>
  <c r="V362" i="5"/>
  <c r="V592" i="5"/>
  <c r="V790" i="5"/>
  <c r="V1327" i="5"/>
  <c r="V1328" i="5"/>
  <c r="V135" i="5"/>
  <c r="V282" i="5"/>
  <c r="V382" i="5"/>
  <c r="V464" i="5"/>
  <c r="V668" i="5"/>
  <c r="V847" i="5"/>
  <c r="V249" i="5"/>
  <c r="V399" i="5"/>
  <c r="V598" i="5"/>
  <c r="V141" i="5"/>
  <c r="V189" i="5"/>
  <c r="V239" i="5"/>
  <c r="V289" i="5"/>
  <c r="V339" i="5"/>
  <c r="V389" i="5"/>
  <c r="V439" i="5"/>
  <c r="V525" i="5"/>
  <c r="V544" i="5"/>
  <c r="V564" i="5"/>
  <c r="V584" i="5"/>
  <c r="V604" i="5"/>
  <c r="V688" i="5"/>
  <c r="V730" i="5"/>
  <c r="V773" i="5"/>
  <c r="V817" i="5"/>
  <c r="V867" i="5"/>
  <c r="V996" i="5"/>
  <c r="V1088" i="5"/>
  <c r="V1130" i="5"/>
  <c r="V1181" i="5"/>
  <c r="V1680" i="5"/>
  <c r="V1920" i="5"/>
  <c r="V876" i="5"/>
  <c r="V976" i="5"/>
  <c r="V977" i="5"/>
  <c r="V100" i="5"/>
  <c r="V110" i="5"/>
  <c r="V120" i="5"/>
  <c r="V130" i="5"/>
  <c r="V155" i="5"/>
  <c r="V173" i="5"/>
  <c r="V205" i="5"/>
  <c r="V223" i="5"/>
  <c r="V255" i="5"/>
  <c r="V273" i="5"/>
  <c r="V305" i="5"/>
  <c r="V323" i="5"/>
  <c r="V355" i="5"/>
  <c r="V373" i="5"/>
  <c r="V405" i="5"/>
  <c r="V423" i="5"/>
  <c r="V455" i="5"/>
  <c r="V473" i="5"/>
  <c r="V509" i="5"/>
  <c r="V528" i="5"/>
  <c r="V647" i="5"/>
  <c r="V776" i="5"/>
  <c r="V868" i="5"/>
  <c r="V910" i="5"/>
  <c r="V953" i="5"/>
  <c r="V997" i="5"/>
  <c r="V1047" i="5"/>
  <c r="V1188" i="5"/>
  <c r="V1285" i="5"/>
  <c r="V1417" i="5"/>
  <c r="V1539" i="5"/>
  <c r="V1685" i="5"/>
  <c r="V1927" i="5"/>
  <c r="V1027" i="5"/>
  <c r="V142" i="5"/>
  <c r="V158" i="5"/>
  <c r="V208" i="5"/>
  <c r="V258" i="5"/>
  <c r="V308" i="5"/>
  <c r="V358" i="5"/>
  <c r="V408" i="5"/>
  <c r="V458" i="5"/>
  <c r="V492" i="5"/>
  <c r="V548" i="5"/>
  <c r="V568" i="5"/>
  <c r="V588" i="5"/>
  <c r="V608" i="5"/>
  <c r="V648" i="5"/>
  <c r="V690" i="5"/>
  <c r="V733" i="5"/>
  <c r="V777" i="5"/>
  <c r="V827" i="5"/>
  <c r="V956" i="5"/>
  <c r="V1048" i="5"/>
  <c r="V1090" i="5"/>
  <c r="V1133" i="5"/>
  <c r="V1189" i="5"/>
  <c r="V1306" i="5"/>
  <c r="V1419" i="5"/>
  <c r="V1548" i="5"/>
  <c r="V1929" i="5"/>
  <c r="V890" i="5"/>
  <c r="V101" i="5"/>
  <c r="V111" i="5"/>
  <c r="V121" i="5"/>
  <c r="V131" i="5"/>
  <c r="V174" i="5"/>
  <c r="V192" i="5"/>
  <c r="V224" i="5"/>
  <c r="V242" i="5"/>
  <c r="V274" i="5"/>
  <c r="V292" i="5"/>
  <c r="V324" i="5"/>
  <c r="V342" i="5"/>
  <c r="V374" i="5"/>
  <c r="V392" i="5"/>
  <c r="V424" i="5"/>
  <c r="V442" i="5"/>
  <c r="V474" i="5"/>
  <c r="V529" i="5"/>
  <c r="V736" i="5"/>
  <c r="V828" i="5"/>
  <c r="V870" i="5"/>
  <c r="V913" i="5"/>
  <c r="V957" i="5"/>
  <c r="V1007" i="5"/>
  <c r="V1136" i="5"/>
  <c r="V1195" i="5"/>
  <c r="V1428" i="5"/>
  <c r="V1549" i="5"/>
  <c r="V1729" i="5"/>
  <c r="V1930" i="5"/>
  <c r="V848" i="5"/>
  <c r="V143" i="5"/>
  <c r="V159" i="5"/>
  <c r="V209" i="5"/>
  <c r="V259" i="5"/>
  <c r="V309" i="5"/>
  <c r="V359" i="5"/>
  <c r="V409" i="5"/>
  <c r="V459" i="5"/>
  <c r="V493" i="5"/>
  <c r="V512" i="5"/>
  <c r="V549" i="5"/>
  <c r="V569" i="5"/>
  <c r="V589" i="5"/>
  <c r="V650" i="5"/>
  <c r="V693" i="5"/>
  <c r="V737" i="5"/>
  <c r="V787" i="5"/>
  <c r="V916" i="5"/>
  <c r="V1008" i="5"/>
  <c r="V1050" i="5"/>
  <c r="V1093" i="5"/>
  <c r="V1137" i="5"/>
  <c r="V1208" i="5"/>
  <c r="V1308" i="5"/>
  <c r="V1437" i="5"/>
  <c r="V1979" i="5"/>
  <c r="V428" i="5"/>
  <c r="V653" i="5"/>
  <c r="V1439" i="5"/>
  <c r="V244" i="5"/>
  <c r="V312" i="5"/>
  <c r="V495" i="5"/>
  <c r="V572" i="5"/>
  <c r="V656" i="5"/>
  <c r="V877" i="5"/>
  <c r="V1590" i="5"/>
  <c r="V115" i="5"/>
  <c r="V710" i="5"/>
  <c r="V1809" i="5"/>
  <c r="V136" i="5"/>
  <c r="V349" i="5"/>
  <c r="V449" i="5"/>
  <c r="V519" i="5"/>
  <c r="V627" i="5"/>
  <c r="V756" i="5"/>
  <c r="V933" i="5"/>
  <c r="V102" i="5"/>
  <c r="V112" i="5"/>
  <c r="V122" i="5"/>
  <c r="V132" i="5"/>
  <c r="V175" i="5"/>
  <c r="V193" i="5"/>
  <c r="V225" i="5"/>
  <c r="V243" i="5"/>
  <c r="V275" i="5"/>
  <c r="V293" i="5"/>
  <c r="V325" i="5"/>
  <c r="V343" i="5"/>
  <c r="V375" i="5"/>
  <c r="V393" i="5"/>
  <c r="V425" i="5"/>
  <c r="V443" i="5"/>
  <c r="V475" i="5"/>
  <c r="V494" i="5"/>
  <c r="V610" i="5"/>
  <c r="V696" i="5"/>
  <c r="V788" i="5"/>
  <c r="V830" i="5"/>
  <c r="V873" i="5"/>
  <c r="V917" i="5"/>
  <c r="V967" i="5"/>
  <c r="V1096" i="5"/>
  <c r="V1317" i="5"/>
  <c r="V1438" i="5"/>
  <c r="V1555" i="5"/>
  <c r="V1755" i="5"/>
  <c r="V618" i="5"/>
  <c r="V638" i="5"/>
  <c r="V658" i="5"/>
  <c r="V678" i="5"/>
  <c r="V698" i="5"/>
  <c r="V718" i="5"/>
  <c r="V738" i="5"/>
  <c r="V758" i="5"/>
  <c r="V778" i="5"/>
  <c r="V798" i="5"/>
  <c r="V818" i="5"/>
  <c r="V838" i="5"/>
  <c r="V858" i="5"/>
  <c r="V878" i="5"/>
  <c r="V898" i="5"/>
  <c r="V918" i="5"/>
  <c r="V938" i="5"/>
  <c r="V958" i="5"/>
  <c r="V978" i="5"/>
  <c r="V998" i="5"/>
  <c r="V1018" i="5"/>
  <c r="V1038" i="5"/>
  <c r="V1058" i="5"/>
  <c r="V1078" i="5"/>
  <c r="V1098" i="5"/>
  <c r="V1118" i="5"/>
  <c r="V1138" i="5"/>
  <c r="V1159" i="5"/>
  <c r="V1190" i="5"/>
  <c r="V1235" i="5"/>
  <c r="V1280" i="5"/>
  <c r="V1339" i="5"/>
  <c r="V1395" i="5"/>
  <c r="V1619" i="5"/>
  <c r="V1759" i="5"/>
  <c r="V1855" i="5"/>
  <c r="V640" i="5"/>
  <c r="V660" i="5"/>
  <c r="V680" i="5"/>
  <c r="V700" i="5"/>
  <c r="V720" i="5"/>
  <c r="V740" i="5"/>
  <c r="V760" i="5"/>
  <c r="V780" i="5"/>
  <c r="V800" i="5"/>
  <c r="V820" i="5"/>
  <c r="V840" i="5"/>
  <c r="V860" i="5"/>
  <c r="V880" i="5"/>
  <c r="V900" i="5"/>
  <c r="V920" i="5"/>
  <c r="V940" i="5"/>
  <c r="V960" i="5"/>
  <c r="V980" i="5"/>
  <c r="V1000" i="5"/>
  <c r="V1020" i="5"/>
  <c r="V1040" i="5"/>
  <c r="V1060" i="5"/>
  <c r="V1080" i="5"/>
  <c r="V1100" i="5"/>
  <c r="V1120" i="5"/>
  <c r="V1140" i="5"/>
  <c r="V1161" i="5"/>
  <c r="V1237" i="5"/>
  <c r="V1396" i="5"/>
  <c r="V1456" i="5"/>
  <c r="V1569" i="5"/>
  <c r="V1635" i="5"/>
  <c r="V1697" i="5"/>
  <c r="V1777" i="5"/>
  <c r="V1856" i="5"/>
  <c r="V545" i="5"/>
  <c r="V555" i="5"/>
  <c r="V565" i="5"/>
  <c r="V575" i="5"/>
  <c r="V585" i="5"/>
  <c r="V595" i="5"/>
  <c r="V605" i="5"/>
  <c r="V1163" i="5"/>
  <c r="V1196" i="5"/>
  <c r="V1238" i="5"/>
  <c r="V1347" i="5"/>
  <c r="V1397" i="5"/>
  <c r="V1458" i="5"/>
  <c r="V1508" i="5"/>
  <c r="V1699" i="5"/>
  <c r="V1779" i="5"/>
  <c r="V621" i="5"/>
  <c r="V641" i="5"/>
  <c r="V661" i="5"/>
  <c r="V681" i="5"/>
  <c r="V701" i="5"/>
  <c r="V721" i="5"/>
  <c r="V741" i="5"/>
  <c r="V761" i="5"/>
  <c r="V781" i="5"/>
  <c r="V801" i="5"/>
  <c r="V821" i="5"/>
  <c r="V841" i="5"/>
  <c r="V861" i="5"/>
  <c r="V881" i="5"/>
  <c r="V901" i="5"/>
  <c r="V921" i="5"/>
  <c r="V941" i="5"/>
  <c r="V961" i="5"/>
  <c r="V981" i="5"/>
  <c r="V1001" i="5"/>
  <c r="V1021" i="5"/>
  <c r="V1041" i="5"/>
  <c r="V1061" i="5"/>
  <c r="V1081" i="5"/>
  <c r="V1101" i="5"/>
  <c r="V1121" i="5"/>
  <c r="V1141" i="5"/>
  <c r="V1165" i="5"/>
  <c r="V1239" i="5"/>
  <c r="V1296" i="5"/>
  <c r="V1348" i="5"/>
  <c r="V1459" i="5"/>
  <c r="V1517" i="5"/>
  <c r="V1570" i="5"/>
  <c r="V1637" i="5"/>
  <c r="V1705" i="5"/>
  <c r="V1859" i="5"/>
  <c r="V1955" i="5"/>
  <c r="V156" i="5"/>
  <c r="V166" i="5"/>
  <c r="V176" i="5"/>
  <c r="V186" i="5"/>
  <c r="V196" i="5"/>
  <c r="V206" i="5"/>
  <c r="V216" i="5"/>
  <c r="V226" i="5"/>
  <c r="V236" i="5"/>
  <c r="V246" i="5"/>
  <c r="V256" i="5"/>
  <c r="V266" i="5"/>
  <c r="V276" i="5"/>
  <c r="V286" i="5"/>
  <c r="V296" i="5"/>
  <c r="V306" i="5"/>
  <c r="V316" i="5"/>
  <c r="V326" i="5"/>
  <c r="V336" i="5"/>
  <c r="V346" i="5"/>
  <c r="V356" i="5"/>
  <c r="V366" i="5"/>
  <c r="V376" i="5"/>
  <c r="V386" i="5"/>
  <c r="V396" i="5"/>
  <c r="V406" i="5"/>
  <c r="V416" i="5"/>
  <c r="V426" i="5"/>
  <c r="V436" i="5"/>
  <c r="V446" i="5"/>
  <c r="V456" i="5"/>
  <c r="V466" i="5"/>
  <c r="V476" i="5"/>
  <c r="V486" i="5"/>
  <c r="V496" i="5"/>
  <c r="V506" i="5"/>
  <c r="V516" i="5"/>
  <c r="V526" i="5"/>
  <c r="V536" i="5"/>
  <c r="V546" i="5"/>
  <c r="V556" i="5"/>
  <c r="V566" i="5"/>
  <c r="V576" i="5"/>
  <c r="V586" i="5"/>
  <c r="V596" i="5"/>
  <c r="V606" i="5"/>
  <c r="V622" i="5"/>
  <c r="V642" i="5"/>
  <c r="V662" i="5"/>
  <c r="V682" i="5"/>
  <c r="V702" i="5"/>
  <c r="V722" i="5"/>
  <c r="V742" i="5"/>
  <c r="V762" i="5"/>
  <c r="V782" i="5"/>
  <c r="V802" i="5"/>
  <c r="V822" i="5"/>
  <c r="V842" i="5"/>
  <c r="V862" i="5"/>
  <c r="V882" i="5"/>
  <c r="V902" i="5"/>
  <c r="V922" i="5"/>
  <c r="V942" i="5"/>
  <c r="V962" i="5"/>
  <c r="V982" i="5"/>
  <c r="V1002" i="5"/>
  <c r="V1022" i="5"/>
  <c r="V1042" i="5"/>
  <c r="V1062" i="5"/>
  <c r="V1082" i="5"/>
  <c r="V1102" i="5"/>
  <c r="V1122" i="5"/>
  <c r="V1142" i="5"/>
  <c r="V1166" i="5"/>
  <c r="V1198" i="5"/>
  <c r="V1240" i="5"/>
  <c r="V1297" i="5"/>
  <c r="V1349" i="5"/>
  <c r="V1408" i="5"/>
  <c r="V1519" i="5"/>
  <c r="V1575" i="5"/>
  <c r="V1638" i="5"/>
  <c r="V1780" i="5"/>
  <c r="V1870" i="5"/>
  <c r="V1199" i="5"/>
  <c r="V1245" i="5"/>
  <c r="V1299" i="5"/>
  <c r="V1460" i="5"/>
  <c r="V1520" i="5"/>
  <c r="V1576" i="5"/>
  <c r="V1639" i="5"/>
  <c r="V1706" i="5"/>
  <c r="V1877" i="5"/>
  <c r="V1956" i="5"/>
  <c r="V147" i="5"/>
  <c r="V157" i="5"/>
  <c r="V167" i="5"/>
  <c r="V177" i="5"/>
  <c r="V187" i="5"/>
  <c r="V197" i="5"/>
  <c r="V207" i="5"/>
  <c r="V217" i="5"/>
  <c r="V227" i="5"/>
  <c r="V237" i="5"/>
  <c r="V247" i="5"/>
  <c r="V257" i="5"/>
  <c r="V267" i="5"/>
  <c r="V277" i="5"/>
  <c r="V287" i="5"/>
  <c r="V297" i="5"/>
  <c r="V307" i="5"/>
  <c r="V317" i="5"/>
  <c r="V327" i="5"/>
  <c r="V337" i="5"/>
  <c r="V347" i="5"/>
  <c r="V357" i="5"/>
  <c r="V367" i="5"/>
  <c r="V377" i="5"/>
  <c r="V387" i="5"/>
  <c r="V397" i="5"/>
  <c r="V407" i="5"/>
  <c r="V417" i="5"/>
  <c r="V427" i="5"/>
  <c r="V437" i="5"/>
  <c r="V447" i="5"/>
  <c r="V457" i="5"/>
  <c r="V467" i="5"/>
  <c r="V477" i="5"/>
  <c r="V487" i="5"/>
  <c r="V497" i="5"/>
  <c r="V507" i="5"/>
  <c r="V517" i="5"/>
  <c r="V527" i="5"/>
  <c r="V537" i="5"/>
  <c r="V547" i="5"/>
  <c r="V557" i="5"/>
  <c r="V567" i="5"/>
  <c r="V577" i="5"/>
  <c r="V587" i="5"/>
  <c r="V597" i="5"/>
  <c r="V607" i="5"/>
  <c r="V623" i="5"/>
  <c r="V643" i="5"/>
  <c r="V663" i="5"/>
  <c r="V683" i="5"/>
  <c r="V703" i="5"/>
  <c r="V723" i="5"/>
  <c r="V743" i="5"/>
  <c r="V763" i="5"/>
  <c r="V783" i="5"/>
  <c r="V803" i="5"/>
  <c r="V823" i="5"/>
  <c r="V843" i="5"/>
  <c r="V863" i="5"/>
  <c r="V883" i="5"/>
  <c r="V903" i="5"/>
  <c r="V923" i="5"/>
  <c r="V943" i="5"/>
  <c r="V963" i="5"/>
  <c r="V983" i="5"/>
  <c r="V1003" i="5"/>
  <c r="V1023" i="5"/>
  <c r="V1043" i="5"/>
  <c r="V1063" i="5"/>
  <c r="V1083" i="5"/>
  <c r="V1103" i="5"/>
  <c r="V1123" i="5"/>
  <c r="V1143" i="5"/>
  <c r="V1167" i="5"/>
  <c r="V1305" i="5"/>
  <c r="V1355" i="5"/>
  <c r="V1526" i="5"/>
  <c r="V1640" i="5"/>
  <c r="V1879" i="5"/>
  <c r="V626" i="5"/>
  <c r="V646" i="5"/>
  <c r="V666" i="5"/>
  <c r="V686" i="5"/>
  <c r="V706" i="5"/>
  <c r="V726" i="5"/>
  <c r="V746" i="5"/>
  <c r="V766" i="5"/>
  <c r="V786" i="5"/>
  <c r="V806" i="5"/>
  <c r="V826" i="5"/>
  <c r="V846" i="5"/>
  <c r="V866" i="5"/>
  <c r="V886" i="5"/>
  <c r="V906" i="5"/>
  <c r="V926" i="5"/>
  <c r="V946" i="5"/>
  <c r="V966" i="5"/>
  <c r="V986" i="5"/>
  <c r="V1006" i="5"/>
  <c r="V1026" i="5"/>
  <c r="V1046" i="5"/>
  <c r="V1066" i="5"/>
  <c r="V1086" i="5"/>
  <c r="V1106" i="5"/>
  <c r="V1126" i="5"/>
  <c r="V1146" i="5"/>
  <c r="V1360" i="5"/>
  <c r="V1416" i="5"/>
  <c r="V1475" i="5"/>
  <c r="V1588" i="5"/>
  <c r="V1655" i="5"/>
  <c r="V1709" i="5"/>
  <c r="V1805" i="5"/>
  <c r="V1959" i="5"/>
  <c r="V1656" i="5"/>
  <c r="V1720" i="5"/>
  <c r="V1880" i="5"/>
  <c r="V1970" i="5"/>
  <c r="V1658" i="5"/>
  <c r="V1727" i="5"/>
  <c r="V1806" i="5"/>
  <c r="V1977" i="5"/>
  <c r="V150" i="5"/>
  <c r="V160" i="5"/>
  <c r="V170" i="5"/>
  <c r="V180" i="5"/>
  <c r="V190" i="5"/>
  <c r="V200" i="5"/>
  <c r="V210" i="5"/>
  <c r="V220" i="5"/>
  <c r="V230" i="5"/>
  <c r="V240" i="5"/>
  <c r="V250" i="5"/>
  <c r="V260" i="5"/>
  <c r="V270" i="5"/>
  <c r="V280" i="5"/>
  <c r="V290" i="5"/>
  <c r="V300" i="5"/>
  <c r="V310" i="5"/>
  <c r="V320" i="5"/>
  <c r="V330" i="5"/>
  <c r="V340" i="5"/>
  <c r="V350" i="5"/>
  <c r="V360" i="5"/>
  <c r="V370" i="5"/>
  <c r="V380" i="5"/>
  <c r="V390" i="5"/>
  <c r="V400" i="5"/>
  <c r="V410" i="5"/>
  <c r="V420" i="5"/>
  <c r="V430" i="5"/>
  <c r="V440" i="5"/>
  <c r="V450" i="5"/>
  <c r="V460" i="5"/>
  <c r="V470" i="5"/>
  <c r="V480" i="5"/>
  <c r="V490" i="5"/>
  <c r="V500" i="5"/>
  <c r="V510" i="5"/>
  <c r="V520" i="5"/>
  <c r="V530" i="5"/>
  <c r="V540" i="5"/>
  <c r="V550" i="5"/>
  <c r="V560" i="5"/>
  <c r="V570" i="5"/>
  <c r="V580" i="5"/>
  <c r="V590" i="5"/>
  <c r="V600" i="5"/>
  <c r="V1319" i="5"/>
  <c r="V1370" i="5"/>
  <c r="V1485" i="5"/>
  <c r="V1540" i="5"/>
  <c r="V1597" i="5"/>
  <c r="V1660" i="5"/>
  <c r="V1730" i="5"/>
  <c r="V1820" i="5"/>
  <c r="V1980" i="5"/>
  <c r="V611" i="5"/>
  <c r="V631" i="5"/>
  <c r="V651" i="5"/>
  <c r="V671" i="5"/>
  <c r="V691" i="5"/>
  <c r="V711" i="5"/>
  <c r="V731" i="5"/>
  <c r="V751" i="5"/>
  <c r="V771" i="5"/>
  <c r="V791" i="5"/>
  <c r="V811" i="5"/>
  <c r="V831" i="5"/>
  <c r="V851" i="5"/>
  <c r="V871" i="5"/>
  <c r="V891" i="5"/>
  <c r="V911" i="5"/>
  <c r="V931" i="5"/>
  <c r="V951" i="5"/>
  <c r="V971" i="5"/>
  <c r="V991" i="5"/>
  <c r="V1011" i="5"/>
  <c r="V1031" i="5"/>
  <c r="V1051" i="5"/>
  <c r="V1071" i="5"/>
  <c r="V1091" i="5"/>
  <c r="V1111" i="5"/>
  <c r="V1131" i="5"/>
  <c r="V1151" i="5"/>
  <c r="V1179" i="5"/>
  <c r="V1217" i="5"/>
  <c r="V1260" i="5"/>
  <c r="V1320" i="5"/>
  <c r="V1375" i="5"/>
  <c r="V1435" i="5"/>
  <c r="V1608" i="5"/>
  <c r="V1827" i="5"/>
  <c r="V1906" i="5"/>
  <c r="V151" i="5"/>
  <c r="V161" i="5"/>
  <c r="V171" i="5"/>
  <c r="V181" i="5"/>
  <c r="V191" i="5"/>
  <c r="V201" i="5"/>
  <c r="V211" i="5"/>
  <c r="V221" i="5"/>
  <c r="V231" i="5"/>
  <c r="V241" i="5"/>
  <c r="V251" i="5"/>
  <c r="V261" i="5"/>
  <c r="V271" i="5"/>
  <c r="V281" i="5"/>
  <c r="V291" i="5"/>
  <c r="V301" i="5"/>
  <c r="V311" i="5"/>
  <c r="V321" i="5"/>
  <c r="V331" i="5"/>
  <c r="V341" i="5"/>
  <c r="V351" i="5"/>
  <c r="V361" i="5"/>
  <c r="V371" i="5"/>
  <c r="V381" i="5"/>
  <c r="V391" i="5"/>
  <c r="V401" i="5"/>
  <c r="V411" i="5"/>
  <c r="V421" i="5"/>
  <c r="V431" i="5"/>
  <c r="V441" i="5"/>
  <c r="V451" i="5"/>
  <c r="V461" i="5"/>
  <c r="V471" i="5"/>
  <c r="V481" i="5"/>
  <c r="V491" i="5"/>
  <c r="V501" i="5"/>
  <c r="V511" i="5"/>
  <c r="V521" i="5"/>
  <c r="V531" i="5"/>
  <c r="V541" i="5"/>
  <c r="V551" i="5"/>
  <c r="V561" i="5"/>
  <c r="V571" i="5"/>
  <c r="V581" i="5"/>
  <c r="V591" i="5"/>
  <c r="V601" i="5"/>
  <c r="V612" i="5"/>
  <c r="V632" i="5"/>
  <c r="V652" i="5"/>
  <c r="V672" i="5"/>
  <c r="V692" i="5"/>
  <c r="V712" i="5"/>
  <c r="V732" i="5"/>
  <c r="V752" i="5"/>
  <c r="V772" i="5"/>
  <c r="V792" i="5"/>
  <c r="V812" i="5"/>
  <c r="V832" i="5"/>
  <c r="V852" i="5"/>
  <c r="V872" i="5"/>
  <c r="V892" i="5"/>
  <c r="V912" i="5"/>
  <c r="V932" i="5"/>
  <c r="V952" i="5"/>
  <c r="V972" i="5"/>
  <c r="V992" i="5"/>
  <c r="V1012" i="5"/>
  <c r="V1032" i="5"/>
  <c r="V1052" i="5"/>
  <c r="V1072" i="5"/>
  <c r="V1092" i="5"/>
  <c r="V1112" i="5"/>
  <c r="V1132" i="5"/>
  <c r="V1152" i="5"/>
  <c r="V1180" i="5"/>
  <c r="V1219" i="5"/>
  <c r="V1326" i="5"/>
  <c r="V1376" i="5"/>
  <c r="V1547" i="5"/>
  <c r="V1676" i="5"/>
  <c r="V1829" i="5"/>
  <c r="V1197" i="5"/>
  <c r="V1218" i="5"/>
  <c r="V1265" i="5"/>
  <c r="V1286" i="5"/>
  <c r="V1307" i="5"/>
  <c r="V1329" i="5"/>
  <c r="V1350" i="5"/>
  <c r="V1418" i="5"/>
  <c r="V1465" i="5"/>
  <c r="V1486" i="5"/>
  <c r="V1507" i="5"/>
  <c r="V1529" i="5"/>
  <c r="V1550" i="5"/>
  <c r="V1618" i="5"/>
  <c r="V1665" i="5"/>
  <c r="V1686" i="5"/>
  <c r="V1707" i="5"/>
  <c r="V1735" i="5"/>
  <c r="V1757" i="5"/>
  <c r="V1785" i="5"/>
  <c r="V1807" i="5"/>
  <c r="V1835" i="5"/>
  <c r="V1857" i="5"/>
  <c r="V1885" i="5"/>
  <c r="V1907" i="5"/>
  <c r="V1935" i="5"/>
  <c r="V1957" i="5"/>
  <c r="V1985" i="5"/>
  <c r="V1266" i="5"/>
  <c r="V1287" i="5"/>
  <c r="V1309" i="5"/>
  <c r="V1330" i="5"/>
  <c r="V1398" i="5"/>
  <c r="V1445" i="5"/>
  <c r="V1466" i="5"/>
  <c r="V1487" i="5"/>
  <c r="V1509" i="5"/>
  <c r="V1530" i="5"/>
  <c r="V1598" i="5"/>
  <c r="V1645" i="5"/>
  <c r="V1666" i="5"/>
  <c r="V1687" i="5"/>
  <c r="V1736" i="5"/>
  <c r="V1786" i="5"/>
  <c r="V1836" i="5"/>
  <c r="V1886" i="5"/>
  <c r="V1936" i="5"/>
  <c r="V1986" i="5"/>
  <c r="V1288" i="5"/>
  <c r="V1335" i="5"/>
  <c r="V1356" i="5"/>
  <c r="V1377" i="5"/>
  <c r="V1399" i="5"/>
  <c r="V1420" i="5"/>
  <c r="V1488" i="5"/>
  <c r="V1535" i="5"/>
  <c r="V1556" i="5"/>
  <c r="V1577" i="5"/>
  <c r="V1599" i="5"/>
  <c r="V1620" i="5"/>
  <c r="V1688" i="5"/>
  <c r="V1710" i="5"/>
  <c r="V1760" i="5"/>
  <c r="V1810" i="5"/>
  <c r="V1860" i="5"/>
  <c r="V1910" i="5"/>
  <c r="V1960" i="5"/>
  <c r="V1168" i="5"/>
  <c r="V1185" i="5"/>
  <c r="V1200" i="5"/>
  <c r="V1225" i="5"/>
  <c r="V1246" i="5"/>
  <c r="V1267" i="5"/>
  <c r="V1289" i="5"/>
  <c r="V1310" i="5"/>
  <c r="V1378" i="5"/>
  <c r="V1425" i="5"/>
  <c r="V1446" i="5"/>
  <c r="V1467" i="5"/>
  <c r="V1489" i="5"/>
  <c r="V1510" i="5"/>
  <c r="V1578" i="5"/>
  <c r="V1625" i="5"/>
  <c r="V1646" i="5"/>
  <c r="V1667" i="5"/>
  <c r="V1689" i="5"/>
  <c r="V1715" i="5"/>
  <c r="V1737" i="5"/>
  <c r="V1765" i="5"/>
  <c r="V1787" i="5"/>
  <c r="V1815" i="5"/>
  <c r="V1837" i="5"/>
  <c r="V1865" i="5"/>
  <c r="V1887" i="5"/>
  <c r="V1915" i="5"/>
  <c r="V1937" i="5"/>
  <c r="V1965" i="5"/>
  <c r="V1987" i="5"/>
  <c r="V614" i="5"/>
  <c r="V624" i="5"/>
  <c r="V634" i="5"/>
  <c r="V644" i="5"/>
  <c r="V654" i="5"/>
  <c r="V664" i="5"/>
  <c r="V674" i="5"/>
  <c r="V684" i="5"/>
  <c r="V694" i="5"/>
  <c r="V704" i="5"/>
  <c r="V714" i="5"/>
  <c r="V724" i="5"/>
  <c r="V734" i="5"/>
  <c r="V744" i="5"/>
  <c r="V754" i="5"/>
  <c r="V764" i="5"/>
  <c r="V774" i="5"/>
  <c r="V784" i="5"/>
  <c r="V794" i="5"/>
  <c r="V804" i="5"/>
  <c r="V814" i="5"/>
  <c r="V824" i="5"/>
  <c r="V834" i="5"/>
  <c r="V844" i="5"/>
  <c r="V854" i="5"/>
  <c r="V864" i="5"/>
  <c r="V874" i="5"/>
  <c r="V884" i="5"/>
  <c r="V894" i="5"/>
  <c r="V904" i="5"/>
  <c r="V914" i="5"/>
  <c r="V924" i="5"/>
  <c r="V934" i="5"/>
  <c r="V944" i="5"/>
  <c r="V954" i="5"/>
  <c r="V964" i="5"/>
  <c r="V974" i="5"/>
  <c r="V984" i="5"/>
  <c r="V994" i="5"/>
  <c r="V1004" i="5"/>
  <c r="V1014" i="5"/>
  <c r="V1024" i="5"/>
  <c r="V1034" i="5"/>
  <c r="V1044" i="5"/>
  <c r="V1054" i="5"/>
  <c r="V1064" i="5"/>
  <c r="V1074" i="5"/>
  <c r="V1084" i="5"/>
  <c r="V1094" i="5"/>
  <c r="V1104" i="5"/>
  <c r="V1114" i="5"/>
  <c r="V1124" i="5"/>
  <c r="V1134" i="5"/>
  <c r="V1144" i="5"/>
  <c r="V1201" i="5"/>
  <c r="V1268" i="5"/>
  <c r="V1315" i="5"/>
  <c r="V1336" i="5"/>
  <c r="V1357" i="5"/>
  <c r="V1379" i="5"/>
  <c r="V1400" i="5"/>
  <c r="V1468" i="5"/>
  <c r="V1515" i="5"/>
  <c r="V1536" i="5"/>
  <c r="V1557" i="5"/>
  <c r="V1579" i="5"/>
  <c r="V1600" i="5"/>
  <c r="V1668" i="5"/>
  <c r="V1739" i="5"/>
  <c r="V1789" i="5"/>
  <c r="V1839" i="5"/>
  <c r="V1889" i="5"/>
  <c r="V1939" i="5"/>
  <c r="V1989" i="5"/>
  <c r="V1155" i="5"/>
  <c r="V1169" i="5"/>
  <c r="V1186" i="5"/>
  <c r="V1205" i="5"/>
  <c r="V1226" i="5"/>
  <c r="V1247" i="5"/>
  <c r="V1269" i="5"/>
  <c r="V1290" i="5"/>
  <c r="V1358" i="5"/>
  <c r="V1405" i="5"/>
  <c r="V1426" i="5"/>
  <c r="V1447" i="5"/>
  <c r="V1469" i="5"/>
  <c r="V1490" i="5"/>
  <c r="V1558" i="5"/>
  <c r="V1605" i="5"/>
  <c r="V1626" i="5"/>
  <c r="V1647" i="5"/>
  <c r="V1669" i="5"/>
  <c r="V1690" i="5"/>
  <c r="V1716" i="5"/>
  <c r="V1766" i="5"/>
  <c r="V1816" i="5"/>
  <c r="V1866" i="5"/>
  <c r="V1916" i="5"/>
  <c r="V1966" i="5"/>
  <c r="V615" i="5"/>
  <c r="V625" i="5"/>
  <c r="V635" i="5"/>
  <c r="V645" i="5"/>
  <c r="V655" i="5"/>
  <c r="V665" i="5"/>
  <c r="V675" i="5"/>
  <c r="V685" i="5"/>
  <c r="V695" i="5"/>
  <c r="V705" i="5"/>
  <c r="V715" i="5"/>
  <c r="V725" i="5"/>
  <c r="V735" i="5"/>
  <c r="V745" i="5"/>
  <c r="V755" i="5"/>
  <c r="V765" i="5"/>
  <c r="V775" i="5"/>
  <c r="V785" i="5"/>
  <c r="V795" i="5"/>
  <c r="V805" i="5"/>
  <c r="V815" i="5"/>
  <c r="V825" i="5"/>
  <c r="V835" i="5"/>
  <c r="V845" i="5"/>
  <c r="V855" i="5"/>
  <c r="V865" i="5"/>
  <c r="V875" i="5"/>
  <c r="V885" i="5"/>
  <c r="V895" i="5"/>
  <c r="V905" i="5"/>
  <c r="V915" i="5"/>
  <c r="V925" i="5"/>
  <c r="V935" i="5"/>
  <c r="V945" i="5"/>
  <c r="V955" i="5"/>
  <c r="V965" i="5"/>
  <c r="V975" i="5"/>
  <c r="V985" i="5"/>
  <c r="V995" i="5"/>
  <c r="V1005" i="5"/>
  <c r="V1015" i="5"/>
  <c r="V1025" i="5"/>
  <c r="V1035" i="5"/>
  <c r="V1045" i="5"/>
  <c r="V1055" i="5"/>
  <c r="V1065" i="5"/>
  <c r="V1075" i="5"/>
  <c r="V1085" i="5"/>
  <c r="V1095" i="5"/>
  <c r="V1105" i="5"/>
  <c r="V1115" i="5"/>
  <c r="V1125" i="5"/>
  <c r="V1135" i="5"/>
  <c r="V1145" i="5"/>
  <c r="V1248" i="5"/>
  <c r="V1295" i="5"/>
  <c r="V1316" i="5"/>
  <c r="V1337" i="5"/>
  <c r="V1359" i="5"/>
  <c r="V1380" i="5"/>
  <c r="V1448" i="5"/>
  <c r="V1495" i="5"/>
  <c r="V1516" i="5"/>
  <c r="V1537" i="5"/>
  <c r="V1559" i="5"/>
  <c r="V1580" i="5"/>
  <c r="V1648" i="5"/>
  <c r="V1695" i="5"/>
  <c r="V1740" i="5"/>
  <c r="V1790" i="5"/>
  <c r="V1840" i="5"/>
  <c r="V1890" i="5"/>
  <c r="V1940" i="5"/>
  <c r="V1990" i="5"/>
  <c r="V1156" i="5"/>
  <c r="V1170" i="5"/>
  <c r="V1187" i="5"/>
  <c r="V1206" i="5"/>
  <c r="V1227" i="5"/>
  <c r="V1249" i="5"/>
  <c r="V1270" i="5"/>
  <c r="V1338" i="5"/>
  <c r="V1385" i="5"/>
  <c r="V1406" i="5"/>
  <c r="V1427" i="5"/>
  <c r="V1449" i="5"/>
  <c r="V1470" i="5"/>
  <c r="V1538" i="5"/>
  <c r="V1585" i="5"/>
  <c r="V1606" i="5"/>
  <c r="V1627" i="5"/>
  <c r="V1649" i="5"/>
  <c r="V1670" i="5"/>
  <c r="V1717" i="5"/>
  <c r="V1745" i="5"/>
  <c r="V1767" i="5"/>
  <c r="V1795" i="5"/>
  <c r="V1817" i="5"/>
  <c r="V1845" i="5"/>
  <c r="V1867" i="5"/>
  <c r="V1895" i="5"/>
  <c r="V1917" i="5"/>
  <c r="V1945" i="5"/>
  <c r="V1967" i="5"/>
  <c r="V1995" i="5"/>
  <c r="V1560" i="5"/>
  <c r="V1628" i="5"/>
  <c r="V1675" i="5"/>
  <c r="V1696" i="5"/>
  <c r="V1719" i="5"/>
  <c r="V1769" i="5"/>
  <c r="V1819" i="5"/>
  <c r="V1869" i="5"/>
  <c r="V1919" i="5"/>
  <c r="V1969" i="5"/>
  <c r="V1157" i="5"/>
  <c r="V1171" i="5"/>
  <c r="V1207" i="5"/>
  <c r="V1229" i="5"/>
  <c r="V1250" i="5"/>
  <c r="V1318" i="5"/>
  <c r="V1365" i="5"/>
  <c r="V1386" i="5"/>
  <c r="V1407" i="5"/>
  <c r="V1429" i="5"/>
  <c r="V1450" i="5"/>
  <c r="V1518" i="5"/>
  <c r="V1565" i="5"/>
  <c r="V1586" i="5"/>
  <c r="V1607" i="5"/>
  <c r="V1629" i="5"/>
  <c r="V1650" i="5"/>
  <c r="V1746" i="5"/>
  <c r="V1796" i="5"/>
  <c r="V1846" i="5"/>
  <c r="V1896" i="5"/>
  <c r="V1946" i="5"/>
  <c r="V1996" i="5"/>
  <c r="V1175" i="5"/>
  <c r="V1209" i="5"/>
  <c r="V1230" i="5"/>
  <c r="V1298" i="5"/>
  <c r="V1345" i="5"/>
  <c r="V1366" i="5"/>
  <c r="V1387" i="5"/>
  <c r="V1409" i="5"/>
  <c r="V1430" i="5"/>
  <c r="V1498" i="5"/>
  <c r="V1545" i="5"/>
  <c r="V1566" i="5"/>
  <c r="V1587" i="5"/>
  <c r="V1609" i="5"/>
  <c r="V1630" i="5"/>
  <c r="V1698" i="5"/>
  <c r="V1725" i="5"/>
  <c r="V1747" i="5"/>
  <c r="V1775" i="5"/>
  <c r="V1797" i="5"/>
  <c r="V1825" i="5"/>
  <c r="V1847" i="5"/>
  <c r="V1875" i="5"/>
  <c r="V1897" i="5"/>
  <c r="V1925" i="5"/>
  <c r="V1947" i="5"/>
  <c r="V1975" i="5"/>
  <c r="V1997" i="5"/>
  <c r="V1749" i="5"/>
  <c r="V1799" i="5"/>
  <c r="V1849" i="5"/>
  <c r="V1899" i="5"/>
  <c r="V1949" i="5"/>
  <c r="V1999" i="5"/>
  <c r="V1176" i="5"/>
  <c r="V1210" i="5"/>
  <c r="V1278" i="5"/>
  <c r="V1325" i="5"/>
  <c r="V1346" i="5"/>
  <c r="V1367" i="5"/>
  <c r="V1389" i="5"/>
  <c r="V1410" i="5"/>
  <c r="V1478" i="5"/>
  <c r="V1525" i="5"/>
  <c r="V1546" i="5"/>
  <c r="V1567" i="5"/>
  <c r="V1589" i="5"/>
  <c r="V1610" i="5"/>
  <c r="V1678" i="5"/>
  <c r="V1726" i="5"/>
  <c r="V1776" i="5"/>
  <c r="V1826" i="5"/>
  <c r="V1876" i="5"/>
  <c r="V1926" i="5"/>
  <c r="V1976" i="5"/>
  <c r="V609" i="5"/>
  <c r="V619" i="5"/>
  <c r="V629" i="5"/>
  <c r="V639" i="5"/>
  <c r="V649" i="5"/>
  <c r="V659" i="5"/>
  <c r="V669" i="5"/>
  <c r="V679" i="5"/>
  <c r="V689" i="5"/>
  <c r="V699" i="5"/>
  <c r="V709" i="5"/>
  <c r="V719" i="5"/>
  <c r="V729" i="5"/>
  <c r="V739" i="5"/>
  <c r="V749" i="5"/>
  <c r="V759" i="5"/>
  <c r="V769" i="5"/>
  <c r="V779" i="5"/>
  <c r="V789" i="5"/>
  <c r="V799" i="5"/>
  <c r="V809" i="5"/>
  <c r="V819" i="5"/>
  <c r="V829" i="5"/>
  <c r="V839" i="5"/>
  <c r="V849" i="5"/>
  <c r="V859" i="5"/>
  <c r="V869" i="5"/>
  <c r="V879" i="5"/>
  <c r="V889" i="5"/>
  <c r="V899" i="5"/>
  <c r="V909" i="5"/>
  <c r="V919" i="5"/>
  <c r="V929" i="5"/>
  <c r="V939" i="5"/>
  <c r="V949" i="5"/>
  <c r="V959" i="5"/>
  <c r="V969" i="5"/>
  <c r="V979" i="5"/>
  <c r="V989" i="5"/>
  <c r="V999" i="5"/>
  <c r="V1009" i="5"/>
  <c r="V1019" i="5"/>
  <c r="V1029" i="5"/>
  <c r="V1039" i="5"/>
  <c r="V1049" i="5"/>
  <c r="V1059" i="5"/>
  <c r="V1069" i="5"/>
  <c r="V1079" i="5"/>
  <c r="V1089" i="5"/>
  <c r="V1099" i="5"/>
  <c r="V1109" i="5"/>
  <c r="V1119" i="5"/>
  <c r="V1129" i="5"/>
  <c r="V1139" i="5"/>
  <c r="V1149" i="5"/>
  <c r="V1160" i="5"/>
  <c r="V1191" i="5"/>
  <c r="V1215" i="5"/>
  <c r="V1236" i="5"/>
  <c r="V1257" i="5"/>
  <c r="V1279" i="5"/>
  <c r="V1300" i="5"/>
  <c r="V1368" i="5"/>
  <c r="V1415" i="5"/>
  <c r="V1436" i="5"/>
  <c r="V1457" i="5"/>
  <c r="V1479" i="5"/>
  <c r="V1500" i="5"/>
  <c r="V1568" i="5"/>
  <c r="V1615" i="5"/>
  <c r="V1636" i="5"/>
  <c r="V1657" i="5"/>
  <c r="V1679" i="5"/>
  <c r="V1700" i="5"/>
  <c r="V1750" i="5"/>
  <c r="V1800" i="5"/>
  <c r="V1850" i="5"/>
  <c r="V1900" i="5"/>
  <c r="V1950" i="5"/>
  <c r="V2000" i="5"/>
  <c r="V1708" i="5"/>
  <c r="V1718" i="5"/>
  <c r="V1728" i="5"/>
  <c r="V1738" i="5"/>
  <c r="V1748" i="5"/>
  <c r="V1758" i="5"/>
  <c r="V1768" i="5"/>
  <c r="V1778" i="5"/>
  <c r="V1788" i="5"/>
  <c r="V1798" i="5"/>
  <c r="V1808" i="5"/>
  <c r="V1818" i="5"/>
  <c r="V1828" i="5"/>
  <c r="V1838" i="5"/>
  <c r="V1848" i="5"/>
  <c r="V1858" i="5"/>
  <c r="V1868" i="5"/>
  <c r="V1878" i="5"/>
  <c r="V1888" i="5"/>
  <c r="V1898" i="5"/>
  <c r="V1908" i="5"/>
  <c r="V1918" i="5"/>
  <c r="V1928" i="5"/>
  <c r="V1938" i="5"/>
  <c r="V1948" i="5"/>
  <c r="V1958" i="5"/>
  <c r="V1968" i="5"/>
  <c r="V1978" i="5"/>
  <c r="V1988" i="5"/>
  <c r="V1998" i="5"/>
  <c r="V1211" i="5"/>
  <c r="V1221" i="5"/>
  <c r="V1231" i="5"/>
  <c r="V1241" i="5"/>
  <c r="V1251" i="5"/>
  <c r="V1261" i="5"/>
  <c r="V1271" i="5"/>
  <c r="V1281" i="5"/>
  <c r="V1291" i="5"/>
  <c r="V1301" i="5"/>
  <c r="V1311" i="5"/>
  <c r="V1321" i="5"/>
  <c r="V1331" i="5"/>
  <c r="V1341" i="5"/>
  <c r="V1351" i="5"/>
  <c r="V1361" i="5"/>
  <c r="V1371" i="5"/>
  <c r="V1381" i="5"/>
  <c r="V1391" i="5"/>
  <c r="V1401" i="5"/>
  <c r="V1411" i="5"/>
  <c r="V1421" i="5"/>
  <c r="V1431" i="5"/>
  <c r="V1441" i="5"/>
  <c r="V1451" i="5"/>
  <c r="V1461" i="5"/>
  <c r="V1471" i="5"/>
  <c r="V1481" i="5"/>
  <c r="V1491" i="5"/>
  <c r="V1501" i="5"/>
  <c r="V1511" i="5"/>
  <c r="V1521" i="5"/>
  <c r="V1531" i="5"/>
  <c r="V1541" i="5"/>
  <c r="V1551" i="5"/>
  <c r="V1561" i="5"/>
  <c r="V1571" i="5"/>
  <c r="V1581" i="5"/>
  <c r="V1591" i="5"/>
  <c r="V1601" i="5"/>
  <c r="V1611" i="5"/>
  <c r="V1621" i="5"/>
  <c r="V1631" i="5"/>
  <c r="V1641" i="5"/>
  <c r="V1651" i="5"/>
  <c r="V1661" i="5"/>
  <c r="V1671" i="5"/>
  <c r="V1681" i="5"/>
  <c r="V1691" i="5"/>
  <c r="V1701" i="5"/>
  <c r="V1711" i="5"/>
  <c r="V1721" i="5"/>
  <c r="V1731" i="5"/>
  <c r="V1741" i="5"/>
  <c r="V1751" i="5"/>
  <c r="V1761" i="5"/>
  <c r="V1771" i="5"/>
  <c r="V1781" i="5"/>
  <c r="V1791" i="5"/>
  <c r="V1801" i="5"/>
  <c r="V1811" i="5"/>
  <c r="V1821" i="5"/>
  <c r="V1831" i="5"/>
  <c r="V1841" i="5"/>
  <c r="V1851" i="5"/>
  <c r="V1861" i="5"/>
  <c r="V1871" i="5"/>
  <c r="V1881" i="5"/>
  <c r="V1891" i="5"/>
  <c r="V1901" i="5"/>
  <c r="V1911" i="5"/>
  <c r="V1921" i="5"/>
  <c r="V1931" i="5"/>
  <c r="V1941" i="5"/>
  <c r="V1951" i="5"/>
  <c r="V1961" i="5"/>
  <c r="V1971" i="5"/>
  <c r="V1981" i="5"/>
  <c r="V1991" i="5"/>
  <c r="V2001" i="5"/>
  <c r="V1162" i="5"/>
  <c r="V1172" i="5"/>
  <c r="V1182" i="5"/>
  <c r="V1192" i="5"/>
  <c r="V1202" i="5"/>
  <c r="V1212" i="5"/>
  <c r="V1222" i="5"/>
  <c r="V1232" i="5"/>
  <c r="V1242" i="5"/>
  <c r="V1252" i="5"/>
  <c r="V1262" i="5"/>
  <c r="V1272" i="5"/>
  <c r="V1282" i="5"/>
  <c r="V1292" i="5"/>
  <c r="V1302" i="5"/>
  <c r="V1312" i="5"/>
  <c r="V1322" i="5"/>
  <c r="V1332" i="5"/>
  <c r="V1342" i="5"/>
  <c r="V1352" i="5"/>
  <c r="V1362" i="5"/>
  <c r="V1372" i="5"/>
  <c r="V1382" i="5"/>
  <c r="V1392" i="5"/>
  <c r="V1402" i="5"/>
  <c r="V1412" i="5"/>
  <c r="V1422" i="5"/>
  <c r="V1432" i="5"/>
  <c r="V1442" i="5"/>
  <c r="V1452" i="5"/>
  <c r="V1462" i="5"/>
  <c r="V1472" i="5"/>
  <c r="V1482" i="5"/>
  <c r="V1492" i="5"/>
  <c r="V1502" i="5"/>
  <c r="V1512" i="5"/>
  <c r="V1522" i="5"/>
  <c r="V1532" i="5"/>
  <c r="V1542" i="5"/>
  <c r="V1552" i="5"/>
  <c r="V1562" i="5"/>
  <c r="V1572" i="5"/>
  <c r="V1582" i="5"/>
  <c r="V1592" i="5"/>
  <c r="V1602" i="5"/>
  <c r="V1612" i="5"/>
  <c r="V1622" i="5"/>
  <c r="V1632" i="5"/>
  <c r="V1642" i="5"/>
  <c r="V1652" i="5"/>
  <c r="V1662" i="5"/>
  <c r="V1672" i="5"/>
  <c r="V1682" i="5"/>
  <c r="V1692" i="5"/>
  <c r="V1702" i="5"/>
  <c r="V1712" i="5"/>
  <c r="V1722" i="5"/>
  <c r="V1732" i="5"/>
  <c r="V1742" i="5"/>
  <c r="V1752" i="5"/>
  <c r="V1762" i="5"/>
  <c r="V1772" i="5"/>
  <c r="V1782" i="5"/>
  <c r="V1792" i="5"/>
  <c r="V1802" i="5"/>
  <c r="V1812" i="5"/>
  <c r="V1822" i="5"/>
  <c r="V1832" i="5"/>
  <c r="V1842" i="5"/>
  <c r="V1852" i="5"/>
  <c r="V1862" i="5"/>
  <c r="V1872" i="5"/>
  <c r="V1882" i="5"/>
  <c r="V1892" i="5"/>
  <c r="V1902" i="5"/>
  <c r="V1912" i="5"/>
  <c r="V1922" i="5"/>
  <c r="V1932" i="5"/>
  <c r="V1942" i="5"/>
  <c r="V1952" i="5"/>
  <c r="V1962" i="5"/>
  <c r="V1972" i="5"/>
  <c r="V1982" i="5"/>
  <c r="V1992" i="5"/>
  <c r="V2002" i="5"/>
  <c r="V1183" i="5"/>
  <c r="V1193" i="5"/>
  <c r="V1203" i="5"/>
  <c r="V1213" i="5"/>
  <c r="V1223" i="5"/>
  <c r="V1233" i="5"/>
  <c r="V1243" i="5"/>
  <c r="V1253" i="5"/>
  <c r="V1263" i="5"/>
  <c r="V1273" i="5"/>
  <c r="V1283" i="5"/>
  <c r="V1293" i="5"/>
  <c r="V1303" i="5"/>
  <c r="V1313" i="5"/>
  <c r="V1323" i="5"/>
  <c r="V1333" i="5"/>
  <c r="V1343" i="5"/>
  <c r="V1353" i="5"/>
  <c r="V1363" i="5"/>
  <c r="V1373" i="5"/>
  <c r="V1383" i="5"/>
  <c r="V1393" i="5"/>
  <c r="V1403" i="5"/>
  <c r="V1413" i="5"/>
  <c r="V1423" i="5"/>
  <c r="V1433" i="5"/>
  <c r="V1443" i="5"/>
  <c r="V1453" i="5"/>
  <c r="V1463" i="5"/>
  <c r="V1473" i="5"/>
  <c r="V1483" i="5"/>
  <c r="V1493" i="5"/>
  <c r="V1503" i="5"/>
  <c r="V1513" i="5"/>
  <c r="V1523" i="5"/>
  <c r="V1533" i="5"/>
  <c r="V1543" i="5"/>
  <c r="V1553" i="5"/>
  <c r="V1563" i="5"/>
  <c r="V1573" i="5"/>
  <c r="V1583" i="5"/>
  <c r="V1593" i="5"/>
  <c r="V1603" i="5"/>
  <c r="V1613" i="5"/>
  <c r="V1623" i="5"/>
  <c r="V1633" i="5"/>
  <c r="V1643" i="5"/>
  <c r="V1653" i="5"/>
  <c r="V1663" i="5"/>
  <c r="V1673" i="5"/>
  <c r="V1683" i="5"/>
  <c r="V1693" i="5"/>
  <c r="V1703" i="5"/>
  <c r="V1713" i="5"/>
  <c r="V1723" i="5"/>
  <c r="V1733" i="5"/>
  <c r="V1743" i="5"/>
  <c r="V1753" i="5"/>
  <c r="V1763" i="5"/>
  <c r="V1773" i="5"/>
  <c r="V1783" i="5"/>
  <c r="V1793" i="5"/>
  <c r="V1803" i="5"/>
  <c r="V1813" i="5"/>
  <c r="V1823" i="5"/>
  <c r="V1833" i="5"/>
  <c r="V1843" i="5"/>
  <c r="V1853" i="5"/>
  <c r="V1863" i="5"/>
  <c r="V1873" i="5"/>
  <c r="V1883" i="5"/>
  <c r="V1893" i="5"/>
  <c r="V1903" i="5"/>
  <c r="V1913" i="5"/>
  <c r="V1923" i="5"/>
  <c r="V1933" i="5"/>
  <c r="V1943" i="5"/>
  <c r="V1953" i="5"/>
  <c r="V1963" i="5"/>
  <c r="V1973" i="5"/>
  <c r="V1983" i="5"/>
  <c r="V1993" i="5"/>
  <c r="V2003" i="5"/>
  <c r="V1154" i="5"/>
  <c r="V1164" i="5"/>
  <c r="V1174" i="5"/>
  <c r="V1184" i="5"/>
  <c r="V1194" i="5"/>
  <c r="V1204" i="5"/>
  <c r="V1214" i="5"/>
  <c r="V1224" i="5"/>
  <c r="V1234" i="5"/>
  <c r="V1244" i="5"/>
  <c r="V1254" i="5"/>
  <c r="V1264" i="5"/>
  <c r="V1274" i="5"/>
  <c r="V1284" i="5"/>
  <c r="V1294" i="5"/>
  <c r="V1304" i="5"/>
  <c r="V1314" i="5"/>
  <c r="V1324" i="5"/>
  <c r="V1334" i="5"/>
  <c r="V1344" i="5"/>
  <c r="V1354" i="5"/>
  <c r="V1364" i="5"/>
  <c r="V1374" i="5"/>
  <c r="V1384" i="5"/>
  <c r="V1394" i="5"/>
  <c r="V1404" i="5"/>
  <c r="V1414" i="5"/>
  <c r="V1424" i="5"/>
  <c r="V1434" i="5"/>
  <c r="V1444" i="5"/>
  <c r="V1454" i="5"/>
  <c r="V1464" i="5"/>
  <c r="V1474" i="5"/>
  <c r="V1484" i="5"/>
  <c r="V1494" i="5"/>
  <c r="V1504" i="5"/>
  <c r="V1514" i="5"/>
  <c r="V1524" i="5"/>
  <c r="V1534" i="5"/>
  <c r="V1544" i="5"/>
  <c r="V1554" i="5"/>
  <c r="V1564" i="5"/>
  <c r="V1574" i="5"/>
  <c r="V1584" i="5"/>
  <c r="V1594" i="5"/>
  <c r="V1604" i="5"/>
  <c r="V1614" i="5"/>
  <c r="V1624" i="5"/>
  <c r="V1634" i="5"/>
  <c r="V1644" i="5"/>
  <c r="V1654" i="5"/>
  <c r="V1664" i="5"/>
  <c r="V1674" i="5"/>
  <c r="V1684" i="5"/>
  <c r="V1694" i="5"/>
  <c r="V1704" i="5"/>
  <c r="V1714" i="5"/>
  <c r="V1724" i="5"/>
  <c r="V1734" i="5"/>
  <c r="V1744" i="5"/>
  <c r="V1754" i="5"/>
  <c r="V1764" i="5"/>
  <c r="V1774" i="5"/>
  <c r="V1784" i="5"/>
  <c r="V1794" i="5"/>
  <c r="V1804" i="5"/>
  <c r="V1814" i="5"/>
  <c r="V1824" i="5"/>
  <c r="V1834" i="5"/>
  <c r="V1844" i="5"/>
  <c r="V1854" i="5"/>
  <c r="V1864" i="5"/>
  <c r="V1874" i="5"/>
  <c r="V1884" i="5"/>
  <c r="V1894" i="5"/>
  <c r="V1904" i="5"/>
  <c r="V1914" i="5"/>
  <c r="V1924" i="5"/>
  <c r="V1934" i="5"/>
  <c r="V1944" i="5"/>
  <c r="V1954" i="5"/>
  <c r="V1964" i="5"/>
  <c r="V1974" i="5"/>
  <c r="V1984" i="5"/>
  <c r="V1994" i="5"/>
  <c r="V2004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5" i="5"/>
  <c r="G1946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5" i="5"/>
  <c r="G1006" i="5"/>
  <c r="G1007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5" i="5"/>
  <c r="G966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 a="1"/>
  <c r="G704" i="5"/>
  <c r="G703" i="5" a="1"/>
  <c r="G703" i="5"/>
  <c r="G702" i="5" a="1"/>
  <c r="G702" i="5"/>
  <c r="G701" i="5" a="1"/>
  <c r="G701" i="5"/>
  <c r="G700" i="5" a="1"/>
  <c r="G700" i="5"/>
  <c r="G699" i="5" a="1"/>
  <c r="G699" i="5"/>
  <c r="G698" i="5" a="1"/>
  <c r="G698" i="5"/>
  <c r="G697" i="5" a="1"/>
  <c r="G697" i="5"/>
  <c r="G696" i="5" a="1"/>
  <c r="G696" i="5"/>
  <c r="G695" i="5" a="1"/>
  <c r="G695" i="5"/>
  <c r="G694" i="5" a="1"/>
  <c r="G694" i="5"/>
  <c r="G693" i="5" a="1"/>
  <c r="G693" i="5"/>
  <c r="G692" i="5" a="1"/>
  <c r="G692" i="5"/>
  <c r="G691" i="5" a="1"/>
  <c r="G691" i="5"/>
  <c r="G690" i="5" a="1"/>
  <c r="G690" i="5"/>
  <c r="G689" i="5" a="1"/>
  <c r="G689" i="5"/>
  <c r="G688" i="5" a="1"/>
  <c r="G688" i="5"/>
  <c r="G687" i="5" a="1"/>
  <c r="G687" i="5"/>
  <c r="G686" i="5" a="1"/>
  <c r="G686" i="5"/>
  <c r="G685" i="5" a="1"/>
  <c r="G685" i="5"/>
  <c r="G684" i="5" a="1"/>
  <c r="G684" i="5"/>
  <c r="G683" i="5" a="1"/>
  <c r="G683" i="5"/>
  <c r="G682" i="5" a="1"/>
  <c r="G682" i="5"/>
  <c r="G681" i="5" a="1"/>
  <c r="G681" i="5"/>
  <c r="G680" i="5" a="1"/>
  <c r="G680" i="5"/>
  <c r="G679" i="5" a="1"/>
  <c r="G679" i="5"/>
  <c r="G678" i="5" a="1"/>
  <c r="G678" i="5"/>
  <c r="G677" i="5" a="1"/>
  <c r="G677" i="5"/>
  <c r="G676" i="5" a="1"/>
  <c r="G676" i="5"/>
  <c r="G675" i="5" a="1"/>
  <c r="G675" i="5"/>
  <c r="G674" i="5" a="1"/>
  <c r="G674" i="5"/>
  <c r="G673" i="5" a="1"/>
  <c r="G673" i="5"/>
  <c r="G672" i="5" a="1"/>
  <c r="G672" i="5"/>
  <c r="G671" i="5" a="1"/>
  <c r="G671" i="5"/>
  <c r="G670" i="5" a="1"/>
  <c r="G670" i="5"/>
  <c r="G669" i="5" a="1"/>
  <c r="G669" i="5"/>
  <c r="G668" i="5" a="1"/>
  <c r="G668" i="5"/>
  <c r="G667" i="5" a="1"/>
  <c r="G667" i="5"/>
  <c r="G666" i="5" a="1"/>
  <c r="G666" i="5"/>
  <c r="G665" i="5" a="1"/>
  <c r="G665" i="5"/>
  <c r="G664" i="5" a="1"/>
  <c r="G664" i="5"/>
  <c r="G663" i="5" a="1"/>
  <c r="G663" i="5"/>
  <c r="G662" i="5" a="1"/>
  <c r="G662" i="5"/>
  <c r="G661" i="5" a="1"/>
  <c r="G661" i="5"/>
  <c r="G660" i="5" a="1"/>
  <c r="G660" i="5"/>
  <c r="G659" i="5" a="1"/>
  <c r="G659" i="5"/>
  <c r="G658" i="5" a="1"/>
  <c r="G658" i="5"/>
  <c r="G657" i="5" a="1"/>
  <c r="G657" i="5"/>
  <c r="G656" i="5" a="1"/>
  <c r="G656" i="5"/>
  <c r="G655" i="5" a="1"/>
  <c r="G655" i="5"/>
  <c r="G654" i="5" a="1"/>
  <c r="G654" i="5"/>
  <c r="G653" i="5" a="1"/>
  <c r="G653" i="5"/>
  <c r="G652" i="5" a="1"/>
  <c r="G652" i="5"/>
  <c r="G651" i="5" a="1"/>
  <c r="G651" i="5"/>
  <c r="G650" i="5" a="1"/>
  <c r="G650" i="5"/>
  <c r="G649" i="5" a="1"/>
  <c r="G649" i="5"/>
  <c r="G648" i="5" a="1"/>
  <c r="G648" i="5"/>
  <c r="G647" i="5" a="1"/>
  <c r="G647" i="5"/>
  <c r="G646" i="5" a="1"/>
  <c r="G646" i="5"/>
  <c r="G645" i="5" a="1"/>
  <c r="G645" i="5"/>
  <c r="G644" i="5" a="1"/>
  <c r="G644" i="5"/>
  <c r="G643" i="5" a="1"/>
  <c r="G643" i="5"/>
  <c r="G642" i="5" a="1"/>
  <c r="G642" i="5"/>
  <c r="G641" i="5" a="1"/>
  <c r="G641" i="5"/>
  <c r="G640" i="5" a="1"/>
  <c r="G640" i="5"/>
  <c r="G639" i="5" a="1"/>
  <c r="G639" i="5"/>
  <c r="G638" i="5" a="1"/>
  <c r="G638" i="5"/>
  <c r="G637" i="5" a="1"/>
  <c r="G637" i="5"/>
  <c r="G636" i="5" a="1"/>
  <c r="G636" i="5"/>
  <c r="G635" i="5" a="1"/>
  <c r="G635" i="5"/>
  <c r="G634" i="5" a="1"/>
  <c r="G634" i="5"/>
  <c r="G633" i="5" a="1"/>
  <c r="G633" i="5"/>
  <c r="G632" i="5" a="1"/>
  <c r="G632" i="5"/>
  <c r="G631" i="5" a="1"/>
  <c r="G631" i="5"/>
  <c r="G630" i="5" a="1"/>
  <c r="G630" i="5"/>
  <c r="G629" i="5" a="1"/>
  <c r="G629" i="5"/>
  <c r="G628" i="5" a="1"/>
  <c r="G628" i="5"/>
  <c r="G627" i="5" a="1"/>
  <c r="G627" i="5"/>
  <c r="G626" i="5" a="1"/>
  <c r="G626" i="5"/>
  <c r="G625" i="5" a="1"/>
  <c r="G625" i="5"/>
  <c r="G624" i="5" a="1"/>
  <c r="G624" i="5"/>
  <c r="G623" i="5" a="1"/>
  <c r="G623" i="5"/>
  <c r="G622" i="5" a="1"/>
  <c r="G622" i="5"/>
  <c r="G621" i="5" a="1"/>
  <c r="G621" i="5"/>
  <c r="G620" i="5" a="1"/>
  <c r="G620" i="5"/>
  <c r="G619" i="5" a="1"/>
  <c r="G619" i="5"/>
  <c r="G618" i="5" a="1"/>
  <c r="G618" i="5"/>
  <c r="G617" i="5" a="1"/>
  <c r="G617" i="5"/>
  <c r="G616" i="5" a="1"/>
  <c r="G616" i="5"/>
  <c r="G615" i="5" a="1"/>
  <c r="G615" i="5"/>
  <c r="G614" i="5" a="1"/>
  <c r="G614" i="5"/>
  <c r="G613" i="5" a="1"/>
  <c r="G613" i="5"/>
  <c r="G612" i="5" a="1"/>
  <c r="G612" i="5"/>
  <c r="G611" i="5" a="1"/>
  <c r="G611" i="5"/>
  <c r="G610" i="5" a="1"/>
  <c r="G610" i="5"/>
  <c r="G609" i="5" a="1"/>
  <c r="G609" i="5"/>
  <c r="G608" i="5" a="1"/>
  <c r="G608" i="5"/>
  <c r="G607" i="5" a="1"/>
  <c r="G607" i="5"/>
  <c r="G606" i="5" a="1"/>
  <c r="G606" i="5"/>
  <c r="G605" i="5" a="1"/>
  <c r="G605" i="5"/>
  <c r="G601" i="5" a="1"/>
  <c r="G601" i="5"/>
  <c r="G591" i="5" a="1"/>
  <c r="G591" i="5"/>
  <c r="G581" i="5" a="1"/>
  <c r="G581" i="5"/>
  <c r="G574" i="5" a="1"/>
  <c r="G574" i="5"/>
  <c r="G573" i="5" a="1"/>
  <c r="G573" i="5"/>
  <c r="G572" i="5" a="1"/>
  <c r="G572" i="5"/>
  <c r="G571" i="5" a="1"/>
  <c r="G571" i="5"/>
  <c r="G570" i="5" a="1"/>
  <c r="G570" i="5"/>
  <c r="G569" i="5" a="1"/>
  <c r="G569" i="5"/>
  <c r="G568" i="5" a="1"/>
  <c r="G568" i="5"/>
  <c r="G567" i="5" a="1"/>
  <c r="G567" i="5"/>
  <c r="G566" i="5" a="1"/>
  <c r="G566" i="5"/>
  <c r="G565" i="5" a="1"/>
  <c r="G565" i="5"/>
  <c r="G561" i="5" a="1"/>
  <c r="G561" i="5"/>
  <c r="G551" i="5" a="1"/>
  <c r="G551" i="5"/>
  <c r="G541" i="5" a="1"/>
  <c r="G541" i="5"/>
  <c r="G531" i="5" a="1"/>
  <c r="G531" i="5"/>
  <c r="G521" i="5" a="1"/>
  <c r="G521" i="5"/>
  <c r="G511" i="5" a="1"/>
  <c r="G511" i="5"/>
  <c r="G501" i="5" a="1"/>
  <c r="G501" i="5"/>
  <c r="G491" i="5" a="1"/>
  <c r="G491" i="5"/>
  <c r="G481" i="5" a="1"/>
  <c r="G481" i="5"/>
  <c r="G474" i="5" a="1"/>
  <c r="G474" i="5"/>
  <c r="G473" i="5" a="1"/>
  <c r="G473" i="5"/>
  <c r="G472" i="5" a="1"/>
  <c r="G472" i="5"/>
  <c r="G471" i="5" a="1"/>
  <c r="G471" i="5"/>
  <c r="G470" i="5" a="1"/>
  <c r="G470" i="5"/>
  <c r="G469" i="5" a="1"/>
  <c r="G469" i="5"/>
  <c r="G468" i="5" a="1"/>
  <c r="G468" i="5"/>
  <c r="G467" i="5" a="1"/>
  <c r="G467" i="5"/>
  <c r="G466" i="5" a="1"/>
  <c r="G466" i="5"/>
  <c r="G465" i="5" a="1"/>
  <c r="G465" i="5"/>
  <c r="G461" i="5" a="1"/>
  <c r="G461" i="5"/>
  <c r="G451" i="5" a="1"/>
  <c r="G451" i="5"/>
  <c r="G441" i="5" a="1"/>
  <c r="G441" i="5"/>
  <c r="G431" i="5" a="1"/>
  <c r="G431" i="5"/>
  <c r="G421" i="5" a="1"/>
  <c r="G421" i="5"/>
  <c r="G411" i="5" a="1"/>
  <c r="G411" i="5"/>
  <c r="G401" i="5" a="1"/>
  <c r="G401" i="5"/>
  <c r="G391" i="5" a="1"/>
  <c r="G391" i="5"/>
  <c r="G381" i="5" a="1"/>
  <c r="G381" i="5"/>
  <c r="G374" i="5" a="1"/>
  <c r="G374" i="5"/>
  <c r="G373" i="5" a="1"/>
  <c r="G373" i="5"/>
  <c r="G372" i="5" a="1"/>
  <c r="G372" i="5"/>
  <c r="G371" i="5" a="1"/>
  <c r="G371" i="5"/>
  <c r="G370" i="5" a="1"/>
  <c r="G370" i="5"/>
  <c r="G369" i="5" a="1"/>
  <c r="G369" i="5"/>
  <c r="G368" i="5" a="1"/>
  <c r="G368" i="5"/>
  <c r="G367" i="5" a="1"/>
  <c r="G367" i="5"/>
  <c r="G366" i="5" a="1"/>
  <c r="G366" i="5"/>
  <c r="G365" i="5" a="1"/>
  <c r="G365" i="5"/>
  <c r="G361" i="5" a="1"/>
  <c r="G361" i="5"/>
  <c r="G351" i="5" a="1"/>
  <c r="G351" i="5"/>
  <c r="G341" i="5" a="1"/>
  <c r="G341" i="5"/>
  <c r="G331" i="5" a="1"/>
  <c r="G331" i="5"/>
  <c r="G321" i="5" a="1"/>
  <c r="G321" i="5"/>
  <c r="G311" i="5" a="1"/>
  <c r="G311" i="5"/>
  <c r="G301" i="5" a="1"/>
  <c r="G301" i="5"/>
  <c r="G291" i="5" a="1"/>
  <c r="G291" i="5"/>
  <c r="G281" i="5" a="1"/>
  <c r="G281" i="5"/>
  <c r="G274" i="5" a="1"/>
  <c r="G274" i="5"/>
  <c r="G273" i="5" a="1"/>
  <c r="G273" i="5"/>
  <c r="G272" i="5" a="1"/>
  <c r="G272" i="5"/>
  <c r="G271" i="5" a="1"/>
  <c r="G271" i="5"/>
  <c r="G270" i="5" a="1"/>
  <c r="G270" i="5"/>
  <c r="G269" i="5" a="1"/>
  <c r="G269" i="5"/>
  <c r="G268" i="5" a="1"/>
  <c r="G268" i="5"/>
  <c r="G267" i="5" a="1"/>
  <c r="G267" i="5"/>
  <c r="G266" i="5" a="1"/>
  <c r="G266" i="5"/>
  <c r="G265" i="5" a="1"/>
  <c r="G265" i="5"/>
  <c r="G261" i="5" a="1"/>
  <c r="G261" i="5"/>
  <c r="G251" i="5" a="1"/>
  <c r="G251" i="5"/>
  <c r="G241" i="5" a="1"/>
  <c r="G241" i="5"/>
  <c r="G231" i="5" a="1"/>
  <c r="G231" i="5"/>
  <c r="G221" i="5" a="1"/>
  <c r="G221" i="5"/>
  <c r="G211" i="5" a="1"/>
  <c r="G211" i="5"/>
  <c r="G201" i="5" a="1"/>
  <c r="G201" i="5"/>
  <c r="G191" i="5" a="1"/>
  <c r="G191" i="5"/>
  <c r="G181" i="5" a="1"/>
  <c r="G181" i="5"/>
  <c r="G174" i="5" a="1"/>
  <c r="G174" i="5"/>
  <c r="G173" i="5" a="1"/>
  <c r="G173" i="5"/>
  <c r="G172" i="5" a="1"/>
  <c r="G172" i="5"/>
  <c r="G171" i="5" a="1"/>
  <c r="G171" i="5"/>
  <c r="G170" i="5" a="1"/>
  <c r="G170" i="5"/>
  <c r="G169" i="5" a="1"/>
  <c r="G169" i="5"/>
  <c r="G168" i="5" a="1"/>
  <c r="G168" i="5"/>
  <c r="G167" i="5" a="1"/>
  <c r="G167" i="5"/>
  <c r="G166" i="5" a="1"/>
  <c r="G166" i="5"/>
  <c r="G165" i="5" a="1"/>
  <c r="G165" i="5"/>
  <c r="G161" i="5" a="1"/>
  <c r="G161" i="5"/>
  <c r="G151" i="5" a="1"/>
  <c r="G151" i="5"/>
  <c r="G141" i="5" a="1"/>
  <c r="G141" i="5"/>
  <c r="G131" i="5" a="1"/>
  <c r="G131" i="5"/>
  <c r="G121" i="5" a="1"/>
  <c r="G121" i="5"/>
  <c r="G111" i="5" a="1"/>
  <c r="G111" i="5"/>
  <c r="G101" i="5" a="1"/>
  <c r="G101" i="5"/>
  <c r="V91" i="5" a="1"/>
  <c r="V91" i="5"/>
  <c r="U91" i="5" a="1"/>
  <c r="U91" i="5"/>
  <c r="T91" i="5" a="1"/>
  <c r="T91" i="5"/>
  <c r="S91" i="5" a="1"/>
  <c r="S91" i="5"/>
  <c r="R91" i="5" a="1"/>
  <c r="R91" i="5"/>
  <c r="Q91" i="5" a="1"/>
  <c r="Q91" i="5"/>
  <c r="P91" i="5" a="1"/>
  <c r="P91" i="5"/>
  <c r="O91" i="5" a="1"/>
  <c r="O91" i="5"/>
  <c r="N91" i="5" a="1"/>
  <c r="N91" i="5"/>
  <c r="M91" i="5" a="1"/>
  <c r="M91" i="5"/>
  <c r="L91" i="5" a="1"/>
  <c r="L91" i="5"/>
  <c r="K91" i="5" a="1"/>
  <c r="K91" i="5"/>
  <c r="J91" i="5" a="1"/>
  <c r="J91" i="5"/>
  <c r="I91" i="5" a="1"/>
  <c r="I91" i="5"/>
  <c r="H91" i="5" a="1"/>
  <c r="H91" i="5"/>
  <c r="G91" i="5" a="1"/>
  <c r="G91" i="5"/>
  <c r="V81" i="5" a="1"/>
  <c r="V81" i="5"/>
  <c r="U81" i="5" a="1"/>
  <c r="U81" i="5"/>
  <c r="T81" i="5" a="1"/>
  <c r="T81" i="5"/>
  <c r="S81" i="5" a="1"/>
  <c r="S81" i="5"/>
  <c r="R81" i="5" a="1"/>
  <c r="R81" i="5"/>
  <c r="Q81" i="5" a="1"/>
  <c r="Q81" i="5"/>
  <c r="P81" i="5" a="1"/>
  <c r="P81" i="5"/>
  <c r="O81" i="5" a="1"/>
  <c r="O81" i="5"/>
  <c r="N81" i="5" a="1"/>
  <c r="N81" i="5"/>
  <c r="M81" i="5" a="1"/>
  <c r="M81" i="5"/>
  <c r="L81" i="5" a="1"/>
  <c r="L81" i="5"/>
  <c r="K81" i="5" a="1"/>
  <c r="K81" i="5"/>
  <c r="J81" i="5" a="1"/>
  <c r="J81" i="5"/>
  <c r="I81" i="5" a="1"/>
  <c r="I81" i="5"/>
  <c r="H81" i="5" a="1"/>
  <c r="H81" i="5"/>
  <c r="G81" i="5" a="1"/>
  <c r="G81" i="5"/>
  <c r="V74" i="5" a="1"/>
  <c r="V74" i="5"/>
  <c r="U74" i="5" a="1"/>
  <c r="U74" i="5"/>
  <c r="T74" i="5" a="1"/>
  <c r="T74" i="5"/>
  <c r="S74" i="5" a="1"/>
  <c r="S74" i="5"/>
  <c r="R74" i="5" a="1"/>
  <c r="R74" i="5"/>
  <c r="Q74" i="5" a="1"/>
  <c r="Q74" i="5"/>
  <c r="P74" i="5" a="1"/>
  <c r="P74" i="5"/>
  <c r="O74" i="5" a="1"/>
  <c r="O74" i="5"/>
  <c r="N74" i="5" a="1"/>
  <c r="N74" i="5"/>
  <c r="M74" i="5" a="1"/>
  <c r="M74" i="5"/>
  <c r="L74" i="5" a="1"/>
  <c r="L74" i="5"/>
  <c r="K74" i="5" a="1"/>
  <c r="K74" i="5"/>
  <c r="J74" i="5" a="1"/>
  <c r="J74" i="5"/>
  <c r="I74" i="5" a="1"/>
  <c r="I74" i="5"/>
  <c r="H74" i="5" a="1"/>
  <c r="H74" i="5"/>
  <c r="G74" i="5" a="1"/>
  <c r="G74" i="5"/>
  <c r="V73" i="5" a="1"/>
  <c r="V73" i="5"/>
  <c r="U73" i="5" a="1"/>
  <c r="U73" i="5"/>
  <c r="T73" i="5" a="1"/>
  <c r="T73" i="5"/>
  <c r="S73" i="5" a="1"/>
  <c r="S73" i="5"/>
  <c r="R73" i="5" a="1"/>
  <c r="R73" i="5"/>
  <c r="Q73" i="5" a="1"/>
  <c r="Q73" i="5"/>
  <c r="P73" i="5" a="1"/>
  <c r="P73" i="5"/>
  <c r="O73" i="5" a="1"/>
  <c r="O73" i="5"/>
  <c r="N73" i="5" a="1"/>
  <c r="N73" i="5"/>
  <c r="M73" i="5" a="1"/>
  <c r="M73" i="5"/>
  <c r="L73" i="5" a="1"/>
  <c r="L73" i="5"/>
  <c r="K73" i="5" a="1"/>
  <c r="K73" i="5"/>
  <c r="J73" i="5" a="1"/>
  <c r="J73" i="5"/>
  <c r="I73" i="5" a="1"/>
  <c r="I73" i="5"/>
  <c r="H73" i="5" a="1"/>
  <c r="H73" i="5"/>
  <c r="G73" i="5" a="1"/>
  <c r="G73" i="5"/>
  <c r="V72" i="5" a="1"/>
  <c r="V72" i="5"/>
  <c r="U72" i="5" a="1"/>
  <c r="U72" i="5"/>
  <c r="T72" i="5" a="1"/>
  <c r="T72" i="5"/>
  <c r="S72" i="5" a="1"/>
  <c r="S72" i="5"/>
  <c r="R72" i="5" a="1"/>
  <c r="R72" i="5"/>
  <c r="Q72" i="5" a="1"/>
  <c r="Q72" i="5"/>
  <c r="P72" i="5" a="1"/>
  <c r="P72" i="5"/>
  <c r="O72" i="5" a="1"/>
  <c r="O72" i="5"/>
  <c r="N72" i="5" a="1"/>
  <c r="N72" i="5"/>
  <c r="M72" i="5" a="1"/>
  <c r="M72" i="5"/>
  <c r="L72" i="5" a="1"/>
  <c r="L72" i="5"/>
  <c r="K72" i="5" a="1"/>
  <c r="K72" i="5"/>
  <c r="J72" i="5" a="1"/>
  <c r="J72" i="5"/>
  <c r="I72" i="5" a="1"/>
  <c r="I72" i="5"/>
  <c r="H72" i="5" a="1"/>
  <c r="H72" i="5"/>
  <c r="G72" i="5" a="1"/>
  <c r="G72" i="5"/>
  <c r="V71" i="5" a="1"/>
  <c r="V71" i="5"/>
  <c r="U71" i="5" a="1"/>
  <c r="U71" i="5"/>
  <c r="T71" i="5" a="1"/>
  <c r="T71" i="5"/>
  <c r="S71" i="5" a="1"/>
  <c r="S71" i="5"/>
  <c r="R71" i="5" a="1"/>
  <c r="R71" i="5"/>
  <c r="Q71" i="5" a="1"/>
  <c r="Q71" i="5"/>
  <c r="P71" i="5" a="1"/>
  <c r="P71" i="5"/>
  <c r="O71" i="5" a="1"/>
  <c r="O71" i="5"/>
  <c r="N71" i="5" a="1"/>
  <c r="N71" i="5"/>
  <c r="M71" i="5" a="1"/>
  <c r="M71" i="5"/>
  <c r="L71" i="5" a="1"/>
  <c r="L71" i="5"/>
  <c r="K71" i="5" a="1"/>
  <c r="K71" i="5"/>
  <c r="J71" i="5" a="1"/>
  <c r="J71" i="5"/>
  <c r="I71" i="5" a="1"/>
  <c r="I71" i="5"/>
  <c r="H71" i="5" a="1"/>
  <c r="H71" i="5"/>
  <c r="G71" i="5" a="1"/>
  <c r="G71" i="5"/>
  <c r="V70" i="5" a="1"/>
  <c r="V70" i="5"/>
  <c r="U70" i="5" a="1"/>
  <c r="U70" i="5"/>
  <c r="T70" i="5" a="1"/>
  <c r="T70" i="5"/>
  <c r="S70" i="5" a="1"/>
  <c r="S70" i="5"/>
  <c r="R70" i="5" a="1"/>
  <c r="R70" i="5"/>
  <c r="Q70" i="5" a="1"/>
  <c r="Q70" i="5"/>
  <c r="P70" i="5" a="1"/>
  <c r="P70" i="5"/>
  <c r="O70" i="5" a="1"/>
  <c r="O70" i="5"/>
  <c r="N70" i="5" a="1"/>
  <c r="N70" i="5"/>
  <c r="M70" i="5" a="1"/>
  <c r="M70" i="5"/>
  <c r="L70" i="5" a="1"/>
  <c r="L70" i="5"/>
  <c r="K70" i="5" a="1"/>
  <c r="K70" i="5"/>
  <c r="J70" i="5" a="1"/>
  <c r="J70" i="5"/>
  <c r="I70" i="5" a="1"/>
  <c r="I70" i="5"/>
  <c r="H70" i="5" a="1"/>
  <c r="H70" i="5"/>
  <c r="G70" i="5" a="1"/>
  <c r="G70" i="5"/>
  <c r="V69" i="5" a="1"/>
  <c r="V69" i="5"/>
  <c r="U69" i="5" a="1"/>
  <c r="U69" i="5"/>
  <c r="T69" i="5" a="1"/>
  <c r="T69" i="5"/>
  <c r="S69" i="5" a="1"/>
  <c r="S69" i="5"/>
  <c r="R69" i="5" a="1"/>
  <c r="R69" i="5"/>
  <c r="Q69" i="5" a="1"/>
  <c r="Q69" i="5"/>
  <c r="P69" i="5" a="1"/>
  <c r="P69" i="5"/>
  <c r="O69" i="5" a="1"/>
  <c r="O69" i="5"/>
  <c r="N69" i="5" a="1"/>
  <c r="N69" i="5"/>
  <c r="M69" i="5" a="1"/>
  <c r="M69" i="5"/>
  <c r="L69" i="5" a="1"/>
  <c r="L69" i="5"/>
  <c r="K69" i="5" a="1"/>
  <c r="K69" i="5"/>
  <c r="J69" i="5" a="1"/>
  <c r="J69" i="5"/>
  <c r="I69" i="5" a="1"/>
  <c r="I69" i="5"/>
  <c r="H69" i="5" a="1"/>
  <c r="H69" i="5"/>
  <c r="G69" i="5" a="1"/>
  <c r="G69" i="5"/>
  <c r="V68" i="5" a="1"/>
  <c r="V68" i="5"/>
  <c r="U68" i="5" a="1"/>
  <c r="U68" i="5"/>
  <c r="T68" i="5" a="1"/>
  <c r="T68" i="5"/>
  <c r="S68" i="5" a="1"/>
  <c r="S68" i="5"/>
  <c r="R68" i="5" a="1"/>
  <c r="R68" i="5"/>
  <c r="Q68" i="5" a="1"/>
  <c r="Q68" i="5"/>
  <c r="P68" i="5" a="1"/>
  <c r="P68" i="5"/>
  <c r="O68" i="5" a="1"/>
  <c r="O68" i="5"/>
  <c r="N68" i="5" a="1"/>
  <c r="N68" i="5"/>
  <c r="M68" i="5" a="1"/>
  <c r="M68" i="5"/>
  <c r="L68" i="5" a="1"/>
  <c r="L68" i="5"/>
  <c r="K68" i="5" a="1"/>
  <c r="K68" i="5"/>
  <c r="J68" i="5" a="1"/>
  <c r="J68" i="5"/>
  <c r="I68" i="5" a="1"/>
  <c r="I68" i="5"/>
  <c r="H68" i="5" a="1"/>
  <c r="H68" i="5"/>
  <c r="G68" i="5" a="1"/>
  <c r="G68" i="5"/>
  <c r="V67" i="5" a="1"/>
  <c r="V67" i="5"/>
  <c r="U67" i="5" a="1"/>
  <c r="U67" i="5"/>
  <c r="T67" i="5" a="1"/>
  <c r="T67" i="5"/>
  <c r="S67" i="5" a="1"/>
  <c r="S67" i="5"/>
  <c r="R67" i="5" a="1"/>
  <c r="R67" i="5"/>
  <c r="Q67" i="5" a="1"/>
  <c r="Q67" i="5"/>
  <c r="P67" i="5" a="1"/>
  <c r="P67" i="5"/>
  <c r="O67" i="5" a="1"/>
  <c r="O67" i="5"/>
  <c r="N67" i="5" a="1"/>
  <c r="N67" i="5"/>
  <c r="M67" i="5" a="1"/>
  <c r="M67" i="5"/>
  <c r="L67" i="5" a="1"/>
  <c r="L67" i="5"/>
  <c r="K67" i="5" a="1"/>
  <c r="K67" i="5"/>
  <c r="J67" i="5" a="1"/>
  <c r="J67" i="5"/>
  <c r="I67" i="5" a="1"/>
  <c r="I67" i="5"/>
  <c r="H67" i="5" a="1"/>
  <c r="H67" i="5"/>
  <c r="G67" i="5" a="1"/>
  <c r="G67" i="5"/>
  <c r="V66" i="5" a="1"/>
  <c r="V66" i="5"/>
  <c r="U66" i="5" a="1"/>
  <c r="U66" i="5"/>
  <c r="T66" i="5" a="1"/>
  <c r="T66" i="5"/>
  <c r="S66" i="5" a="1"/>
  <c r="S66" i="5"/>
  <c r="R66" i="5" a="1"/>
  <c r="R66" i="5"/>
  <c r="Q66" i="5" a="1"/>
  <c r="Q66" i="5"/>
  <c r="P66" i="5" a="1"/>
  <c r="P66" i="5"/>
  <c r="O66" i="5" a="1"/>
  <c r="O66" i="5"/>
  <c r="N66" i="5" a="1"/>
  <c r="N66" i="5"/>
  <c r="M66" i="5" a="1"/>
  <c r="M66" i="5"/>
  <c r="L66" i="5" a="1"/>
  <c r="L66" i="5"/>
  <c r="K66" i="5" a="1"/>
  <c r="K66" i="5"/>
  <c r="J66" i="5" a="1"/>
  <c r="J66" i="5"/>
  <c r="I66" i="5" a="1"/>
  <c r="I66" i="5"/>
  <c r="H66" i="5" a="1"/>
  <c r="H66" i="5"/>
  <c r="G66" i="5" a="1"/>
  <c r="G66" i="5"/>
  <c r="V65" i="5" a="1"/>
  <c r="V65" i="5"/>
  <c r="U65" i="5" a="1"/>
  <c r="U65" i="5"/>
  <c r="T65" i="5" a="1"/>
  <c r="T65" i="5"/>
  <c r="S65" i="5" a="1"/>
  <c r="S65" i="5"/>
  <c r="R65" i="5" a="1"/>
  <c r="R65" i="5"/>
  <c r="Q65" i="5" a="1"/>
  <c r="Q65" i="5"/>
  <c r="P65" i="5" a="1"/>
  <c r="P65" i="5"/>
  <c r="O65" i="5" a="1"/>
  <c r="O65" i="5"/>
  <c r="N65" i="5" a="1"/>
  <c r="N65" i="5"/>
  <c r="M65" i="5" a="1"/>
  <c r="M65" i="5"/>
  <c r="L65" i="5" a="1"/>
  <c r="L65" i="5"/>
  <c r="K65" i="5" a="1"/>
  <c r="K65" i="5"/>
  <c r="J65" i="5" a="1"/>
  <c r="J65" i="5"/>
  <c r="I65" i="5" a="1"/>
  <c r="I65" i="5"/>
  <c r="H65" i="5" a="1"/>
  <c r="H65" i="5"/>
  <c r="G65" i="5" a="1"/>
  <c r="G65" i="5"/>
  <c r="V61" i="5" a="1"/>
  <c r="V61" i="5"/>
  <c r="U61" i="5" a="1"/>
  <c r="U61" i="5"/>
  <c r="T61" i="5" a="1"/>
  <c r="T61" i="5"/>
  <c r="S61" i="5" a="1"/>
  <c r="S61" i="5"/>
  <c r="R61" i="5" a="1"/>
  <c r="R61" i="5"/>
  <c r="Q61" i="5" a="1"/>
  <c r="Q61" i="5"/>
  <c r="P61" i="5" a="1"/>
  <c r="P61" i="5"/>
  <c r="O61" i="5" a="1"/>
  <c r="O61" i="5"/>
  <c r="N61" i="5" a="1"/>
  <c r="N61" i="5"/>
  <c r="M61" i="5" a="1"/>
  <c r="M61" i="5"/>
  <c r="L61" i="5" a="1"/>
  <c r="L61" i="5"/>
  <c r="K61" i="5" a="1"/>
  <c r="K61" i="5"/>
  <c r="J61" i="5" a="1"/>
  <c r="J61" i="5"/>
  <c r="I61" i="5" a="1"/>
  <c r="I61" i="5"/>
  <c r="H61" i="5" a="1"/>
  <c r="H61" i="5"/>
  <c r="G61" i="5" a="1"/>
  <c r="G61" i="5"/>
  <c r="V51" i="5" a="1"/>
  <c r="V51" i="5"/>
  <c r="U51" i="5" a="1"/>
  <c r="U51" i="5"/>
  <c r="T51" i="5" a="1"/>
  <c r="T51" i="5"/>
  <c r="S51" i="5" a="1"/>
  <c r="S51" i="5"/>
  <c r="R51" i="5" a="1"/>
  <c r="R51" i="5"/>
  <c r="Q51" i="5" a="1"/>
  <c r="Q51" i="5"/>
  <c r="P51" i="5" a="1"/>
  <c r="P51" i="5"/>
  <c r="O51" i="5" a="1"/>
  <c r="O51" i="5"/>
  <c r="N51" i="5" a="1"/>
  <c r="N51" i="5"/>
  <c r="M51" i="5" a="1"/>
  <c r="M51" i="5"/>
  <c r="L51" i="5" a="1"/>
  <c r="L51" i="5"/>
  <c r="K51" i="5" a="1"/>
  <c r="K51" i="5"/>
  <c r="J51" i="5" a="1"/>
  <c r="J51" i="5"/>
  <c r="I51" i="5" a="1"/>
  <c r="I51" i="5"/>
  <c r="H51" i="5" a="1"/>
  <c r="H51" i="5"/>
  <c r="G51" i="5" a="1"/>
  <c r="G51" i="5"/>
  <c r="V41" i="5" a="1"/>
  <c r="V41" i="5"/>
  <c r="U41" i="5" a="1"/>
  <c r="U41" i="5"/>
  <c r="T41" i="5" a="1"/>
  <c r="T41" i="5"/>
  <c r="S41" i="5" a="1"/>
  <c r="S41" i="5"/>
  <c r="R41" i="5" a="1"/>
  <c r="R41" i="5"/>
  <c r="Q41" i="5" a="1"/>
  <c r="Q41" i="5"/>
  <c r="P41" i="5" a="1"/>
  <c r="P41" i="5"/>
  <c r="O41" i="5" a="1"/>
  <c r="O41" i="5"/>
  <c r="N41" i="5" a="1"/>
  <c r="N41" i="5"/>
  <c r="M41" i="5" a="1"/>
  <c r="M41" i="5"/>
  <c r="L41" i="5" a="1"/>
  <c r="L41" i="5"/>
  <c r="K41" i="5" a="1"/>
  <c r="K41" i="5"/>
  <c r="J41" i="5" a="1"/>
  <c r="J41" i="5"/>
  <c r="I41" i="5" a="1"/>
  <c r="I41" i="5"/>
  <c r="H41" i="5" a="1"/>
  <c r="H41" i="5"/>
  <c r="G41" i="5" a="1"/>
  <c r="G41" i="5"/>
  <c r="V31" i="5" a="1"/>
  <c r="V31" i="5"/>
  <c r="U31" i="5" a="1"/>
  <c r="U31" i="5"/>
  <c r="T31" i="5" a="1"/>
  <c r="T31" i="5"/>
  <c r="S31" i="5" a="1"/>
  <c r="S31" i="5"/>
  <c r="R31" i="5" a="1"/>
  <c r="R31" i="5"/>
  <c r="Q31" i="5" a="1"/>
  <c r="Q31" i="5"/>
  <c r="P31" i="5" a="1"/>
  <c r="P31" i="5"/>
  <c r="O31" i="5" a="1"/>
  <c r="O31" i="5"/>
  <c r="N31" i="5" a="1"/>
  <c r="N31" i="5"/>
  <c r="M31" i="5" a="1"/>
  <c r="M31" i="5"/>
  <c r="L31" i="5" a="1"/>
  <c r="L31" i="5"/>
  <c r="K31" i="5" a="1"/>
  <c r="K31" i="5"/>
  <c r="J31" i="5" a="1"/>
  <c r="J31" i="5"/>
  <c r="I31" i="5" a="1"/>
  <c r="I31" i="5"/>
  <c r="H31" i="5" a="1"/>
  <c r="H31" i="5"/>
  <c r="G31" i="5" a="1"/>
  <c r="G31" i="5"/>
  <c r="V21" i="5" a="1"/>
  <c r="V21" i="5"/>
  <c r="U21" i="5" a="1"/>
  <c r="U21" i="5"/>
  <c r="T21" i="5" a="1"/>
  <c r="T21" i="5"/>
  <c r="S21" i="5" a="1"/>
  <c r="S21" i="5"/>
  <c r="R21" i="5" a="1"/>
  <c r="R21" i="5"/>
  <c r="Q21" i="5" a="1"/>
  <c r="Q21" i="5"/>
  <c r="P21" i="5" a="1"/>
  <c r="P21" i="5"/>
  <c r="O21" i="5" a="1"/>
  <c r="O21" i="5"/>
  <c r="N21" i="5" a="1"/>
  <c r="N21" i="5"/>
  <c r="M21" i="5" a="1"/>
  <c r="M21" i="5"/>
  <c r="L21" i="5" a="1"/>
  <c r="L21" i="5"/>
  <c r="K21" i="5" a="1"/>
  <c r="K21" i="5"/>
  <c r="J21" i="5" a="1"/>
  <c r="J21" i="5"/>
  <c r="I21" i="5" a="1"/>
  <c r="I21" i="5"/>
  <c r="H21" i="5" a="1"/>
  <c r="H21" i="5"/>
  <c r="G21" i="5" a="1"/>
  <c r="G21" i="5"/>
  <c r="V11" i="5" a="1"/>
  <c r="V11" i="5"/>
  <c r="U11" i="5" a="1"/>
  <c r="U11" i="5"/>
  <c r="T11" i="5" a="1"/>
  <c r="T11" i="5"/>
  <c r="S11" i="5" a="1"/>
  <c r="S11" i="5"/>
  <c r="R11" i="5" a="1"/>
  <c r="R11" i="5"/>
  <c r="Q11" i="5" a="1"/>
  <c r="Q11" i="5"/>
  <c r="P11" i="5" a="1"/>
  <c r="P11" i="5"/>
  <c r="O11" i="5" a="1"/>
  <c r="O11" i="5"/>
  <c r="N11" i="5" a="1"/>
  <c r="N11" i="5"/>
  <c r="M11" i="5" a="1"/>
  <c r="M11" i="5"/>
  <c r="L11" i="5" a="1"/>
  <c r="L11" i="5"/>
  <c r="K11" i="5" a="1"/>
  <c r="K11" i="5"/>
  <c r="J11" i="5" a="1"/>
  <c r="J11" i="5"/>
  <c r="I11" i="5" a="1"/>
  <c r="I11" i="5"/>
  <c r="H11" i="5" a="1"/>
  <c r="H11" i="5"/>
  <c r="G11" i="5" a="1"/>
  <c r="G11" i="5"/>
  <c r="E900" i="1" l="1"/>
  <c r="E901" i="1"/>
  <c r="E902" i="1"/>
  <c r="E903" i="1"/>
  <c r="E904" i="1"/>
  <c r="E905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3" i="1"/>
  <c r="E886" i="1"/>
  <c r="E885" i="1"/>
  <c r="E884" i="1"/>
  <c r="E882" i="1"/>
  <c r="E881" i="1"/>
  <c r="E880" i="1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6" i="6"/>
  <c r="E825" i="6"/>
  <c r="E824" i="6"/>
  <c r="E823" i="6"/>
  <c r="E822" i="6"/>
  <c r="E821" i="6"/>
  <c r="E820" i="6"/>
  <c r="D819" i="6"/>
  <c r="E819" i="6" s="1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D763" i="6"/>
  <c r="E763" i="6" s="1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D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D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D275" i="6"/>
  <c r="E274" i="6"/>
  <c r="E273" i="6"/>
  <c r="E272" i="6"/>
  <c r="D271" i="6"/>
  <c r="E271" i="6" s="1"/>
  <c r="E270" i="6"/>
  <c r="D269" i="6"/>
  <c r="E269" i="6" s="1"/>
  <c r="D268" i="6"/>
  <c r="E268" i="6" s="1"/>
  <c r="E267" i="6"/>
  <c r="D267" i="6"/>
  <c r="E266" i="6"/>
  <c r="D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878" i="1"/>
  <c r="E875" i="1"/>
  <c r="E879" i="1"/>
  <c r="E877" i="1"/>
  <c r="E876" i="1"/>
  <c r="E874" i="1"/>
  <c r="E873" i="1"/>
  <c r="E872" i="1"/>
  <c r="E871" i="1"/>
  <c r="E870" i="1"/>
  <c r="E864" i="1"/>
  <c r="E865" i="1"/>
  <c r="E866" i="1"/>
  <c r="E867" i="1"/>
  <c r="E868" i="1"/>
  <c r="E869" i="1"/>
  <c r="E842" i="1"/>
  <c r="E843" i="1"/>
  <c r="E853" i="1"/>
  <c r="E852" i="1"/>
  <c r="E850" i="1"/>
  <c r="E863" i="1"/>
  <c r="E862" i="1"/>
  <c r="E861" i="1"/>
  <c r="E860" i="1"/>
  <c r="E859" i="1"/>
  <c r="E858" i="1"/>
  <c r="E857" i="1"/>
  <c r="E856" i="1"/>
  <c r="E855" i="1"/>
  <c r="E854" i="1"/>
  <c r="E851" i="1"/>
  <c r="E849" i="1"/>
  <c r="E848" i="1"/>
  <c r="E847" i="1"/>
  <c r="E846" i="1"/>
  <c r="E840" i="1"/>
  <c r="E839" i="1"/>
  <c r="E845" i="1"/>
  <c r="E844" i="1"/>
  <c r="E841" i="1"/>
  <c r="E829" i="1"/>
  <c r="E837" i="1"/>
  <c r="E836" i="1"/>
  <c r="E835" i="1"/>
  <c r="E834" i="1"/>
  <c r="E833" i="1"/>
  <c r="E831" i="1"/>
  <c r="E832" i="1"/>
  <c r="E830" i="1"/>
  <c r="E838" i="1"/>
  <c r="E828" i="1"/>
  <c r="E823" i="1"/>
  <c r="E826" i="1"/>
  <c r="E825" i="1"/>
  <c r="E824" i="1"/>
  <c r="E822" i="1"/>
  <c r="E821" i="1"/>
  <c r="D819" i="1"/>
  <c r="E819" i="1" s="1"/>
  <c r="E818" i="1"/>
  <c r="E820" i="1"/>
  <c r="E817" i="1"/>
  <c r="E816" i="1"/>
  <c r="G5009" i="5"/>
  <c r="G5008" i="5"/>
  <c r="G5007" i="5"/>
  <c r="G5006" i="5"/>
  <c r="G5005" i="5"/>
  <c r="G5003" i="5"/>
  <c r="G5002" i="5"/>
  <c r="G5001" i="5"/>
  <c r="G5000" i="5"/>
  <c r="G4999" i="5"/>
  <c r="G4998" i="5"/>
  <c r="G4997" i="5"/>
  <c r="G4996" i="5"/>
  <c r="G4995" i="5"/>
  <c r="G4993" i="5"/>
  <c r="G4992" i="5"/>
  <c r="G4991" i="5"/>
  <c r="G4990" i="5"/>
  <c r="G4989" i="5"/>
  <c r="G4988" i="5"/>
  <c r="G4977" i="5"/>
  <c r="G4976" i="5"/>
  <c r="G4975" i="5"/>
  <c r="G4973" i="5"/>
  <c r="G4972" i="5"/>
  <c r="G4971" i="5"/>
  <c r="G4970" i="5"/>
  <c r="G4969" i="5"/>
  <c r="G4968" i="5"/>
  <c r="G4967" i="5"/>
  <c r="G4966" i="5"/>
  <c r="G4965" i="5"/>
  <c r="G4963" i="5"/>
  <c r="G4962" i="5"/>
  <c r="G4961" i="5"/>
  <c r="G4960" i="5"/>
  <c r="G4959" i="5"/>
  <c r="G4958" i="5"/>
  <c r="G4957" i="5"/>
  <c r="G4956" i="5"/>
  <c r="G4955" i="5"/>
  <c r="G4953" i="5"/>
  <c r="G4952" i="5"/>
  <c r="G4951" i="5"/>
  <c r="G4950" i="5"/>
  <c r="G4949" i="5"/>
  <c r="G4948" i="5"/>
  <c r="G4947" i="5"/>
  <c r="G4946" i="5"/>
  <c r="G4945" i="5"/>
  <c r="G4943" i="5"/>
  <c r="G4942" i="5"/>
  <c r="G4941" i="5"/>
  <c r="G4940" i="5"/>
  <c r="G4939" i="5"/>
  <c r="G4938" i="5"/>
  <c r="G4937" i="5"/>
  <c r="G4936" i="5"/>
  <c r="G4935" i="5"/>
  <c r="G4933" i="5"/>
  <c r="G4932" i="5"/>
  <c r="G4931" i="5"/>
  <c r="G4930" i="5"/>
  <c r="G4929" i="5"/>
  <c r="G4928" i="5"/>
  <c r="G4927" i="5"/>
  <c r="G4926" i="5"/>
  <c r="G4925" i="5"/>
  <c r="G4923" i="5"/>
  <c r="G4922" i="5"/>
  <c r="G4921" i="5"/>
  <c r="G4920" i="5"/>
  <c r="G4919" i="5"/>
  <c r="G4918" i="5"/>
  <c r="G4917" i="5"/>
  <c r="G4916" i="5"/>
  <c r="G4915" i="5"/>
  <c r="G4913" i="5"/>
  <c r="G4912" i="5"/>
  <c r="G4911" i="5"/>
  <c r="G4910" i="5"/>
  <c r="G4909" i="5"/>
  <c r="G4908" i="5"/>
  <c r="G4907" i="5"/>
  <c r="G4906" i="5"/>
  <c r="G4905" i="5"/>
  <c r="G4903" i="5"/>
  <c r="G4902" i="5"/>
  <c r="G4901" i="5"/>
  <c r="G4900" i="5"/>
  <c r="G4899" i="5"/>
  <c r="G4898" i="5"/>
  <c r="G4897" i="5"/>
  <c r="G4896" i="5"/>
  <c r="G4895" i="5"/>
  <c r="G4893" i="5"/>
  <c r="G4892" i="5"/>
  <c r="G4891" i="5"/>
  <c r="G4890" i="5"/>
  <c r="G4889" i="5"/>
  <c r="G4888" i="5"/>
  <c r="G4877" i="5"/>
  <c r="G4876" i="5"/>
  <c r="G4875" i="5"/>
  <c r="G4873" i="5"/>
  <c r="G4872" i="5"/>
  <c r="G4871" i="5"/>
  <c r="G4870" i="5"/>
  <c r="G4869" i="5"/>
  <c r="G4868" i="5"/>
  <c r="G4867" i="5"/>
  <c r="G4866" i="5"/>
  <c r="G4865" i="5"/>
  <c r="G4863" i="5"/>
  <c r="G4862" i="5"/>
  <c r="G4861" i="5"/>
  <c r="G4860" i="5"/>
  <c r="G4859" i="5"/>
  <c r="G4858" i="5"/>
  <c r="G4857" i="5"/>
  <c r="G4856" i="5"/>
  <c r="G4855" i="5"/>
  <c r="G4853" i="5"/>
  <c r="G4852" i="5"/>
  <c r="G4851" i="5"/>
  <c r="G4850" i="5"/>
  <c r="G4849" i="5"/>
  <c r="G4848" i="5"/>
  <c r="G4847" i="5"/>
  <c r="G4846" i="5"/>
  <c r="G4845" i="5"/>
  <c r="G4843" i="5"/>
  <c r="G4842" i="5"/>
  <c r="G4841" i="5"/>
  <c r="G4840" i="5"/>
  <c r="G4839" i="5"/>
  <c r="G4838" i="5"/>
  <c r="G4837" i="5"/>
  <c r="G4836" i="5"/>
  <c r="G4835" i="5"/>
  <c r="G4833" i="5"/>
  <c r="G4832" i="5"/>
  <c r="G4831" i="5"/>
  <c r="G4830" i="5"/>
  <c r="G4829" i="5"/>
  <c r="G4828" i="5"/>
  <c r="G4827" i="5"/>
  <c r="G4826" i="5"/>
  <c r="G4825" i="5"/>
  <c r="G4823" i="5"/>
  <c r="G4822" i="5"/>
  <c r="G4821" i="5"/>
  <c r="G4820" i="5"/>
  <c r="G4819" i="5"/>
  <c r="G4818" i="5"/>
  <c r="G4817" i="5"/>
  <c r="G4816" i="5"/>
  <c r="G4815" i="5"/>
  <c r="G4813" i="5"/>
  <c r="G4812" i="5"/>
  <c r="G4811" i="5"/>
  <c r="G4810" i="5"/>
  <c r="G4809" i="5"/>
  <c r="G4808" i="5"/>
  <c r="G4807" i="5"/>
  <c r="G4806" i="5"/>
  <c r="G4805" i="5"/>
  <c r="G4803" i="5"/>
  <c r="G4802" i="5"/>
  <c r="G4801" i="5"/>
  <c r="G4800" i="5"/>
  <c r="G4799" i="5"/>
  <c r="G4798" i="5"/>
  <c r="G4797" i="5"/>
  <c r="G4796" i="5"/>
  <c r="G4795" i="5"/>
  <c r="G4793" i="5"/>
  <c r="G4792" i="5"/>
  <c r="G4791" i="5"/>
  <c r="G4790" i="5"/>
  <c r="G4789" i="5"/>
  <c r="G4788" i="5"/>
  <c r="G4777" i="5"/>
  <c r="G4776" i="5"/>
  <c r="G4775" i="5"/>
  <c r="G4773" i="5"/>
  <c r="G4772" i="5"/>
  <c r="G4771" i="5"/>
  <c r="G4770" i="5"/>
  <c r="G4769" i="5"/>
  <c r="G4768" i="5"/>
  <c r="G4767" i="5"/>
  <c r="G4766" i="5"/>
  <c r="G4765" i="5"/>
  <c r="G4763" i="5"/>
  <c r="G4762" i="5"/>
  <c r="G4761" i="5"/>
  <c r="G4760" i="5"/>
  <c r="G4759" i="5"/>
  <c r="G4758" i="5"/>
  <c r="G4757" i="5"/>
  <c r="G4756" i="5"/>
  <c r="G4755" i="5"/>
  <c r="G4753" i="5"/>
  <c r="G4752" i="5"/>
  <c r="G4751" i="5"/>
  <c r="G4750" i="5"/>
  <c r="G4749" i="5"/>
  <c r="G4748" i="5"/>
  <c r="G4747" i="5"/>
  <c r="G4746" i="5"/>
  <c r="G4745" i="5"/>
  <c r="G4743" i="5"/>
  <c r="G4742" i="5"/>
  <c r="G4741" i="5"/>
  <c r="G4740" i="5"/>
  <c r="G4739" i="5"/>
  <c r="G4738" i="5"/>
  <c r="G4737" i="5"/>
  <c r="G4736" i="5"/>
  <c r="G4735" i="5"/>
  <c r="G4733" i="5"/>
  <c r="G4732" i="5"/>
  <c r="G4731" i="5"/>
  <c r="G4730" i="5"/>
  <c r="G4729" i="5"/>
  <c r="G4728" i="5"/>
  <c r="G4727" i="5"/>
  <c r="G4726" i="5"/>
  <c r="G4725" i="5"/>
  <c r="G4723" i="5"/>
  <c r="G4722" i="5"/>
  <c r="G4721" i="5"/>
  <c r="G4720" i="5"/>
  <c r="G4719" i="5"/>
  <c r="G4718" i="5"/>
  <c r="G4617" i="5"/>
  <c r="G4616" i="5"/>
  <c r="G4615" i="5"/>
  <c r="G4613" i="5"/>
  <c r="G4612" i="5"/>
  <c r="G4611" i="5"/>
  <c r="G4610" i="5"/>
  <c r="G4609" i="5"/>
  <c r="G4608" i="5"/>
  <c r="G4607" i="5"/>
  <c r="G4606" i="5"/>
  <c r="G4605" i="5"/>
  <c r="G4603" i="5"/>
  <c r="G4602" i="5"/>
  <c r="G4601" i="5"/>
  <c r="G4600" i="5"/>
  <c r="G4599" i="5"/>
  <c r="G4598" i="5"/>
  <c r="G4597" i="5"/>
  <c r="G4596" i="5"/>
  <c r="G4595" i="5"/>
  <c r="G4593" i="5"/>
  <c r="G4592" i="5"/>
  <c r="G4591" i="5"/>
  <c r="G4590" i="5"/>
  <c r="G4589" i="5"/>
  <c r="G4588" i="5"/>
  <c r="G4577" i="5"/>
  <c r="G4576" i="5"/>
  <c r="G4575" i="5"/>
  <c r="G4573" i="5"/>
  <c r="G4572" i="5"/>
  <c r="G4571" i="5"/>
  <c r="G4570" i="5"/>
  <c r="G4569" i="5"/>
  <c r="G4568" i="5"/>
  <c r="G4567" i="5"/>
  <c r="G4566" i="5"/>
  <c r="G4565" i="5"/>
  <c r="G4563" i="5"/>
  <c r="G4562" i="5"/>
  <c r="G4561" i="5"/>
  <c r="G4560" i="5"/>
  <c r="G4559" i="5"/>
  <c r="G4558" i="5"/>
  <c r="G4557" i="5"/>
  <c r="G4556" i="5"/>
  <c r="G4555" i="5"/>
  <c r="G4553" i="5"/>
  <c r="G4552" i="5"/>
  <c r="G4551" i="5"/>
  <c r="G4550" i="5"/>
  <c r="G4549" i="5"/>
  <c r="G4548" i="5"/>
  <c r="G4547" i="5"/>
  <c r="G4546" i="5"/>
  <c r="G4545" i="5"/>
  <c r="G4543" i="5"/>
  <c r="G4542" i="5"/>
  <c r="G4541" i="5"/>
  <c r="G4540" i="5"/>
  <c r="G4539" i="5"/>
  <c r="G4538" i="5"/>
  <c r="G4537" i="5"/>
  <c r="G4536" i="5"/>
  <c r="G4535" i="5"/>
  <c r="G4533" i="5"/>
  <c r="G4532" i="5"/>
  <c r="G4531" i="5"/>
  <c r="G4530" i="5"/>
  <c r="G4529" i="5"/>
  <c r="G4528" i="5"/>
  <c r="G4527" i="5"/>
  <c r="G4526" i="5"/>
  <c r="G4525" i="5"/>
  <c r="G4523" i="5"/>
  <c r="G4522" i="5"/>
  <c r="G4521" i="5"/>
  <c r="G4520" i="5"/>
  <c r="G4519" i="5"/>
  <c r="G4518" i="5"/>
  <c r="G4517" i="5"/>
  <c r="G4516" i="5"/>
  <c r="G4515" i="5"/>
  <c r="G4513" i="5"/>
  <c r="G4512" i="5"/>
  <c r="G4511" i="5"/>
  <c r="G4510" i="5"/>
  <c r="G4509" i="5"/>
  <c r="G4508" i="5"/>
  <c r="G4507" i="5"/>
  <c r="G4506" i="5"/>
  <c r="G4505" i="5"/>
  <c r="G4503" i="5"/>
  <c r="G4502" i="5"/>
  <c r="G4501" i="5"/>
  <c r="G4500" i="5"/>
  <c r="G4499" i="5"/>
  <c r="G4498" i="5"/>
  <c r="G4497" i="5"/>
  <c r="G4496" i="5"/>
  <c r="G4495" i="5"/>
  <c r="G4493" i="5"/>
  <c r="G4492" i="5"/>
  <c r="G4491" i="5"/>
  <c r="G4490" i="5"/>
  <c r="G4489" i="5"/>
  <c r="G4488" i="5"/>
  <c r="G4477" i="5"/>
  <c r="G4476" i="5"/>
  <c r="G4475" i="5"/>
  <c r="G4473" i="5"/>
  <c r="G4472" i="5"/>
  <c r="G4471" i="5"/>
  <c r="G4470" i="5"/>
  <c r="G4469" i="5"/>
  <c r="G4468" i="5"/>
  <c r="G4467" i="5"/>
  <c r="G4466" i="5"/>
  <c r="G4465" i="5"/>
  <c r="G4463" i="5"/>
  <c r="G4462" i="5"/>
  <c r="G4461" i="5"/>
  <c r="G4460" i="5"/>
  <c r="G4459" i="5"/>
  <c r="G4458" i="5"/>
  <c r="G4457" i="5"/>
  <c r="G4456" i="5"/>
  <c r="G4455" i="5"/>
  <c r="G4453" i="5"/>
  <c r="G4452" i="5"/>
  <c r="G4451" i="5"/>
  <c r="G4450" i="5"/>
  <c r="G4449" i="5"/>
  <c r="G4448" i="5"/>
  <c r="G4447" i="5"/>
  <c r="G4446" i="5"/>
  <c r="G4445" i="5"/>
  <c r="G4443" i="5"/>
  <c r="G4442" i="5"/>
  <c r="G4441" i="5"/>
  <c r="G4440" i="5"/>
  <c r="G4439" i="5"/>
  <c r="G4438" i="5"/>
  <c r="G4437" i="5"/>
  <c r="G4436" i="5"/>
  <c r="G4435" i="5"/>
  <c r="G4433" i="5"/>
  <c r="G4432" i="5"/>
  <c r="G4431" i="5"/>
  <c r="G4430" i="5"/>
  <c r="G4429" i="5"/>
  <c r="G4428" i="5"/>
  <c r="G4427" i="5"/>
  <c r="G4426" i="5"/>
  <c r="G4425" i="5"/>
  <c r="G4423" i="5"/>
  <c r="G4422" i="5"/>
  <c r="G4421" i="5"/>
  <c r="G4420" i="5"/>
  <c r="G4419" i="5"/>
  <c r="G4418" i="5"/>
  <c r="G4417" i="5"/>
  <c r="G4416" i="5"/>
  <c r="G4415" i="5"/>
  <c r="G4413" i="5"/>
  <c r="G4412" i="5"/>
  <c r="G4411" i="5"/>
  <c r="G4410" i="5"/>
  <c r="G4409" i="5"/>
  <c r="G4408" i="5"/>
  <c r="G4407" i="5"/>
  <c r="G4406" i="5"/>
  <c r="G4405" i="5"/>
  <c r="G4403" i="5"/>
  <c r="G4402" i="5"/>
  <c r="G4401" i="5"/>
  <c r="G4400" i="5"/>
  <c r="G4399" i="5"/>
  <c r="G4398" i="5"/>
  <c r="G4397" i="5"/>
  <c r="G4396" i="5"/>
  <c r="G4395" i="5"/>
  <c r="G4393" i="5"/>
  <c r="G4392" i="5"/>
  <c r="G4391" i="5"/>
  <c r="G4390" i="5"/>
  <c r="G4389" i="5"/>
  <c r="G4388" i="5"/>
  <c r="G4377" i="5"/>
  <c r="G4376" i="5"/>
  <c r="G4375" i="5"/>
  <c r="G4373" i="5"/>
  <c r="G4372" i="5"/>
  <c r="G4371" i="5"/>
  <c r="G4370" i="5"/>
  <c r="G4369" i="5"/>
  <c r="G4368" i="5"/>
  <c r="G4367" i="5"/>
  <c r="G4366" i="5"/>
  <c r="G4365" i="5"/>
  <c r="G4363" i="5"/>
  <c r="G4362" i="5"/>
  <c r="G4361" i="5"/>
  <c r="G4360" i="5"/>
  <c r="G4359" i="5"/>
  <c r="G4358" i="5"/>
  <c r="G4357" i="5"/>
  <c r="G4356" i="5"/>
  <c r="G4355" i="5"/>
  <c r="G4353" i="5"/>
  <c r="G4352" i="5"/>
  <c r="G4351" i="5"/>
  <c r="G4350" i="5"/>
  <c r="G4349" i="5"/>
  <c r="G4348" i="5"/>
  <c r="G4347" i="5"/>
  <c r="G4346" i="5"/>
  <c r="G4345" i="5"/>
  <c r="G4343" i="5"/>
  <c r="G4342" i="5"/>
  <c r="G4341" i="5"/>
  <c r="G4340" i="5"/>
  <c r="G4339" i="5"/>
  <c r="G4338" i="5"/>
  <c r="G4337" i="5"/>
  <c r="G4336" i="5"/>
  <c r="G4335" i="5"/>
  <c r="G4333" i="5"/>
  <c r="G4332" i="5"/>
  <c r="G4331" i="5"/>
  <c r="G4330" i="5"/>
  <c r="G4329" i="5"/>
  <c r="G4328" i="5"/>
  <c r="G4327" i="5"/>
  <c r="G4326" i="5"/>
  <c r="G4325" i="5"/>
  <c r="G4323" i="5"/>
  <c r="G4322" i="5"/>
  <c r="G4321" i="5"/>
  <c r="G4320" i="5"/>
  <c r="G4319" i="5"/>
  <c r="G4318" i="5"/>
  <c r="G4317" i="5"/>
  <c r="G4316" i="5"/>
  <c r="G4315" i="5"/>
  <c r="G4313" i="5"/>
  <c r="G4312" i="5"/>
  <c r="G4311" i="5"/>
  <c r="G4310" i="5"/>
  <c r="G4309" i="5"/>
  <c r="G4308" i="5"/>
  <c r="G4307" i="5"/>
  <c r="G4306" i="5"/>
  <c r="G4305" i="5"/>
  <c r="G4303" i="5"/>
  <c r="G4302" i="5"/>
  <c r="G4301" i="5"/>
  <c r="G4300" i="5"/>
  <c r="G4299" i="5"/>
  <c r="G4298" i="5"/>
  <c r="G4297" i="5"/>
  <c r="G4296" i="5"/>
  <c r="G4295" i="5"/>
  <c r="G4293" i="5"/>
  <c r="G4292" i="5"/>
  <c r="G4291" i="5"/>
  <c r="G4290" i="5"/>
  <c r="G4289" i="5"/>
  <c r="G4288" i="5"/>
  <c r="G4277" i="5"/>
  <c r="G4276" i="5"/>
  <c r="G4275" i="5"/>
  <c r="G4273" i="5"/>
  <c r="G4272" i="5"/>
  <c r="G4271" i="5"/>
  <c r="G4270" i="5"/>
  <c r="G4269" i="5"/>
  <c r="G4268" i="5"/>
  <c r="G4267" i="5"/>
  <c r="G4266" i="5"/>
  <c r="G4265" i="5"/>
  <c r="G4263" i="5"/>
  <c r="G4262" i="5"/>
  <c r="G4261" i="5"/>
  <c r="G4260" i="5"/>
  <c r="G4259" i="5"/>
  <c r="G4258" i="5"/>
  <c r="G4257" i="5"/>
  <c r="G4256" i="5"/>
  <c r="G4255" i="5"/>
  <c r="G4253" i="5"/>
  <c r="G4252" i="5"/>
  <c r="G4251" i="5"/>
  <c r="G4250" i="5"/>
  <c r="G4249" i="5"/>
  <c r="G4248" i="5"/>
  <c r="G4247" i="5"/>
  <c r="G4246" i="5"/>
  <c r="G4245" i="5"/>
  <c r="G4243" i="5"/>
  <c r="G4242" i="5"/>
  <c r="G4241" i="5"/>
  <c r="G4240" i="5"/>
  <c r="G4239" i="5"/>
  <c r="G4238" i="5"/>
  <c r="G4237" i="5"/>
  <c r="G4236" i="5"/>
  <c r="G4235" i="5"/>
  <c r="G4233" i="5"/>
  <c r="G4232" i="5"/>
  <c r="G4231" i="5"/>
  <c r="G4230" i="5"/>
  <c r="G4229" i="5"/>
  <c r="G4228" i="5"/>
  <c r="G4227" i="5"/>
  <c r="G4226" i="5"/>
  <c r="G4225" i="5"/>
  <c r="G4223" i="5"/>
  <c r="G4222" i="5"/>
  <c r="G4221" i="5"/>
  <c r="G4220" i="5"/>
  <c r="G4219" i="5"/>
  <c r="G4218" i="5"/>
  <c r="G4217" i="5"/>
  <c r="G4216" i="5"/>
  <c r="G4215" i="5"/>
  <c r="G4213" i="5"/>
  <c r="G4212" i="5"/>
  <c r="G4211" i="5"/>
  <c r="G4210" i="5"/>
  <c r="G4209" i="5"/>
  <c r="G4208" i="5"/>
  <c r="G4207" i="5"/>
  <c r="G4206" i="5"/>
  <c r="G4205" i="5"/>
  <c r="G4203" i="5"/>
  <c r="G4202" i="5"/>
  <c r="G4201" i="5"/>
  <c r="G4200" i="5"/>
  <c r="G4199" i="5"/>
  <c r="G4198" i="5"/>
  <c r="G4197" i="5"/>
  <c r="G4196" i="5"/>
  <c r="G4195" i="5"/>
  <c r="G4193" i="5"/>
  <c r="G4192" i="5"/>
  <c r="G4191" i="5"/>
  <c r="G4190" i="5"/>
  <c r="G4189" i="5"/>
  <c r="G4188" i="5"/>
  <c r="G4177" i="5"/>
  <c r="G4176" i="5"/>
  <c r="G4175" i="5"/>
  <c r="G4173" i="5"/>
  <c r="G4172" i="5"/>
  <c r="G4171" i="5"/>
  <c r="G4170" i="5"/>
  <c r="G4169" i="5"/>
  <c r="G4168" i="5"/>
  <c r="G4167" i="5"/>
  <c r="G4166" i="5"/>
  <c r="G4165" i="5"/>
  <c r="G4163" i="5"/>
  <c r="G4162" i="5"/>
  <c r="G4161" i="5"/>
  <c r="G4160" i="5"/>
  <c r="G4159" i="5"/>
  <c r="G4158" i="5"/>
  <c r="G4157" i="5"/>
  <c r="G4156" i="5"/>
  <c r="G4155" i="5"/>
  <c r="G4153" i="5"/>
  <c r="G4152" i="5"/>
  <c r="G4151" i="5"/>
  <c r="G4150" i="5"/>
  <c r="G4149" i="5"/>
  <c r="G4148" i="5"/>
  <c r="G4147" i="5"/>
  <c r="G4146" i="5"/>
  <c r="G4145" i="5"/>
  <c r="G4143" i="5"/>
  <c r="G4142" i="5"/>
  <c r="G4141" i="5"/>
  <c r="G4140" i="5"/>
  <c r="G4139" i="5"/>
  <c r="G4138" i="5"/>
  <c r="G4137" i="5"/>
  <c r="G4136" i="5"/>
  <c r="G4135" i="5"/>
  <c r="G4133" i="5"/>
  <c r="G4132" i="5"/>
  <c r="G4131" i="5"/>
  <c r="G4130" i="5"/>
  <c r="G4129" i="5"/>
  <c r="G4128" i="5"/>
  <c r="G4127" i="5"/>
  <c r="G4126" i="5"/>
  <c r="G4125" i="5"/>
  <c r="G4123" i="5"/>
  <c r="G4122" i="5"/>
  <c r="G4121" i="5"/>
  <c r="G4120" i="5"/>
  <c r="G4119" i="5"/>
  <c r="G4118" i="5"/>
  <c r="G4117" i="5"/>
  <c r="G4116" i="5"/>
  <c r="G4115" i="5"/>
  <c r="G4113" i="5"/>
  <c r="G4112" i="5"/>
  <c r="G4111" i="5"/>
  <c r="G4110" i="5"/>
  <c r="G4109" i="5"/>
  <c r="G4108" i="5"/>
  <c r="G4107" i="5"/>
  <c r="G4106" i="5"/>
  <c r="G4105" i="5"/>
  <c r="G4103" i="5"/>
  <c r="G4102" i="5"/>
  <c r="G4101" i="5"/>
  <c r="G4100" i="5"/>
  <c r="G4099" i="5"/>
  <c r="G4098" i="5"/>
  <c r="G4097" i="5"/>
  <c r="G4096" i="5"/>
  <c r="G4095" i="5"/>
  <c r="G4093" i="5"/>
  <c r="G4092" i="5"/>
  <c r="G4091" i="5"/>
  <c r="G4090" i="5"/>
  <c r="G4089" i="5"/>
  <c r="G4088" i="5"/>
  <c r="G4077" i="5"/>
  <c r="G4076" i="5"/>
  <c r="G4075" i="5"/>
  <c r="G4073" i="5"/>
  <c r="G4072" i="5"/>
  <c r="G4071" i="5"/>
  <c r="G4070" i="5"/>
  <c r="G4069" i="5"/>
  <c r="G4068" i="5"/>
  <c r="G4067" i="5"/>
  <c r="G4066" i="5"/>
  <c r="G4065" i="5"/>
  <c r="G4063" i="5"/>
  <c r="G4062" i="5"/>
  <c r="G4061" i="5"/>
  <c r="G4060" i="5"/>
  <c r="G4059" i="5"/>
  <c r="G4058" i="5"/>
  <c r="G4057" i="5"/>
  <c r="G4056" i="5"/>
  <c r="G4055" i="5"/>
  <c r="G4053" i="5"/>
  <c r="G4052" i="5"/>
  <c r="G4051" i="5"/>
  <c r="G4050" i="5"/>
  <c r="G4049" i="5"/>
  <c r="G4048" i="5"/>
  <c r="G4047" i="5"/>
  <c r="G4046" i="5"/>
  <c r="G4045" i="5"/>
  <c r="G4043" i="5"/>
  <c r="G4042" i="5"/>
  <c r="G4041" i="5"/>
  <c r="G4040" i="5"/>
  <c r="G4039" i="5"/>
  <c r="G4038" i="5"/>
  <c r="G4037" i="5"/>
  <c r="G4036" i="5"/>
  <c r="G4035" i="5"/>
  <c r="G4033" i="5"/>
  <c r="G4032" i="5"/>
  <c r="G4031" i="5"/>
  <c r="G4030" i="5"/>
  <c r="G4029" i="5"/>
  <c r="G4028" i="5"/>
  <c r="G4027" i="5"/>
  <c r="G4026" i="5"/>
  <c r="G4025" i="5"/>
  <c r="G4023" i="5"/>
  <c r="G4022" i="5"/>
  <c r="G4021" i="5"/>
  <c r="G4020" i="5"/>
  <c r="G4019" i="5"/>
  <c r="G4018" i="5"/>
  <c r="G4017" i="5"/>
  <c r="G4016" i="5"/>
  <c r="G4015" i="5"/>
  <c r="G4013" i="5"/>
  <c r="G4012" i="5"/>
  <c r="G4011" i="5"/>
  <c r="G4010" i="5"/>
  <c r="G4009" i="5"/>
  <c r="G4008" i="5"/>
  <c r="G4007" i="5"/>
  <c r="G4006" i="5"/>
  <c r="G4005" i="5"/>
  <c r="G4003" i="5"/>
  <c r="G4002" i="5"/>
  <c r="G4001" i="5"/>
  <c r="G4000" i="5"/>
  <c r="G3999" i="5"/>
  <c r="G3998" i="5"/>
  <c r="G3997" i="5"/>
  <c r="G3996" i="5"/>
  <c r="G3995" i="5"/>
  <c r="G3993" i="5"/>
  <c r="G3992" i="5"/>
  <c r="G3991" i="5"/>
  <c r="G3990" i="5"/>
  <c r="G3989" i="5"/>
  <c r="G3988" i="5"/>
  <c r="G3977" i="5"/>
  <c r="G3976" i="5"/>
  <c r="G3975" i="5"/>
  <c r="G3973" i="5"/>
  <c r="G3972" i="5"/>
  <c r="G3971" i="5"/>
  <c r="G3970" i="5"/>
  <c r="G3969" i="5"/>
  <c r="G3968" i="5"/>
  <c r="G3967" i="5"/>
  <c r="G3966" i="5"/>
  <c r="G3965" i="5"/>
  <c r="G3963" i="5"/>
  <c r="G3962" i="5"/>
  <c r="G3961" i="5"/>
  <c r="G3960" i="5"/>
  <c r="G3959" i="5"/>
  <c r="G3958" i="5"/>
  <c r="G3957" i="5"/>
  <c r="G3956" i="5"/>
  <c r="G3955" i="5"/>
  <c r="G3953" i="5"/>
  <c r="G3952" i="5"/>
  <c r="G3951" i="5"/>
  <c r="G3950" i="5"/>
  <c r="G3949" i="5"/>
  <c r="G3948" i="5"/>
  <c r="G3947" i="5"/>
  <c r="G3946" i="5"/>
  <c r="G3945" i="5"/>
  <c r="G3943" i="5"/>
  <c r="G3942" i="5"/>
  <c r="G3941" i="5"/>
  <c r="G3940" i="5"/>
  <c r="G3939" i="5"/>
  <c r="G3938" i="5"/>
  <c r="G3937" i="5"/>
  <c r="G3936" i="5"/>
  <c r="G3935" i="5"/>
  <c r="G3933" i="5"/>
  <c r="G3932" i="5"/>
  <c r="G3931" i="5"/>
  <c r="G3930" i="5"/>
  <c r="G3929" i="5"/>
  <c r="G3928" i="5"/>
  <c r="G3927" i="5"/>
  <c r="G3926" i="5"/>
  <c r="G3925" i="5"/>
  <c r="G3923" i="5"/>
  <c r="G3922" i="5"/>
  <c r="G3921" i="5"/>
  <c r="G3920" i="5"/>
  <c r="G3919" i="5"/>
  <c r="G3918" i="5"/>
  <c r="G3917" i="5"/>
  <c r="G3916" i="5"/>
  <c r="G3915" i="5"/>
  <c r="G3913" i="5"/>
  <c r="G3912" i="5"/>
  <c r="G3911" i="5"/>
  <c r="G3910" i="5"/>
  <c r="G3909" i="5"/>
  <c r="G3908" i="5"/>
  <c r="G3907" i="5"/>
  <c r="G3906" i="5"/>
  <c r="G3905" i="5"/>
  <c r="G3903" i="5"/>
  <c r="G3902" i="5"/>
  <c r="G3901" i="5"/>
  <c r="G3900" i="5"/>
  <c r="G3899" i="5"/>
  <c r="G3898" i="5"/>
  <c r="G3897" i="5"/>
  <c r="G3896" i="5"/>
  <c r="G3895" i="5"/>
  <c r="G3893" i="5"/>
  <c r="G3892" i="5"/>
  <c r="G3891" i="5"/>
  <c r="G3890" i="5"/>
  <c r="G3889" i="5"/>
  <c r="G3888" i="5"/>
  <c r="G3877" i="5"/>
  <c r="G3876" i="5"/>
  <c r="G3875" i="5"/>
  <c r="G3873" i="5"/>
  <c r="G3872" i="5"/>
  <c r="G3871" i="5"/>
  <c r="G3870" i="5"/>
  <c r="G3869" i="5"/>
  <c r="G3868" i="5"/>
  <c r="G3867" i="5"/>
  <c r="G3866" i="5"/>
  <c r="G3865" i="5"/>
  <c r="G3863" i="5"/>
  <c r="G3862" i="5"/>
  <c r="G3861" i="5"/>
  <c r="G3860" i="5"/>
  <c r="G3859" i="5"/>
  <c r="G3858" i="5"/>
  <c r="G3857" i="5"/>
  <c r="G3856" i="5"/>
  <c r="G3855" i="5"/>
  <c r="G3853" i="5"/>
  <c r="G3852" i="5"/>
  <c r="G3851" i="5"/>
  <c r="G3850" i="5"/>
  <c r="G3849" i="5"/>
  <c r="G3848" i="5"/>
  <c r="G3847" i="5"/>
  <c r="G3846" i="5"/>
  <c r="G3845" i="5"/>
  <c r="G3843" i="5"/>
  <c r="G3842" i="5"/>
  <c r="G3841" i="5"/>
  <c r="G3840" i="5"/>
  <c r="G3839" i="5"/>
  <c r="G3838" i="5"/>
  <c r="G3837" i="5"/>
  <c r="G3836" i="5"/>
  <c r="G3835" i="5"/>
  <c r="G3833" i="5"/>
  <c r="G3832" i="5"/>
  <c r="G3831" i="5"/>
  <c r="G3830" i="5"/>
  <c r="G3829" i="5"/>
  <c r="G3828" i="5"/>
  <c r="G3827" i="5"/>
  <c r="G3826" i="5"/>
  <c r="G3825" i="5"/>
  <c r="G3823" i="5"/>
  <c r="G3822" i="5"/>
  <c r="G3821" i="5"/>
  <c r="G3820" i="5"/>
  <c r="G3819" i="5"/>
  <c r="G3818" i="5"/>
  <c r="G3817" i="5"/>
  <c r="G3816" i="5"/>
  <c r="G3815" i="5"/>
  <c r="G3813" i="5"/>
  <c r="G3812" i="5"/>
  <c r="G3811" i="5"/>
  <c r="G3810" i="5"/>
  <c r="G3809" i="5"/>
  <c r="G3808" i="5"/>
  <c r="G3807" i="5"/>
  <c r="G3806" i="5"/>
  <c r="G3805" i="5"/>
  <c r="G3803" i="5"/>
  <c r="G3802" i="5"/>
  <c r="G3801" i="5"/>
  <c r="G3800" i="5"/>
  <c r="G3799" i="5"/>
  <c r="G3798" i="5"/>
  <c r="G3797" i="5"/>
  <c r="G3796" i="5"/>
  <c r="G3795" i="5"/>
  <c r="G3793" i="5"/>
  <c r="G3792" i="5"/>
  <c r="G3791" i="5"/>
  <c r="G3790" i="5"/>
  <c r="G3789" i="5"/>
  <c r="G3788" i="5"/>
  <c r="G3777" i="5"/>
  <c r="G3776" i="5"/>
  <c r="G3775" i="5"/>
  <c r="G3773" i="5"/>
  <c r="G3772" i="5"/>
  <c r="G3771" i="5"/>
  <c r="G3770" i="5"/>
  <c r="G3769" i="5"/>
  <c r="G3768" i="5"/>
  <c r="G3767" i="5"/>
  <c r="G3766" i="5"/>
  <c r="G3765" i="5"/>
  <c r="G3763" i="5"/>
  <c r="G3762" i="5"/>
  <c r="G3761" i="5"/>
  <c r="G3760" i="5"/>
  <c r="G3759" i="5"/>
  <c r="G3758" i="5"/>
  <c r="G3757" i="5"/>
  <c r="G3756" i="5"/>
  <c r="G3755" i="5"/>
  <c r="G3753" i="5"/>
  <c r="G3752" i="5"/>
  <c r="G3751" i="5"/>
  <c r="G3750" i="5"/>
  <c r="G3749" i="5"/>
  <c r="G3748" i="5"/>
  <c r="G3747" i="5"/>
  <c r="G3746" i="5"/>
  <c r="G3745" i="5"/>
  <c r="G3743" i="5"/>
  <c r="G3742" i="5"/>
  <c r="G3741" i="5"/>
  <c r="G3740" i="5"/>
  <c r="G3739" i="5"/>
  <c r="G3738" i="5"/>
  <c r="G3737" i="5"/>
  <c r="G3736" i="5"/>
  <c r="G3735" i="5"/>
  <c r="G3733" i="5"/>
  <c r="G3732" i="5"/>
  <c r="G3731" i="5"/>
  <c r="G3730" i="5"/>
  <c r="G3729" i="5"/>
  <c r="G3728" i="5"/>
  <c r="G3727" i="5"/>
  <c r="G3726" i="5"/>
  <c r="G3725" i="5"/>
  <c r="G3723" i="5"/>
  <c r="G3722" i="5"/>
  <c r="G3721" i="5"/>
  <c r="G3720" i="5"/>
  <c r="G3719" i="5"/>
  <c r="G3718" i="5"/>
  <c r="G3617" i="5"/>
  <c r="G3616" i="5"/>
  <c r="G3615" i="5"/>
  <c r="G3613" i="5"/>
  <c r="G3612" i="5"/>
  <c r="G3611" i="5"/>
  <c r="G3610" i="5"/>
  <c r="G3609" i="5"/>
  <c r="G3608" i="5"/>
  <c r="G3607" i="5"/>
  <c r="G3606" i="5"/>
  <c r="G3605" i="5"/>
  <c r="G3603" i="5"/>
  <c r="G3602" i="5"/>
  <c r="G3601" i="5"/>
  <c r="G3600" i="5"/>
  <c r="G3599" i="5"/>
  <c r="G3598" i="5"/>
  <c r="G3597" i="5"/>
  <c r="G3596" i="5"/>
  <c r="G3595" i="5"/>
  <c r="G3593" i="5"/>
  <c r="G3592" i="5"/>
  <c r="G3591" i="5"/>
  <c r="G3590" i="5"/>
  <c r="G3589" i="5"/>
  <c r="G3588" i="5"/>
  <c r="G3577" i="5"/>
  <c r="G3576" i="5"/>
  <c r="G3575" i="5"/>
  <c r="G3573" i="5"/>
  <c r="G3572" i="5"/>
  <c r="G3571" i="5"/>
  <c r="G3570" i="5"/>
  <c r="G3569" i="5"/>
  <c r="G3568" i="5"/>
  <c r="G3567" i="5"/>
  <c r="G3566" i="5"/>
  <c r="G3565" i="5"/>
  <c r="G3563" i="5"/>
  <c r="G3562" i="5"/>
  <c r="G3561" i="5"/>
  <c r="G3560" i="5"/>
  <c r="G3559" i="5"/>
  <c r="G3558" i="5"/>
  <c r="G3557" i="5"/>
  <c r="G3556" i="5"/>
  <c r="G3555" i="5"/>
  <c r="G3553" i="5"/>
  <c r="G3552" i="5"/>
  <c r="G3551" i="5"/>
  <c r="G3550" i="5"/>
  <c r="G3549" i="5"/>
  <c r="G3548" i="5"/>
  <c r="G3547" i="5"/>
  <c r="G3546" i="5"/>
  <c r="G3545" i="5"/>
  <c r="G3543" i="5"/>
  <c r="G3542" i="5"/>
  <c r="G3541" i="5"/>
  <c r="G3540" i="5"/>
  <c r="G3539" i="5"/>
  <c r="G3538" i="5"/>
  <c r="G3537" i="5"/>
  <c r="G3536" i="5"/>
  <c r="G3535" i="5"/>
  <c r="G3533" i="5"/>
  <c r="G3532" i="5"/>
  <c r="G3531" i="5"/>
  <c r="G3530" i="5"/>
  <c r="G3529" i="5"/>
  <c r="G3528" i="5"/>
  <c r="G3527" i="5"/>
  <c r="G3526" i="5"/>
  <c r="G3525" i="5"/>
  <c r="G3523" i="5"/>
  <c r="G3522" i="5"/>
  <c r="G3521" i="5"/>
  <c r="G3520" i="5"/>
  <c r="G3519" i="5"/>
  <c r="G3518" i="5"/>
  <c r="G3517" i="5"/>
  <c r="G3516" i="5"/>
  <c r="G3515" i="5"/>
  <c r="G3513" i="5"/>
  <c r="G3512" i="5"/>
  <c r="G3511" i="5"/>
  <c r="G3510" i="5"/>
  <c r="G3509" i="5"/>
  <c r="G3508" i="5"/>
  <c r="G3507" i="5"/>
  <c r="G3506" i="5"/>
  <c r="G3505" i="5"/>
  <c r="G3503" i="5"/>
  <c r="G3502" i="5"/>
  <c r="G3501" i="5"/>
  <c r="G3500" i="5"/>
  <c r="G3499" i="5"/>
  <c r="G3498" i="5"/>
  <c r="G3497" i="5"/>
  <c r="G3496" i="5"/>
  <c r="G3495" i="5"/>
  <c r="G3493" i="5"/>
  <c r="G3492" i="5"/>
  <c r="G3491" i="5"/>
  <c r="G3490" i="5"/>
  <c r="G3489" i="5"/>
  <c r="G3488" i="5"/>
  <c r="G3477" i="5"/>
  <c r="G3476" i="5"/>
  <c r="G3475" i="5"/>
  <c r="G3473" i="5"/>
  <c r="G3472" i="5"/>
  <c r="G3471" i="5"/>
  <c r="G3470" i="5"/>
  <c r="G3469" i="5"/>
  <c r="G3468" i="5"/>
  <c r="G3467" i="5"/>
  <c r="G3466" i="5"/>
  <c r="G3465" i="5"/>
  <c r="G3463" i="5"/>
  <c r="G3462" i="5"/>
  <c r="G3461" i="5"/>
  <c r="G3460" i="5"/>
  <c r="G3459" i="5"/>
  <c r="G3458" i="5"/>
  <c r="G3457" i="5"/>
  <c r="G3456" i="5"/>
  <c r="G3455" i="5"/>
  <c r="G3453" i="5"/>
  <c r="G3452" i="5"/>
  <c r="G3451" i="5"/>
  <c r="G3450" i="5"/>
  <c r="G3449" i="5"/>
  <c r="G3448" i="5"/>
  <c r="G3447" i="5"/>
  <c r="G3446" i="5"/>
  <c r="G3445" i="5"/>
  <c r="G3443" i="5"/>
  <c r="G3442" i="5"/>
  <c r="G3441" i="5"/>
  <c r="G3440" i="5"/>
  <c r="G3439" i="5"/>
  <c r="G3438" i="5"/>
  <c r="G3437" i="5"/>
  <c r="G3436" i="5"/>
  <c r="G3435" i="5"/>
  <c r="G3433" i="5"/>
  <c r="G3432" i="5"/>
  <c r="G3431" i="5"/>
  <c r="G3430" i="5"/>
  <c r="G3429" i="5"/>
  <c r="G3428" i="5"/>
  <c r="G3427" i="5"/>
  <c r="G3426" i="5"/>
  <c r="G3425" i="5"/>
  <c r="G3423" i="5"/>
  <c r="G3422" i="5"/>
  <c r="G3421" i="5"/>
  <c r="G3420" i="5"/>
  <c r="G3419" i="5"/>
  <c r="G3418" i="5"/>
  <c r="G3417" i="5"/>
  <c r="G3416" i="5"/>
  <c r="G3415" i="5"/>
  <c r="G3413" i="5"/>
  <c r="G3412" i="5"/>
  <c r="G3411" i="5"/>
  <c r="G3410" i="5"/>
  <c r="G3409" i="5"/>
  <c r="G3408" i="5"/>
  <c r="G3407" i="5"/>
  <c r="G3406" i="5"/>
  <c r="G3405" i="5"/>
  <c r="G3403" i="5"/>
  <c r="G3402" i="5"/>
  <c r="G3401" i="5"/>
  <c r="G3400" i="5"/>
  <c r="G3399" i="5"/>
  <c r="G3398" i="5"/>
  <c r="G3397" i="5"/>
  <c r="G3396" i="5"/>
  <c r="G3395" i="5"/>
  <c r="G3393" i="5"/>
  <c r="G3392" i="5"/>
  <c r="G3391" i="5"/>
  <c r="G3390" i="5"/>
  <c r="G3389" i="5"/>
  <c r="G3388" i="5"/>
  <c r="G3377" i="5"/>
  <c r="G3376" i="5"/>
  <c r="G3375" i="5"/>
  <c r="G3373" i="5"/>
  <c r="G3372" i="5"/>
  <c r="G3371" i="5"/>
  <c r="G3370" i="5"/>
  <c r="G3369" i="5"/>
  <c r="G3368" i="5"/>
  <c r="G3367" i="5"/>
  <c r="G3366" i="5"/>
  <c r="G3365" i="5"/>
  <c r="G3363" i="5"/>
  <c r="G3362" i="5"/>
  <c r="G3361" i="5"/>
  <c r="G3360" i="5"/>
  <c r="G3359" i="5"/>
  <c r="G3358" i="5"/>
  <c r="G3357" i="5"/>
  <c r="G3356" i="5"/>
  <c r="G3355" i="5"/>
  <c r="G3353" i="5"/>
  <c r="G3352" i="5"/>
  <c r="G3351" i="5"/>
  <c r="G3350" i="5"/>
  <c r="G3349" i="5"/>
  <c r="G3348" i="5"/>
  <c r="G3347" i="5"/>
  <c r="G3346" i="5"/>
  <c r="G3345" i="5"/>
  <c r="G3343" i="5"/>
  <c r="G3342" i="5"/>
  <c r="G3341" i="5"/>
  <c r="G3340" i="5"/>
  <c r="G3339" i="5"/>
  <c r="G3338" i="5"/>
  <c r="G3337" i="5"/>
  <c r="G3336" i="5"/>
  <c r="G3335" i="5"/>
  <c r="G3333" i="5"/>
  <c r="G3332" i="5"/>
  <c r="G3331" i="5"/>
  <c r="G3330" i="5"/>
  <c r="G3329" i="5"/>
  <c r="G3328" i="5"/>
  <c r="G3327" i="5"/>
  <c r="G3326" i="5"/>
  <c r="G3325" i="5"/>
  <c r="G3323" i="5"/>
  <c r="G3322" i="5"/>
  <c r="G3321" i="5"/>
  <c r="G3320" i="5"/>
  <c r="G3319" i="5"/>
  <c r="G3318" i="5"/>
  <c r="G3317" i="5"/>
  <c r="G3316" i="5"/>
  <c r="G3315" i="5"/>
  <c r="G3313" i="5"/>
  <c r="G3312" i="5"/>
  <c r="G3311" i="5"/>
  <c r="G3310" i="5"/>
  <c r="G3309" i="5"/>
  <c r="G3308" i="5"/>
  <c r="G3307" i="5"/>
  <c r="G3306" i="5"/>
  <c r="G3305" i="5"/>
  <c r="G3303" i="5"/>
  <c r="G3302" i="5"/>
  <c r="G3301" i="5"/>
  <c r="G3300" i="5"/>
  <c r="G3299" i="5"/>
  <c r="G3298" i="5"/>
  <c r="G3297" i="5"/>
  <c r="G3296" i="5"/>
  <c r="G3295" i="5"/>
  <c r="G3293" i="5"/>
  <c r="G3292" i="5"/>
  <c r="G3291" i="5"/>
  <c r="G3290" i="5"/>
  <c r="G3289" i="5"/>
  <c r="G3288" i="5"/>
  <c r="G3277" i="5"/>
  <c r="G3276" i="5"/>
  <c r="G3275" i="5"/>
  <c r="G3273" i="5"/>
  <c r="G3272" i="5"/>
  <c r="G3271" i="5"/>
  <c r="G3270" i="5"/>
  <c r="G3269" i="5"/>
  <c r="G3268" i="5"/>
  <c r="G3267" i="5"/>
  <c r="G3266" i="5"/>
  <c r="G3265" i="5"/>
  <c r="G3263" i="5"/>
  <c r="G3262" i="5"/>
  <c r="G3261" i="5"/>
  <c r="G3260" i="5"/>
  <c r="G3259" i="5"/>
  <c r="G3258" i="5"/>
  <c r="G3257" i="5"/>
  <c r="G3256" i="5"/>
  <c r="G3255" i="5"/>
  <c r="G3253" i="5"/>
  <c r="G3252" i="5"/>
  <c r="G3251" i="5"/>
  <c r="G3250" i="5"/>
  <c r="G3249" i="5"/>
  <c r="G3248" i="5"/>
  <c r="G3247" i="5"/>
  <c r="G3246" i="5"/>
  <c r="G3245" i="5"/>
  <c r="G3243" i="5"/>
  <c r="G3242" i="5"/>
  <c r="G3241" i="5"/>
  <c r="G3240" i="5"/>
  <c r="G3239" i="5"/>
  <c r="G3238" i="5"/>
  <c r="G3237" i="5"/>
  <c r="G3236" i="5"/>
  <c r="G3235" i="5"/>
  <c r="G3233" i="5"/>
  <c r="G3232" i="5"/>
  <c r="G3231" i="5"/>
  <c r="G3230" i="5"/>
  <c r="G3229" i="5"/>
  <c r="G3228" i="5"/>
  <c r="G3227" i="5"/>
  <c r="G3226" i="5"/>
  <c r="G3225" i="5"/>
  <c r="G3223" i="5"/>
  <c r="G3222" i="5"/>
  <c r="G3221" i="5"/>
  <c r="G3220" i="5"/>
  <c r="G3219" i="5"/>
  <c r="G3218" i="5"/>
  <c r="G3217" i="5"/>
  <c r="G3216" i="5"/>
  <c r="G3215" i="5"/>
  <c r="G3213" i="5"/>
  <c r="G3212" i="5"/>
  <c r="G3211" i="5"/>
  <c r="G3210" i="5"/>
  <c r="G3209" i="5"/>
  <c r="G3208" i="5"/>
  <c r="G3207" i="5"/>
  <c r="G3206" i="5"/>
  <c r="G3205" i="5"/>
  <c r="G3203" i="5"/>
  <c r="G3202" i="5"/>
  <c r="G3201" i="5"/>
  <c r="G3200" i="5"/>
  <c r="G3199" i="5"/>
  <c r="G3198" i="5"/>
  <c r="G3197" i="5"/>
  <c r="G3196" i="5"/>
  <c r="G3195" i="5"/>
  <c r="G3193" i="5"/>
  <c r="G3192" i="5"/>
  <c r="G3191" i="5"/>
  <c r="G3190" i="5"/>
  <c r="G3189" i="5"/>
  <c r="G3188" i="5"/>
  <c r="G3177" i="5"/>
  <c r="G3176" i="5"/>
  <c r="G3175" i="5"/>
  <c r="G3173" i="5"/>
  <c r="G3172" i="5"/>
  <c r="G3171" i="5"/>
  <c r="G3170" i="5"/>
  <c r="G3169" i="5"/>
  <c r="G3168" i="5"/>
  <c r="G3167" i="5"/>
  <c r="G3166" i="5"/>
  <c r="G3165" i="5"/>
  <c r="G3163" i="5"/>
  <c r="G3162" i="5"/>
  <c r="G3161" i="5"/>
  <c r="G3160" i="5"/>
  <c r="G3159" i="5"/>
  <c r="G3158" i="5"/>
  <c r="G3157" i="5"/>
  <c r="G3156" i="5"/>
  <c r="G3155" i="5"/>
  <c r="G3153" i="5"/>
  <c r="G3152" i="5"/>
  <c r="G3151" i="5"/>
  <c r="G3150" i="5"/>
  <c r="G3149" i="5"/>
  <c r="G3148" i="5"/>
  <c r="G3147" i="5"/>
  <c r="G3146" i="5"/>
  <c r="G3145" i="5"/>
  <c r="G3143" i="5"/>
  <c r="G3142" i="5"/>
  <c r="G3141" i="5"/>
  <c r="G3140" i="5"/>
  <c r="G3139" i="5"/>
  <c r="G3138" i="5"/>
  <c r="G3137" i="5"/>
  <c r="G3136" i="5"/>
  <c r="G3135" i="5"/>
  <c r="G3133" i="5"/>
  <c r="G3132" i="5"/>
  <c r="G3131" i="5"/>
  <c r="G3130" i="5"/>
  <c r="G3129" i="5"/>
  <c r="G3128" i="5"/>
  <c r="G3127" i="5"/>
  <c r="G3126" i="5"/>
  <c r="G3125" i="5"/>
  <c r="G3123" i="5"/>
  <c r="G3122" i="5"/>
  <c r="G3121" i="5"/>
  <c r="G3120" i="5"/>
  <c r="G3119" i="5"/>
  <c r="G3118" i="5"/>
  <c r="G3117" i="5"/>
  <c r="G3116" i="5"/>
  <c r="G3115" i="5"/>
  <c r="G3113" i="5"/>
  <c r="G3112" i="5"/>
  <c r="G3111" i="5"/>
  <c r="G3110" i="5"/>
  <c r="G3109" i="5"/>
  <c r="G3108" i="5"/>
  <c r="G3107" i="5"/>
  <c r="G3106" i="5"/>
  <c r="G3105" i="5"/>
  <c r="G3103" i="5"/>
  <c r="G3102" i="5"/>
  <c r="G3101" i="5"/>
  <c r="G3100" i="5"/>
  <c r="G3099" i="5"/>
  <c r="G3098" i="5"/>
  <c r="G3097" i="5"/>
  <c r="G3096" i="5"/>
  <c r="G3095" i="5"/>
  <c r="G3093" i="5"/>
  <c r="G3092" i="5"/>
  <c r="G3091" i="5"/>
  <c r="G3090" i="5"/>
  <c r="G3089" i="5"/>
  <c r="G3088" i="5"/>
  <c r="G3077" i="5"/>
  <c r="G3076" i="5"/>
  <c r="G3075" i="5"/>
  <c r="G3073" i="5"/>
  <c r="G3072" i="5"/>
  <c r="G3071" i="5"/>
  <c r="G3070" i="5"/>
  <c r="G3069" i="5"/>
  <c r="G3068" i="5"/>
  <c r="G3067" i="5"/>
  <c r="G3066" i="5"/>
  <c r="G3065" i="5"/>
  <c r="G3063" i="5"/>
  <c r="G3062" i="5"/>
  <c r="G3061" i="5"/>
  <c r="G3060" i="5"/>
  <c r="G3059" i="5"/>
  <c r="G3058" i="5"/>
  <c r="G3057" i="5"/>
  <c r="G3056" i="5"/>
  <c r="G3055" i="5"/>
  <c r="G3053" i="5"/>
  <c r="G3052" i="5"/>
  <c r="G3051" i="5"/>
  <c r="G3050" i="5"/>
  <c r="G3049" i="5"/>
  <c r="G3048" i="5"/>
  <c r="G3047" i="5"/>
  <c r="G3046" i="5"/>
  <c r="G3045" i="5"/>
  <c r="G3043" i="5"/>
  <c r="G3042" i="5"/>
  <c r="G3041" i="5"/>
  <c r="G3040" i="5"/>
  <c r="G3039" i="5"/>
  <c r="G3038" i="5"/>
  <c r="G3037" i="5"/>
  <c r="G3036" i="5"/>
  <c r="G3035" i="5"/>
  <c r="G3033" i="5"/>
  <c r="G3032" i="5"/>
  <c r="G3031" i="5"/>
  <c r="G3030" i="5"/>
  <c r="G3029" i="5"/>
  <c r="G3028" i="5"/>
  <c r="G3027" i="5"/>
  <c r="G3026" i="5"/>
  <c r="G3025" i="5"/>
  <c r="G3023" i="5"/>
  <c r="G3022" i="5"/>
  <c r="G3021" i="5"/>
  <c r="G3020" i="5"/>
  <c r="G3019" i="5"/>
  <c r="G3018" i="5"/>
  <c r="G3017" i="5"/>
  <c r="G3016" i="5"/>
  <c r="G3015" i="5"/>
  <c r="G3013" i="5"/>
  <c r="G3012" i="5"/>
  <c r="G3011" i="5"/>
  <c r="G3010" i="5"/>
  <c r="G3009" i="5"/>
  <c r="G3008" i="5"/>
  <c r="G3007" i="5"/>
  <c r="G3006" i="5"/>
  <c r="G3005" i="5"/>
  <c r="E815" i="1"/>
  <c r="E814" i="1" l="1"/>
  <c r="E813" i="1"/>
  <c r="E812" i="1"/>
  <c r="E811" i="1"/>
  <c r="E810" i="1"/>
  <c r="E809" i="1"/>
  <c r="E808" i="1"/>
  <c r="E806" i="1"/>
  <c r="E805" i="1"/>
  <c r="E807" i="1"/>
  <c r="V5009" i="5"/>
  <c r="U5009" i="5"/>
  <c r="T5009" i="5"/>
  <c r="S5009" i="5"/>
  <c r="R5009" i="5"/>
  <c r="Q5009" i="5"/>
  <c r="P5009" i="5"/>
  <c r="O5009" i="5"/>
  <c r="N5009" i="5"/>
  <c r="M5009" i="5"/>
  <c r="L5009" i="5"/>
  <c r="K5009" i="5"/>
  <c r="J5009" i="5"/>
  <c r="I5009" i="5"/>
  <c r="H5009" i="5"/>
  <c r="V5008" i="5"/>
  <c r="U5008" i="5"/>
  <c r="T5008" i="5"/>
  <c r="S5008" i="5"/>
  <c r="R5008" i="5"/>
  <c r="Q5008" i="5"/>
  <c r="P5008" i="5"/>
  <c r="O5008" i="5"/>
  <c r="N5008" i="5"/>
  <c r="M5008" i="5"/>
  <c r="L5008" i="5"/>
  <c r="K5008" i="5"/>
  <c r="J5008" i="5"/>
  <c r="I5008" i="5"/>
  <c r="H5008" i="5"/>
  <c r="V5007" i="5"/>
  <c r="U5007" i="5"/>
  <c r="T5007" i="5"/>
  <c r="S5007" i="5"/>
  <c r="R5007" i="5"/>
  <c r="Q5007" i="5"/>
  <c r="P5007" i="5"/>
  <c r="O5007" i="5"/>
  <c r="N5007" i="5"/>
  <c r="M5007" i="5"/>
  <c r="L5007" i="5"/>
  <c r="K5007" i="5"/>
  <c r="J5007" i="5"/>
  <c r="I5007" i="5"/>
  <c r="H5007" i="5"/>
  <c r="V5006" i="5"/>
  <c r="U5006" i="5"/>
  <c r="T5006" i="5"/>
  <c r="S5006" i="5"/>
  <c r="R5006" i="5"/>
  <c r="Q5006" i="5"/>
  <c r="P5006" i="5"/>
  <c r="O5006" i="5"/>
  <c r="N5006" i="5"/>
  <c r="M5006" i="5"/>
  <c r="L5006" i="5"/>
  <c r="K5006" i="5"/>
  <c r="J5006" i="5"/>
  <c r="I5006" i="5"/>
  <c r="H5006" i="5"/>
  <c r="V5005" i="5"/>
  <c r="U5005" i="5"/>
  <c r="T5005" i="5"/>
  <c r="S5005" i="5"/>
  <c r="R5005" i="5"/>
  <c r="Q5005" i="5"/>
  <c r="P5005" i="5"/>
  <c r="O5005" i="5"/>
  <c r="N5005" i="5"/>
  <c r="M5005" i="5"/>
  <c r="L5005" i="5"/>
  <c r="K5005" i="5"/>
  <c r="J5005" i="5"/>
  <c r="I5005" i="5"/>
  <c r="H5005" i="5"/>
  <c r="V5004" i="5"/>
  <c r="U5004" i="5"/>
  <c r="T5004" i="5"/>
  <c r="S5004" i="5"/>
  <c r="R5004" i="5"/>
  <c r="Q5004" i="5"/>
  <c r="P5004" i="5"/>
  <c r="V5003" i="5"/>
  <c r="U5003" i="5"/>
  <c r="T5003" i="5"/>
  <c r="S5003" i="5"/>
  <c r="R5003" i="5"/>
  <c r="Q5003" i="5"/>
  <c r="P5003" i="5"/>
  <c r="O5003" i="5"/>
  <c r="N5003" i="5"/>
  <c r="M5003" i="5"/>
  <c r="L5003" i="5"/>
  <c r="K5003" i="5"/>
  <c r="J5003" i="5"/>
  <c r="I5003" i="5"/>
  <c r="H5003" i="5"/>
  <c r="U5002" i="5"/>
  <c r="T5002" i="5"/>
  <c r="S5002" i="5"/>
  <c r="R5002" i="5"/>
  <c r="Q5002" i="5"/>
  <c r="P5002" i="5"/>
  <c r="O5002" i="5"/>
  <c r="N5002" i="5"/>
  <c r="M5002" i="5"/>
  <c r="L5002" i="5"/>
  <c r="K5002" i="5"/>
  <c r="J5002" i="5"/>
  <c r="I5002" i="5"/>
  <c r="H5002" i="5"/>
  <c r="V5001" i="5"/>
  <c r="U5001" i="5"/>
  <c r="T5001" i="5"/>
  <c r="S5001" i="5"/>
  <c r="R5001" i="5"/>
  <c r="Q5001" i="5"/>
  <c r="P5001" i="5"/>
  <c r="O5001" i="5"/>
  <c r="N5001" i="5"/>
  <c r="M5001" i="5"/>
  <c r="L5001" i="5"/>
  <c r="K5001" i="5"/>
  <c r="J5001" i="5"/>
  <c r="I5001" i="5"/>
  <c r="H5001" i="5"/>
  <c r="V5000" i="5"/>
  <c r="O5000" i="5"/>
  <c r="N5000" i="5"/>
  <c r="M5000" i="5"/>
  <c r="L5000" i="5"/>
  <c r="K5000" i="5"/>
  <c r="J5000" i="5"/>
  <c r="I5000" i="5"/>
  <c r="H5000" i="5"/>
  <c r="V4999" i="5"/>
  <c r="U4999" i="5"/>
  <c r="T4999" i="5"/>
  <c r="S4999" i="5"/>
  <c r="R4999" i="5"/>
  <c r="Q4999" i="5"/>
  <c r="P4999" i="5"/>
  <c r="O4999" i="5"/>
  <c r="N4999" i="5"/>
  <c r="M4999" i="5"/>
  <c r="L4999" i="5"/>
  <c r="K4999" i="5"/>
  <c r="J4999" i="5"/>
  <c r="I4999" i="5"/>
  <c r="H4999" i="5"/>
  <c r="V4998" i="5"/>
  <c r="U4998" i="5"/>
  <c r="T4998" i="5"/>
  <c r="S4998" i="5"/>
  <c r="R4998" i="5"/>
  <c r="Q4998" i="5"/>
  <c r="P4998" i="5"/>
  <c r="O4998" i="5"/>
  <c r="N4998" i="5"/>
  <c r="M4998" i="5"/>
  <c r="L4998" i="5"/>
  <c r="K4998" i="5"/>
  <c r="J4998" i="5"/>
  <c r="I4998" i="5"/>
  <c r="H4998" i="5"/>
  <c r="V4997" i="5"/>
  <c r="U4997" i="5"/>
  <c r="T4997" i="5"/>
  <c r="S4997" i="5"/>
  <c r="R4997" i="5"/>
  <c r="Q4997" i="5"/>
  <c r="P4997" i="5"/>
  <c r="O4997" i="5"/>
  <c r="N4997" i="5"/>
  <c r="M4997" i="5"/>
  <c r="L4997" i="5"/>
  <c r="K4997" i="5"/>
  <c r="J4997" i="5"/>
  <c r="I4997" i="5"/>
  <c r="H4997" i="5"/>
  <c r="V4996" i="5"/>
  <c r="U4996" i="5"/>
  <c r="T4996" i="5"/>
  <c r="S4996" i="5"/>
  <c r="R4996" i="5"/>
  <c r="Q4996" i="5"/>
  <c r="P4996" i="5"/>
  <c r="O4996" i="5"/>
  <c r="N4996" i="5"/>
  <c r="M4996" i="5"/>
  <c r="L4996" i="5"/>
  <c r="K4996" i="5"/>
  <c r="J4996" i="5"/>
  <c r="I4996" i="5"/>
  <c r="H4996" i="5"/>
  <c r="V4995" i="5"/>
  <c r="U4995" i="5"/>
  <c r="T4995" i="5"/>
  <c r="S4995" i="5"/>
  <c r="R4995" i="5"/>
  <c r="Q4995" i="5"/>
  <c r="P4995" i="5"/>
  <c r="O4995" i="5"/>
  <c r="N4995" i="5"/>
  <c r="M4995" i="5"/>
  <c r="L4995" i="5"/>
  <c r="K4995" i="5"/>
  <c r="J4995" i="5"/>
  <c r="I4995" i="5"/>
  <c r="H4995" i="5"/>
  <c r="V4994" i="5"/>
  <c r="U4994" i="5"/>
  <c r="T4994" i="5"/>
  <c r="S4994" i="5"/>
  <c r="R4994" i="5"/>
  <c r="Q4994" i="5"/>
  <c r="P4994" i="5"/>
  <c r="V4993" i="5"/>
  <c r="U4993" i="5"/>
  <c r="T4993" i="5"/>
  <c r="S4993" i="5"/>
  <c r="R4993" i="5"/>
  <c r="Q4993" i="5"/>
  <c r="P4993" i="5"/>
  <c r="O4993" i="5"/>
  <c r="N4993" i="5"/>
  <c r="M4993" i="5"/>
  <c r="L4993" i="5"/>
  <c r="K4993" i="5"/>
  <c r="J4993" i="5"/>
  <c r="I4993" i="5"/>
  <c r="H4993" i="5"/>
  <c r="U4992" i="5"/>
  <c r="T4992" i="5"/>
  <c r="S4992" i="5"/>
  <c r="R4992" i="5"/>
  <c r="Q4992" i="5"/>
  <c r="P4992" i="5"/>
  <c r="O4992" i="5"/>
  <c r="N4992" i="5"/>
  <c r="M4992" i="5"/>
  <c r="L4992" i="5"/>
  <c r="K4992" i="5"/>
  <c r="J4992" i="5"/>
  <c r="I4992" i="5"/>
  <c r="H4992" i="5"/>
  <c r="V4991" i="5"/>
  <c r="U4991" i="5"/>
  <c r="T4991" i="5"/>
  <c r="S4991" i="5"/>
  <c r="R4991" i="5"/>
  <c r="Q4991" i="5"/>
  <c r="P4991" i="5"/>
  <c r="O4991" i="5"/>
  <c r="N4991" i="5"/>
  <c r="M4991" i="5"/>
  <c r="L4991" i="5"/>
  <c r="K4991" i="5"/>
  <c r="J4991" i="5"/>
  <c r="I4991" i="5"/>
  <c r="H4991" i="5"/>
  <c r="V4990" i="5"/>
  <c r="O4990" i="5"/>
  <c r="N4990" i="5"/>
  <c r="M4990" i="5"/>
  <c r="L4990" i="5"/>
  <c r="K4990" i="5"/>
  <c r="J4990" i="5"/>
  <c r="I4990" i="5"/>
  <c r="H4990" i="5"/>
  <c r="V4989" i="5"/>
  <c r="U4989" i="5"/>
  <c r="T4989" i="5"/>
  <c r="S4989" i="5"/>
  <c r="R4989" i="5"/>
  <c r="Q4989" i="5"/>
  <c r="P4989" i="5"/>
  <c r="O4989" i="5"/>
  <c r="N4989" i="5"/>
  <c r="M4989" i="5"/>
  <c r="L4989" i="5"/>
  <c r="K4989" i="5"/>
  <c r="J4989" i="5"/>
  <c r="I4989" i="5"/>
  <c r="H4989" i="5"/>
  <c r="V4988" i="5"/>
  <c r="U4988" i="5"/>
  <c r="T4988" i="5"/>
  <c r="S4988" i="5"/>
  <c r="R4988" i="5"/>
  <c r="Q4988" i="5"/>
  <c r="P4988" i="5"/>
  <c r="O4988" i="5"/>
  <c r="N4988" i="5"/>
  <c r="M4988" i="5"/>
  <c r="L4988" i="5"/>
  <c r="K4988" i="5"/>
  <c r="J4988" i="5"/>
  <c r="I4988" i="5"/>
  <c r="H4988" i="5"/>
  <c r="V4987" i="5"/>
  <c r="U4987" i="5"/>
  <c r="T4987" i="5"/>
  <c r="S4987" i="5"/>
  <c r="R4987" i="5"/>
  <c r="Q4987" i="5"/>
  <c r="P4987" i="5"/>
  <c r="V4986" i="5"/>
  <c r="U4986" i="5"/>
  <c r="T4986" i="5"/>
  <c r="S4986" i="5"/>
  <c r="R4986" i="5"/>
  <c r="Q4986" i="5"/>
  <c r="P4986" i="5"/>
  <c r="U4985" i="5"/>
  <c r="T4985" i="5"/>
  <c r="S4985" i="5"/>
  <c r="R4985" i="5"/>
  <c r="Q4985" i="5"/>
  <c r="P4985" i="5"/>
  <c r="U4984" i="5"/>
  <c r="T4984" i="5"/>
  <c r="S4984" i="5"/>
  <c r="R4984" i="5"/>
  <c r="Q4984" i="5"/>
  <c r="P4984" i="5"/>
  <c r="O4977" i="5"/>
  <c r="N4977" i="5"/>
  <c r="M4977" i="5"/>
  <c r="L4977" i="5"/>
  <c r="K4977" i="5"/>
  <c r="J4977" i="5"/>
  <c r="I4977" i="5"/>
  <c r="H4977" i="5"/>
  <c r="O4976" i="5"/>
  <c r="N4976" i="5"/>
  <c r="M4976" i="5"/>
  <c r="L4976" i="5"/>
  <c r="K4976" i="5"/>
  <c r="J4976" i="5"/>
  <c r="I4976" i="5"/>
  <c r="H4976" i="5"/>
  <c r="V4975" i="5"/>
  <c r="O4975" i="5"/>
  <c r="N4975" i="5"/>
  <c r="M4975" i="5"/>
  <c r="L4975" i="5"/>
  <c r="K4975" i="5"/>
  <c r="J4975" i="5"/>
  <c r="I4975" i="5"/>
  <c r="H4975" i="5"/>
  <c r="V4974" i="5"/>
  <c r="V4973" i="5"/>
  <c r="U4973" i="5"/>
  <c r="T4973" i="5"/>
  <c r="S4973" i="5"/>
  <c r="R4973" i="5"/>
  <c r="Q4973" i="5"/>
  <c r="P4973" i="5"/>
  <c r="O4973" i="5"/>
  <c r="N4973" i="5"/>
  <c r="M4973" i="5"/>
  <c r="L4973" i="5"/>
  <c r="K4973" i="5"/>
  <c r="J4973" i="5"/>
  <c r="I4973" i="5"/>
  <c r="H4973" i="5"/>
  <c r="U4972" i="5"/>
  <c r="T4972" i="5"/>
  <c r="S4972" i="5"/>
  <c r="R4972" i="5"/>
  <c r="Q4972" i="5"/>
  <c r="P4972" i="5"/>
  <c r="O4972" i="5"/>
  <c r="N4972" i="5"/>
  <c r="M4972" i="5"/>
  <c r="L4972" i="5"/>
  <c r="K4972" i="5"/>
  <c r="J4972" i="5"/>
  <c r="I4972" i="5"/>
  <c r="H4972" i="5"/>
  <c r="V4971" i="5"/>
  <c r="U4971" i="5"/>
  <c r="T4971" i="5"/>
  <c r="S4971" i="5"/>
  <c r="R4971" i="5"/>
  <c r="Q4971" i="5"/>
  <c r="P4971" i="5"/>
  <c r="O4971" i="5"/>
  <c r="N4971" i="5"/>
  <c r="M4971" i="5"/>
  <c r="L4971" i="5"/>
  <c r="K4971" i="5"/>
  <c r="J4971" i="5"/>
  <c r="I4971" i="5"/>
  <c r="H4971" i="5"/>
  <c r="V4970" i="5"/>
  <c r="O4970" i="5"/>
  <c r="N4970" i="5"/>
  <c r="M4970" i="5"/>
  <c r="L4970" i="5"/>
  <c r="K4970" i="5"/>
  <c r="J4970" i="5"/>
  <c r="I4970" i="5"/>
  <c r="H4970" i="5"/>
  <c r="V4969" i="5"/>
  <c r="U4969" i="5"/>
  <c r="T4969" i="5"/>
  <c r="S4969" i="5"/>
  <c r="R4969" i="5"/>
  <c r="Q4969" i="5"/>
  <c r="P4969" i="5"/>
  <c r="O4969" i="5"/>
  <c r="N4969" i="5"/>
  <c r="M4969" i="5"/>
  <c r="L4969" i="5"/>
  <c r="K4969" i="5"/>
  <c r="J4969" i="5"/>
  <c r="I4969" i="5"/>
  <c r="H4969" i="5"/>
  <c r="V4968" i="5"/>
  <c r="U4968" i="5"/>
  <c r="T4968" i="5"/>
  <c r="S4968" i="5"/>
  <c r="R4968" i="5"/>
  <c r="Q4968" i="5"/>
  <c r="P4968" i="5"/>
  <c r="O4968" i="5"/>
  <c r="N4968" i="5"/>
  <c r="M4968" i="5"/>
  <c r="L4968" i="5"/>
  <c r="K4968" i="5"/>
  <c r="J4968" i="5"/>
  <c r="I4968" i="5"/>
  <c r="H4968" i="5"/>
  <c r="V4967" i="5"/>
  <c r="U4967" i="5"/>
  <c r="T4967" i="5"/>
  <c r="S4967" i="5"/>
  <c r="R4967" i="5"/>
  <c r="Q4967" i="5"/>
  <c r="P4967" i="5"/>
  <c r="O4967" i="5"/>
  <c r="N4967" i="5"/>
  <c r="M4967" i="5"/>
  <c r="L4967" i="5"/>
  <c r="K4967" i="5"/>
  <c r="J4967" i="5"/>
  <c r="I4967" i="5"/>
  <c r="H4967" i="5"/>
  <c r="V4966" i="5"/>
  <c r="U4966" i="5"/>
  <c r="T4966" i="5"/>
  <c r="S4966" i="5"/>
  <c r="R4966" i="5"/>
  <c r="Q4966" i="5"/>
  <c r="P4966" i="5"/>
  <c r="O4966" i="5"/>
  <c r="N4966" i="5"/>
  <c r="M4966" i="5"/>
  <c r="L4966" i="5"/>
  <c r="K4966" i="5"/>
  <c r="J4966" i="5"/>
  <c r="I4966" i="5"/>
  <c r="H4966" i="5"/>
  <c r="V4965" i="5"/>
  <c r="U4965" i="5"/>
  <c r="T4965" i="5"/>
  <c r="S4965" i="5"/>
  <c r="R4965" i="5"/>
  <c r="Q4965" i="5"/>
  <c r="P4965" i="5"/>
  <c r="O4965" i="5"/>
  <c r="N4965" i="5"/>
  <c r="M4965" i="5"/>
  <c r="L4965" i="5"/>
  <c r="K4965" i="5"/>
  <c r="J4965" i="5"/>
  <c r="I4965" i="5"/>
  <c r="H4965" i="5"/>
  <c r="V4964" i="5"/>
  <c r="U4964" i="5"/>
  <c r="T4964" i="5"/>
  <c r="S4964" i="5"/>
  <c r="R4964" i="5"/>
  <c r="Q4964" i="5"/>
  <c r="P4964" i="5"/>
  <c r="V4963" i="5"/>
  <c r="U4963" i="5"/>
  <c r="T4963" i="5"/>
  <c r="S4963" i="5"/>
  <c r="R4963" i="5"/>
  <c r="Q4963" i="5"/>
  <c r="P4963" i="5"/>
  <c r="O4963" i="5"/>
  <c r="N4963" i="5"/>
  <c r="M4963" i="5"/>
  <c r="L4963" i="5"/>
  <c r="K4963" i="5"/>
  <c r="J4963" i="5"/>
  <c r="I4963" i="5"/>
  <c r="H4963" i="5"/>
  <c r="U4962" i="5"/>
  <c r="T4962" i="5"/>
  <c r="S4962" i="5"/>
  <c r="R4962" i="5"/>
  <c r="Q4962" i="5"/>
  <c r="P4962" i="5"/>
  <c r="O4962" i="5"/>
  <c r="N4962" i="5"/>
  <c r="M4962" i="5"/>
  <c r="L4962" i="5"/>
  <c r="K4962" i="5"/>
  <c r="J4962" i="5"/>
  <c r="I4962" i="5"/>
  <c r="H4962" i="5"/>
  <c r="V4961" i="5"/>
  <c r="U4961" i="5"/>
  <c r="T4961" i="5"/>
  <c r="S4961" i="5"/>
  <c r="R4961" i="5"/>
  <c r="Q4961" i="5"/>
  <c r="P4961" i="5"/>
  <c r="O4961" i="5"/>
  <c r="N4961" i="5"/>
  <c r="M4961" i="5"/>
  <c r="L4961" i="5"/>
  <c r="K4961" i="5"/>
  <c r="J4961" i="5"/>
  <c r="I4961" i="5"/>
  <c r="H4961" i="5"/>
  <c r="V4960" i="5"/>
  <c r="O4960" i="5"/>
  <c r="N4960" i="5"/>
  <c r="M4960" i="5"/>
  <c r="L4960" i="5"/>
  <c r="K4960" i="5"/>
  <c r="J4960" i="5"/>
  <c r="I4960" i="5"/>
  <c r="H4960" i="5"/>
  <c r="V4959" i="5"/>
  <c r="U4959" i="5"/>
  <c r="T4959" i="5"/>
  <c r="S4959" i="5"/>
  <c r="R4959" i="5"/>
  <c r="Q4959" i="5"/>
  <c r="P4959" i="5"/>
  <c r="O4959" i="5"/>
  <c r="N4959" i="5"/>
  <c r="M4959" i="5"/>
  <c r="L4959" i="5"/>
  <c r="K4959" i="5"/>
  <c r="J4959" i="5"/>
  <c r="I4959" i="5"/>
  <c r="H4959" i="5"/>
  <c r="V4958" i="5"/>
  <c r="U4958" i="5"/>
  <c r="T4958" i="5"/>
  <c r="S4958" i="5"/>
  <c r="R4958" i="5"/>
  <c r="Q4958" i="5"/>
  <c r="P4958" i="5"/>
  <c r="O4958" i="5"/>
  <c r="N4958" i="5"/>
  <c r="M4958" i="5"/>
  <c r="L4958" i="5"/>
  <c r="K4958" i="5"/>
  <c r="J4958" i="5"/>
  <c r="I4958" i="5"/>
  <c r="H4958" i="5"/>
  <c r="V4957" i="5"/>
  <c r="U4957" i="5"/>
  <c r="T4957" i="5"/>
  <c r="S4957" i="5"/>
  <c r="R4957" i="5"/>
  <c r="Q4957" i="5"/>
  <c r="P4957" i="5"/>
  <c r="O4957" i="5"/>
  <c r="N4957" i="5"/>
  <c r="M4957" i="5"/>
  <c r="L4957" i="5"/>
  <c r="K4957" i="5"/>
  <c r="J4957" i="5"/>
  <c r="I4957" i="5"/>
  <c r="H4957" i="5"/>
  <c r="V4956" i="5"/>
  <c r="U4956" i="5"/>
  <c r="T4956" i="5"/>
  <c r="S4956" i="5"/>
  <c r="R4956" i="5"/>
  <c r="Q4956" i="5"/>
  <c r="P4956" i="5"/>
  <c r="O4956" i="5"/>
  <c r="N4956" i="5"/>
  <c r="M4956" i="5"/>
  <c r="L4956" i="5"/>
  <c r="K4956" i="5"/>
  <c r="J4956" i="5"/>
  <c r="I4956" i="5"/>
  <c r="H4956" i="5"/>
  <c r="V4955" i="5"/>
  <c r="U4955" i="5"/>
  <c r="T4955" i="5"/>
  <c r="S4955" i="5"/>
  <c r="R4955" i="5"/>
  <c r="Q4955" i="5"/>
  <c r="P4955" i="5"/>
  <c r="O4955" i="5"/>
  <c r="N4955" i="5"/>
  <c r="M4955" i="5"/>
  <c r="L4955" i="5"/>
  <c r="K4955" i="5"/>
  <c r="J4955" i="5"/>
  <c r="I4955" i="5"/>
  <c r="H4955" i="5"/>
  <c r="V4954" i="5"/>
  <c r="U4954" i="5"/>
  <c r="T4954" i="5"/>
  <c r="S4954" i="5"/>
  <c r="R4954" i="5"/>
  <c r="Q4954" i="5"/>
  <c r="P4954" i="5"/>
  <c r="V4953" i="5"/>
  <c r="U4953" i="5"/>
  <c r="T4953" i="5"/>
  <c r="S4953" i="5"/>
  <c r="R4953" i="5"/>
  <c r="Q4953" i="5"/>
  <c r="P4953" i="5"/>
  <c r="O4953" i="5"/>
  <c r="N4953" i="5"/>
  <c r="M4953" i="5"/>
  <c r="L4953" i="5"/>
  <c r="K4953" i="5"/>
  <c r="J4953" i="5"/>
  <c r="I4953" i="5"/>
  <c r="H4953" i="5"/>
  <c r="U4952" i="5"/>
  <c r="T4952" i="5"/>
  <c r="S4952" i="5"/>
  <c r="R4952" i="5"/>
  <c r="Q4952" i="5"/>
  <c r="P4952" i="5"/>
  <c r="O4952" i="5"/>
  <c r="N4952" i="5"/>
  <c r="M4952" i="5"/>
  <c r="L4952" i="5"/>
  <c r="K4952" i="5"/>
  <c r="J4952" i="5"/>
  <c r="I4952" i="5"/>
  <c r="H4952" i="5"/>
  <c r="V4951" i="5"/>
  <c r="U4951" i="5"/>
  <c r="T4951" i="5"/>
  <c r="S4951" i="5"/>
  <c r="R4951" i="5"/>
  <c r="Q4951" i="5"/>
  <c r="P4951" i="5"/>
  <c r="O4951" i="5"/>
  <c r="N4951" i="5"/>
  <c r="M4951" i="5"/>
  <c r="L4951" i="5"/>
  <c r="K4951" i="5"/>
  <c r="J4951" i="5"/>
  <c r="I4951" i="5"/>
  <c r="H4951" i="5"/>
  <c r="V4950" i="5"/>
  <c r="O4950" i="5"/>
  <c r="N4950" i="5"/>
  <c r="M4950" i="5"/>
  <c r="L4950" i="5"/>
  <c r="K4950" i="5"/>
  <c r="J4950" i="5"/>
  <c r="I4950" i="5"/>
  <c r="H4950" i="5"/>
  <c r="V4949" i="5"/>
  <c r="U4949" i="5"/>
  <c r="T4949" i="5"/>
  <c r="S4949" i="5"/>
  <c r="R4949" i="5"/>
  <c r="Q4949" i="5"/>
  <c r="P4949" i="5"/>
  <c r="O4949" i="5"/>
  <c r="N4949" i="5"/>
  <c r="M4949" i="5"/>
  <c r="L4949" i="5"/>
  <c r="K4949" i="5"/>
  <c r="J4949" i="5"/>
  <c r="I4949" i="5"/>
  <c r="H4949" i="5"/>
  <c r="V4948" i="5"/>
  <c r="U4948" i="5"/>
  <c r="T4948" i="5"/>
  <c r="S4948" i="5"/>
  <c r="R4948" i="5"/>
  <c r="Q4948" i="5"/>
  <c r="P4948" i="5"/>
  <c r="O4948" i="5"/>
  <c r="N4948" i="5"/>
  <c r="M4948" i="5"/>
  <c r="L4948" i="5"/>
  <c r="K4948" i="5"/>
  <c r="J4948" i="5"/>
  <c r="I4948" i="5"/>
  <c r="H4948" i="5"/>
  <c r="V4947" i="5"/>
  <c r="U4947" i="5"/>
  <c r="T4947" i="5"/>
  <c r="S4947" i="5"/>
  <c r="R4947" i="5"/>
  <c r="Q4947" i="5"/>
  <c r="P4947" i="5"/>
  <c r="O4947" i="5"/>
  <c r="N4947" i="5"/>
  <c r="M4947" i="5"/>
  <c r="L4947" i="5"/>
  <c r="K4947" i="5"/>
  <c r="J4947" i="5"/>
  <c r="I4947" i="5"/>
  <c r="H4947" i="5"/>
  <c r="V4946" i="5"/>
  <c r="U4946" i="5"/>
  <c r="T4946" i="5"/>
  <c r="S4946" i="5"/>
  <c r="R4946" i="5"/>
  <c r="Q4946" i="5"/>
  <c r="P4946" i="5"/>
  <c r="O4946" i="5"/>
  <c r="N4946" i="5"/>
  <c r="M4946" i="5"/>
  <c r="L4946" i="5"/>
  <c r="K4946" i="5"/>
  <c r="J4946" i="5"/>
  <c r="I4946" i="5"/>
  <c r="H4946" i="5"/>
  <c r="V4945" i="5"/>
  <c r="U4945" i="5"/>
  <c r="T4945" i="5"/>
  <c r="S4945" i="5"/>
  <c r="R4945" i="5"/>
  <c r="Q4945" i="5"/>
  <c r="P4945" i="5"/>
  <c r="O4945" i="5"/>
  <c r="N4945" i="5"/>
  <c r="M4945" i="5"/>
  <c r="L4945" i="5"/>
  <c r="K4945" i="5"/>
  <c r="J4945" i="5"/>
  <c r="I4945" i="5"/>
  <c r="H4945" i="5"/>
  <c r="V4944" i="5"/>
  <c r="U4944" i="5"/>
  <c r="T4944" i="5"/>
  <c r="S4944" i="5"/>
  <c r="R4944" i="5"/>
  <c r="Q4944" i="5"/>
  <c r="P4944" i="5"/>
  <c r="V4943" i="5"/>
  <c r="U4943" i="5"/>
  <c r="T4943" i="5"/>
  <c r="S4943" i="5"/>
  <c r="R4943" i="5"/>
  <c r="Q4943" i="5"/>
  <c r="P4943" i="5"/>
  <c r="O4943" i="5"/>
  <c r="N4943" i="5"/>
  <c r="M4943" i="5"/>
  <c r="L4943" i="5"/>
  <c r="K4943" i="5"/>
  <c r="J4943" i="5"/>
  <c r="I4943" i="5"/>
  <c r="H4943" i="5"/>
  <c r="U4942" i="5"/>
  <c r="T4942" i="5"/>
  <c r="S4942" i="5"/>
  <c r="R4942" i="5"/>
  <c r="Q4942" i="5"/>
  <c r="P4942" i="5"/>
  <c r="O4942" i="5"/>
  <c r="N4942" i="5"/>
  <c r="M4942" i="5"/>
  <c r="L4942" i="5"/>
  <c r="K4942" i="5"/>
  <c r="J4942" i="5"/>
  <c r="I4942" i="5"/>
  <c r="H4942" i="5"/>
  <c r="V4941" i="5"/>
  <c r="U4941" i="5"/>
  <c r="T4941" i="5"/>
  <c r="S4941" i="5"/>
  <c r="R4941" i="5"/>
  <c r="Q4941" i="5"/>
  <c r="P4941" i="5"/>
  <c r="O4941" i="5"/>
  <c r="N4941" i="5"/>
  <c r="M4941" i="5"/>
  <c r="L4941" i="5"/>
  <c r="K4941" i="5"/>
  <c r="J4941" i="5"/>
  <c r="I4941" i="5"/>
  <c r="H4941" i="5"/>
  <c r="V4940" i="5"/>
  <c r="O4940" i="5"/>
  <c r="N4940" i="5"/>
  <c r="M4940" i="5"/>
  <c r="L4940" i="5"/>
  <c r="K4940" i="5"/>
  <c r="J4940" i="5"/>
  <c r="I4940" i="5"/>
  <c r="H4940" i="5"/>
  <c r="V4939" i="5"/>
  <c r="U4939" i="5"/>
  <c r="T4939" i="5"/>
  <c r="S4939" i="5"/>
  <c r="R4939" i="5"/>
  <c r="Q4939" i="5"/>
  <c r="P4939" i="5"/>
  <c r="O4939" i="5"/>
  <c r="N4939" i="5"/>
  <c r="M4939" i="5"/>
  <c r="L4939" i="5"/>
  <c r="K4939" i="5"/>
  <c r="J4939" i="5"/>
  <c r="I4939" i="5"/>
  <c r="H4939" i="5"/>
  <c r="V4938" i="5"/>
  <c r="U4938" i="5"/>
  <c r="T4938" i="5"/>
  <c r="S4938" i="5"/>
  <c r="R4938" i="5"/>
  <c r="Q4938" i="5"/>
  <c r="P4938" i="5"/>
  <c r="O4938" i="5"/>
  <c r="N4938" i="5"/>
  <c r="M4938" i="5"/>
  <c r="L4938" i="5"/>
  <c r="K4938" i="5"/>
  <c r="J4938" i="5"/>
  <c r="I4938" i="5"/>
  <c r="H4938" i="5"/>
  <c r="V4937" i="5"/>
  <c r="U4937" i="5"/>
  <c r="T4937" i="5"/>
  <c r="S4937" i="5"/>
  <c r="R4937" i="5"/>
  <c r="Q4937" i="5"/>
  <c r="P4937" i="5"/>
  <c r="O4937" i="5"/>
  <c r="N4937" i="5"/>
  <c r="M4937" i="5"/>
  <c r="L4937" i="5"/>
  <c r="K4937" i="5"/>
  <c r="J4937" i="5"/>
  <c r="I4937" i="5"/>
  <c r="H4937" i="5"/>
  <c r="V4936" i="5"/>
  <c r="U4936" i="5"/>
  <c r="T4936" i="5"/>
  <c r="S4936" i="5"/>
  <c r="R4936" i="5"/>
  <c r="Q4936" i="5"/>
  <c r="P4936" i="5"/>
  <c r="O4936" i="5"/>
  <c r="N4936" i="5"/>
  <c r="M4936" i="5"/>
  <c r="L4936" i="5"/>
  <c r="K4936" i="5"/>
  <c r="J4936" i="5"/>
  <c r="I4936" i="5"/>
  <c r="H4936" i="5"/>
  <c r="V4935" i="5"/>
  <c r="U4935" i="5"/>
  <c r="T4935" i="5"/>
  <c r="S4935" i="5"/>
  <c r="R4935" i="5"/>
  <c r="Q4935" i="5"/>
  <c r="P4935" i="5"/>
  <c r="O4935" i="5"/>
  <c r="N4935" i="5"/>
  <c r="M4935" i="5"/>
  <c r="L4935" i="5"/>
  <c r="K4935" i="5"/>
  <c r="J4935" i="5"/>
  <c r="I4935" i="5"/>
  <c r="H4935" i="5"/>
  <c r="V4934" i="5"/>
  <c r="U4934" i="5"/>
  <c r="T4934" i="5"/>
  <c r="S4934" i="5"/>
  <c r="R4934" i="5"/>
  <c r="Q4934" i="5"/>
  <c r="P4934" i="5"/>
  <c r="V4933" i="5"/>
  <c r="U4933" i="5"/>
  <c r="T4933" i="5"/>
  <c r="S4933" i="5"/>
  <c r="R4933" i="5"/>
  <c r="Q4933" i="5"/>
  <c r="P4933" i="5"/>
  <c r="O4933" i="5"/>
  <c r="N4933" i="5"/>
  <c r="M4933" i="5"/>
  <c r="L4933" i="5"/>
  <c r="K4933" i="5"/>
  <c r="J4933" i="5"/>
  <c r="I4933" i="5"/>
  <c r="H4933" i="5"/>
  <c r="U4932" i="5"/>
  <c r="T4932" i="5"/>
  <c r="S4932" i="5"/>
  <c r="R4932" i="5"/>
  <c r="Q4932" i="5"/>
  <c r="P4932" i="5"/>
  <c r="O4932" i="5"/>
  <c r="N4932" i="5"/>
  <c r="M4932" i="5"/>
  <c r="L4932" i="5"/>
  <c r="K4932" i="5"/>
  <c r="J4932" i="5"/>
  <c r="I4932" i="5"/>
  <c r="H4932" i="5"/>
  <c r="V4931" i="5"/>
  <c r="U4931" i="5"/>
  <c r="T4931" i="5"/>
  <c r="S4931" i="5"/>
  <c r="R4931" i="5"/>
  <c r="Q4931" i="5"/>
  <c r="P4931" i="5"/>
  <c r="O4931" i="5"/>
  <c r="N4931" i="5"/>
  <c r="M4931" i="5"/>
  <c r="L4931" i="5"/>
  <c r="K4931" i="5"/>
  <c r="J4931" i="5"/>
  <c r="I4931" i="5"/>
  <c r="H4931" i="5"/>
  <c r="V4930" i="5"/>
  <c r="O4930" i="5"/>
  <c r="N4930" i="5"/>
  <c r="M4930" i="5"/>
  <c r="L4930" i="5"/>
  <c r="K4930" i="5"/>
  <c r="J4930" i="5"/>
  <c r="I4930" i="5"/>
  <c r="H4930" i="5"/>
  <c r="V4929" i="5"/>
  <c r="U4929" i="5"/>
  <c r="T4929" i="5"/>
  <c r="S4929" i="5"/>
  <c r="R4929" i="5"/>
  <c r="Q4929" i="5"/>
  <c r="P4929" i="5"/>
  <c r="O4929" i="5"/>
  <c r="N4929" i="5"/>
  <c r="M4929" i="5"/>
  <c r="L4929" i="5"/>
  <c r="K4929" i="5"/>
  <c r="J4929" i="5"/>
  <c r="I4929" i="5"/>
  <c r="H4929" i="5"/>
  <c r="V4928" i="5"/>
  <c r="U4928" i="5"/>
  <c r="T4928" i="5"/>
  <c r="S4928" i="5"/>
  <c r="R4928" i="5"/>
  <c r="Q4928" i="5"/>
  <c r="P4928" i="5"/>
  <c r="O4928" i="5"/>
  <c r="N4928" i="5"/>
  <c r="M4928" i="5"/>
  <c r="L4928" i="5"/>
  <c r="K4928" i="5"/>
  <c r="J4928" i="5"/>
  <c r="I4928" i="5"/>
  <c r="H4928" i="5"/>
  <c r="V4927" i="5"/>
  <c r="U4927" i="5"/>
  <c r="T4927" i="5"/>
  <c r="S4927" i="5"/>
  <c r="R4927" i="5"/>
  <c r="Q4927" i="5"/>
  <c r="P4927" i="5"/>
  <c r="O4927" i="5"/>
  <c r="N4927" i="5"/>
  <c r="M4927" i="5"/>
  <c r="L4927" i="5"/>
  <c r="K4927" i="5"/>
  <c r="J4927" i="5"/>
  <c r="I4927" i="5"/>
  <c r="H4927" i="5"/>
  <c r="V4926" i="5"/>
  <c r="U4926" i="5"/>
  <c r="T4926" i="5"/>
  <c r="S4926" i="5"/>
  <c r="R4926" i="5"/>
  <c r="Q4926" i="5"/>
  <c r="P4926" i="5"/>
  <c r="O4926" i="5"/>
  <c r="N4926" i="5"/>
  <c r="M4926" i="5"/>
  <c r="L4926" i="5"/>
  <c r="K4926" i="5"/>
  <c r="J4926" i="5"/>
  <c r="I4926" i="5"/>
  <c r="H4926" i="5"/>
  <c r="V4925" i="5"/>
  <c r="U4925" i="5"/>
  <c r="T4925" i="5"/>
  <c r="S4925" i="5"/>
  <c r="R4925" i="5"/>
  <c r="Q4925" i="5"/>
  <c r="P4925" i="5"/>
  <c r="O4925" i="5"/>
  <c r="N4925" i="5"/>
  <c r="M4925" i="5"/>
  <c r="L4925" i="5"/>
  <c r="K4925" i="5"/>
  <c r="J4925" i="5"/>
  <c r="I4925" i="5"/>
  <c r="H4925" i="5"/>
  <c r="V4924" i="5"/>
  <c r="U4924" i="5"/>
  <c r="T4924" i="5"/>
  <c r="S4924" i="5"/>
  <c r="R4924" i="5"/>
  <c r="Q4924" i="5"/>
  <c r="P4924" i="5"/>
  <c r="V4923" i="5"/>
  <c r="U4923" i="5"/>
  <c r="T4923" i="5"/>
  <c r="S4923" i="5"/>
  <c r="R4923" i="5"/>
  <c r="Q4923" i="5"/>
  <c r="P4923" i="5"/>
  <c r="O4923" i="5"/>
  <c r="N4923" i="5"/>
  <c r="M4923" i="5"/>
  <c r="L4923" i="5"/>
  <c r="K4923" i="5"/>
  <c r="J4923" i="5"/>
  <c r="I4923" i="5"/>
  <c r="H4923" i="5"/>
  <c r="U4922" i="5"/>
  <c r="T4922" i="5"/>
  <c r="S4922" i="5"/>
  <c r="R4922" i="5"/>
  <c r="Q4922" i="5"/>
  <c r="P4922" i="5"/>
  <c r="O4922" i="5"/>
  <c r="N4922" i="5"/>
  <c r="M4922" i="5"/>
  <c r="L4922" i="5"/>
  <c r="K4922" i="5"/>
  <c r="J4922" i="5"/>
  <c r="I4922" i="5"/>
  <c r="H4922" i="5"/>
  <c r="V4921" i="5"/>
  <c r="U4921" i="5"/>
  <c r="T4921" i="5"/>
  <c r="S4921" i="5"/>
  <c r="R4921" i="5"/>
  <c r="Q4921" i="5"/>
  <c r="P4921" i="5"/>
  <c r="O4921" i="5"/>
  <c r="N4921" i="5"/>
  <c r="M4921" i="5"/>
  <c r="L4921" i="5"/>
  <c r="K4921" i="5"/>
  <c r="J4921" i="5"/>
  <c r="I4921" i="5"/>
  <c r="H4921" i="5"/>
  <c r="V4920" i="5"/>
  <c r="O4920" i="5"/>
  <c r="N4920" i="5"/>
  <c r="M4920" i="5"/>
  <c r="L4920" i="5"/>
  <c r="K4920" i="5"/>
  <c r="J4920" i="5"/>
  <c r="I4920" i="5"/>
  <c r="H4920" i="5"/>
  <c r="V4919" i="5"/>
  <c r="U4919" i="5"/>
  <c r="T4919" i="5"/>
  <c r="S4919" i="5"/>
  <c r="R4919" i="5"/>
  <c r="Q4919" i="5"/>
  <c r="P4919" i="5"/>
  <c r="O4919" i="5"/>
  <c r="N4919" i="5"/>
  <c r="M4919" i="5"/>
  <c r="L4919" i="5"/>
  <c r="K4919" i="5"/>
  <c r="J4919" i="5"/>
  <c r="I4919" i="5"/>
  <c r="H4919" i="5"/>
  <c r="V4918" i="5"/>
  <c r="U4918" i="5"/>
  <c r="T4918" i="5"/>
  <c r="S4918" i="5"/>
  <c r="R4918" i="5"/>
  <c r="Q4918" i="5"/>
  <c r="P4918" i="5"/>
  <c r="O4918" i="5"/>
  <c r="N4918" i="5"/>
  <c r="M4918" i="5"/>
  <c r="L4918" i="5"/>
  <c r="K4918" i="5"/>
  <c r="J4918" i="5"/>
  <c r="I4918" i="5"/>
  <c r="H4918" i="5"/>
  <c r="V4917" i="5"/>
  <c r="U4917" i="5"/>
  <c r="T4917" i="5"/>
  <c r="S4917" i="5"/>
  <c r="R4917" i="5"/>
  <c r="Q4917" i="5"/>
  <c r="P4917" i="5"/>
  <c r="O4917" i="5"/>
  <c r="N4917" i="5"/>
  <c r="M4917" i="5"/>
  <c r="L4917" i="5"/>
  <c r="K4917" i="5"/>
  <c r="J4917" i="5"/>
  <c r="I4917" i="5"/>
  <c r="H4917" i="5"/>
  <c r="V4916" i="5"/>
  <c r="U4916" i="5"/>
  <c r="T4916" i="5"/>
  <c r="S4916" i="5"/>
  <c r="R4916" i="5"/>
  <c r="Q4916" i="5"/>
  <c r="P4916" i="5"/>
  <c r="O4916" i="5"/>
  <c r="N4916" i="5"/>
  <c r="M4916" i="5"/>
  <c r="L4916" i="5"/>
  <c r="K4916" i="5"/>
  <c r="J4916" i="5"/>
  <c r="I4916" i="5"/>
  <c r="H4916" i="5"/>
  <c r="V4915" i="5"/>
  <c r="U4915" i="5"/>
  <c r="T4915" i="5"/>
  <c r="S4915" i="5"/>
  <c r="R4915" i="5"/>
  <c r="Q4915" i="5"/>
  <c r="P4915" i="5"/>
  <c r="O4915" i="5"/>
  <c r="N4915" i="5"/>
  <c r="M4915" i="5"/>
  <c r="L4915" i="5"/>
  <c r="K4915" i="5"/>
  <c r="J4915" i="5"/>
  <c r="I4915" i="5"/>
  <c r="H4915" i="5"/>
  <c r="V4914" i="5"/>
  <c r="U4914" i="5"/>
  <c r="T4914" i="5"/>
  <c r="S4914" i="5"/>
  <c r="R4914" i="5"/>
  <c r="Q4914" i="5"/>
  <c r="P4914" i="5"/>
  <c r="V4913" i="5"/>
  <c r="U4913" i="5"/>
  <c r="T4913" i="5"/>
  <c r="S4913" i="5"/>
  <c r="R4913" i="5"/>
  <c r="Q4913" i="5"/>
  <c r="P4913" i="5"/>
  <c r="O4913" i="5"/>
  <c r="N4913" i="5"/>
  <c r="M4913" i="5"/>
  <c r="L4913" i="5"/>
  <c r="K4913" i="5"/>
  <c r="J4913" i="5"/>
  <c r="I4913" i="5"/>
  <c r="H4913" i="5"/>
  <c r="U4912" i="5"/>
  <c r="T4912" i="5"/>
  <c r="S4912" i="5"/>
  <c r="R4912" i="5"/>
  <c r="Q4912" i="5"/>
  <c r="P4912" i="5"/>
  <c r="O4912" i="5"/>
  <c r="N4912" i="5"/>
  <c r="M4912" i="5"/>
  <c r="L4912" i="5"/>
  <c r="K4912" i="5"/>
  <c r="J4912" i="5"/>
  <c r="I4912" i="5"/>
  <c r="H4912" i="5"/>
  <c r="V4911" i="5"/>
  <c r="U4911" i="5"/>
  <c r="T4911" i="5"/>
  <c r="S4911" i="5"/>
  <c r="R4911" i="5"/>
  <c r="Q4911" i="5"/>
  <c r="P4911" i="5"/>
  <c r="O4911" i="5"/>
  <c r="N4911" i="5"/>
  <c r="M4911" i="5"/>
  <c r="L4911" i="5"/>
  <c r="K4911" i="5"/>
  <c r="J4911" i="5"/>
  <c r="I4911" i="5"/>
  <c r="H4911" i="5"/>
  <c r="V4910" i="5"/>
  <c r="O4910" i="5"/>
  <c r="N4910" i="5"/>
  <c r="M4910" i="5"/>
  <c r="L4910" i="5"/>
  <c r="K4910" i="5"/>
  <c r="J4910" i="5"/>
  <c r="I4910" i="5"/>
  <c r="H4910" i="5"/>
  <c r="V4909" i="5"/>
  <c r="U4909" i="5"/>
  <c r="T4909" i="5"/>
  <c r="S4909" i="5"/>
  <c r="R4909" i="5"/>
  <c r="Q4909" i="5"/>
  <c r="P4909" i="5"/>
  <c r="O4909" i="5"/>
  <c r="N4909" i="5"/>
  <c r="M4909" i="5"/>
  <c r="L4909" i="5"/>
  <c r="K4909" i="5"/>
  <c r="J4909" i="5"/>
  <c r="I4909" i="5"/>
  <c r="H4909" i="5"/>
  <c r="V4908" i="5"/>
  <c r="U4908" i="5"/>
  <c r="T4908" i="5"/>
  <c r="S4908" i="5"/>
  <c r="R4908" i="5"/>
  <c r="Q4908" i="5"/>
  <c r="P4908" i="5"/>
  <c r="O4908" i="5"/>
  <c r="N4908" i="5"/>
  <c r="M4908" i="5"/>
  <c r="L4908" i="5"/>
  <c r="K4908" i="5"/>
  <c r="J4908" i="5"/>
  <c r="I4908" i="5"/>
  <c r="H4908" i="5"/>
  <c r="V4907" i="5"/>
  <c r="U4907" i="5"/>
  <c r="T4907" i="5"/>
  <c r="S4907" i="5"/>
  <c r="R4907" i="5"/>
  <c r="Q4907" i="5"/>
  <c r="P4907" i="5"/>
  <c r="O4907" i="5"/>
  <c r="N4907" i="5"/>
  <c r="M4907" i="5"/>
  <c r="L4907" i="5"/>
  <c r="K4907" i="5"/>
  <c r="J4907" i="5"/>
  <c r="I4907" i="5"/>
  <c r="H4907" i="5"/>
  <c r="V4906" i="5"/>
  <c r="U4906" i="5"/>
  <c r="T4906" i="5"/>
  <c r="S4906" i="5"/>
  <c r="R4906" i="5"/>
  <c r="Q4906" i="5"/>
  <c r="P4906" i="5"/>
  <c r="O4906" i="5"/>
  <c r="N4906" i="5"/>
  <c r="M4906" i="5"/>
  <c r="L4906" i="5"/>
  <c r="K4906" i="5"/>
  <c r="J4906" i="5"/>
  <c r="I4906" i="5"/>
  <c r="H4906" i="5"/>
  <c r="V4905" i="5"/>
  <c r="U4905" i="5"/>
  <c r="T4905" i="5"/>
  <c r="S4905" i="5"/>
  <c r="R4905" i="5"/>
  <c r="Q4905" i="5"/>
  <c r="P4905" i="5"/>
  <c r="O4905" i="5"/>
  <c r="N4905" i="5"/>
  <c r="M4905" i="5"/>
  <c r="L4905" i="5"/>
  <c r="K4905" i="5"/>
  <c r="J4905" i="5"/>
  <c r="I4905" i="5"/>
  <c r="H4905" i="5"/>
  <c r="V4904" i="5"/>
  <c r="U4904" i="5"/>
  <c r="T4904" i="5"/>
  <c r="S4904" i="5"/>
  <c r="R4904" i="5"/>
  <c r="Q4904" i="5"/>
  <c r="P4904" i="5"/>
  <c r="V4903" i="5"/>
  <c r="U4903" i="5"/>
  <c r="T4903" i="5"/>
  <c r="S4903" i="5"/>
  <c r="R4903" i="5"/>
  <c r="Q4903" i="5"/>
  <c r="P4903" i="5"/>
  <c r="O4903" i="5"/>
  <c r="N4903" i="5"/>
  <c r="M4903" i="5"/>
  <c r="L4903" i="5"/>
  <c r="K4903" i="5"/>
  <c r="J4903" i="5"/>
  <c r="I4903" i="5"/>
  <c r="H4903" i="5"/>
  <c r="U4902" i="5"/>
  <c r="T4902" i="5"/>
  <c r="S4902" i="5"/>
  <c r="R4902" i="5"/>
  <c r="Q4902" i="5"/>
  <c r="P4902" i="5"/>
  <c r="O4902" i="5"/>
  <c r="N4902" i="5"/>
  <c r="M4902" i="5"/>
  <c r="L4902" i="5"/>
  <c r="K4902" i="5"/>
  <c r="J4902" i="5"/>
  <c r="I4902" i="5"/>
  <c r="H4902" i="5"/>
  <c r="V4901" i="5"/>
  <c r="U4901" i="5"/>
  <c r="T4901" i="5"/>
  <c r="S4901" i="5"/>
  <c r="R4901" i="5"/>
  <c r="Q4901" i="5"/>
  <c r="P4901" i="5"/>
  <c r="O4901" i="5"/>
  <c r="N4901" i="5"/>
  <c r="M4901" i="5"/>
  <c r="L4901" i="5"/>
  <c r="K4901" i="5"/>
  <c r="J4901" i="5"/>
  <c r="I4901" i="5"/>
  <c r="H4901" i="5"/>
  <c r="V4900" i="5"/>
  <c r="O4900" i="5"/>
  <c r="N4900" i="5"/>
  <c r="M4900" i="5"/>
  <c r="L4900" i="5"/>
  <c r="K4900" i="5"/>
  <c r="J4900" i="5"/>
  <c r="I4900" i="5"/>
  <c r="H4900" i="5"/>
  <c r="V4899" i="5"/>
  <c r="U4899" i="5"/>
  <c r="T4899" i="5"/>
  <c r="S4899" i="5"/>
  <c r="R4899" i="5"/>
  <c r="Q4899" i="5"/>
  <c r="P4899" i="5"/>
  <c r="O4899" i="5"/>
  <c r="N4899" i="5"/>
  <c r="M4899" i="5"/>
  <c r="L4899" i="5"/>
  <c r="K4899" i="5"/>
  <c r="J4899" i="5"/>
  <c r="I4899" i="5"/>
  <c r="H4899" i="5"/>
  <c r="V4898" i="5"/>
  <c r="U4898" i="5"/>
  <c r="T4898" i="5"/>
  <c r="S4898" i="5"/>
  <c r="R4898" i="5"/>
  <c r="Q4898" i="5"/>
  <c r="P4898" i="5"/>
  <c r="O4898" i="5"/>
  <c r="N4898" i="5"/>
  <c r="M4898" i="5"/>
  <c r="L4898" i="5"/>
  <c r="K4898" i="5"/>
  <c r="J4898" i="5"/>
  <c r="I4898" i="5"/>
  <c r="H4898" i="5"/>
  <c r="V4897" i="5"/>
  <c r="U4897" i="5"/>
  <c r="T4897" i="5"/>
  <c r="S4897" i="5"/>
  <c r="R4897" i="5"/>
  <c r="Q4897" i="5"/>
  <c r="P4897" i="5"/>
  <c r="O4897" i="5"/>
  <c r="N4897" i="5"/>
  <c r="M4897" i="5"/>
  <c r="L4897" i="5"/>
  <c r="K4897" i="5"/>
  <c r="J4897" i="5"/>
  <c r="I4897" i="5"/>
  <c r="H4897" i="5"/>
  <c r="V4896" i="5"/>
  <c r="U4896" i="5"/>
  <c r="T4896" i="5"/>
  <c r="S4896" i="5"/>
  <c r="R4896" i="5"/>
  <c r="Q4896" i="5"/>
  <c r="P4896" i="5"/>
  <c r="O4896" i="5"/>
  <c r="N4896" i="5"/>
  <c r="M4896" i="5"/>
  <c r="L4896" i="5"/>
  <c r="K4896" i="5"/>
  <c r="J4896" i="5"/>
  <c r="I4896" i="5"/>
  <c r="H4896" i="5"/>
  <c r="V4895" i="5"/>
  <c r="U4895" i="5"/>
  <c r="T4895" i="5"/>
  <c r="S4895" i="5"/>
  <c r="R4895" i="5"/>
  <c r="Q4895" i="5"/>
  <c r="P4895" i="5"/>
  <c r="O4895" i="5"/>
  <c r="N4895" i="5"/>
  <c r="M4895" i="5"/>
  <c r="L4895" i="5"/>
  <c r="K4895" i="5"/>
  <c r="J4895" i="5"/>
  <c r="I4895" i="5"/>
  <c r="H4895" i="5"/>
  <c r="V4894" i="5"/>
  <c r="U4894" i="5"/>
  <c r="T4894" i="5"/>
  <c r="S4894" i="5"/>
  <c r="R4894" i="5"/>
  <c r="Q4894" i="5"/>
  <c r="P4894" i="5"/>
  <c r="V4893" i="5"/>
  <c r="U4893" i="5"/>
  <c r="T4893" i="5"/>
  <c r="S4893" i="5"/>
  <c r="R4893" i="5"/>
  <c r="Q4893" i="5"/>
  <c r="P4893" i="5"/>
  <c r="O4893" i="5"/>
  <c r="N4893" i="5"/>
  <c r="M4893" i="5"/>
  <c r="L4893" i="5"/>
  <c r="K4893" i="5"/>
  <c r="J4893" i="5"/>
  <c r="I4893" i="5"/>
  <c r="H4893" i="5"/>
  <c r="U4892" i="5"/>
  <c r="T4892" i="5"/>
  <c r="S4892" i="5"/>
  <c r="R4892" i="5"/>
  <c r="Q4892" i="5"/>
  <c r="P4892" i="5"/>
  <c r="O4892" i="5"/>
  <c r="N4892" i="5"/>
  <c r="M4892" i="5"/>
  <c r="L4892" i="5"/>
  <c r="K4892" i="5"/>
  <c r="J4892" i="5"/>
  <c r="I4892" i="5"/>
  <c r="H4892" i="5"/>
  <c r="V4891" i="5"/>
  <c r="U4891" i="5"/>
  <c r="T4891" i="5"/>
  <c r="S4891" i="5"/>
  <c r="R4891" i="5"/>
  <c r="Q4891" i="5"/>
  <c r="P4891" i="5"/>
  <c r="O4891" i="5"/>
  <c r="N4891" i="5"/>
  <c r="M4891" i="5"/>
  <c r="L4891" i="5"/>
  <c r="K4891" i="5"/>
  <c r="J4891" i="5"/>
  <c r="I4891" i="5"/>
  <c r="H4891" i="5"/>
  <c r="V4890" i="5"/>
  <c r="O4890" i="5"/>
  <c r="N4890" i="5"/>
  <c r="M4890" i="5"/>
  <c r="L4890" i="5"/>
  <c r="K4890" i="5"/>
  <c r="J4890" i="5"/>
  <c r="I4890" i="5"/>
  <c r="H4890" i="5"/>
  <c r="V4889" i="5"/>
  <c r="U4889" i="5"/>
  <c r="T4889" i="5"/>
  <c r="S4889" i="5"/>
  <c r="R4889" i="5"/>
  <c r="Q4889" i="5"/>
  <c r="P4889" i="5"/>
  <c r="O4889" i="5"/>
  <c r="N4889" i="5"/>
  <c r="M4889" i="5"/>
  <c r="L4889" i="5"/>
  <c r="K4889" i="5"/>
  <c r="J4889" i="5"/>
  <c r="I4889" i="5"/>
  <c r="H4889" i="5"/>
  <c r="V4888" i="5"/>
  <c r="U4888" i="5"/>
  <c r="T4888" i="5"/>
  <c r="S4888" i="5"/>
  <c r="R4888" i="5"/>
  <c r="Q4888" i="5"/>
  <c r="P4888" i="5"/>
  <c r="O4888" i="5"/>
  <c r="N4888" i="5"/>
  <c r="M4888" i="5"/>
  <c r="L4888" i="5"/>
  <c r="K4888" i="5"/>
  <c r="J4888" i="5"/>
  <c r="I4888" i="5"/>
  <c r="H4888" i="5"/>
  <c r="V4887" i="5"/>
  <c r="U4887" i="5"/>
  <c r="T4887" i="5"/>
  <c r="S4887" i="5"/>
  <c r="R4887" i="5"/>
  <c r="Q4887" i="5"/>
  <c r="P4887" i="5"/>
  <c r="V4886" i="5"/>
  <c r="U4886" i="5"/>
  <c r="T4886" i="5"/>
  <c r="S4886" i="5"/>
  <c r="R4886" i="5"/>
  <c r="Q4886" i="5"/>
  <c r="P4886" i="5"/>
  <c r="U4885" i="5"/>
  <c r="T4885" i="5"/>
  <c r="S4885" i="5"/>
  <c r="R4885" i="5"/>
  <c r="Q4885" i="5"/>
  <c r="P4885" i="5"/>
  <c r="U4884" i="5"/>
  <c r="T4884" i="5"/>
  <c r="S4884" i="5"/>
  <c r="R4884" i="5"/>
  <c r="Q4884" i="5"/>
  <c r="P4884" i="5"/>
  <c r="O4877" i="5"/>
  <c r="N4877" i="5"/>
  <c r="M4877" i="5"/>
  <c r="L4877" i="5"/>
  <c r="K4877" i="5"/>
  <c r="J4877" i="5"/>
  <c r="I4877" i="5"/>
  <c r="H4877" i="5"/>
  <c r="O4876" i="5"/>
  <c r="N4876" i="5"/>
  <c r="M4876" i="5"/>
  <c r="L4876" i="5"/>
  <c r="K4876" i="5"/>
  <c r="J4876" i="5"/>
  <c r="I4876" i="5"/>
  <c r="H4876" i="5"/>
  <c r="V4875" i="5"/>
  <c r="O4875" i="5"/>
  <c r="N4875" i="5"/>
  <c r="M4875" i="5"/>
  <c r="L4875" i="5"/>
  <c r="K4875" i="5"/>
  <c r="J4875" i="5"/>
  <c r="I4875" i="5"/>
  <c r="H4875" i="5"/>
  <c r="V4874" i="5"/>
  <c r="V4873" i="5"/>
  <c r="U4873" i="5"/>
  <c r="T4873" i="5"/>
  <c r="S4873" i="5"/>
  <c r="R4873" i="5"/>
  <c r="Q4873" i="5"/>
  <c r="P4873" i="5"/>
  <c r="O4873" i="5"/>
  <c r="N4873" i="5"/>
  <c r="M4873" i="5"/>
  <c r="L4873" i="5"/>
  <c r="K4873" i="5"/>
  <c r="J4873" i="5"/>
  <c r="I4873" i="5"/>
  <c r="H4873" i="5"/>
  <c r="U4872" i="5"/>
  <c r="T4872" i="5"/>
  <c r="S4872" i="5"/>
  <c r="R4872" i="5"/>
  <c r="Q4872" i="5"/>
  <c r="P4872" i="5"/>
  <c r="O4872" i="5"/>
  <c r="N4872" i="5"/>
  <c r="M4872" i="5"/>
  <c r="L4872" i="5"/>
  <c r="K4872" i="5"/>
  <c r="J4872" i="5"/>
  <c r="I4872" i="5"/>
  <c r="H4872" i="5"/>
  <c r="V4871" i="5"/>
  <c r="U4871" i="5"/>
  <c r="T4871" i="5"/>
  <c r="S4871" i="5"/>
  <c r="R4871" i="5"/>
  <c r="Q4871" i="5"/>
  <c r="P4871" i="5"/>
  <c r="O4871" i="5"/>
  <c r="N4871" i="5"/>
  <c r="M4871" i="5"/>
  <c r="L4871" i="5"/>
  <c r="K4871" i="5"/>
  <c r="J4871" i="5"/>
  <c r="I4871" i="5"/>
  <c r="H4871" i="5"/>
  <c r="V4870" i="5"/>
  <c r="O4870" i="5"/>
  <c r="N4870" i="5"/>
  <c r="M4870" i="5"/>
  <c r="L4870" i="5"/>
  <c r="K4870" i="5"/>
  <c r="J4870" i="5"/>
  <c r="I4870" i="5"/>
  <c r="H4870" i="5"/>
  <c r="V4869" i="5"/>
  <c r="U4869" i="5"/>
  <c r="T4869" i="5"/>
  <c r="S4869" i="5"/>
  <c r="R4869" i="5"/>
  <c r="Q4869" i="5"/>
  <c r="P4869" i="5"/>
  <c r="O4869" i="5"/>
  <c r="N4869" i="5"/>
  <c r="M4869" i="5"/>
  <c r="L4869" i="5"/>
  <c r="K4869" i="5"/>
  <c r="J4869" i="5"/>
  <c r="I4869" i="5"/>
  <c r="H4869" i="5"/>
  <c r="V4868" i="5"/>
  <c r="U4868" i="5"/>
  <c r="T4868" i="5"/>
  <c r="S4868" i="5"/>
  <c r="R4868" i="5"/>
  <c r="Q4868" i="5"/>
  <c r="P4868" i="5"/>
  <c r="O4868" i="5"/>
  <c r="N4868" i="5"/>
  <c r="M4868" i="5"/>
  <c r="L4868" i="5"/>
  <c r="K4868" i="5"/>
  <c r="J4868" i="5"/>
  <c r="I4868" i="5"/>
  <c r="H4868" i="5"/>
  <c r="V4867" i="5"/>
  <c r="U4867" i="5"/>
  <c r="T4867" i="5"/>
  <c r="S4867" i="5"/>
  <c r="R4867" i="5"/>
  <c r="Q4867" i="5"/>
  <c r="P4867" i="5"/>
  <c r="O4867" i="5"/>
  <c r="N4867" i="5"/>
  <c r="M4867" i="5"/>
  <c r="L4867" i="5"/>
  <c r="K4867" i="5"/>
  <c r="J4867" i="5"/>
  <c r="I4867" i="5"/>
  <c r="H4867" i="5"/>
  <c r="V4866" i="5"/>
  <c r="U4866" i="5"/>
  <c r="T4866" i="5"/>
  <c r="S4866" i="5"/>
  <c r="R4866" i="5"/>
  <c r="Q4866" i="5"/>
  <c r="P4866" i="5"/>
  <c r="O4866" i="5"/>
  <c r="N4866" i="5"/>
  <c r="M4866" i="5"/>
  <c r="L4866" i="5"/>
  <c r="K4866" i="5"/>
  <c r="J4866" i="5"/>
  <c r="I4866" i="5"/>
  <c r="H4866" i="5"/>
  <c r="V4865" i="5"/>
  <c r="U4865" i="5"/>
  <c r="T4865" i="5"/>
  <c r="S4865" i="5"/>
  <c r="R4865" i="5"/>
  <c r="Q4865" i="5"/>
  <c r="P4865" i="5"/>
  <c r="O4865" i="5"/>
  <c r="N4865" i="5"/>
  <c r="M4865" i="5"/>
  <c r="L4865" i="5"/>
  <c r="K4865" i="5"/>
  <c r="J4865" i="5"/>
  <c r="I4865" i="5"/>
  <c r="H4865" i="5"/>
  <c r="V4864" i="5"/>
  <c r="U4864" i="5"/>
  <c r="T4864" i="5"/>
  <c r="S4864" i="5"/>
  <c r="R4864" i="5"/>
  <c r="Q4864" i="5"/>
  <c r="P4864" i="5"/>
  <c r="V4863" i="5"/>
  <c r="U4863" i="5"/>
  <c r="T4863" i="5"/>
  <c r="S4863" i="5"/>
  <c r="R4863" i="5"/>
  <c r="Q4863" i="5"/>
  <c r="P4863" i="5"/>
  <c r="O4863" i="5"/>
  <c r="N4863" i="5"/>
  <c r="M4863" i="5"/>
  <c r="L4863" i="5"/>
  <c r="K4863" i="5"/>
  <c r="J4863" i="5"/>
  <c r="I4863" i="5"/>
  <c r="H4863" i="5"/>
  <c r="U4862" i="5"/>
  <c r="T4862" i="5"/>
  <c r="S4862" i="5"/>
  <c r="R4862" i="5"/>
  <c r="Q4862" i="5"/>
  <c r="P4862" i="5"/>
  <c r="O4862" i="5"/>
  <c r="N4862" i="5"/>
  <c r="M4862" i="5"/>
  <c r="L4862" i="5"/>
  <c r="K4862" i="5"/>
  <c r="J4862" i="5"/>
  <c r="I4862" i="5"/>
  <c r="H4862" i="5"/>
  <c r="V4861" i="5"/>
  <c r="U4861" i="5"/>
  <c r="T4861" i="5"/>
  <c r="S4861" i="5"/>
  <c r="R4861" i="5"/>
  <c r="Q4861" i="5"/>
  <c r="P4861" i="5"/>
  <c r="O4861" i="5"/>
  <c r="N4861" i="5"/>
  <c r="M4861" i="5"/>
  <c r="L4861" i="5"/>
  <c r="K4861" i="5"/>
  <c r="J4861" i="5"/>
  <c r="I4861" i="5"/>
  <c r="H4861" i="5"/>
  <c r="V4860" i="5"/>
  <c r="O4860" i="5"/>
  <c r="N4860" i="5"/>
  <c r="M4860" i="5"/>
  <c r="L4860" i="5"/>
  <c r="K4860" i="5"/>
  <c r="J4860" i="5"/>
  <c r="I4860" i="5"/>
  <c r="H4860" i="5"/>
  <c r="V4859" i="5"/>
  <c r="U4859" i="5"/>
  <c r="T4859" i="5"/>
  <c r="S4859" i="5"/>
  <c r="R4859" i="5"/>
  <c r="Q4859" i="5"/>
  <c r="P4859" i="5"/>
  <c r="O4859" i="5"/>
  <c r="N4859" i="5"/>
  <c r="M4859" i="5"/>
  <c r="L4859" i="5"/>
  <c r="K4859" i="5"/>
  <c r="J4859" i="5"/>
  <c r="I4859" i="5"/>
  <c r="H4859" i="5"/>
  <c r="V4858" i="5"/>
  <c r="U4858" i="5"/>
  <c r="T4858" i="5"/>
  <c r="S4858" i="5"/>
  <c r="R4858" i="5"/>
  <c r="Q4858" i="5"/>
  <c r="P4858" i="5"/>
  <c r="O4858" i="5"/>
  <c r="N4858" i="5"/>
  <c r="M4858" i="5"/>
  <c r="L4858" i="5"/>
  <c r="K4858" i="5"/>
  <c r="J4858" i="5"/>
  <c r="I4858" i="5"/>
  <c r="H4858" i="5"/>
  <c r="V4857" i="5"/>
  <c r="U4857" i="5"/>
  <c r="T4857" i="5"/>
  <c r="S4857" i="5"/>
  <c r="R4857" i="5"/>
  <c r="Q4857" i="5"/>
  <c r="P4857" i="5"/>
  <c r="O4857" i="5"/>
  <c r="N4857" i="5"/>
  <c r="M4857" i="5"/>
  <c r="L4857" i="5"/>
  <c r="K4857" i="5"/>
  <c r="J4857" i="5"/>
  <c r="I4857" i="5"/>
  <c r="H4857" i="5"/>
  <c r="V4856" i="5"/>
  <c r="U4856" i="5"/>
  <c r="T4856" i="5"/>
  <c r="S4856" i="5"/>
  <c r="R4856" i="5"/>
  <c r="Q4856" i="5"/>
  <c r="P4856" i="5"/>
  <c r="O4856" i="5"/>
  <c r="N4856" i="5"/>
  <c r="M4856" i="5"/>
  <c r="L4856" i="5"/>
  <c r="K4856" i="5"/>
  <c r="J4856" i="5"/>
  <c r="I4856" i="5"/>
  <c r="H4856" i="5"/>
  <c r="V4855" i="5"/>
  <c r="U4855" i="5"/>
  <c r="T4855" i="5"/>
  <c r="S4855" i="5"/>
  <c r="R4855" i="5"/>
  <c r="Q4855" i="5"/>
  <c r="P4855" i="5"/>
  <c r="O4855" i="5"/>
  <c r="N4855" i="5"/>
  <c r="M4855" i="5"/>
  <c r="L4855" i="5"/>
  <c r="K4855" i="5"/>
  <c r="J4855" i="5"/>
  <c r="I4855" i="5"/>
  <c r="H4855" i="5"/>
  <c r="V4854" i="5"/>
  <c r="U4854" i="5"/>
  <c r="T4854" i="5"/>
  <c r="S4854" i="5"/>
  <c r="R4854" i="5"/>
  <c r="Q4854" i="5"/>
  <c r="P4854" i="5"/>
  <c r="V4853" i="5"/>
  <c r="U4853" i="5"/>
  <c r="T4853" i="5"/>
  <c r="S4853" i="5"/>
  <c r="R4853" i="5"/>
  <c r="Q4853" i="5"/>
  <c r="P4853" i="5"/>
  <c r="O4853" i="5"/>
  <c r="N4853" i="5"/>
  <c r="M4853" i="5"/>
  <c r="L4853" i="5"/>
  <c r="K4853" i="5"/>
  <c r="J4853" i="5"/>
  <c r="I4853" i="5"/>
  <c r="H4853" i="5"/>
  <c r="U4852" i="5"/>
  <c r="T4852" i="5"/>
  <c r="S4852" i="5"/>
  <c r="R4852" i="5"/>
  <c r="Q4852" i="5"/>
  <c r="P4852" i="5"/>
  <c r="O4852" i="5"/>
  <c r="N4852" i="5"/>
  <c r="M4852" i="5"/>
  <c r="L4852" i="5"/>
  <c r="K4852" i="5"/>
  <c r="J4852" i="5"/>
  <c r="I4852" i="5"/>
  <c r="H4852" i="5"/>
  <c r="V4851" i="5"/>
  <c r="U4851" i="5"/>
  <c r="T4851" i="5"/>
  <c r="S4851" i="5"/>
  <c r="R4851" i="5"/>
  <c r="Q4851" i="5"/>
  <c r="P4851" i="5"/>
  <c r="O4851" i="5"/>
  <c r="N4851" i="5"/>
  <c r="M4851" i="5"/>
  <c r="L4851" i="5"/>
  <c r="K4851" i="5"/>
  <c r="J4851" i="5"/>
  <c r="I4851" i="5"/>
  <c r="H4851" i="5"/>
  <c r="V4850" i="5"/>
  <c r="O4850" i="5"/>
  <c r="N4850" i="5"/>
  <c r="M4850" i="5"/>
  <c r="L4850" i="5"/>
  <c r="K4850" i="5"/>
  <c r="J4850" i="5"/>
  <c r="I4850" i="5"/>
  <c r="H4850" i="5"/>
  <c r="V4849" i="5"/>
  <c r="U4849" i="5"/>
  <c r="T4849" i="5"/>
  <c r="S4849" i="5"/>
  <c r="R4849" i="5"/>
  <c r="Q4849" i="5"/>
  <c r="P4849" i="5"/>
  <c r="O4849" i="5"/>
  <c r="N4849" i="5"/>
  <c r="M4849" i="5"/>
  <c r="L4849" i="5"/>
  <c r="K4849" i="5"/>
  <c r="J4849" i="5"/>
  <c r="I4849" i="5"/>
  <c r="H4849" i="5"/>
  <c r="V4848" i="5"/>
  <c r="U4848" i="5"/>
  <c r="T4848" i="5"/>
  <c r="S4848" i="5"/>
  <c r="R4848" i="5"/>
  <c r="Q4848" i="5"/>
  <c r="P4848" i="5"/>
  <c r="O4848" i="5"/>
  <c r="N4848" i="5"/>
  <c r="M4848" i="5"/>
  <c r="L4848" i="5"/>
  <c r="K4848" i="5"/>
  <c r="J4848" i="5"/>
  <c r="I4848" i="5"/>
  <c r="H4848" i="5"/>
  <c r="V4847" i="5"/>
  <c r="U4847" i="5"/>
  <c r="T4847" i="5"/>
  <c r="S4847" i="5"/>
  <c r="R4847" i="5"/>
  <c r="Q4847" i="5"/>
  <c r="P4847" i="5"/>
  <c r="O4847" i="5"/>
  <c r="N4847" i="5"/>
  <c r="M4847" i="5"/>
  <c r="L4847" i="5"/>
  <c r="K4847" i="5"/>
  <c r="J4847" i="5"/>
  <c r="I4847" i="5"/>
  <c r="H4847" i="5"/>
  <c r="V4846" i="5"/>
  <c r="U4846" i="5"/>
  <c r="T4846" i="5"/>
  <c r="S4846" i="5"/>
  <c r="R4846" i="5"/>
  <c r="Q4846" i="5"/>
  <c r="P4846" i="5"/>
  <c r="O4846" i="5"/>
  <c r="N4846" i="5"/>
  <c r="M4846" i="5"/>
  <c r="L4846" i="5"/>
  <c r="K4846" i="5"/>
  <c r="J4846" i="5"/>
  <c r="I4846" i="5"/>
  <c r="H4846" i="5"/>
  <c r="V4845" i="5"/>
  <c r="U4845" i="5"/>
  <c r="T4845" i="5"/>
  <c r="S4845" i="5"/>
  <c r="R4845" i="5"/>
  <c r="Q4845" i="5"/>
  <c r="P4845" i="5"/>
  <c r="O4845" i="5"/>
  <c r="N4845" i="5"/>
  <c r="M4845" i="5"/>
  <c r="L4845" i="5"/>
  <c r="K4845" i="5"/>
  <c r="J4845" i="5"/>
  <c r="I4845" i="5"/>
  <c r="H4845" i="5"/>
  <c r="V4844" i="5"/>
  <c r="U4844" i="5"/>
  <c r="T4844" i="5"/>
  <c r="S4844" i="5"/>
  <c r="R4844" i="5"/>
  <c r="Q4844" i="5"/>
  <c r="P4844" i="5"/>
  <c r="V4843" i="5"/>
  <c r="U4843" i="5"/>
  <c r="T4843" i="5"/>
  <c r="S4843" i="5"/>
  <c r="R4843" i="5"/>
  <c r="Q4843" i="5"/>
  <c r="P4843" i="5"/>
  <c r="O4843" i="5"/>
  <c r="N4843" i="5"/>
  <c r="M4843" i="5"/>
  <c r="L4843" i="5"/>
  <c r="K4843" i="5"/>
  <c r="J4843" i="5"/>
  <c r="I4843" i="5"/>
  <c r="H4843" i="5"/>
  <c r="U4842" i="5"/>
  <c r="T4842" i="5"/>
  <c r="S4842" i="5"/>
  <c r="R4842" i="5"/>
  <c r="Q4842" i="5"/>
  <c r="P4842" i="5"/>
  <c r="O4842" i="5"/>
  <c r="N4842" i="5"/>
  <c r="M4842" i="5"/>
  <c r="L4842" i="5"/>
  <c r="K4842" i="5"/>
  <c r="J4842" i="5"/>
  <c r="I4842" i="5"/>
  <c r="H4842" i="5"/>
  <c r="V4841" i="5"/>
  <c r="U4841" i="5"/>
  <c r="T4841" i="5"/>
  <c r="S4841" i="5"/>
  <c r="R4841" i="5"/>
  <c r="Q4841" i="5"/>
  <c r="P4841" i="5"/>
  <c r="O4841" i="5"/>
  <c r="N4841" i="5"/>
  <c r="M4841" i="5"/>
  <c r="L4841" i="5"/>
  <c r="K4841" i="5"/>
  <c r="J4841" i="5"/>
  <c r="I4841" i="5"/>
  <c r="H4841" i="5"/>
  <c r="V4840" i="5"/>
  <c r="O4840" i="5"/>
  <c r="N4840" i="5"/>
  <c r="M4840" i="5"/>
  <c r="L4840" i="5"/>
  <c r="K4840" i="5"/>
  <c r="J4840" i="5"/>
  <c r="I4840" i="5"/>
  <c r="H4840" i="5"/>
  <c r="V4839" i="5"/>
  <c r="U4839" i="5"/>
  <c r="T4839" i="5"/>
  <c r="S4839" i="5"/>
  <c r="R4839" i="5"/>
  <c r="Q4839" i="5"/>
  <c r="P4839" i="5"/>
  <c r="O4839" i="5"/>
  <c r="N4839" i="5"/>
  <c r="M4839" i="5"/>
  <c r="L4839" i="5"/>
  <c r="K4839" i="5"/>
  <c r="J4839" i="5"/>
  <c r="I4839" i="5"/>
  <c r="H4839" i="5"/>
  <c r="V4838" i="5"/>
  <c r="U4838" i="5"/>
  <c r="T4838" i="5"/>
  <c r="S4838" i="5"/>
  <c r="R4838" i="5"/>
  <c r="Q4838" i="5"/>
  <c r="P4838" i="5"/>
  <c r="O4838" i="5"/>
  <c r="N4838" i="5"/>
  <c r="M4838" i="5"/>
  <c r="L4838" i="5"/>
  <c r="K4838" i="5"/>
  <c r="J4838" i="5"/>
  <c r="I4838" i="5"/>
  <c r="H4838" i="5"/>
  <c r="V4837" i="5"/>
  <c r="U4837" i="5"/>
  <c r="T4837" i="5"/>
  <c r="S4837" i="5"/>
  <c r="R4837" i="5"/>
  <c r="Q4837" i="5"/>
  <c r="P4837" i="5"/>
  <c r="O4837" i="5"/>
  <c r="N4837" i="5"/>
  <c r="M4837" i="5"/>
  <c r="L4837" i="5"/>
  <c r="K4837" i="5"/>
  <c r="J4837" i="5"/>
  <c r="I4837" i="5"/>
  <c r="H4837" i="5"/>
  <c r="V4836" i="5"/>
  <c r="U4836" i="5"/>
  <c r="T4836" i="5"/>
  <c r="S4836" i="5"/>
  <c r="R4836" i="5"/>
  <c r="Q4836" i="5"/>
  <c r="P4836" i="5"/>
  <c r="O4836" i="5"/>
  <c r="N4836" i="5"/>
  <c r="M4836" i="5"/>
  <c r="L4836" i="5"/>
  <c r="K4836" i="5"/>
  <c r="J4836" i="5"/>
  <c r="I4836" i="5"/>
  <c r="H4836" i="5"/>
  <c r="V4835" i="5"/>
  <c r="U4835" i="5"/>
  <c r="T4835" i="5"/>
  <c r="S4835" i="5"/>
  <c r="R4835" i="5"/>
  <c r="Q4835" i="5"/>
  <c r="P4835" i="5"/>
  <c r="O4835" i="5"/>
  <c r="N4835" i="5"/>
  <c r="M4835" i="5"/>
  <c r="L4835" i="5"/>
  <c r="K4835" i="5"/>
  <c r="J4835" i="5"/>
  <c r="I4835" i="5"/>
  <c r="H4835" i="5"/>
  <c r="V4834" i="5"/>
  <c r="U4834" i="5"/>
  <c r="T4834" i="5"/>
  <c r="S4834" i="5"/>
  <c r="R4834" i="5"/>
  <c r="Q4834" i="5"/>
  <c r="P4834" i="5"/>
  <c r="V4833" i="5"/>
  <c r="U4833" i="5"/>
  <c r="T4833" i="5"/>
  <c r="S4833" i="5"/>
  <c r="R4833" i="5"/>
  <c r="Q4833" i="5"/>
  <c r="P4833" i="5"/>
  <c r="O4833" i="5"/>
  <c r="N4833" i="5"/>
  <c r="M4833" i="5"/>
  <c r="L4833" i="5"/>
  <c r="K4833" i="5"/>
  <c r="J4833" i="5"/>
  <c r="I4833" i="5"/>
  <c r="H4833" i="5"/>
  <c r="U4832" i="5"/>
  <c r="T4832" i="5"/>
  <c r="S4832" i="5"/>
  <c r="R4832" i="5"/>
  <c r="Q4832" i="5"/>
  <c r="P4832" i="5"/>
  <c r="O4832" i="5"/>
  <c r="N4832" i="5"/>
  <c r="M4832" i="5"/>
  <c r="L4832" i="5"/>
  <c r="K4832" i="5"/>
  <c r="J4832" i="5"/>
  <c r="I4832" i="5"/>
  <c r="H4832" i="5"/>
  <c r="V4831" i="5"/>
  <c r="U4831" i="5"/>
  <c r="T4831" i="5"/>
  <c r="S4831" i="5"/>
  <c r="R4831" i="5"/>
  <c r="Q4831" i="5"/>
  <c r="P4831" i="5"/>
  <c r="O4831" i="5"/>
  <c r="N4831" i="5"/>
  <c r="M4831" i="5"/>
  <c r="L4831" i="5"/>
  <c r="K4831" i="5"/>
  <c r="J4831" i="5"/>
  <c r="I4831" i="5"/>
  <c r="H4831" i="5"/>
  <c r="V4830" i="5"/>
  <c r="O4830" i="5"/>
  <c r="N4830" i="5"/>
  <c r="M4830" i="5"/>
  <c r="L4830" i="5"/>
  <c r="K4830" i="5"/>
  <c r="J4830" i="5"/>
  <c r="I4830" i="5"/>
  <c r="H4830" i="5"/>
  <c r="V4829" i="5"/>
  <c r="U4829" i="5"/>
  <c r="T4829" i="5"/>
  <c r="S4829" i="5"/>
  <c r="R4829" i="5"/>
  <c r="Q4829" i="5"/>
  <c r="P4829" i="5"/>
  <c r="O4829" i="5"/>
  <c r="N4829" i="5"/>
  <c r="M4829" i="5"/>
  <c r="L4829" i="5"/>
  <c r="K4829" i="5"/>
  <c r="J4829" i="5"/>
  <c r="I4829" i="5"/>
  <c r="H4829" i="5"/>
  <c r="V4828" i="5"/>
  <c r="U4828" i="5"/>
  <c r="T4828" i="5"/>
  <c r="S4828" i="5"/>
  <c r="R4828" i="5"/>
  <c r="Q4828" i="5"/>
  <c r="P4828" i="5"/>
  <c r="O4828" i="5"/>
  <c r="N4828" i="5"/>
  <c r="M4828" i="5"/>
  <c r="L4828" i="5"/>
  <c r="K4828" i="5"/>
  <c r="J4828" i="5"/>
  <c r="I4828" i="5"/>
  <c r="H4828" i="5"/>
  <c r="V4827" i="5"/>
  <c r="U4827" i="5"/>
  <c r="T4827" i="5"/>
  <c r="S4827" i="5"/>
  <c r="R4827" i="5"/>
  <c r="Q4827" i="5"/>
  <c r="P4827" i="5"/>
  <c r="O4827" i="5"/>
  <c r="N4827" i="5"/>
  <c r="M4827" i="5"/>
  <c r="L4827" i="5"/>
  <c r="K4827" i="5"/>
  <c r="J4827" i="5"/>
  <c r="I4827" i="5"/>
  <c r="H4827" i="5"/>
  <c r="V4826" i="5"/>
  <c r="U4826" i="5"/>
  <c r="T4826" i="5"/>
  <c r="S4826" i="5"/>
  <c r="R4826" i="5"/>
  <c r="Q4826" i="5"/>
  <c r="P4826" i="5"/>
  <c r="O4826" i="5"/>
  <c r="N4826" i="5"/>
  <c r="M4826" i="5"/>
  <c r="L4826" i="5"/>
  <c r="K4826" i="5"/>
  <c r="J4826" i="5"/>
  <c r="I4826" i="5"/>
  <c r="H4826" i="5"/>
  <c r="V4825" i="5"/>
  <c r="U4825" i="5"/>
  <c r="T4825" i="5"/>
  <c r="S4825" i="5"/>
  <c r="R4825" i="5"/>
  <c r="Q4825" i="5"/>
  <c r="P4825" i="5"/>
  <c r="O4825" i="5"/>
  <c r="N4825" i="5"/>
  <c r="M4825" i="5"/>
  <c r="L4825" i="5"/>
  <c r="K4825" i="5"/>
  <c r="J4825" i="5"/>
  <c r="I4825" i="5"/>
  <c r="H4825" i="5"/>
  <c r="V4824" i="5"/>
  <c r="U4824" i="5"/>
  <c r="T4824" i="5"/>
  <c r="S4824" i="5"/>
  <c r="R4824" i="5"/>
  <c r="Q4824" i="5"/>
  <c r="P4824" i="5"/>
  <c r="V4823" i="5"/>
  <c r="U4823" i="5"/>
  <c r="T4823" i="5"/>
  <c r="S4823" i="5"/>
  <c r="R4823" i="5"/>
  <c r="Q4823" i="5"/>
  <c r="P4823" i="5"/>
  <c r="O4823" i="5"/>
  <c r="N4823" i="5"/>
  <c r="M4823" i="5"/>
  <c r="L4823" i="5"/>
  <c r="K4823" i="5"/>
  <c r="J4823" i="5"/>
  <c r="I4823" i="5"/>
  <c r="H4823" i="5"/>
  <c r="U4822" i="5"/>
  <c r="T4822" i="5"/>
  <c r="S4822" i="5"/>
  <c r="R4822" i="5"/>
  <c r="Q4822" i="5"/>
  <c r="P4822" i="5"/>
  <c r="O4822" i="5"/>
  <c r="N4822" i="5"/>
  <c r="M4822" i="5"/>
  <c r="L4822" i="5"/>
  <c r="K4822" i="5"/>
  <c r="J4822" i="5"/>
  <c r="I4822" i="5"/>
  <c r="H4822" i="5"/>
  <c r="V4821" i="5"/>
  <c r="U4821" i="5"/>
  <c r="T4821" i="5"/>
  <c r="S4821" i="5"/>
  <c r="R4821" i="5"/>
  <c r="Q4821" i="5"/>
  <c r="P4821" i="5"/>
  <c r="O4821" i="5"/>
  <c r="N4821" i="5"/>
  <c r="M4821" i="5"/>
  <c r="L4821" i="5"/>
  <c r="K4821" i="5"/>
  <c r="J4821" i="5"/>
  <c r="I4821" i="5"/>
  <c r="H4821" i="5"/>
  <c r="V4820" i="5"/>
  <c r="O4820" i="5"/>
  <c r="N4820" i="5"/>
  <c r="M4820" i="5"/>
  <c r="L4820" i="5"/>
  <c r="K4820" i="5"/>
  <c r="J4820" i="5"/>
  <c r="I4820" i="5"/>
  <c r="H4820" i="5"/>
  <c r="V4819" i="5"/>
  <c r="U4819" i="5"/>
  <c r="T4819" i="5"/>
  <c r="S4819" i="5"/>
  <c r="R4819" i="5"/>
  <c r="Q4819" i="5"/>
  <c r="P4819" i="5"/>
  <c r="O4819" i="5"/>
  <c r="N4819" i="5"/>
  <c r="M4819" i="5"/>
  <c r="L4819" i="5"/>
  <c r="K4819" i="5"/>
  <c r="J4819" i="5"/>
  <c r="I4819" i="5"/>
  <c r="H4819" i="5"/>
  <c r="V4818" i="5"/>
  <c r="U4818" i="5"/>
  <c r="T4818" i="5"/>
  <c r="S4818" i="5"/>
  <c r="R4818" i="5"/>
  <c r="Q4818" i="5"/>
  <c r="P4818" i="5"/>
  <c r="O4818" i="5"/>
  <c r="N4818" i="5"/>
  <c r="M4818" i="5"/>
  <c r="L4818" i="5"/>
  <c r="K4818" i="5"/>
  <c r="J4818" i="5"/>
  <c r="I4818" i="5"/>
  <c r="H4818" i="5"/>
  <c r="V4817" i="5"/>
  <c r="U4817" i="5"/>
  <c r="T4817" i="5"/>
  <c r="S4817" i="5"/>
  <c r="R4817" i="5"/>
  <c r="Q4817" i="5"/>
  <c r="P4817" i="5"/>
  <c r="O4817" i="5"/>
  <c r="N4817" i="5"/>
  <c r="M4817" i="5"/>
  <c r="L4817" i="5"/>
  <c r="K4817" i="5"/>
  <c r="J4817" i="5"/>
  <c r="I4817" i="5"/>
  <c r="H4817" i="5"/>
  <c r="V4816" i="5"/>
  <c r="U4816" i="5"/>
  <c r="T4816" i="5"/>
  <c r="S4816" i="5"/>
  <c r="R4816" i="5"/>
  <c r="Q4816" i="5"/>
  <c r="P4816" i="5"/>
  <c r="O4816" i="5"/>
  <c r="N4816" i="5"/>
  <c r="M4816" i="5"/>
  <c r="L4816" i="5"/>
  <c r="K4816" i="5"/>
  <c r="J4816" i="5"/>
  <c r="I4816" i="5"/>
  <c r="H4816" i="5"/>
  <c r="V4815" i="5"/>
  <c r="U4815" i="5"/>
  <c r="T4815" i="5"/>
  <c r="S4815" i="5"/>
  <c r="R4815" i="5"/>
  <c r="Q4815" i="5"/>
  <c r="P4815" i="5"/>
  <c r="O4815" i="5"/>
  <c r="N4815" i="5"/>
  <c r="M4815" i="5"/>
  <c r="L4815" i="5"/>
  <c r="K4815" i="5"/>
  <c r="J4815" i="5"/>
  <c r="I4815" i="5"/>
  <c r="H4815" i="5"/>
  <c r="V4814" i="5"/>
  <c r="U4814" i="5"/>
  <c r="T4814" i="5"/>
  <c r="S4814" i="5"/>
  <c r="R4814" i="5"/>
  <c r="Q4814" i="5"/>
  <c r="P4814" i="5"/>
  <c r="V4813" i="5"/>
  <c r="U4813" i="5"/>
  <c r="T4813" i="5"/>
  <c r="S4813" i="5"/>
  <c r="R4813" i="5"/>
  <c r="Q4813" i="5"/>
  <c r="P4813" i="5"/>
  <c r="O4813" i="5"/>
  <c r="N4813" i="5"/>
  <c r="M4813" i="5"/>
  <c r="L4813" i="5"/>
  <c r="K4813" i="5"/>
  <c r="J4813" i="5"/>
  <c r="I4813" i="5"/>
  <c r="H4813" i="5"/>
  <c r="U4812" i="5"/>
  <c r="T4812" i="5"/>
  <c r="S4812" i="5"/>
  <c r="R4812" i="5"/>
  <c r="Q4812" i="5"/>
  <c r="P4812" i="5"/>
  <c r="O4812" i="5"/>
  <c r="N4812" i="5"/>
  <c r="M4812" i="5"/>
  <c r="L4812" i="5"/>
  <c r="K4812" i="5"/>
  <c r="J4812" i="5"/>
  <c r="I4812" i="5"/>
  <c r="H4812" i="5"/>
  <c r="V4811" i="5"/>
  <c r="U4811" i="5"/>
  <c r="T4811" i="5"/>
  <c r="S4811" i="5"/>
  <c r="R4811" i="5"/>
  <c r="Q4811" i="5"/>
  <c r="P4811" i="5"/>
  <c r="O4811" i="5"/>
  <c r="N4811" i="5"/>
  <c r="M4811" i="5"/>
  <c r="L4811" i="5"/>
  <c r="K4811" i="5"/>
  <c r="J4811" i="5"/>
  <c r="I4811" i="5"/>
  <c r="H4811" i="5"/>
  <c r="V4810" i="5"/>
  <c r="O4810" i="5"/>
  <c r="N4810" i="5"/>
  <c r="M4810" i="5"/>
  <c r="L4810" i="5"/>
  <c r="K4810" i="5"/>
  <c r="J4810" i="5"/>
  <c r="I4810" i="5"/>
  <c r="H4810" i="5"/>
  <c r="V4809" i="5"/>
  <c r="U4809" i="5"/>
  <c r="T4809" i="5"/>
  <c r="S4809" i="5"/>
  <c r="R4809" i="5"/>
  <c r="Q4809" i="5"/>
  <c r="P4809" i="5"/>
  <c r="O4809" i="5"/>
  <c r="N4809" i="5"/>
  <c r="M4809" i="5"/>
  <c r="L4809" i="5"/>
  <c r="K4809" i="5"/>
  <c r="J4809" i="5"/>
  <c r="I4809" i="5"/>
  <c r="H4809" i="5"/>
  <c r="V4808" i="5"/>
  <c r="U4808" i="5"/>
  <c r="T4808" i="5"/>
  <c r="S4808" i="5"/>
  <c r="R4808" i="5"/>
  <c r="Q4808" i="5"/>
  <c r="P4808" i="5"/>
  <c r="O4808" i="5"/>
  <c r="N4808" i="5"/>
  <c r="M4808" i="5"/>
  <c r="L4808" i="5"/>
  <c r="K4808" i="5"/>
  <c r="J4808" i="5"/>
  <c r="I4808" i="5"/>
  <c r="H4808" i="5"/>
  <c r="V4807" i="5"/>
  <c r="U4807" i="5"/>
  <c r="T4807" i="5"/>
  <c r="S4807" i="5"/>
  <c r="R4807" i="5"/>
  <c r="Q4807" i="5"/>
  <c r="P4807" i="5"/>
  <c r="O4807" i="5"/>
  <c r="N4807" i="5"/>
  <c r="M4807" i="5"/>
  <c r="L4807" i="5"/>
  <c r="K4807" i="5"/>
  <c r="J4807" i="5"/>
  <c r="I4807" i="5"/>
  <c r="H4807" i="5"/>
  <c r="V4806" i="5"/>
  <c r="U4806" i="5"/>
  <c r="T4806" i="5"/>
  <c r="S4806" i="5"/>
  <c r="R4806" i="5"/>
  <c r="Q4806" i="5"/>
  <c r="P4806" i="5"/>
  <c r="O4806" i="5"/>
  <c r="N4806" i="5"/>
  <c r="M4806" i="5"/>
  <c r="L4806" i="5"/>
  <c r="K4806" i="5"/>
  <c r="J4806" i="5"/>
  <c r="I4806" i="5"/>
  <c r="H4806" i="5"/>
  <c r="V4805" i="5"/>
  <c r="U4805" i="5"/>
  <c r="T4805" i="5"/>
  <c r="S4805" i="5"/>
  <c r="R4805" i="5"/>
  <c r="Q4805" i="5"/>
  <c r="P4805" i="5"/>
  <c r="O4805" i="5"/>
  <c r="N4805" i="5"/>
  <c r="M4805" i="5"/>
  <c r="L4805" i="5"/>
  <c r="K4805" i="5"/>
  <c r="J4805" i="5"/>
  <c r="I4805" i="5"/>
  <c r="H4805" i="5"/>
  <c r="V4804" i="5"/>
  <c r="U4804" i="5"/>
  <c r="T4804" i="5"/>
  <c r="S4804" i="5"/>
  <c r="R4804" i="5"/>
  <c r="Q4804" i="5"/>
  <c r="P4804" i="5"/>
  <c r="V4803" i="5"/>
  <c r="U4803" i="5"/>
  <c r="T4803" i="5"/>
  <c r="S4803" i="5"/>
  <c r="R4803" i="5"/>
  <c r="Q4803" i="5"/>
  <c r="P4803" i="5"/>
  <c r="O4803" i="5"/>
  <c r="N4803" i="5"/>
  <c r="M4803" i="5"/>
  <c r="L4803" i="5"/>
  <c r="K4803" i="5"/>
  <c r="J4803" i="5"/>
  <c r="I4803" i="5"/>
  <c r="H4803" i="5"/>
  <c r="U4802" i="5"/>
  <c r="T4802" i="5"/>
  <c r="S4802" i="5"/>
  <c r="R4802" i="5"/>
  <c r="Q4802" i="5"/>
  <c r="P4802" i="5"/>
  <c r="O4802" i="5"/>
  <c r="N4802" i="5"/>
  <c r="M4802" i="5"/>
  <c r="L4802" i="5"/>
  <c r="K4802" i="5"/>
  <c r="J4802" i="5"/>
  <c r="I4802" i="5"/>
  <c r="H4802" i="5"/>
  <c r="V4801" i="5"/>
  <c r="U4801" i="5"/>
  <c r="T4801" i="5"/>
  <c r="S4801" i="5"/>
  <c r="R4801" i="5"/>
  <c r="Q4801" i="5"/>
  <c r="P4801" i="5"/>
  <c r="O4801" i="5"/>
  <c r="N4801" i="5"/>
  <c r="M4801" i="5"/>
  <c r="L4801" i="5"/>
  <c r="K4801" i="5"/>
  <c r="J4801" i="5"/>
  <c r="I4801" i="5"/>
  <c r="H4801" i="5"/>
  <c r="V4800" i="5"/>
  <c r="O4800" i="5"/>
  <c r="N4800" i="5"/>
  <c r="M4800" i="5"/>
  <c r="L4800" i="5"/>
  <c r="K4800" i="5"/>
  <c r="J4800" i="5"/>
  <c r="I4800" i="5"/>
  <c r="H4800" i="5"/>
  <c r="V4799" i="5"/>
  <c r="U4799" i="5"/>
  <c r="T4799" i="5"/>
  <c r="S4799" i="5"/>
  <c r="R4799" i="5"/>
  <c r="Q4799" i="5"/>
  <c r="P4799" i="5"/>
  <c r="O4799" i="5"/>
  <c r="N4799" i="5"/>
  <c r="M4799" i="5"/>
  <c r="L4799" i="5"/>
  <c r="K4799" i="5"/>
  <c r="J4799" i="5"/>
  <c r="I4799" i="5"/>
  <c r="H4799" i="5"/>
  <c r="V4798" i="5"/>
  <c r="U4798" i="5"/>
  <c r="T4798" i="5"/>
  <c r="S4798" i="5"/>
  <c r="R4798" i="5"/>
  <c r="Q4798" i="5"/>
  <c r="P4798" i="5"/>
  <c r="O4798" i="5"/>
  <c r="N4798" i="5"/>
  <c r="M4798" i="5"/>
  <c r="L4798" i="5"/>
  <c r="K4798" i="5"/>
  <c r="J4798" i="5"/>
  <c r="I4798" i="5"/>
  <c r="H4798" i="5"/>
  <c r="V4797" i="5"/>
  <c r="U4797" i="5"/>
  <c r="T4797" i="5"/>
  <c r="S4797" i="5"/>
  <c r="R4797" i="5"/>
  <c r="Q4797" i="5"/>
  <c r="P4797" i="5"/>
  <c r="O4797" i="5"/>
  <c r="N4797" i="5"/>
  <c r="M4797" i="5"/>
  <c r="L4797" i="5"/>
  <c r="K4797" i="5"/>
  <c r="J4797" i="5"/>
  <c r="I4797" i="5"/>
  <c r="H4797" i="5"/>
  <c r="V4796" i="5"/>
  <c r="U4796" i="5"/>
  <c r="T4796" i="5"/>
  <c r="S4796" i="5"/>
  <c r="R4796" i="5"/>
  <c r="Q4796" i="5"/>
  <c r="P4796" i="5"/>
  <c r="O4796" i="5"/>
  <c r="N4796" i="5"/>
  <c r="M4796" i="5"/>
  <c r="L4796" i="5"/>
  <c r="K4796" i="5"/>
  <c r="J4796" i="5"/>
  <c r="I4796" i="5"/>
  <c r="H4796" i="5"/>
  <c r="V4795" i="5"/>
  <c r="U4795" i="5"/>
  <c r="T4795" i="5"/>
  <c r="S4795" i="5"/>
  <c r="R4795" i="5"/>
  <c r="Q4795" i="5"/>
  <c r="P4795" i="5"/>
  <c r="O4795" i="5"/>
  <c r="N4795" i="5"/>
  <c r="M4795" i="5"/>
  <c r="L4795" i="5"/>
  <c r="K4795" i="5"/>
  <c r="J4795" i="5"/>
  <c r="I4795" i="5"/>
  <c r="H4795" i="5"/>
  <c r="V4794" i="5"/>
  <c r="U4794" i="5"/>
  <c r="T4794" i="5"/>
  <c r="S4794" i="5"/>
  <c r="R4794" i="5"/>
  <c r="Q4794" i="5"/>
  <c r="P4794" i="5"/>
  <c r="V4793" i="5"/>
  <c r="U4793" i="5"/>
  <c r="T4793" i="5"/>
  <c r="S4793" i="5"/>
  <c r="R4793" i="5"/>
  <c r="Q4793" i="5"/>
  <c r="P4793" i="5"/>
  <c r="O4793" i="5"/>
  <c r="N4793" i="5"/>
  <c r="M4793" i="5"/>
  <c r="L4793" i="5"/>
  <c r="K4793" i="5"/>
  <c r="J4793" i="5"/>
  <c r="I4793" i="5"/>
  <c r="H4793" i="5"/>
  <c r="U4792" i="5"/>
  <c r="T4792" i="5"/>
  <c r="S4792" i="5"/>
  <c r="R4792" i="5"/>
  <c r="Q4792" i="5"/>
  <c r="P4792" i="5"/>
  <c r="O4792" i="5"/>
  <c r="N4792" i="5"/>
  <c r="M4792" i="5"/>
  <c r="L4792" i="5"/>
  <c r="K4792" i="5"/>
  <c r="J4792" i="5"/>
  <c r="I4792" i="5"/>
  <c r="H4792" i="5"/>
  <c r="V4791" i="5"/>
  <c r="U4791" i="5"/>
  <c r="T4791" i="5"/>
  <c r="S4791" i="5"/>
  <c r="R4791" i="5"/>
  <c r="Q4791" i="5"/>
  <c r="P4791" i="5"/>
  <c r="O4791" i="5"/>
  <c r="N4791" i="5"/>
  <c r="M4791" i="5"/>
  <c r="L4791" i="5"/>
  <c r="K4791" i="5"/>
  <c r="J4791" i="5"/>
  <c r="I4791" i="5"/>
  <c r="H4791" i="5"/>
  <c r="V4790" i="5"/>
  <c r="O4790" i="5"/>
  <c r="N4790" i="5"/>
  <c r="M4790" i="5"/>
  <c r="L4790" i="5"/>
  <c r="K4790" i="5"/>
  <c r="J4790" i="5"/>
  <c r="I4790" i="5"/>
  <c r="H4790" i="5"/>
  <c r="V4789" i="5"/>
  <c r="U4789" i="5"/>
  <c r="T4789" i="5"/>
  <c r="S4789" i="5"/>
  <c r="R4789" i="5"/>
  <c r="Q4789" i="5"/>
  <c r="P4789" i="5"/>
  <c r="O4789" i="5"/>
  <c r="N4789" i="5"/>
  <c r="M4789" i="5"/>
  <c r="L4789" i="5"/>
  <c r="K4789" i="5"/>
  <c r="J4789" i="5"/>
  <c r="I4789" i="5"/>
  <c r="H4789" i="5"/>
  <c r="V4788" i="5"/>
  <c r="U4788" i="5"/>
  <c r="T4788" i="5"/>
  <c r="S4788" i="5"/>
  <c r="R4788" i="5"/>
  <c r="Q4788" i="5"/>
  <c r="P4788" i="5"/>
  <c r="O4788" i="5"/>
  <c r="N4788" i="5"/>
  <c r="M4788" i="5"/>
  <c r="L4788" i="5"/>
  <c r="K4788" i="5"/>
  <c r="J4788" i="5"/>
  <c r="I4788" i="5"/>
  <c r="H4788" i="5"/>
  <c r="V4787" i="5"/>
  <c r="U4787" i="5"/>
  <c r="T4787" i="5"/>
  <c r="S4787" i="5"/>
  <c r="R4787" i="5"/>
  <c r="Q4787" i="5"/>
  <c r="P4787" i="5"/>
  <c r="V4786" i="5"/>
  <c r="U4786" i="5"/>
  <c r="T4786" i="5"/>
  <c r="S4786" i="5"/>
  <c r="R4786" i="5"/>
  <c r="Q4786" i="5"/>
  <c r="P4786" i="5"/>
  <c r="U4785" i="5"/>
  <c r="T4785" i="5"/>
  <c r="S4785" i="5"/>
  <c r="R4785" i="5"/>
  <c r="Q4785" i="5"/>
  <c r="P4785" i="5"/>
  <c r="U4784" i="5"/>
  <c r="T4784" i="5"/>
  <c r="S4784" i="5"/>
  <c r="R4784" i="5"/>
  <c r="Q4784" i="5"/>
  <c r="P4784" i="5"/>
  <c r="O4777" i="5"/>
  <c r="N4777" i="5"/>
  <c r="M4777" i="5"/>
  <c r="L4777" i="5"/>
  <c r="K4777" i="5"/>
  <c r="J4777" i="5"/>
  <c r="I4777" i="5"/>
  <c r="H4777" i="5"/>
  <c r="O4776" i="5"/>
  <c r="N4776" i="5"/>
  <c r="M4776" i="5"/>
  <c r="L4776" i="5"/>
  <c r="K4776" i="5"/>
  <c r="J4776" i="5"/>
  <c r="I4776" i="5"/>
  <c r="H4776" i="5"/>
  <c r="V4775" i="5"/>
  <c r="O4775" i="5"/>
  <c r="N4775" i="5"/>
  <c r="M4775" i="5"/>
  <c r="L4775" i="5"/>
  <c r="K4775" i="5"/>
  <c r="J4775" i="5"/>
  <c r="I4775" i="5"/>
  <c r="H4775" i="5"/>
  <c r="V4774" i="5"/>
  <c r="V4773" i="5"/>
  <c r="U4773" i="5"/>
  <c r="T4773" i="5"/>
  <c r="S4773" i="5"/>
  <c r="R4773" i="5"/>
  <c r="Q4773" i="5"/>
  <c r="P4773" i="5"/>
  <c r="O4773" i="5"/>
  <c r="N4773" i="5"/>
  <c r="M4773" i="5"/>
  <c r="L4773" i="5"/>
  <c r="K4773" i="5"/>
  <c r="J4773" i="5"/>
  <c r="I4773" i="5"/>
  <c r="H4773" i="5"/>
  <c r="U4772" i="5"/>
  <c r="T4772" i="5"/>
  <c r="S4772" i="5"/>
  <c r="R4772" i="5"/>
  <c r="Q4772" i="5"/>
  <c r="P4772" i="5"/>
  <c r="O4772" i="5"/>
  <c r="N4772" i="5"/>
  <c r="M4772" i="5"/>
  <c r="L4772" i="5"/>
  <c r="K4772" i="5"/>
  <c r="J4772" i="5"/>
  <c r="I4772" i="5"/>
  <c r="H4772" i="5"/>
  <c r="V4771" i="5"/>
  <c r="U4771" i="5"/>
  <c r="T4771" i="5"/>
  <c r="S4771" i="5"/>
  <c r="R4771" i="5"/>
  <c r="Q4771" i="5"/>
  <c r="P4771" i="5"/>
  <c r="O4771" i="5"/>
  <c r="N4771" i="5"/>
  <c r="M4771" i="5"/>
  <c r="L4771" i="5"/>
  <c r="K4771" i="5"/>
  <c r="J4771" i="5"/>
  <c r="I4771" i="5"/>
  <c r="H4771" i="5"/>
  <c r="V4770" i="5"/>
  <c r="O4770" i="5"/>
  <c r="N4770" i="5"/>
  <c r="M4770" i="5"/>
  <c r="L4770" i="5"/>
  <c r="K4770" i="5"/>
  <c r="J4770" i="5"/>
  <c r="I4770" i="5"/>
  <c r="H4770" i="5"/>
  <c r="V4769" i="5"/>
  <c r="U4769" i="5"/>
  <c r="T4769" i="5"/>
  <c r="S4769" i="5"/>
  <c r="R4769" i="5"/>
  <c r="Q4769" i="5"/>
  <c r="P4769" i="5"/>
  <c r="O4769" i="5"/>
  <c r="N4769" i="5"/>
  <c r="M4769" i="5"/>
  <c r="L4769" i="5"/>
  <c r="K4769" i="5"/>
  <c r="J4769" i="5"/>
  <c r="I4769" i="5"/>
  <c r="H4769" i="5"/>
  <c r="V4768" i="5"/>
  <c r="U4768" i="5"/>
  <c r="T4768" i="5"/>
  <c r="S4768" i="5"/>
  <c r="R4768" i="5"/>
  <c r="Q4768" i="5"/>
  <c r="P4768" i="5"/>
  <c r="O4768" i="5"/>
  <c r="N4768" i="5"/>
  <c r="M4768" i="5"/>
  <c r="L4768" i="5"/>
  <c r="K4768" i="5"/>
  <c r="J4768" i="5"/>
  <c r="I4768" i="5"/>
  <c r="H4768" i="5"/>
  <c r="V4767" i="5"/>
  <c r="U4767" i="5"/>
  <c r="T4767" i="5"/>
  <c r="S4767" i="5"/>
  <c r="R4767" i="5"/>
  <c r="Q4767" i="5"/>
  <c r="P4767" i="5"/>
  <c r="O4767" i="5"/>
  <c r="N4767" i="5"/>
  <c r="M4767" i="5"/>
  <c r="L4767" i="5"/>
  <c r="K4767" i="5"/>
  <c r="J4767" i="5"/>
  <c r="I4767" i="5"/>
  <c r="H4767" i="5"/>
  <c r="V4766" i="5"/>
  <c r="U4766" i="5"/>
  <c r="T4766" i="5"/>
  <c r="S4766" i="5"/>
  <c r="R4766" i="5"/>
  <c r="Q4766" i="5"/>
  <c r="P4766" i="5"/>
  <c r="O4766" i="5"/>
  <c r="N4766" i="5"/>
  <c r="M4766" i="5"/>
  <c r="L4766" i="5"/>
  <c r="K4766" i="5"/>
  <c r="J4766" i="5"/>
  <c r="I4766" i="5"/>
  <c r="H4766" i="5"/>
  <c r="V4765" i="5"/>
  <c r="U4765" i="5"/>
  <c r="T4765" i="5"/>
  <c r="S4765" i="5"/>
  <c r="R4765" i="5"/>
  <c r="Q4765" i="5"/>
  <c r="P4765" i="5"/>
  <c r="O4765" i="5"/>
  <c r="N4765" i="5"/>
  <c r="M4765" i="5"/>
  <c r="L4765" i="5"/>
  <c r="K4765" i="5"/>
  <c r="J4765" i="5"/>
  <c r="I4765" i="5"/>
  <c r="H4765" i="5"/>
  <c r="V4764" i="5"/>
  <c r="U4764" i="5"/>
  <c r="T4764" i="5"/>
  <c r="S4764" i="5"/>
  <c r="R4764" i="5"/>
  <c r="Q4764" i="5"/>
  <c r="P4764" i="5"/>
  <c r="V4763" i="5"/>
  <c r="U4763" i="5"/>
  <c r="T4763" i="5"/>
  <c r="S4763" i="5"/>
  <c r="R4763" i="5"/>
  <c r="Q4763" i="5"/>
  <c r="P4763" i="5"/>
  <c r="O4763" i="5"/>
  <c r="N4763" i="5"/>
  <c r="M4763" i="5"/>
  <c r="L4763" i="5"/>
  <c r="K4763" i="5"/>
  <c r="J4763" i="5"/>
  <c r="I4763" i="5"/>
  <c r="H4763" i="5"/>
  <c r="U4762" i="5"/>
  <c r="T4762" i="5"/>
  <c r="S4762" i="5"/>
  <c r="R4762" i="5"/>
  <c r="Q4762" i="5"/>
  <c r="P4762" i="5"/>
  <c r="O4762" i="5"/>
  <c r="N4762" i="5"/>
  <c r="M4762" i="5"/>
  <c r="L4762" i="5"/>
  <c r="K4762" i="5"/>
  <c r="J4762" i="5"/>
  <c r="I4762" i="5"/>
  <c r="H4762" i="5"/>
  <c r="V4761" i="5"/>
  <c r="U4761" i="5"/>
  <c r="T4761" i="5"/>
  <c r="S4761" i="5"/>
  <c r="R4761" i="5"/>
  <c r="Q4761" i="5"/>
  <c r="P4761" i="5"/>
  <c r="O4761" i="5"/>
  <c r="N4761" i="5"/>
  <c r="M4761" i="5"/>
  <c r="L4761" i="5"/>
  <c r="K4761" i="5"/>
  <c r="J4761" i="5"/>
  <c r="I4761" i="5"/>
  <c r="H4761" i="5"/>
  <c r="V4760" i="5"/>
  <c r="O4760" i="5"/>
  <c r="N4760" i="5"/>
  <c r="M4760" i="5"/>
  <c r="L4760" i="5"/>
  <c r="K4760" i="5"/>
  <c r="J4760" i="5"/>
  <c r="I4760" i="5"/>
  <c r="H4760" i="5"/>
  <c r="V4759" i="5"/>
  <c r="U4759" i="5"/>
  <c r="T4759" i="5"/>
  <c r="S4759" i="5"/>
  <c r="R4759" i="5"/>
  <c r="Q4759" i="5"/>
  <c r="P4759" i="5"/>
  <c r="O4759" i="5"/>
  <c r="N4759" i="5"/>
  <c r="M4759" i="5"/>
  <c r="L4759" i="5"/>
  <c r="K4759" i="5"/>
  <c r="J4759" i="5"/>
  <c r="I4759" i="5"/>
  <c r="H4759" i="5"/>
  <c r="V4758" i="5"/>
  <c r="U4758" i="5"/>
  <c r="T4758" i="5"/>
  <c r="S4758" i="5"/>
  <c r="R4758" i="5"/>
  <c r="Q4758" i="5"/>
  <c r="P4758" i="5"/>
  <c r="O4758" i="5"/>
  <c r="N4758" i="5"/>
  <c r="M4758" i="5"/>
  <c r="L4758" i="5"/>
  <c r="K4758" i="5"/>
  <c r="J4758" i="5"/>
  <c r="I4758" i="5"/>
  <c r="H4758" i="5"/>
  <c r="V4757" i="5"/>
  <c r="U4757" i="5"/>
  <c r="T4757" i="5"/>
  <c r="S4757" i="5"/>
  <c r="R4757" i="5"/>
  <c r="Q4757" i="5"/>
  <c r="P4757" i="5"/>
  <c r="O4757" i="5"/>
  <c r="N4757" i="5"/>
  <c r="M4757" i="5"/>
  <c r="L4757" i="5"/>
  <c r="K4757" i="5"/>
  <c r="J4757" i="5"/>
  <c r="I4757" i="5"/>
  <c r="H4757" i="5"/>
  <c r="V4756" i="5"/>
  <c r="U4756" i="5"/>
  <c r="T4756" i="5"/>
  <c r="S4756" i="5"/>
  <c r="R4756" i="5"/>
  <c r="Q4756" i="5"/>
  <c r="P4756" i="5"/>
  <c r="O4756" i="5"/>
  <c r="N4756" i="5"/>
  <c r="M4756" i="5"/>
  <c r="L4756" i="5"/>
  <c r="K4756" i="5"/>
  <c r="J4756" i="5"/>
  <c r="I4756" i="5"/>
  <c r="H4756" i="5"/>
  <c r="V4755" i="5"/>
  <c r="U4755" i="5"/>
  <c r="T4755" i="5"/>
  <c r="S4755" i="5"/>
  <c r="R4755" i="5"/>
  <c r="Q4755" i="5"/>
  <c r="P4755" i="5"/>
  <c r="O4755" i="5"/>
  <c r="N4755" i="5"/>
  <c r="M4755" i="5"/>
  <c r="L4755" i="5"/>
  <c r="K4755" i="5"/>
  <c r="J4755" i="5"/>
  <c r="I4755" i="5"/>
  <c r="H4755" i="5"/>
  <c r="V4754" i="5"/>
  <c r="U4754" i="5"/>
  <c r="T4754" i="5"/>
  <c r="S4754" i="5"/>
  <c r="R4754" i="5"/>
  <c r="Q4754" i="5"/>
  <c r="P4754" i="5"/>
  <c r="V4753" i="5"/>
  <c r="U4753" i="5"/>
  <c r="T4753" i="5"/>
  <c r="S4753" i="5"/>
  <c r="R4753" i="5"/>
  <c r="Q4753" i="5"/>
  <c r="P4753" i="5"/>
  <c r="O4753" i="5"/>
  <c r="N4753" i="5"/>
  <c r="M4753" i="5"/>
  <c r="L4753" i="5"/>
  <c r="K4753" i="5"/>
  <c r="J4753" i="5"/>
  <c r="I4753" i="5"/>
  <c r="H4753" i="5"/>
  <c r="U4752" i="5"/>
  <c r="T4752" i="5"/>
  <c r="S4752" i="5"/>
  <c r="R4752" i="5"/>
  <c r="Q4752" i="5"/>
  <c r="P4752" i="5"/>
  <c r="O4752" i="5"/>
  <c r="N4752" i="5"/>
  <c r="M4752" i="5"/>
  <c r="L4752" i="5"/>
  <c r="K4752" i="5"/>
  <c r="J4752" i="5"/>
  <c r="I4752" i="5"/>
  <c r="H4752" i="5"/>
  <c r="V4751" i="5"/>
  <c r="U4751" i="5"/>
  <c r="T4751" i="5"/>
  <c r="S4751" i="5"/>
  <c r="R4751" i="5"/>
  <c r="Q4751" i="5"/>
  <c r="P4751" i="5"/>
  <c r="O4751" i="5"/>
  <c r="N4751" i="5"/>
  <c r="M4751" i="5"/>
  <c r="L4751" i="5"/>
  <c r="K4751" i="5"/>
  <c r="J4751" i="5"/>
  <c r="I4751" i="5"/>
  <c r="H4751" i="5"/>
  <c r="V4750" i="5"/>
  <c r="O4750" i="5"/>
  <c r="N4750" i="5"/>
  <c r="M4750" i="5"/>
  <c r="L4750" i="5"/>
  <c r="K4750" i="5"/>
  <c r="J4750" i="5"/>
  <c r="I4750" i="5"/>
  <c r="H4750" i="5"/>
  <c r="V4749" i="5"/>
  <c r="U4749" i="5"/>
  <c r="T4749" i="5"/>
  <c r="S4749" i="5"/>
  <c r="R4749" i="5"/>
  <c r="Q4749" i="5"/>
  <c r="P4749" i="5"/>
  <c r="O4749" i="5"/>
  <c r="N4749" i="5"/>
  <c r="M4749" i="5"/>
  <c r="L4749" i="5"/>
  <c r="K4749" i="5"/>
  <c r="J4749" i="5"/>
  <c r="I4749" i="5"/>
  <c r="H4749" i="5"/>
  <c r="V4748" i="5"/>
  <c r="U4748" i="5"/>
  <c r="T4748" i="5"/>
  <c r="S4748" i="5"/>
  <c r="R4748" i="5"/>
  <c r="Q4748" i="5"/>
  <c r="P4748" i="5"/>
  <c r="O4748" i="5"/>
  <c r="N4748" i="5"/>
  <c r="M4748" i="5"/>
  <c r="L4748" i="5"/>
  <c r="K4748" i="5"/>
  <c r="J4748" i="5"/>
  <c r="I4748" i="5"/>
  <c r="H4748" i="5"/>
  <c r="V4747" i="5"/>
  <c r="U4747" i="5"/>
  <c r="T4747" i="5"/>
  <c r="S4747" i="5"/>
  <c r="R4747" i="5"/>
  <c r="Q4747" i="5"/>
  <c r="P4747" i="5"/>
  <c r="O4747" i="5"/>
  <c r="N4747" i="5"/>
  <c r="M4747" i="5"/>
  <c r="L4747" i="5"/>
  <c r="K4747" i="5"/>
  <c r="J4747" i="5"/>
  <c r="I4747" i="5"/>
  <c r="H4747" i="5"/>
  <c r="V4746" i="5"/>
  <c r="U4746" i="5"/>
  <c r="T4746" i="5"/>
  <c r="S4746" i="5"/>
  <c r="R4746" i="5"/>
  <c r="Q4746" i="5"/>
  <c r="P4746" i="5"/>
  <c r="O4746" i="5"/>
  <c r="N4746" i="5"/>
  <c r="M4746" i="5"/>
  <c r="L4746" i="5"/>
  <c r="K4746" i="5"/>
  <c r="J4746" i="5"/>
  <c r="I4746" i="5"/>
  <c r="H4746" i="5"/>
  <c r="V4745" i="5"/>
  <c r="U4745" i="5"/>
  <c r="T4745" i="5"/>
  <c r="S4745" i="5"/>
  <c r="R4745" i="5"/>
  <c r="Q4745" i="5"/>
  <c r="P4745" i="5"/>
  <c r="O4745" i="5"/>
  <c r="N4745" i="5"/>
  <c r="M4745" i="5"/>
  <c r="L4745" i="5"/>
  <c r="K4745" i="5"/>
  <c r="J4745" i="5"/>
  <c r="I4745" i="5"/>
  <c r="H4745" i="5"/>
  <c r="V4744" i="5"/>
  <c r="U4744" i="5"/>
  <c r="T4744" i="5"/>
  <c r="S4744" i="5"/>
  <c r="R4744" i="5"/>
  <c r="Q4744" i="5"/>
  <c r="P4744" i="5"/>
  <c r="V4743" i="5"/>
  <c r="U4743" i="5"/>
  <c r="T4743" i="5"/>
  <c r="S4743" i="5"/>
  <c r="R4743" i="5"/>
  <c r="Q4743" i="5"/>
  <c r="P4743" i="5"/>
  <c r="O4743" i="5"/>
  <c r="N4743" i="5"/>
  <c r="M4743" i="5"/>
  <c r="L4743" i="5"/>
  <c r="K4743" i="5"/>
  <c r="J4743" i="5"/>
  <c r="I4743" i="5"/>
  <c r="H4743" i="5"/>
  <c r="U4742" i="5"/>
  <c r="T4742" i="5"/>
  <c r="S4742" i="5"/>
  <c r="R4742" i="5"/>
  <c r="Q4742" i="5"/>
  <c r="P4742" i="5"/>
  <c r="O4742" i="5"/>
  <c r="N4742" i="5"/>
  <c r="M4742" i="5"/>
  <c r="L4742" i="5"/>
  <c r="K4742" i="5"/>
  <c r="J4742" i="5"/>
  <c r="I4742" i="5"/>
  <c r="H4742" i="5"/>
  <c r="V4741" i="5"/>
  <c r="U4741" i="5"/>
  <c r="T4741" i="5"/>
  <c r="S4741" i="5"/>
  <c r="R4741" i="5"/>
  <c r="Q4741" i="5"/>
  <c r="P4741" i="5"/>
  <c r="O4741" i="5"/>
  <c r="N4741" i="5"/>
  <c r="M4741" i="5"/>
  <c r="L4741" i="5"/>
  <c r="K4741" i="5"/>
  <c r="J4741" i="5"/>
  <c r="I4741" i="5"/>
  <c r="H4741" i="5"/>
  <c r="V4740" i="5"/>
  <c r="O4740" i="5"/>
  <c r="N4740" i="5"/>
  <c r="M4740" i="5"/>
  <c r="L4740" i="5"/>
  <c r="K4740" i="5"/>
  <c r="J4740" i="5"/>
  <c r="I4740" i="5"/>
  <c r="H4740" i="5"/>
  <c r="V4739" i="5"/>
  <c r="U4739" i="5"/>
  <c r="T4739" i="5"/>
  <c r="S4739" i="5"/>
  <c r="R4739" i="5"/>
  <c r="Q4739" i="5"/>
  <c r="P4739" i="5"/>
  <c r="O4739" i="5"/>
  <c r="N4739" i="5"/>
  <c r="M4739" i="5"/>
  <c r="L4739" i="5"/>
  <c r="K4739" i="5"/>
  <c r="J4739" i="5"/>
  <c r="I4739" i="5"/>
  <c r="H4739" i="5"/>
  <c r="V4738" i="5"/>
  <c r="U4738" i="5"/>
  <c r="T4738" i="5"/>
  <c r="S4738" i="5"/>
  <c r="R4738" i="5"/>
  <c r="Q4738" i="5"/>
  <c r="P4738" i="5"/>
  <c r="O4738" i="5"/>
  <c r="N4738" i="5"/>
  <c r="M4738" i="5"/>
  <c r="L4738" i="5"/>
  <c r="K4738" i="5"/>
  <c r="J4738" i="5"/>
  <c r="I4738" i="5"/>
  <c r="H4738" i="5"/>
  <c r="V4737" i="5"/>
  <c r="U4737" i="5"/>
  <c r="T4737" i="5"/>
  <c r="S4737" i="5"/>
  <c r="R4737" i="5"/>
  <c r="Q4737" i="5"/>
  <c r="P4737" i="5"/>
  <c r="O4737" i="5"/>
  <c r="N4737" i="5"/>
  <c r="M4737" i="5"/>
  <c r="L4737" i="5"/>
  <c r="K4737" i="5"/>
  <c r="J4737" i="5"/>
  <c r="I4737" i="5"/>
  <c r="H4737" i="5"/>
  <c r="V4736" i="5"/>
  <c r="U4736" i="5"/>
  <c r="T4736" i="5"/>
  <c r="S4736" i="5"/>
  <c r="R4736" i="5"/>
  <c r="Q4736" i="5"/>
  <c r="P4736" i="5"/>
  <c r="O4736" i="5"/>
  <c r="N4736" i="5"/>
  <c r="M4736" i="5"/>
  <c r="L4736" i="5"/>
  <c r="K4736" i="5"/>
  <c r="J4736" i="5"/>
  <c r="I4736" i="5"/>
  <c r="H4736" i="5"/>
  <c r="V4735" i="5"/>
  <c r="U4735" i="5"/>
  <c r="T4735" i="5"/>
  <c r="S4735" i="5"/>
  <c r="R4735" i="5"/>
  <c r="Q4735" i="5"/>
  <c r="P4735" i="5"/>
  <c r="O4735" i="5"/>
  <c r="N4735" i="5"/>
  <c r="M4735" i="5"/>
  <c r="L4735" i="5"/>
  <c r="K4735" i="5"/>
  <c r="J4735" i="5"/>
  <c r="I4735" i="5"/>
  <c r="H4735" i="5"/>
  <c r="V4734" i="5"/>
  <c r="U4734" i="5"/>
  <c r="T4734" i="5"/>
  <c r="S4734" i="5"/>
  <c r="R4734" i="5"/>
  <c r="Q4734" i="5"/>
  <c r="P4734" i="5"/>
  <c r="V4733" i="5"/>
  <c r="U4733" i="5"/>
  <c r="T4733" i="5"/>
  <c r="S4733" i="5"/>
  <c r="R4733" i="5"/>
  <c r="Q4733" i="5"/>
  <c r="P4733" i="5"/>
  <c r="O4733" i="5"/>
  <c r="N4733" i="5"/>
  <c r="M4733" i="5"/>
  <c r="L4733" i="5"/>
  <c r="K4733" i="5"/>
  <c r="J4733" i="5"/>
  <c r="I4733" i="5"/>
  <c r="H4733" i="5"/>
  <c r="U4732" i="5"/>
  <c r="T4732" i="5"/>
  <c r="S4732" i="5"/>
  <c r="R4732" i="5"/>
  <c r="Q4732" i="5"/>
  <c r="P4732" i="5"/>
  <c r="O4732" i="5"/>
  <c r="N4732" i="5"/>
  <c r="M4732" i="5"/>
  <c r="L4732" i="5"/>
  <c r="K4732" i="5"/>
  <c r="J4732" i="5"/>
  <c r="I4732" i="5"/>
  <c r="H4732" i="5"/>
  <c r="V4731" i="5"/>
  <c r="U4731" i="5"/>
  <c r="T4731" i="5"/>
  <c r="S4731" i="5"/>
  <c r="R4731" i="5"/>
  <c r="Q4731" i="5"/>
  <c r="P4731" i="5"/>
  <c r="O4731" i="5"/>
  <c r="N4731" i="5"/>
  <c r="M4731" i="5"/>
  <c r="L4731" i="5"/>
  <c r="K4731" i="5"/>
  <c r="J4731" i="5"/>
  <c r="I4731" i="5"/>
  <c r="H4731" i="5"/>
  <c r="V4730" i="5"/>
  <c r="O4730" i="5"/>
  <c r="N4730" i="5"/>
  <c r="M4730" i="5"/>
  <c r="L4730" i="5"/>
  <c r="K4730" i="5"/>
  <c r="J4730" i="5"/>
  <c r="I4730" i="5"/>
  <c r="H4730" i="5"/>
  <c r="V4729" i="5"/>
  <c r="U4729" i="5"/>
  <c r="T4729" i="5"/>
  <c r="S4729" i="5"/>
  <c r="R4729" i="5"/>
  <c r="Q4729" i="5"/>
  <c r="P4729" i="5"/>
  <c r="O4729" i="5"/>
  <c r="N4729" i="5"/>
  <c r="M4729" i="5"/>
  <c r="L4729" i="5"/>
  <c r="K4729" i="5"/>
  <c r="J4729" i="5"/>
  <c r="I4729" i="5"/>
  <c r="H4729" i="5"/>
  <c r="V4728" i="5"/>
  <c r="U4728" i="5"/>
  <c r="T4728" i="5"/>
  <c r="S4728" i="5"/>
  <c r="R4728" i="5"/>
  <c r="Q4728" i="5"/>
  <c r="P4728" i="5"/>
  <c r="O4728" i="5"/>
  <c r="N4728" i="5"/>
  <c r="M4728" i="5"/>
  <c r="L4728" i="5"/>
  <c r="K4728" i="5"/>
  <c r="J4728" i="5"/>
  <c r="I4728" i="5"/>
  <c r="H4728" i="5"/>
  <c r="V4727" i="5"/>
  <c r="U4727" i="5"/>
  <c r="T4727" i="5"/>
  <c r="S4727" i="5"/>
  <c r="R4727" i="5"/>
  <c r="Q4727" i="5"/>
  <c r="P4727" i="5"/>
  <c r="O4727" i="5"/>
  <c r="N4727" i="5"/>
  <c r="M4727" i="5"/>
  <c r="L4727" i="5"/>
  <c r="K4727" i="5"/>
  <c r="J4727" i="5"/>
  <c r="I4727" i="5"/>
  <c r="H4727" i="5"/>
  <c r="V4726" i="5"/>
  <c r="U4726" i="5"/>
  <c r="T4726" i="5"/>
  <c r="S4726" i="5"/>
  <c r="R4726" i="5"/>
  <c r="Q4726" i="5"/>
  <c r="P4726" i="5"/>
  <c r="O4726" i="5"/>
  <c r="N4726" i="5"/>
  <c r="M4726" i="5"/>
  <c r="L4726" i="5"/>
  <c r="K4726" i="5"/>
  <c r="J4726" i="5"/>
  <c r="I4726" i="5"/>
  <c r="H4726" i="5"/>
  <c r="V4725" i="5"/>
  <c r="U4725" i="5"/>
  <c r="T4725" i="5"/>
  <c r="S4725" i="5"/>
  <c r="R4725" i="5"/>
  <c r="Q4725" i="5"/>
  <c r="P4725" i="5"/>
  <c r="O4725" i="5"/>
  <c r="N4725" i="5"/>
  <c r="M4725" i="5"/>
  <c r="L4725" i="5"/>
  <c r="K4725" i="5"/>
  <c r="J4725" i="5"/>
  <c r="I4725" i="5"/>
  <c r="H4725" i="5"/>
  <c r="V4724" i="5"/>
  <c r="U4724" i="5"/>
  <c r="T4724" i="5"/>
  <c r="S4724" i="5"/>
  <c r="R4724" i="5"/>
  <c r="Q4724" i="5"/>
  <c r="P4724" i="5"/>
  <c r="V4723" i="5"/>
  <c r="U4723" i="5"/>
  <c r="T4723" i="5"/>
  <c r="S4723" i="5"/>
  <c r="R4723" i="5"/>
  <c r="Q4723" i="5"/>
  <c r="P4723" i="5"/>
  <c r="O4723" i="5"/>
  <c r="N4723" i="5"/>
  <c r="M4723" i="5"/>
  <c r="L4723" i="5"/>
  <c r="K4723" i="5"/>
  <c r="J4723" i="5"/>
  <c r="I4723" i="5"/>
  <c r="H4723" i="5"/>
  <c r="U4722" i="5"/>
  <c r="T4722" i="5"/>
  <c r="S4722" i="5"/>
  <c r="R4722" i="5"/>
  <c r="Q4722" i="5"/>
  <c r="P4722" i="5"/>
  <c r="O4722" i="5"/>
  <c r="N4722" i="5"/>
  <c r="M4722" i="5"/>
  <c r="L4722" i="5"/>
  <c r="K4722" i="5"/>
  <c r="J4722" i="5"/>
  <c r="I4722" i="5"/>
  <c r="H4722" i="5"/>
  <c r="V4721" i="5"/>
  <c r="U4721" i="5"/>
  <c r="T4721" i="5"/>
  <c r="S4721" i="5"/>
  <c r="R4721" i="5"/>
  <c r="Q4721" i="5"/>
  <c r="P4721" i="5"/>
  <c r="O4721" i="5"/>
  <c r="N4721" i="5"/>
  <c r="M4721" i="5"/>
  <c r="L4721" i="5"/>
  <c r="K4721" i="5"/>
  <c r="J4721" i="5"/>
  <c r="I4721" i="5"/>
  <c r="H4721" i="5"/>
  <c r="V4720" i="5"/>
  <c r="O4720" i="5"/>
  <c r="N4720" i="5"/>
  <c r="M4720" i="5"/>
  <c r="L4720" i="5"/>
  <c r="K4720" i="5"/>
  <c r="J4720" i="5"/>
  <c r="I4720" i="5"/>
  <c r="H4720" i="5"/>
  <c r="V4719" i="5"/>
  <c r="U4719" i="5"/>
  <c r="T4719" i="5"/>
  <c r="S4719" i="5"/>
  <c r="R4719" i="5"/>
  <c r="Q4719" i="5"/>
  <c r="P4719" i="5"/>
  <c r="O4719" i="5"/>
  <c r="N4719" i="5"/>
  <c r="M4719" i="5"/>
  <c r="L4719" i="5"/>
  <c r="K4719" i="5"/>
  <c r="J4719" i="5"/>
  <c r="I4719" i="5"/>
  <c r="H4719" i="5"/>
  <c r="V4718" i="5"/>
  <c r="U4718" i="5"/>
  <c r="T4718" i="5"/>
  <c r="S4718" i="5"/>
  <c r="R4718" i="5"/>
  <c r="Q4718" i="5"/>
  <c r="P4718" i="5"/>
  <c r="O4718" i="5"/>
  <c r="N4718" i="5"/>
  <c r="M4718" i="5"/>
  <c r="L4718" i="5"/>
  <c r="K4718" i="5"/>
  <c r="J4718" i="5"/>
  <c r="I4718" i="5"/>
  <c r="H4718" i="5"/>
  <c r="V4717" i="5"/>
  <c r="U4717" i="5"/>
  <c r="T4717" i="5"/>
  <c r="S4717" i="5"/>
  <c r="R4717" i="5"/>
  <c r="Q4717" i="5"/>
  <c r="P4717" i="5"/>
  <c r="V4716" i="5"/>
  <c r="U4716" i="5"/>
  <c r="T4716" i="5"/>
  <c r="S4716" i="5"/>
  <c r="R4716" i="5"/>
  <c r="Q4716" i="5"/>
  <c r="P4716" i="5"/>
  <c r="U4715" i="5"/>
  <c r="T4715" i="5"/>
  <c r="S4715" i="5"/>
  <c r="R4715" i="5"/>
  <c r="Q4715" i="5"/>
  <c r="P4715" i="5"/>
  <c r="U4714" i="5"/>
  <c r="T4714" i="5"/>
  <c r="S4714" i="5"/>
  <c r="R4714" i="5"/>
  <c r="Q4714" i="5"/>
  <c r="P4714" i="5"/>
  <c r="O4617" i="5"/>
  <c r="N4617" i="5"/>
  <c r="M4617" i="5"/>
  <c r="L4617" i="5"/>
  <c r="K4617" i="5"/>
  <c r="J4617" i="5"/>
  <c r="I4617" i="5"/>
  <c r="H4617" i="5"/>
  <c r="O4616" i="5"/>
  <c r="N4616" i="5"/>
  <c r="M4616" i="5"/>
  <c r="L4616" i="5"/>
  <c r="K4616" i="5"/>
  <c r="J4616" i="5"/>
  <c r="I4616" i="5"/>
  <c r="H4616" i="5"/>
  <c r="V4615" i="5"/>
  <c r="O4615" i="5"/>
  <c r="N4615" i="5"/>
  <c r="M4615" i="5"/>
  <c r="L4615" i="5"/>
  <c r="K4615" i="5"/>
  <c r="J4615" i="5"/>
  <c r="I4615" i="5"/>
  <c r="H4615" i="5"/>
  <c r="V4614" i="5"/>
  <c r="V4613" i="5"/>
  <c r="U4613" i="5"/>
  <c r="T4613" i="5"/>
  <c r="S4613" i="5"/>
  <c r="R4613" i="5"/>
  <c r="Q4613" i="5"/>
  <c r="P4613" i="5"/>
  <c r="O4613" i="5"/>
  <c r="N4613" i="5"/>
  <c r="M4613" i="5"/>
  <c r="L4613" i="5"/>
  <c r="K4613" i="5"/>
  <c r="J4613" i="5"/>
  <c r="I4613" i="5"/>
  <c r="H4613" i="5"/>
  <c r="U4612" i="5"/>
  <c r="T4612" i="5"/>
  <c r="S4612" i="5"/>
  <c r="R4612" i="5"/>
  <c r="Q4612" i="5"/>
  <c r="P4612" i="5"/>
  <c r="O4612" i="5"/>
  <c r="N4612" i="5"/>
  <c r="M4612" i="5"/>
  <c r="L4612" i="5"/>
  <c r="K4612" i="5"/>
  <c r="J4612" i="5"/>
  <c r="I4612" i="5"/>
  <c r="H4612" i="5"/>
  <c r="V4611" i="5"/>
  <c r="U4611" i="5"/>
  <c r="T4611" i="5"/>
  <c r="S4611" i="5"/>
  <c r="R4611" i="5"/>
  <c r="Q4611" i="5"/>
  <c r="P4611" i="5"/>
  <c r="O4611" i="5"/>
  <c r="N4611" i="5"/>
  <c r="M4611" i="5"/>
  <c r="L4611" i="5"/>
  <c r="K4611" i="5"/>
  <c r="J4611" i="5"/>
  <c r="I4611" i="5"/>
  <c r="H4611" i="5"/>
  <c r="V4610" i="5"/>
  <c r="O4610" i="5"/>
  <c r="N4610" i="5"/>
  <c r="M4610" i="5"/>
  <c r="L4610" i="5"/>
  <c r="K4610" i="5"/>
  <c r="J4610" i="5"/>
  <c r="I4610" i="5"/>
  <c r="H4610" i="5"/>
  <c r="V4609" i="5"/>
  <c r="U4609" i="5"/>
  <c r="T4609" i="5"/>
  <c r="S4609" i="5"/>
  <c r="R4609" i="5"/>
  <c r="Q4609" i="5"/>
  <c r="P4609" i="5"/>
  <c r="O4609" i="5"/>
  <c r="N4609" i="5"/>
  <c r="M4609" i="5"/>
  <c r="L4609" i="5"/>
  <c r="K4609" i="5"/>
  <c r="J4609" i="5"/>
  <c r="I4609" i="5"/>
  <c r="H4609" i="5"/>
  <c r="V4608" i="5"/>
  <c r="U4608" i="5"/>
  <c r="T4608" i="5"/>
  <c r="S4608" i="5"/>
  <c r="R4608" i="5"/>
  <c r="Q4608" i="5"/>
  <c r="P4608" i="5"/>
  <c r="O4608" i="5"/>
  <c r="N4608" i="5"/>
  <c r="M4608" i="5"/>
  <c r="L4608" i="5"/>
  <c r="K4608" i="5"/>
  <c r="J4608" i="5"/>
  <c r="I4608" i="5"/>
  <c r="H4608" i="5"/>
  <c r="V4607" i="5"/>
  <c r="U4607" i="5"/>
  <c r="T4607" i="5"/>
  <c r="S4607" i="5"/>
  <c r="R4607" i="5"/>
  <c r="Q4607" i="5"/>
  <c r="P4607" i="5"/>
  <c r="O4607" i="5"/>
  <c r="N4607" i="5"/>
  <c r="M4607" i="5"/>
  <c r="L4607" i="5"/>
  <c r="K4607" i="5"/>
  <c r="J4607" i="5"/>
  <c r="I4607" i="5"/>
  <c r="H4607" i="5"/>
  <c r="V4606" i="5"/>
  <c r="U4606" i="5"/>
  <c r="T4606" i="5"/>
  <c r="S4606" i="5"/>
  <c r="R4606" i="5"/>
  <c r="Q4606" i="5"/>
  <c r="P4606" i="5"/>
  <c r="O4606" i="5"/>
  <c r="N4606" i="5"/>
  <c r="M4606" i="5"/>
  <c r="L4606" i="5"/>
  <c r="K4606" i="5"/>
  <c r="J4606" i="5"/>
  <c r="I4606" i="5"/>
  <c r="H4606" i="5"/>
  <c r="V4605" i="5"/>
  <c r="U4605" i="5"/>
  <c r="T4605" i="5"/>
  <c r="S4605" i="5"/>
  <c r="R4605" i="5"/>
  <c r="Q4605" i="5"/>
  <c r="P4605" i="5"/>
  <c r="O4605" i="5"/>
  <c r="N4605" i="5"/>
  <c r="M4605" i="5"/>
  <c r="L4605" i="5"/>
  <c r="K4605" i="5"/>
  <c r="J4605" i="5"/>
  <c r="I4605" i="5"/>
  <c r="H4605" i="5"/>
  <c r="V4604" i="5"/>
  <c r="U4604" i="5"/>
  <c r="T4604" i="5"/>
  <c r="S4604" i="5"/>
  <c r="R4604" i="5"/>
  <c r="Q4604" i="5"/>
  <c r="P4604" i="5"/>
  <c r="V4603" i="5"/>
  <c r="U4603" i="5"/>
  <c r="T4603" i="5"/>
  <c r="S4603" i="5"/>
  <c r="R4603" i="5"/>
  <c r="Q4603" i="5"/>
  <c r="P4603" i="5"/>
  <c r="O4603" i="5"/>
  <c r="N4603" i="5"/>
  <c r="M4603" i="5"/>
  <c r="L4603" i="5"/>
  <c r="K4603" i="5"/>
  <c r="J4603" i="5"/>
  <c r="I4603" i="5"/>
  <c r="H4603" i="5"/>
  <c r="U4602" i="5"/>
  <c r="T4602" i="5"/>
  <c r="S4602" i="5"/>
  <c r="R4602" i="5"/>
  <c r="Q4602" i="5"/>
  <c r="P4602" i="5"/>
  <c r="O4602" i="5"/>
  <c r="N4602" i="5"/>
  <c r="M4602" i="5"/>
  <c r="L4602" i="5"/>
  <c r="K4602" i="5"/>
  <c r="J4602" i="5"/>
  <c r="I4602" i="5"/>
  <c r="H4602" i="5"/>
  <c r="V4601" i="5"/>
  <c r="U4601" i="5"/>
  <c r="T4601" i="5"/>
  <c r="S4601" i="5"/>
  <c r="R4601" i="5"/>
  <c r="Q4601" i="5"/>
  <c r="P4601" i="5"/>
  <c r="O4601" i="5"/>
  <c r="N4601" i="5"/>
  <c r="M4601" i="5"/>
  <c r="L4601" i="5"/>
  <c r="K4601" i="5"/>
  <c r="J4601" i="5"/>
  <c r="I4601" i="5"/>
  <c r="H4601" i="5"/>
  <c r="V4600" i="5"/>
  <c r="O4600" i="5"/>
  <c r="N4600" i="5"/>
  <c r="M4600" i="5"/>
  <c r="L4600" i="5"/>
  <c r="K4600" i="5"/>
  <c r="J4600" i="5"/>
  <c r="I4600" i="5"/>
  <c r="H4600" i="5"/>
  <c r="V4599" i="5"/>
  <c r="U4599" i="5"/>
  <c r="T4599" i="5"/>
  <c r="S4599" i="5"/>
  <c r="R4599" i="5"/>
  <c r="Q4599" i="5"/>
  <c r="P4599" i="5"/>
  <c r="O4599" i="5"/>
  <c r="N4599" i="5"/>
  <c r="M4599" i="5"/>
  <c r="L4599" i="5"/>
  <c r="K4599" i="5"/>
  <c r="J4599" i="5"/>
  <c r="I4599" i="5"/>
  <c r="H4599" i="5"/>
  <c r="V4598" i="5"/>
  <c r="U4598" i="5"/>
  <c r="T4598" i="5"/>
  <c r="S4598" i="5"/>
  <c r="R4598" i="5"/>
  <c r="Q4598" i="5"/>
  <c r="P4598" i="5"/>
  <c r="O4598" i="5"/>
  <c r="N4598" i="5"/>
  <c r="M4598" i="5"/>
  <c r="L4598" i="5"/>
  <c r="K4598" i="5"/>
  <c r="J4598" i="5"/>
  <c r="I4598" i="5"/>
  <c r="H4598" i="5"/>
  <c r="V4597" i="5"/>
  <c r="U4597" i="5"/>
  <c r="T4597" i="5"/>
  <c r="S4597" i="5"/>
  <c r="R4597" i="5"/>
  <c r="Q4597" i="5"/>
  <c r="P4597" i="5"/>
  <c r="O4597" i="5"/>
  <c r="N4597" i="5"/>
  <c r="M4597" i="5"/>
  <c r="L4597" i="5"/>
  <c r="K4597" i="5"/>
  <c r="J4597" i="5"/>
  <c r="I4597" i="5"/>
  <c r="H4597" i="5"/>
  <c r="V4596" i="5"/>
  <c r="U4596" i="5"/>
  <c r="T4596" i="5"/>
  <c r="S4596" i="5"/>
  <c r="R4596" i="5"/>
  <c r="Q4596" i="5"/>
  <c r="P4596" i="5"/>
  <c r="O4596" i="5"/>
  <c r="N4596" i="5"/>
  <c r="M4596" i="5"/>
  <c r="L4596" i="5"/>
  <c r="K4596" i="5"/>
  <c r="J4596" i="5"/>
  <c r="I4596" i="5"/>
  <c r="H4596" i="5"/>
  <c r="V4595" i="5"/>
  <c r="U4595" i="5"/>
  <c r="T4595" i="5"/>
  <c r="S4595" i="5"/>
  <c r="R4595" i="5"/>
  <c r="Q4595" i="5"/>
  <c r="P4595" i="5"/>
  <c r="O4595" i="5"/>
  <c r="N4595" i="5"/>
  <c r="M4595" i="5"/>
  <c r="L4595" i="5"/>
  <c r="K4595" i="5"/>
  <c r="J4595" i="5"/>
  <c r="I4595" i="5"/>
  <c r="H4595" i="5"/>
  <c r="V4594" i="5"/>
  <c r="U4594" i="5"/>
  <c r="T4594" i="5"/>
  <c r="S4594" i="5"/>
  <c r="R4594" i="5"/>
  <c r="Q4594" i="5"/>
  <c r="P4594" i="5"/>
  <c r="V4593" i="5"/>
  <c r="U4593" i="5"/>
  <c r="T4593" i="5"/>
  <c r="S4593" i="5"/>
  <c r="R4593" i="5"/>
  <c r="Q4593" i="5"/>
  <c r="P4593" i="5"/>
  <c r="O4593" i="5"/>
  <c r="N4593" i="5"/>
  <c r="M4593" i="5"/>
  <c r="L4593" i="5"/>
  <c r="K4593" i="5"/>
  <c r="J4593" i="5"/>
  <c r="I4593" i="5"/>
  <c r="H4593" i="5"/>
  <c r="U4592" i="5"/>
  <c r="T4592" i="5"/>
  <c r="S4592" i="5"/>
  <c r="R4592" i="5"/>
  <c r="Q4592" i="5"/>
  <c r="P4592" i="5"/>
  <c r="O4592" i="5"/>
  <c r="N4592" i="5"/>
  <c r="M4592" i="5"/>
  <c r="L4592" i="5"/>
  <c r="K4592" i="5"/>
  <c r="J4592" i="5"/>
  <c r="I4592" i="5"/>
  <c r="H4592" i="5"/>
  <c r="V4591" i="5"/>
  <c r="U4591" i="5"/>
  <c r="T4591" i="5"/>
  <c r="S4591" i="5"/>
  <c r="R4591" i="5"/>
  <c r="Q4591" i="5"/>
  <c r="P4591" i="5"/>
  <c r="O4591" i="5"/>
  <c r="N4591" i="5"/>
  <c r="M4591" i="5"/>
  <c r="L4591" i="5"/>
  <c r="K4591" i="5"/>
  <c r="J4591" i="5"/>
  <c r="I4591" i="5"/>
  <c r="H4591" i="5"/>
  <c r="V4590" i="5"/>
  <c r="O4590" i="5"/>
  <c r="N4590" i="5"/>
  <c r="M4590" i="5"/>
  <c r="L4590" i="5"/>
  <c r="K4590" i="5"/>
  <c r="J4590" i="5"/>
  <c r="I4590" i="5"/>
  <c r="H4590" i="5"/>
  <c r="V4589" i="5"/>
  <c r="U4589" i="5"/>
  <c r="T4589" i="5"/>
  <c r="S4589" i="5"/>
  <c r="R4589" i="5"/>
  <c r="Q4589" i="5"/>
  <c r="P4589" i="5"/>
  <c r="O4589" i="5"/>
  <c r="N4589" i="5"/>
  <c r="M4589" i="5"/>
  <c r="L4589" i="5"/>
  <c r="K4589" i="5"/>
  <c r="J4589" i="5"/>
  <c r="I4589" i="5"/>
  <c r="H4589" i="5"/>
  <c r="V4588" i="5"/>
  <c r="U4588" i="5"/>
  <c r="T4588" i="5"/>
  <c r="S4588" i="5"/>
  <c r="R4588" i="5"/>
  <c r="Q4588" i="5"/>
  <c r="P4588" i="5"/>
  <c r="O4588" i="5"/>
  <c r="N4588" i="5"/>
  <c r="M4588" i="5"/>
  <c r="L4588" i="5"/>
  <c r="K4588" i="5"/>
  <c r="J4588" i="5"/>
  <c r="I4588" i="5"/>
  <c r="H4588" i="5"/>
  <c r="V4587" i="5"/>
  <c r="U4587" i="5"/>
  <c r="T4587" i="5"/>
  <c r="S4587" i="5"/>
  <c r="R4587" i="5"/>
  <c r="Q4587" i="5"/>
  <c r="P4587" i="5"/>
  <c r="V4586" i="5"/>
  <c r="U4586" i="5"/>
  <c r="T4586" i="5"/>
  <c r="S4586" i="5"/>
  <c r="R4586" i="5"/>
  <c r="Q4586" i="5"/>
  <c r="P4586" i="5"/>
  <c r="U4585" i="5"/>
  <c r="T4585" i="5"/>
  <c r="S4585" i="5"/>
  <c r="R4585" i="5"/>
  <c r="Q4585" i="5"/>
  <c r="P4585" i="5"/>
  <c r="U4584" i="5"/>
  <c r="T4584" i="5"/>
  <c r="S4584" i="5"/>
  <c r="R4584" i="5"/>
  <c r="Q4584" i="5"/>
  <c r="P4584" i="5"/>
  <c r="O4577" i="5"/>
  <c r="N4577" i="5"/>
  <c r="M4577" i="5"/>
  <c r="L4577" i="5"/>
  <c r="K4577" i="5"/>
  <c r="J4577" i="5"/>
  <c r="I4577" i="5"/>
  <c r="H4577" i="5"/>
  <c r="O4576" i="5"/>
  <c r="N4576" i="5"/>
  <c r="M4576" i="5"/>
  <c r="L4576" i="5"/>
  <c r="K4576" i="5"/>
  <c r="J4576" i="5"/>
  <c r="I4576" i="5"/>
  <c r="H4576" i="5"/>
  <c r="V4575" i="5"/>
  <c r="O4575" i="5"/>
  <c r="N4575" i="5"/>
  <c r="M4575" i="5"/>
  <c r="L4575" i="5"/>
  <c r="K4575" i="5"/>
  <c r="J4575" i="5"/>
  <c r="I4575" i="5"/>
  <c r="H4575" i="5"/>
  <c r="V4574" i="5"/>
  <c r="V4573" i="5"/>
  <c r="U4573" i="5"/>
  <c r="T4573" i="5"/>
  <c r="S4573" i="5"/>
  <c r="R4573" i="5"/>
  <c r="Q4573" i="5"/>
  <c r="P4573" i="5"/>
  <c r="O4573" i="5"/>
  <c r="N4573" i="5"/>
  <c r="M4573" i="5"/>
  <c r="L4573" i="5"/>
  <c r="K4573" i="5"/>
  <c r="J4573" i="5"/>
  <c r="I4573" i="5"/>
  <c r="H4573" i="5"/>
  <c r="U4572" i="5"/>
  <c r="T4572" i="5"/>
  <c r="S4572" i="5"/>
  <c r="R4572" i="5"/>
  <c r="Q4572" i="5"/>
  <c r="P4572" i="5"/>
  <c r="O4572" i="5"/>
  <c r="N4572" i="5"/>
  <c r="M4572" i="5"/>
  <c r="L4572" i="5"/>
  <c r="K4572" i="5"/>
  <c r="J4572" i="5"/>
  <c r="I4572" i="5"/>
  <c r="H4572" i="5"/>
  <c r="V4571" i="5"/>
  <c r="U4571" i="5"/>
  <c r="T4571" i="5"/>
  <c r="S4571" i="5"/>
  <c r="R4571" i="5"/>
  <c r="Q4571" i="5"/>
  <c r="P4571" i="5"/>
  <c r="O4571" i="5"/>
  <c r="N4571" i="5"/>
  <c r="M4571" i="5"/>
  <c r="L4571" i="5"/>
  <c r="K4571" i="5"/>
  <c r="J4571" i="5"/>
  <c r="I4571" i="5"/>
  <c r="H4571" i="5"/>
  <c r="V4570" i="5"/>
  <c r="O4570" i="5"/>
  <c r="N4570" i="5"/>
  <c r="M4570" i="5"/>
  <c r="L4570" i="5"/>
  <c r="K4570" i="5"/>
  <c r="J4570" i="5"/>
  <c r="I4570" i="5"/>
  <c r="H4570" i="5"/>
  <c r="V4569" i="5"/>
  <c r="U4569" i="5"/>
  <c r="T4569" i="5"/>
  <c r="S4569" i="5"/>
  <c r="R4569" i="5"/>
  <c r="Q4569" i="5"/>
  <c r="P4569" i="5"/>
  <c r="O4569" i="5"/>
  <c r="N4569" i="5"/>
  <c r="M4569" i="5"/>
  <c r="L4569" i="5"/>
  <c r="K4569" i="5"/>
  <c r="J4569" i="5"/>
  <c r="I4569" i="5"/>
  <c r="H4569" i="5"/>
  <c r="V4568" i="5"/>
  <c r="U4568" i="5"/>
  <c r="T4568" i="5"/>
  <c r="S4568" i="5"/>
  <c r="R4568" i="5"/>
  <c r="Q4568" i="5"/>
  <c r="P4568" i="5"/>
  <c r="O4568" i="5"/>
  <c r="N4568" i="5"/>
  <c r="M4568" i="5"/>
  <c r="L4568" i="5"/>
  <c r="K4568" i="5"/>
  <c r="J4568" i="5"/>
  <c r="I4568" i="5"/>
  <c r="H4568" i="5"/>
  <c r="V4567" i="5"/>
  <c r="U4567" i="5"/>
  <c r="T4567" i="5"/>
  <c r="S4567" i="5"/>
  <c r="R4567" i="5"/>
  <c r="Q4567" i="5"/>
  <c r="P4567" i="5"/>
  <c r="O4567" i="5"/>
  <c r="N4567" i="5"/>
  <c r="M4567" i="5"/>
  <c r="L4567" i="5"/>
  <c r="K4567" i="5"/>
  <c r="J4567" i="5"/>
  <c r="I4567" i="5"/>
  <c r="H4567" i="5"/>
  <c r="V4566" i="5"/>
  <c r="U4566" i="5"/>
  <c r="T4566" i="5"/>
  <c r="S4566" i="5"/>
  <c r="R4566" i="5"/>
  <c r="Q4566" i="5"/>
  <c r="P4566" i="5"/>
  <c r="O4566" i="5"/>
  <c r="N4566" i="5"/>
  <c r="M4566" i="5"/>
  <c r="L4566" i="5"/>
  <c r="K4566" i="5"/>
  <c r="J4566" i="5"/>
  <c r="I4566" i="5"/>
  <c r="H4566" i="5"/>
  <c r="V4565" i="5"/>
  <c r="U4565" i="5"/>
  <c r="T4565" i="5"/>
  <c r="S4565" i="5"/>
  <c r="R4565" i="5"/>
  <c r="Q4565" i="5"/>
  <c r="P4565" i="5"/>
  <c r="O4565" i="5"/>
  <c r="N4565" i="5"/>
  <c r="M4565" i="5"/>
  <c r="L4565" i="5"/>
  <c r="K4565" i="5"/>
  <c r="J4565" i="5"/>
  <c r="I4565" i="5"/>
  <c r="H4565" i="5"/>
  <c r="V4564" i="5"/>
  <c r="U4564" i="5"/>
  <c r="T4564" i="5"/>
  <c r="S4564" i="5"/>
  <c r="R4564" i="5"/>
  <c r="Q4564" i="5"/>
  <c r="P4564" i="5"/>
  <c r="V4563" i="5"/>
  <c r="U4563" i="5"/>
  <c r="T4563" i="5"/>
  <c r="S4563" i="5"/>
  <c r="R4563" i="5"/>
  <c r="Q4563" i="5"/>
  <c r="P4563" i="5"/>
  <c r="O4563" i="5"/>
  <c r="N4563" i="5"/>
  <c r="M4563" i="5"/>
  <c r="L4563" i="5"/>
  <c r="K4563" i="5"/>
  <c r="J4563" i="5"/>
  <c r="I4563" i="5"/>
  <c r="H4563" i="5"/>
  <c r="U4562" i="5"/>
  <c r="T4562" i="5"/>
  <c r="S4562" i="5"/>
  <c r="R4562" i="5"/>
  <c r="Q4562" i="5"/>
  <c r="P4562" i="5"/>
  <c r="O4562" i="5"/>
  <c r="N4562" i="5"/>
  <c r="M4562" i="5"/>
  <c r="L4562" i="5"/>
  <c r="K4562" i="5"/>
  <c r="J4562" i="5"/>
  <c r="I4562" i="5"/>
  <c r="H4562" i="5"/>
  <c r="V4561" i="5"/>
  <c r="U4561" i="5"/>
  <c r="T4561" i="5"/>
  <c r="S4561" i="5"/>
  <c r="R4561" i="5"/>
  <c r="Q4561" i="5"/>
  <c r="P4561" i="5"/>
  <c r="O4561" i="5"/>
  <c r="N4561" i="5"/>
  <c r="M4561" i="5"/>
  <c r="L4561" i="5"/>
  <c r="K4561" i="5"/>
  <c r="J4561" i="5"/>
  <c r="I4561" i="5"/>
  <c r="H4561" i="5"/>
  <c r="V4560" i="5"/>
  <c r="O4560" i="5"/>
  <c r="N4560" i="5"/>
  <c r="M4560" i="5"/>
  <c r="L4560" i="5"/>
  <c r="K4560" i="5"/>
  <c r="J4560" i="5"/>
  <c r="I4560" i="5"/>
  <c r="H4560" i="5"/>
  <c r="V4559" i="5"/>
  <c r="U4559" i="5"/>
  <c r="T4559" i="5"/>
  <c r="S4559" i="5"/>
  <c r="R4559" i="5"/>
  <c r="Q4559" i="5"/>
  <c r="P4559" i="5"/>
  <c r="O4559" i="5"/>
  <c r="N4559" i="5"/>
  <c r="M4559" i="5"/>
  <c r="L4559" i="5"/>
  <c r="K4559" i="5"/>
  <c r="J4559" i="5"/>
  <c r="I4559" i="5"/>
  <c r="H4559" i="5"/>
  <c r="V4558" i="5"/>
  <c r="U4558" i="5"/>
  <c r="T4558" i="5"/>
  <c r="S4558" i="5"/>
  <c r="R4558" i="5"/>
  <c r="Q4558" i="5"/>
  <c r="P4558" i="5"/>
  <c r="O4558" i="5"/>
  <c r="N4558" i="5"/>
  <c r="M4558" i="5"/>
  <c r="L4558" i="5"/>
  <c r="K4558" i="5"/>
  <c r="J4558" i="5"/>
  <c r="I4558" i="5"/>
  <c r="H4558" i="5"/>
  <c r="V4557" i="5"/>
  <c r="U4557" i="5"/>
  <c r="T4557" i="5"/>
  <c r="S4557" i="5"/>
  <c r="R4557" i="5"/>
  <c r="Q4557" i="5"/>
  <c r="P4557" i="5"/>
  <c r="O4557" i="5"/>
  <c r="N4557" i="5"/>
  <c r="M4557" i="5"/>
  <c r="L4557" i="5"/>
  <c r="K4557" i="5"/>
  <c r="J4557" i="5"/>
  <c r="I4557" i="5"/>
  <c r="H4557" i="5"/>
  <c r="V4556" i="5"/>
  <c r="U4556" i="5"/>
  <c r="T4556" i="5"/>
  <c r="S4556" i="5"/>
  <c r="R4556" i="5"/>
  <c r="Q4556" i="5"/>
  <c r="P4556" i="5"/>
  <c r="O4556" i="5"/>
  <c r="N4556" i="5"/>
  <c r="M4556" i="5"/>
  <c r="L4556" i="5"/>
  <c r="K4556" i="5"/>
  <c r="J4556" i="5"/>
  <c r="I4556" i="5"/>
  <c r="H4556" i="5"/>
  <c r="V4555" i="5"/>
  <c r="U4555" i="5"/>
  <c r="T4555" i="5"/>
  <c r="S4555" i="5"/>
  <c r="R4555" i="5"/>
  <c r="Q4555" i="5"/>
  <c r="P4555" i="5"/>
  <c r="O4555" i="5"/>
  <c r="N4555" i="5"/>
  <c r="M4555" i="5"/>
  <c r="L4555" i="5"/>
  <c r="K4555" i="5"/>
  <c r="J4555" i="5"/>
  <c r="I4555" i="5"/>
  <c r="H4555" i="5"/>
  <c r="V4554" i="5"/>
  <c r="U4554" i="5"/>
  <c r="T4554" i="5"/>
  <c r="S4554" i="5"/>
  <c r="R4554" i="5"/>
  <c r="Q4554" i="5"/>
  <c r="P4554" i="5"/>
  <c r="V4553" i="5"/>
  <c r="U4553" i="5"/>
  <c r="T4553" i="5"/>
  <c r="S4553" i="5"/>
  <c r="R4553" i="5"/>
  <c r="Q4553" i="5"/>
  <c r="P4553" i="5"/>
  <c r="O4553" i="5"/>
  <c r="N4553" i="5"/>
  <c r="M4553" i="5"/>
  <c r="L4553" i="5"/>
  <c r="K4553" i="5"/>
  <c r="J4553" i="5"/>
  <c r="I4553" i="5"/>
  <c r="H4553" i="5"/>
  <c r="U4552" i="5"/>
  <c r="T4552" i="5"/>
  <c r="S4552" i="5"/>
  <c r="R4552" i="5"/>
  <c r="Q4552" i="5"/>
  <c r="P4552" i="5"/>
  <c r="O4552" i="5"/>
  <c r="N4552" i="5"/>
  <c r="M4552" i="5"/>
  <c r="L4552" i="5"/>
  <c r="K4552" i="5"/>
  <c r="J4552" i="5"/>
  <c r="I4552" i="5"/>
  <c r="H4552" i="5"/>
  <c r="V4551" i="5"/>
  <c r="U4551" i="5"/>
  <c r="T4551" i="5"/>
  <c r="S4551" i="5"/>
  <c r="R4551" i="5"/>
  <c r="Q4551" i="5"/>
  <c r="P4551" i="5"/>
  <c r="O4551" i="5"/>
  <c r="N4551" i="5"/>
  <c r="M4551" i="5"/>
  <c r="L4551" i="5"/>
  <c r="K4551" i="5"/>
  <c r="J4551" i="5"/>
  <c r="I4551" i="5"/>
  <c r="H4551" i="5"/>
  <c r="V4550" i="5"/>
  <c r="O4550" i="5"/>
  <c r="N4550" i="5"/>
  <c r="M4550" i="5"/>
  <c r="L4550" i="5"/>
  <c r="K4550" i="5"/>
  <c r="J4550" i="5"/>
  <c r="I4550" i="5"/>
  <c r="H4550" i="5"/>
  <c r="V4549" i="5"/>
  <c r="U4549" i="5"/>
  <c r="T4549" i="5"/>
  <c r="S4549" i="5"/>
  <c r="R4549" i="5"/>
  <c r="Q4549" i="5"/>
  <c r="P4549" i="5"/>
  <c r="O4549" i="5"/>
  <c r="N4549" i="5"/>
  <c r="M4549" i="5"/>
  <c r="L4549" i="5"/>
  <c r="K4549" i="5"/>
  <c r="J4549" i="5"/>
  <c r="I4549" i="5"/>
  <c r="H4549" i="5"/>
  <c r="V4548" i="5"/>
  <c r="U4548" i="5"/>
  <c r="T4548" i="5"/>
  <c r="S4548" i="5"/>
  <c r="R4548" i="5"/>
  <c r="Q4548" i="5"/>
  <c r="P4548" i="5"/>
  <c r="O4548" i="5"/>
  <c r="N4548" i="5"/>
  <c r="M4548" i="5"/>
  <c r="L4548" i="5"/>
  <c r="K4548" i="5"/>
  <c r="J4548" i="5"/>
  <c r="I4548" i="5"/>
  <c r="H4548" i="5"/>
  <c r="V4547" i="5"/>
  <c r="U4547" i="5"/>
  <c r="T4547" i="5"/>
  <c r="S4547" i="5"/>
  <c r="R4547" i="5"/>
  <c r="Q4547" i="5"/>
  <c r="P4547" i="5"/>
  <c r="O4547" i="5"/>
  <c r="N4547" i="5"/>
  <c r="M4547" i="5"/>
  <c r="L4547" i="5"/>
  <c r="K4547" i="5"/>
  <c r="J4547" i="5"/>
  <c r="I4547" i="5"/>
  <c r="H4547" i="5"/>
  <c r="V4546" i="5"/>
  <c r="U4546" i="5"/>
  <c r="T4546" i="5"/>
  <c r="S4546" i="5"/>
  <c r="R4546" i="5"/>
  <c r="Q4546" i="5"/>
  <c r="P4546" i="5"/>
  <c r="O4546" i="5"/>
  <c r="N4546" i="5"/>
  <c r="M4546" i="5"/>
  <c r="L4546" i="5"/>
  <c r="K4546" i="5"/>
  <c r="J4546" i="5"/>
  <c r="I4546" i="5"/>
  <c r="H4546" i="5"/>
  <c r="V4545" i="5"/>
  <c r="U4545" i="5"/>
  <c r="T4545" i="5"/>
  <c r="S4545" i="5"/>
  <c r="R4545" i="5"/>
  <c r="Q4545" i="5"/>
  <c r="P4545" i="5"/>
  <c r="O4545" i="5"/>
  <c r="N4545" i="5"/>
  <c r="M4545" i="5"/>
  <c r="L4545" i="5"/>
  <c r="K4545" i="5"/>
  <c r="J4545" i="5"/>
  <c r="I4545" i="5"/>
  <c r="H4545" i="5"/>
  <c r="V4544" i="5"/>
  <c r="U4544" i="5"/>
  <c r="T4544" i="5"/>
  <c r="S4544" i="5"/>
  <c r="R4544" i="5"/>
  <c r="Q4544" i="5"/>
  <c r="P4544" i="5"/>
  <c r="V4543" i="5"/>
  <c r="U4543" i="5"/>
  <c r="T4543" i="5"/>
  <c r="S4543" i="5"/>
  <c r="R4543" i="5"/>
  <c r="Q4543" i="5"/>
  <c r="P4543" i="5"/>
  <c r="O4543" i="5"/>
  <c r="N4543" i="5"/>
  <c r="M4543" i="5"/>
  <c r="L4543" i="5"/>
  <c r="K4543" i="5"/>
  <c r="J4543" i="5"/>
  <c r="I4543" i="5"/>
  <c r="H4543" i="5"/>
  <c r="U4542" i="5"/>
  <c r="T4542" i="5"/>
  <c r="S4542" i="5"/>
  <c r="R4542" i="5"/>
  <c r="Q4542" i="5"/>
  <c r="P4542" i="5"/>
  <c r="O4542" i="5"/>
  <c r="N4542" i="5"/>
  <c r="M4542" i="5"/>
  <c r="L4542" i="5"/>
  <c r="K4542" i="5"/>
  <c r="J4542" i="5"/>
  <c r="I4542" i="5"/>
  <c r="H4542" i="5"/>
  <c r="V4541" i="5"/>
  <c r="U4541" i="5"/>
  <c r="T4541" i="5"/>
  <c r="S4541" i="5"/>
  <c r="R4541" i="5"/>
  <c r="Q4541" i="5"/>
  <c r="P4541" i="5"/>
  <c r="O4541" i="5"/>
  <c r="N4541" i="5"/>
  <c r="M4541" i="5"/>
  <c r="L4541" i="5"/>
  <c r="K4541" i="5"/>
  <c r="J4541" i="5"/>
  <c r="I4541" i="5"/>
  <c r="H4541" i="5"/>
  <c r="V4540" i="5"/>
  <c r="O4540" i="5"/>
  <c r="N4540" i="5"/>
  <c r="M4540" i="5"/>
  <c r="L4540" i="5"/>
  <c r="K4540" i="5"/>
  <c r="J4540" i="5"/>
  <c r="I4540" i="5"/>
  <c r="H4540" i="5"/>
  <c r="V4539" i="5"/>
  <c r="U4539" i="5"/>
  <c r="T4539" i="5"/>
  <c r="S4539" i="5"/>
  <c r="R4539" i="5"/>
  <c r="Q4539" i="5"/>
  <c r="P4539" i="5"/>
  <c r="O4539" i="5"/>
  <c r="N4539" i="5"/>
  <c r="M4539" i="5"/>
  <c r="L4539" i="5"/>
  <c r="K4539" i="5"/>
  <c r="J4539" i="5"/>
  <c r="I4539" i="5"/>
  <c r="H4539" i="5"/>
  <c r="V4538" i="5"/>
  <c r="U4538" i="5"/>
  <c r="T4538" i="5"/>
  <c r="S4538" i="5"/>
  <c r="R4538" i="5"/>
  <c r="Q4538" i="5"/>
  <c r="P4538" i="5"/>
  <c r="O4538" i="5"/>
  <c r="N4538" i="5"/>
  <c r="M4538" i="5"/>
  <c r="L4538" i="5"/>
  <c r="K4538" i="5"/>
  <c r="J4538" i="5"/>
  <c r="I4538" i="5"/>
  <c r="H4538" i="5"/>
  <c r="V4537" i="5"/>
  <c r="U4537" i="5"/>
  <c r="T4537" i="5"/>
  <c r="S4537" i="5"/>
  <c r="R4537" i="5"/>
  <c r="Q4537" i="5"/>
  <c r="P4537" i="5"/>
  <c r="O4537" i="5"/>
  <c r="N4537" i="5"/>
  <c r="M4537" i="5"/>
  <c r="L4537" i="5"/>
  <c r="K4537" i="5"/>
  <c r="J4537" i="5"/>
  <c r="I4537" i="5"/>
  <c r="H4537" i="5"/>
  <c r="V4536" i="5"/>
  <c r="U4536" i="5"/>
  <c r="T4536" i="5"/>
  <c r="S4536" i="5"/>
  <c r="R4536" i="5"/>
  <c r="Q4536" i="5"/>
  <c r="P4536" i="5"/>
  <c r="O4536" i="5"/>
  <c r="N4536" i="5"/>
  <c r="M4536" i="5"/>
  <c r="L4536" i="5"/>
  <c r="K4536" i="5"/>
  <c r="J4536" i="5"/>
  <c r="I4536" i="5"/>
  <c r="H4536" i="5"/>
  <c r="V4535" i="5"/>
  <c r="U4535" i="5"/>
  <c r="T4535" i="5"/>
  <c r="S4535" i="5"/>
  <c r="R4535" i="5"/>
  <c r="Q4535" i="5"/>
  <c r="P4535" i="5"/>
  <c r="O4535" i="5"/>
  <c r="N4535" i="5"/>
  <c r="M4535" i="5"/>
  <c r="L4535" i="5"/>
  <c r="K4535" i="5"/>
  <c r="J4535" i="5"/>
  <c r="I4535" i="5"/>
  <c r="H4535" i="5"/>
  <c r="V4534" i="5"/>
  <c r="U4534" i="5"/>
  <c r="T4534" i="5"/>
  <c r="S4534" i="5"/>
  <c r="R4534" i="5"/>
  <c r="Q4534" i="5"/>
  <c r="P4534" i="5"/>
  <c r="V4533" i="5"/>
  <c r="U4533" i="5"/>
  <c r="T4533" i="5"/>
  <c r="S4533" i="5"/>
  <c r="R4533" i="5"/>
  <c r="Q4533" i="5"/>
  <c r="P4533" i="5"/>
  <c r="O4533" i="5"/>
  <c r="N4533" i="5"/>
  <c r="M4533" i="5"/>
  <c r="L4533" i="5"/>
  <c r="K4533" i="5"/>
  <c r="J4533" i="5"/>
  <c r="I4533" i="5"/>
  <c r="H4533" i="5"/>
  <c r="U4532" i="5"/>
  <c r="T4532" i="5"/>
  <c r="S4532" i="5"/>
  <c r="R4532" i="5"/>
  <c r="Q4532" i="5"/>
  <c r="P4532" i="5"/>
  <c r="O4532" i="5"/>
  <c r="N4532" i="5"/>
  <c r="M4532" i="5"/>
  <c r="L4532" i="5"/>
  <c r="K4532" i="5"/>
  <c r="J4532" i="5"/>
  <c r="I4532" i="5"/>
  <c r="H4532" i="5"/>
  <c r="V4531" i="5"/>
  <c r="U4531" i="5"/>
  <c r="T4531" i="5"/>
  <c r="S4531" i="5"/>
  <c r="R4531" i="5"/>
  <c r="Q4531" i="5"/>
  <c r="P4531" i="5"/>
  <c r="O4531" i="5"/>
  <c r="N4531" i="5"/>
  <c r="M4531" i="5"/>
  <c r="L4531" i="5"/>
  <c r="K4531" i="5"/>
  <c r="J4531" i="5"/>
  <c r="I4531" i="5"/>
  <c r="H4531" i="5"/>
  <c r="V4530" i="5"/>
  <c r="O4530" i="5"/>
  <c r="N4530" i="5"/>
  <c r="M4530" i="5"/>
  <c r="L4530" i="5"/>
  <c r="K4530" i="5"/>
  <c r="J4530" i="5"/>
  <c r="I4530" i="5"/>
  <c r="H4530" i="5"/>
  <c r="V4529" i="5"/>
  <c r="U4529" i="5"/>
  <c r="T4529" i="5"/>
  <c r="S4529" i="5"/>
  <c r="R4529" i="5"/>
  <c r="Q4529" i="5"/>
  <c r="P4529" i="5"/>
  <c r="O4529" i="5"/>
  <c r="N4529" i="5"/>
  <c r="M4529" i="5"/>
  <c r="L4529" i="5"/>
  <c r="K4529" i="5"/>
  <c r="J4529" i="5"/>
  <c r="I4529" i="5"/>
  <c r="H4529" i="5"/>
  <c r="V4528" i="5"/>
  <c r="U4528" i="5"/>
  <c r="T4528" i="5"/>
  <c r="S4528" i="5"/>
  <c r="R4528" i="5"/>
  <c r="Q4528" i="5"/>
  <c r="P4528" i="5"/>
  <c r="O4528" i="5"/>
  <c r="N4528" i="5"/>
  <c r="M4528" i="5"/>
  <c r="L4528" i="5"/>
  <c r="K4528" i="5"/>
  <c r="J4528" i="5"/>
  <c r="I4528" i="5"/>
  <c r="H4528" i="5"/>
  <c r="V4527" i="5"/>
  <c r="U4527" i="5"/>
  <c r="T4527" i="5"/>
  <c r="S4527" i="5"/>
  <c r="R4527" i="5"/>
  <c r="Q4527" i="5"/>
  <c r="P4527" i="5"/>
  <c r="O4527" i="5"/>
  <c r="N4527" i="5"/>
  <c r="M4527" i="5"/>
  <c r="L4527" i="5"/>
  <c r="K4527" i="5"/>
  <c r="J4527" i="5"/>
  <c r="I4527" i="5"/>
  <c r="H4527" i="5"/>
  <c r="V4526" i="5"/>
  <c r="U4526" i="5"/>
  <c r="T4526" i="5"/>
  <c r="S4526" i="5"/>
  <c r="R4526" i="5"/>
  <c r="Q4526" i="5"/>
  <c r="P4526" i="5"/>
  <c r="O4526" i="5"/>
  <c r="N4526" i="5"/>
  <c r="M4526" i="5"/>
  <c r="L4526" i="5"/>
  <c r="K4526" i="5"/>
  <c r="J4526" i="5"/>
  <c r="I4526" i="5"/>
  <c r="H4526" i="5"/>
  <c r="V4525" i="5"/>
  <c r="U4525" i="5"/>
  <c r="T4525" i="5"/>
  <c r="S4525" i="5"/>
  <c r="R4525" i="5"/>
  <c r="Q4525" i="5"/>
  <c r="P4525" i="5"/>
  <c r="O4525" i="5"/>
  <c r="N4525" i="5"/>
  <c r="M4525" i="5"/>
  <c r="L4525" i="5"/>
  <c r="K4525" i="5"/>
  <c r="J4525" i="5"/>
  <c r="I4525" i="5"/>
  <c r="H4525" i="5"/>
  <c r="V4524" i="5"/>
  <c r="U4524" i="5"/>
  <c r="T4524" i="5"/>
  <c r="S4524" i="5"/>
  <c r="R4524" i="5"/>
  <c r="Q4524" i="5"/>
  <c r="P4524" i="5"/>
  <c r="V4523" i="5"/>
  <c r="U4523" i="5"/>
  <c r="T4523" i="5"/>
  <c r="S4523" i="5"/>
  <c r="R4523" i="5"/>
  <c r="Q4523" i="5"/>
  <c r="P4523" i="5"/>
  <c r="O4523" i="5"/>
  <c r="N4523" i="5"/>
  <c r="M4523" i="5"/>
  <c r="L4523" i="5"/>
  <c r="K4523" i="5"/>
  <c r="J4523" i="5"/>
  <c r="I4523" i="5"/>
  <c r="H4523" i="5"/>
  <c r="U4522" i="5"/>
  <c r="T4522" i="5"/>
  <c r="S4522" i="5"/>
  <c r="R4522" i="5"/>
  <c r="Q4522" i="5"/>
  <c r="P4522" i="5"/>
  <c r="O4522" i="5"/>
  <c r="N4522" i="5"/>
  <c r="M4522" i="5"/>
  <c r="L4522" i="5"/>
  <c r="K4522" i="5"/>
  <c r="J4522" i="5"/>
  <c r="I4522" i="5"/>
  <c r="H4522" i="5"/>
  <c r="V4521" i="5"/>
  <c r="U4521" i="5"/>
  <c r="T4521" i="5"/>
  <c r="S4521" i="5"/>
  <c r="R4521" i="5"/>
  <c r="Q4521" i="5"/>
  <c r="P4521" i="5"/>
  <c r="O4521" i="5"/>
  <c r="N4521" i="5"/>
  <c r="M4521" i="5"/>
  <c r="L4521" i="5"/>
  <c r="K4521" i="5"/>
  <c r="J4521" i="5"/>
  <c r="I4521" i="5"/>
  <c r="H4521" i="5"/>
  <c r="V4520" i="5"/>
  <c r="O4520" i="5"/>
  <c r="N4520" i="5"/>
  <c r="M4520" i="5"/>
  <c r="L4520" i="5"/>
  <c r="K4520" i="5"/>
  <c r="J4520" i="5"/>
  <c r="I4520" i="5"/>
  <c r="H4520" i="5"/>
  <c r="V4519" i="5"/>
  <c r="U4519" i="5"/>
  <c r="T4519" i="5"/>
  <c r="S4519" i="5"/>
  <c r="R4519" i="5"/>
  <c r="Q4519" i="5"/>
  <c r="P4519" i="5"/>
  <c r="O4519" i="5"/>
  <c r="N4519" i="5"/>
  <c r="M4519" i="5"/>
  <c r="L4519" i="5"/>
  <c r="K4519" i="5"/>
  <c r="J4519" i="5"/>
  <c r="I4519" i="5"/>
  <c r="H4519" i="5"/>
  <c r="V4518" i="5"/>
  <c r="U4518" i="5"/>
  <c r="T4518" i="5"/>
  <c r="S4518" i="5"/>
  <c r="R4518" i="5"/>
  <c r="Q4518" i="5"/>
  <c r="P4518" i="5"/>
  <c r="O4518" i="5"/>
  <c r="N4518" i="5"/>
  <c r="M4518" i="5"/>
  <c r="L4518" i="5"/>
  <c r="K4518" i="5"/>
  <c r="J4518" i="5"/>
  <c r="I4518" i="5"/>
  <c r="H4518" i="5"/>
  <c r="V4517" i="5"/>
  <c r="U4517" i="5"/>
  <c r="T4517" i="5"/>
  <c r="S4517" i="5"/>
  <c r="R4517" i="5"/>
  <c r="Q4517" i="5"/>
  <c r="P4517" i="5"/>
  <c r="O4517" i="5"/>
  <c r="N4517" i="5"/>
  <c r="M4517" i="5"/>
  <c r="L4517" i="5"/>
  <c r="K4517" i="5"/>
  <c r="J4517" i="5"/>
  <c r="I4517" i="5"/>
  <c r="H4517" i="5"/>
  <c r="V4516" i="5"/>
  <c r="U4516" i="5"/>
  <c r="T4516" i="5"/>
  <c r="S4516" i="5"/>
  <c r="R4516" i="5"/>
  <c r="Q4516" i="5"/>
  <c r="P4516" i="5"/>
  <c r="O4516" i="5"/>
  <c r="N4516" i="5"/>
  <c r="M4516" i="5"/>
  <c r="L4516" i="5"/>
  <c r="K4516" i="5"/>
  <c r="J4516" i="5"/>
  <c r="I4516" i="5"/>
  <c r="H4516" i="5"/>
  <c r="V4515" i="5"/>
  <c r="U4515" i="5"/>
  <c r="T4515" i="5"/>
  <c r="S4515" i="5"/>
  <c r="R4515" i="5"/>
  <c r="Q4515" i="5"/>
  <c r="P4515" i="5"/>
  <c r="O4515" i="5"/>
  <c r="N4515" i="5"/>
  <c r="M4515" i="5"/>
  <c r="L4515" i="5"/>
  <c r="K4515" i="5"/>
  <c r="J4515" i="5"/>
  <c r="I4515" i="5"/>
  <c r="H4515" i="5"/>
  <c r="V4514" i="5"/>
  <c r="U4514" i="5"/>
  <c r="T4514" i="5"/>
  <c r="S4514" i="5"/>
  <c r="R4514" i="5"/>
  <c r="Q4514" i="5"/>
  <c r="P4514" i="5"/>
  <c r="V4513" i="5"/>
  <c r="U4513" i="5"/>
  <c r="T4513" i="5"/>
  <c r="S4513" i="5"/>
  <c r="R4513" i="5"/>
  <c r="Q4513" i="5"/>
  <c r="P4513" i="5"/>
  <c r="O4513" i="5"/>
  <c r="N4513" i="5"/>
  <c r="M4513" i="5"/>
  <c r="L4513" i="5"/>
  <c r="K4513" i="5"/>
  <c r="J4513" i="5"/>
  <c r="I4513" i="5"/>
  <c r="H4513" i="5"/>
  <c r="U4512" i="5"/>
  <c r="T4512" i="5"/>
  <c r="S4512" i="5"/>
  <c r="R4512" i="5"/>
  <c r="Q4512" i="5"/>
  <c r="P4512" i="5"/>
  <c r="O4512" i="5"/>
  <c r="N4512" i="5"/>
  <c r="M4512" i="5"/>
  <c r="L4512" i="5"/>
  <c r="K4512" i="5"/>
  <c r="J4512" i="5"/>
  <c r="I4512" i="5"/>
  <c r="H4512" i="5"/>
  <c r="V4511" i="5"/>
  <c r="U4511" i="5"/>
  <c r="T4511" i="5"/>
  <c r="S4511" i="5"/>
  <c r="R4511" i="5"/>
  <c r="Q4511" i="5"/>
  <c r="P4511" i="5"/>
  <c r="O4511" i="5"/>
  <c r="N4511" i="5"/>
  <c r="M4511" i="5"/>
  <c r="L4511" i="5"/>
  <c r="K4511" i="5"/>
  <c r="J4511" i="5"/>
  <c r="I4511" i="5"/>
  <c r="H4511" i="5"/>
  <c r="V4510" i="5"/>
  <c r="O4510" i="5"/>
  <c r="N4510" i="5"/>
  <c r="M4510" i="5"/>
  <c r="L4510" i="5"/>
  <c r="K4510" i="5"/>
  <c r="J4510" i="5"/>
  <c r="I4510" i="5"/>
  <c r="H4510" i="5"/>
  <c r="V4509" i="5"/>
  <c r="U4509" i="5"/>
  <c r="T4509" i="5"/>
  <c r="S4509" i="5"/>
  <c r="R4509" i="5"/>
  <c r="Q4509" i="5"/>
  <c r="P4509" i="5"/>
  <c r="O4509" i="5"/>
  <c r="N4509" i="5"/>
  <c r="M4509" i="5"/>
  <c r="L4509" i="5"/>
  <c r="K4509" i="5"/>
  <c r="J4509" i="5"/>
  <c r="I4509" i="5"/>
  <c r="H4509" i="5"/>
  <c r="V4508" i="5"/>
  <c r="U4508" i="5"/>
  <c r="T4508" i="5"/>
  <c r="S4508" i="5"/>
  <c r="R4508" i="5"/>
  <c r="Q4508" i="5"/>
  <c r="P4508" i="5"/>
  <c r="O4508" i="5"/>
  <c r="N4508" i="5"/>
  <c r="M4508" i="5"/>
  <c r="L4508" i="5"/>
  <c r="K4508" i="5"/>
  <c r="J4508" i="5"/>
  <c r="I4508" i="5"/>
  <c r="H4508" i="5"/>
  <c r="V4507" i="5"/>
  <c r="U4507" i="5"/>
  <c r="T4507" i="5"/>
  <c r="S4507" i="5"/>
  <c r="R4507" i="5"/>
  <c r="Q4507" i="5"/>
  <c r="P4507" i="5"/>
  <c r="O4507" i="5"/>
  <c r="N4507" i="5"/>
  <c r="M4507" i="5"/>
  <c r="L4507" i="5"/>
  <c r="K4507" i="5"/>
  <c r="J4507" i="5"/>
  <c r="I4507" i="5"/>
  <c r="H4507" i="5"/>
  <c r="V4506" i="5"/>
  <c r="U4506" i="5"/>
  <c r="T4506" i="5"/>
  <c r="S4506" i="5"/>
  <c r="R4506" i="5"/>
  <c r="Q4506" i="5"/>
  <c r="P4506" i="5"/>
  <c r="O4506" i="5"/>
  <c r="N4506" i="5"/>
  <c r="M4506" i="5"/>
  <c r="L4506" i="5"/>
  <c r="K4506" i="5"/>
  <c r="J4506" i="5"/>
  <c r="I4506" i="5"/>
  <c r="H4506" i="5"/>
  <c r="V4505" i="5"/>
  <c r="U4505" i="5"/>
  <c r="T4505" i="5"/>
  <c r="S4505" i="5"/>
  <c r="R4505" i="5"/>
  <c r="Q4505" i="5"/>
  <c r="P4505" i="5"/>
  <c r="O4505" i="5"/>
  <c r="N4505" i="5"/>
  <c r="M4505" i="5"/>
  <c r="L4505" i="5"/>
  <c r="K4505" i="5"/>
  <c r="J4505" i="5"/>
  <c r="I4505" i="5"/>
  <c r="H4505" i="5"/>
  <c r="V4504" i="5"/>
  <c r="U4504" i="5"/>
  <c r="T4504" i="5"/>
  <c r="S4504" i="5"/>
  <c r="R4504" i="5"/>
  <c r="Q4504" i="5"/>
  <c r="P4504" i="5"/>
  <c r="V4503" i="5"/>
  <c r="U4503" i="5"/>
  <c r="T4503" i="5"/>
  <c r="S4503" i="5"/>
  <c r="R4503" i="5"/>
  <c r="Q4503" i="5"/>
  <c r="P4503" i="5"/>
  <c r="O4503" i="5"/>
  <c r="N4503" i="5"/>
  <c r="M4503" i="5"/>
  <c r="L4503" i="5"/>
  <c r="K4503" i="5"/>
  <c r="J4503" i="5"/>
  <c r="I4503" i="5"/>
  <c r="H4503" i="5"/>
  <c r="U4502" i="5"/>
  <c r="T4502" i="5"/>
  <c r="S4502" i="5"/>
  <c r="R4502" i="5"/>
  <c r="Q4502" i="5"/>
  <c r="P4502" i="5"/>
  <c r="O4502" i="5"/>
  <c r="N4502" i="5"/>
  <c r="M4502" i="5"/>
  <c r="L4502" i="5"/>
  <c r="K4502" i="5"/>
  <c r="J4502" i="5"/>
  <c r="I4502" i="5"/>
  <c r="H4502" i="5"/>
  <c r="V4501" i="5"/>
  <c r="U4501" i="5"/>
  <c r="T4501" i="5"/>
  <c r="S4501" i="5"/>
  <c r="R4501" i="5"/>
  <c r="Q4501" i="5"/>
  <c r="P4501" i="5"/>
  <c r="O4501" i="5"/>
  <c r="N4501" i="5"/>
  <c r="M4501" i="5"/>
  <c r="L4501" i="5"/>
  <c r="K4501" i="5"/>
  <c r="J4501" i="5"/>
  <c r="I4501" i="5"/>
  <c r="H4501" i="5"/>
  <c r="V4500" i="5"/>
  <c r="O4500" i="5"/>
  <c r="N4500" i="5"/>
  <c r="M4500" i="5"/>
  <c r="L4500" i="5"/>
  <c r="K4500" i="5"/>
  <c r="J4500" i="5"/>
  <c r="I4500" i="5"/>
  <c r="H4500" i="5"/>
  <c r="V4499" i="5"/>
  <c r="U4499" i="5"/>
  <c r="T4499" i="5"/>
  <c r="S4499" i="5"/>
  <c r="R4499" i="5"/>
  <c r="Q4499" i="5"/>
  <c r="P4499" i="5"/>
  <c r="O4499" i="5"/>
  <c r="N4499" i="5"/>
  <c r="M4499" i="5"/>
  <c r="L4499" i="5"/>
  <c r="K4499" i="5"/>
  <c r="J4499" i="5"/>
  <c r="I4499" i="5"/>
  <c r="H4499" i="5"/>
  <c r="V4498" i="5"/>
  <c r="U4498" i="5"/>
  <c r="T4498" i="5"/>
  <c r="S4498" i="5"/>
  <c r="R4498" i="5"/>
  <c r="Q4498" i="5"/>
  <c r="P4498" i="5"/>
  <c r="O4498" i="5"/>
  <c r="N4498" i="5"/>
  <c r="M4498" i="5"/>
  <c r="L4498" i="5"/>
  <c r="K4498" i="5"/>
  <c r="J4498" i="5"/>
  <c r="I4498" i="5"/>
  <c r="H4498" i="5"/>
  <c r="V4497" i="5"/>
  <c r="U4497" i="5"/>
  <c r="T4497" i="5"/>
  <c r="S4497" i="5"/>
  <c r="R4497" i="5"/>
  <c r="Q4497" i="5"/>
  <c r="P4497" i="5"/>
  <c r="O4497" i="5"/>
  <c r="N4497" i="5"/>
  <c r="M4497" i="5"/>
  <c r="L4497" i="5"/>
  <c r="K4497" i="5"/>
  <c r="J4497" i="5"/>
  <c r="I4497" i="5"/>
  <c r="H4497" i="5"/>
  <c r="V4496" i="5"/>
  <c r="U4496" i="5"/>
  <c r="T4496" i="5"/>
  <c r="S4496" i="5"/>
  <c r="R4496" i="5"/>
  <c r="Q4496" i="5"/>
  <c r="P4496" i="5"/>
  <c r="O4496" i="5"/>
  <c r="N4496" i="5"/>
  <c r="M4496" i="5"/>
  <c r="L4496" i="5"/>
  <c r="K4496" i="5"/>
  <c r="J4496" i="5"/>
  <c r="I4496" i="5"/>
  <c r="H4496" i="5"/>
  <c r="V4495" i="5"/>
  <c r="U4495" i="5"/>
  <c r="T4495" i="5"/>
  <c r="S4495" i="5"/>
  <c r="R4495" i="5"/>
  <c r="Q4495" i="5"/>
  <c r="P4495" i="5"/>
  <c r="O4495" i="5"/>
  <c r="N4495" i="5"/>
  <c r="M4495" i="5"/>
  <c r="L4495" i="5"/>
  <c r="K4495" i="5"/>
  <c r="J4495" i="5"/>
  <c r="I4495" i="5"/>
  <c r="H4495" i="5"/>
  <c r="V4494" i="5"/>
  <c r="U4494" i="5"/>
  <c r="T4494" i="5"/>
  <c r="S4494" i="5"/>
  <c r="R4494" i="5"/>
  <c r="Q4494" i="5"/>
  <c r="P4494" i="5"/>
  <c r="V4493" i="5"/>
  <c r="U4493" i="5"/>
  <c r="T4493" i="5"/>
  <c r="S4493" i="5"/>
  <c r="R4493" i="5"/>
  <c r="Q4493" i="5"/>
  <c r="P4493" i="5"/>
  <c r="O4493" i="5"/>
  <c r="N4493" i="5"/>
  <c r="M4493" i="5"/>
  <c r="L4493" i="5"/>
  <c r="K4493" i="5"/>
  <c r="J4493" i="5"/>
  <c r="I4493" i="5"/>
  <c r="H4493" i="5"/>
  <c r="U4492" i="5"/>
  <c r="T4492" i="5"/>
  <c r="S4492" i="5"/>
  <c r="R4492" i="5"/>
  <c r="Q4492" i="5"/>
  <c r="P4492" i="5"/>
  <c r="O4492" i="5"/>
  <c r="N4492" i="5"/>
  <c r="M4492" i="5"/>
  <c r="L4492" i="5"/>
  <c r="K4492" i="5"/>
  <c r="J4492" i="5"/>
  <c r="I4492" i="5"/>
  <c r="H4492" i="5"/>
  <c r="V4491" i="5"/>
  <c r="U4491" i="5"/>
  <c r="T4491" i="5"/>
  <c r="S4491" i="5"/>
  <c r="R4491" i="5"/>
  <c r="Q4491" i="5"/>
  <c r="P4491" i="5"/>
  <c r="O4491" i="5"/>
  <c r="N4491" i="5"/>
  <c r="M4491" i="5"/>
  <c r="L4491" i="5"/>
  <c r="K4491" i="5"/>
  <c r="J4491" i="5"/>
  <c r="I4491" i="5"/>
  <c r="H4491" i="5"/>
  <c r="V4490" i="5"/>
  <c r="O4490" i="5"/>
  <c r="N4490" i="5"/>
  <c r="M4490" i="5"/>
  <c r="L4490" i="5"/>
  <c r="K4490" i="5"/>
  <c r="J4490" i="5"/>
  <c r="I4490" i="5"/>
  <c r="H4490" i="5"/>
  <c r="V4489" i="5"/>
  <c r="U4489" i="5"/>
  <c r="T4489" i="5"/>
  <c r="S4489" i="5"/>
  <c r="R4489" i="5"/>
  <c r="Q4489" i="5"/>
  <c r="P4489" i="5"/>
  <c r="O4489" i="5"/>
  <c r="N4489" i="5"/>
  <c r="M4489" i="5"/>
  <c r="L4489" i="5"/>
  <c r="K4489" i="5"/>
  <c r="J4489" i="5"/>
  <c r="I4489" i="5"/>
  <c r="H4489" i="5"/>
  <c r="V4488" i="5"/>
  <c r="U4488" i="5"/>
  <c r="T4488" i="5"/>
  <c r="S4488" i="5"/>
  <c r="R4488" i="5"/>
  <c r="Q4488" i="5"/>
  <c r="P4488" i="5"/>
  <c r="O4488" i="5"/>
  <c r="N4488" i="5"/>
  <c r="M4488" i="5"/>
  <c r="L4488" i="5"/>
  <c r="K4488" i="5"/>
  <c r="J4488" i="5"/>
  <c r="I4488" i="5"/>
  <c r="H4488" i="5"/>
  <c r="V4487" i="5"/>
  <c r="U4487" i="5"/>
  <c r="T4487" i="5"/>
  <c r="S4487" i="5"/>
  <c r="R4487" i="5"/>
  <c r="Q4487" i="5"/>
  <c r="P4487" i="5"/>
  <c r="V4486" i="5"/>
  <c r="U4486" i="5"/>
  <c r="T4486" i="5"/>
  <c r="S4486" i="5"/>
  <c r="R4486" i="5"/>
  <c r="Q4486" i="5"/>
  <c r="P4486" i="5"/>
  <c r="U4485" i="5"/>
  <c r="T4485" i="5"/>
  <c r="S4485" i="5"/>
  <c r="R4485" i="5"/>
  <c r="Q4485" i="5"/>
  <c r="P4485" i="5"/>
  <c r="U4484" i="5"/>
  <c r="T4484" i="5"/>
  <c r="S4484" i="5"/>
  <c r="R4484" i="5"/>
  <c r="Q4484" i="5"/>
  <c r="P4484" i="5"/>
  <c r="O4477" i="5"/>
  <c r="N4477" i="5"/>
  <c r="M4477" i="5"/>
  <c r="L4477" i="5"/>
  <c r="K4477" i="5"/>
  <c r="J4477" i="5"/>
  <c r="I4477" i="5"/>
  <c r="H4477" i="5"/>
  <c r="O4476" i="5"/>
  <c r="N4476" i="5"/>
  <c r="M4476" i="5"/>
  <c r="L4476" i="5"/>
  <c r="K4476" i="5"/>
  <c r="J4476" i="5"/>
  <c r="I4476" i="5"/>
  <c r="H4476" i="5"/>
  <c r="V4475" i="5"/>
  <c r="O4475" i="5"/>
  <c r="N4475" i="5"/>
  <c r="M4475" i="5"/>
  <c r="L4475" i="5"/>
  <c r="K4475" i="5"/>
  <c r="J4475" i="5"/>
  <c r="I4475" i="5"/>
  <c r="H4475" i="5"/>
  <c r="V4474" i="5"/>
  <c r="V4473" i="5"/>
  <c r="U4473" i="5"/>
  <c r="T4473" i="5"/>
  <c r="S4473" i="5"/>
  <c r="R4473" i="5"/>
  <c r="Q4473" i="5"/>
  <c r="P4473" i="5"/>
  <c r="O4473" i="5"/>
  <c r="N4473" i="5"/>
  <c r="M4473" i="5"/>
  <c r="L4473" i="5"/>
  <c r="K4473" i="5"/>
  <c r="J4473" i="5"/>
  <c r="I4473" i="5"/>
  <c r="H4473" i="5"/>
  <c r="U4472" i="5"/>
  <c r="T4472" i="5"/>
  <c r="S4472" i="5"/>
  <c r="R4472" i="5"/>
  <c r="Q4472" i="5"/>
  <c r="P4472" i="5"/>
  <c r="O4472" i="5"/>
  <c r="N4472" i="5"/>
  <c r="M4472" i="5"/>
  <c r="L4472" i="5"/>
  <c r="K4472" i="5"/>
  <c r="J4472" i="5"/>
  <c r="I4472" i="5"/>
  <c r="H4472" i="5"/>
  <c r="V4471" i="5"/>
  <c r="U4471" i="5"/>
  <c r="T4471" i="5"/>
  <c r="S4471" i="5"/>
  <c r="R4471" i="5"/>
  <c r="Q4471" i="5"/>
  <c r="P4471" i="5"/>
  <c r="O4471" i="5"/>
  <c r="N4471" i="5"/>
  <c r="M4471" i="5"/>
  <c r="L4471" i="5"/>
  <c r="K4471" i="5"/>
  <c r="J4471" i="5"/>
  <c r="I4471" i="5"/>
  <c r="H4471" i="5"/>
  <c r="V4470" i="5"/>
  <c r="O4470" i="5"/>
  <c r="N4470" i="5"/>
  <c r="M4470" i="5"/>
  <c r="L4470" i="5"/>
  <c r="K4470" i="5"/>
  <c r="J4470" i="5"/>
  <c r="I4470" i="5"/>
  <c r="H4470" i="5"/>
  <c r="V4469" i="5"/>
  <c r="U4469" i="5"/>
  <c r="T4469" i="5"/>
  <c r="S4469" i="5"/>
  <c r="R4469" i="5"/>
  <c r="Q4469" i="5"/>
  <c r="P4469" i="5"/>
  <c r="O4469" i="5"/>
  <c r="N4469" i="5"/>
  <c r="M4469" i="5"/>
  <c r="L4469" i="5"/>
  <c r="K4469" i="5"/>
  <c r="J4469" i="5"/>
  <c r="I4469" i="5"/>
  <c r="H4469" i="5"/>
  <c r="V4468" i="5"/>
  <c r="U4468" i="5"/>
  <c r="T4468" i="5"/>
  <c r="S4468" i="5"/>
  <c r="R4468" i="5"/>
  <c r="Q4468" i="5"/>
  <c r="P4468" i="5"/>
  <c r="O4468" i="5"/>
  <c r="N4468" i="5"/>
  <c r="M4468" i="5"/>
  <c r="L4468" i="5"/>
  <c r="K4468" i="5"/>
  <c r="J4468" i="5"/>
  <c r="I4468" i="5"/>
  <c r="H4468" i="5"/>
  <c r="V4467" i="5"/>
  <c r="U4467" i="5"/>
  <c r="T4467" i="5"/>
  <c r="S4467" i="5"/>
  <c r="R4467" i="5"/>
  <c r="Q4467" i="5"/>
  <c r="P4467" i="5"/>
  <c r="O4467" i="5"/>
  <c r="N4467" i="5"/>
  <c r="M4467" i="5"/>
  <c r="L4467" i="5"/>
  <c r="K4467" i="5"/>
  <c r="J4467" i="5"/>
  <c r="I4467" i="5"/>
  <c r="H4467" i="5"/>
  <c r="V4466" i="5"/>
  <c r="U4466" i="5"/>
  <c r="T4466" i="5"/>
  <c r="S4466" i="5"/>
  <c r="R4466" i="5"/>
  <c r="Q4466" i="5"/>
  <c r="P4466" i="5"/>
  <c r="O4466" i="5"/>
  <c r="N4466" i="5"/>
  <c r="M4466" i="5"/>
  <c r="L4466" i="5"/>
  <c r="K4466" i="5"/>
  <c r="J4466" i="5"/>
  <c r="I4466" i="5"/>
  <c r="H4466" i="5"/>
  <c r="V4465" i="5"/>
  <c r="U4465" i="5"/>
  <c r="T4465" i="5"/>
  <c r="S4465" i="5"/>
  <c r="R4465" i="5"/>
  <c r="Q4465" i="5"/>
  <c r="P4465" i="5"/>
  <c r="O4465" i="5"/>
  <c r="N4465" i="5"/>
  <c r="M4465" i="5"/>
  <c r="L4465" i="5"/>
  <c r="K4465" i="5"/>
  <c r="J4465" i="5"/>
  <c r="I4465" i="5"/>
  <c r="H4465" i="5"/>
  <c r="V4464" i="5"/>
  <c r="U4464" i="5"/>
  <c r="T4464" i="5"/>
  <c r="S4464" i="5"/>
  <c r="R4464" i="5"/>
  <c r="Q4464" i="5"/>
  <c r="P4464" i="5"/>
  <c r="V4463" i="5"/>
  <c r="U4463" i="5"/>
  <c r="T4463" i="5"/>
  <c r="S4463" i="5"/>
  <c r="R4463" i="5"/>
  <c r="Q4463" i="5"/>
  <c r="P4463" i="5"/>
  <c r="O4463" i="5"/>
  <c r="N4463" i="5"/>
  <c r="M4463" i="5"/>
  <c r="L4463" i="5"/>
  <c r="K4463" i="5"/>
  <c r="J4463" i="5"/>
  <c r="I4463" i="5"/>
  <c r="H4463" i="5"/>
  <c r="U4462" i="5"/>
  <c r="T4462" i="5"/>
  <c r="S4462" i="5"/>
  <c r="R4462" i="5"/>
  <c r="Q4462" i="5"/>
  <c r="P4462" i="5"/>
  <c r="O4462" i="5"/>
  <c r="N4462" i="5"/>
  <c r="M4462" i="5"/>
  <c r="L4462" i="5"/>
  <c r="K4462" i="5"/>
  <c r="J4462" i="5"/>
  <c r="I4462" i="5"/>
  <c r="H4462" i="5"/>
  <c r="V4461" i="5"/>
  <c r="U4461" i="5"/>
  <c r="T4461" i="5"/>
  <c r="S4461" i="5"/>
  <c r="R4461" i="5"/>
  <c r="Q4461" i="5"/>
  <c r="P4461" i="5"/>
  <c r="O4461" i="5"/>
  <c r="N4461" i="5"/>
  <c r="M4461" i="5"/>
  <c r="L4461" i="5"/>
  <c r="K4461" i="5"/>
  <c r="J4461" i="5"/>
  <c r="I4461" i="5"/>
  <c r="H4461" i="5"/>
  <c r="V4460" i="5"/>
  <c r="O4460" i="5"/>
  <c r="N4460" i="5"/>
  <c r="M4460" i="5"/>
  <c r="L4460" i="5"/>
  <c r="K4460" i="5"/>
  <c r="J4460" i="5"/>
  <c r="I4460" i="5"/>
  <c r="H4460" i="5"/>
  <c r="V4459" i="5"/>
  <c r="U4459" i="5"/>
  <c r="T4459" i="5"/>
  <c r="S4459" i="5"/>
  <c r="R4459" i="5"/>
  <c r="Q4459" i="5"/>
  <c r="P4459" i="5"/>
  <c r="O4459" i="5"/>
  <c r="N4459" i="5"/>
  <c r="M4459" i="5"/>
  <c r="L4459" i="5"/>
  <c r="K4459" i="5"/>
  <c r="J4459" i="5"/>
  <c r="I4459" i="5"/>
  <c r="H4459" i="5"/>
  <c r="V4458" i="5"/>
  <c r="U4458" i="5"/>
  <c r="T4458" i="5"/>
  <c r="S4458" i="5"/>
  <c r="R4458" i="5"/>
  <c r="Q4458" i="5"/>
  <c r="P4458" i="5"/>
  <c r="O4458" i="5"/>
  <c r="N4458" i="5"/>
  <c r="M4458" i="5"/>
  <c r="L4458" i="5"/>
  <c r="K4458" i="5"/>
  <c r="J4458" i="5"/>
  <c r="I4458" i="5"/>
  <c r="H4458" i="5"/>
  <c r="V4457" i="5"/>
  <c r="U4457" i="5"/>
  <c r="T4457" i="5"/>
  <c r="S4457" i="5"/>
  <c r="R4457" i="5"/>
  <c r="Q4457" i="5"/>
  <c r="P4457" i="5"/>
  <c r="O4457" i="5"/>
  <c r="N4457" i="5"/>
  <c r="M4457" i="5"/>
  <c r="L4457" i="5"/>
  <c r="K4457" i="5"/>
  <c r="J4457" i="5"/>
  <c r="I4457" i="5"/>
  <c r="H4457" i="5"/>
  <c r="V4456" i="5"/>
  <c r="U4456" i="5"/>
  <c r="T4456" i="5"/>
  <c r="S4456" i="5"/>
  <c r="R4456" i="5"/>
  <c r="Q4456" i="5"/>
  <c r="P4456" i="5"/>
  <c r="O4456" i="5"/>
  <c r="N4456" i="5"/>
  <c r="M4456" i="5"/>
  <c r="L4456" i="5"/>
  <c r="K4456" i="5"/>
  <c r="J4456" i="5"/>
  <c r="I4456" i="5"/>
  <c r="H4456" i="5"/>
  <c r="V4455" i="5"/>
  <c r="U4455" i="5"/>
  <c r="T4455" i="5"/>
  <c r="S4455" i="5"/>
  <c r="R4455" i="5"/>
  <c r="Q4455" i="5"/>
  <c r="P4455" i="5"/>
  <c r="O4455" i="5"/>
  <c r="N4455" i="5"/>
  <c r="M4455" i="5"/>
  <c r="L4455" i="5"/>
  <c r="K4455" i="5"/>
  <c r="J4455" i="5"/>
  <c r="I4455" i="5"/>
  <c r="H4455" i="5"/>
  <c r="V4454" i="5"/>
  <c r="U4454" i="5"/>
  <c r="T4454" i="5"/>
  <c r="S4454" i="5"/>
  <c r="R4454" i="5"/>
  <c r="Q4454" i="5"/>
  <c r="P4454" i="5"/>
  <c r="V4453" i="5"/>
  <c r="U4453" i="5"/>
  <c r="T4453" i="5"/>
  <c r="S4453" i="5"/>
  <c r="R4453" i="5"/>
  <c r="Q4453" i="5"/>
  <c r="P4453" i="5"/>
  <c r="O4453" i="5"/>
  <c r="N4453" i="5"/>
  <c r="M4453" i="5"/>
  <c r="L4453" i="5"/>
  <c r="K4453" i="5"/>
  <c r="J4453" i="5"/>
  <c r="I4453" i="5"/>
  <c r="H4453" i="5"/>
  <c r="U4452" i="5"/>
  <c r="T4452" i="5"/>
  <c r="S4452" i="5"/>
  <c r="R4452" i="5"/>
  <c r="Q4452" i="5"/>
  <c r="P4452" i="5"/>
  <c r="O4452" i="5"/>
  <c r="N4452" i="5"/>
  <c r="M4452" i="5"/>
  <c r="L4452" i="5"/>
  <c r="K4452" i="5"/>
  <c r="J4452" i="5"/>
  <c r="I4452" i="5"/>
  <c r="H4452" i="5"/>
  <c r="V4451" i="5"/>
  <c r="U4451" i="5"/>
  <c r="T4451" i="5"/>
  <c r="S4451" i="5"/>
  <c r="R4451" i="5"/>
  <c r="Q4451" i="5"/>
  <c r="P4451" i="5"/>
  <c r="O4451" i="5"/>
  <c r="N4451" i="5"/>
  <c r="M4451" i="5"/>
  <c r="L4451" i="5"/>
  <c r="K4451" i="5"/>
  <c r="J4451" i="5"/>
  <c r="I4451" i="5"/>
  <c r="H4451" i="5"/>
  <c r="V4450" i="5"/>
  <c r="O4450" i="5"/>
  <c r="N4450" i="5"/>
  <c r="M4450" i="5"/>
  <c r="L4450" i="5"/>
  <c r="K4450" i="5"/>
  <c r="J4450" i="5"/>
  <c r="I4450" i="5"/>
  <c r="H4450" i="5"/>
  <c r="V4449" i="5"/>
  <c r="U4449" i="5"/>
  <c r="T4449" i="5"/>
  <c r="S4449" i="5"/>
  <c r="R4449" i="5"/>
  <c r="Q4449" i="5"/>
  <c r="P4449" i="5"/>
  <c r="O4449" i="5"/>
  <c r="N4449" i="5"/>
  <c r="M4449" i="5"/>
  <c r="L4449" i="5"/>
  <c r="K4449" i="5"/>
  <c r="J4449" i="5"/>
  <c r="I4449" i="5"/>
  <c r="H4449" i="5"/>
  <c r="V4448" i="5"/>
  <c r="U4448" i="5"/>
  <c r="T4448" i="5"/>
  <c r="S4448" i="5"/>
  <c r="R4448" i="5"/>
  <c r="Q4448" i="5"/>
  <c r="P4448" i="5"/>
  <c r="O4448" i="5"/>
  <c r="N4448" i="5"/>
  <c r="M4448" i="5"/>
  <c r="L4448" i="5"/>
  <c r="K4448" i="5"/>
  <c r="J4448" i="5"/>
  <c r="I4448" i="5"/>
  <c r="H4448" i="5"/>
  <c r="V4447" i="5"/>
  <c r="U4447" i="5"/>
  <c r="T4447" i="5"/>
  <c r="S4447" i="5"/>
  <c r="R4447" i="5"/>
  <c r="Q4447" i="5"/>
  <c r="P4447" i="5"/>
  <c r="O4447" i="5"/>
  <c r="N4447" i="5"/>
  <c r="M4447" i="5"/>
  <c r="L4447" i="5"/>
  <c r="K4447" i="5"/>
  <c r="J4447" i="5"/>
  <c r="I4447" i="5"/>
  <c r="H4447" i="5"/>
  <c r="V4446" i="5"/>
  <c r="U4446" i="5"/>
  <c r="T4446" i="5"/>
  <c r="S4446" i="5"/>
  <c r="R4446" i="5"/>
  <c r="Q4446" i="5"/>
  <c r="P4446" i="5"/>
  <c r="O4446" i="5"/>
  <c r="N4446" i="5"/>
  <c r="M4446" i="5"/>
  <c r="L4446" i="5"/>
  <c r="K4446" i="5"/>
  <c r="J4446" i="5"/>
  <c r="I4446" i="5"/>
  <c r="H4446" i="5"/>
  <c r="V4445" i="5"/>
  <c r="U4445" i="5"/>
  <c r="T4445" i="5"/>
  <c r="S4445" i="5"/>
  <c r="R4445" i="5"/>
  <c r="Q4445" i="5"/>
  <c r="P4445" i="5"/>
  <c r="O4445" i="5"/>
  <c r="N4445" i="5"/>
  <c r="M4445" i="5"/>
  <c r="L4445" i="5"/>
  <c r="K4445" i="5"/>
  <c r="J4445" i="5"/>
  <c r="I4445" i="5"/>
  <c r="H4445" i="5"/>
  <c r="V4444" i="5"/>
  <c r="U4444" i="5"/>
  <c r="T4444" i="5"/>
  <c r="S4444" i="5"/>
  <c r="R4444" i="5"/>
  <c r="Q4444" i="5"/>
  <c r="P4444" i="5"/>
  <c r="V4443" i="5"/>
  <c r="U4443" i="5"/>
  <c r="T4443" i="5"/>
  <c r="S4443" i="5"/>
  <c r="R4443" i="5"/>
  <c r="Q4443" i="5"/>
  <c r="P4443" i="5"/>
  <c r="O4443" i="5"/>
  <c r="N4443" i="5"/>
  <c r="M4443" i="5"/>
  <c r="L4443" i="5"/>
  <c r="K4443" i="5"/>
  <c r="J4443" i="5"/>
  <c r="I4443" i="5"/>
  <c r="H4443" i="5"/>
  <c r="U4442" i="5"/>
  <c r="T4442" i="5"/>
  <c r="S4442" i="5"/>
  <c r="R4442" i="5"/>
  <c r="Q4442" i="5"/>
  <c r="P4442" i="5"/>
  <c r="O4442" i="5"/>
  <c r="N4442" i="5"/>
  <c r="M4442" i="5"/>
  <c r="L4442" i="5"/>
  <c r="K4442" i="5"/>
  <c r="J4442" i="5"/>
  <c r="I4442" i="5"/>
  <c r="H4442" i="5"/>
  <c r="V4441" i="5"/>
  <c r="U4441" i="5"/>
  <c r="T4441" i="5"/>
  <c r="S4441" i="5"/>
  <c r="R4441" i="5"/>
  <c r="Q4441" i="5"/>
  <c r="P4441" i="5"/>
  <c r="O4441" i="5"/>
  <c r="N4441" i="5"/>
  <c r="M4441" i="5"/>
  <c r="L4441" i="5"/>
  <c r="K4441" i="5"/>
  <c r="J4441" i="5"/>
  <c r="I4441" i="5"/>
  <c r="H4441" i="5"/>
  <c r="V4440" i="5"/>
  <c r="O4440" i="5"/>
  <c r="N4440" i="5"/>
  <c r="M4440" i="5"/>
  <c r="L4440" i="5"/>
  <c r="K4440" i="5"/>
  <c r="J4440" i="5"/>
  <c r="I4440" i="5"/>
  <c r="H4440" i="5"/>
  <c r="V4439" i="5"/>
  <c r="U4439" i="5"/>
  <c r="T4439" i="5"/>
  <c r="S4439" i="5"/>
  <c r="R4439" i="5"/>
  <c r="Q4439" i="5"/>
  <c r="P4439" i="5"/>
  <c r="O4439" i="5"/>
  <c r="N4439" i="5"/>
  <c r="M4439" i="5"/>
  <c r="L4439" i="5"/>
  <c r="K4439" i="5"/>
  <c r="J4439" i="5"/>
  <c r="I4439" i="5"/>
  <c r="H4439" i="5"/>
  <c r="V4438" i="5"/>
  <c r="U4438" i="5"/>
  <c r="T4438" i="5"/>
  <c r="S4438" i="5"/>
  <c r="R4438" i="5"/>
  <c r="Q4438" i="5"/>
  <c r="P4438" i="5"/>
  <c r="O4438" i="5"/>
  <c r="N4438" i="5"/>
  <c r="M4438" i="5"/>
  <c r="L4438" i="5"/>
  <c r="K4438" i="5"/>
  <c r="J4438" i="5"/>
  <c r="I4438" i="5"/>
  <c r="H4438" i="5"/>
  <c r="V4437" i="5"/>
  <c r="U4437" i="5"/>
  <c r="T4437" i="5"/>
  <c r="S4437" i="5"/>
  <c r="R4437" i="5"/>
  <c r="Q4437" i="5"/>
  <c r="P4437" i="5"/>
  <c r="O4437" i="5"/>
  <c r="N4437" i="5"/>
  <c r="M4437" i="5"/>
  <c r="L4437" i="5"/>
  <c r="K4437" i="5"/>
  <c r="J4437" i="5"/>
  <c r="I4437" i="5"/>
  <c r="H4437" i="5"/>
  <c r="V4436" i="5"/>
  <c r="U4436" i="5"/>
  <c r="T4436" i="5"/>
  <c r="S4436" i="5"/>
  <c r="R4436" i="5"/>
  <c r="Q4436" i="5"/>
  <c r="P4436" i="5"/>
  <c r="O4436" i="5"/>
  <c r="N4436" i="5"/>
  <c r="M4436" i="5"/>
  <c r="L4436" i="5"/>
  <c r="K4436" i="5"/>
  <c r="J4436" i="5"/>
  <c r="I4436" i="5"/>
  <c r="H4436" i="5"/>
  <c r="V4435" i="5"/>
  <c r="U4435" i="5"/>
  <c r="T4435" i="5"/>
  <c r="S4435" i="5"/>
  <c r="R4435" i="5"/>
  <c r="Q4435" i="5"/>
  <c r="P4435" i="5"/>
  <c r="O4435" i="5"/>
  <c r="N4435" i="5"/>
  <c r="M4435" i="5"/>
  <c r="L4435" i="5"/>
  <c r="K4435" i="5"/>
  <c r="J4435" i="5"/>
  <c r="I4435" i="5"/>
  <c r="H4435" i="5"/>
  <c r="V4434" i="5"/>
  <c r="U4434" i="5"/>
  <c r="T4434" i="5"/>
  <c r="S4434" i="5"/>
  <c r="R4434" i="5"/>
  <c r="Q4434" i="5"/>
  <c r="P4434" i="5"/>
  <c r="V4433" i="5"/>
  <c r="U4433" i="5"/>
  <c r="T4433" i="5"/>
  <c r="S4433" i="5"/>
  <c r="R4433" i="5"/>
  <c r="Q4433" i="5"/>
  <c r="P4433" i="5"/>
  <c r="O4433" i="5"/>
  <c r="N4433" i="5"/>
  <c r="M4433" i="5"/>
  <c r="L4433" i="5"/>
  <c r="K4433" i="5"/>
  <c r="J4433" i="5"/>
  <c r="I4433" i="5"/>
  <c r="H4433" i="5"/>
  <c r="U4432" i="5"/>
  <c r="T4432" i="5"/>
  <c r="S4432" i="5"/>
  <c r="R4432" i="5"/>
  <c r="Q4432" i="5"/>
  <c r="P4432" i="5"/>
  <c r="O4432" i="5"/>
  <c r="N4432" i="5"/>
  <c r="M4432" i="5"/>
  <c r="L4432" i="5"/>
  <c r="K4432" i="5"/>
  <c r="J4432" i="5"/>
  <c r="I4432" i="5"/>
  <c r="H4432" i="5"/>
  <c r="V4431" i="5"/>
  <c r="U4431" i="5"/>
  <c r="T4431" i="5"/>
  <c r="S4431" i="5"/>
  <c r="R4431" i="5"/>
  <c r="Q4431" i="5"/>
  <c r="P4431" i="5"/>
  <c r="O4431" i="5"/>
  <c r="N4431" i="5"/>
  <c r="M4431" i="5"/>
  <c r="L4431" i="5"/>
  <c r="K4431" i="5"/>
  <c r="J4431" i="5"/>
  <c r="I4431" i="5"/>
  <c r="H4431" i="5"/>
  <c r="V4430" i="5"/>
  <c r="O4430" i="5"/>
  <c r="N4430" i="5"/>
  <c r="M4430" i="5"/>
  <c r="L4430" i="5"/>
  <c r="K4430" i="5"/>
  <c r="J4430" i="5"/>
  <c r="I4430" i="5"/>
  <c r="H4430" i="5"/>
  <c r="V4429" i="5"/>
  <c r="U4429" i="5"/>
  <c r="T4429" i="5"/>
  <c r="S4429" i="5"/>
  <c r="R4429" i="5"/>
  <c r="Q4429" i="5"/>
  <c r="P4429" i="5"/>
  <c r="O4429" i="5"/>
  <c r="N4429" i="5"/>
  <c r="M4429" i="5"/>
  <c r="L4429" i="5"/>
  <c r="K4429" i="5"/>
  <c r="J4429" i="5"/>
  <c r="I4429" i="5"/>
  <c r="H4429" i="5"/>
  <c r="V4428" i="5"/>
  <c r="U4428" i="5"/>
  <c r="T4428" i="5"/>
  <c r="S4428" i="5"/>
  <c r="R4428" i="5"/>
  <c r="Q4428" i="5"/>
  <c r="P4428" i="5"/>
  <c r="O4428" i="5"/>
  <c r="N4428" i="5"/>
  <c r="M4428" i="5"/>
  <c r="L4428" i="5"/>
  <c r="K4428" i="5"/>
  <c r="J4428" i="5"/>
  <c r="I4428" i="5"/>
  <c r="H4428" i="5"/>
  <c r="V4427" i="5"/>
  <c r="U4427" i="5"/>
  <c r="T4427" i="5"/>
  <c r="S4427" i="5"/>
  <c r="R4427" i="5"/>
  <c r="Q4427" i="5"/>
  <c r="P4427" i="5"/>
  <c r="O4427" i="5"/>
  <c r="N4427" i="5"/>
  <c r="M4427" i="5"/>
  <c r="L4427" i="5"/>
  <c r="K4427" i="5"/>
  <c r="J4427" i="5"/>
  <c r="I4427" i="5"/>
  <c r="H4427" i="5"/>
  <c r="V4426" i="5"/>
  <c r="U4426" i="5"/>
  <c r="T4426" i="5"/>
  <c r="S4426" i="5"/>
  <c r="R4426" i="5"/>
  <c r="Q4426" i="5"/>
  <c r="P4426" i="5"/>
  <c r="O4426" i="5"/>
  <c r="N4426" i="5"/>
  <c r="M4426" i="5"/>
  <c r="L4426" i="5"/>
  <c r="K4426" i="5"/>
  <c r="J4426" i="5"/>
  <c r="I4426" i="5"/>
  <c r="H4426" i="5"/>
  <c r="V4425" i="5"/>
  <c r="U4425" i="5"/>
  <c r="T4425" i="5"/>
  <c r="S4425" i="5"/>
  <c r="R4425" i="5"/>
  <c r="Q4425" i="5"/>
  <c r="P4425" i="5"/>
  <c r="O4425" i="5"/>
  <c r="N4425" i="5"/>
  <c r="M4425" i="5"/>
  <c r="L4425" i="5"/>
  <c r="K4425" i="5"/>
  <c r="J4425" i="5"/>
  <c r="I4425" i="5"/>
  <c r="H4425" i="5"/>
  <c r="V4424" i="5"/>
  <c r="U4424" i="5"/>
  <c r="T4424" i="5"/>
  <c r="S4424" i="5"/>
  <c r="R4424" i="5"/>
  <c r="Q4424" i="5"/>
  <c r="P4424" i="5"/>
  <c r="V4423" i="5"/>
  <c r="U4423" i="5"/>
  <c r="T4423" i="5"/>
  <c r="S4423" i="5"/>
  <c r="R4423" i="5"/>
  <c r="Q4423" i="5"/>
  <c r="P4423" i="5"/>
  <c r="O4423" i="5"/>
  <c r="N4423" i="5"/>
  <c r="M4423" i="5"/>
  <c r="L4423" i="5"/>
  <c r="K4423" i="5"/>
  <c r="J4423" i="5"/>
  <c r="I4423" i="5"/>
  <c r="H4423" i="5"/>
  <c r="U4422" i="5"/>
  <c r="T4422" i="5"/>
  <c r="S4422" i="5"/>
  <c r="R4422" i="5"/>
  <c r="Q4422" i="5"/>
  <c r="P4422" i="5"/>
  <c r="O4422" i="5"/>
  <c r="N4422" i="5"/>
  <c r="M4422" i="5"/>
  <c r="L4422" i="5"/>
  <c r="K4422" i="5"/>
  <c r="J4422" i="5"/>
  <c r="I4422" i="5"/>
  <c r="H4422" i="5"/>
  <c r="V4421" i="5"/>
  <c r="U4421" i="5"/>
  <c r="T4421" i="5"/>
  <c r="S4421" i="5"/>
  <c r="R4421" i="5"/>
  <c r="Q4421" i="5"/>
  <c r="P4421" i="5"/>
  <c r="O4421" i="5"/>
  <c r="N4421" i="5"/>
  <c r="M4421" i="5"/>
  <c r="L4421" i="5"/>
  <c r="K4421" i="5"/>
  <c r="J4421" i="5"/>
  <c r="I4421" i="5"/>
  <c r="H4421" i="5"/>
  <c r="V4420" i="5"/>
  <c r="O4420" i="5"/>
  <c r="N4420" i="5"/>
  <c r="M4420" i="5"/>
  <c r="L4420" i="5"/>
  <c r="K4420" i="5"/>
  <c r="J4420" i="5"/>
  <c r="I4420" i="5"/>
  <c r="H4420" i="5"/>
  <c r="V4419" i="5"/>
  <c r="U4419" i="5"/>
  <c r="T4419" i="5"/>
  <c r="S4419" i="5"/>
  <c r="R4419" i="5"/>
  <c r="Q4419" i="5"/>
  <c r="P4419" i="5"/>
  <c r="O4419" i="5"/>
  <c r="N4419" i="5"/>
  <c r="M4419" i="5"/>
  <c r="L4419" i="5"/>
  <c r="K4419" i="5"/>
  <c r="J4419" i="5"/>
  <c r="I4419" i="5"/>
  <c r="H4419" i="5"/>
  <c r="V4418" i="5"/>
  <c r="U4418" i="5"/>
  <c r="T4418" i="5"/>
  <c r="S4418" i="5"/>
  <c r="R4418" i="5"/>
  <c r="Q4418" i="5"/>
  <c r="P4418" i="5"/>
  <c r="O4418" i="5"/>
  <c r="N4418" i="5"/>
  <c r="M4418" i="5"/>
  <c r="L4418" i="5"/>
  <c r="K4418" i="5"/>
  <c r="J4418" i="5"/>
  <c r="I4418" i="5"/>
  <c r="H4418" i="5"/>
  <c r="V4417" i="5"/>
  <c r="U4417" i="5"/>
  <c r="T4417" i="5"/>
  <c r="S4417" i="5"/>
  <c r="R4417" i="5"/>
  <c r="Q4417" i="5"/>
  <c r="P4417" i="5"/>
  <c r="O4417" i="5"/>
  <c r="N4417" i="5"/>
  <c r="M4417" i="5"/>
  <c r="L4417" i="5"/>
  <c r="K4417" i="5"/>
  <c r="J4417" i="5"/>
  <c r="I4417" i="5"/>
  <c r="H4417" i="5"/>
  <c r="V4416" i="5"/>
  <c r="U4416" i="5"/>
  <c r="T4416" i="5"/>
  <c r="S4416" i="5"/>
  <c r="R4416" i="5"/>
  <c r="Q4416" i="5"/>
  <c r="P4416" i="5"/>
  <c r="O4416" i="5"/>
  <c r="N4416" i="5"/>
  <c r="M4416" i="5"/>
  <c r="L4416" i="5"/>
  <c r="K4416" i="5"/>
  <c r="J4416" i="5"/>
  <c r="I4416" i="5"/>
  <c r="H4416" i="5"/>
  <c r="V4415" i="5"/>
  <c r="U4415" i="5"/>
  <c r="T4415" i="5"/>
  <c r="S4415" i="5"/>
  <c r="R4415" i="5"/>
  <c r="Q4415" i="5"/>
  <c r="P4415" i="5"/>
  <c r="O4415" i="5"/>
  <c r="N4415" i="5"/>
  <c r="M4415" i="5"/>
  <c r="L4415" i="5"/>
  <c r="K4415" i="5"/>
  <c r="J4415" i="5"/>
  <c r="I4415" i="5"/>
  <c r="H4415" i="5"/>
  <c r="V4414" i="5"/>
  <c r="U4414" i="5"/>
  <c r="T4414" i="5"/>
  <c r="S4414" i="5"/>
  <c r="R4414" i="5"/>
  <c r="Q4414" i="5"/>
  <c r="P4414" i="5"/>
  <c r="V4413" i="5"/>
  <c r="U4413" i="5"/>
  <c r="T4413" i="5"/>
  <c r="S4413" i="5"/>
  <c r="R4413" i="5"/>
  <c r="Q4413" i="5"/>
  <c r="P4413" i="5"/>
  <c r="O4413" i="5"/>
  <c r="N4413" i="5"/>
  <c r="M4413" i="5"/>
  <c r="L4413" i="5"/>
  <c r="K4413" i="5"/>
  <c r="J4413" i="5"/>
  <c r="I4413" i="5"/>
  <c r="H4413" i="5"/>
  <c r="U4412" i="5"/>
  <c r="T4412" i="5"/>
  <c r="S4412" i="5"/>
  <c r="R4412" i="5"/>
  <c r="Q4412" i="5"/>
  <c r="P4412" i="5"/>
  <c r="O4412" i="5"/>
  <c r="N4412" i="5"/>
  <c r="M4412" i="5"/>
  <c r="L4412" i="5"/>
  <c r="K4412" i="5"/>
  <c r="J4412" i="5"/>
  <c r="I4412" i="5"/>
  <c r="H4412" i="5"/>
  <c r="V4411" i="5"/>
  <c r="U4411" i="5"/>
  <c r="T4411" i="5"/>
  <c r="S4411" i="5"/>
  <c r="R4411" i="5"/>
  <c r="Q4411" i="5"/>
  <c r="P4411" i="5"/>
  <c r="O4411" i="5"/>
  <c r="N4411" i="5"/>
  <c r="M4411" i="5"/>
  <c r="L4411" i="5"/>
  <c r="K4411" i="5"/>
  <c r="J4411" i="5"/>
  <c r="I4411" i="5"/>
  <c r="H4411" i="5"/>
  <c r="V4410" i="5"/>
  <c r="O4410" i="5"/>
  <c r="N4410" i="5"/>
  <c r="M4410" i="5"/>
  <c r="L4410" i="5"/>
  <c r="K4410" i="5"/>
  <c r="J4410" i="5"/>
  <c r="I4410" i="5"/>
  <c r="H4410" i="5"/>
  <c r="V4409" i="5"/>
  <c r="U4409" i="5"/>
  <c r="T4409" i="5"/>
  <c r="S4409" i="5"/>
  <c r="R4409" i="5"/>
  <c r="Q4409" i="5"/>
  <c r="P4409" i="5"/>
  <c r="O4409" i="5"/>
  <c r="N4409" i="5"/>
  <c r="M4409" i="5"/>
  <c r="L4409" i="5"/>
  <c r="K4409" i="5"/>
  <c r="J4409" i="5"/>
  <c r="I4409" i="5"/>
  <c r="H4409" i="5"/>
  <c r="V4408" i="5"/>
  <c r="U4408" i="5"/>
  <c r="T4408" i="5"/>
  <c r="S4408" i="5"/>
  <c r="R4408" i="5"/>
  <c r="Q4408" i="5"/>
  <c r="P4408" i="5"/>
  <c r="O4408" i="5"/>
  <c r="N4408" i="5"/>
  <c r="M4408" i="5"/>
  <c r="L4408" i="5"/>
  <c r="K4408" i="5"/>
  <c r="J4408" i="5"/>
  <c r="I4408" i="5"/>
  <c r="H4408" i="5"/>
  <c r="V4407" i="5"/>
  <c r="U4407" i="5"/>
  <c r="T4407" i="5"/>
  <c r="S4407" i="5"/>
  <c r="R4407" i="5"/>
  <c r="Q4407" i="5"/>
  <c r="P4407" i="5"/>
  <c r="O4407" i="5"/>
  <c r="N4407" i="5"/>
  <c r="M4407" i="5"/>
  <c r="L4407" i="5"/>
  <c r="K4407" i="5"/>
  <c r="J4407" i="5"/>
  <c r="I4407" i="5"/>
  <c r="H4407" i="5"/>
  <c r="V4406" i="5"/>
  <c r="U4406" i="5"/>
  <c r="T4406" i="5"/>
  <c r="S4406" i="5"/>
  <c r="R4406" i="5"/>
  <c r="Q4406" i="5"/>
  <c r="P4406" i="5"/>
  <c r="O4406" i="5"/>
  <c r="N4406" i="5"/>
  <c r="M4406" i="5"/>
  <c r="L4406" i="5"/>
  <c r="K4406" i="5"/>
  <c r="J4406" i="5"/>
  <c r="I4406" i="5"/>
  <c r="H4406" i="5"/>
  <c r="V4405" i="5"/>
  <c r="U4405" i="5"/>
  <c r="T4405" i="5"/>
  <c r="S4405" i="5"/>
  <c r="R4405" i="5"/>
  <c r="Q4405" i="5"/>
  <c r="P4405" i="5"/>
  <c r="O4405" i="5"/>
  <c r="N4405" i="5"/>
  <c r="M4405" i="5"/>
  <c r="L4405" i="5"/>
  <c r="K4405" i="5"/>
  <c r="J4405" i="5"/>
  <c r="I4405" i="5"/>
  <c r="H4405" i="5"/>
  <c r="V4404" i="5"/>
  <c r="U4404" i="5"/>
  <c r="T4404" i="5"/>
  <c r="S4404" i="5"/>
  <c r="R4404" i="5"/>
  <c r="Q4404" i="5"/>
  <c r="P4404" i="5"/>
  <c r="V4403" i="5"/>
  <c r="U4403" i="5"/>
  <c r="T4403" i="5"/>
  <c r="S4403" i="5"/>
  <c r="R4403" i="5"/>
  <c r="Q4403" i="5"/>
  <c r="P4403" i="5"/>
  <c r="O4403" i="5"/>
  <c r="N4403" i="5"/>
  <c r="M4403" i="5"/>
  <c r="L4403" i="5"/>
  <c r="K4403" i="5"/>
  <c r="J4403" i="5"/>
  <c r="I4403" i="5"/>
  <c r="H4403" i="5"/>
  <c r="U4402" i="5"/>
  <c r="T4402" i="5"/>
  <c r="S4402" i="5"/>
  <c r="R4402" i="5"/>
  <c r="Q4402" i="5"/>
  <c r="P4402" i="5"/>
  <c r="O4402" i="5"/>
  <c r="N4402" i="5"/>
  <c r="M4402" i="5"/>
  <c r="L4402" i="5"/>
  <c r="K4402" i="5"/>
  <c r="J4402" i="5"/>
  <c r="I4402" i="5"/>
  <c r="H4402" i="5"/>
  <c r="V4401" i="5"/>
  <c r="U4401" i="5"/>
  <c r="T4401" i="5"/>
  <c r="S4401" i="5"/>
  <c r="R4401" i="5"/>
  <c r="Q4401" i="5"/>
  <c r="P4401" i="5"/>
  <c r="O4401" i="5"/>
  <c r="N4401" i="5"/>
  <c r="M4401" i="5"/>
  <c r="L4401" i="5"/>
  <c r="K4401" i="5"/>
  <c r="J4401" i="5"/>
  <c r="I4401" i="5"/>
  <c r="H4401" i="5"/>
  <c r="V4400" i="5"/>
  <c r="O4400" i="5"/>
  <c r="N4400" i="5"/>
  <c r="M4400" i="5"/>
  <c r="L4400" i="5"/>
  <c r="K4400" i="5"/>
  <c r="J4400" i="5"/>
  <c r="I4400" i="5"/>
  <c r="H4400" i="5"/>
  <c r="V4399" i="5"/>
  <c r="U4399" i="5"/>
  <c r="T4399" i="5"/>
  <c r="S4399" i="5"/>
  <c r="R4399" i="5"/>
  <c r="Q4399" i="5"/>
  <c r="P4399" i="5"/>
  <c r="O4399" i="5"/>
  <c r="N4399" i="5"/>
  <c r="M4399" i="5"/>
  <c r="L4399" i="5"/>
  <c r="K4399" i="5"/>
  <c r="J4399" i="5"/>
  <c r="I4399" i="5"/>
  <c r="H4399" i="5"/>
  <c r="V4398" i="5"/>
  <c r="U4398" i="5"/>
  <c r="T4398" i="5"/>
  <c r="S4398" i="5"/>
  <c r="R4398" i="5"/>
  <c r="Q4398" i="5"/>
  <c r="P4398" i="5"/>
  <c r="O4398" i="5"/>
  <c r="N4398" i="5"/>
  <c r="M4398" i="5"/>
  <c r="L4398" i="5"/>
  <c r="K4398" i="5"/>
  <c r="J4398" i="5"/>
  <c r="I4398" i="5"/>
  <c r="H4398" i="5"/>
  <c r="V4397" i="5"/>
  <c r="U4397" i="5"/>
  <c r="T4397" i="5"/>
  <c r="S4397" i="5"/>
  <c r="R4397" i="5"/>
  <c r="Q4397" i="5"/>
  <c r="P4397" i="5"/>
  <c r="O4397" i="5"/>
  <c r="N4397" i="5"/>
  <c r="M4397" i="5"/>
  <c r="L4397" i="5"/>
  <c r="K4397" i="5"/>
  <c r="J4397" i="5"/>
  <c r="I4397" i="5"/>
  <c r="H4397" i="5"/>
  <c r="V4396" i="5"/>
  <c r="U4396" i="5"/>
  <c r="T4396" i="5"/>
  <c r="S4396" i="5"/>
  <c r="R4396" i="5"/>
  <c r="Q4396" i="5"/>
  <c r="P4396" i="5"/>
  <c r="O4396" i="5"/>
  <c r="N4396" i="5"/>
  <c r="M4396" i="5"/>
  <c r="L4396" i="5"/>
  <c r="K4396" i="5"/>
  <c r="J4396" i="5"/>
  <c r="I4396" i="5"/>
  <c r="H4396" i="5"/>
  <c r="V4395" i="5"/>
  <c r="U4395" i="5"/>
  <c r="T4395" i="5"/>
  <c r="S4395" i="5"/>
  <c r="R4395" i="5"/>
  <c r="Q4395" i="5"/>
  <c r="P4395" i="5"/>
  <c r="O4395" i="5"/>
  <c r="N4395" i="5"/>
  <c r="M4395" i="5"/>
  <c r="L4395" i="5"/>
  <c r="K4395" i="5"/>
  <c r="J4395" i="5"/>
  <c r="I4395" i="5"/>
  <c r="H4395" i="5"/>
  <c r="V4394" i="5"/>
  <c r="U4394" i="5"/>
  <c r="T4394" i="5"/>
  <c r="S4394" i="5"/>
  <c r="R4394" i="5"/>
  <c r="Q4394" i="5"/>
  <c r="P4394" i="5"/>
  <c r="V4393" i="5"/>
  <c r="U4393" i="5"/>
  <c r="T4393" i="5"/>
  <c r="S4393" i="5"/>
  <c r="R4393" i="5"/>
  <c r="Q4393" i="5"/>
  <c r="P4393" i="5"/>
  <c r="O4393" i="5"/>
  <c r="N4393" i="5"/>
  <c r="M4393" i="5"/>
  <c r="L4393" i="5"/>
  <c r="K4393" i="5"/>
  <c r="J4393" i="5"/>
  <c r="I4393" i="5"/>
  <c r="H4393" i="5"/>
  <c r="U4392" i="5"/>
  <c r="T4392" i="5"/>
  <c r="S4392" i="5"/>
  <c r="R4392" i="5"/>
  <c r="Q4392" i="5"/>
  <c r="P4392" i="5"/>
  <c r="O4392" i="5"/>
  <c r="N4392" i="5"/>
  <c r="M4392" i="5"/>
  <c r="L4392" i="5"/>
  <c r="K4392" i="5"/>
  <c r="J4392" i="5"/>
  <c r="I4392" i="5"/>
  <c r="H4392" i="5"/>
  <c r="V4391" i="5"/>
  <c r="U4391" i="5"/>
  <c r="T4391" i="5"/>
  <c r="S4391" i="5"/>
  <c r="R4391" i="5"/>
  <c r="Q4391" i="5"/>
  <c r="P4391" i="5"/>
  <c r="O4391" i="5"/>
  <c r="N4391" i="5"/>
  <c r="M4391" i="5"/>
  <c r="L4391" i="5"/>
  <c r="K4391" i="5"/>
  <c r="J4391" i="5"/>
  <c r="I4391" i="5"/>
  <c r="H4391" i="5"/>
  <c r="V4390" i="5"/>
  <c r="O4390" i="5"/>
  <c r="N4390" i="5"/>
  <c r="M4390" i="5"/>
  <c r="L4390" i="5"/>
  <c r="K4390" i="5"/>
  <c r="J4390" i="5"/>
  <c r="I4390" i="5"/>
  <c r="H4390" i="5"/>
  <c r="V4389" i="5"/>
  <c r="U4389" i="5"/>
  <c r="T4389" i="5"/>
  <c r="S4389" i="5"/>
  <c r="R4389" i="5"/>
  <c r="Q4389" i="5"/>
  <c r="P4389" i="5"/>
  <c r="O4389" i="5"/>
  <c r="N4389" i="5"/>
  <c r="M4389" i="5"/>
  <c r="L4389" i="5"/>
  <c r="K4389" i="5"/>
  <c r="J4389" i="5"/>
  <c r="I4389" i="5"/>
  <c r="H4389" i="5"/>
  <c r="V4388" i="5"/>
  <c r="U4388" i="5"/>
  <c r="T4388" i="5"/>
  <c r="S4388" i="5"/>
  <c r="R4388" i="5"/>
  <c r="Q4388" i="5"/>
  <c r="P4388" i="5"/>
  <c r="O4388" i="5"/>
  <c r="N4388" i="5"/>
  <c r="M4388" i="5"/>
  <c r="L4388" i="5"/>
  <c r="K4388" i="5"/>
  <c r="J4388" i="5"/>
  <c r="I4388" i="5"/>
  <c r="H4388" i="5"/>
  <c r="V4387" i="5"/>
  <c r="U4387" i="5"/>
  <c r="T4387" i="5"/>
  <c r="S4387" i="5"/>
  <c r="R4387" i="5"/>
  <c r="Q4387" i="5"/>
  <c r="P4387" i="5"/>
  <c r="V4386" i="5"/>
  <c r="U4386" i="5"/>
  <c r="T4386" i="5"/>
  <c r="S4386" i="5"/>
  <c r="R4386" i="5"/>
  <c r="Q4386" i="5"/>
  <c r="P4386" i="5"/>
  <c r="U4385" i="5"/>
  <c r="T4385" i="5"/>
  <c r="S4385" i="5"/>
  <c r="R4385" i="5"/>
  <c r="Q4385" i="5"/>
  <c r="P4385" i="5"/>
  <c r="U4384" i="5"/>
  <c r="T4384" i="5"/>
  <c r="S4384" i="5"/>
  <c r="R4384" i="5"/>
  <c r="Q4384" i="5"/>
  <c r="P4384" i="5"/>
  <c r="O4377" i="5"/>
  <c r="N4377" i="5"/>
  <c r="M4377" i="5"/>
  <c r="L4377" i="5"/>
  <c r="K4377" i="5"/>
  <c r="J4377" i="5"/>
  <c r="I4377" i="5"/>
  <c r="H4377" i="5"/>
  <c r="O4376" i="5"/>
  <c r="N4376" i="5"/>
  <c r="M4376" i="5"/>
  <c r="L4376" i="5"/>
  <c r="K4376" i="5"/>
  <c r="J4376" i="5"/>
  <c r="I4376" i="5"/>
  <c r="H4376" i="5"/>
  <c r="V4375" i="5"/>
  <c r="O4375" i="5"/>
  <c r="N4375" i="5"/>
  <c r="M4375" i="5"/>
  <c r="L4375" i="5"/>
  <c r="K4375" i="5"/>
  <c r="J4375" i="5"/>
  <c r="I4375" i="5"/>
  <c r="H4375" i="5"/>
  <c r="V4374" i="5"/>
  <c r="V4373" i="5"/>
  <c r="U4373" i="5"/>
  <c r="T4373" i="5"/>
  <c r="S4373" i="5"/>
  <c r="R4373" i="5"/>
  <c r="Q4373" i="5"/>
  <c r="P4373" i="5"/>
  <c r="O4373" i="5"/>
  <c r="N4373" i="5"/>
  <c r="M4373" i="5"/>
  <c r="L4373" i="5"/>
  <c r="K4373" i="5"/>
  <c r="J4373" i="5"/>
  <c r="I4373" i="5"/>
  <c r="H4373" i="5"/>
  <c r="U4372" i="5"/>
  <c r="T4372" i="5"/>
  <c r="S4372" i="5"/>
  <c r="R4372" i="5"/>
  <c r="Q4372" i="5"/>
  <c r="P4372" i="5"/>
  <c r="O4372" i="5"/>
  <c r="N4372" i="5"/>
  <c r="M4372" i="5"/>
  <c r="L4372" i="5"/>
  <c r="K4372" i="5"/>
  <c r="J4372" i="5"/>
  <c r="I4372" i="5"/>
  <c r="H4372" i="5"/>
  <c r="V4371" i="5"/>
  <c r="U4371" i="5"/>
  <c r="T4371" i="5"/>
  <c r="S4371" i="5"/>
  <c r="R4371" i="5"/>
  <c r="Q4371" i="5"/>
  <c r="P4371" i="5"/>
  <c r="O4371" i="5"/>
  <c r="N4371" i="5"/>
  <c r="M4371" i="5"/>
  <c r="L4371" i="5"/>
  <c r="K4371" i="5"/>
  <c r="J4371" i="5"/>
  <c r="I4371" i="5"/>
  <c r="H4371" i="5"/>
  <c r="V4370" i="5"/>
  <c r="O4370" i="5"/>
  <c r="N4370" i="5"/>
  <c r="M4370" i="5"/>
  <c r="L4370" i="5"/>
  <c r="K4370" i="5"/>
  <c r="J4370" i="5"/>
  <c r="I4370" i="5"/>
  <c r="H4370" i="5"/>
  <c r="V4369" i="5"/>
  <c r="U4369" i="5"/>
  <c r="T4369" i="5"/>
  <c r="S4369" i="5"/>
  <c r="R4369" i="5"/>
  <c r="Q4369" i="5"/>
  <c r="P4369" i="5"/>
  <c r="O4369" i="5"/>
  <c r="N4369" i="5"/>
  <c r="M4369" i="5"/>
  <c r="L4369" i="5"/>
  <c r="K4369" i="5"/>
  <c r="J4369" i="5"/>
  <c r="I4369" i="5"/>
  <c r="H4369" i="5"/>
  <c r="V4368" i="5"/>
  <c r="U4368" i="5"/>
  <c r="T4368" i="5"/>
  <c r="S4368" i="5"/>
  <c r="R4368" i="5"/>
  <c r="Q4368" i="5"/>
  <c r="P4368" i="5"/>
  <c r="O4368" i="5"/>
  <c r="N4368" i="5"/>
  <c r="M4368" i="5"/>
  <c r="L4368" i="5"/>
  <c r="K4368" i="5"/>
  <c r="J4368" i="5"/>
  <c r="I4368" i="5"/>
  <c r="H4368" i="5"/>
  <c r="V4367" i="5"/>
  <c r="U4367" i="5"/>
  <c r="T4367" i="5"/>
  <c r="S4367" i="5"/>
  <c r="R4367" i="5"/>
  <c r="Q4367" i="5"/>
  <c r="P4367" i="5"/>
  <c r="O4367" i="5"/>
  <c r="N4367" i="5"/>
  <c r="M4367" i="5"/>
  <c r="L4367" i="5"/>
  <c r="K4367" i="5"/>
  <c r="J4367" i="5"/>
  <c r="I4367" i="5"/>
  <c r="H4367" i="5"/>
  <c r="V4366" i="5"/>
  <c r="U4366" i="5"/>
  <c r="T4366" i="5"/>
  <c r="S4366" i="5"/>
  <c r="R4366" i="5"/>
  <c r="Q4366" i="5"/>
  <c r="P4366" i="5"/>
  <c r="O4366" i="5"/>
  <c r="N4366" i="5"/>
  <c r="M4366" i="5"/>
  <c r="L4366" i="5"/>
  <c r="K4366" i="5"/>
  <c r="J4366" i="5"/>
  <c r="I4366" i="5"/>
  <c r="H4366" i="5"/>
  <c r="V4365" i="5"/>
  <c r="U4365" i="5"/>
  <c r="T4365" i="5"/>
  <c r="S4365" i="5"/>
  <c r="R4365" i="5"/>
  <c r="Q4365" i="5"/>
  <c r="P4365" i="5"/>
  <c r="O4365" i="5"/>
  <c r="N4365" i="5"/>
  <c r="M4365" i="5"/>
  <c r="L4365" i="5"/>
  <c r="K4365" i="5"/>
  <c r="J4365" i="5"/>
  <c r="I4365" i="5"/>
  <c r="H4365" i="5"/>
  <c r="V4364" i="5"/>
  <c r="U4364" i="5"/>
  <c r="T4364" i="5"/>
  <c r="S4364" i="5"/>
  <c r="R4364" i="5"/>
  <c r="Q4364" i="5"/>
  <c r="P4364" i="5"/>
  <c r="V4363" i="5"/>
  <c r="U4363" i="5"/>
  <c r="T4363" i="5"/>
  <c r="S4363" i="5"/>
  <c r="R4363" i="5"/>
  <c r="Q4363" i="5"/>
  <c r="P4363" i="5"/>
  <c r="O4363" i="5"/>
  <c r="N4363" i="5"/>
  <c r="M4363" i="5"/>
  <c r="L4363" i="5"/>
  <c r="K4363" i="5"/>
  <c r="J4363" i="5"/>
  <c r="I4363" i="5"/>
  <c r="H4363" i="5"/>
  <c r="U4362" i="5"/>
  <c r="T4362" i="5"/>
  <c r="S4362" i="5"/>
  <c r="R4362" i="5"/>
  <c r="Q4362" i="5"/>
  <c r="P4362" i="5"/>
  <c r="O4362" i="5"/>
  <c r="N4362" i="5"/>
  <c r="M4362" i="5"/>
  <c r="L4362" i="5"/>
  <c r="K4362" i="5"/>
  <c r="J4362" i="5"/>
  <c r="I4362" i="5"/>
  <c r="H4362" i="5"/>
  <c r="V4361" i="5"/>
  <c r="U4361" i="5"/>
  <c r="T4361" i="5"/>
  <c r="S4361" i="5"/>
  <c r="R4361" i="5"/>
  <c r="Q4361" i="5"/>
  <c r="P4361" i="5"/>
  <c r="O4361" i="5"/>
  <c r="N4361" i="5"/>
  <c r="M4361" i="5"/>
  <c r="L4361" i="5"/>
  <c r="K4361" i="5"/>
  <c r="J4361" i="5"/>
  <c r="I4361" i="5"/>
  <c r="H4361" i="5"/>
  <c r="V4360" i="5"/>
  <c r="O4360" i="5"/>
  <c r="N4360" i="5"/>
  <c r="M4360" i="5"/>
  <c r="L4360" i="5"/>
  <c r="K4360" i="5"/>
  <c r="J4360" i="5"/>
  <c r="I4360" i="5"/>
  <c r="H4360" i="5"/>
  <c r="V4359" i="5"/>
  <c r="U4359" i="5"/>
  <c r="T4359" i="5"/>
  <c r="S4359" i="5"/>
  <c r="R4359" i="5"/>
  <c r="Q4359" i="5"/>
  <c r="P4359" i="5"/>
  <c r="O4359" i="5"/>
  <c r="N4359" i="5"/>
  <c r="M4359" i="5"/>
  <c r="L4359" i="5"/>
  <c r="K4359" i="5"/>
  <c r="J4359" i="5"/>
  <c r="I4359" i="5"/>
  <c r="H4359" i="5"/>
  <c r="V4358" i="5"/>
  <c r="U4358" i="5"/>
  <c r="T4358" i="5"/>
  <c r="S4358" i="5"/>
  <c r="R4358" i="5"/>
  <c r="Q4358" i="5"/>
  <c r="P4358" i="5"/>
  <c r="O4358" i="5"/>
  <c r="N4358" i="5"/>
  <c r="M4358" i="5"/>
  <c r="L4358" i="5"/>
  <c r="K4358" i="5"/>
  <c r="J4358" i="5"/>
  <c r="I4358" i="5"/>
  <c r="H4358" i="5"/>
  <c r="V4357" i="5"/>
  <c r="U4357" i="5"/>
  <c r="T4357" i="5"/>
  <c r="S4357" i="5"/>
  <c r="R4357" i="5"/>
  <c r="Q4357" i="5"/>
  <c r="P4357" i="5"/>
  <c r="O4357" i="5"/>
  <c r="N4357" i="5"/>
  <c r="M4357" i="5"/>
  <c r="L4357" i="5"/>
  <c r="K4357" i="5"/>
  <c r="J4357" i="5"/>
  <c r="I4357" i="5"/>
  <c r="H4357" i="5"/>
  <c r="V4356" i="5"/>
  <c r="U4356" i="5"/>
  <c r="T4356" i="5"/>
  <c r="S4356" i="5"/>
  <c r="R4356" i="5"/>
  <c r="Q4356" i="5"/>
  <c r="P4356" i="5"/>
  <c r="O4356" i="5"/>
  <c r="N4356" i="5"/>
  <c r="M4356" i="5"/>
  <c r="L4356" i="5"/>
  <c r="K4356" i="5"/>
  <c r="J4356" i="5"/>
  <c r="I4356" i="5"/>
  <c r="H4356" i="5"/>
  <c r="V4355" i="5"/>
  <c r="U4355" i="5"/>
  <c r="T4355" i="5"/>
  <c r="S4355" i="5"/>
  <c r="R4355" i="5"/>
  <c r="Q4355" i="5"/>
  <c r="P4355" i="5"/>
  <c r="O4355" i="5"/>
  <c r="N4355" i="5"/>
  <c r="M4355" i="5"/>
  <c r="L4355" i="5"/>
  <c r="K4355" i="5"/>
  <c r="J4355" i="5"/>
  <c r="I4355" i="5"/>
  <c r="H4355" i="5"/>
  <c r="V4354" i="5"/>
  <c r="U4354" i="5"/>
  <c r="T4354" i="5"/>
  <c r="S4354" i="5"/>
  <c r="R4354" i="5"/>
  <c r="Q4354" i="5"/>
  <c r="P4354" i="5"/>
  <c r="V4353" i="5"/>
  <c r="U4353" i="5"/>
  <c r="T4353" i="5"/>
  <c r="S4353" i="5"/>
  <c r="R4353" i="5"/>
  <c r="Q4353" i="5"/>
  <c r="P4353" i="5"/>
  <c r="O4353" i="5"/>
  <c r="N4353" i="5"/>
  <c r="M4353" i="5"/>
  <c r="L4353" i="5"/>
  <c r="K4353" i="5"/>
  <c r="J4353" i="5"/>
  <c r="I4353" i="5"/>
  <c r="H4353" i="5"/>
  <c r="U4352" i="5"/>
  <c r="T4352" i="5"/>
  <c r="S4352" i="5"/>
  <c r="R4352" i="5"/>
  <c r="Q4352" i="5"/>
  <c r="P4352" i="5"/>
  <c r="O4352" i="5"/>
  <c r="N4352" i="5"/>
  <c r="M4352" i="5"/>
  <c r="L4352" i="5"/>
  <c r="K4352" i="5"/>
  <c r="J4352" i="5"/>
  <c r="I4352" i="5"/>
  <c r="H4352" i="5"/>
  <c r="V4351" i="5"/>
  <c r="U4351" i="5"/>
  <c r="T4351" i="5"/>
  <c r="S4351" i="5"/>
  <c r="R4351" i="5"/>
  <c r="Q4351" i="5"/>
  <c r="P4351" i="5"/>
  <c r="O4351" i="5"/>
  <c r="N4351" i="5"/>
  <c r="M4351" i="5"/>
  <c r="L4351" i="5"/>
  <c r="K4351" i="5"/>
  <c r="J4351" i="5"/>
  <c r="I4351" i="5"/>
  <c r="H4351" i="5"/>
  <c r="V4350" i="5"/>
  <c r="O4350" i="5"/>
  <c r="N4350" i="5"/>
  <c r="M4350" i="5"/>
  <c r="L4350" i="5"/>
  <c r="K4350" i="5"/>
  <c r="J4350" i="5"/>
  <c r="I4350" i="5"/>
  <c r="H4350" i="5"/>
  <c r="V4349" i="5"/>
  <c r="U4349" i="5"/>
  <c r="T4349" i="5"/>
  <c r="S4349" i="5"/>
  <c r="R4349" i="5"/>
  <c r="Q4349" i="5"/>
  <c r="P4349" i="5"/>
  <c r="O4349" i="5"/>
  <c r="N4349" i="5"/>
  <c r="M4349" i="5"/>
  <c r="L4349" i="5"/>
  <c r="K4349" i="5"/>
  <c r="J4349" i="5"/>
  <c r="I4349" i="5"/>
  <c r="H4349" i="5"/>
  <c r="V4348" i="5"/>
  <c r="U4348" i="5"/>
  <c r="T4348" i="5"/>
  <c r="S4348" i="5"/>
  <c r="R4348" i="5"/>
  <c r="Q4348" i="5"/>
  <c r="P4348" i="5"/>
  <c r="O4348" i="5"/>
  <c r="N4348" i="5"/>
  <c r="M4348" i="5"/>
  <c r="L4348" i="5"/>
  <c r="K4348" i="5"/>
  <c r="J4348" i="5"/>
  <c r="I4348" i="5"/>
  <c r="H4348" i="5"/>
  <c r="V4347" i="5"/>
  <c r="U4347" i="5"/>
  <c r="T4347" i="5"/>
  <c r="S4347" i="5"/>
  <c r="R4347" i="5"/>
  <c r="Q4347" i="5"/>
  <c r="P4347" i="5"/>
  <c r="O4347" i="5"/>
  <c r="N4347" i="5"/>
  <c r="M4347" i="5"/>
  <c r="L4347" i="5"/>
  <c r="K4347" i="5"/>
  <c r="J4347" i="5"/>
  <c r="I4347" i="5"/>
  <c r="H4347" i="5"/>
  <c r="V4346" i="5"/>
  <c r="U4346" i="5"/>
  <c r="T4346" i="5"/>
  <c r="S4346" i="5"/>
  <c r="R4346" i="5"/>
  <c r="Q4346" i="5"/>
  <c r="P4346" i="5"/>
  <c r="O4346" i="5"/>
  <c r="N4346" i="5"/>
  <c r="M4346" i="5"/>
  <c r="L4346" i="5"/>
  <c r="K4346" i="5"/>
  <c r="J4346" i="5"/>
  <c r="I4346" i="5"/>
  <c r="H4346" i="5"/>
  <c r="V4345" i="5"/>
  <c r="U4345" i="5"/>
  <c r="T4345" i="5"/>
  <c r="S4345" i="5"/>
  <c r="R4345" i="5"/>
  <c r="Q4345" i="5"/>
  <c r="P4345" i="5"/>
  <c r="O4345" i="5"/>
  <c r="N4345" i="5"/>
  <c r="M4345" i="5"/>
  <c r="L4345" i="5"/>
  <c r="K4345" i="5"/>
  <c r="J4345" i="5"/>
  <c r="I4345" i="5"/>
  <c r="H4345" i="5"/>
  <c r="V4344" i="5"/>
  <c r="U4344" i="5"/>
  <c r="T4344" i="5"/>
  <c r="S4344" i="5"/>
  <c r="R4344" i="5"/>
  <c r="Q4344" i="5"/>
  <c r="P4344" i="5"/>
  <c r="V4343" i="5"/>
  <c r="U4343" i="5"/>
  <c r="T4343" i="5"/>
  <c r="S4343" i="5"/>
  <c r="R4343" i="5"/>
  <c r="Q4343" i="5"/>
  <c r="P4343" i="5"/>
  <c r="O4343" i="5"/>
  <c r="N4343" i="5"/>
  <c r="M4343" i="5"/>
  <c r="L4343" i="5"/>
  <c r="K4343" i="5"/>
  <c r="J4343" i="5"/>
  <c r="I4343" i="5"/>
  <c r="H4343" i="5"/>
  <c r="U4342" i="5"/>
  <c r="T4342" i="5"/>
  <c r="S4342" i="5"/>
  <c r="R4342" i="5"/>
  <c r="Q4342" i="5"/>
  <c r="P4342" i="5"/>
  <c r="O4342" i="5"/>
  <c r="N4342" i="5"/>
  <c r="M4342" i="5"/>
  <c r="L4342" i="5"/>
  <c r="K4342" i="5"/>
  <c r="J4342" i="5"/>
  <c r="I4342" i="5"/>
  <c r="H4342" i="5"/>
  <c r="V4341" i="5"/>
  <c r="U4341" i="5"/>
  <c r="T4341" i="5"/>
  <c r="S4341" i="5"/>
  <c r="R4341" i="5"/>
  <c r="Q4341" i="5"/>
  <c r="P4341" i="5"/>
  <c r="O4341" i="5"/>
  <c r="N4341" i="5"/>
  <c r="M4341" i="5"/>
  <c r="L4341" i="5"/>
  <c r="K4341" i="5"/>
  <c r="J4341" i="5"/>
  <c r="I4341" i="5"/>
  <c r="H4341" i="5"/>
  <c r="V4340" i="5"/>
  <c r="O4340" i="5"/>
  <c r="N4340" i="5"/>
  <c r="M4340" i="5"/>
  <c r="L4340" i="5"/>
  <c r="K4340" i="5"/>
  <c r="J4340" i="5"/>
  <c r="I4340" i="5"/>
  <c r="H4340" i="5"/>
  <c r="V4339" i="5"/>
  <c r="U4339" i="5"/>
  <c r="T4339" i="5"/>
  <c r="S4339" i="5"/>
  <c r="R4339" i="5"/>
  <c r="Q4339" i="5"/>
  <c r="P4339" i="5"/>
  <c r="O4339" i="5"/>
  <c r="N4339" i="5"/>
  <c r="M4339" i="5"/>
  <c r="L4339" i="5"/>
  <c r="K4339" i="5"/>
  <c r="J4339" i="5"/>
  <c r="I4339" i="5"/>
  <c r="H4339" i="5"/>
  <c r="V4338" i="5"/>
  <c r="U4338" i="5"/>
  <c r="T4338" i="5"/>
  <c r="S4338" i="5"/>
  <c r="R4338" i="5"/>
  <c r="Q4338" i="5"/>
  <c r="P4338" i="5"/>
  <c r="O4338" i="5"/>
  <c r="N4338" i="5"/>
  <c r="M4338" i="5"/>
  <c r="L4338" i="5"/>
  <c r="K4338" i="5"/>
  <c r="J4338" i="5"/>
  <c r="I4338" i="5"/>
  <c r="H4338" i="5"/>
  <c r="V4337" i="5"/>
  <c r="U4337" i="5"/>
  <c r="T4337" i="5"/>
  <c r="S4337" i="5"/>
  <c r="R4337" i="5"/>
  <c r="Q4337" i="5"/>
  <c r="P4337" i="5"/>
  <c r="O4337" i="5"/>
  <c r="N4337" i="5"/>
  <c r="M4337" i="5"/>
  <c r="L4337" i="5"/>
  <c r="K4337" i="5"/>
  <c r="J4337" i="5"/>
  <c r="I4337" i="5"/>
  <c r="H4337" i="5"/>
  <c r="V4336" i="5"/>
  <c r="U4336" i="5"/>
  <c r="T4336" i="5"/>
  <c r="S4336" i="5"/>
  <c r="R4336" i="5"/>
  <c r="Q4336" i="5"/>
  <c r="P4336" i="5"/>
  <c r="O4336" i="5"/>
  <c r="N4336" i="5"/>
  <c r="M4336" i="5"/>
  <c r="L4336" i="5"/>
  <c r="K4336" i="5"/>
  <c r="J4336" i="5"/>
  <c r="I4336" i="5"/>
  <c r="H4336" i="5"/>
  <c r="V4335" i="5"/>
  <c r="U4335" i="5"/>
  <c r="T4335" i="5"/>
  <c r="S4335" i="5"/>
  <c r="R4335" i="5"/>
  <c r="Q4335" i="5"/>
  <c r="P4335" i="5"/>
  <c r="O4335" i="5"/>
  <c r="N4335" i="5"/>
  <c r="M4335" i="5"/>
  <c r="L4335" i="5"/>
  <c r="K4335" i="5"/>
  <c r="J4335" i="5"/>
  <c r="I4335" i="5"/>
  <c r="H4335" i="5"/>
  <c r="V4334" i="5"/>
  <c r="U4334" i="5"/>
  <c r="T4334" i="5"/>
  <c r="S4334" i="5"/>
  <c r="R4334" i="5"/>
  <c r="Q4334" i="5"/>
  <c r="P4334" i="5"/>
  <c r="V4333" i="5"/>
  <c r="U4333" i="5"/>
  <c r="T4333" i="5"/>
  <c r="S4333" i="5"/>
  <c r="R4333" i="5"/>
  <c r="Q4333" i="5"/>
  <c r="P4333" i="5"/>
  <c r="O4333" i="5"/>
  <c r="N4333" i="5"/>
  <c r="M4333" i="5"/>
  <c r="L4333" i="5"/>
  <c r="K4333" i="5"/>
  <c r="J4333" i="5"/>
  <c r="I4333" i="5"/>
  <c r="H4333" i="5"/>
  <c r="U4332" i="5"/>
  <c r="T4332" i="5"/>
  <c r="S4332" i="5"/>
  <c r="R4332" i="5"/>
  <c r="Q4332" i="5"/>
  <c r="P4332" i="5"/>
  <c r="O4332" i="5"/>
  <c r="N4332" i="5"/>
  <c r="M4332" i="5"/>
  <c r="L4332" i="5"/>
  <c r="K4332" i="5"/>
  <c r="J4332" i="5"/>
  <c r="I4332" i="5"/>
  <c r="H4332" i="5"/>
  <c r="V4331" i="5"/>
  <c r="U4331" i="5"/>
  <c r="T4331" i="5"/>
  <c r="S4331" i="5"/>
  <c r="R4331" i="5"/>
  <c r="Q4331" i="5"/>
  <c r="P4331" i="5"/>
  <c r="O4331" i="5"/>
  <c r="N4331" i="5"/>
  <c r="M4331" i="5"/>
  <c r="L4331" i="5"/>
  <c r="K4331" i="5"/>
  <c r="J4331" i="5"/>
  <c r="I4331" i="5"/>
  <c r="H4331" i="5"/>
  <c r="V4330" i="5"/>
  <c r="O4330" i="5"/>
  <c r="N4330" i="5"/>
  <c r="M4330" i="5"/>
  <c r="L4330" i="5"/>
  <c r="K4330" i="5"/>
  <c r="J4330" i="5"/>
  <c r="I4330" i="5"/>
  <c r="H4330" i="5"/>
  <c r="V4329" i="5"/>
  <c r="U4329" i="5"/>
  <c r="T4329" i="5"/>
  <c r="S4329" i="5"/>
  <c r="R4329" i="5"/>
  <c r="Q4329" i="5"/>
  <c r="P4329" i="5"/>
  <c r="O4329" i="5"/>
  <c r="N4329" i="5"/>
  <c r="M4329" i="5"/>
  <c r="L4329" i="5"/>
  <c r="K4329" i="5"/>
  <c r="J4329" i="5"/>
  <c r="I4329" i="5"/>
  <c r="H4329" i="5"/>
  <c r="V4328" i="5"/>
  <c r="U4328" i="5"/>
  <c r="T4328" i="5"/>
  <c r="S4328" i="5"/>
  <c r="R4328" i="5"/>
  <c r="Q4328" i="5"/>
  <c r="P4328" i="5"/>
  <c r="O4328" i="5"/>
  <c r="N4328" i="5"/>
  <c r="M4328" i="5"/>
  <c r="L4328" i="5"/>
  <c r="K4328" i="5"/>
  <c r="J4328" i="5"/>
  <c r="I4328" i="5"/>
  <c r="H4328" i="5"/>
  <c r="V4327" i="5"/>
  <c r="U4327" i="5"/>
  <c r="T4327" i="5"/>
  <c r="S4327" i="5"/>
  <c r="R4327" i="5"/>
  <c r="Q4327" i="5"/>
  <c r="P4327" i="5"/>
  <c r="O4327" i="5"/>
  <c r="N4327" i="5"/>
  <c r="M4327" i="5"/>
  <c r="L4327" i="5"/>
  <c r="K4327" i="5"/>
  <c r="J4327" i="5"/>
  <c r="I4327" i="5"/>
  <c r="H4327" i="5"/>
  <c r="V4326" i="5"/>
  <c r="U4326" i="5"/>
  <c r="T4326" i="5"/>
  <c r="S4326" i="5"/>
  <c r="R4326" i="5"/>
  <c r="Q4326" i="5"/>
  <c r="P4326" i="5"/>
  <c r="O4326" i="5"/>
  <c r="N4326" i="5"/>
  <c r="M4326" i="5"/>
  <c r="L4326" i="5"/>
  <c r="K4326" i="5"/>
  <c r="J4326" i="5"/>
  <c r="I4326" i="5"/>
  <c r="H4326" i="5"/>
  <c r="V4325" i="5"/>
  <c r="U4325" i="5"/>
  <c r="T4325" i="5"/>
  <c r="S4325" i="5"/>
  <c r="R4325" i="5"/>
  <c r="Q4325" i="5"/>
  <c r="P4325" i="5"/>
  <c r="O4325" i="5"/>
  <c r="N4325" i="5"/>
  <c r="M4325" i="5"/>
  <c r="L4325" i="5"/>
  <c r="K4325" i="5"/>
  <c r="J4325" i="5"/>
  <c r="I4325" i="5"/>
  <c r="H4325" i="5"/>
  <c r="V4324" i="5"/>
  <c r="U4324" i="5"/>
  <c r="T4324" i="5"/>
  <c r="S4324" i="5"/>
  <c r="R4324" i="5"/>
  <c r="Q4324" i="5"/>
  <c r="P4324" i="5"/>
  <c r="V4323" i="5"/>
  <c r="U4323" i="5"/>
  <c r="T4323" i="5"/>
  <c r="S4323" i="5"/>
  <c r="R4323" i="5"/>
  <c r="Q4323" i="5"/>
  <c r="P4323" i="5"/>
  <c r="O4323" i="5"/>
  <c r="N4323" i="5"/>
  <c r="M4323" i="5"/>
  <c r="L4323" i="5"/>
  <c r="K4323" i="5"/>
  <c r="J4323" i="5"/>
  <c r="I4323" i="5"/>
  <c r="H4323" i="5"/>
  <c r="U4322" i="5"/>
  <c r="T4322" i="5"/>
  <c r="S4322" i="5"/>
  <c r="R4322" i="5"/>
  <c r="Q4322" i="5"/>
  <c r="P4322" i="5"/>
  <c r="O4322" i="5"/>
  <c r="N4322" i="5"/>
  <c r="M4322" i="5"/>
  <c r="L4322" i="5"/>
  <c r="K4322" i="5"/>
  <c r="J4322" i="5"/>
  <c r="I4322" i="5"/>
  <c r="H4322" i="5"/>
  <c r="V4321" i="5"/>
  <c r="U4321" i="5"/>
  <c r="T4321" i="5"/>
  <c r="S4321" i="5"/>
  <c r="R4321" i="5"/>
  <c r="Q4321" i="5"/>
  <c r="P4321" i="5"/>
  <c r="O4321" i="5"/>
  <c r="N4321" i="5"/>
  <c r="M4321" i="5"/>
  <c r="L4321" i="5"/>
  <c r="K4321" i="5"/>
  <c r="J4321" i="5"/>
  <c r="I4321" i="5"/>
  <c r="H4321" i="5"/>
  <c r="V4320" i="5"/>
  <c r="O4320" i="5"/>
  <c r="N4320" i="5"/>
  <c r="M4320" i="5"/>
  <c r="L4320" i="5"/>
  <c r="K4320" i="5"/>
  <c r="J4320" i="5"/>
  <c r="I4320" i="5"/>
  <c r="H4320" i="5"/>
  <c r="V4319" i="5"/>
  <c r="U4319" i="5"/>
  <c r="T4319" i="5"/>
  <c r="S4319" i="5"/>
  <c r="R4319" i="5"/>
  <c r="Q4319" i="5"/>
  <c r="P4319" i="5"/>
  <c r="O4319" i="5"/>
  <c r="N4319" i="5"/>
  <c r="M4319" i="5"/>
  <c r="L4319" i="5"/>
  <c r="K4319" i="5"/>
  <c r="J4319" i="5"/>
  <c r="I4319" i="5"/>
  <c r="H4319" i="5"/>
  <c r="V4318" i="5"/>
  <c r="U4318" i="5"/>
  <c r="T4318" i="5"/>
  <c r="S4318" i="5"/>
  <c r="R4318" i="5"/>
  <c r="Q4318" i="5"/>
  <c r="P4318" i="5"/>
  <c r="O4318" i="5"/>
  <c r="N4318" i="5"/>
  <c r="M4318" i="5"/>
  <c r="L4318" i="5"/>
  <c r="K4318" i="5"/>
  <c r="J4318" i="5"/>
  <c r="I4318" i="5"/>
  <c r="H4318" i="5"/>
  <c r="V4317" i="5"/>
  <c r="U4317" i="5"/>
  <c r="T4317" i="5"/>
  <c r="S4317" i="5"/>
  <c r="R4317" i="5"/>
  <c r="Q4317" i="5"/>
  <c r="P4317" i="5"/>
  <c r="O4317" i="5"/>
  <c r="N4317" i="5"/>
  <c r="M4317" i="5"/>
  <c r="L4317" i="5"/>
  <c r="K4317" i="5"/>
  <c r="J4317" i="5"/>
  <c r="I4317" i="5"/>
  <c r="H4317" i="5"/>
  <c r="V4316" i="5"/>
  <c r="U4316" i="5"/>
  <c r="T4316" i="5"/>
  <c r="S4316" i="5"/>
  <c r="R4316" i="5"/>
  <c r="Q4316" i="5"/>
  <c r="P4316" i="5"/>
  <c r="O4316" i="5"/>
  <c r="N4316" i="5"/>
  <c r="M4316" i="5"/>
  <c r="L4316" i="5"/>
  <c r="K4316" i="5"/>
  <c r="J4316" i="5"/>
  <c r="I4316" i="5"/>
  <c r="H4316" i="5"/>
  <c r="V4315" i="5"/>
  <c r="U4315" i="5"/>
  <c r="T4315" i="5"/>
  <c r="S4315" i="5"/>
  <c r="R4315" i="5"/>
  <c r="Q4315" i="5"/>
  <c r="P4315" i="5"/>
  <c r="O4315" i="5"/>
  <c r="N4315" i="5"/>
  <c r="M4315" i="5"/>
  <c r="L4315" i="5"/>
  <c r="K4315" i="5"/>
  <c r="J4315" i="5"/>
  <c r="I4315" i="5"/>
  <c r="H4315" i="5"/>
  <c r="V4314" i="5"/>
  <c r="U4314" i="5"/>
  <c r="T4314" i="5"/>
  <c r="S4314" i="5"/>
  <c r="R4314" i="5"/>
  <c r="Q4314" i="5"/>
  <c r="P4314" i="5"/>
  <c r="V4313" i="5"/>
  <c r="U4313" i="5"/>
  <c r="T4313" i="5"/>
  <c r="S4313" i="5"/>
  <c r="R4313" i="5"/>
  <c r="Q4313" i="5"/>
  <c r="P4313" i="5"/>
  <c r="O4313" i="5"/>
  <c r="N4313" i="5"/>
  <c r="M4313" i="5"/>
  <c r="L4313" i="5"/>
  <c r="K4313" i="5"/>
  <c r="J4313" i="5"/>
  <c r="I4313" i="5"/>
  <c r="H4313" i="5"/>
  <c r="U4312" i="5"/>
  <c r="T4312" i="5"/>
  <c r="S4312" i="5"/>
  <c r="R4312" i="5"/>
  <c r="Q4312" i="5"/>
  <c r="P4312" i="5"/>
  <c r="O4312" i="5"/>
  <c r="N4312" i="5"/>
  <c r="M4312" i="5"/>
  <c r="L4312" i="5"/>
  <c r="K4312" i="5"/>
  <c r="J4312" i="5"/>
  <c r="I4312" i="5"/>
  <c r="H4312" i="5"/>
  <c r="V4311" i="5"/>
  <c r="U4311" i="5"/>
  <c r="T4311" i="5"/>
  <c r="S4311" i="5"/>
  <c r="R4311" i="5"/>
  <c r="Q4311" i="5"/>
  <c r="P4311" i="5"/>
  <c r="O4311" i="5"/>
  <c r="N4311" i="5"/>
  <c r="M4311" i="5"/>
  <c r="L4311" i="5"/>
  <c r="K4311" i="5"/>
  <c r="J4311" i="5"/>
  <c r="I4311" i="5"/>
  <c r="H4311" i="5"/>
  <c r="V4310" i="5"/>
  <c r="O4310" i="5"/>
  <c r="N4310" i="5"/>
  <c r="M4310" i="5"/>
  <c r="L4310" i="5"/>
  <c r="K4310" i="5"/>
  <c r="J4310" i="5"/>
  <c r="I4310" i="5"/>
  <c r="H4310" i="5"/>
  <c r="V4309" i="5"/>
  <c r="U4309" i="5"/>
  <c r="T4309" i="5"/>
  <c r="S4309" i="5"/>
  <c r="R4309" i="5"/>
  <c r="Q4309" i="5"/>
  <c r="P4309" i="5"/>
  <c r="O4309" i="5"/>
  <c r="N4309" i="5"/>
  <c r="M4309" i="5"/>
  <c r="L4309" i="5"/>
  <c r="K4309" i="5"/>
  <c r="J4309" i="5"/>
  <c r="I4309" i="5"/>
  <c r="H4309" i="5"/>
  <c r="V4308" i="5"/>
  <c r="U4308" i="5"/>
  <c r="T4308" i="5"/>
  <c r="S4308" i="5"/>
  <c r="R4308" i="5"/>
  <c r="Q4308" i="5"/>
  <c r="P4308" i="5"/>
  <c r="O4308" i="5"/>
  <c r="N4308" i="5"/>
  <c r="M4308" i="5"/>
  <c r="L4308" i="5"/>
  <c r="K4308" i="5"/>
  <c r="J4308" i="5"/>
  <c r="I4308" i="5"/>
  <c r="H4308" i="5"/>
  <c r="V4307" i="5"/>
  <c r="U4307" i="5"/>
  <c r="T4307" i="5"/>
  <c r="S4307" i="5"/>
  <c r="R4307" i="5"/>
  <c r="Q4307" i="5"/>
  <c r="P4307" i="5"/>
  <c r="O4307" i="5"/>
  <c r="N4307" i="5"/>
  <c r="M4307" i="5"/>
  <c r="L4307" i="5"/>
  <c r="K4307" i="5"/>
  <c r="J4307" i="5"/>
  <c r="I4307" i="5"/>
  <c r="H4307" i="5"/>
  <c r="V4306" i="5"/>
  <c r="U4306" i="5"/>
  <c r="T4306" i="5"/>
  <c r="S4306" i="5"/>
  <c r="R4306" i="5"/>
  <c r="Q4306" i="5"/>
  <c r="P4306" i="5"/>
  <c r="O4306" i="5"/>
  <c r="N4306" i="5"/>
  <c r="M4306" i="5"/>
  <c r="L4306" i="5"/>
  <c r="K4306" i="5"/>
  <c r="J4306" i="5"/>
  <c r="I4306" i="5"/>
  <c r="H4306" i="5"/>
  <c r="V4305" i="5"/>
  <c r="U4305" i="5"/>
  <c r="T4305" i="5"/>
  <c r="S4305" i="5"/>
  <c r="R4305" i="5"/>
  <c r="Q4305" i="5"/>
  <c r="P4305" i="5"/>
  <c r="O4305" i="5"/>
  <c r="N4305" i="5"/>
  <c r="M4305" i="5"/>
  <c r="L4305" i="5"/>
  <c r="K4305" i="5"/>
  <c r="J4305" i="5"/>
  <c r="I4305" i="5"/>
  <c r="H4305" i="5"/>
  <c r="V4304" i="5"/>
  <c r="U4304" i="5"/>
  <c r="T4304" i="5"/>
  <c r="S4304" i="5"/>
  <c r="R4304" i="5"/>
  <c r="Q4304" i="5"/>
  <c r="P4304" i="5"/>
  <c r="V4303" i="5"/>
  <c r="U4303" i="5"/>
  <c r="T4303" i="5"/>
  <c r="S4303" i="5"/>
  <c r="R4303" i="5"/>
  <c r="Q4303" i="5"/>
  <c r="P4303" i="5"/>
  <c r="O4303" i="5"/>
  <c r="N4303" i="5"/>
  <c r="M4303" i="5"/>
  <c r="L4303" i="5"/>
  <c r="K4303" i="5"/>
  <c r="J4303" i="5"/>
  <c r="I4303" i="5"/>
  <c r="H4303" i="5"/>
  <c r="U4302" i="5"/>
  <c r="T4302" i="5"/>
  <c r="S4302" i="5"/>
  <c r="R4302" i="5"/>
  <c r="Q4302" i="5"/>
  <c r="P4302" i="5"/>
  <c r="O4302" i="5"/>
  <c r="N4302" i="5"/>
  <c r="M4302" i="5"/>
  <c r="L4302" i="5"/>
  <c r="K4302" i="5"/>
  <c r="J4302" i="5"/>
  <c r="I4302" i="5"/>
  <c r="H4302" i="5"/>
  <c r="V4301" i="5"/>
  <c r="U4301" i="5"/>
  <c r="T4301" i="5"/>
  <c r="S4301" i="5"/>
  <c r="R4301" i="5"/>
  <c r="Q4301" i="5"/>
  <c r="P4301" i="5"/>
  <c r="O4301" i="5"/>
  <c r="N4301" i="5"/>
  <c r="M4301" i="5"/>
  <c r="L4301" i="5"/>
  <c r="K4301" i="5"/>
  <c r="J4301" i="5"/>
  <c r="I4301" i="5"/>
  <c r="H4301" i="5"/>
  <c r="V4300" i="5"/>
  <c r="O4300" i="5"/>
  <c r="N4300" i="5"/>
  <c r="M4300" i="5"/>
  <c r="L4300" i="5"/>
  <c r="K4300" i="5"/>
  <c r="J4300" i="5"/>
  <c r="I4300" i="5"/>
  <c r="H4300" i="5"/>
  <c r="V4299" i="5"/>
  <c r="U4299" i="5"/>
  <c r="T4299" i="5"/>
  <c r="S4299" i="5"/>
  <c r="R4299" i="5"/>
  <c r="Q4299" i="5"/>
  <c r="P4299" i="5"/>
  <c r="O4299" i="5"/>
  <c r="N4299" i="5"/>
  <c r="M4299" i="5"/>
  <c r="L4299" i="5"/>
  <c r="K4299" i="5"/>
  <c r="J4299" i="5"/>
  <c r="I4299" i="5"/>
  <c r="H4299" i="5"/>
  <c r="V4298" i="5"/>
  <c r="U4298" i="5"/>
  <c r="T4298" i="5"/>
  <c r="S4298" i="5"/>
  <c r="R4298" i="5"/>
  <c r="Q4298" i="5"/>
  <c r="P4298" i="5"/>
  <c r="O4298" i="5"/>
  <c r="N4298" i="5"/>
  <c r="M4298" i="5"/>
  <c r="L4298" i="5"/>
  <c r="K4298" i="5"/>
  <c r="J4298" i="5"/>
  <c r="I4298" i="5"/>
  <c r="H4298" i="5"/>
  <c r="V4297" i="5"/>
  <c r="U4297" i="5"/>
  <c r="T4297" i="5"/>
  <c r="S4297" i="5"/>
  <c r="R4297" i="5"/>
  <c r="Q4297" i="5"/>
  <c r="P4297" i="5"/>
  <c r="O4297" i="5"/>
  <c r="N4297" i="5"/>
  <c r="M4297" i="5"/>
  <c r="L4297" i="5"/>
  <c r="K4297" i="5"/>
  <c r="J4297" i="5"/>
  <c r="I4297" i="5"/>
  <c r="H4297" i="5"/>
  <c r="V4296" i="5"/>
  <c r="U4296" i="5"/>
  <c r="T4296" i="5"/>
  <c r="S4296" i="5"/>
  <c r="R4296" i="5"/>
  <c r="Q4296" i="5"/>
  <c r="P4296" i="5"/>
  <c r="O4296" i="5"/>
  <c r="N4296" i="5"/>
  <c r="M4296" i="5"/>
  <c r="L4296" i="5"/>
  <c r="K4296" i="5"/>
  <c r="J4296" i="5"/>
  <c r="I4296" i="5"/>
  <c r="H4296" i="5"/>
  <c r="V4295" i="5"/>
  <c r="U4295" i="5"/>
  <c r="T4295" i="5"/>
  <c r="S4295" i="5"/>
  <c r="R4295" i="5"/>
  <c r="Q4295" i="5"/>
  <c r="P4295" i="5"/>
  <c r="O4295" i="5"/>
  <c r="N4295" i="5"/>
  <c r="M4295" i="5"/>
  <c r="L4295" i="5"/>
  <c r="K4295" i="5"/>
  <c r="J4295" i="5"/>
  <c r="I4295" i="5"/>
  <c r="H4295" i="5"/>
  <c r="V4294" i="5"/>
  <c r="U4294" i="5"/>
  <c r="T4294" i="5"/>
  <c r="S4294" i="5"/>
  <c r="R4294" i="5"/>
  <c r="Q4294" i="5"/>
  <c r="P4294" i="5"/>
  <c r="V4293" i="5"/>
  <c r="U4293" i="5"/>
  <c r="T4293" i="5"/>
  <c r="S4293" i="5"/>
  <c r="R4293" i="5"/>
  <c r="Q4293" i="5"/>
  <c r="P4293" i="5"/>
  <c r="O4293" i="5"/>
  <c r="N4293" i="5"/>
  <c r="M4293" i="5"/>
  <c r="L4293" i="5"/>
  <c r="K4293" i="5"/>
  <c r="J4293" i="5"/>
  <c r="I4293" i="5"/>
  <c r="H4293" i="5"/>
  <c r="U4292" i="5"/>
  <c r="T4292" i="5"/>
  <c r="S4292" i="5"/>
  <c r="R4292" i="5"/>
  <c r="Q4292" i="5"/>
  <c r="P4292" i="5"/>
  <c r="O4292" i="5"/>
  <c r="N4292" i="5"/>
  <c r="M4292" i="5"/>
  <c r="L4292" i="5"/>
  <c r="K4292" i="5"/>
  <c r="J4292" i="5"/>
  <c r="I4292" i="5"/>
  <c r="H4292" i="5"/>
  <c r="V4291" i="5"/>
  <c r="U4291" i="5"/>
  <c r="T4291" i="5"/>
  <c r="S4291" i="5"/>
  <c r="R4291" i="5"/>
  <c r="Q4291" i="5"/>
  <c r="P4291" i="5"/>
  <c r="O4291" i="5"/>
  <c r="N4291" i="5"/>
  <c r="M4291" i="5"/>
  <c r="L4291" i="5"/>
  <c r="K4291" i="5"/>
  <c r="J4291" i="5"/>
  <c r="I4291" i="5"/>
  <c r="H4291" i="5"/>
  <c r="V4290" i="5"/>
  <c r="O4290" i="5"/>
  <c r="N4290" i="5"/>
  <c r="M4290" i="5"/>
  <c r="L4290" i="5"/>
  <c r="K4290" i="5"/>
  <c r="J4290" i="5"/>
  <c r="I4290" i="5"/>
  <c r="H4290" i="5"/>
  <c r="V4289" i="5"/>
  <c r="U4289" i="5"/>
  <c r="T4289" i="5"/>
  <c r="S4289" i="5"/>
  <c r="R4289" i="5"/>
  <c r="Q4289" i="5"/>
  <c r="P4289" i="5"/>
  <c r="O4289" i="5"/>
  <c r="N4289" i="5"/>
  <c r="M4289" i="5"/>
  <c r="L4289" i="5"/>
  <c r="K4289" i="5"/>
  <c r="J4289" i="5"/>
  <c r="I4289" i="5"/>
  <c r="H4289" i="5"/>
  <c r="V4288" i="5"/>
  <c r="U4288" i="5"/>
  <c r="T4288" i="5"/>
  <c r="S4288" i="5"/>
  <c r="R4288" i="5"/>
  <c r="Q4288" i="5"/>
  <c r="P4288" i="5"/>
  <c r="O4288" i="5"/>
  <c r="N4288" i="5"/>
  <c r="M4288" i="5"/>
  <c r="L4288" i="5"/>
  <c r="K4288" i="5"/>
  <c r="J4288" i="5"/>
  <c r="I4288" i="5"/>
  <c r="H4288" i="5"/>
  <c r="V4287" i="5"/>
  <c r="U4287" i="5"/>
  <c r="T4287" i="5"/>
  <c r="S4287" i="5"/>
  <c r="R4287" i="5"/>
  <c r="Q4287" i="5"/>
  <c r="P4287" i="5"/>
  <c r="V4286" i="5"/>
  <c r="U4286" i="5"/>
  <c r="T4286" i="5"/>
  <c r="S4286" i="5"/>
  <c r="R4286" i="5"/>
  <c r="Q4286" i="5"/>
  <c r="P4286" i="5"/>
  <c r="U4285" i="5"/>
  <c r="T4285" i="5"/>
  <c r="S4285" i="5"/>
  <c r="R4285" i="5"/>
  <c r="Q4285" i="5"/>
  <c r="P4285" i="5"/>
  <c r="U4284" i="5"/>
  <c r="T4284" i="5"/>
  <c r="S4284" i="5"/>
  <c r="R4284" i="5"/>
  <c r="Q4284" i="5"/>
  <c r="P4284" i="5"/>
  <c r="O4277" i="5"/>
  <c r="N4277" i="5"/>
  <c r="M4277" i="5"/>
  <c r="L4277" i="5"/>
  <c r="K4277" i="5"/>
  <c r="J4277" i="5"/>
  <c r="I4277" i="5"/>
  <c r="H4277" i="5"/>
  <c r="O4276" i="5"/>
  <c r="N4276" i="5"/>
  <c r="M4276" i="5"/>
  <c r="L4276" i="5"/>
  <c r="K4276" i="5"/>
  <c r="J4276" i="5"/>
  <c r="I4276" i="5"/>
  <c r="H4276" i="5"/>
  <c r="V4275" i="5"/>
  <c r="O4275" i="5"/>
  <c r="N4275" i="5"/>
  <c r="M4275" i="5"/>
  <c r="L4275" i="5"/>
  <c r="K4275" i="5"/>
  <c r="J4275" i="5"/>
  <c r="I4275" i="5"/>
  <c r="H4275" i="5"/>
  <c r="V4274" i="5"/>
  <c r="V4273" i="5"/>
  <c r="U4273" i="5"/>
  <c r="T4273" i="5"/>
  <c r="S4273" i="5"/>
  <c r="R4273" i="5"/>
  <c r="Q4273" i="5"/>
  <c r="P4273" i="5"/>
  <c r="O4273" i="5"/>
  <c r="N4273" i="5"/>
  <c r="M4273" i="5"/>
  <c r="L4273" i="5"/>
  <c r="K4273" i="5"/>
  <c r="J4273" i="5"/>
  <c r="I4273" i="5"/>
  <c r="H4273" i="5"/>
  <c r="U4272" i="5"/>
  <c r="T4272" i="5"/>
  <c r="S4272" i="5"/>
  <c r="R4272" i="5"/>
  <c r="Q4272" i="5"/>
  <c r="P4272" i="5"/>
  <c r="O4272" i="5"/>
  <c r="N4272" i="5"/>
  <c r="M4272" i="5"/>
  <c r="L4272" i="5"/>
  <c r="K4272" i="5"/>
  <c r="J4272" i="5"/>
  <c r="I4272" i="5"/>
  <c r="H4272" i="5"/>
  <c r="V4271" i="5"/>
  <c r="U4271" i="5"/>
  <c r="T4271" i="5"/>
  <c r="S4271" i="5"/>
  <c r="R4271" i="5"/>
  <c r="Q4271" i="5"/>
  <c r="P4271" i="5"/>
  <c r="O4271" i="5"/>
  <c r="N4271" i="5"/>
  <c r="M4271" i="5"/>
  <c r="L4271" i="5"/>
  <c r="K4271" i="5"/>
  <c r="J4271" i="5"/>
  <c r="I4271" i="5"/>
  <c r="H4271" i="5"/>
  <c r="V4270" i="5"/>
  <c r="O4270" i="5"/>
  <c r="N4270" i="5"/>
  <c r="M4270" i="5"/>
  <c r="L4270" i="5"/>
  <c r="K4270" i="5"/>
  <c r="J4270" i="5"/>
  <c r="I4270" i="5"/>
  <c r="H4270" i="5"/>
  <c r="V4269" i="5"/>
  <c r="U4269" i="5"/>
  <c r="T4269" i="5"/>
  <c r="S4269" i="5"/>
  <c r="R4269" i="5"/>
  <c r="Q4269" i="5"/>
  <c r="P4269" i="5"/>
  <c r="O4269" i="5"/>
  <c r="N4269" i="5"/>
  <c r="M4269" i="5"/>
  <c r="L4269" i="5"/>
  <c r="K4269" i="5"/>
  <c r="J4269" i="5"/>
  <c r="I4269" i="5"/>
  <c r="H4269" i="5"/>
  <c r="V4268" i="5"/>
  <c r="U4268" i="5"/>
  <c r="T4268" i="5"/>
  <c r="S4268" i="5"/>
  <c r="R4268" i="5"/>
  <c r="Q4268" i="5"/>
  <c r="P4268" i="5"/>
  <c r="O4268" i="5"/>
  <c r="N4268" i="5"/>
  <c r="M4268" i="5"/>
  <c r="L4268" i="5"/>
  <c r="K4268" i="5"/>
  <c r="J4268" i="5"/>
  <c r="I4268" i="5"/>
  <c r="H4268" i="5"/>
  <c r="V4267" i="5"/>
  <c r="U4267" i="5"/>
  <c r="T4267" i="5"/>
  <c r="S4267" i="5"/>
  <c r="R4267" i="5"/>
  <c r="Q4267" i="5"/>
  <c r="P4267" i="5"/>
  <c r="O4267" i="5"/>
  <c r="N4267" i="5"/>
  <c r="M4267" i="5"/>
  <c r="L4267" i="5"/>
  <c r="K4267" i="5"/>
  <c r="J4267" i="5"/>
  <c r="I4267" i="5"/>
  <c r="H4267" i="5"/>
  <c r="V4266" i="5"/>
  <c r="U4266" i="5"/>
  <c r="T4266" i="5"/>
  <c r="S4266" i="5"/>
  <c r="R4266" i="5"/>
  <c r="Q4266" i="5"/>
  <c r="P4266" i="5"/>
  <c r="O4266" i="5"/>
  <c r="N4266" i="5"/>
  <c r="M4266" i="5"/>
  <c r="L4266" i="5"/>
  <c r="K4266" i="5"/>
  <c r="J4266" i="5"/>
  <c r="I4266" i="5"/>
  <c r="H4266" i="5"/>
  <c r="V4265" i="5"/>
  <c r="U4265" i="5"/>
  <c r="T4265" i="5"/>
  <c r="S4265" i="5"/>
  <c r="R4265" i="5"/>
  <c r="Q4265" i="5"/>
  <c r="P4265" i="5"/>
  <c r="O4265" i="5"/>
  <c r="N4265" i="5"/>
  <c r="M4265" i="5"/>
  <c r="L4265" i="5"/>
  <c r="K4265" i="5"/>
  <c r="J4265" i="5"/>
  <c r="I4265" i="5"/>
  <c r="H4265" i="5"/>
  <c r="V4264" i="5"/>
  <c r="U4264" i="5"/>
  <c r="T4264" i="5"/>
  <c r="S4264" i="5"/>
  <c r="R4264" i="5"/>
  <c r="Q4264" i="5"/>
  <c r="P4264" i="5"/>
  <c r="V4263" i="5"/>
  <c r="U4263" i="5"/>
  <c r="T4263" i="5"/>
  <c r="S4263" i="5"/>
  <c r="R4263" i="5"/>
  <c r="Q4263" i="5"/>
  <c r="P4263" i="5"/>
  <c r="O4263" i="5"/>
  <c r="N4263" i="5"/>
  <c r="M4263" i="5"/>
  <c r="L4263" i="5"/>
  <c r="K4263" i="5"/>
  <c r="J4263" i="5"/>
  <c r="I4263" i="5"/>
  <c r="H4263" i="5"/>
  <c r="U4262" i="5"/>
  <c r="T4262" i="5"/>
  <c r="S4262" i="5"/>
  <c r="R4262" i="5"/>
  <c r="Q4262" i="5"/>
  <c r="P4262" i="5"/>
  <c r="O4262" i="5"/>
  <c r="N4262" i="5"/>
  <c r="M4262" i="5"/>
  <c r="L4262" i="5"/>
  <c r="K4262" i="5"/>
  <c r="J4262" i="5"/>
  <c r="I4262" i="5"/>
  <c r="H4262" i="5"/>
  <c r="V4261" i="5"/>
  <c r="U4261" i="5"/>
  <c r="T4261" i="5"/>
  <c r="S4261" i="5"/>
  <c r="R4261" i="5"/>
  <c r="Q4261" i="5"/>
  <c r="P4261" i="5"/>
  <c r="O4261" i="5"/>
  <c r="N4261" i="5"/>
  <c r="M4261" i="5"/>
  <c r="L4261" i="5"/>
  <c r="K4261" i="5"/>
  <c r="J4261" i="5"/>
  <c r="I4261" i="5"/>
  <c r="H4261" i="5"/>
  <c r="V4260" i="5"/>
  <c r="O4260" i="5"/>
  <c r="N4260" i="5"/>
  <c r="M4260" i="5"/>
  <c r="L4260" i="5"/>
  <c r="K4260" i="5"/>
  <c r="J4260" i="5"/>
  <c r="I4260" i="5"/>
  <c r="H4260" i="5"/>
  <c r="V4259" i="5"/>
  <c r="U4259" i="5"/>
  <c r="T4259" i="5"/>
  <c r="S4259" i="5"/>
  <c r="R4259" i="5"/>
  <c r="Q4259" i="5"/>
  <c r="P4259" i="5"/>
  <c r="O4259" i="5"/>
  <c r="N4259" i="5"/>
  <c r="M4259" i="5"/>
  <c r="L4259" i="5"/>
  <c r="K4259" i="5"/>
  <c r="J4259" i="5"/>
  <c r="I4259" i="5"/>
  <c r="H4259" i="5"/>
  <c r="V4258" i="5"/>
  <c r="U4258" i="5"/>
  <c r="T4258" i="5"/>
  <c r="S4258" i="5"/>
  <c r="R4258" i="5"/>
  <c r="Q4258" i="5"/>
  <c r="P4258" i="5"/>
  <c r="O4258" i="5"/>
  <c r="N4258" i="5"/>
  <c r="M4258" i="5"/>
  <c r="L4258" i="5"/>
  <c r="K4258" i="5"/>
  <c r="J4258" i="5"/>
  <c r="I4258" i="5"/>
  <c r="H4258" i="5"/>
  <c r="V4257" i="5"/>
  <c r="U4257" i="5"/>
  <c r="T4257" i="5"/>
  <c r="S4257" i="5"/>
  <c r="R4257" i="5"/>
  <c r="Q4257" i="5"/>
  <c r="P4257" i="5"/>
  <c r="O4257" i="5"/>
  <c r="N4257" i="5"/>
  <c r="M4257" i="5"/>
  <c r="L4257" i="5"/>
  <c r="K4257" i="5"/>
  <c r="J4257" i="5"/>
  <c r="I4257" i="5"/>
  <c r="H4257" i="5"/>
  <c r="V4256" i="5"/>
  <c r="U4256" i="5"/>
  <c r="T4256" i="5"/>
  <c r="S4256" i="5"/>
  <c r="R4256" i="5"/>
  <c r="Q4256" i="5"/>
  <c r="P4256" i="5"/>
  <c r="O4256" i="5"/>
  <c r="N4256" i="5"/>
  <c r="M4256" i="5"/>
  <c r="L4256" i="5"/>
  <c r="K4256" i="5"/>
  <c r="J4256" i="5"/>
  <c r="I4256" i="5"/>
  <c r="H4256" i="5"/>
  <c r="V4255" i="5"/>
  <c r="U4255" i="5"/>
  <c r="T4255" i="5"/>
  <c r="S4255" i="5"/>
  <c r="R4255" i="5"/>
  <c r="Q4255" i="5"/>
  <c r="P4255" i="5"/>
  <c r="O4255" i="5"/>
  <c r="N4255" i="5"/>
  <c r="M4255" i="5"/>
  <c r="L4255" i="5"/>
  <c r="K4255" i="5"/>
  <c r="J4255" i="5"/>
  <c r="I4255" i="5"/>
  <c r="H4255" i="5"/>
  <c r="V4254" i="5"/>
  <c r="U4254" i="5"/>
  <c r="T4254" i="5"/>
  <c r="S4254" i="5"/>
  <c r="R4254" i="5"/>
  <c r="Q4254" i="5"/>
  <c r="P4254" i="5"/>
  <c r="V4253" i="5"/>
  <c r="U4253" i="5"/>
  <c r="T4253" i="5"/>
  <c r="S4253" i="5"/>
  <c r="R4253" i="5"/>
  <c r="Q4253" i="5"/>
  <c r="P4253" i="5"/>
  <c r="O4253" i="5"/>
  <c r="N4253" i="5"/>
  <c r="M4253" i="5"/>
  <c r="L4253" i="5"/>
  <c r="K4253" i="5"/>
  <c r="J4253" i="5"/>
  <c r="I4253" i="5"/>
  <c r="H4253" i="5"/>
  <c r="U4252" i="5"/>
  <c r="T4252" i="5"/>
  <c r="S4252" i="5"/>
  <c r="R4252" i="5"/>
  <c r="Q4252" i="5"/>
  <c r="P4252" i="5"/>
  <c r="O4252" i="5"/>
  <c r="N4252" i="5"/>
  <c r="M4252" i="5"/>
  <c r="L4252" i="5"/>
  <c r="K4252" i="5"/>
  <c r="J4252" i="5"/>
  <c r="I4252" i="5"/>
  <c r="H4252" i="5"/>
  <c r="V4251" i="5"/>
  <c r="U4251" i="5"/>
  <c r="T4251" i="5"/>
  <c r="S4251" i="5"/>
  <c r="R4251" i="5"/>
  <c r="Q4251" i="5"/>
  <c r="P4251" i="5"/>
  <c r="O4251" i="5"/>
  <c r="N4251" i="5"/>
  <c r="M4251" i="5"/>
  <c r="L4251" i="5"/>
  <c r="K4251" i="5"/>
  <c r="J4251" i="5"/>
  <c r="I4251" i="5"/>
  <c r="H4251" i="5"/>
  <c r="V4250" i="5"/>
  <c r="O4250" i="5"/>
  <c r="N4250" i="5"/>
  <c r="M4250" i="5"/>
  <c r="L4250" i="5"/>
  <c r="K4250" i="5"/>
  <c r="J4250" i="5"/>
  <c r="I4250" i="5"/>
  <c r="H4250" i="5"/>
  <c r="V4249" i="5"/>
  <c r="U4249" i="5"/>
  <c r="T4249" i="5"/>
  <c r="S4249" i="5"/>
  <c r="R4249" i="5"/>
  <c r="Q4249" i="5"/>
  <c r="P4249" i="5"/>
  <c r="O4249" i="5"/>
  <c r="N4249" i="5"/>
  <c r="M4249" i="5"/>
  <c r="L4249" i="5"/>
  <c r="K4249" i="5"/>
  <c r="J4249" i="5"/>
  <c r="I4249" i="5"/>
  <c r="H4249" i="5"/>
  <c r="V4248" i="5"/>
  <c r="U4248" i="5"/>
  <c r="T4248" i="5"/>
  <c r="S4248" i="5"/>
  <c r="R4248" i="5"/>
  <c r="Q4248" i="5"/>
  <c r="P4248" i="5"/>
  <c r="O4248" i="5"/>
  <c r="N4248" i="5"/>
  <c r="M4248" i="5"/>
  <c r="L4248" i="5"/>
  <c r="K4248" i="5"/>
  <c r="J4248" i="5"/>
  <c r="I4248" i="5"/>
  <c r="H4248" i="5"/>
  <c r="V4247" i="5"/>
  <c r="U4247" i="5"/>
  <c r="T4247" i="5"/>
  <c r="S4247" i="5"/>
  <c r="R4247" i="5"/>
  <c r="Q4247" i="5"/>
  <c r="P4247" i="5"/>
  <c r="O4247" i="5"/>
  <c r="N4247" i="5"/>
  <c r="M4247" i="5"/>
  <c r="L4247" i="5"/>
  <c r="K4247" i="5"/>
  <c r="J4247" i="5"/>
  <c r="I4247" i="5"/>
  <c r="H4247" i="5"/>
  <c r="V4246" i="5"/>
  <c r="U4246" i="5"/>
  <c r="T4246" i="5"/>
  <c r="S4246" i="5"/>
  <c r="R4246" i="5"/>
  <c r="Q4246" i="5"/>
  <c r="P4246" i="5"/>
  <c r="O4246" i="5"/>
  <c r="N4246" i="5"/>
  <c r="M4246" i="5"/>
  <c r="L4246" i="5"/>
  <c r="K4246" i="5"/>
  <c r="J4246" i="5"/>
  <c r="I4246" i="5"/>
  <c r="H4246" i="5"/>
  <c r="V4245" i="5"/>
  <c r="U4245" i="5"/>
  <c r="T4245" i="5"/>
  <c r="S4245" i="5"/>
  <c r="R4245" i="5"/>
  <c r="Q4245" i="5"/>
  <c r="P4245" i="5"/>
  <c r="O4245" i="5"/>
  <c r="N4245" i="5"/>
  <c r="M4245" i="5"/>
  <c r="L4245" i="5"/>
  <c r="K4245" i="5"/>
  <c r="J4245" i="5"/>
  <c r="I4245" i="5"/>
  <c r="H4245" i="5"/>
  <c r="V4244" i="5"/>
  <c r="U4244" i="5"/>
  <c r="T4244" i="5"/>
  <c r="S4244" i="5"/>
  <c r="R4244" i="5"/>
  <c r="Q4244" i="5"/>
  <c r="P4244" i="5"/>
  <c r="V4243" i="5"/>
  <c r="U4243" i="5"/>
  <c r="T4243" i="5"/>
  <c r="S4243" i="5"/>
  <c r="R4243" i="5"/>
  <c r="Q4243" i="5"/>
  <c r="P4243" i="5"/>
  <c r="O4243" i="5"/>
  <c r="N4243" i="5"/>
  <c r="M4243" i="5"/>
  <c r="L4243" i="5"/>
  <c r="K4243" i="5"/>
  <c r="J4243" i="5"/>
  <c r="I4243" i="5"/>
  <c r="H4243" i="5"/>
  <c r="U4242" i="5"/>
  <c r="T4242" i="5"/>
  <c r="S4242" i="5"/>
  <c r="R4242" i="5"/>
  <c r="Q4242" i="5"/>
  <c r="P4242" i="5"/>
  <c r="O4242" i="5"/>
  <c r="N4242" i="5"/>
  <c r="M4242" i="5"/>
  <c r="L4242" i="5"/>
  <c r="K4242" i="5"/>
  <c r="J4242" i="5"/>
  <c r="I4242" i="5"/>
  <c r="H4242" i="5"/>
  <c r="V4241" i="5"/>
  <c r="U4241" i="5"/>
  <c r="T4241" i="5"/>
  <c r="S4241" i="5"/>
  <c r="R4241" i="5"/>
  <c r="Q4241" i="5"/>
  <c r="P4241" i="5"/>
  <c r="O4241" i="5"/>
  <c r="N4241" i="5"/>
  <c r="M4241" i="5"/>
  <c r="L4241" i="5"/>
  <c r="K4241" i="5"/>
  <c r="J4241" i="5"/>
  <c r="I4241" i="5"/>
  <c r="H4241" i="5"/>
  <c r="V4240" i="5"/>
  <c r="O4240" i="5"/>
  <c r="N4240" i="5"/>
  <c r="M4240" i="5"/>
  <c r="L4240" i="5"/>
  <c r="K4240" i="5"/>
  <c r="J4240" i="5"/>
  <c r="I4240" i="5"/>
  <c r="H4240" i="5"/>
  <c r="V4239" i="5"/>
  <c r="U4239" i="5"/>
  <c r="T4239" i="5"/>
  <c r="S4239" i="5"/>
  <c r="R4239" i="5"/>
  <c r="Q4239" i="5"/>
  <c r="P4239" i="5"/>
  <c r="O4239" i="5"/>
  <c r="N4239" i="5"/>
  <c r="M4239" i="5"/>
  <c r="L4239" i="5"/>
  <c r="K4239" i="5"/>
  <c r="J4239" i="5"/>
  <c r="I4239" i="5"/>
  <c r="H4239" i="5"/>
  <c r="V4238" i="5"/>
  <c r="U4238" i="5"/>
  <c r="T4238" i="5"/>
  <c r="S4238" i="5"/>
  <c r="R4238" i="5"/>
  <c r="Q4238" i="5"/>
  <c r="P4238" i="5"/>
  <c r="O4238" i="5"/>
  <c r="N4238" i="5"/>
  <c r="M4238" i="5"/>
  <c r="L4238" i="5"/>
  <c r="K4238" i="5"/>
  <c r="J4238" i="5"/>
  <c r="I4238" i="5"/>
  <c r="H4238" i="5"/>
  <c r="V4237" i="5"/>
  <c r="U4237" i="5"/>
  <c r="T4237" i="5"/>
  <c r="S4237" i="5"/>
  <c r="R4237" i="5"/>
  <c r="Q4237" i="5"/>
  <c r="P4237" i="5"/>
  <c r="O4237" i="5"/>
  <c r="N4237" i="5"/>
  <c r="M4237" i="5"/>
  <c r="L4237" i="5"/>
  <c r="K4237" i="5"/>
  <c r="J4237" i="5"/>
  <c r="I4237" i="5"/>
  <c r="H4237" i="5"/>
  <c r="V4236" i="5"/>
  <c r="U4236" i="5"/>
  <c r="T4236" i="5"/>
  <c r="S4236" i="5"/>
  <c r="R4236" i="5"/>
  <c r="Q4236" i="5"/>
  <c r="P4236" i="5"/>
  <c r="O4236" i="5"/>
  <c r="N4236" i="5"/>
  <c r="M4236" i="5"/>
  <c r="L4236" i="5"/>
  <c r="K4236" i="5"/>
  <c r="J4236" i="5"/>
  <c r="I4236" i="5"/>
  <c r="H4236" i="5"/>
  <c r="V4235" i="5"/>
  <c r="U4235" i="5"/>
  <c r="T4235" i="5"/>
  <c r="S4235" i="5"/>
  <c r="R4235" i="5"/>
  <c r="Q4235" i="5"/>
  <c r="P4235" i="5"/>
  <c r="O4235" i="5"/>
  <c r="N4235" i="5"/>
  <c r="M4235" i="5"/>
  <c r="L4235" i="5"/>
  <c r="K4235" i="5"/>
  <c r="J4235" i="5"/>
  <c r="I4235" i="5"/>
  <c r="H4235" i="5"/>
  <c r="V4234" i="5"/>
  <c r="U4234" i="5"/>
  <c r="T4234" i="5"/>
  <c r="S4234" i="5"/>
  <c r="R4234" i="5"/>
  <c r="Q4234" i="5"/>
  <c r="P4234" i="5"/>
  <c r="V4233" i="5"/>
  <c r="U4233" i="5"/>
  <c r="T4233" i="5"/>
  <c r="S4233" i="5"/>
  <c r="R4233" i="5"/>
  <c r="Q4233" i="5"/>
  <c r="P4233" i="5"/>
  <c r="O4233" i="5"/>
  <c r="N4233" i="5"/>
  <c r="M4233" i="5"/>
  <c r="L4233" i="5"/>
  <c r="K4233" i="5"/>
  <c r="J4233" i="5"/>
  <c r="I4233" i="5"/>
  <c r="H4233" i="5"/>
  <c r="U4232" i="5"/>
  <c r="T4232" i="5"/>
  <c r="S4232" i="5"/>
  <c r="R4232" i="5"/>
  <c r="Q4232" i="5"/>
  <c r="P4232" i="5"/>
  <c r="O4232" i="5"/>
  <c r="N4232" i="5"/>
  <c r="M4232" i="5"/>
  <c r="L4232" i="5"/>
  <c r="K4232" i="5"/>
  <c r="J4232" i="5"/>
  <c r="I4232" i="5"/>
  <c r="H4232" i="5"/>
  <c r="V4231" i="5"/>
  <c r="U4231" i="5"/>
  <c r="T4231" i="5"/>
  <c r="S4231" i="5"/>
  <c r="R4231" i="5"/>
  <c r="Q4231" i="5"/>
  <c r="P4231" i="5"/>
  <c r="O4231" i="5"/>
  <c r="N4231" i="5"/>
  <c r="M4231" i="5"/>
  <c r="L4231" i="5"/>
  <c r="K4231" i="5"/>
  <c r="J4231" i="5"/>
  <c r="I4231" i="5"/>
  <c r="H4231" i="5"/>
  <c r="V4230" i="5"/>
  <c r="O4230" i="5"/>
  <c r="N4230" i="5"/>
  <c r="M4230" i="5"/>
  <c r="L4230" i="5"/>
  <c r="K4230" i="5"/>
  <c r="J4230" i="5"/>
  <c r="I4230" i="5"/>
  <c r="H4230" i="5"/>
  <c r="V4229" i="5"/>
  <c r="U4229" i="5"/>
  <c r="T4229" i="5"/>
  <c r="S4229" i="5"/>
  <c r="R4229" i="5"/>
  <c r="Q4229" i="5"/>
  <c r="P4229" i="5"/>
  <c r="O4229" i="5"/>
  <c r="N4229" i="5"/>
  <c r="M4229" i="5"/>
  <c r="L4229" i="5"/>
  <c r="K4229" i="5"/>
  <c r="J4229" i="5"/>
  <c r="I4229" i="5"/>
  <c r="H4229" i="5"/>
  <c r="V4228" i="5"/>
  <c r="U4228" i="5"/>
  <c r="T4228" i="5"/>
  <c r="S4228" i="5"/>
  <c r="R4228" i="5"/>
  <c r="Q4228" i="5"/>
  <c r="P4228" i="5"/>
  <c r="O4228" i="5"/>
  <c r="N4228" i="5"/>
  <c r="M4228" i="5"/>
  <c r="L4228" i="5"/>
  <c r="K4228" i="5"/>
  <c r="J4228" i="5"/>
  <c r="I4228" i="5"/>
  <c r="H4228" i="5"/>
  <c r="V4227" i="5"/>
  <c r="U4227" i="5"/>
  <c r="T4227" i="5"/>
  <c r="S4227" i="5"/>
  <c r="R4227" i="5"/>
  <c r="Q4227" i="5"/>
  <c r="P4227" i="5"/>
  <c r="O4227" i="5"/>
  <c r="N4227" i="5"/>
  <c r="M4227" i="5"/>
  <c r="L4227" i="5"/>
  <c r="K4227" i="5"/>
  <c r="J4227" i="5"/>
  <c r="I4227" i="5"/>
  <c r="H4227" i="5"/>
  <c r="V4226" i="5"/>
  <c r="U4226" i="5"/>
  <c r="T4226" i="5"/>
  <c r="S4226" i="5"/>
  <c r="R4226" i="5"/>
  <c r="Q4226" i="5"/>
  <c r="P4226" i="5"/>
  <c r="O4226" i="5"/>
  <c r="N4226" i="5"/>
  <c r="M4226" i="5"/>
  <c r="L4226" i="5"/>
  <c r="K4226" i="5"/>
  <c r="J4226" i="5"/>
  <c r="I4226" i="5"/>
  <c r="H4226" i="5"/>
  <c r="V4225" i="5"/>
  <c r="U4225" i="5"/>
  <c r="T4225" i="5"/>
  <c r="S4225" i="5"/>
  <c r="R4225" i="5"/>
  <c r="Q4225" i="5"/>
  <c r="P4225" i="5"/>
  <c r="O4225" i="5"/>
  <c r="N4225" i="5"/>
  <c r="M4225" i="5"/>
  <c r="L4225" i="5"/>
  <c r="K4225" i="5"/>
  <c r="J4225" i="5"/>
  <c r="I4225" i="5"/>
  <c r="H4225" i="5"/>
  <c r="V4224" i="5"/>
  <c r="U4224" i="5"/>
  <c r="T4224" i="5"/>
  <c r="S4224" i="5"/>
  <c r="R4224" i="5"/>
  <c r="Q4224" i="5"/>
  <c r="P4224" i="5"/>
  <c r="V4223" i="5"/>
  <c r="U4223" i="5"/>
  <c r="T4223" i="5"/>
  <c r="S4223" i="5"/>
  <c r="R4223" i="5"/>
  <c r="Q4223" i="5"/>
  <c r="P4223" i="5"/>
  <c r="O4223" i="5"/>
  <c r="N4223" i="5"/>
  <c r="M4223" i="5"/>
  <c r="L4223" i="5"/>
  <c r="K4223" i="5"/>
  <c r="J4223" i="5"/>
  <c r="I4223" i="5"/>
  <c r="H4223" i="5"/>
  <c r="U4222" i="5"/>
  <c r="T4222" i="5"/>
  <c r="S4222" i="5"/>
  <c r="R4222" i="5"/>
  <c r="Q4222" i="5"/>
  <c r="P4222" i="5"/>
  <c r="O4222" i="5"/>
  <c r="N4222" i="5"/>
  <c r="M4222" i="5"/>
  <c r="L4222" i="5"/>
  <c r="K4222" i="5"/>
  <c r="J4222" i="5"/>
  <c r="I4222" i="5"/>
  <c r="H4222" i="5"/>
  <c r="V4221" i="5"/>
  <c r="U4221" i="5"/>
  <c r="T4221" i="5"/>
  <c r="S4221" i="5"/>
  <c r="R4221" i="5"/>
  <c r="Q4221" i="5"/>
  <c r="P4221" i="5"/>
  <c r="O4221" i="5"/>
  <c r="N4221" i="5"/>
  <c r="M4221" i="5"/>
  <c r="L4221" i="5"/>
  <c r="K4221" i="5"/>
  <c r="J4221" i="5"/>
  <c r="I4221" i="5"/>
  <c r="H4221" i="5"/>
  <c r="V4220" i="5"/>
  <c r="O4220" i="5"/>
  <c r="N4220" i="5"/>
  <c r="M4220" i="5"/>
  <c r="L4220" i="5"/>
  <c r="K4220" i="5"/>
  <c r="J4220" i="5"/>
  <c r="I4220" i="5"/>
  <c r="H4220" i="5"/>
  <c r="V4219" i="5"/>
  <c r="U4219" i="5"/>
  <c r="T4219" i="5"/>
  <c r="S4219" i="5"/>
  <c r="R4219" i="5"/>
  <c r="Q4219" i="5"/>
  <c r="P4219" i="5"/>
  <c r="O4219" i="5"/>
  <c r="N4219" i="5"/>
  <c r="M4219" i="5"/>
  <c r="L4219" i="5"/>
  <c r="K4219" i="5"/>
  <c r="J4219" i="5"/>
  <c r="I4219" i="5"/>
  <c r="H4219" i="5"/>
  <c r="V4218" i="5"/>
  <c r="U4218" i="5"/>
  <c r="T4218" i="5"/>
  <c r="S4218" i="5"/>
  <c r="R4218" i="5"/>
  <c r="Q4218" i="5"/>
  <c r="P4218" i="5"/>
  <c r="O4218" i="5"/>
  <c r="N4218" i="5"/>
  <c r="M4218" i="5"/>
  <c r="L4218" i="5"/>
  <c r="K4218" i="5"/>
  <c r="J4218" i="5"/>
  <c r="I4218" i="5"/>
  <c r="H4218" i="5"/>
  <c r="V4217" i="5"/>
  <c r="U4217" i="5"/>
  <c r="T4217" i="5"/>
  <c r="S4217" i="5"/>
  <c r="R4217" i="5"/>
  <c r="Q4217" i="5"/>
  <c r="P4217" i="5"/>
  <c r="O4217" i="5"/>
  <c r="N4217" i="5"/>
  <c r="M4217" i="5"/>
  <c r="L4217" i="5"/>
  <c r="K4217" i="5"/>
  <c r="J4217" i="5"/>
  <c r="I4217" i="5"/>
  <c r="H4217" i="5"/>
  <c r="V4216" i="5"/>
  <c r="U4216" i="5"/>
  <c r="T4216" i="5"/>
  <c r="S4216" i="5"/>
  <c r="R4216" i="5"/>
  <c r="Q4216" i="5"/>
  <c r="P4216" i="5"/>
  <c r="O4216" i="5"/>
  <c r="N4216" i="5"/>
  <c r="M4216" i="5"/>
  <c r="L4216" i="5"/>
  <c r="K4216" i="5"/>
  <c r="J4216" i="5"/>
  <c r="I4216" i="5"/>
  <c r="H4216" i="5"/>
  <c r="V4215" i="5"/>
  <c r="U4215" i="5"/>
  <c r="T4215" i="5"/>
  <c r="S4215" i="5"/>
  <c r="R4215" i="5"/>
  <c r="Q4215" i="5"/>
  <c r="P4215" i="5"/>
  <c r="O4215" i="5"/>
  <c r="N4215" i="5"/>
  <c r="M4215" i="5"/>
  <c r="L4215" i="5"/>
  <c r="K4215" i="5"/>
  <c r="J4215" i="5"/>
  <c r="I4215" i="5"/>
  <c r="H4215" i="5"/>
  <c r="V4214" i="5"/>
  <c r="U4214" i="5"/>
  <c r="T4214" i="5"/>
  <c r="S4214" i="5"/>
  <c r="R4214" i="5"/>
  <c r="Q4214" i="5"/>
  <c r="P4214" i="5"/>
  <c r="V4213" i="5"/>
  <c r="U4213" i="5"/>
  <c r="T4213" i="5"/>
  <c r="S4213" i="5"/>
  <c r="R4213" i="5"/>
  <c r="Q4213" i="5"/>
  <c r="P4213" i="5"/>
  <c r="O4213" i="5"/>
  <c r="N4213" i="5"/>
  <c r="M4213" i="5"/>
  <c r="L4213" i="5"/>
  <c r="K4213" i="5"/>
  <c r="J4213" i="5"/>
  <c r="I4213" i="5"/>
  <c r="H4213" i="5"/>
  <c r="U4212" i="5"/>
  <c r="T4212" i="5"/>
  <c r="S4212" i="5"/>
  <c r="R4212" i="5"/>
  <c r="Q4212" i="5"/>
  <c r="P4212" i="5"/>
  <c r="O4212" i="5"/>
  <c r="N4212" i="5"/>
  <c r="M4212" i="5"/>
  <c r="L4212" i="5"/>
  <c r="K4212" i="5"/>
  <c r="J4212" i="5"/>
  <c r="I4212" i="5"/>
  <c r="H4212" i="5"/>
  <c r="V4211" i="5"/>
  <c r="U4211" i="5"/>
  <c r="T4211" i="5"/>
  <c r="S4211" i="5"/>
  <c r="R4211" i="5"/>
  <c r="Q4211" i="5"/>
  <c r="P4211" i="5"/>
  <c r="O4211" i="5"/>
  <c r="N4211" i="5"/>
  <c r="M4211" i="5"/>
  <c r="L4211" i="5"/>
  <c r="K4211" i="5"/>
  <c r="J4211" i="5"/>
  <c r="I4211" i="5"/>
  <c r="H4211" i="5"/>
  <c r="V4210" i="5"/>
  <c r="O4210" i="5"/>
  <c r="N4210" i="5"/>
  <c r="M4210" i="5"/>
  <c r="L4210" i="5"/>
  <c r="K4210" i="5"/>
  <c r="J4210" i="5"/>
  <c r="I4210" i="5"/>
  <c r="H4210" i="5"/>
  <c r="V4209" i="5"/>
  <c r="U4209" i="5"/>
  <c r="T4209" i="5"/>
  <c r="S4209" i="5"/>
  <c r="R4209" i="5"/>
  <c r="Q4209" i="5"/>
  <c r="P4209" i="5"/>
  <c r="O4209" i="5"/>
  <c r="N4209" i="5"/>
  <c r="M4209" i="5"/>
  <c r="L4209" i="5"/>
  <c r="K4209" i="5"/>
  <c r="J4209" i="5"/>
  <c r="I4209" i="5"/>
  <c r="H4209" i="5"/>
  <c r="V4208" i="5"/>
  <c r="U4208" i="5"/>
  <c r="T4208" i="5"/>
  <c r="S4208" i="5"/>
  <c r="R4208" i="5"/>
  <c r="Q4208" i="5"/>
  <c r="P4208" i="5"/>
  <c r="O4208" i="5"/>
  <c r="N4208" i="5"/>
  <c r="M4208" i="5"/>
  <c r="L4208" i="5"/>
  <c r="K4208" i="5"/>
  <c r="J4208" i="5"/>
  <c r="I4208" i="5"/>
  <c r="H4208" i="5"/>
  <c r="V4207" i="5"/>
  <c r="U4207" i="5"/>
  <c r="T4207" i="5"/>
  <c r="S4207" i="5"/>
  <c r="R4207" i="5"/>
  <c r="Q4207" i="5"/>
  <c r="P4207" i="5"/>
  <c r="O4207" i="5"/>
  <c r="N4207" i="5"/>
  <c r="M4207" i="5"/>
  <c r="L4207" i="5"/>
  <c r="K4207" i="5"/>
  <c r="J4207" i="5"/>
  <c r="I4207" i="5"/>
  <c r="H4207" i="5"/>
  <c r="V4206" i="5"/>
  <c r="U4206" i="5"/>
  <c r="T4206" i="5"/>
  <c r="S4206" i="5"/>
  <c r="R4206" i="5"/>
  <c r="Q4206" i="5"/>
  <c r="P4206" i="5"/>
  <c r="O4206" i="5"/>
  <c r="N4206" i="5"/>
  <c r="M4206" i="5"/>
  <c r="L4206" i="5"/>
  <c r="K4206" i="5"/>
  <c r="J4206" i="5"/>
  <c r="I4206" i="5"/>
  <c r="H4206" i="5"/>
  <c r="V4205" i="5"/>
  <c r="U4205" i="5"/>
  <c r="T4205" i="5"/>
  <c r="S4205" i="5"/>
  <c r="R4205" i="5"/>
  <c r="Q4205" i="5"/>
  <c r="P4205" i="5"/>
  <c r="O4205" i="5"/>
  <c r="N4205" i="5"/>
  <c r="M4205" i="5"/>
  <c r="L4205" i="5"/>
  <c r="K4205" i="5"/>
  <c r="J4205" i="5"/>
  <c r="I4205" i="5"/>
  <c r="H4205" i="5"/>
  <c r="V4204" i="5"/>
  <c r="U4204" i="5"/>
  <c r="T4204" i="5"/>
  <c r="S4204" i="5"/>
  <c r="R4204" i="5"/>
  <c r="Q4204" i="5"/>
  <c r="P4204" i="5"/>
  <c r="V4203" i="5"/>
  <c r="U4203" i="5"/>
  <c r="T4203" i="5"/>
  <c r="S4203" i="5"/>
  <c r="R4203" i="5"/>
  <c r="Q4203" i="5"/>
  <c r="P4203" i="5"/>
  <c r="O4203" i="5"/>
  <c r="N4203" i="5"/>
  <c r="M4203" i="5"/>
  <c r="L4203" i="5"/>
  <c r="K4203" i="5"/>
  <c r="J4203" i="5"/>
  <c r="I4203" i="5"/>
  <c r="H4203" i="5"/>
  <c r="U4202" i="5"/>
  <c r="T4202" i="5"/>
  <c r="S4202" i="5"/>
  <c r="R4202" i="5"/>
  <c r="Q4202" i="5"/>
  <c r="P4202" i="5"/>
  <c r="O4202" i="5"/>
  <c r="N4202" i="5"/>
  <c r="M4202" i="5"/>
  <c r="L4202" i="5"/>
  <c r="K4202" i="5"/>
  <c r="J4202" i="5"/>
  <c r="I4202" i="5"/>
  <c r="H4202" i="5"/>
  <c r="V4201" i="5"/>
  <c r="U4201" i="5"/>
  <c r="T4201" i="5"/>
  <c r="S4201" i="5"/>
  <c r="R4201" i="5"/>
  <c r="Q4201" i="5"/>
  <c r="P4201" i="5"/>
  <c r="O4201" i="5"/>
  <c r="N4201" i="5"/>
  <c r="M4201" i="5"/>
  <c r="L4201" i="5"/>
  <c r="K4201" i="5"/>
  <c r="J4201" i="5"/>
  <c r="I4201" i="5"/>
  <c r="H4201" i="5"/>
  <c r="V4200" i="5"/>
  <c r="O4200" i="5"/>
  <c r="N4200" i="5"/>
  <c r="M4200" i="5"/>
  <c r="L4200" i="5"/>
  <c r="K4200" i="5"/>
  <c r="J4200" i="5"/>
  <c r="I4200" i="5"/>
  <c r="H4200" i="5"/>
  <c r="V4199" i="5"/>
  <c r="U4199" i="5"/>
  <c r="T4199" i="5"/>
  <c r="S4199" i="5"/>
  <c r="R4199" i="5"/>
  <c r="Q4199" i="5"/>
  <c r="P4199" i="5"/>
  <c r="O4199" i="5"/>
  <c r="N4199" i="5"/>
  <c r="M4199" i="5"/>
  <c r="L4199" i="5"/>
  <c r="K4199" i="5"/>
  <c r="J4199" i="5"/>
  <c r="I4199" i="5"/>
  <c r="H4199" i="5"/>
  <c r="V4198" i="5"/>
  <c r="U4198" i="5"/>
  <c r="T4198" i="5"/>
  <c r="S4198" i="5"/>
  <c r="R4198" i="5"/>
  <c r="Q4198" i="5"/>
  <c r="P4198" i="5"/>
  <c r="O4198" i="5"/>
  <c r="N4198" i="5"/>
  <c r="M4198" i="5"/>
  <c r="L4198" i="5"/>
  <c r="K4198" i="5"/>
  <c r="J4198" i="5"/>
  <c r="I4198" i="5"/>
  <c r="H4198" i="5"/>
  <c r="V4197" i="5"/>
  <c r="U4197" i="5"/>
  <c r="T4197" i="5"/>
  <c r="S4197" i="5"/>
  <c r="R4197" i="5"/>
  <c r="Q4197" i="5"/>
  <c r="P4197" i="5"/>
  <c r="O4197" i="5"/>
  <c r="N4197" i="5"/>
  <c r="M4197" i="5"/>
  <c r="L4197" i="5"/>
  <c r="K4197" i="5"/>
  <c r="J4197" i="5"/>
  <c r="I4197" i="5"/>
  <c r="H4197" i="5"/>
  <c r="V4196" i="5"/>
  <c r="U4196" i="5"/>
  <c r="T4196" i="5"/>
  <c r="S4196" i="5"/>
  <c r="R4196" i="5"/>
  <c r="Q4196" i="5"/>
  <c r="P4196" i="5"/>
  <c r="O4196" i="5"/>
  <c r="N4196" i="5"/>
  <c r="M4196" i="5"/>
  <c r="L4196" i="5"/>
  <c r="K4196" i="5"/>
  <c r="J4196" i="5"/>
  <c r="I4196" i="5"/>
  <c r="H4196" i="5"/>
  <c r="V4195" i="5"/>
  <c r="U4195" i="5"/>
  <c r="T4195" i="5"/>
  <c r="S4195" i="5"/>
  <c r="R4195" i="5"/>
  <c r="Q4195" i="5"/>
  <c r="P4195" i="5"/>
  <c r="O4195" i="5"/>
  <c r="N4195" i="5"/>
  <c r="M4195" i="5"/>
  <c r="L4195" i="5"/>
  <c r="K4195" i="5"/>
  <c r="J4195" i="5"/>
  <c r="I4195" i="5"/>
  <c r="H4195" i="5"/>
  <c r="V4194" i="5"/>
  <c r="U4194" i="5"/>
  <c r="T4194" i="5"/>
  <c r="S4194" i="5"/>
  <c r="R4194" i="5"/>
  <c r="Q4194" i="5"/>
  <c r="P4194" i="5"/>
  <c r="V4193" i="5"/>
  <c r="U4193" i="5"/>
  <c r="T4193" i="5"/>
  <c r="S4193" i="5"/>
  <c r="R4193" i="5"/>
  <c r="Q4193" i="5"/>
  <c r="P4193" i="5"/>
  <c r="O4193" i="5"/>
  <c r="N4193" i="5"/>
  <c r="M4193" i="5"/>
  <c r="L4193" i="5"/>
  <c r="K4193" i="5"/>
  <c r="J4193" i="5"/>
  <c r="I4193" i="5"/>
  <c r="H4193" i="5"/>
  <c r="U4192" i="5"/>
  <c r="T4192" i="5"/>
  <c r="S4192" i="5"/>
  <c r="R4192" i="5"/>
  <c r="Q4192" i="5"/>
  <c r="P4192" i="5"/>
  <c r="O4192" i="5"/>
  <c r="N4192" i="5"/>
  <c r="M4192" i="5"/>
  <c r="L4192" i="5"/>
  <c r="K4192" i="5"/>
  <c r="J4192" i="5"/>
  <c r="I4192" i="5"/>
  <c r="H4192" i="5"/>
  <c r="V4191" i="5"/>
  <c r="U4191" i="5"/>
  <c r="T4191" i="5"/>
  <c r="S4191" i="5"/>
  <c r="R4191" i="5"/>
  <c r="Q4191" i="5"/>
  <c r="P4191" i="5"/>
  <c r="O4191" i="5"/>
  <c r="N4191" i="5"/>
  <c r="M4191" i="5"/>
  <c r="L4191" i="5"/>
  <c r="K4191" i="5"/>
  <c r="J4191" i="5"/>
  <c r="I4191" i="5"/>
  <c r="H4191" i="5"/>
  <c r="V4190" i="5"/>
  <c r="O4190" i="5"/>
  <c r="N4190" i="5"/>
  <c r="M4190" i="5"/>
  <c r="L4190" i="5"/>
  <c r="K4190" i="5"/>
  <c r="J4190" i="5"/>
  <c r="I4190" i="5"/>
  <c r="H4190" i="5"/>
  <c r="V4189" i="5"/>
  <c r="U4189" i="5"/>
  <c r="T4189" i="5"/>
  <c r="S4189" i="5"/>
  <c r="R4189" i="5"/>
  <c r="Q4189" i="5"/>
  <c r="P4189" i="5"/>
  <c r="O4189" i="5"/>
  <c r="N4189" i="5"/>
  <c r="M4189" i="5"/>
  <c r="L4189" i="5"/>
  <c r="K4189" i="5"/>
  <c r="J4189" i="5"/>
  <c r="I4189" i="5"/>
  <c r="H4189" i="5"/>
  <c r="V4188" i="5"/>
  <c r="U4188" i="5"/>
  <c r="T4188" i="5"/>
  <c r="S4188" i="5"/>
  <c r="R4188" i="5"/>
  <c r="Q4188" i="5"/>
  <c r="P4188" i="5"/>
  <c r="O4188" i="5"/>
  <c r="N4188" i="5"/>
  <c r="M4188" i="5"/>
  <c r="L4188" i="5"/>
  <c r="K4188" i="5"/>
  <c r="J4188" i="5"/>
  <c r="I4188" i="5"/>
  <c r="H4188" i="5"/>
  <c r="V4187" i="5"/>
  <c r="U4187" i="5"/>
  <c r="T4187" i="5"/>
  <c r="S4187" i="5"/>
  <c r="R4187" i="5"/>
  <c r="Q4187" i="5"/>
  <c r="P4187" i="5"/>
  <c r="V4186" i="5"/>
  <c r="U4186" i="5"/>
  <c r="T4186" i="5"/>
  <c r="S4186" i="5"/>
  <c r="R4186" i="5"/>
  <c r="Q4186" i="5"/>
  <c r="P4186" i="5"/>
  <c r="U4185" i="5"/>
  <c r="T4185" i="5"/>
  <c r="S4185" i="5"/>
  <c r="R4185" i="5"/>
  <c r="Q4185" i="5"/>
  <c r="P4185" i="5"/>
  <c r="U4184" i="5"/>
  <c r="T4184" i="5"/>
  <c r="S4184" i="5"/>
  <c r="R4184" i="5"/>
  <c r="Q4184" i="5"/>
  <c r="P4184" i="5"/>
  <c r="O4177" i="5"/>
  <c r="N4177" i="5"/>
  <c r="M4177" i="5"/>
  <c r="L4177" i="5"/>
  <c r="K4177" i="5"/>
  <c r="J4177" i="5"/>
  <c r="I4177" i="5"/>
  <c r="H4177" i="5"/>
  <c r="O4176" i="5"/>
  <c r="N4176" i="5"/>
  <c r="M4176" i="5"/>
  <c r="L4176" i="5"/>
  <c r="K4176" i="5"/>
  <c r="J4176" i="5"/>
  <c r="I4176" i="5"/>
  <c r="H4176" i="5"/>
  <c r="V4175" i="5"/>
  <c r="O4175" i="5"/>
  <c r="N4175" i="5"/>
  <c r="M4175" i="5"/>
  <c r="L4175" i="5"/>
  <c r="K4175" i="5"/>
  <c r="J4175" i="5"/>
  <c r="I4175" i="5"/>
  <c r="H4175" i="5"/>
  <c r="V4174" i="5"/>
  <c r="V4173" i="5"/>
  <c r="U4173" i="5"/>
  <c r="T4173" i="5"/>
  <c r="S4173" i="5"/>
  <c r="R4173" i="5"/>
  <c r="Q4173" i="5"/>
  <c r="P4173" i="5"/>
  <c r="O4173" i="5"/>
  <c r="N4173" i="5"/>
  <c r="M4173" i="5"/>
  <c r="L4173" i="5"/>
  <c r="K4173" i="5"/>
  <c r="J4173" i="5"/>
  <c r="I4173" i="5"/>
  <c r="H4173" i="5"/>
  <c r="U4172" i="5"/>
  <c r="T4172" i="5"/>
  <c r="S4172" i="5"/>
  <c r="R4172" i="5"/>
  <c r="Q4172" i="5"/>
  <c r="P4172" i="5"/>
  <c r="O4172" i="5"/>
  <c r="N4172" i="5"/>
  <c r="M4172" i="5"/>
  <c r="L4172" i="5"/>
  <c r="K4172" i="5"/>
  <c r="J4172" i="5"/>
  <c r="I4172" i="5"/>
  <c r="H4172" i="5"/>
  <c r="V4171" i="5"/>
  <c r="U4171" i="5"/>
  <c r="T4171" i="5"/>
  <c r="S4171" i="5"/>
  <c r="R4171" i="5"/>
  <c r="Q4171" i="5"/>
  <c r="P4171" i="5"/>
  <c r="O4171" i="5"/>
  <c r="N4171" i="5"/>
  <c r="M4171" i="5"/>
  <c r="L4171" i="5"/>
  <c r="K4171" i="5"/>
  <c r="J4171" i="5"/>
  <c r="I4171" i="5"/>
  <c r="H4171" i="5"/>
  <c r="V4170" i="5"/>
  <c r="O4170" i="5"/>
  <c r="N4170" i="5"/>
  <c r="M4170" i="5"/>
  <c r="L4170" i="5"/>
  <c r="K4170" i="5"/>
  <c r="J4170" i="5"/>
  <c r="I4170" i="5"/>
  <c r="H4170" i="5"/>
  <c r="V4169" i="5"/>
  <c r="U4169" i="5"/>
  <c r="T4169" i="5"/>
  <c r="S4169" i="5"/>
  <c r="R4169" i="5"/>
  <c r="Q4169" i="5"/>
  <c r="P4169" i="5"/>
  <c r="O4169" i="5"/>
  <c r="N4169" i="5"/>
  <c r="M4169" i="5"/>
  <c r="L4169" i="5"/>
  <c r="K4169" i="5"/>
  <c r="J4169" i="5"/>
  <c r="I4169" i="5"/>
  <c r="H4169" i="5"/>
  <c r="V4168" i="5"/>
  <c r="U4168" i="5"/>
  <c r="T4168" i="5"/>
  <c r="S4168" i="5"/>
  <c r="R4168" i="5"/>
  <c r="Q4168" i="5"/>
  <c r="P4168" i="5"/>
  <c r="O4168" i="5"/>
  <c r="N4168" i="5"/>
  <c r="M4168" i="5"/>
  <c r="L4168" i="5"/>
  <c r="K4168" i="5"/>
  <c r="J4168" i="5"/>
  <c r="I4168" i="5"/>
  <c r="H4168" i="5"/>
  <c r="V4167" i="5"/>
  <c r="U4167" i="5"/>
  <c r="T4167" i="5"/>
  <c r="S4167" i="5"/>
  <c r="R4167" i="5"/>
  <c r="Q4167" i="5"/>
  <c r="P4167" i="5"/>
  <c r="O4167" i="5"/>
  <c r="N4167" i="5"/>
  <c r="M4167" i="5"/>
  <c r="L4167" i="5"/>
  <c r="K4167" i="5"/>
  <c r="J4167" i="5"/>
  <c r="I4167" i="5"/>
  <c r="H4167" i="5"/>
  <c r="V4166" i="5"/>
  <c r="U4166" i="5"/>
  <c r="T4166" i="5"/>
  <c r="S4166" i="5"/>
  <c r="R4166" i="5"/>
  <c r="Q4166" i="5"/>
  <c r="P4166" i="5"/>
  <c r="O4166" i="5"/>
  <c r="N4166" i="5"/>
  <c r="M4166" i="5"/>
  <c r="L4166" i="5"/>
  <c r="K4166" i="5"/>
  <c r="J4166" i="5"/>
  <c r="I4166" i="5"/>
  <c r="H4166" i="5"/>
  <c r="V4165" i="5"/>
  <c r="U4165" i="5"/>
  <c r="T4165" i="5"/>
  <c r="S4165" i="5"/>
  <c r="R4165" i="5"/>
  <c r="Q4165" i="5"/>
  <c r="P4165" i="5"/>
  <c r="O4165" i="5"/>
  <c r="N4165" i="5"/>
  <c r="M4165" i="5"/>
  <c r="L4165" i="5"/>
  <c r="K4165" i="5"/>
  <c r="J4165" i="5"/>
  <c r="I4165" i="5"/>
  <c r="H4165" i="5"/>
  <c r="V4164" i="5"/>
  <c r="U4164" i="5"/>
  <c r="T4164" i="5"/>
  <c r="S4164" i="5"/>
  <c r="R4164" i="5"/>
  <c r="Q4164" i="5"/>
  <c r="P4164" i="5"/>
  <c r="V4163" i="5"/>
  <c r="U4163" i="5"/>
  <c r="T4163" i="5"/>
  <c r="S4163" i="5"/>
  <c r="R4163" i="5"/>
  <c r="Q4163" i="5"/>
  <c r="P4163" i="5"/>
  <c r="O4163" i="5"/>
  <c r="N4163" i="5"/>
  <c r="M4163" i="5"/>
  <c r="L4163" i="5"/>
  <c r="K4163" i="5"/>
  <c r="J4163" i="5"/>
  <c r="I4163" i="5"/>
  <c r="H4163" i="5"/>
  <c r="U4162" i="5"/>
  <c r="T4162" i="5"/>
  <c r="S4162" i="5"/>
  <c r="R4162" i="5"/>
  <c r="Q4162" i="5"/>
  <c r="P4162" i="5"/>
  <c r="O4162" i="5"/>
  <c r="N4162" i="5"/>
  <c r="M4162" i="5"/>
  <c r="L4162" i="5"/>
  <c r="K4162" i="5"/>
  <c r="J4162" i="5"/>
  <c r="I4162" i="5"/>
  <c r="H4162" i="5"/>
  <c r="V4161" i="5"/>
  <c r="U4161" i="5"/>
  <c r="T4161" i="5"/>
  <c r="S4161" i="5"/>
  <c r="R4161" i="5"/>
  <c r="Q4161" i="5"/>
  <c r="P4161" i="5"/>
  <c r="O4161" i="5"/>
  <c r="N4161" i="5"/>
  <c r="M4161" i="5"/>
  <c r="L4161" i="5"/>
  <c r="K4161" i="5"/>
  <c r="J4161" i="5"/>
  <c r="I4161" i="5"/>
  <c r="H4161" i="5"/>
  <c r="V4160" i="5"/>
  <c r="O4160" i="5"/>
  <c r="N4160" i="5"/>
  <c r="M4160" i="5"/>
  <c r="L4160" i="5"/>
  <c r="K4160" i="5"/>
  <c r="J4160" i="5"/>
  <c r="I4160" i="5"/>
  <c r="H4160" i="5"/>
  <c r="V4159" i="5"/>
  <c r="U4159" i="5"/>
  <c r="T4159" i="5"/>
  <c r="S4159" i="5"/>
  <c r="R4159" i="5"/>
  <c r="Q4159" i="5"/>
  <c r="P4159" i="5"/>
  <c r="O4159" i="5"/>
  <c r="N4159" i="5"/>
  <c r="M4159" i="5"/>
  <c r="L4159" i="5"/>
  <c r="K4159" i="5"/>
  <c r="J4159" i="5"/>
  <c r="I4159" i="5"/>
  <c r="H4159" i="5"/>
  <c r="V4158" i="5"/>
  <c r="U4158" i="5"/>
  <c r="T4158" i="5"/>
  <c r="S4158" i="5"/>
  <c r="R4158" i="5"/>
  <c r="Q4158" i="5"/>
  <c r="P4158" i="5"/>
  <c r="O4158" i="5"/>
  <c r="N4158" i="5"/>
  <c r="M4158" i="5"/>
  <c r="L4158" i="5"/>
  <c r="K4158" i="5"/>
  <c r="J4158" i="5"/>
  <c r="I4158" i="5"/>
  <c r="H4158" i="5"/>
  <c r="V4157" i="5"/>
  <c r="U4157" i="5"/>
  <c r="T4157" i="5"/>
  <c r="S4157" i="5"/>
  <c r="R4157" i="5"/>
  <c r="Q4157" i="5"/>
  <c r="P4157" i="5"/>
  <c r="O4157" i="5"/>
  <c r="N4157" i="5"/>
  <c r="M4157" i="5"/>
  <c r="L4157" i="5"/>
  <c r="K4157" i="5"/>
  <c r="J4157" i="5"/>
  <c r="I4157" i="5"/>
  <c r="H4157" i="5"/>
  <c r="V4156" i="5"/>
  <c r="U4156" i="5"/>
  <c r="T4156" i="5"/>
  <c r="S4156" i="5"/>
  <c r="R4156" i="5"/>
  <c r="Q4156" i="5"/>
  <c r="P4156" i="5"/>
  <c r="O4156" i="5"/>
  <c r="N4156" i="5"/>
  <c r="M4156" i="5"/>
  <c r="L4156" i="5"/>
  <c r="K4156" i="5"/>
  <c r="J4156" i="5"/>
  <c r="I4156" i="5"/>
  <c r="H4156" i="5"/>
  <c r="V4155" i="5"/>
  <c r="U4155" i="5"/>
  <c r="T4155" i="5"/>
  <c r="S4155" i="5"/>
  <c r="R4155" i="5"/>
  <c r="Q4155" i="5"/>
  <c r="P4155" i="5"/>
  <c r="O4155" i="5"/>
  <c r="N4155" i="5"/>
  <c r="M4155" i="5"/>
  <c r="L4155" i="5"/>
  <c r="K4155" i="5"/>
  <c r="J4155" i="5"/>
  <c r="I4155" i="5"/>
  <c r="H4155" i="5"/>
  <c r="V4154" i="5"/>
  <c r="U4154" i="5"/>
  <c r="T4154" i="5"/>
  <c r="S4154" i="5"/>
  <c r="R4154" i="5"/>
  <c r="Q4154" i="5"/>
  <c r="P4154" i="5"/>
  <c r="V4153" i="5"/>
  <c r="U4153" i="5"/>
  <c r="T4153" i="5"/>
  <c r="S4153" i="5"/>
  <c r="R4153" i="5"/>
  <c r="Q4153" i="5"/>
  <c r="P4153" i="5"/>
  <c r="O4153" i="5"/>
  <c r="N4153" i="5"/>
  <c r="M4153" i="5"/>
  <c r="L4153" i="5"/>
  <c r="K4153" i="5"/>
  <c r="J4153" i="5"/>
  <c r="I4153" i="5"/>
  <c r="H4153" i="5"/>
  <c r="U4152" i="5"/>
  <c r="T4152" i="5"/>
  <c r="S4152" i="5"/>
  <c r="R4152" i="5"/>
  <c r="Q4152" i="5"/>
  <c r="P4152" i="5"/>
  <c r="O4152" i="5"/>
  <c r="N4152" i="5"/>
  <c r="M4152" i="5"/>
  <c r="L4152" i="5"/>
  <c r="K4152" i="5"/>
  <c r="J4152" i="5"/>
  <c r="I4152" i="5"/>
  <c r="H4152" i="5"/>
  <c r="V4151" i="5"/>
  <c r="U4151" i="5"/>
  <c r="T4151" i="5"/>
  <c r="S4151" i="5"/>
  <c r="R4151" i="5"/>
  <c r="Q4151" i="5"/>
  <c r="P4151" i="5"/>
  <c r="O4151" i="5"/>
  <c r="N4151" i="5"/>
  <c r="M4151" i="5"/>
  <c r="L4151" i="5"/>
  <c r="K4151" i="5"/>
  <c r="J4151" i="5"/>
  <c r="I4151" i="5"/>
  <c r="H4151" i="5"/>
  <c r="V4150" i="5"/>
  <c r="O4150" i="5"/>
  <c r="N4150" i="5"/>
  <c r="M4150" i="5"/>
  <c r="L4150" i="5"/>
  <c r="K4150" i="5"/>
  <c r="J4150" i="5"/>
  <c r="I4150" i="5"/>
  <c r="H4150" i="5"/>
  <c r="V4149" i="5"/>
  <c r="U4149" i="5"/>
  <c r="T4149" i="5"/>
  <c r="S4149" i="5"/>
  <c r="R4149" i="5"/>
  <c r="Q4149" i="5"/>
  <c r="P4149" i="5"/>
  <c r="O4149" i="5"/>
  <c r="N4149" i="5"/>
  <c r="M4149" i="5"/>
  <c r="L4149" i="5"/>
  <c r="K4149" i="5"/>
  <c r="J4149" i="5"/>
  <c r="I4149" i="5"/>
  <c r="H4149" i="5"/>
  <c r="V4148" i="5"/>
  <c r="U4148" i="5"/>
  <c r="T4148" i="5"/>
  <c r="S4148" i="5"/>
  <c r="R4148" i="5"/>
  <c r="Q4148" i="5"/>
  <c r="P4148" i="5"/>
  <c r="O4148" i="5"/>
  <c r="N4148" i="5"/>
  <c r="M4148" i="5"/>
  <c r="L4148" i="5"/>
  <c r="K4148" i="5"/>
  <c r="J4148" i="5"/>
  <c r="I4148" i="5"/>
  <c r="H4148" i="5"/>
  <c r="V4147" i="5"/>
  <c r="U4147" i="5"/>
  <c r="T4147" i="5"/>
  <c r="S4147" i="5"/>
  <c r="R4147" i="5"/>
  <c r="Q4147" i="5"/>
  <c r="P4147" i="5"/>
  <c r="O4147" i="5"/>
  <c r="N4147" i="5"/>
  <c r="M4147" i="5"/>
  <c r="L4147" i="5"/>
  <c r="K4147" i="5"/>
  <c r="J4147" i="5"/>
  <c r="I4147" i="5"/>
  <c r="H4147" i="5"/>
  <c r="V4146" i="5"/>
  <c r="U4146" i="5"/>
  <c r="T4146" i="5"/>
  <c r="S4146" i="5"/>
  <c r="R4146" i="5"/>
  <c r="Q4146" i="5"/>
  <c r="P4146" i="5"/>
  <c r="O4146" i="5"/>
  <c r="N4146" i="5"/>
  <c r="M4146" i="5"/>
  <c r="L4146" i="5"/>
  <c r="K4146" i="5"/>
  <c r="J4146" i="5"/>
  <c r="I4146" i="5"/>
  <c r="H4146" i="5"/>
  <c r="V4145" i="5"/>
  <c r="U4145" i="5"/>
  <c r="T4145" i="5"/>
  <c r="S4145" i="5"/>
  <c r="R4145" i="5"/>
  <c r="Q4145" i="5"/>
  <c r="P4145" i="5"/>
  <c r="O4145" i="5"/>
  <c r="N4145" i="5"/>
  <c r="M4145" i="5"/>
  <c r="L4145" i="5"/>
  <c r="K4145" i="5"/>
  <c r="J4145" i="5"/>
  <c r="I4145" i="5"/>
  <c r="H4145" i="5"/>
  <c r="V4144" i="5"/>
  <c r="U4144" i="5"/>
  <c r="T4144" i="5"/>
  <c r="S4144" i="5"/>
  <c r="R4144" i="5"/>
  <c r="Q4144" i="5"/>
  <c r="P4144" i="5"/>
  <c r="V4143" i="5"/>
  <c r="U4143" i="5"/>
  <c r="T4143" i="5"/>
  <c r="S4143" i="5"/>
  <c r="R4143" i="5"/>
  <c r="Q4143" i="5"/>
  <c r="P4143" i="5"/>
  <c r="O4143" i="5"/>
  <c r="N4143" i="5"/>
  <c r="M4143" i="5"/>
  <c r="L4143" i="5"/>
  <c r="K4143" i="5"/>
  <c r="J4143" i="5"/>
  <c r="I4143" i="5"/>
  <c r="H4143" i="5"/>
  <c r="U4142" i="5"/>
  <c r="T4142" i="5"/>
  <c r="S4142" i="5"/>
  <c r="R4142" i="5"/>
  <c r="Q4142" i="5"/>
  <c r="P4142" i="5"/>
  <c r="O4142" i="5"/>
  <c r="N4142" i="5"/>
  <c r="M4142" i="5"/>
  <c r="L4142" i="5"/>
  <c r="K4142" i="5"/>
  <c r="J4142" i="5"/>
  <c r="I4142" i="5"/>
  <c r="H4142" i="5"/>
  <c r="V4141" i="5"/>
  <c r="U4141" i="5"/>
  <c r="T4141" i="5"/>
  <c r="S4141" i="5"/>
  <c r="R4141" i="5"/>
  <c r="Q4141" i="5"/>
  <c r="P4141" i="5"/>
  <c r="O4141" i="5"/>
  <c r="N4141" i="5"/>
  <c r="M4141" i="5"/>
  <c r="L4141" i="5"/>
  <c r="K4141" i="5"/>
  <c r="J4141" i="5"/>
  <c r="I4141" i="5"/>
  <c r="H4141" i="5"/>
  <c r="V4140" i="5"/>
  <c r="O4140" i="5"/>
  <c r="N4140" i="5"/>
  <c r="M4140" i="5"/>
  <c r="L4140" i="5"/>
  <c r="K4140" i="5"/>
  <c r="J4140" i="5"/>
  <c r="I4140" i="5"/>
  <c r="H4140" i="5"/>
  <c r="V4139" i="5"/>
  <c r="U4139" i="5"/>
  <c r="T4139" i="5"/>
  <c r="S4139" i="5"/>
  <c r="R4139" i="5"/>
  <c r="Q4139" i="5"/>
  <c r="P4139" i="5"/>
  <c r="O4139" i="5"/>
  <c r="N4139" i="5"/>
  <c r="M4139" i="5"/>
  <c r="L4139" i="5"/>
  <c r="K4139" i="5"/>
  <c r="J4139" i="5"/>
  <c r="I4139" i="5"/>
  <c r="H4139" i="5"/>
  <c r="V4138" i="5"/>
  <c r="U4138" i="5"/>
  <c r="T4138" i="5"/>
  <c r="S4138" i="5"/>
  <c r="R4138" i="5"/>
  <c r="Q4138" i="5"/>
  <c r="P4138" i="5"/>
  <c r="O4138" i="5"/>
  <c r="N4138" i="5"/>
  <c r="M4138" i="5"/>
  <c r="L4138" i="5"/>
  <c r="K4138" i="5"/>
  <c r="J4138" i="5"/>
  <c r="I4138" i="5"/>
  <c r="H4138" i="5"/>
  <c r="V4137" i="5"/>
  <c r="U4137" i="5"/>
  <c r="T4137" i="5"/>
  <c r="S4137" i="5"/>
  <c r="R4137" i="5"/>
  <c r="Q4137" i="5"/>
  <c r="P4137" i="5"/>
  <c r="O4137" i="5"/>
  <c r="N4137" i="5"/>
  <c r="M4137" i="5"/>
  <c r="L4137" i="5"/>
  <c r="K4137" i="5"/>
  <c r="J4137" i="5"/>
  <c r="I4137" i="5"/>
  <c r="H4137" i="5"/>
  <c r="V4136" i="5"/>
  <c r="U4136" i="5"/>
  <c r="T4136" i="5"/>
  <c r="S4136" i="5"/>
  <c r="R4136" i="5"/>
  <c r="Q4136" i="5"/>
  <c r="P4136" i="5"/>
  <c r="O4136" i="5"/>
  <c r="N4136" i="5"/>
  <c r="M4136" i="5"/>
  <c r="L4136" i="5"/>
  <c r="K4136" i="5"/>
  <c r="J4136" i="5"/>
  <c r="I4136" i="5"/>
  <c r="H4136" i="5"/>
  <c r="V4135" i="5"/>
  <c r="U4135" i="5"/>
  <c r="T4135" i="5"/>
  <c r="S4135" i="5"/>
  <c r="R4135" i="5"/>
  <c r="Q4135" i="5"/>
  <c r="P4135" i="5"/>
  <c r="O4135" i="5"/>
  <c r="N4135" i="5"/>
  <c r="M4135" i="5"/>
  <c r="L4135" i="5"/>
  <c r="K4135" i="5"/>
  <c r="J4135" i="5"/>
  <c r="I4135" i="5"/>
  <c r="H4135" i="5"/>
  <c r="V4134" i="5"/>
  <c r="U4134" i="5"/>
  <c r="T4134" i="5"/>
  <c r="S4134" i="5"/>
  <c r="R4134" i="5"/>
  <c r="Q4134" i="5"/>
  <c r="P4134" i="5"/>
  <c r="V4133" i="5"/>
  <c r="U4133" i="5"/>
  <c r="T4133" i="5"/>
  <c r="S4133" i="5"/>
  <c r="R4133" i="5"/>
  <c r="Q4133" i="5"/>
  <c r="P4133" i="5"/>
  <c r="O4133" i="5"/>
  <c r="N4133" i="5"/>
  <c r="M4133" i="5"/>
  <c r="L4133" i="5"/>
  <c r="K4133" i="5"/>
  <c r="J4133" i="5"/>
  <c r="I4133" i="5"/>
  <c r="H4133" i="5"/>
  <c r="U4132" i="5"/>
  <c r="T4132" i="5"/>
  <c r="S4132" i="5"/>
  <c r="R4132" i="5"/>
  <c r="Q4132" i="5"/>
  <c r="P4132" i="5"/>
  <c r="O4132" i="5"/>
  <c r="N4132" i="5"/>
  <c r="M4132" i="5"/>
  <c r="L4132" i="5"/>
  <c r="K4132" i="5"/>
  <c r="J4132" i="5"/>
  <c r="I4132" i="5"/>
  <c r="H4132" i="5"/>
  <c r="V4131" i="5"/>
  <c r="U4131" i="5"/>
  <c r="T4131" i="5"/>
  <c r="S4131" i="5"/>
  <c r="R4131" i="5"/>
  <c r="Q4131" i="5"/>
  <c r="P4131" i="5"/>
  <c r="O4131" i="5"/>
  <c r="N4131" i="5"/>
  <c r="M4131" i="5"/>
  <c r="L4131" i="5"/>
  <c r="K4131" i="5"/>
  <c r="J4131" i="5"/>
  <c r="I4131" i="5"/>
  <c r="H4131" i="5"/>
  <c r="V4130" i="5"/>
  <c r="O4130" i="5"/>
  <c r="N4130" i="5"/>
  <c r="M4130" i="5"/>
  <c r="L4130" i="5"/>
  <c r="K4130" i="5"/>
  <c r="J4130" i="5"/>
  <c r="I4130" i="5"/>
  <c r="H4130" i="5"/>
  <c r="V4129" i="5"/>
  <c r="U4129" i="5"/>
  <c r="T4129" i="5"/>
  <c r="S4129" i="5"/>
  <c r="R4129" i="5"/>
  <c r="Q4129" i="5"/>
  <c r="P4129" i="5"/>
  <c r="O4129" i="5"/>
  <c r="N4129" i="5"/>
  <c r="M4129" i="5"/>
  <c r="L4129" i="5"/>
  <c r="K4129" i="5"/>
  <c r="J4129" i="5"/>
  <c r="I4129" i="5"/>
  <c r="H4129" i="5"/>
  <c r="V4128" i="5"/>
  <c r="U4128" i="5"/>
  <c r="T4128" i="5"/>
  <c r="S4128" i="5"/>
  <c r="R4128" i="5"/>
  <c r="Q4128" i="5"/>
  <c r="P4128" i="5"/>
  <c r="O4128" i="5"/>
  <c r="N4128" i="5"/>
  <c r="M4128" i="5"/>
  <c r="L4128" i="5"/>
  <c r="K4128" i="5"/>
  <c r="J4128" i="5"/>
  <c r="I4128" i="5"/>
  <c r="H4128" i="5"/>
  <c r="V4127" i="5"/>
  <c r="U4127" i="5"/>
  <c r="T4127" i="5"/>
  <c r="S4127" i="5"/>
  <c r="R4127" i="5"/>
  <c r="Q4127" i="5"/>
  <c r="P4127" i="5"/>
  <c r="O4127" i="5"/>
  <c r="N4127" i="5"/>
  <c r="M4127" i="5"/>
  <c r="L4127" i="5"/>
  <c r="K4127" i="5"/>
  <c r="J4127" i="5"/>
  <c r="I4127" i="5"/>
  <c r="H4127" i="5"/>
  <c r="V4126" i="5"/>
  <c r="U4126" i="5"/>
  <c r="T4126" i="5"/>
  <c r="S4126" i="5"/>
  <c r="R4126" i="5"/>
  <c r="Q4126" i="5"/>
  <c r="P4126" i="5"/>
  <c r="O4126" i="5"/>
  <c r="N4126" i="5"/>
  <c r="M4126" i="5"/>
  <c r="L4126" i="5"/>
  <c r="K4126" i="5"/>
  <c r="J4126" i="5"/>
  <c r="I4126" i="5"/>
  <c r="H4126" i="5"/>
  <c r="V4125" i="5"/>
  <c r="U4125" i="5"/>
  <c r="T4125" i="5"/>
  <c r="S4125" i="5"/>
  <c r="R4125" i="5"/>
  <c r="Q4125" i="5"/>
  <c r="P4125" i="5"/>
  <c r="O4125" i="5"/>
  <c r="N4125" i="5"/>
  <c r="M4125" i="5"/>
  <c r="L4125" i="5"/>
  <c r="K4125" i="5"/>
  <c r="J4125" i="5"/>
  <c r="I4125" i="5"/>
  <c r="H4125" i="5"/>
  <c r="V4124" i="5"/>
  <c r="U4124" i="5"/>
  <c r="T4124" i="5"/>
  <c r="S4124" i="5"/>
  <c r="R4124" i="5"/>
  <c r="Q4124" i="5"/>
  <c r="P4124" i="5"/>
  <c r="V4123" i="5"/>
  <c r="U4123" i="5"/>
  <c r="T4123" i="5"/>
  <c r="S4123" i="5"/>
  <c r="R4123" i="5"/>
  <c r="Q4123" i="5"/>
  <c r="P4123" i="5"/>
  <c r="O4123" i="5"/>
  <c r="N4123" i="5"/>
  <c r="M4123" i="5"/>
  <c r="L4123" i="5"/>
  <c r="K4123" i="5"/>
  <c r="J4123" i="5"/>
  <c r="I4123" i="5"/>
  <c r="H4123" i="5"/>
  <c r="U4122" i="5"/>
  <c r="T4122" i="5"/>
  <c r="S4122" i="5"/>
  <c r="R4122" i="5"/>
  <c r="Q4122" i="5"/>
  <c r="P4122" i="5"/>
  <c r="O4122" i="5"/>
  <c r="N4122" i="5"/>
  <c r="M4122" i="5"/>
  <c r="L4122" i="5"/>
  <c r="K4122" i="5"/>
  <c r="J4122" i="5"/>
  <c r="I4122" i="5"/>
  <c r="H4122" i="5"/>
  <c r="V4121" i="5"/>
  <c r="U4121" i="5"/>
  <c r="T4121" i="5"/>
  <c r="S4121" i="5"/>
  <c r="R4121" i="5"/>
  <c r="Q4121" i="5"/>
  <c r="P4121" i="5"/>
  <c r="O4121" i="5"/>
  <c r="N4121" i="5"/>
  <c r="M4121" i="5"/>
  <c r="L4121" i="5"/>
  <c r="K4121" i="5"/>
  <c r="J4121" i="5"/>
  <c r="I4121" i="5"/>
  <c r="H4121" i="5"/>
  <c r="V4120" i="5"/>
  <c r="O4120" i="5"/>
  <c r="N4120" i="5"/>
  <c r="M4120" i="5"/>
  <c r="L4120" i="5"/>
  <c r="K4120" i="5"/>
  <c r="J4120" i="5"/>
  <c r="I4120" i="5"/>
  <c r="H4120" i="5"/>
  <c r="V4119" i="5"/>
  <c r="U4119" i="5"/>
  <c r="T4119" i="5"/>
  <c r="S4119" i="5"/>
  <c r="R4119" i="5"/>
  <c r="Q4119" i="5"/>
  <c r="P4119" i="5"/>
  <c r="O4119" i="5"/>
  <c r="N4119" i="5"/>
  <c r="M4119" i="5"/>
  <c r="L4119" i="5"/>
  <c r="K4119" i="5"/>
  <c r="J4119" i="5"/>
  <c r="I4119" i="5"/>
  <c r="H4119" i="5"/>
  <c r="V4118" i="5"/>
  <c r="U4118" i="5"/>
  <c r="T4118" i="5"/>
  <c r="S4118" i="5"/>
  <c r="R4118" i="5"/>
  <c r="Q4118" i="5"/>
  <c r="P4118" i="5"/>
  <c r="O4118" i="5"/>
  <c r="N4118" i="5"/>
  <c r="M4118" i="5"/>
  <c r="L4118" i="5"/>
  <c r="K4118" i="5"/>
  <c r="J4118" i="5"/>
  <c r="I4118" i="5"/>
  <c r="H4118" i="5"/>
  <c r="V4117" i="5"/>
  <c r="U4117" i="5"/>
  <c r="T4117" i="5"/>
  <c r="S4117" i="5"/>
  <c r="R4117" i="5"/>
  <c r="Q4117" i="5"/>
  <c r="P4117" i="5"/>
  <c r="O4117" i="5"/>
  <c r="N4117" i="5"/>
  <c r="M4117" i="5"/>
  <c r="L4117" i="5"/>
  <c r="K4117" i="5"/>
  <c r="J4117" i="5"/>
  <c r="I4117" i="5"/>
  <c r="H4117" i="5"/>
  <c r="V4116" i="5"/>
  <c r="U4116" i="5"/>
  <c r="T4116" i="5"/>
  <c r="S4116" i="5"/>
  <c r="R4116" i="5"/>
  <c r="Q4116" i="5"/>
  <c r="P4116" i="5"/>
  <c r="O4116" i="5"/>
  <c r="N4116" i="5"/>
  <c r="M4116" i="5"/>
  <c r="L4116" i="5"/>
  <c r="K4116" i="5"/>
  <c r="J4116" i="5"/>
  <c r="I4116" i="5"/>
  <c r="H4116" i="5"/>
  <c r="V4115" i="5"/>
  <c r="U4115" i="5"/>
  <c r="T4115" i="5"/>
  <c r="S4115" i="5"/>
  <c r="R4115" i="5"/>
  <c r="Q4115" i="5"/>
  <c r="P4115" i="5"/>
  <c r="O4115" i="5"/>
  <c r="N4115" i="5"/>
  <c r="M4115" i="5"/>
  <c r="L4115" i="5"/>
  <c r="K4115" i="5"/>
  <c r="J4115" i="5"/>
  <c r="I4115" i="5"/>
  <c r="H4115" i="5"/>
  <c r="V4114" i="5"/>
  <c r="U4114" i="5"/>
  <c r="T4114" i="5"/>
  <c r="S4114" i="5"/>
  <c r="R4114" i="5"/>
  <c r="Q4114" i="5"/>
  <c r="P4114" i="5"/>
  <c r="V4113" i="5"/>
  <c r="U4113" i="5"/>
  <c r="T4113" i="5"/>
  <c r="S4113" i="5"/>
  <c r="R4113" i="5"/>
  <c r="Q4113" i="5"/>
  <c r="P4113" i="5"/>
  <c r="O4113" i="5"/>
  <c r="N4113" i="5"/>
  <c r="M4113" i="5"/>
  <c r="L4113" i="5"/>
  <c r="K4113" i="5"/>
  <c r="J4113" i="5"/>
  <c r="I4113" i="5"/>
  <c r="H4113" i="5"/>
  <c r="U4112" i="5"/>
  <c r="T4112" i="5"/>
  <c r="S4112" i="5"/>
  <c r="R4112" i="5"/>
  <c r="Q4112" i="5"/>
  <c r="P4112" i="5"/>
  <c r="O4112" i="5"/>
  <c r="N4112" i="5"/>
  <c r="M4112" i="5"/>
  <c r="L4112" i="5"/>
  <c r="K4112" i="5"/>
  <c r="J4112" i="5"/>
  <c r="I4112" i="5"/>
  <c r="H4112" i="5"/>
  <c r="V4111" i="5"/>
  <c r="U4111" i="5"/>
  <c r="T4111" i="5"/>
  <c r="S4111" i="5"/>
  <c r="R4111" i="5"/>
  <c r="Q4111" i="5"/>
  <c r="P4111" i="5"/>
  <c r="O4111" i="5"/>
  <c r="N4111" i="5"/>
  <c r="M4111" i="5"/>
  <c r="L4111" i="5"/>
  <c r="K4111" i="5"/>
  <c r="J4111" i="5"/>
  <c r="I4111" i="5"/>
  <c r="H4111" i="5"/>
  <c r="V4110" i="5"/>
  <c r="O4110" i="5"/>
  <c r="N4110" i="5"/>
  <c r="M4110" i="5"/>
  <c r="L4110" i="5"/>
  <c r="K4110" i="5"/>
  <c r="J4110" i="5"/>
  <c r="I4110" i="5"/>
  <c r="H4110" i="5"/>
  <c r="V4109" i="5"/>
  <c r="U4109" i="5"/>
  <c r="T4109" i="5"/>
  <c r="S4109" i="5"/>
  <c r="R4109" i="5"/>
  <c r="Q4109" i="5"/>
  <c r="P4109" i="5"/>
  <c r="O4109" i="5"/>
  <c r="N4109" i="5"/>
  <c r="M4109" i="5"/>
  <c r="L4109" i="5"/>
  <c r="K4109" i="5"/>
  <c r="J4109" i="5"/>
  <c r="I4109" i="5"/>
  <c r="H4109" i="5"/>
  <c r="V4108" i="5"/>
  <c r="U4108" i="5"/>
  <c r="T4108" i="5"/>
  <c r="S4108" i="5"/>
  <c r="R4108" i="5"/>
  <c r="Q4108" i="5"/>
  <c r="P4108" i="5"/>
  <c r="O4108" i="5"/>
  <c r="N4108" i="5"/>
  <c r="M4108" i="5"/>
  <c r="L4108" i="5"/>
  <c r="K4108" i="5"/>
  <c r="J4108" i="5"/>
  <c r="I4108" i="5"/>
  <c r="H4108" i="5"/>
  <c r="V4107" i="5"/>
  <c r="U4107" i="5"/>
  <c r="T4107" i="5"/>
  <c r="S4107" i="5"/>
  <c r="R4107" i="5"/>
  <c r="Q4107" i="5"/>
  <c r="P4107" i="5"/>
  <c r="O4107" i="5"/>
  <c r="N4107" i="5"/>
  <c r="M4107" i="5"/>
  <c r="L4107" i="5"/>
  <c r="K4107" i="5"/>
  <c r="J4107" i="5"/>
  <c r="I4107" i="5"/>
  <c r="H4107" i="5"/>
  <c r="V4106" i="5"/>
  <c r="U4106" i="5"/>
  <c r="T4106" i="5"/>
  <c r="S4106" i="5"/>
  <c r="R4106" i="5"/>
  <c r="Q4106" i="5"/>
  <c r="P4106" i="5"/>
  <c r="O4106" i="5"/>
  <c r="N4106" i="5"/>
  <c r="M4106" i="5"/>
  <c r="L4106" i="5"/>
  <c r="K4106" i="5"/>
  <c r="J4106" i="5"/>
  <c r="I4106" i="5"/>
  <c r="H4106" i="5"/>
  <c r="V4105" i="5"/>
  <c r="U4105" i="5"/>
  <c r="T4105" i="5"/>
  <c r="S4105" i="5"/>
  <c r="R4105" i="5"/>
  <c r="Q4105" i="5"/>
  <c r="P4105" i="5"/>
  <c r="O4105" i="5"/>
  <c r="N4105" i="5"/>
  <c r="M4105" i="5"/>
  <c r="L4105" i="5"/>
  <c r="K4105" i="5"/>
  <c r="J4105" i="5"/>
  <c r="I4105" i="5"/>
  <c r="H4105" i="5"/>
  <c r="V4104" i="5"/>
  <c r="U4104" i="5"/>
  <c r="T4104" i="5"/>
  <c r="S4104" i="5"/>
  <c r="R4104" i="5"/>
  <c r="Q4104" i="5"/>
  <c r="P4104" i="5"/>
  <c r="V4103" i="5"/>
  <c r="U4103" i="5"/>
  <c r="T4103" i="5"/>
  <c r="S4103" i="5"/>
  <c r="R4103" i="5"/>
  <c r="Q4103" i="5"/>
  <c r="P4103" i="5"/>
  <c r="O4103" i="5"/>
  <c r="N4103" i="5"/>
  <c r="M4103" i="5"/>
  <c r="L4103" i="5"/>
  <c r="K4103" i="5"/>
  <c r="J4103" i="5"/>
  <c r="I4103" i="5"/>
  <c r="H4103" i="5"/>
  <c r="U4102" i="5"/>
  <c r="T4102" i="5"/>
  <c r="S4102" i="5"/>
  <c r="R4102" i="5"/>
  <c r="Q4102" i="5"/>
  <c r="P4102" i="5"/>
  <c r="O4102" i="5"/>
  <c r="N4102" i="5"/>
  <c r="M4102" i="5"/>
  <c r="L4102" i="5"/>
  <c r="K4102" i="5"/>
  <c r="J4102" i="5"/>
  <c r="I4102" i="5"/>
  <c r="H4102" i="5"/>
  <c r="V4101" i="5"/>
  <c r="U4101" i="5"/>
  <c r="T4101" i="5"/>
  <c r="S4101" i="5"/>
  <c r="R4101" i="5"/>
  <c r="Q4101" i="5"/>
  <c r="P4101" i="5"/>
  <c r="O4101" i="5"/>
  <c r="N4101" i="5"/>
  <c r="M4101" i="5"/>
  <c r="L4101" i="5"/>
  <c r="K4101" i="5"/>
  <c r="J4101" i="5"/>
  <c r="I4101" i="5"/>
  <c r="H4101" i="5"/>
  <c r="V4100" i="5"/>
  <c r="O4100" i="5"/>
  <c r="N4100" i="5"/>
  <c r="M4100" i="5"/>
  <c r="L4100" i="5"/>
  <c r="K4100" i="5"/>
  <c r="J4100" i="5"/>
  <c r="I4100" i="5"/>
  <c r="H4100" i="5"/>
  <c r="V4099" i="5"/>
  <c r="U4099" i="5"/>
  <c r="T4099" i="5"/>
  <c r="S4099" i="5"/>
  <c r="R4099" i="5"/>
  <c r="Q4099" i="5"/>
  <c r="P4099" i="5"/>
  <c r="O4099" i="5"/>
  <c r="N4099" i="5"/>
  <c r="M4099" i="5"/>
  <c r="L4099" i="5"/>
  <c r="K4099" i="5"/>
  <c r="J4099" i="5"/>
  <c r="I4099" i="5"/>
  <c r="H4099" i="5"/>
  <c r="V4098" i="5"/>
  <c r="U4098" i="5"/>
  <c r="T4098" i="5"/>
  <c r="S4098" i="5"/>
  <c r="R4098" i="5"/>
  <c r="Q4098" i="5"/>
  <c r="P4098" i="5"/>
  <c r="O4098" i="5"/>
  <c r="N4098" i="5"/>
  <c r="M4098" i="5"/>
  <c r="L4098" i="5"/>
  <c r="K4098" i="5"/>
  <c r="J4098" i="5"/>
  <c r="I4098" i="5"/>
  <c r="H4098" i="5"/>
  <c r="V4097" i="5"/>
  <c r="U4097" i="5"/>
  <c r="T4097" i="5"/>
  <c r="S4097" i="5"/>
  <c r="R4097" i="5"/>
  <c r="Q4097" i="5"/>
  <c r="P4097" i="5"/>
  <c r="O4097" i="5"/>
  <c r="N4097" i="5"/>
  <c r="M4097" i="5"/>
  <c r="L4097" i="5"/>
  <c r="K4097" i="5"/>
  <c r="J4097" i="5"/>
  <c r="I4097" i="5"/>
  <c r="H4097" i="5"/>
  <c r="V4096" i="5"/>
  <c r="U4096" i="5"/>
  <c r="T4096" i="5"/>
  <c r="S4096" i="5"/>
  <c r="R4096" i="5"/>
  <c r="Q4096" i="5"/>
  <c r="P4096" i="5"/>
  <c r="O4096" i="5"/>
  <c r="N4096" i="5"/>
  <c r="M4096" i="5"/>
  <c r="L4096" i="5"/>
  <c r="K4096" i="5"/>
  <c r="J4096" i="5"/>
  <c r="I4096" i="5"/>
  <c r="H4096" i="5"/>
  <c r="V4095" i="5"/>
  <c r="U4095" i="5"/>
  <c r="T4095" i="5"/>
  <c r="S4095" i="5"/>
  <c r="R4095" i="5"/>
  <c r="Q4095" i="5"/>
  <c r="P4095" i="5"/>
  <c r="O4095" i="5"/>
  <c r="N4095" i="5"/>
  <c r="M4095" i="5"/>
  <c r="L4095" i="5"/>
  <c r="K4095" i="5"/>
  <c r="J4095" i="5"/>
  <c r="I4095" i="5"/>
  <c r="H4095" i="5"/>
  <c r="V4094" i="5"/>
  <c r="U4094" i="5"/>
  <c r="T4094" i="5"/>
  <c r="S4094" i="5"/>
  <c r="R4094" i="5"/>
  <c r="Q4094" i="5"/>
  <c r="P4094" i="5"/>
  <c r="V4093" i="5"/>
  <c r="U4093" i="5"/>
  <c r="T4093" i="5"/>
  <c r="S4093" i="5"/>
  <c r="R4093" i="5"/>
  <c r="Q4093" i="5"/>
  <c r="P4093" i="5"/>
  <c r="O4093" i="5"/>
  <c r="N4093" i="5"/>
  <c r="M4093" i="5"/>
  <c r="L4093" i="5"/>
  <c r="K4093" i="5"/>
  <c r="J4093" i="5"/>
  <c r="I4093" i="5"/>
  <c r="H4093" i="5"/>
  <c r="U4092" i="5"/>
  <c r="T4092" i="5"/>
  <c r="S4092" i="5"/>
  <c r="R4092" i="5"/>
  <c r="Q4092" i="5"/>
  <c r="P4092" i="5"/>
  <c r="O4092" i="5"/>
  <c r="N4092" i="5"/>
  <c r="M4092" i="5"/>
  <c r="L4092" i="5"/>
  <c r="K4092" i="5"/>
  <c r="J4092" i="5"/>
  <c r="I4092" i="5"/>
  <c r="H4092" i="5"/>
  <c r="V4091" i="5"/>
  <c r="U4091" i="5"/>
  <c r="T4091" i="5"/>
  <c r="S4091" i="5"/>
  <c r="R4091" i="5"/>
  <c r="Q4091" i="5"/>
  <c r="P4091" i="5"/>
  <c r="O4091" i="5"/>
  <c r="N4091" i="5"/>
  <c r="M4091" i="5"/>
  <c r="L4091" i="5"/>
  <c r="K4091" i="5"/>
  <c r="J4091" i="5"/>
  <c r="I4091" i="5"/>
  <c r="H4091" i="5"/>
  <c r="V4090" i="5"/>
  <c r="O4090" i="5"/>
  <c r="N4090" i="5"/>
  <c r="M4090" i="5"/>
  <c r="L4090" i="5"/>
  <c r="K4090" i="5"/>
  <c r="J4090" i="5"/>
  <c r="I4090" i="5"/>
  <c r="H4090" i="5"/>
  <c r="V4089" i="5"/>
  <c r="U4089" i="5"/>
  <c r="T4089" i="5"/>
  <c r="S4089" i="5"/>
  <c r="R4089" i="5"/>
  <c r="Q4089" i="5"/>
  <c r="P4089" i="5"/>
  <c r="O4089" i="5"/>
  <c r="N4089" i="5"/>
  <c r="M4089" i="5"/>
  <c r="L4089" i="5"/>
  <c r="K4089" i="5"/>
  <c r="J4089" i="5"/>
  <c r="I4089" i="5"/>
  <c r="H4089" i="5"/>
  <c r="V4088" i="5"/>
  <c r="U4088" i="5"/>
  <c r="T4088" i="5"/>
  <c r="S4088" i="5"/>
  <c r="R4088" i="5"/>
  <c r="Q4088" i="5"/>
  <c r="P4088" i="5"/>
  <c r="O4088" i="5"/>
  <c r="N4088" i="5"/>
  <c r="M4088" i="5"/>
  <c r="L4088" i="5"/>
  <c r="K4088" i="5"/>
  <c r="J4088" i="5"/>
  <c r="I4088" i="5"/>
  <c r="H4088" i="5"/>
  <c r="V4087" i="5"/>
  <c r="U4087" i="5"/>
  <c r="T4087" i="5"/>
  <c r="S4087" i="5"/>
  <c r="R4087" i="5"/>
  <c r="Q4087" i="5"/>
  <c r="P4087" i="5"/>
  <c r="V4086" i="5"/>
  <c r="U4086" i="5"/>
  <c r="T4086" i="5"/>
  <c r="S4086" i="5"/>
  <c r="R4086" i="5"/>
  <c r="Q4086" i="5"/>
  <c r="P4086" i="5"/>
  <c r="U4085" i="5"/>
  <c r="T4085" i="5"/>
  <c r="S4085" i="5"/>
  <c r="R4085" i="5"/>
  <c r="Q4085" i="5"/>
  <c r="P4085" i="5"/>
  <c r="U4084" i="5"/>
  <c r="T4084" i="5"/>
  <c r="S4084" i="5"/>
  <c r="R4084" i="5"/>
  <c r="Q4084" i="5"/>
  <c r="P4084" i="5"/>
  <c r="O4077" i="5"/>
  <c r="N4077" i="5"/>
  <c r="M4077" i="5"/>
  <c r="L4077" i="5"/>
  <c r="K4077" i="5"/>
  <c r="J4077" i="5"/>
  <c r="I4077" i="5"/>
  <c r="H4077" i="5"/>
  <c r="O4076" i="5"/>
  <c r="N4076" i="5"/>
  <c r="M4076" i="5"/>
  <c r="L4076" i="5"/>
  <c r="K4076" i="5"/>
  <c r="J4076" i="5"/>
  <c r="I4076" i="5"/>
  <c r="H4076" i="5"/>
  <c r="V4075" i="5"/>
  <c r="O4075" i="5"/>
  <c r="N4075" i="5"/>
  <c r="M4075" i="5"/>
  <c r="L4075" i="5"/>
  <c r="K4075" i="5"/>
  <c r="J4075" i="5"/>
  <c r="I4075" i="5"/>
  <c r="H4075" i="5"/>
  <c r="V4074" i="5"/>
  <c r="V4073" i="5"/>
  <c r="U4073" i="5"/>
  <c r="T4073" i="5"/>
  <c r="S4073" i="5"/>
  <c r="R4073" i="5"/>
  <c r="Q4073" i="5"/>
  <c r="P4073" i="5"/>
  <c r="O4073" i="5"/>
  <c r="N4073" i="5"/>
  <c r="M4073" i="5"/>
  <c r="L4073" i="5"/>
  <c r="K4073" i="5"/>
  <c r="J4073" i="5"/>
  <c r="I4073" i="5"/>
  <c r="H4073" i="5"/>
  <c r="U4072" i="5"/>
  <c r="T4072" i="5"/>
  <c r="S4072" i="5"/>
  <c r="R4072" i="5"/>
  <c r="Q4072" i="5"/>
  <c r="P4072" i="5"/>
  <c r="O4072" i="5"/>
  <c r="N4072" i="5"/>
  <c r="M4072" i="5"/>
  <c r="L4072" i="5"/>
  <c r="K4072" i="5"/>
  <c r="J4072" i="5"/>
  <c r="I4072" i="5"/>
  <c r="H4072" i="5"/>
  <c r="V4071" i="5"/>
  <c r="U4071" i="5"/>
  <c r="T4071" i="5"/>
  <c r="S4071" i="5"/>
  <c r="R4071" i="5"/>
  <c r="Q4071" i="5"/>
  <c r="P4071" i="5"/>
  <c r="O4071" i="5"/>
  <c r="N4071" i="5"/>
  <c r="M4071" i="5"/>
  <c r="L4071" i="5"/>
  <c r="K4071" i="5"/>
  <c r="J4071" i="5"/>
  <c r="I4071" i="5"/>
  <c r="H4071" i="5"/>
  <c r="V4070" i="5"/>
  <c r="O4070" i="5"/>
  <c r="N4070" i="5"/>
  <c r="M4070" i="5"/>
  <c r="L4070" i="5"/>
  <c r="K4070" i="5"/>
  <c r="J4070" i="5"/>
  <c r="I4070" i="5"/>
  <c r="H4070" i="5"/>
  <c r="V4069" i="5"/>
  <c r="U4069" i="5"/>
  <c r="T4069" i="5"/>
  <c r="S4069" i="5"/>
  <c r="R4069" i="5"/>
  <c r="Q4069" i="5"/>
  <c r="P4069" i="5"/>
  <c r="O4069" i="5"/>
  <c r="N4069" i="5"/>
  <c r="M4069" i="5"/>
  <c r="L4069" i="5"/>
  <c r="K4069" i="5"/>
  <c r="J4069" i="5"/>
  <c r="I4069" i="5"/>
  <c r="H4069" i="5"/>
  <c r="V4068" i="5"/>
  <c r="U4068" i="5"/>
  <c r="T4068" i="5"/>
  <c r="S4068" i="5"/>
  <c r="R4068" i="5"/>
  <c r="Q4068" i="5"/>
  <c r="P4068" i="5"/>
  <c r="O4068" i="5"/>
  <c r="N4068" i="5"/>
  <c r="M4068" i="5"/>
  <c r="L4068" i="5"/>
  <c r="K4068" i="5"/>
  <c r="J4068" i="5"/>
  <c r="I4068" i="5"/>
  <c r="H4068" i="5"/>
  <c r="V4067" i="5"/>
  <c r="U4067" i="5"/>
  <c r="T4067" i="5"/>
  <c r="S4067" i="5"/>
  <c r="R4067" i="5"/>
  <c r="Q4067" i="5"/>
  <c r="P4067" i="5"/>
  <c r="O4067" i="5"/>
  <c r="N4067" i="5"/>
  <c r="M4067" i="5"/>
  <c r="L4067" i="5"/>
  <c r="K4067" i="5"/>
  <c r="J4067" i="5"/>
  <c r="I4067" i="5"/>
  <c r="H4067" i="5"/>
  <c r="V4066" i="5"/>
  <c r="U4066" i="5"/>
  <c r="T4066" i="5"/>
  <c r="S4066" i="5"/>
  <c r="R4066" i="5"/>
  <c r="Q4066" i="5"/>
  <c r="P4066" i="5"/>
  <c r="O4066" i="5"/>
  <c r="N4066" i="5"/>
  <c r="M4066" i="5"/>
  <c r="L4066" i="5"/>
  <c r="K4066" i="5"/>
  <c r="J4066" i="5"/>
  <c r="I4066" i="5"/>
  <c r="H4066" i="5"/>
  <c r="V4065" i="5"/>
  <c r="U4065" i="5"/>
  <c r="T4065" i="5"/>
  <c r="S4065" i="5"/>
  <c r="R4065" i="5"/>
  <c r="Q4065" i="5"/>
  <c r="P4065" i="5"/>
  <c r="O4065" i="5"/>
  <c r="N4065" i="5"/>
  <c r="M4065" i="5"/>
  <c r="L4065" i="5"/>
  <c r="K4065" i="5"/>
  <c r="J4065" i="5"/>
  <c r="I4065" i="5"/>
  <c r="H4065" i="5"/>
  <c r="V4064" i="5"/>
  <c r="U4064" i="5"/>
  <c r="T4064" i="5"/>
  <c r="S4064" i="5"/>
  <c r="R4064" i="5"/>
  <c r="Q4064" i="5"/>
  <c r="P4064" i="5"/>
  <c r="V4063" i="5"/>
  <c r="U4063" i="5"/>
  <c r="T4063" i="5"/>
  <c r="S4063" i="5"/>
  <c r="R4063" i="5"/>
  <c r="Q4063" i="5"/>
  <c r="P4063" i="5"/>
  <c r="O4063" i="5"/>
  <c r="N4063" i="5"/>
  <c r="M4063" i="5"/>
  <c r="L4063" i="5"/>
  <c r="K4063" i="5"/>
  <c r="J4063" i="5"/>
  <c r="I4063" i="5"/>
  <c r="H4063" i="5"/>
  <c r="U4062" i="5"/>
  <c r="T4062" i="5"/>
  <c r="S4062" i="5"/>
  <c r="R4062" i="5"/>
  <c r="Q4062" i="5"/>
  <c r="P4062" i="5"/>
  <c r="O4062" i="5"/>
  <c r="N4062" i="5"/>
  <c r="M4062" i="5"/>
  <c r="L4062" i="5"/>
  <c r="K4062" i="5"/>
  <c r="J4062" i="5"/>
  <c r="I4062" i="5"/>
  <c r="H4062" i="5"/>
  <c r="V4061" i="5"/>
  <c r="U4061" i="5"/>
  <c r="T4061" i="5"/>
  <c r="S4061" i="5"/>
  <c r="R4061" i="5"/>
  <c r="Q4061" i="5"/>
  <c r="P4061" i="5"/>
  <c r="O4061" i="5"/>
  <c r="N4061" i="5"/>
  <c r="M4061" i="5"/>
  <c r="L4061" i="5"/>
  <c r="K4061" i="5"/>
  <c r="J4061" i="5"/>
  <c r="I4061" i="5"/>
  <c r="H4061" i="5"/>
  <c r="V4060" i="5"/>
  <c r="O4060" i="5"/>
  <c r="N4060" i="5"/>
  <c r="M4060" i="5"/>
  <c r="L4060" i="5"/>
  <c r="K4060" i="5"/>
  <c r="J4060" i="5"/>
  <c r="I4060" i="5"/>
  <c r="H4060" i="5"/>
  <c r="V4059" i="5"/>
  <c r="U4059" i="5"/>
  <c r="T4059" i="5"/>
  <c r="S4059" i="5"/>
  <c r="R4059" i="5"/>
  <c r="Q4059" i="5"/>
  <c r="P4059" i="5"/>
  <c r="O4059" i="5"/>
  <c r="N4059" i="5"/>
  <c r="M4059" i="5"/>
  <c r="L4059" i="5"/>
  <c r="K4059" i="5"/>
  <c r="J4059" i="5"/>
  <c r="I4059" i="5"/>
  <c r="H4059" i="5"/>
  <c r="V4058" i="5"/>
  <c r="U4058" i="5"/>
  <c r="T4058" i="5"/>
  <c r="S4058" i="5"/>
  <c r="R4058" i="5"/>
  <c r="Q4058" i="5"/>
  <c r="P4058" i="5"/>
  <c r="O4058" i="5"/>
  <c r="N4058" i="5"/>
  <c r="M4058" i="5"/>
  <c r="L4058" i="5"/>
  <c r="K4058" i="5"/>
  <c r="J4058" i="5"/>
  <c r="I4058" i="5"/>
  <c r="H4058" i="5"/>
  <c r="V4057" i="5"/>
  <c r="U4057" i="5"/>
  <c r="T4057" i="5"/>
  <c r="S4057" i="5"/>
  <c r="R4057" i="5"/>
  <c r="Q4057" i="5"/>
  <c r="P4057" i="5"/>
  <c r="O4057" i="5"/>
  <c r="N4057" i="5"/>
  <c r="M4057" i="5"/>
  <c r="L4057" i="5"/>
  <c r="K4057" i="5"/>
  <c r="J4057" i="5"/>
  <c r="I4057" i="5"/>
  <c r="H4057" i="5"/>
  <c r="V4056" i="5"/>
  <c r="U4056" i="5"/>
  <c r="T4056" i="5"/>
  <c r="S4056" i="5"/>
  <c r="R4056" i="5"/>
  <c r="Q4056" i="5"/>
  <c r="P4056" i="5"/>
  <c r="O4056" i="5"/>
  <c r="N4056" i="5"/>
  <c r="M4056" i="5"/>
  <c r="L4056" i="5"/>
  <c r="K4056" i="5"/>
  <c r="J4056" i="5"/>
  <c r="I4056" i="5"/>
  <c r="H4056" i="5"/>
  <c r="V4055" i="5"/>
  <c r="U4055" i="5"/>
  <c r="T4055" i="5"/>
  <c r="S4055" i="5"/>
  <c r="R4055" i="5"/>
  <c r="Q4055" i="5"/>
  <c r="P4055" i="5"/>
  <c r="O4055" i="5"/>
  <c r="N4055" i="5"/>
  <c r="M4055" i="5"/>
  <c r="L4055" i="5"/>
  <c r="K4055" i="5"/>
  <c r="J4055" i="5"/>
  <c r="I4055" i="5"/>
  <c r="H4055" i="5"/>
  <c r="V4054" i="5"/>
  <c r="U4054" i="5"/>
  <c r="T4054" i="5"/>
  <c r="S4054" i="5"/>
  <c r="R4054" i="5"/>
  <c r="Q4054" i="5"/>
  <c r="P4054" i="5"/>
  <c r="V4053" i="5"/>
  <c r="U4053" i="5"/>
  <c r="T4053" i="5"/>
  <c r="S4053" i="5"/>
  <c r="R4053" i="5"/>
  <c r="Q4053" i="5"/>
  <c r="P4053" i="5"/>
  <c r="O4053" i="5"/>
  <c r="N4053" i="5"/>
  <c r="M4053" i="5"/>
  <c r="L4053" i="5"/>
  <c r="K4053" i="5"/>
  <c r="J4053" i="5"/>
  <c r="I4053" i="5"/>
  <c r="H4053" i="5"/>
  <c r="U4052" i="5"/>
  <c r="T4052" i="5"/>
  <c r="S4052" i="5"/>
  <c r="R4052" i="5"/>
  <c r="Q4052" i="5"/>
  <c r="P4052" i="5"/>
  <c r="O4052" i="5"/>
  <c r="N4052" i="5"/>
  <c r="M4052" i="5"/>
  <c r="L4052" i="5"/>
  <c r="K4052" i="5"/>
  <c r="J4052" i="5"/>
  <c r="I4052" i="5"/>
  <c r="H4052" i="5"/>
  <c r="V4051" i="5"/>
  <c r="U4051" i="5"/>
  <c r="T4051" i="5"/>
  <c r="S4051" i="5"/>
  <c r="R4051" i="5"/>
  <c r="Q4051" i="5"/>
  <c r="P4051" i="5"/>
  <c r="O4051" i="5"/>
  <c r="N4051" i="5"/>
  <c r="M4051" i="5"/>
  <c r="L4051" i="5"/>
  <c r="K4051" i="5"/>
  <c r="J4051" i="5"/>
  <c r="I4051" i="5"/>
  <c r="H4051" i="5"/>
  <c r="V4050" i="5"/>
  <c r="O4050" i="5"/>
  <c r="N4050" i="5"/>
  <c r="M4050" i="5"/>
  <c r="L4050" i="5"/>
  <c r="K4050" i="5"/>
  <c r="J4050" i="5"/>
  <c r="I4050" i="5"/>
  <c r="H4050" i="5"/>
  <c r="V4049" i="5"/>
  <c r="U4049" i="5"/>
  <c r="T4049" i="5"/>
  <c r="S4049" i="5"/>
  <c r="R4049" i="5"/>
  <c r="Q4049" i="5"/>
  <c r="P4049" i="5"/>
  <c r="O4049" i="5"/>
  <c r="N4049" i="5"/>
  <c r="M4049" i="5"/>
  <c r="L4049" i="5"/>
  <c r="K4049" i="5"/>
  <c r="J4049" i="5"/>
  <c r="I4049" i="5"/>
  <c r="H4049" i="5"/>
  <c r="V4048" i="5"/>
  <c r="U4048" i="5"/>
  <c r="T4048" i="5"/>
  <c r="S4048" i="5"/>
  <c r="R4048" i="5"/>
  <c r="Q4048" i="5"/>
  <c r="P4048" i="5"/>
  <c r="O4048" i="5"/>
  <c r="N4048" i="5"/>
  <c r="M4048" i="5"/>
  <c r="L4048" i="5"/>
  <c r="K4048" i="5"/>
  <c r="J4048" i="5"/>
  <c r="I4048" i="5"/>
  <c r="H4048" i="5"/>
  <c r="V4047" i="5"/>
  <c r="U4047" i="5"/>
  <c r="T4047" i="5"/>
  <c r="S4047" i="5"/>
  <c r="R4047" i="5"/>
  <c r="Q4047" i="5"/>
  <c r="P4047" i="5"/>
  <c r="O4047" i="5"/>
  <c r="N4047" i="5"/>
  <c r="M4047" i="5"/>
  <c r="L4047" i="5"/>
  <c r="K4047" i="5"/>
  <c r="J4047" i="5"/>
  <c r="I4047" i="5"/>
  <c r="H4047" i="5"/>
  <c r="V4046" i="5"/>
  <c r="U4046" i="5"/>
  <c r="T4046" i="5"/>
  <c r="S4046" i="5"/>
  <c r="R4046" i="5"/>
  <c r="Q4046" i="5"/>
  <c r="P4046" i="5"/>
  <c r="O4046" i="5"/>
  <c r="N4046" i="5"/>
  <c r="M4046" i="5"/>
  <c r="L4046" i="5"/>
  <c r="K4046" i="5"/>
  <c r="J4046" i="5"/>
  <c r="I4046" i="5"/>
  <c r="H4046" i="5"/>
  <c r="V4045" i="5"/>
  <c r="U4045" i="5"/>
  <c r="T4045" i="5"/>
  <c r="S4045" i="5"/>
  <c r="R4045" i="5"/>
  <c r="Q4045" i="5"/>
  <c r="P4045" i="5"/>
  <c r="O4045" i="5"/>
  <c r="N4045" i="5"/>
  <c r="M4045" i="5"/>
  <c r="L4045" i="5"/>
  <c r="K4045" i="5"/>
  <c r="J4045" i="5"/>
  <c r="I4045" i="5"/>
  <c r="H4045" i="5"/>
  <c r="V4044" i="5"/>
  <c r="U4044" i="5"/>
  <c r="T4044" i="5"/>
  <c r="S4044" i="5"/>
  <c r="R4044" i="5"/>
  <c r="Q4044" i="5"/>
  <c r="P4044" i="5"/>
  <c r="V4043" i="5"/>
  <c r="U4043" i="5"/>
  <c r="T4043" i="5"/>
  <c r="S4043" i="5"/>
  <c r="R4043" i="5"/>
  <c r="Q4043" i="5"/>
  <c r="P4043" i="5"/>
  <c r="O4043" i="5"/>
  <c r="N4043" i="5"/>
  <c r="M4043" i="5"/>
  <c r="L4043" i="5"/>
  <c r="K4043" i="5"/>
  <c r="J4043" i="5"/>
  <c r="I4043" i="5"/>
  <c r="H4043" i="5"/>
  <c r="U4042" i="5"/>
  <c r="T4042" i="5"/>
  <c r="S4042" i="5"/>
  <c r="R4042" i="5"/>
  <c r="Q4042" i="5"/>
  <c r="P4042" i="5"/>
  <c r="O4042" i="5"/>
  <c r="N4042" i="5"/>
  <c r="M4042" i="5"/>
  <c r="L4042" i="5"/>
  <c r="K4042" i="5"/>
  <c r="J4042" i="5"/>
  <c r="I4042" i="5"/>
  <c r="H4042" i="5"/>
  <c r="V4041" i="5"/>
  <c r="U4041" i="5"/>
  <c r="T4041" i="5"/>
  <c r="S4041" i="5"/>
  <c r="R4041" i="5"/>
  <c r="Q4041" i="5"/>
  <c r="P4041" i="5"/>
  <c r="O4041" i="5"/>
  <c r="N4041" i="5"/>
  <c r="M4041" i="5"/>
  <c r="L4041" i="5"/>
  <c r="K4041" i="5"/>
  <c r="J4041" i="5"/>
  <c r="I4041" i="5"/>
  <c r="H4041" i="5"/>
  <c r="V4040" i="5"/>
  <c r="O4040" i="5"/>
  <c r="N4040" i="5"/>
  <c r="M4040" i="5"/>
  <c r="L4040" i="5"/>
  <c r="K4040" i="5"/>
  <c r="J4040" i="5"/>
  <c r="I4040" i="5"/>
  <c r="H4040" i="5"/>
  <c r="V4039" i="5"/>
  <c r="U4039" i="5"/>
  <c r="T4039" i="5"/>
  <c r="S4039" i="5"/>
  <c r="R4039" i="5"/>
  <c r="Q4039" i="5"/>
  <c r="P4039" i="5"/>
  <c r="O4039" i="5"/>
  <c r="N4039" i="5"/>
  <c r="M4039" i="5"/>
  <c r="L4039" i="5"/>
  <c r="K4039" i="5"/>
  <c r="J4039" i="5"/>
  <c r="I4039" i="5"/>
  <c r="H4039" i="5"/>
  <c r="V4038" i="5"/>
  <c r="U4038" i="5"/>
  <c r="T4038" i="5"/>
  <c r="S4038" i="5"/>
  <c r="R4038" i="5"/>
  <c r="Q4038" i="5"/>
  <c r="P4038" i="5"/>
  <c r="O4038" i="5"/>
  <c r="N4038" i="5"/>
  <c r="M4038" i="5"/>
  <c r="L4038" i="5"/>
  <c r="K4038" i="5"/>
  <c r="J4038" i="5"/>
  <c r="I4038" i="5"/>
  <c r="H4038" i="5"/>
  <c r="V4037" i="5"/>
  <c r="U4037" i="5"/>
  <c r="T4037" i="5"/>
  <c r="S4037" i="5"/>
  <c r="R4037" i="5"/>
  <c r="Q4037" i="5"/>
  <c r="P4037" i="5"/>
  <c r="O4037" i="5"/>
  <c r="N4037" i="5"/>
  <c r="M4037" i="5"/>
  <c r="L4037" i="5"/>
  <c r="K4037" i="5"/>
  <c r="J4037" i="5"/>
  <c r="I4037" i="5"/>
  <c r="H4037" i="5"/>
  <c r="V4036" i="5"/>
  <c r="U4036" i="5"/>
  <c r="T4036" i="5"/>
  <c r="S4036" i="5"/>
  <c r="R4036" i="5"/>
  <c r="Q4036" i="5"/>
  <c r="P4036" i="5"/>
  <c r="O4036" i="5"/>
  <c r="N4036" i="5"/>
  <c r="M4036" i="5"/>
  <c r="L4036" i="5"/>
  <c r="K4036" i="5"/>
  <c r="J4036" i="5"/>
  <c r="I4036" i="5"/>
  <c r="H4036" i="5"/>
  <c r="V4035" i="5"/>
  <c r="U4035" i="5"/>
  <c r="T4035" i="5"/>
  <c r="S4035" i="5"/>
  <c r="R4035" i="5"/>
  <c r="Q4035" i="5"/>
  <c r="P4035" i="5"/>
  <c r="O4035" i="5"/>
  <c r="N4035" i="5"/>
  <c r="M4035" i="5"/>
  <c r="L4035" i="5"/>
  <c r="K4035" i="5"/>
  <c r="J4035" i="5"/>
  <c r="I4035" i="5"/>
  <c r="H4035" i="5"/>
  <c r="V4034" i="5"/>
  <c r="U4034" i="5"/>
  <c r="T4034" i="5"/>
  <c r="S4034" i="5"/>
  <c r="R4034" i="5"/>
  <c r="Q4034" i="5"/>
  <c r="P4034" i="5"/>
  <c r="V4033" i="5"/>
  <c r="U4033" i="5"/>
  <c r="T4033" i="5"/>
  <c r="S4033" i="5"/>
  <c r="R4033" i="5"/>
  <c r="Q4033" i="5"/>
  <c r="P4033" i="5"/>
  <c r="O4033" i="5"/>
  <c r="N4033" i="5"/>
  <c r="M4033" i="5"/>
  <c r="L4033" i="5"/>
  <c r="K4033" i="5"/>
  <c r="J4033" i="5"/>
  <c r="I4033" i="5"/>
  <c r="H4033" i="5"/>
  <c r="U4032" i="5"/>
  <c r="T4032" i="5"/>
  <c r="S4032" i="5"/>
  <c r="R4032" i="5"/>
  <c r="Q4032" i="5"/>
  <c r="P4032" i="5"/>
  <c r="O4032" i="5"/>
  <c r="N4032" i="5"/>
  <c r="M4032" i="5"/>
  <c r="L4032" i="5"/>
  <c r="K4032" i="5"/>
  <c r="J4032" i="5"/>
  <c r="I4032" i="5"/>
  <c r="H4032" i="5"/>
  <c r="V4031" i="5"/>
  <c r="U4031" i="5"/>
  <c r="T4031" i="5"/>
  <c r="S4031" i="5"/>
  <c r="R4031" i="5"/>
  <c r="Q4031" i="5"/>
  <c r="P4031" i="5"/>
  <c r="O4031" i="5"/>
  <c r="N4031" i="5"/>
  <c r="M4031" i="5"/>
  <c r="L4031" i="5"/>
  <c r="K4031" i="5"/>
  <c r="J4031" i="5"/>
  <c r="I4031" i="5"/>
  <c r="H4031" i="5"/>
  <c r="V4030" i="5"/>
  <c r="O4030" i="5"/>
  <c r="N4030" i="5"/>
  <c r="M4030" i="5"/>
  <c r="L4030" i="5"/>
  <c r="K4030" i="5"/>
  <c r="J4030" i="5"/>
  <c r="I4030" i="5"/>
  <c r="H4030" i="5"/>
  <c r="V4029" i="5"/>
  <c r="U4029" i="5"/>
  <c r="T4029" i="5"/>
  <c r="S4029" i="5"/>
  <c r="R4029" i="5"/>
  <c r="Q4029" i="5"/>
  <c r="P4029" i="5"/>
  <c r="O4029" i="5"/>
  <c r="N4029" i="5"/>
  <c r="M4029" i="5"/>
  <c r="L4029" i="5"/>
  <c r="K4029" i="5"/>
  <c r="J4029" i="5"/>
  <c r="I4029" i="5"/>
  <c r="H4029" i="5"/>
  <c r="V4028" i="5"/>
  <c r="U4028" i="5"/>
  <c r="T4028" i="5"/>
  <c r="S4028" i="5"/>
  <c r="R4028" i="5"/>
  <c r="Q4028" i="5"/>
  <c r="P4028" i="5"/>
  <c r="O4028" i="5"/>
  <c r="N4028" i="5"/>
  <c r="M4028" i="5"/>
  <c r="L4028" i="5"/>
  <c r="K4028" i="5"/>
  <c r="J4028" i="5"/>
  <c r="I4028" i="5"/>
  <c r="H4028" i="5"/>
  <c r="V4027" i="5"/>
  <c r="U4027" i="5"/>
  <c r="T4027" i="5"/>
  <c r="S4027" i="5"/>
  <c r="R4027" i="5"/>
  <c r="Q4027" i="5"/>
  <c r="P4027" i="5"/>
  <c r="O4027" i="5"/>
  <c r="N4027" i="5"/>
  <c r="M4027" i="5"/>
  <c r="L4027" i="5"/>
  <c r="K4027" i="5"/>
  <c r="J4027" i="5"/>
  <c r="I4027" i="5"/>
  <c r="H4027" i="5"/>
  <c r="V4026" i="5"/>
  <c r="U4026" i="5"/>
  <c r="T4026" i="5"/>
  <c r="S4026" i="5"/>
  <c r="R4026" i="5"/>
  <c r="Q4026" i="5"/>
  <c r="P4026" i="5"/>
  <c r="O4026" i="5"/>
  <c r="N4026" i="5"/>
  <c r="M4026" i="5"/>
  <c r="L4026" i="5"/>
  <c r="K4026" i="5"/>
  <c r="J4026" i="5"/>
  <c r="I4026" i="5"/>
  <c r="H4026" i="5"/>
  <c r="V4025" i="5"/>
  <c r="U4025" i="5"/>
  <c r="T4025" i="5"/>
  <c r="S4025" i="5"/>
  <c r="R4025" i="5"/>
  <c r="Q4025" i="5"/>
  <c r="P4025" i="5"/>
  <c r="O4025" i="5"/>
  <c r="N4025" i="5"/>
  <c r="M4025" i="5"/>
  <c r="L4025" i="5"/>
  <c r="K4025" i="5"/>
  <c r="J4025" i="5"/>
  <c r="I4025" i="5"/>
  <c r="H4025" i="5"/>
  <c r="V4024" i="5"/>
  <c r="U4024" i="5"/>
  <c r="T4024" i="5"/>
  <c r="S4024" i="5"/>
  <c r="R4024" i="5"/>
  <c r="Q4024" i="5"/>
  <c r="P4024" i="5"/>
  <c r="V4023" i="5"/>
  <c r="U4023" i="5"/>
  <c r="T4023" i="5"/>
  <c r="S4023" i="5"/>
  <c r="R4023" i="5"/>
  <c r="Q4023" i="5"/>
  <c r="P4023" i="5"/>
  <c r="O4023" i="5"/>
  <c r="N4023" i="5"/>
  <c r="M4023" i="5"/>
  <c r="L4023" i="5"/>
  <c r="K4023" i="5"/>
  <c r="J4023" i="5"/>
  <c r="I4023" i="5"/>
  <c r="H4023" i="5"/>
  <c r="U4022" i="5"/>
  <c r="T4022" i="5"/>
  <c r="S4022" i="5"/>
  <c r="R4022" i="5"/>
  <c r="Q4022" i="5"/>
  <c r="P4022" i="5"/>
  <c r="O4022" i="5"/>
  <c r="N4022" i="5"/>
  <c r="M4022" i="5"/>
  <c r="L4022" i="5"/>
  <c r="K4022" i="5"/>
  <c r="J4022" i="5"/>
  <c r="I4022" i="5"/>
  <c r="H4022" i="5"/>
  <c r="V4021" i="5"/>
  <c r="U4021" i="5"/>
  <c r="T4021" i="5"/>
  <c r="S4021" i="5"/>
  <c r="R4021" i="5"/>
  <c r="Q4021" i="5"/>
  <c r="P4021" i="5"/>
  <c r="O4021" i="5"/>
  <c r="N4021" i="5"/>
  <c r="M4021" i="5"/>
  <c r="L4021" i="5"/>
  <c r="K4021" i="5"/>
  <c r="J4021" i="5"/>
  <c r="I4021" i="5"/>
  <c r="H4021" i="5"/>
  <c r="V4020" i="5"/>
  <c r="O4020" i="5"/>
  <c r="N4020" i="5"/>
  <c r="M4020" i="5"/>
  <c r="L4020" i="5"/>
  <c r="K4020" i="5"/>
  <c r="J4020" i="5"/>
  <c r="I4020" i="5"/>
  <c r="H4020" i="5"/>
  <c r="V4019" i="5"/>
  <c r="U4019" i="5"/>
  <c r="T4019" i="5"/>
  <c r="S4019" i="5"/>
  <c r="R4019" i="5"/>
  <c r="Q4019" i="5"/>
  <c r="P4019" i="5"/>
  <c r="O4019" i="5"/>
  <c r="N4019" i="5"/>
  <c r="M4019" i="5"/>
  <c r="L4019" i="5"/>
  <c r="K4019" i="5"/>
  <c r="J4019" i="5"/>
  <c r="I4019" i="5"/>
  <c r="H4019" i="5"/>
  <c r="V4018" i="5"/>
  <c r="U4018" i="5"/>
  <c r="T4018" i="5"/>
  <c r="S4018" i="5"/>
  <c r="R4018" i="5"/>
  <c r="Q4018" i="5"/>
  <c r="P4018" i="5"/>
  <c r="O4018" i="5"/>
  <c r="N4018" i="5"/>
  <c r="M4018" i="5"/>
  <c r="L4018" i="5"/>
  <c r="K4018" i="5"/>
  <c r="J4018" i="5"/>
  <c r="I4018" i="5"/>
  <c r="H4018" i="5"/>
  <c r="V4017" i="5"/>
  <c r="U4017" i="5"/>
  <c r="T4017" i="5"/>
  <c r="S4017" i="5"/>
  <c r="R4017" i="5"/>
  <c r="Q4017" i="5"/>
  <c r="P4017" i="5"/>
  <c r="O4017" i="5"/>
  <c r="N4017" i="5"/>
  <c r="M4017" i="5"/>
  <c r="L4017" i="5"/>
  <c r="K4017" i="5"/>
  <c r="J4017" i="5"/>
  <c r="I4017" i="5"/>
  <c r="H4017" i="5"/>
  <c r="V4016" i="5"/>
  <c r="U4016" i="5"/>
  <c r="T4016" i="5"/>
  <c r="S4016" i="5"/>
  <c r="R4016" i="5"/>
  <c r="Q4016" i="5"/>
  <c r="P4016" i="5"/>
  <c r="O4016" i="5"/>
  <c r="N4016" i="5"/>
  <c r="M4016" i="5"/>
  <c r="L4016" i="5"/>
  <c r="K4016" i="5"/>
  <c r="J4016" i="5"/>
  <c r="I4016" i="5"/>
  <c r="H4016" i="5"/>
  <c r="V4015" i="5"/>
  <c r="U4015" i="5"/>
  <c r="T4015" i="5"/>
  <c r="S4015" i="5"/>
  <c r="R4015" i="5"/>
  <c r="Q4015" i="5"/>
  <c r="P4015" i="5"/>
  <c r="O4015" i="5"/>
  <c r="N4015" i="5"/>
  <c r="M4015" i="5"/>
  <c r="L4015" i="5"/>
  <c r="K4015" i="5"/>
  <c r="J4015" i="5"/>
  <c r="I4015" i="5"/>
  <c r="H4015" i="5"/>
  <c r="V4014" i="5"/>
  <c r="U4014" i="5"/>
  <c r="T4014" i="5"/>
  <c r="S4014" i="5"/>
  <c r="R4014" i="5"/>
  <c r="Q4014" i="5"/>
  <c r="P4014" i="5"/>
  <c r="V4013" i="5"/>
  <c r="U4013" i="5"/>
  <c r="T4013" i="5"/>
  <c r="S4013" i="5"/>
  <c r="R4013" i="5"/>
  <c r="Q4013" i="5"/>
  <c r="P4013" i="5"/>
  <c r="O4013" i="5"/>
  <c r="N4013" i="5"/>
  <c r="M4013" i="5"/>
  <c r="L4013" i="5"/>
  <c r="K4013" i="5"/>
  <c r="J4013" i="5"/>
  <c r="I4013" i="5"/>
  <c r="H4013" i="5"/>
  <c r="U4012" i="5"/>
  <c r="T4012" i="5"/>
  <c r="S4012" i="5"/>
  <c r="R4012" i="5"/>
  <c r="Q4012" i="5"/>
  <c r="P4012" i="5"/>
  <c r="O4012" i="5"/>
  <c r="N4012" i="5"/>
  <c r="M4012" i="5"/>
  <c r="L4012" i="5"/>
  <c r="K4012" i="5"/>
  <c r="J4012" i="5"/>
  <c r="I4012" i="5"/>
  <c r="H4012" i="5"/>
  <c r="V4011" i="5"/>
  <c r="U4011" i="5"/>
  <c r="T4011" i="5"/>
  <c r="S4011" i="5"/>
  <c r="R4011" i="5"/>
  <c r="Q4011" i="5"/>
  <c r="P4011" i="5"/>
  <c r="O4011" i="5"/>
  <c r="N4011" i="5"/>
  <c r="M4011" i="5"/>
  <c r="L4011" i="5"/>
  <c r="K4011" i="5"/>
  <c r="J4011" i="5"/>
  <c r="I4011" i="5"/>
  <c r="H4011" i="5"/>
  <c r="V4010" i="5"/>
  <c r="O4010" i="5"/>
  <c r="N4010" i="5"/>
  <c r="M4010" i="5"/>
  <c r="L4010" i="5"/>
  <c r="K4010" i="5"/>
  <c r="J4010" i="5"/>
  <c r="I4010" i="5"/>
  <c r="H4010" i="5"/>
  <c r="V4009" i="5"/>
  <c r="U4009" i="5"/>
  <c r="T4009" i="5"/>
  <c r="S4009" i="5"/>
  <c r="R4009" i="5"/>
  <c r="Q4009" i="5"/>
  <c r="P4009" i="5"/>
  <c r="O4009" i="5"/>
  <c r="N4009" i="5"/>
  <c r="M4009" i="5"/>
  <c r="L4009" i="5"/>
  <c r="K4009" i="5"/>
  <c r="J4009" i="5"/>
  <c r="I4009" i="5"/>
  <c r="H4009" i="5"/>
  <c r="V4008" i="5"/>
  <c r="U4008" i="5"/>
  <c r="T4008" i="5"/>
  <c r="S4008" i="5"/>
  <c r="R4008" i="5"/>
  <c r="Q4008" i="5"/>
  <c r="P4008" i="5"/>
  <c r="O4008" i="5"/>
  <c r="N4008" i="5"/>
  <c r="M4008" i="5"/>
  <c r="L4008" i="5"/>
  <c r="K4008" i="5"/>
  <c r="J4008" i="5"/>
  <c r="I4008" i="5"/>
  <c r="H4008" i="5"/>
  <c r="V4007" i="5"/>
  <c r="U4007" i="5"/>
  <c r="T4007" i="5"/>
  <c r="S4007" i="5"/>
  <c r="R4007" i="5"/>
  <c r="Q4007" i="5"/>
  <c r="P4007" i="5"/>
  <c r="O4007" i="5"/>
  <c r="N4007" i="5"/>
  <c r="M4007" i="5"/>
  <c r="L4007" i="5"/>
  <c r="K4007" i="5"/>
  <c r="J4007" i="5"/>
  <c r="I4007" i="5"/>
  <c r="H4007" i="5"/>
  <c r="V4006" i="5"/>
  <c r="U4006" i="5"/>
  <c r="T4006" i="5"/>
  <c r="S4006" i="5"/>
  <c r="R4006" i="5"/>
  <c r="Q4006" i="5"/>
  <c r="P4006" i="5"/>
  <c r="O4006" i="5"/>
  <c r="N4006" i="5"/>
  <c r="M4006" i="5"/>
  <c r="L4006" i="5"/>
  <c r="K4006" i="5"/>
  <c r="J4006" i="5"/>
  <c r="I4006" i="5"/>
  <c r="H4006" i="5"/>
  <c r="V4005" i="5"/>
  <c r="U4005" i="5"/>
  <c r="T4005" i="5"/>
  <c r="S4005" i="5"/>
  <c r="R4005" i="5"/>
  <c r="Q4005" i="5"/>
  <c r="P4005" i="5"/>
  <c r="O4005" i="5"/>
  <c r="N4005" i="5"/>
  <c r="M4005" i="5"/>
  <c r="L4005" i="5"/>
  <c r="K4005" i="5"/>
  <c r="J4005" i="5"/>
  <c r="I4005" i="5"/>
  <c r="H4005" i="5"/>
  <c r="V4004" i="5"/>
  <c r="U4004" i="5"/>
  <c r="T4004" i="5"/>
  <c r="S4004" i="5"/>
  <c r="R4004" i="5"/>
  <c r="Q4004" i="5"/>
  <c r="P4004" i="5"/>
  <c r="V4003" i="5"/>
  <c r="U4003" i="5"/>
  <c r="T4003" i="5"/>
  <c r="S4003" i="5"/>
  <c r="R4003" i="5"/>
  <c r="Q4003" i="5"/>
  <c r="P4003" i="5"/>
  <c r="O4003" i="5"/>
  <c r="N4003" i="5"/>
  <c r="M4003" i="5"/>
  <c r="L4003" i="5"/>
  <c r="K4003" i="5"/>
  <c r="J4003" i="5"/>
  <c r="I4003" i="5"/>
  <c r="H4003" i="5"/>
  <c r="U4002" i="5"/>
  <c r="T4002" i="5"/>
  <c r="S4002" i="5"/>
  <c r="R4002" i="5"/>
  <c r="Q4002" i="5"/>
  <c r="P4002" i="5"/>
  <c r="O4002" i="5"/>
  <c r="N4002" i="5"/>
  <c r="M4002" i="5"/>
  <c r="L4002" i="5"/>
  <c r="K4002" i="5"/>
  <c r="J4002" i="5"/>
  <c r="I4002" i="5"/>
  <c r="H4002" i="5"/>
  <c r="V4001" i="5"/>
  <c r="U4001" i="5"/>
  <c r="T4001" i="5"/>
  <c r="S4001" i="5"/>
  <c r="R4001" i="5"/>
  <c r="Q4001" i="5"/>
  <c r="P4001" i="5"/>
  <c r="O4001" i="5"/>
  <c r="N4001" i="5"/>
  <c r="M4001" i="5"/>
  <c r="L4001" i="5"/>
  <c r="K4001" i="5"/>
  <c r="J4001" i="5"/>
  <c r="I4001" i="5"/>
  <c r="H4001" i="5"/>
  <c r="V4000" i="5"/>
  <c r="O4000" i="5"/>
  <c r="N4000" i="5"/>
  <c r="M4000" i="5"/>
  <c r="L4000" i="5"/>
  <c r="K4000" i="5"/>
  <c r="J4000" i="5"/>
  <c r="I4000" i="5"/>
  <c r="H4000" i="5"/>
  <c r="V3999" i="5"/>
  <c r="U3999" i="5"/>
  <c r="T3999" i="5"/>
  <c r="S3999" i="5"/>
  <c r="R3999" i="5"/>
  <c r="Q3999" i="5"/>
  <c r="P3999" i="5"/>
  <c r="O3999" i="5"/>
  <c r="N3999" i="5"/>
  <c r="M3999" i="5"/>
  <c r="L3999" i="5"/>
  <c r="K3999" i="5"/>
  <c r="J3999" i="5"/>
  <c r="I3999" i="5"/>
  <c r="H3999" i="5"/>
  <c r="V3998" i="5"/>
  <c r="U3998" i="5"/>
  <c r="T3998" i="5"/>
  <c r="S3998" i="5"/>
  <c r="R3998" i="5"/>
  <c r="Q3998" i="5"/>
  <c r="P3998" i="5"/>
  <c r="O3998" i="5"/>
  <c r="N3998" i="5"/>
  <c r="M3998" i="5"/>
  <c r="L3998" i="5"/>
  <c r="K3998" i="5"/>
  <c r="J3998" i="5"/>
  <c r="I3998" i="5"/>
  <c r="H3998" i="5"/>
  <c r="V3997" i="5"/>
  <c r="U3997" i="5"/>
  <c r="T3997" i="5"/>
  <c r="S3997" i="5"/>
  <c r="R3997" i="5"/>
  <c r="Q3997" i="5"/>
  <c r="P3997" i="5"/>
  <c r="O3997" i="5"/>
  <c r="N3997" i="5"/>
  <c r="M3997" i="5"/>
  <c r="L3997" i="5"/>
  <c r="K3997" i="5"/>
  <c r="J3997" i="5"/>
  <c r="I3997" i="5"/>
  <c r="H3997" i="5"/>
  <c r="V3996" i="5"/>
  <c r="U3996" i="5"/>
  <c r="T3996" i="5"/>
  <c r="S3996" i="5"/>
  <c r="R3996" i="5"/>
  <c r="Q3996" i="5"/>
  <c r="P3996" i="5"/>
  <c r="O3996" i="5"/>
  <c r="N3996" i="5"/>
  <c r="M3996" i="5"/>
  <c r="L3996" i="5"/>
  <c r="K3996" i="5"/>
  <c r="J3996" i="5"/>
  <c r="I3996" i="5"/>
  <c r="H3996" i="5"/>
  <c r="V3995" i="5"/>
  <c r="U3995" i="5"/>
  <c r="T3995" i="5"/>
  <c r="S3995" i="5"/>
  <c r="R3995" i="5"/>
  <c r="Q3995" i="5"/>
  <c r="P3995" i="5"/>
  <c r="O3995" i="5"/>
  <c r="N3995" i="5"/>
  <c r="M3995" i="5"/>
  <c r="L3995" i="5"/>
  <c r="K3995" i="5"/>
  <c r="J3995" i="5"/>
  <c r="I3995" i="5"/>
  <c r="H3995" i="5"/>
  <c r="V3994" i="5"/>
  <c r="U3994" i="5"/>
  <c r="T3994" i="5"/>
  <c r="S3994" i="5"/>
  <c r="R3994" i="5"/>
  <c r="Q3994" i="5"/>
  <c r="P3994" i="5"/>
  <c r="V3993" i="5"/>
  <c r="U3993" i="5"/>
  <c r="T3993" i="5"/>
  <c r="S3993" i="5"/>
  <c r="R3993" i="5"/>
  <c r="Q3993" i="5"/>
  <c r="P3993" i="5"/>
  <c r="O3993" i="5"/>
  <c r="N3993" i="5"/>
  <c r="M3993" i="5"/>
  <c r="L3993" i="5"/>
  <c r="K3993" i="5"/>
  <c r="J3993" i="5"/>
  <c r="I3993" i="5"/>
  <c r="H3993" i="5"/>
  <c r="U3992" i="5"/>
  <c r="T3992" i="5"/>
  <c r="S3992" i="5"/>
  <c r="R3992" i="5"/>
  <c r="Q3992" i="5"/>
  <c r="P3992" i="5"/>
  <c r="O3992" i="5"/>
  <c r="N3992" i="5"/>
  <c r="M3992" i="5"/>
  <c r="L3992" i="5"/>
  <c r="K3992" i="5"/>
  <c r="J3992" i="5"/>
  <c r="I3992" i="5"/>
  <c r="H3992" i="5"/>
  <c r="V3991" i="5"/>
  <c r="U3991" i="5"/>
  <c r="T3991" i="5"/>
  <c r="S3991" i="5"/>
  <c r="R3991" i="5"/>
  <c r="Q3991" i="5"/>
  <c r="P3991" i="5"/>
  <c r="O3991" i="5"/>
  <c r="N3991" i="5"/>
  <c r="M3991" i="5"/>
  <c r="L3991" i="5"/>
  <c r="K3991" i="5"/>
  <c r="J3991" i="5"/>
  <c r="I3991" i="5"/>
  <c r="H3991" i="5"/>
  <c r="V3990" i="5"/>
  <c r="O3990" i="5"/>
  <c r="N3990" i="5"/>
  <c r="M3990" i="5"/>
  <c r="L3990" i="5"/>
  <c r="K3990" i="5"/>
  <c r="J3990" i="5"/>
  <c r="I3990" i="5"/>
  <c r="H3990" i="5"/>
  <c r="V3989" i="5"/>
  <c r="U3989" i="5"/>
  <c r="T3989" i="5"/>
  <c r="S3989" i="5"/>
  <c r="R3989" i="5"/>
  <c r="Q3989" i="5"/>
  <c r="P3989" i="5"/>
  <c r="O3989" i="5"/>
  <c r="N3989" i="5"/>
  <c r="M3989" i="5"/>
  <c r="L3989" i="5"/>
  <c r="K3989" i="5"/>
  <c r="J3989" i="5"/>
  <c r="I3989" i="5"/>
  <c r="H3989" i="5"/>
  <c r="V3988" i="5"/>
  <c r="U3988" i="5"/>
  <c r="T3988" i="5"/>
  <c r="S3988" i="5"/>
  <c r="R3988" i="5"/>
  <c r="Q3988" i="5"/>
  <c r="P3988" i="5"/>
  <c r="O3988" i="5"/>
  <c r="N3988" i="5"/>
  <c r="M3988" i="5"/>
  <c r="L3988" i="5"/>
  <c r="K3988" i="5"/>
  <c r="J3988" i="5"/>
  <c r="I3988" i="5"/>
  <c r="H3988" i="5"/>
  <c r="V3987" i="5"/>
  <c r="U3987" i="5"/>
  <c r="T3987" i="5"/>
  <c r="S3987" i="5"/>
  <c r="R3987" i="5"/>
  <c r="Q3987" i="5"/>
  <c r="P3987" i="5"/>
  <c r="V3986" i="5"/>
  <c r="U3986" i="5"/>
  <c r="T3986" i="5"/>
  <c r="S3986" i="5"/>
  <c r="R3986" i="5"/>
  <c r="Q3986" i="5"/>
  <c r="P3986" i="5"/>
  <c r="U3985" i="5"/>
  <c r="T3985" i="5"/>
  <c r="S3985" i="5"/>
  <c r="R3985" i="5"/>
  <c r="Q3985" i="5"/>
  <c r="P3985" i="5"/>
  <c r="U3984" i="5"/>
  <c r="T3984" i="5"/>
  <c r="S3984" i="5"/>
  <c r="R3984" i="5"/>
  <c r="Q3984" i="5"/>
  <c r="P3984" i="5"/>
  <c r="O3977" i="5"/>
  <c r="N3977" i="5"/>
  <c r="M3977" i="5"/>
  <c r="L3977" i="5"/>
  <c r="K3977" i="5"/>
  <c r="J3977" i="5"/>
  <c r="I3977" i="5"/>
  <c r="H3977" i="5"/>
  <c r="O3976" i="5"/>
  <c r="N3976" i="5"/>
  <c r="M3976" i="5"/>
  <c r="L3976" i="5"/>
  <c r="K3976" i="5"/>
  <c r="J3976" i="5"/>
  <c r="I3976" i="5"/>
  <c r="H3976" i="5"/>
  <c r="V3975" i="5"/>
  <c r="O3975" i="5"/>
  <c r="N3975" i="5"/>
  <c r="M3975" i="5"/>
  <c r="L3975" i="5"/>
  <c r="K3975" i="5"/>
  <c r="J3975" i="5"/>
  <c r="I3975" i="5"/>
  <c r="H3975" i="5"/>
  <c r="V3974" i="5"/>
  <c r="V3973" i="5"/>
  <c r="U3973" i="5"/>
  <c r="T3973" i="5"/>
  <c r="S3973" i="5"/>
  <c r="R3973" i="5"/>
  <c r="Q3973" i="5"/>
  <c r="P3973" i="5"/>
  <c r="O3973" i="5"/>
  <c r="N3973" i="5"/>
  <c r="M3973" i="5"/>
  <c r="L3973" i="5"/>
  <c r="K3973" i="5"/>
  <c r="J3973" i="5"/>
  <c r="I3973" i="5"/>
  <c r="H3973" i="5"/>
  <c r="U3972" i="5"/>
  <c r="T3972" i="5"/>
  <c r="S3972" i="5"/>
  <c r="R3972" i="5"/>
  <c r="Q3972" i="5"/>
  <c r="P3972" i="5"/>
  <c r="O3972" i="5"/>
  <c r="N3972" i="5"/>
  <c r="M3972" i="5"/>
  <c r="L3972" i="5"/>
  <c r="K3972" i="5"/>
  <c r="J3972" i="5"/>
  <c r="I3972" i="5"/>
  <c r="H3972" i="5"/>
  <c r="V3971" i="5"/>
  <c r="U3971" i="5"/>
  <c r="T3971" i="5"/>
  <c r="S3971" i="5"/>
  <c r="R3971" i="5"/>
  <c r="Q3971" i="5"/>
  <c r="P3971" i="5"/>
  <c r="O3971" i="5"/>
  <c r="N3971" i="5"/>
  <c r="M3971" i="5"/>
  <c r="L3971" i="5"/>
  <c r="K3971" i="5"/>
  <c r="J3971" i="5"/>
  <c r="I3971" i="5"/>
  <c r="H3971" i="5"/>
  <c r="V3970" i="5"/>
  <c r="O3970" i="5"/>
  <c r="N3970" i="5"/>
  <c r="M3970" i="5"/>
  <c r="L3970" i="5"/>
  <c r="K3970" i="5"/>
  <c r="J3970" i="5"/>
  <c r="I3970" i="5"/>
  <c r="H3970" i="5"/>
  <c r="V3969" i="5"/>
  <c r="U3969" i="5"/>
  <c r="T3969" i="5"/>
  <c r="S3969" i="5"/>
  <c r="R3969" i="5"/>
  <c r="Q3969" i="5"/>
  <c r="P3969" i="5"/>
  <c r="O3969" i="5"/>
  <c r="N3969" i="5"/>
  <c r="M3969" i="5"/>
  <c r="L3969" i="5"/>
  <c r="K3969" i="5"/>
  <c r="J3969" i="5"/>
  <c r="I3969" i="5"/>
  <c r="H3969" i="5"/>
  <c r="V3968" i="5"/>
  <c r="U3968" i="5"/>
  <c r="T3968" i="5"/>
  <c r="S3968" i="5"/>
  <c r="R3968" i="5"/>
  <c r="Q3968" i="5"/>
  <c r="P3968" i="5"/>
  <c r="O3968" i="5"/>
  <c r="N3968" i="5"/>
  <c r="M3968" i="5"/>
  <c r="L3968" i="5"/>
  <c r="K3968" i="5"/>
  <c r="J3968" i="5"/>
  <c r="I3968" i="5"/>
  <c r="H3968" i="5"/>
  <c r="V3967" i="5"/>
  <c r="U3967" i="5"/>
  <c r="T3967" i="5"/>
  <c r="S3967" i="5"/>
  <c r="R3967" i="5"/>
  <c r="Q3967" i="5"/>
  <c r="P3967" i="5"/>
  <c r="O3967" i="5"/>
  <c r="N3967" i="5"/>
  <c r="M3967" i="5"/>
  <c r="L3967" i="5"/>
  <c r="K3967" i="5"/>
  <c r="J3967" i="5"/>
  <c r="I3967" i="5"/>
  <c r="H3967" i="5"/>
  <c r="V3966" i="5"/>
  <c r="U3966" i="5"/>
  <c r="T3966" i="5"/>
  <c r="S3966" i="5"/>
  <c r="R3966" i="5"/>
  <c r="Q3966" i="5"/>
  <c r="P3966" i="5"/>
  <c r="O3966" i="5"/>
  <c r="N3966" i="5"/>
  <c r="M3966" i="5"/>
  <c r="L3966" i="5"/>
  <c r="K3966" i="5"/>
  <c r="J3966" i="5"/>
  <c r="I3966" i="5"/>
  <c r="H3966" i="5"/>
  <c r="V3965" i="5"/>
  <c r="U3965" i="5"/>
  <c r="T3965" i="5"/>
  <c r="S3965" i="5"/>
  <c r="R3965" i="5"/>
  <c r="Q3965" i="5"/>
  <c r="P3965" i="5"/>
  <c r="O3965" i="5"/>
  <c r="N3965" i="5"/>
  <c r="M3965" i="5"/>
  <c r="L3965" i="5"/>
  <c r="K3965" i="5"/>
  <c r="J3965" i="5"/>
  <c r="I3965" i="5"/>
  <c r="H3965" i="5"/>
  <c r="V3964" i="5"/>
  <c r="U3964" i="5"/>
  <c r="T3964" i="5"/>
  <c r="S3964" i="5"/>
  <c r="R3964" i="5"/>
  <c r="Q3964" i="5"/>
  <c r="P3964" i="5"/>
  <c r="V3963" i="5"/>
  <c r="U3963" i="5"/>
  <c r="T3963" i="5"/>
  <c r="S3963" i="5"/>
  <c r="R3963" i="5"/>
  <c r="Q3963" i="5"/>
  <c r="P3963" i="5"/>
  <c r="O3963" i="5"/>
  <c r="N3963" i="5"/>
  <c r="M3963" i="5"/>
  <c r="L3963" i="5"/>
  <c r="K3963" i="5"/>
  <c r="J3963" i="5"/>
  <c r="I3963" i="5"/>
  <c r="H3963" i="5"/>
  <c r="U3962" i="5"/>
  <c r="T3962" i="5"/>
  <c r="S3962" i="5"/>
  <c r="R3962" i="5"/>
  <c r="Q3962" i="5"/>
  <c r="P3962" i="5"/>
  <c r="O3962" i="5"/>
  <c r="N3962" i="5"/>
  <c r="M3962" i="5"/>
  <c r="L3962" i="5"/>
  <c r="K3962" i="5"/>
  <c r="J3962" i="5"/>
  <c r="I3962" i="5"/>
  <c r="H3962" i="5"/>
  <c r="V3961" i="5"/>
  <c r="U3961" i="5"/>
  <c r="T3961" i="5"/>
  <c r="S3961" i="5"/>
  <c r="R3961" i="5"/>
  <c r="Q3961" i="5"/>
  <c r="P3961" i="5"/>
  <c r="O3961" i="5"/>
  <c r="N3961" i="5"/>
  <c r="M3961" i="5"/>
  <c r="L3961" i="5"/>
  <c r="K3961" i="5"/>
  <c r="J3961" i="5"/>
  <c r="I3961" i="5"/>
  <c r="H3961" i="5"/>
  <c r="V3960" i="5"/>
  <c r="O3960" i="5"/>
  <c r="N3960" i="5"/>
  <c r="M3960" i="5"/>
  <c r="L3960" i="5"/>
  <c r="K3960" i="5"/>
  <c r="J3960" i="5"/>
  <c r="I3960" i="5"/>
  <c r="H3960" i="5"/>
  <c r="V3959" i="5"/>
  <c r="U3959" i="5"/>
  <c r="T3959" i="5"/>
  <c r="S3959" i="5"/>
  <c r="R3959" i="5"/>
  <c r="Q3959" i="5"/>
  <c r="P3959" i="5"/>
  <c r="O3959" i="5"/>
  <c r="N3959" i="5"/>
  <c r="M3959" i="5"/>
  <c r="L3959" i="5"/>
  <c r="K3959" i="5"/>
  <c r="J3959" i="5"/>
  <c r="I3959" i="5"/>
  <c r="H3959" i="5"/>
  <c r="V3958" i="5"/>
  <c r="U3958" i="5"/>
  <c r="T3958" i="5"/>
  <c r="S3958" i="5"/>
  <c r="R3958" i="5"/>
  <c r="Q3958" i="5"/>
  <c r="P3958" i="5"/>
  <c r="O3958" i="5"/>
  <c r="N3958" i="5"/>
  <c r="M3958" i="5"/>
  <c r="L3958" i="5"/>
  <c r="K3958" i="5"/>
  <c r="J3958" i="5"/>
  <c r="I3958" i="5"/>
  <c r="H3958" i="5"/>
  <c r="V3957" i="5"/>
  <c r="U3957" i="5"/>
  <c r="T3957" i="5"/>
  <c r="S3957" i="5"/>
  <c r="R3957" i="5"/>
  <c r="Q3957" i="5"/>
  <c r="P3957" i="5"/>
  <c r="O3957" i="5"/>
  <c r="N3957" i="5"/>
  <c r="M3957" i="5"/>
  <c r="L3957" i="5"/>
  <c r="K3957" i="5"/>
  <c r="J3957" i="5"/>
  <c r="I3957" i="5"/>
  <c r="H3957" i="5"/>
  <c r="V3956" i="5"/>
  <c r="U3956" i="5"/>
  <c r="T3956" i="5"/>
  <c r="S3956" i="5"/>
  <c r="R3956" i="5"/>
  <c r="Q3956" i="5"/>
  <c r="P3956" i="5"/>
  <c r="O3956" i="5"/>
  <c r="N3956" i="5"/>
  <c r="M3956" i="5"/>
  <c r="L3956" i="5"/>
  <c r="K3956" i="5"/>
  <c r="J3956" i="5"/>
  <c r="I3956" i="5"/>
  <c r="H3956" i="5"/>
  <c r="V3955" i="5"/>
  <c r="U3955" i="5"/>
  <c r="T3955" i="5"/>
  <c r="S3955" i="5"/>
  <c r="R3955" i="5"/>
  <c r="Q3955" i="5"/>
  <c r="P3955" i="5"/>
  <c r="O3955" i="5"/>
  <c r="N3955" i="5"/>
  <c r="M3955" i="5"/>
  <c r="L3955" i="5"/>
  <c r="K3955" i="5"/>
  <c r="J3955" i="5"/>
  <c r="I3955" i="5"/>
  <c r="H3955" i="5"/>
  <c r="V3954" i="5"/>
  <c r="U3954" i="5"/>
  <c r="T3954" i="5"/>
  <c r="S3954" i="5"/>
  <c r="R3954" i="5"/>
  <c r="Q3954" i="5"/>
  <c r="P3954" i="5"/>
  <c r="V3953" i="5"/>
  <c r="U3953" i="5"/>
  <c r="T3953" i="5"/>
  <c r="S3953" i="5"/>
  <c r="R3953" i="5"/>
  <c r="Q3953" i="5"/>
  <c r="P3953" i="5"/>
  <c r="O3953" i="5"/>
  <c r="N3953" i="5"/>
  <c r="M3953" i="5"/>
  <c r="L3953" i="5"/>
  <c r="K3953" i="5"/>
  <c r="J3953" i="5"/>
  <c r="I3953" i="5"/>
  <c r="H3953" i="5"/>
  <c r="U3952" i="5"/>
  <c r="T3952" i="5"/>
  <c r="S3952" i="5"/>
  <c r="R3952" i="5"/>
  <c r="Q3952" i="5"/>
  <c r="P3952" i="5"/>
  <c r="O3952" i="5"/>
  <c r="N3952" i="5"/>
  <c r="M3952" i="5"/>
  <c r="L3952" i="5"/>
  <c r="K3952" i="5"/>
  <c r="J3952" i="5"/>
  <c r="I3952" i="5"/>
  <c r="H3952" i="5"/>
  <c r="V3951" i="5"/>
  <c r="U3951" i="5"/>
  <c r="T3951" i="5"/>
  <c r="S3951" i="5"/>
  <c r="R3951" i="5"/>
  <c r="Q3951" i="5"/>
  <c r="P3951" i="5"/>
  <c r="O3951" i="5"/>
  <c r="N3951" i="5"/>
  <c r="M3951" i="5"/>
  <c r="L3951" i="5"/>
  <c r="K3951" i="5"/>
  <c r="J3951" i="5"/>
  <c r="I3951" i="5"/>
  <c r="H3951" i="5"/>
  <c r="V3950" i="5"/>
  <c r="O3950" i="5"/>
  <c r="N3950" i="5"/>
  <c r="M3950" i="5"/>
  <c r="L3950" i="5"/>
  <c r="K3950" i="5"/>
  <c r="J3950" i="5"/>
  <c r="I3950" i="5"/>
  <c r="H3950" i="5"/>
  <c r="V3949" i="5"/>
  <c r="U3949" i="5"/>
  <c r="T3949" i="5"/>
  <c r="S3949" i="5"/>
  <c r="R3949" i="5"/>
  <c r="Q3949" i="5"/>
  <c r="P3949" i="5"/>
  <c r="O3949" i="5"/>
  <c r="N3949" i="5"/>
  <c r="M3949" i="5"/>
  <c r="L3949" i="5"/>
  <c r="K3949" i="5"/>
  <c r="J3949" i="5"/>
  <c r="I3949" i="5"/>
  <c r="H3949" i="5"/>
  <c r="V3948" i="5"/>
  <c r="U3948" i="5"/>
  <c r="T3948" i="5"/>
  <c r="S3948" i="5"/>
  <c r="R3948" i="5"/>
  <c r="Q3948" i="5"/>
  <c r="P3948" i="5"/>
  <c r="O3948" i="5"/>
  <c r="N3948" i="5"/>
  <c r="M3948" i="5"/>
  <c r="L3948" i="5"/>
  <c r="K3948" i="5"/>
  <c r="J3948" i="5"/>
  <c r="I3948" i="5"/>
  <c r="H3948" i="5"/>
  <c r="V3947" i="5"/>
  <c r="U3947" i="5"/>
  <c r="T3947" i="5"/>
  <c r="S3947" i="5"/>
  <c r="R3947" i="5"/>
  <c r="Q3947" i="5"/>
  <c r="P3947" i="5"/>
  <c r="O3947" i="5"/>
  <c r="N3947" i="5"/>
  <c r="M3947" i="5"/>
  <c r="L3947" i="5"/>
  <c r="K3947" i="5"/>
  <c r="J3947" i="5"/>
  <c r="I3947" i="5"/>
  <c r="H3947" i="5"/>
  <c r="V3946" i="5"/>
  <c r="U3946" i="5"/>
  <c r="T3946" i="5"/>
  <c r="S3946" i="5"/>
  <c r="R3946" i="5"/>
  <c r="Q3946" i="5"/>
  <c r="P3946" i="5"/>
  <c r="O3946" i="5"/>
  <c r="N3946" i="5"/>
  <c r="M3946" i="5"/>
  <c r="L3946" i="5"/>
  <c r="K3946" i="5"/>
  <c r="J3946" i="5"/>
  <c r="I3946" i="5"/>
  <c r="H3946" i="5"/>
  <c r="V3945" i="5"/>
  <c r="U3945" i="5"/>
  <c r="T3945" i="5"/>
  <c r="S3945" i="5"/>
  <c r="R3945" i="5"/>
  <c r="Q3945" i="5"/>
  <c r="P3945" i="5"/>
  <c r="O3945" i="5"/>
  <c r="N3945" i="5"/>
  <c r="M3945" i="5"/>
  <c r="L3945" i="5"/>
  <c r="K3945" i="5"/>
  <c r="J3945" i="5"/>
  <c r="I3945" i="5"/>
  <c r="H3945" i="5"/>
  <c r="V3944" i="5"/>
  <c r="U3944" i="5"/>
  <c r="T3944" i="5"/>
  <c r="S3944" i="5"/>
  <c r="R3944" i="5"/>
  <c r="Q3944" i="5"/>
  <c r="P3944" i="5"/>
  <c r="V3943" i="5"/>
  <c r="U3943" i="5"/>
  <c r="T3943" i="5"/>
  <c r="S3943" i="5"/>
  <c r="R3943" i="5"/>
  <c r="Q3943" i="5"/>
  <c r="P3943" i="5"/>
  <c r="O3943" i="5"/>
  <c r="N3943" i="5"/>
  <c r="M3943" i="5"/>
  <c r="L3943" i="5"/>
  <c r="K3943" i="5"/>
  <c r="J3943" i="5"/>
  <c r="I3943" i="5"/>
  <c r="H3943" i="5"/>
  <c r="U3942" i="5"/>
  <c r="T3942" i="5"/>
  <c r="S3942" i="5"/>
  <c r="R3942" i="5"/>
  <c r="Q3942" i="5"/>
  <c r="P3942" i="5"/>
  <c r="O3942" i="5"/>
  <c r="N3942" i="5"/>
  <c r="M3942" i="5"/>
  <c r="L3942" i="5"/>
  <c r="K3942" i="5"/>
  <c r="J3942" i="5"/>
  <c r="I3942" i="5"/>
  <c r="H3942" i="5"/>
  <c r="V3941" i="5"/>
  <c r="U3941" i="5"/>
  <c r="T3941" i="5"/>
  <c r="S3941" i="5"/>
  <c r="R3941" i="5"/>
  <c r="Q3941" i="5"/>
  <c r="P3941" i="5"/>
  <c r="O3941" i="5"/>
  <c r="N3941" i="5"/>
  <c r="M3941" i="5"/>
  <c r="L3941" i="5"/>
  <c r="K3941" i="5"/>
  <c r="J3941" i="5"/>
  <c r="I3941" i="5"/>
  <c r="H3941" i="5"/>
  <c r="V3940" i="5"/>
  <c r="O3940" i="5"/>
  <c r="N3940" i="5"/>
  <c r="M3940" i="5"/>
  <c r="L3940" i="5"/>
  <c r="K3940" i="5"/>
  <c r="J3940" i="5"/>
  <c r="I3940" i="5"/>
  <c r="H3940" i="5"/>
  <c r="V3939" i="5"/>
  <c r="U3939" i="5"/>
  <c r="T3939" i="5"/>
  <c r="S3939" i="5"/>
  <c r="R3939" i="5"/>
  <c r="Q3939" i="5"/>
  <c r="P3939" i="5"/>
  <c r="O3939" i="5"/>
  <c r="N3939" i="5"/>
  <c r="M3939" i="5"/>
  <c r="L3939" i="5"/>
  <c r="K3939" i="5"/>
  <c r="J3939" i="5"/>
  <c r="I3939" i="5"/>
  <c r="H3939" i="5"/>
  <c r="V3938" i="5"/>
  <c r="U3938" i="5"/>
  <c r="T3938" i="5"/>
  <c r="S3938" i="5"/>
  <c r="R3938" i="5"/>
  <c r="Q3938" i="5"/>
  <c r="P3938" i="5"/>
  <c r="O3938" i="5"/>
  <c r="N3938" i="5"/>
  <c r="M3938" i="5"/>
  <c r="L3938" i="5"/>
  <c r="K3938" i="5"/>
  <c r="J3938" i="5"/>
  <c r="I3938" i="5"/>
  <c r="H3938" i="5"/>
  <c r="V3937" i="5"/>
  <c r="U3937" i="5"/>
  <c r="T3937" i="5"/>
  <c r="S3937" i="5"/>
  <c r="R3937" i="5"/>
  <c r="Q3937" i="5"/>
  <c r="P3937" i="5"/>
  <c r="O3937" i="5"/>
  <c r="N3937" i="5"/>
  <c r="M3937" i="5"/>
  <c r="L3937" i="5"/>
  <c r="K3937" i="5"/>
  <c r="J3937" i="5"/>
  <c r="I3937" i="5"/>
  <c r="H3937" i="5"/>
  <c r="V3936" i="5"/>
  <c r="U3936" i="5"/>
  <c r="T3936" i="5"/>
  <c r="S3936" i="5"/>
  <c r="R3936" i="5"/>
  <c r="Q3936" i="5"/>
  <c r="P3936" i="5"/>
  <c r="O3936" i="5"/>
  <c r="N3936" i="5"/>
  <c r="M3936" i="5"/>
  <c r="L3936" i="5"/>
  <c r="K3936" i="5"/>
  <c r="J3936" i="5"/>
  <c r="I3936" i="5"/>
  <c r="H3936" i="5"/>
  <c r="V3935" i="5"/>
  <c r="U3935" i="5"/>
  <c r="T3935" i="5"/>
  <c r="S3935" i="5"/>
  <c r="R3935" i="5"/>
  <c r="Q3935" i="5"/>
  <c r="P3935" i="5"/>
  <c r="O3935" i="5"/>
  <c r="N3935" i="5"/>
  <c r="M3935" i="5"/>
  <c r="L3935" i="5"/>
  <c r="K3935" i="5"/>
  <c r="J3935" i="5"/>
  <c r="I3935" i="5"/>
  <c r="H3935" i="5"/>
  <c r="V3934" i="5"/>
  <c r="U3934" i="5"/>
  <c r="T3934" i="5"/>
  <c r="S3934" i="5"/>
  <c r="R3934" i="5"/>
  <c r="Q3934" i="5"/>
  <c r="P3934" i="5"/>
  <c r="V3933" i="5"/>
  <c r="U3933" i="5"/>
  <c r="T3933" i="5"/>
  <c r="S3933" i="5"/>
  <c r="R3933" i="5"/>
  <c r="Q3933" i="5"/>
  <c r="P3933" i="5"/>
  <c r="O3933" i="5"/>
  <c r="N3933" i="5"/>
  <c r="M3933" i="5"/>
  <c r="L3933" i="5"/>
  <c r="K3933" i="5"/>
  <c r="J3933" i="5"/>
  <c r="I3933" i="5"/>
  <c r="H3933" i="5"/>
  <c r="U3932" i="5"/>
  <c r="T3932" i="5"/>
  <c r="S3932" i="5"/>
  <c r="R3932" i="5"/>
  <c r="Q3932" i="5"/>
  <c r="P3932" i="5"/>
  <c r="O3932" i="5"/>
  <c r="N3932" i="5"/>
  <c r="M3932" i="5"/>
  <c r="L3932" i="5"/>
  <c r="K3932" i="5"/>
  <c r="J3932" i="5"/>
  <c r="I3932" i="5"/>
  <c r="H3932" i="5"/>
  <c r="V3931" i="5"/>
  <c r="U3931" i="5"/>
  <c r="T3931" i="5"/>
  <c r="S3931" i="5"/>
  <c r="R3931" i="5"/>
  <c r="Q3931" i="5"/>
  <c r="P3931" i="5"/>
  <c r="O3931" i="5"/>
  <c r="N3931" i="5"/>
  <c r="M3931" i="5"/>
  <c r="L3931" i="5"/>
  <c r="K3931" i="5"/>
  <c r="J3931" i="5"/>
  <c r="I3931" i="5"/>
  <c r="H3931" i="5"/>
  <c r="V3930" i="5"/>
  <c r="O3930" i="5"/>
  <c r="N3930" i="5"/>
  <c r="M3930" i="5"/>
  <c r="L3930" i="5"/>
  <c r="K3930" i="5"/>
  <c r="J3930" i="5"/>
  <c r="I3930" i="5"/>
  <c r="H3930" i="5"/>
  <c r="V3929" i="5"/>
  <c r="U3929" i="5"/>
  <c r="T3929" i="5"/>
  <c r="S3929" i="5"/>
  <c r="R3929" i="5"/>
  <c r="Q3929" i="5"/>
  <c r="P3929" i="5"/>
  <c r="O3929" i="5"/>
  <c r="N3929" i="5"/>
  <c r="M3929" i="5"/>
  <c r="L3929" i="5"/>
  <c r="K3929" i="5"/>
  <c r="J3929" i="5"/>
  <c r="I3929" i="5"/>
  <c r="H3929" i="5"/>
  <c r="V3928" i="5"/>
  <c r="U3928" i="5"/>
  <c r="T3928" i="5"/>
  <c r="S3928" i="5"/>
  <c r="R3928" i="5"/>
  <c r="Q3928" i="5"/>
  <c r="P3928" i="5"/>
  <c r="O3928" i="5"/>
  <c r="N3928" i="5"/>
  <c r="M3928" i="5"/>
  <c r="L3928" i="5"/>
  <c r="K3928" i="5"/>
  <c r="J3928" i="5"/>
  <c r="I3928" i="5"/>
  <c r="H3928" i="5"/>
  <c r="V3927" i="5"/>
  <c r="U3927" i="5"/>
  <c r="T3927" i="5"/>
  <c r="S3927" i="5"/>
  <c r="R3927" i="5"/>
  <c r="Q3927" i="5"/>
  <c r="P3927" i="5"/>
  <c r="O3927" i="5"/>
  <c r="N3927" i="5"/>
  <c r="M3927" i="5"/>
  <c r="L3927" i="5"/>
  <c r="K3927" i="5"/>
  <c r="J3927" i="5"/>
  <c r="I3927" i="5"/>
  <c r="H3927" i="5"/>
  <c r="V3926" i="5"/>
  <c r="U3926" i="5"/>
  <c r="T3926" i="5"/>
  <c r="S3926" i="5"/>
  <c r="R3926" i="5"/>
  <c r="Q3926" i="5"/>
  <c r="P3926" i="5"/>
  <c r="O3926" i="5"/>
  <c r="N3926" i="5"/>
  <c r="M3926" i="5"/>
  <c r="L3926" i="5"/>
  <c r="K3926" i="5"/>
  <c r="J3926" i="5"/>
  <c r="I3926" i="5"/>
  <c r="H3926" i="5"/>
  <c r="V3925" i="5"/>
  <c r="U3925" i="5"/>
  <c r="T3925" i="5"/>
  <c r="S3925" i="5"/>
  <c r="R3925" i="5"/>
  <c r="Q3925" i="5"/>
  <c r="P3925" i="5"/>
  <c r="O3925" i="5"/>
  <c r="N3925" i="5"/>
  <c r="M3925" i="5"/>
  <c r="L3925" i="5"/>
  <c r="K3925" i="5"/>
  <c r="J3925" i="5"/>
  <c r="I3925" i="5"/>
  <c r="H3925" i="5"/>
  <c r="V3924" i="5"/>
  <c r="U3924" i="5"/>
  <c r="T3924" i="5"/>
  <c r="S3924" i="5"/>
  <c r="R3924" i="5"/>
  <c r="Q3924" i="5"/>
  <c r="P3924" i="5"/>
  <c r="V3923" i="5"/>
  <c r="U3923" i="5"/>
  <c r="T3923" i="5"/>
  <c r="S3923" i="5"/>
  <c r="R3923" i="5"/>
  <c r="Q3923" i="5"/>
  <c r="P3923" i="5"/>
  <c r="O3923" i="5"/>
  <c r="N3923" i="5"/>
  <c r="M3923" i="5"/>
  <c r="L3923" i="5"/>
  <c r="K3923" i="5"/>
  <c r="J3923" i="5"/>
  <c r="I3923" i="5"/>
  <c r="H3923" i="5"/>
  <c r="U3922" i="5"/>
  <c r="T3922" i="5"/>
  <c r="S3922" i="5"/>
  <c r="R3922" i="5"/>
  <c r="Q3922" i="5"/>
  <c r="P3922" i="5"/>
  <c r="O3922" i="5"/>
  <c r="N3922" i="5"/>
  <c r="M3922" i="5"/>
  <c r="L3922" i="5"/>
  <c r="K3922" i="5"/>
  <c r="J3922" i="5"/>
  <c r="I3922" i="5"/>
  <c r="H3922" i="5"/>
  <c r="V3921" i="5"/>
  <c r="U3921" i="5"/>
  <c r="T3921" i="5"/>
  <c r="S3921" i="5"/>
  <c r="R3921" i="5"/>
  <c r="Q3921" i="5"/>
  <c r="P3921" i="5"/>
  <c r="O3921" i="5"/>
  <c r="N3921" i="5"/>
  <c r="M3921" i="5"/>
  <c r="L3921" i="5"/>
  <c r="K3921" i="5"/>
  <c r="J3921" i="5"/>
  <c r="I3921" i="5"/>
  <c r="H3921" i="5"/>
  <c r="V3920" i="5"/>
  <c r="O3920" i="5"/>
  <c r="N3920" i="5"/>
  <c r="M3920" i="5"/>
  <c r="L3920" i="5"/>
  <c r="K3920" i="5"/>
  <c r="J3920" i="5"/>
  <c r="I3920" i="5"/>
  <c r="H3920" i="5"/>
  <c r="V3919" i="5"/>
  <c r="U3919" i="5"/>
  <c r="T3919" i="5"/>
  <c r="S3919" i="5"/>
  <c r="R3919" i="5"/>
  <c r="Q3919" i="5"/>
  <c r="P3919" i="5"/>
  <c r="O3919" i="5"/>
  <c r="N3919" i="5"/>
  <c r="M3919" i="5"/>
  <c r="L3919" i="5"/>
  <c r="K3919" i="5"/>
  <c r="J3919" i="5"/>
  <c r="I3919" i="5"/>
  <c r="H3919" i="5"/>
  <c r="V3918" i="5"/>
  <c r="U3918" i="5"/>
  <c r="T3918" i="5"/>
  <c r="S3918" i="5"/>
  <c r="R3918" i="5"/>
  <c r="Q3918" i="5"/>
  <c r="P3918" i="5"/>
  <c r="O3918" i="5"/>
  <c r="N3918" i="5"/>
  <c r="M3918" i="5"/>
  <c r="L3918" i="5"/>
  <c r="K3918" i="5"/>
  <c r="J3918" i="5"/>
  <c r="I3918" i="5"/>
  <c r="H3918" i="5"/>
  <c r="V3917" i="5"/>
  <c r="U3917" i="5"/>
  <c r="T3917" i="5"/>
  <c r="S3917" i="5"/>
  <c r="R3917" i="5"/>
  <c r="Q3917" i="5"/>
  <c r="P3917" i="5"/>
  <c r="O3917" i="5"/>
  <c r="N3917" i="5"/>
  <c r="M3917" i="5"/>
  <c r="L3917" i="5"/>
  <c r="K3917" i="5"/>
  <c r="J3917" i="5"/>
  <c r="I3917" i="5"/>
  <c r="H3917" i="5"/>
  <c r="V3916" i="5"/>
  <c r="U3916" i="5"/>
  <c r="T3916" i="5"/>
  <c r="S3916" i="5"/>
  <c r="R3916" i="5"/>
  <c r="Q3916" i="5"/>
  <c r="P3916" i="5"/>
  <c r="O3916" i="5"/>
  <c r="N3916" i="5"/>
  <c r="M3916" i="5"/>
  <c r="L3916" i="5"/>
  <c r="K3916" i="5"/>
  <c r="J3916" i="5"/>
  <c r="I3916" i="5"/>
  <c r="H3916" i="5"/>
  <c r="V3915" i="5"/>
  <c r="U3915" i="5"/>
  <c r="T3915" i="5"/>
  <c r="S3915" i="5"/>
  <c r="R3915" i="5"/>
  <c r="Q3915" i="5"/>
  <c r="P3915" i="5"/>
  <c r="O3915" i="5"/>
  <c r="N3915" i="5"/>
  <c r="M3915" i="5"/>
  <c r="L3915" i="5"/>
  <c r="K3915" i="5"/>
  <c r="J3915" i="5"/>
  <c r="I3915" i="5"/>
  <c r="H3915" i="5"/>
  <c r="V3914" i="5"/>
  <c r="U3914" i="5"/>
  <c r="T3914" i="5"/>
  <c r="S3914" i="5"/>
  <c r="R3914" i="5"/>
  <c r="Q3914" i="5"/>
  <c r="P3914" i="5"/>
  <c r="V3913" i="5"/>
  <c r="U3913" i="5"/>
  <c r="T3913" i="5"/>
  <c r="S3913" i="5"/>
  <c r="R3913" i="5"/>
  <c r="Q3913" i="5"/>
  <c r="P3913" i="5"/>
  <c r="O3913" i="5"/>
  <c r="N3913" i="5"/>
  <c r="M3913" i="5"/>
  <c r="L3913" i="5"/>
  <c r="K3913" i="5"/>
  <c r="J3913" i="5"/>
  <c r="I3913" i="5"/>
  <c r="H3913" i="5"/>
  <c r="U3912" i="5"/>
  <c r="T3912" i="5"/>
  <c r="S3912" i="5"/>
  <c r="R3912" i="5"/>
  <c r="Q3912" i="5"/>
  <c r="P3912" i="5"/>
  <c r="O3912" i="5"/>
  <c r="N3912" i="5"/>
  <c r="M3912" i="5"/>
  <c r="L3912" i="5"/>
  <c r="K3912" i="5"/>
  <c r="J3912" i="5"/>
  <c r="I3912" i="5"/>
  <c r="H3912" i="5"/>
  <c r="V3911" i="5"/>
  <c r="U3911" i="5"/>
  <c r="T3911" i="5"/>
  <c r="S3911" i="5"/>
  <c r="R3911" i="5"/>
  <c r="Q3911" i="5"/>
  <c r="P3911" i="5"/>
  <c r="O3911" i="5"/>
  <c r="N3911" i="5"/>
  <c r="M3911" i="5"/>
  <c r="L3911" i="5"/>
  <c r="K3911" i="5"/>
  <c r="J3911" i="5"/>
  <c r="I3911" i="5"/>
  <c r="H3911" i="5"/>
  <c r="V3910" i="5"/>
  <c r="O3910" i="5"/>
  <c r="N3910" i="5"/>
  <c r="M3910" i="5"/>
  <c r="L3910" i="5"/>
  <c r="K3910" i="5"/>
  <c r="J3910" i="5"/>
  <c r="I3910" i="5"/>
  <c r="H3910" i="5"/>
  <c r="V3909" i="5"/>
  <c r="U3909" i="5"/>
  <c r="T3909" i="5"/>
  <c r="S3909" i="5"/>
  <c r="R3909" i="5"/>
  <c r="Q3909" i="5"/>
  <c r="P3909" i="5"/>
  <c r="O3909" i="5"/>
  <c r="N3909" i="5"/>
  <c r="M3909" i="5"/>
  <c r="L3909" i="5"/>
  <c r="K3909" i="5"/>
  <c r="J3909" i="5"/>
  <c r="I3909" i="5"/>
  <c r="H3909" i="5"/>
  <c r="V3908" i="5"/>
  <c r="U3908" i="5"/>
  <c r="T3908" i="5"/>
  <c r="S3908" i="5"/>
  <c r="R3908" i="5"/>
  <c r="Q3908" i="5"/>
  <c r="P3908" i="5"/>
  <c r="O3908" i="5"/>
  <c r="N3908" i="5"/>
  <c r="M3908" i="5"/>
  <c r="L3908" i="5"/>
  <c r="K3908" i="5"/>
  <c r="J3908" i="5"/>
  <c r="I3908" i="5"/>
  <c r="H3908" i="5"/>
  <c r="V3907" i="5"/>
  <c r="U3907" i="5"/>
  <c r="T3907" i="5"/>
  <c r="S3907" i="5"/>
  <c r="R3907" i="5"/>
  <c r="Q3907" i="5"/>
  <c r="P3907" i="5"/>
  <c r="O3907" i="5"/>
  <c r="N3907" i="5"/>
  <c r="M3907" i="5"/>
  <c r="L3907" i="5"/>
  <c r="K3907" i="5"/>
  <c r="J3907" i="5"/>
  <c r="I3907" i="5"/>
  <c r="H3907" i="5"/>
  <c r="V3906" i="5"/>
  <c r="U3906" i="5"/>
  <c r="T3906" i="5"/>
  <c r="S3906" i="5"/>
  <c r="R3906" i="5"/>
  <c r="Q3906" i="5"/>
  <c r="P3906" i="5"/>
  <c r="O3906" i="5"/>
  <c r="N3906" i="5"/>
  <c r="M3906" i="5"/>
  <c r="L3906" i="5"/>
  <c r="K3906" i="5"/>
  <c r="J3906" i="5"/>
  <c r="I3906" i="5"/>
  <c r="H3906" i="5"/>
  <c r="V3905" i="5"/>
  <c r="U3905" i="5"/>
  <c r="T3905" i="5"/>
  <c r="S3905" i="5"/>
  <c r="R3905" i="5"/>
  <c r="Q3905" i="5"/>
  <c r="P3905" i="5"/>
  <c r="O3905" i="5"/>
  <c r="N3905" i="5"/>
  <c r="M3905" i="5"/>
  <c r="L3905" i="5"/>
  <c r="K3905" i="5"/>
  <c r="J3905" i="5"/>
  <c r="I3905" i="5"/>
  <c r="H3905" i="5"/>
  <c r="V3904" i="5"/>
  <c r="U3904" i="5"/>
  <c r="T3904" i="5"/>
  <c r="S3904" i="5"/>
  <c r="R3904" i="5"/>
  <c r="Q3904" i="5"/>
  <c r="P3904" i="5"/>
  <c r="V3903" i="5"/>
  <c r="U3903" i="5"/>
  <c r="T3903" i="5"/>
  <c r="S3903" i="5"/>
  <c r="R3903" i="5"/>
  <c r="Q3903" i="5"/>
  <c r="P3903" i="5"/>
  <c r="O3903" i="5"/>
  <c r="N3903" i="5"/>
  <c r="M3903" i="5"/>
  <c r="L3903" i="5"/>
  <c r="K3903" i="5"/>
  <c r="J3903" i="5"/>
  <c r="I3903" i="5"/>
  <c r="H3903" i="5"/>
  <c r="U3902" i="5"/>
  <c r="T3902" i="5"/>
  <c r="S3902" i="5"/>
  <c r="R3902" i="5"/>
  <c r="Q3902" i="5"/>
  <c r="P3902" i="5"/>
  <c r="O3902" i="5"/>
  <c r="N3902" i="5"/>
  <c r="M3902" i="5"/>
  <c r="L3902" i="5"/>
  <c r="K3902" i="5"/>
  <c r="J3902" i="5"/>
  <c r="I3902" i="5"/>
  <c r="H3902" i="5"/>
  <c r="V3901" i="5"/>
  <c r="U3901" i="5"/>
  <c r="T3901" i="5"/>
  <c r="S3901" i="5"/>
  <c r="R3901" i="5"/>
  <c r="Q3901" i="5"/>
  <c r="P3901" i="5"/>
  <c r="O3901" i="5"/>
  <c r="N3901" i="5"/>
  <c r="M3901" i="5"/>
  <c r="L3901" i="5"/>
  <c r="K3901" i="5"/>
  <c r="J3901" i="5"/>
  <c r="I3901" i="5"/>
  <c r="H3901" i="5"/>
  <c r="V3900" i="5"/>
  <c r="O3900" i="5"/>
  <c r="N3900" i="5"/>
  <c r="M3900" i="5"/>
  <c r="L3900" i="5"/>
  <c r="K3900" i="5"/>
  <c r="J3900" i="5"/>
  <c r="I3900" i="5"/>
  <c r="H3900" i="5"/>
  <c r="V3899" i="5"/>
  <c r="U3899" i="5"/>
  <c r="T3899" i="5"/>
  <c r="S3899" i="5"/>
  <c r="R3899" i="5"/>
  <c r="Q3899" i="5"/>
  <c r="P3899" i="5"/>
  <c r="O3899" i="5"/>
  <c r="N3899" i="5"/>
  <c r="M3899" i="5"/>
  <c r="L3899" i="5"/>
  <c r="K3899" i="5"/>
  <c r="J3899" i="5"/>
  <c r="I3899" i="5"/>
  <c r="H3899" i="5"/>
  <c r="V3898" i="5"/>
  <c r="U3898" i="5"/>
  <c r="T3898" i="5"/>
  <c r="S3898" i="5"/>
  <c r="R3898" i="5"/>
  <c r="Q3898" i="5"/>
  <c r="P3898" i="5"/>
  <c r="O3898" i="5"/>
  <c r="N3898" i="5"/>
  <c r="M3898" i="5"/>
  <c r="L3898" i="5"/>
  <c r="K3898" i="5"/>
  <c r="J3898" i="5"/>
  <c r="I3898" i="5"/>
  <c r="H3898" i="5"/>
  <c r="V3897" i="5"/>
  <c r="U3897" i="5"/>
  <c r="T3897" i="5"/>
  <c r="S3897" i="5"/>
  <c r="R3897" i="5"/>
  <c r="Q3897" i="5"/>
  <c r="P3897" i="5"/>
  <c r="O3897" i="5"/>
  <c r="N3897" i="5"/>
  <c r="M3897" i="5"/>
  <c r="L3897" i="5"/>
  <c r="K3897" i="5"/>
  <c r="J3897" i="5"/>
  <c r="I3897" i="5"/>
  <c r="H3897" i="5"/>
  <c r="V3896" i="5"/>
  <c r="U3896" i="5"/>
  <c r="T3896" i="5"/>
  <c r="S3896" i="5"/>
  <c r="R3896" i="5"/>
  <c r="Q3896" i="5"/>
  <c r="P3896" i="5"/>
  <c r="O3896" i="5"/>
  <c r="N3896" i="5"/>
  <c r="M3896" i="5"/>
  <c r="L3896" i="5"/>
  <c r="K3896" i="5"/>
  <c r="J3896" i="5"/>
  <c r="I3896" i="5"/>
  <c r="H3896" i="5"/>
  <c r="V3895" i="5"/>
  <c r="U3895" i="5"/>
  <c r="T3895" i="5"/>
  <c r="S3895" i="5"/>
  <c r="R3895" i="5"/>
  <c r="Q3895" i="5"/>
  <c r="P3895" i="5"/>
  <c r="O3895" i="5"/>
  <c r="N3895" i="5"/>
  <c r="M3895" i="5"/>
  <c r="L3895" i="5"/>
  <c r="K3895" i="5"/>
  <c r="J3895" i="5"/>
  <c r="I3895" i="5"/>
  <c r="H3895" i="5"/>
  <c r="V3894" i="5"/>
  <c r="U3894" i="5"/>
  <c r="T3894" i="5"/>
  <c r="S3894" i="5"/>
  <c r="R3894" i="5"/>
  <c r="Q3894" i="5"/>
  <c r="P3894" i="5"/>
  <c r="V3893" i="5"/>
  <c r="U3893" i="5"/>
  <c r="T3893" i="5"/>
  <c r="S3893" i="5"/>
  <c r="R3893" i="5"/>
  <c r="Q3893" i="5"/>
  <c r="P3893" i="5"/>
  <c r="O3893" i="5"/>
  <c r="N3893" i="5"/>
  <c r="M3893" i="5"/>
  <c r="L3893" i="5"/>
  <c r="K3893" i="5"/>
  <c r="J3893" i="5"/>
  <c r="I3893" i="5"/>
  <c r="H3893" i="5"/>
  <c r="U3892" i="5"/>
  <c r="T3892" i="5"/>
  <c r="S3892" i="5"/>
  <c r="R3892" i="5"/>
  <c r="Q3892" i="5"/>
  <c r="P3892" i="5"/>
  <c r="O3892" i="5"/>
  <c r="N3892" i="5"/>
  <c r="M3892" i="5"/>
  <c r="L3892" i="5"/>
  <c r="K3892" i="5"/>
  <c r="J3892" i="5"/>
  <c r="I3892" i="5"/>
  <c r="H3892" i="5"/>
  <c r="V3891" i="5"/>
  <c r="U3891" i="5"/>
  <c r="T3891" i="5"/>
  <c r="S3891" i="5"/>
  <c r="R3891" i="5"/>
  <c r="Q3891" i="5"/>
  <c r="P3891" i="5"/>
  <c r="O3891" i="5"/>
  <c r="N3891" i="5"/>
  <c r="M3891" i="5"/>
  <c r="L3891" i="5"/>
  <c r="K3891" i="5"/>
  <c r="J3891" i="5"/>
  <c r="I3891" i="5"/>
  <c r="H3891" i="5"/>
  <c r="V3890" i="5"/>
  <c r="O3890" i="5"/>
  <c r="N3890" i="5"/>
  <c r="M3890" i="5"/>
  <c r="L3890" i="5"/>
  <c r="K3890" i="5"/>
  <c r="J3890" i="5"/>
  <c r="I3890" i="5"/>
  <c r="H3890" i="5"/>
  <c r="V3889" i="5"/>
  <c r="U3889" i="5"/>
  <c r="T3889" i="5"/>
  <c r="S3889" i="5"/>
  <c r="R3889" i="5"/>
  <c r="Q3889" i="5"/>
  <c r="P3889" i="5"/>
  <c r="O3889" i="5"/>
  <c r="N3889" i="5"/>
  <c r="M3889" i="5"/>
  <c r="L3889" i="5"/>
  <c r="K3889" i="5"/>
  <c r="J3889" i="5"/>
  <c r="I3889" i="5"/>
  <c r="H3889" i="5"/>
  <c r="V3888" i="5"/>
  <c r="U3888" i="5"/>
  <c r="T3888" i="5"/>
  <c r="S3888" i="5"/>
  <c r="R3888" i="5"/>
  <c r="Q3888" i="5"/>
  <c r="P3888" i="5"/>
  <c r="O3888" i="5"/>
  <c r="N3888" i="5"/>
  <c r="M3888" i="5"/>
  <c r="L3888" i="5"/>
  <c r="K3888" i="5"/>
  <c r="J3888" i="5"/>
  <c r="I3888" i="5"/>
  <c r="H3888" i="5"/>
  <c r="V3887" i="5"/>
  <c r="U3887" i="5"/>
  <c r="T3887" i="5"/>
  <c r="S3887" i="5"/>
  <c r="R3887" i="5"/>
  <c r="Q3887" i="5"/>
  <c r="P3887" i="5"/>
  <c r="V3886" i="5"/>
  <c r="U3886" i="5"/>
  <c r="T3886" i="5"/>
  <c r="S3886" i="5"/>
  <c r="R3886" i="5"/>
  <c r="Q3886" i="5"/>
  <c r="P3886" i="5"/>
  <c r="U3885" i="5"/>
  <c r="T3885" i="5"/>
  <c r="S3885" i="5"/>
  <c r="R3885" i="5"/>
  <c r="Q3885" i="5"/>
  <c r="P3885" i="5"/>
  <c r="U3884" i="5"/>
  <c r="T3884" i="5"/>
  <c r="S3884" i="5"/>
  <c r="R3884" i="5"/>
  <c r="Q3884" i="5"/>
  <c r="P3884" i="5"/>
  <c r="O3877" i="5"/>
  <c r="N3877" i="5"/>
  <c r="M3877" i="5"/>
  <c r="L3877" i="5"/>
  <c r="K3877" i="5"/>
  <c r="J3877" i="5"/>
  <c r="I3877" i="5"/>
  <c r="H3877" i="5"/>
  <c r="O3876" i="5"/>
  <c r="N3876" i="5"/>
  <c r="M3876" i="5"/>
  <c r="L3876" i="5"/>
  <c r="K3876" i="5"/>
  <c r="J3876" i="5"/>
  <c r="I3876" i="5"/>
  <c r="H3876" i="5"/>
  <c r="V3875" i="5"/>
  <c r="O3875" i="5"/>
  <c r="N3875" i="5"/>
  <c r="M3875" i="5"/>
  <c r="L3875" i="5"/>
  <c r="K3875" i="5"/>
  <c r="J3875" i="5"/>
  <c r="I3875" i="5"/>
  <c r="H3875" i="5"/>
  <c r="V3874" i="5"/>
  <c r="V3873" i="5"/>
  <c r="U3873" i="5"/>
  <c r="T3873" i="5"/>
  <c r="S3873" i="5"/>
  <c r="R3873" i="5"/>
  <c r="Q3873" i="5"/>
  <c r="P3873" i="5"/>
  <c r="O3873" i="5"/>
  <c r="N3873" i="5"/>
  <c r="M3873" i="5"/>
  <c r="L3873" i="5"/>
  <c r="K3873" i="5"/>
  <c r="J3873" i="5"/>
  <c r="I3873" i="5"/>
  <c r="H3873" i="5"/>
  <c r="U3872" i="5"/>
  <c r="T3872" i="5"/>
  <c r="S3872" i="5"/>
  <c r="R3872" i="5"/>
  <c r="Q3872" i="5"/>
  <c r="P3872" i="5"/>
  <c r="O3872" i="5"/>
  <c r="N3872" i="5"/>
  <c r="M3872" i="5"/>
  <c r="L3872" i="5"/>
  <c r="K3872" i="5"/>
  <c r="J3872" i="5"/>
  <c r="I3872" i="5"/>
  <c r="H3872" i="5"/>
  <c r="V3871" i="5"/>
  <c r="U3871" i="5"/>
  <c r="T3871" i="5"/>
  <c r="S3871" i="5"/>
  <c r="R3871" i="5"/>
  <c r="Q3871" i="5"/>
  <c r="P3871" i="5"/>
  <c r="O3871" i="5"/>
  <c r="N3871" i="5"/>
  <c r="M3871" i="5"/>
  <c r="L3871" i="5"/>
  <c r="K3871" i="5"/>
  <c r="J3871" i="5"/>
  <c r="I3871" i="5"/>
  <c r="H3871" i="5"/>
  <c r="V3870" i="5"/>
  <c r="O3870" i="5"/>
  <c r="N3870" i="5"/>
  <c r="M3870" i="5"/>
  <c r="L3870" i="5"/>
  <c r="K3870" i="5"/>
  <c r="J3870" i="5"/>
  <c r="I3870" i="5"/>
  <c r="H3870" i="5"/>
  <c r="V3869" i="5"/>
  <c r="U3869" i="5"/>
  <c r="T3869" i="5"/>
  <c r="S3869" i="5"/>
  <c r="R3869" i="5"/>
  <c r="Q3869" i="5"/>
  <c r="P3869" i="5"/>
  <c r="O3869" i="5"/>
  <c r="N3869" i="5"/>
  <c r="M3869" i="5"/>
  <c r="L3869" i="5"/>
  <c r="K3869" i="5"/>
  <c r="J3869" i="5"/>
  <c r="I3869" i="5"/>
  <c r="H3869" i="5"/>
  <c r="V3868" i="5"/>
  <c r="U3868" i="5"/>
  <c r="T3868" i="5"/>
  <c r="S3868" i="5"/>
  <c r="R3868" i="5"/>
  <c r="Q3868" i="5"/>
  <c r="P3868" i="5"/>
  <c r="O3868" i="5"/>
  <c r="N3868" i="5"/>
  <c r="M3868" i="5"/>
  <c r="L3868" i="5"/>
  <c r="K3868" i="5"/>
  <c r="J3868" i="5"/>
  <c r="I3868" i="5"/>
  <c r="H3868" i="5"/>
  <c r="V3867" i="5"/>
  <c r="U3867" i="5"/>
  <c r="T3867" i="5"/>
  <c r="S3867" i="5"/>
  <c r="R3867" i="5"/>
  <c r="Q3867" i="5"/>
  <c r="P3867" i="5"/>
  <c r="O3867" i="5"/>
  <c r="N3867" i="5"/>
  <c r="M3867" i="5"/>
  <c r="L3867" i="5"/>
  <c r="K3867" i="5"/>
  <c r="J3867" i="5"/>
  <c r="I3867" i="5"/>
  <c r="H3867" i="5"/>
  <c r="V3866" i="5"/>
  <c r="U3866" i="5"/>
  <c r="T3866" i="5"/>
  <c r="S3866" i="5"/>
  <c r="R3866" i="5"/>
  <c r="Q3866" i="5"/>
  <c r="P3866" i="5"/>
  <c r="O3866" i="5"/>
  <c r="N3866" i="5"/>
  <c r="M3866" i="5"/>
  <c r="L3866" i="5"/>
  <c r="K3866" i="5"/>
  <c r="J3866" i="5"/>
  <c r="I3866" i="5"/>
  <c r="H3866" i="5"/>
  <c r="V3865" i="5"/>
  <c r="U3865" i="5"/>
  <c r="T3865" i="5"/>
  <c r="S3865" i="5"/>
  <c r="R3865" i="5"/>
  <c r="Q3865" i="5"/>
  <c r="P3865" i="5"/>
  <c r="O3865" i="5"/>
  <c r="N3865" i="5"/>
  <c r="M3865" i="5"/>
  <c r="L3865" i="5"/>
  <c r="K3865" i="5"/>
  <c r="J3865" i="5"/>
  <c r="I3865" i="5"/>
  <c r="H3865" i="5"/>
  <c r="V3864" i="5"/>
  <c r="U3864" i="5"/>
  <c r="T3864" i="5"/>
  <c r="S3864" i="5"/>
  <c r="R3864" i="5"/>
  <c r="Q3864" i="5"/>
  <c r="P3864" i="5"/>
  <c r="V3863" i="5"/>
  <c r="U3863" i="5"/>
  <c r="T3863" i="5"/>
  <c r="S3863" i="5"/>
  <c r="R3863" i="5"/>
  <c r="Q3863" i="5"/>
  <c r="P3863" i="5"/>
  <c r="O3863" i="5"/>
  <c r="N3863" i="5"/>
  <c r="M3863" i="5"/>
  <c r="L3863" i="5"/>
  <c r="K3863" i="5"/>
  <c r="J3863" i="5"/>
  <c r="I3863" i="5"/>
  <c r="H3863" i="5"/>
  <c r="U3862" i="5"/>
  <c r="T3862" i="5"/>
  <c r="S3862" i="5"/>
  <c r="R3862" i="5"/>
  <c r="Q3862" i="5"/>
  <c r="P3862" i="5"/>
  <c r="O3862" i="5"/>
  <c r="N3862" i="5"/>
  <c r="M3862" i="5"/>
  <c r="L3862" i="5"/>
  <c r="K3862" i="5"/>
  <c r="J3862" i="5"/>
  <c r="I3862" i="5"/>
  <c r="H3862" i="5"/>
  <c r="V3861" i="5"/>
  <c r="U3861" i="5"/>
  <c r="T3861" i="5"/>
  <c r="S3861" i="5"/>
  <c r="R3861" i="5"/>
  <c r="Q3861" i="5"/>
  <c r="P3861" i="5"/>
  <c r="O3861" i="5"/>
  <c r="N3861" i="5"/>
  <c r="M3861" i="5"/>
  <c r="L3861" i="5"/>
  <c r="K3861" i="5"/>
  <c r="J3861" i="5"/>
  <c r="I3861" i="5"/>
  <c r="H3861" i="5"/>
  <c r="V3860" i="5"/>
  <c r="O3860" i="5"/>
  <c r="N3860" i="5"/>
  <c r="M3860" i="5"/>
  <c r="L3860" i="5"/>
  <c r="K3860" i="5"/>
  <c r="J3860" i="5"/>
  <c r="I3860" i="5"/>
  <c r="H3860" i="5"/>
  <c r="V3859" i="5"/>
  <c r="U3859" i="5"/>
  <c r="T3859" i="5"/>
  <c r="S3859" i="5"/>
  <c r="R3859" i="5"/>
  <c r="Q3859" i="5"/>
  <c r="P3859" i="5"/>
  <c r="O3859" i="5"/>
  <c r="N3859" i="5"/>
  <c r="M3859" i="5"/>
  <c r="L3859" i="5"/>
  <c r="K3859" i="5"/>
  <c r="J3859" i="5"/>
  <c r="I3859" i="5"/>
  <c r="H3859" i="5"/>
  <c r="V3858" i="5"/>
  <c r="U3858" i="5"/>
  <c r="T3858" i="5"/>
  <c r="S3858" i="5"/>
  <c r="R3858" i="5"/>
  <c r="Q3858" i="5"/>
  <c r="P3858" i="5"/>
  <c r="O3858" i="5"/>
  <c r="N3858" i="5"/>
  <c r="M3858" i="5"/>
  <c r="L3858" i="5"/>
  <c r="K3858" i="5"/>
  <c r="J3858" i="5"/>
  <c r="I3858" i="5"/>
  <c r="H3858" i="5"/>
  <c r="V3857" i="5"/>
  <c r="U3857" i="5"/>
  <c r="T3857" i="5"/>
  <c r="S3857" i="5"/>
  <c r="R3857" i="5"/>
  <c r="Q3857" i="5"/>
  <c r="P3857" i="5"/>
  <c r="O3857" i="5"/>
  <c r="N3857" i="5"/>
  <c r="M3857" i="5"/>
  <c r="L3857" i="5"/>
  <c r="K3857" i="5"/>
  <c r="J3857" i="5"/>
  <c r="I3857" i="5"/>
  <c r="H3857" i="5"/>
  <c r="V3856" i="5"/>
  <c r="U3856" i="5"/>
  <c r="T3856" i="5"/>
  <c r="S3856" i="5"/>
  <c r="R3856" i="5"/>
  <c r="Q3856" i="5"/>
  <c r="P3856" i="5"/>
  <c r="O3856" i="5"/>
  <c r="N3856" i="5"/>
  <c r="M3856" i="5"/>
  <c r="L3856" i="5"/>
  <c r="K3856" i="5"/>
  <c r="J3856" i="5"/>
  <c r="I3856" i="5"/>
  <c r="H3856" i="5"/>
  <c r="V3855" i="5"/>
  <c r="U3855" i="5"/>
  <c r="T3855" i="5"/>
  <c r="S3855" i="5"/>
  <c r="R3855" i="5"/>
  <c r="Q3855" i="5"/>
  <c r="P3855" i="5"/>
  <c r="O3855" i="5"/>
  <c r="N3855" i="5"/>
  <c r="M3855" i="5"/>
  <c r="L3855" i="5"/>
  <c r="K3855" i="5"/>
  <c r="J3855" i="5"/>
  <c r="I3855" i="5"/>
  <c r="H3855" i="5"/>
  <c r="V3854" i="5"/>
  <c r="U3854" i="5"/>
  <c r="T3854" i="5"/>
  <c r="S3854" i="5"/>
  <c r="R3854" i="5"/>
  <c r="Q3854" i="5"/>
  <c r="P3854" i="5"/>
  <c r="V3853" i="5"/>
  <c r="U3853" i="5"/>
  <c r="T3853" i="5"/>
  <c r="S3853" i="5"/>
  <c r="R3853" i="5"/>
  <c r="Q3853" i="5"/>
  <c r="P3853" i="5"/>
  <c r="O3853" i="5"/>
  <c r="N3853" i="5"/>
  <c r="M3853" i="5"/>
  <c r="L3853" i="5"/>
  <c r="K3853" i="5"/>
  <c r="J3853" i="5"/>
  <c r="I3853" i="5"/>
  <c r="H3853" i="5"/>
  <c r="U3852" i="5"/>
  <c r="T3852" i="5"/>
  <c r="S3852" i="5"/>
  <c r="R3852" i="5"/>
  <c r="Q3852" i="5"/>
  <c r="P3852" i="5"/>
  <c r="O3852" i="5"/>
  <c r="N3852" i="5"/>
  <c r="M3852" i="5"/>
  <c r="L3852" i="5"/>
  <c r="K3852" i="5"/>
  <c r="J3852" i="5"/>
  <c r="I3852" i="5"/>
  <c r="H3852" i="5"/>
  <c r="V3851" i="5"/>
  <c r="U3851" i="5"/>
  <c r="T3851" i="5"/>
  <c r="S3851" i="5"/>
  <c r="R3851" i="5"/>
  <c r="Q3851" i="5"/>
  <c r="P3851" i="5"/>
  <c r="O3851" i="5"/>
  <c r="N3851" i="5"/>
  <c r="M3851" i="5"/>
  <c r="L3851" i="5"/>
  <c r="K3851" i="5"/>
  <c r="J3851" i="5"/>
  <c r="I3851" i="5"/>
  <c r="H3851" i="5"/>
  <c r="V3850" i="5"/>
  <c r="O3850" i="5"/>
  <c r="N3850" i="5"/>
  <c r="M3850" i="5"/>
  <c r="L3850" i="5"/>
  <c r="K3850" i="5"/>
  <c r="J3850" i="5"/>
  <c r="I3850" i="5"/>
  <c r="H3850" i="5"/>
  <c r="V3849" i="5"/>
  <c r="U3849" i="5"/>
  <c r="T3849" i="5"/>
  <c r="S3849" i="5"/>
  <c r="R3849" i="5"/>
  <c r="Q3849" i="5"/>
  <c r="P3849" i="5"/>
  <c r="O3849" i="5"/>
  <c r="N3849" i="5"/>
  <c r="M3849" i="5"/>
  <c r="L3849" i="5"/>
  <c r="K3849" i="5"/>
  <c r="J3849" i="5"/>
  <c r="I3849" i="5"/>
  <c r="H3849" i="5"/>
  <c r="V3848" i="5"/>
  <c r="U3848" i="5"/>
  <c r="T3848" i="5"/>
  <c r="S3848" i="5"/>
  <c r="R3848" i="5"/>
  <c r="Q3848" i="5"/>
  <c r="P3848" i="5"/>
  <c r="O3848" i="5"/>
  <c r="N3848" i="5"/>
  <c r="M3848" i="5"/>
  <c r="L3848" i="5"/>
  <c r="K3848" i="5"/>
  <c r="J3848" i="5"/>
  <c r="I3848" i="5"/>
  <c r="H3848" i="5"/>
  <c r="V3847" i="5"/>
  <c r="U3847" i="5"/>
  <c r="T3847" i="5"/>
  <c r="S3847" i="5"/>
  <c r="R3847" i="5"/>
  <c r="Q3847" i="5"/>
  <c r="P3847" i="5"/>
  <c r="O3847" i="5"/>
  <c r="N3847" i="5"/>
  <c r="M3847" i="5"/>
  <c r="L3847" i="5"/>
  <c r="K3847" i="5"/>
  <c r="J3847" i="5"/>
  <c r="I3847" i="5"/>
  <c r="H3847" i="5"/>
  <c r="V3846" i="5"/>
  <c r="U3846" i="5"/>
  <c r="T3846" i="5"/>
  <c r="S3846" i="5"/>
  <c r="R3846" i="5"/>
  <c r="Q3846" i="5"/>
  <c r="P3846" i="5"/>
  <c r="O3846" i="5"/>
  <c r="N3846" i="5"/>
  <c r="M3846" i="5"/>
  <c r="L3846" i="5"/>
  <c r="K3846" i="5"/>
  <c r="J3846" i="5"/>
  <c r="I3846" i="5"/>
  <c r="H3846" i="5"/>
  <c r="V3845" i="5"/>
  <c r="U3845" i="5"/>
  <c r="T3845" i="5"/>
  <c r="S3845" i="5"/>
  <c r="R3845" i="5"/>
  <c r="Q3845" i="5"/>
  <c r="P3845" i="5"/>
  <c r="O3845" i="5"/>
  <c r="N3845" i="5"/>
  <c r="M3845" i="5"/>
  <c r="L3845" i="5"/>
  <c r="K3845" i="5"/>
  <c r="J3845" i="5"/>
  <c r="I3845" i="5"/>
  <c r="H3845" i="5"/>
  <c r="V3844" i="5"/>
  <c r="U3844" i="5"/>
  <c r="T3844" i="5"/>
  <c r="S3844" i="5"/>
  <c r="R3844" i="5"/>
  <c r="Q3844" i="5"/>
  <c r="P3844" i="5"/>
  <c r="V3843" i="5"/>
  <c r="U3843" i="5"/>
  <c r="T3843" i="5"/>
  <c r="S3843" i="5"/>
  <c r="R3843" i="5"/>
  <c r="Q3843" i="5"/>
  <c r="P3843" i="5"/>
  <c r="O3843" i="5"/>
  <c r="N3843" i="5"/>
  <c r="M3843" i="5"/>
  <c r="L3843" i="5"/>
  <c r="K3843" i="5"/>
  <c r="J3843" i="5"/>
  <c r="I3843" i="5"/>
  <c r="H3843" i="5"/>
  <c r="U3842" i="5"/>
  <c r="T3842" i="5"/>
  <c r="S3842" i="5"/>
  <c r="R3842" i="5"/>
  <c r="Q3842" i="5"/>
  <c r="P3842" i="5"/>
  <c r="O3842" i="5"/>
  <c r="N3842" i="5"/>
  <c r="M3842" i="5"/>
  <c r="L3842" i="5"/>
  <c r="K3842" i="5"/>
  <c r="J3842" i="5"/>
  <c r="I3842" i="5"/>
  <c r="H3842" i="5"/>
  <c r="V3841" i="5"/>
  <c r="U3841" i="5"/>
  <c r="T3841" i="5"/>
  <c r="S3841" i="5"/>
  <c r="R3841" i="5"/>
  <c r="Q3841" i="5"/>
  <c r="P3841" i="5"/>
  <c r="O3841" i="5"/>
  <c r="N3841" i="5"/>
  <c r="M3841" i="5"/>
  <c r="L3841" i="5"/>
  <c r="K3841" i="5"/>
  <c r="J3841" i="5"/>
  <c r="I3841" i="5"/>
  <c r="H3841" i="5"/>
  <c r="V3840" i="5"/>
  <c r="O3840" i="5"/>
  <c r="N3840" i="5"/>
  <c r="M3840" i="5"/>
  <c r="L3840" i="5"/>
  <c r="K3840" i="5"/>
  <c r="J3840" i="5"/>
  <c r="I3840" i="5"/>
  <c r="H3840" i="5"/>
  <c r="V3839" i="5"/>
  <c r="U3839" i="5"/>
  <c r="T3839" i="5"/>
  <c r="S3839" i="5"/>
  <c r="R3839" i="5"/>
  <c r="Q3839" i="5"/>
  <c r="P3839" i="5"/>
  <c r="O3839" i="5"/>
  <c r="N3839" i="5"/>
  <c r="M3839" i="5"/>
  <c r="L3839" i="5"/>
  <c r="K3839" i="5"/>
  <c r="J3839" i="5"/>
  <c r="I3839" i="5"/>
  <c r="H3839" i="5"/>
  <c r="V3838" i="5"/>
  <c r="U3838" i="5"/>
  <c r="T3838" i="5"/>
  <c r="S3838" i="5"/>
  <c r="R3838" i="5"/>
  <c r="Q3838" i="5"/>
  <c r="P3838" i="5"/>
  <c r="O3838" i="5"/>
  <c r="N3838" i="5"/>
  <c r="M3838" i="5"/>
  <c r="L3838" i="5"/>
  <c r="K3838" i="5"/>
  <c r="J3838" i="5"/>
  <c r="I3838" i="5"/>
  <c r="H3838" i="5"/>
  <c r="V3837" i="5"/>
  <c r="U3837" i="5"/>
  <c r="T3837" i="5"/>
  <c r="S3837" i="5"/>
  <c r="R3837" i="5"/>
  <c r="Q3837" i="5"/>
  <c r="P3837" i="5"/>
  <c r="O3837" i="5"/>
  <c r="N3837" i="5"/>
  <c r="M3837" i="5"/>
  <c r="L3837" i="5"/>
  <c r="K3837" i="5"/>
  <c r="J3837" i="5"/>
  <c r="I3837" i="5"/>
  <c r="H3837" i="5"/>
  <c r="V3836" i="5"/>
  <c r="U3836" i="5"/>
  <c r="T3836" i="5"/>
  <c r="S3836" i="5"/>
  <c r="R3836" i="5"/>
  <c r="Q3836" i="5"/>
  <c r="P3836" i="5"/>
  <c r="O3836" i="5"/>
  <c r="N3836" i="5"/>
  <c r="M3836" i="5"/>
  <c r="L3836" i="5"/>
  <c r="K3836" i="5"/>
  <c r="J3836" i="5"/>
  <c r="I3836" i="5"/>
  <c r="H3836" i="5"/>
  <c r="V3835" i="5"/>
  <c r="U3835" i="5"/>
  <c r="T3835" i="5"/>
  <c r="S3835" i="5"/>
  <c r="R3835" i="5"/>
  <c r="Q3835" i="5"/>
  <c r="P3835" i="5"/>
  <c r="O3835" i="5"/>
  <c r="N3835" i="5"/>
  <c r="M3835" i="5"/>
  <c r="L3835" i="5"/>
  <c r="K3835" i="5"/>
  <c r="J3835" i="5"/>
  <c r="I3835" i="5"/>
  <c r="H3835" i="5"/>
  <c r="V3834" i="5"/>
  <c r="U3834" i="5"/>
  <c r="T3834" i="5"/>
  <c r="S3834" i="5"/>
  <c r="R3834" i="5"/>
  <c r="Q3834" i="5"/>
  <c r="P3834" i="5"/>
  <c r="V3833" i="5"/>
  <c r="U3833" i="5"/>
  <c r="T3833" i="5"/>
  <c r="S3833" i="5"/>
  <c r="R3833" i="5"/>
  <c r="Q3833" i="5"/>
  <c r="P3833" i="5"/>
  <c r="O3833" i="5"/>
  <c r="N3833" i="5"/>
  <c r="M3833" i="5"/>
  <c r="L3833" i="5"/>
  <c r="K3833" i="5"/>
  <c r="J3833" i="5"/>
  <c r="I3833" i="5"/>
  <c r="H3833" i="5"/>
  <c r="U3832" i="5"/>
  <c r="T3832" i="5"/>
  <c r="S3832" i="5"/>
  <c r="R3832" i="5"/>
  <c r="Q3832" i="5"/>
  <c r="P3832" i="5"/>
  <c r="O3832" i="5"/>
  <c r="N3832" i="5"/>
  <c r="M3832" i="5"/>
  <c r="L3832" i="5"/>
  <c r="K3832" i="5"/>
  <c r="J3832" i="5"/>
  <c r="I3832" i="5"/>
  <c r="H3832" i="5"/>
  <c r="V3831" i="5"/>
  <c r="U3831" i="5"/>
  <c r="T3831" i="5"/>
  <c r="S3831" i="5"/>
  <c r="R3831" i="5"/>
  <c r="Q3831" i="5"/>
  <c r="P3831" i="5"/>
  <c r="O3831" i="5"/>
  <c r="N3831" i="5"/>
  <c r="M3831" i="5"/>
  <c r="L3831" i="5"/>
  <c r="K3831" i="5"/>
  <c r="J3831" i="5"/>
  <c r="I3831" i="5"/>
  <c r="H3831" i="5"/>
  <c r="V3830" i="5"/>
  <c r="O3830" i="5"/>
  <c r="N3830" i="5"/>
  <c r="M3830" i="5"/>
  <c r="L3830" i="5"/>
  <c r="K3830" i="5"/>
  <c r="J3830" i="5"/>
  <c r="I3830" i="5"/>
  <c r="H3830" i="5"/>
  <c r="V3829" i="5"/>
  <c r="U3829" i="5"/>
  <c r="T3829" i="5"/>
  <c r="S3829" i="5"/>
  <c r="R3829" i="5"/>
  <c r="Q3829" i="5"/>
  <c r="P3829" i="5"/>
  <c r="O3829" i="5"/>
  <c r="N3829" i="5"/>
  <c r="M3829" i="5"/>
  <c r="L3829" i="5"/>
  <c r="K3829" i="5"/>
  <c r="J3829" i="5"/>
  <c r="I3829" i="5"/>
  <c r="H3829" i="5"/>
  <c r="V3828" i="5"/>
  <c r="U3828" i="5"/>
  <c r="T3828" i="5"/>
  <c r="S3828" i="5"/>
  <c r="R3828" i="5"/>
  <c r="Q3828" i="5"/>
  <c r="P3828" i="5"/>
  <c r="O3828" i="5"/>
  <c r="N3828" i="5"/>
  <c r="M3828" i="5"/>
  <c r="L3828" i="5"/>
  <c r="K3828" i="5"/>
  <c r="J3828" i="5"/>
  <c r="I3828" i="5"/>
  <c r="H3828" i="5"/>
  <c r="V3827" i="5"/>
  <c r="U3827" i="5"/>
  <c r="T3827" i="5"/>
  <c r="S3827" i="5"/>
  <c r="R3827" i="5"/>
  <c r="Q3827" i="5"/>
  <c r="P3827" i="5"/>
  <c r="O3827" i="5"/>
  <c r="N3827" i="5"/>
  <c r="M3827" i="5"/>
  <c r="L3827" i="5"/>
  <c r="K3827" i="5"/>
  <c r="J3827" i="5"/>
  <c r="I3827" i="5"/>
  <c r="H3827" i="5"/>
  <c r="V3826" i="5"/>
  <c r="U3826" i="5"/>
  <c r="T3826" i="5"/>
  <c r="S3826" i="5"/>
  <c r="R3826" i="5"/>
  <c r="Q3826" i="5"/>
  <c r="P3826" i="5"/>
  <c r="O3826" i="5"/>
  <c r="N3826" i="5"/>
  <c r="M3826" i="5"/>
  <c r="L3826" i="5"/>
  <c r="K3826" i="5"/>
  <c r="J3826" i="5"/>
  <c r="I3826" i="5"/>
  <c r="H3826" i="5"/>
  <c r="V3825" i="5"/>
  <c r="U3825" i="5"/>
  <c r="T3825" i="5"/>
  <c r="S3825" i="5"/>
  <c r="R3825" i="5"/>
  <c r="Q3825" i="5"/>
  <c r="P3825" i="5"/>
  <c r="O3825" i="5"/>
  <c r="N3825" i="5"/>
  <c r="M3825" i="5"/>
  <c r="L3825" i="5"/>
  <c r="K3825" i="5"/>
  <c r="J3825" i="5"/>
  <c r="I3825" i="5"/>
  <c r="H3825" i="5"/>
  <c r="V3824" i="5"/>
  <c r="U3824" i="5"/>
  <c r="T3824" i="5"/>
  <c r="S3824" i="5"/>
  <c r="R3824" i="5"/>
  <c r="Q3824" i="5"/>
  <c r="P3824" i="5"/>
  <c r="V3823" i="5"/>
  <c r="U3823" i="5"/>
  <c r="T3823" i="5"/>
  <c r="S3823" i="5"/>
  <c r="R3823" i="5"/>
  <c r="Q3823" i="5"/>
  <c r="P3823" i="5"/>
  <c r="O3823" i="5"/>
  <c r="N3823" i="5"/>
  <c r="M3823" i="5"/>
  <c r="L3823" i="5"/>
  <c r="K3823" i="5"/>
  <c r="J3823" i="5"/>
  <c r="I3823" i="5"/>
  <c r="H3823" i="5"/>
  <c r="U3822" i="5"/>
  <c r="T3822" i="5"/>
  <c r="S3822" i="5"/>
  <c r="R3822" i="5"/>
  <c r="Q3822" i="5"/>
  <c r="P3822" i="5"/>
  <c r="O3822" i="5"/>
  <c r="N3822" i="5"/>
  <c r="M3822" i="5"/>
  <c r="L3822" i="5"/>
  <c r="K3822" i="5"/>
  <c r="J3822" i="5"/>
  <c r="I3822" i="5"/>
  <c r="H3822" i="5"/>
  <c r="V3821" i="5"/>
  <c r="U3821" i="5"/>
  <c r="T3821" i="5"/>
  <c r="S3821" i="5"/>
  <c r="R3821" i="5"/>
  <c r="Q3821" i="5"/>
  <c r="P3821" i="5"/>
  <c r="O3821" i="5"/>
  <c r="N3821" i="5"/>
  <c r="M3821" i="5"/>
  <c r="L3821" i="5"/>
  <c r="K3821" i="5"/>
  <c r="J3821" i="5"/>
  <c r="I3821" i="5"/>
  <c r="H3821" i="5"/>
  <c r="V3820" i="5"/>
  <c r="O3820" i="5"/>
  <c r="N3820" i="5"/>
  <c r="M3820" i="5"/>
  <c r="L3820" i="5"/>
  <c r="K3820" i="5"/>
  <c r="J3820" i="5"/>
  <c r="I3820" i="5"/>
  <c r="H3820" i="5"/>
  <c r="V3819" i="5"/>
  <c r="U3819" i="5"/>
  <c r="T3819" i="5"/>
  <c r="S3819" i="5"/>
  <c r="R3819" i="5"/>
  <c r="Q3819" i="5"/>
  <c r="P3819" i="5"/>
  <c r="O3819" i="5"/>
  <c r="N3819" i="5"/>
  <c r="M3819" i="5"/>
  <c r="L3819" i="5"/>
  <c r="K3819" i="5"/>
  <c r="J3819" i="5"/>
  <c r="I3819" i="5"/>
  <c r="H3819" i="5"/>
  <c r="V3818" i="5"/>
  <c r="U3818" i="5"/>
  <c r="T3818" i="5"/>
  <c r="S3818" i="5"/>
  <c r="R3818" i="5"/>
  <c r="Q3818" i="5"/>
  <c r="P3818" i="5"/>
  <c r="O3818" i="5"/>
  <c r="N3818" i="5"/>
  <c r="M3818" i="5"/>
  <c r="L3818" i="5"/>
  <c r="K3818" i="5"/>
  <c r="J3818" i="5"/>
  <c r="I3818" i="5"/>
  <c r="H3818" i="5"/>
  <c r="V3817" i="5"/>
  <c r="U3817" i="5"/>
  <c r="T3817" i="5"/>
  <c r="S3817" i="5"/>
  <c r="R3817" i="5"/>
  <c r="Q3817" i="5"/>
  <c r="P3817" i="5"/>
  <c r="O3817" i="5"/>
  <c r="N3817" i="5"/>
  <c r="M3817" i="5"/>
  <c r="L3817" i="5"/>
  <c r="K3817" i="5"/>
  <c r="J3817" i="5"/>
  <c r="I3817" i="5"/>
  <c r="H3817" i="5"/>
  <c r="V3816" i="5"/>
  <c r="U3816" i="5"/>
  <c r="T3816" i="5"/>
  <c r="S3816" i="5"/>
  <c r="R3816" i="5"/>
  <c r="Q3816" i="5"/>
  <c r="P3816" i="5"/>
  <c r="O3816" i="5"/>
  <c r="N3816" i="5"/>
  <c r="M3816" i="5"/>
  <c r="L3816" i="5"/>
  <c r="K3816" i="5"/>
  <c r="J3816" i="5"/>
  <c r="I3816" i="5"/>
  <c r="H3816" i="5"/>
  <c r="V3815" i="5"/>
  <c r="U3815" i="5"/>
  <c r="T3815" i="5"/>
  <c r="S3815" i="5"/>
  <c r="R3815" i="5"/>
  <c r="Q3815" i="5"/>
  <c r="P3815" i="5"/>
  <c r="O3815" i="5"/>
  <c r="N3815" i="5"/>
  <c r="M3815" i="5"/>
  <c r="L3815" i="5"/>
  <c r="K3815" i="5"/>
  <c r="J3815" i="5"/>
  <c r="I3815" i="5"/>
  <c r="H3815" i="5"/>
  <c r="V3814" i="5"/>
  <c r="U3814" i="5"/>
  <c r="T3814" i="5"/>
  <c r="S3814" i="5"/>
  <c r="R3814" i="5"/>
  <c r="Q3814" i="5"/>
  <c r="P3814" i="5"/>
  <c r="V3813" i="5"/>
  <c r="U3813" i="5"/>
  <c r="T3813" i="5"/>
  <c r="S3813" i="5"/>
  <c r="R3813" i="5"/>
  <c r="Q3813" i="5"/>
  <c r="P3813" i="5"/>
  <c r="O3813" i="5"/>
  <c r="N3813" i="5"/>
  <c r="M3813" i="5"/>
  <c r="L3813" i="5"/>
  <c r="K3813" i="5"/>
  <c r="J3813" i="5"/>
  <c r="I3813" i="5"/>
  <c r="H3813" i="5"/>
  <c r="U3812" i="5"/>
  <c r="T3812" i="5"/>
  <c r="S3812" i="5"/>
  <c r="R3812" i="5"/>
  <c r="Q3812" i="5"/>
  <c r="P3812" i="5"/>
  <c r="O3812" i="5"/>
  <c r="N3812" i="5"/>
  <c r="M3812" i="5"/>
  <c r="L3812" i="5"/>
  <c r="K3812" i="5"/>
  <c r="J3812" i="5"/>
  <c r="I3812" i="5"/>
  <c r="H3812" i="5"/>
  <c r="V3811" i="5"/>
  <c r="U3811" i="5"/>
  <c r="T3811" i="5"/>
  <c r="S3811" i="5"/>
  <c r="R3811" i="5"/>
  <c r="Q3811" i="5"/>
  <c r="P3811" i="5"/>
  <c r="O3811" i="5"/>
  <c r="N3811" i="5"/>
  <c r="M3811" i="5"/>
  <c r="L3811" i="5"/>
  <c r="K3811" i="5"/>
  <c r="J3811" i="5"/>
  <c r="I3811" i="5"/>
  <c r="H3811" i="5"/>
  <c r="V3810" i="5"/>
  <c r="O3810" i="5"/>
  <c r="N3810" i="5"/>
  <c r="M3810" i="5"/>
  <c r="L3810" i="5"/>
  <c r="K3810" i="5"/>
  <c r="J3810" i="5"/>
  <c r="I3810" i="5"/>
  <c r="H3810" i="5"/>
  <c r="V3809" i="5"/>
  <c r="U3809" i="5"/>
  <c r="T3809" i="5"/>
  <c r="S3809" i="5"/>
  <c r="R3809" i="5"/>
  <c r="Q3809" i="5"/>
  <c r="P3809" i="5"/>
  <c r="O3809" i="5"/>
  <c r="N3809" i="5"/>
  <c r="M3809" i="5"/>
  <c r="L3809" i="5"/>
  <c r="K3809" i="5"/>
  <c r="J3809" i="5"/>
  <c r="I3809" i="5"/>
  <c r="H3809" i="5"/>
  <c r="V3808" i="5"/>
  <c r="U3808" i="5"/>
  <c r="T3808" i="5"/>
  <c r="S3808" i="5"/>
  <c r="R3808" i="5"/>
  <c r="Q3808" i="5"/>
  <c r="P3808" i="5"/>
  <c r="O3808" i="5"/>
  <c r="N3808" i="5"/>
  <c r="M3808" i="5"/>
  <c r="L3808" i="5"/>
  <c r="K3808" i="5"/>
  <c r="J3808" i="5"/>
  <c r="I3808" i="5"/>
  <c r="H3808" i="5"/>
  <c r="V3807" i="5"/>
  <c r="U3807" i="5"/>
  <c r="T3807" i="5"/>
  <c r="S3807" i="5"/>
  <c r="R3807" i="5"/>
  <c r="Q3807" i="5"/>
  <c r="P3807" i="5"/>
  <c r="O3807" i="5"/>
  <c r="N3807" i="5"/>
  <c r="M3807" i="5"/>
  <c r="L3807" i="5"/>
  <c r="K3807" i="5"/>
  <c r="J3807" i="5"/>
  <c r="I3807" i="5"/>
  <c r="H3807" i="5"/>
  <c r="V3806" i="5"/>
  <c r="U3806" i="5"/>
  <c r="T3806" i="5"/>
  <c r="S3806" i="5"/>
  <c r="R3806" i="5"/>
  <c r="Q3806" i="5"/>
  <c r="P3806" i="5"/>
  <c r="O3806" i="5"/>
  <c r="N3806" i="5"/>
  <c r="M3806" i="5"/>
  <c r="L3806" i="5"/>
  <c r="K3806" i="5"/>
  <c r="J3806" i="5"/>
  <c r="I3806" i="5"/>
  <c r="H3806" i="5"/>
  <c r="V3805" i="5"/>
  <c r="U3805" i="5"/>
  <c r="T3805" i="5"/>
  <c r="S3805" i="5"/>
  <c r="R3805" i="5"/>
  <c r="Q3805" i="5"/>
  <c r="P3805" i="5"/>
  <c r="O3805" i="5"/>
  <c r="N3805" i="5"/>
  <c r="M3805" i="5"/>
  <c r="L3805" i="5"/>
  <c r="K3805" i="5"/>
  <c r="J3805" i="5"/>
  <c r="I3805" i="5"/>
  <c r="H3805" i="5"/>
  <c r="V3804" i="5"/>
  <c r="U3804" i="5"/>
  <c r="T3804" i="5"/>
  <c r="S3804" i="5"/>
  <c r="R3804" i="5"/>
  <c r="Q3804" i="5"/>
  <c r="P3804" i="5"/>
  <c r="V3803" i="5"/>
  <c r="U3803" i="5"/>
  <c r="T3803" i="5"/>
  <c r="S3803" i="5"/>
  <c r="R3803" i="5"/>
  <c r="Q3803" i="5"/>
  <c r="P3803" i="5"/>
  <c r="O3803" i="5"/>
  <c r="N3803" i="5"/>
  <c r="M3803" i="5"/>
  <c r="L3803" i="5"/>
  <c r="K3803" i="5"/>
  <c r="J3803" i="5"/>
  <c r="I3803" i="5"/>
  <c r="H3803" i="5"/>
  <c r="U3802" i="5"/>
  <c r="T3802" i="5"/>
  <c r="S3802" i="5"/>
  <c r="R3802" i="5"/>
  <c r="Q3802" i="5"/>
  <c r="P3802" i="5"/>
  <c r="O3802" i="5"/>
  <c r="N3802" i="5"/>
  <c r="M3802" i="5"/>
  <c r="L3802" i="5"/>
  <c r="K3802" i="5"/>
  <c r="J3802" i="5"/>
  <c r="I3802" i="5"/>
  <c r="H3802" i="5"/>
  <c r="V3801" i="5"/>
  <c r="U3801" i="5"/>
  <c r="T3801" i="5"/>
  <c r="S3801" i="5"/>
  <c r="R3801" i="5"/>
  <c r="Q3801" i="5"/>
  <c r="P3801" i="5"/>
  <c r="O3801" i="5"/>
  <c r="N3801" i="5"/>
  <c r="M3801" i="5"/>
  <c r="L3801" i="5"/>
  <c r="K3801" i="5"/>
  <c r="J3801" i="5"/>
  <c r="I3801" i="5"/>
  <c r="H3801" i="5"/>
  <c r="V3800" i="5"/>
  <c r="O3800" i="5"/>
  <c r="N3800" i="5"/>
  <c r="M3800" i="5"/>
  <c r="L3800" i="5"/>
  <c r="K3800" i="5"/>
  <c r="J3800" i="5"/>
  <c r="I3800" i="5"/>
  <c r="H3800" i="5"/>
  <c r="V3799" i="5"/>
  <c r="U3799" i="5"/>
  <c r="T3799" i="5"/>
  <c r="S3799" i="5"/>
  <c r="R3799" i="5"/>
  <c r="Q3799" i="5"/>
  <c r="P3799" i="5"/>
  <c r="O3799" i="5"/>
  <c r="N3799" i="5"/>
  <c r="M3799" i="5"/>
  <c r="L3799" i="5"/>
  <c r="K3799" i="5"/>
  <c r="J3799" i="5"/>
  <c r="I3799" i="5"/>
  <c r="H3799" i="5"/>
  <c r="V3798" i="5"/>
  <c r="U3798" i="5"/>
  <c r="T3798" i="5"/>
  <c r="S3798" i="5"/>
  <c r="R3798" i="5"/>
  <c r="Q3798" i="5"/>
  <c r="P3798" i="5"/>
  <c r="O3798" i="5"/>
  <c r="N3798" i="5"/>
  <c r="M3798" i="5"/>
  <c r="L3798" i="5"/>
  <c r="K3798" i="5"/>
  <c r="J3798" i="5"/>
  <c r="I3798" i="5"/>
  <c r="H3798" i="5"/>
  <c r="V3797" i="5"/>
  <c r="U3797" i="5"/>
  <c r="T3797" i="5"/>
  <c r="S3797" i="5"/>
  <c r="R3797" i="5"/>
  <c r="Q3797" i="5"/>
  <c r="P3797" i="5"/>
  <c r="O3797" i="5"/>
  <c r="N3797" i="5"/>
  <c r="M3797" i="5"/>
  <c r="L3797" i="5"/>
  <c r="K3797" i="5"/>
  <c r="J3797" i="5"/>
  <c r="I3797" i="5"/>
  <c r="H3797" i="5"/>
  <c r="V3796" i="5"/>
  <c r="U3796" i="5"/>
  <c r="T3796" i="5"/>
  <c r="S3796" i="5"/>
  <c r="R3796" i="5"/>
  <c r="Q3796" i="5"/>
  <c r="P3796" i="5"/>
  <c r="O3796" i="5"/>
  <c r="N3796" i="5"/>
  <c r="M3796" i="5"/>
  <c r="L3796" i="5"/>
  <c r="K3796" i="5"/>
  <c r="J3796" i="5"/>
  <c r="I3796" i="5"/>
  <c r="H3796" i="5"/>
  <c r="V3795" i="5"/>
  <c r="U3795" i="5"/>
  <c r="T3795" i="5"/>
  <c r="S3795" i="5"/>
  <c r="R3795" i="5"/>
  <c r="Q3795" i="5"/>
  <c r="P3795" i="5"/>
  <c r="O3795" i="5"/>
  <c r="N3795" i="5"/>
  <c r="M3795" i="5"/>
  <c r="L3795" i="5"/>
  <c r="K3795" i="5"/>
  <c r="J3795" i="5"/>
  <c r="I3795" i="5"/>
  <c r="H3795" i="5"/>
  <c r="V3794" i="5"/>
  <c r="U3794" i="5"/>
  <c r="T3794" i="5"/>
  <c r="S3794" i="5"/>
  <c r="R3794" i="5"/>
  <c r="Q3794" i="5"/>
  <c r="P3794" i="5"/>
  <c r="V3793" i="5"/>
  <c r="U3793" i="5"/>
  <c r="T3793" i="5"/>
  <c r="S3793" i="5"/>
  <c r="R3793" i="5"/>
  <c r="Q3793" i="5"/>
  <c r="P3793" i="5"/>
  <c r="O3793" i="5"/>
  <c r="N3793" i="5"/>
  <c r="M3793" i="5"/>
  <c r="L3793" i="5"/>
  <c r="K3793" i="5"/>
  <c r="J3793" i="5"/>
  <c r="I3793" i="5"/>
  <c r="H3793" i="5"/>
  <c r="U3792" i="5"/>
  <c r="T3792" i="5"/>
  <c r="S3792" i="5"/>
  <c r="R3792" i="5"/>
  <c r="Q3792" i="5"/>
  <c r="P3792" i="5"/>
  <c r="O3792" i="5"/>
  <c r="N3792" i="5"/>
  <c r="M3792" i="5"/>
  <c r="L3792" i="5"/>
  <c r="K3792" i="5"/>
  <c r="J3792" i="5"/>
  <c r="I3792" i="5"/>
  <c r="H3792" i="5"/>
  <c r="V3791" i="5"/>
  <c r="U3791" i="5"/>
  <c r="T3791" i="5"/>
  <c r="S3791" i="5"/>
  <c r="R3791" i="5"/>
  <c r="Q3791" i="5"/>
  <c r="P3791" i="5"/>
  <c r="O3791" i="5"/>
  <c r="N3791" i="5"/>
  <c r="M3791" i="5"/>
  <c r="L3791" i="5"/>
  <c r="K3791" i="5"/>
  <c r="J3791" i="5"/>
  <c r="I3791" i="5"/>
  <c r="H3791" i="5"/>
  <c r="V3790" i="5"/>
  <c r="O3790" i="5"/>
  <c r="N3790" i="5"/>
  <c r="M3790" i="5"/>
  <c r="L3790" i="5"/>
  <c r="K3790" i="5"/>
  <c r="J3790" i="5"/>
  <c r="I3790" i="5"/>
  <c r="H3790" i="5"/>
  <c r="V3789" i="5"/>
  <c r="U3789" i="5"/>
  <c r="T3789" i="5"/>
  <c r="S3789" i="5"/>
  <c r="R3789" i="5"/>
  <c r="Q3789" i="5"/>
  <c r="P3789" i="5"/>
  <c r="O3789" i="5"/>
  <c r="N3789" i="5"/>
  <c r="M3789" i="5"/>
  <c r="L3789" i="5"/>
  <c r="K3789" i="5"/>
  <c r="J3789" i="5"/>
  <c r="I3789" i="5"/>
  <c r="H3789" i="5"/>
  <c r="V3788" i="5"/>
  <c r="U3788" i="5"/>
  <c r="T3788" i="5"/>
  <c r="S3788" i="5"/>
  <c r="R3788" i="5"/>
  <c r="Q3788" i="5"/>
  <c r="P3788" i="5"/>
  <c r="O3788" i="5"/>
  <c r="N3788" i="5"/>
  <c r="M3788" i="5"/>
  <c r="L3788" i="5"/>
  <c r="K3788" i="5"/>
  <c r="J3788" i="5"/>
  <c r="I3788" i="5"/>
  <c r="H3788" i="5"/>
  <c r="V3787" i="5"/>
  <c r="U3787" i="5"/>
  <c r="T3787" i="5"/>
  <c r="S3787" i="5"/>
  <c r="R3787" i="5"/>
  <c r="Q3787" i="5"/>
  <c r="P3787" i="5"/>
  <c r="V3786" i="5"/>
  <c r="U3786" i="5"/>
  <c r="T3786" i="5"/>
  <c r="S3786" i="5"/>
  <c r="R3786" i="5"/>
  <c r="Q3786" i="5"/>
  <c r="P3786" i="5"/>
  <c r="U3785" i="5"/>
  <c r="T3785" i="5"/>
  <c r="S3785" i="5"/>
  <c r="R3785" i="5"/>
  <c r="Q3785" i="5"/>
  <c r="P3785" i="5"/>
  <c r="U3784" i="5"/>
  <c r="T3784" i="5"/>
  <c r="S3784" i="5"/>
  <c r="R3784" i="5"/>
  <c r="Q3784" i="5"/>
  <c r="P3784" i="5"/>
  <c r="O3777" i="5"/>
  <c r="N3777" i="5"/>
  <c r="M3777" i="5"/>
  <c r="L3777" i="5"/>
  <c r="K3777" i="5"/>
  <c r="J3777" i="5"/>
  <c r="I3777" i="5"/>
  <c r="H3777" i="5"/>
  <c r="O3776" i="5"/>
  <c r="N3776" i="5"/>
  <c r="M3776" i="5"/>
  <c r="L3776" i="5"/>
  <c r="K3776" i="5"/>
  <c r="J3776" i="5"/>
  <c r="I3776" i="5"/>
  <c r="H3776" i="5"/>
  <c r="V3775" i="5"/>
  <c r="O3775" i="5"/>
  <c r="N3775" i="5"/>
  <c r="M3775" i="5"/>
  <c r="L3775" i="5"/>
  <c r="K3775" i="5"/>
  <c r="J3775" i="5"/>
  <c r="I3775" i="5"/>
  <c r="H3775" i="5"/>
  <c r="V3774" i="5"/>
  <c r="V3773" i="5"/>
  <c r="U3773" i="5"/>
  <c r="T3773" i="5"/>
  <c r="S3773" i="5"/>
  <c r="R3773" i="5"/>
  <c r="Q3773" i="5"/>
  <c r="P3773" i="5"/>
  <c r="O3773" i="5"/>
  <c r="N3773" i="5"/>
  <c r="M3773" i="5"/>
  <c r="L3773" i="5"/>
  <c r="K3773" i="5"/>
  <c r="J3773" i="5"/>
  <c r="I3773" i="5"/>
  <c r="H3773" i="5"/>
  <c r="U3772" i="5"/>
  <c r="T3772" i="5"/>
  <c r="S3772" i="5"/>
  <c r="R3772" i="5"/>
  <c r="Q3772" i="5"/>
  <c r="P3772" i="5"/>
  <c r="O3772" i="5"/>
  <c r="N3772" i="5"/>
  <c r="M3772" i="5"/>
  <c r="L3772" i="5"/>
  <c r="K3772" i="5"/>
  <c r="J3772" i="5"/>
  <c r="I3772" i="5"/>
  <c r="H3772" i="5"/>
  <c r="V3771" i="5"/>
  <c r="U3771" i="5"/>
  <c r="T3771" i="5"/>
  <c r="S3771" i="5"/>
  <c r="R3771" i="5"/>
  <c r="Q3771" i="5"/>
  <c r="P3771" i="5"/>
  <c r="O3771" i="5"/>
  <c r="N3771" i="5"/>
  <c r="M3771" i="5"/>
  <c r="L3771" i="5"/>
  <c r="K3771" i="5"/>
  <c r="J3771" i="5"/>
  <c r="I3771" i="5"/>
  <c r="H3771" i="5"/>
  <c r="V3770" i="5"/>
  <c r="O3770" i="5"/>
  <c r="N3770" i="5"/>
  <c r="M3770" i="5"/>
  <c r="L3770" i="5"/>
  <c r="K3770" i="5"/>
  <c r="J3770" i="5"/>
  <c r="I3770" i="5"/>
  <c r="H3770" i="5"/>
  <c r="V3769" i="5"/>
  <c r="U3769" i="5"/>
  <c r="T3769" i="5"/>
  <c r="S3769" i="5"/>
  <c r="R3769" i="5"/>
  <c r="Q3769" i="5"/>
  <c r="P3769" i="5"/>
  <c r="O3769" i="5"/>
  <c r="N3769" i="5"/>
  <c r="M3769" i="5"/>
  <c r="L3769" i="5"/>
  <c r="K3769" i="5"/>
  <c r="J3769" i="5"/>
  <c r="I3769" i="5"/>
  <c r="H3769" i="5"/>
  <c r="V3768" i="5"/>
  <c r="U3768" i="5"/>
  <c r="T3768" i="5"/>
  <c r="S3768" i="5"/>
  <c r="R3768" i="5"/>
  <c r="Q3768" i="5"/>
  <c r="P3768" i="5"/>
  <c r="O3768" i="5"/>
  <c r="N3768" i="5"/>
  <c r="M3768" i="5"/>
  <c r="L3768" i="5"/>
  <c r="K3768" i="5"/>
  <c r="J3768" i="5"/>
  <c r="I3768" i="5"/>
  <c r="H3768" i="5"/>
  <c r="V3767" i="5"/>
  <c r="U3767" i="5"/>
  <c r="T3767" i="5"/>
  <c r="S3767" i="5"/>
  <c r="R3767" i="5"/>
  <c r="Q3767" i="5"/>
  <c r="P3767" i="5"/>
  <c r="O3767" i="5"/>
  <c r="N3767" i="5"/>
  <c r="M3767" i="5"/>
  <c r="L3767" i="5"/>
  <c r="K3767" i="5"/>
  <c r="J3767" i="5"/>
  <c r="I3767" i="5"/>
  <c r="H3767" i="5"/>
  <c r="V3766" i="5"/>
  <c r="U3766" i="5"/>
  <c r="T3766" i="5"/>
  <c r="S3766" i="5"/>
  <c r="R3766" i="5"/>
  <c r="Q3766" i="5"/>
  <c r="P3766" i="5"/>
  <c r="O3766" i="5"/>
  <c r="N3766" i="5"/>
  <c r="M3766" i="5"/>
  <c r="L3766" i="5"/>
  <c r="K3766" i="5"/>
  <c r="J3766" i="5"/>
  <c r="I3766" i="5"/>
  <c r="H3766" i="5"/>
  <c r="V3765" i="5"/>
  <c r="U3765" i="5"/>
  <c r="T3765" i="5"/>
  <c r="S3765" i="5"/>
  <c r="R3765" i="5"/>
  <c r="Q3765" i="5"/>
  <c r="P3765" i="5"/>
  <c r="O3765" i="5"/>
  <c r="N3765" i="5"/>
  <c r="M3765" i="5"/>
  <c r="L3765" i="5"/>
  <c r="K3765" i="5"/>
  <c r="J3765" i="5"/>
  <c r="I3765" i="5"/>
  <c r="H3765" i="5"/>
  <c r="V3764" i="5"/>
  <c r="U3764" i="5"/>
  <c r="T3764" i="5"/>
  <c r="S3764" i="5"/>
  <c r="R3764" i="5"/>
  <c r="Q3764" i="5"/>
  <c r="P3764" i="5"/>
  <c r="V3763" i="5"/>
  <c r="U3763" i="5"/>
  <c r="T3763" i="5"/>
  <c r="S3763" i="5"/>
  <c r="R3763" i="5"/>
  <c r="Q3763" i="5"/>
  <c r="P3763" i="5"/>
  <c r="O3763" i="5"/>
  <c r="N3763" i="5"/>
  <c r="M3763" i="5"/>
  <c r="L3763" i="5"/>
  <c r="K3763" i="5"/>
  <c r="J3763" i="5"/>
  <c r="I3763" i="5"/>
  <c r="H3763" i="5"/>
  <c r="U3762" i="5"/>
  <c r="T3762" i="5"/>
  <c r="S3762" i="5"/>
  <c r="R3762" i="5"/>
  <c r="Q3762" i="5"/>
  <c r="P3762" i="5"/>
  <c r="O3762" i="5"/>
  <c r="N3762" i="5"/>
  <c r="M3762" i="5"/>
  <c r="L3762" i="5"/>
  <c r="K3762" i="5"/>
  <c r="J3762" i="5"/>
  <c r="I3762" i="5"/>
  <c r="H3762" i="5"/>
  <c r="V3761" i="5"/>
  <c r="U3761" i="5"/>
  <c r="T3761" i="5"/>
  <c r="S3761" i="5"/>
  <c r="R3761" i="5"/>
  <c r="Q3761" i="5"/>
  <c r="P3761" i="5"/>
  <c r="O3761" i="5"/>
  <c r="N3761" i="5"/>
  <c r="M3761" i="5"/>
  <c r="L3761" i="5"/>
  <c r="K3761" i="5"/>
  <c r="J3761" i="5"/>
  <c r="I3761" i="5"/>
  <c r="H3761" i="5"/>
  <c r="V3760" i="5"/>
  <c r="O3760" i="5"/>
  <c r="N3760" i="5"/>
  <c r="M3760" i="5"/>
  <c r="L3760" i="5"/>
  <c r="K3760" i="5"/>
  <c r="J3760" i="5"/>
  <c r="I3760" i="5"/>
  <c r="H3760" i="5"/>
  <c r="V3759" i="5"/>
  <c r="U3759" i="5"/>
  <c r="T3759" i="5"/>
  <c r="S3759" i="5"/>
  <c r="R3759" i="5"/>
  <c r="Q3759" i="5"/>
  <c r="P3759" i="5"/>
  <c r="O3759" i="5"/>
  <c r="N3759" i="5"/>
  <c r="M3759" i="5"/>
  <c r="L3759" i="5"/>
  <c r="K3759" i="5"/>
  <c r="J3759" i="5"/>
  <c r="I3759" i="5"/>
  <c r="H3759" i="5"/>
  <c r="V3758" i="5"/>
  <c r="U3758" i="5"/>
  <c r="T3758" i="5"/>
  <c r="S3758" i="5"/>
  <c r="R3758" i="5"/>
  <c r="Q3758" i="5"/>
  <c r="P3758" i="5"/>
  <c r="O3758" i="5"/>
  <c r="N3758" i="5"/>
  <c r="M3758" i="5"/>
  <c r="L3758" i="5"/>
  <c r="K3758" i="5"/>
  <c r="J3758" i="5"/>
  <c r="I3758" i="5"/>
  <c r="H3758" i="5"/>
  <c r="V3757" i="5"/>
  <c r="U3757" i="5"/>
  <c r="T3757" i="5"/>
  <c r="S3757" i="5"/>
  <c r="R3757" i="5"/>
  <c r="Q3757" i="5"/>
  <c r="P3757" i="5"/>
  <c r="O3757" i="5"/>
  <c r="N3757" i="5"/>
  <c r="M3757" i="5"/>
  <c r="L3757" i="5"/>
  <c r="K3757" i="5"/>
  <c r="J3757" i="5"/>
  <c r="I3757" i="5"/>
  <c r="H3757" i="5"/>
  <c r="V3756" i="5"/>
  <c r="U3756" i="5"/>
  <c r="T3756" i="5"/>
  <c r="S3756" i="5"/>
  <c r="R3756" i="5"/>
  <c r="Q3756" i="5"/>
  <c r="P3756" i="5"/>
  <c r="O3756" i="5"/>
  <c r="N3756" i="5"/>
  <c r="M3756" i="5"/>
  <c r="L3756" i="5"/>
  <c r="K3756" i="5"/>
  <c r="J3756" i="5"/>
  <c r="I3756" i="5"/>
  <c r="H3756" i="5"/>
  <c r="V3755" i="5"/>
  <c r="U3755" i="5"/>
  <c r="T3755" i="5"/>
  <c r="S3755" i="5"/>
  <c r="R3755" i="5"/>
  <c r="Q3755" i="5"/>
  <c r="P3755" i="5"/>
  <c r="O3755" i="5"/>
  <c r="N3755" i="5"/>
  <c r="M3755" i="5"/>
  <c r="L3755" i="5"/>
  <c r="K3755" i="5"/>
  <c r="J3755" i="5"/>
  <c r="I3755" i="5"/>
  <c r="H3755" i="5"/>
  <c r="V3754" i="5"/>
  <c r="U3754" i="5"/>
  <c r="T3754" i="5"/>
  <c r="S3754" i="5"/>
  <c r="R3754" i="5"/>
  <c r="Q3754" i="5"/>
  <c r="P3754" i="5"/>
  <c r="V3753" i="5"/>
  <c r="U3753" i="5"/>
  <c r="T3753" i="5"/>
  <c r="S3753" i="5"/>
  <c r="R3753" i="5"/>
  <c r="Q3753" i="5"/>
  <c r="P3753" i="5"/>
  <c r="O3753" i="5"/>
  <c r="N3753" i="5"/>
  <c r="M3753" i="5"/>
  <c r="L3753" i="5"/>
  <c r="K3753" i="5"/>
  <c r="J3753" i="5"/>
  <c r="I3753" i="5"/>
  <c r="H3753" i="5"/>
  <c r="U3752" i="5"/>
  <c r="T3752" i="5"/>
  <c r="S3752" i="5"/>
  <c r="R3752" i="5"/>
  <c r="Q3752" i="5"/>
  <c r="P3752" i="5"/>
  <c r="O3752" i="5"/>
  <c r="N3752" i="5"/>
  <c r="M3752" i="5"/>
  <c r="L3752" i="5"/>
  <c r="K3752" i="5"/>
  <c r="J3752" i="5"/>
  <c r="I3752" i="5"/>
  <c r="H3752" i="5"/>
  <c r="V3751" i="5"/>
  <c r="U3751" i="5"/>
  <c r="T3751" i="5"/>
  <c r="S3751" i="5"/>
  <c r="R3751" i="5"/>
  <c r="Q3751" i="5"/>
  <c r="P3751" i="5"/>
  <c r="O3751" i="5"/>
  <c r="N3751" i="5"/>
  <c r="M3751" i="5"/>
  <c r="L3751" i="5"/>
  <c r="K3751" i="5"/>
  <c r="J3751" i="5"/>
  <c r="I3751" i="5"/>
  <c r="H3751" i="5"/>
  <c r="V3750" i="5"/>
  <c r="O3750" i="5"/>
  <c r="N3750" i="5"/>
  <c r="M3750" i="5"/>
  <c r="L3750" i="5"/>
  <c r="K3750" i="5"/>
  <c r="J3750" i="5"/>
  <c r="I3750" i="5"/>
  <c r="H3750" i="5"/>
  <c r="V3749" i="5"/>
  <c r="U3749" i="5"/>
  <c r="T3749" i="5"/>
  <c r="S3749" i="5"/>
  <c r="R3749" i="5"/>
  <c r="Q3749" i="5"/>
  <c r="P3749" i="5"/>
  <c r="O3749" i="5"/>
  <c r="N3749" i="5"/>
  <c r="M3749" i="5"/>
  <c r="L3749" i="5"/>
  <c r="K3749" i="5"/>
  <c r="J3749" i="5"/>
  <c r="I3749" i="5"/>
  <c r="H3749" i="5"/>
  <c r="V3748" i="5"/>
  <c r="U3748" i="5"/>
  <c r="T3748" i="5"/>
  <c r="S3748" i="5"/>
  <c r="R3748" i="5"/>
  <c r="Q3748" i="5"/>
  <c r="P3748" i="5"/>
  <c r="O3748" i="5"/>
  <c r="N3748" i="5"/>
  <c r="M3748" i="5"/>
  <c r="L3748" i="5"/>
  <c r="K3748" i="5"/>
  <c r="J3748" i="5"/>
  <c r="I3748" i="5"/>
  <c r="H3748" i="5"/>
  <c r="V3747" i="5"/>
  <c r="U3747" i="5"/>
  <c r="T3747" i="5"/>
  <c r="S3747" i="5"/>
  <c r="R3747" i="5"/>
  <c r="Q3747" i="5"/>
  <c r="P3747" i="5"/>
  <c r="O3747" i="5"/>
  <c r="N3747" i="5"/>
  <c r="M3747" i="5"/>
  <c r="L3747" i="5"/>
  <c r="K3747" i="5"/>
  <c r="J3747" i="5"/>
  <c r="I3747" i="5"/>
  <c r="H3747" i="5"/>
  <c r="V3746" i="5"/>
  <c r="U3746" i="5"/>
  <c r="T3746" i="5"/>
  <c r="S3746" i="5"/>
  <c r="R3746" i="5"/>
  <c r="Q3746" i="5"/>
  <c r="P3746" i="5"/>
  <c r="O3746" i="5"/>
  <c r="N3746" i="5"/>
  <c r="M3746" i="5"/>
  <c r="L3746" i="5"/>
  <c r="K3746" i="5"/>
  <c r="J3746" i="5"/>
  <c r="I3746" i="5"/>
  <c r="H3746" i="5"/>
  <c r="V3745" i="5"/>
  <c r="U3745" i="5"/>
  <c r="T3745" i="5"/>
  <c r="S3745" i="5"/>
  <c r="R3745" i="5"/>
  <c r="Q3745" i="5"/>
  <c r="P3745" i="5"/>
  <c r="O3745" i="5"/>
  <c r="N3745" i="5"/>
  <c r="M3745" i="5"/>
  <c r="L3745" i="5"/>
  <c r="K3745" i="5"/>
  <c r="J3745" i="5"/>
  <c r="I3745" i="5"/>
  <c r="H3745" i="5"/>
  <c r="V3744" i="5"/>
  <c r="U3744" i="5"/>
  <c r="T3744" i="5"/>
  <c r="S3744" i="5"/>
  <c r="R3744" i="5"/>
  <c r="Q3744" i="5"/>
  <c r="P3744" i="5"/>
  <c r="V3743" i="5"/>
  <c r="U3743" i="5"/>
  <c r="T3743" i="5"/>
  <c r="S3743" i="5"/>
  <c r="R3743" i="5"/>
  <c r="Q3743" i="5"/>
  <c r="P3743" i="5"/>
  <c r="O3743" i="5"/>
  <c r="N3743" i="5"/>
  <c r="M3743" i="5"/>
  <c r="L3743" i="5"/>
  <c r="K3743" i="5"/>
  <c r="J3743" i="5"/>
  <c r="I3743" i="5"/>
  <c r="H3743" i="5"/>
  <c r="U3742" i="5"/>
  <c r="T3742" i="5"/>
  <c r="S3742" i="5"/>
  <c r="R3742" i="5"/>
  <c r="Q3742" i="5"/>
  <c r="P3742" i="5"/>
  <c r="O3742" i="5"/>
  <c r="N3742" i="5"/>
  <c r="M3742" i="5"/>
  <c r="L3742" i="5"/>
  <c r="K3742" i="5"/>
  <c r="J3742" i="5"/>
  <c r="I3742" i="5"/>
  <c r="H3742" i="5"/>
  <c r="V3741" i="5"/>
  <c r="U3741" i="5"/>
  <c r="T3741" i="5"/>
  <c r="S3741" i="5"/>
  <c r="R3741" i="5"/>
  <c r="Q3741" i="5"/>
  <c r="P3741" i="5"/>
  <c r="O3741" i="5"/>
  <c r="N3741" i="5"/>
  <c r="M3741" i="5"/>
  <c r="L3741" i="5"/>
  <c r="K3741" i="5"/>
  <c r="J3741" i="5"/>
  <c r="I3741" i="5"/>
  <c r="H3741" i="5"/>
  <c r="V3740" i="5"/>
  <c r="O3740" i="5"/>
  <c r="N3740" i="5"/>
  <c r="M3740" i="5"/>
  <c r="L3740" i="5"/>
  <c r="K3740" i="5"/>
  <c r="J3740" i="5"/>
  <c r="I3740" i="5"/>
  <c r="H3740" i="5"/>
  <c r="V3739" i="5"/>
  <c r="U3739" i="5"/>
  <c r="T3739" i="5"/>
  <c r="S3739" i="5"/>
  <c r="R3739" i="5"/>
  <c r="Q3739" i="5"/>
  <c r="P3739" i="5"/>
  <c r="O3739" i="5"/>
  <c r="N3739" i="5"/>
  <c r="M3739" i="5"/>
  <c r="L3739" i="5"/>
  <c r="K3739" i="5"/>
  <c r="J3739" i="5"/>
  <c r="I3739" i="5"/>
  <c r="H3739" i="5"/>
  <c r="V3738" i="5"/>
  <c r="U3738" i="5"/>
  <c r="T3738" i="5"/>
  <c r="S3738" i="5"/>
  <c r="R3738" i="5"/>
  <c r="Q3738" i="5"/>
  <c r="P3738" i="5"/>
  <c r="O3738" i="5"/>
  <c r="N3738" i="5"/>
  <c r="M3738" i="5"/>
  <c r="L3738" i="5"/>
  <c r="K3738" i="5"/>
  <c r="J3738" i="5"/>
  <c r="I3738" i="5"/>
  <c r="H3738" i="5"/>
  <c r="V3737" i="5"/>
  <c r="U3737" i="5"/>
  <c r="T3737" i="5"/>
  <c r="S3737" i="5"/>
  <c r="R3737" i="5"/>
  <c r="Q3737" i="5"/>
  <c r="P3737" i="5"/>
  <c r="O3737" i="5"/>
  <c r="N3737" i="5"/>
  <c r="M3737" i="5"/>
  <c r="L3737" i="5"/>
  <c r="K3737" i="5"/>
  <c r="J3737" i="5"/>
  <c r="I3737" i="5"/>
  <c r="H3737" i="5"/>
  <c r="V3736" i="5"/>
  <c r="U3736" i="5"/>
  <c r="T3736" i="5"/>
  <c r="S3736" i="5"/>
  <c r="R3736" i="5"/>
  <c r="Q3736" i="5"/>
  <c r="P3736" i="5"/>
  <c r="O3736" i="5"/>
  <c r="N3736" i="5"/>
  <c r="M3736" i="5"/>
  <c r="L3736" i="5"/>
  <c r="K3736" i="5"/>
  <c r="J3736" i="5"/>
  <c r="I3736" i="5"/>
  <c r="H3736" i="5"/>
  <c r="V3735" i="5"/>
  <c r="U3735" i="5"/>
  <c r="T3735" i="5"/>
  <c r="S3735" i="5"/>
  <c r="R3735" i="5"/>
  <c r="Q3735" i="5"/>
  <c r="P3735" i="5"/>
  <c r="O3735" i="5"/>
  <c r="N3735" i="5"/>
  <c r="M3735" i="5"/>
  <c r="L3735" i="5"/>
  <c r="K3735" i="5"/>
  <c r="J3735" i="5"/>
  <c r="I3735" i="5"/>
  <c r="H3735" i="5"/>
  <c r="V3734" i="5"/>
  <c r="U3734" i="5"/>
  <c r="T3734" i="5"/>
  <c r="S3734" i="5"/>
  <c r="R3734" i="5"/>
  <c r="Q3734" i="5"/>
  <c r="P3734" i="5"/>
  <c r="V3733" i="5"/>
  <c r="U3733" i="5"/>
  <c r="T3733" i="5"/>
  <c r="S3733" i="5"/>
  <c r="R3733" i="5"/>
  <c r="Q3733" i="5"/>
  <c r="P3733" i="5"/>
  <c r="O3733" i="5"/>
  <c r="N3733" i="5"/>
  <c r="M3733" i="5"/>
  <c r="L3733" i="5"/>
  <c r="K3733" i="5"/>
  <c r="J3733" i="5"/>
  <c r="I3733" i="5"/>
  <c r="H3733" i="5"/>
  <c r="U3732" i="5"/>
  <c r="T3732" i="5"/>
  <c r="S3732" i="5"/>
  <c r="R3732" i="5"/>
  <c r="Q3732" i="5"/>
  <c r="P3732" i="5"/>
  <c r="O3732" i="5"/>
  <c r="N3732" i="5"/>
  <c r="M3732" i="5"/>
  <c r="L3732" i="5"/>
  <c r="K3732" i="5"/>
  <c r="J3732" i="5"/>
  <c r="I3732" i="5"/>
  <c r="H3732" i="5"/>
  <c r="V3731" i="5"/>
  <c r="U3731" i="5"/>
  <c r="T3731" i="5"/>
  <c r="S3731" i="5"/>
  <c r="R3731" i="5"/>
  <c r="Q3731" i="5"/>
  <c r="P3731" i="5"/>
  <c r="O3731" i="5"/>
  <c r="N3731" i="5"/>
  <c r="M3731" i="5"/>
  <c r="L3731" i="5"/>
  <c r="K3731" i="5"/>
  <c r="J3731" i="5"/>
  <c r="I3731" i="5"/>
  <c r="H3731" i="5"/>
  <c r="V3730" i="5"/>
  <c r="O3730" i="5"/>
  <c r="N3730" i="5"/>
  <c r="M3730" i="5"/>
  <c r="L3730" i="5"/>
  <c r="K3730" i="5"/>
  <c r="J3730" i="5"/>
  <c r="I3730" i="5"/>
  <c r="H3730" i="5"/>
  <c r="V3729" i="5"/>
  <c r="U3729" i="5"/>
  <c r="T3729" i="5"/>
  <c r="S3729" i="5"/>
  <c r="R3729" i="5"/>
  <c r="Q3729" i="5"/>
  <c r="P3729" i="5"/>
  <c r="O3729" i="5"/>
  <c r="N3729" i="5"/>
  <c r="M3729" i="5"/>
  <c r="L3729" i="5"/>
  <c r="K3729" i="5"/>
  <c r="J3729" i="5"/>
  <c r="I3729" i="5"/>
  <c r="H3729" i="5"/>
  <c r="V3728" i="5"/>
  <c r="U3728" i="5"/>
  <c r="T3728" i="5"/>
  <c r="S3728" i="5"/>
  <c r="R3728" i="5"/>
  <c r="Q3728" i="5"/>
  <c r="P3728" i="5"/>
  <c r="O3728" i="5"/>
  <c r="N3728" i="5"/>
  <c r="M3728" i="5"/>
  <c r="L3728" i="5"/>
  <c r="K3728" i="5"/>
  <c r="J3728" i="5"/>
  <c r="I3728" i="5"/>
  <c r="H3728" i="5"/>
  <c r="V3727" i="5"/>
  <c r="U3727" i="5"/>
  <c r="T3727" i="5"/>
  <c r="S3727" i="5"/>
  <c r="R3727" i="5"/>
  <c r="Q3727" i="5"/>
  <c r="P3727" i="5"/>
  <c r="O3727" i="5"/>
  <c r="N3727" i="5"/>
  <c r="M3727" i="5"/>
  <c r="L3727" i="5"/>
  <c r="K3727" i="5"/>
  <c r="J3727" i="5"/>
  <c r="I3727" i="5"/>
  <c r="H3727" i="5"/>
  <c r="V3726" i="5"/>
  <c r="U3726" i="5"/>
  <c r="T3726" i="5"/>
  <c r="S3726" i="5"/>
  <c r="R3726" i="5"/>
  <c r="Q3726" i="5"/>
  <c r="P3726" i="5"/>
  <c r="O3726" i="5"/>
  <c r="N3726" i="5"/>
  <c r="M3726" i="5"/>
  <c r="L3726" i="5"/>
  <c r="K3726" i="5"/>
  <c r="J3726" i="5"/>
  <c r="I3726" i="5"/>
  <c r="H3726" i="5"/>
  <c r="V3725" i="5"/>
  <c r="U3725" i="5"/>
  <c r="T3725" i="5"/>
  <c r="S3725" i="5"/>
  <c r="R3725" i="5"/>
  <c r="Q3725" i="5"/>
  <c r="P3725" i="5"/>
  <c r="O3725" i="5"/>
  <c r="N3725" i="5"/>
  <c r="M3725" i="5"/>
  <c r="L3725" i="5"/>
  <c r="K3725" i="5"/>
  <c r="J3725" i="5"/>
  <c r="I3725" i="5"/>
  <c r="H3725" i="5"/>
  <c r="V3724" i="5"/>
  <c r="U3724" i="5"/>
  <c r="T3724" i="5"/>
  <c r="S3724" i="5"/>
  <c r="R3724" i="5"/>
  <c r="Q3724" i="5"/>
  <c r="P3724" i="5"/>
  <c r="V3723" i="5"/>
  <c r="U3723" i="5"/>
  <c r="T3723" i="5"/>
  <c r="S3723" i="5"/>
  <c r="R3723" i="5"/>
  <c r="Q3723" i="5"/>
  <c r="P3723" i="5"/>
  <c r="O3723" i="5"/>
  <c r="N3723" i="5"/>
  <c r="M3723" i="5"/>
  <c r="L3723" i="5"/>
  <c r="K3723" i="5"/>
  <c r="J3723" i="5"/>
  <c r="I3723" i="5"/>
  <c r="H3723" i="5"/>
  <c r="U3722" i="5"/>
  <c r="T3722" i="5"/>
  <c r="S3722" i="5"/>
  <c r="R3722" i="5"/>
  <c r="Q3722" i="5"/>
  <c r="P3722" i="5"/>
  <c r="O3722" i="5"/>
  <c r="N3722" i="5"/>
  <c r="M3722" i="5"/>
  <c r="L3722" i="5"/>
  <c r="K3722" i="5"/>
  <c r="J3722" i="5"/>
  <c r="I3722" i="5"/>
  <c r="H3722" i="5"/>
  <c r="V3721" i="5"/>
  <c r="U3721" i="5"/>
  <c r="T3721" i="5"/>
  <c r="S3721" i="5"/>
  <c r="R3721" i="5"/>
  <c r="Q3721" i="5"/>
  <c r="P3721" i="5"/>
  <c r="O3721" i="5"/>
  <c r="N3721" i="5"/>
  <c r="M3721" i="5"/>
  <c r="L3721" i="5"/>
  <c r="K3721" i="5"/>
  <c r="J3721" i="5"/>
  <c r="I3721" i="5"/>
  <c r="H3721" i="5"/>
  <c r="V3720" i="5"/>
  <c r="O3720" i="5"/>
  <c r="N3720" i="5"/>
  <c r="M3720" i="5"/>
  <c r="L3720" i="5"/>
  <c r="K3720" i="5"/>
  <c r="J3720" i="5"/>
  <c r="I3720" i="5"/>
  <c r="H3720" i="5"/>
  <c r="V3719" i="5"/>
  <c r="U3719" i="5"/>
  <c r="T3719" i="5"/>
  <c r="S3719" i="5"/>
  <c r="R3719" i="5"/>
  <c r="Q3719" i="5"/>
  <c r="P3719" i="5"/>
  <c r="O3719" i="5"/>
  <c r="N3719" i="5"/>
  <c r="M3719" i="5"/>
  <c r="L3719" i="5"/>
  <c r="K3719" i="5"/>
  <c r="J3719" i="5"/>
  <c r="I3719" i="5"/>
  <c r="H3719" i="5"/>
  <c r="V3718" i="5"/>
  <c r="U3718" i="5"/>
  <c r="T3718" i="5"/>
  <c r="S3718" i="5"/>
  <c r="R3718" i="5"/>
  <c r="Q3718" i="5"/>
  <c r="P3718" i="5"/>
  <c r="O3718" i="5"/>
  <c r="N3718" i="5"/>
  <c r="M3718" i="5"/>
  <c r="L3718" i="5"/>
  <c r="K3718" i="5"/>
  <c r="J3718" i="5"/>
  <c r="I3718" i="5"/>
  <c r="H3718" i="5"/>
  <c r="V3717" i="5"/>
  <c r="U3717" i="5"/>
  <c r="T3717" i="5"/>
  <c r="S3717" i="5"/>
  <c r="R3717" i="5"/>
  <c r="Q3717" i="5"/>
  <c r="P3717" i="5"/>
  <c r="V3716" i="5"/>
  <c r="U3716" i="5"/>
  <c r="T3716" i="5"/>
  <c r="S3716" i="5"/>
  <c r="R3716" i="5"/>
  <c r="Q3716" i="5"/>
  <c r="P3716" i="5"/>
  <c r="U3715" i="5"/>
  <c r="T3715" i="5"/>
  <c r="S3715" i="5"/>
  <c r="R3715" i="5"/>
  <c r="Q3715" i="5"/>
  <c r="P3715" i="5"/>
  <c r="U3714" i="5"/>
  <c r="T3714" i="5"/>
  <c r="S3714" i="5"/>
  <c r="R3714" i="5"/>
  <c r="Q3714" i="5"/>
  <c r="P3714" i="5"/>
  <c r="O3617" i="5"/>
  <c r="N3617" i="5"/>
  <c r="M3617" i="5"/>
  <c r="L3617" i="5"/>
  <c r="K3617" i="5"/>
  <c r="J3617" i="5"/>
  <c r="I3617" i="5"/>
  <c r="H3617" i="5"/>
  <c r="O3616" i="5"/>
  <c r="N3616" i="5"/>
  <c r="M3616" i="5"/>
  <c r="L3616" i="5"/>
  <c r="K3616" i="5"/>
  <c r="J3616" i="5"/>
  <c r="I3616" i="5"/>
  <c r="H3616" i="5"/>
  <c r="V3615" i="5"/>
  <c r="O3615" i="5"/>
  <c r="N3615" i="5"/>
  <c r="M3615" i="5"/>
  <c r="L3615" i="5"/>
  <c r="K3615" i="5"/>
  <c r="J3615" i="5"/>
  <c r="I3615" i="5"/>
  <c r="H3615" i="5"/>
  <c r="V3614" i="5"/>
  <c r="V3613" i="5"/>
  <c r="U3613" i="5"/>
  <c r="T3613" i="5"/>
  <c r="S3613" i="5"/>
  <c r="R3613" i="5"/>
  <c r="Q3613" i="5"/>
  <c r="P3613" i="5"/>
  <c r="O3613" i="5"/>
  <c r="N3613" i="5"/>
  <c r="M3613" i="5"/>
  <c r="L3613" i="5"/>
  <c r="K3613" i="5"/>
  <c r="J3613" i="5"/>
  <c r="I3613" i="5"/>
  <c r="H3613" i="5"/>
  <c r="U3612" i="5"/>
  <c r="T3612" i="5"/>
  <c r="S3612" i="5"/>
  <c r="R3612" i="5"/>
  <c r="Q3612" i="5"/>
  <c r="P3612" i="5"/>
  <c r="O3612" i="5"/>
  <c r="N3612" i="5"/>
  <c r="M3612" i="5"/>
  <c r="L3612" i="5"/>
  <c r="K3612" i="5"/>
  <c r="J3612" i="5"/>
  <c r="I3612" i="5"/>
  <c r="H3612" i="5"/>
  <c r="V3611" i="5"/>
  <c r="U3611" i="5"/>
  <c r="T3611" i="5"/>
  <c r="S3611" i="5"/>
  <c r="R3611" i="5"/>
  <c r="Q3611" i="5"/>
  <c r="P3611" i="5"/>
  <c r="O3611" i="5"/>
  <c r="N3611" i="5"/>
  <c r="M3611" i="5"/>
  <c r="L3611" i="5"/>
  <c r="K3611" i="5"/>
  <c r="J3611" i="5"/>
  <c r="I3611" i="5"/>
  <c r="H3611" i="5"/>
  <c r="V3610" i="5"/>
  <c r="O3610" i="5"/>
  <c r="N3610" i="5"/>
  <c r="M3610" i="5"/>
  <c r="L3610" i="5"/>
  <c r="K3610" i="5"/>
  <c r="J3610" i="5"/>
  <c r="I3610" i="5"/>
  <c r="H3610" i="5"/>
  <c r="V3609" i="5"/>
  <c r="U3609" i="5"/>
  <c r="T3609" i="5"/>
  <c r="S3609" i="5"/>
  <c r="R3609" i="5"/>
  <c r="Q3609" i="5"/>
  <c r="P3609" i="5"/>
  <c r="O3609" i="5"/>
  <c r="N3609" i="5"/>
  <c r="M3609" i="5"/>
  <c r="L3609" i="5"/>
  <c r="K3609" i="5"/>
  <c r="J3609" i="5"/>
  <c r="I3609" i="5"/>
  <c r="H3609" i="5"/>
  <c r="V3608" i="5"/>
  <c r="U3608" i="5"/>
  <c r="T3608" i="5"/>
  <c r="S3608" i="5"/>
  <c r="R3608" i="5"/>
  <c r="Q3608" i="5"/>
  <c r="P3608" i="5"/>
  <c r="O3608" i="5"/>
  <c r="N3608" i="5"/>
  <c r="M3608" i="5"/>
  <c r="L3608" i="5"/>
  <c r="K3608" i="5"/>
  <c r="J3608" i="5"/>
  <c r="I3608" i="5"/>
  <c r="H3608" i="5"/>
  <c r="V3607" i="5"/>
  <c r="U3607" i="5"/>
  <c r="T3607" i="5"/>
  <c r="S3607" i="5"/>
  <c r="R3607" i="5"/>
  <c r="Q3607" i="5"/>
  <c r="P3607" i="5"/>
  <c r="O3607" i="5"/>
  <c r="N3607" i="5"/>
  <c r="M3607" i="5"/>
  <c r="L3607" i="5"/>
  <c r="K3607" i="5"/>
  <c r="J3607" i="5"/>
  <c r="I3607" i="5"/>
  <c r="H3607" i="5"/>
  <c r="V3606" i="5"/>
  <c r="U3606" i="5"/>
  <c r="T3606" i="5"/>
  <c r="S3606" i="5"/>
  <c r="R3606" i="5"/>
  <c r="Q3606" i="5"/>
  <c r="P3606" i="5"/>
  <c r="O3606" i="5"/>
  <c r="N3606" i="5"/>
  <c r="M3606" i="5"/>
  <c r="L3606" i="5"/>
  <c r="K3606" i="5"/>
  <c r="J3606" i="5"/>
  <c r="I3606" i="5"/>
  <c r="H3606" i="5"/>
  <c r="V3605" i="5"/>
  <c r="U3605" i="5"/>
  <c r="T3605" i="5"/>
  <c r="S3605" i="5"/>
  <c r="R3605" i="5"/>
  <c r="Q3605" i="5"/>
  <c r="P3605" i="5"/>
  <c r="O3605" i="5"/>
  <c r="N3605" i="5"/>
  <c r="M3605" i="5"/>
  <c r="L3605" i="5"/>
  <c r="K3605" i="5"/>
  <c r="J3605" i="5"/>
  <c r="I3605" i="5"/>
  <c r="H3605" i="5"/>
  <c r="V3604" i="5"/>
  <c r="U3604" i="5"/>
  <c r="T3604" i="5"/>
  <c r="S3604" i="5"/>
  <c r="R3604" i="5"/>
  <c r="Q3604" i="5"/>
  <c r="P3604" i="5"/>
  <c r="V3603" i="5"/>
  <c r="U3603" i="5"/>
  <c r="T3603" i="5"/>
  <c r="S3603" i="5"/>
  <c r="R3603" i="5"/>
  <c r="Q3603" i="5"/>
  <c r="P3603" i="5"/>
  <c r="O3603" i="5"/>
  <c r="N3603" i="5"/>
  <c r="M3603" i="5"/>
  <c r="L3603" i="5"/>
  <c r="K3603" i="5"/>
  <c r="J3603" i="5"/>
  <c r="I3603" i="5"/>
  <c r="H3603" i="5"/>
  <c r="U3602" i="5"/>
  <c r="T3602" i="5"/>
  <c r="S3602" i="5"/>
  <c r="R3602" i="5"/>
  <c r="Q3602" i="5"/>
  <c r="P3602" i="5"/>
  <c r="O3602" i="5"/>
  <c r="N3602" i="5"/>
  <c r="M3602" i="5"/>
  <c r="L3602" i="5"/>
  <c r="K3602" i="5"/>
  <c r="J3602" i="5"/>
  <c r="I3602" i="5"/>
  <c r="H3602" i="5"/>
  <c r="V3601" i="5"/>
  <c r="U3601" i="5"/>
  <c r="T3601" i="5"/>
  <c r="S3601" i="5"/>
  <c r="R3601" i="5"/>
  <c r="Q3601" i="5"/>
  <c r="P3601" i="5"/>
  <c r="O3601" i="5"/>
  <c r="N3601" i="5"/>
  <c r="M3601" i="5"/>
  <c r="L3601" i="5"/>
  <c r="K3601" i="5"/>
  <c r="J3601" i="5"/>
  <c r="I3601" i="5"/>
  <c r="H3601" i="5"/>
  <c r="V3600" i="5"/>
  <c r="O3600" i="5"/>
  <c r="N3600" i="5"/>
  <c r="M3600" i="5"/>
  <c r="L3600" i="5"/>
  <c r="K3600" i="5"/>
  <c r="J3600" i="5"/>
  <c r="I3600" i="5"/>
  <c r="H3600" i="5"/>
  <c r="V3599" i="5"/>
  <c r="U3599" i="5"/>
  <c r="T3599" i="5"/>
  <c r="S3599" i="5"/>
  <c r="R3599" i="5"/>
  <c r="Q3599" i="5"/>
  <c r="P3599" i="5"/>
  <c r="O3599" i="5"/>
  <c r="N3599" i="5"/>
  <c r="M3599" i="5"/>
  <c r="L3599" i="5"/>
  <c r="K3599" i="5"/>
  <c r="J3599" i="5"/>
  <c r="I3599" i="5"/>
  <c r="H3599" i="5"/>
  <c r="V3598" i="5"/>
  <c r="U3598" i="5"/>
  <c r="T3598" i="5"/>
  <c r="S3598" i="5"/>
  <c r="R3598" i="5"/>
  <c r="Q3598" i="5"/>
  <c r="P3598" i="5"/>
  <c r="O3598" i="5"/>
  <c r="N3598" i="5"/>
  <c r="M3598" i="5"/>
  <c r="L3598" i="5"/>
  <c r="K3598" i="5"/>
  <c r="J3598" i="5"/>
  <c r="I3598" i="5"/>
  <c r="H3598" i="5"/>
  <c r="V3597" i="5"/>
  <c r="U3597" i="5"/>
  <c r="T3597" i="5"/>
  <c r="S3597" i="5"/>
  <c r="R3597" i="5"/>
  <c r="Q3597" i="5"/>
  <c r="P3597" i="5"/>
  <c r="O3597" i="5"/>
  <c r="N3597" i="5"/>
  <c r="M3597" i="5"/>
  <c r="L3597" i="5"/>
  <c r="K3597" i="5"/>
  <c r="J3597" i="5"/>
  <c r="I3597" i="5"/>
  <c r="H3597" i="5"/>
  <c r="V3596" i="5"/>
  <c r="U3596" i="5"/>
  <c r="T3596" i="5"/>
  <c r="S3596" i="5"/>
  <c r="R3596" i="5"/>
  <c r="Q3596" i="5"/>
  <c r="P3596" i="5"/>
  <c r="O3596" i="5"/>
  <c r="N3596" i="5"/>
  <c r="M3596" i="5"/>
  <c r="L3596" i="5"/>
  <c r="K3596" i="5"/>
  <c r="J3596" i="5"/>
  <c r="I3596" i="5"/>
  <c r="H3596" i="5"/>
  <c r="V3595" i="5"/>
  <c r="U3595" i="5"/>
  <c r="T3595" i="5"/>
  <c r="S3595" i="5"/>
  <c r="R3595" i="5"/>
  <c r="Q3595" i="5"/>
  <c r="P3595" i="5"/>
  <c r="O3595" i="5"/>
  <c r="N3595" i="5"/>
  <c r="M3595" i="5"/>
  <c r="L3595" i="5"/>
  <c r="K3595" i="5"/>
  <c r="J3595" i="5"/>
  <c r="I3595" i="5"/>
  <c r="H3595" i="5"/>
  <c r="V3594" i="5"/>
  <c r="U3594" i="5"/>
  <c r="T3594" i="5"/>
  <c r="S3594" i="5"/>
  <c r="R3594" i="5"/>
  <c r="Q3594" i="5"/>
  <c r="P3594" i="5"/>
  <c r="V3593" i="5"/>
  <c r="U3593" i="5"/>
  <c r="T3593" i="5"/>
  <c r="S3593" i="5"/>
  <c r="R3593" i="5"/>
  <c r="Q3593" i="5"/>
  <c r="P3593" i="5"/>
  <c r="O3593" i="5"/>
  <c r="N3593" i="5"/>
  <c r="M3593" i="5"/>
  <c r="L3593" i="5"/>
  <c r="K3593" i="5"/>
  <c r="J3593" i="5"/>
  <c r="I3593" i="5"/>
  <c r="H3593" i="5"/>
  <c r="U3592" i="5"/>
  <c r="T3592" i="5"/>
  <c r="S3592" i="5"/>
  <c r="R3592" i="5"/>
  <c r="Q3592" i="5"/>
  <c r="P3592" i="5"/>
  <c r="O3592" i="5"/>
  <c r="N3592" i="5"/>
  <c r="M3592" i="5"/>
  <c r="L3592" i="5"/>
  <c r="K3592" i="5"/>
  <c r="J3592" i="5"/>
  <c r="I3592" i="5"/>
  <c r="H3592" i="5"/>
  <c r="V3591" i="5"/>
  <c r="U3591" i="5"/>
  <c r="T3591" i="5"/>
  <c r="S3591" i="5"/>
  <c r="R3591" i="5"/>
  <c r="Q3591" i="5"/>
  <c r="P3591" i="5"/>
  <c r="O3591" i="5"/>
  <c r="N3591" i="5"/>
  <c r="M3591" i="5"/>
  <c r="L3591" i="5"/>
  <c r="K3591" i="5"/>
  <c r="J3591" i="5"/>
  <c r="I3591" i="5"/>
  <c r="H3591" i="5"/>
  <c r="V3590" i="5"/>
  <c r="O3590" i="5"/>
  <c r="N3590" i="5"/>
  <c r="M3590" i="5"/>
  <c r="L3590" i="5"/>
  <c r="K3590" i="5"/>
  <c r="J3590" i="5"/>
  <c r="I3590" i="5"/>
  <c r="H3590" i="5"/>
  <c r="V3589" i="5"/>
  <c r="U3589" i="5"/>
  <c r="T3589" i="5"/>
  <c r="S3589" i="5"/>
  <c r="R3589" i="5"/>
  <c r="Q3589" i="5"/>
  <c r="P3589" i="5"/>
  <c r="O3589" i="5"/>
  <c r="N3589" i="5"/>
  <c r="M3589" i="5"/>
  <c r="L3589" i="5"/>
  <c r="K3589" i="5"/>
  <c r="J3589" i="5"/>
  <c r="I3589" i="5"/>
  <c r="H3589" i="5"/>
  <c r="V3588" i="5"/>
  <c r="U3588" i="5"/>
  <c r="T3588" i="5"/>
  <c r="S3588" i="5"/>
  <c r="R3588" i="5"/>
  <c r="Q3588" i="5"/>
  <c r="P3588" i="5"/>
  <c r="O3588" i="5"/>
  <c r="N3588" i="5"/>
  <c r="M3588" i="5"/>
  <c r="L3588" i="5"/>
  <c r="K3588" i="5"/>
  <c r="J3588" i="5"/>
  <c r="I3588" i="5"/>
  <c r="H3588" i="5"/>
  <c r="V3587" i="5"/>
  <c r="U3587" i="5"/>
  <c r="T3587" i="5"/>
  <c r="S3587" i="5"/>
  <c r="R3587" i="5"/>
  <c r="Q3587" i="5"/>
  <c r="P3587" i="5"/>
  <c r="V3586" i="5"/>
  <c r="U3586" i="5"/>
  <c r="T3586" i="5"/>
  <c r="S3586" i="5"/>
  <c r="R3586" i="5"/>
  <c r="Q3586" i="5"/>
  <c r="P3586" i="5"/>
  <c r="U3585" i="5"/>
  <c r="T3585" i="5"/>
  <c r="S3585" i="5"/>
  <c r="R3585" i="5"/>
  <c r="Q3585" i="5"/>
  <c r="P3585" i="5"/>
  <c r="U3584" i="5"/>
  <c r="T3584" i="5"/>
  <c r="S3584" i="5"/>
  <c r="R3584" i="5"/>
  <c r="Q3584" i="5"/>
  <c r="P3584" i="5"/>
  <c r="O3577" i="5"/>
  <c r="N3577" i="5"/>
  <c r="M3577" i="5"/>
  <c r="L3577" i="5"/>
  <c r="K3577" i="5"/>
  <c r="J3577" i="5"/>
  <c r="I3577" i="5"/>
  <c r="H3577" i="5"/>
  <c r="O3576" i="5"/>
  <c r="N3576" i="5"/>
  <c r="M3576" i="5"/>
  <c r="L3576" i="5"/>
  <c r="K3576" i="5"/>
  <c r="J3576" i="5"/>
  <c r="I3576" i="5"/>
  <c r="H3576" i="5"/>
  <c r="V3575" i="5"/>
  <c r="O3575" i="5"/>
  <c r="N3575" i="5"/>
  <c r="M3575" i="5"/>
  <c r="L3575" i="5"/>
  <c r="K3575" i="5"/>
  <c r="J3575" i="5"/>
  <c r="I3575" i="5"/>
  <c r="H3575" i="5"/>
  <c r="V3574" i="5"/>
  <c r="V3573" i="5"/>
  <c r="U3573" i="5"/>
  <c r="T3573" i="5"/>
  <c r="S3573" i="5"/>
  <c r="R3573" i="5"/>
  <c r="Q3573" i="5"/>
  <c r="P3573" i="5"/>
  <c r="O3573" i="5"/>
  <c r="N3573" i="5"/>
  <c r="M3573" i="5"/>
  <c r="L3573" i="5"/>
  <c r="K3573" i="5"/>
  <c r="J3573" i="5"/>
  <c r="I3573" i="5"/>
  <c r="H3573" i="5"/>
  <c r="U3572" i="5"/>
  <c r="T3572" i="5"/>
  <c r="S3572" i="5"/>
  <c r="R3572" i="5"/>
  <c r="Q3572" i="5"/>
  <c r="P3572" i="5"/>
  <c r="O3572" i="5"/>
  <c r="N3572" i="5"/>
  <c r="M3572" i="5"/>
  <c r="L3572" i="5"/>
  <c r="K3572" i="5"/>
  <c r="J3572" i="5"/>
  <c r="I3572" i="5"/>
  <c r="H3572" i="5"/>
  <c r="V3571" i="5"/>
  <c r="U3571" i="5"/>
  <c r="T3571" i="5"/>
  <c r="S3571" i="5"/>
  <c r="R3571" i="5"/>
  <c r="Q3571" i="5"/>
  <c r="P3571" i="5"/>
  <c r="O3571" i="5"/>
  <c r="N3571" i="5"/>
  <c r="M3571" i="5"/>
  <c r="L3571" i="5"/>
  <c r="K3571" i="5"/>
  <c r="J3571" i="5"/>
  <c r="I3571" i="5"/>
  <c r="H3571" i="5"/>
  <c r="V3570" i="5"/>
  <c r="O3570" i="5"/>
  <c r="N3570" i="5"/>
  <c r="M3570" i="5"/>
  <c r="L3570" i="5"/>
  <c r="K3570" i="5"/>
  <c r="J3570" i="5"/>
  <c r="I3570" i="5"/>
  <c r="H3570" i="5"/>
  <c r="V3569" i="5"/>
  <c r="U3569" i="5"/>
  <c r="T3569" i="5"/>
  <c r="S3569" i="5"/>
  <c r="R3569" i="5"/>
  <c r="Q3569" i="5"/>
  <c r="P3569" i="5"/>
  <c r="O3569" i="5"/>
  <c r="N3569" i="5"/>
  <c r="M3569" i="5"/>
  <c r="L3569" i="5"/>
  <c r="K3569" i="5"/>
  <c r="J3569" i="5"/>
  <c r="I3569" i="5"/>
  <c r="H3569" i="5"/>
  <c r="V3568" i="5"/>
  <c r="U3568" i="5"/>
  <c r="T3568" i="5"/>
  <c r="S3568" i="5"/>
  <c r="R3568" i="5"/>
  <c r="Q3568" i="5"/>
  <c r="P3568" i="5"/>
  <c r="O3568" i="5"/>
  <c r="N3568" i="5"/>
  <c r="M3568" i="5"/>
  <c r="L3568" i="5"/>
  <c r="K3568" i="5"/>
  <c r="J3568" i="5"/>
  <c r="I3568" i="5"/>
  <c r="H3568" i="5"/>
  <c r="V3567" i="5"/>
  <c r="U3567" i="5"/>
  <c r="T3567" i="5"/>
  <c r="S3567" i="5"/>
  <c r="R3567" i="5"/>
  <c r="Q3567" i="5"/>
  <c r="P3567" i="5"/>
  <c r="O3567" i="5"/>
  <c r="N3567" i="5"/>
  <c r="M3567" i="5"/>
  <c r="L3567" i="5"/>
  <c r="K3567" i="5"/>
  <c r="J3567" i="5"/>
  <c r="I3567" i="5"/>
  <c r="H3567" i="5"/>
  <c r="V3566" i="5"/>
  <c r="U3566" i="5"/>
  <c r="T3566" i="5"/>
  <c r="S3566" i="5"/>
  <c r="R3566" i="5"/>
  <c r="Q3566" i="5"/>
  <c r="P3566" i="5"/>
  <c r="O3566" i="5"/>
  <c r="N3566" i="5"/>
  <c r="M3566" i="5"/>
  <c r="L3566" i="5"/>
  <c r="K3566" i="5"/>
  <c r="J3566" i="5"/>
  <c r="I3566" i="5"/>
  <c r="H3566" i="5"/>
  <c r="V3565" i="5"/>
  <c r="U3565" i="5"/>
  <c r="T3565" i="5"/>
  <c r="S3565" i="5"/>
  <c r="R3565" i="5"/>
  <c r="Q3565" i="5"/>
  <c r="P3565" i="5"/>
  <c r="O3565" i="5"/>
  <c r="N3565" i="5"/>
  <c r="M3565" i="5"/>
  <c r="L3565" i="5"/>
  <c r="K3565" i="5"/>
  <c r="J3565" i="5"/>
  <c r="I3565" i="5"/>
  <c r="H3565" i="5"/>
  <c r="V3564" i="5"/>
  <c r="U3564" i="5"/>
  <c r="T3564" i="5"/>
  <c r="S3564" i="5"/>
  <c r="R3564" i="5"/>
  <c r="Q3564" i="5"/>
  <c r="P3564" i="5"/>
  <c r="V3563" i="5"/>
  <c r="U3563" i="5"/>
  <c r="T3563" i="5"/>
  <c r="S3563" i="5"/>
  <c r="R3563" i="5"/>
  <c r="Q3563" i="5"/>
  <c r="P3563" i="5"/>
  <c r="O3563" i="5"/>
  <c r="N3563" i="5"/>
  <c r="M3563" i="5"/>
  <c r="L3563" i="5"/>
  <c r="K3563" i="5"/>
  <c r="J3563" i="5"/>
  <c r="I3563" i="5"/>
  <c r="H3563" i="5"/>
  <c r="U3562" i="5"/>
  <c r="T3562" i="5"/>
  <c r="S3562" i="5"/>
  <c r="R3562" i="5"/>
  <c r="Q3562" i="5"/>
  <c r="P3562" i="5"/>
  <c r="O3562" i="5"/>
  <c r="N3562" i="5"/>
  <c r="M3562" i="5"/>
  <c r="L3562" i="5"/>
  <c r="K3562" i="5"/>
  <c r="J3562" i="5"/>
  <c r="I3562" i="5"/>
  <c r="H3562" i="5"/>
  <c r="V3561" i="5"/>
  <c r="U3561" i="5"/>
  <c r="T3561" i="5"/>
  <c r="S3561" i="5"/>
  <c r="R3561" i="5"/>
  <c r="Q3561" i="5"/>
  <c r="P3561" i="5"/>
  <c r="O3561" i="5"/>
  <c r="N3561" i="5"/>
  <c r="M3561" i="5"/>
  <c r="L3561" i="5"/>
  <c r="K3561" i="5"/>
  <c r="J3561" i="5"/>
  <c r="I3561" i="5"/>
  <c r="H3561" i="5"/>
  <c r="V3560" i="5"/>
  <c r="O3560" i="5"/>
  <c r="N3560" i="5"/>
  <c r="M3560" i="5"/>
  <c r="L3560" i="5"/>
  <c r="K3560" i="5"/>
  <c r="J3560" i="5"/>
  <c r="I3560" i="5"/>
  <c r="H3560" i="5"/>
  <c r="V3559" i="5"/>
  <c r="U3559" i="5"/>
  <c r="T3559" i="5"/>
  <c r="S3559" i="5"/>
  <c r="R3559" i="5"/>
  <c r="Q3559" i="5"/>
  <c r="P3559" i="5"/>
  <c r="O3559" i="5"/>
  <c r="N3559" i="5"/>
  <c r="M3559" i="5"/>
  <c r="L3559" i="5"/>
  <c r="K3559" i="5"/>
  <c r="J3559" i="5"/>
  <c r="I3559" i="5"/>
  <c r="H3559" i="5"/>
  <c r="V3558" i="5"/>
  <c r="U3558" i="5"/>
  <c r="T3558" i="5"/>
  <c r="S3558" i="5"/>
  <c r="R3558" i="5"/>
  <c r="Q3558" i="5"/>
  <c r="P3558" i="5"/>
  <c r="O3558" i="5"/>
  <c r="N3558" i="5"/>
  <c r="M3558" i="5"/>
  <c r="L3558" i="5"/>
  <c r="K3558" i="5"/>
  <c r="J3558" i="5"/>
  <c r="I3558" i="5"/>
  <c r="H3558" i="5"/>
  <c r="V3557" i="5"/>
  <c r="U3557" i="5"/>
  <c r="T3557" i="5"/>
  <c r="S3557" i="5"/>
  <c r="R3557" i="5"/>
  <c r="Q3557" i="5"/>
  <c r="P3557" i="5"/>
  <c r="O3557" i="5"/>
  <c r="N3557" i="5"/>
  <c r="M3557" i="5"/>
  <c r="L3557" i="5"/>
  <c r="K3557" i="5"/>
  <c r="J3557" i="5"/>
  <c r="I3557" i="5"/>
  <c r="H3557" i="5"/>
  <c r="V3556" i="5"/>
  <c r="U3556" i="5"/>
  <c r="T3556" i="5"/>
  <c r="S3556" i="5"/>
  <c r="R3556" i="5"/>
  <c r="Q3556" i="5"/>
  <c r="P3556" i="5"/>
  <c r="O3556" i="5"/>
  <c r="N3556" i="5"/>
  <c r="M3556" i="5"/>
  <c r="L3556" i="5"/>
  <c r="K3556" i="5"/>
  <c r="J3556" i="5"/>
  <c r="I3556" i="5"/>
  <c r="H3556" i="5"/>
  <c r="V3555" i="5"/>
  <c r="U3555" i="5"/>
  <c r="T3555" i="5"/>
  <c r="S3555" i="5"/>
  <c r="R3555" i="5"/>
  <c r="Q3555" i="5"/>
  <c r="P3555" i="5"/>
  <c r="O3555" i="5"/>
  <c r="N3555" i="5"/>
  <c r="M3555" i="5"/>
  <c r="L3555" i="5"/>
  <c r="K3555" i="5"/>
  <c r="J3555" i="5"/>
  <c r="I3555" i="5"/>
  <c r="H3555" i="5"/>
  <c r="V3554" i="5"/>
  <c r="U3554" i="5"/>
  <c r="T3554" i="5"/>
  <c r="S3554" i="5"/>
  <c r="R3554" i="5"/>
  <c r="Q3554" i="5"/>
  <c r="P3554" i="5"/>
  <c r="V3553" i="5"/>
  <c r="U3553" i="5"/>
  <c r="T3553" i="5"/>
  <c r="S3553" i="5"/>
  <c r="R3553" i="5"/>
  <c r="Q3553" i="5"/>
  <c r="P3553" i="5"/>
  <c r="O3553" i="5"/>
  <c r="N3553" i="5"/>
  <c r="M3553" i="5"/>
  <c r="L3553" i="5"/>
  <c r="K3553" i="5"/>
  <c r="J3553" i="5"/>
  <c r="I3553" i="5"/>
  <c r="H3553" i="5"/>
  <c r="U3552" i="5"/>
  <c r="T3552" i="5"/>
  <c r="S3552" i="5"/>
  <c r="R3552" i="5"/>
  <c r="Q3552" i="5"/>
  <c r="P3552" i="5"/>
  <c r="O3552" i="5"/>
  <c r="N3552" i="5"/>
  <c r="M3552" i="5"/>
  <c r="L3552" i="5"/>
  <c r="K3552" i="5"/>
  <c r="J3552" i="5"/>
  <c r="I3552" i="5"/>
  <c r="H3552" i="5"/>
  <c r="V3551" i="5"/>
  <c r="U3551" i="5"/>
  <c r="T3551" i="5"/>
  <c r="S3551" i="5"/>
  <c r="R3551" i="5"/>
  <c r="Q3551" i="5"/>
  <c r="P3551" i="5"/>
  <c r="O3551" i="5"/>
  <c r="N3551" i="5"/>
  <c r="M3551" i="5"/>
  <c r="L3551" i="5"/>
  <c r="K3551" i="5"/>
  <c r="J3551" i="5"/>
  <c r="I3551" i="5"/>
  <c r="H3551" i="5"/>
  <c r="V3550" i="5"/>
  <c r="O3550" i="5"/>
  <c r="N3550" i="5"/>
  <c r="M3550" i="5"/>
  <c r="L3550" i="5"/>
  <c r="K3550" i="5"/>
  <c r="J3550" i="5"/>
  <c r="I3550" i="5"/>
  <c r="H3550" i="5"/>
  <c r="V3549" i="5"/>
  <c r="U3549" i="5"/>
  <c r="T3549" i="5"/>
  <c r="S3549" i="5"/>
  <c r="R3549" i="5"/>
  <c r="Q3549" i="5"/>
  <c r="P3549" i="5"/>
  <c r="O3549" i="5"/>
  <c r="N3549" i="5"/>
  <c r="M3549" i="5"/>
  <c r="L3549" i="5"/>
  <c r="K3549" i="5"/>
  <c r="J3549" i="5"/>
  <c r="I3549" i="5"/>
  <c r="H3549" i="5"/>
  <c r="V3548" i="5"/>
  <c r="U3548" i="5"/>
  <c r="T3548" i="5"/>
  <c r="S3548" i="5"/>
  <c r="R3548" i="5"/>
  <c r="Q3548" i="5"/>
  <c r="P3548" i="5"/>
  <c r="O3548" i="5"/>
  <c r="N3548" i="5"/>
  <c r="M3548" i="5"/>
  <c r="L3548" i="5"/>
  <c r="K3548" i="5"/>
  <c r="J3548" i="5"/>
  <c r="I3548" i="5"/>
  <c r="H3548" i="5"/>
  <c r="V3547" i="5"/>
  <c r="U3547" i="5"/>
  <c r="T3547" i="5"/>
  <c r="S3547" i="5"/>
  <c r="R3547" i="5"/>
  <c r="Q3547" i="5"/>
  <c r="P3547" i="5"/>
  <c r="O3547" i="5"/>
  <c r="N3547" i="5"/>
  <c r="M3547" i="5"/>
  <c r="L3547" i="5"/>
  <c r="K3547" i="5"/>
  <c r="J3547" i="5"/>
  <c r="I3547" i="5"/>
  <c r="H3547" i="5"/>
  <c r="V3546" i="5"/>
  <c r="U3546" i="5"/>
  <c r="T3546" i="5"/>
  <c r="S3546" i="5"/>
  <c r="R3546" i="5"/>
  <c r="Q3546" i="5"/>
  <c r="P3546" i="5"/>
  <c r="O3546" i="5"/>
  <c r="N3546" i="5"/>
  <c r="M3546" i="5"/>
  <c r="L3546" i="5"/>
  <c r="K3546" i="5"/>
  <c r="J3546" i="5"/>
  <c r="I3546" i="5"/>
  <c r="H3546" i="5"/>
  <c r="V3545" i="5"/>
  <c r="U3545" i="5"/>
  <c r="T3545" i="5"/>
  <c r="S3545" i="5"/>
  <c r="R3545" i="5"/>
  <c r="Q3545" i="5"/>
  <c r="P3545" i="5"/>
  <c r="O3545" i="5"/>
  <c r="N3545" i="5"/>
  <c r="M3545" i="5"/>
  <c r="L3545" i="5"/>
  <c r="K3545" i="5"/>
  <c r="J3545" i="5"/>
  <c r="I3545" i="5"/>
  <c r="H3545" i="5"/>
  <c r="V3544" i="5"/>
  <c r="U3544" i="5"/>
  <c r="T3544" i="5"/>
  <c r="S3544" i="5"/>
  <c r="R3544" i="5"/>
  <c r="Q3544" i="5"/>
  <c r="P3544" i="5"/>
  <c r="V3543" i="5"/>
  <c r="U3543" i="5"/>
  <c r="T3543" i="5"/>
  <c r="S3543" i="5"/>
  <c r="R3543" i="5"/>
  <c r="Q3543" i="5"/>
  <c r="P3543" i="5"/>
  <c r="O3543" i="5"/>
  <c r="N3543" i="5"/>
  <c r="M3543" i="5"/>
  <c r="L3543" i="5"/>
  <c r="K3543" i="5"/>
  <c r="J3543" i="5"/>
  <c r="I3543" i="5"/>
  <c r="H3543" i="5"/>
  <c r="U3542" i="5"/>
  <c r="T3542" i="5"/>
  <c r="S3542" i="5"/>
  <c r="R3542" i="5"/>
  <c r="Q3542" i="5"/>
  <c r="P3542" i="5"/>
  <c r="O3542" i="5"/>
  <c r="N3542" i="5"/>
  <c r="M3542" i="5"/>
  <c r="L3542" i="5"/>
  <c r="K3542" i="5"/>
  <c r="J3542" i="5"/>
  <c r="I3542" i="5"/>
  <c r="H3542" i="5"/>
  <c r="V3541" i="5"/>
  <c r="U3541" i="5"/>
  <c r="T3541" i="5"/>
  <c r="S3541" i="5"/>
  <c r="R3541" i="5"/>
  <c r="Q3541" i="5"/>
  <c r="P3541" i="5"/>
  <c r="O3541" i="5"/>
  <c r="N3541" i="5"/>
  <c r="M3541" i="5"/>
  <c r="L3541" i="5"/>
  <c r="K3541" i="5"/>
  <c r="J3541" i="5"/>
  <c r="I3541" i="5"/>
  <c r="H3541" i="5"/>
  <c r="V3540" i="5"/>
  <c r="O3540" i="5"/>
  <c r="N3540" i="5"/>
  <c r="M3540" i="5"/>
  <c r="L3540" i="5"/>
  <c r="K3540" i="5"/>
  <c r="J3540" i="5"/>
  <c r="I3540" i="5"/>
  <c r="H3540" i="5"/>
  <c r="V3539" i="5"/>
  <c r="U3539" i="5"/>
  <c r="T3539" i="5"/>
  <c r="S3539" i="5"/>
  <c r="R3539" i="5"/>
  <c r="Q3539" i="5"/>
  <c r="P3539" i="5"/>
  <c r="O3539" i="5"/>
  <c r="N3539" i="5"/>
  <c r="M3539" i="5"/>
  <c r="L3539" i="5"/>
  <c r="K3539" i="5"/>
  <c r="J3539" i="5"/>
  <c r="I3539" i="5"/>
  <c r="H3539" i="5"/>
  <c r="V3538" i="5"/>
  <c r="U3538" i="5"/>
  <c r="T3538" i="5"/>
  <c r="S3538" i="5"/>
  <c r="R3538" i="5"/>
  <c r="Q3538" i="5"/>
  <c r="P3538" i="5"/>
  <c r="O3538" i="5"/>
  <c r="N3538" i="5"/>
  <c r="M3538" i="5"/>
  <c r="L3538" i="5"/>
  <c r="K3538" i="5"/>
  <c r="J3538" i="5"/>
  <c r="I3538" i="5"/>
  <c r="H3538" i="5"/>
  <c r="V3537" i="5"/>
  <c r="U3537" i="5"/>
  <c r="T3537" i="5"/>
  <c r="S3537" i="5"/>
  <c r="R3537" i="5"/>
  <c r="Q3537" i="5"/>
  <c r="P3537" i="5"/>
  <c r="O3537" i="5"/>
  <c r="N3537" i="5"/>
  <c r="M3537" i="5"/>
  <c r="L3537" i="5"/>
  <c r="K3537" i="5"/>
  <c r="J3537" i="5"/>
  <c r="I3537" i="5"/>
  <c r="H3537" i="5"/>
  <c r="V3536" i="5"/>
  <c r="U3536" i="5"/>
  <c r="T3536" i="5"/>
  <c r="S3536" i="5"/>
  <c r="R3536" i="5"/>
  <c r="Q3536" i="5"/>
  <c r="P3536" i="5"/>
  <c r="O3536" i="5"/>
  <c r="N3536" i="5"/>
  <c r="M3536" i="5"/>
  <c r="L3536" i="5"/>
  <c r="K3536" i="5"/>
  <c r="J3536" i="5"/>
  <c r="I3536" i="5"/>
  <c r="H3536" i="5"/>
  <c r="V3535" i="5"/>
  <c r="U3535" i="5"/>
  <c r="T3535" i="5"/>
  <c r="S3535" i="5"/>
  <c r="R3535" i="5"/>
  <c r="Q3535" i="5"/>
  <c r="P3535" i="5"/>
  <c r="O3535" i="5"/>
  <c r="N3535" i="5"/>
  <c r="M3535" i="5"/>
  <c r="L3535" i="5"/>
  <c r="K3535" i="5"/>
  <c r="J3535" i="5"/>
  <c r="I3535" i="5"/>
  <c r="H3535" i="5"/>
  <c r="V3534" i="5"/>
  <c r="U3534" i="5"/>
  <c r="T3534" i="5"/>
  <c r="S3534" i="5"/>
  <c r="R3534" i="5"/>
  <c r="Q3534" i="5"/>
  <c r="P3534" i="5"/>
  <c r="V3533" i="5"/>
  <c r="U3533" i="5"/>
  <c r="T3533" i="5"/>
  <c r="S3533" i="5"/>
  <c r="R3533" i="5"/>
  <c r="Q3533" i="5"/>
  <c r="P3533" i="5"/>
  <c r="O3533" i="5"/>
  <c r="N3533" i="5"/>
  <c r="M3533" i="5"/>
  <c r="L3533" i="5"/>
  <c r="K3533" i="5"/>
  <c r="J3533" i="5"/>
  <c r="I3533" i="5"/>
  <c r="H3533" i="5"/>
  <c r="U3532" i="5"/>
  <c r="T3532" i="5"/>
  <c r="S3532" i="5"/>
  <c r="R3532" i="5"/>
  <c r="Q3532" i="5"/>
  <c r="P3532" i="5"/>
  <c r="O3532" i="5"/>
  <c r="N3532" i="5"/>
  <c r="M3532" i="5"/>
  <c r="L3532" i="5"/>
  <c r="K3532" i="5"/>
  <c r="J3532" i="5"/>
  <c r="I3532" i="5"/>
  <c r="H3532" i="5"/>
  <c r="V3531" i="5"/>
  <c r="U3531" i="5"/>
  <c r="T3531" i="5"/>
  <c r="S3531" i="5"/>
  <c r="R3531" i="5"/>
  <c r="Q3531" i="5"/>
  <c r="P3531" i="5"/>
  <c r="O3531" i="5"/>
  <c r="N3531" i="5"/>
  <c r="M3531" i="5"/>
  <c r="L3531" i="5"/>
  <c r="K3531" i="5"/>
  <c r="J3531" i="5"/>
  <c r="I3531" i="5"/>
  <c r="H3531" i="5"/>
  <c r="V3530" i="5"/>
  <c r="O3530" i="5"/>
  <c r="N3530" i="5"/>
  <c r="M3530" i="5"/>
  <c r="L3530" i="5"/>
  <c r="K3530" i="5"/>
  <c r="J3530" i="5"/>
  <c r="I3530" i="5"/>
  <c r="H3530" i="5"/>
  <c r="V3529" i="5"/>
  <c r="U3529" i="5"/>
  <c r="T3529" i="5"/>
  <c r="S3529" i="5"/>
  <c r="R3529" i="5"/>
  <c r="Q3529" i="5"/>
  <c r="P3529" i="5"/>
  <c r="O3529" i="5"/>
  <c r="N3529" i="5"/>
  <c r="M3529" i="5"/>
  <c r="L3529" i="5"/>
  <c r="K3529" i="5"/>
  <c r="J3529" i="5"/>
  <c r="I3529" i="5"/>
  <c r="H3529" i="5"/>
  <c r="V3528" i="5"/>
  <c r="U3528" i="5"/>
  <c r="T3528" i="5"/>
  <c r="S3528" i="5"/>
  <c r="R3528" i="5"/>
  <c r="Q3528" i="5"/>
  <c r="P3528" i="5"/>
  <c r="O3528" i="5"/>
  <c r="N3528" i="5"/>
  <c r="M3528" i="5"/>
  <c r="L3528" i="5"/>
  <c r="K3528" i="5"/>
  <c r="J3528" i="5"/>
  <c r="I3528" i="5"/>
  <c r="H3528" i="5"/>
  <c r="V3527" i="5"/>
  <c r="U3527" i="5"/>
  <c r="T3527" i="5"/>
  <c r="S3527" i="5"/>
  <c r="R3527" i="5"/>
  <c r="Q3527" i="5"/>
  <c r="P3527" i="5"/>
  <c r="O3527" i="5"/>
  <c r="N3527" i="5"/>
  <c r="M3527" i="5"/>
  <c r="L3527" i="5"/>
  <c r="K3527" i="5"/>
  <c r="J3527" i="5"/>
  <c r="I3527" i="5"/>
  <c r="H3527" i="5"/>
  <c r="V3526" i="5"/>
  <c r="U3526" i="5"/>
  <c r="T3526" i="5"/>
  <c r="S3526" i="5"/>
  <c r="R3526" i="5"/>
  <c r="Q3526" i="5"/>
  <c r="P3526" i="5"/>
  <c r="O3526" i="5"/>
  <c r="N3526" i="5"/>
  <c r="M3526" i="5"/>
  <c r="L3526" i="5"/>
  <c r="K3526" i="5"/>
  <c r="J3526" i="5"/>
  <c r="I3526" i="5"/>
  <c r="H3526" i="5"/>
  <c r="V3525" i="5"/>
  <c r="U3525" i="5"/>
  <c r="T3525" i="5"/>
  <c r="S3525" i="5"/>
  <c r="R3525" i="5"/>
  <c r="Q3525" i="5"/>
  <c r="P3525" i="5"/>
  <c r="O3525" i="5"/>
  <c r="N3525" i="5"/>
  <c r="M3525" i="5"/>
  <c r="L3525" i="5"/>
  <c r="K3525" i="5"/>
  <c r="J3525" i="5"/>
  <c r="I3525" i="5"/>
  <c r="H3525" i="5"/>
  <c r="V3524" i="5"/>
  <c r="U3524" i="5"/>
  <c r="T3524" i="5"/>
  <c r="S3524" i="5"/>
  <c r="R3524" i="5"/>
  <c r="Q3524" i="5"/>
  <c r="P3524" i="5"/>
  <c r="V3523" i="5"/>
  <c r="U3523" i="5"/>
  <c r="T3523" i="5"/>
  <c r="S3523" i="5"/>
  <c r="R3523" i="5"/>
  <c r="Q3523" i="5"/>
  <c r="P3523" i="5"/>
  <c r="O3523" i="5"/>
  <c r="N3523" i="5"/>
  <c r="M3523" i="5"/>
  <c r="L3523" i="5"/>
  <c r="K3523" i="5"/>
  <c r="J3523" i="5"/>
  <c r="I3523" i="5"/>
  <c r="H3523" i="5"/>
  <c r="U3522" i="5"/>
  <c r="T3522" i="5"/>
  <c r="S3522" i="5"/>
  <c r="R3522" i="5"/>
  <c r="Q3522" i="5"/>
  <c r="P3522" i="5"/>
  <c r="O3522" i="5"/>
  <c r="N3522" i="5"/>
  <c r="M3522" i="5"/>
  <c r="L3522" i="5"/>
  <c r="K3522" i="5"/>
  <c r="J3522" i="5"/>
  <c r="I3522" i="5"/>
  <c r="H3522" i="5"/>
  <c r="V3521" i="5"/>
  <c r="U3521" i="5"/>
  <c r="T3521" i="5"/>
  <c r="S3521" i="5"/>
  <c r="R3521" i="5"/>
  <c r="Q3521" i="5"/>
  <c r="P3521" i="5"/>
  <c r="O3521" i="5"/>
  <c r="N3521" i="5"/>
  <c r="M3521" i="5"/>
  <c r="L3521" i="5"/>
  <c r="K3521" i="5"/>
  <c r="J3521" i="5"/>
  <c r="I3521" i="5"/>
  <c r="H3521" i="5"/>
  <c r="V3520" i="5"/>
  <c r="O3520" i="5"/>
  <c r="N3520" i="5"/>
  <c r="M3520" i="5"/>
  <c r="L3520" i="5"/>
  <c r="K3520" i="5"/>
  <c r="J3520" i="5"/>
  <c r="I3520" i="5"/>
  <c r="H3520" i="5"/>
  <c r="V3519" i="5"/>
  <c r="U3519" i="5"/>
  <c r="T3519" i="5"/>
  <c r="S3519" i="5"/>
  <c r="R3519" i="5"/>
  <c r="Q3519" i="5"/>
  <c r="P3519" i="5"/>
  <c r="O3519" i="5"/>
  <c r="N3519" i="5"/>
  <c r="M3519" i="5"/>
  <c r="L3519" i="5"/>
  <c r="K3519" i="5"/>
  <c r="J3519" i="5"/>
  <c r="I3519" i="5"/>
  <c r="H3519" i="5"/>
  <c r="V3518" i="5"/>
  <c r="U3518" i="5"/>
  <c r="T3518" i="5"/>
  <c r="S3518" i="5"/>
  <c r="R3518" i="5"/>
  <c r="Q3518" i="5"/>
  <c r="P3518" i="5"/>
  <c r="O3518" i="5"/>
  <c r="N3518" i="5"/>
  <c r="M3518" i="5"/>
  <c r="L3518" i="5"/>
  <c r="K3518" i="5"/>
  <c r="J3518" i="5"/>
  <c r="I3518" i="5"/>
  <c r="H3518" i="5"/>
  <c r="V3517" i="5"/>
  <c r="U3517" i="5"/>
  <c r="T3517" i="5"/>
  <c r="S3517" i="5"/>
  <c r="R3517" i="5"/>
  <c r="Q3517" i="5"/>
  <c r="P3517" i="5"/>
  <c r="O3517" i="5"/>
  <c r="N3517" i="5"/>
  <c r="M3517" i="5"/>
  <c r="L3517" i="5"/>
  <c r="K3517" i="5"/>
  <c r="J3517" i="5"/>
  <c r="I3517" i="5"/>
  <c r="H3517" i="5"/>
  <c r="V3516" i="5"/>
  <c r="U3516" i="5"/>
  <c r="T3516" i="5"/>
  <c r="S3516" i="5"/>
  <c r="R3516" i="5"/>
  <c r="Q3516" i="5"/>
  <c r="P3516" i="5"/>
  <c r="O3516" i="5"/>
  <c r="N3516" i="5"/>
  <c r="M3516" i="5"/>
  <c r="L3516" i="5"/>
  <c r="K3516" i="5"/>
  <c r="J3516" i="5"/>
  <c r="I3516" i="5"/>
  <c r="H3516" i="5"/>
  <c r="V3515" i="5"/>
  <c r="U3515" i="5"/>
  <c r="T3515" i="5"/>
  <c r="S3515" i="5"/>
  <c r="R3515" i="5"/>
  <c r="Q3515" i="5"/>
  <c r="P3515" i="5"/>
  <c r="O3515" i="5"/>
  <c r="N3515" i="5"/>
  <c r="M3515" i="5"/>
  <c r="L3515" i="5"/>
  <c r="K3515" i="5"/>
  <c r="J3515" i="5"/>
  <c r="I3515" i="5"/>
  <c r="H3515" i="5"/>
  <c r="V3514" i="5"/>
  <c r="U3514" i="5"/>
  <c r="T3514" i="5"/>
  <c r="S3514" i="5"/>
  <c r="R3514" i="5"/>
  <c r="Q3514" i="5"/>
  <c r="P3514" i="5"/>
  <c r="V3513" i="5"/>
  <c r="U3513" i="5"/>
  <c r="T3513" i="5"/>
  <c r="S3513" i="5"/>
  <c r="R3513" i="5"/>
  <c r="Q3513" i="5"/>
  <c r="P3513" i="5"/>
  <c r="O3513" i="5"/>
  <c r="N3513" i="5"/>
  <c r="M3513" i="5"/>
  <c r="L3513" i="5"/>
  <c r="K3513" i="5"/>
  <c r="J3513" i="5"/>
  <c r="I3513" i="5"/>
  <c r="H3513" i="5"/>
  <c r="U3512" i="5"/>
  <c r="T3512" i="5"/>
  <c r="S3512" i="5"/>
  <c r="R3512" i="5"/>
  <c r="Q3512" i="5"/>
  <c r="P3512" i="5"/>
  <c r="O3512" i="5"/>
  <c r="N3512" i="5"/>
  <c r="M3512" i="5"/>
  <c r="L3512" i="5"/>
  <c r="K3512" i="5"/>
  <c r="J3512" i="5"/>
  <c r="I3512" i="5"/>
  <c r="H3512" i="5"/>
  <c r="V3511" i="5"/>
  <c r="U3511" i="5"/>
  <c r="T3511" i="5"/>
  <c r="S3511" i="5"/>
  <c r="R3511" i="5"/>
  <c r="Q3511" i="5"/>
  <c r="P3511" i="5"/>
  <c r="O3511" i="5"/>
  <c r="N3511" i="5"/>
  <c r="M3511" i="5"/>
  <c r="L3511" i="5"/>
  <c r="K3511" i="5"/>
  <c r="J3511" i="5"/>
  <c r="I3511" i="5"/>
  <c r="H3511" i="5"/>
  <c r="V3510" i="5"/>
  <c r="O3510" i="5"/>
  <c r="N3510" i="5"/>
  <c r="M3510" i="5"/>
  <c r="L3510" i="5"/>
  <c r="K3510" i="5"/>
  <c r="J3510" i="5"/>
  <c r="I3510" i="5"/>
  <c r="H3510" i="5"/>
  <c r="V3509" i="5"/>
  <c r="U3509" i="5"/>
  <c r="T3509" i="5"/>
  <c r="S3509" i="5"/>
  <c r="R3509" i="5"/>
  <c r="Q3509" i="5"/>
  <c r="P3509" i="5"/>
  <c r="O3509" i="5"/>
  <c r="N3509" i="5"/>
  <c r="M3509" i="5"/>
  <c r="L3509" i="5"/>
  <c r="K3509" i="5"/>
  <c r="J3509" i="5"/>
  <c r="I3509" i="5"/>
  <c r="H3509" i="5"/>
  <c r="V3508" i="5"/>
  <c r="U3508" i="5"/>
  <c r="T3508" i="5"/>
  <c r="S3508" i="5"/>
  <c r="R3508" i="5"/>
  <c r="Q3508" i="5"/>
  <c r="P3508" i="5"/>
  <c r="O3508" i="5"/>
  <c r="N3508" i="5"/>
  <c r="M3508" i="5"/>
  <c r="L3508" i="5"/>
  <c r="K3508" i="5"/>
  <c r="J3508" i="5"/>
  <c r="I3508" i="5"/>
  <c r="H3508" i="5"/>
  <c r="V3507" i="5"/>
  <c r="U3507" i="5"/>
  <c r="T3507" i="5"/>
  <c r="S3507" i="5"/>
  <c r="R3507" i="5"/>
  <c r="Q3507" i="5"/>
  <c r="P3507" i="5"/>
  <c r="O3507" i="5"/>
  <c r="N3507" i="5"/>
  <c r="M3507" i="5"/>
  <c r="L3507" i="5"/>
  <c r="K3507" i="5"/>
  <c r="J3507" i="5"/>
  <c r="I3507" i="5"/>
  <c r="H3507" i="5"/>
  <c r="V3506" i="5"/>
  <c r="U3506" i="5"/>
  <c r="T3506" i="5"/>
  <c r="S3506" i="5"/>
  <c r="R3506" i="5"/>
  <c r="Q3506" i="5"/>
  <c r="P3506" i="5"/>
  <c r="O3506" i="5"/>
  <c r="N3506" i="5"/>
  <c r="M3506" i="5"/>
  <c r="L3506" i="5"/>
  <c r="K3506" i="5"/>
  <c r="J3506" i="5"/>
  <c r="I3506" i="5"/>
  <c r="H3506" i="5"/>
  <c r="V3505" i="5"/>
  <c r="U3505" i="5"/>
  <c r="T3505" i="5"/>
  <c r="S3505" i="5"/>
  <c r="R3505" i="5"/>
  <c r="Q3505" i="5"/>
  <c r="P3505" i="5"/>
  <c r="O3505" i="5"/>
  <c r="N3505" i="5"/>
  <c r="M3505" i="5"/>
  <c r="L3505" i="5"/>
  <c r="K3505" i="5"/>
  <c r="J3505" i="5"/>
  <c r="I3505" i="5"/>
  <c r="H3505" i="5"/>
  <c r="V3504" i="5"/>
  <c r="U3504" i="5"/>
  <c r="T3504" i="5"/>
  <c r="S3504" i="5"/>
  <c r="R3504" i="5"/>
  <c r="Q3504" i="5"/>
  <c r="P3504" i="5"/>
  <c r="V3503" i="5"/>
  <c r="U3503" i="5"/>
  <c r="T3503" i="5"/>
  <c r="S3503" i="5"/>
  <c r="R3503" i="5"/>
  <c r="Q3503" i="5"/>
  <c r="P3503" i="5"/>
  <c r="O3503" i="5"/>
  <c r="N3503" i="5"/>
  <c r="M3503" i="5"/>
  <c r="L3503" i="5"/>
  <c r="K3503" i="5"/>
  <c r="J3503" i="5"/>
  <c r="I3503" i="5"/>
  <c r="H3503" i="5"/>
  <c r="U3502" i="5"/>
  <c r="T3502" i="5"/>
  <c r="S3502" i="5"/>
  <c r="R3502" i="5"/>
  <c r="Q3502" i="5"/>
  <c r="P3502" i="5"/>
  <c r="O3502" i="5"/>
  <c r="N3502" i="5"/>
  <c r="M3502" i="5"/>
  <c r="L3502" i="5"/>
  <c r="K3502" i="5"/>
  <c r="J3502" i="5"/>
  <c r="I3502" i="5"/>
  <c r="H3502" i="5"/>
  <c r="V3501" i="5"/>
  <c r="U3501" i="5"/>
  <c r="T3501" i="5"/>
  <c r="S3501" i="5"/>
  <c r="R3501" i="5"/>
  <c r="Q3501" i="5"/>
  <c r="P3501" i="5"/>
  <c r="O3501" i="5"/>
  <c r="N3501" i="5"/>
  <c r="M3501" i="5"/>
  <c r="L3501" i="5"/>
  <c r="K3501" i="5"/>
  <c r="J3501" i="5"/>
  <c r="I3501" i="5"/>
  <c r="H3501" i="5"/>
  <c r="V3500" i="5"/>
  <c r="O3500" i="5"/>
  <c r="N3500" i="5"/>
  <c r="M3500" i="5"/>
  <c r="L3500" i="5"/>
  <c r="K3500" i="5"/>
  <c r="J3500" i="5"/>
  <c r="I3500" i="5"/>
  <c r="H3500" i="5"/>
  <c r="V3499" i="5"/>
  <c r="U3499" i="5"/>
  <c r="T3499" i="5"/>
  <c r="S3499" i="5"/>
  <c r="R3499" i="5"/>
  <c r="Q3499" i="5"/>
  <c r="P3499" i="5"/>
  <c r="O3499" i="5"/>
  <c r="N3499" i="5"/>
  <c r="M3499" i="5"/>
  <c r="L3499" i="5"/>
  <c r="K3499" i="5"/>
  <c r="J3499" i="5"/>
  <c r="I3499" i="5"/>
  <c r="H3499" i="5"/>
  <c r="V3498" i="5"/>
  <c r="U3498" i="5"/>
  <c r="T3498" i="5"/>
  <c r="S3498" i="5"/>
  <c r="R3498" i="5"/>
  <c r="Q3498" i="5"/>
  <c r="P3498" i="5"/>
  <c r="O3498" i="5"/>
  <c r="N3498" i="5"/>
  <c r="M3498" i="5"/>
  <c r="L3498" i="5"/>
  <c r="K3498" i="5"/>
  <c r="J3498" i="5"/>
  <c r="I3498" i="5"/>
  <c r="H3498" i="5"/>
  <c r="V3497" i="5"/>
  <c r="U3497" i="5"/>
  <c r="T3497" i="5"/>
  <c r="S3497" i="5"/>
  <c r="R3497" i="5"/>
  <c r="Q3497" i="5"/>
  <c r="P3497" i="5"/>
  <c r="O3497" i="5"/>
  <c r="N3497" i="5"/>
  <c r="M3497" i="5"/>
  <c r="L3497" i="5"/>
  <c r="K3497" i="5"/>
  <c r="J3497" i="5"/>
  <c r="I3497" i="5"/>
  <c r="H3497" i="5"/>
  <c r="V3496" i="5"/>
  <c r="U3496" i="5"/>
  <c r="T3496" i="5"/>
  <c r="S3496" i="5"/>
  <c r="R3496" i="5"/>
  <c r="Q3496" i="5"/>
  <c r="P3496" i="5"/>
  <c r="O3496" i="5"/>
  <c r="N3496" i="5"/>
  <c r="M3496" i="5"/>
  <c r="L3496" i="5"/>
  <c r="K3496" i="5"/>
  <c r="J3496" i="5"/>
  <c r="I3496" i="5"/>
  <c r="H3496" i="5"/>
  <c r="V3495" i="5"/>
  <c r="U3495" i="5"/>
  <c r="T3495" i="5"/>
  <c r="S3495" i="5"/>
  <c r="R3495" i="5"/>
  <c r="Q3495" i="5"/>
  <c r="P3495" i="5"/>
  <c r="O3495" i="5"/>
  <c r="N3495" i="5"/>
  <c r="M3495" i="5"/>
  <c r="L3495" i="5"/>
  <c r="K3495" i="5"/>
  <c r="J3495" i="5"/>
  <c r="I3495" i="5"/>
  <c r="H3495" i="5"/>
  <c r="V3494" i="5"/>
  <c r="U3494" i="5"/>
  <c r="T3494" i="5"/>
  <c r="S3494" i="5"/>
  <c r="R3494" i="5"/>
  <c r="Q3494" i="5"/>
  <c r="P3494" i="5"/>
  <c r="V3493" i="5"/>
  <c r="U3493" i="5"/>
  <c r="T3493" i="5"/>
  <c r="S3493" i="5"/>
  <c r="R3493" i="5"/>
  <c r="Q3493" i="5"/>
  <c r="P3493" i="5"/>
  <c r="O3493" i="5"/>
  <c r="N3493" i="5"/>
  <c r="M3493" i="5"/>
  <c r="L3493" i="5"/>
  <c r="K3493" i="5"/>
  <c r="J3493" i="5"/>
  <c r="I3493" i="5"/>
  <c r="H3493" i="5"/>
  <c r="U3492" i="5"/>
  <c r="T3492" i="5"/>
  <c r="S3492" i="5"/>
  <c r="R3492" i="5"/>
  <c r="Q3492" i="5"/>
  <c r="P3492" i="5"/>
  <c r="O3492" i="5"/>
  <c r="N3492" i="5"/>
  <c r="M3492" i="5"/>
  <c r="L3492" i="5"/>
  <c r="K3492" i="5"/>
  <c r="J3492" i="5"/>
  <c r="I3492" i="5"/>
  <c r="H3492" i="5"/>
  <c r="V3491" i="5"/>
  <c r="U3491" i="5"/>
  <c r="T3491" i="5"/>
  <c r="S3491" i="5"/>
  <c r="R3491" i="5"/>
  <c r="Q3491" i="5"/>
  <c r="P3491" i="5"/>
  <c r="O3491" i="5"/>
  <c r="N3491" i="5"/>
  <c r="M3491" i="5"/>
  <c r="L3491" i="5"/>
  <c r="K3491" i="5"/>
  <c r="J3491" i="5"/>
  <c r="I3491" i="5"/>
  <c r="H3491" i="5"/>
  <c r="V3490" i="5"/>
  <c r="O3490" i="5"/>
  <c r="N3490" i="5"/>
  <c r="M3490" i="5"/>
  <c r="L3490" i="5"/>
  <c r="K3490" i="5"/>
  <c r="J3490" i="5"/>
  <c r="I3490" i="5"/>
  <c r="H3490" i="5"/>
  <c r="V3489" i="5"/>
  <c r="U3489" i="5"/>
  <c r="T3489" i="5"/>
  <c r="S3489" i="5"/>
  <c r="R3489" i="5"/>
  <c r="Q3489" i="5"/>
  <c r="P3489" i="5"/>
  <c r="O3489" i="5"/>
  <c r="N3489" i="5"/>
  <c r="M3489" i="5"/>
  <c r="L3489" i="5"/>
  <c r="K3489" i="5"/>
  <c r="J3489" i="5"/>
  <c r="I3489" i="5"/>
  <c r="H3489" i="5"/>
  <c r="V3488" i="5"/>
  <c r="U3488" i="5"/>
  <c r="T3488" i="5"/>
  <c r="S3488" i="5"/>
  <c r="R3488" i="5"/>
  <c r="Q3488" i="5"/>
  <c r="P3488" i="5"/>
  <c r="O3488" i="5"/>
  <c r="N3488" i="5"/>
  <c r="M3488" i="5"/>
  <c r="L3488" i="5"/>
  <c r="K3488" i="5"/>
  <c r="J3488" i="5"/>
  <c r="I3488" i="5"/>
  <c r="H3488" i="5"/>
  <c r="V3487" i="5"/>
  <c r="U3487" i="5"/>
  <c r="T3487" i="5"/>
  <c r="S3487" i="5"/>
  <c r="R3487" i="5"/>
  <c r="Q3487" i="5"/>
  <c r="P3487" i="5"/>
  <c r="V3486" i="5"/>
  <c r="U3486" i="5"/>
  <c r="T3486" i="5"/>
  <c r="S3486" i="5"/>
  <c r="R3486" i="5"/>
  <c r="Q3486" i="5"/>
  <c r="P3486" i="5"/>
  <c r="U3485" i="5"/>
  <c r="T3485" i="5"/>
  <c r="S3485" i="5"/>
  <c r="R3485" i="5"/>
  <c r="Q3485" i="5"/>
  <c r="P3485" i="5"/>
  <c r="U3484" i="5"/>
  <c r="T3484" i="5"/>
  <c r="S3484" i="5"/>
  <c r="R3484" i="5"/>
  <c r="Q3484" i="5"/>
  <c r="P3484" i="5"/>
  <c r="O3477" i="5"/>
  <c r="N3477" i="5"/>
  <c r="M3477" i="5"/>
  <c r="L3477" i="5"/>
  <c r="K3477" i="5"/>
  <c r="J3477" i="5"/>
  <c r="I3477" i="5"/>
  <c r="H3477" i="5"/>
  <c r="O3476" i="5"/>
  <c r="N3476" i="5"/>
  <c r="M3476" i="5"/>
  <c r="L3476" i="5"/>
  <c r="K3476" i="5"/>
  <c r="J3476" i="5"/>
  <c r="I3476" i="5"/>
  <c r="H3476" i="5"/>
  <c r="V3475" i="5"/>
  <c r="O3475" i="5"/>
  <c r="N3475" i="5"/>
  <c r="M3475" i="5"/>
  <c r="L3475" i="5"/>
  <c r="K3475" i="5"/>
  <c r="J3475" i="5"/>
  <c r="I3475" i="5"/>
  <c r="H3475" i="5"/>
  <c r="V3474" i="5"/>
  <c r="V3473" i="5"/>
  <c r="U3473" i="5"/>
  <c r="T3473" i="5"/>
  <c r="S3473" i="5"/>
  <c r="R3473" i="5"/>
  <c r="Q3473" i="5"/>
  <c r="P3473" i="5"/>
  <c r="O3473" i="5"/>
  <c r="N3473" i="5"/>
  <c r="M3473" i="5"/>
  <c r="L3473" i="5"/>
  <c r="K3473" i="5"/>
  <c r="J3473" i="5"/>
  <c r="I3473" i="5"/>
  <c r="H3473" i="5"/>
  <c r="U3472" i="5"/>
  <c r="T3472" i="5"/>
  <c r="S3472" i="5"/>
  <c r="R3472" i="5"/>
  <c r="Q3472" i="5"/>
  <c r="P3472" i="5"/>
  <c r="O3472" i="5"/>
  <c r="N3472" i="5"/>
  <c r="M3472" i="5"/>
  <c r="L3472" i="5"/>
  <c r="K3472" i="5"/>
  <c r="J3472" i="5"/>
  <c r="I3472" i="5"/>
  <c r="H3472" i="5"/>
  <c r="V3471" i="5"/>
  <c r="U3471" i="5"/>
  <c r="T3471" i="5"/>
  <c r="S3471" i="5"/>
  <c r="R3471" i="5"/>
  <c r="Q3471" i="5"/>
  <c r="P3471" i="5"/>
  <c r="O3471" i="5"/>
  <c r="N3471" i="5"/>
  <c r="M3471" i="5"/>
  <c r="L3471" i="5"/>
  <c r="K3471" i="5"/>
  <c r="J3471" i="5"/>
  <c r="I3471" i="5"/>
  <c r="H3471" i="5"/>
  <c r="V3470" i="5"/>
  <c r="O3470" i="5"/>
  <c r="N3470" i="5"/>
  <c r="M3470" i="5"/>
  <c r="L3470" i="5"/>
  <c r="K3470" i="5"/>
  <c r="J3470" i="5"/>
  <c r="I3470" i="5"/>
  <c r="H3470" i="5"/>
  <c r="V3469" i="5"/>
  <c r="U3469" i="5"/>
  <c r="T3469" i="5"/>
  <c r="S3469" i="5"/>
  <c r="R3469" i="5"/>
  <c r="Q3469" i="5"/>
  <c r="P3469" i="5"/>
  <c r="O3469" i="5"/>
  <c r="N3469" i="5"/>
  <c r="M3469" i="5"/>
  <c r="L3469" i="5"/>
  <c r="K3469" i="5"/>
  <c r="J3469" i="5"/>
  <c r="I3469" i="5"/>
  <c r="H3469" i="5"/>
  <c r="V3468" i="5"/>
  <c r="U3468" i="5"/>
  <c r="T3468" i="5"/>
  <c r="S3468" i="5"/>
  <c r="R3468" i="5"/>
  <c r="Q3468" i="5"/>
  <c r="P3468" i="5"/>
  <c r="O3468" i="5"/>
  <c r="N3468" i="5"/>
  <c r="M3468" i="5"/>
  <c r="L3468" i="5"/>
  <c r="K3468" i="5"/>
  <c r="J3468" i="5"/>
  <c r="I3468" i="5"/>
  <c r="H3468" i="5"/>
  <c r="V3467" i="5"/>
  <c r="U3467" i="5"/>
  <c r="T3467" i="5"/>
  <c r="S3467" i="5"/>
  <c r="R3467" i="5"/>
  <c r="Q3467" i="5"/>
  <c r="P3467" i="5"/>
  <c r="O3467" i="5"/>
  <c r="N3467" i="5"/>
  <c r="M3467" i="5"/>
  <c r="L3467" i="5"/>
  <c r="K3467" i="5"/>
  <c r="J3467" i="5"/>
  <c r="I3467" i="5"/>
  <c r="H3467" i="5"/>
  <c r="V3466" i="5"/>
  <c r="U3466" i="5"/>
  <c r="T3466" i="5"/>
  <c r="S3466" i="5"/>
  <c r="R3466" i="5"/>
  <c r="Q3466" i="5"/>
  <c r="P3466" i="5"/>
  <c r="O3466" i="5"/>
  <c r="N3466" i="5"/>
  <c r="M3466" i="5"/>
  <c r="L3466" i="5"/>
  <c r="K3466" i="5"/>
  <c r="J3466" i="5"/>
  <c r="I3466" i="5"/>
  <c r="H3466" i="5"/>
  <c r="V3465" i="5"/>
  <c r="U3465" i="5"/>
  <c r="T3465" i="5"/>
  <c r="S3465" i="5"/>
  <c r="R3465" i="5"/>
  <c r="Q3465" i="5"/>
  <c r="P3465" i="5"/>
  <c r="O3465" i="5"/>
  <c r="N3465" i="5"/>
  <c r="M3465" i="5"/>
  <c r="L3465" i="5"/>
  <c r="K3465" i="5"/>
  <c r="J3465" i="5"/>
  <c r="I3465" i="5"/>
  <c r="H3465" i="5"/>
  <c r="V3464" i="5"/>
  <c r="U3464" i="5"/>
  <c r="T3464" i="5"/>
  <c r="S3464" i="5"/>
  <c r="R3464" i="5"/>
  <c r="Q3464" i="5"/>
  <c r="P3464" i="5"/>
  <c r="V3463" i="5"/>
  <c r="U3463" i="5"/>
  <c r="T3463" i="5"/>
  <c r="S3463" i="5"/>
  <c r="R3463" i="5"/>
  <c r="Q3463" i="5"/>
  <c r="P3463" i="5"/>
  <c r="O3463" i="5"/>
  <c r="N3463" i="5"/>
  <c r="M3463" i="5"/>
  <c r="L3463" i="5"/>
  <c r="K3463" i="5"/>
  <c r="J3463" i="5"/>
  <c r="I3463" i="5"/>
  <c r="H3463" i="5"/>
  <c r="U3462" i="5"/>
  <c r="T3462" i="5"/>
  <c r="S3462" i="5"/>
  <c r="R3462" i="5"/>
  <c r="Q3462" i="5"/>
  <c r="P3462" i="5"/>
  <c r="O3462" i="5"/>
  <c r="N3462" i="5"/>
  <c r="M3462" i="5"/>
  <c r="L3462" i="5"/>
  <c r="K3462" i="5"/>
  <c r="J3462" i="5"/>
  <c r="I3462" i="5"/>
  <c r="H3462" i="5"/>
  <c r="V3461" i="5"/>
  <c r="U3461" i="5"/>
  <c r="T3461" i="5"/>
  <c r="S3461" i="5"/>
  <c r="R3461" i="5"/>
  <c r="Q3461" i="5"/>
  <c r="P3461" i="5"/>
  <c r="O3461" i="5"/>
  <c r="N3461" i="5"/>
  <c r="M3461" i="5"/>
  <c r="L3461" i="5"/>
  <c r="K3461" i="5"/>
  <c r="J3461" i="5"/>
  <c r="I3461" i="5"/>
  <c r="H3461" i="5"/>
  <c r="V3460" i="5"/>
  <c r="O3460" i="5"/>
  <c r="N3460" i="5"/>
  <c r="M3460" i="5"/>
  <c r="L3460" i="5"/>
  <c r="K3460" i="5"/>
  <c r="J3460" i="5"/>
  <c r="I3460" i="5"/>
  <c r="H3460" i="5"/>
  <c r="V3459" i="5"/>
  <c r="U3459" i="5"/>
  <c r="T3459" i="5"/>
  <c r="S3459" i="5"/>
  <c r="R3459" i="5"/>
  <c r="Q3459" i="5"/>
  <c r="P3459" i="5"/>
  <c r="O3459" i="5"/>
  <c r="N3459" i="5"/>
  <c r="M3459" i="5"/>
  <c r="L3459" i="5"/>
  <c r="K3459" i="5"/>
  <c r="J3459" i="5"/>
  <c r="I3459" i="5"/>
  <c r="H3459" i="5"/>
  <c r="V3458" i="5"/>
  <c r="U3458" i="5"/>
  <c r="T3458" i="5"/>
  <c r="S3458" i="5"/>
  <c r="R3458" i="5"/>
  <c r="Q3458" i="5"/>
  <c r="P3458" i="5"/>
  <c r="O3458" i="5"/>
  <c r="N3458" i="5"/>
  <c r="M3458" i="5"/>
  <c r="L3458" i="5"/>
  <c r="K3458" i="5"/>
  <c r="J3458" i="5"/>
  <c r="I3458" i="5"/>
  <c r="H3458" i="5"/>
  <c r="V3457" i="5"/>
  <c r="U3457" i="5"/>
  <c r="T3457" i="5"/>
  <c r="S3457" i="5"/>
  <c r="R3457" i="5"/>
  <c r="Q3457" i="5"/>
  <c r="P3457" i="5"/>
  <c r="O3457" i="5"/>
  <c r="N3457" i="5"/>
  <c r="M3457" i="5"/>
  <c r="L3457" i="5"/>
  <c r="K3457" i="5"/>
  <c r="J3457" i="5"/>
  <c r="I3457" i="5"/>
  <c r="H3457" i="5"/>
  <c r="V3456" i="5"/>
  <c r="U3456" i="5"/>
  <c r="T3456" i="5"/>
  <c r="S3456" i="5"/>
  <c r="R3456" i="5"/>
  <c r="Q3456" i="5"/>
  <c r="P3456" i="5"/>
  <c r="O3456" i="5"/>
  <c r="N3456" i="5"/>
  <c r="M3456" i="5"/>
  <c r="L3456" i="5"/>
  <c r="K3456" i="5"/>
  <c r="J3456" i="5"/>
  <c r="I3456" i="5"/>
  <c r="H3456" i="5"/>
  <c r="V3455" i="5"/>
  <c r="U3455" i="5"/>
  <c r="T3455" i="5"/>
  <c r="S3455" i="5"/>
  <c r="R3455" i="5"/>
  <c r="Q3455" i="5"/>
  <c r="P3455" i="5"/>
  <c r="O3455" i="5"/>
  <c r="N3455" i="5"/>
  <c r="M3455" i="5"/>
  <c r="L3455" i="5"/>
  <c r="K3455" i="5"/>
  <c r="J3455" i="5"/>
  <c r="I3455" i="5"/>
  <c r="H3455" i="5"/>
  <c r="V3454" i="5"/>
  <c r="U3454" i="5"/>
  <c r="T3454" i="5"/>
  <c r="S3454" i="5"/>
  <c r="R3454" i="5"/>
  <c r="Q3454" i="5"/>
  <c r="P3454" i="5"/>
  <c r="V3453" i="5"/>
  <c r="U3453" i="5"/>
  <c r="T3453" i="5"/>
  <c r="S3453" i="5"/>
  <c r="R3453" i="5"/>
  <c r="Q3453" i="5"/>
  <c r="P3453" i="5"/>
  <c r="O3453" i="5"/>
  <c r="N3453" i="5"/>
  <c r="M3453" i="5"/>
  <c r="L3453" i="5"/>
  <c r="K3453" i="5"/>
  <c r="J3453" i="5"/>
  <c r="I3453" i="5"/>
  <c r="H3453" i="5"/>
  <c r="U3452" i="5"/>
  <c r="T3452" i="5"/>
  <c r="S3452" i="5"/>
  <c r="R3452" i="5"/>
  <c r="Q3452" i="5"/>
  <c r="P3452" i="5"/>
  <c r="O3452" i="5"/>
  <c r="N3452" i="5"/>
  <c r="M3452" i="5"/>
  <c r="L3452" i="5"/>
  <c r="K3452" i="5"/>
  <c r="J3452" i="5"/>
  <c r="I3452" i="5"/>
  <c r="H3452" i="5"/>
  <c r="V3451" i="5"/>
  <c r="U3451" i="5"/>
  <c r="T3451" i="5"/>
  <c r="S3451" i="5"/>
  <c r="R3451" i="5"/>
  <c r="Q3451" i="5"/>
  <c r="P3451" i="5"/>
  <c r="O3451" i="5"/>
  <c r="N3451" i="5"/>
  <c r="M3451" i="5"/>
  <c r="L3451" i="5"/>
  <c r="K3451" i="5"/>
  <c r="J3451" i="5"/>
  <c r="I3451" i="5"/>
  <c r="H3451" i="5"/>
  <c r="V3450" i="5"/>
  <c r="O3450" i="5"/>
  <c r="N3450" i="5"/>
  <c r="M3450" i="5"/>
  <c r="L3450" i="5"/>
  <c r="K3450" i="5"/>
  <c r="J3450" i="5"/>
  <c r="I3450" i="5"/>
  <c r="H3450" i="5"/>
  <c r="V3449" i="5"/>
  <c r="U3449" i="5"/>
  <c r="T3449" i="5"/>
  <c r="S3449" i="5"/>
  <c r="R3449" i="5"/>
  <c r="Q3449" i="5"/>
  <c r="P3449" i="5"/>
  <c r="O3449" i="5"/>
  <c r="N3449" i="5"/>
  <c r="M3449" i="5"/>
  <c r="L3449" i="5"/>
  <c r="K3449" i="5"/>
  <c r="J3449" i="5"/>
  <c r="I3449" i="5"/>
  <c r="H3449" i="5"/>
  <c r="V3448" i="5"/>
  <c r="U3448" i="5"/>
  <c r="T3448" i="5"/>
  <c r="S3448" i="5"/>
  <c r="R3448" i="5"/>
  <c r="Q3448" i="5"/>
  <c r="P3448" i="5"/>
  <c r="O3448" i="5"/>
  <c r="N3448" i="5"/>
  <c r="M3448" i="5"/>
  <c r="L3448" i="5"/>
  <c r="K3448" i="5"/>
  <c r="J3448" i="5"/>
  <c r="I3448" i="5"/>
  <c r="H3448" i="5"/>
  <c r="V3447" i="5"/>
  <c r="U3447" i="5"/>
  <c r="T3447" i="5"/>
  <c r="S3447" i="5"/>
  <c r="R3447" i="5"/>
  <c r="Q3447" i="5"/>
  <c r="P3447" i="5"/>
  <c r="O3447" i="5"/>
  <c r="N3447" i="5"/>
  <c r="M3447" i="5"/>
  <c r="L3447" i="5"/>
  <c r="K3447" i="5"/>
  <c r="J3447" i="5"/>
  <c r="I3447" i="5"/>
  <c r="H3447" i="5"/>
  <c r="V3446" i="5"/>
  <c r="U3446" i="5"/>
  <c r="T3446" i="5"/>
  <c r="S3446" i="5"/>
  <c r="R3446" i="5"/>
  <c r="Q3446" i="5"/>
  <c r="P3446" i="5"/>
  <c r="O3446" i="5"/>
  <c r="N3446" i="5"/>
  <c r="M3446" i="5"/>
  <c r="L3446" i="5"/>
  <c r="K3446" i="5"/>
  <c r="J3446" i="5"/>
  <c r="I3446" i="5"/>
  <c r="H3446" i="5"/>
  <c r="V3445" i="5"/>
  <c r="U3445" i="5"/>
  <c r="T3445" i="5"/>
  <c r="S3445" i="5"/>
  <c r="R3445" i="5"/>
  <c r="Q3445" i="5"/>
  <c r="P3445" i="5"/>
  <c r="O3445" i="5"/>
  <c r="N3445" i="5"/>
  <c r="M3445" i="5"/>
  <c r="L3445" i="5"/>
  <c r="K3445" i="5"/>
  <c r="J3445" i="5"/>
  <c r="I3445" i="5"/>
  <c r="H3445" i="5"/>
  <c r="V3444" i="5"/>
  <c r="U3444" i="5"/>
  <c r="T3444" i="5"/>
  <c r="S3444" i="5"/>
  <c r="R3444" i="5"/>
  <c r="Q3444" i="5"/>
  <c r="P3444" i="5"/>
  <c r="V3443" i="5"/>
  <c r="U3443" i="5"/>
  <c r="T3443" i="5"/>
  <c r="S3443" i="5"/>
  <c r="R3443" i="5"/>
  <c r="Q3443" i="5"/>
  <c r="P3443" i="5"/>
  <c r="O3443" i="5"/>
  <c r="N3443" i="5"/>
  <c r="M3443" i="5"/>
  <c r="L3443" i="5"/>
  <c r="K3443" i="5"/>
  <c r="J3443" i="5"/>
  <c r="I3443" i="5"/>
  <c r="H3443" i="5"/>
  <c r="U3442" i="5"/>
  <c r="T3442" i="5"/>
  <c r="S3442" i="5"/>
  <c r="R3442" i="5"/>
  <c r="Q3442" i="5"/>
  <c r="P3442" i="5"/>
  <c r="O3442" i="5"/>
  <c r="N3442" i="5"/>
  <c r="M3442" i="5"/>
  <c r="L3442" i="5"/>
  <c r="K3442" i="5"/>
  <c r="J3442" i="5"/>
  <c r="I3442" i="5"/>
  <c r="H3442" i="5"/>
  <c r="V3441" i="5"/>
  <c r="U3441" i="5"/>
  <c r="T3441" i="5"/>
  <c r="S3441" i="5"/>
  <c r="R3441" i="5"/>
  <c r="Q3441" i="5"/>
  <c r="P3441" i="5"/>
  <c r="O3441" i="5"/>
  <c r="N3441" i="5"/>
  <c r="M3441" i="5"/>
  <c r="L3441" i="5"/>
  <c r="K3441" i="5"/>
  <c r="J3441" i="5"/>
  <c r="I3441" i="5"/>
  <c r="H3441" i="5"/>
  <c r="V3440" i="5"/>
  <c r="O3440" i="5"/>
  <c r="N3440" i="5"/>
  <c r="M3440" i="5"/>
  <c r="L3440" i="5"/>
  <c r="K3440" i="5"/>
  <c r="J3440" i="5"/>
  <c r="I3440" i="5"/>
  <c r="H3440" i="5"/>
  <c r="V3439" i="5"/>
  <c r="U3439" i="5"/>
  <c r="T3439" i="5"/>
  <c r="S3439" i="5"/>
  <c r="R3439" i="5"/>
  <c r="Q3439" i="5"/>
  <c r="P3439" i="5"/>
  <c r="O3439" i="5"/>
  <c r="N3439" i="5"/>
  <c r="M3439" i="5"/>
  <c r="L3439" i="5"/>
  <c r="K3439" i="5"/>
  <c r="J3439" i="5"/>
  <c r="I3439" i="5"/>
  <c r="H3439" i="5"/>
  <c r="V3438" i="5"/>
  <c r="U3438" i="5"/>
  <c r="T3438" i="5"/>
  <c r="S3438" i="5"/>
  <c r="R3438" i="5"/>
  <c r="Q3438" i="5"/>
  <c r="P3438" i="5"/>
  <c r="O3438" i="5"/>
  <c r="N3438" i="5"/>
  <c r="M3438" i="5"/>
  <c r="L3438" i="5"/>
  <c r="K3438" i="5"/>
  <c r="J3438" i="5"/>
  <c r="I3438" i="5"/>
  <c r="H3438" i="5"/>
  <c r="V3437" i="5"/>
  <c r="U3437" i="5"/>
  <c r="T3437" i="5"/>
  <c r="S3437" i="5"/>
  <c r="R3437" i="5"/>
  <c r="Q3437" i="5"/>
  <c r="P3437" i="5"/>
  <c r="O3437" i="5"/>
  <c r="N3437" i="5"/>
  <c r="M3437" i="5"/>
  <c r="L3437" i="5"/>
  <c r="K3437" i="5"/>
  <c r="J3437" i="5"/>
  <c r="I3437" i="5"/>
  <c r="H3437" i="5"/>
  <c r="V3436" i="5"/>
  <c r="U3436" i="5"/>
  <c r="T3436" i="5"/>
  <c r="S3436" i="5"/>
  <c r="R3436" i="5"/>
  <c r="Q3436" i="5"/>
  <c r="P3436" i="5"/>
  <c r="O3436" i="5"/>
  <c r="N3436" i="5"/>
  <c r="M3436" i="5"/>
  <c r="L3436" i="5"/>
  <c r="K3436" i="5"/>
  <c r="J3436" i="5"/>
  <c r="I3436" i="5"/>
  <c r="H3436" i="5"/>
  <c r="V3435" i="5"/>
  <c r="U3435" i="5"/>
  <c r="T3435" i="5"/>
  <c r="S3435" i="5"/>
  <c r="R3435" i="5"/>
  <c r="Q3435" i="5"/>
  <c r="P3435" i="5"/>
  <c r="O3435" i="5"/>
  <c r="N3435" i="5"/>
  <c r="M3435" i="5"/>
  <c r="L3435" i="5"/>
  <c r="K3435" i="5"/>
  <c r="J3435" i="5"/>
  <c r="I3435" i="5"/>
  <c r="H3435" i="5"/>
  <c r="V3434" i="5"/>
  <c r="U3434" i="5"/>
  <c r="T3434" i="5"/>
  <c r="S3434" i="5"/>
  <c r="R3434" i="5"/>
  <c r="Q3434" i="5"/>
  <c r="P3434" i="5"/>
  <c r="V3433" i="5"/>
  <c r="U3433" i="5"/>
  <c r="T3433" i="5"/>
  <c r="S3433" i="5"/>
  <c r="R3433" i="5"/>
  <c r="Q3433" i="5"/>
  <c r="P3433" i="5"/>
  <c r="O3433" i="5"/>
  <c r="N3433" i="5"/>
  <c r="M3433" i="5"/>
  <c r="L3433" i="5"/>
  <c r="K3433" i="5"/>
  <c r="J3433" i="5"/>
  <c r="I3433" i="5"/>
  <c r="H3433" i="5"/>
  <c r="U3432" i="5"/>
  <c r="T3432" i="5"/>
  <c r="S3432" i="5"/>
  <c r="R3432" i="5"/>
  <c r="Q3432" i="5"/>
  <c r="P3432" i="5"/>
  <c r="O3432" i="5"/>
  <c r="N3432" i="5"/>
  <c r="M3432" i="5"/>
  <c r="L3432" i="5"/>
  <c r="K3432" i="5"/>
  <c r="J3432" i="5"/>
  <c r="I3432" i="5"/>
  <c r="H3432" i="5"/>
  <c r="V3431" i="5"/>
  <c r="U3431" i="5"/>
  <c r="T3431" i="5"/>
  <c r="S3431" i="5"/>
  <c r="R3431" i="5"/>
  <c r="Q3431" i="5"/>
  <c r="P3431" i="5"/>
  <c r="O3431" i="5"/>
  <c r="N3431" i="5"/>
  <c r="M3431" i="5"/>
  <c r="L3431" i="5"/>
  <c r="K3431" i="5"/>
  <c r="J3431" i="5"/>
  <c r="I3431" i="5"/>
  <c r="H3431" i="5"/>
  <c r="V3430" i="5"/>
  <c r="O3430" i="5"/>
  <c r="N3430" i="5"/>
  <c r="M3430" i="5"/>
  <c r="L3430" i="5"/>
  <c r="K3430" i="5"/>
  <c r="J3430" i="5"/>
  <c r="I3430" i="5"/>
  <c r="H3430" i="5"/>
  <c r="V3429" i="5"/>
  <c r="U3429" i="5"/>
  <c r="T3429" i="5"/>
  <c r="S3429" i="5"/>
  <c r="R3429" i="5"/>
  <c r="Q3429" i="5"/>
  <c r="P3429" i="5"/>
  <c r="O3429" i="5"/>
  <c r="N3429" i="5"/>
  <c r="M3429" i="5"/>
  <c r="L3429" i="5"/>
  <c r="K3429" i="5"/>
  <c r="J3429" i="5"/>
  <c r="I3429" i="5"/>
  <c r="H3429" i="5"/>
  <c r="V3428" i="5"/>
  <c r="U3428" i="5"/>
  <c r="T3428" i="5"/>
  <c r="S3428" i="5"/>
  <c r="R3428" i="5"/>
  <c r="Q3428" i="5"/>
  <c r="P3428" i="5"/>
  <c r="O3428" i="5"/>
  <c r="N3428" i="5"/>
  <c r="M3428" i="5"/>
  <c r="L3428" i="5"/>
  <c r="K3428" i="5"/>
  <c r="J3428" i="5"/>
  <c r="I3428" i="5"/>
  <c r="H3428" i="5"/>
  <c r="V3427" i="5"/>
  <c r="U3427" i="5"/>
  <c r="T3427" i="5"/>
  <c r="S3427" i="5"/>
  <c r="R3427" i="5"/>
  <c r="Q3427" i="5"/>
  <c r="P3427" i="5"/>
  <c r="O3427" i="5"/>
  <c r="N3427" i="5"/>
  <c r="M3427" i="5"/>
  <c r="L3427" i="5"/>
  <c r="K3427" i="5"/>
  <c r="J3427" i="5"/>
  <c r="I3427" i="5"/>
  <c r="H3427" i="5"/>
  <c r="V3426" i="5"/>
  <c r="U3426" i="5"/>
  <c r="T3426" i="5"/>
  <c r="S3426" i="5"/>
  <c r="R3426" i="5"/>
  <c r="Q3426" i="5"/>
  <c r="P3426" i="5"/>
  <c r="O3426" i="5"/>
  <c r="N3426" i="5"/>
  <c r="M3426" i="5"/>
  <c r="L3426" i="5"/>
  <c r="K3426" i="5"/>
  <c r="J3426" i="5"/>
  <c r="I3426" i="5"/>
  <c r="H3426" i="5"/>
  <c r="V3425" i="5"/>
  <c r="U3425" i="5"/>
  <c r="T3425" i="5"/>
  <c r="S3425" i="5"/>
  <c r="R3425" i="5"/>
  <c r="Q3425" i="5"/>
  <c r="P3425" i="5"/>
  <c r="O3425" i="5"/>
  <c r="N3425" i="5"/>
  <c r="M3425" i="5"/>
  <c r="L3425" i="5"/>
  <c r="K3425" i="5"/>
  <c r="J3425" i="5"/>
  <c r="I3425" i="5"/>
  <c r="H3425" i="5"/>
  <c r="V3424" i="5"/>
  <c r="U3424" i="5"/>
  <c r="T3424" i="5"/>
  <c r="S3424" i="5"/>
  <c r="R3424" i="5"/>
  <c r="Q3424" i="5"/>
  <c r="P3424" i="5"/>
  <c r="V3423" i="5"/>
  <c r="U3423" i="5"/>
  <c r="T3423" i="5"/>
  <c r="S3423" i="5"/>
  <c r="R3423" i="5"/>
  <c r="Q3423" i="5"/>
  <c r="P3423" i="5"/>
  <c r="O3423" i="5"/>
  <c r="N3423" i="5"/>
  <c r="M3423" i="5"/>
  <c r="L3423" i="5"/>
  <c r="K3423" i="5"/>
  <c r="J3423" i="5"/>
  <c r="I3423" i="5"/>
  <c r="H3423" i="5"/>
  <c r="U3422" i="5"/>
  <c r="T3422" i="5"/>
  <c r="S3422" i="5"/>
  <c r="R3422" i="5"/>
  <c r="Q3422" i="5"/>
  <c r="P3422" i="5"/>
  <c r="O3422" i="5"/>
  <c r="N3422" i="5"/>
  <c r="M3422" i="5"/>
  <c r="L3422" i="5"/>
  <c r="K3422" i="5"/>
  <c r="J3422" i="5"/>
  <c r="I3422" i="5"/>
  <c r="H3422" i="5"/>
  <c r="V3421" i="5"/>
  <c r="U3421" i="5"/>
  <c r="T3421" i="5"/>
  <c r="S3421" i="5"/>
  <c r="R3421" i="5"/>
  <c r="Q3421" i="5"/>
  <c r="P3421" i="5"/>
  <c r="O3421" i="5"/>
  <c r="N3421" i="5"/>
  <c r="M3421" i="5"/>
  <c r="L3421" i="5"/>
  <c r="K3421" i="5"/>
  <c r="J3421" i="5"/>
  <c r="I3421" i="5"/>
  <c r="H3421" i="5"/>
  <c r="V3420" i="5"/>
  <c r="O3420" i="5"/>
  <c r="N3420" i="5"/>
  <c r="M3420" i="5"/>
  <c r="L3420" i="5"/>
  <c r="K3420" i="5"/>
  <c r="J3420" i="5"/>
  <c r="I3420" i="5"/>
  <c r="H3420" i="5"/>
  <c r="V3419" i="5"/>
  <c r="U3419" i="5"/>
  <c r="T3419" i="5"/>
  <c r="S3419" i="5"/>
  <c r="R3419" i="5"/>
  <c r="Q3419" i="5"/>
  <c r="P3419" i="5"/>
  <c r="O3419" i="5"/>
  <c r="N3419" i="5"/>
  <c r="M3419" i="5"/>
  <c r="L3419" i="5"/>
  <c r="K3419" i="5"/>
  <c r="J3419" i="5"/>
  <c r="I3419" i="5"/>
  <c r="H3419" i="5"/>
  <c r="V3418" i="5"/>
  <c r="U3418" i="5"/>
  <c r="T3418" i="5"/>
  <c r="S3418" i="5"/>
  <c r="R3418" i="5"/>
  <c r="Q3418" i="5"/>
  <c r="P3418" i="5"/>
  <c r="O3418" i="5"/>
  <c r="N3418" i="5"/>
  <c r="M3418" i="5"/>
  <c r="L3418" i="5"/>
  <c r="K3418" i="5"/>
  <c r="J3418" i="5"/>
  <c r="I3418" i="5"/>
  <c r="H3418" i="5"/>
  <c r="V3417" i="5"/>
  <c r="U3417" i="5"/>
  <c r="T3417" i="5"/>
  <c r="S3417" i="5"/>
  <c r="R3417" i="5"/>
  <c r="Q3417" i="5"/>
  <c r="P3417" i="5"/>
  <c r="O3417" i="5"/>
  <c r="N3417" i="5"/>
  <c r="M3417" i="5"/>
  <c r="L3417" i="5"/>
  <c r="K3417" i="5"/>
  <c r="J3417" i="5"/>
  <c r="I3417" i="5"/>
  <c r="H3417" i="5"/>
  <c r="V3416" i="5"/>
  <c r="U3416" i="5"/>
  <c r="T3416" i="5"/>
  <c r="S3416" i="5"/>
  <c r="R3416" i="5"/>
  <c r="Q3416" i="5"/>
  <c r="P3416" i="5"/>
  <c r="O3416" i="5"/>
  <c r="N3416" i="5"/>
  <c r="M3416" i="5"/>
  <c r="L3416" i="5"/>
  <c r="K3416" i="5"/>
  <c r="J3416" i="5"/>
  <c r="I3416" i="5"/>
  <c r="H3416" i="5"/>
  <c r="V3415" i="5"/>
  <c r="U3415" i="5"/>
  <c r="T3415" i="5"/>
  <c r="S3415" i="5"/>
  <c r="R3415" i="5"/>
  <c r="Q3415" i="5"/>
  <c r="P3415" i="5"/>
  <c r="O3415" i="5"/>
  <c r="N3415" i="5"/>
  <c r="M3415" i="5"/>
  <c r="L3415" i="5"/>
  <c r="K3415" i="5"/>
  <c r="J3415" i="5"/>
  <c r="I3415" i="5"/>
  <c r="H3415" i="5"/>
  <c r="V3414" i="5"/>
  <c r="U3414" i="5"/>
  <c r="T3414" i="5"/>
  <c r="S3414" i="5"/>
  <c r="R3414" i="5"/>
  <c r="Q3414" i="5"/>
  <c r="P3414" i="5"/>
  <c r="V3413" i="5"/>
  <c r="U3413" i="5"/>
  <c r="T3413" i="5"/>
  <c r="S3413" i="5"/>
  <c r="R3413" i="5"/>
  <c r="Q3413" i="5"/>
  <c r="P3413" i="5"/>
  <c r="O3413" i="5"/>
  <c r="N3413" i="5"/>
  <c r="M3413" i="5"/>
  <c r="L3413" i="5"/>
  <c r="K3413" i="5"/>
  <c r="J3413" i="5"/>
  <c r="I3413" i="5"/>
  <c r="H3413" i="5"/>
  <c r="U3412" i="5"/>
  <c r="T3412" i="5"/>
  <c r="S3412" i="5"/>
  <c r="R3412" i="5"/>
  <c r="Q3412" i="5"/>
  <c r="P3412" i="5"/>
  <c r="O3412" i="5"/>
  <c r="N3412" i="5"/>
  <c r="M3412" i="5"/>
  <c r="L3412" i="5"/>
  <c r="K3412" i="5"/>
  <c r="J3412" i="5"/>
  <c r="I3412" i="5"/>
  <c r="H3412" i="5"/>
  <c r="V3411" i="5"/>
  <c r="U3411" i="5"/>
  <c r="T3411" i="5"/>
  <c r="S3411" i="5"/>
  <c r="R3411" i="5"/>
  <c r="Q3411" i="5"/>
  <c r="P3411" i="5"/>
  <c r="O3411" i="5"/>
  <c r="N3411" i="5"/>
  <c r="M3411" i="5"/>
  <c r="L3411" i="5"/>
  <c r="K3411" i="5"/>
  <c r="J3411" i="5"/>
  <c r="I3411" i="5"/>
  <c r="H3411" i="5"/>
  <c r="V3410" i="5"/>
  <c r="O3410" i="5"/>
  <c r="N3410" i="5"/>
  <c r="M3410" i="5"/>
  <c r="L3410" i="5"/>
  <c r="K3410" i="5"/>
  <c r="J3410" i="5"/>
  <c r="I3410" i="5"/>
  <c r="H3410" i="5"/>
  <c r="V3409" i="5"/>
  <c r="U3409" i="5"/>
  <c r="T3409" i="5"/>
  <c r="S3409" i="5"/>
  <c r="R3409" i="5"/>
  <c r="Q3409" i="5"/>
  <c r="P3409" i="5"/>
  <c r="O3409" i="5"/>
  <c r="N3409" i="5"/>
  <c r="M3409" i="5"/>
  <c r="L3409" i="5"/>
  <c r="K3409" i="5"/>
  <c r="J3409" i="5"/>
  <c r="I3409" i="5"/>
  <c r="H3409" i="5"/>
  <c r="V3408" i="5"/>
  <c r="U3408" i="5"/>
  <c r="T3408" i="5"/>
  <c r="S3408" i="5"/>
  <c r="R3408" i="5"/>
  <c r="Q3408" i="5"/>
  <c r="P3408" i="5"/>
  <c r="O3408" i="5"/>
  <c r="N3408" i="5"/>
  <c r="M3408" i="5"/>
  <c r="L3408" i="5"/>
  <c r="K3408" i="5"/>
  <c r="J3408" i="5"/>
  <c r="I3408" i="5"/>
  <c r="H3408" i="5"/>
  <c r="V3407" i="5"/>
  <c r="U3407" i="5"/>
  <c r="T3407" i="5"/>
  <c r="S3407" i="5"/>
  <c r="R3407" i="5"/>
  <c r="Q3407" i="5"/>
  <c r="P3407" i="5"/>
  <c r="O3407" i="5"/>
  <c r="N3407" i="5"/>
  <c r="M3407" i="5"/>
  <c r="L3407" i="5"/>
  <c r="K3407" i="5"/>
  <c r="J3407" i="5"/>
  <c r="I3407" i="5"/>
  <c r="H3407" i="5"/>
  <c r="V3406" i="5"/>
  <c r="U3406" i="5"/>
  <c r="T3406" i="5"/>
  <c r="S3406" i="5"/>
  <c r="R3406" i="5"/>
  <c r="Q3406" i="5"/>
  <c r="P3406" i="5"/>
  <c r="O3406" i="5"/>
  <c r="N3406" i="5"/>
  <c r="M3406" i="5"/>
  <c r="L3406" i="5"/>
  <c r="K3406" i="5"/>
  <c r="J3406" i="5"/>
  <c r="I3406" i="5"/>
  <c r="H3406" i="5"/>
  <c r="V3405" i="5"/>
  <c r="U3405" i="5"/>
  <c r="T3405" i="5"/>
  <c r="S3405" i="5"/>
  <c r="R3405" i="5"/>
  <c r="Q3405" i="5"/>
  <c r="P3405" i="5"/>
  <c r="O3405" i="5"/>
  <c r="N3405" i="5"/>
  <c r="M3405" i="5"/>
  <c r="L3405" i="5"/>
  <c r="K3405" i="5"/>
  <c r="J3405" i="5"/>
  <c r="I3405" i="5"/>
  <c r="H3405" i="5"/>
  <c r="V3404" i="5"/>
  <c r="U3404" i="5"/>
  <c r="T3404" i="5"/>
  <c r="S3404" i="5"/>
  <c r="R3404" i="5"/>
  <c r="Q3404" i="5"/>
  <c r="P3404" i="5"/>
  <c r="V3403" i="5"/>
  <c r="U3403" i="5"/>
  <c r="T3403" i="5"/>
  <c r="S3403" i="5"/>
  <c r="R3403" i="5"/>
  <c r="Q3403" i="5"/>
  <c r="P3403" i="5"/>
  <c r="O3403" i="5"/>
  <c r="N3403" i="5"/>
  <c r="M3403" i="5"/>
  <c r="L3403" i="5"/>
  <c r="K3403" i="5"/>
  <c r="J3403" i="5"/>
  <c r="I3403" i="5"/>
  <c r="H3403" i="5"/>
  <c r="U3402" i="5"/>
  <c r="T3402" i="5"/>
  <c r="S3402" i="5"/>
  <c r="R3402" i="5"/>
  <c r="Q3402" i="5"/>
  <c r="P3402" i="5"/>
  <c r="O3402" i="5"/>
  <c r="N3402" i="5"/>
  <c r="M3402" i="5"/>
  <c r="L3402" i="5"/>
  <c r="K3402" i="5"/>
  <c r="J3402" i="5"/>
  <c r="I3402" i="5"/>
  <c r="H3402" i="5"/>
  <c r="V3401" i="5"/>
  <c r="U3401" i="5"/>
  <c r="T3401" i="5"/>
  <c r="S3401" i="5"/>
  <c r="R3401" i="5"/>
  <c r="Q3401" i="5"/>
  <c r="P3401" i="5"/>
  <c r="O3401" i="5"/>
  <c r="N3401" i="5"/>
  <c r="M3401" i="5"/>
  <c r="L3401" i="5"/>
  <c r="K3401" i="5"/>
  <c r="J3401" i="5"/>
  <c r="I3401" i="5"/>
  <c r="H3401" i="5"/>
  <c r="V3400" i="5"/>
  <c r="O3400" i="5"/>
  <c r="N3400" i="5"/>
  <c r="M3400" i="5"/>
  <c r="L3400" i="5"/>
  <c r="K3400" i="5"/>
  <c r="J3400" i="5"/>
  <c r="I3400" i="5"/>
  <c r="H3400" i="5"/>
  <c r="V3399" i="5"/>
  <c r="U3399" i="5"/>
  <c r="T3399" i="5"/>
  <c r="S3399" i="5"/>
  <c r="R3399" i="5"/>
  <c r="Q3399" i="5"/>
  <c r="P3399" i="5"/>
  <c r="O3399" i="5"/>
  <c r="N3399" i="5"/>
  <c r="M3399" i="5"/>
  <c r="L3399" i="5"/>
  <c r="K3399" i="5"/>
  <c r="J3399" i="5"/>
  <c r="I3399" i="5"/>
  <c r="H3399" i="5"/>
  <c r="V3398" i="5"/>
  <c r="U3398" i="5"/>
  <c r="T3398" i="5"/>
  <c r="S3398" i="5"/>
  <c r="R3398" i="5"/>
  <c r="Q3398" i="5"/>
  <c r="P3398" i="5"/>
  <c r="O3398" i="5"/>
  <c r="N3398" i="5"/>
  <c r="M3398" i="5"/>
  <c r="L3398" i="5"/>
  <c r="K3398" i="5"/>
  <c r="J3398" i="5"/>
  <c r="I3398" i="5"/>
  <c r="H3398" i="5"/>
  <c r="V3397" i="5"/>
  <c r="U3397" i="5"/>
  <c r="T3397" i="5"/>
  <c r="S3397" i="5"/>
  <c r="R3397" i="5"/>
  <c r="Q3397" i="5"/>
  <c r="P3397" i="5"/>
  <c r="O3397" i="5"/>
  <c r="N3397" i="5"/>
  <c r="M3397" i="5"/>
  <c r="L3397" i="5"/>
  <c r="K3397" i="5"/>
  <c r="J3397" i="5"/>
  <c r="I3397" i="5"/>
  <c r="H3397" i="5"/>
  <c r="V3396" i="5"/>
  <c r="U3396" i="5"/>
  <c r="T3396" i="5"/>
  <c r="S3396" i="5"/>
  <c r="R3396" i="5"/>
  <c r="Q3396" i="5"/>
  <c r="P3396" i="5"/>
  <c r="O3396" i="5"/>
  <c r="N3396" i="5"/>
  <c r="M3396" i="5"/>
  <c r="L3396" i="5"/>
  <c r="K3396" i="5"/>
  <c r="J3396" i="5"/>
  <c r="I3396" i="5"/>
  <c r="H3396" i="5"/>
  <c r="V3395" i="5"/>
  <c r="U3395" i="5"/>
  <c r="T3395" i="5"/>
  <c r="S3395" i="5"/>
  <c r="R3395" i="5"/>
  <c r="Q3395" i="5"/>
  <c r="P3395" i="5"/>
  <c r="O3395" i="5"/>
  <c r="N3395" i="5"/>
  <c r="M3395" i="5"/>
  <c r="L3395" i="5"/>
  <c r="K3395" i="5"/>
  <c r="J3395" i="5"/>
  <c r="I3395" i="5"/>
  <c r="H3395" i="5"/>
  <c r="V3394" i="5"/>
  <c r="U3394" i="5"/>
  <c r="T3394" i="5"/>
  <c r="S3394" i="5"/>
  <c r="R3394" i="5"/>
  <c r="Q3394" i="5"/>
  <c r="P3394" i="5"/>
  <c r="V3393" i="5"/>
  <c r="U3393" i="5"/>
  <c r="T3393" i="5"/>
  <c r="S3393" i="5"/>
  <c r="R3393" i="5"/>
  <c r="Q3393" i="5"/>
  <c r="P3393" i="5"/>
  <c r="O3393" i="5"/>
  <c r="N3393" i="5"/>
  <c r="M3393" i="5"/>
  <c r="L3393" i="5"/>
  <c r="K3393" i="5"/>
  <c r="J3393" i="5"/>
  <c r="I3393" i="5"/>
  <c r="H3393" i="5"/>
  <c r="U3392" i="5"/>
  <c r="T3392" i="5"/>
  <c r="S3392" i="5"/>
  <c r="R3392" i="5"/>
  <c r="Q3392" i="5"/>
  <c r="P3392" i="5"/>
  <c r="O3392" i="5"/>
  <c r="N3392" i="5"/>
  <c r="M3392" i="5"/>
  <c r="L3392" i="5"/>
  <c r="K3392" i="5"/>
  <c r="J3392" i="5"/>
  <c r="I3392" i="5"/>
  <c r="H3392" i="5"/>
  <c r="V3391" i="5"/>
  <c r="U3391" i="5"/>
  <c r="T3391" i="5"/>
  <c r="S3391" i="5"/>
  <c r="R3391" i="5"/>
  <c r="Q3391" i="5"/>
  <c r="P3391" i="5"/>
  <c r="O3391" i="5"/>
  <c r="N3391" i="5"/>
  <c r="M3391" i="5"/>
  <c r="L3391" i="5"/>
  <c r="K3391" i="5"/>
  <c r="J3391" i="5"/>
  <c r="I3391" i="5"/>
  <c r="H3391" i="5"/>
  <c r="V3390" i="5"/>
  <c r="O3390" i="5"/>
  <c r="N3390" i="5"/>
  <c r="M3390" i="5"/>
  <c r="L3390" i="5"/>
  <c r="K3390" i="5"/>
  <c r="J3390" i="5"/>
  <c r="I3390" i="5"/>
  <c r="H3390" i="5"/>
  <c r="V3389" i="5"/>
  <c r="U3389" i="5"/>
  <c r="T3389" i="5"/>
  <c r="S3389" i="5"/>
  <c r="R3389" i="5"/>
  <c r="Q3389" i="5"/>
  <c r="P3389" i="5"/>
  <c r="O3389" i="5"/>
  <c r="N3389" i="5"/>
  <c r="M3389" i="5"/>
  <c r="L3389" i="5"/>
  <c r="K3389" i="5"/>
  <c r="J3389" i="5"/>
  <c r="I3389" i="5"/>
  <c r="H3389" i="5"/>
  <c r="V3388" i="5"/>
  <c r="U3388" i="5"/>
  <c r="T3388" i="5"/>
  <c r="S3388" i="5"/>
  <c r="R3388" i="5"/>
  <c r="Q3388" i="5"/>
  <c r="P3388" i="5"/>
  <c r="O3388" i="5"/>
  <c r="N3388" i="5"/>
  <c r="M3388" i="5"/>
  <c r="L3388" i="5"/>
  <c r="K3388" i="5"/>
  <c r="J3388" i="5"/>
  <c r="I3388" i="5"/>
  <c r="H3388" i="5"/>
  <c r="V3387" i="5"/>
  <c r="U3387" i="5"/>
  <c r="T3387" i="5"/>
  <c r="S3387" i="5"/>
  <c r="R3387" i="5"/>
  <c r="Q3387" i="5"/>
  <c r="P3387" i="5"/>
  <c r="V3386" i="5"/>
  <c r="U3386" i="5"/>
  <c r="T3386" i="5"/>
  <c r="S3386" i="5"/>
  <c r="R3386" i="5"/>
  <c r="Q3386" i="5"/>
  <c r="P3386" i="5"/>
  <c r="U3385" i="5"/>
  <c r="T3385" i="5"/>
  <c r="S3385" i="5"/>
  <c r="R3385" i="5"/>
  <c r="Q3385" i="5"/>
  <c r="P3385" i="5"/>
  <c r="U3384" i="5"/>
  <c r="T3384" i="5"/>
  <c r="S3384" i="5"/>
  <c r="R3384" i="5"/>
  <c r="Q3384" i="5"/>
  <c r="P3384" i="5"/>
  <c r="O3377" i="5"/>
  <c r="N3377" i="5"/>
  <c r="M3377" i="5"/>
  <c r="L3377" i="5"/>
  <c r="K3377" i="5"/>
  <c r="J3377" i="5"/>
  <c r="I3377" i="5"/>
  <c r="H3377" i="5"/>
  <c r="O3376" i="5"/>
  <c r="N3376" i="5"/>
  <c r="M3376" i="5"/>
  <c r="L3376" i="5"/>
  <c r="K3376" i="5"/>
  <c r="J3376" i="5"/>
  <c r="I3376" i="5"/>
  <c r="H3376" i="5"/>
  <c r="V3375" i="5"/>
  <c r="O3375" i="5"/>
  <c r="N3375" i="5"/>
  <c r="M3375" i="5"/>
  <c r="L3375" i="5"/>
  <c r="K3375" i="5"/>
  <c r="J3375" i="5"/>
  <c r="I3375" i="5"/>
  <c r="H3375" i="5"/>
  <c r="V3374" i="5"/>
  <c r="V3373" i="5"/>
  <c r="U3373" i="5"/>
  <c r="T3373" i="5"/>
  <c r="S3373" i="5"/>
  <c r="R3373" i="5"/>
  <c r="Q3373" i="5"/>
  <c r="P3373" i="5"/>
  <c r="O3373" i="5"/>
  <c r="N3373" i="5"/>
  <c r="M3373" i="5"/>
  <c r="L3373" i="5"/>
  <c r="K3373" i="5"/>
  <c r="J3373" i="5"/>
  <c r="I3373" i="5"/>
  <c r="H3373" i="5"/>
  <c r="U3372" i="5"/>
  <c r="T3372" i="5"/>
  <c r="S3372" i="5"/>
  <c r="R3372" i="5"/>
  <c r="Q3372" i="5"/>
  <c r="P3372" i="5"/>
  <c r="O3372" i="5"/>
  <c r="N3372" i="5"/>
  <c r="M3372" i="5"/>
  <c r="L3372" i="5"/>
  <c r="K3372" i="5"/>
  <c r="J3372" i="5"/>
  <c r="I3372" i="5"/>
  <c r="H3372" i="5"/>
  <c r="V3371" i="5"/>
  <c r="U3371" i="5"/>
  <c r="T3371" i="5"/>
  <c r="S3371" i="5"/>
  <c r="R3371" i="5"/>
  <c r="Q3371" i="5"/>
  <c r="P3371" i="5"/>
  <c r="O3371" i="5"/>
  <c r="N3371" i="5"/>
  <c r="M3371" i="5"/>
  <c r="L3371" i="5"/>
  <c r="K3371" i="5"/>
  <c r="J3371" i="5"/>
  <c r="I3371" i="5"/>
  <c r="H3371" i="5"/>
  <c r="V3370" i="5"/>
  <c r="O3370" i="5"/>
  <c r="N3370" i="5"/>
  <c r="M3370" i="5"/>
  <c r="L3370" i="5"/>
  <c r="K3370" i="5"/>
  <c r="J3370" i="5"/>
  <c r="I3370" i="5"/>
  <c r="H3370" i="5"/>
  <c r="V3369" i="5"/>
  <c r="U3369" i="5"/>
  <c r="T3369" i="5"/>
  <c r="S3369" i="5"/>
  <c r="R3369" i="5"/>
  <c r="Q3369" i="5"/>
  <c r="P3369" i="5"/>
  <c r="O3369" i="5"/>
  <c r="N3369" i="5"/>
  <c r="M3369" i="5"/>
  <c r="L3369" i="5"/>
  <c r="K3369" i="5"/>
  <c r="J3369" i="5"/>
  <c r="I3369" i="5"/>
  <c r="H3369" i="5"/>
  <c r="V3368" i="5"/>
  <c r="U3368" i="5"/>
  <c r="T3368" i="5"/>
  <c r="S3368" i="5"/>
  <c r="R3368" i="5"/>
  <c r="Q3368" i="5"/>
  <c r="P3368" i="5"/>
  <c r="O3368" i="5"/>
  <c r="N3368" i="5"/>
  <c r="M3368" i="5"/>
  <c r="L3368" i="5"/>
  <c r="K3368" i="5"/>
  <c r="J3368" i="5"/>
  <c r="I3368" i="5"/>
  <c r="H3368" i="5"/>
  <c r="V3367" i="5"/>
  <c r="U3367" i="5"/>
  <c r="T3367" i="5"/>
  <c r="S3367" i="5"/>
  <c r="R3367" i="5"/>
  <c r="Q3367" i="5"/>
  <c r="P3367" i="5"/>
  <c r="O3367" i="5"/>
  <c r="N3367" i="5"/>
  <c r="M3367" i="5"/>
  <c r="L3367" i="5"/>
  <c r="K3367" i="5"/>
  <c r="J3367" i="5"/>
  <c r="I3367" i="5"/>
  <c r="H3367" i="5"/>
  <c r="V3366" i="5"/>
  <c r="U3366" i="5"/>
  <c r="T3366" i="5"/>
  <c r="S3366" i="5"/>
  <c r="R3366" i="5"/>
  <c r="Q3366" i="5"/>
  <c r="P3366" i="5"/>
  <c r="O3366" i="5"/>
  <c r="N3366" i="5"/>
  <c r="M3366" i="5"/>
  <c r="L3366" i="5"/>
  <c r="K3366" i="5"/>
  <c r="J3366" i="5"/>
  <c r="I3366" i="5"/>
  <c r="H3366" i="5"/>
  <c r="V3365" i="5"/>
  <c r="U3365" i="5"/>
  <c r="T3365" i="5"/>
  <c r="S3365" i="5"/>
  <c r="R3365" i="5"/>
  <c r="Q3365" i="5"/>
  <c r="P3365" i="5"/>
  <c r="O3365" i="5"/>
  <c r="N3365" i="5"/>
  <c r="M3365" i="5"/>
  <c r="L3365" i="5"/>
  <c r="K3365" i="5"/>
  <c r="J3365" i="5"/>
  <c r="I3365" i="5"/>
  <c r="H3365" i="5"/>
  <c r="V3364" i="5"/>
  <c r="U3364" i="5"/>
  <c r="T3364" i="5"/>
  <c r="S3364" i="5"/>
  <c r="R3364" i="5"/>
  <c r="Q3364" i="5"/>
  <c r="P3364" i="5"/>
  <c r="V3363" i="5"/>
  <c r="U3363" i="5"/>
  <c r="T3363" i="5"/>
  <c r="S3363" i="5"/>
  <c r="R3363" i="5"/>
  <c r="Q3363" i="5"/>
  <c r="P3363" i="5"/>
  <c r="O3363" i="5"/>
  <c r="N3363" i="5"/>
  <c r="M3363" i="5"/>
  <c r="L3363" i="5"/>
  <c r="K3363" i="5"/>
  <c r="J3363" i="5"/>
  <c r="I3363" i="5"/>
  <c r="H3363" i="5"/>
  <c r="U3362" i="5"/>
  <c r="T3362" i="5"/>
  <c r="S3362" i="5"/>
  <c r="R3362" i="5"/>
  <c r="Q3362" i="5"/>
  <c r="P3362" i="5"/>
  <c r="O3362" i="5"/>
  <c r="N3362" i="5"/>
  <c r="M3362" i="5"/>
  <c r="L3362" i="5"/>
  <c r="K3362" i="5"/>
  <c r="J3362" i="5"/>
  <c r="I3362" i="5"/>
  <c r="H3362" i="5"/>
  <c r="V3361" i="5"/>
  <c r="U3361" i="5"/>
  <c r="T3361" i="5"/>
  <c r="S3361" i="5"/>
  <c r="R3361" i="5"/>
  <c r="Q3361" i="5"/>
  <c r="P3361" i="5"/>
  <c r="O3361" i="5"/>
  <c r="N3361" i="5"/>
  <c r="M3361" i="5"/>
  <c r="L3361" i="5"/>
  <c r="K3361" i="5"/>
  <c r="J3361" i="5"/>
  <c r="I3361" i="5"/>
  <c r="H3361" i="5"/>
  <c r="V3360" i="5"/>
  <c r="O3360" i="5"/>
  <c r="N3360" i="5"/>
  <c r="M3360" i="5"/>
  <c r="L3360" i="5"/>
  <c r="K3360" i="5"/>
  <c r="J3360" i="5"/>
  <c r="I3360" i="5"/>
  <c r="H3360" i="5"/>
  <c r="V3359" i="5"/>
  <c r="U3359" i="5"/>
  <c r="T3359" i="5"/>
  <c r="S3359" i="5"/>
  <c r="R3359" i="5"/>
  <c r="Q3359" i="5"/>
  <c r="P3359" i="5"/>
  <c r="O3359" i="5"/>
  <c r="N3359" i="5"/>
  <c r="M3359" i="5"/>
  <c r="L3359" i="5"/>
  <c r="K3359" i="5"/>
  <c r="J3359" i="5"/>
  <c r="I3359" i="5"/>
  <c r="H3359" i="5"/>
  <c r="V3358" i="5"/>
  <c r="U3358" i="5"/>
  <c r="T3358" i="5"/>
  <c r="S3358" i="5"/>
  <c r="R3358" i="5"/>
  <c r="Q3358" i="5"/>
  <c r="P3358" i="5"/>
  <c r="O3358" i="5"/>
  <c r="N3358" i="5"/>
  <c r="M3358" i="5"/>
  <c r="L3358" i="5"/>
  <c r="K3358" i="5"/>
  <c r="J3358" i="5"/>
  <c r="I3358" i="5"/>
  <c r="H3358" i="5"/>
  <c r="V3357" i="5"/>
  <c r="U3357" i="5"/>
  <c r="T3357" i="5"/>
  <c r="S3357" i="5"/>
  <c r="R3357" i="5"/>
  <c r="Q3357" i="5"/>
  <c r="P3357" i="5"/>
  <c r="O3357" i="5"/>
  <c r="N3357" i="5"/>
  <c r="M3357" i="5"/>
  <c r="L3357" i="5"/>
  <c r="K3357" i="5"/>
  <c r="J3357" i="5"/>
  <c r="I3357" i="5"/>
  <c r="H3357" i="5"/>
  <c r="V3356" i="5"/>
  <c r="U3356" i="5"/>
  <c r="T3356" i="5"/>
  <c r="S3356" i="5"/>
  <c r="R3356" i="5"/>
  <c r="Q3356" i="5"/>
  <c r="P3356" i="5"/>
  <c r="O3356" i="5"/>
  <c r="N3356" i="5"/>
  <c r="M3356" i="5"/>
  <c r="L3356" i="5"/>
  <c r="K3356" i="5"/>
  <c r="J3356" i="5"/>
  <c r="I3356" i="5"/>
  <c r="H3356" i="5"/>
  <c r="V3355" i="5"/>
  <c r="U3355" i="5"/>
  <c r="T3355" i="5"/>
  <c r="S3355" i="5"/>
  <c r="R3355" i="5"/>
  <c r="Q3355" i="5"/>
  <c r="P3355" i="5"/>
  <c r="O3355" i="5"/>
  <c r="N3355" i="5"/>
  <c r="M3355" i="5"/>
  <c r="L3355" i="5"/>
  <c r="K3355" i="5"/>
  <c r="J3355" i="5"/>
  <c r="I3355" i="5"/>
  <c r="H3355" i="5"/>
  <c r="V3354" i="5"/>
  <c r="U3354" i="5"/>
  <c r="T3354" i="5"/>
  <c r="S3354" i="5"/>
  <c r="R3354" i="5"/>
  <c r="Q3354" i="5"/>
  <c r="P3354" i="5"/>
  <c r="V3353" i="5"/>
  <c r="U3353" i="5"/>
  <c r="T3353" i="5"/>
  <c r="S3353" i="5"/>
  <c r="R3353" i="5"/>
  <c r="Q3353" i="5"/>
  <c r="P3353" i="5"/>
  <c r="O3353" i="5"/>
  <c r="N3353" i="5"/>
  <c r="M3353" i="5"/>
  <c r="L3353" i="5"/>
  <c r="K3353" i="5"/>
  <c r="J3353" i="5"/>
  <c r="I3353" i="5"/>
  <c r="H3353" i="5"/>
  <c r="U3352" i="5"/>
  <c r="T3352" i="5"/>
  <c r="S3352" i="5"/>
  <c r="R3352" i="5"/>
  <c r="Q3352" i="5"/>
  <c r="P3352" i="5"/>
  <c r="O3352" i="5"/>
  <c r="N3352" i="5"/>
  <c r="M3352" i="5"/>
  <c r="L3352" i="5"/>
  <c r="K3352" i="5"/>
  <c r="J3352" i="5"/>
  <c r="I3352" i="5"/>
  <c r="H3352" i="5"/>
  <c r="V3351" i="5"/>
  <c r="U3351" i="5"/>
  <c r="T3351" i="5"/>
  <c r="S3351" i="5"/>
  <c r="R3351" i="5"/>
  <c r="Q3351" i="5"/>
  <c r="P3351" i="5"/>
  <c r="O3351" i="5"/>
  <c r="N3351" i="5"/>
  <c r="M3351" i="5"/>
  <c r="L3351" i="5"/>
  <c r="K3351" i="5"/>
  <c r="J3351" i="5"/>
  <c r="I3351" i="5"/>
  <c r="H3351" i="5"/>
  <c r="V3350" i="5"/>
  <c r="O3350" i="5"/>
  <c r="N3350" i="5"/>
  <c r="M3350" i="5"/>
  <c r="L3350" i="5"/>
  <c r="K3350" i="5"/>
  <c r="J3350" i="5"/>
  <c r="I3350" i="5"/>
  <c r="H3350" i="5"/>
  <c r="V3349" i="5"/>
  <c r="U3349" i="5"/>
  <c r="T3349" i="5"/>
  <c r="S3349" i="5"/>
  <c r="R3349" i="5"/>
  <c r="Q3349" i="5"/>
  <c r="P3349" i="5"/>
  <c r="O3349" i="5"/>
  <c r="N3349" i="5"/>
  <c r="M3349" i="5"/>
  <c r="L3349" i="5"/>
  <c r="K3349" i="5"/>
  <c r="J3349" i="5"/>
  <c r="I3349" i="5"/>
  <c r="H3349" i="5"/>
  <c r="V3348" i="5"/>
  <c r="U3348" i="5"/>
  <c r="T3348" i="5"/>
  <c r="S3348" i="5"/>
  <c r="R3348" i="5"/>
  <c r="Q3348" i="5"/>
  <c r="P3348" i="5"/>
  <c r="O3348" i="5"/>
  <c r="N3348" i="5"/>
  <c r="M3348" i="5"/>
  <c r="L3348" i="5"/>
  <c r="K3348" i="5"/>
  <c r="J3348" i="5"/>
  <c r="I3348" i="5"/>
  <c r="H3348" i="5"/>
  <c r="V3347" i="5"/>
  <c r="U3347" i="5"/>
  <c r="T3347" i="5"/>
  <c r="S3347" i="5"/>
  <c r="R3347" i="5"/>
  <c r="Q3347" i="5"/>
  <c r="P3347" i="5"/>
  <c r="O3347" i="5"/>
  <c r="N3347" i="5"/>
  <c r="M3347" i="5"/>
  <c r="L3347" i="5"/>
  <c r="K3347" i="5"/>
  <c r="J3347" i="5"/>
  <c r="I3347" i="5"/>
  <c r="H3347" i="5"/>
  <c r="V3346" i="5"/>
  <c r="U3346" i="5"/>
  <c r="T3346" i="5"/>
  <c r="S3346" i="5"/>
  <c r="R3346" i="5"/>
  <c r="Q3346" i="5"/>
  <c r="P3346" i="5"/>
  <c r="O3346" i="5"/>
  <c r="N3346" i="5"/>
  <c r="M3346" i="5"/>
  <c r="L3346" i="5"/>
  <c r="K3346" i="5"/>
  <c r="J3346" i="5"/>
  <c r="I3346" i="5"/>
  <c r="H3346" i="5"/>
  <c r="V3345" i="5"/>
  <c r="U3345" i="5"/>
  <c r="T3345" i="5"/>
  <c r="S3345" i="5"/>
  <c r="R3345" i="5"/>
  <c r="Q3345" i="5"/>
  <c r="P3345" i="5"/>
  <c r="O3345" i="5"/>
  <c r="N3345" i="5"/>
  <c r="M3345" i="5"/>
  <c r="L3345" i="5"/>
  <c r="K3345" i="5"/>
  <c r="J3345" i="5"/>
  <c r="I3345" i="5"/>
  <c r="H3345" i="5"/>
  <c r="V3344" i="5"/>
  <c r="U3344" i="5"/>
  <c r="T3344" i="5"/>
  <c r="S3344" i="5"/>
  <c r="R3344" i="5"/>
  <c r="Q3344" i="5"/>
  <c r="P3344" i="5"/>
  <c r="V3343" i="5"/>
  <c r="U3343" i="5"/>
  <c r="T3343" i="5"/>
  <c r="S3343" i="5"/>
  <c r="R3343" i="5"/>
  <c r="Q3343" i="5"/>
  <c r="P3343" i="5"/>
  <c r="O3343" i="5"/>
  <c r="N3343" i="5"/>
  <c r="M3343" i="5"/>
  <c r="L3343" i="5"/>
  <c r="K3343" i="5"/>
  <c r="J3343" i="5"/>
  <c r="I3343" i="5"/>
  <c r="H3343" i="5"/>
  <c r="U3342" i="5"/>
  <c r="T3342" i="5"/>
  <c r="S3342" i="5"/>
  <c r="R3342" i="5"/>
  <c r="Q3342" i="5"/>
  <c r="P3342" i="5"/>
  <c r="O3342" i="5"/>
  <c r="N3342" i="5"/>
  <c r="M3342" i="5"/>
  <c r="L3342" i="5"/>
  <c r="K3342" i="5"/>
  <c r="J3342" i="5"/>
  <c r="I3342" i="5"/>
  <c r="H3342" i="5"/>
  <c r="V3341" i="5"/>
  <c r="U3341" i="5"/>
  <c r="T3341" i="5"/>
  <c r="S3341" i="5"/>
  <c r="R3341" i="5"/>
  <c r="Q3341" i="5"/>
  <c r="P3341" i="5"/>
  <c r="O3341" i="5"/>
  <c r="N3341" i="5"/>
  <c r="M3341" i="5"/>
  <c r="L3341" i="5"/>
  <c r="K3341" i="5"/>
  <c r="J3341" i="5"/>
  <c r="I3341" i="5"/>
  <c r="H3341" i="5"/>
  <c r="V3340" i="5"/>
  <c r="O3340" i="5"/>
  <c r="N3340" i="5"/>
  <c r="M3340" i="5"/>
  <c r="L3340" i="5"/>
  <c r="K3340" i="5"/>
  <c r="J3340" i="5"/>
  <c r="I3340" i="5"/>
  <c r="H3340" i="5"/>
  <c r="V3339" i="5"/>
  <c r="U3339" i="5"/>
  <c r="T3339" i="5"/>
  <c r="S3339" i="5"/>
  <c r="R3339" i="5"/>
  <c r="Q3339" i="5"/>
  <c r="P3339" i="5"/>
  <c r="O3339" i="5"/>
  <c r="N3339" i="5"/>
  <c r="M3339" i="5"/>
  <c r="L3339" i="5"/>
  <c r="K3339" i="5"/>
  <c r="J3339" i="5"/>
  <c r="I3339" i="5"/>
  <c r="H3339" i="5"/>
  <c r="V3338" i="5"/>
  <c r="U3338" i="5"/>
  <c r="T3338" i="5"/>
  <c r="S3338" i="5"/>
  <c r="R3338" i="5"/>
  <c r="Q3338" i="5"/>
  <c r="P3338" i="5"/>
  <c r="O3338" i="5"/>
  <c r="N3338" i="5"/>
  <c r="M3338" i="5"/>
  <c r="L3338" i="5"/>
  <c r="K3338" i="5"/>
  <c r="J3338" i="5"/>
  <c r="I3338" i="5"/>
  <c r="H3338" i="5"/>
  <c r="V3337" i="5"/>
  <c r="U3337" i="5"/>
  <c r="T3337" i="5"/>
  <c r="S3337" i="5"/>
  <c r="R3337" i="5"/>
  <c r="Q3337" i="5"/>
  <c r="P3337" i="5"/>
  <c r="O3337" i="5"/>
  <c r="N3337" i="5"/>
  <c r="M3337" i="5"/>
  <c r="L3337" i="5"/>
  <c r="K3337" i="5"/>
  <c r="J3337" i="5"/>
  <c r="I3337" i="5"/>
  <c r="H3337" i="5"/>
  <c r="V3336" i="5"/>
  <c r="U3336" i="5"/>
  <c r="T3336" i="5"/>
  <c r="S3336" i="5"/>
  <c r="R3336" i="5"/>
  <c r="Q3336" i="5"/>
  <c r="P3336" i="5"/>
  <c r="O3336" i="5"/>
  <c r="N3336" i="5"/>
  <c r="M3336" i="5"/>
  <c r="L3336" i="5"/>
  <c r="K3336" i="5"/>
  <c r="J3336" i="5"/>
  <c r="I3336" i="5"/>
  <c r="H3336" i="5"/>
  <c r="V3335" i="5"/>
  <c r="U3335" i="5"/>
  <c r="T3335" i="5"/>
  <c r="S3335" i="5"/>
  <c r="R3335" i="5"/>
  <c r="Q3335" i="5"/>
  <c r="P3335" i="5"/>
  <c r="O3335" i="5"/>
  <c r="N3335" i="5"/>
  <c r="M3335" i="5"/>
  <c r="L3335" i="5"/>
  <c r="K3335" i="5"/>
  <c r="J3335" i="5"/>
  <c r="I3335" i="5"/>
  <c r="H3335" i="5"/>
  <c r="V3334" i="5"/>
  <c r="U3334" i="5"/>
  <c r="T3334" i="5"/>
  <c r="S3334" i="5"/>
  <c r="R3334" i="5"/>
  <c r="Q3334" i="5"/>
  <c r="P3334" i="5"/>
  <c r="V3333" i="5"/>
  <c r="U3333" i="5"/>
  <c r="T3333" i="5"/>
  <c r="S3333" i="5"/>
  <c r="R3333" i="5"/>
  <c r="Q3333" i="5"/>
  <c r="P3333" i="5"/>
  <c r="O3333" i="5"/>
  <c r="N3333" i="5"/>
  <c r="M3333" i="5"/>
  <c r="L3333" i="5"/>
  <c r="K3333" i="5"/>
  <c r="J3333" i="5"/>
  <c r="I3333" i="5"/>
  <c r="H3333" i="5"/>
  <c r="U3332" i="5"/>
  <c r="T3332" i="5"/>
  <c r="S3332" i="5"/>
  <c r="R3332" i="5"/>
  <c r="Q3332" i="5"/>
  <c r="P3332" i="5"/>
  <c r="O3332" i="5"/>
  <c r="N3332" i="5"/>
  <c r="M3332" i="5"/>
  <c r="L3332" i="5"/>
  <c r="K3332" i="5"/>
  <c r="J3332" i="5"/>
  <c r="I3332" i="5"/>
  <c r="H3332" i="5"/>
  <c r="V3331" i="5"/>
  <c r="U3331" i="5"/>
  <c r="T3331" i="5"/>
  <c r="S3331" i="5"/>
  <c r="R3331" i="5"/>
  <c r="Q3331" i="5"/>
  <c r="P3331" i="5"/>
  <c r="O3331" i="5"/>
  <c r="N3331" i="5"/>
  <c r="M3331" i="5"/>
  <c r="L3331" i="5"/>
  <c r="K3331" i="5"/>
  <c r="J3331" i="5"/>
  <c r="I3331" i="5"/>
  <c r="H3331" i="5"/>
  <c r="V3330" i="5"/>
  <c r="O3330" i="5"/>
  <c r="N3330" i="5"/>
  <c r="M3330" i="5"/>
  <c r="L3330" i="5"/>
  <c r="K3330" i="5"/>
  <c r="J3330" i="5"/>
  <c r="I3330" i="5"/>
  <c r="H3330" i="5"/>
  <c r="V3329" i="5"/>
  <c r="U3329" i="5"/>
  <c r="T3329" i="5"/>
  <c r="S3329" i="5"/>
  <c r="R3329" i="5"/>
  <c r="Q3329" i="5"/>
  <c r="P3329" i="5"/>
  <c r="O3329" i="5"/>
  <c r="N3329" i="5"/>
  <c r="M3329" i="5"/>
  <c r="L3329" i="5"/>
  <c r="K3329" i="5"/>
  <c r="J3329" i="5"/>
  <c r="I3329" i="5"/>
  <c r="H3329" i="5"/>
  <c r="V3328" i="5"/>
  <c r="U3328" i="5"/>
  <c r="T3328" i="5"/>
  <c r="S3328" i="5"/>
  <c r="R3328" i="5"/>
  <c r="Q3328" i="5"/>
  <c r="P3328" i="5"/>
  <c r="O3328" i="5"/>
  <c r="N3328" i="5"/>
  <c r="M3328" i="5"/>
  <c r="L3328" i="5"/>
  <c r="K3328" i="5"/>
  <c r="J3328" i="5"/>
  <c r="I3328" i="5"/>
  <c r="H3328" i="5"/>
  <c r="V3327" i="5"/>
  <c r="U3327" i="5"/>
  <c r="T3327" i="5"/>
  <c r="S3327" i="5"/>
  <c r="R3327" i="5"/>
  <c r="Q3327" i="5"/>
  <c r="P3327" i="5"/>
  <c r="O3327" i="5"/>
  <c r="N3327" i="5"/>
  <c r="M3327" i="5"/>
  <c r="L3327" i="5"/>
  <c r="K3327" i="5"/>
  <c r="J3327" i="5"/>
  <c r="I3327" i="5"/>
  <c r="H3327" i="5"/>
  <c r="V3326" i="5"/>
  <c r="U3326" i="5"/>
  <c r="T3326" i="5"/>
  <c r="S3326" i="5"/>
  <c r="R3326" i="5"/>
  <c r="Q3326" i="5"/>
  <c r="P3326" i="5"/>
  <c r="O3326" i="5"/>
  <c r="N3326" i="5"/>
  <c r="M3326" i="5"/>
  <c r="L3326" i="5"/>
  <c r="K3326" i="5"/>
  <c r="J3326" i="5"/>
  <c r="I3326" i="5"/>
  <c r="H3326" i="5"/>
  <c r="V3325" i="5"/>
  <c r="U3325" i="5"/>
  <c r="T3325" i="5"/>
  <c r="S3325" i="5"/>
  <c r="R3325" i="5"/>
  <c r="Q3325" i="5"/>
  <c r="P3325" i="5"/>
  <c r="O3325" i="5"/>
  <c r="N3325" i="5"/>
  <c r="M3325" i="5"/>
  <c r="L3325" i="5"/>
  <c r="K3325" i="5"/>
  <c r="J3325" i="5"/>
  <c r="I3325" i="5"/>
  <c r="H3325" i="5"/>
  <c r="V3324" i="5"/>
  <c r="U3324" i="5"/>
  <c r="T3324" i="5"/>
  <c r="S3324" i="5"/>
  <c r="R3324" i="5"/>
  <c r="Q3324" i="5"/>
  <c r="P3324" i="5"/>
  <c r="V3323" i="5"/>
  <c r="U3323" i="5"/>
  <c r="T3323" i="5"/>
  <c r="S3323" i="5"/>
  <c r="R3323" i="5"/>
  <c r="Q3323" i="5"/>
  <c r="P3323" i="5"/>
  <c r="O3323" i="5"/>
  <c r="N3323" i="5"/>
  <c r="M3323" i="5"/>
  <c r="L3323" i="5"/>
  <c r="K3323" i="5"/>
  <c r="J3323" i="5"/>
  <c r="I3323" i="5"/>
  <c r="H3323" i="5"/>
  <c r="U3322" i="5"/>
  <c r="T3322" i="5"/>
  <c r="S3322" i="5"/>
  <c r="R3322" i="5"/>
  <c r="Q3322" i="5"/>
  <c r="P3322" i="5"/>
  <c r="O3322" i="5"/>
  <c r="N3322" i="5"/>
  <c r="M3322" i="5"/>
  <c r="L3322" i="5"/>
  <c r="K3322" i="5"/>
  <c r="J3322" i="5"/>
  <c r="I3322" i="5"/>
  <c r="H3322" i="5"/>
  <c r="V3321" i="5"/>
  <c r="U3321" i="5"/>
  <c r="T3321" i="5"/>
  <c r="S3321" i="5"/>
  <c r="R3321" i="5"/>
  <c r="Q3321" i="5"/>
  <c r="P3321" i="5"/>
  <c r="O3321" i="5"/>
  <c r="N3321" i="5"/>
  <c r="M3321" i="5"/>
  <c r="L3321" i="5"/>
  <c r="K3321" i="5"/>
  <c r="J3321" i="5"/>
  <c r="I3321" i="5"/>
  <c r="H3321" i="5"/>
  <c r="V3320" i="5"/>
  <c r="O3320" i="5"/>
  <c r="N3320" i="5"/>
  <c r="M3320" i="5"/>
  <c r="L3320" i="5"/>
  <c r="K3320" i="5"/>
  <c r="J3320" i="5"/>
  <c r="I3320" i="5"/>
  <c r="H3320" i="5"/>
  <c r="V3319" i="5"/>
  <c r="U3319" i="5"/>
  <c r="T3319" i="5"/>
  <c r="S3319" i="5"/>
  <c r="R3319" i="5"/>
  <c r="Q3319" i="5"/>
  <c r="P3319" i="5"/>
  <c r="O3319" i="5"/>
  <c r="N3319" i="5"/>
  <c r="M3319" i="5"/>
  <c r="L3319" i="5"/>
  <c r="K3319" i="5"/>
  <c r="J3319" i="5"/>
  <c r="I3319" i="5"/>
  <c r="H3319" i="5"/>
  <c r="V3318" i="5"/>
  <c r="U3318" i="5"/>
  <c r="T3318" i="5"/>
  <c r="S3318" i="5"/>
  <c r="R3318" i="5"/>
  <c r="Q3318" i="5"/>
  <c r="P3318" i="5"/>
  <c r="O3318" i="5"/>
  <c r="N3318" i="5"/>
  <c r="M3318" i="5"/>
  <c r="L3318" i="5"/>
  <c r="K3318" i="5"/>
  <c r="J3318" i="5"/>
  <c r="I3318" i="5"/>
  <c r="H3318" i="5"/>
  <c r="V3317" i="5"/>
  <c r="U3317" i="5"/>
  <c r="T3317" i="5"/>
  <c r="S3317" i="5"/>
  <c r="R3317" i="5"/>
  <c r="Q3317" i="5"/>
  <c r="P3317" i="5"/>
  <c r="O3317" i="5"/>
  <c r="N3317" i="5"/>
  <c r="M3317" i="5"/>
  <c r="L3317" i="5"/>
  <c r="K3317" i="5"/>
  <c r="J3317" i="5"/>
  <c r="I3317" i="5"/>
  <c r="H3317" i="5"/>
  <c r="V3316" i="5"/>
  <c r="U3316" i="5"/>
  <c r="T3316" i="5"/>
  <c r="S3316" i="5"/>
  <c r="R3316" i="5"/>
  <c r="Q3316" i="5"/>
  <c r="P3316" i="5"/>
  <c r="O3316" i="5"/>
  <c r="N3316" i="5"/>
  <c r="M3316" i="5"/>
  <c r="L3316" i="5"/>
  <c r="K3316" i="5"/>
  <c r="J3316" i="5"/>
  <c r="I3316" i="5"/>
  <c r="H3316" i="5"/>
  <c r="V3315" i="5"/>
  <c r="U3315" i="5"/>
  <c r="T3315" i="5"/>
  <c r="S3315" i="5"/>
  <c r="R3315" i="5"/>
  <c r="Q3315" i="5"/>
  <c r="P3315" i="5"/>
  <c r="O3315" i="5"/>
  <c r="N3315" i="5"/>
  <c r="M3315" i="5"/>
  <c r="L3315" i="5"/>
  <c r="K3315" i="5"/>
  <c r="J3315" i="5"/>
  <c r="I3315" i="5"/>
  <c r="H3315" i="5"/>
  <c r="V3314" i="5"/>
  <c r="U3314" i="5"/>
  <c r="T3314" i="5"/>
  <c r="S3314" i="5"/>
  <c r="R3314" i="5"/>
  <c r="Q3314" i="5"/>
  <c r="P3314" i="5"/>
  <c r="V3313" i="5"/>
  <c r="U3313" i="5"/>
  <c r="T3313" i="5"/>
  <c r="S3313" i="5"/>
  <c r="R3313" i="5"/>
  <c r="Q3313" i="5"/>
  <c r="P3313" i="5"/>
  <c r="O3313" i="5"/>
  <c r="N3313" i="5"/>
  <c r="M3313" i="5"/>
  <c r="L3313" i="5"/>
  <c r="K3313" i="5"/>
  <c r="J3313" i="5"/>
  <c r="I3313" i="5"/>
  <c r="H3313" i="5"/>
  <c r="U3312" i="5"/>
  <c r="T3312" i="5"/>
  <c r="S3312" i="5"/>
  <c r="R3312" i="5"/>
  <c r="Q3312" i="5"/>
  <c r="P3312" i="5"/>
  <c r="O3312" i="5"/>
  <c r="N3312" i="5"/>
  <c r="M3312" i="5"/>
  <c r="L3312" i="5"/>
  <c r="K3312" i="5"/>
  <c r="J3312" i="5"/>
  <c r="I3312" i="5"/>
  <c r="H3312" i="5"/>
  <c r="V3311" i="5"/>
  <c r="U3311" i="5"/>
  <c r="T3311" i="5"/>
  <c r="S3311" i="5"/>
  <c r="R3311" i="5"/>
  <c r="Q3311" i="5"/>
  <c r="P3311" i="5"/>
  <c r="O3311" i="5"/>
  <c r="N3311" i="5"/>
  <c r="M3311" i="5"/>
  <c r="L3311" i="5"/>
  <c r="K3311" i="5"/>
  <c r="J3311" i="5"/>
  <c r="I3311" i="5"/>
  <c r="H3311" i="5"/>
  <c r="V3310" i="5"/>
  <c r="O3310" i="5"/>
  <c r="N3310" i="5"/>
  <c r="M3310" i="5"/>
  <c r="L3310" i="5"/>
  <c r="K3310" i="5"/>
  <c r="J3310" i="5"/>
  <c r="I3310" i="5"/>
  <c r="H3310" i="5"/>
  <c r="V3309" i="5"/>
  <c r="U3309" i="5"/>
  <c r="T3309" i="5"/>
  <c r="S3309" i="5"/>
  <c r="R3309" i="5"/>
  <c r="Q3309" i="5"/>
  <c r="P3309" i="5"/>
  <c r="O3309" i="5"/>
  <c r="N3309" i="5"/>
  <c r="M3309" i="5"/>
  <c r="L3309" i="5"/>
  <c r="K3309" i="5"/>
  <c r="J3309" i="5"/>
  <c r="I3309" i="5"/>
  <c r="H3309" i="5"/>
  <c r="V3308" i="5"/>
  <c r="U3308" i="5"/>
  <c r="T3308" i="5"/>
  <c r="S3308" i="5"/>
  <c r="R3308" i="5"/>
  <c r="Q3308" i="5"/>
  <c r="P3308" i="5"/>
  <c r="O3308" i="5"/>
  <c r="N3308" i="5"/>
  <c r="M3308" i="5"/>
  <c r="L3308" i="5"/>
  <c r="K3308" i="5"/>
  <c r="J3308" i="5"/>
  <c r="I3308" i="5"/>
  <c r="H3308" i="5"/>
  <c r="V3307" i="5"/>
  <c r="U3307" i="5"/>
  <c r="T3307" i="5"/>
  <c r="S3307" i="5"/>
  <c r="R3307" i="5"/>
  <c r="Q3307" i="5"/>
  <c r="P3307" i="5"/>
  <c r="O3307" i="5"/>
  <c r="N3307" i="5"/>
  <c r="M3307" i="5"/>
  <c r="L3307" i="5"/>
  <c r="K3307" i="5"/>
  <c r="J3307" i="5"/>
  <c r="I3307" i="5"/>
  <c r="H3307" i="5"/>
  <c r="V3306" i="5"/>
  <c r="U3306" i="5"/>
  <c r="T3306" i="5"/>
  <c r="S3306" i="5"/>
  <c r="R3306" i="5"/>
  <c r="Q3306" i="5"/>
  <c r="P3306" i="5"/>
  <c r="O3306" i="5"/>
  <c r="N3306" i="5"/>
  <c r="M3306" i="5"/>
  <c r="L3306" i="5"/>
  <c r="K3306" i="5"/>
  <c r="J3306" i="5"/>
  <c r="I3306" i="5"/>
  <c r="H3306" i="5"/>
  <c r="V3305" i="5"/>
  <c r="U3305" i="5"/>
  <c r="T3305" i="5"/>
  <c r="S3305" i="5"/>
  <c r="R3305" i="5"/>
  <c r="Q3305" i="5"/>
  <c r="P3305" i="5"/>
  <c r="O3305" i="5"/>
  <c r="N3305" i="5"/>
  <c r="M3305" i="5"/>
  <c r="L3305" i="5"/>
  <c r="K3305" i="5"/>
  <c r="J3305" i="5"/>
  <c r="I3305" i="5"/>
  <c r="H3305" i="5"/>
  <c r="V3304" i="5"/>
  <c r="U3304" i="5"/>
  <c r="T3304" i="5"/>
  <c r="S3304" i="5"/>
  <c r="R3304" i="5"/>
  <c r="Q3304" i="5"/>
  <c r="P3304" i="5"/>
  <c r="V3303" i="5"/>
  <c r="U3303" i="5"/>
  <c r="T3303" i="5"/>
  <c r="S3303" i="5"/>
  <c r="R3303" i="5"/>
  <c r="Q3303" i="5"/>
  <c r="P3303" i="5"/>
  <c r="O3303" i="5"/>
  <c r="N3303" i="5"/>
  <c r="M3303" i="5"/>
  <c r="L3303" i="5"/>
  <c r="K3303" i="5"/>
  <c r="J3303" i="5"/>
  <c r="I3303" i="5"/>
  <c r="H3303" i="5"/>
  <c r="U3302" i="5"/>
  <c r="T3302" i="5"/>
  <c r="S3302" i="5"/>
  <c r="R3302" i="5"/>
  <c r="Q3302" i="5"/>
  <c r="P3302" i="5"/>
  <c r="O3302" i="5"/>
  <c r="N3302" i="5"/>
  <c r="M3302" i="5"/>
  <c r="L3302" i="5"/>
  <c r="K3302" i="5"/>
  <c r="J3302" i="5"/>
  <c r="I3302" i="5"/>
  <c r="H3302" i="5"/>
  <c r="V3301" i="5"/>
  <c r="U3301" i="5"/>
  <c r="T3301" i="5"/>
  <c r="S3301" i="5"/>
  <c r="R3301" i="5"/>
  <c r="Q3301" i="5"/>
  <c r="P3301" i="5"/>
  <c r="O3301" i="5"/>
  <c r="N3301" i="5"/>
  <c r="M3301" i="5"/>
  <c r="L3301" i="5"/>
  <c r="K3301" i="5"/>
  <c r="J3301" i="5"/>
  <c r="I3301" i="5"/>
  <c r="H3301" i="5"/>
  <c r="V3300" i="5"/>
  <c r="O3300" i="5"/>
  <c r="N3300" i="5"/>
  <c r="M3300" i="5"/>
  <c r="L3300" i="5"/>
  <c r="K3300" i="5"/>
  <c r="J3300" i="5"/>
  <c r="I3300" i="5"/>
  <c r="H3300" i="5"/>
  <c r="V3299" i="5"/>
  <c r="U3299" i="5"/>
  <c r="T3299" i="5"/>
  <c r="S3299" i="5"/>
  <c r="R3299" i="5"/>
  <c r="Q3299" i="5"/>
  <c r="P3299" i="5"/>
  <c r="O3299" i="5"/>
  <c r="N3299" i="5"/>
  <c r="M3299" i="5"/>
  <c r="L3299" i="5"/>
  <c r="K3299" i="5"/>
  <c r="J3299" i="5"/>
  <c r="I3299" i="5"/>
  <c r="H3299" i="5"/>
  <c r="V3298" i="5"/>
  <c r="U3298" i="5"/>
  <c r="T3298" i="5"/>
  <c r="S3298" i="5"/>
  <c r="R3298" i="5"/>
  <c r="Q3298" i="5"/>
  <c r="P3298" i="5"/>
  <c r="O3298" i="5"/>
  <c r="N3298" i="5"/>
  <c r="M3298" i="5"/>
  <c r="L3298" i="5"/>
  <c r="K3298" i="5"/>
  <c r="J3298" i="5"/>
  <c r="I3298" i="5"/>
  <c r="H3298" i="5"/>
  <c r="V3297" i="5"/>
  <c r="U3297" i="5"/>
  <c r="T3297" i="5"/>
  <c r="S3297" i="5"/>
  <c r="R3297" i="5"/>
  <c r="Q3297" i="5"/>
  <c r="P3297" i="5"/>
  <c r="O3297" i="5"/>
  <c r="N3297" i="5"/>
  <c r="M3297" i="5"/>
  <c r="L3297" i="5"/>
  <c r="K3297" i="5"/>
  <c r="J3297" i="5"/>
  <c r="I3297" i="5"/>
  <c r="H3297" i="5"/>
  <c r="V3296" i="5"/>
  <c r="U3296" i="5"/>
  <c r="T3296" i="5"/>
  <c r="S3296" i="5"/>
  <c r="R3296" i="5"/>
  <c r="Q3296" i="5"/>
  <c r="P3296" i="5"/>
  <c r="O3296" i="5"/>
  <c r="N3296" i="5"/>
  <c r="M3296" i="5"/>
  <c r="L3296" i="5"/>
  <c r="K3296" i="5"/>
  <c r="J3296" i="5"/>
  <c r="I3296" i="5"/>
  <c r="H3296" i="5"/>
  <c r="V3295" i="5"/>
  <c r="U3295" i="5"/>
  <c r="T3295" i="5"/>
  <c r="S3295" i="5"/>
  <c r="R3295" i="5"/>
  <c r="Q3295" i="5"/>
  <c r="P3295" i="5"/>
  <c r="O3295" i="5"/>
  <c r="N3295" i="5"/>
  <c r="M3295" i="5"/>
  <c r="L3295" i="5"/>
  <c r="K3295" i="5"/>
  <c r="J3295" i="5"/>
  <c r="I3295" i="5"/>
  <c r="H3295" i="5"/>
  <c r="V3294" i="5"/>
  <c r="U3294" i="5"/>
  <c r="T3294" i="5"/>
  <c r="S3294" i="5"/>
  <c r="R3294" i="5"/>
  <c r="Q3294" i="5"/>
  <c r="P3294" i="5"/>
  <c r="V3293" i="5"/>
  <c r="U3293" i="5"/>
  <c r="T3293" i="5"/>
  <c r="S3293" i="5"/>
  <c r="R3293" i="5"/>
  <c r="Q3293" i="5"/>
  <c r="P3293" i="5"/>
  <c r="O3293" i="5"/>
  <c r="N3293" i="5"/>
  <c r="M3293" i="5"/>
  <c r="L3293" i="5"/>
  <c r="K3293" i="5"/>
  <c r="J3293" i="5"/>
  <c r="I3293" i="5"/>
  <c r="H3293" i="5"/>
  <c r="U3292" i="5"/>
  <c r="T3292" i="5"/>
  <c r="S3292" i="5"/>
  <c r="R3292" i="5"/>
  <c r="Q3292" i="5"/>
  <c r="P3292" i="5"/>
  <c r="O3292" i="5"/>
  <c r="N3292" i="5"/>
  <c r="M3292" i="5"/>
  <c r="L3292" i="5"/>
  <c r="K3292" i="5"/>
  <c r="J3292" i="5"/>
  <c r="I3292" i="5"/>
  <c r="H3292" i="5"/>
  <c r="V3291" i="5"/>
  <c r="U3291" i="5"/>
  <c r="T3291" i="5"/>
  <c r="S3291" i="5"/>
  <c r="R3291" i="5"/>
  <c r="Q3291" i="5"/>
  <c r="P3291" i="5"/>
  <c r="O3291" i="5"/>
  <c r="N3291" i="5"/>
  <c r="M3291" i="5"/>
  <c r="L3291" i="5"/>
  <c r="K3291" i="5"/>
  <c r="J3291" i="5"/>
  <c r="I3291" i="5"/>
  <c r="H3291" i="5"/>
  <c r="V3290" i="5"/>
  <c r="O3290" i="5"/>
  <c r="N3290" i="5"/>
  <c r="M3290" i="5"/>
  <c r="L3290" i="5"/>
  <c r="K3290" i="5"/>
  <c r="J3290" i="5"/>
  <c r="I3290" i="5"/>
  <c r="H3290" i="5"/>
  <c r="V3289" i="5"/>
  <c r="U3289" i="5"/>
  <c r="T3289" i="5"/>
  <c r="S3289" i="5"/>
  <c r="R3289" i="5"/>
  <c r="Q3289" i="5"/>
  <c r="P3289" i="5"/>
  <c r="O3289" i="5"/>
  <c r="N3289" i="5"/>
  <c r="M3289" i="5"/>
  <c r="L3289" i="5"/>
  <c r="K3289" i="5"/>
  <c r="J3289" i="5"/>
  <c r="I3289" i="5"/>
  <c r="H3289" i="5"/>
  <c r="V3288" i="5"/>
  <c r="U3288" i="5"/>
  <c r="T3288" i="5"/>
  <c r="S3288" i="5"/>
  <c r="R3288" i="5"/>
  <c r="Q3288" i="5"/>
  <c r="P3288" i="5"/>
  <c r="O3288" i="5"/>
  <c r="N3288" i="5"/>
  <c r="M3288" i="5"/>
  <c r="L3288" i="5"/>
  <c r="K3288" i="5"/>
  <c r="J3288" i="5"/>
  <c r="I3288" i="5"/>
  <c r="H3288" i="5"/>
  <c r="V3287" i="5"/>
  <c r="U3287" i="5"/>
  <c r="T3287" i="5"/>
  <c r="S3287" i="5"/>
  <c r="R3287" i="5"/>
  <c r="Q3287" i="5"/>
  <c r="P3287" i="5"/>
  <c r="V3286" i="5"/>
  <c r="U3286" i="5"/>
  <c r="T3286" i="5"/>
  <c r="S3286" i="5"/>
  <c r="R3286" i="5"/>
  <c r="Q3286" i="5"/>
  <c r="P3286" i="5"/>
  <c r="U3285" i="5"/>
  <c r="T3285" i="5"/>
  <c r="S3285" i="5"/>
  <c r="R3285" i="5"/>
  <c r="Q3285" i="5"/>
  <c r="P3285" i="5"/>
  <c r="U3284" i="5"/>
  <c r="T3284" i="5"/>
  <c r="S3284" i="5"/>
  <c r="R3284" i="5"/>
  <c r="Q3284" i="5"/>
  <c r="P3284" i="5"/>
  <c r="O3277" i="5"/>
  <c r="N3277" i="5"/>
  <c r="M3277" i="5"/>
  <c r="L3277" i="5"/>
  <c r="K3277" i="5"/>
  <c r="J3277" i="5"/>
  <c r="I3277" i="5"/>
  <c r="H3277" i="5"/>
  <c r="O3276" i="5"/>
  <c r="N3276" i="5"/>
  <c r="M3276" i="5"/>
  <c r="L3276" i="5"/>
  <c r="K3276" i="5"/>
  <c r="J3276" i="5"/>
  <c r="I3276" i="5"/>
  <c r="H3276" i="5"/>
  <c r="V3275" i="5"/>
  <c r="O3275" i="5"/>
  <c r="N3275" i="5"/>
  <c r="M3275" i="5"/>
  <c r="L3275" i="5"/>
  <c r="K3275" i="5"/>
  <c r="J3275" i="5"/>
  <c r="I3275" i="5"/>
  <c r="H3275" i="5"/>
  <c r="V3274" i="5"/>
  <c r="V3273" i="5"/>
  <c r="U3273" i="5"/>
  <c r="T3273" i="5"/>
  <c r="S3273" i="5"/>
  <c r="R3273" i="5"/>
  <c r="Q3273" i="5"/>
  <c r="P3273" i="5"/>
  <c r="O3273" i="5"/>
  <c r="N3273" i="5"/>
  <c r="M3273" i="5"/>
  <c r="L3273" i="5"/>
  <c r="K3273" i="5"/>
  <c r="J3273" i="5"/>
  <c r="I3273" i="5"/>
  <c r="H3273" i="5"/>
  <c r="U3272" i="5"/>
  <c r="T3272" i="5"/>
  <c r="S3272" i="5"/>
  <c r="R3272" i="5"/>
  <c r="Q3272" i="5"/>
  <c r="P3272" i="5"/>
  <c r="O3272" i="5"/>
  <c r="N3272" i="5"/>
  <c r="M3272" i="5"/>
  <c r="L3272" i="5"/>
  <c r="K3272" i="5"/>
  <c r="J3272" i="5"/>
  <c r="I3272" i="5"/>
  <c r="H3272" i="5"/>
  <c r="V3271" i="5"/>
  <c r="U3271" i="5"/>
  <c r="T3271" i="5"/>
  <c r="S3271" i="5"/>
  <c r="R3271" i="5"/>
  <c r="Q3271" i="5"/>
  <c r="P3271" i="5"/>
  <c r="O3271" i="5"/>
  <c r="N3271" i="5"/>
  <c r="M3271" i="5"/>
  <c r="L3271" i="5"/>
  <c r="K3271" i="5"/>
  <c r="J3271" i="5"/>
  <c r="I3271" i="5"/>
  <c r="H3271" i="5"/>
  <c r="V3270" i="5"/>
  <c r="O3270" i="5"/>
  <c r="N3270" i="5"/>
  <c r="M3270" i="5"/>
  <c r="L3270" i="5"/>
  <c r="K3270" i="5"/>
  <c r="J3270" i="5"/>
  <c r="I3270" i="5"/>
  <c r="H3270" i="5"/>
  <c r="V3269" i="5"/>
  <c r="U3269" i="5"/>
  <c r="T3269" i="5"/>
  <c r="S3269" i="5"/>
  <c r="R3269" i="5"/>
  <c r="Q3269" i="5"/>
  <c r="P3269" i="5"/>
  <c r="O3269" i="5"/>
  <c r="N3269" i="5"/>
  <c r="M3269" i="5"/>
  <c r="L3269" i="5"/>
  <c r="K3269" i="5"/>
  <c r="J3269" i="5"/>
  <c r="I3269" i="5"/>
  <c r="H3269" i="5"/>
  <c r="V3268" i="5"/>
  <c r="U3268" i="5"/>
  <c r="T3268" i="5"/>
  <c r="S3268" i="5"/>
  <c r="R3268" i="5"/>
  <c r="Q3268" i="5"/>
  <c r="P3268" i="5"/>
  <c r="O3268" i="5"/>
  <c r="N3268" i="5"/>
  <c r="M3268" i="5"/>
  <c r="L3268" i="5"/>
  <c r="K3268" i="5"/>
  <c r="J3268" i="5"/>
  <c r="I3268" i="5"/>
  <c r="H3268" i="5"/>
  <c r="V3267" i="5"/>
  <c r="U3267" i="5"/>
  <c r="T3267" i="5"/>
  <c r="S3267" i="5"/>
  <c r="R3267" i="5"/>
  <c r="Q3267" i="5"/>
  <c r="P3267" i="5"/>
  <c r="O3267" i="5"/>
  <c r="N3267" i="5"/>
  <c r="M3267" i="5"/>
  <c r="L3267" i="5"/>
  <c r="K3267" i="5"/>
  <c r="J3267" i="5"/>
  <c r="I3267" i="5"/>
  <c r="H3267" i="5"/>
  <c r="V3266" i="5"/>
  <c r="U3266" i="5"/>
  <c r="T3266" i="5"/>
  <c r="S3266" i="5"/>
  <c r="R3266" i="5"/>
  <c r="Q3266" i="5"/>
  <c r="P3266" i="5"/>
  <c r="O3266" i="5"/>
  <c r="N3266" i="5"/>
  <c r="M3266" i="5"/>
  <c r="L3266" i="5"/>
  <c r="K3266" i="5"/>
  <c r="J3266" i="5"/>
  <c r="I3266" i="5"/>
  <c r="H3266" i="5"/>
  <c r="V3265" i="5"/>
  <c r="U3265" i="5"/>
  <c r="T3265" i="5"/>
  <c r="S3265" i="5"/>
  <c r="R3265" i="5"/>
  <c r="Q3265" i="5"/>
  <c r="P3265" i="5"/>
  <c r="O3265" i="5"/>
  <c r="N3265" i="5"/>
  <c r="M3265" i="5"/>
  <c r="L3265" i="5"/>
  <c r="K3265" i="5"/>
  <c r="J3265" i="5"/>
  <c r="I3265" i="5"/>
  <c r="H3265" i="5"/>
  <c r="V3264" i="5"/>
  <c r="U3264" i="5"/>
  <c r="T3264" i="5"/>
  <c r="S3264" i="5"/>
  <c r="R3264" i="5"/>
  <c r="Q3264" i="5"/>
  <c r="P3264" i="5"/>
  <c r="V3263" i="5"/>
  <c r="U3263" i="5"/>
  <c r="T3263" i="5"/>
  <c r="S3263" i="5"/>
  <c r="R3263" i="5"/>
  <c r="Q3263" i="5"/>
  <c r="P3263" i="5"/>
  <c r="O3263" i="5"/>
  <c r="N3263" i="5"/>
  <c r="M3263" i="5"/>
  <c r="L3263" i="5"/>
  <c r="K3263" i="5"/>
  <c r="J3263" i="5"/>
  <c r="I3263" i="5"/>
  <c r="H3263" i="5"/>
  <c r="U3262" i="5"/>
  <c r="T3262" i="5"/>
  <c r="S3262" i="5"/>
  <c r="R3262" i="5"/>
  <c r="Q3262" i="5"/>
  <c r="P3262" i="5"/>
  <c r="O3262" i="5"/>
  <c r="N3262" i="5"/>
  <c r="M3262" i="5"/>
  <c r="L3262" i="5"/>
  <c r="K3262" i="5"/>
  <c r="J3262" i="5"/>
  <c r="I3262" i="5"/>
  <c r="H3262" i="5"/>
  <c r="V3261" i="5"/>
  <c r="U3261" i="5"/>
  <c r="T3261" i="5"/>
  <c r="S3261" i="5"/>
  <c r="R3261" i="5"/>
  <c r="Q3261" i="5"/>
  <c r="P3261" i="5"/>
  <c r="O3261" i="5"/>
  <c r="N3261" i="5"/>
  <c r="M3261" i="5"/>
  <c r="L3261" i="5"/>
  <c r="K3261" i="5"/>
  <c r="J3261" i="5"/>
  <c r="I3261" i="5"/>
  <c r="H3261" i="5"/>
  <c r="V3260" i="5"/>
  <c r="O3260" i="5"/>
  <c r="N3260" i="5"/>
  <c r="M3260" i="5"/>
  <c r="L3260" i="5"/>
  <c r="K3260" i="5"/>
  <c r="J3260" i="5"/>
  <c r="I3260" i="5"/>
  <c r="H3260" i="5"/>
  <c r="V3259" i="5"/>
  <c r="U3259" i="5"/>
  <c r="T3259" i="5"/>
  <c r="S3259" i="5"/>
  <c r="R3259" i="5"/>
  <c r="Q3259" i="5"/>
  <c r="P3259" i="5"/>
  <c r="O3259" i="5"/>
  <c r="N3259" i="5"/>
  <c r="M3259" i="5"/>
  <c r="L3259" i="5"/>
  <c r="K3259" i="5"/>
  <c r="J3259" i="5"/>
  <c r="I3259" i="5"/>
  <c r="H3259" i="5"/>
  <c r="V3258" i="5"/>
  <c r="U3258" i="5"/>
  <c r="T3258" i="5"/>
  <c r="S3258" i="5"/>
  <c r="R3258" i="5"/>
  <c r="Q3258" i="5"/>
  <c r="P3258" i="5"/>
  <c r="O3258" i="5"/>
  <c r="N3258" i="5"/>
  <c r="M3258" i="5"/>
  <c r="L3258" i="5"/>
  <c r="K3258" i="5"/>
  <c r="J3258" i="5"/>
  <c r="I3258" i="5"/>
  <c r="H3258" i="5"/>
  <c r="V3257" i="5"/>
  <c r="U3257" i="5"/>
  <c r="T3257" i="5"/>
  <c r="S3257" i="5"/>
  <c r="R3257" i="5"/>
  <c r="Q3257" i="5"/>
  <c r="P3257" i="5"/>
  <c r="O3257" i="5"/>
  <c r="N3257" i="5"/>
  <c r="M3257" i="5"/>
  <c r="L3257" i="5"/>
  <c r="K3257" i="5"/>
  <c r="J3257" i="5"/>
  <c r="I3257" i="5"/>
  <c r="H3257" i="5"/>
  <c r="V3256" i="5"/>
  <c r="U3256" i="5"/>
  <c r="T3256" i="5"/>
  <c r="S3256" i="5"/>
  <c r="R3256" i="5"/>
  <c r="Q3256" i="5"/>
  <c r="P3256" i="5"/>
  <c r="O3256" i="5"/>
  <c r="N3256" i="5"/>
  <c r="M3256" i="5"/>
  <c r="L3256" i="5"/>
  <c r="K3256" i="5"/>
  <c r="J3256" i="5"/>
  <c r="I3256" i="5"/>
  <c r="H3256" i="5"/>
  <c r="V3255" i="5"/>
  <c r="U3255" i="5"/>
  <c r="T3255" i="5"/>
  <c r="S3255" i="5"/>
  <c r="R3255" i="5"/>
  <c r="Q3255" i="5"/>
  <c r="P3255" i="5"/>
  <c r="O3255" i="5"/>
  <c r="N3255" i="5"/>
  <c r="M3255" i="5"/>
  <c r="L3255" i="5"/>
  <c r="K3255" i="5"/>
  <c r="J3255" i="5"/>
  <c r="I3255" i="5"/>
  <c r="H3255" i="5"/>
  <c r="V3254" i="5"/>
  <c r="U3254" i="5"/>
  <c r="T3254" i="5"/>
  <c r="S3254" i="5"/>
  <c r="R3254" i="5"/>
  <c r="Q3254" i="5"/>
  <c r="P3254" i="5"/>
  <c r="V3253" i="5"/>
  <c r="U3253" i="5"/>
  <c r="T3253" i="5"/>
  <c r="S3253" i="5"/>
  <c r="R3253" i="5"/>
  <c r="Q3253" i="5"/>
  <c r="P3253" i="5"/>
  <c r="O3253" i="5"/>
  <c r="N3253" i="5"/>
  <c r="M3253" i="5"/>
  <c r="L3253" i="5"/>
  <c r="K3253" i="5"/>
  <c r="J3253" i="5"/>
  <c r="I3253" i="5"/>
  <c r="H3253" i="5"/>
  <c r="U3252" i="5"/>
  <c r="T3252" i="5"/>
  <c r="S3252" i="5"/>
  <c r="R3252" i="5"/>
  <c r="Q3252" i="5"/>
  <c r="P3252" i="5"/>
  <c r="O3252" i="5"/>
  <c r="N3252" i="5"/>
  <c r="M3252" i="5"/>
  <c r="L3252" i="5"/>
  <c r="K3252" i="5"/>
  <c r="J3252" i="5"/>
  <c r="I3252" i="5"/>
  <c r="H3252" i="5"/>
  <c r="V3251" i="5"/>
  <c r="U3251" i="5"/>
  <c r="T3251" i="5"/>
  <c r="S3251" i="5"/>
  <c r="R3251" i="5"/>
  <c r="Q3251" i="5"/>
  <c r="P3251" i="5"/>
  <c r="O3251" i="5"/>
  <c r="N3251" i="5"/>
  <c r="M3251" i="5"/>
  <c r="L3251" i="5"/>
  <c r="K3251" i="5"/>
  <c r="J3251" i="5"/>
  <c r="I3251" i="5"/>
  <c r="H3251" i="5"/>
  <c r="V3250" i="5"/>
  <c r="O3250" i="5"/>
  <c r="N3250" i="5"/>
  <c r="M3250" i="5"/>
  <c r="L3250" i="5"/>
  <c r="K3250" i="5"/>
  <c r="J3250" i="5"/>
  <c r="I3250" i="5"/>
  <c r="H3250" i="5"/>
  <c r="V3249" i="5"/>
  <c r="U3249" i="5"/>
  <c r="T3249" i="5"/>
  <c r="S3249" i="5"/>
  <c r="R3249" i="5"/>
  <c r="Q3249" i="5"/>
  <c r="P3249" i="5"/>
  <c r="O3249" i="5"/>
  <c r="N3249" i="5"/>
  <c r="M3249" i="5"/>
  <c r="L3249" i="5"/>
  <c r="K3249" i="5"/>
  <c r="J3249" i="5"/>
  <c r="I3249" i="5"/>
  <c r="H3249" i="5"/>
  <c r="V3248" i="5"/>
  <c r="U3248" i="5"/>
  <c r="T3248" i="5"/>
  <c r="S3248" i="5"/>
  <c r="R3248" i="5"/>
  <c r="Q3248" i="5"/>
  <c r="P3248" i="5"/>
  <c r="O3248" i="5"/>
  <c r="N3248" i="5"/>
  <c r="M3248" i="5"/>
  <c r="L3248" i="5"/>
  <c r="K3248" i="5"/>
  <c r="J3248" i="5"/>
  <c r="I3248" i="5"/>
  <c r="H3248" i="5"/>
  <c r="V3247" i="5"/>
  <c r="U3247" i="5"/>
  <c r="T3247" i="5"/>
  <c r="S3247" i="5"/>
  <c r="R3247" i="5"/>
  <c r="Q3247" i="5"/>
  <c r="P3247" i="5"/>
  <c r="O3247" i="5"/>
  <c r="N3247" i="5"/>
  <c r="M3247" i="5"/>
  <c r="L3247" i="5"/>
  <c r="K3247" i="5"/>
  <c r="J3247" i="5"/>
  <c r="I3247" i="5"/>
  <c r="H3247" i="5"/>
  <c r="V3246" i="5"/>
  <c r="U3246" i="5"/>
  <c r="T3246" i="5"/>
  <c r="S3246" i="5"/>
  <c r="R3246" i="5"/>
  <c r="Q3246" i="5"/>
  <c r="P3246" i="5"/>
  <c r="O3246" i="5"/>
  <c r="N3246" i="5"/>
  <c r="M3246" i="5"/>
  <c r="L3246" i="5"/>
  <c r="K3246" i="5"/>
  <c r="J3246" i="5"/>
  <c r="I3246" i="5"/>
  <c r="H3246" i="5"/>
  <c r="V3245" i="5"/>
  <c r="U3245" i="5"/>
  <c r="T3245" i="5"/>
  <c r="S3245" i="5"/>
  <c r="R3245" i="5"/>
  <c r="Q3245" i="5"/>
  <c r="P3245" i="5"/>
  <c r="O3245" i="5"/>
  <c r="N3245" i="5"/>
  <c r="M3245" i="5"/>
  <c r="L3245" i="5"/>
  <c r="K3245" i="5"/>
  <c r="J3245" i="5"/>
  <c r="I3245" i="5"/>
  <c r="H3245" i="5"/>
  <c r="V3244" i="5"/>
  <c r="U3244" i="5"/>
  <c r="T3244" i="5"/>
  <c r="S3244" i="5"/>
  <c r="R3244" i="5"/>
  <c r="Q3244" i="5"/>
  <c r="P3244" i="5"/>
  <c r="V3243" i="5"/>
  <c r="U3243" i="5"/>
  <c r="T3243" i="5"/>
  <c r="S3243" i="5"/>
  <c r="R3243" i="5"/>
  <c r="Q3243" i="5"/>
  <c r="P3243" i="5"/>
  <c r="O3243" i="5"/>
  <c r="N3243" i="5"/>
  <c r="M3243" i="5"/>
  <c r="L3243" i="5"/>
  <c r="K3243" i="5"/>
  <c r="J3243" i="5"/>
  <c r="I3243" i="5"/>
  <c r="H3243" i="5"/>
  <c r="U3242" i="5"/>
  <c r="T3242" i="5"/>
  <c r="S3242" i="5"/>
  <c r="R3242" i="5"/>
  <c r="Q3242" i="5"/>
  <c r="P3242" i="5"/>
  <c r="O3242" i="5"/>
  <c r="N3242" i="5"/>
  <c r="M3242" i="5"/>
  <c r="L3242" i="5"/>
  <c r="K3242" i="5"/>
  <c r="J3242" i="5"/>
  <c r="I3242" i="5"/>
  <c r="H3242" i="5"/>
  <c r="V3241" i="5"/>
  <c r="U3241" i="5"/>
  <c r="T3241" i="5"/>
  <c r="S3241" i="5"/>
  <c r="R3241" i="5"/>
  <c r="Q3241" i="5"/>
  <c r="P3241" i="5"/>
  <c r="O3241" i="5"/>
  <c r="N3241" i="5"/>
  <c r="M3241" i="5"/>
  <c r="L3241" i="5"/>
  <c r="K3241" i="5"/>
  <c r="J3241" i="5"/>
  <c r="I3241" i="5"/>
  <c r="H3241" i="5"/>
  <c r="V3240" i="5"/>
  <c r="O3240" i="5"/>
  <c r="N3240" i="5"/>
  <c r="M3240" i="5"/>
  <c r="L3240" i="5"/>
  <c r="K3240" i="5"/>
  <c r="J3240" i="5"/>
  <c r="I3240" i="5"/>
  <c r="H3240" i="5"/>
  <c r="V3239" i="5"/>
  <c r="U3239" i="5"/>
  <c r="T3239" i="5"/>
  <c r="S3239" i="5"/>
  <c r="R3239" i="5"/>
  <c r="Q3239" i="5"/>
  <c r="P3239" i="5"/>
  <c r="O3239" i="5"/>
  <c r="N3239" i="5"/>
  <c r="M3239" i="5"/>
  <c r="L3239" i="5"/>
  <c r="K3239" i="5"/>
  <c r="J3239" i="5"/>
  <c r="I3239" i="5"/>
  <c r="H3239" i="5"/>
  <c r="V3238" i="5"/>
  <c r="U3238" i="5"/>
  <c r="T3238" i="5"/>
  <c r="S3238" i="5"/>
  <c r="R3238" i="5"/>
  <c r="Q3238" i="5"/>
  <c r="P3238" i="5"/>
  <c r="O3238" i="5"/>
  <c r="N3238" i="5"/>
  <c r="M3238" i="5"/>
  <c r="L3238" i="5"/>
  <c r="K3238" i="5"/>
  <c r="J3238" i="5"/>
  <c r="I3238" i="5"/>
  <c r="H3238" i="5"/>
  <c r="V3237" i="5"/>
  <c r="U3237" i="5"/>
  <c r="T3237" i="5"/>
  <c r="S3237" i="5"/>
  <c r="R3237" i="5"/>
  <c r="Q3237" i="5"/>
  <c r="P3237" i="5"/>
  <c r="O3237" i="5"/>
  <c r="N3237" i="5"/>
  <c r="M3237" i="5"/>
  <c r="L3237" i="5"/>
  <c r="K3237" i="5"/>
  <c r="J3237" i="5"/>
  <c r="I3237" i="5"/>
  <c r="H3237" i="5"/>
  <c r="V3236" i="5"/>
  <c r="U3236" i="5"/>
  <c r="T3236" i="5"/>
  <c r="S3236" i="5"/>
  <c r="R3236" i="5"/>
  <c r="Q3236" i="5"/>
  <c r="P3236" i="5"/>
  <c r="O3236" i="5"/>
  <c r="N3236" i="5"/>
  <c r="M3236" i="5"/>
  <c r="L3236" i="5"/>
  <c r="K3236" i="5"/>
  <c r="J3236" i="5"/>
  <c r="I3236" i="5"/>
  <c r="H3236" i="5"/>
  <c r="V3235" i="5"/>
  <c r="U3235" i="5"/>
  <c r="T3235" i="5"/>
  <c r="S3235" i="5"/>
  <c r="R3235" i="5"/>
  <c r="Q3235" i="5"/>
  <c r="P3235" i="5"/>
  <c r="O3235" i="5"/>
  <c r="N3235" i="5"/>
  <c r="M3235" i="5"/>
  <c r="L3235" i="5"/>
  <c r="K3235" i="5"/>
  <c r="J3235" i="5"/>
  <c r="I3235" i="5"/>
  <c r="H3235" i="5"/>
  <c r="V3234" i="5"/>
  <c r="U3234" i="5"/>
  <c r="T3234" i="5"/>
  <c r="S3234" i="5"/>
  <c r="R3234" i="5"/>
  <c r="Q3234" i="5"/>
  <c r="P3234" i="5"/>
  <c r="V3233" i="5"/>
  <c r="U3233" i="5"/>
  <c r="T3233" i="5"/>
  <c r="S3233" i="5"/>
  <c r="R3233" i="5"/>
  <c r="Q3233" i="5"/>
  <c r="P3233" i="5"/>
  <c r="O3233" i="5"/>
  <c r="N3233" i="5"/>
  <c r="M3233" i="5"/>
  <c r="L3233" i="5"/>
  <c r="K3233" i="5"/>
  <c r="J3233" i="5"/>
  <c r="I3233" i="5"/>
  <c r="H3233" i="5"/>
  <c r="U3232" i="5"/>
  <c r="T3232" i="5"/>
  <c r="S3232" i="5"/>
  <c r="R3232" i="5"/>
  <c r="Q3232" i="5"/>
  <c r="P3232" i="5"/>
  <c r="O3232" i="5"/>
  <c r="N3232" i="5"/>
  <c r="M3232" i="5"/>
  <c r="L3232" i="5"/>
  <c r="K3232" i="5"/>
  <c r="J3232" i="5"/>
  <c r="I3232" i="5"/>
  <c r="H3232" i="5"/>
  <c r="V3231" i="5"/>
  <c r="U3231" i="5"/>
  <c r="T3231" i="5"/>
  <c r="S3231" i="5"/>
  <c r="R3231" i="5"/>
  <c r="Q3231" i="5"/>
  <c r="P3231" i="5"/>
  <c r="O3231" i="5"/>
  <c r="N3231" i="5"/>
  <c r="M3231" i="5"/>
  <c r="L3231" i="5"/>
  <c r="K3231" i="5"/>
  <c r="J3231" i="5"/>
  <c r="I3231" i="5"/>
  <c r="H3231" i="5"/>
  <c r="V3230" i="5"/>
  <c r="O3230" i="5"/>
  <c r="N3230" i="5"/>
  <c r="M3230" i="5"/>
  <c r="L3230" i="5"/>
  <c r="K3230" i="5"/>
  <c r="J3230" i="5"/>
  <c r="I3230" i="5"/>
  <c r="H3230" i="5"/>
  <c r="V3229" i="5"/>
  <c r="U3229" i="5"/>
  <c r="T3229" i="5"/>
  <c r="S3229" i="5"/>
  <c r="R3229" i="5"/>
  <c r="Q3229" i="5"/>
  <c r="P3229" i="5"/>
  <c r="O3229" i="5"/>
  <c r="N3229" i="5"/>
  <c r="M3229" i="5"/>
  <c r="L3229" i="5"/>
  <c r="K3229" i="5"/>
  <c r="J3229" i="5"/>
  <c r="I3229" i="5"/>
  <c r="H3229" i="5"/>
  <c r="V3228" i="5"/>
  <c r="U3228" i="5"/>
  <c r="T3228" i="5"/>
  <c r="S3228" i="5"/>
  <c r="R3228" i="5"/>
  <c r="Q3228" i="5"/>
  <c r="P3228" i="5"/>
  <c r="O3228" i="5"/>
  <c r="N3228" i="5"/>
  <c r="M3228" i="5"/>
  <c r="L3228" i="5"/>
  <c r="K3228" i="5"/>
  <c r="J3228" i="5"/>
  <c r="I3228" i="5"/>
  <c r="H3228" i="5"/>
  <c r="V3227" i="5"/>
  <c r="U3227" i="5"/>
  <c r="T3227" i="5"/>
  <c r="S3227" i="5"/>
  <c r="R3227" i="5"/>
  <c r="Q3227" i="5"/>
  <c r="P3227" i="5"/>
  <c r="O3227" i="5"/>
  <c r="N3227" i="5"/>
  <c r="M3227" i="5"/>
  <c r="L3227" i="5"/>
  <c r="K3227" i="5"/>
  <c r="J3227" i="5"/>
  <c r="I3227" i="5"/>
  <c r="H3227" i="5"/>
  <c r="V3226" i="5"/>
  <c r="U3226" i="5"/>
  <c r="T3226" i="5"/>
  <c r="S3226" i="5"/>
  <c r="R3226" i="5"/>
  <c r="Q3226" i="5"/>
  <c r="P3226" i="5"/>
  <c r="O3226" i="5"/>
  <c r="N3226" i="5"/>
  <c r="M3226" i="5"/>
  <c r="L3226" i="5"/>
  <c r="K3226" i="5"/>
  <c r="J3226" i="5"/>
  <c r="I3226" i="5"/>
  <c r="H3226" i="5"/>
  <c r="V3225" i="5"/>
  <c r="U3225" i="5"/>
  <c r="T3225" i="5"/>
  <c r="S3225" i="5"/>
  <c r="R3225" i="5"/>
  <c r="Q3225" i="5"/>
  <c r="P3225" i="5"/>
  <c r="O3225" i="5"/>
  <c r="N3225" i="5"/>
  <c r="M3225" i="5"/>
  <c r="L3225" i="5"/>
  <c r="K3225" i="5"/>
  <c r="J3225" i="5"/>
  <c r="I3225" i="5"/>
  <c r="H3225" i="5"/>
  <c r="V3224" i="5"/>
  <c r="U3224" i="5"/>
  <c r="T3224" i="5"/>
  <c r="S3224" i="5"/>
  <c r="R3224" i="5"/>
  <c r="Q3224" i="5"/>
  <c r="P3224" i="5"/>
  <c r="V3223" i="5"/>
  <c r="U3223" i="5"/>
  <c r="T3223" i="5"/>
  <c r="S3223" i="5"/>
  <c r="R3223" i="5"/>
  <c r="Q3223" i="5"/>
  <c r="P3223" i="5"/>
  <c r="O3223" i="5"/>
  <c r="N3223" i="5"/>
  <c r="M3223" i="5"/>
  <c r="L3223" i="5"/>
  <c r="K3223" i="5"/>
  <c r="J3223" i="5"/>
  <c r="I3223" i="5"/>
  <c r="H3223" i="5"/>
  <c r="U3222" i="5"/>
  <c r="T3222" i="5"/>
  <c r="S3222" i="5"/>
  <c r="R3222" i="5"/>
  <c r="Q3222" i="5"/>
  <c r="P3222" i="5"/>
  <c r="O3222" i="5"/>
  <c r="N3222" i="5"/>
  <c r="M3222" i="5"/>
  <c r="L3222" i="5"/>
  <c r="K3222" i="5"/>
  <c r="J3222" i="5"/>
  <c r="I3222" i="5"/>
  <c r="H3222" i="5"/>
  <c r="V3221" i="5"/>
  <c r="U3221" i="5"/>
  <c r="T3221" i="5"/>
  <c r="S3221" i="5"/>
  <c r="R3221" i="5"/>
  <c r="Q3221" i="5"/>
  <c r="P3221" i="5"/>
  <c r="O3221" i="5"/>
  <c r="N3221" i="5"/>
  <c r="M3221" i="5"/>
  <c r="L3221" i="5"/>
  <c r="K3221" i="5"/>
  <c r="J3221" i="5"/>
  <c r="I3221" i="5"/>
  <c r="H3221" i="5"/>
  <c r="V3220" i="5"/>
  <c r="O3220" i="5"/>
  <c r="N3220" i="5"/>
  <c r="M3220" i="5"/>
  <c r="L3220" i="5"/>
  <c r="K3220" i="5"/>
  <c r="J3220" i="5"/>
  <c r="I3220" i="5"/>
  <c r="H3220" i="5"/>
  <c r="V3219" i="5"/>
  <c r="U3219" i="5"/>
  <c r="T3219" i="5"/>
  <c r="S3219" i="5"/>
  <c r="R3219" i="5"/>
  <c r="Q3219" i="5"/>
  <c r="P3219" i="5"/>
  <c r="O3219" i="5"/>
  <c r="N3219" i="5"/>
  <c r="M3219" i="5"/>
  <c r="L3219" i="5"/>
  <c r="K3219" i="5"/>
  <c r="J3219" i="5"/>
  <c r="I3219" i="5"/>
  <c r="H3219" i="5"/>
  <c r="V3218" i="5"/>
  <c r="U3218" i="5"/>
  <c r="T3218" i="5"/>
  <c r="S3218" i="5"/>
  <c r="R3218" i="5"/>
  <c r="Q3218" i="5"/>
  <c r="P3218" i="5"/>
  <c r="O3218" i="5"/>
  <c r="N3218" i="5"/>
  <c r="M3218" i="5"/>
  <c r="L3218" i="5"/>
  <c r="K3218" i="5"/>
  <c r="J3218" i="5"/>
  <c r="I3218" i="5"/>
  <c r="H3218" i="5"/>
  <c r="V3217" i="5"/>
  <c r="U3217" i="5"/>
  <c r="T3217" i="5"/>
  <c r="S3217" i="5"/>
  <c r="R3217" i="5"/>
  <c r="Q3217" i="5"/>
  <c r="P3217" i="5"/>
  <c r="O3217" i="5"/>
  <c r="N3217" i="5"/>
  <c r="M3217" i="5"/>
  <c r="L3217" i="5"/>
  <c r="K3217" i="5"/>
  <c r="J3217" i="5"/>
  <c r="I3217" i="5"/>
  <c r="H3217" i="5"/>
  <c r="V3216" i="5"/>
  <c r="U3216" i="5"/>
  <c r="T3216" i="5"/>
  <c r="S3216" i="5"/>
  <c r="R3216" i="5"/>
  <c r="Q3216" i="5"/>
  <c r="P3216" i="5"/>
  <c r="O3216" i="5"/>
  <c r="N3216" i="5"/>
  <c r="M3216" i="5"/>
  <c r="L3216" i="5"/>
  <c r="K3216" i="5"/>
  <c r="J3216" i="5"/>
  <c r="I3216" i="5"/>
  <c r="H3216" i="5"/>
  <c r="V3215" i="5"/>
  <c r="U3215" i="5"/>
  <c r="T3215" i="5"/>
  <c r="S3215" i="5"/>
  <c r="R3215" i="5"/>
  <c r="Q3215" i="5"/>
  <c r="P3215" i="5"/>
  <c r="O3215" i="5"/>
  <c r="N3215" i="5"/>
  <c r="M3215" i="5"/>
  <c r="L3215" i="5"/>
  <c r="K3215" i="5"/>
  <c r="J3215" i="5"/>
  <c r="I3215" i="5"/>
  <c r="H3215" i="5"/>
  <c r="V3214" i="5"/>
  <c r="U3214" i="5"/>
  <c r="T3214" i="5"/>
  <c r="S3214" i="5"/>
  <c r="R3214" i="5"/>
  <c r="Q3214" i="5"/>
  <c r="P3214" i="5"/>
  <c r="V3213" i="5"/>
  <c r="U3213" i="5"/>
  <c r="T3213" i="5"/>
  <c r="S3213" i="5"/>
  <c r="R3213" i="5"/>
  <c r="Q3213" i="5"/>
  <c r="P3213" i="5"/>
  <c r="O3213" i="5"/>
  <c r="N3213" i="5"/>
  <c r="M3213" i="5"/>
  <c r="L3213" i="5"/>
  <c r="K3213" i="5"/>
  <c r="J3213" i="5"/>
  <c r="I3213" i="5"/>
  <c r="H3213" i="5"/>
  <c r="U3212" i="5"/>
  <c r="T3212" i="5"/>
  <c r="S3212" i="5"/>
  <c r="R3212" i="5"/>
  <c r="Q3212" i="5"/>
  <c r="P3212" i="5"/>
  <c r="O3212" i="5"/>
  <c r="N3212" i="5"/>
  <c r="M3212" i="5"/>
  <c r="L3212" i="5"/>
  <c r="K3212" i="5"/>
  <c r="J3212" i="5"/>
  <c r="I3212" i="5"/>
  <c r="H3212" i="5"/>
  <c r="V3211" i="5"/>
  <c r="U3211" i="5"/>
  <c r="T3211" i="5"/>
  <c r="S3211" i="5"/>
  <c r="R3211" i="5"/>
  <c r="Q3211" i="5"/>
  <c r="P3211" i="5"/>
  <c r="O3211" i="5"/>
  <c r="N3211" i="5"/>
  <c r="M3211" i="5"/>
  <c r="L3211" i="5"/>
  <c r="K3211" i="5"/>
  <c r="J3211" i="5"/>
  <c r="I3211" i="5"/>
  <c r="H3211" i="5"/>
  <c r="V3210" i="5"/>
  <c r="O3210" i="5"/>
  <c r="N3210" i="5"/>
  <c r="M3210" i="5"/>
  <c r="L3210" i="5"/>
  <c r="K3210" i="5"/>
  <c r="J3210" i="5"/>
  <c r="I3210" i="5"/>
  <c r="H3210" i="5"/>
  <c r="V3209" i="5"/>
  <c r="U3209" i="5"/>
  <c r="T3209" i="5"/>
  <c r="S3209" i="5"/>
  <c r="R3209" i="5"/>
  <c r="Q3209" i="5"/>
  <c r="P3209" i="5"/>
  <c r="O3209" i="5"/>
  <c r="N3209" i="5"/>
  <c r="M3209" i="5"/>
  <c r="L3209" i="5"/>
  <c r="K3209" i="5"/>
  <c r="J3209" i="5"/>
  <c r="I3209" i="5"/>
  <c r="H3209" i="5"/>
  <c r="V3208" i="5"/>
  <c r="U3208" i="5"/>
  <c r="T3208" i="5"/>
  <c r="S3208" i="5"/>
  <c r="R3208" i="5"/>
  <c r="Q3208" i="5"/>
  <c r="P3208" i="5"/>
  <c r="O3208" i="5"/>
  <c r="N3208" i="5"/>
  <c r="M3208" i="5"/>
  <c r="L3208" i="5"/>
  <c r="K3208" i="5"/>
  <c r="J3208" i="5"/>
  <c r="I3208" i="5"/>
  <c r="H3208" i="5"/>
  <c r="V3207" i="5"/>
  <c r="U3207" i="5"/>
  <c r="T3207" i="5"/>
  <c r="S3207" i="5"/>
  <c r="R3207" i="5"/>
  <c r="Q3207" i="5"/>
  <c r="P3207" i="5"/>
  <c r="O3207" i="5"/>
  <c r="N3207" i="5"/>
  <c r="M3207" i="5"/>
  <c r="L3207" i="5"/>
  <c r="K3207" i="5"/>
  <c r="J3207" i="5"/>
  <c r="I3207" i="5"/>
  <c r="H3207" i="5"/>
  <c r="V3206" i="5"/>
  <c r="U3206" i="5"/>
  <c r="T3206" i="5"/>
  <c r="S3206" i="5"/>
  <c r="R3206" i="5"/>
  <c r="Q3206" i="5"/>
  <c r="P3206" i="5"/>
  <c r="O3206" i="5"/>
  <c r="N3206" i="5"/>
  <c r="M3206" i="5"/>
  <c r="L3206" i="5"/>
  <c r="K3206" i="5"/>
  <c r="J3206" i="5"/>
  <c r="I3206" i="5"/>
  <c r="H3206" i="5"/>
  <c r="V3205" i="5"/>
  <c r="U3205" i="5"/>
  <c r="T3205" i="5"/>
  <c r="S3205" i="5"/>
  <c r="R3205" i="5"/>
  <c r="Q3205" i="5"/>
  <c r="P3205" i="5"/>
  <c r="O3205" i="5"/>
  <c r="N3205" i="5"/>
  <c r="M3205" i="5"/>
  <c r="L3205" i="5"/>
  <c r="K3205" i="5"/>
  <c r="J3205" i="5"/>
  <c r="I3205" i="5"/>
  <c r="H3205" i="5"/>
  <c r="V3204" i="5"/>
  <c r="U3204" i="5"/>
  <c r="T3204" i="5"/>
  <c r="S3204" i="5"/>
  <c r="R3204" i="5"/>
  <c r="Q3204" i="5"/>
  <c r="P3204" i="5"/>
  <c r="V3203" i="5"/>
  <c r="U3203" i="5"/>
  <c r="T3203" i="5"/>
  <c r="S3203" i="5"/>
  <c r="R3203" i="5"/>
  <c r="Q3203" i="5"/>
  <c r="P3203" i="5"/>
  <c r="O3203" i="5"/>
  <c r="N3203" i="5"/>
  <c r="M3203" i="5"/>
  <c r="L3203" i="5"/>
  <c r="K3203" i="5"/>
  <c r="J3203" i="5"/>
  <c r="I3203" i="5"/>
  <c r="H3203" i="5"/>
  <c r="U3202" i="5"/>
  <c r="T3202" i="5"/>
  <c r="S3202" i="5"/>
  <c r="R3202" i="5"/>
  <c r="Q3202" i="5"/>
  <c r="P3202" i="5"/>
  <c r="O3202" i="5"/>
  <c r="N3202" i="5"/>
  <c r="M3202" i="5"/>
  <c r="L3202" i="5"/>
  <c r="K3202" i="5"/>
  <c r="J3202" i="5"/>
  <c r="I3202" i="5"/>
  <c r="H3202" i="5"/>
  <c r="V3201" i="5"/>
  <c r="U3201" i="5"/>
  <c r="T3201" i="5"/>
  <c r="S3201" i="5"/>
  <c r="R3201" i="5"/>
  <c r="Q3201" i="5"/>
  <c r="P3201" i="5"/>
  <c r="O3201" i="5"/>
  <c r="N3201" i="5"/>
  <c r="M3201" i="5"/>
  <c r="L3201" i="5"/>
  <c r="K3201" i="5"/>
  <c r="J3201" i="5"/>
  <c r="I3201" i="5"/>
  <c r="H3201" i="5"/>
  <c r="V3200" i="5"/>
  <c r="O3200" i="5"/>
  <c r="N3200" i="5"/>
  <c r="M3200" i="5"/>
  <c r="L3200" i="5"/>
  <c r="K3200" i="5"/>
  <c r="J3200" i="5"/>
  <c r="I3200" i="5"/>
  <c r="H3200" i="5"/>
  <c r="V3199" i="5"/>
  <c r="U3199" i="5"/>
  <c r="T3199" i="5"/>
  <c r="S3199" i="5"/>
  <c r="R3199" i="5"/>
  <c r="Q3199" i="5"/>
  <c r="P3199" i="5"/>
  <c r="O3199" i="5"/>
  <c r="N3199" i="5"/>
  <c r="M3199" i="5"/>
  <c r="L3199" i="5"/>
  <c r="K3199" i="5"/>
  <c r="J3199" i="5"/>
  <c r="I3199" i="5"/>
  <c r="H3199" i="5"/>
  <c r="V3198" i="5"/>
  <c r="U3198" i="5"/>
  <c r="T3198" i="5"/>
  <c r="S3198" i="5"/>
  <c r="R3198" i="5"/>
  <c r="Q3198" i="5"/>
  <c r="P3198" i="5"/>
  <c r="O3198" i="5"/>
  <c r="N3198" i="5"/>
  <c r="M3198" i="5"/>
  <c r="L3198" i="5"/>
  <c r="K3198" i="5"/>
  <c r="J3198" i="5"/>
  <c r="I3198" i="5"/>
  <c r="H3198" i="5"/>
  <c r="V3197" i="5"/>
  <c r="U3197" i="5"/>
  <c r="T3197" i="5"/>
  <c r="S3197" i="5"/>
  <c r="R3197" i="5"/>
  <c r="Q3197" i="5"/>
  <c r="P3197" i="5"/>
  <c r="O3197" i="5"/>
  <c r="N3197" i="5"/>
  <c r="M3197" i="5"/>
  <c r="L3197" i="5"/>
  <c r="K3197" i="5"/>
  <c r="J3197" i="5"/>
  <c r="I3197" i="5"/>
  <c r="H3197" i="5"/>
  <c r="V3196" i="5"/>
  <c r="U3196" i="5"/>
  <c r="T3196" i="5"/>
  <c r="S3196" i="5"/>
  <c r="R3196" i="5"/>
  <c r="Q3196" i="5"/>
  <c r="P3196" i="5"/>
  <c r="O3196" i="5"/>
  <c r="N3196" i="5"/>
  <c r="M3196" i="5"/>
  <c r="L3196" i="5"/>
  <c r="K3196" i="5"/>
  <c r="J3196" i="5"/>
  <c r="I3196" i="5"/>
  <c r="H3196" i="5"/>
  <c r="V3195" i="5"/>
  <c r="U3195" i="5"/>
  <c r="T3195" i="5"/>
  <c r="S3195" i="5"/>
  <c r="R3195" i="5"/>
  <c r="Q3195" i="5"/>
  <c r="P3195" i="5"/>
  <c r="O3195" i="5"/>
  <c r="N3195" i="5"/>
  <c r="M3195" i="5"/>
  <c r="L3195" i="5"/>
  <c r="K3195" i="5"/>
  <c r="J3195" i="5"/>
  <c r="I3195" i="5"/>
  <c r="H3195" i="5"/>
  <c r="V3194" i="5"/>
  <c r="U3194" i="5"/>
  <c r="T3194" i="5"/>
  <c r="S3194" i="5"/>
  <c r="R3194" i="5"/>
  <c r="Q3194" i="5"/>
  <c r="P3194" i="5"/>
  <c r="V3193" i="5"/>
  <c r="U3193" i="5"/>
  <c r="T3193" i="5"/>
  <c r="S3193" i="5"/>
  <c r="R3193" i="5"/>
  <c r="Q3193" i="5"/>
  <c r="P3193" i="5"/>
  <c r="O3193" i="5"/>
  <c r="N3193" i="5"/>
  <c r="M3193" i="5"/>
  <c r="L3193" i="5"/>
  <c r="K3193" i="5"/>
  <c r="J3193" i="5"/>
  <c r="I3193" i="5"/>
  <c r="H3193" i="5"/>
  <c r="U3192" i="5"/>
  <c r="T3192" i="5"/>
  <c r="S3192" i="5"/>
  <c r="R3192" i="5"/>
  <c r="Q3192" i="5"/>
  <c r="P3192" i="5"/>
  <c r="O3192" i="5"/>
  <c r="N3192" i="5"/>
  <c r="M3192" i="5"/>
  <c r="L3192" i="5"/>
  <c r="K3192" i="5"/>
  <c r="J3192" i="5"/>
  <c r="I3192" i="5"/>
  <c r="H3192" i="5"/>
  <c r="V3191" i="5"/>
  <c r="U3191" i="5"/>
  <c r="T3191" i="5"/>
  <c r="S3191" i="5"/>
  <c r="R3191" i="5"/>
  <c r="Q3191" i="5"/>
  <c r="P3191" i="5"/>
  <c r="O3191" i="5"/>
  <c r="N3191" i="5"/>
  <c r="M3191" i="5"/>
  <c r="L3191" i="5"/>
  <c r="K3191" i="5"/>
  <c r="J3191" i="5"/>
  <c r="I3191" i="5"/>
  <c r="H3191" i="5"/>
  <c r="V3190" i="5"/>
  <c r="O3190" i="5"/>
  <c r="N3190" i="5"/>
  <c r="M3190" i="5"/>
  <c r="L3190" i="5"/>
  <c r="K3190" i="5"/>
  <c r="J3190" i="5"/>
  <c r="I3190" i="5"/>
  <c r="H3190" i="5"/>
  <c r="V3189" i="5"/>
  <c r="U3189" i="5"/>
  <c r="T3189" i="5"/>
  <c r="S3189" i="5"/>
  <c r="R3189" i="5"/>
  <c r="Q3189" i="5"/>
  <c r="P3189" i="5"/>
  <c r="O3189" i="5"/>
  <c r="N3189" i="5"/>
  <c r="M3189" i="5"/>
  <c r="L3189" i="5"/>
  <c r="K3189" i="5"/>
  <c r="J3189" i="5"/>
  <c r="I3189" i="5"/>
  <c r="H3189" i="5"/>
  <c r="V3188" i="5"/>
  <c r="U3188" i="5"/>
  <c r="T3188" i="5"/>
  <c r="S3188" i="5"/>
  <c r="R3188" i="5"/>
  <c r="Q3188" i="5"/>
  <c r="P3188" i="5"/>
  <c r="O3188" i="5"/>
  <c r="N3188" i="5"/>
  <c r="M3188" i="5"/>
  <c r="L3188" i="5"/>
  <c r="K3188" i="5"/>
  <c r="J3188" i="5"/>
  <c r="I3188" i="5"/>
  <c r="H3188" i="5"/>
  <c r="V3187" i="5"/>
  <c r="U3187" i="5"/>
  <c r="T3187" i="5"/>
  <c r="S3187" i="5"/>
  <c r="R3187" i="5"/>
  <c r="Q3187" i="5"/>
  <c r="P3187" i="5"/>
  <c r="V3186" i="5"/>
  <c r="U3186" i="5"/>
  <c r="T3186" i="5"/>
  <c r="S3186" i="5"/>
  <c r="R3186" i="5"/>
  <c r="Q3186" i="5"/>
  <c r="P3186" i="5"/>
  <c r="U3185" i="5"/>
  <c r="T3185" i="5"/>
  <c r="S3185" i="5"/>
  <c r="R3185" i="5"/>
  <c r="Q3185" i="5"/>
  <c r="P3185" i="5"/>
  <c r="U3184" i="5"/>
  <c r="T3184" i="5"/>
  <c r="S3184" i="5"/>
  <c r="R3184" i="5"/>
  <c r="Q3184" i="5"/>
  <c r="P3184" i="5"/>
  <c r="O3177" i="5"/>
  <c r="N3177" i="5"/>
  <c r="M3177" i="5"/>
  <c r="L3177" i="5"/>
  <c r="K3177" i="5"/>
  <c r="J3177" i="5"/>
  <c r="I3177" i="5"/>
  <c r="H3177" i="5"/>
  <c r="O3176" i="5"/>
  <c r="N3176" i="5"/>
  <c r="M3176" i="5"/>
  <c r="L3176" i="5"/>
  <c r="K3176" i="5"/>
  <c r="J3176" i="5"/>
  <c r="I3176" i="5"/>
  <c r="H3176" i="5"/>
  <c r="V3175" i="5"/>
  <c r="O3175" i="5"/>
  <c r="N3175" i="5"/>
  <c r="M3175" i="5"/>
  <c r="L3175" i="5"/>
  <c r="K3175" i="5"/>
  <c r="J3175" i="5"/>
  <c r="I3175" i="5"/>
  <c r="H3175" i="5"/>
  <c r="V3174" i="5"/>
  <c r="V3173" i="5"/>
  <c r="U3173" i="5"/>
  <c r="T3173" i="5"/>
  <c r="S3173" i="5"/>
  <c r="R3173" i="5"/>
  <c r="Q3173" i="5"/>
  <c r="P3173" i="5"/>
  <c r="O3173" i="5"/>
  <c r="N3173" i="5"/>
  <c r="M3173" i="5"/>
  <c r="L3173" i="5"/>
  <c r="K3173" i="5"/>
  <c r="J3173" i="5"/>
  <c r="I3173" i="5"/>
  <c r="H3173" i="5"/>
  <c r="U3172" i="5"/>
  <c r="T3172" i="5"/>
  <c r="S3172" i="5"/>
  <c r="R3172" i="5"/>
  <c r="Q3172" i="5"/>
  <c r="P3172" i="5"/>
  <c r="O3172" i="5"/>
  <c r="N3172" i="5"/>
  <c r="M3172" i="5"/>
  <c r="L3172" i="5"/>
  <c r="K3172" i="5"/>
  <c r="J3172" i="5"/>
  <c r="I3172" i="5"/>
  <c r="H3172" i="5"/>
  <c r="V3171" i="5"/>
  <c r="U3171" i="5"/>
  <c r="T3171" i="5"/>
  <c r="S3171" i="5"/>
  <c r="R3171" i="5"/>
  <c r="Q3171" i="5"/>
  <c r="P3171" i="5"/>
  <c r="O3171" i="5"/>
  <c r="N3171" i="5"/>
  <c r="M3171" i="5"/>
  <c r="L3171" i="5"/>
  <c r="K3171" i="5"/>
  <c r="J3171" i="5"/>
  <c r="I3171" i="5"/>
  <c r="H3171" i="5"/>
  <c r="V3170" i="5"/>
  <c r="O3170" i="5"/>
  <c r="N3170" i="5"/>
  <c r="M3170" i="5"/>
  <c r="L3170" i="5"/>
  <c r="K3170" i="5"/>
  <c r="J3170" i="5"/>
  <c r="I3170" i="5"/>
  <c r="H3170" i="5"/>
  <c r="V3169" i="5"/>
  <c r="U3169" i="5"/>
  <c r="T3169" i="5"/>
  <c r="S3169" i="5"/>
  <c r="R3169" i="5"/>
  <c r="Q3169" i="5"/>
  <c r="P3169" i="5"/>
  <c r="O3169" i="5"/>
  <c r="N3169" i="5"/>
  <c r="M3169" i="5"/>
  <c r="L3169" i="5"/>
  <c r="K3169" i="5"/>
  <c r="J3169" i="5"/>
  <c r="I3169" i="5"/>
  <c r="H3169" i="5"/>
  <c r="V3168" i="5"/>
  <c r="U3168" i="5"/>
  <c r="T3168" i="5"/>
  <c r="S3168" i="5"/>
  <c r="R3168" i="5"/>
  <c r="Q3168" i="5"/>
  <c r="P3168" i="5"/>
  <c r="O3168" i="5"/>
  <c r="N3168" i="5"/>
  <c r="M3168" i="5"/>
  <c r="L3168" i="5"/>
  <c r="K3168" i="5"/>
  <c r="J3168" i="5"/>
  <c r="I3168" i="5"/>
  <c r="H3168" i="5"/>
  <c r="V3167" i="5"/>
  <c r="U3167" i="5"/>
  <c r="T3167" i="5"/>
  <c r="S3167" i="5"/>
  <c r="R3167" i="5"/>
  <c r="Q3167" i="5"/>
  <c r="P3167" i="5"/>
  <c r="O3167" i="5"/>
  <c r="N3167" i="5"/>
  <c r="M3167" i="5"/>
  <c r="L3167" i="5"/>
  <c r="K3167" i="5"/>
  <c r="J3167" i="5"/>
  <c r="I3167" i="5"/>
  <c r="H3167" i="5"/>
  <c r="V3166" i="5"/>
  <c r="U3166" i="5"/>
  <c r="T3166" i="5"/>
  <c r="S3166" i="5"/>
  <c r="R3166" i="5"/>
  <c r="Q3166" i="5"/>
  <c r="P3166" i="5"/>
  <c r="O3166" i="5"/>
  <c r="N3166" i="5"/>
  <c r="M3166" i="5"/>
  <c r="L3166" i="5"/>
  <c r="K3166" i="5"/>
  <c r="J3166" i="5"/>
  <c r="I3166" i="5"/>
  <c r="H3166" i="5"/>
  <c r="V3165" i="5"/>
  <c r="U3165" i="5"/>
  <c r="T3165" i="5"/>
  <c r="S3165" i="5"/>
  <c r="R3165" i="5"/>
  <c r="Q3165" i="5"/>
  <c r="P3165" i="5"/>
  <c r="O3165" i="5"/>
  <c r="N3165" i="5"/>
  <c r="M3165" i="5"/>
  <c r="L3165" i="5"/>
  <c r="K3165" i="5"/>
  <c r="J3165" i="5"/>
  <c r="I3165" i="5"/>
  <c r="H3165" i="5"/>
  <c r="V3164" i="5"/>
  <c r="U3164" i="5"/>
  <c r="T3164" i="5"/>
  <c r="S3164" i="5"/>
  <c r="R3164" i="5"/>
  <c r="Q3164" i="5"/>
  <c r="P3164" i="5"/>
  <c r="V3163" i="5"/>
  <c r="U3163" i="5"/>
  <c r="T3163" i="5"/>
  <c r="S3163" i="5"/>
  <c r="R3163" i="5"/>
  <c r="Q3163" i="5"/>
  <c r="P3163" i="5"/>
  <c r="O3163" i="5"/>
  <c r="N3163" i="5"/>
  <c r="M3163" i="5"/>
  <c r="L3163" i="5"/>
  <c r="K3163" i="5"/>
  <c r="J3163" i="5"/>
  <c r="I3163" i="5"/>
  <c r="H3163" i="5"/>
  <c r="U3162" i="5"/>
  <c r="T3162" i="5"/>
  <c r="S3162" i="5"/>
  <c r="R3162" i="5"/>
  <c r="Q3162" i="5"/>
  <c r="P3162" i="5"/>
  <c r="O3162" i="5"/>
  <c r="N3162" i="5"/>
  <c r="M3162" i="5"/>
  <c r="L3162" i="5"/>
  <c r="K3162" i="5"/>
  <c r="J3162" i="5"/>
  <c r="I3162" i="5"/>
  <c r="H3162" i="5"/>
  <c r="V3161" i="5"/>
  <c r="U3161" i="5"/>
  <c r="T3161" i="5"/>
  <c r="S3161" i="5"/>
  <c r="R3161" i="5"/>
  <c r="Q3161" i="5"/>
  <c r="P3161" i="5"/>
  <c r="O3161" i="5"/>
  <c r="N3161" i="5"/>
  <c r="M3161" i="5"/>
  <c r="L3161" i="5"/>
  <c r="K3161" i="5"/>
  <c r="J3161" i="5"/>
  <c r="I3161" i="5"/>
  <c r="H3161" i="5"/>
  <c r="V3160" i="5"/>
  <c r="O3160" i="5"/>
  <c r="N3160" i="5"/>
  <c r="M3160" i="5"/>
  <c r="L3160" i="5"/>
  <c r="K3160" i="5"/>
  <c r="J3160" i="5"/>
  <c r="I3160" i="5"/>
  <c r="H3160" i="5"/>
  <c r="V3159" i="5"/>
  <c r="U3159" i="5"/>
  <c r="T3159" i="5"/>
  <c r="S3159" i="5"/>
  <c r="R3159" i="5"/>
  <c r="Q3159" i="5"/>
  <c r="P3159" i="5"/>
  <c r="O3159" i="5"/>
  <c r="N3159" i="5"/>
  <c r="M3159" i="5"/>
  <c r="L3159" i="5"/>
  <c r="K3159" i="5"/>
  <c r="J3159" i="5"/>
  <c r="I3159" i="5"/>
  <c r="H3159" i="5"/>
  <c r="V3158" i="5"/>
  <c r="U3158" i="5"/>
  <c r="T3158" i="5"/>
  <c r="S3158" i="5"/>
  <c r="R3158" i="5"/>
  <c r="Q3158" i="5"/>
  <c r="P3158" i="5"/>
  <c r="O3158" i="5"/>
  <c r="N3158" i="5"/>
  <c r="M3158" i="5"/>
  <c r="L3158" i="5"/>
  <c r="K3158" i="5"/>
  <c r="J3158" i="5"/>
  <c r="I3158" i="5"/>
  <c r="H3158" i="5"/>
  <c r="V3157" i="5"/>
  <c r="U3157" i="5"/>
  <c r="T3157" i="5"/>
  <c r="S3157" i="5"/>
  <c r="R3157" i="5"/>
  <c r="Q3157" i="5"/>
  <c r="P3157" i="5"/>
  <c r="O3157" i="5"/>
  <c r="N3157" i="5"/>
  <c r="M3157" i="5"/>
  <c r="L3157" i="5"/>
  <c r="K3157" i="5"/>
  <c r="J3157" i="5"/>
  <c r="I3157" i="5"/>
  <c r="H3157" i="5"/>
  <c r="V3156" i="5"/>
  <c r="U3156" i="5"/>
  <c r="T3156" i="5"/>
  <c r="S3156" i="5"/>
  <c r="R3156" i="5"/>
  <c r="Q3156" i="5"/>
  <c r="P3156" i="5"/>
  <c r="O3156" i="5"/>
  <c r="N3156" i="5"/>
  <c r="M3156" i="5"/>
  <c r="L3156" i="5"/>
  <c r="K3156" i="5"/>
  <c r="J3156" i="5"/>
  <c r="I3156" i="5"/>
  <c r="H3156" i="5"/>
  <c r="V3155" i="5"/>
  <c r="U3155" i="5"/>
  <c r="T3155" i="5"/>
  <c r="S3155" i="5"/>
  <c r="R3155" i="5"/>
  <c r="Q3155" i="5"/>
  <c r="P3155" i="5"/>
  <c r="O3155" i="5"/>
  <c r="N3155" i="5"/>
  <c r="M3155" i="5"/>
  <c r="L3155" i="5"/>
  <c r="K3155" i="5"/>
  <c r="J3155" i="5"/>
  <c r="I3155" i="5"/>
  <c r="H3155" i="5"/>
  <c r="V3154" i="5"/>
  <c r="U3154" i="5"/>
  <c r="T3154" i="5"/>
  <c r="S3154" i="5"/>
  <c r="R3154" i="5"/>
  <c r="Q3154" i="5"/>
  <c r="P3154" i="5"/>
  <c r="V3153" i="5"/>
  <c r="U3153" i="5"/>
  <c r="T3153" i="5"/>
  <c r="S3153" i="5"/>
  <c r="R3153" i="5"/>
  <c r="Q3153" i="5"/>
  <c r="P3153" i="5"/>
  <c r="O3153" i="5"/>
  <c r="N3153" i="5"/>
  <c r="M3153" i="5"/>
  <c r="L3153" i="5"/>
  <c r="K3153" i="5"/>
  <c r="J3153" i="5"/>
  <c r="I3153" i="5"/>
  <c r="H3153" i="5"/>
  <c r="U3152" i="5"/>
  <c r="T3152" i="5"/>
  <c r="S3152" i="5"/>
  <c r="R3152" i="5"/>
  <c r="Q3152" i="5"/>
  <c r="P3152" i="5"/>
  <c r="O3152" i="5"/>
  <c r="N3152" i="5"/>
  <c r="M3152" i="5"/>
  <c r="L3152" i="5"/>
  <c r="K3152" i="5"/>
  <c r="J3152" i="5"/>
  <c r="I3152" i="5"/>
  <c r="H3152" i="5"/>
  <c r="V3151" i="5"/>
  <c r="U3151" i="5"/>
  <c r="T3151" i="5"/>
  <c r="S3151" i="5"/>
  <c r="R3151" i="5"/>
  <c r="Q3151" i="5"/>
  <c r="P3151" i="5"/>
  <c r="O3151" i="5"/>
  <c r="N3151" i="5"/>
  <c r="M3151" i="5"/>
  <c r="L3151" i="5"/>
  <c r="K3151" i="5"/>
  <c r="J3151" i="5"/>
  <c r="I3151" i="5"/>
  <c r="H3151" i="5"/>
  <c r="V3150" i="5"/>
  <c r="O3150" i="5"/>
  <c r="N3150" i="5"/>
  <c r="M3150" i="5"/>
  <c r="L3150" i="5"/>
  <c r="K3150" i="5"/>
  <c r="J3150" i="5"/>
  <c r="I3150" i="5"/>
  <c r="H3150" i="5"/>
  <c r="V3149" i="5"/>
  <c r="U3149" i="5"/>
  <c r="T3149" i="5"/>
  <c r="S3149" i="5"/>
  <c r="R3149" i="5"/>
  <c r="Q3149" i="5"/>
  <c r="P3149" i="5"/>
  <c r="O3149" i="5"/>
  <c r="N3149" i="5"/>
  <c r="M3149" i="5"/>
  <c r="L3149" i="5"/>
  <c r="K3149" i="5"/>
  <c r="J3149" i="5"/>
  <c r="I3149" i="5"/>
  <c r="H3149" i="5"/>
  <c r="V3148" i="5"/>
  <c r="U3148" i="5"/>
  <c r="T3148" i="5"/>
  <c r="S3148" i="5"/>
  <c r="R3148" i="5"/>
  <c r="Q3148" i="5"/>
  <c r="P3148" i="5"/>
  <c r="O3148" i="5"/>
  <c r="N3148" i="5"/>
  <c r="M3148" i="5"/>
  <c r="L3148" i="5"/>
  <c r="K3148" i="5"/>
  <c r="J3148" i="5"/>
  <c r="I3148" i="5"/>
  <c r="H3148" i="5"/>
  <c r="V3147" i="5"/>
  <c r="U3147" i="5"/>
  <c r="T3147" i="5"/>
  <c r="S3147" i="5"/>
  <c r="R3147" i="5"/>
  <c r="Q3147" i="5"/>
  <c r="P3147" i="5"/>
  <c r="O3147" i="5"/>
  <c r="N3147" i="5"/>
  <c r="M3147" i="5"/>
  <c r="L3147" i="5"/>
  <c r="K3147" i="5"/>
  <c r="J3147" i="5"/>
  <c r="I3147" i="5"/>
  <c r="H3147" i="5"/>
  <c r="V3146" i="5"/>
  <c r="U3146" i="5"/>
  <c r="T3146" i="5"/>
  <c r="S3146" i="5"/>
  <c r="R3146" i="5"/>
  <c r="Q3146" i="5"/>
  <c r="P3146" i="5"/>
  <c r="O3146" i="5"/>
  <c r="N3146" i="5"/>
  <c r="M3146" i="5"/>
  <c r="L3146" i="5"/>
  <c r="K3146" i="5"/>
  <c r="J3146" i="5"/>
  <c r="I3146" i="5"/>
  <c r="H3146" i="5"/>
  <c r="V3145" i="5"/>
  <c r="U3145" i="5"/>
  <c r="T3145" i="5"/>
  <c r="S3145" i="5"/>
  <c r="R3145" i="5"/>
  <c r="Q3145" i="5"/>
  <c r="P3145" i="5"/>
  <c r="O3145" i="5"/>
  <c r="N3145" i="5"/>
  <c r="M3145" i="5"/>
  <c r="L3145" i="5"/>
  <c r="K3145" i="5"/>
  <c r="J3145" i="5"/>
  <c r="I3145" i="5"/>
  <c r="H3145" i="5"/>
  <c r="V3144" i="5"/>
  <c r="U3144" i="5"/>
  <c r="T3144" i="5"/>
  <c r="S3144" i="5"/>
  <c r="R3144" i="5"/>
  <c r="Q3144" i="5"/>
  <c r="P3144" i="5"/>
  <c r="V3143" i="5"/>
  <c r="U3143" i="5"/>
  <c r="T3143" i="5"/>
  <c r="S3143" i="5"/>
  <c r="R3143" i="5"/>
  <c r="Q3143" i="5"/>
  <c r="P3143" i="5"/>
  <c r="O3143" i="5"/>
  <c r="N3143" i="5"/>
  <c r="M3143" i="5"/>
  <c r="L3143" i="5"/>
  <c r="K3143" i="5"/>
  <c r="J3143" i="5"/>
  <c r="I3143" i="5"/>
  <c r="H3143" i="5"/>
  <c r="U3142" i="5"/>
  <c r="T3142" i="5"/>
  <c r="S3142" i="5"/>
  <c r="R3142" i="5"/>
  <c r="Q3142" i="5"/>
  <c r="P3142" i="5"/>
  <c r="O3142" i="5"/>
  <c r="N3142" i="5"/>
  <c r="M3142" i="5"/>
  <c r="L3142" i="5"/>
  <c r="K3142" i="5"/>
  <c r="J3142" i="5"/>
  <c r="I3142" i="5"/>
  <c r="H3142" i="5"/>
  <c r="V3141" i="5"/>
  <c r="U3141" i="5"/>
  <c r="T3141" i="5"/>
  <c r="S3141" i="5"/>
  <c r="R3141" i="5"/>
  <c r="Q3141" i="5"/>
  <c r="P3141" i="5"/>
  <c r="O3141" i="5"/>
  <c r="N3141" i="5"/>
  <c r="M3141" i="5"/>
  <c r="L3141" i="5"/>
  <c r="K3141" i="5"/>
  <c r="J3141" i="5"/>
  <c r="I3141" i="5"/>
  <c r="H3141" i="5"/>
  <c r="V3140" i="5"/>
  <c r="O3140" i="5"/>
  <c r="N3140" i="5"/>
  <c r="M3140" i="5"/>
  <c r="L3140" i="5"/>
  <c r="K3140" i="5"/>
  <c r="J3140" i="5"/>
  <c r="I3140" i="5"/>
  <c r="H3140" i="5"/>
  <c r="V3139" i="5"/>
  <c r="U3139" i="5"/>
  <c r="T3139" i="5"/>
  <c r="S3139" i="5"/>
  <c r="R3139" i="5"/>
  <c r="Q3139" i="5"/>
  <c r="P3139" i="5"/>
  <c r="O3139" i="5"/>
  <c r="N3139" i="5"/>
  <c r="M3139" i="5"/>
  <c r="L3139" i="5"/>
  <c r="K3139" i="5"/>
  <c r="J3139" i="5"/>
  <c r="I3139" i="5"/>
  <c r="H3139" i="5"/>
  <c r="V3138" i="5"/>
  <c r="U3138" i="5"/>
  <c r="T3138" i="5"/>
  <c r="S3138" i="5"/>
  <c r="R3138" i="5"/>
  <c r="Q3138" i="5"/>
  <c r="P3138" i="5"/>
  <c r="O3138" i="5"/>
  <c r="N3138" i="5"/>
  <c r="M3138" i="5"/>
  <c r="L3138" i="5"/>
  <c r="K3138" i="5"/>
  <c r="J3138" i="5"/>
  <c r="I3138" i="5"/>
  <c r="H3138" i="5"/>
  <c r="V3137" i="5"/>
  <c r="U3137" i="5"/>
  <c r="T3137" i="5"/>
  <c r="S3137" i="5"/>
  <c r="R3137" i="5"/>
  <c r="Q3137" i="5"/>
  <c r="P3137" i="5"/>
  <c r="O3137" i="5"/>
  <c r="N3137" i="5"/>
  <c r="M3137" i="5"/>
  <c r="L3137" i="5"/>
  <c r="K3137" i="5"/>
  <c r="J3137" i="5"/>
  <c r="I3137" i="5"/>
  <c r="H3137" i="5"/>
  <c r="V3136" i="5"/>
  <c r="U3136" i="5"/>
  <c r="T3136" i="5"/>
  <c r="S3136" i="5"/>
  <c r="R3136" i="5"/>
  <c r="Q3136" i="5"/>
  <c r="P3136" i="5"/>
  <c r="O3136" i="5"/>
  <c r="N3136" i="5"/>
  <c r="M3136" i="5"/>
  <c r="L3136" i="5"/>
  <c r="K3136" i="5"/>
  <c r="J3136" i="5"/>
  <c r="I3136" i="5"/>
  <c r="H3136" i="5"/>
  <c r="V3135" i="5"/>
  <c r="U3135" i="5"/>
  <c r="T3135" i="5"/>
  <c r="S3135" i="5"/>
  <c r="R3135" i="5"/>
  <c r="Q3135" i="5"/>
  <c r="P3135" i="5"/>
  <c r="O3135" i="5"/>
  <c r="N3135" i="5"/>
  <c r="M3135" i="5"/>
  <c r="L3135" i="5"/>
  <c r="K3135" i="5"/>
  <c r="J3135" i="5"/>
  <c r="I3135" i="5"/>
  <c r="H3135" i="5"/>
  <c r="V3134" i="5"/>
  <c r="U3134" i="5"/>
  <c r="T3134" i="5"/>
  <c r="S3134" i="5"/>
  <c r="R3134" i="5"/>
  <c r="Q3134" i="5"/>
  <c r="P3134" i="5"/>
  <c r="V3133" i="5"/>
  <c r="U3133" i="5"/>
  <c r="T3133" i="5"/>
  <c r="S3133" i="5"/>
  <c r="R3133" i="5"/>
  <c r="Q3133" i="5"/>
  <c r="P3133" i="5"/>
  <c r="O3133" i="5"/>
  <c r="N3133" i="5"/>
  <c r="M3133" i="5"/>
  <c r="L3133" i="5"/>
  <c r="K3133" i="5"/>
  <c r="J3133" i="5"/>
  <c r="I3133" i="5"/>
  <c r="H3133" i="5"/>
  <c r="U3132" i="5"/>
  <c r="T3132" i="5"/>
  <c r="S3132" i="5"/>
  <c r="R3132" i="5"/>
  <c r="Q3132" i="5"/>
  <c r="P3132" i="5"/>
  <c r="O3132" i="5"/>
  <c r="N3132" i="5"/>
  <c r="M3132" i="5"/>
  <c r="L3132" i="5"/>
  <c r="K3132" i="5"/>
  <c r="J3132" i="5"/>
  <c r="I3132" i="5"/>
  <c r="H3132" i="5"/>
  <c r="V3131" i="5"/>
  <c r="U3131" i="5"/>
  <c r="T3131" i="5"/>
  <c r="S3131" i="5"/>
  <c r="R3131" i="5"/>
  <c r="Q3131" i="5"/>
  <c r="P3131" i="5"/>
  <c r="O3131" i="5"/>
  <c r="N3131" i="5"/>
  <c r="M3131" i="5"/>
  <c r="L3131" i="5"/>
  <c r="K3131" i="5"/>
  <c r="J3131" i="5"/>
  <c r="I3131" i="5"/>
  <c r="H3131" i="5"/>
  <c r="V3130" i="5"/>
  <c r="O3130" i="5"/>
  <c r="N3130" i="5"/>
  <c r="M3130" i="5"/>
  <c r="L3130" i="5"/>
  <c r="K3130" i="5"/>
  <c r="J3130" i="5"/>
  <c r="I3130" i="5"/>
  <c r="H3130" i="5"/>
  <c r="V3129" i="5"/>
  <c r="U3129" i="5"/>
  <c r="T3129" i="5"/>
  <c r="S3129" i="5"/>
  <c r="R3129" i="5"/>
  <c r="Q3129" i="5"/>
  <c r="P3129" i="5"/>
  <c r="O3129" i="5"/>
  <c r="N3129" i="5"/>
  <c r="M3129" i="5"/>
  <c r="L3129" i="5"/>
  <c r="K3129" i="5"/>
  <c r="J3129" i="5"/>
  <c r="I3129" i="5"/>
  <c r="H3129" i="5"/>
  <c r="V3128" i="5"/>
  <c r="U3128" i="5"/>
  <c r="T3128" i="5"/>
  <c r="S3128" i="5"/>
  <c r="R3128" i="5"/>
  <c r="Q3128" i="5"/>
  <c r="P3128" i="5"/>
  <c r="O3128" i="5"/>
  <c r="N3128" i="5"/>
  <c r="M3128" i="5"/>
  <c r="L3128" i="5"/>
  <c r="K3128" i="5"/>
  <c r="J3128" i="5"/>
  <c r="I3128" i="5"/>
  <c r="H3128" i="5"/>
  <c r="V3127" i="5"/>
  <c r="U3127" i="5"/>
  <c r="T3127" i="5"/>
  <c r="S3127" i="5"/>
  <c r="R3127" i="5"/>
  <c r="Q3127" i="5"/>
  <c r="P3127" i="5"/>
  <c r="O3127" i="5"/>
  <c r="N3127" i="5"/>
  <c r="M3127" i="5"/>
  <c r="L3127" i="5"/>
  <c r="K3127" i="5"/>
  <c r="J3127" i="5"/>
  <c r="I3127" i="5"/>
  <c r="H3127" i="5"/>
  <c r="V3126" i="5"/>
  <c r="U3126" i="5"/>
  <c r="T3126" i="5"/>
  <c r="S3126" i="5"/>
  <c r="R3126" i="5"/>
  <c r="Q3126" i="5"/>
  <c r="P3126" i="5"/>
  <c r="O3126" i="5"/>
  <c r="N3126" i="5"/>
  <c r="M3126" i="5"/>
  <c r="L3126" i="5"/>
  <c r="K3126" i="5"/>
  <c r="J3126" i="5"/>
  <c r="I3126" i="5"/>
  <c r="H3126" i="5"/>
  <c r="V3125" i="5"/>
  <c r="U3125" i="5"/>
  <c r="T3125" i="5"/>
  <c r="S3125" i="5"/>
  <c r="R3125" i="5"/>
  <c r="Q3125" i="5"/>
  <c r="P3125" i="5"/>
  <c r="O3125" i="5"/>
  <c r="N3125" i="5"/>
  <c r="M3125" i="5"/>
  <c r="L3125" i="5"/>
  <c r="K3125" i="5"/>
  <c r="J3125" i="5"/>
  <c r="I3125" i="5"/>
  <c r="H3125" i="5"/>
  <c r="V3124" i="5"/>
  <c r="U3124" i="5"/>
  <c r="T3124" i="5"/>
  <c r="S3124" i="5"/>
  <c r="R3124" i="5"/>
  <c r="Q3124" i="5"/>
  <c r="P3124" i="5"/>
  <c r="V3123" i="5"/>
  <c r="U3123" i="5"/>
  <c r="T3123" i="5"/>
  <c r="S3123" i="5"/>
  <c r="R3123" i="5"/>
  <c r="Q3123" i="5"/>
  <c r="P3123" i="5"/>
  <c r="O3123" i="5"/>
  <c r="N3123" i="5"/>
  <c r="M3123" i="5"/>
  <c r="L3123" i="5"/>
  <c r="K3123" i="5"/>
  <c r="J3123" i="5"/>
  <c r="I3123" i="5"/>
  <c r="H3123" i="5"/>
  <c r="U3122" i="5"/>
  <c r="T3122" i="5"/>
  <c r="S3122" i="5"/>
  <c r="R3122" i="5"/>
  <c r="Q3122" i="5"/>
  <c r="P3122" i="5"/>
  <c r="O3122" i="5"/>
  <c r="N3122" i="5"/>
  <c r="M3122" i="5"/>
  <c r="L3122" i="5"/>
  <c r="K3122" i="5"/>
  <c r="J3122" i="5"/>
  <c r="I3122" i="5"/>
  <c r="H3122" i="5"/>
  <c r="V3121" i="5"/>
  <c r="U3121" i="5"/>
  <c r="T3121" i="5"/>
  <c r="S3121" i="5"/>
  <c r="R3121" i="5"/>
  <c r="Q3121" i="5"/>
  <c r="P3121" i="5"/>
  <c r="O3121" i="5"/>
  <c r="N3121" i="5"/>
  <c r="M3121" i="5"/>
  <c r="L3121" i="5"/>
  <c r="K3121" i="5"/>
  <c r="J3121" i="5"/>
  <c r="I3121" i="5"/>
  <c r="H3121" i="5"/>
  <c r="V3120" i="5"/>
  <c r="O3120" i="5"/>
  <c r="N3120" i="5"/>
  <c r="M3120" i="5"/>
  <c r="L3120" i="5"/>
  <c r="K3120" i="5"/>
  <c r="J3120" i="5"/>
  <c r="I3120" i="5"/>
  <c r="H3120" i="5"/>
  <c r="V3119" i="5"/>
  <c r="U3119" i="5"/>
  <c r="T3119" i="5"/>
  <c r="S3119" i="5"/>
  <c r="R3119" i="5"/>
  <c r="Q3119" i="5"/>
  <c r="P3119" i="5"/>
  <c r="O3119" i="5"/>
  <c r="N3119" i="5"/>
  <c r="M3119" i="5"/>
  <c r="L3119" i="5"/>
  <c r="K3119" i="5"/>
  <c r="J3119" i="5"/>
  <c r="I3119" i="5"/>
  <c r="H3119" i="5"/>
  <c r="V3118" i="5"/>
  <c r="U3118" i="5"/>
  <c r="T3118" i="5"/>
  <c r="S3118" i="5"/>
  <c r="R3118" i="5"/>
  <c r="Q3118" i="5"/>
  <c r="P3118" i="5"/>
  <c r="O3118" i="5"/>
  <c r="N3118" i="5"/>
  <c r="M3118" i="5"/>
  <c r="L3118" i="5"/>
  <c r="K3118" i="5"/>
  <c r="J3118" i="5"/>
  <c r="I3118" i="5"/>
  <c r="H3118" i="5"/>
  <c r="V3117" i="5"/>
  <c r="U3117" i="5"/>
  <c r="T3117" i="5"/>
  <c r="S3117" i="5"/>
  <c r="R3117" i="5"/>
  <c r="Q3117" i="5"/>
  <c r="P3117" i="5"/>
  <c r="O3117" i="5"/>
  <c r="N3117" i="5"/>
  <c r="M3117" i="5"/>
  <c r="L3117" i="5"/>
  <c r="K3117" i="5"/>
  <c r="J3117" i="5"/>
  <c r="I3117" i="5"/>
  <c r="H3117" i="5"/>
  <c r="V3116" i="5"/>
  <c r="U3116" i="5"/>
  <c r="T3116" i="5"/>
  <c r="S3116" i="5"/>
  <c r="R3116" i="5"/>
  <c r="Q3116" i="5"/>
  <c r="P3116" i="5"/>
  <c r="O3116" i="5"/>
  <c r="N3116" i="5"/>
  <c r="M3116" i="5"/>
  <c r="L3116" i="5"/>
  <c r="K3116" i="5"/>
  <c r="J3116" i="5"/>
  <c r="I3116" i="5"/>
  <c r="H3116" i="5"/>
  <c r="V3115" i="5"/>
  <c r="U3115" i="5"/>
  <c r="T3115" i="5"/>
  <c r="S3115" i="5"/>
  <c r="R3115" i="5"/>
  <c r="Q3115" i="5"/>
  <c r="P3115" i="5"/>
  <c r="O3115" i="5"/>
  <c r="N3115" i="5"/>
  <c r="M3115" i="5"/>
  <c r="L3115" i="5"/>
  <c r="K3115" i="5"/>
  <c r="J3115" i="5"/>
  <c r="I3115" i="5"/>
  <c r="H3115" i="5"/>
  <c r="V3114" i="5"/>
  <c r="U3114" i="5"/>
  <c r="T3114" i="5"/>
  <c r="S3114" i="5"/>
  <c r="R3114" i="5"/>
  <c r="Q3114" i="5"/>
  <c r="P3114" i="5"/>
  <c r="V3113" i="5"/>
  <c r="U3113" i="5"/>
  <c r="T3113" i="5"/>
  <c r="S3113" i="5"/>
  <c r="R3113" i="5"/>
  <c r="Q3113" i="5"/>
  <c r="P3113" i="5"/>
  <c r="O3113" i="5"/>
  <c r="N3113" i="5"/>
  <c r="M3113" i="5"/>
  <c r="L3113" i="5"/>
  <c r="K3113" i="5"/>
  <c r="J3113" i="5"/>
  <c r="I3113" i="5"/>
  <c r="H3113" i="5"/>
  <c r="U3112" i="5"/>
  <c r="T3112" i="5"/>
  <c r="S3112" i="5"/>
  <c r="R3112" i="5"/>
  <c r="Q3112" i="5"/>
  <c r="P3112" i="5"/>
  <c r="O3112" i="5"/>
  <c r="N3112" i="5"/>
  <c r="M3112" i="5"/>
  <c r="L3112" i="5"/>
  <c r="K3112" i="5"/>
  <c r="J3112" i="5"/>
  <c r="I3112" i="5"/>
  <c r="H3112" i="5"/>
  <c r="V3111" i="5"/>
  <c r="U3111" i="5"/>
  <c r="T3111" i="5"/>
  <c r="S3111" i="5"/>
  <c r="R3111" i="5"/>
  <c r="Q3111" i="5"/>
  <c r="P3111" i="5"/>
  <c r="O3111" i="5"/>
  <c r="N3111" i="5"/>
  <c r="M3111" i="5"/>
  <c r="L3111" i="5"/>
  <c r="K3111" i="5"/>
  <c r="J3111" i="5"/>
  <c r="I3111" i="5"/>
  <c r="H3111" i="5"/>
  <c r="V3110" i="5"/>
  <c r="O3110" i="5"/>
  <c r="N3110" i="5"/>
  <c r="M3110" i="5"/>
  <c r="L3110" i="5"/>
  <c r="K3110" i="5"/>
  <c r="J3110" i="5"/>
  <c r="I3110" i="5"/>
  <c r="H3110" i="5"/>
  <c r="V3109" i="5"/>
  <c r="U3109" i="5"/>
  <c r="T3109" i="5"/>
  <c r="S3109" i="5"/>
  <c r="R3109" i="5"/>
  <c r="Q3109" i="5"/>
  <c r="P3109" i="5"/>
  <c r="O3109" i="5"/>
  <c r="N3109" i="5"/>
  <c r="M3109" i="5"/>
  <c r="L3109" i="5"/>
  <c r="K3109" i="5"/>
  <c r="J3109" i="5"/>
  <c r="I3109" i="5"/>
  <c r="H3109" i="5"/>
  <c r="V3108" i="5"/>
  <c r="U3108" i="5"/>
  <c r="T3108" i="5"/>
  <c r="S3108" i="5"/>
  <c r="R3108" i="5"/>
  <c r="Q3108" i="5"/>
  <c r="P3108" i="5"/>
  <c r="O3108" i="5"/>
  <c r="N3108" i="5"/>
  <c r="M3108" i="5"/>
  <c r="L3108" i="5"/>
  <c r="K3108" i="5"/>
  <c r="J3108" i="5"/>
  <c r="I3108" i="5"/>
  <c r="H3108" i="5"/>
  <c r="V3107" i="5"/>
  <c r="U3107" i="5"/>
  <c r="T3107" i="5"/>
  <c r="S3107" i="5"/>
  <c r="R3107" i="5"/>
  <c r="Q3107" i="5"/>
  <c r="P3107" i="5"/>
  <c r="O3107" i="5"/>
  <c r="N3107" i="5"/>
  <c r="M3107" i="5"/>
  <c r="L3107" i="5"/>
  <c r="K3107" i="5"/>
  <c r="J3107" i="5"/>
  <c r="I3107" i="5"/>
  <c r="H3107" i="5"/>
  <c r="V3106" i="5"/>
  <c r="U3106" i="5"/>
  <c r="T3106" i="5"/>
  <c r="S3106" i="5"/>
  <c r="R3106" i="5"/>
  <c r="Q3106" i="5"/>
  <c r="P3106" i="5"/>
  <c r="O3106" i="5"/>
  <c r="N3106" i="5"/>
  <c r="M3106" i="5"/>
  <c r="L3106" i="5"/>
  <c r="K3106" i="5"/>
  <c r="J3106" i="5"/>
  <c r="I3106" i="5"/>
  <c r="H3106" i="5"/>
  <c r="V3105" i="5"/>
  <c r="U3105" i="5"/>
  <c r="T3105" i="5"/>
  <c r="S3105" i="5"/>
  <c r="R3105" i="5"/>
  <c r="Q3105" i="5"/>
  <c r="P3105" i="5"/>
  <c r="O3105" i="5"/>
  <c r="N3105" i="5"/>
  <c r="M3105" i="5"/>
  <c r="L3105" i="5"/>
  <c r="K3105" i="5"/>
  <c r="J3105" i="5"/>
  <c r="I3105" i="5"/>
  <c r="H3105" i="5"/>
  <c r="V3104" i="5"/>
  <c r="U3104" i="5"/>
  <c r="T3104" i="5"/>
  <c r="S3104" i="5"/>
  <c r="R3104" i="5"/>
  <c r="Q3104" i="5"/>
  <c r="P3104" i="5"/>
  <c r="V3103" i="5"/>
  <c r="U3103" i="5"/>
  <c r="T3103" i="5"/>
  <c r="S3103" i="5"/>
  <c r="R3103" i="5"/>
  <c r="Q3103" i="5"/>
  <c r="P3103" i="5"/>
  <c r="O3103" i="5"/>
  <c r="N3103" i="5"/>
  <c r="M3103" i="5"/>
  <c r="L3103" i="5"/>
  <c r="K3103" i="5"/>
  <c r="J3103" i="5"/>
  <c r="I3103" i="5"/>
  <c r="H3103" i="5"/>
  <c r="U3102" i="5"/>
  <c r="T3102" i="5"/>
  <c r="S3102" i="5"/>
  <c r="R3102" i="5"/>
  <c r="Q3102" i="5"/>
  <c r="P3102" i="5"/>
  <c r="O3102" i="5"/>
  <c r="N3102" i="5"/>
  <c r="M3102" i="5"/>
  <c r="L3102" i="5"/>
  <c r="K3102" i="5"/>
  <c r="J3102" i="5"/>
  <c r="I3102" i="5"/>
  <c r="H3102" i="5"/>
  <c r="V3101" i="5"/>
  <c r="U3101" i="5"/>
  <c r="T3101" i="5"/>
  <c r="S3101" i="5"/>
  <c r="R3101" i="5"/>
  <c r="Q3101" i="5"/>
  <c r="P3101" i="5"/>
  <c r="O3101" i="5"/>
  <c r="N3101" i="5"/>
  <c r="M3101" i="5"/>
  <c r="L3101" i="5"/>
  <c r="K3101" i="5"/>
  <c r="J3101" i="5"/>
  <c r="I3101" i="5"/>
  <c r="H3101" i="5"/>
  <c r="V3100" i="5"/>
  <c r="O3100" i="5"/>
  <c r="N3100" i="5"/>
  <c r="M3100" i="5"/>
  <c r="L3100" i="5"/>
  <c r="K3100" i="5"/>
  <c r="J3100" i="5"/>
  <c r="I3100" i="5"/>
  <c r="H3100" i="5"/>
  <c r="V3099" i="5"/>
  <c r="U3099" i="5"/>
  <c r="T3099" i="5"/>
  <c r="S3099" i="5"/>
  <c r="R3099" i="5"/>
  <c r="Q3099" i="5"/>
  <c r="P3099" i="5"/>
  <c r="O3099" i="5"/>
  <c r="N3099" i="5"/>
  <c r="M3099" i="5"/>
  <c r="L3099" i="5"/>
  <c r="K3099" i="5"/>
  <c r="J3099" i="5"/>
  <c r="I3099" i="5"/>
  <c r="H3099" i="5"/>
  <c r="V3098" i="5"/>
  <c r="U3098" i="5"/>
  <c r="T3098" i="5"/>
  <c r="S3098" i="5"/>
  <c r="R3098" i="5"/>
  <c r="Q3098" i="5"/>
  <c r="P3098" i="5"/>
  <c r="O3098" i="5"/>
  <c r="N3098" i="5"/>
  <c r="M3098" i="5"/>
  <c r="L3098" i="5"/>
  <c r="K3098" i="5"/>
  <c r="J3098" i="5"/>
  <c r="I3098" i="5"/>
  <c r="H3098" i="5"/>
  <c r="V3097" i="5"/>
  <c r="U3097" i="5"/>
  <c r="T3097" i="5"/>
  <c r="S3097" i="5"/>
  <c r="R3097" i="5"/>
  <c r="Q3097" i="5"/>
  <c r="P3097" i="5"/>
  <c r="O3097" i="5"/>
  <c r="N3097" i="5"/>
  <c r="M3097" i="5"/>
  <c r="L3097" i="5"/>
  <c r="K3097" i="5"/>
  <c r="J3097" i="5"/>
  <c r="I3097" i="5"/>
  <c r="H3097" i="5"/>
  <c r="V3096" i="5"/>
  <c r="U3096" i="5"/>
  <c r="T3096" i="5"/>
  <c r="S3096" i="5"/>
  <c r="R3096" i="5"/>
  <c r="Q3096" i="5"/>
  <c r="P3096" i="5"/>
  <c r="O3096" i="5"/>
  <c r="N3096" i="5"/>
  <c r="M3096" i="5"/>
  <c r="L3096" i="5"/>
  <c r="K3096" i="5"/>
  <c r="J3096" i="5"/>
  <c r="I3096" i="5"/>
  <c r="H3096" i="5"/>
  <c r="V3095" i="5"/>
  <c r="U3095" i="5"/>
  <c r="T3095" i="5"/>
  <c r="S3095" i="5"/>
  <c r="R3095" i="5"/>
  <c r="Q3095" i="5"/>
  <c r="P3095" i="5"/>
  <c r="O3095" i="5"/>
  <c r="N3095" i="5"/>
  <c r="M3095" i="5"/>
  <c r="L3095" i="5"/>
  <c r="K3095" i="5"/>
  <c r="J3095" i="5"/>
  <c r="I3095" i="5"/>
  <c r="H3095" i="5"/>
  <c r="V3094" i="5"/>
  <c r="U3094" i="5"/>
  <c r="T3094" i="5"/>
  <c r="S3094" i="5"/>
  <c r="R3094" i="5"/>
  <c r="Q3094" i="5"/>
  <c r="P3094" i="5"/>
  <c r="V3093" i="5"/>
  <c r="U3093" i="5"/>
  <c r="T3093" i="5"/>
  <c r="S3093" i="5"/>
  <c r="R3093" i="5"/>
  <c r="Q3093" i="5"/>
  <c r="P3093" i="5"/>
  <c r="O3093" i="5"/>
  <c r="N3093" i="5"/>
  <c r="M3093" i="5"/>
  <c r="L3093" i="5"/>
  <c r="K3093" i="5"/>
  <c r="J3093" i="5"/>
  <c r="I3093" i="5"/>
  <c r="H3093" i="5"/>
  <c r="U3092" i="5"/>
  <c r="T3092" i="5"/>
  <c r="S3092" i="5"/>
  <c r="R3092" i="5"/>
  <c r="Q3092" i="5"/>
  <c r="P3092" i="5"/>
  <c r="O3092" i="5"/>
  <c r="N3092" i="5"/>
  <c r="M3092" i="5"/>
  <c r="L3092" i="5"/>
  <c r="K3092" i="5"/>
  <c r="J3092" i="5"/>
  <c r="I3092" i="5"/>
  <c r="H3092" i="5"/>
  <c r="V3091" i="5"/>
  <c r="U3091" i="5"/>
  <c r="T3091" i="5"/>
  <c r="S3091" i="5"/>
  <c r="R3091" i="5"/>
  <c r="Q3091" i="5"/>
  <c r="P3091" i="5"/>
  <c r="O3091" i="5"/>
  <c r="N3091" i="5"/>
  <c r="M3091" i="5"/>
  <c r="L3091" i="5"/>
  <c r="K3091" i="5"/>
  <c r="J3091" i="5"/>
  <c r="I3091" i="5"/>
  <c r="H3091" i="5"/>
  <c r="V3090" i="5"/>
  <c r="O3090" i="5"/>
  <c r="N3090" i="5"/>
  <c r="M3090" i="5"/>
  <c r="L3090" i="5"/>
  <c r="K3090" i="5"/>
  <c r="J3090" i="5"/>
  <c r="I3090" i="5"/>
  <c r="H3090" i="5"/>
  <c r="V3089" i="5"/>
  <c r="U3089" i="5"/>
  <c r="T3089" i="5"/>
  <c r="S3089" i="5"/>
  <c r="R3089" i="5"/>
  <c r="Q3089" i="5"/>
  <c r="P3089" i="5"/>
  <c r="O3089" i="5"/>
  <c r="N3089" i="5"/>
  <c r="M3089" i="5"/>
  <c r="L3089" i="5"/>
  <c r="K3089" i="5"/>
  <c r="J3089" i="5"/>
  <c r="I3089" i="5"/>
  <c r="H3089" i="5"/>
  <c r="V3088" i="5"/>
  <c r="U3088" i="5"/>
  <c r="T3088" i="5"/>
  <c r="S3088" i="5"/>
  <c r="R3088" i="5"/>
  <c r="Q3088" i="5"/>
  <c r="P3088" i="5"/>
  <c r="O3088" i="5"/>
  <c r="N3088" i="5"/>
  <c r="M3088" i="5"/>
  <c r="L3088" i="5"/>
  <c r="K3088" i="5"/>
  <c r="J3088" i="5"/>
  <c r="I3088" i="5"/>
  <c r="H3088" i="5"/>
  <c r="V3087" i="5"/>
  <c r="U3087" i="5"/>
  <c r="T3087" i="5"/>
  <c r="S3087" i="5"/>
  <c r="R3087" i="5"/>
  <c r="Q3087" i="5"/>
  <c r="P3087" i="5"/>
  <c r="V3086" i="5"/>
  <c r="U3086" i="5"/>
  <c r="T3086" i="5"/>
  <c r="S3086" i="5"/>
  <c r="R3086" i="5"/>
  <c r="Q3086" i="5"/>
  <c r="P3086" i="5"/>
  <c r="U3085" i="5"/>
  <c r="T3085" i="5"/>
  <c r="S3085" i="5"/>
  <c r="R3085" i="5"/>
  <c r="Q3085" i="5"/>
  <c r="P3085" i="5"/>
  <c r="U3084" i="5"/>
  <c r="T3084" i="5"/>
  <c r="S3084" i="5"/>
  <c r="R3084" i="5"/>
  <c r="Q3084" i="5"/>
  <c r="P3084" i="5"/>
  <c r="O3077" i="5"/>
  <c r="N3077" i="5"/>
  <c r="M3077" i="5"/>
  <c r="L3077" i="5"/>
  <c r="K3077" i="5"/>
  <c r="J3077" i="5"/>
  <c r="I3077" i="5"/>
  <c r="H3077" i="5"/>
  <c r="O3076" i="5"/>
  <c r="N3076" i="5"/>
  <c r="M3076" i="5"/>
  <c r="L3076" i="5"/>
  <c r="K3076" i="5"/>
  <c r="J3076" i="5"/>
  <c r="I3076" i="5"/>
  <c r="H3076" i="5"/>
  <c r="V3075" i="5"/>
  <c r="O3075" i="5"/>
  <c r="N3075" i="5"/>
  <c r="M3075" i="5"/>
  <c r="L3075" i="5"/>
  <c r="K3075" i="5"/>
  <c r="J3075" i="5"/>
  <c r="I3075" i="5"/>
  <c r="H3075" i="5"/>
  <c r="V3074" i="5"/>
  <c r="V3073" i="5"/>
  <c r="U3073" i="5"/>
  <c r="T3073" i="5"/>
  <c r="S3073" i="5"/>
  <c r="R3073" i="5"/>
  <c r="Q3073" i="5"/>
  <c r="P3073" i="5"/>
  <c r="O3073" i="5"/>
  <c r="N3073" i="5"/>
  <c r="M3073" i="5"/>
  <c r="L3073" i="5"/>
  <c r="K3073" i="5"/>
  <c r="J3073" i="5"/>
  <c r="I3073" i="5"/>
  <c r="H3073" i="5"/>
  <c r="U3072" i="5"/>
  <c r="T3072" i="5"/>
  <c r="S3072" i="5"/>
  <c r="R3072" i="5"/>
  <c r="Q3072" i="5"/>
  <c r="P3072" i="5"/>
  <c r="O3072" i="5"/>
  <c r="N3072" i="5"/>
  <c r="M3072" i="5"/>
  <c r="L3072" i="5"/>
  <c r="K3072" i="5"/>
  <c r="J3072" i="5"/>
  <c r="I3072" i="5"/>
  <c r="H3072" i="5"/>
  <c r="V3071" i="5"/>
  <c r="U3071" i="5"/>
  <c r="T3071" i="5"/>
  <c r="S3071" i="5"/>
  <c r="R3071" i="5"/>
  <c r="Q3071" i="5"/>
  <c r="P3071" i="5"/>
  <c r="O3071" i="5"/>
  <c r="N3071" i="5"/>
  <c r="M3071" i="5"/>
  <c r="L3071" i="5"/>
  <c r="K3071" i="5"/>
  <c r="J3071" i="5"/>
  <c r="I3071" i="5"/>
  <c r="H3071" i="5"/>
  <c r="V3070" i="5"/>
  <c r="O3070" i="5"/>
  <c r="N3070" i="5"/>
  <c r="M3070" i="5"/>
  <c r="L3070" i="5"/>
  <c r="K3070" i="5"/>
  <c r="J3070" i="5"/>
  <c r="I3070" i="5"/>
  <c r="H3070" i="5"/>
  <c r="V3069" i="5"/>
  <c r="U3069" i="5"/>
  <c r="T3069" i="5"/>
  <c r="S3069" i="5"/>
  <c r="R3069" i="5"/>
  <c r="Q3069" i="5"/>
  <c r="P3069" i="5"/>
  <c r="O3069" i="5"/>
  <c r="N3069" i="5"/>
  <c r="M3069" i="5"/>
  <c r="L3069" i="5"/>
  <c r="K3069" i="5"/>
  <c r="J3069" i="5"/>
  <c r="I3069" i="5"/>
  <c r="H3069" i="5"/>
  <c r="V3068" i="5"/>
  <c r="U3068" i="5"/>
  <c r="T3068" i="5"/>
  <c r="S3068" i="5"/>
  <c r="R3068" i="5"/>
  <c r="Q3068" i="5"/>
  <c r="P3068" i="5"/>
  <c r="O3068" i="5"/>
  <c r="N3068" i="5"/>
  <c r="M3068" i="5"/>
  <c r="L3068" i="5"/>
  <c r="K3068" i="5"/>
  <c r="J3068" i="5"/>
  <c r="I3068" i="5"/>
  <c r="H3068" i="5"/>
  <c r="V3067" i="5"/>
  <c r="U3067" i="5"/>
  <c r="T3067" i="5"/>
  <c r="S3067" i="5"/>
  <c r="R3067" i="5"/>
  <c r="Q3067" i="5"/>
  <c r="P3067" i="5"/>
  <c r="O3067" i="5"/>
  <c r="N3067" i="5"/>
  <c r="M3067" i="5"/>
  <c r="L3067" i="5"/>
  <c r="K3067" i="5"/>
  <c r="J3067" i="5"/>
  <c r="I3067" i="5"/>
  <c r="H3067" i="5"/>
  <c r="V3066" i="5"/>
  <c r="U3066" i="5"/>
  <c r="T3066" i="5"/>
  <c r="S3066" i="5"/>
  <c r="R3066" i="5"/>
  <c r="Q3066" i="5"/>
  <c r="P3066" i="5"/>
  <c r="O3066" i="5"/>
  <c r="N3066" i="5"/>
  <c r="M3066" i="5"/>
  <c r="L3066" i="5"/>
  <c r="K3066" i="5"/>
  <c r="J3066" i="5"/>
  <c r="I3066" i="5"/>
  <c r="H3066" i="5"/>
  <c r="V3065" i="5"/>
  <c r="U3065" i="5"/>
  <c r="T3065" i="5"/>
  <c r="S3065" i="5"/>
  <c r="R3065" i="5"/>
  <c r="Q3065" i="5"/>
  <c r="P3065" i="5"/>
  <c r="O3065" i="5"/>
  <c r="N3065" i="5"/>
  <c r="M3065" i="5"/>
  <c r="L3065" i="5"/>
  <c r="K3065" i="5"/>
  <c r="J3065" i="5"/>
  <c r="I3065" i="5"/>
  <c r="H3065" i="5"/>
  <c r="V3064" i="5"/>
  <c r="U3064" i="5"/>
  <c r="T3064" i="5"/>
  <c r="S3064" i="5"/>
  <c r="R3064" i="5"/>
  <c r="Q3064" i="5"/>
  <c r="P3064" i="5"/>
  <c r="V3063" i="5"/>
  <c r="U3063" i="5"/>
  <c r="T3063" i="5"/>
  <c r="S3063" i="5"/>
  <c r="R3063" i="5"/>
  <c r="Q3063" i="5"/>
  <c r="P3063" i="5"/>
  <c r="O3063" i="5"/>
  <c r="N3063" i="5"/>
  <c r="M3063" i="5"/>
  <c r="L3063" i="5"/>
  <c r="K3063" i="5"/>
  <c r="J3063" i="5"/>
  <c r="I3063" i="5"/>
  <c r="H3063" i="5"/>
  <c r="U3062" i="5"/>
  <c r="T3062" i="5"/>
  <c r="S3062" i="5"/>
  <c r="R3062" i="5"/>
  <c r="Q3062" i="5"/>
  <c r="P3062" i="5"/>
  <c r="O3062" i="5"/>
  <c r="N3062" i="5"/>
  <c r="M3062" i="5"/>
  <c r="L3062" i="5"/>
  <c r="K3062" i="5"/>
  <c r="J3062" i="5"/>
  <c r="I3062" i="5"/>
  <c r="H3062" i="5"/>
  <c r="V3061" i="5"/>
  <c r="U3061" i="5"/>
  <c r="T3061" i="5"/>
  <c r="S3061" i="5"/>
  <c r="R3061" i="5"/>
  <c r="Q3061" i="5"/>
  <c r="P3061" i="5"/>
  <c r="O3061" i="5"/>
  <c r="N3061" i="5"/>
  <c r="M3061" i="5"/>
  <c r="L3061" i="5"/>
  <c r="K3061" i="5"/>
  <c r="J3061" i="5"/>
  <c r="I3061" i="5"/>
  <c r="H3061" i="5"/>
  <c r="V3060" i="5"/>
  <c r="O3060" i="5"/>
  <c r="N3060" i="5"/>
  <c r="M3060" i="5"/>
  <c r="L3060" i="5"/>
  <c r="K3060" i="5"/>
  <c r="J3060" i="5"/>
  <c r="I3060" i="5"/>
  <c r="H3060" i="5"/>
  <c r="V3059" i="5"/>
  <c r="U3059" i="5"/>
  <c r="T3059" i="5"/>
  <c r="S3059" i="5"/>
  <c r="R3059" i="5"/>
  <c r="Q3059" i="5"/>
  <c r="P3059" i="5"/>
  <c r="O3059" i="5"/>
  <c r="N3059" i="5"/>
  <c r="M3059" i="5"/>
  <c r="L3059" i="5"/>
  <c r="K3059" i="5"/>
  <c r="J3059" i="5"/>
  <c r="I3059" i="5"/>
  <c r="H3059" i="5"/>
  <c r="V3058" i="5"/>
  <c r="U3058" i="5"/>
  <c r="T3058" i="5"/>
  <c r="S3058" i="5"/>
  <c r="R3058" i="5"/>
  <c r="Q3058" i="5"/>
  <c r="P3058" i="5"/>
  <c r="O3058" i="5"/>
  <c r="N3058" i="5"/>
  <c r="M3058" i="5"/>
  <c r="L3058" i="5"/>
  <c r="K3058" i="5"/>
  <c r="J3058" i="5"/>
  <c r="I3058" i="5"/>
  <c r="H3058" i="5"/>
  <c r="V3057" i="5"/>
  <c r="U3057" i="5"/>
  <c r="T3057" i="5"/>
  <c r="S3057" i="5"/>
  <c r="R3057" i="5"/>
  <c r="Q3057" i="5"/>
  <c r="P3057" i="5"/>
  <c r="O3057" i="5"/>
  <c r="N3057" i="5"/>
  <c r="M3057" i="5"/>
  <c r="L3057" i="5"/>
  <c r="K3057" i="5"/>
  <c r="J3057" i="5"/>
  <c r="I3057" i="5"/>
  <c r="H3057" i="5"/>
  <c r="V3056" i="5"/>
  <c r="U3056" i="5"/>
  <c r="T3056" i="5"/>
  <c r="S3056" i="5"/>
  <c r="R3056" i="5"/>
  <c r="Q3056" i="5"/>
  <c r="P3056" i="5"/>
  <c r="O3056" i="5"/>
  <c r="N3056" i="5"/>
  <c r="M3056" i="5"/>
  <c r="L3056" i="5"/>
  <c r="K3056" i="5"/>
  <c r="J3056" i="5"/>
  <c r="I3056" i="5"/>
  <c r="H3056" i="5"/>
  <c r="V3055" i="5"/>
  <c r="U3055" i="5"/>
  <c r="T3055" i="5"/>
  <c r="S3055" i="5"/>
  <c r="R3055" i="5"/>
  <c r="Q3055" i="5"/>
  <c r="P3055" i="5"/>
  <c r="O3055" i="5"/>
  <c r="N3055" i="5"/>
  <c r="M3055" i="5"/>
  <c r="L3055" i="5"/>
  <c r="K3055" i="5"/>
  <c r="J3055" i="5"/>
  <c r="I3055" i="5"/>
  <c r="H3055" i="5"/>
  <c r="V3054" i="5"/>
  <c r="U3054" i="5"/>
  <c r="T3054" i="5"/>
  <c r="S3054" i="5"/>
  <c r="R3054" i="5"/>
  <c r="Q3054" i="5"/>
  <c r="P3054" i="5"/>
  <c r="V3053" i="5"/>
  <c r="U3053" i="5"/>
  <c r="T3053" i="5"/>
  <c r="S3053" i="5"/>
  <c r="R3053" i="5"/>
  <c r="Q3053" i="5"/>
  <c r="P3053" i="5"/>
  <c r="O3053" i="5"/>
  <c r="N3053" i="5"/>
  <c r="M3053" i="5"/>
  <c r="L3053" i="5"/>
  <c r="K3053" i="5"/>
  <c r="J3053" i="5"/>
  <c r="I3053" i="5"/>
  <c r="H3053" i="5"/>
  <c r="U3052" i="5"/>
  <c r="T3052" i="5"/>
  <c r="S3052" i="5"/>
  <c r="R3052" i="5"/>
  <c r="Q3052" i="5"/>
  <c r="P3052" i="5"/>
  <c r="O3052" i="5"/>
  <c r="N3052" i="5"/>
  <c r="M3052" i="5"/>
  <c r="L3052" i="5"/>
  <c r="K3052" i="5"/>
  <c r="J3052" i="5"/>
  <c r="I3052" i="5"/>
  <c r="H3052" i="5"/>
  <c r="V3051" i="5"/>
  <c r="U3051" i="5"/>
  <c r="T3051" i="5"/>
  <c r="S3051" i="5"/>
  <c r="R3051" i="5"/>
  <c r="Q3051" i="5"/>
  <c r="P3051" i="5"/>
  <c r="O3051" i="5"/>
  <c r="N3051" i="5"/>
  <c r="M3051" i="5"/>
  <c r="L3051" i="5"/>
  <c r="K3051" i="5"/>
  <c r="J3051" i="5"/>
  <c r="I3051" i="5"/>
  <c r="H3051" i="5"/>
  <c r="V3050" i="5"/>
  <c r="O3050" i="5"/>
  <c r="N3050" i="5"/>
  <c r="M3050" i="5"/>
  <c r="L3050" i="5"/>
  <c r="K3050" i="5"/>
  <c r="J3050" i="5"/>
  <c r="I3050" i="5"/>
  <c r="H3050" i="5"/>
  <c r="V3049" i="5"/>
  <c r="U3049" i="5"/>
  <c r="T3049" i="5"/>
  <c r="S3049" i="5"/>
  <c r="R3049" i="5"/>
  <c r="Q3049" i="5"/>
  <c r="P3049" i="5"/>
  <c r="O3049" i="5"/>
  <c r="N3049" i="5"/>
  <c r="M3049" i="5"/>
  <c r="L3049" i="5"/>
  <c r="K3049" i="5"/>
  <c r="J3049" i="5"/>
  <c r="I3049" i="5"/>
  <c r="H3049" i="5"/>
  <c r="V3048" i="5"/>
  <c r="U3048" i="5"/>
  <c r="T3048" i="5"/>
  <c r="S3048" i="5"/>
  <c r="R3048" i="5"/>
  <c r="Q3048" i="5"/>
  <c r="P3048" i="5"/>
  <c r="O3048" i="5"/>
  <c r="N3048" i="5"/>
  <c r="M3048" i="5"/>
  <c r="L3048" i="5"/>
  <c r="K3048" i="5"/>
  <c r="J3048" i="5"/>
  <c r="I3048" i="5"/>
  <c r="H3048" i="5"/>
  <c r="V3047" i="5"/>
  <c r="U3047" i="5"/>
  <c r="T3047" i="5"/>
  <c r="S3047" i="5"/>
  <c r="R3047" i="5"/>
  <c r="Q3047" i="5"/>
  <c r="P3047" i="5"/>
  <c r="O3047" i="5"/>
  <c r="N3047" i="5"/>
  <c r="M3047" i="5"/>
  <c r="L3047" i="5"/>
  <c r="K3047" i="5"/>
  <c r="J3047" i="5"/>
  <c r="I3047" i="5"/>
  <c r="H3047" i="5"/>
  <c r="V3046" i="5"/>
  <c r="U3046" i="5"/>
  <c r="T3046" i="5"/>
  <c r="S3046" i="5"/>
  <c r="R3046" i="5"/>
  <c r="Q3046" i="5"/>
  <c r="P3046" i="5"/>
  <c r="O3046" i="5"/>
  <c r="N3046" i="5"/>
  <c r="M3046" i="5"/>
  <c r="L3046" i="5"/>
  <c r="K3046" i="5"/>
  <c r="J3046" i="5"/>
  <c r="I3046" i="5"/>
  <c r="H3046" i="5"/>
  <c r="V3045" i="5"/>
  <c r="U3045" i="5"/>
  <c r="T3045" i="5"/>
  <c r="S3045" i="5"/>
  <c r="R3045" i="5"/>
  <c r="Q3045" i="5"/>
  <c r="P3045" i="5"/>
  <c r="O3045" i="5"/>
  <c r="N3045" i="5"/>
  <c r="M3045" i="5"/>
  <c r="L3045" i="5"/>
  <c r="K3045" i="5"/>
  <c r="J3045" i="5"/>
  <c r="I3045" i="5"/>
  <c r="H3045" i="5"/>
  <c r="V3044" i="5"/>
  <c r="U3044" i="5"/>
  <c r="T3044" i="5"/>
  <c r="S3044" i="5"/>
  <c r="R3044" i="5"/>
  <c r="Q3044" i="5"/>
  <c r="P3044" i="5"/>
  <c r="V3043" i="5"/>
  <c r="U3043" i="5"/>
  <c r="T3043" i="5"/>
  <c r="S3043" i="5"/>
  <c r="R3043" i="5"/>
  <c r="Q3043" i="5"/>
  <c r="P3043" i="5"/>
  <c r="O3043" i="5"/>
  <c r="N3043" i="5"/>
  <c r="M3043" i="5"/>
  <c r="L3043" i="5"/>
  <c r="K3043" i="5"/>
  <c r="J3043" i="5"/>
  <c r="I3043" i="5"/>
  <c r="H3043" i="5"/>
  <c r="U3042" i="5"/>
  <c r="T3042" i="5"/>
  <c r="S3042" i="5"/>
  <c r="R3042" i="5"/>
  <c r="Q3042" i="5"/>
  <c r="P3042" i="5"/>
  <c r="O3042" i="5"/>
  <c r="N3042" i="5"/>
  <c r="M3042" i="5"/>
  <c r="L3042" i="5"/>
  <c r="K3042" i="5"/>
  <c r="J3042" i="5"/>
  <c r="I3042" i="5"/>
  <c r="H3042" i="5"/>
  <c r="V3041" i="5"/>
  <c r="U3041" i="5"/>
  <c r="T3041" i="5"/>
  <c r="S3041" i="5"/>
  <c r="R3041" i="5"/>
  <c r="Q3041" i="5"/>
  <c r="P3041" i="5"/>
  <c r="O3041" i="5"/>
  <c r="N3041" i="5"/>
  <c r="M3041" i="5"/>
  <c r="L3041" i="5"/>
  <c r="K3041" i="5"/>
  <c r="J3041" i="5"/>
  <c r="I3041" i="5"/>
  <c r="H3041" i="5"/>
  <c r="V3040" i="5"/>
  <c r="O3040" i="5"/>
  <c r="N3040" i="5"/>
  <c r="M3040" i="5"/>
  <c r="L3040" i="5"/>
  <c r="K3040" i="5"/>
  <c r="J3040" i="5"/>
  <c r="I3040" i="5"/>
  <c r="H3040" i="5"/>
  <c r="V3039" i="5"/>
  <c r="U3039" i="5"/>
  <c r="T3039" i="5"/>
  <c r="S3039" i="5"/>
  <c r="R3039" i="5"/>
  <c r="Q3039" i="5"/>
  <c r="P3039" i="5"/>
  <c r="O3039" i="5"/>
  <c r="N3039" i="5"/>
  <c r="M3039" i="5"/>
  <c r="L3039" i="5"/>
  <c r="K3039" i="5"/>
  <c r="J3039" i="5"/>
  <c r="I3039" i="5"/>
  <c r="H3039" i="5"/>
  <c r="V3038" i="5"/>
  <c r="U3038" i="5"/>
  <c r="T3038" i="5"/>
  <c r="S3038" i="5"/>
  <c r="R3038" i="5"/>
  <c r="Q3038" i="5"/>
  <c r="P3038" i="5"/>
  <c r="O3038" i="5"/>
  <c r="N3038" i="5"/>
  <c r="M3038" i="5"/>
  <c r="L3038" i="5"/>
  <c r="K3038" i="5"/>
  <c r="J3038" i="5"/>
  <c r="I3038" i="5"/>
  <c r="H3038" i="5"/>
  <c r="V3037" i="5"/>
  <c r="U3037" i="5"/>
  <c r="T3037" i="5"/>
  <c r="S3037" i="5"/>
  <c r="R3037" i="5"/>
  <c r="Q3037" i="5"/>
  <c r="P3037" i="5"/>
  <c r="O3037" i="5"/>
  <c r="N3037" i="5"/>
  <c r="M3037" i="5"/>
  <c r="L3037" i="5"/>
  <c r="K3037" i="5"/>
  <c r="J3037" i="5"/>
  <c r="I3037" i="5"/>
  <c r="H3037" i="5"/>
  <c r="V3036" i="5"/>
  <c r="U3036" i="5"/>
  <c r="T3036" i="5"/>
  <c r="S3036" i="5"/>
  <c r="R3036" i="5"/>
  <c r="Q3036" i="5"/>
  <c r="P3036" i="5"/>
  <c r="O3036" i="5"/>
  <c r="N3036" i="5"/>
  <c r="M3036" i="5"/>
  <c r="L3036" i="5"/>
  <c r="K3036" i="5"/>
  <c r="J3036" i="5"/>
  <c r="I3036" i="5"/>
  <c r="H3036" i="5"/>
  <c r="V3035" i="5"/>
  <c r="U3035" i="5"/>
  <c r="T3035" i="5"/>
  <c r="S3035" i="5"/>
  <c r="R3035" i="5"/>
  <c r="Q3035" i="5"/>
  <c r="P3035" i="5"/>
  <c r="O3035" i="5"/>
  <c r="N3035" i="5"/>
  <c r="M3035" i="5"/>
  <c r="L3035" i="5"/>
  <c r="K3035" i="5"/>
  <c r="J3035" i="5"/>
  <c r="I3035" i="5"/>
  <c r="H3035" i="5"/>
  <c r="V3034" i="5"/>
  <c r="U3034" i="5"/>
  <c r="T3034" i="5"/>
  <c r="S3034" i="5"/>
  <c r="R3034" i="5"/>
  <c r="Q3034" i="5"/>
  <c r="P3034" i="5"/>
  <c r="V3033" i="5"/>
  <c r="U3033" i="5"/>
  <c r="T3033" i="5"/>
  <c r="S3033" i="5"/>
  <c r="R3033" i="5"/>
  <c r="Q3033" i="5"/>
  <c r="P3033" i="5"/>
  <c r="O3033" i="5"/>
  <c r="N3033" i="5"/>
  <c r="M3033" i="5"/>
  <c r="L3033" i="5"/>
  <c r="K3033" i="5"/>
  <c r="J3033" i="5"/>
  <c r="I3033" i="5"/>
  <c r="H3033" i="5"/>
  <c r="U3032" i="5"/>
  <c r="T3032" i="5"/>
  <c r="S3032" i="5"/>
  <c r="R3032" i="5"/>
  <c r="Q3032" i="5"/>
  <c r="P3032" i="5"/>
  <c r="O3032" i="5"/>
  <c r="N3032" i="5"/>
  <c r="M3032" i="5"/>
  <c r="L3032" i="5"/>
  <c r="K3032" i="5"/>
  <c r="J3032" i="5"/>
  <c r="I3032" i="5"/>
  <c r="H3032" i="5"/>
  <c r="V3031" i="5"/>
  <c r="U3031" i="5"/>
  <c r="T3031" i="5"/>
  <c r="S3031" i="5"/>
  <c r="R3031" i="5"/>
  <c r="Q3031" i="5"/>
  <c r="P3031" i="5"/>
  <c r="O3031" i="5"/>
  <c r="N3031" i="5"/>
  <c r="M3031" i="5"/>
  <c r="L3031" i="5"/>
  <c r="K3031" i="5"/>
  <c r="J3031" i="5"/>
  <c r="I3031" i="5"/>
  <c r="H3031" i="5"/>
  <c r="V3030" i="5"/>
  <c r="O3030" i="5"/>
  <c r="N3030" i="5"/>
  <c r="M3030" i="5"/>
  <c r="L3030" i="5"/>
  <c r="K3030" i="5"/>
  <c r="J3030" i="5"/>
  <c r="I3030" i="5"/>
  <c r="H3030" i="5"/>
  <c r="V3029" i="5"/>
  <c r="U3029" i="5"/>
  <c r="T3029" i="5"/>
  <c r="S3029" i="5"/>
  <c r="R3029" i="5"/>
  <c r="Q3029" i="5"/>
  <c r="P3029" i="5"/>
  <c r="O3029" i="5"/>
  <c r="N3029" i="5"/>
  <c r="M3029" i="5"/>
  <c r="L3029" i="5"/>
  <c r="K3029" i="5"/>
  <c r="J3029" i="5"/>
  <c r="I3029" i="5"/>
  <c r="H3029" i="5"/>
  <c r="V3028" i="5"/>
  <c r="U3028" i="5"/>
  <c r="T3028" i="5"/>
  <c r="S3028" i="5"/>
  <c r="R3028" i="5"/>
  <c r="Q3028" i="5"/>
  <c r="P3028" i="5"/>
  <c r="O3028" i="5"/>
  <c r="N3028" i="5"/>
  <c r="M3028" i="5"/>
  <c r="L3028" i="5"/>
  <c r="K3028" i="5"/>
  <c r="J3028" i="5"/>
  <c r="I3028" i="5"/>
  <c r="H3028" i="5"/>
  <c r="V3027" i="5"/>
  <c r="U3027" i="5"/>
  <c r="T3027" i="5"/>
  <c r="S3027" i="5"/>
  <c r="R3027" i="5"/>
  <c r="Q3027" i="5"/>
  <c r="P3027" i="5"/>
  <c r="O3027" i="5"/>
  <c r="N3027" i="5"/>
  <c r="M3027" i="5"/>
  <c r="L3027" i="5"/>
  <c r="K3027" i="5"/>
  <c r="J3027" i="5"/>
  <c r="I3027" i="5"/>
  <c r="H3027" i="5"/>
  <c r="V3026" i="5"/>
  <c r="U3026" i="5"/>
  <c r="T3026" i="5"/>
  <c r="S3026" i="5"/>
  <c r="R3026" i="5"/>
  <c r="Q3026" i="5"/>
  <c r="P3026" i="5"/>
  <c r="O3026" i="5"/>
  <c r="N3026" i="5"/>
  <c r="M3026" i="5"/>
  <c r="L3026" i="5"/>
  <c r="K3026" i="5"/>
  <c r="J3026" i="5"/>
  <c r="I3026" i="5"/>
  <c r="H3026" i="5"/>
  <c r="V3025" i="5"/>
  <c r="U3025" i="5"/>
  <c r="T3025" i="5"/>
  <c r="S3025" i="5"/>
  <c r="R3025" i="5"/>
  <c r="Q3025" i="5"/>
  <c r="P3025" i="5"/>
  <c r="O3025" i="5"/>
  <c r="N3025" i="5"/>
  <c r="M3025" i="5"/>
  <c r="L3025" i="5"/>
  <c r="K3025" i="5"/>
  <c r="J3025" i="5"/>
  <c r="I3025" i="5"/>
  <c r="H3025" i="5"/>
  <c r="V3024" i="5"/>
  <c r="U3024" i="5"/>
  <c r="T3024" i="5"/>
  <c r="S3024" i="5"/>
  <c r="R3024" i="5"/>
  <c r="Q3024" i="5"/>
  <c r="P3024" i="5"/>
  <c r="V3023" i="5"/>
  <c r="U3023" i="5"/>
  <c r="T3023" i="5"/>
  <c r="S3023" i="5"/>
  <c r="R3023" i="5"/>
  <c r="Q3023" i="5"/>
  <c r="P3023" i="5"/>
  <c r="O3023" i="5"/>
  <c r="N3023" i="5"/>
  <c r="M3023" i="5"/>
  <c r="L3023" i="5"/>
  <c r="K3023" i="5"/>
  <c r="J3023" i="5"/>
  <c r="I3023" i="5"/>
  <c r="H3023" i="5"/>
  <c r="U3022" i="5"/>
  <c r="T3022" i="5"/>
  <c r="S3022" i="5"/>
  <c r="R3022" i="5"/>
  <c r="Q3022" i="5"/>
  <c r="P3022" i="5"/>
  <c r="O3022" i="5"/>
  <c r="N3022" i="5"/>
  <c r="M3022" i="5"/>
  <c r="L3022" i="5"/>
  <c r="K3022" i="5"/>
  <c r="J3022" i="5"/>
  <c r="I3022" i="5"/>
  <c r="H3022" i="5"/>
  <c r="V3021" i="5"/>
  <c r="U3021" i="5"/>
  <c r="T3021" i="5"/>
  <c r="S3021" i="5"/>
  <c r="R3021" i="5"/>
  <c r="Q3021" i="5"/>
  <c r="P3021" i="5"/>
  <c r="O3021" i="5"/>
  <c r="N3021" i="5"/>
  <c r="M3021" i="5"/>
  <c r="L3021" i="5"/>
  <c r="K3021" i="5"/>
  <c r="J3021" i="5"/>
  <c r="I3021" i="5"/>
  <c r="H3021" i="5"/>
  <c r="V3020" i="5"/>
  <c r="O3020" i="5"/>
  <c r="N3020" i="5"/>
  <c r="M3020" i="5"/>
  <c r="L3020" i="5"/>
  <c r="K3020" i="5"/>
  <c r="J3020" i="5"/>
  <c r="I3020" i="5"/>
  <c r="H3020" i="5"/>
  <c r="V3019" i="5"/>
  <c r="U3019" i="5"/>
  <c r="T3019" i="5"/>
  <c r="S3019" i="5"/>
  <c r="R3019" i="5"/>
  <c r="Q3019" i="5"/>
  <c r="P3019" i="5"/>
  <c r="O3019" i="5"/>
  <c r="N3019" i="5"/>
  <c r="M3019" i="5"/>
  <c r="L3019" i="5"/>
  <c r="K3019" i="5"/>
  <c r="J3019" i="5"/>
  <c r="I3019" i="5"/>
  <c r="H3019" i="5"/>
  <c r="V3018" i="5"/>
  <c r="U3018" i="5"/>
  <c r="T3018" i="5"/>
  <c r="S3018" i="5"/>
  <c r="R3018" i="5"/>
  <c r="Q3018" i="5"/>
  <c r="P3018" i="5"/>
  <c r="O3018" i="5"/>
  <c r="N3018" i="5"/>
  <c r="M3018" i="5"/>
  <c r="L3018" i="5"/>
  <c r="K3018" i="5"/>
  <c r="J3018" i="5"/>
  <c r="I3018" i="5"/>
  <c r="H3018" i="5"/>
  <c r="V3017" i="5"/>
  <c r="U3017" i="5"/>
  <c r="T3017" i="5"/>
  <c r="S3017" i="5"/>
  <c r="R3017" i="5"/>
  <c r="Q3017" i="5"/>
  <c r="P3017" i="5"/>
  <c r="O3017" i="5"/>
  <c r="N3017" i="5"/>
  <c r="M3017" i="5"/>
  <c r="L3017" i="5"/>
  <c r="K3017" i="5"/>
  <c r="J3017" i="5"/>
  <c r="I3017" i="5"/>
  <c r="H3017" i="5"/>
  <c r="V3016" i="5"/>
  <c r="U3016" i="5"/>
  <c r="T3016" i="5"/>
  <c r="S3016" i="5"/>
  <c r="R3016" i="5"/>
  <c r="Q3016" i="5"/>
  <c r="P3016" i="5"/>
  <c r="O3016" i="5"/>
  <c r="N3016" i="5"/>
  <c r="M3016" i="5"/>
  <c r="L3016" i="5"/>
  <c r="K3016" i="5"/>
  <c r="J3016" i="5"/>
  <c r="I3016" i="5"/>
  <c r="H3016" i="5"/>
  <c r="V3015" i="5"/>
  <c r="U3015" i="5"/>
  <c r="T3015" i="5"/>
  <c r="S3015" i="5"/>
  <c r="R3015" i="5"/>
  <c r="Q3015" i="5"/>
  <c r="P3015" i="5"/>
  <c r="O3015" i="5"/>
  <c r="N3015" i="5"/>
  <c r="M3015" i="5"/>
  <c r="L3015" i="5"/>
  <c r="K3015" i="5"/>
  <c r="J3015" i="5"/>
  <c r="I3015" i="5"/>
  <c r="H3015" i="5"/>
  <c r="V3014" i="5"/>
  <c r="U3014" i="5"/>
  <c r="T3014" i="5"/>
  <c r="S3014" i="5"/>
  <c r="R3014" i="5"/>
  <c r="Q3014" i="5"/>
  <c r="P3014" i="5"/>
  <c r="V3013" i="5"/>
  <c r="U3013" i="5"/>
  <c r="T3013" i="5"/>
  <c r="S3013" i="5"/>
  <c r="R3013" i="5"/>
  <c r="Q3013" i="5"/>
  <c r="P3013" i="5"/>
  <c r="O3013" i="5"/>
  <c r="N3013" i="5"/>
  <c r="M3013" i="5"/>
  <c r="L3013" i="5"/>
  <c r="K3013" i="5"/>
  <c r="J3013" i="5"/>
  <c r="I3013" i="5"/>
  <c r="H3013" i="5"/>
  <c r="U3012" i="5"/>
  <c r="T3012" i="5"/>
  <c r="S3012" i="5"/>
  <c r="R3012" i="5"/>
  <c r="Q3012" i="5"/>
  <c r="P3012" i="5"/>
  <c r="O3012" i="5"/>
  <c r="N3012" i="5"/>
  <c r="M3012" i="5"/>
  <c r="L3012" i="5"/>
  <c r="K3012" i="5"/>
  <c r="J3012" i="5"/>
  <c r="I3012" i="5"/>
  <c r="H3012" i="5"/>
  <c r="V3011" i="5"/>
  <c r="U3011" i="5"/>
  <c r="T3011" i="5"/>
  <c r="S3011" i="5"/>
  <c r="R3011" i="5"/>
  <c r="Q3011" i="5"/>
  <c r="P3011" i="5"/>
  <c r="O3011" i="5"/>
  <c r="N3011" i="5"/>
  <c r="M3011" i="5"/>
  <c r="L3011" i="5"/>
  <c r="K3011" i="5"/>
  <c r="J3011" i="5"/>
  <c r="I3011" i="5"/>
  <c r="H3011" i="5"/>
  <c r="V3010" i="5"/>
  <c r="O3010" i="5"/>
  <c r="N3010" i="5"/>
  <c r="M3010" i="5"/>
  <c r="L3010" i="5"/>
  <c r="K3010" i="5"/>
  <c r="J3010" i="5"/>
  <c r="I3010" i="5"/>
  <c r="H3010" i="5"/>
  <c r="V3009" i="5"/>
  <c r="U3009" i="5"/>
  <c r="T3009" i="5"/>
  <c r="S3009" i="5"/>
  <c r="R3009" i="5"/>
  <c r="Q3009" i="5"/>
  <c r="P3009" i="5"/>
  <c r="O3009" i="5"/>
  <c r="N3009" i="5"/>
  <c r="M3009" i="5"/>
  <c r="L3009" i="5"/>
  <c r="K3009" i="5"/>
  <c r="J3009" i="5"/>
  <c r="I3009" i="5"/>
  <c r="H3009" i="5"/>
  <c r="V3008" i="5"/>
  <c r="U3008" i="5"/>
  <c r="T3008" i="5"/>
  <c r="S3008" i="5"/>
  <c r="R3008" i="5"/>
  <c r="Q3008" i="5"/>
  <c r="P3008" i="5"/>
  <c r="O3008" i="5"/>
  <c r="N3008" i="5"/>
  <c r="M3008" i="5"/>
  <c r="L3008" i="5"/>
  <c r="K3008" i="5"/>
  <c r="J3008" i="5"/>
  <c r="I3008" i="5"/>
  <c r="H3008" i="5"/>
  <c r="V3007" i="5"/>
  <c r="U3007" i="5"/>
  <c r="T3007" i="5"/>
  <c r="S3007" i="5"/>
  <c r="R3007" i="5"/>
  <c r="Q3007" i="5"/>
  <c r="P3007" i="5"/>
  <c r="O3007" i="5"/>
  <c r="N3007" i="5"/>
  <c r="M3007" i="5"/>
  <c r="L3007" i="5"/>
  <c r="K3007" i="5"/>
  <c r="J3007" i="5"/>
  <c r="I3007" i="5"/>
  <c r="H3007" i="5"/>
  <c r="V3006" i="5"/>
  <c r="U3006" i="5"/>
  <c r="T3006" i="5"/>
  <c r="S3006" i="5"/>
  <c r="R3006" i="5"/>
  <c r="Q3006" i="5"/>
  <c r="P3006" i="5"/>
  <c r="O3006" i="5"/>
  <c r="N3006" i="5"/>
  <c r="M3006" i="5"/>
  <c r="L3006" i="5"/>
  <c r="K3006" i="5"/>
  <c r="J3006" i="5"/>
  <c r="I3006" i="5"/>
  <c r="H3006" i="5"/>
  <c r="V3005" i="5"/>
  <c r="U3005" i="5"/>
  <c r="T3005" i="5"/>
  <c r="S3005" i="5"/>
  <c r="R3005" i="5"/>
  <c r="Q3005" i="5"/>
  <c r="P3005" i="5"/>
  <c r="O3005" i="5"/>
  <c r="N3005" i="5"/>
  <c r="M3005" i="5"/>
  <c r="L3005" i="5"/>
  <c r="K3005" i="5"/>
  <c r="J3005" i="5"/>
  <c r="I3005" i="5"/>
  <c r="H3005" i="5"/>
  <c r="V3004" i="5"/>
  <c r="U3004" i="5"/>
  <c r="T3004" i="5"/>
  <c r="S3004" i="5"/>
  <c r="R3004" i="5"/>
  <c r="Q3004" i="5"/>
  <c r="P3004" i="5"/>
  <c r="V3003" i="5"/>
  <c r="U3003" i="5"/>
  <c r="T3003" i="5"/>
  <c r="S3003" i="5"/>
  <c r="R3003" i="5"/>
  <c r="Q3003" i="5"/>
  <c r="P3003" i="5"/>
  <c r="O3003" i="5"/>
  <c r="N3003" i="5"/>
  <c r="M3003" i="5"/>
  <c r="L3003" i="5"/>
  <c r="K3003" i="5"/>
  <c r="J3003" i="5"/>
  <c r="I3003" i="5"/>
  <c r="H3003" i="5"/>
  <c r="U3002" i="5"/>
  <c r="T3002" i="5"/>
  <c r="S3002" i="5"/>
  <c r="R3002" i="5"/>
  <c r="Q3002" i="5"/>
  <c r="P3002" i="5"/>
  <c r="O3002" i="5"/>
  <c r="N3002" i="5"/>
  <c r="M3002" i="5"/>
  <c r="L3002" i="5"/>
  <c r="K3002" i="5"/>
  <c r="J3002" i="5"/>
  <c r="I3002" i="5"/>
  <c r="H3002" i="5"/>
  <c r="V3001" i="5"/>
  <c r="U3001" i="5"/>
  <c r="T3001" i="5"/>
  <c r="S3001" i="5"/>
  <c r="R3001" i="5"/>
  <c r="Q3001" i="5"/>
  <c r="P3001" i="5"/>
  <c r="O3001" i="5"/>
  <c r="N3001" i="5"/>
  <c r="M3001" i="5"/>
  <c r="L3001" i="5"/>
  <c r="K3001" i="5"/>
  <c r="J3001" i="5"/>
  <c r="I3001" i="5"/>
  <c r="H3001" i="5"/>
  <c r="V3000" i="5"/>
  <c r="O3000" i="5"/>
  <c r="N3000" i="5"/>
  <c r="M3000" i="5"/>
  <c r="L3000" i="5"/>
  <c r="K3000" i="5"/>
  <c r="J3000" i="5"/>
  <c r="I3000" i="5"/>
  <c r="H3000" i="5"/>
  <c r="V2999" i="5"/>
  <c r="U2999" i="5"/>
  <c r="T2999" i="5"/>
  <c r="S2999" i="5"/>
  <c r="R2999" i="5"/>
  <c r="Q2999" i="5"/>
  <c r="P2999" i="5"/>
  <c r="O2999" i="5"/>
  <c r="N2999" i="5"/>
  <c r="M2999" i="5"/>
  <c r="L2999" i="5"/>
  <c r="K2999" i="5"/>
  <c r="J2999" i="5"/>
  <c r="I2999" i="5"/>
  <c r="H2999" i="5"/>
  <c r="V2998" i="5"/>
  <c r="U2998" i="5"/>
  <c r="T2998" i="5"/>
  <c r="S2998" i="5"/>
  <c r="R2998" i="5"/>
  <c r="Q2998" i="5"/>
  <c r="P2998" i="5"/>
  <c r="O2998" i="5"/>
  <c r="N2998" i="5"/>
  <c r="M2998" i="5"/>
  <c r="L2998" i="5"/>
  <c r="K2998" i="5"/>
  <c r="J2998" i="5"/>
  <c r="I2998" i="5"/>
  <c r="H2998" i="5"/>
  <c r="V2997" i="5"/>
  <c r="U2997" i="5"/>
  <c r="T2997" i="5"/>
  <c r="S2997" i="5"/>
  <c r="R2997" i="5"/>
  <c r="Q2997" i="5"/>
  <c r="P2997" i="5"/>
  <c r="O2997" i="5"/>
  <c r="N2997" i="5"/>
  <c r="M2997" i="5"/>
  <c r="L2997" i="5"/>
  <c r="K2997" i="5"/>
  <c r="J2997" i="5"/>
  <c r="I2997" i="5"/>
  <c r="H2997" i="5"/>
  <c r="V2996" i="5"/>
  <c r="U2996" i="5"/>
  <c r="T2996" i="5"/>
  <c r="S2996" i="5"/>
  <c r="R2996" i="5"/>
  <c r="Q2996" i="5"/>
  <c r="P2996" i="5"/>
  <c r="O2996" i="5"/>
  <c r="N2996" i="5"/>
  <c r="M2996" i="5"/>
  <c r="L2996" i="5"/>
  <c r="K2996" i="5"/>
  <c r="J2996" i="5"/>
  <c r="I2996" i="5"/>
  <c r="H2996" i="5"/>
  <c r="V2995" i="5"/>
  <c r="U2995" i="5"/>
  <c r="T2995" i="5"/>
  <c r="S2995" i="5"/>
  <c r="R2995" i="5"/>
  <c r="Q2995" i="5"/>
  <c r="P2995" i="5"/>
  <c r="O2995" i="5"/>
  <c r="N2995" i="5"/>
  <c r="M2995" i="5"/>
  <c r="L2995" i="5"/>
  <c r="K2995" i="5"/>
  <c r="J2995" i="5"/>
  <c r="I2995" i="5"/>
  <c r="H2995" i="5"/>
  <c r="V2994" i="5"/>
  <c r="U2994" i="5"/>
  <c r="T2994" i="5"/>
  <c r="S2994" i="5"/>
  <c r="R2994" i="5"/>
  <c r="Q2994" i="5"/>
  <c r="P2994" i="5"/>
  <c r="V2993" i="5"/>
  <c r="U2993" i="5"/>
  <c r="T2993" i="5"/>
  <c r="S2993" i="5"/>
  <c r="R2993" i="5"/>
  <c r="Q2993" i="5"/>
  <c r="P2993" i="5"/>
  <c r="O2993" i="5"/>
  <c r="N2993" i="5"/>
  <c r="M2993" i="5"/>
  <c r="L2993" i="5"/>
  <c r="K2993" i="5"/>
  <c r="J2993" i="5"/>
  <c r="I2993" i="5"/>
  <c r="H2993" i="5"/>
  <c r="U2992" i="5"/>
  <c r="T2992" i="5"/>
  <c r="S2992" i="5"/>
  <c r="R2992" i="5"/>
  <c r="Q2992" i="5"/>
  <c r="P2992" i="5"/>
  <c r="O2992" i="5"/>
  <c r="N2992" i="5"/>
  <c r="M2992" i="5"/>
  <c r="L2992" i="5"/>
  <c r="K2992" i="5"/>
  <c r="J2992" i="5"/>
  <c r="I2992" i="5"/>
  <c r="H2992" i="5"/>
  <c r="V2991" i="5"/>
  <c r="U2991" i="5"/>
  <c r="T2991" i="5"/>
  <c r="S2991" i="5"/>
  <c r="R2991" i="5"/>
  <c r="Q2991" i="5"/>
  <c r="P2991" i="5"/>
  <c r="O2991" i="5"/>
  <c r="N2991" i="5"/>
  <c r="M2991" i="5"/>
  <c r="L2991" i="5"/>
  <c r="K2991" i="5"/>
  <c r="J2991" i="5"/>
  <c r="I2991" i="5"/>
  <c r="H2991" i="5"/>
  <c r="V2990" i="5"/>
  <c r="O2990" i="5"/>
  <c r="N2990" i="5"/>
  <c r="M2990" i="5"/>
  <c r="L2990" i="5"/>
  <c r="K2990" i="5"/>
  <c r="J2990" i="5"/>
  <c r="I2990" i="5"/>
  <c r="H2990" i="5"/>
  <c r="V2989" i="5"/>
  <c r="U2989" i="5"/>
  <c r="T2989" i="5"/>
  <c r="S2989" i="5"/>
  <c r="R2989" i="5"/>
  <c r="Q2989" i="5"/>
  <c r="P2989" i="5"/>
  <c r="O2989" i="5"/>
  <c r="N2989" i="5"/>
  <c r="M2989" i="5"/>
  <c r="L2989" i="5"/>
  <c r="K2989" i="5"/>
  <c r="J2989" i="5"/>
  <c r="I2989" i="5"/>
  <c r="H2989" i="5"/>
  <c r="V2988" i="5"/>
  <c r="U2988" i="5"/>
  <c r="T2988" i="5"/>
  <c r="S2988" i="5"/>
  <c r="R2988" i="5"/>
  <c r="Q2988" i="5"/>
  <c r="P2988" i="5"/>
  <c r="O2988" i="5"/>
  <c r="N2988" i="5"/>
  <c r="M2988" i="5"/>
  <c r="L2988" i="5"/>
  <c r="K2988" i="5"/>
  <c r="J2988" i="5"/>
  <c r="I2988" i="5"/>
  <c r="H2988" i="5"/>
  <c r="V2987" i="5"/>
  <c r="U2987" i="5"/>
  <c r="T2987" i="5"/>
  <c r="S2987" i="5"/>
  <c r="R2987" i="5"/>
  <c r="Q2987" i="5"/>
  <c r="P2987" i="5"/>
  <c r="V2986" i="5"/>
  <c r="U2986" i="5"/>
  <c r="T2986" i="5"/>
  <c r="S2986" i="5"/>
  <c r="R2986" i="5"/>
  <c r="Q2986" i="5"/>
  <c r="P2986" i="5"/>
  <c r="U2985" i="5"/>
  <c r="T2985" i="5"/>
  <c r="S2985" i="5"/>
  <c r="R2985" i="5"/>
  <c r="Q2985" i="5"/>
  <c r="P2985" i="5"/>
  <c r="U2984" i="5"/>
  <c r="T2984" i="5"/>
  <c r="S2984" i="5"/>
  <c r="R2984" i="5"/>
  <c r="Q2984" i="5"/>
  <c r="P2984" i="5"/>
  <c r="O2977" i="5"/>
  <c r="N2977" i="5"/>
  <c r="M2977" i="5"/>
  <c r="L2977" i="5"/>
  <c r="K2977" i="5"/>
  <c r="J2977" i="5"/>
  <c r="I2977" i="5"/>
  <c r="H2977" i="5"/>
  <c r="O2976" i="5"/>
  <c r="N2976" i="5"/>
  <c r="M2976" i="5"/>
  <c r="L2976" i="5"/>
  <c r="K2976" i="5"/>
  <c r="J2976" i="5"/>
  <c r="I2976" i="5"/>
  <c r="H2976" i="5"/>
  <c r="V2975" i="5"/>
  <c r="O2975" i="5"/>
  <c r="N2975" i="5"/>
  <c r="M2975" i="5"/>
  <c r="L2975" i="5"/>
  <c r="K2975" i="5"/>
  <c r="J2975" i="5"/>
  <c r="I2975" i="5"/>
  <c r="H2975" i="5"/>
  <c r="V2974" i="5"/>
  <c r="V2973" i="5"/>
  <c r="U2973" i="5"/>
  <c r="T2973" i="5"/>
  <c r="S2973" i="5"/>
  <c r="R2973" i="5"/>
  <c r="Q2973" i="5"/>
  <c r="P2973" i="5"/>
  <c r="O2973" i="5"/>
  <c r="N2973" i="5"/>
  <c r="M2973" i="5"/>
  <c r="L2973" i="5"/>
  <c r="K2973" i="5"/>
  <c r="J2973" i="5"/>
  <c r="I2973" i="5"/>
  <c r="H2973" i="5"/>
  <c r="U2972" i="5"/>
  <c r="T2972" i="5"/>
  <c r="S2972" i="5"/>
  <c r="R2972" i="5"/>
  <c r="Q2972" i="5"/>
  <c r="P2972" i="5"/>
  <c r="O2972" i="5"/>
  <c r="N2972" i="5"/>
  <c r="M2972" i="5"/>
  <c r="L2972" i="5"/>
  <c r="K2972" i="5"/>
  <c r="J2972" i="5"/>
  <c r="I2972" i="5"/>
  <c r="H2972" i="5"/>
  <c r="V2971" i="5"/>
  <c r="U2971" i="5"/>
  <c r="T2971" i="5"/>
  <c r="S2971" i="5"/>
  <c r="R2971" i="5"/>
  <c r="Q2971" i="5"/>
  <c r="P2971" i="5"/>
  <c r="O2971" i="5"/>
  <c r="N2971" i="5"/>
  <c r="M2971" i="5"/>
  <c r="L2971" i="5"/>
  <c r="K2971" i="5"/>
  <c r="J2971" i="5"/>
  <c r="I2971" i="5"/>
  <c r="H2971" i="5"/>
  <c r="V2970" i="5"/>
  <c r="O2970" i="5"/>
  <c r="N2970" i="5"/>
  <c r="M2970" i="5"/>
  <c r="L2970" i="5"/>
  <c r="K2970" i="5"/>
  <c r="J2970" i="5"/>
  <c r="I2970" i="5"/>
  <c r="H2970" i="5"/>
  <c r="V2969" i="5"/>
  <c r="U2969" i="5"/>
  <c r="T2969" i="5"/>
  <c r="S2969" i="5"/>
  <c r="R2969" i="5"/>
  <c r="Q2969" i="5"/>
  <c r="P2969" i="5"/>
  <c r="O2969" i="5"/>
  <c r="N2969" i="5"/>
  <c r="M2969" i="5"/>
  <c r="L2969" i="5"/>
  <c r="K2969" i="5"/>
  <c r="J2969" i="5"/>
  <c r="I2969" i="5"/>
  <c r="H2969" i="5"/>
  <c r="V2968" i="5"/>
  <c r="U2968" i="5"/>
  <c r="T2968" i="5"/>
  <c r="S2968" i="5"/>
  <c r="R2968" i="5"/>
  <c r="Q2968" i="5"/>
  <c r="P2968" i="5"/>
  <c r="O2968" i="5"/>
  <c r="N2968" i="5"/>
  <c r="M2968" i="5"/>
  <c r="L2968" i="5"/>
  <c r="K2968" i="5"/>
  <c r="J2968" i="5"/>
  <c r="I2968" i="5"/>
  <c r="H2968" i="5"/>
  <c r="V2967" i="5"/>
  <c r="U2967" i="5"/>
  <c r="T2967" i="5"/>
  <c r="S2967" i="5"/>
  <c r="R2967" i="5"/>
  <c r="Q2967" i="5"/>
  <c r="P2967" i="5"/>
  <c r="O2967" i="5"/>
  <c r="N2967" i="5"/>
  <c r="M2967" i="5"/>
  <c r="L2967" i="5"/>
  <c r="K2967" i="5"/>
  <c r="J2967" i="5"/>
  <c r="I2967" i="5"/>
  <c r="H2967" i="5"/>
  <c r="V2966" i="5"/>
  <c r="U2966" i="5"/>
  <c r="T2966" i="5"/>
  <c r="S2966" i="5"/>
  <c r="R2966" i="5"/>
  <c r="Q2966" i="5"/>
  <c r="P2966" i="5"/>
  <c r="O2966" i="5"/>
  <c r="N2966" i="5"/>
  <c r="M2966" i="5"/>
  <c r="L2966" i="5"/>
  <c r="K2966" i="5"/>
  <c r="J2966" i="5"/>
  <c r="I2966" i="5"/>
  <c r="H2966" i="5"/>
  <c r="V2965" i="5"/>
  <c r="U2965" i="5"/>
  <c r="T2965" i="5"/>
  <c r="S2965" i="5"/>
  <c r="R2965" i="5"/>
  <c r="Q2965" i="5"/>
  <c r="P2965" i="5"/>
  <c r="O2965" i="5"/>
  <c r="N2965" i="5"/>
  <c r="M2965" i="5"/>
  <c r="L2965" i="5"/>
  <c r="K2965" i="5"/>
  <c r="J2965" i="5"/>
  <c r="I2965" i="5"/>
  <c r="H2965" i="5"/>
  <c r="V2964" i="5"/>
  <c r="U2964" i="5"/>
  <c r="T2964" i="5"/>
  <c r="S2964" i="5"/>
  <c r="R2964" i="5"/>
  <c r="Q2964" i="5"/>
  <c r="P2964" i="5"/>
  <c r="V2963" i="5"/>
  <c r="U2963" i="5"/>
  <c r="T2963" i="5"/>
  <c r="S2963" i="5"/>
  <c r="R2963" i="5"/>
  <c r="Q2963" i="5"/>
  <c r="P2963" i="5"/>
  <c r="O2963" i="5"/>
  <c r="N2963" i="5"/>
  <c r="M2963" i="5"/>
  <c r="L2963" i="5"/>
  <c r="K2963" i="5"/>
  <c r="J2963" i="5"/>
  <c r="I2963" i="5"/>
  <c r="H2963" i="5"/>
  <c r="U2962" i="5"/>
  <c r="T2962" i="5"/>
  <c r="S2962" i="5"/>
  <c r="R2962" i="5"/>
  <c r="Q2962" i="5"/>
  <c r="P2962" i="5"/>
  <c r="O2962" i="5"/>
  <c r="N2962" i="5"/>
  <c r="M2962" i="5"/>
  <c r="L2962" i="5"/>
  <c r="K2962" i="5"/>
  <c r="J2962" i="5"/>
  <c r="I2962" i="5"/>
  <c r="H2962" i="5"/>
  <c r="V2961" i="5"/>
  <c r="U2961" i="5"/>
  <c r="T2961" i="5"/>
  <c r="S2961" i="5"/>
  <c r="R2961" i="5"/>
  <c r="Q2961" i="5"/>
  <c r="P2961" i="5"/>
  <c r="O2961" i="5"/>
  <c r="N2961" i="5"/>
  <c r="M2961" i="5"/>
  <c r="L2961" i="5"/>
  <c r="K2961" i="5"/>
  <c r="J2961" i="5"/>
  <c r="I2961" i="5"/>
  <c r="H2961" i="5"/>
  <c r="V2960" i="5"/>
  <c r="O2960" i="5"/>
  <c r="N2960" i="5"/>
  <c r="M2960" i="5"/>
  <c r="L2960" i="5"/>
  <c r="K2960" i="5"/>
  <c r="J2960" i="5"/>
  <c r="I2960" i="5"/>
  <c r="H2960" i="5"/>
  <c r="V2959" i="5"/>
  <c r="U2959" i="5"/>
  <c r="T2959" i="5"/>
  <c r="S2959" i="5"/>
  <c r="R2959" i="5"/>
  <c r="Q2959" i="5"/>
  <c r="P2959" i="5"/>
  <c r="O2959" i="5"/>
  <c r="N2959" i="5"/>
  <c r="M2959" i="5"/>
  <c r="L2959" i="5"/>
  <c r="K2959" i="5"/>
  <c r="J2959" i="5"/>
  <c r="I2959" i="5"/>
  <c r="H2959" i="5"/>
  <c r="V2958" i="5"/>
  <c r="U2958" i="5"/>
  <c r="T2958" i="5"/>
  <c r="S2958" i="5"/>
  <c r="R2958" i="5"/>
  <c r="Q2958" i="5"/>
  <c r="P2958" i="5"/>
  <c r="O2958" i="5"/>
  <c r="N2958" i="5"/>
  <c r="M2958" i="5"/>
  <c r="L2958" i="5"/>
  <c r="K2958" i="5"/>
  <c r="J2958" i="5"/>
  <c r="I2958" i="5"/>
  <c r="H2958" i="5"/>
  <c r="V2957" i="5"/>
  <c r="U2957" i="5"/>
  <c r="T2957" i="5"/>
  <c r="S2957" i="5"/>
  <c r="R2957" i="5"/>
  <c r="Q2957" i="5"/>
  <c r="P2957" i="5"/>
  <c r="O2957" i="5"/>
  <c r="N2957" i="5"/>
  <c r="M2957" i="5"/>
  <c r="L2957" i="5"/>
  <c r="K2957" i="5"/>
  <c r="J2957" i="5"/>
  <c r="I2957" i="5"/>
  <c r="H2957" i="5"/>
  <c r="V2956" i="5"/>
  <c r="U2956" i="5"/>
  <c r="T2956" i="5"/>
  <c r="S2956" i="5"/>
  <c r="R2956" i="5"/>
  <c r="Q2956" i="5"/>
  <c r="P2956" i="5"/>
  <c r="O2956" i="5"/>
  <c r="N2956" i="5"/>
  <c r="M2956" i="5"/>
  <c r="L2956" i="5"/>
  <c r="K2956" i="5"/>
  <c r="J2956" i="5"/>
  <c r="I2956" i="5"/>
  <c r="H2956" i="5"/>
  <c r="V2955" i="5"/>
  <c r="U2955" i="5"/>
  <c r="T2955" i="5"/>
  <c r="S2955" i="5"/>
  <c r="R2955" i="5"/>
  <c r="Q2955" i="5"/>
  <c r="P2955" i="5"/>
  <c r="O2955" i="5"/>
  <c r="N2955" i="5"/>
  <c r="M2955" i="5"/>
  <c r="L2955" i="5"/>
  <c r="K2955" i="5"/>
  <c r="J2955" i="5"/>
  <c r="I2955" i="5"/>
  <c r="H2955" i="5"/>
  <c r="V2954" i="5"/>
  <c r="U2954" i="5"/>
  <c r="T2954" i="5"/>
  <c r="S2954" i="5"/>
  <c r="R2954" i="5"/>
  <c r="Q2954" i="5"/>
  <c r="P2954" i="5"/>
  <c r="V2953" i="5"/>
  <c r="U2953" i="5"/>
  <c r="T2953" i="5"/>
  <c r="S2953" i="5"/>
  <c r="R2953" i="5"/>
  <c r="Q2953" i="5"/>
  <c r="P2953" i="5"/>
  <c r="O2953" i="5"/>
  <c r="N2953" i="5"/>
  <c r="M2953" i="5"/>
  <c r="L2953" i="5"/>
  <c r="K2953" i="5"/>
  <c r="J2953" i="5"/>
  <c r="I2953" i="5"/>
  <c r="H2953" i="5"/>
  <c r="U2952" i="5"/>
  <c r="T2952" i="5"/>
  <c r="S2952" i="5"/>
  <c r="R2952" i="5"/>
  <c r="Q2952" i="5"/>
  <c r="P2952" i="5"/>
  <c r="O2952" i="5"/>
  <c r="N2952" i="5"/>
  <c r="M2952" i="5"/>
  <c r="L2952" i="5"/>
  <c r="K2952" i="5"/>
  <c r="J2952" i="5"/>
  <c r="I2952" i="5"/>
  <c r="H2952" i="5"/>
  <c r="V2951" i="5"/>
  <c r="U2951" i="5"/>
  <c r="T2951" i="5"/>
  <c r="S2951" i="5"/>
  <c r="R2951" i="5"/>
  <c r="Q2951" i="5"/>
  <c r="P2951" i="5"/>
  <c r="O2951" i="5"/>
  <c r="N2951" i="5"/>
  <c r="M2951" i="5"/>
  <c r="L2951" i="5"/>
  <c r="K2951" i="5"/>
  <c r="J2951" i="5"/>
  <c r="I2951" i="5"/>
  <c r="H2951" i="5"/>
  <c r="V2950" i="5"/>
  <c r="O2950" i="5"/>
  <c r="N2950" i="5"/>
  <c r="M2950" i="5"/>
  <c r="L2950" i="5"/>
  <c r="K2950" i="5"/>
  <c r="J2950" i="5"/>
  <c r="I2950" i="5"/>
  <c r="H2950" i="5"/>
  <c r="V2949" i="5"/>
  <c r="U2949" i="5"/>
  <c r="T2949" i="5"/>
  <c r="S2949" i="5"/>
  <c r="R2949" i="5"/>
  <c r="Q2949" i="5"/>
  <c r="P2949" i="5"/>
  <c r="O2949" i="5"/>
  <c r="N2949" i="5"/>
  <c r="M2949" i="5"/>
  <c r="L2949" i="5"/>
  <c r="K2949" i="5"/>
  <c r="J2949" i="5"/>
  <c r="I2949" i="5"/>
  <c r="H2949" i="5"/>
  <c r="V2948" i="5"/>
  <c r="U2948" i="5"/>
  <c r="T2948" i="5"/>
  <c r="S2948" i="5"/>
  <c r="R2948" i="5"/>
  <c r="Q2948" i="5"/>
  <c r="P2948" i="5"/>
  <c r="O2948" i="5"/>
  <c r="N2948" i="5"/>
  <c r="M2948" i="5"/>
  <c r="L2948" i="5"/>
  <c r="K2948" i="5"/>
  <c r="J2948" i="5"/>
  <c r="I2948" i="5"/>
  <c r="H2948" i="5"/>
  <c r="V2947" i="5"/>
  <c r="U2947" i="5"/>
  <c r="T2947" i="5"/>
  <c r="S2947" i="5"/>
  <c r="R2947" i="5"/>
  <c r="Q2947" i="5"/>
  <c r="P2947" i="5"/>
  <c r="O2947" i="5"/>
  <c r="N2947" i="5"/>
  <c r="M2947" i="5"/>
  <c r="L2947" i="5"/>
  <c r="K2947" i="5"/>
  <c r="J2947" i="5"/>
  <c r="I2947" i="5"/>
  <c r="H2947" i="5"/>
  <c r="V2946" i="5"/>
  <c r="U2946" i="5"/>
  <c r="T2946" i="5"/>
  <c r="S2946" i="5"/>
  <c r="R2946" i="5"/>
  <c r="Q2946" i="5"/>
  <c r="P2946" i="5"/>
  <c r="O2946" i="5"/>
  <c r="N2946" i="5"/>
  <c r="M2946" i="5"/>
  <c r="L2946" i="5"/>
  <c r="K2946" i="5"/>
  <c r="J2946" i="5"/>
  <c r="I2946" i="5"/>
  <c r="H2946" i="5"/>
  <c r="V2945" i="5"/>
  <c r="U2945" i="5"/>
  <c r="T2945" i="5"/>
  <c r="S2945" i="5"/>
  <c r="R2945" i="5"/>
  <c r="Q2945" i="5"/>
  <c r="P2945" i="5"/>
  <c r="O2945" i="5"/>
  <c r="N2945" i="5"/>
  <c r="M2945" i="5"/>
  <c r="L2945" i="5"/>
  <c r="K2945" i="5"/>
  <c r="J2945" i="5"/>
  <c r="I2945" i="5"/>
  <c r="H2945" i="5"/>
  <c r="V2944" i="5"/>
  <c r="U2944" i="5"/>
  <c r="T2944" i="5"/>
  <c r="S2944" i="5"/>
  <c r="R2944" i="5"/>
  <c r="Q2944" i="5"/>
  <c r="P2944" i="5"/>
  <c r="V2943" i="5"/>
  <c r="U2943" i="5"/>
  <c r="T2943" i="5"/>
  <c r="S2943" i="5"/>
  <c r="R2943" i="5"/>
  <c r="Q2943" i="5"/>
  <c r="P2943" i="5"/>
  <c r="O2943" i="5"/>
  <c r="N2943" i="5"/>
  <c r="M2943" i="5"/>
  <c r="L2943" i="5"/>
  <c r="K2943" i="5"/>
  <c r="J2943" i="5"/>
  <c r="I2943" i="5"/>
  <c r="H2943" i="5"/>
  <c r="U2942" i="5"/>
  <c r="T2942" i="5"/>
  <c r="S2942" i="5"/>
  <c r="R2942" i="5"/>
  <c r="Q2942" i="5"/>
  <c r="P2942" i="5"/>
  <c r="O2942" i="5"/>
  <c r="N2942" i="5"/>
  <c r="M2942" i="5"/>
  <c r="L2942" i="5"/>
  <c r="K2942" i="5"/>
  <c r="J2942" i="5"/>
  <c r="I2942" i="5"/>
  <c r="H2942" i="5"/>
  <c r="V2941" i="5"/>
  <c r="U2941" i="5"/>
  <c r="T2941" i="5"/>
  <c r="S2941" i="5"/>
  <c r="R2941" i="5"/>
  <c r="Q2941" i="5"/>
  <c r="P2941" i="5"/>
  <c r="O2941" i="5"/>
  <c r="N2941" i="5"/>
  <c r="M2941" i="5"/>
  <c r="L2941" i="5"/>
  <c r="K2941" i="5"/>
  <c r="J2941" i="5"/>
  <c r="I2941" i="5"/>
  <c r="H2941" i="5"/>
  <c r="V2940" i="5"/>
  <c r="O2940" i="5"/>
  <c r="N2940" i="5"/>
  <c r="M2940" i="5"/>
  <c r="L2940" i="5"/>
  <c r="K2940" i="5"/>
  <c r="J2940" i="5"/>
  <c r="I2940" i="5"/>
  <c r="H2940" i="5"/>
  <c r="V2939" i="5"/>
  <c r="U2939" i="5"/>
  <c r="T2939" i="5"/>
  <c r="S2939" i="5"/>
  <c r="R2939" i="5"/>
  <c r="Q2939" i="5"/>
  <c r="P2939" i="5"/>
  <c r="O2939" i="5"/>
  <c r="N2939" i="5"/>
  <c r="M2939" i="5"/>
  <c r="L2939" i="5"/>
  <c r="K2939" i="5"/>
  <c r="J2939" i="5"/>
  <c r="I2939" i="5"/>
  <c r="H2939" i="5"/>
  <c r="V2938" i="5"/>
  <c r="U2938" i="5"/>
  <c r="T2938" i="5"/>
  <c r="S2938" i="5"/>
  <c r="R2938" i="5"/>
  <c r="Q2938" i="5"/>
  <c r="P2938" i="5"/>
  <c r="O2938" i="5"/>
  <c r="N2938" i="5"/>
  <c r="M2938" i="5"/>
  <c r="L2938" i="5"/>
  <c r="K2938" i="5"/>
  <c r="J2938" i="5"/>
  <c r="I2938" i="5"/>
  <c r="H2938" i="5"/>
  <c r="V2937" i="5"/>
  <c r="U2937" i="5"/>
  <c r="T2937" i="5"/>
  <c r="S2937" i="5"/>
  <c r="R2937" i="5"/>
  <c r="Q2937" i="5"/>
  <c r="P2937" i="5"/>
  <c r="O2937" i="5"/>
  <c r="N2937" i="5"/>
  <c r="M2937" i="5"/>
  <c r="L2937" i="5"/>
  <c r="K2937" i="5"/>
  <c r="J2937" i="5"/>
  <c r="I2937" i="5"/>
  <c r="H2937" i="5"/>
  <c r="V2936" i="5"/>
  <c r="U2936" i="5"/>
  <c r="T2936" i="5"/>
  <c r="S2936" i="5"/>
  <c r="R2936" i="5"/>
  <c r="Q2936" i="5"/>
  <c r="P2936" i="5"/>
  <c r="O2936" i="5"/>
  <c r="N2936" i="5"/>
  <c r="M2936" i="5"/>
  <c r="L2936" i="5"/>
  <c r="K2936" i="5"/>
  <c r="J2936" i="5"/>
  <c r="I2936" i="5"/>
  <c r="H2936" i="5"/>
  <c r="V2935" i="5"/>
  <c r="U2935" i="5"/>
  <c r="T2935" i="5"/>
  <c r="S2935" i="5"/>
  <c r="R2935" i="5"/>
  <c r="Q2935" i="5"/>
  <c r="P2935" i="5"/>
  <c r="O2935" i="5"/>
  <c r="N2935" i="5"/>
  <c r="M2935" i="5"/>
  <c r="L2935" i="5"/>
  <c r="K2935" i="5"/>
  <c r="J2935" i="5"/>
  <c r="I2935" i="5"/>
  <c r="H2935" i="5"/>
  <c r="V2934" i="5"/>
  <c r="U2934" i="5"/>
  <c r="T2934" i="5"/>
  <c r="S2934" i="5"/>
  <c r="R2934" i="5"/>
  <c r="Q2934" i="5"/>
  <c r="P2934" i="5"/>
  <c r="V2933" i="5"/>
  <c r="U2933" i="5"/>
  <c r="T2933" i="5"/>
  <c r="S2933" i="5"/>
  <c r="R2933" i="5"/>
  <c r="Q2933" i="5"/>
  <c r="P2933" i="5"/>
  <c r="O2933" i="5"/>
  <c r="N2933" i="5"/>
  <c r="M2933" i="5"/>
  <c r="L2933" i="5"/>
  <c r="K2933" i="5"/>
  <c r="J2933" i="5"/>
  <c r="I2933" i="5"/>
  <c r="H2933" i="5"/>
  <c r="U2932" i="5"/>
  <c r="T2932" i="5"/>
  <c r="S2932" i="5"/>
  <c r="R2932" i="5"/>
  <c r="Q2932" i="5"/>
  <c r="P2932" i="5"/>
  <c r="O2932" i="5"/>
  <c r="N2932" i="5"/>
  <c r="M2932" i="5"/>
  <c r="L2932" i="5"/>
  <c r="K2932" i="5"/>
  <c r="J2932" i="5"/>
  <c r="I2932" i="5"/>
  <c r="H2932" i="5"/>
  <c r="V2931" i="5"/>
  <c r="U2931" i="5"/>
  <c r="T2931" i="5"/>
  <c r="S2931" i="5"/>
  <c r="R2931" i="5"/>
  <c r="Q2931" i="5"/>
  <c r="P2931" i="5"/>
  <c r="O2931" i="5"/>
  <c r="N2931" i="5"/>
  <c r="M2931" i="5"/>
  <c r="L2931" i="5"/>
  <c r="K2931" i="5"/>
  <c r="J2931" i="5"/>
  <c r="I2931" i="5"/>
  <c r="H2931" i="5"/>
  <c r="V2930" i="5"/>
  <c r="O2930" i="5"/>
  <c r="N2930" i="5"/>
  <c r="M2930" i="5"/>
  <c r="L2930" i="5"/>
  <c r="K2930" i="5"/>
  <c r="J2930" i="5"/>
  <c r="I2930" i="5"/>
  <c r="H2930" i="5"/>
  <c r="V2929" i="5"/>
  <c r="U2929" i="5"/>
  <c r="T2929" i="5"/>
  <c r="S2929" i="5"/>
  <c r="R2929" i="5"/>
  <c r="Q2929" i="5"/>
  <c r="P2929" i="5"/>
  <c r="O2929" i="5"/>
  <c r="N2929" i="5"/>
  <c r="M2929" i="5"/>
  <c r="L2929" i="5"/>
  <c r="K2929" i="5"/>
  <c r="J2929" i="5"/>
  <c r="I2929" i="5"/>
  <c r="H2929" i="5"/>
  <c r="V2928" i="5"/>
  <c r="U2928" i="5"/>
  <c r="T2928" i="5"/>
  <c r="S2928" i="5"/>
  <c r="R2928" i="5"/>
  <c r="Q2928" i="5"/>
  <c r="P2928" i="5"/>
  <c r="O2928" i="5"/>
  <c r="N2928" i="5"/>
  <c r="M2928" i="5"/>
  <c r="L2928" i="5"/>
  <c r="K2928" i="5"/>
  <c r="J2928" i="5"/>
  <c r="I2928" i="5"/>
  <c r="H2928" i="5"/>
  <c r="V2927" i="5"/>
  <c r="U2927" i="5"/>
  <c r="T2927" i="5"/>
  <c r="S2927" i="5"/>
  <c r="R2927" i="5"/>
  <c r="Q2927" i="5"/>
  <c r="P2927" i="5"/>
  <c r="O2927" i="5"/>
  <c r="N2927" i="5"/>
  <c r="M2927" i="5"/>
  <c r="L2927" i="5"/>
  <c r="K2927" i="5"/>
  <c r="J2927" i="5"/>
  <c r="I2927" i="5"/>
  <c r="H2927" i="5"/>
  <c r="V2926" i="5"/>
  <c r="U2926" i="5"/>
  <c r="T2926" i="5"/>
  <c r="S2926" i="5"/>
  <c r="R2926" i="5"/>
  <c r="Q2926" i="5"/>
  <c r="P2926" i="5"/>
  <c r="O2926" i="5"/>
  <c r="N2926" i="5"/>
  <c r="M2926" i="5"/>
  <c r="L2926" i="5"/>
  <c r="K2926" i="5"/>
  <c r="J2926" i="5"/>
  <c r="I2926" i="5"/>
  <c r="H2926" i="5"/>
  <c r="V2925" i="5"/>
  <c r="U2925" i="5"/>
  <c r="T2925" i="5"/>
  <c r="S2925" i="5"/>
  <c r="R2925" i="5"/>
  <c r="Q2925" i="5"/>
  <c r="P2925" i="5"/>
  <c r="O2925" i="5"/>
  <c r="N2925" i="5"/>
  <c r="M2925" i="5"/>
  <c r="L2925" i="5"/>
  <c r="K2925" i="5"/>
  <c r="J2925" i="5"/>
  <c r="I2925" i="5"/>
  <c r="H2925" i="5"/>
  <c r="V2924" i="5"/>
  <c r="U2924" i="5"/>
  <c r="T2924" i="5"/>
  <c r="S2924" i="5"/>
  <c r="R2924" i="5"/>
  <c r="Q2924" i="5"/>
  <c r="P2924" i="5"/>
  <c r="V2923" i="5"/>
  <c r="U2923" i="5"/>
  <c r="T2923" i="5"/>
  <c r="S2923" i="5"/>
  <c r="R2923" i="5"/>
  <c r="Q2923" i="5"/>
  <c r="P2923" i="5"/>
  <c r="O2923" i="5"/>
  <c r="N2923" i="5"/>
  <c r="M2923" i="5"/>
  <c r="L2923" i="5"/>
  <c r="K2923" i="5"/>
  <c r="J2923" i="5"/>
  <c r="I2923" i="5"/>
  <c r="H2923" i="5"/>
  <c r="U2922" i="5"/>
  <c r="T2922" i="5"/>
  <c r="S2922" i="5"/>
  <c r="R2922" i="5"/>
  <c r="Q2922" i="5"/>
  <c r="P2922" i="5"/>
  <c r="O2922" i="5"/>
  <c r="N2922" i="5"/>
  <c r="M2922" i="5"/>
  <c r="L2922" i="5"/>
  <c r="K2922" i="5"/>
  <c r="J2922" i="5"/>
  <c r="I2922" i="5"/>
  <c r="H2922" i="5"/>
  <c r="V2921" i="5"/>
  <c r="U2921" i="5"/>
  <c r="T2921" i="5"/>
  <c r="S2921" i="5"/>
  <c r="R2921" i="5"/>
  <c r="Q2921" i="5"/>
  <c r="P2921" i="5"/>
  <c r="O2921" i="5"/>
  <c r="N2921" i="5"/>
  <c r="M2921" i="5"/>
  <c r="L2921" i="5"/>
  <c r="K2921" i="5"/>
  <c r="J2921" i="5"/>
  <c r="I2921" i="5"/>
  <c r="H2921" i="5"/>
  <c r="V2920" i="5"/>
  <c r="O2920" i="5"/>
  <c r="N2920" i="5"/>
  <c r="M2920" i="5"/>
  <c r="L2920" i="5"/>
  <c r="K2920" i="5"/>
  <c r="J2920" i="5"/>
  <c r="I2920" i="5"/>
  <c r="H2920" i="5"/>
  <c r="V2919" i="5"/>
  <c r="U2919" i="5"/>
  <c r="T2919" i="5"/>
  <c r="S2919" i="5"/>
  <c r="R2919" i="5"/>
  <c r="Q2919" i="5"/>
  <c r="P2919" i="5"/>
  <c r="O2919" i="5"/>
  <c r="N2919" i="5"/>
  <c r="M2919" i="5"/>
  <c r="L2919" i="5"/>
  <c r="K2919" i="5"/>
  <c r="J2919" i="5"/>
  <c r="I2919" i="5"/>
  <c r="H2919" i="5"/>
  <c r="V2918" i="5"/>
  <c r="U2918" i="5"/>
  <c r="T2918" i="5"/>
  <c r="S2918" i="5"/>
  <c r="R2918" i="5"/>
  <c r="Q2918" i="5"/>
  <c r="P2918" i="5"/>
  <c r="O2918" i="5"/>
  <c r="N2918" i="5"/>
  <c r="M2918" i="5"/>
  <c r="L2918" i="5"/>
  <c r="K2918" i="5"/>
  <c r="J2918" i="5"/>
  <c r="I2918" i="5"/>
  <c r="H2918" i="5"/>
  <c r="V2917" i="5"/>
  <c r="U2917" i="5"/>
  <c r="T2917" i="5"/>
  <c r="S2917" i="5"/>
  <c r="R2917" i="5"/>
  <c r="Q2917" i="5"/>
  <c r="P2917" i="5"/>
  <c r="O2917" i="5"/>
  <c r="N2917" i="5"/>
  <c r="M2917" i="5"/>
  <c r="L2917" i="5"/>
  <c r="K2917" i="5"/>
  <c r="J2917" i="5"/>
  <c r="I2917" i="5"/>
  <c r="H2917" i="5"/>
  <c r="V2916" i="5"/>
  <c r="U2916" i="5"/>
  <c r="T2916" i="5"/>
  <c r="S2916" i="5"/>
  <c r="R2916" i="5"/>
  <c r="Q2916" i="5"/>
  <c r="P2916" i="5"/>
  <c r="O2916" i="5"/>
  <c r="N2916" i="5"/>
  <c r="M2916" i="5"/>
  <c r="L2916" i="5"/>
  <c r="K2916" i="5"/>
  <c r="J2916" i="5"/>
  <c r="I2916" i="5"/>
  <c r="H2916" i="5"/>
  <c r="V2915" i="5"/>
  <c r="U2915" i="5"/>
  <c r="T2915" i="5"/>
  <c r="S2915" i="5"/>
  <c r="R2915" i="5"/>
  <c r="Q2915" i="5"/>
  <c r="P2915" i="5"/>
  <c r="O2915" i="5"/>
  <c r="N2915" i="5"/>
  <c r="M2915" i="5"/>
  <c r="L2915" i="5"/>
  <c r="K2915" i="5"/>
  <c r="J2915" i="5"/>
  <c r="I2915" i="5"/>
  <c r="H2915" i="5"/>
  <c r="V2914" i="5"/>
  <c r="U2914" i="5"/>
  <c r="T2914" i="5"/>
  <c r="S2914" i="5"/>
  <c r="R2914" i="5"/>
  <c r="Q2914" i="5"/>
  <c r="P2914" i="5"/>
  <c r="V2913" i="5"/>
  <c r="U2913" i="5"/>
  <c r="T2913" i="5"/>
  <c r="S2913" i="5"/>
  <c r="R2913" i="5"/>
  <c r="Q2913" i="5"/>
  <c r="P2913" i="5"/>
  <c r="O2913" i="5"/>
  <c r="N2913" i="5"/>
  <c r="M2913" i="5"/>
  <c r="L2913" i="5"/>
  <c r="K2913" i="5"/>
  <c r="J2913" i="5"/>
  <c r="I2913" i="5"/>
  <c r="H2913" i="5"/>
  <c r="U2912" i="5"/>
  <c r="T2912" i="5"/>
  <c r="S2912" i="5"/>
  <c r="R2912" i="5"/>
  <c r="Q2912" i="5"/>
  <c r="P2912" i="5"/>
  <c r="O2912" i="5"/>
  <c r="N2912" i="5"/>
  <c r="M2912" i="5"/>
  <c r="L2912" i="5"/>
  <c r="K2912" i="5"/>
  <c r="J2912" i="5"/>
  <c r="I2912" i="5"/>
  <c r="H2912" i="5"/>
  <c r="V2911" i="5"/>
  <c r="U2911" i="5"/>
  <c r="T2911" i="5"/>
  <c r="S2911" i="5"/>
  <c r="R2911" i="5"/>
  <c r="Q2911" i="5"/>
  <c r="P2911" i="5"/>
  <c r="O2911" i="5"/>
  <c r="N2911" i="5"/>
  <c r="M2911" i="5"/>
  <c r="L2911" i="5"/>
  <c r="K2911" i="5"/>
  <c r="J2911" i="5"/>
  <c r="I2911" i="5"/>
  <c r="H2911" i="5"/>
  <c r="V2910" i="5"/>
  <c r="O2910" i="5"/>
  <c r="N2910" i="5"/>
  <c r="M2910" i="5"/>
  <c r="L2910" i="5"/>
  <c r="K2910" i="5"/>
  <c r="J2910" i="5"/>
  <c r="I2910" i="5"/>
  <c r="H2910" i="5"/>
  <c r="V2909" i="5"/>
  <c r="U2909" i="5"/>
  <c r="T2909" i="5"/>
  <c r="S2909" i="5"/>
  <c r="R2909" i="5"/>
  <c r="Q2909" i="5"/>
  <c r="P2909" i="5"/>
  <c r="O2909" i="5"/>
  <c r="N2909" i="5"/>
  <c r="M2909" i="5"/>
  <c r="L2909" i="5"/>
  <c r="K2909" i="5"/>
  <c r="J2909" i="5"/>
  <c r="I2909" i="5"/>
  <c r="H2909" i="5"/>
  <c r="V2908" i="5"/>
  <c r="U2908" i="5"/>
  <c r="T2908" i="5"/>
  <c r="S2908" i="5"/>
  <c r="R2908" i="5"/>
  <c r="Q2908" i="5"/>
  <c r="P2908" i="5"/>
  <c r="O2908" i="5"/>
  <c r="N2908" i="5"/>
  <c r="M2908" i="5"/>
  <c r="L2908" i="5"/>
  <c r="K2908" i="5"/>
  <c r="J2908" i="5"/>
  <c r="I2908" i="5"/>
  <c r="H2908" i="5"/>
  <c r="V2907" i="5"/>
  <c r="U2907" i="5"/>
  <c r="T2907" i="5"/>
  <c r="S2907" i="5"/>
  <c r="R2907" i="5"/>
  <c r="Q2907" i="5"/>
  <c r="P2907" i="5"/>
  <c r="O2907" i="5"/>
  <c r="N2907" i="5"/>
  <c r="M2907" i="5"/>
  <c r="L2907" i="5"/>
  <c r="K2907" i="5"/>
  <c r="J2907" i="5"/>
  <c r="I2907" i="5"/>
  <c r="H2907" i="5"/>
  <c r="V2906" i="5"/>
  <c r="U2906" i="5"/>
  <c r="T2906" i="5"/>
  <c r="S2906" i="5"/>
  <c r="R2906" i="5"/>
  <c r="Q2906" i="5"/>
  <c r="P2906" i="5"/>
  <c r="O2906" i="5"/>
  <c r="N2906" i="5"/>
  <c r="M2906" i="5"/>
  <c r="L2906" i="5"/>
  <c r="K2906" i="5"/>
  <c r="J2906" i="5"/>
  <c r="I2906" i="5"/>
  <c r="H2906" i="5"/>
  <c r="V2905" i="5"/>
  <c r="U2905" i="5"/>
  <c r="T2905" i="5"/>
  <c r="S2905" i="5"/>
  <c r="R2905" i="5"/>
  <c r="Q2905" i="5"/>
  <c r="P2905" i="5"/>
  <c r="O2905" i="5"/>
  <c r="N2905" i="5"/>
  <c r="M2905" i="5"/>
  <c r="L2905" i="5"/>
  <c r="K2905" i="5"/>
  <c r="J2905" i="5"/>
  <c r="I2905" i="5"/>
  <c r="H2905" i="5"/>
  <c r="V2904" i="5"/>
  <c r="U2904" i="5"/>
  <c r="T2904" i="5"/>
  <c r="S2904" i="5"/>
  <c r="R2904" i="5"/>
  <c r="Q2904" i="5"/>
  <c r="P2904" i="5"/>
  <c r="V2903" i="5"/>
  <c r="U2903" i="5"/>
  <c r="T2903" i="5"/>
  <c r="S2903" i="5"/>
  <c r="R2903" i="5"/>
  <c r="Q2903" i="5"/>
  <c r="P2903" i="5"/>
  <c r="O2903" i="5"/>
  <c r="N2903" i="5"/>
  <c r="M2903" i="5"/>
  <c r="L2903" i="5"/>
  <c r="K2903" i="5"/>
  <c r="J2903" i="5"/>
  <c r="I2903" i="5"/>
  <c r="H2903" i="5"/>
  <c r="U2902" i="5"/>
  <c r="T2902" i="5"/>
  <c r="S2902" i="5"/>
  <c r="R2902" i="5"/>
  <c r="Q2902" i="5"/>
  <c r="P2902" i="5"/>
  <c r="O2902" i="5"/>
  <c r="N2902" i="5"/>
  <c r="M2902" i="5"/>
  <c r="L2902" i="5"/>
  <c r="K2902" i="5"/>
  <c r="J2902" i="5"/>
  <c r="I2902" i="5"/>
  <c r="H2902" i="5"/>
  <c r="V2901" i="5"/>
  <c r="U2901" i="5"/>
  <c r="T2901" i="5"/>
  <c r="S2901" i="5"/>
  <c r="R2901" i="5"/>
  <c r="Q2901" i="5"/>
  <c r="P2901" i="5"/>
  <c r="O2901" i="5"/>
  <c r="N2901" i="5"/>
  <c r="M2901" i="5"/>
  <c r="L2901" i="5"/>
  <c r="K2901" i="5"/>
  <c r="J2901" i="5"/>
  <c r="I2901" i="5"/>
  <c r="H2901" i="5"/>
  <c r="V2900" i="5"/>
  <c r="O2900" i="5"/>
  <c r="N2900" i="5"/>
  <c r="M2900" i="5"/>
  <c r="L2900" i="5"/>
  <c r="K2900" i="5"/>
  <c r="J2900" i="5"/>
  <c r="I2900" i="5"/>
  <c r="H2900" i="5"/>
  <c r="V2899" i="5"/>
  <c r="U2899" i="5"/>
  <c r="T2899" i="5"/>
  <c r="S2899" i="5"/>
  <c r="R2899" i="5"/>
  <c r="Q2899" i="5"/>
  <c r="P2899" i="5"/>
  <c r="O2899" i="5"/>
  <c r="N2899" i="5"/>
  <c r="M2899" i="5"/>
  <c r="L2899" i="5"/>
  <c r="K2899" i="5"/>
  <c r="J2899" i="5"/>
  <c r="I2899" i="5"/>
  <c r="H2899" i="5"/>
  <c r="V2898" i="5"/>
  <c r="U2898" i="5"/>
  <c r="T2898" i="5"/>
  <c r="S2898" i="5"/>
  <c r="R2898" i="5"/>
  <c r="Q2898" i="5"/>
  <c r="P2898" i="5"/>
  <c r="O2898" i="5"/>
  <c r="N2898" i="5"/>
  <c r="M2898" i="5"/>
  <c r="L2898" i="5"/>
  <c r="K2898" i="5"/>
  <c r="J2898" i="5"/>
  <c r="I2898" i="5"/>
  <c r="H2898" i="5"/>
  <c r="V2897" i="5"/>
  <c r="U2897" i="5"/>
  <c r="T2897" i="5"/>
  <c r="S2897" i="5"/>
  <c r="R2897" i="5"/>
  <c r="Q2897" i="5"/>
  <c r="P2897" i="5"/>
  <c r="O2897" i="5"/>
  <c r="N2897" i="5"/>
  <c r="M2897" i="5"/>
  <c r="L2897" i="5"/>
  <c r="K2897" i="5"/>
  <c r="J2897" i="5"/>
  <c r="I2897" i="5"/>
  <c r="H2897" i="5"/>
  <c r="V2896" i="5"/>
  <c r="U2896" i="5"/>
  <c r="T2896" i="5"/>
  <c r="S2896" i="5"/>
  <c r="R2896" i="5"/>
  <c r="Q2896" i="5"/>
  <c r="P2896" i="5"/>
  <c r="O2896" i="5"/>
  <c r="N2896" i="5"/>
  <c r="M2896" i="5"/>
  <c r="L2896" i="5"/>
  <c r="K2896" i="5"/>
  <c r="J2896" i="5"/>
  <c r="I2896" i="5"/>
  <c r="H2896" i="5"/>
  <c r="V2895" i="5"/>
  <c r="U2895" i="5"/>
  <c r="T2895" i="5"/>
  <c r="S2895" i="5"/>
  <c r="R2895" i="5"/>
  <c r="Q2895" i="5"/>
  <c r="P2895" i="5"/>
  <c r="O2895" i="5"/>
  <c r="N2895" i="5"/>
  <c r="M2895" i="5"/>
  <c r="L2895" i="5"/>
  <c r="K2895" i="5"/>
  <c r="J2895" i="5"/>
  <c r="I2895" i="5"/>
  <c r="H2895" i="5"/>
  <c r="V2894" i="5"/>
  <c r="U2894" i="5"/>
  <c r="T2894" i="5"/>
  <c r="S2894" i="5"/>
  <c r="R2894" i="5"/>
  <c r="Q2894" i="5"/>
  <c r="P2894" i="5"/>
  <c r="V2893" i="5"/>
  <c r="U2893" i="5"/>
  <c r="T2893" i="5"/>
  <c r="S2893" i="5"/>
  <c r="R2893" i="5"/>
  <c r="Q2893" i="5"/>
  <c r="P2893" i="5"/>
  <c r="O2893" i="5"/>
  <c r="N2893" i="5"/>
  <c r="M2893" i="5"/>
  <c r="L2893" i="5"/>
  <c r="K2893" i="5"/>
  <c r="J2893" i="5"/>
  <c r="I2893" i="5"/>
  <c r="H2893" i="5"/>
  <c r="U2892" i="5"/>
  <c r="T2892" i="5"/>
  <c r="S2892" i="5"/>
  <c r="R2892" i="5"/>
  <c r="Q2892" i="5"/>
  <c r="P2892" i="5"/>
  <c r="O2892" i="5"/>
  <c r="N2892" i="5"/>
  <c r="M2892" i="5"/>
  <c r="L2892" i="5"/>
  <c r="K2892" i="5"/>
  <c r="J2892" i="5"/>
  <c r="I2892" i="5"/>
  <c r="H2892" i="5"/>
  <c r="V2891" i="5"/>
  <c r="U2891" i="5"/>
  <c r="T2891" i="5"/>
  <c r="S2891" i="5"/>
  <c r="R2891" i="5"/>
  <c r="Q2891" i="5"/>
  <c r="P2891" i="5"/>
  <c r="O2891" i="5"/>
  <c r="N2891" i="5"/>
  <c r="M2891" i="5"/>
  <c r="L2891" i="5"/>
  <c r="K2891" i="5"/>
  <c r="J2891" i="5"/>
  <c r="I2891" i="5"/>
  <c r="H2891" i="5"/>
  <c r="V2890" i="5"/>
  <c r="O2890" i="5"/>
  <c r="N2890" i="5"/>
  <c r="M2890" i="5"/>
  <c r="L2890" i="5"/>
  <c r="K2890" i="5"/>
  <c r="J2890" i="5"/>
  <c r="I2890" i="5"/>
  <c r="H2890" i="5"/>
  <c r="V2889" i="5"/>
  <c r="U2889" i="5"/>
  <c r="T2889" i="5"/>
  <c r="S2889" i="5"/>
  <c r="R2889" i="5"/>
  <c r="Q2889" i="5"/>
  <c r="P2889" i="5"/>
  <c r="O2889" i="5"/>
  <c r="N2889" i="5"/>
  <c r="M2889" i="5"/>
  <c r="L2889" i="5"/>
  <c r="K2889" i="5"/>
  <c r="J2889" i="5"/>
  <c r="I2889" i="5"/>
  <c r="H2889" i="5"/>
  <c r="V2888" i="5"/>
  <c r="U2888" i="5"/>
  <c r="T2888" i="5"/>
  <c r="S2888" i="5"/>
  <c r="R2888" i="5"/>
  <c r="Q2888" i="5"/>
  <c r="P2888" i="5"/>
  <c r="O2888" i="5"/>
  <c r="N2888" i="5"/>
  <c r="M2888" i="5"/>
  <c r="L2888" i="5"/>
  <c r="K2888" i="5"/>
  <c r="J2888" i="5"/>
  <c r="I2888" i="5"/>
  <c r="H2888" i="5"/>
  <c r="V2887" i="5"/>
  <c r="U2887" i="5"/>
  <c r="T2887" i="5"/>
  <c r="S2887" i="5"/>
  <c r="R2887" i="5"/>
  <c r="Q2887" i="5"/>
  <c r="P2887" i="5"/>
  <c r="V2886" i="5"/>
  <c r="U2886" i="5"/>
  <c r="T2886" i="5"/>
  <c r="S2886" i="5"/>
  <c r="R2886" i="5"/>
  <c r="Q2886" i="5"/>
  <c r="P2886" i="5"/>
  <c r="U2885" i="5"/>
  <c r="T2885" i="5"/>
  <c r="S2885" i="5"/>
  <c r="R2885" i="5"/>
  <c r="Q2885" i="5"/>
  <c r="P2885" i="5"/>
  <c r="U2884" i="5"/>
  <c r="T2884" i="5"/>
  <c r="S2884" i="5"/>
  <c r="R2884" i="5"/>
  <c r="Q2884" i="5"/>
  <c r="P2884" i="5"/>
  <c r="O2877" i="5"/>
  <c r="N2877" i="5"/>
  <c r="M2877" i="5"/>
  <c r="L2877" i="5"/>
  <c r="K2877" i="5"/>
  <c r="J2877" i="5"/>
  <c r="I2877" i="5"/>
  <c r="H2877" i="5"/>
  <c r="O2876" i="5"/>
  <c r="N2876" i="5"/>
  <c r="M2876" i="5"/>
  <c r="L2876" i="5"/>
  <c r="K2876" i="5"/>
  <c r="J2876" i="5"/>
  <c r="I2876" i="5"/>
  <c r="H2876" i="5"/>
  <c r="V2875" i="5"/>
  <c r="O2875" i="5"/>
  <c r="N2875" i="5"/>
  <c r="M2875" i="5"/>
  <c r="L2875" i="5"/>
  <c r="K2875" i="5"/>
  <c r="J2875" i="5"/>
  <c r="I2875" i="5"/>
  <c r="H2875" i="5"/>
  <c r="V2874" i="5"/>
  <c r="V2873" i="5"/>
  <c r="U2873" i="5"/>
  <c r="T2873" i="5"/>
  <c r="S2873" i="5"/>
  <c r="R2873" i="5"/>
  <c r="Q2873" i="5"/>
  <c r="P2873" i="5"/>
  <c r="O2873" i="5"/>
  <c r="N2873" i="5"/>
  <c r="M2873" i="5"/>
  <c r="L2873" i="5"/>
  <c r="K2873" i="5"/>
  <c r="J2873" i="5"/>
  <c r="I2873" i="5"/>
  <c r="H2873" i="5"/>
  <c r="U2872" i="5"/>
  <c r="T2872" i="5"/>
  <c r="S2872" i="5"/>
  <c r="R2872" i="5"/>
  <c r="Q2872" i="5"/>
  <c r="P2872" i="5"/>
  <c r="O2872" i="5"/>
  <c r="N2872" i="5"/>
  <c r="M2872" i="5"/>
  <c r="L2872" i="5"/>
  <c r="K2872" i="5"/>
  <c r="J2872" i="5"/>
  <c r="I2872" i="5"/>
  <c r="H2872" i="5"/>
  <c r="V2871" i="5"/>
  <c r="U2871" i="5"/>
  <c r="T2871" i="5"/>
  <c r="S2871" i="5"/>
  <c r="R2871" i="5"/>
  <c r="Q2871" i="5"/>
  <c r="P2871" i="5"/>
  <c r="O2871" i="5"/>
  <c r="N2871" i="5"/>
  <c r="M2871" i="5"/>
  <c r="L2871" i="5"/>
  <c r="K2871" i="5"/>
  <c r="J2871" i="5"/>
  <c r="I2871" i="5"/>
  <c r="H2871" i="5"/>
  <c r="V2870" i="5"/>
  <c r="O2870" i="5"/>
  <c r="N2870" i="5"/>
  <c r="M2870" i="5"/>
  <c r="L2870" i="5"/>
  <c r="K2870" i="5"/>
  <c r="J2870" i="5"/>
  <c r="I2870" i="5"/>
  <c r="H2870" i="5"/>
  <c r="V2869" i="5"/>
  <c r="U2869" i="5"/>
  <c r="T2869" i="5"/>
  <c r="S2869" i="5"/>
  <c r="R2869" i="5"/>
  <c r="Q2869" i="5"/>
  <c r="P2869" i="5"/>
  <c r="O2869" i="5"/>
  <c r="N2869" i="5"/>
  <c r="M2869" i="5"/>
  <c r="L2869" i="5"/>
  <c r="K2869" i="5"/>
  <c r="J2869" i="5"/>
  <c r="I2869" i="5"/>
  <c r="H2869" i="5"/>
  <c r="V2868" i="5"/>
  <c r="U2868" i="5"/>
  <c r="T2868" i="5"/>
  <c r="S2868" i="5"/>
  <c r="R2868" i="5"/>
  <c r="Q2868" i="5"/>
  <c r="P2868" i="5"/>
  <c r="O2868" i="5"/>
  <c r="N2868" i="5"/>
  <c r="M2868" i="5"/>
  <c r="L2868" i="5"/>
  <c r="K2868" i="5"/>
  <c r="J2868" i="5"/>
  <c r="I2868" i="5"/>
  <c r="H2868" i="5"/>
  <c r="V2867" i="5"/>
  <c r="U2867" i="5"/>
  <c r="T2867" i="5"/>
  <c r="S2867" i="5"/>
  <c r="R2867" i="5"/>
  <c r="Q2867" i="5"/>
  <c r="P2867" i="5"/>
  <c r="O2867" i="5"/>
  <c r="N2867" i="5"/>
  <c r="M2867" i="5"/>
  <c r="L2867" i="5"/>
  <c r="K2867" i="5"/>
  <c r="J2867" i="5"/>
  <c r="I2867" i="5"/>
  <c r="H2867" i="5"/>
  <c r="V2866" i="5"/>
  <c r="U2866" i="5"/>
  <c r="T2866" i="5"/>
  <c r="S2866" i="5"/>
  <c r="R2866" i="5"/>
  <c r="Q2866" i="5"/>
  <c r="P2866" i="5"/>
  <c r="O2866" i="5"/>
  <c r="N2866" i="5"/>
  <c r="M2866" i="5"/>
  <c r="L2866" i="5"/>
  <c r="K2866" i="5"/>
  <c r="J2866" i="5"/>
  <c r="I2866" i="5"/>
  <c r="H2866" i="5"/>
  <c r="V2865" i="5"/>
  <c r="U2865" i="5"/>
  <c r="T2865" i="5"/>
  <c r="S2865" i="5"/>
  <c r="R2865" i="5"/>
  <c r="Q2865" i="5"/>
  <c r="P2865" i="5"/>
  <c r="O2865" i="5"/>
  <c r="N2865" i="5"/>
  <c r="M2865" i="5"/>
  <c r="L2865" i="5"/>
  <c r="K2865" i="5"/>
  <c r="J2865" i="5"/>
  <c r="I2865" i="5"/>
  <c r="H2865" i="5"/>
  <c r="V2864" i="5"/>
  <c r="U2864" i="5"/>
  <c r="T2864" i="5"/>
  <c r="S2864" i="5"/>
  <c r="R2864" i="5"/>
  <c r="Q2864" i="5"/>
  <c r="P2864" i="5"/>
  <c r="V2863" i="5"/>
  <c r="U2863" i="5"/>
  <c r="T2863" i="5"/>
  <c r="S2863" i="5"/>
  <c r="R2863" i="5"/>
  <c r="Q2863" i="5"/>
  <c r="P2863" i="5"/>
  <c r="O2863" i="5"/>
  <c r="N2863" i="5"/>
  <c r="M2863" i="5"/>
  <c r="L2863" i="5"/>
  <c r="K2863" i="5"/>
  <c r="J2863" i="5"/>
  <c r="I2863" i="5"/>
  <c r="H2863" i="5"/>
  <c r="U2862" i="5"/>
  <c r="T2862" i="5"/>
  <c r="S2862" i="5"/>
  <c r="R2862" i="5"/>
  <c r="Q2862" i="5"/>
  <c r="P2862" i="5"/>
  <c r="O2862" i="5"/>
  <c r="N2862" i="5"/>
  <c r="M2862" i="5"/>
  <c r="L2862" i="5"/>
  <c r="K2862" i="5"/>
  <c r="J2862" i="5"/>
  <c r="I2862" i="5"/>
  <c r="H2862" i="5"/>
  <c r="V2861" i="5"/>
  <c r="U2861" i="5"/>
  <c r="T2861" i="5"/>
  <c r="S2861" i="5"/>
  <c r="R2861" i="5"/>
  <c r="Q2861" i="5"/>
  <c r="P2861" i="5"/>
  <c r="O2861" i="5"/>
  <c r="N2861" i="5"/>
  <c r="M2861" i="5"/>
  <c r="L2861" i="5"/>
  <c r="K2861" i="5"/>
  <c r="J2861" i="5"/>
  <c r="I2861" i="5"/>
  <c r="H2861" i="5"/>
  <c r="V2860" i="5"/>
  <c r="O2860" i="5"/>
  <c r="N2860" i="5"/>
  <c r="M2860" i="5"/>
  <c r="L2860" i="5"/>
  <c r="K2860" i="5"/>
  <c r="J2860" i="5"/>
  <c r="I2860" i="5"/>
  <c r="H2860" i="5"/>
  <c r="V2859" i="5"/>
  <c r="U2859" i="5"/>
  <c r="T2859" i="5"/>
  <c r="S2859" i="5"/>
  <c r="R2859" i="5"/>
  <c r="Q2859" i="5"/>
  <c r="P2859" i="5"/>
  <c r="O2859" i="5"/>
  <c r="N2859" i="5"/>
  <c r="M2859" i="5"/>
  <c r="L2859" i="5"/>
  <c r="K2859" i="5"/>
  <c r="J2859" i="5"/>
  <c r="I2859" i="5"/>
  <c r="H2859" i="5"/>
  <c r="V2858" i="5"/>
  <c r="U2858" i="5"/>
  <c r="T2858" i="5"/>
  <c r="S2858" i="5"/>
  <c r="R2858" i="5"/>
  <c r="Q2858" i="5"/>
  <c r="P2858" i="5"/>
  <c r="O2858" i="5"/>
  <c r="N2858" i="5"/>
  <c r="M2858" i="5"/>
  <c r="L2858" i="5"/>
  <c r="K2858" i="5"/>
  <c r="J2858" i="5"/>
  <c r="I2858" i="5"/>
  <c r="H2858" i="5"/>
  <c r="V2857" i="5"/>
  <c r="U2857" i="5"/>
  <c r="T2857" i="5"/>
  <c r="S2857" i="5"/>
  <c r="R2857" i="5"/>
  <c r="Q2857" i="5"/>
  <c r="P2857" i="5"/>
  <c r="O2857" i="5"/>
  <c r="N2857" i="5"/>
  <c r="M2857" i="5"/>
  <c r="L2857" i="5"/>
  <c r="K2857" i="5"/>
  <c r="J2857" i="5"/>
  <c r="I2857" i="5"/>
  <c r="H2857" i="5"/>
  <c r="V2856" i="5"/>
  <c r="U2856" i="5"/>
  <c r="T2856" i="5"/>
  <c r="S2856" i="5"/>
  <c r="R2856" i="5"/>
  <c r="Q2856" i="5"/>
  <c r="P2856" i="5"/>
  <c r="O2856" i="5"/>
  <c r="N2856" i="5"/>
  <c r="M2856" i="5"/>
  <c r="L2856" i="5"/>
  <c r="K2856" i="5"/>
  <c r="J2856" i="5"/>
  <c r="I2856" i="5"/>
  <c r="H2856" i="5"/>
  <c r="V2855" i="5"/>
  <c r="U2855" i="5"/>
  <c r="T2855" i="5"/>
  <c r="S2855" i="5"/>
  <c r="R2855" i="5"/>
  <c r="Q2855" i="5"/>
  <c r="P2855" i="5"/>
  <c r="O2855" i="5"/>
  <c r="N2855" i="5"/>
  <c r="M2855" i="5"/>
  <c r="L2855" i="5"/>
  <c r="K2855" i="5"/>
  <c r="J2855" i="5"/>
  <c r="I2855" i="5"/>
  <c r="H2855" i="5"/>
  <c r="V2854" i="5"/>
  <c r="U2854" i="5"/>
  <c r="T2854" i="5"/>
  <c r="S2854" i="5"/>
  <c r="R2854" i="5"/>
  <c r="Q2854" i="5"/>
  <c r="P2854" i="5"/>
  <c r="V2853" i="5"/>
  <c r="U2853" i="5"/>
  <c r="T2853" i="5"/>
  <c r="S2853" i="5"/>
  <c r="R2853" i="5"/>
  <c r="Q2853" i="5"/>
  <c r="P2853" i="5"/>
  <c r="O2853" i="5"/>
  <c r="N2853" i="5"/>
  <c r="M2853" i="5"/>
  <c r="L2853" i="5"/>
  <c r="K2853" i="5"/>
  <c r="J2853" i="5"/>
  <c r="I2853" i="5"/>
  <c r="H2853" i="5"/>
  <c r="U2852" i="5"/>
  <c r="T2852" i="5"/>
  <c r="S2852" i="5"/>
  <c r="R2852" i="5"/>
  <c r="Q2852" i="5"/>
  <c r="P2852" i="5"/>
  <c r="O2852" i="5"/>
  <c r="N2852" i="5"/>
  <c r="M2852" i="5"/>
  <c r="L2852" i="5"/>
  <c r="K2852" i="5"/>
  <c r="J2852" i="5"/>
  <c r="I2852" i="5"/>
  <c r="H2852" i="5"/>
  <c r="V2851" i="5"/>
  <c r="U2851" i="5"/>
  <c r="T2851" i="5"/>
  <c r="S2851" i="5"/>
  <c r="R2851" i="5"/>
  <c r="Q2851" i="5"/>
  <c r="P2851" i="5"/>
  <c r="O2851" i="5"/>
  <c r="N2851" i="5"/>
  <c r="M2851" i="5"/>
  <c r="L2851" i="5"/>
  <c r="K2851" i="5"/>
  <c r="J2851" i="5"/>
  <c r="I2851" i="5"/>
  <c r="H2851" i="5"/>
  <c r="V2850" i="5"/>
  <c r="O2850" i="5"/>
  <c r="N2850" i="5"/>
  <c r="M2850" i="5"/>
  <c r="L2850" i="5"/>
  <c r="K2850" i="5"/>
  <c r="J2850" i="5"/>
  <c r="I2850" i="5"/>
  <c r="H2850" i="5"/>
  <c r="V2849" i="5"/>
  <c r="U2849" i="5"/>
  <c r="T2849" i="5"/>
  <c r="S2849" i="5"/>
  <c r="R2849" i="5"/>
  <c r="Q2849" i="5"/>
  <c r="P2849" i="5"/>
  <c r="O2849" i="5"/>
  <c r="N2849" i="5"/>
  <c r="M2849" i="5"/>
  <c r="L2849" i="5"/>
  <c r="K2849" i="5"/>
  <c r="J2849" i="5"/>
  <c r="I2849" i="5"/>
  <c r="H2849" i="5"/>
  <c r="V2848" i="5"/>
  <c r="U2848" i="5"/>
  <c r="T2848" i="5"/>
  <c r="S2848" i="5"/>
  <c r="R2848" i="5"/>
  <c r="Q2848" i="5"/>
  <c r="P2848" i="5"/>
  <c r="O2848" i="5"/>
  <c r="N2848" i="5"/>
  <c r="M2848" i="5"/>
  <c r="L2848" i="5"/>
  <c r="K2848" i="5"/>
  <c r="J2848" i="5"/>
  <c r="I2848" i="5"/>
  <c r="H2848" i="5"/>
  <c r="V2847" i="5"/>
  <c r="U2847" i="5"/>
  <c r="T2847" i="5"/>
  <c r="S2847" i="5"/>
  <c r="R2847" i="5"/>
  <c r="Q2847" i="5"/>
  <c r="P2847" i="5"/>
  <c r="O2847" i="5"/>
  <c r="N2847" i="5"/>
  <c r="M2847" i="5"/>
  <c r="L2847" i="5"/>
  <c r="K2847" i="5"/>
  <c r="J2847" i="5"/>
  <c r="I2847" i="5"/>
  <c r="H2847" i="5"/>
  <c r="V2846" i="5"/>
  <c r="U2846" i="5"/>
  <c r="T2846" i="5"/>
  <c r="S2846" i="5"/>
  <c r="R2846" i="5"/>
  <c r="Q2846" i="5"/>
  <c r="P2846" i="5"/>
  <c r="O2846" i="5"/>
  <c r="N2846" i="5"/>
  <c r="M2846" i="5"/>
  <c r="L2846" i="5"/>
  <c r="K2846" i="5"/>
  <c r="J2846" i="5"/>
  <c r="I2846" i="5"/>
  <c r="H2846" i="5"/>
  <c r="V2845" i="5"/>
  <c r="U2845" i="5"/>
  <c r="T2845" i="5"/>
  <c r="S2845" i="5"/>
  <c r="R2845" i="5"/>
  <c r="Q2845" i="5"/>
  <c r="P2845" i="5"/>
  <c r="O2845" i="5"/>
  <c r="N2845" i="5"/>
  <c r="M2845" i="5"/>
  <c r="L2845" i="5"/>
  <c r="K2845" i="5"/>
  <c r="J2845" i="5"/>
  <c r="I2845" i="5"/>
  <c r="H2845" i="5"/>
  <c r="V2844" i="5"/>
  <c r="U2844" i="5"/>
  <c r="T2844" i="5"/>
  <c r="S2844" i="5"/>
  <c r="R2844" i="5"/>
  <c r="Q2844" i="5"/>
  <c r="P2844" i="5"/>
  <c r="V2843" i="5"/>
  <c r="U2843" i="5"/>
  <c r="T2843" i="5"/>
  <c r="S2843" i="5"/>
  <c r="R2843" i="5"/>
  <c r="Q2843" i="5"/>
  <c r="P2843" i="5"/>
  <c r="O2843" i="5"/>
  <c r="N2843" i="5"/>
  <c r="M2843" i="5"/>
  <c r="L2843" i="5"/>
  <c r="K2843" i="5"/>
  <c r="J2843" i="5"/>
  <c r="I2843" i="5"/>
  <c r="H2843" i="5"/>
  <c r="U2842" i="5"/>
  <c r="T2842" i="5"/>
  <c r="S2842" i="5"/>
  <c r="R2842" i="5"/>
  <c r="Q2842" i="5"/>
  <c r="P2842" i="5"/>
  <c r="O2842" i="5"/>
  <c r="N2842" i="5"/>
  <c r="M2842" i="5"/>
  <c r="L2842" i="5"/>
  <c r="K2842" i="5"/>
  <c r="J2842" i="5"/>
  <c r="I2842" i="5"/>
  <c r="H2842" i="5"/>
  <c r="V2841" i="5"/>
  <c r="U2841" i="5"/>
  <c r="T2841" i="5"/>
  <c r="S2841" i="5"/>
  <c r="R2841" i="5"/>
  <c r="Q2841" i="5"/>
  <c r="P2841" i="5"/>
  <c r="O2841" i="5"/>
  <c r="N2841" i="5"/>
  <c r="M2841" i="5"/>
  <c r="L2841" i="5"/>
  <c r="K2841" i="5"/>
  <c r="J2841" i="5"/>
  <c r="I2841" i="5"/>
  <c r="H2841" i="5"/>
  <c r="V2840" i="5"/>
  <c r="O2840" i="5"/>
  <c r="N2840" i="5"/>
  <c r="M2840" i="5"/>
  <c r="L2840" i="5"/>
  <c r="K2840" i="5"/>
  <c r="J2840" i="5"/>
  <c r="I2840" i="5"/>
  <c r="H2840" i="5"/>
  <c r="V2839" i="5"/>
  <c r="U2839" i="5"/>
  <c r="T2839" i="5"/>
  <c r="S2839" i="5"/>
  <c r="R2839" i="5"/>
  <c r="Q2839" i="5"/>
  <c r="P2839" i="5"/>
  <c r="O2839" i="5"/>
  <c r="N2839" i="5"/>
  <c r="M2839" i="5"/>
  <c r="L2839" i="5"/>
  <c r="K2839" i="5"/>
  <c r="J2839" i="5"/>
  <c r="I2839" i="5"/>
  <c r="H2839" i="5"/>
  <c r="V2838" i="5"/>
  <c r="U2838" i="5"/>
  <c r="T2838" i="5"/>
  <c r="S2838" i="5"/>
  <c r="R2838" i="5"/>
  <c r="Q2838" i="5"/>
  <c r="P2838" i="5"/>
  <c r="O2838" i="5"/>
  <c r="N2838" i="5"/>
  <c r="M2838" i="5"/>
  <c r="L2838" i="5"/>
  <c r="K2838" i="5"/>
  <c r="J2838" i="5"/>
  <c r="I2838" i="5"/>
  <c r="H2838" i="5"/>
  <c r="V2837" i="5"/>
  <c r="U2837" i="5"/>
  <c r="T2837" i="5"/>
  <c r="S2837" i="5"/>
  <c r="R2837" i="5"/>
  <c r="Q2837" i="5"/>
  <c r="P2837" i="5"/>
  <c r="O2837" i="5"/>
  <c r="N2837" i="5"/>
  <c r="M2837" i="5"/>
  <c r="L2837" i="5"/>
  <c r="K2837" i="5"/>
  <c r="J2837" i="5"/>
  <c r="I2837" i="5"/>
  <c r="H2837" i="5"/>
  <c r="V2836" i="5"/>
  <c r="U2836" i="5"/>
  <c r="T2836" i="5"/>
  <c r="S2836" i="5"/>
  <c r="R2836" i="5"/>
  <c r="Q2836" i="5"/>
  <c r="P2836" i="5"/>
  <c r="O2836" i="5"/>
  <c r="N2836" i="5"/>
  <c r="M2836" i="5"/>
  <c r="L2836" i="5"/>
  <c r="K2836" i="5"/>
  <c r="J2836" i="5"/>
  <c r="I2836" i="5"/>
  <c r="H2836" i="5"/>
  <c r="V2835" i="5"/>
  <c r="U2835" i="5"/>
  <c r="T2835" i="5"/>
  <c r="S2835" i="5"/>
  <c r="R2835" i="5"/>
  <c r="Q2835" i="5"/>
  <c r="P2835" i="5"/>
  <c r="O2835" i="5"/>
  <c r="N2835" i="5"/>
  <c r="M2835" i="5"/>
  <c r="L2835" i="5"/>
  <c r="K2835" i="5"/>
  <c r="J2835" i="5"/>
  <c r="I2835" i="5"/>
  <c r="H2835" i="5"/>
  <c r="V2834" i="5"/>
  <c r="U2834" i="5"/>
  <c r="T2834" i="5"/>
  <c r="S2834" i="5"/>
  <c r="R2834" i="5"/>
  <c r="Q2834" i="5"/>
  <c r="P2834" i="5"/>
  <c r="V2833" i="5"/>
  <c r="U2833" i="5"/>
  <c r="T2833" i="5"/>
  <c r="S2833" i="5"/>
  <c r="R2833" i="5"/>
  <c r="Q2833" i="5"/>
  <c r="P2833" i="5"/>
  <c r="O2833" i="5"/>
  <c r="N2833" i="5"/>
  <c r="M2833" i="5"/>
  <c r="L2833" i="5"/>
  <c r="K2833" i="5"/>
  <c r="J2833" i="5"/>
  <c r="I2833" i="5"/>
  <c r="H2833" i="5"/>
  <c r="U2832" i="5"/>
  <c r="T2832" i="5"/>
  <c r="S2832" i="5"/>
  <c r="R2832" i="5"/>
  <c r="Q2832" i="5"/>
  <c r="P2832" i="5"/>
  <c r="O2832" i="5"/>
  <c r="N2832" i="5"/>
  <c r="M2832" i="5"/>
  <c r="L2832" i="5"/>
  <c r="K2832" i="5"/>
  <c r="J2832" i="5"/>
  <c r="I2832" i="5"/>
  <c r="H2832" i="5"/>
  <c r="V2831" i="5"/>
  <c r="U2831" i="5"/>
  <c r="T2831" i="5"/>
  <c r="S2831" i="5"/>
  <c r="R2831" i="5"/>
  <c r="Q2831" i="5"/>
  <c r="P2831" i="5"/>
  <c r="O2831" i="5"/>
  <c r="N2831" i="5"/>
  <c r="M2831" i="5"/>
  <c r="L2831" i="5"/>
  <c r="K2831" i="5"/>
  <c r="J2831" i="5"/>
  <c r="I2831" i="5"/>
  <c r="H2831" i="5"/>
  <c r="V2830" i="5"/>
  <c r="O2830" i="5"/>
  <c r="N2830" i="5"/>
  <c r="M2830" i="5"/>
  <c r="L2830" i="5"/>
  <c r="K2830" i="5"/>
  <c r="J2830" i="5"/>
  <c r="I2830" i="5"/>
  <c r="H2830" i="5"/>
  <c r="V2829" i="5"/>
  <c r="U2829" i="5"/>
  <c r="T2829" i="5"/>
  <c r="S2829" i="5"/>
  <c r="R2829" i="5"/>
  <c r="Q2829" i="5"/>
  <c r="P2829" i="5"/>
  <c r="O2829" i="5"/>
  <c r="N2829" i="5"/>
  <c r="M2829" i="5"/>
  <c r="L2829" i="5"/>
  <c r="K2829" i="5"/>
  <c r="J2829" i="5"/>
  <c r="I2829" i="5"/>
  <c r="H2829" i="5"/>
  <c r="V2828" i="5"/>
  <c r="U2828" i="5"/>
  <c r="T2828" i="5"/>
  <c r="S2828" i="5"/>
  <c r="R2828" i="5"/>
  <c r="Q2828" i="5"/>
  <c r="P2828" i="5"/>
  <c r="O2828" i="5"/>
  <c r="N2828" i="5"/>
  <c r="M2828" i="5"/>
  <c r="L2828" i="5"/>
  <c r="K2828" i="5"/>
  <c r="J2828" i="5"/>
  <c r="I2828" i="5"/>
  <c r="H2828" i="5"/>
  <c r="V2827" i="5"/>
  <c r="U2827" i="5"/>
  <c r="T2827" i="5"/>
  <c r="S2827" i="5"/>
  <c r="R2827" i="5"/>
  <c r="Q2827" i="5"/>
  <c r="P2827" i="5"/>
  <c r="O2827" i="5"/>
  <c r="N2827" i="5"/>
  <c r="M2827" i="5"/>
  <c r="L2827" i="5"/>
  <c r="K2827" i="5"/>
  <c r="J2827" i="5"/>
  <c r="I2827" i="5"/>
  <c r="H2827" i="5"/>
  <c r="V2826" i="5"/>
  <c r="U2826" i="5"/>
  <c r="T2826" i="5"/>
  <c r="S2826" i="5"/>
  <c r="R2826" i="5"/>
  <c r="Q2826" i="5"/>
  <c r="P2826" i="5"/>
  <c r="O2826" i="5"/>
  <c r="N2826" i="5"/>
  <c r="M2826" i="5"/>
  <c r="L2826" i="5"/>
  <c r="K2826" i="5"/>
  <c r="J2826" i="5"/>
  <c r="I2826" i="5"/>
  <c r="H2826" i="5"/>
  <c r="V2825" i="5"/>
  <c r="U2825" i="5"/>
  <c r="T2825" i="5"/>
  <c r="S2825" i="5"/>
  <c r="R2825" i="5"/>
  <c r="Q2825" i="5"/>
  <c r="P2825" i="5"/>
  <c r="O2825" i="5"/>
  <c r="N2825" i="5"/>
  <c r="M2825" i="5"/>
  <c r="L2825" i="5"/>
  <c r="K2825" i="5"/>
  <c r="J2825" i="5"/>
  <c r="I2825" i="5"/>
  <c r="H2825" i="5"/>
  <c r="V2824" i="5"/>
  <c r="U2824" i="5"/>
  <c r="T2824" i="5"/>
  <c r="S2824" i="5"/>
  <c r="R2824" i="5"/>
  <c r="Q2824" i="5"/>
  <c r="P2824" i="5"/>
  <c r="V2823" i="5"/>
  <c r="U2823" i="5"/>
  <c r="T2823" i="5"/>
  <c r="S2823" i="5"/>
  <c r="R2823" i="5"/>
  <c r="Q2823" i="5"/>
  <c r="P2823" i="5"/>
  <c r="O2823" i="5"/>
  <c r="N2823" i="5"/>
  <c r="M2823" i="5"/>
  <c r="L2823" i="5"/>
  <c r="K2823" i="5"/>
  <c r="J2823" i="5"/>
  <c r="I2823" i="5"/>
  <c r="H2823" i="5"/>
  <c r="U2822" i="5"/>
  <c r="T2822" i="5"/>
  <c r="S2822" i="5"/>
  <c r="R2822" i="5"/>
  <c r="Q2822" i="5"/>
  <c r="P2822" i="5"/>
  <c r="O2822" i="5"/>
  <c r="N2822" i="5"/>
  <c r="M2822" i="5"/>
  <c r="L2822" i="5"/>
  <c r="K2822" i="5"/>
  <c r="J2822" i="5"/>
  <c r="I2822" i="5"/>
  <c r="H2822" i="5"/>
  <c r="V2821" i="5"/>
  <c r="U2821" i="5"/>
  <c r="T2821" i="5"/>
  <c r="S2821" i="5"/>
  <c r="R2821" i="5"/>
  <c r="Q2821" i="5"/>
  <c r="P2821" i="5"/>
  <c r="O2821" i="5"/>
  <c r="N2821" i="5"/>
  <c r="M2821" i="5"/>
  <c r="L2821" i="5"/>
  <c r="K2821" i="5"/>
  <c r="J2821" i="5"/>
  <c r="I2821" i="5"/>
  <c r="H2821" i="5"/>
  <c r="V2820" i="5"/>
  <c r="O2820" i="5"/>
  <c r="N2820" i="5"/>
  <c r="M2820" i="5"/>
  <c r="L2820" i="5"/>
  <c r="K2820" i="5"/>
  <c r="J2820" i="5"/>
  <c r="I2820" i="5"/>
  <c r="H2820" i="5"/>
  <c r="V2819" i="5"/>
  <c r="U2819" i="5"/>
  <c r="T2819" i="5"/>
  <c r="S2819" i="5"/>
  <c r="R2819" i="5"/>
  <c r="Q2819" i="5"/>
  <c r="P2819" i="5"/>
  <c r="O2819" i="5"/>
  <c r="N2819" i="5"/>
  <c r="M2819" i="5"/>
  <c r="L2819" i="5"/>
  <c r="K2819" i="5"/>
  <c r="J2819" i="5"/>
  <c r="I2819" i="5"/>
  <c r="H2819" i="5"/>
  <c r="V2818" i="5"/>
  <c r="U2818" i="5"/>
  <c r="T2818" i="5"/>
  <c r="S2818" i="5"/>
  <c r="R2818" i="5"/>
  <c r="Q2818" i="5"/>
  <c r="P2818" i="5"/>
  <c r="O2818" i="5"/>
  <c r="N2818" i="5"/>
  <c r="M2818" i="5"/>
  <c r="L2818" i="5"/>
  <c r="K2818" i="5"/>
  <c r="J2818" i="5"/>
  <c r="I2818" i="5"/>
  <c r="H2818" i="5"/>
  <c r="V2817" i="5"/>
  <c r="U2817" i="5"/>
  <c r="T2817" i="5"/>
  <c r="S2817" i="5"/>
  <c r="R2817" i="5"/>
  <c r="Q2817" i="5"/>
  <c r="P2817" i="5"/>
  <c r="O2817" i="5"/>
  <c r="N2817" i="5"/>
  <c r="M2817" i="5"/>
  <c r="L2817" i="5"/>
  <c r="K2817" i="5"/>
  <c r="J2817" i="5"/>
  <c r="I2817" i="5"/>
  <c r="H2817" i="5"/>
  <c r="V2816" i="5"/>
  <c r="U2816" i="5"/>
  <c r="T2816" i="5"/>
  <c r="S2816" i="5"/>
  <c r="R2816" i="5"/>
  <c r="Q2816" i="5"/>
  <c r="P2816" i="5"/>
  <c r="O2816" i="5"/>
  <c r="N2816" i="5"/>
  <c r="M2816" i="5"/>
  <c r="L2816" i="5"/>
  <c r="K2816" i="5"/>
  <c r="J2816" i="5"/>
  <c r="I2816" i="5"/>
  <c r="H2816" i="5"/>
  <c r="V2815" i="5"/>
  <c r="U2815" i="5"/>
  <c r="T2815" i="5"/>
  <c r="S2815" i="5"/>
  <c r="R2815" i="5"/>
  <c r="Q2815" i="5"/>
  <c r="P2815" i="5"/>
  <c r="O2815" i="5"/>
  <c r="N2815" i="5"/>
  <c r="M2815" i="5"/>
  <c r="L2815" i="5"/>
  <c r="K2815" i="5"/>
  <c r="J2815" i="5"/>
  <c r="I2815" i="5"/>
  <c r="H2815" i="5"/>
  <c r="V2814" i="5"/>
  <c r="U2814" i="5"/>
  <c r="T2814" i="5"/>
  <c r="S2814" i="5"/>
  <c r="R2814" i="5"/>
  <c r="Q2814" i="5"/>
  <c r="P2814" i="5"/>
  <c r="V2813" i="5"/>
  <c r="U2813" i="5"/>
  <c r="T2813" i="5"/>
  <c r="S2813" i="5"/>
  <c r="R2813" i="5"/>
  <c r="Q2813" i="5"/>
  <c r="P2813" i="5"/>
  <c r="O2813" i="5"/>
  <c r="N2813" i="5"/>
  <c r="M2813" i="5"/>
  <c r="L2813" i="5"/>
  <c r="K2813" i="5"/>
  <c r="J2813" i="5"/>
  <c r="I2813" i="5"/>
  <c r="H2813" i="5"/>
  <c r="U2812" i="5"/>
  <c r="T2812" i="5"/>
  <c r="S2812" i="5"/>
  <c r="R2812" i="5"/>
  <c r="Q2812" i="5"/>
  <c r="P2812" i="5"/>
  <c r="O2812" i="5"/>
  <c r="N2812" i="5"/>
  <c r="M2812" i="5"/>
  <c r="L2812" i="5"/>
  <c r="K2812" i="5"/>
  <c r="J2812" i="5"/>
  <c r="I2812" i="5"/>
  <c r="H2812" i="5"/>
  <c r="V2811" i="5"/>
  <c r="U2811" i="5"/>
  <c r="T2811" i="5"/>
  <c r="S2811" i="5"/>
  <c r="R2811" i="5"/>
  <c r="Q2811" i="5"/>
  <c r="P2811" i="5"/>
  <c r="O2811" i="5"/>
  <c r="N2811" i="5"/>
  <c r="M2811" i="5"/>
  <c r="L2811" i="5"/>
  <c r="K2811" i="5"/>
  <c r="J2811" i="5"/>
  <c r="I2811" i="5"/>
  <c r="H2811" i="5"/>
  <c r="V2810" i="5"/>
  <c r="O2810" i="5"/>
  <c r="N2810" i="5"/>
  <c r="M2810" i="5"/>
  <c r="L2810" i="5"/>
  <c r="K2810" i="5"/>
  <c r="J2810" i="5"/>
  <c r="I2810" i="5"/>
  <c r="H2810" i="5"/>
  <c r="V2809" i="5"/>
  <c r="U2809" i="5"/>
  <c r="T2809" i="5"/>
  <c r="S2809" i="5"/>
  <c r="R2809" i="5"/>
  <c r="Q2809" i="5"/>
  <c r="P2809" i="5"/>
  <c r="O2809" i="5"/>
  <c r="N2809" i="5"/>
  <c r="M2809" i="5"/>
  <c r="L2809" i="5"/>
  <c r="K2809" i="5"/>
  <c r="J2809" i="5"/>
  <c r="I2809" i="5"/>
  <c r="H2809" i="5"/>
  <c r="V2808" i="5"/>
  <c r="U2808" i="5"/>
  <c r="T2808" i="5"/>
  <c r="S2808" i="5"/>
  <c r="R2808" i="5"/>
  <c r="Q2808" i="5"/>
  <c r="P2808" i="5"/>
  <c r="O2808" i="5"/>
  <c r="N2808" i="5"/>
  <c r="M2808" i="5"/>
  <c r="L2808" i="5"/>
  <c r="K2808" i="5"/>
  <c r="J2808" i="5"/>
  <c r="I2808" i="5"/>
  <c r="H2808" i="5"/>
  <c r="V2807" i="5"/>
  <c r="U2807" i="5"/>
  <c r="T2807" i="5"/>
  <c r="S2807" i="5"/>
  <c r="R2807" i="5"/>
  <c r="Q2807" i="5"/>
  <c r="P2807" i="5"/>
  <c r="O2807" i="5"/>
  <c r="N2807" i="5"/>
  <c r="M2807" i="5"/>
  <c r="L2807" i="5"/>
  <c r="K2807" i="5"/>
  <c r="J2807" i="5"/>
  <c r="I2807" i="5"/>
  <c r="H2807" i="5"/>
  <c r="V2806" i="5"/>
  <c r="U2806" i="5"/>
  <c r="T2806" i="5"/>
  <c r="S2806" i="5"/>
  <c r="R2806" i="5"/>
  <c r="Q2806" i="5"/>
  <c r="P2806" i="5"/>
  <c r="O2806" i="5"/>
  <c r="N2806" i="5"/>
  <c r="M2806" i="5"/>
  <c r="L2806" i="5"/>
  <c r="K2806" i="5"/>
  <c r="J2806" i="5"/>
  <c r="I2806" i="5"/>
  <c r="H2806" i="5"/>
  <c r="V2805" i="5"/>
  <c r="U2805" i="5"/>
  <c r="T2805" i="5"/>
  <c r="S2805" i="5"/>
  <c r="R2805" i="5"/>
  <c r="Q2805" i="5"/>
  <c r="P2805" i="5"/>
  <c r="O2805" i="5"/>
  <c r="N2805" i="5"/>
  <c r="M2805" i="5"/>
  <c r="L2805" i="5"/>
  <c r="K2805" i="5"/>
  <c r="J2805" i="5"/>
  <c r="I2805" i="5"/>
  <c r="H2805" i="5"/>
  <c r="V2804" i="5"/>
  <c r="U2804" i="5"/>
  <c r="T2804" i="5"/>
  <c r="S2804" i="5"/>
  <c r="R2804" i="5"/>
  <c r="Q2804" i="5"/>
  <c r="P2804" i="5"/>
  <c r="V2803" i="5"/>
  <c r="U2803" i="5"/>
  <c r="T2803" i="5"/>
  <c r="S2803" i="5"/>
  <c r="R2803" i="5"/>
  <c r="Q2803" i="5"/>
  <c r="P2803" i="5"/>
  <c r="O2803" i="5"/>
  <c r="N2803" i="5"/>
  <c r="M2803" i="5"/>
  <c r="L2803" i="5"/>
  <c r="K2803" i="5"/>
  <c r="J2803" i="5"/>
  <c r="I2803" i="5"/>
  <c r="H2803" i="5"/>
  <c r="U2802" i="5"/>
  <c r="T2802" i="5"/>
  <c r="S2802" i="5"/>
  <c r="R2802" i="5"/>
  <c r="Q2802" i="5"/>
  <c r="P2802" i="5"/>
  <c r="O2802" i="5"/>
  <c r="N2802" i="5"/>
  <c r="M2802" i="5"/>
  <c r="L2802" i="5"/>
  <c r="K2802" i="5"/>
  <c r="J2802" i="5"/>
  <c r="I2802" i="5"/>
  <c r="H2802" i="5"/>
  <c r="V2801" i="5"/>
  <c r="U2801" i="5"/>
  <c r="T2801" i="5"/>
  <c r="S2801" i="5"/>
  <c r="R2801" i="5"/>
  <c r="Q2801" i="5"/>
  <c r="P2801" i="5"/>
  <c r="O2801" i="5"/>
  <c r="N2801" i="5"/>
  <c r="M2801" i="5"/>
  <c r="L2801" i="5"/>
  <c r="K2801" i="5"/>
  <c r="J2801" i="5"/>
  <c r="I2801" i="5"/>
  <c r="H2801" i="5"/>
  <c r="V2800" i="5"/>
  <c r="O2800" i="5"/>
  <c r="N2800" i="5"/>
  <c r="M2800" i="5"/>
  <c r="L2800" i="5"/>
  <c r="K2800" i="5"/>
  <c r="J2800" i="5"/>
  <c r="I2800" i="5"/>
  <c r="H2800" i="5"/>
  <c r="V2799" i="5"/>
  <c r="U2799" i="5"/>
  <c r="T2799" i="5"/>
  <c r="S2799" i="5"/>
  <c r="R2799" i="5"/>
  <c r="Q2799" i="5"/>
  <c r="P2799" i="5"/>
  <c r="O2799" i="5"/>
  <c r="N2799" i="5"/>
  <c r="M2799" i="5"/>
  <c r="L2799" i="5"/>
  <c r="K2799" i="5"/>
  <c r="J2799" i="5"/>
  <c r="I2799" i="5"/>
  <c r="H2799" i="5"/>
  <c r="V2798" i="5"/>
  <c r="U2798" i="5"/>
  <c r="T2798" i="5"/>
  <c r="S2798" i="5"/>
  <c r="R2798" i="5"/>
  <c r="Q2798" i="5"/>
  <c r="P2798" i="5"/>
  <c r="O2798" i="5"/>
  <c r="N2798" i="5"/>
  <c r="M2798" i="5"/>
  <c r="L2798" i="5"/>
  <c r="K2798" i="5"/>
  <c r="J2798" i="5"/>
  <c r="I2798" i="5"/>
  <c r="H2798" i="5"/>
  <c r="V2797" i="5"/>
  <c r="U2797" i="5"/>
  <c r="T2797" i="5"/>
  <c r="S2797" i="5"/>
  <c r="R2797" i="5"/>
  <c r="Q2797" i="5"/>
  <c r="P2797" i="5"/>
  <c r="O2797" i="5"/>
  <c r="N2797" i="5"/>
  <c r="M2797" i="5"/>
  <c r="L2797" i="5"/>
  <c r="K2797" i="5"/>
  <c r="J2797" i="5"/>
  <c r="I2797" i="5"/>
  <c r="H2797" i="5"/>
  <c r="V2796" i="5"/>
  <c r="U2796" i="5"/>
  <c r="T2796" i="5"/>
  <c r="S2796" i="5"/>
  <c r="R2796" i="5"/>
  <c r="Q2796" i="5"/>
  <c r="P2796" i="5"/>
  <c r="O2796" i="5"/>
  <c r="N2796" i="5"/>
  <c r="M2796" i="5"/>
  <c r="L2796" i="5"/>
  <c r="K2796" i="5"/>
  <c r="J2796" i="5"/>
  <c r="I2796" i="5"/>
  <c r="H2796" i="5"/>
  <c r="V2795" i="5"/>
  <c r="U2795" i="5"/>
  <c r="T2795" i="5"/>
  <c r="S2795" i="5"/>
  <c r="R2795" i="5"/>
  <c r="Q2795" i="5"/>
  <c r="P2795" i="5"/>
  <c r="O2795" i="5"/>
  <c r="N2795" i="5"/>
  <c r="M2795" i="5"/>
  <c r="L2795" i="5"/>
  <c r="K2795" i="5"/>
  <c r="J2795" i="5"/>
  <c r="I2795" i="5"/>
  <c r="H2795" i="5"/>
  <c r="V2794" i="5"/>
  <c r="U2794" i="5"/>
  <c r="T2794" i="5"/>
  <c r="S2794" i="5"/>
  <c r="R2794" i="5"/>
  <c r="Q2794" i="5"/>
  <c r="P2794" i="5"/>
  <c r="V2793" i="5"/>
  <c r="U2793" i="5"/>
  <c r="T2793" i="5"/>
  <c r="S2793" i="5"/>
  <c r="R2793" i="5"/>
  <c r="Q2793" i="5"/>
  <c r="P2793" i="5"/>
  <c r="O2793" i="5"/>
  <c r="N2793" i="5"/>
  <c r="M2793" i="5"/>
  <c r="L2793" i="5"/>
  <c r="K2793" i="5"/>
  <c r="J2793" i="5"/>
  <c r="I2793" i="5"/>
  <c r="H2793" i="5"/>
  <c r="U2792" i="5"/>
  <c r="T2792" i="5"/>
  <c r="S2792" i="5"/>
  <c r="R2792" i="5"/>
  <c r="Q2792" i="5"/>
  <c r="P2792" i="5"/>
  <c r="O2792" i="5"/>
  <c r="N2792" i="5"/>
  <c r="M2792" i="5"/>
  <c r="L2792" i="5"/>
  <c r="K2792" i="5"/>
  <c r="J2792" i="5"/>
  <c r="I2792" i="5"/>
  <c r="H2792" i="5"/>
  <c r="V2791" i="5"/>
  <c r="U2791" i="5"/>
  <c r="T2791" i="5"/>
  <c r="S2791" i="5"/>
  <c r="R2791" i="5"/>
  <c r="Q2791" i="5"/>
  <c r="P2791" i="5"/>
  <c r="O2791" i="5"/>
  <c r="N2791" i="5"/>
  <c r="M2791" i="5"/>
  <c r="L2791" i="5"/>
  <c r="K2791" i="5"/>
  <c r="J2791" i="5"/>
  <c r="I2791" i="5"/>
  <c r="H2791" i="5"/>
  <c r="V2790" i="5"/>
  <c r="O2790" i="5"/>
  <c r="N2790" i="5"/>
  <c r="M2790" i="5"/>
  <c r="L2790" i="5"/>
  <c r="K2790" i="5"/>
  <c r="J2790" i="5"/>
  <c r="I2790" i="5"/>
  <c r="H2790" i="5"/>
  <c r="V2789" i="5"/>
  <c r="U2789" i="5"/>
  <c r="T2789" i="5"/>
  <c r="S2789" i="5"/>
  <c r="R2789" i="5"/>
  <c r="Q2789" i="5"/>
  <c r="P2789" i="5"/>
  <c r="O2789" i="5"/>
  <c r="N2789" i="5"/>
  <c r="M2789" i="5"/>
  <c r="L2789" i="5"/>
  <c r="K2789" i="5"/>
  <c r="J2789" i="5"/>
  <c r="I2789" i="5"/>
  <c r="H2789" i="5"/>
  <c r="V2788" i="5"/>
  <c r="U2788" i="5"/>
  <c r="T2788" i="5"/>
  <c r="S2788" i="5"/>
  <c r="R2788" i="5"/>
  <c r="Q2788" i="5"/>
  <c r="P2788" i="5"/>
  <c r="O2788" i="5"/>
  <c r="N2788" i="5"/>
  <c r="M2788" i="5"/>
  <c r="L2788" i="5"/>
  <c r="K2788" i="5"/>
  <c r="J2788" i="5"/>
  <c r="I2788" i="5"/>
  <c r="H2788" i="5"/>
  <c r="V2787" i="5"/>
  <c r="U2787" i="5"/>
  <c r="T2787" i="5"/>
  <c r="S2787" i="5"/>
  <c r="R2787" i="5"/>
  <c r="Q2787" i="5"/>
  <c r="P2787" i="5"/>
  <c r="V2786" i="5"/>
  <c r="U2786" i="5"/>
  <c r="T2786" i="5"/>
  <c r="S2786" i="5"/>
  <c r="R2786" i="5"/>
  <c r="Q2786" i="5"/>
  <c r="P2786" i="5"/>
  <c r="U2785" i="5"/>
  <c r="T2785" i="5"/>
  <c r="S2785" i="5"/>
  <c r="R2785" i="5"/>
  <c r="Q2785" i="5"/>
  <c r="P2785" i="5"/>
  <c r="U2784" i="5"/>
  <c r="T2784" i="5"/>
  <c r="S2784" i="5"/>
  <c r="R2784" i="5"/>
  <c r="Q2784" i="5"/>
  <c r="P2784" i="5"/>
  <c r="O2777" i="5"/>
  <c r="N2777" i="5"/>
  <c r="M2777" i="5"/>
  <c r="L2777" i="5"/>
  <c r="K2777" i="5"/>
  <c r="J2777" i="5"/>
  <c r="I2777" i="5"/>
  <c r="H2777" i="5"/>
  <c r="O2776" i="5"/>
  <c r="N2776" i="5"/>
  <c r="M2776" i="5"/>
  <c r="L2776" i="5"/>
  <c r="K2776" i="5"/>
  <c r="J2776" i="5"/>
  <c r="I2776" i="5"/>
  <c r="H2776" i="5"/>
  <c r="V2775" i="5"/>
  <c r="O2775" i="5"/>
  <c r="N2775" i="5"/>
  <c r="M2775" i="5"/>
  <c r="L2775" i="5"/>
  <c r="K2775" i="5"/>
  <c r="J2775" i="5"/>
  <c r="I2775" i="5"/>
  <c r="H2775" i="5"/>
  <c r="V2774" i="5"/>
  <c r="V2773" i="5"/>
  <c r="U2773" i="5"/>
  <c r="T2773" i="5"/>
  <c r="S2773" i="5"/>
  <c r="R2773" i="5"/>
  <c r="Q2773" i="5"/>
  <c r="P2773" i="5"/>
  <c r="O2773" i="5"/>
  <c r="N2773" i="5"/>
  <c r="M2773" i="5"/>
  <c r="L2773" i="5"/>
  <c r="K2773" i="5"/>
  <c r="J2773" i="5"/>
  <c r="I2773" i="5"/>
  <c r="H2773" i="5"/>
  <c r="U2772" i="5"/>
  <c r="T2772" i="5"/>
  <c r="S2772" i="5"/>
  <c r="R2772" i="5"/>
  <c r="Q2772" i="5"/>
  <c r="P2772" i="5"/>
  <c r="O2772" i="5"/>
  <c r="N2772" i="5"/>
  <c r="M2772" i="5"/>
  <c r="L2772" i="5"/>
  <c r="K2772" i="5"/>
  <c r="J2772" i="5"/>
  <c r="I2772" i="5"/>
  <c r="H2772" i="5"/>
  <c r="V2771" i="5"/>
  <c r="U2771" i="5"/>
  <c r="T2771" i="5"/>
  <c r="S2771" i="5"/>
  <c r="R2771" i="5"/>
  <c r="Q2771" i="5"/>
  <c r="P2771" i="5"/>
  <c r="O2771" i="5"/>
  <c r="N2771" i="5"/>
  <c r="M2771" i="5"/>
  <c r="L2771" i="5"/>
  <c r="K2771" i="5"/>
  <c r="J2771" i="5"/>
  <c r="I2771" i="5"/>
  <c r="H2771" i="5"/>
  <c r="V2770" i="5"/>
  <c r="O2770" i="5"/>
  <c r="N2770" i="5"/>
  <c r="M2770" i="5"/>
  <c r="L2770" i="5"/>
  <c r="K2770" i="5"/>
  <c r="J2770" i="5"/>
  <c r="I2770" i="5"/>
  <c r="H2770" i="5"/>
  <c r="V2769" i="5"/>
  <c r="U2769" i="5"/>
  <c r="T2769" i="5"/>
  <c r="S2769" i="5"/>
  <c r="R2769" i="5"/>
  <c r="Q2769" i="5"/>
  <c r="P2769" i="5"/>
  <c r="O2769" i="5"/>
  <c r="N2769" i="5"/>
  <c r="M2769" i="5"/>
  <c r="L2769" i="5"/>
  <c r="K2769" i="5"/>
  <c r="J2769" i="5"/>
  <c r="I2769" i="5"/>
  <c r="H2769" i="5"/>
  <c r="V2768" i="5"/>
  <c r="U2768" i="5"/>
  <c r="T2768" i="5"/>
  <c r="S2768" i="5"/>
  <c r="R2768" i="5"/>
  <c r="Q2768" i="5"/>
  <c r="P2768" i="5"/>
  <c r="O2768" i="5"/>
  <c r="N2768" i="5"/>
  <c r="M2768" i="5"/>
  <c r="L2768" i="5"/>
  <c r="K2768" i="5"/>
  <c r="J2768" i="5"/>
  <c r="I2768" i="5"/>
  <c r="H2768" i="5"/>
  <c r="V2767" i="5"/>
  <c r="U2767" i="5"/>
  <c r="T2767" i="5"/>
  <c r="S2767" i="5"/>
  <c r="R2767" i="5"/>
  <c r="Q2767" i="5"/>
  <c r="P2767" i="5"/>
  <c r="O2767" i="5"/>
  <c r="N2767" i="5"/>
  <c r="M2767" i="5"/>
  <c r="L2767" i="5"/>
  <c r="K2767" i="5"/>
  <c r="J2767" i="5"/>
  <c r="I2767" i="5"/>
  <c r="H2767" i="5"/>
  <c r="V2766" i="5"/>
  <c r="U2766" i="5"/>
  <c r="T2766" i="5"/>
  <c r="S2766" i="5"/>
  <c r="R2766" i="5"/>
  <c r="Q2766" i="5"/>
  <c r="P2766" i="5"/>
  <c r="O2766" i="5"/>
  <c r="N2766" i="5"/>
  <c r="M2766" i="5"/>
  <c r="L2766" i="5"/>
  <c r="K2766" i="5"/>
  <c r="J2766" i="5"/>
  <c r="I2766" i="5"/>
  <c r="H2766" i="5"/>
  <c r="V2765" i="5"/>
  <c r="U2765" i="5"/>
  <c r="T2765" i="5"/>
  <c r="S2765" i="5"/>
  <c r="R2765" i="5"/>
  <c r="Q2765" i="5"/>
  <c r="P2765" i="5"/>
  <c r="O2765" i="5"/>
  <c r="N2765" i="5"/>
  <c r="M2765" i="5"/>
  <c r="L2765" i="5"/>
  <c r="K2765" i="5"/>
  <c r="J2765" i="5"/>
  <c r="I2765" i="5"/>
  <c r="H2765" i="5"/>
  <c r="V2764" i="5"/>
  <c r="U2764" i="5"/>
  <c r="T2764" i="5"/>
  <c r="S2764" i="5"/>
  <c r="R2764" i="5"/>
  <c r="Q2764" i="5"/>
  <c r="P2764" i="5"/>
  <c r="V2763" i="5"/>
  <c r="U2763" i="5"/>
  <c r="T2763" i="5"/>
  <c r="S2763" i="5"/>
  <c r="R2763" i="5"/>
  <c r="Q2763" i="5"/>
  <c r="P2763" i="5"/>
  <c r="O2763" i="5"/>
  <c r="N2763" i="5"/>
  <c r="M2763" i="5"/>
  <c r="L2763" i="5"/>
  <c r="K2763" i="5"/>
  <c r="J2763" i="5"/>
  <c r="I2763" i="5"/>
  <c r="H2763" i="5"/>
  <c r="U2762" i="5"/>
  <c r="T2762" i="5"/>
  <c r="S2762" i="5"/>
  <c r="R2762" i="5"/>
  <c r="Q2762" i="5"/>
  <c r="P2762" i="5"/>
  <c r="O2762" i="5"/>
  <c r="N2762" i="5"/>
  <c r="M2762" i="5"/>
  <c r="L2762" i="5"/>
  <c r="K2762" i="5"/>
  <c r="J2762" i="5"/>
  <c r="I2762" i="5"/>
  <c r="H2762" i="5"/>
  <c r="V2761" i="5"/>
  <c r="U2761" i="5"/>
  <c r="T2761" i="5"/>
  <c r="S2761" i="5"/>
  <c r="R2761" i="5"/>
  <c r="Q2761" i="5"/>
  <c r="P2761" i="5"/>
  <c r="O2761" i="5"/>
  <c r="N2761" i="5"/>
  <c r="M2761" i="5"/>
  <c r="L2761" i="5"/>
  <c r="K2761" i="5"/>
  <c r="J2761" i="5"/>
  <c r="I2761" i="5"/>
  <c r="H2761" i="5"/>
  <c r="V2760" i="5"/>
  <c r="O2760" i="5"/>
  <c r="N2760" i="5"/>
  <c r="M2760" i="5"/>
  <c r="L2760" i="5"/>
  <c r="K2760" i="5"/>
  <c r="J2760" i="5"/>
  <c r="I2760" i="5"/>
  <c r="H2760" i="5"/>
  <c r="V2759" i="5"/>
  <c r="U2759" i="5"/>
  <c r="T2759" i="5"/>
  <c r="S2759" i="5"/>
  <c r="R2759" i="5"/>
  <c r="Q2759" i="5"/>
  <c r="P2759" i="5"/>
  <c r="O2759" i="5"/>
  <c r="N2759" i="5"/>
  <c r="M2759" i="5"/>
  <c r="L2759" i="5"/>
  <c r="K2759" i="5"/>
  <c r="J2759" i="5"/>
  <c r="I2759" i="5"/>
  <c r="H2759" i="5"/>
  <c r="V2758" i="5"/>
  <c r="U2758" i="5"/>
  <c r="T2758" i="5"/>
  <c r="S2758" i="5"/>
  <c r="R2758" i="5"/>
  <c r="Q2758" i="5"/>
  <c r="P2758" i="5"/>
  <c r="O2758" i="5"/>
  <c r="N2758" i="5"/>
  <c r="M2758" i="5"/>
  <c r="L2758" i="5"/>
  <c r="K2758" i="5"/>
  <c r="J2758" i="5"/>
  <c r="I2758" i="5"/>
  <c r="H2758" i="5"/>
  <c r="V2757" i="5"/>
  <c r="U2757" i="5"/>
  <c r="T2757" i="5"/>
  <c r="S2757" i="5"/>
  <c r="R2757" i="5"/>
  <c r="Q2757" i="5"/>
  <c r="P2757" i="5"/>
  <c r="O2757" i="5"/>
  <c r="N2757" i="5"/>
  <c r="M2757" i="5"/>
  <c r="L2757" i="5"/>
  <c r="K2757" i="5"/>
  <c r="J2757" i="5"/>
  <c r="I2757" i="5"/>
  <c r="H2757" i="5"/>
  <c r="V2756" i="5"/>
  <c r="U2756" i="5"/>
  <c r="T2756" i="5"/>
  <c r="S2756" i="5"/>
  <c r="R2756" i="5"/>
  <c r="Q2756" i="5"/>
  <c r="P2756" i="5"/>
  <c r="O2756" i="5"/>
  <c r="N2756" i="5"/>
  <c r="M2756" i="5"/>
  <c r="L2756" i="5"/>
  <c r="K2756" i="5"/>
  <c r="J2756" i="5"/>
  <c r="I2756" i="5"/>
  <c r="H2756" i="5"/>
  <c r="V2755" i="5"/>
  <c r="U2755" i="5"/>
  <c r="T2755" i="5"/>
  <c r="S2755" i="5"/>
  <c r="R2755" i="5"/>
  <c r="Q2755" i="5"/>
  <c r="P2755" i="5"/>
  <c r="O2755" i="5"/>
  <c r="N2755" i="5"/>
  <c r="M2755" i="5"/>
  <c r="L2755" i="5"/>
  <c r="K2755" i="5"/>
  <c r="J2755" i="5"/>
  <c r="I2755" i="5"/>
  <c r="H2755" i="5"/>
  <c r="V2754" i="5"/>
  <c r="U2754" i="5"/>
  <c r="T2754" i="5"/>
  <c r="S2754" i="5"/>
  <c r="R2754" i="5"/>
  <c r="Q2754" i="5"/>
  <c r="P2754" i="5"/>
  <c r="V2753" i="5"/>
  <c r="U2753" i="5"/>
  <c r="T2753" i="5"/>
  <c r="S2753" i="5"/>
  <c r="R2753" i="5"/>
  <c r="Q2753" i="5"/>
  <c r="P2753" i="5"/>
  <c r="O2753" i="5"/>
  <c r="N2753" i="5"/>
  <c r="M2753" i="5"/>
  <c r="L2753" i="5"/>
  <c r="K2753" i="5"/>
  <c r="J2753" i="5"/>
  <c r="I2753" i="5"/>
  <c r="H2753" i="5"/>
  <c r="U2752" i="5"/>
  <c r="T2752" i="5"/>
  <c r="S2752" i="5"/>
  <c r="R2752" i="5"/>
  <c r="Q2752" i="5"/>
  <c r="P2752" i="5"/>
  <c r="O2752" i="5"/>
  <c r="N2752" i="5"/>
  <c r="M2752" i="5"/>
  <c r="L2752" i="5"/>
  <c r="K2752" i="5"/>
  <c r="J2752" i="5"/>
  <c r="I2752" i="5"/>
  <c r="H2752" i="5"/>
  <c r="V2751" i="5"/>
  <c r="U2751" i="5"/>
  <c r="T2751" i="5"/>
  <c r="S2751" i="5"/>
  <c r="R2751" i="5"/>
  <c r="Q2751" i="5"/>
  <c r="P2751" i="5"/>
  <c r="O2751" i="5"/>
  <c r="N2751" i="5"/>
  <c r="M2751" i="5"/>
  <c r="L2751" i="5"/>
  <c r="K2751" i="5"/>
  <c r="J2751" i="5"/>
  <c r="I2751" i="5"/>
  <c r="H2751" i="5"/>
  <c r="V2750" i="5"/>
  <c r="O2750" i="5"/>
  <c r="N2750" i="5"/>
  <c r="M2750" i="5"/>
  <c r="L2750" i="5"/>
  <c r="K2750" i="5"/>
  <c r="J2750" i="5"/>
  <c r="I2750" i="5"/>
  <c r="H2750" i="5"/>
  <c r="V2749" i="5"/>
  <c r="U2749" i="5"/>
  <c r="T2749" i="5"/>
  <c r="S2749" i="5"/>
  <c r="R2749" i="5"/>
  <c r="Q2749" i="5"/>
  <c r="P2749" i="5"/>
  <c r="O2749" i="5"/>
  <c r="N2749" i="5"/>
  <c r="M2749" i="5"/>
  <c r="L2749" i="5"/>
  <c r="K2749" i="5"/>
  <c r="J2749" i="5"/>
  <c r="I2749" i="5"/>
  <c r="H2749" i="5"/>
  <c r="V2748" i="5"/>
  <c r="U2748" i="5"/>
  <c r="T2748" i="5"/>
  <c r="S2748" i="5"/>
  <c r="R2748" i="5"/>
  <c r="Q2748" i="5"/>
  <c r="P2748" i="5"/>
  <c r="O2748" i="5"/>
  <c r="N2748" i="5"/>
  <c r="M2748" i="5"/>
  <c r="L2748" i="5"/>
  <c r="K2748" i="5"/>
  <c r="J2748" i="5"/>
  <c r="I2748" i="5"/>
  <c r="H2748" i="5"/>
  <c r="V2747" i="5"/>
  <c r="U2747" i="5"/>
  <c r="T2747" i="5"/>
  <c r="S2747" i="5"/>
  <c r="R2747" i="5"/>
  <c r="Q2747" i="5"/>
  <c r="P2747" i="5"/>
  <c r="O2747" i="5"/>
  <c r="N2747" i="5"/>
  <c r="M2747" i="5"/>
  <c r="L2747" i="5"/>
  <c r="K2747" i="5"/>
  <c r="J2747" i="5"/>
  <c r="I2747" i="5"/>
  <c r="H2747" i="5"/>
  <c r="V2746" i="5"/>
  <c r="U2746" i="5"/>
  <c r="T2746" i="5"/>
  <c r="S2746" i="5"/>
  <c r="R2746" i="5"/>
  <c r="Q2746" i="5"/>
  <c r="P2746" i="5"/>
  <c r="O2746" i="5"/>
  <c r="N2746" i="5"/>
  <c r="M2746" i="5"/>
  <c r="L2746" i="5"/>
  <c r="K2746" i="5"/>
  <c r="J2746" i="5"/>
  <c r="I2746" i="5"/>
  <c r="H2746" i="5"/>
  <c r="V2745" i="5"/>
  <c r="U2745" i="5"/>
  <c r="T2745" i="5"/>
  <c r="S2745" i="5"/>
  <c r="R2745" i="5"/>
  <c r="Q2745" i="5"/>
  <c r="P2745" i="5"/>
  <c r="O2745" i="5"/>
  <c r="N2745" i="5"/>
  <c r="M2745" i="5"/>
  <c r="L2745" i="5"/>
  <c r="K2745" i="5"/>
  <c r="J2745" i="5"/>
  <c r="I2745" i="5"/>
  <c r="H2745" i="5"/>
  <c r="V2744" i="5"/>
  <c r="U2744" i="5"/>
  <c r="T2744" i="5"/>
  <c r="S2744" i="5"/>
  <c r="R2744" i="5"/>
  <c r="Q2744" i="5"/>
  <c r="P2744" i="5"/>
  <c r="V2743" i="5"/>
  <c r="U2743" i="5"/>
  <c r="T2743" i="5"/>
  <c r="S2743" i="5"/>
  <c r="R2743" i="5"/>
  <c r="Q2743" i="5"/>
  <c r="P2743" i="5"/>
  <c r="O2743" i="5"/>
  <c r="N2743" i="5"/>
  <c r="M2743" i="5"/>
  <c r="L2743" i="5"/>
  <c r="K2743" i="5"/>
  <c r="J2743" i="5"/>
  <c r="I2743" i="5"/>
  <c r="H2743" i="5"/>
  <c r="U2742" i="5"/>
  <c r="T2742" i="5"/>
  <c r="S2742" i="5"/>
  <c r="R2742" i="5"/>
  <c r="Q2742" i="5"/>
  <c r="P2742" i="5"/>
  <c r="O2742" i="5"/>
  <c r="N2742" i="5"/>
  <c r="M2742" i="5"/>
  <c r="L2742" i="5"/>
  <c r="K2742" i="5"/>
  <c r="J2742" i="5"/>
  <c r="I2742" i="5"/>
  <c r="H2742" i="5"/>
  <c r="V2741" i="5"/>
  <c r="U2741" i="5"/>
  <c r="T2741" i="5"/>
  <c r="S2741" i="5"/>
  <c r="R2741" i="5"/>
  <c r="Q2741" i="5"/>
  <c r="P2741" i="5"/>
  <c r="O2741" i="5"/>
  <c r="N2741" i="5"/>
  <c r="M2741" i="5"/>
  <c r="L2741" i="5"/>
  <c r="K2741" i="5"/>
  <c r="J2741" i="5"/>
  <c r="I2741" i="5"/>
  <c r="H2741" i="5"/>
  <c r="V2740" i="5"/>
  <c r="O2740" i="5"/>
  <c r="N2740" i="5"/>
  <c r="M2740" i="5"/>
  <c r="L2740" i="5"/>
  <c r="K2740" i="5"/>
  <c r="J2740" i="5"/>
  <c r="I2740" i="5"/>
  <c r="H2740" i="5"/>
  <c r="V2739" i="5"/>
  <c r="U2739" i="5"/>
  <c r="T2739" i="5"/>
  <c r="S2739" i="5"/>
  <c r="R2739" i="5"/>
  <c r="Q2739" i="5"/>
  <c r="P2739" i="5"/>
  <c r="O2739" i="5"/>
  <c r="N2739" i="5"/>
  <c r="M2739" i="5"/>
  <c r="L2739" i="5"/>
  <c r="K2739" i="5"/>
  <c r="J2739" i="5"/>
  <c r="I2739" i="5"/>
  <c r="H2739" i="5"/>
  <c r="V2738" i="5"/>
  <c r="U2738" i="5"/>
  <c r="T2738" i="5"/>
  <c r="S2738" i="5"/>
  <c r="R2738" i="5"/>
  <c r="Q2738" i="5"/>
  <c r="P2738" i="5"/>
  <c r="O2738" i="5"/>
  <c r="N2738" i="5"/>
  <c r="M2738" i="5"/>
  <c r="L2738" i="5"/>
  <c r="K2738" i="5"/>
  <c r="J2738" i="5"/>
  <c r="I2738" i="5"/>
  <c r="H2738" i="5"/>
  <c r="V2737" i="5"/>
  <c r="U2737" i="5"/>
  <c r="T2737" i="5"/>
  <c r="S2737" i="5"/>
  <c r="R2737" i="5"/>
  <c r="Q2737" i="5"/>
  <c r="P2737" i="5"/>
  <c r="O2737" i="5"/>
  <c r="N2737" i="5"/>
  <c r="M2737" i="5"/>
  <c r="L2737" i="5"/>
  <c r="K2737" i="5"/>
  <c r="J2737" i="5"/>
  <c r="I2737" i="5"/>
  <c r="H2737" i="5"/>
  <c r="V2736" i="5"/>
  <c r="U2736" i="5"/>
  <c r="T2736" i="5"/>
  <c r="S2736" i="5"/>
  <c r="R2736" i="5"/>
  <c r="Q2736" i="5"/>
  <c r="P2736" i="5"/>
  <c r="O2736" i="5"/>
  <c r="N2736" i="5"/>
  <c r="M2736" i="5"/>
  <c r="L2736" i="5"/>
  <c r="K2736" i="5"/>
  <c r="J2736" i="5"/>
  <c r="I2736" i="5"/>
  <c r="H2736" i="5"/>
  <c r="V2735" i="5"/>
  <c r="U2735" i="5"/>
  <c r="T2735" i="5"/>
  <c r="S2735" i="5"/>
  <c r="R2735" i="5"/>
  <c r="Q2735" i="5"/>
  <c r="P2735" i="5"/>
  <c r="O2735" i="5"/>
  <c r="N2735" i="5"/>
  <c r="M2735" i="5"/>
  <c r="L2735" i="5"/>
  <c r="K2735" i="5"/>
  <c r="J2735" i="5"/>
  <c r="I2735" i="5"/>
  <c r="H2735" i="5"/>
  <c r="V2734" i="5"/>
  <c r="U2734" i="5"/>
  <c r="T2734" i="5"/>
  <c r="S2734" i="5"/>
  <c r="R2734" i="5"/>
  <c r="Q2734" i="5"/>
  <c r="P2734" i="5"/>
  <c r="V2733" i="5"/>
  <c r="U2733" i="5"/>
  <c r="T2733" i="5"/>
  <c r="S2733" i="5"/>
  <c r="R2733" i="5"/>
  <c r="Q2733" i="5"/>
  <c r="P2733" i="5"/>
  <c r="O2733" i="5"/>
  <c r="N2733" i="5"/>
  <c r="M2733" i="5"/>
  <c r="L2733" i="5"/>
  <c r="K2733" i="5"/>
  <c r="J2733" i="5"/>
  <c r="I2733" i="5"/>
  <c r="H2733" i="5"/>
  <c r="U2732" i="5"/>
  <c r="T2732" i="5"/>
  <c r="S2732" i="5"/>
  <c r="R2732" i="5"/>
  <c r="Q2732" i="5"/>
  <c r="P2732" i="5"/>
  <c r="O2732" i="5"/>
  <c r="N2732" i="5"/>
  <c r="M2732" i="5"/>
  <c r="L2732" i="5"/>
  <c r="K2732" i="5"/>
  <c r="J2732" i="5"/>
  <c r="I2732" i="5"/>
  <c r="H2732" i="5"/>
  <c r="V2731" i="5"/>
  <c r="U2731" i="5"/>
  <c r="T2731" i="5"/>
  <c r="S2731" i="5"/>
  <c r="R2731" i="5"/>
  <c r="Q2731" i="5"/>
  <c r="P2731" i="5"/>
  <c r="O2731" i="5"/>
  <c r="N2731" i="5"/>
  <c r="M2731" i="5"/>
  <c r="L2731" i="5"/>
  <c r="K2731" i="5"/>
  <c r="J2731" i="5"/>
  <c r="I2731" i="5"/>
  <c r="H2731" i="5"/>
  <c r="V2730" i="5"/>
  <c r="O2730" i="5"/>
  <c r="N2730" i="5"/>
  <c r="M2730" i="5"/>
  <c r="L2730" i="5"/>
  <c r="K2730" i="5"/>
  <c r="J2730" i="5"/>
  <c r="I2730" i="5"/>
  <c r="H2730" i="5"/>
  <c r="V2729" i="5"/>
  <c r="U2729" i="5"/>
  <c r="T2729" i="5"/>
  <c r="S2729" i="5"/>
  <c r="R2729" i="5"/>
  <c r="Q2729" i="5"/>
  <c r="P2729" i="5"/>
  <c r="O2729" i="5"/>
  <c r="N2729" i="5"/>
  <c r="M2729" i="5"/>
  <c r="L2729" i="5"/>
  <c r="K2729" i="5"/>
  <c r="J2729" i="5"/>
  <c r="I2729" i="5"/>
  <c r="H2729" i="5"/>
  <c r="V2728" i="5"/>
  <c r="U2728" i="5"/>
  <c r="T2728" i="5"/>
  <c r="S2728" i="5"/>
  <c r="R2728" i="5"/>
  <c r="Q2728" i="5"/>
  <c r="P2728" i="5"/>
  <c r="O2728" i="5"/>
  <c r="N2728" i="5"/>
  <c r="M2728" i="5"/>
  <c r="L2728" i="5"/>
  <c r="K2728" i="5"/>
  <c r="J2728" i="5"/>
  <c r="I2728" i="5"/>
  <c r="H2728" i="5"/>
  <c r="V2727" i="5"/>
  <c r="U2727" i="5"/>
  <c r="T2727" i="5"/>
  <c r="S2727" i="5"/>
  <c r="R2727" i="5"/>
  <c r="Q2727" i="5"/>
  <c r="P2727" i="5"/>
  <c r="O2727" i="5"/>
  <c r="N2727" i="5"/>
  <c r="M2727" i="5"/>
  <c r="L2727" i="5"/>
  <c r="K2727" i="5"/>
  <c r="J2727" i="5"/>
  <c r="I2727" i="5"/>
  <c r="H2727" i="5"/>
  <c r="V2726" i="5"/>
  <c r="U2726" i="5"/>
  <c r="T2726" i="5"/>
  <c r="S2726" i="5"/>
  <c r="R2726" i="5"/>
  <c r="Q2726" i="5"/>
  <c r="P2726" i="5"/>
  <c r="O2726" i="5"/>
  <c r="N2726" i="5"/>
  <c r="M2726" i="5"/>
  <c r="L2726" i="5"/>
  <c r="K2726" i="5"/>
  <c r="J2726" i="5"/>
  <c r="I2726" i="5"/>
  <c r="H2726" i="5"/>
  <c r="V2725" i="5"/>
  <c r="U2725" i="5"/>
  <c r="T2725" i="5"/>
  <c r="S2725" i="5"/>
  <c r="R2725" i="5"/>
  <c r="Q2725" i="5"/>
  <c r="P2725" i="5"/>
  <c r="O2725" i="5"/>
  <c r="N2725" i="5"/>
  <c r="M2725" i="5"/>
  <c r="L2725" i="5"/>
  <c r="K2725" i="5"/>
  <c r="J2725" i="5"/>
  <c r="I2725" i="5"/>
  <c r="H2725" i="5"/>
  <c r="V2724" i="5"/>
  <c r="U2724" i="5"/>
  <c r="T2724" i="5"/>
  <c r="S2724" i="5"/>
  <c r="R2724" i="5"/>
  <c r="Q2724" i="5"/>
  <c r="P2724" i="5"/>
  <c r="V2723" i="5"/>
  <c r="U2723" i="5"/>
  <c r="T2723" i="5"/>
  <c r="S2723" i="5"/>
  <c r="R2723" i="5"/>
  <c r="Q2723" i="5"/>
  <c r="P2723" i="5"/>
  <c r="O2723" i="5"/>
  <c r="N2723" i="5"/>
  <c r="M2723" i="5"/>
  <c r="L2723" i="5"/>
  <c r="K2723" i="5"/>
  <c r="J2723" i="5"/>
  <c r="I2723" i="5"/>
  <c r="H2723" i="5"/>
  <c r="U2722" i="5"/>
  <c r="T2722" i="5"/>
  <c r="S2722" i="5"/>
  <c r="R2722" i="5"/>
  <c r="Q2722" i="5"/>
  <c r="P2722" i="5"/>
  <c r="O2722" i="5"/>
  <c r="N2722" i="5"/>
  <c r="M2722" i="5"/>
  <c r="L2722" i="5"/>
  <c r="K2722" i="5"/>
  <c r="J2722" i="5"/>
  <c r="I2722" i="5"/>
  <c r="H2722" i="5"/>
  <c r="V2721" i="5"/>
  <c r="U2721" i="5"/>
  <c r="T2721" i="5"/>
  <c r="S2721" i="5"/>
  <c r="R2721" i="5"/>
  <c r="Q2721" i="5"/>
  <c r="P2721" i="5"/>
  <c r="O2721" i="5"/>
  <c r="N2721" i="5"/>
  <c r="M2721" i="5"/>
  <c r="L2721" i="5"/>
  <c r="K2721" i="5"/>
  <c r="J2721" i="5"/>
  <c r="I2721" i="5"/>
  <c r="H2721" i="5"/>
  <c r="V2720" i="5"/>
  <c r="O2720" i="5"/>
  <c r="N2720" i="5"/>
  <c r="M2720" i="5"/>
  <c r="L2720" i="5"/>
  <c r="K2720" i="5"/>
  <c r="J2720" i="5"/>
  <c r="I2720" i="5"/>
  <c r="H2720" i="5"/>
  <c r="V2719" i="5"/>
  <c r="U2719" i="5"/>
  <c r="T2719" i="5"/>
  <c r="S2719" i="5"/>
  <c r="R2719" i="5"/>
  <c r="Q2719" i="5"/>
  <c r="P2719" i="5"/>
  <c r="O2719" i="5"/>
  <c r="N2719" i="5"/>
  <c r="M2719" i="5"/>
  <c r="L2719" i="5"/>
  <c r="K2719" i="5"/>
  <c r="J2719" i="5"/>
  <c r="I2719" i="5"/>
  <c r="H2719" i="5"/>
  <c r="V2718" i="5"/>
  <c r="U2718" i="5"/>
  <c r="T2718" i="5"/>
  <c r="S2718" i="5"/>
  <c r="R2718" i="5"/>
  <c r="Q2718" i="5"/>
  <c r="P2718" i="5"/>
  <c r="O2718" i="5"/>
  <c r="N2718" i="5"/>
  <c r="M2718" i="5"/>
  <c r="L2718" i="5"/>
  <c r="K2718" i="5"/>
  <c r="J2718" i="5"/>
  <c r="I2718" i="5"/>
  <c r="H2718" i="5"/>
  <c r="V2717" i="5"/>
  <c r="U2717" i="5"/>
  <c r="T2717" i="5"/>
  <c r="S2717" i="5"/>
  <c r="R2717" i="5"/>
  <c r="Q2717" i="5"/>
  <c r="P2717" i="5"/>
  <c r="V2716" i="5"/>
  <c r="U2716" i="5"/>
  <c r="T2716" i="5"/>
  <c r="S2716" i="5"/>
  <c r="R2716" i="5"/>
  <c r="Q2716" i="5"/>
  <c r="P2716" i="5"/>
  <c r="U2715" i="5"/>
  <c r="T2715" i="5"/>
  <c r="S2715" i="5"/>
  <c r="R2715" i="5"/>
  <c r="Q2715" i="5"/>
  <c r="P2715" i="5"/>
  <c r="U2714" i="5"/>
  <c r="T2714" i="5"/>
  <c r="S2714" i="5"/>
  <c r="R2714" i="5"/>
  <c r="Q2714" i="5"/>
  <c r="P2714" i="5"/>
  <c r="O2617" i="5"/>
  <c r="N2617" i="5"/>
  <c r="M2617" i="5"/>
  <c r="L2617" i="5"/>
  <c r="K2617" i="5"/>
  <c r="J2617" i="5"/>
  <c r="I2617" i="5"/>
  <c r="H2617" i="5"/>
  <c r="O2616" i="5"/>
  <c r="N2616" i="5"/>
  <c r="M2616" i="5"/>
  <c r="L2616" i="5"/>
  <c r="K2616" i="5"/>
  <c r="J2616" i="5"/>
  <c r="I2616" i="5"/>
  <c r="H2616" i="5"/>
  <c r="V2615" i="5"/>
  <c r="O2615" i="5"/>
  <c r="N2615" i="5"/>
  <c r="M2615" i="5"/>
  <c r="L2615" i="5"/>
  <c r="K2615" i="5"/>
  <c r="J2615" i="5"/>
  <c r="I2615" i="5"/>
  <c r="H2615" i="5"/>
  <c r="V2614" i="5"/>
  <c r="V2613" i="5"/>
  <c r="U2613" i="5"/>
  <c r="T2613" i="5"/>
  <c r="S2613" i="5"/>
  <c r="R2613" i="5"/>
  <c r="Q2613" i="5"/>
  <c r="P2613" i="5"/>
  <c r="O2613" i="5"/>
  <c r="N2613" i="5"/>
  <c r="M2613" i="5"/>
  <c r="L2613" i="5"/>
  <c r="K2613" i="5"/>
  <c r="J2613" i="5"/>
  <c r="I2613" i="5"/>
  <c r="H2613" i="5"/>
  <c r="U2612" i="5"/>
  <c r="T2612" i="5"/>
  <c r="S2612" i="5"/>
  <c r="R2612" i="5"/>
  <c r="Q2612" i="5"/>
  <c r="P2612" i="5"/>
  <c r="O2612" i="5"/>
  <c r="N2612" i="5"/>
  <c r="M2612" i="5"/>
  <c r="L2612" i="5"/>
  <c r="K2612" i="5"/>
  <c r="J2612" i="5"/>
  <c r="I2612" i="5"/>
  <c r="H2612" i="5"/>
  <c r="V2611" i="5"/>
  <c r="U2611" i="5"/>
  <c r="T2611" i="5"/>
  <c r="S2611" i="5"/>
  <c r="R2611" i="5"/>
  <c r="Q2611" i="5"/>
  <c r="P2611" i="5"/>
  <c r="O2611" i="5"/>
  <c r="N2611" i="5"/>
  <c r="M2611" i="5"/>
  <c r="L2611" i="5"/>
  <c r="K2611" i="5"/>
  <c r="J2611" i="5"/>
  <c r="I2611" i="5"/>
  <c r="H2611" i="5"/>
  <c r="V2610" i="5"/>
  <c r="O2610" i="5"/>
  <c r="N2610" i="5"/>
  <c r="M2610" i="5"/>
  <c r="L2610" i="5"/>
  <c r="K2610" i="5"/>
  <c r="J2610" i="5"/>
  <c r="I2610" i="5"/>
  <c r="H2610" i="5"/>
  <c r="V2609" i="5"/>
  <c r="U2609" i="5"/>
  <c r="T2609" i="5"/>
  <c r="S2609" i="5"/>
  <c r="R2609" i="5"/>
  <c r="Q2609" i="5"/>
  <c r="P2609" i="5"/>
  <c r="O2609" i="5"/>
  <c r="N2609" i="5"/>
  <c r="M2609" i="5"/>
  <c r="L2609" i="5"/>
  <c r="K2609" i="5"/>
  <c r="J2609" i="5"/>
  <c r="I2609" i="5"/>
  <c r="H2609" i="5"/>
  <c r="V2608" i="5"/>
  <c r="U2608" i="5"/>
  <c r="T2608" i="5"/>
  <c r="S2608" i="5"/>
  <c r="R2608" i="5"/>
  <c r="Q2608" i="5"/>
  <c r="P2608" i="5"/>
  <c r="O2608" i="5"/>
  <c r="N2608" i="5"/>
  <c r="M2608" i="5"/>
  <c r="L2608" i="5"/>
  <c r="K2608" i="5"/>
  <c r="J2608" i="5"/>
  <c r="I2608" i="5"/>
  <c r="H2608" i="5"/>
  <c r="V2607" i="5"/>
  <c r="U2607" i="5"/>
  <c r="T2607" i="5"/>
  <c r="S2607" i="5"/>
  <c r="R2607" i="5"/>
  <c r="Q2607" i="5"/>
  <c r="P2607" i="5"/>
  <c r="O2607" i="5"/>
  <c r="N2607" i="5"/>
  <c r="M2607" i="5"/>
  <c r="L2607" i="5"/>
  <c r="K2607" i="5"/>
  <c r="J2607" i="5"/>
  <c r="I2607" i="5"/>
  <c r="H2607" i="5"/>
  <c r="V2606" i="5"/>
  <c r="U2606" i="5"/>
  <c r="T2606" i="5"/>
  <c r="S2606" i="5"/>
  <c r="R2606" i="5"/>
  <c r="Q2606" i="5"/>
  <c r="P2606" i="5"/>
  <c r="O2606" i="5"/>
  <c r="N2606" i="5"/>
  <c r="M2606" i="5"/>
  <c r="L2606" i="5"/>
  <c r="K2606" i="5"/>
  <c r="J2606" i="5"/>
  <c r="I2606" i="5"/>
  <c r="H2606" i="5"/>
  <c r="V2605" i="5"/>
  <c r="U2605" i="5"/>
  <c r="T2605" i="5"/>
  <c r="S2605" i="5"/>
  <c r="R2605" i="5"/>
  <c r="Q2605" i="5"/>
  <c r="P2605" i="5"/>
  <c r="O2605" i="5"/>
  <c r="N2605" i="5"/>
  <c r="M2605" i="5"/>
  <c r="L2605" i="5"/>
  <c r="K2605" i="5"/>
  <c r="J2605" i="5"/>
  <c r="I2605" i="5"/>
  <c r="H2605" i="5"/>
  <c r="V2604" i="5"/>
  <c r="U2604" i="5"/>
  <c r="T2604" i="5"/>
  <c r="S2604" i="5"/>
  <c r="R2604" i="5"/>
  <c r="Q2604" i="5"/>
  <c r="P2604" i="5"/>
  <c r="V2603" i="5"/>
  <c r="U2603" i="5"/>
  <c r="T2603" i="5"/>
  <c r="S2603" i="5"/>
  <c r="R2603" i="5"/>
  <c r="Q2603" i="5"/>
  <c r="P2603" i="5"/>
  <c r="O2603" i="5"/>
  <c r="N2603" i="5"/>
  <c r="M2603" i="5"/>
  <c r="L2603" i="5"/>
  <c r="K2603" i="5"/>
  <c r="J2603" i="5"/>
  <c r="I2603" i="5"/>
  <c r="H2603" i="5"/>
  <c r="U2602" i="5"/>
  <c r="T2602" i="5"/>
  <c r="S2602" i="5"/>
  <c r="R2602" i="5"/>
  <c r="Q2602" i="5"/>
  <c r="P2602" i="5"/>
  <c r="O2602" i="5"/>
  <c r="N2602" i="5"/>
  <c r="M2602" i="5"/>
  <c r="L2602" i="5"/>
  <c r="K2602" i="5"/>
  <c r="J2602" i="5"/>
  <c r="I2602" i="5"/>
  <c r="H2602" i="5"/>
  <c r="V2601" i="5"/>
  <c r="U2601" i="5"/>
  <c r="T2601" i="5"/>
  <c r="S2601" i="5"/>
  <c r="R2601" i="5"/>
  <c r="Q2601" i="5"/>
  <c r="P2601" i="5"/>
  <c r="O2601" i="5"/>
  <c r="N2601" i="5"/>
  <c r="M2601" i="5"/>
  <c r="L2601" i="5"/>
  <c r="K2601" i="5"/>
  <c r="J2601" i="5"/>
  <c r="I2601" i="5"/>
  <c r="H2601" i="5"/>
  <c r="V2600" i="5"/>
  <c r="O2600" i="5"/>
  <c r="N2600" i="5"/>
  <c r="M2600" i="5"/>
  <c r="L2600" i="5"/>
  <c r="K2600" i="5"/>
  <c r="J2600" i="5"/>
  <c r="I2600" i="5"/>
  <c r="H2600" i="5"/>
  <c r="V2599" i="5"/>
  <c r="U2599" i="5"/>
  <c r="T2599" i="5"/>
  <c r="S2599" i="5"/>
  <c r="R2599" i="5"/>
  <c r="Q2599" i="5"/>
  <c r="P2599" i="5"/>
  <c r="O2599" i="5"/>
  <c r="N2599" i="5"/>
  <c r="M2599" i="5"/>
  <c r="L2599" i="5"/>
  <c r="K2599" i="5"/>
  <c r="J2599" i="5"/>
  <c r="I2599" i="5"/>
  <c r="H2599" i="5"/>
  <c r="V2598" i="5"/>
  <c r="U2598" i="5"/>
  <c r="T2598" i="5"/>
  <c r="S2598" i="5"/>
  <c r="R2598" i="5"/>
  <c r="Q2598" i="5"/>
  <c r="P2598" i="5"/>
  <c r="O2598" i="5"/>
  <c r="N2598" i="5"/>
  <c r="M2598" i="5"/>
  <c r="L2598" i="5"/>
  <c r="K2598" i="5"/>
  <c r="J2598" i="5"/>
  <c r="I2598" i="5"/>
  <c r="H2598" i="5"/>
  <c r="V2597" i="5"/>
  <c r="U2597" i="5"/>
  <c r="T2597" i="5"/>
  <c r="S2597" i="5"/>
  <c r="R2597" i="5"/>
  <c r="Q2597" i="5"/>
  <c r="P2597" i="5"/>
  <c r="O2597" i="5"/>
  <c r="N2597" i="5"/>
  <c r="M2597" i="5"/>
  <c r="L2597" i="5"/>
  <c r="K2597" i="5"/>
  <c r="J2597" i="5"/>
  <c r="I2597" i="5"/>
  <c r="H2597" i="5"/>
  <c r="V2596" i="5"/>
  <c r="U2596" i="5"/>
  <c r="T2596" i="5"/>
  <c r="S2596" i="5"/>
  <c r="R2596" i="5"/>
  <c r="Q2596" i="5"/>
  <c r="P2596" i="5"/>
  <c r="O2596" i="5"/>
  <c r="N2596" i="5"/>
  <c r="M2596" i="5"/>
  <c r="L2596" i="5"/>
  <c r="K2596" i="5"/>
  <c r="J2596" i="5"/>
  <c r="I2596" i="5"/>
  <c r="H2596" i="5"/>
  <c r="V2595" i="5"/>
  <c r="U2595" i="5"/>
  <c r="T2595" i="5"/>
  <c r="S2595" i="5"/>
  <c r="R2595" i="5"/>
  <c r="Q2595" i="5"/>
  <c r="P2595" i="5"/>
  <c r="O2595" i="5"/>
  <c r="N2595" i="5"/>
  <c r="M2595" i="5"/>
  <c r="L2595" i="5"/>
  <c r="K2595" i="5"/>
  <c r="J2595" i="5"/>
  <c r="I2595" i="5"/>
  <c r="H2595" i="5"/>
  <c r="V2594" i="5"/>
  <c r="U2594" i="5"/>
  <c r="T2594" i="5"/>
  <c r="S2594" i="5"/>
  <c r="R2594" i="5"/>
  <c r="Q2594" i="5"/>
  <c r="P2594" i="5"/>
  <c r="V2593" i="5"/>
  <c r="U2593" i="5"/>
  <c r="T2593" i="5"/>
  <c r="S2593" i="5"/>
  <c r="R2593" i="5"/>
  <c r="Q2593" i="5"/>
  <c r="P2593" i="5"/>
  <c r="O2593" i="5"/>
  <c r="N2593" i="5"/>
  <c r="M2593" i="5"/>
  <c r="L2593" i="5"/>
  <c r="K2593" i="5"/>
  <c r="J2593" i="5"/>
  <c r="I2593" i="5"/>
  <c r="H2593" i="5"/>
  <c r="U2592" i="5"/>
  <c r="T2592" i="5"/>
  <c r="S2592" i="5"/>
  <c r="R2592" i="5"/>
  <c r="Q2592" i="5"/>
  <c r="P2592" i="5"/>
  <c r="O2592" i="5"/>
  <c r="N2592" i="5"/>
  <c r="M2592" i="5"/>
  <c r="L2592" i="5"/>
  <c r="K2592" i="5"/>
  <c r="J2592" i="5"/>
  <c r="I2592" i="5"/>
  <c r="H2592" i="5"/>
  <c r="V2591" i="5"/>
  <c r="U2591" i="5"/>
  <c r="T2591" i="5"/>
  <c r="S2591" i="5"/>
  <c r="R2591" i="5"/>
  <c r="Q2591" i="5"/>
  <c r="P2591" i="5"/>
  <c r="O2591" i="5"/>
  <c r="N2591" i="5"/>
  <c r="M2591" i="5"/>
  <c r="L2591" i="5"/>
  <c r="K2591" i="5"/>
  <c r="J2591" i="5"/>
  <c r="I2591" i="5"/>
  <c r="H2591" i="5"/>
  <c r="V2590" i="5"/>
  <c r="O2590" i="5"/>
  <c r="N2590" i="5"/>
  <c r="M2590" i="5"/>
  <c r="L2590" i="5"/>
  <c r="K2590" i="5"/>
  <c r="J2590" i="5"/>
  <c r="I2590" i="5"/>
  <c r="H2590" i="5"/>
  <c r="V2589" i="5"/>
  <c r="U2589" i="5"/>
  <c r="T2589" i="5"/>
  <c r="S2589" i="5"/>
  <c r="R2589" i="5"/>
  <c r="Q2589" i="5"/>
  <c r="P2589" i="5"/>
  <c r="O2589" i="5"/>
  <c r="N2589" i="5"/>
  <c r="M2589" i="5"/>
  <c r="L2589" i="5"/>
  <c r="K2589" i="5"/>
  <c r="J2589" i="5"/>
  <c r="I2589" i="5"/>
  <c r="H2589" i="5"/>
  <c r="V2588" i="5"/>
  <c r="U2588" i="5"/>
  <c r="T2588" i="5"/>
  <c r="S2588" i="5"/>
  <c r="R2588" i="5"/>
  <c r="Q2588" i="5"/>
  <c r="P2588" i="5"/>
  <c r="O2588" i="5"/>
  <c r="N2588" i="5"/>
  <c r="M2588" i="5"/>
  <c r="L2588" i="5"/>
  <c r="K2588" i="5"/>
  <c r="J2588" i="5"/>
  <c r="I2588" i="5"/>
  <c r="H2588" i="5"/>
  <c r="V2587" i="5"/>
  <c r="U2587" i="5"/>
  <c r="T2587" i="5"/>
  <c r="S2587" i="5"/>
  <c r="R2587" i="5"/>
  <c r="Q2587" i="5"/>
  <c r="P2587" i="5"/>
  <c r="V2586" i="5"/>
  <c r="U2586" i="5"/>
  <c r="T2586" i="5"/>
  <c r="S2586" i="5"/>
  <c r="R2586" i="5"/>
  <c r="Q2586" i="5"/>
  <c r="P2586" i="5"/>
  <c r="U2585" i="5"/>
  <c r="T2585" i="5"/>
  <c r="S2585" i="5"/>
  <c r="R2585" i="5"/>
  <c r="Q2585" i="5"/>
  <c r="P2585" i="5"/>
  <c r="U2584" i="5"/>
  <c r="T2584" i="5"/>
  <c r="S2584" i="5"/>
  <c r="R2584" i="5"/>
  <c r="Q2584" i="5"/>
  <c r="P2584" i="5"/>
  <c r="O2577" i="5"/>
  <c r="N2577" i="5"/>
  <c r="M2577" i="5"/>
  <c r="L2577" i="5"/>
  <c r="K2577" i="5"/>
  <c r="J2577" i="5"/>
  <c r="I2577" i="5"/>
  <c r="H2577" i="5"/>
  <c r="O2576" i="5"/>
  <c r="N2576" i="5"/>
  <c r="M2576" i="5"/>
  <c r="L2576" i="5"/>
  <c r="K2576" i="5"/>
  <c r="J2576" i="5"/>
  <c r="I2576" i="5"/>
  <c r="H2576" i="5"/>
  <c r="V2575" i="5"/>
  <c r="O2575" i="5"/>
  <c r="N2575" i="5"/>
  <c r="M2575" i="5"/>
  <c r="L2575" i="5"/>
  <c r="K2575" i="5"/>
  <c r="J2575" i="5"/>
  <c r="I2575" i="5"/>
  <c r="H2575" i="5"/>
  <c r="V2574" i="5"/>
  <c r="V2573" i="5"/>
  <c r="U2573" i="5"/>
  <c r="T2573" i="5"/>
  <c r="S2573" i="5"/>
  <c r="R2573" i="5"/>
  <c r="Q2573" i="5"/>
  <c r="P2573" i="5"/>
  <c r="O2573" i="5"/>
  <c r="N2573" i="5"/>
  <c r="M2573" i="5"/>
  <c r="L2573" i="5"/>
  <c r="K2573" i="5"/>
  <c r="J2573" i="5"/>
  <c r="I2573" i="5"/>
  <c r="H2573" i="5"/>
  <c r="U2572" i="5"/>
  <c r="T2572" i="5"/>
  <c r="S2572" i="5"/>
  <c r="R2572" i="5"/>
  <c r="Q2572" i="5"/>
  <c r="P2572" i="5"/>
  <c r="O2572" i="5"/>
  <c r="N2572" i="5"/>
  <c r="M2572" i="5"/>
  <c r="L2572" i="5"/>
  <c r="K2572" i="5"/>
  <c r="J2572" i="5"/>
  <c r="I2572" i="5"/>
  <c r="H2572" i="5"/>
  <c r="V2571" i="5"/>
  <c r="U2571" i="5"/>
  <c r="T2571" i="5"/>
  <c r="S2571" i="5"/>
  <c r="R2571" i="5"/>
  <c r="Q2571" i="5"/>
  <c r="P2571" i="5"/>
  <c r="O2571" i="5"/>
  <c r="N2571" i="5"/>
  <c r="M2571" i="5"/>
  <c r="L2571" i="5"/>
  <c r="K2571" i="5"/>
  <c r="J2571" i="5"/>
  <c r="I2571" i="5"/>
  <c r="H2571" i="5"/>
  <c r="V2570" i="5"/>
  <c r="O2570" i="5"/>
  <c r="N2570" i="5"/>
  <c r="M2570" i="5"/>
  <c r="L2570" i="5"/>
  <c r="K2570" i="5"/>
  <c r="J2570" i="5"/>
  <c r="I2570" i="5"/>
  <c r="H2570" i="5"/>
  <c r="V2569" i="5"/>
  <c r="U2569" i="5"/>
  <c r="T2569" i="5"/>
  <c r="S2569" i="5"/>
  <c r="R2569" i="5"/>
  <c r="Q2569" i="5"/>
  <c r="P2569" i="5"/>
  <c r="O2569" i="5"/>
  <c r="N2569" i="5"/>
  <c r="M2569" i="5"/>
  <c r="L2569" i="5"/>
  <c r="K2569" i="5"/>
  <c r="J2569" i="5"/>
  <c r="I2569" i="5"/>
  <c r="H2569" i="5"/>
  <c r="V2568" i="5"/>
  <c r="U2568" i="5"/>
  <c r="T2568" i="5"/>
  <c r="S2568" i="5"/>
  <c r="R2568" i="5"/>
  <c r="Q2568" i="5"/>
  <c r="P2568" i="5"/>
  <c r="O2568" i="5"/>
  <c r="N2568" i="5"/>
  <c r="M2568" i="5"/>
  <c r="L2568" i="5"/>
  <c r="K2568" i="5"/>
  <c r="J2568" i="5"/>
  <c r="I2568" i="5"/>
  <c r="H2568" i="5"/>
  <c r="V2567" i="5"/>
  <c r="U2567" i="5"/>
  <c r="T2567" i="5"/>
  <c r="S2567" i="5"/>
  <c r="R2567" i="5"/>
  <c r="Q2567" i="5"/>
  <c r="P2567" i="5"/>
  <c r="O2567" i="5"/>
  <c r="N2567" i="5"/>
  <c r="M2567" i="5"/>
  <c r="L2567" i="5"/>
  <c r="K2567" i="5"/>
  <c r="J2567" i="5"/>
  <c r="I2567" i="5"/>
  <c r="H2567" i="5"/>
  <c r="V2566" i="5"/>
  <c r="U2566" i="5"/>
  <c r="T2566" i="5"/>
  <c r="S2566" i="5"/>
  <c r="R2566" i="5"/>
  <c r="Q2566" i="5"/>
  <c r="P2566" i="5"/>
  <c r="O2566" i="5"/>
  <c r="N2566" i="5"/>
  <c r="M2566" i="5"/>
  <c r="L2566" i="5"/>
  <c r="K2566" i="5"/>
  <c r="J2566" i="5"/>
  <c r="I2566" i="5"/>
  <c r="H2566" i="5"/>
  <c r="V2565" i="5"/>
  <c r="U2565" i="5"/>
  <c r="T2565" i="5"/>
  <c r="S2565" i="5"/>
  <c r="R2565" i="5"/>
  <c r="Q2565" i="5"/>
  <c r="P2565" i="5"/>
  <c r="O2565" i="5"/>
  <c r="N2565" i="5"/>
  <c r="M2565" i="5"/>
  <c r="L2565" i="5"/>
  <c r="K2565" i="5"/>
  <c r="J2565" i="5"/>
  <c r="I2565" i="5"/>
  <c r="H2565" i="5"/>
  <c r="V2564" i="5"/>
  <c r="U2564" i="5"/>
  <c r="T2564" i="5"/>
  <c r="S2564" i="5"/>
  <c r="R2564" i="5"/>
  <c r="Q2564" i="5"/>
  <c r="P2564" i="5"/>
  <c r="V2563" i="5"/>
  <c r="U2563" i="5"/>
  <c r="T2563" i="5"/>
  <c r="S2563" i="5"/>
  <c r="R2563" i="5"/>
  <c r="Q2563" i="5"/>
  <c r="P2563" i="5"/>
  <c r="O2563" i="5"/>
  <c r="N2563" i="5"/>
  <c r="M2563" i="5"/>
  <c r="L2563" i="5"/>
  <c r="K2563" i="5"/>
  <c r="J2563" i="5"/>
  <c r="I2563" i="5"/>
  <c r="H2563" i="5"/>
  <c r="U2562" i="5"/>
  <c r="T2562" i="5"/>
  <c r="S2562" i="5"/>
  <c r="R2562" i="5"/>
  <c r="Q2562" i="5"/>
  <c r="P2562" i="5"/>
  <c r="O2562" i="5"/>
  <c r="N2562" i="5"/>
  <c r="M2562" i="5"/>
  <c r="L2562" i="5"/>
  <c r="K2562" i="5"/>
  <c r="J2562" i="5"/>
  <c r="I2562" i="5"/>
  <c r="H2562" i="5"/>
  <c r="V2561" i="5"/>
  <c r="U2561" i="5"/>
  <c r="T2561" i="5"/>
  <c r="S2561" i="5"/>
  <c r="R2561" i="5"/>
  <c r="Q2561" i="5"/>
  <c r="P2561" i="5"/>
  <c r="O2561" i="5"/>
  <c r="N2561" i="5"/>
  <c r="M2561" i="5"/>
  <c r="L2561" i="5"/>
  <c r="K2561" i="5"/>
  <c r="J2561" i="5"/>
  <c r="I2561" i="5"/>
  <c r="H2561" i="5"/>
  <c r="V2560" i="5"/>
  <c r="O2560" i="5"/>
  <c r="N2560" i="5"/>
  <c r="M2560" i="5"/>
  <c r="L2560" i="5"/>
  <c r="K2560" i="5"/>
  <c r="J2560" i="5"/>
  <c r="I2560" i="5"/>
  <c r="H2560" i="5"/>
  <c r="V2559" i="5"/>
  <c r="U2559" i="5"/>
  <c r="T2559" i="5"/>
  <c r="S2559" i="5"/>
  <c r="R2559" i="5"/>
  <c r="Q2559" i="5"/>
  <c r="P2559" i="5"/>
  <c r="O2559" i="5"/>
  <c r="N2559" i="5"/>
  <c r="M2559" i="5"/>
  <c r="L2559" i="5"/>
  <c r="K2559" i="5"/>
  <c r="J2559" i="5"/>
  <c r="I2559" i="5"/>
  <c r="H2559" i="5"/>
  <c r="V2558" i="5"/>
  <c r="U2558" i="5"/>
  <c r="T2558" i="5"/>
  <c r="S2558" i="5"/>
  <c r="R2558" i="5"/>
  <c r="Q2558" i="5"/>
  <c r="P2558" i="5"/>
  <c r="O2558" i="5"/>
  <c r="N2558" i="5"/>
  <c r="M2558" i="5"/>
  <c r="L2558" i="5"/>
  <c r="K2558" i="5"/>
  <c r="J2558" i="5"/>
  <c r="I2558" i="5"/>
  <c r="H2558" i="5"/>
  <c r="V2557" i="5"/>
  <c r="U2557" i="5"/>
  <c r="T2557" i="5"/>
  <c r="S2557" i="5"/>
  <c r="R2557" i="5"/>
  <c r="Q2557" i="5"/>
  <c r="P2557" i="5"/>
  <c r="O2557" i="5"/>
  <c r="N2557" i="5"/>
  <c r="M2557" i="5"/>
  <c r="L2557" i="5"/>
  <c r="K2557" i="5"/>
  <c r="J2557" i="5"/>
  <c r="I2557" i="5"/>
  <c r="H2557" i="5"/>
  <c r="V2556" i="5"/>
  <c r="U2556" i="5"/>
  <c r="T2556" i="5"/>
  <c r="S2556" i="5"/>
  <c r="R2556" i="5"/>
  <c r="Q2556" i="5"/>
  <c r="P2556" i="5"/>
  <c r="O2556" i="5"/>
  <c r="N2556" i="5"/>
  <c r="M2556" i="5"/>
  <c r="L2556" i="5"/>
  <c r="K2556" i="5"/>
  <c r="J2556" i="5"/>
  <c r="I2556" i="5"/>
  <c r="H2556" i="5"/>
  <c r="V2555" i="5"/>
  <c r="U2555" i="5"/>
  <c r="T2555" i="5"/>
  <c r="S2555" i="5"/>
  <c r="R2555" i="5"/>
  <c r="Q2555" i="5"/>
  <c r="P2555" i="5"/>
  <c r="O2555" i="5"/>
  <c r="N2555" i="5"/>
  <c r="M2555" i="5"/>
  <c r="L2555" i="5"/>
  <c r="K2555" i="5"/>
  <c r="J2555" i="5"/>
  <c r="I2555" i="5"/>
  <c r="H2555" i="5"/>
  <c r="V2554" i="5"/>
  <c r="U2554" i="5"/>
  <c r="T2554" i="5"/>
  <c r="S2554" i="5"/>
  <c r="R2554" i="5"/>
  <c r="Q2554" i="5"/>
  <c r="P2554" i="5"/>
  <c r="V2553" i="5"/>
  <c r="U2553" i="5"/>
  <c r="T2553" i="5"/>
  <c r="S2553" i="5"/>
  <c r="R2553" i="5"/>
  <c r="Q2553" i="5"/>
  <c r="P2553" i="5"/>
  <c r="O2553" i="5"/>
  <c r="N2553" i="5"/>
  <c r="M2553" i="5"/>
  <c r="L2553" i="5"/>
  <c r="K2553" i="5"/>
  <c r="J2553" i="5"/>
  <c r="I2553" i="5"/>
  <c r="H2553" i="5"/>
  <c r="U2552" i="5"/>
  <c r="T2552" i="5"/>
  <c r="S2552" i="5"/>
  <c r="R2552" i="5"/>
  <c r="Q2552" i="5"/>
  <c r="P2552" i="5"/>
  <c r="O2552" i="5"/>
  <c r="N2552" i="5"/>
  <c r="M2552" i="5"/>
  <c r="L2552" i="5"/>
  <c r="K2552" i="5"/>
  <c r="J2552" i="5"/>
  <c r="I2552" i="5"/>
  <c r="H2552" i="5"/>
  <c r="V2551" i="5"/>
  <c r="U2551" i="5"/>
  <c r="T2551" i="5"/>
  <c r="S2551" i="5"/>
  <c r="R2551" i="5"/>
  <c r="Q2551" i="5"/>
  <c r="P2551" i="5"/>
  <c r="O2551" i="5"/>
  <c r="N2551" i="5"/>
  <c r="M2551" i="5"/>
  <c r="L2551" i="5"/>
  <c r="K2551" i="5"/>
  <c r="J2551" i="5"/>
  <c r="I2551" i="5"/>
  <c r="H2551" i="5"/>
  <c r="V2550" i="5"/>
  <c r="O2550" i="5"/>
  <c r="N2550" i="5"/>
  <c r="M2550" i="5"/>
  <c r="L2550" i="5"/>
  <c r="K2550" i="5"/>
  <c r="J2550" i="5"/>
  <c r="I2550" i="5"/>
  <c r="H2550" i="5"/>
  <c r="V2549" i="5"/>
  <c r="U2549" i="5"/>
  <c r="T2549" i="5"/>
  <c r="S2549" i="5"/>
  <c r="R2549" i="5"/>
  <c r="Q2549" i="5"/>
  <c r="P2549" i="5"/>
  <c r="O2549" i="5"/>
  <c r="N2549" i="5"/>
  <c r="M2549" i="5"/>
  <c r="L2549" i="5"/>
  <c r="K2549" i="5"/>
  <c r="J2549" i="5"/>
  <c r="I2549" i="5"/>
  <c r="H2549" i="5"/>
  <c r="V2548" i="5"/>
  <c r="U2548" i="5"/>
  <c r="T2548" i="5"/>
  <c r="S2548" i="5"/>
  <c r="R2548" i="5"/>
  <c r="Q2548" i="5"/>
  <c r="P2548" i="5"/>
  <c r="O2548" i="5"/>
  <c r="N2548" i="5"/>
  <c r="M2548" i="5"/>
  <c r="L2548" i="5"/>
  <c r="K2548" i="5"/>
  <c r="J2548" i="5"/>
  <c r="I2548" i="5"/>
  <c r="H2548" i="5"/>
  <c r="V2547" i="5"/>
  <c r="U2547" i="5"/>
  <c r="T2547" i="5"/>
  <c r="S2547" i="5"/>
  <c r="R2547" i="5"/>
  <c r="Q2547" i="5"/>
  <c r="P2547" i="5"/>
  <c r="O2547" i="5"/>
  <c r="N2547" i="5"/>
  <c r="M2547" i="5"/>
  <c r="L2547" i="5"/>
  <c r="K2547" i="5"/>
  <c r="J2547" i="5"/>
  <c r="I2547" i="5"/>
  <c r="H2547" i="5"/>
  <c r="V2546" i="5"/>
  <c r="U2546" i="5"/>
  <c r="T2546" i="5"/>
  <c r="S2546" i="5"/>
  <c r="R2546" i="5"/>
  <c r="Q2546" i="5"/>
  <c r="P2546" i="5"/>
  <c r="O2546" i="5"/>
  <c r="N2546" i="5"/>
  <c r="M2546" i="5"/>
  <c r="L2546" i="5"/>
  <c r="K2546" i="5"/>
  <c r="J2546" i="5"/>
  <c r="I2546" i="5"/>
  <c r="H2546" i="5"/>
  <c r="V2545" i="5"/>
  <c r="U2545" i="5"/>
  <c r="T2545" i="5"/>
  <c r="S2545" i="5"/>
  <c r="R2545" i="5"/>
  <c r="Q2545" i="5"/>
  <c r="P2545" i="5"/>
  <c r="O2545" i="5"/>
  <c r="N2545" i="5"/>
  <c r="M2545" i="5"/>
  <c r="L2545" i="5"/>
  <c r="K2545" i="5"/>
  <c r="J2545" i="5"/>
  <c r="I2545" i="5"/>
  <c r="H2545" i="5"/>
  <c r="V2544" i="5"/>
  <c r="U2544" i="5"/>
  <c r="T2544" i="5"/>
  <c r="S2544" i="5"/>
  <c r="R2544" i="5"/>
  <c r="Q2544" i="5"/>
  <c r="P2544" i="5"/>
  <c r="V2543" i="5"/>
  <c r="U2543" i="5"/>
  <c r="T2543" i="5"/>
  <c r="S2543" i="5"/>
  <c r="R2543" i="5"/>
  <c r="Q2543" i="5"/>
  <c r="P2543" i="5"/>
  <c r="O2543" i="5"/>
  <c r="N2543" i="5"/>
  <c r="M2543" i="5"/>
  <c r="L2543" i="5"/>
  <c r="K2543" i="5"/>
  <c r="J2543" i="5"/>
  <c r="I2543" i="5"/>
  <c r="H2543" i="5"/>
  <c r="U2542" i="5"/>
  <c r="T2542" i="5"/>
  <c r="S2542" i="5"/>
  <c r="R2542" i="5"/>
  <c r="Q2542" i="5"/>
  <c r="P2542" i="5"/>
  <c r="O2542" i="5"/>
  <c r="N2542" i="5"/>
  <c r="M2542" i="5"/>
  <c r="L2542" i="5"/>
  <c r="K2542" i="5"/>
  <c r="J2542" i="5"/>
  <c r="I2542" i="5"/>
  <c r="H2542" i="5"/>
  <c r="V2541" i="5"/>
  <c r="U2541" i="5"/>
  <c r="T2541" i="5"/>
  <c r="S2541" i="5"/>
  <c r="R2541" i="5"/>
  <c r="Q2541" i="5"/>
  <c r="P2541" i="5"/>
  <c r="O2541" i="5"/>
  <c r="N2541" i="5"/>
  <c r="M2541" i="5"/>
  <c r="L2541" i="5"/>
  <c r="K2541" i="5"/>
  <c r="J2541" i="5"/>
  <c r="I2541" i="5"/>
  <c r="H2541" i="5"/>
  <c r="V2540" i="5"/>
  <c r="O2540" i="5"/>
  <c r="N2540" i="5"/>
  <c r="M2540" i="5"/>
  <c r="L2540" i="5"/>
  <c r="K2540" i="5"/>
  <c r="J2540" i="5"/>
  <c r="I2540" i="5"/>
  <c r="H2540" i="5"/>
  <c r="V2539" i="5"/>
  <c r="U2539" i="5"/>
  <c r="T2539" i="5"/>
  <c r="S2539" i="5"/>
  <c r="R2539" i="5"/>
  <c r="Q2539" i="5"/>
  <c r="P2539" i="5"/>
  <c r="O2539" i="5"/>
  <c r="N2539" i="5"/>
  <c r="M2539" i="5"/>
  <c r="L2539" i="5"/>
  <c r="K2539" i="5"/>
  <c r="J2539" i="5"/>
  <c r="I2539" i="5"/>
  <c r="H2539" i="5"/>
  <c r="V2538" i="5"/>
  <c r="U2538" i="5"/>
  <c r="T2538" i="5"/>
  <c r="S2538" i="5"/>
  <c r="R2538" i="5"/>
  <c r="Q2538" i="5"/>
  <c r="P2538" i="5"/>
  <c r="O2538" i="5"/>
  <c r="N2538" i="5"/>
  <c r="M2538" i="5"/>
  <c r="L2538" i="5"/>
  <c r="K2538" i="5"/>
  <c r="J2538" i="5"/>
  <c r="I2538" i="5"/>
  <c r="H2538" i="5"/>
  <c r="V2537" i="5"/>
  <c r="U2537" i="5"/>
  <c r="T2537" i="5"/>
  <c r="S2537" i="5"/>
  <c r="R2537" i="5"/>
  <c r="Q2537" i="5"/>
  <c r="P2537" i="5"/>
  <c r="O2537" i="5"/>
  <c r="N2537" i="5"/>
  <c r="M2537" i="5"/>
  <c r="L2537" i="5"/>
  <c r="K2537" i="5"/>
  <c r="J2537" i="5"/>
  <c r="I2537" i="5"/>
  <c r="H2537" i="5"/>
  <c r="V2536" i="5"/>
  <c r="U2536" i="5"/>
  <c r="T2536" i="5"/>
  <c r="S2536" i="5"/>
  <c r="R2536" i="5"/>
  <c r="Q2536" i="5"/>
  <c r="P2536" i="5"/>
  <c r="O2536" i="5"/>
  <c r="N2536" i="5"/>
  <c r="M2536" i="5"/>
  <c r="L2536" i="5"/>
  <c r="K2536" i="5"/>
  <c r="J2536" i="5"/>
  <c r="I2536" i="5"/>
  <c r="H2536" i="5"/>
  <c r="V2535" i="5"/>
  <c r="U2535" i="5"/>
  <c r="T2535" i="5"/>
  <c r="S2535" i="5"/>
  <c r="R2535" i="5"/>
  <c r="Q2535" i="5"/>
  <c r="P2535" i="5"/>
  <c r="O2535" i="5"/>
  <c r="N2535" i="5"/>
  <c r="M2535" i="5"/>
  <c r="L2535" i="5"/>
  <c r="K2535" i="5"/>
  <c r="J2535" i="5"/>
  <c r="I2535" i="5"/>
  <c r="H2535" i="5"/>
  <c r="V2534" i="5"/>
  <c r="U2534" i="5"/>
  <c r="T2534" i="5"/>
  <c r="S2534" i="5"/>
  <c r="R2534" i="5"/>
  <c r="Q2534" i="5"/>
  <c r="P2534" i="5"/>
  <c r="V2533" i="5"/>
  <c r="U2533" i="5"/>
  <c r="T2533" i="5"/>
  <c r="S2533" i="5"/>
  <c r="R2533" i="5"/>
  <c r="Q2533" i="5"/>
  <c r="P2533" i="5"/>
  <c r="O2533" i="5"/>
  <c r="N2533" i="5"/>
  <c r="M2533" i="5"/>
  <c r="L2533" i="5"/>
  <c r="K2533" i="5"/>
  <c r="J2533" i="5"/>
  <c r="I2533" i="5"/>
  <c r="H2533" i="5"/>
  <c r="U2532" i="5"/>
  <c r="T2532" i="5"/>
  <c r="S2532" i="5"/>
  <c r="R2532" i="5"/>
  <c r="Q2532" i="5"/>
  <c r="P2532" i="5"/>
  <c r="O2532" i="5"/>
  <c r="N2532" i="5"/>
  <c r="M2532" i="5"/>
  <c r="L2532" i="5"/>
  <c r="K2532" i="5"/>
  <c r="J2532" i="5"/>
  <c r="I2532" i="5"/>
  <c r="H2532" i="5"/>
  <c r="V2531" i="5"/>
  <c r="U2531" i="5"/>
  <c r="T2531" i="5"/>
  <c r="S2531" i="5"/>
  <c r="R2531" i="5"/>
  <c r="Q2531" i="5"/>
  <c r="P2531" i="5"/>
  <c r="O2531" i="5"/>
  <c r="N2531" i="5"/>
  <c r="M2531" i="5"/>
  <c r="L2531" i="5"/>
  <c r="K2531" i="5"/>
  <c r="J2531" i="5"/>
  <c r="I2531" i="5"/>
  <c r="H2531" i="5"/>
  <c r="V2530" i="5"/>
  <c r="O2530" i="5"/>
  <c r="N2530" i="5"/>
  <c r="M2530" i="5"/>
  <c r="L2530" i="5"/>
  <c r="K2530" i="5"/>
  <c r="J2530" i="5"/>
  <c r="I2530" i="5"/>
  <c r="H2530" i="5"/>
  <c r="V2529" i="5"/>
  <c r="U2529" i="5"/>
  <c r="T2529" i="5"/>
  <c r="S2529" i="5"/>
  <c r="R2529" i="5"/>
  <c r="Q2529" i="5"/>
  <c r="P2529" i="5"/>
  <c r="O2529" i="5"/>
  <c r="N2529" i="5"/>
  <c r="M2529" i="5"/>
  <c r="L2529" i="5"/>
  <c r="K2529" i="5"/>
  <c r="J2529" i="5"/>
  <c r="I2529" i="5"/>
  <c r="H2529" i="5"/>
  <c r="V2528" i="5"/>
  <c r="U2528" i="5"/>
  <c r="T2528" i="5"/>
  <c r="S2528" i="5"/>
  <c r="R2528" i="5"/>
  <c r="Q2528" i="5"/>
  <c r="P2528" i="5"/>
  <c r="O2528" i="5"/>
  <c r="N2528" i="5"/>
  <c r="M2528" i="5"/>
  <c r="L2528" i="5"/>
  <c r="K2528" i="5"/>
  <c r="J2528" i="5"/>
  <c r="I2528" i="5"/>
  <c r="H2528" i="5"/>
  <c r="V2527" i="5"/>
  <c r="U2527" i="5"/>
  <c r="T2527" i="5"/>
  <c r="S2527" i="5"/>
  <c r="R2527" i="5"/>
  <c r="Q2527" i="5"/>
  <c r="P2527" i="5"/>
  <c r="O2527" i="5"/>
  <c r="N2527" i="5"/>
  <c r="M2527" i="5"/>
  <c r="L2527" i="5"/>
  <c r="K2527" i="5"/>
  <c r="J2527" i="5"/>
  <c r="I2527" i="5"/>
  <c r="H2527" i="5"/>
  <c r="V2526" i="5"/>
  <c r="U2526" i="5"/>
  <c r="T2526" i="5"/>
  <c r="S2526" i="5"/>
  <c r="R2526" i="5"/>
  <c r="Q2526" i="5"/>
  <c r="P2526" i="5"/>
  <c r="O2526" i="5"/>
  <c r="N2526" i="5"/>
  <c r="M2526" i="5"/>
  <c r="L2526" i="5"/>
  <c r="K2526" i="5"/>
  <c r="J2526" i="5"/>
  <c r="I2526" i="5"/>
  <c r="H2526" i="5"/>
  <c r="V2525" i="5"/>
  <c r="U2525" i="5"/>
  <c r="T2525" i="5"/>
  <c r="S2525" i="5"/>
  <c r="R2525" i="5"/>
  <c r="Q2525" i="5"/>
  <c r="P2525" i="5"/>
  <c r="O2525" i="5"/>
  <c r="N2525" i="5"/>
  <c r="M2525" i="5"/>
  <c r="L2525" i="5"/>
  <c r="K2525" i="5"/>
  <c r="J2525" i="5"/>
  <c r="I2525" i="5"/>
  <c r="H2525" i="5"/>
  <c r="V2524" i="5"/>
  <c r="U2524" i="5"/>
  <c r="T2524" i="5"/>
  <c r="S2524" i="5"/>
  <c r="R2524" i="5"/>
  <c r="Q2524" i="5"/>
  <c r="P2524" i="5"/>
  <c r="V2523" i="5"/>
  <c r="U2523" i="5"/>
  <c r="T2523" i="5"/>
  <c r="S2523" i="5"/>
  <c r="R2523" i="5"/>
  <c r="Q2523" i="5"/>
  <c r="P2523" i="5"/>
  <c r="O2523" i="5"/>
  <c r="N2523" i="5"/>
  <c r="M2523" i="5"/>
  <c r="L2523" i="5"/>
  <c r="K2523" i="5"/>
  <c r="J2523" i="5"/>
  <c r="I2523" i="5"/>
  <c r="H2523" i="5"/>
  <c r="U2522" i="5"/>
  <c r="T2522" i="5"/>
  <c r="S2522" i="5"/>
  <c r="R2522" i="5"/>
  <c r="Q2522" i="5"/>
  <c r="P2522" i="5"/>
  <c r="O2522" i="5"/>
  <c r="N2522" i="5"/>
  <c r="M2522" i="5"/>
  <c r="L2522" i="5"/>
  <c r="K2522" i="5"/>
  <c r="J2522" i="5"/>
  <c r="I2522" i="5"/>
  <c r="H2522" i="5"/>
  <c r="V2521" i="5"/>
  <c r="U2521" i="5"/>
  <c r="T2521" i="5"/>
  <c r="S2521" i="5"/>
  <c r="R2521" i="5"/>
  <c r="Q2521" i="5"/>
  <c r="P2521" i="5"/>
  <c r="O2521" i="5"/>
  <c r="N2521" i="5"/>
  <c r="M2521" i="5"/>
  <c r="L2521" i="5"/>
  <c r="K2521" i="5"/>
  <c r="J2521" i="5"/>
  <c r="I2521" i="5"/>
  <c r="H2521" i="5"/>
  <c r="V2520" i="5"/>
  <c r="O2520" i="5"/>
  <c r="N2520" i="5"/>
  <c r="M2520" i="5"/>
  <c r="L2520" i="5"/>
  <c r="K2520" i="5"/>
  <c r="J2520" i="5"/>
  <c r="I2520" i="5"/>
  <c r="H2520" i="5"/>
  <c r="V2519" i="5"/>
  <c r="U2519" i="5"/>
  <c r="T2519" i="5"/>
  <c r="S2519" i="5"/>
  <c r="R2519" i="5"/>
  <c r="Q2519" i="5"/>
  <c r="P2519" i="5"/>
  <c r="O2519" i="5"/>
  <c r="N2519" i="5"/>
  <c r="M2519" i="5"/>
  <c r="L2519" i="5"/>
  <c r="K2519" i="5"/>
  <c r="J2519" i="5"/>
  <c r="I2519" i="5"/>
  <c r="H2519" i="5"/>
  <c r="V2518" i="5"/>
  <c r="U2518" i="5"/>
  <c r="T2518" i="5"/>
  <c r="S2518" i="5"/>
  <c r="R2518" i="5"/>
  <c r="Q2518" i="5"/>
  <c r="P2518" i="5"/>
  <c r="O2518" i="5"/>
  <c r="N2518" i="5"/>
  <c r="M2518" i="5"/>
  <c r="L2518" i="5"/>
  <c r="K2518" i="5"/>
  <c r="J2518" i="5"/>
  <c r="I2518" i="5"/>
  <c r="H2518" i="5"/>
  <c r="V2517" i="5"/>
  <c r="U2517" i="5"/>
  <c r="T2517" i="5"/>
  <c r="S2517" i="5"/>
  <c r="R2517" i="5"/>
  <c r="Q2517" i="5"/>
  <c r="P2517" i="5"/>
  <c r="O2517" i="5"/>
  <c r="N2517" i="5"/>
  <c r="M2517" i="5"/>
  <c r="L2517" i="5"/>
  <c r="K2517" i="5"/>
  <c r="J2517" i="5"/>
  <c r="I2517" i="5"/>
  <c r="H2517" i="5"/>
  <c r="V2516" i="5"/>
  <c r="U2516" i="5"/>
  <c r="T2516" i="5"/>
  <c r="S2516" i="5"/>
  <c r="R2516" i="5"/>
  <c r="Q2516" i="5"/>
  <c r="P2516" i="5"/>
  <c r="O2516" i="5"/>
  <c r="N2516" i="5"/>
  <c r="M2516" i="5"/>
  <c r="L2516" i="5"/>
  <c r="K2516" i="5"/>
  <c r="J2516" i="5"/>
  <c r="I2516" i="5"/>
  <c r="H2516" i="5"/>
  <c r="V2515" i="5"/>
  <c r="U2515" i="5"/>
  <c r="T2515" i="5"/>
  <c r="S2515" i="5"/>
  <c r="R2515" i="5"/>
  <c r="Q2515" i="5"/>
  <c r="P2515" i="5"/>
  <c r="O2515" i="5"/>
  <c r="N2515" i="5"/>
  <c r="M2515" i="5"/>
  <c r="L2515" i="5"/>
  <c r="K2515" i="5"/>
  <c r="J2515" i="5"/>
  <c r="I2515" i="5"/>
  <c r="H2515" i="5"/>
  <c r="V2514" i="5"/>
  <c r="U2514" i="5"/>
  <c r="T2514" i="5"/>
  <c r="S2514" i="5"/>
  <c r="R2514" i="5"/>
  <c r="Q2514" i="5"/>
  <c r="P2514" i="5"/>
  <c r="V2513" i="5"/>
  <c r="U2513" i="5"/>
  <c r="T2513" i="5"/>
  <c r="S2513" i="5"/>
  <c r="R2513" i="5"/>
  <c r="Q2513" i="5"/>
  <c r="P2513" i="5"/>
  <c r="O2513" i="5"/>
  <c r="N2513" i="5"/>
  <c r="M2513" i="5"/>
  <c r="L2513" i="5"/>
  <c r="K2513" i="5"/>
  <c r="J2513" i="5"/>
  <c r="I2513" i="5"/>
  <c r="H2513" i="5"/>
  <c r="U2512" i="5"/>
  <c r="T2512" i="5"/>
  <c r="S2512" i="5"/>
  <c r="R2512" i="5"/>
  <c r="Q2512" i="5"/>
  <c r="P2512" i="5"/>
  <c r="O2512" i="5"/>
  <c r="N2512" i="5"/>
  <c r="M2512" i="5"/>
  <c r="L2512" i="5"/>
  <c r="K2512" i="5"/>
  <c r="J2512" i="5"/>
  <c r="I2512" i="5"/>
  <c r="H2512" i="5"/>
  <c r="V2511" i="5"/>
  <c r="U2511" i="5"/>
  <c r="T2511" i="5"/>
  <c r="S2511" i="5"/>
  <c r="R2511" i="5"/>
  <c r="Q2511" i="5"/>
  <c r="P2511" i="5"/>
  <c r="O2511" i="5"/>
  <c r="N2511" i="5"/>
  <c r="M2511" i="5"/>
  <c r="L2511" i="5"/>
  <c r="K2511" i="5"/>
  <c r="J2511" i="5"/>
  <c r="I2511" i="5"/>
  <c r="H2511" i="5"/>
  <c r="V2510" i="5"/>
  <c r="O2510" i="5"/>
  <c r="N2510" i="5"/>
  <c r="M2510" i="5"/>
  <c r="L2510" i="5"/>
  <c r="K2510" i="5"/>
  <c r="J2510" i="5"/>
  <c r="I2510" i="5"/>
  <c r="H2510" i="5"/>
  <c r="V2509" i="5"/>
  <c r="U2509" i="5"/>
  <c r="T2509" i="5"/>
  <c r="S2509" i="5"/>
  <c r="R2509" i="5"/>
  <c r="Q2509" i="5"/>
  <c r="P2509" i="5"/>
  <c r="O2509" i="5"/>
  <c r="N2509" i="5"/>
  <c r="M2509" i="5"/>
  <c r="L2509" i="5"/>
  <c r="K2509" i="5"/>
  <c r="J2509" i="5"/>
  <c r="I2509" i="5"/>
  <c r="H2509" i="5"/>
  <c r="V2508" i="5"/>
  <c r="U2508" i="5"/>
  <c r="T2508" i="5"/>
  <c r="S2508" i="5"/>
  <c r="R2508" i="5"/>
  <c r="Q2508" i="5"/>
  <c r="P2508" i="5"/>
  <c r="O2508" i="5"/>
  <c r="N2508" i="5"/>
  <c r="M2508" i="5"/>
  <c r="L2508" i="5"/>
  <c r="K2508" i="5"/>
  <c r="J2508" i="5"/>
  <c r="I2508" i="5"/>
  <c r="H2508" i="5"/>
  <c r="V2507" i="5"/>
  <c r="U2507" i="5"/>
  <c r="T2507" i="5"/>
  <c r="S2507" i="5"/>
  <c r="R2507" i="5"/>
  <c r="Q2507" i="5"/>
  <c r="P2507" i="5"/>
  <c r="O2507" i="5"/>
  <c r="N2507" i="5"/>
  <c r="M2507" i="5"/>
  <c r="L2507" i="5"/>
  <c r="K2507" i="5"/>
  <c r="J2507" i="5"/>
  <c r="I2507" i="5"/>
  <c r="H2507" i="5"/>
  <c r="V2506" i="5"/>
  <c r="U2506" i="5"/>
  <c r="T2506" i="5"/>
  <c r="S2506" i="5"/>
  <c r="R2506" i="5"/>
  <c r="Q2506" i="5"/>
  <c r="P2506" i="5"/>
  <c r="O2506" i="5"/>
  <c r="N2506" i="5"/>
  <c r="M2506" i="5"/>
  <c r="L2506" i="5"/>
  <c r="K2506" i="5"/>
  <c r="J2506" i="5"/>
  <c r="I2506" i="5"/>
  <c r="H2506" i="5"/>
  <c r="V2505" i="5"/>
  <c r="U2505" i="5"/>
  <c r="T2505" i="5"/>
  <c r="S2505" i="5"/>
  <c r="R2505" i="5"/>
  <c r="Q2505" i="5"/>
  <c r="P2505" i="5"/>
  <c r="O2505" i="5"/>
  <c r="N2505" i="5"/>
  <c r="M2505" i="5"/>
  <c r="L2505" i="5"/>
  <c r="K2505" i="5"/>
  <c r="J2505" i="5"/>
  <c r="I2505" i="5"/>
  <c r="H2505" i="5"/>
  <c r="V2504" i="5"/>
  <c r="U2504" i="5"/>
  <c r="T2504" i="5"/>
  <c r="S2504" i="5"/>
  <c r="R2504" i="5"/>
  <c r="Q2504" i="5"/>
  <c r="P2504" i="5"/>
  <c r="V2503" i="5"/>
  <c r="U2503" i="5"/>
  <c r="T2503" i="5"/>
  <c r="S2503" i="5"/>
  <c r="R2503" i="5"/>
  <c r="Q2503" i="5"/>
  <c r="P2503" i="5"/>
  <c r="O2503" i="5"/>
  <c r="N2503" i="5"/>
  <c r="M2503" i="5"/>
  <c r="L2503" i="5"/>
  <c r="K2503" i="5"/>
  <c r="J2503" i="5"/>
  <c r="I2503" i="5"/>
  <c r="H2503" i="5"/>
  <c r="U2502" i="5"/>
  <c r="T2502" i="5"/>
  <c r="S2502" i="5"/>
  <c r="R2502" i="5"/>
  <c r="Q2502" i="5"/>
  <c r="P2502" i="5"/>
  <c r="O2502" i="5"/>
  <c r="N2502" i="5"/>
  <c r="M2502" i="5"/>
  <c r="L2502" i="5"/>
  <c r="K2502" i="5"/>
  <c r="J2502" i="5"/>
  <c r="I2502" i="5"/>
  <c r="H2502" i="5"/>
  <c r="V2501" i="5"/>
  <c r="U2501" i="5"/>
  <c r="T2501" i="5"/>
  <c r="S2501" i="5"/>
  <c r="R2501" i="5"/>
  <c r="Q2501" i="5"/>
  <c r="P2501" i="5"/>
  <c r="O2501" i="5"/>
  <c r="N2501" i="5"/>
  <c r="M2501" i="5"/>
  <c r="L2501" i="5"/>
  <c r="K2501" i="5"/>
  <c r="J2501" i="5"/>
  <c r="I2501" i="5"/>
  <c r="H2501" i="5"/>
  <c r="V2500" i="5"/>
  <c r="O2500" i="5"/>
  <c r="N2500" i="5"/>
  <c r="M2500" i="5"/>
  <c r="L2500" i="5"/>
  <c r="K2500" i="5"/>
  <c r="J2500" i="5"/>
  <c r="I2500" i="5"/>
  <c r="H2500" i="5"/>
  <c r="V2499" i="5"/>
  <c r="U2499" i="5"/>
  <c r="T2499" i="5"/>
  <c r="S2499" i="5"/>
  <c r="R2499" i="5"/>
  <c r="Q2499" i="5"/>
  <c r="P2499" i="5"/>
  <c r="O2499" i="5"/>
  <c r="N2499" i="5"/>
  <c r="M2499" i="5"/>
  <c r="L2499" i="5"/>
  <c r="K2499" i="5"/>
  <c r="J2499" i="5"/>
  <c r="I2499" i="5"/>
  <c r="H2499" i="5"/>
  <c r="V2498" i="5"/>
  <c r="U2498" i="5"/>
  <c r="T2498" i="5"/>
  <c r="S2498" i="5"/>
  <c r="R2498" i="5"/>
  <c r="Q2498" i="5"/>
  <c r="P2498" i="5"/>
  <c r="O2498" i="5"/>
  <c r="N2498" i="5"/>
  <c r="M2498" i="5"/>
  <c r="L2498" i="5"/>
  <c r="K2498" i="5"/>
  <c r="J2498" i="5"/>
  <c r="I2498" i="5"/>
  <c r="H2498" i="5"/>
  <c r="V2497" i="5"/>
  <c r="U2497" i="5"/>
  <c r="T2497" i="5"/>
  <c r="S2497" i="5"/>
  <c r="R2497" i="5"/>
  <c r="Q2497" i="5"/>
  <c r="P2497" i="5"/>
  <c r="O2497" i="5"/>
  <c r="N2497" i="5"/>
  <c r="M2497" i="5"/>
  <c r="L2497" i="5"/>
  <c r="K2497" i="5"/>
  <c r="J2497" i="5"/>
  <c r="I2497" i="5"/>
  <c r="H2497" i="5"/>
  <c r="V2496" i="5"/>
  <c r="U2496" i="5"/>
  <c r="T2496" i="5"/>
  <c r="S2496" i="5"/>
  <c r="R2496" i="5"/>
  <c r="Q2496" i="5"/>
  <c r="P2496" i="5"/>
  <c r="O2496" i="5"/>
  <c r="N2496" i="5"/>
  <c r="M2496" i="5"/>
  <c r="L2496" i="5"/>
  <c r="K2496" i="5"/>
  <c r="J2496" i="5"/>
  <c r="I2496" i="5"/>
  <c r="H2496" i="5"/>
  <c r="V2495" i="5"/>
  <c r="U2495" i="5"/>
  <c r="T2495" i="5"/>
  <c r="S2495" i="5"/>
  <c r="R2495" i="5"/>
  <c r="Q2495" i="5"/>
  <c r="P2495" i="5"/>
  <c r="O2495" i="5"/>
  <c r="N2495" i="5"/>
  <c r="M2495" i="5"/>
  <c r="L2495" i="5"/>
  <c r="K2495" i="5"/>
  <c r="J2495" i="5"/>
  <c r="I2495" i="5"/>
  <c r="H2495" i="5"/>
  <c r="V2494" i="5"/>
  <c r="U2494" i="5"/>
  <c r="T2494" i="5"/>
  <c r="S2494" i="5"/>
  <c r="R2494" i="5"/>
  <c r="Q2494" i="5"/>
  <c r="P2494" i="5"/>
  <c r="V2493" i="5"/>
  <c r="U2493" i="5"/>
  <c r="T2493" i="5"/>
  <c r="S2493" i="5"/>
  <c r="R2493" i="5"/>
  <c r="Q2493" i="5"/>
  <c r="P2493" i="5"/>
  <c r="O2493" i="5"/>
  <c r="N2493" i="5"/>
  <c r="M2493" i="5"/>
  <c r="L2493" i="5"/>
  <c r="K2493" i="5"/>
  <c r="J2493" i="5"/>
  <c r="I2493" i="5"/>
  <c r="H2493" i="5"/>
  <c r="U2492" i="5"/>
  <c r="T2492" i="5"/>
  <c r="S2492" i="5"/>
  <c r="R2492" i="5"/>
  <c r="Q2492" i="5"/>
  <c r="P2492" i="5"/>
  <c r="O2492" i="5"/>
  <c r="N2492" i="5"/>
  <c r="M2492" i="5"/>
  <c r="L2492" i="5"/>
  <c r="K2492" i="5"/>
  <c r="J2492" i="5"/>
  <c r="I2492" i="5"/>
  <c r="H2492" i="5"/>
  <c r="V2491" i="5"/>
  <c r="U2491" i="5"/>
  <c r="T2491" i="5"/>
  <c r="S2491" i="5"/>
  <c r="R2491" i="5"/>
  <c r="Q2491" i="5"/>
  <c r="P2491" i="5"/>
  <c r="O2491" i="5"/>
  <c r="N2491" i="5"/>
  <c r="M2491" i="5"/>
  <c r="L2491" i="5"/>
  <c r="K2491" i="5"/>
  <c r="J2491" i="5"/>
  <c r="I2491" i="5"/>
  <c r="H2491" i="5"/>
  <c r="V2490" i="5"/>
  <c r="O2490" i="5"/>
  <c r="N2490" i="5"/>
  <c r="M2490" i="5"/>
  <c r="L2490" i="5"/>
  <c r="K2490" i="5"/>
  <c r="J2490" i="5"/>
  <c r="I2490" i="5"/>
  <c r="H2490" i="5"/>
  <c r="V2489" i="5"/>
  <c r="U2489" i="5"/>
  <c r="T2489" i="5"/>
  <c r="S2489" i="5"/>
  <c r="R2489" i="5"/>
  <c r="Q2489" i="5"/>
  <c r="P2489" i="5"/>
  <c r="O2489" i="5"/>
  <c r="N2489" i="5"/>
  <c r="M2489" i="5"/>
  <c r="L2489" i="5"/>
  <c r="K2489" i="5"/>
  <c r="J2489" i="5"/>
  <c r="I2489" i="5"/>
  <c r="H2489" i="5"/>
  <c r="V2488" i="5"/>
  <c r="U2488" i="5"/>
  <c r="T2488" i="5"/>
  <c r="S2488" i="5"/>
  <c r="R2488" i="5"/>
  <c r="Q2488" i="5"/>
  <c r="P2488" i="5"/>
  <c r="O2488" i="5"/>
  <c r="N2488" i="5"/>
  <c r="M2488" i="5"/>
  <c r="L2488" i="5"/>
  <c r="K2488" i="5"/>
  <c r="J2488" i="5"/>
  <c r="I2488" i="5"/>
  <c r="H2488" i="5"/>
  <c r="V2487" i="5"/>
  <c r="U2487" i="5"/>
  <c r="T2487" i="5"/>
  <c r="S2487" i="5"/>
  <c r="R2487" i="5"/>
  <c r="Q2487" i="5"/>
  <c r="P2487" i="5"/>
  <c r="V2486" i="5"/>
  <c r="U2486" i="5"/>
  <c r="T2486" i="5"/>
  <c r="S2486" i="5"/>
  <c r="R2486" i="5"/>
  <c r="Q2486" i="5"/>
  <c r="P2486" i="5"/>
  <c r="U2485" i="5"/>
  <c r="T2485" i="5"/>
  <c r="S2485" i="5"/>
  <c r="R2485" i="5"/>
  <c r="Q2485" i="5"/>
  <c r="P2485" i="5"/>
  <c r="U2484" i="5"/>
  <c r="T2484" i="5"/>
  <c r="S2484" i="5"/>
  <c r="R2484" i="5"/>
  <c r="Q2484" i="5"/>
  <c r="P2484" i="5"/>
  <c r="O2477" i="5"/>
  <c r="N2477" i="5"/>
  <c r="M2477" i="5"/>
  <c r="L2477" i="5"/>
  <c r="K2477" i="5"/>
  <c r="J2477" i="5"/>
  <c r="I2477" i="5"/>
  <c r="H2477" i="5"/>
  <c r="O2476" i="5"/>
  <c r="N2476" i="5"/>
  <c r="M2476" i="5"/>
  <c r="L2476" i="5"/>
  <c r="K2476" i="5"/>
  <c r="J2476" i="5"/>
  <c r="I2476" i="5"/>
  <c r="H2476" i="5"/>
  <c r="V2475" i="5"/>
  <c r="O2475" i="5"/>
  <c r="N2475" i="5"/>
  <c r="M2475" i="5"/>
  <c r="L2475" i="5"/>
  <c r="K2475" i="5"/>
  <c r="J2475" i="5"/>
  <c r="I2475" i="5"/>
  <c r="H2475" i="5"/>
  <c r="V2474" i="5"/>
  <c r="V2473" i="5"/>
  <c r="U2473" i="5"/>
  <c r="T2473" i="5"/>
  <c r="S2473" i="5"/>
  <c r="R2473" i="5"/>
  <c r="Q2473" i="5"/>
  <c r="P2473" i="5"/>
  <c r="O2473" i="5"/>
  <c r="N2473" i="5"/>
  <c r="M2473" i="5"/>
  <c r="L2473" i="5"/>
  <c r="K2473" i="5"/>
  <c r="J2473" i="5"/>
  <c r="I2473" i="5"/>
  <c r="H2473" i="5"/>
  <c r="U2472" i="5"/>
  <c r="T2472" i="5"/>
  <c r="S2472" i="5"/>
  <c r="R2472" i="5"/>
  <c r="Q2472" i="5"/>
  <c r="P2472" i="5"/>
  <c r="O2472" i="5"/>
  <c r="N2472" i="5"/>
  <c r="M2472" i="5"/>
  <c r="L2472" i="5"/>
  <c r="K2472" i="5"/>
  <c r="J2472" i="5"/>
  <c r="I2472" i="5"/>
  <c r="H2472" i="5"/>
  <c r="V2471" i="5"/>
  <c r="U2471" i="5"/>
  <c r="T2471" i="5"/>
  <c r="S2471" i="5"/>
  <c r="R2471" i="5"/>
  <c r="Q2471" i="5"/>
  <c r="P2471" i="5"/>
  <c r="O2471" i="5"/>
  <c r="N2471" i="5"/>
  <c r="M2471" i="5"/>
  <c r="L2471" i="5"/>
  <c r="K2471" i="5"/>
  <c r="J2471" i="5"/>
  <c r="I2471" i="5"/>
  <c r="H2471" i="5"/>
  <c r="V2470" i="5"/>
  <c r="O2470" i="5"/>
  <c r="N2470" i="5"/>
  <c r="M2470" i="5"/>
  <c r="L2470" i="5"/>
  <c r="K2470" i="5"/>
  <c r="J2470" i="5"/>
  <c r="I2470" i="5"/>
  <c r="H2470" i="5"/>
  <c r="V2469" i="5"/>
  <c r="U2469" i="5"/>
  <c r="T2469" i="5"/>
  <c r="S2469" i="5"/>
  <c r="R2469" i="5"/>
  <c r="Q2469" i="5"/>
  <c r="P2469" i="5"/>
  <c r="O2469" i="5"/>
  <c r="N2469" i="5"/>
  <c r="M2469" i="5"/>
  <c r="L2469" i="5"/>
  <c r="K2469" i="5"/>
  <c r="J2469" i="5"/>
  <c r="I2469" i="5"/>
  <c r="H2469" i="5"/>
  <c r="V2468" i="5"/>
  <c r="U2468" i="5"/>
  <c r="T2468" i="5"/>
  <c r="S2468" i="5"/>
  <c r="R2468" i="5"/>
  <c r="Q2468" i="5"/>
  <c r="P2468" i="5"/>
  <c r="O2468" i="5"/>
  <c r="N2468" i="5"/>
  <c r="M2468" i="5"/>
  <c r="L2468" i="5"/>
  <c r="K2468" i="5"/>
  <c r="J2468" i="5"/>
  <c r="I2468" i="5"/>
  <c r="H2468" i="5"/>
  <c r="V2467" i="5"/>
  <c r="U2467" i="5"/>
  <c r="T2467" i="5"/>
  <c r="S2467" i="5"/>
  <c r="R2467" i="5"/>
  <c r="Q2467" i="5"/>
  <c r="P2467" i="5"/>
  <c r="O2467" i="5"/>
  <c r="N2467" i="5"/>
  <c r="M2467" i="5"/>
  <c r="L2467" i="5"/>
  <c r="K2467" i="5"/>
  <c r="J2467" i="5"/>
  <c r="I2467" i="5"/>
  <c r="H2467" i="5"/>
  <c r="V2466" i="5"/>
  <c r="U2466" i="5"/>
  <c r="T2466" i="5"/>
  <c r="S2466" i="5"/>
  <c r="R2466" i="5"/>
  <c r="Q2466" i="5"/>
  <c r="P2466" i="5"/>
  <c r="O2466" i="5"/>
  <c r="N2466" i="5"/>
  <c r="M2466" i="5"/>
  <c r="L2466" i="5"/>
  <c r="K2466" i="5"/>
  <c r="J2466" i="5"/>
  <c r="I2466" i="5"/>
  <c r="H2466" i="5"/>
  <c r="V2465" i="5"/>
  <c r="U2465" i="5"/>
  <c r="T2465" i="5"/>
  <c r="S2465" i="5"/>
  <c r="R2465" i="5"/>
  <c r="Q2465" i="5"/>
  <c r="P2465" i="5"/>
  <c r="O2465" i="5"/>
  <c r="N2465" i="5"/>
  <c r="M2465" i="5"/>
  <c r="L2465" i="5"/>
  <c r="K2465" i="5"/>
  <c r="J2465" i="5"/>
  <c r="I2465" i="5"/>
  <c r="H2465" i="5"/>
  <c r="V2464" i="5"/>
  <c r="U2464" i="5"/>
  <c r="T2464" i="5"/>
  <c r="S2464" i="5"/>
  <c r="R2464" i="5"/>
  <c r="Q2464" i="5"/>
  <c r="P2464" i="5"/>
  <c r="V2463" i="5"/>
  <c r="U2463" i="5"/>
  <c r="T2463" i="5"/>
  <c r="S2463" i="5"/>
  <c r="R2463" i="5"/>
  <c r="Q2463" i="5"/>
  <c r="P2463" i="5"/>
  <c r="O2463" i="5"/>
  <c r="N2463" i="5"/>
  <c r="M2463" i="5"/>
  <c r="L2463" i="5"/>
  <c r="K2463" i="5"/>
  <c r="J2463" i="5"/>
  <c r="I2463" i="5"/>
  <c r="H2463" i="5"/>
  <c r="U2462" i="5"/>
  <c r="T2462" i="5"/>
  <c r="S2462" i="5"/>
  <c r="R2462" i="5"/>
  <c r="Q2462" i="5"/>
  <c r="P2462" i="5"/>
  <c r="O2462" i="5"/>
  <c r="N2462" i="5"/>
  <c r="M2462" i="5"/>
  <c r="L2462" i="5"/>
  <c r="K2462" i="5"/>
  <c r="J2462" i="5"/>
  <c r="I2462" i="5"/>
  <c r="H2462" i="5"/>
  <c r="V2461" i="5"/>
  <c r="U2461" i="5"/>
  <c r="T2461" i="5"/>
  <c r="S2461" i="5"/>
  <c r="R2461" i="5"/>
  <c r="Q2461" i="5"/>
  <c r="P2461" i="5"/>
  <c r="O2461" i="5"/>
  <c r="N2461" i="5"/>
  <c r="M2461" i="5"/>
  <c r="L2461" i="5"/>
  <c r="K2461" i="5"/>
  <c r="J2461" i="5"/>
  <c r="I2461" i="5"/>
  <c r="H2461" i="5"/>
  <c r="V2460" i="5"/>
  <c r="O2460" i="5"/>
  <c r="N2460" i="5"/>
  <c r="M2460" i="5"/>
  <c r="L2460" i="5"/>
  <c r="K2460" i="5"/>
  <c r="J2460" i="5"/>
  <c r="I2460" i="5"/>
  <c r="H2460" i="5"/>
  <c r="V2459" i="5"/>
  <c r="U2459" i="5"/>
  <c r="T2459" i="5"/>
  <c r="S2459" i="5"/>
  <c r="R2459" i="5"/>
  <c r="Q2459" i="5"/>
  <c r="P2459" i="5"/>
  <c r="O2459" i="5"/>
  <c r="N2459" i="5"/>
  <c r="M2459" i="5"/>
  <c r="L2459" i="5"/>
  <c r="K2459" i="5"/>
  <c r="J2459" i="5"/>
  <c r="I2459" i="5"/>
  <c r="H2459" i="5"/>
  <c r="V2458" i="5"/>
  <c r="U2458" i="5"/>
  <c r="T2458" i="5"/>
  <c r="S2458" i="5"/>
  <c r="R2458" i="5"/>
  <c r="Q2458" i="5"/>
  <c r="P2458" i="5"/>
  <c r="O2458" i="5"/>
  <c r="N2458" i="5"/>
  <c r="M2458" i="5"/>
  <c r="L2458" i="5"/>
  <c r="K2458" i="5"/>
  <c r="J2458" i="5"/>
  <c r="I2458" i="5"/>
  <c r="H2458" i="5"/>
  <c r="V2457" i="5"/>
  <c r="U2457" i="5"/>
  <c r="T2457" i="5"/>
  <c r="S2457" i="5"/>
  <c r="R2457" i="5"/>
  <c r="Q2457" i="5"/>
  <c r="P2457" i="5"/>
  <c r="O2457" i="5"/>
  <c r="N2457" i="5"/>
  <c r="M2457" i="5"/>
  <c r="L2457" i="5"/>
  <c r="K2457" i="5"/>
  <c r="J2457" i="5"/>
  <c r="I2457" i="5"/>
  <c r="H2457" i="5"/>
  <c r="V2456" i="5"/>
  <c r="U2456" i="5"/>
  <c r="T2456" i="5"/>
  <c r="S2456" i="5"/>
  <c r="R2456" i="5"/>
  <c r="Q2456" i="5"/>
  <c r="P2456" i="5"/>
  <c r="O2456" i="5"/>
  <c r="N2456" i="5"/>
  <c r="M2456" i="5"/>
  <c r="L2456" i="5"/>
  <c r="K2456" i="5"/>
  <c r="J2456" i="5"/>
  <c r="I2456" i="5"/>
  <c r="H2456" i="5"/>
  <c r="V2455" i="5"/>
  <c r="U2455" i="5"/>
  <c r="T2455" i="5"/>
  <c r="S2455" i="5"/>
  <c r="R2455" i="5"/>
  <c r="Q2455" i="5"/>
  <c r="P2455" i="5"/>
  <c r="O2455" i="5"/>
  <c r="N2455" i="5"/>
  <c r="M2455" i="5"/>
  <c r="L2455" i="5"/>
  <c r="K2455" i="5"/>
  <c r="J2455" i="5"/>
  <c r="I2455" i="5"/>
  <c r="H2455" i="5"/>
  <c r="V2454" i="5"/>
  <c r="U2454" i="5"/>
  <c r="T2454" i="5"/>
  <c r="S2454" i="5"/>
  <c r="R2454" i="5"/>
  <c r="Q2454" i="5"/>
  <c r="P2454" i="5"/>
  <c r="V2453" i="5"/>
  <c r="U2453" i="5"/>
  <c r="T2453" i="5"/>
  <c r="S2453" i="5"/>
  <c r="R2453" i="5"/>
  <c r="Q2453" i="5"/>
  <c r="P2453" i="5"/>
  <c r="O2453" i="5"/>
  <c r="N2453" i="5"/>
  <c r="M2453" i="5"/>
  <c r="L2453" i="5"/>
  <c r="K2453" i="5"/>
  <c r="J2453" i="5"/>
  <c r="I2453" i="5"/>
  <c r="H2453" i="5"/>
  <c r="U2452" i="5"/>
  <c r="T2452" i="5"/>
  <c r="S2452" i="5"/>
  <c r="R2452" i="5"/>
  <c r="Q2452" i="5"/>
  <c r="P2452" i="5"/>
  <c r="O2452" i="5"/>
  <c r="N2452" i="5"/>
  <c r="M2452" i="5"/>
  <c r="L2452" i="5"/>
  <c r="K2452" i="5"/>
  <c r="J2452" i="5"/>
  <c r="I2452" i="5"/>
  <c r="H2452" i="5"/>
  <c r="V2451" i="5"/>
  <c r="U2451" i="5"/>
  <c r="T2451" i="5"/>
  <c r="S2451" i="5"/>
  <c r="R2451" i="5"/>
  <c r="Q2451" i="5"/>
  <c r="P2451" i="5"/>
  <c r="O2451" i="5"/>
  <c r="N2451" i="5"/>
  <c r="M2451" i="5"/>
  <c r="L2451" i="5"/>
  <c r="K2451" i="5"/>
  <c r="J2451" i="5"/>
  <c r="I2451" i="5"/>
  <c r="H2451" i="5"/>
  <c r="V2450" i="5"/>
  <c r="O2450" i="5"/>
  <c r="N2450" i="5"/>
  <c r="M2450" i="5"/>
  <c r="L2450" i="5"/>
  <c r="K2450" i="5"/>
  <c r="J2450" i="5"/>
  <c r="I2450" i="5"/>
  <c r="H2450" i="5"/>
  <c r="V2449" i="5"/>
  <c r="U2449" i="5"/>
  <c r="T2449" i="5"/>
  <c r="S2449" i="5"/>
  <c r="R2449" i="5"/>
  <c r="Q2449" i="5"/>
  <c r="P2449" i="5"/>
  <c r="O2449" i="5"/>
  <c r="N2449" i="5"/>
  <c r="M2449" i="5"/>
  <c r="L2449" i="5"/>
  <c r="K2449" i="5"/>
  <c r="J2449" i="5"/>
  <c r="I2449" i="5"/>
  <c r="H2449" i="5"/>
  <c r="V2448" i="5"/>
  <c r="U2448" i="5"/>
  <c r="T2448" i="5"/>
  <c r="S2448" i="5"/>
  <c r="R2448" i="5"/>
  <c r="Q2448" i="5"/>
  <c r="P2448" i="5"/>
  <c r="O2448" i="5"/>
  <c r="N2448" i="5"/>
  <c r="M2448" i="5"/>
  <c r="L2448" i="5"/>
  <c r="K2448" i="5"/>
  <c r="J2448" i="5"/>
  <c r="I2448" i="5"/>
  <c r="H2448" i="5"/>
  <c r="V2447" i="5"/>
  <c r="U2447" i="5"/>
  <c r="T2447" i="5"/>
  <c r="S2447" i="5"/>
  <c r="R2447" i="5"/>
  <c r="Q2447" i="5"/>
  <c r="P2447" i="5"/>
  <c r="O2447" i="5"/>
  <c r="N2447" i="5"/>
  <c r="M2447" i="5"/>
  <c r="L2447" i="5"/>
  <c r="K2447" i="5"/>
  <c r="J2447" i="5"/>
  <c r="I2447" i="5"/>
  <c r="H2447" i="5"/>
  <c r="V2446" i="5"/>
  <c r="U2446" i="5"/>
  <c r="T2446" i="5"/>
  <c r="S2446" i="5"/>
  <c r="R2446" i="5"/>
  <c r="Q2446" i="5"/>
  <c r="P2446" i="5"/>
  <c r="O2446" i="5"/>
  <c r="N2446" i="5"/>
  <c r="M2446" i="5"/>
  <c r="L2446" i="5"/>
  <c r="K2446" i="5"/>
  <c r="J2446" i="5"/>
  <c r="I2446" i="5"/>
  <c r="H2446" i="5"/>
  <c r="V2445" i="5"/>
  <c r="U2445" i="5"/>
  <c r="T2445" i="5"/>
  <c r="S2445" i="5"/>
  <c r="R2445" i="5"/>
  <c r="Q2445" i="5"/>
  <c r="P2445" i="5"/>
  <c r="O2445" i="5"/>
  <c r="N2445" i="5"/>
  <c r="M2445" i="5"/>
  <c r="L2445" i="5"/>
  <c r="K2445" i="5"/>
  <c r="J2445" i="5"/>
  <c r="I2445" i="5"/>
  <c r="H2445" i="5"/>
  <c r="V2444" i="5"/>
  <c r="U2444" i="5"/>
  <c r="T2444" i="5"/>
  <c r="S2444" i="5"/>
  <c r="R2444" i="5"/>
  <c r="Q2444" i="5"/>
  <c r="P2444" i="5"/>
  <c r="V2443" i="5"/>
  <c r="U2443" i="5"/>
  <c r="T2443" i="5"/>
  <c r="S2443" i="5"/>
  <c r="R2443" i="5"/>
  <c r="Q2443" i="5"/>
  <c r="P2443" i="5"/>
  <c r="O2443" i="5"/>
  <c r="N2443" i="5"/>
  <c r="M2443" i="5"/>
  <c r="L2443" i="5"/>
  <c r="K2443" i="5"/>
  <c r="J2443" i="5"/>
  <c r="I2443" i="5"/>
  <c r="H2443" i="5"/>
  <c r="U2442" i="5"/>
  <c r="T2442" i="5"/>
  <c r="S2442" i="5"/>
  <c r="R2442" i="5"/>
  <c r="Q2442" i="5"/>
  <c r="P2442" i="5"/>
  <c r="O2442" i="5"/>
  <c r="N2442" i="5"/>
  <c r="M2442" i="5"/>
  <c r="L2442" i="5"/>
  <c r="K2442" i="5"/>
  <c r="J2442" i="5"/>
  <c r="I2442" i="5"/>
  <c r="H2442" i="5"/>
  <c r="V2441" i="5"/>
  <c r="U2441" i="5"/>
  <c r="T2441" i="5"/>
  <c r="S2441" i="5"/>
  <c r="R2441" i="5"/>
  <c r="Q2441" i="5"/>
  <c r="P2441" i="5"/>
  <c r="O2441" i="5"/>
  <c r="N2441" i="5"/>
  <c r="M2441" i="5"/>
  <c r="L2441" i="5"/>
  <c r="K2441" i="5"/>
  <c r="J2441" i="5"/>
  <c r="I2441" i="5"/>
  <c r="H2441" i="5"/>
  <c r="V2440" i="5"/>
  <c r="O2440" i="5"/>
  <c r="N2440" i="5"/>
  <c r="M2440" i="5"/>
  <c r="L2440" i="5"/>
  <c r="K2440" i="5"/>
  <c r="J2440" i="5"/>
  <c r="I2440" i="5"/>
  <c r="H2440" i="5"/>
  <c r="V2439" i="5"/>
  <c r="U2439" i="5"/>
  <c r="T2439" i="5"/>
  <c r="S2439" i="5"/>
  <c r="R2439" i="5"/>
  <c r="Q2439" i="5"/>
  <c r="P2439" i="5"/>
  <c r="O2439" i="5"/>
  <c r="N2439" i="5"/>
  <c r="M2439" i="5"/>
  <c r="L2439" i="5"/>
  <c r="K2439" i="5"/>
  <c r="J2439" i="5"/>
  <c r="I2439" i="5"/>
  <c r="H2439" i="5"/>
  <c r="V2438" i="5"/>
  <c r="U2438" i="5"/>
  <c r="T2438" i="5"/>
  <c r="S2438" i="5"/>
  <c r="R2438" i="5"/>
  <c r="Q2438" i="5"/>
  <c r="P2438" i="5"/>
  <c r="O2438" i="5"/>
  <c r="N2438" i="5"/>
  <c r="M2438" i="5"/>
  <c r="L2438" i="5"/>
  <c r="K2438" i="5"/>
  <c r="J2438" i="5"/>
  <c r="I2438" i="5"/>
  <c r="H2438" i="5"/>
  <c r="V2437" i="5"/>
  <c r="U2437" i="5"/>
  <c r="T2437" i="5"/>
  <c r="S2437" i="5"/>
  <c r="R2437" i="5"/>
  <c r="Q2437" i="5"/>
  <c r="P2437" i="5"/>
  <c r="O2437" i="5"/>
  <c r="N2437" i="5"/>
  <c r="M2437" i="5"/>
  <c r="L2437" i="5"/>
  <c r="K2437" i="5"/>
  <c r="J2437" i="5"/>
  <c r="I2437" i="5"/>
  <c r="H2437" i="5"/>
  <c r="V2436" i="5"/>
  <c r="U2436" i="5"/>
  <c r="T2436" i="5"/>
  <c r="S2436" i="5"/>
  <c r="R2436" i="5"/>
  <c r="Q2436" i="5"/>
  <c r="P2436" i="5"/>
  <c r="O2436" i="5"/>
  <c r="N2436" i="5"/>
  <c r="M2436" i="5"/>
  <c r="L2436" i="5"/>
  <c r="K2436" i="5"/>
  <c r="J2436" i="5"/>
  <c r="I2436" i="5"/>
  <c r="H2436" i="5"/>
  <c r="V2435" i="5"/>
  <c r="U2435" i="5"/>
  <c r="T2435" i="5"/>
  <c r="S2435" i="5"/>
  <c r="R2435" i="5"/>
  <c r="Q2435" i="5"/>
  <c r="P2435" i="5"/>
  <c r="O2435" i="5"/>
  <c r="N2435" i="5"/>
  <c r="M2435" i="5"/>
  <c r="L2435" i="5"/>
  <c r="K2435" i="5"/>
  <c r="J2435" i="5"/>
  <c r="I2435" i="5"/>
  <c r="H2435" i="5"/>
  <c r="V2434" i="5"/>
  <c r="U2434" i="5"/>
  <c r="T2434" i="5"/>
  <c r="S2434" i="5"/>
  <c r="R2434" i="5"/>
  <c r="Q2434" i="5"/>
  <c r="P2434" i="5"/>
  <c r="V2433" i="5"/>
  <c r="U2433" i="5"/>
  <c r="T2433" i="5"/>
  <c r="S2433" i="5"/>
  <c r="R2433" i="5"/>
  <c r="Q2433" i="5"/>
  <c r="P2433" i="5"/>
  <c r="O2433" i="5"/>
  <c r="N2433" i="5"/>
  <c r="M2433" i="5"/>
  <c r="L2433" i="5"/>
  <c r="K2433" i="5"/>
  <c r="J2433" i="5"/>
  <c r="I2433" i="5"/>
  <c r="H2433" i="5"/>
  <c r="U2432" i="5"/>
  <c r="T2432" i="5"/>
  <c r="S2432" i="5"/>
  <c r="R2432" i="5"/>
  <c r="Q2432" i="5"/>
  <c r="P2432" i="5"/>
  <c r="O2432" i="5"/>
  <c r="N2432" i="5"/>
  <c r="M2432" i="5"/>
  <c r="L2432" i="5"/>
  <c r="K2432" i="5"/>
  <c r="J2432" i="5"/>
  <c r="I2432" i="5"/>
  <c r="H2432" i="5"/>
  <c r="V2431" i="5"/>
  <c r="U2431" i="5"/>
  <c r="T2431" i="5"/>
  <c r="S2431" i="5"/>
  <c r="R2431" i="5"/>
  <c r="Q2431" i="5"/>
  <c r="P2431" i="5"/>
  <c r="O2431" i="5"/>
  <c r="N2431" i="5"/>
  <c r="M2431" i="5"/>
  <c r="L2431" i="5"/>
  <c r="K2431" i="5"/>
  <c r="J2431" i="5"/>
  <c r="I2431" i="5"/>
  <c r="H2431" i="5"/>
  <c r="V2430" i="5"/>
  <c r="O2430" i="5"/>
  <c r="N2430" i="5"/>
  <c r="M2430" i="5"/>
  <c r="L2430" i="5"/>
  <c r="K2430" i="5"/>
  <c r="J2430" i="5"/>
  <c r="I2430" i="5"/>
  <c r="H2430" i="5"/>
  <c r="V2429" i="5"/>
  <c r="U2429" i="5"/>
  <c r="T2429" i="5"/>
  <c r="S2429" i="5"/>
  <c r="R2429" i="5"/>
  <c r="Q2429" i="5"/>
  <c r="P2429" i="5"/>
  <c r="O2429" i="5"/>
  <c r="N2429" i="5"/>
  <c r="M2429" i="5"/>
  <c r="L2429" i="5"/>
  <c r="K2429" i="5"/>
  <c r="J2429" i="5"/>
  <c r="I2429" i="5"/>
  <c r="H2429" i="5"/>
  <c r="V2428" i="5"/>
  <c r="U2428" i="5"/>
  <c r="T2428" i="5"/>
  <c r="S2428" i="5"/>
  <c r="R2428" i="5"/>
  <c r="Q2428" i="5"/>
  <c r="P2428" i="5"/>
  <c r="O2428" i="5"/>
  <c r="N2428" i="5"/>
  <c r="M2428" i="5"/>
  <c r="L2428" i="5"/>
  <c r="K2428" i="5"/>
  <c r="J2428" i="5"/>
  <c r="I2428" i="5"/>
  <c r="H2428" i="5"/>
  <c r="V2427" i="5"/>
  <c r="U2427" i="5"/>
  <c r="T2427" i="5"/>
  <c r="S2427" i="5"/>
  <c r="R2427" i="5"/>
  <c r="Q2427" i="5"/>
  <c r="P2427" i="5"/>
  <c r="O2427" i="5"/>
  <c r="N2427" i="5"/>
  <c r="M2427" i="5"/>
  <c r="L2427" i="5"/>
  <c r="K2427" i="5"/>
  <c r="J2427" i="5"/>
  <c r="I2427" i="5"/>
  <c r="H2427" i="5"/>
  <c r="V2426" i="5"/>
  <c r="U2426" i="5"/>
  <c r="T2426" i="5"/>
  <c r="S2426" i="5"/>
  <c r="R2426" i="5"/>
  <c r="Q2426" i="5"/>
  <c r="P2426" i="5"/>
  <c r="O2426" i="5"/>
  <c r="N2426" i="5"/>
  <c r="M2426" i="5"/>
  <c r="L2426" i="5"/>
  <c r="K2426" i="5"/>
  <c r="J2426" i="5"/>
  <c r="I2426" i="5"/>
  <c r="H2426" i="5"/>
  <c r="V2425" i="5"/>
  <c r="U2425" i="5"/>
  <c r="T2425" i="5"/>
  <c r="S2425" i="5"/>
  <c r="R2425" i="5"/>
  <c r="Q2425" i="5"/>
  <c r="P2425" i="5"/>
  <c r="O2425" i="5"/>
  <c r="N2425" i="5"/>
  <c r="M2425" i="5"/>
  <c r="L2425" i="5"/>
  <c r="K2425" i="5"/>
  <c r="J2425" i="5"/>
  <c r="I2425" i="5"/>
  <c r="H2425" i="5"/>
  <c r="V2424" i="5"/>
  <c r="U2424" i="5"/>
  <c r="T2424" i="5"/>
  <c r="S2424" i="5"/>
  <c r="R2424" i="5"/>
  <c r="Q2424" i="5"/>
  <c r="P2424" i="5"/>
  <c r="V2423" i="5"/>
  <c r="U2423" i="5"/>
  <c r="T2423" i="5"/>
  <c r="S2423" i="5"/>
  <c r="R2423" i="5"/>
  <c r="Q2423" i="5"/>
  <c r="P2423" i="5"/>
  <c r="O2423" i="5"/>
  <c r="N2423" i="5"/>
  <c r="M2423" i="5"/>
  <c r="L2423" i="5"/>
  <c r="K2423" i="5"/>
  <c r="J2423" i="5"/>
  <c r="I2423" i="5"/>
  <c r="H2423" i="5"/>
  <c r="U2422" i="5"/>
  <c r="T2422" i="5"/>
  <c r="S2422" i="5"/>
  <c r="R2422" i="5"/>
  <c r="Q2422" i="5"/>
  <c r="P2422" i="5"/>
  <c r="O2422" i="5"/>
  <c r="N2422" i="5"/>
  <c r="M2422" i="5"/>
  <c r="L2422" i="5"/>
  <c r="K2422" i="5"/>
  <c r="J2422" i="5"/>
  <c r="I2422" i="5"/>
  <c r="H2422" i="5"/>
  <c r="V2421" i="5"/>
  <c r="U2421" i="5"/>
  <c r="T2421" i="5"/>
  <c r="S2421" i="5"/>
  <c r="R2421" i="5"/>
  <c r="Q2421" i="5"/>
  <c r="P2421" i="5"/>
  <c r="O2421" i="5"/>
  <c r="N2421" i="5"/>
  <c r="M2421" i="5"/>
  <c r="L2421" i="5"/>
  <c r="K2421" i="5"/>
  <c r="J2421" i="5"/>
  <c r="I2421" i="5"/>
  <c r="H2421" i="5"/>
  <c r="V2420" i="5"/>
  <c r="O2420" i="5"/>
  <c r="N2420" i="5"/>
  <c r="M2420" i="5"/>
  <c r="L2420" i="5"/>
  <c r="K2420" i="5"/>
  <c r="J2420" i="5"/>
  <c r="I2420" i="5"/>
  <c r="H2420" i="5"/>
  <c r="V2419" i="5"/>
  <c r="U2419" i="5"/>
  <c r="T2419" i="5"/>
  <c r="S2419" i="5"/>
  <c r="R2419" i="5"/>
  <c r="Q2419" i="5"/>
  <c r="P2419" i="5"/>
  <c r="O2419" i="5"/>
  <c r="N2419" i="5"/>
  <c r="M2419" i="5"/>
  <c r="L2419" i="5"/>
  <c r="K2419" i="5"/>
  <c r="J2419" i="5"/>
  <c r="I2419" i="5"/>
  <c r="H2419" i="5"/>
  <c r="V2418" i="5"/>
  <c r="U2418" i="5"/>
  <c r="T2418" i="5"/>
  <c r="S2418" i="5"/>
  <c r="R2418" i="5"/>
  <c r="Q2418" i="5"/>
  <c r="P2418" i="5"/>
  <c r="O2418" i="5"/>
  <c r="N2418" i="5"/>
  <c r="M2418" i="5"/>
  <c r="L2418" i="5"/>
  <c r="K2418" i="5"/>
  <c r="J2418" i="5"/>
  <c r="I2418" i="5"/>
  <c r="H2418" i="5"/>
  <c r="V2417" i="5"/>
  <c r="U2417" i="5"/>
  <c r="T2417" i="5"/>
  <c r="S2417" i="5"/>
  <c r="R2417" i="5"/>
  <c r="Q2417" i="5"/>
  <c r="P2417" i="5"/>
  <c r="O2417" i="5"/>
  <c r="N2417" i="5"/>
  <c r="M2417" i="5"/>
  <c r="L2417" i="5"/>
  <c r="K2417" i="5"/>
  <c r="J2417" i="5"/>
  <c r="I2417" i="5"/>
  <c r="H2417" i="5"/>
  <c r="V2416" i="5"/>
  <c r="U2416" i="5"/>
  <c r="T2416" i="5"/>
  <c r="S2416" i="5"/>
  <c r="R2416" i="5"/>
  <c r="Q2416" i="5"/>
  <c r="P2416" i="5"/>
  <c r="O2416" i="5"/>
  <c r="N2416" i="5"/>
  <c r="M2416" i="5"/>
  <c r="L2416" i="5"/>
  <c r="K2416" i="5"/>
  <c r="J2416" i="5"/>
  <c r="I2416" i="5"/>
  <c r="H2416" i="5"/>
  <c r="V2415" i="5"/>
  <c r="U2415" i="5"/>
  <c r="T2415" i="5"/>
  <c r="S2415" i="5"/>
  <c r="R2415" i="5"/>
  <c r="Q2415" i="5"/>
  <c r="P2415" i="5"/>
  <c r="O2415" i="5"/>
  <c r="N2415" i="5"/>
  <c r="M2415" i="5"/>
  <c r="L2415" i="5"/>
  <c r="K2415" i="5"/>
  <c r="J2415" i="5"/>
  <c r="I2415" i="5"/>
  <c r="H2415" i="5"/>
  <c r="V2414" i="5"/>
  <c r="U2414" i="5"/>
  <c r="T2414" i="5"/>
  <c r="S2414" i="5"/>
  <c r="R2414" i="5"/>
  <c r="Q2414" i="5"/>
  <c r="P2414" i="5"/>
  <c r="V2413" i="5"/>
  <c r="U2413" i="5"/>
  <c r="T2413" i="5"/>
  <c r="S2413" i="5"/>
  <c r="R2413" i="5"/>
  <c r="Q2413" i="5"/>
  <c r="P2413" i="5"/>
  <c r="O2413" i="5"/>
  <c r="N2413" i="5"/>
  <c r="M2413" i="5"/>
  <c r="L2413" i="5"/>
  <c r="K2413" i="5"/>
  <c r="J2413" i="5"/>
  <c r="I2413" i="5"/>
  <c r="H2413" i="5"/>
  <c r="U2412" i="5"/>
  <c r="T2412" i="5"/>
  <c r="S2412" i="5"/>
  <c r="R2412" i="5"/>
  <c r="Q2412" i="5"/>
  <c r="P2412" i="5"/>
  <c r="O2412" i="5"/>
  <c r="N2412" i="5"/>
  <c r="M2412" i="5"/>
  <c r="L2412" i="5"/>
  <c r="K2412" i="5"/>
  <c r="J2412" i="5"/>
  <c r="I2412" i="5"/>
  <c r="H2412" i="5"/>
  <c r="V2411" i="5"/>
  <c r="U2411" i="5"/>
  <c r="T2411" i="5"/>
  <c r="S2411" i="5"/>
  <c r="R2411" i="5"/>
  <c r="Q2411" i="5"/>
  <c r="P2411" i="5"/>
  <c r="O2411" i="5"/>
  <c r="N2411" i="5"/>
  <c r="M2411" i="5"/>
  <c r="L2411" i="5"/>
  <c r="K2411" i="5"/>
  <c r="J2411" i="5"/>
  <c r="I2411" i="5"/>
  <c r="H2411" i="5"/>
  <c r="V2410" i="5"/>
  <c r="O2410" i="5"/>
  <c r="N2410" i="5"/>
  <c r="M2410" i="5"/>
  <c r="L2410" i="5"/>
  <c r="K2410" i="5"/>
  <c r="J2410" i="5"/>
  <c r="I2410" i="5"/>
  <c r="H2410" i="5"/>
  <c r="V2409" i="5"/>
  <c r="U2409" i="5"/>
  <c r="T2409" i="5"/>
  <c r="S2409" i="5"/>
  <c r="R2409" i="5"/>
  <c r="Q2409" i="5"/>
  <c r="P2409" i="5"/>
  <c r="O2409" i="5"/>
  <c r="N2409" i="5"/>
  <c r="M2409" i="5"/>
  <c r="L2409" i="5"/>
  <c r="K2409" i="5"/>
  <c r="J2409" i="5"/>
  <c r="I2409" i="5"/>
  <c r="H2409" i="5"/>
  <c r="V2408" i="5"/>
  <c r="U2408" i="5"/>
  <c r="T2408" i="5"/>
  <c r="S2408" i="5"/>
  <c r="R2408" i="5"/>
  <c r="Q2408" i="5"/>
  <c r="P2408" i="5"/>
  <c r="O2408" i="5"/>
  <c r="N2408" i="5"/>
  <c r="M2408" i="5"/>
  <c r="L2408" i="5"/>
  <c r="K2408" i="5"/>
  <c r="J2408" i="5"/>
  <c r="I2408" i="5"/>
  <c r="H2408" i="5"/>
  <c r="V2407" i="5"/>
  <c r="U2407" i="5"/>
  <c r="T2407" i="5"/>
  <c r="S2407" i="5"/>
  <c r="R2407" i="5"/>
  <c r="Q2407" i="5"/>
  <c r="P2407" i="5"/>
  <c r="O2407" i="5"/>
  <c r="N2407" i="5"/>
  <c r="M2407" i="5"/>
  <c r="L2407" i="5"/>
  <c r="K2407" i="5"/>
  <c r="J2407" i="5"/>
  <c r="I2407" i="5"/>
  <c r="H2407" i="5"/>
  <c r="V2406" i="5"/>
  <c r="U2406" i="5"/>
  <c r="T2406" i="5"/>
  <c r="S2406" i="5"/>
  <c r="R2406" i="5"/>
  <c r="Q2406" i="5"/>
  <c r="P2406" i="5"/>
  <c r="O2406" i="5"/>
  <c r="N2406" i="5"/>
  <c r="M2406" i="5"/>
  <c r="L2406" i="5"/>
  <c r="K2406" i="5"/>
  <c r="J2406" i="5"/>
  <c r="I2406" i="5"/>
  <c r="H2406" i="5"/>
  <c r="V2405" i="5"/>
  <c r="U2405" i="5"/>
  <c r="T2405" i="5"/>
  <c r="S2405" i="5"/>
  <c r="R2405" i="5"/>
  <c r="Q2405" i="5"/>
  <c r="P2405" i="5"/>
  <c r="O2405" i="5"/>
  <c r="N2405" i="5"/>
  <c r="M2405" i="5"/>
  <c r="L2405" i="5"/>
  <c r="K2405" i="5"/>
  <c r="J2405" i="5"/>
  <c r="I2405" i="5"/>
  <c r="H2405" i="5"/>
  <c r="V2404" i="5"/>
  <c r="U2404" i="5"/>
  <c r="T2404" i="5"/>
  <c r="S2404" i="5"/>
  <c r="R2404" i="5"/>
  <c r="Q2404" i="5"/>
  <c r="P2404" i="5"/>
  <c r="V2403" i="5"/>
  <c r="U2403" i="5"/>
  <c r="T2403" i="5"/>
  <c r="S2403" i="5"/>
  <c r="R2403" i="5"/>
  <c r="Q2403" i="5"/>
  <c r="P2403" i="5"/>
  <c r="O2403" i="5"/>
  <c r="N2403" i="5"/>
  <c r="M2403" i="5"/>
  <c r="L2403" i="5"/>
  <c r="K2403" i="5"/>
  <c r="J2403" i="5"/>
  <c r="I2403" i="5"/>
  <c r="H2403" i="5"/>
  <c r="U2402" i="5"/>
  <c r="T2402" i="5"/>
  <c r="S2402" i="5"/>
  <c r="R2402" i="5"/>
  <c r="Q2402" i="5"/>
  <c r="P2402" i="5"/>
  <c r="O2402" i="5"/>
  <c r="N2402" i="5"/>
  <c r="M2402" i="5"/>
  <c r="L2402" i="5"/>
  <c r="K2402" i="5"/>
  <c r="J2402" i="5"/>
  <c r="I2402" i="5"/>
  <c r="H2402" i="5"/>
  <c r="V2401" i="5"/>
  <c r="U2401" i="5"/>
  <c r="T2401" i="5"/>
  <c r="S2401" i="5"/>
  <c r="R2401" i="5"/>
  <c r="Q2401" i="5"/>
  <c r="P2401" i="5"/>
  <c r="O2401" i="5"/>
  <c r="N2401" i="5"/>
  <c r="M2401" i="5"/>
  <c r="L2401" i="5"/>
  <c r="K2401" i="5"/>
  <c r="J2401" i="5"/>
  <c r="I2401" i="5"/>
  <c r="H2401" i="5"/>
  <c r="V2400" i="5"/>
  <c r="O2400" i="5"/>
  <c r="N2400" i="5"/>
  <c r="M2400" i="5"/>
  <c r="L2400" i="5"/>
  <c r="K2400" i="5"/>
  <c r="J2400" i="5"/>
  <c r="I2400" i="5"/>
  <c r="H2400" i="5"/>
  <c r="V2399" i="5"/>
  <c r="U2399" i="5"/>
  <c r="T2399" i="5"/>
  <c r="S2399" i="5"/>
  <c r="R2399" i="5"/>
  <c r="Q2399" i="5"/>
  <c r="P2399" i="5"/>
  <c r="O2399" i="5"/>
  <c r="N2399" i="5"/>
  <c r="M2399" i="5"/>
  <c r="L2399" i="5"/>
  <c r="K2399" i="5"/>
  <c r="J2399" i="5"/>
  <c r="I2399" i="5"/>
  <c r="H2399" i="5"/>
  <c r="V2398" i="5"/>
  <c r="U2398" i="5"/>
  <c r="T2398" i="5"/>
  <c r="S2398" i="5"/>
  <c r="R2398" i="5"/>
  <c r="Q2398" i="5"/>
  <c r="P2398" i="5"/>
  <c r="O2398" i="5"/>
  <c r="N2398" i="5"/>
  <c r="M2398" i="5"/>
  <c r="L2398" i="5"/>
  <c r="K2398" i="5"/>
  <c r="J2398" i="5"/>
  <c r="I2398" i="5"/>
  <c r="H2398" i="5"/>
  <c r="V2397" i="5"/>
  <c r="U2397" i="5"/>
  <c r="T2397" i="5"/>
  <c r="S2397" i="5"/>
  <c r="R2397" i="5"/>
  <c r="Q2397" i="5"/>
  <c r="P2397" i="5"/>
  <c r="O2397" i="5"/>
  <c r="N2397" i="5"/>
  <c r="M2397" i="5"/>
  <c r="L2397" i="5"/>
  <c r="K2397" i="5"/>
  <c r="J2397" i="5"/>
  <c r="I2397" i="5"/>
  <c r="H2397" i="5"/>
  <c r="V2396" i="5"/>
  <c r="U2396" i="5"/>
  <c r="T2396" i="5"/>
  <c r="S2396" i="5"/>
  <c r="R2396" i="5"/>
  <c r="Q2396" i="5"/>
  <c r="P2396" i="5"/>
  <c r="O2396" i="5"/>
  <c r="N2396" i="5"/>
  <c r="M2396" i="5"/>
  <c r="L2396" i="5"/>
  <c r="K2396" i="5"/>
  <c r="J2396" i="5"/>
  <c r="I2396" i="5"/>
  <c r="H2396" i="5"/>
  <c r="V2395" i="5"/>
  <c r="U2395" i="5"/>
  <c r="T2395" i="5"/>
  <c r="S2395" i="5"/>
  <c r="R2395" i="5"/>
  <c r="Q2395" i="5"/>
  <c r="P2395" i="5"/>
  <c r="O2395" i="5"/>
  <c r="N2395" i="5"/>
  <c r="M2395" i="5"/>
  <c r="L2395" i="5"/>
  <c r="K2395" i="5"/>
  <c r="J2395" i="5"/>
  <c r="I2395" i="5"/>
  <c r="H2395" i="5"/>
  <c r="V2394" i="5"/>
  <c r="U2394" i="5"/>
  <c r="T2394" i="5"/>
  <c r="S2394" i="5"/>
  <c r="R2394" i="5"/>
  <c r="Q2394" i="5"/>
  <c r="P2394" i="5"/>
  <c r="V2393" i="5"/>
  <c r="U2393" i="5"/>
  <c r="T2393" i="5"/>
  <c r="S2393" i="5"/>
  <c r="R2393" i="5"/>
  <c r="Q2393" i="5"/>
  <c r="P2393" i="5"/>
  <c r="O2393" i="5"/>
  <c r="N2393" i="5"/>
  <c r="M2393" i="5"/>
  <c r="L2393" i="5"/>
  <c r="K2393" i="5"/>
  <c r="J2393" i="5"/>
  <c r="I2393" i="5"/>
  <c r="H2393" i="5"/>
  <c r="U2392" i="5"/>
  <c r="T2392" i="5"/>
  <c r="S2392" i="5"/>
  <c r="R2392" i="5"/>
  <c r="Q2392" i="5"/>
  <c r="P2392" i="5"/>
  <c r="O2392" i="5"/>
  <c r="N2392" i="5"/>
  <c r="M2392" i="5"/>
  <c r="L2392" i="5"/>
  <c r="K2392" i="5"/>
  <c r="J2392" i="5"/>
  <c r="I2392" i="5"/>
  <c r="H2392" i="5"/>
  <c r="V2391" i="5"/>
  <c r="U2391" i="5"/>
  <c r="T2391" i="5"/>
  <c r="S2391" i="5"/>
  <c r="R2391" i="5"/>
  <c r="Q2391" i="5"/>
  <c r="P2391" i="5"/>
  <c r="O2391" i="5"/>
  <c r="N2391" i="5"/>
  <c r="M2391" i="5"/>
  <c r="L2391" i="5"/>
  <c r="K2391" i="5"/>
  <c r="J2391" i="5"/>
  <c r="I2391" i="5"/>
  <c r="H2391" i="5"/>
  <c r="V2390" i="5"/>
  <c r="O2390" i="5"/>
  <c r="N2390" i="5"/>
  <c r="M2390" i="5"/>
  <c r="L2390" i="5"/>
  <c r="K2390" i="5"/>
  <c r="J2390" i="5"/>
  <c r="I2390" i="5"/>
  <c r="H2390" i="5"/>
  <c r="V2389" i="5"/>
  <c r="U2389" i="5"/>
  <c r="T2389" i="5"/>
  <c r="S2389" i="5"/>
  <c r="R2389" i="5"/>
  <c r="Q2389" i="5"/>
  <c r="P2389" i="5"/>
  <c r="O2389" i="5"/>
  <c r="N2389" i="5"/>
  <c r="M2389" i="5"/>
  <c r="L2389" i="5"/>
  <c r="K2389" i="5"/>
  <c r="J2389" i="5"/>
  <c r="I2389" i="5"/>
  <c r="H2389" i="5"/>
  <c r="V2388" i="5"/>
  <c r="U2388" i="5"/>
  <c r="T2388" i="5"/>
  <c r="S2388" i="5"/>
  <c r="R2388" i="5"/>
  <c r="Q2388" i="5"/>
  <c r="P2388" i="5"/>
  <c r="O2388" i="5"/>
  <c r="N2388" i="5"/>
  <c r="M2388" i="5"/>
  <c r="L2388" i="5"/>
  <c r="K2388" i="5"/>
  <c r="J2388" i="5"/>
  <c r="I2388" i="5"/>
  <c r="H2388" i="5"/>
  <c r="V2387" i="5"/>
  <c r="U2387" i="5"/>
  <c r="T2387" i="5"/>
  <c r="S2387" i="5"/>
  <c r="R2387" i="5"/>
  <c r="Q2387" i="5"/>
  <c r="P2387" i="5"/>
  <c r="V2386" i="5"/>
  <c r="U2386" i="5"/>
  <c r="T2386" i="5"/>
  <c r="S2386" i="5"/>
  <c r="R2386" i="5"/>
  <c r="Q2386" i="5"/>
  <c r="P2386" i="5"/>
  <c r="U2385" i="5"/>
  <c r="T2385" i="5"/>
  <c r="S2385" i="5"/>
  <c r="R2385" i="5"/>
  <c r="Q2385" i="5"/>
  <c r="P2385" i="5"/>
  <c r="U2384" i="5"/>
  <c r="T2384" i="5"/>
  <c r="S2384" i="5"/>
  <c r="R2384" i="5"/>
  <c r="Q2384" i="5"/>
  <c r="P2384" i="5"/>
  <c r="O2377" i="5"/>
  <c r="N2377" i="5"/>
  <c r="M2377" i="5"/>
  <c r="L2377" i="5"/>
  <c r="K2377" i="5"/>
  <c r="J2377" i="5"/>
  <c r="I2377" i="5"/>
  <c r="H2377" i="5"/>
  <c r="O2376" i="5"/>
  <c r="N2376" i="5"/>
  <c r="M2376" i="5"/>
  <c r="L2376" i="5"/>
  <c r="K2376" i="5"/>
  <c r="J2376" i="5"/>
  <c r="I2376" i="5"/>
  <c r="H2376" i="5"/>
  <c r="V2375" i="5"/>
  <c r="O2375" i="5"/>
  <c r="N2375" i="5"/>
  <c r="M2375" i="5"/>
  <c r="L2375" i="5"/>
  <c r="K2375" i="5"/>
  <c r="J2375" i="5"/>
  <c r="I2375" i="5"/>
  <c r="H2375" i="5"/>
  <c r="V2374" i="5"/>
  <c r="V2373" i="5"/>
  <c r="U2373" i="5"/>
  <c r="T2373" i="5"/>
  <c r="S2373" i="5"/>
  <c r="R2373" i="5"/>
  <c r="Q2373" i="5"/>
  <c r="P2373" i="5"/>
  <c r="O2373" i="5"/>
  <c r="N2373" i="5"/>
  <c r="M2373" i="5"/>
  <c r="L2373" i="5"/>
  <c r="K2373" i="5"/>
  <c r="J2373" i="5"/>
  <c r="I2373" i="5"/>
  <c r="H2373" i="5"/>
  <c r="U2372" i="5"/>
  <c r="T2372" i="5"/>
  <c r="S2372" i="5"/>
  <c r="R2372" i="5"/>
  <c r="Q2372" i="5"/>
  <c r="P2372" i="5"/>
  <c r="O2372" i="5"/>
  <c r="N2372" i="5"/>
  <c r="M2372" i="5"/>
  <c r="L2372" i="5"/>
  <c r="K2372" i="5"/>
  <c r="J2372" i="5"/>
  <c r="I2372" i="5"/>
  <c r="H2372" i="5"/>
  <c r="V2371" i="5"/>
  <c r="U2371" i="5"/>
  <c r="T2371" i="5"/>
  <c r="S2371" i="5"/>
  <c r="R2371" i="5"/>
  <c r="Q2371" i="5"/>
  <c r="P2371" i="5"/>
  <c r="O2371" i="5"/>
  <c r="N2371" i="5"/>
  <c r="M2371" i="5"/>
  <c r="L2371" i="5"/>
  <c r="K2371" i="5"/>
  <c r="J2371" i="5"/>
  <c r="I2371" i="5"/>
  <c r="H2371" i="5"/>
  <c r="V2370" i="5"/>
  <c r="O2370" i="5"/>
  <c r="N2370" i="5"/>
  <c r="M2370" i="5"/>
  <c r="L2370" i="5"/>
  <c r="K2370" i="5"/>
  <c r="J2370" i="5"/>
  <c r="I2370" i="5"/>
  <c r="H2370" i="5"/>
  <c r="V2369" i="5"/>
  <c r="U2369" i="5"/>
  <c r="T2369" i="5"/>
  <c r="S2369" i="5"/>
  <c r="R2369" i="5"/>
  <c r="Q2369" i="5"/>
  <c r="P2369" i="5"/>
  <c r="O2369" i="5"/>
  <c r="N2369" i="5"/>
  <c r="M2369" i="5"/>
  <c r="L2369" i="5"/>
  <c r="K2369" i="5"/>
  <c r="J2369" i="5"/>
  <c r="I2369" i="5"/>
  <c r="H2369" i="5"/>
  <c r="V2368" i="5"/>
  <c r="U2368" i="5"/>
  <c r="T2368" i="5"/>
  <c r="S2368" i="5"/>
  <c r="R2368" i="5"/>
  <c r="Q2368" i="5"/>
  <c r="P2368" i="5"/>
  <c r="O2368" i="5"/>
  <c r="N2368" i="5"/>
  <c r="M2368" i="5"/>
  <c r="L2368" i="5"/>
  <c r="K2368" i="5"/>
  <c r="J2368" i="5"/>
  <c r="I2368" i="5"/>
  <c r="H2368" i="5"/>
  <c r="V2367" i="5"/>
  <c r="U2367" i="5"/>
  <c r="T2367" i="5"/>
  <c r="S2367" i="5"/>
  <c r="R2367" i="5"/>
  <c r="Q2367" i="5"/>
  <c r="P2367" i="5"/>
  <c r="O2367" i="5"/>
  <c r="N2367" i="5"/>
  <c r="M2367" i="5"/>
  <c r="L2367" i="5"/>
  <c r="K2367" i="5"/>
  <c r="J2367" i="5"/>
  <c r="I2367" i="5"/>
  <c r="H2367" i="5"/>
  <c r="V2366" i="5"/>
  <c r="U2366" i="5"/>
  <c r="T2366" i="5"/>
  <c r="S2366" i="5"/>
  <c r="R2366" i="5"/>
  <c r="Q2366" i="5"/>
  <c r="P2366" i="5"/>
  <c r="O2366" i="5"/>
  <c r="N2366" i="5"/>
  <c r="M2366" i="5"/>
  <c r="L2366" i="5"/>
  <c r="K2366" i="5"/>
  <c r="J2366" i="5"/>
  <c r="I2366" i="5"/>
  <c r="H2366" i="5"/>
  <c r="V2365" i="5"/>
  <c r="U2365" i="5"/>
  <c r="T2365" i="5"/>
  <c r="S2365" i="5"/>
  <c r="R2365" i="5"/>
  <c r="Q2365" i="5"/>
  <c r="P2365" i="5"/>
  <c r="O2365" i="5"/>
  <c r="N2365" i="5"/>
  <c r="M2365" i="5"/>
  <c r="L2365" i="5"/>
  <c r="K2365" i="5"/>
  <c r="J2365" i="5"/>
  <c r="I2365" i="5"/>
  <c r="H2365" i="5"/>
  <c r="V2364" i="5"/>
  <c r="U2364" i="5"/>
  <c r="T2364" i="5"/>
  <c r="S2364" i="5"/>
  <c r="R2364" i="5"/>
  <c r="Q2364" i="5"/>
  <c r="P2364" i="5"/>
  <c r="V2363" i="5"/>
  <c r="U2363" i="5"/>
  <c r="T2363" i="5"/>
  <c r="S2363" i="5"/>
  <c r="R2363" i="5"/>
  <c r="Q2363" i="5"/>
  <c r="P2363" i="5"/>
  <c r="O2363" i="5"/>
  <c r="N2363" i="5"/>
  <c r="M2363" i="5"/>
  <c r="L2363" i="5"/>
  <c r="K2363" i="5"/>
  <c r="J2363" i="5"/>
  <c r="I2363" i="5"/>
  <c r="H2363" i="5"/>
  <c r="U2362" i="5"/>
  <c r="T2362" i="5"/>
  <c r="S2362" i="5"/>
  <c r="R2362" i="5"/>
  <c r="Q2362" i="5"/>
  <c r="P2362" i="5"/>
  <c r="O2362" i="5"/>
  <c r="N2362" i="5"/>
  <c r="M2362" i="5"/>
  <c r="L2362" i="5"/>
  <c r="K2362" i="5"/>
  <c r="J2362" i="5"/>
  <c r="I2362" i="5"/>
  <c r="H2362" i="5"/>
  <c r="V2361" i="5"/>
  <c r="U2361" i="5"/>
  <c r="T2361" i="5"/>
  <c r="S2361" i="5"/>
  <c r="R2361" i="5"/>
  <c r="Q2361" i="5"/>
  <c r="P2361" i="5"/>
  <c r="O2361" i="5"/>
  <c r="N2361" i="5"/>
  <c r="M2361" i="5"/>
  <c r="L2361" i="5"/>
  <c r="K2361" i="5"/>
  <c r="J2361" i="5"/>
  <c r="I2361" i="5"/>
  <c r="H2361" i="5"/>
  <c r="V2360" i="5"/>
  <c r="O2360" i="5"/>
  <c r="N2360" i="5"/>
  <c r="M2360" i="5"/>
  <c r="L2360" i="5"/>
  <c r="K2360" i="5"/>
  <c r="J2360" i="5"/>
  <c r="I2360" i="5"/>
  <c r="H2360" i="5"/>
  <c r="V2359" i="5"/>
  <c r="U2359" i="5"/>
  <c r="T2359" i="5"/>
  <c r="S2359" i="5"/>
  <c r="R2359" i="5"/>
  <c r="Q2359" i="5"/>
  <c r="P2359" i="5"/>
  <c r="O2359" i="5"/>
  <c r="N2359" i="5"/>
  <c r="M2359" i="5"/>
  <c r="L2359" i="5"/>
  <c r="K2359" i="5"/>
  <c r="J2359" i="5"/>
  <c r="I2359" i="5"/>
  <c r="H2359" i="5"/>
  <c r="V2358" i="5"/>
  <c r="U2358" i="5"/>
  <c r="T2358" i="5"/>
  <c r="S2358" i="5"/>
  <c r="R2358" i="5"/>
  <c r="Q2358" i="5"/>
  <c r="P2358" i="5"/>
  <c r="O2358" i="5"/>
  <c r="N2358" i="5"/>
  <c r="M2358" i="5"/>
  <c r="L2358" i="5"/>
  <c r="K2358" i="5"/>
  <c r="J2358" i="5"/>
  <c r="I2358" i="5"/>
  <c r="H2358" i="5"/>
  <c r="V2357" i="5"/>
  <c r="U2357" i="5"/>
  <c r="T2357" i="5"/>
  <c r="S2357" i="5"/>
  <c r="R2357" i="5"/>
  <c r="Q2357" i="5"/>
  <c r="P2357" i="5"/>
  <c r="O2357" i="5"/>
  <c r="N2357" i="5"/>
  <c r="M2357" i="5"/>
  <c r="L2357" i="5"/>
  <c r="K2357" i="5"/>
  <c r="J2357" i="5"/>
  <c r="I2357" i="5"/>
  <c r="H2357" i="5"/>
  <c r="V2356" i="5"/>
  <c r="U2356" i="5"/>
  <c r="T2356" i="5"/>
  <c r="S2356" i="5"/>
  <c r="R2356" i="5"/>
  <c r="Q2356" i="5"/>
  <c r="P2356" i="5"/>
  <c r="O2356" i="5"/>
  <c r="N2356" i="5"/>
  <c r="M2356" i="5"/>
  <c r="L2356" i="5"/>
  <c r="K2356" i="5"/>
  <c r="J2356" i="5"/>
  <c r="I2356" i="5"/>
  <c r="H2356" i="5"/>
  <c r="V2355" i="5"/>
  <c r="U2355" i="5"/>
  <c r="T2355" i="5"/>
  <c r="S2355" i="5"/>
  <c r="R2355" i="5"/>
  <c r="Q2355" i="5"/>
  <c r="P2355" i="5"/>
  <c r="O2355" i="5"/>
  <c r="N2355" i="5"/>
  <c r="M2355" i="5"/>
  <c r="L2355" i="5"/>
  <c r="K2355" i="5"/>
  <c r="J2355" i="5"/>
  <c r="I2355" i="5"/>
  <c r="H2355" i="5"/>
  <c r="V2354" i="5"/>
  <c r="U2354" i="5"/>
  <c r="T2354" i="5"/>
  <c r="S2354" i="5"/>
  <c r="R2354" i="5"/>
  <c r="Q2354" i="5"/>
  <c r="P2354" i="5"/>
  <c r="V2353" i="5"/>
  <c r="U2353" i="5"/>
  <c r="T2353" i="5"/>
  <c r="S2353" i="5"/>
  <c r="R2353" i="5"/>
  <c r="Q2353" i="5"/>
  <c r="P2353" i="5"/>
  <c r="O2353" i="5"/>
  <c r="N2353" i="5"/>
  <c r="M2353" i="5"/>
  <c r="L2353" i="5"/>
  <c r="K2353" i="5"/>
  <c r="J2353" i="5"/>
  <c r="I2353" i="5"/>
  <c r="H2353" i="5"/>
  <c r="U2352" i="5"/>
  <c r="T2352" i="5"/>
  <c r="S2352" i="5"/>
  <c r="R2352" i="5"/>
  <c r="Q2352" i="5"/>
  <c r="P2352" i="5"/>
  <c r="O2352" i="5"/>
  <c r="N2352" i="5"/>
  <c r="M2352" i="5"/>
  <c r="L2352" i="5"/>
  <c r="K2352" i="5"/>
  <c r="J2352" i="5"/>
  <c r="I2352" i="5"/>
  <c r="H2352" i="5"/>
  <c r="V2351" i="5"/>
  <c r="U2351" i="5"/>
  <c r="T2351" i="5"/>
  <c r="S2351" i="5"/>
  <c r="R2351" i="5"/>
  <c r="Q2351" i="5"/>
  <c r="P2351" i="5"/>
  <c r="O2351" i="5"/>
  <c r="N2351" i="5"/>
  <c r="M2351" i="5"/>
  <c r="L2351" i="5"/>
  <c r="K2351" i="5"/>
  <c r="J2351" i="5"/>
  <c r="I2351" i="5"/>
  <c r="H2351" i="5"/>
  <c r="V2350" i="5"/>
  <c r="O2350" i="5"/>
  <c r="N2350" i="5"/>
  <c r="M2350" i="5"/>
  <c r="L2350" i="5"/>
  <c r="K2350" i="5"/>
  <c r="J2350" i="5"/>
  <c r="I2350" i="5"/>
  <c r="H2350" i="5"/>
  <c r="V2349" i="5"/>
  <c r="U2349" i="5"/>
  <c r="T2349" i="5"/>
  <c r="S2349" i="5"/>
  <c r="R2349" i="5"/>
  <c r="Q2349" i="5"/>
  <c r="P2349" i="5"/>
  <c r="O2349" i="5"/>
  <c r="N2349" i="5"/>
  <c r="M2349" i="5"/>
  <c r="L2349" i="5"/>
  <c r="K2349" i="5"/>
  <c r="J2349" i="5"/>
  <c r="I2349" i="5"/>
  <c r="H2349" i="5"/>
  <c r="V2348" i="5"/>
  <c r="U2348" i="5"/>
  <c r="T2348" i="5"/>
  <c r="S2348" i="5"/>
  <c r="R2348" i="5"/>
  <c r="Q2348" i="5"/>
  <c r="P2348" i="5"/>
  <c r="O2348" i="5"/>
  <c r="N2348" i="5"/>
  <c r="M2348" i="5"/>
  <c r="L2348" i="5"/>
  <c r="K2348" i="5"/>
  <c r="J2348" i="5"/>
  <c r="I2348" i="5"/>
  <c r="H2348" i="5"/>
  <c r="V2347" i="5"/>
  <c r="U2347" i="5"/>
  <c r="T2347" i="5"/>
  <c r="S2347" i="5"/>
  <c r="R2347" i="5"/>
  <c r="Q2347" i="5"/>
  <c r="P2347" i="5"/>
  <c r="O2347" i="5"/>
  <c r="N2347" i="5"/>
  <c r="M2347" i="5"/>
  <c r="L2347" i="5"/>
  <c r="K2347" i="5"/>
  <c r="J2347" i="5"/>
  <c r="I2347" i="5"/>
  <c r="H2347" i="5"/>
  <c r="V2346" i="5"/>
  <c r="U2346" i="5"/>
  <c r="T2346" i="5"/>
  <c r="S2346" i="5"/>
  <c r="R2346" i="5"/>
  <c r="Q2346" i="5"/>
  <c r="P2346" i="5"/>
  <c r="O2346" i="5"/>
  <c r="N2346" i="5"/>
  <c r="M2346" i="5"/>
  <c r="L2346" i="5"/>
  <c r="K2346" i="5"/>
  <c r="J2346" i="5"/>
  <c r="I2346" i="5"/>
  <c r="H2346" i="5"/>
  <c r="V2345" i="5"/>
  <c r="U2345" i="5"/>
  <c r="T2345" i="5"/>
  <c r="S2345" i="5"/>
  <c r="R2345" i="5"/>
  <c r="Q2345" i="5"/>
  <c r="P2345" i="5"/>
  <c r="O2345" i="5"/>
  <c r="N2345" i="5"/>
  <c r="M2345" i="5"/>
  <c r="L2345" i="5"/>
  <c r="K2345" i="5"/>
  <c r="J2345" i="5"/>
  <c r="I2345" i="5"/>
  <c r="H2345" i="5"/>
  <c r="V2344" i="5"/>
  <c r="U2344" i="5"/>
  <c r="T2344" i="5"/>
  <c r="S2344" i="5"/>
  <c r="R2344" i="5"/>
  <c r="Q2344" i="5"/>
  <c r="P2344" i="5"/>
  <c r="V2343" i="5"/>
  <c r="U2343" i="5"/>
  <c r="T2343" i="5"/>
  <c r="S2343" i="5"/>
  <c r="R2343" i="5"/>
  <c r="Q2343" i="5"/>
  <c r="P2343" i="5"/>
  <c r="O2343" i="5"/>
  <c r="N2343" i="5"/>
  <c r="M2343" i="5"/>
  <c r="L2343" i="5"/>
  <c r="K2343" i="5"/>
  <c r="J2343" i="5"/>
  <c r="I2343" i="5"/>
  <c r="H2343" i="5"/>
  <c r="U2342" i="5"/>
  <c r="T2342" i="5"/>
  <c r="S2342" i="5"/>
  <c r="R2342" i="5"/>
  <c r="Q2342" i="5"/>
  <c r="P2342" i="5"/>
  <c r="O2342" i="5"/>
  <c r="N2342" i="5"/>
  <c r="M2342" i="5"/>
  <c r="L2342" i="5"/>
  <c r="K2342" i="5"/>
  <c r="J2342" i="5"/>
  <c r="I2342" i="5"/>
  <c r="H2342" i="5"/>
  <c r="V2341" i="5"/>
  <c r="U2341" i="5"/>
  <c r="T2341" i="5"/>
  <c r="S2341" i="5"/>
  <c r="R2341" i="5"/>
  <c r="Q2341" i="5"/>
  <c r="P2341" i="5"/>
  <c r="O2341" i="5"/>
  <c r="N2341" i="5"/>
  <c r="M2341" i="5"/>
  <c r="L2341" i="5"/>
  <c r="K2341" i="5"/>
  <c r="J2341" i="5"/>
  <c r="I2341" i="5"/>
  <c r="H2341" i="5"/>
  <c r="V2340" i="5"/>
  <c r="O2340" i="5"/>
  <c r="N2340" i="5"/>
  <c r="M2340" i="5"/>
  <c r="L2340" i="5"/>
  <c r="K2340" i="5"/>
  <c r="J2340" i="5"/>
  <c r="I2340" i="5"/>
  <c r="H2340" i="5"/>
  <c r="V2339" i="5"/>
  <c r="U2339" i="5"/>
  <c r="T2339" i="5"/>
  <c r="S2339" i="5"/>
  <c r="R2339" i="5"/>
  <c r="Q2339" i="5"/>
  <c r="P2339" i="5"/>
  <c r="O2339" i="5"/>
  <c r="N2339" i="5"/>
  <c r="M2339" i="5"/>
  <c r="L2339" i="5"/>
  <c r="K2339" i="5"/>
  <c r="J2339" i="5"/>
  <c r="I2339" i="5"/>
  <c r="H2339" i="5"/>
  <c r="V2338" i="5"/>
  <c r="U2338" i="5"/>
  <c r="T2338" i="5"/>
  <c r="S2338" i="5"/>
  <c r="R2338" i="5"/>
  <c r="Q2338" i="5"/>
  <c r="P2338" i="5"/>
  <c r="O2338" i="5"/>
  <c r="N2338" i="5"/>
  <c r="M2338" i="5"/>
  <c r="L2338" i="5"/>
  <c r="K2338" i="5"/>
  <c r="J2338" i="5"/>
  <c r="I2338" i="5"/>
  <c r="H2338" i="5"/>
  <c r="V2337" i="5"/>
  <c r="U2337" i="5"/>
  <c r="T2337" i="5"/>
  <c r="S2337" i="5"/>
  <c r="R2337" i="5"/>
  <c r="Q2337" i="5"/>
  <c r="P2337" i="5"/>
  <c r="O2337" i="5"/>
  <c r="N2337" i="5"/>
  <c r="M2337" i="5"/>
  <c r="L2337" i="5"/>
  <c r="K2337" i="5"/>
  <c r="J2337" i="5"/>
  <c r="I2337" i="5"/>
  <c r="H2337" i="5"/>
  <c r="V2336" i="5"/>
  <c r="U2336" i="5"/>
  <c r="T2336" i="5"/>
  <c r="S2336" i="5"/>
  <c r="R2336" i="5"/>
  <c r="Q2336" i="5"/>
  <c r="P2336" i="5"/>
  <c r="O2336" i="5"/>
  <c r="N2336" i="5"/>
  <c r="M2336" i="5"/>
  <c r="L2336" i="5"/>
  <c r="K2336" i="5"/>
  <c r="J2336" i="5"/>
  <c r="I2336" i="5"/>
  <c r="H2336" i="5"/>
  <c r="V2335" i="5"/>
  <c r="U2335" i="5"/>
  <c r="T2335" i="5"/>
  <c r="S2335" i="5"/>
  <c r="R2335" i="5"/>
  <c r="Q2335" i="5"/>
  <c r="P2335" i="5"/>
  <c r="O2335" i="5"/>
  <c r="N2335" i="5"/>
  <c r="M2335" i="5"/>
  <c r="L2335" i="5"/>
  <c r="K2335" i="5"/>
  <c r="J2335" i="5"/>
  <c r="I2335" i="5"/>
  <c r="H2335" i="5"/>
  <c r="V2334" i="5"/>
  <c r="U2334" i="5"/>
  <c r="T2334" i="5"/>
  <c r="S2334" i="5"/>
  <c r="R2334" i="5"/>
  <c r="Q2334" i="5"/>
  <c r="P2334" i="5"/>
  <c r="V2333" i="5"/>
  <c r="U2333" i="5"/>
  <c r="T2333" i="5"/>
  <c r="S2333" i="5"/>
  <c r="R2333" i="5"/>
  <c r="Q2333" i="5"/>
  <c r="P2333" i="5"/>
  <c r="O2333" i="5"/>
  <c r="N2333" i="5"/>
  <c r="M2333" i="5"/>
  <c r="L2333" i="5"/>
  <c r="K2333" i="5"/>
  <c r="J2333" i="5"/>
  <c r="I2333" i="5"/>
  <c r="H2333" i="5"/>
  <c r="U2332" i="5"/>
  <c r="T2332" i="5"/>
  <c r="S2332" i="5"/>
  <c r="R2332" i="5"/>
  <c r="Q2332" i="5"/>
  <c r="P2332" i="5"/>
  <c r="O2332" i="5"/>
  <c r="N2332" i="5"/>
  <c r="M2332" i="5"/>
  <c r="L2332" i="5"/>
  <c r="K2332" i="5"/>
  <c r="J2332" i="5"/>
  <c r="I2332" i="5"/>
  <c r="H2332" i="5"/>
  <c r="V2331" i="5"/>
  <c r="U2331" i="5"/>
  <c r="T2331" i="5"/>
  <c r="S2331" i="5"/>
  <c r="R2331" i="5"/>
  <c r="Q2331" i="5"/>
  <c r="P2331" i="5"/>
  <c r="O2331" i="5"/>
  <c r="N2331" i="5"/>
  <c r="M2331" i="5"/>
  <c r="L2331" i="5"/>
  <c r="K2331" i="5"/>
  <c r="J2331" i="5"/>
  <c r="I2331" i="5"/>
  <c r="H2331" i="5"/>
  <c r="V2330" i="5"/>
  <c r="O2330" i="5"/>
  <c r="N2330" i="5"/>
  <c r="M2330" i="5"/>
  <c r="L2330" i="5"/>
  <c r="K2330" i="5"/>
  <c r="J2330" i="5"/>
  <c r="I2330" i="5"/>
  <c r="H2330" i="5"/>
  <c r="V2329" i="5"/>
  <c r="U2329" i="5"/>
  <c r="T2329" i="5"/>
  <c r="S2329" i="5"/>
  <c r="R2329" i="5"/>
  <c r="Q2329" i="5"/>
  <c r="P2329" i="5"/>
  <c r="O2329" i="5"/>
  <c r="N2329" i="5"/>
  <c r="M2329" i="5"/>
  <c r="L2329" i="5"/>
  <c r="K2329" i="5"/>
  <c r="J2329" i="5"/>
  <c r="I2329" i="5"/>
  <c r="H2329" i="5"/>
  <c r="V2328" i="5"/>
  <c r="U2328" i="5"/>
  <c r="T2328" i="5"/>
  <c r="S2328" i="5"/>
  <c r="R2328" i="5"/>
  <c r="Q2328" i="5"/>
  <c r="P2328" i="5"/>
  <c r="O2328" i="5"/>
  <c r="N2328" i="5"/>
  <c r="M2328" i="5"/>
  <c r="L2328" i="5"/>
  <c r="K2328" i="5"/>
  <c r="J2328" i="5"/>
  <c r="I2328" i="5"/>
  <c r="H2328" i="5"/>
  <c r="V2327" i="5"/>
  <c r="U2327" i="5"/>
  <c r="T2327" i="5"/>
  <c r="S2327" i="5"/>
  <c r="R2327" i="5"/>
  <c r="Q2327" i="5"/>
  <c r="P2327" i="5"/>
  <c r="O2327" i="5"/>
  <c r="N2327" i="5"/>
  <c r="M2327" i="5"/>
  <c r="L2327" i="5"/>
  <c r="K2327" i="5"/>
  <c r="J2327" i="5"/>
  <c r="I2327" i="5"/>
  <c r="H2327" i="5"/>
  <c r="V2326" i="5"/>
  <c r="U2326" i="5"/>
  <c r="T2326" i="5"/>
  <c r="S2326" i="5"/>
  <c r="R2326" i="5"/>
  <c r="Q2326" i="5"/>
  <c r="P2326" i="5"/>
  <c r="O2326" i="5"/>
  <c r="N2326" i="5"/>
  <c r="M2326" i="5"/>
  <c r="L2326" i="5"/>
  <c r="K2326" i="5"/>
  <c r="J2326" i="5"/>
  <c r="I2326" i="5"/>
  <c r="H2326" i="5"/>
  <c r="V2325" i="5"/>
  <c r="U2325" i="5"/>
  <c r="T2325" i="5"/>
  <c r="S2325" i="5"/>
  <c r="R2325" i="5"/>
  <c r="Q2325" i="5"/>
  <c r="P2325" i="5"/>
  <c r="O2325" i="5"/>
  <c r="N2325" i="5"/>
  <c r="M2325" i="5"/>
  <c r="L2325" i="5"/>
  <c r="K2325" i="5"/>
  <c r="J2325" i="5"/>
  <c r="I2325" i="5"/>
  <c r="H2325" i="5"/>
  <c r="V2324" i="5"/>
  <c r="U2324" i="5"/>
  <c r="T2324" i="5"/>
  <c r="S2324" i="5"/>
  <c r="R2324" i="5"/>
  <c r="Q2324" i="5"/>
  <c r="P2324" i="5"/>
  <c r="V2323" i="5"/>
  <c r="U2323" i="5"/>
  <c r="T2323" i="5"/>
  <c r="S2323" i="5"/>
  <c r="R2323" i="5"/>
  <c r="Q2323" i="5"/>
  <c r="P2323" i="5"/>
  <c r="O2323" i="5"/>
  <c r="N2323" i="5"/>
  <c r="M2323" i="5"/>
  <c r="L2323" i="5"/>
  <c r="K2323" i="5"/>
  <c r="J2323" i="5"/>
  <c r="I2323" i="5"/>
  <c r="H2323" i="5"/>
  <c r="U2322" i="5"/>
  <c r="T2322" i="5"/>
  <c r="S2322" i="5"/>
  <c r="R2322" i="5"/>
  <c r="Q2322" i="5"/>
  <c r="P2322" i="5"/>
  <c r="O2322" i="5"/>
  <c r="N2322" i="5"/>
  <c r="M2322" i="5"/>
  <c r="L2322" i="5"/>
  <c r="K2322" i="5"/>
  <c r="J2322" i="5"/>
  <c r="I2322" i="5"/>
  <c r="H2322" i="5"/>
  <c r="V2321" i="5"/>
  <c r="U2321" i="5"/>
  <c r="T2321" i="5"/>
  <c r="S2321" i="5"/>
  <c r="R2321" i="5"/>
  <c r="Q2321" i="5"/>
  <c r="P2321" i="5"/>
  <c r="O2321" i="5"/>
  <c r="N2321" i="5"/>
  <c r="M2321" i="5"/>
  <c r="L2321" i="5"/>
  <c r="K2321" i="5"/>
  <c r="J2321" i="5"/>
  <c r="I2321" i="5"/>
  <c r="H2321" i="5"/>
  <c r="V2320" i="5"/>
  <c r="O2320" i="5"/>
  <c r="N2320" i="5"/>
  <c r="M2320" i="5"/>
  <c r="L2320" i="5"/>
  <c r="K2320" i="5"/>
  <c r="J2320" i="5"/>
  <c r="I2320" i="5"/>
  <c r="H2320" i="5"/>
  <c r="V2319" i="5"/>
  <c r="U2319" i="5"/>
  <c r="T2319" i="5"/>
  <c r="S2319" i="5"/>
  <c r="R2319" i="5"/>
  <c r="Q2319" i="5"/>
  <c r="P2319" i="5"/>
  <c r="O2319" i="5"/>
  <c r="N2319" i="5"/>
  <c r="M2319" i="5"/>
  <c r="L2319" i="5"/>
  <c r="K2319" i="5"/>
  <c r="J2319" i="5"/>
  <c r="I2319" i="5"/>
  <c r="H2319" i="5"/>
  <c r="V2318" i="5"/>
  <c r="U2318" i="5"/>
  <c r="T2318" i="5"/>
  <c r="S2318" i="5"/>
  <c r="R2318" i="5"/>
  <c r="Q2318" i="5"/>
  <c r="P2318" i="5"/>
  <c r="O2318" i="5"/>
  <c r="N2318" i="5"/>
  <c r="M2318" i="5"/>
  <c r="L2318" i="5"/>
  <c r="K2318" i="5"/>
  <c r="J2318" i="5"/>
  <c r="I2318" i="5"/>
  <c r="H2318" i="5"/>
  <c r="V2317" i="5"/>
  <c r="U2317" i="5"/>
  <c r="T2317" i="5"/>
  <c r="S2317" i="5"/>
  <c r="R2317" i="5"/>
  <c r="Q2317" i="5"/>
  <c r="P2317" i="5"/>
  <c r="O2317" i="5"/>
  <c r="N2317" i="5"/>
  <c r="M2317" i="5"/>
  <c r="L2317" i="5"/>
  <c r="K2317" i="5"/>
  <c r="J2317" i="5"/>
  <c r="I2317" i="5"/>
  <c r="H2317" i="5"/>
  <c r="V2316" i="5"/>
  <c r="U2316" i="5"/>
  <c r="T2316" i="5"/>
  <c r="S2316" i="5"/>
  <c r="R2316" i="5"/>
  <c r="Q2316" i="5"/>
  <c r="P2316" i="5"/>
  <c r="O2316" i="5"/>
  <c r="N2316" i="5"/>
  <c r="M2316" i="5"/>
  <c r="L2316" i="5"/>
  <c r="K2316" i="5"/>
  <c r="J2316" i="5"/>
  <c r="I2316" i="5"/>
  <c r="H2316" i="5"/>
  <c r="V2315" i="5"/>
  <c r="U2315" i="5"/>
  <c r="T2315" i="5"/>
  <c r="S2315" i="5"/>
  <c r="R2315" i="5"/>
  <c r="Q2315" i="5"/>
  <c r="P2315" i="5"/>
  <c r="O2315" i="5"/>
  <c r="N2315" i="5"/>
  <c r="M2315" i="5"/>
  <c r="L2315" i="5"/>
  <c r="K2315" i="5"/>
  <c r="J2315" i="5"/>
  <c r="I2315" i="5"/>
  <c r="H2315" i="5"/>
  <c r="V2314" i="5"/>
  <c r="U2314" i="5"/>
  <c r="T2314" i="5"/>
  <c r="S2314" i="5"/>
  <c r="R2314" i="5"/>
  <c r="Q2314" i="5"/>
  <c r="P2314" i="5"/>
  <c r="V2313" i="5"/>
  <c r="U2313" i="5"/>
  <c r="T2313" i="5"/>
  <c r="S2313" i="5"/>
  <c r="R2313" i="5"/>
  <c r="Q2313" i="5"/>
  <c r="P2313" i="5"/>
  <c r="O2313" i="5"/>
  <c r="N2313" i="5"/>
  <c r="M2313" i="5"/>
  <c r="L2313" i="5"/>
  <c r="K2313" i="5"/>
  <c r="J2313" i="5"/>
  <c r="I2313" i="5"/>
  <c r="H2313" i="5"/>
  <c r="U2312" i="5"/>
  <c r="T2312" i="5"/>
  <c r="S2312" i="5"/>
  <c r="R2312" i="5"/>
  <c r="Q2312" i="5"/>
  <c r="P2312" i="5"/>
  <c r="O2312" i="5"/>
  <c r="N2312" i="5"/>
  <c r="M2312" i="5"/>
  <c r="L2312" i="5"/>
  <c r="K2312" i="5"/>
  <c r="J2312" i="5"/>
  <c r="I2312" i="5"/>
  <c r="H2312" i="5"/>
  <c r="V2311" i="5"/>
  <c r="U2311" i="5"/>
  <c r="T2311" i="5"/>
  <c r="S2311" i="5"/>
  <c r="R2311" i="5"/>
  <c r="Q2311" i="5"/>
  <c r="P2311" i="5"/>
  <c r="O2311" i="5"/>
  <c r="N2311" i="5"/>
  <c r="M2311" i="5"/>
  <c r="L2311" i="5"/>
  <c r="K2311" i="5"/>
  <c r="J2311" i="5"/>
  <c r="I2311" i="5"/>
  <c r="H2311" i="5"/>
  <c r="V2310" i="5"/>
  <c r="O2310" i="5"/>
  <c r="N2310" i="5"/>
  <c r="M2310" i="5"/>
  <c r="L2310" i="5"/>
  <c r="K2310" i="5"/>
  <c r="J2310" i="5"/>
  <c r="I2310" i="5"/>
  <c r="H2310" i="5"/>
  <c r="V2309" i="5"/>
  <c r="U2309" i="5"/>
  <c r="T2309" i="5"/>
  <c r="S2309" i="5"/>
  <c r="R2309" i="5"/>
  <c r="Q2309" i="5"/>
  <c r="P2309" i="5"/>
  <c r="O2309" i="5"/>
  <c r="N2309" i="5"/>
  <c r="M2309" i="5"/>
  <c r="L2309" i="5"/>
  <c r="K2309" i="5"/>
  <c r="J2309" i="5"/>
  <c r="I2309" i="5"/>
  <c r="H2309" i="5"/>
  <c r="V2308" i="5"/>
  <c r="U2308" i="5"/>
  <c r="T2308" i="5"/>
  <c r="S2308" i="5"/>
  <c r="R2308" i="5"/>
  <c r="Q2308" i="5"/>
  <c r="P2308" i="5"/>
  <c r="O2308" i="5"/>
  <c r="N2308" i="5"/>
  <c r="M2308" i="5"/>
  <c r="L2308" i="5"/>
  <c r="K2308" i="5"/>
  <c r="J2308" i="5"/>
  <c r="I2308" i="5"/>
  <c r="H2308" i="5"/>
  <c r="V2307" i="5"/>
  <c r="U2307" i="5"/>
  <c r="T2307" i="5"/>
  <c r="S2307" i="5"/>
  <c r="R2307" i="5"/>
  <c r="Q2307" i="5"/>
  <c r="P2307" i="5"/>
  <c r="O2307" i="5"/>
  <c r="N2307" i="5"/>
  <c r="M2307" i="5"/>
  <c r="L2307" i="5"/>
  <c r="K2307" i="5"/>
  <c r="J2307" i="5"/>
  <c r="I2307" i="5"/>
  <c r="H2307" i="5"/>
  <c r="V2306" i="5"/>
  <c r="U2306" i="5"/>
  <c r="T2306" i="5"/>
  <c r="S2306" i="5"/>
  <c r="R2306" i="5"/>
  <c r="Q2306" i="5"/>
  <c r="P2306" i="5"/>
  <c r="O2306" i="5"/>
  <c r="N2306" i="5"/>
  <c r="M2306" i="5"/>
  <c r="L2306" i="5"/>
  <c r="K2306" i="5"/>
  <c r="J2306" i="5"/>
  <c r="I2306" i="5"/>
  <c r="H2306" i="5"/>
  <c r="V2305" i="5"/>
  <c r="U2305" i="5"/>
  <c r="T2305" i="5"/>
  <c r="S2305" i="5"/>
  <c r="R2305" i="5"/>
  <c r="Q2305" i="5"/>
  <c r="P2305" i="5"/>
  <c r="O2305" i="5"/>
  <c r="N2305" i="5"/>
  <c r="M2305" i="5"/>
  <c r="L2305" i="5"/>
  <c r="K2305" i="5"/>
  <c r="J2305" i="5"/>
  <c r="I2305" i="5"/>
  <c r="H2305" i="5"/>
  <c r="V2304" i="5"/>
  <c r="U2304" i="5"/>
  <c r="T2304" i="5"/>
  <c r="S2304" i="5"/>
  <c r="R2304" i="5"/>
  <c r="Q2304" i="5"/>
  <c r="P2304" i="5"/>
  <c r="V2303" i="5"/>
  <c r="U2303" i="5"/>
  <c r="T2303" i="5"/>
  <c r="S2303" i="5"/>
  <c r="R2303" i="5"/>
  <c r="Q2303" i="5"/>
  <c r="P2303" i="5"/>
  <c r="O2303" i="5"/>
  <c r="N2303" i="5"/>
  <c r="M2303" i="5"/>
  <c r="L2303" i="5"/>
  <c r="K2303" i="5"/>
  <c r="J2303" i="5"/>
  <c r="I2303" i="5"/>
  <c r="H2303" i="5"/>
  <c r="U2302" i="5"/>
  <c r="T2302" i="5"/>
  <c r="S2302" i="5"/>
  <c r="R2302" i="5"/>
  <c r="Q2302" i="5"/>
  <c r="P2302" i="5"/>
  <c r="O2302" i="5"/>
  <c r="N2302" i="5"/>
  <c r="M2302" i="5"/>
  <c r="L2302" i="5"/>
  <c r="K2302" i="5"/>
  <c r="J2302" i="5"/>
  <c r="I2302" i="5"/>
  <c r="H2302" i="5"/>
  <c r="V2301" i="5"/>
  <c r="U2301" i="5"/>
  <c r="T2301" i="5"/>
  <c r="S2301" i="5"/>
  <c r="R2301" i="5"/>
  <c r="Q2301" i="5"/>
  <c r="P2301" i="5"/>
  <c r="O2301" i="5"/>
  <c r="N2301" i="5"/>
  <c r="M2301" i="5"/>
  <c r="L2301" i="5"/>
  <c r="K2301" i="5"/>
  <c r="J2301" i="5"/>
  <c r="I2301" i="5"/>
  <c r="H2301" i="5"/>
  <c r="V2300" i="5"/>
  <c r="O2300" i="5"/>
  <c r="N2300" i="5"/>
  <c r="M2300" i="5"/>
  <c r="L2300" i="5"/>
  <c r="K2300" i="5"/>
  <c r="J2300" i="5"/>
  <c r="I2300" i="5"/>
  <c r="H2300" i="5"/>
  <c r="V2299" i="5"/>
  <c r="U2299" i="5"/>
  <c r="T2299" i="5"/>
  <c r="S2299" i="5"/>
  <c r="R2299" i="5"/>
  <c r="Q2299" i="5"/>
  <c r="P2299" i="5"/>
  <c r="O2299" i="5"/>
  <c r="N2299" i="5"/>
  <c r="M2299" i="5"/>
  <c r="L2299" i="5"/>
  <c r="K2299" i="5"/>
  <c r="J2299" i="5"/>
  <c r="I2299" i="5"/>
  <c r="H2299" i="5"/>
  <c r="V2298" i="5"/>
  <c r="U2298" i="5"/>
  <c r="T2298" i="5"/>
  <c r="S2298" i="5"/>
  <c r="R2298" i="5"/>
  <c r="Q2298" i="5"/>
  <c r="P2298" i="5"/>
  <c r="O2298" i="5"/>
  <c r="N2298" i="5"/>
  <c r="M2298" i="5"/>
  <c r="L2298" i="5"/>
  <c r="K2298" i="5"/>
  <c r="J2298" i="5"/>
  <c r="I2298" i="5"/>
  <c r="H2298" i="5"/>
  <c r="V2297" i="5"/>
  <c r="U2297" i="5"/>
  <c r="T2297" i="5"/>
  <c r="S2297" i="5"/>
  <c r="R2297" i="5"/>
  <c r="Q2297" i="5"/>
  <c r="P2297" i="5"/>
  <c r="O2297" i="5"/>
  <c r="N2297" i="5"/>
  <c r="M2297" i="5"/>
  <c r="L2297" i="5"/>
  <c r="K2297" i="5"/>
  <c r="J2297" i="5"/>
  <c r="I2297" i="5"/>
  <c r="H2297" i="5"/>
  <c r="V2296" i="5"/>
  <c r="U2296" i="5"/>
  <c r="T2296" i="5"/>
  <c r="S2296" i="5"/>
  <c r="R2296" i="5"/>
  <c r="Q2296" i="5"/>
  <c r="P2296" i="5"/>
  <c r="O2296" i="5"/>
  <c r="N2296" i="5"/>
  <c r="M2296" i="5"/>
  <c r="L2296" i="5"/>
  <c r="K2296" i="5"/>
  <c r="J2296" i="5"/>
  <c r="I2296" i="5"/>
  <c r="H2296" i="5"/>
  <c r="V2295" i="5"/>
  <c r="U2295" i="5"/>
  <c r="T2295" i="5"/>
  <c r="S2295" i="5"/>
  <c r="R2295" i="5"/>
  <c r="Q2295" i="5"/>
  <c r="P2295" i="5"/>
  <c r="O2295" i="5"/>
  <c r="N2295" i="5"/>
  <c r="M2295" i="5"/>
  <c r="L2295" i="5"/>
  <c r="K2295" i="5"/>
  <c r="J2295" i="5"/>
  <c r="I2295" i="5"/>
  <c r="H2295" i="5"/>
  <c r="V2294" i="5"/>
  <c r="U2294" i="5"/>
  <c r="T2294" i="5"/>
  <c r="S2294" i="5"/>
  <c r="R2294" i="5"/>
  <c r="Q2294" i="5"/>
  <c r="P2294" i="5"/>
  <c r="V2293" i="5"/>
  <c r="U2293" i="5"/>
  <c r="T2293" i="5"/>
  <c r="S2293" i="5"/>
  <c r="R2293" i="5"/>
  <c r="Q2293" i="5"/>
  <c r="P2293" i="5"/>
  <c r="O2293" i="5"/>
  <c r="N2293" i="5"/>
  <c r="M2293" i="5"/>
  <c r="L2293" i="5"/>
  <c r="K2293" i="5"/>
  <c r="J2293" i="5"/>
  <c r="I2293" i="5"/>
  <c r="H2293" i="5"/>
  <c r="U2292" i="5"/>
  <c r="T2292" i="5"/>
  <c r="S2292" i="5"/>
  <c r="R2292" i="5"/>
  <c r="Q2292" i="5"/>
  <c r="P2292" i="5"/>
  <c r="O2292" i="5"/>
  <c r="N2292" i="5"/>
  <c r="M2292" i="5"/>
  <c r="L2292" i="5"/>
  <c r="K2292" i="5"/>
  <c r="J2292" i="5"/>
  <c r="I2292" i="5"/>
  <c r="H2292" i="5"/>
  <c r="V2291" i="5"/>
  <c r="U2291" i="5"/>
  <c r="T2291" i="5"/>
  <c r="S2291" i="5"/>
  <c r="R2291" i="5"/>
  <c r="Q2291" i="5"/>
  <c r="P2291" i="5"/>
  <c r="O2291" i="5"/>
  <c r="N2291" i="5"/>
  <c r="M2291" i="5"/>
  <c r="L2291" i="5"/>
  <c r="K2291" i="5"/>
  <c r="J2291" i="5"/>
  <c r="I2291" i="5"/>
  <c r="H2291" i="5"/>
  <c r="V2290" i="5"/>
  <c r="O2290" i="5"/>
  <c r="N2290" i="5"/>
  <c r="M2290" i="5"/>
  <c r="L2290" i="5"/>
  <c r="K2290" i="5"/>
  <c r="J2290" i="5"/>
  <c r="I2290" i="5"/>
  <c r="H2290" i="5"/>
  <c r="V2289" i="5"/>
  <c r="U2289" i="5"/>
  <c r="T2289" i="5"/>
  <c r="S2289" i="5"/>
  <c r="R2289" i="5"/>
  <c r="Q2289" i="5"/>
  <c r="P2289" i="5"/>
  <c r="O2289" i="5"/>
  <c r="N2289" i="5"/>
  <c r="M2289" i="5"/>
  <c r="L2289" i="5"/>
  <c r="K2289" i="5"/>
  <c r="J2289" i="5"/>
  <c r="I2289" i="5"/>
  <c r="H2289" i="5"/>
  <c r="V2288" i="5"/>
  <c r="U2288" i="5"/>
  <c r="T2288" i="5"/>
  <c r="S2288" i="5"/>
  <c r="R2288" i="5"/>
  <c r="Q2288" i="5"/>
  <c r="P2288" i="5"/>
  <c r="O2288" i="5"/>
  <c r="N2288" i="5"/>
  <c r="M2288" i="5"/>
  <c r="L2288" i="5"/>
  <c r="K2288" i="5"/>
  <c r="J2288" i="5"/>
  <c r="I2288" i="5"/>
  <c r="H2288" i="5"/>
  <c r="V2287" i="5"/>
  <c r="U2287" i="5"/>
  <c r="T2287" i="5"/>
  <c r="S2287" i="5"/>
  <c r="R2287" i="5"/>
  <c r="Q2287" i="5"/>
  <c r="P2287" i="5"/>
  <c r="V2286" i="5"/>
  <c r="U2286" i="5"/>
  <c r="T2286" i="5"/>
  <c r="S2286" i="5"/>
  <c r="R2286" i="5"/>
  <c r="Q2286" i="5"/>
  <c r="P2286" i="5"/>
  <c r="U2285" i="5"/>
  <c r="T2285" i="5"/>
  <c r="S2285" i="5"/>
  <c r="R2285" i="5"/>
  <c r="Q2285" i="5"/>
  <c r="P2285" i="5"/>
  <c r="U2284" i="5"/>
  <c r="T2284" i="5"/>
  <c r="S2284" i="5"/>
  <c r="R2284" i="5"/>
  <c r="Q2284" i="5"/>
  <c r="P2284" i="5"/>
  <c r="O2277" i="5"/>
  <c r="N2277" i="5"/>
  <c r="M2277" i="5"/>
  <c r="L2277" i="5"/>
  <c r="K2277" i="5"/>
  <c r="J2277" i="5"/>
  <c r="I2277" i="5"/>
  <c r="H2277" i="5"/>
  <c r="O2276" i="5"/>
  <c r="N2276" i="5"/>
  <c r="M2276" i="5"/>
  <c r="L2276" i="5"/>
  <c r="K2276" i="5"/>
  <c r="J2276" i="5"/>
  <c r="I2276" i="5"/>
  <c r="H2276" i="5"/>
  <c r="V2275" i="5"/>
  <c r="O2275" i="5"/>
  <c r="N2275" i="5"/>
  <c r="M2275" i="5"/>
  <c r="L2275" i="5"/>
  <c r="K2275" i="5"/>
  <c r="J2275" i="5"/>
  <c r="I2275" i="5"/>
  <c r="H2275" i="5"/>
  <c r="V2274" i="5"/>
  <c r="V2273" i="5"/>
  <c r="U2273" i="5"/>
  <c r="T2273" i="5"/>
  <c r="S2273" i="5"/>
  <c r="R2273" i="5"/>
  <c r="Q2273" i="5"/>
  <c r="P2273" i="5"/>
  <c r="O2273" i="5"/>
  <c r="N2273" i="5"/>
  <c r="M2273" i="5"/>
  <c r="L2273" i="5"/>
  <c r="K2273" i="5"/>
  <c r="J2273" i="5"/>
  <c r="I2273" i="5"/>
  <c r="H2273" i="5"/>
  <c r="U2272" i="5"/>
  <c r="T2272" i="5"/>
  <c r="S2272" i="5"/>
  <c r="R2272" i="5"/>
  <c r="Q2272" i="5"/>
  <c r="P2272" i="5"/>
  <c r="O2272" i="5"/>
  <c r="N2272" i="5"/>
  <c r="M2272" i="5"/>
  <c r="L2272" i="5"/>
  <c r="K2272" i="5"/>
  <c r="J2272" i="5"/>
  <c r="I2272" i="5"/>
  <c r="H2272" i="5"/>
  <c r="V2271" i="5"/>
  <c r="U2271" i="5"/>
  <c r="T2271" i="5"/>
  <c r="S2271" i="5"/>
  <c r="R2271" i="5"/>
  <c r="Q2271" i="5"/>
  <c r="P2271" i="5"/>
  <c r="O2271" i="5"/>
  <c r="N2271" i="5"/>
  <c r="M2271" i="5"/>
  <c r="L2271" i="5"/>
  <c r="K2271" i="5"/>
  <c r="J2271" i="5"/>
  <c r="I2271" i="5"/>
  <c r="H2271" i="5"/>
  <c r="V2270" i="5"/>
  <c r="O2270" i="5"/>
  <c r="N2270" i="5"/>
  <c r="M2270" i="5"/>
  <c r="L2270" i="5"/>
  <c r="K2270" i="5"/>
  <c r="J2270" i="5"/>
  <c r="I2270" i="5"/>
  <c r="H2270" i="5"/>
  <c r="V2269" i="5"/>
  <c r="U2269" i="5"/>
  <c r="T2269" i="5"/>
  <c r="S2269" i="5"/>
  <c r="R2269" i="5"/>
  <c r="Q2269" i="5"/>
  <c r="P2269" i="5"/>
  <c r="O2269" i="5"/>
  <c r="N2269" i="5"/>
  <c r="M2269" i="5"/>
  <c r="L2269" i="5"/>
  <c r="K2269" i="5"/>
  <c r="J2269" i="5"/>
  <c r="I2269" i="5"/>
  <c r="H2269" i="5"/>
  <c r="V2268" i="5"/>
  <c r="U2268" i="5"/>
  <c r="T2268" i="5"/>
  <c r="S2268" i="5"/>
  <c r="R2268" i="5"/>
  <c r="Q2268" i="5"/>
  <c r="P2268" i="5"/>
  <c r="O2268" i="5"/>
  <c r="N2268" i="5"/>
  <c r="M2268" i="5"/>
  <c r="L2268" i="5"/>
  <c r="K2268" i="5"/>
  <c r="J2268" i="5"/>
  <c r="I2268" i="5"/>
  <c r="H2268" i="5"/>
  <c r="V2267" i="5"/>
  <c r="U2267" i="5"/>
  <c r="T2267" i="5"/>
  <c r="S2267" i="5"/>
  <c r="R2267" i="5"/>
  <c r="Q2267" i="5"/>
  <c r="P2267" i="5"/>
  <c r="O2267" i="5"/>
  <c r="N2267" i="5"/>
  <c r="M2267" i="5"/>
  <c r="L2267" i="5"/>
  <c r="K2267" i="5"/>
  <c r="J2267" i="5"/>
  <c r="I2267" i="5"/>
  <c r="H2267" i="5"/>
  <c r="V2266" i="5"/>
  <c r="U2266" i="5"/>
  <c r="T2266" i="5"/>
  <c r="S2266" i="5"/>
  <c r="R2266" i="5"/>
  <c r="Q2266" i="5"/>
  <c r="P2266" i="5"/>
  <c r="O2266" i="5"/>
  <c r="N2266" i="5"/>
  <c r="M2266" i="5"/>
  <c r="L2266" i="5"/>
  <c r="K2266" i="5"/>
  <c r="J2266" i="5"/>
  <c r="I2266" i="5"/>
  <c r="H2266" i="5"/>
  <c r="V2265" i="5"/>
  <c r="U2265" i="5"/>
  <c r="T2265" i="5"/>
  <c r="S2265" i="5"/>
  <c r="R2265" i="5"/>
  <c r="Q2265" i="5"/>
  <c r="P2265" i="5"/>
  <c r="O2265" i="5"/>
  <c r="N2265" i="5"/>
  <c r="M2265" i="5"/>
  <c r="L2265" i="5"/>
  <c r="K2265" i="5"/>
  <c r="J2265" i="5"/>
  <c r="I2265" i="5"/>
  <c r="H2265" i="5"/>
  <c r="V2264" i="5"/>
  <c r="U2264" i="5"/>
  <c r="T2264" i="5"/>
  <c r="S2264" i="5"/>
  <c r="R2264" i="5"/>
  <c r="Q2264" i="5"/>
  <c r="P2264" i="5"/>
  <c r="V2263" i="5"/>
  <c r="U2263" i="5"/>
  <c r="T2263" i="5"/>
  <c r="S2263" i="5"/>
  <c r="R2263" i="5"/>
  <c r="Q2263" i="5"/>
  <c r="P2263" i="5"/>
  <c r="O2263" i="5"/>
  <c r="N2263" i="5"/>
  <c r="M2263" i="5"/>
  <c r="L2263" i="5"/>
  <c r="K2263" i="5"/>
  <c r="J2263" i="5"/>
  <c r="I2263" i="5"/>
  <c r="H2263" i="5"/>
  <c r="U2262" i="5"/>
  <c r="T2262" i="5"/>
  <c r="S2262" i="5"/>
  <c r="R2262" i="5"/>
  <c r="Q2262" i="5"/>
  <c r="P2262" i="5"/>
  <c r="O2262" i="5"/>
  <c r="N2262" i="5"/>
  <c r="M2262" i="5"/>
  <c r="L2262" i="5"/>
  <c r="K2262" i="5"/>
  <c r="J2262" i="5"/>
  <c r="I2262" i="5"/>
  <c r="H2262" i="5"/>
  <c r="V2261" i="5"/>
  <c r="U2261" i="5"/>
  <c r="T2261" i="5"/>
  <c r="S2261" i="5"/>
  <c r="R2261" i="5"/>
  <c r="Q2261" i="5"/>
  <c r="P2261" i="5"/>
  <c r="O2261" i="5"/>
  <c r="N2261" i="5"/>
  <c r="M2261" i="5"/>
  <c r="L2261" i="5"/>
  <c r="K2261" i="5"/>
  <c r="J2261" i="5"/>
  <c r="I2261" i="5"/>
  <c r="H2261" i="5"/>
  <c r="V2260" i="5"/>
  <c r="O2260" i="5"/>
  <c r="N2260" i="5"/>
  <c r="M2260" i="5"/>
  <c r="L2260" i="5"/>
  <c r="K2260" i="5"/>
  <c r="J2260" i="5"/>
  <c r="I2260" i="5"/>
  <c r="H2260" i="5"/>
  <c r="V2259" i="5"/>
  <c r="U2259" i="5"/>
  <c r="T2259" i="5"/>
  <c r="S2259" i="5"/>
  <c r="R2259" i="5"/>
  <c r="Q2259" i="5"/>
  <c r="P2259" i="5"/>
  <c r="O2259" i="5"/>
  <c r="N2259" i="5"/>
  <c r="M2259" i="5"/>
  <c r="L2259" i="5"/>
  <c r="K2259" i="5"/>
  <c r="J2259" i="5"/>
  <c r="I2259" i="5"/>
  <c r="H2259" i="5"/>
  <c r="V2258" i="5"/>
  <c r="U2258" i="5"/>
  <c r="T2258" i="5"/>
  <c r="S2258" i="5"/>
  <c r="R2258" i="5"/>
  <c r="Q2258" i="5"/>
  <c r="P2258" i="5"/>
  <c r="O2258" i="5"/>
  <c r="N2258" i="5"/>
  <c r="M2258" i="5"/>
  <c r="L2258" i="5"/>
  <c r="K2258" i="5"/>
  <c r="J2258" i="5"/>
  <c r="I2258" i="5"/>
  <c r="H2258" i="5"/>
  <c r="V2257" i="5"/>
  <c r="U2257" i="5"/>
  <c r="T2257" i="5"/>
  <c r="S2257" i="5"/>
  <c r="R2257" i="5"/>
  <c r="Q2257" i="5"/>
  <c r="P2257" i="5"/>
  <c r="O2257" i="5"/>
  <c r="N2257" i="5"/>
  <c r="M2257" i="5"/>
  <c r="L2257" i="5"/>
  <c r="K2257" i="5"/>
  <c r="J2257" i="5"/>
  <c r="I2257" i="5"/>
  <c r="H2257" i="5"/>
  <c r="V2256" i="5"/>
  <c r="U2256" i="5"/>
  <c r="T2256" i="5"/>
  <c r="S2256" i="5"/>
  <c r="R2256" i="5"/>
  <c r="Q2256" i="5"/>
  <c r="P2256" i="5"/>
  <c r="O2256" i="5"/>
  <c r="N2256" i="5"/>
  <c r="M2256" i="5"/>
  <c r="L2256" i="5"/>
  <c r="K2256" i="5"/>
  <c r="J2256" i="5"/>
  <c r="I2256" i="5"/>
  <c r="H2256" i="5"/>
  <c r="V2255" i="5"/>
  <c r="U2255" i="5"/>
  <c r="T2255" i="5"/>
  <c r="S2255" i="5"/>
  <c r="R2255" i="5"/>
  <c r="Q2255" i="5"/>
  <c r="P2255" i="5"/>
  <c r="O2255" i="5"/>
  <c r="N2255" i="5"/>
  <c r="M2255" i="5"/>
  <c r="L2255" i="5"/>
  <c r="K2255" i="5"/>
  <c r="J2255" i="5"/>
  <c r="I2255" i="5"/>
  <c r="H2255" i="5"/>
  <c r="V2254" i="5"/>
  <c r="U2254" i="5"/>
  <c r="T2254" i="5"/>
  <c r="S2254" i="5"/>
  <c r="R2254" i="5"/>
  <c r="Q2254" i="5"/>
  <c r="P2254" i="5"/>
  <c r="V2253" i="5"/>
  <c r="U2253" i="5"/>
  <c r="T2253" i="5"/>
  <c r="S2253" i="5"/>
  <c r="R2253" i="5"/>
  <c r="Q2253" i="5"/>
  <c r="P2253" i="5"/>
  <c r="O2253" i="5"/>
  <c r="N2253" i="5"/>
  <c r="M2253" i="5"/>
  <c r="L2253" i="5"/>
  <c r="K2253" i="5"/>
  <c r="J2253" i="5"/>
  <c r="I2253" i="5"/>
  <c r="H2253" i="5"/>
  <c r="U2252" i="5"/>
  <c r="T2252" i="5"/>
  <c r="S2252" i="5"/>
  <c r="R2252" i="5"/>
  <c r="Q2252" i="5"/>
  <c r="P2252" i="5"/>
  <c r="O2252" i="5"/>
  <c r="N2252" i="5"/>
  <c r="M2252" i="5"/>
  <c r="L2252" i="5"/>
  <c r="K2252" i="5"/>
  <c r="J2252" i="5"/>
  <c r="I2252" i="5"/>
  <c r="H2252" i="5"/>
  <c r="V2251" i="5"/>
  <c r="U2251" i="5"/>
  <c r="T2251" i="5"/>
  <c r="S2251" i="5"/>
  <c r="R2251" i="5"/>
  <c r="Q2251" i="5"/>
  <c r="P2251" i="5"/>
  <c r="O2251" i="5"/>
  <c r="N2251" i="5"/>
  <c r="M2251" i="5"/>
  <c r="L2251" i="5"/>
  <c r="K2251" i="5"/>
  <c r="J2251" i="5"/>
  <c r="I2251" i="5"/>
  <c r="H2251" i="5"/>
  <c r="V2250" i="5"/>
  <c r="O2250" i="5"/>
  <c r="N2250" i="5"/>
  <c r="M2250" i="5"/>
  <c r="L2250" i="5"/>
  <c r="K2250" i="5"/>
  <c r="J2250" i="5"/>
  <c r="I2250" i="5"/>
  <c r="H2250" i="5"/>
  <c r="V2249" i="5"/>
  <c r="U2249" i="5"/>
  <c r="T2249" i="5"/>
  <c r="S2249" i="5"/>
  <c r="R2249" i="5"/>
  <c r="Q2249" i="5"/>
  <c r="P2249" i="5"/>
  <c r="O2249" i="5"/>
  <c r="N2249" i="5"/>
  <c r="M2249" i="5"/>
  <c r="L2249" i="5"/>
  <c r="K2249" i="5"/>
  <c r="J2249" i="5"/>
  <c r="I2249" i="5"/>
  <c r="H2249" i="5"/>
  <c r="V2248" i="5"/>
  <c r="U2248" i="5"/>
  <c r="T2248" i="5"/>
  <c r="S2248" i="5"/>
  <c r="R2248" i="5"/>
  <c r="Q2248" i="5"/>
  <c r="P2248" i="5"/>
  <c r="O2248" i="5"/>
  <c r="N2248" i="5"/>
  <c r="M2248" i="5"/>
  <c r="L2248" i="5"/>
  <c r="K2248" i="5"/>
  <c r="J2248" i="5"/>
  <c r="I2248" i="5"/>
  <c r="H2248" i="5"/>
  <c r="V2247" i="5"/>
  <c r="U2247" i="5"/>
  <c r="T2247" i="5"/>
  <c r="S2247" i="5"/>
  <c r="R2247" i="5"/>
  <c r="Q2247" i="5"/>
  <c r="P2247" i="5"/>
  <c r="O2247" i="5"/>
  <c r="N2247" i="5"/>
  <c r="M2247" i="5"/>
  <c r="L2247" i="5"/>
  <c r="K2247" i="5"/>
  <c r="J2247" i="5"/>
  <c r="I2247" i="5"/>
  <c r="H2247" i="5"/>
  <c r="V2246" i="5"/>
  <c r="U2246" i="5"/>
  <c r="T2246" i="5"/>
  <c r="S2246" i="5"/>
  <c r="R2246" i="5"/>
  <c r="Q2246" i="5"/>
  <c r="P2246" i="5"/>
  <c r="O2246" i="5"/>
  <c r="N2246" i="5"/>
  <c r="M2246" i="5"/>
  <c r="L2246" i="5"/>
  <c r="K2246" i="5"/>
  <c r="J2246" i="5"/>
  <c r="I2246" i="5"/>
  <c r="H2246" i="5"/>
  <c r="V2245" i="5"/>
  <c r="U2245" i="5"/>
  <c r="T2245" i="5"/>
  <c r="S2245" i="5"/>
  <c r="R2245" i="5"/>
  <c r="Q2245" i="5"/>
  <c r="P2245" i="5"/>
  <c r="O2245" i="5"/>
  <c r="N2245" i="5"/>
  <c r="M2245" i="5"/>
  <c r="L2245" i="5"/>
  <c r="K2245" i="5"/>
  <c r="J2245" i="5"/>
  <c r="I2245" i="5"/>
  <c r="H2245" i="5"/>
  <c r="V2244" i="5"/>
  <c r="U2244" i="5"/>
  <c r="T2244" i="5"/>
  <c r="S2244" i="5"/>
  <c r="R2244" i="5"/>
  <c r="Q2244" i="5"/>
  <c r="P2244" i="5"/>
  <c r="V2243" i="5"/>
  <c r="U2243" i="5"/>
  <c r="T2243" i="5"/>
  <c r="S2243" i="5"/>
  <c r="R2243" i="5"/>
  <c r="Q2243" i="5"/>
  <c r="P2243" i="5"/>
  <c r="O2243" i="5"/>
  <c r="N2243" i="5"/>
  <c r="M2243" i="5"/>
  <c r="L2243" i="5"/>
  <c r="K2243" i="5"/>
  <c r="J2243" i="5"/>
  <c r="I2243" i="5"/>
  <c r="H2243" i="5"/>
  <c r="U2242" i="5"/>
  <c r="T2242" i="5"/>
  <c r="S2242" i="5"/>
  <c r="R2242" i="5"/>
  <c r="Q2242" i="5"/>
  <c r="P2242" i="5"/>
  <c r="O2242" i="5"/>
  <c r="N2242" i="5"/>
  <c r="M2242" i="5"/>
  <c r="L2242" i="5"/>
  <c r="K2242" i="5"/>
  <c r="J2242" i="5"/>
  <c r="I2242" i="5"/>
  <c r="H2242" i="5"/>
  <c r="V2241" i="5"/>
  <c r="U2241" i="5"/>
  <c r="T2241" i="5"/>
  <c r="S2241" i="5"/>
  <c r="R2241" i="5"/>
  <c r="Q2241" i="5"/>
  <c r="P2241" i="5"/>
  <c r="O2241" i="5"/>
  <c r="N2241" i="5"/>
  <c r="M2241" i="5"/>
  <c r="L2241" i="5"/>
  <c r="K2241" i="5"/>
  <c r="J2241" i="5"/>
  <c r="I2241" i="5"/>
  <c r="H2241" i="5"/>
  <c r="V2240" i="5"/>
  <c r="O2240" i="5"/>
  <c r="N2240" i="5"/>
  <c r="M2240" i="5"/>
  <c r="L2240" i="5"/>
  <c r="K2240" i="5"/>
  <c r="J2240" i="5"/>
  <c r="I2240" i="5"/>
  <c r="H2240" i="5"/>
  <c r="V2239" i="5"/>
  <c r="U2239" i="5"/>
  <c r="T2239" i="5"/>
  <c r="S2239" i="5"/>
  <c r="R2239" i="5"/>
  <c r="Q2239" i="5"/>
  <c r="P2239" i="5"/>
  <c r="O2239" i="5"/>
  <c r="N2239" i="5"/>
  <c r="M2239" i="5"/>
  <c r="L2239" i="5"/>
  <c r="K2239" i="5"/>
  <c r="J2239" i="5"/>
  <c r="I2239" i="5"/>
  <c r="H2239" i="5"/>
  <c r="V2238" i="5"/>
  <c r="U2238" i="5"/>
  <c r="T2238" i="5"/>
  <c r="S2238" i="5"/>
  <c r="R2238" i="5"/>
  <c r="Q2238" i="5"/>
  <c r="P2238" i="5"/>
  <c r="O2238" i="5"/>
  <c r="N2238" i="5"/>
  <c r="M2238" i="5"/>
  <c r="L2238" i="5"/>
  <c r="K2238" i="5"/>
  <c r="J2238" i="5"/>
  <c r="I2238" i="5"/>
  <c r="H2238" i="5"/>
  <c r="V2237" i="5"/>
  <c r="U2237" i="5"/>
  <c r="T2237" i="5"/>
  <c r="S2237" i="5"/>
  <c r="R2237" i="5"/>
  <c r="Q2237" i="5"/>
  <c r="P2237" i="5"/>
  <c r="O2237" i="5"/>
  <c r="N2237" i="5"/>
  <c r="M2237" i="5"/>
  <c r="L2237" i="5"/>
  <c r="K2237" i="5"/>
  <c r="J2237" i="5"/>
  <c r="I2237" i="5"/>
  <c r="H2237" i="5"/>
  <c r="V2236" i="5"/>
  <c r="U2236" i="5"/>
  <c r="T2236" i="5"/>
  <c r="S2236" i="5"/>
  <c r="R2236" i="5"/>
  <c r="Q2236" i="5"/>
  <c r="P2236" i="5"/>
  <c r="O2236" i="5"/>
  <c r="N2236" i="5"/>
  <c r="M2236" i="5"/>
  <c r="L2236" i="5"/>
  <c r="K2236" i="5"/>
  <c r="J2236" i="5"/>
  <c r="I2236" i="5"/>
  <c r="H2236" i="5"/>
  <c r="V2235" i="5"/>
  <c r="U2235" i="5"/>
  <c r="T2235" i="5"/>
  <c r="S2235" i="5"/>
  <c r="R2235" i="5"/>
  <c r="Q2235" i="5"/>
  <c r="P2235" i="5"/>
  <c r="O2235" i="5"/>
  <c r="N2235" i="5"/>
  <c r="M2235" i="5"/>
  <c r="L2235" i="5"/>
  <c r="K2235" i="5"/>
  <c r="J2235" i="5"/>
  <c r="I2235" i="5"/>
  <c r="H2235" i="5"/>
  <c r="V2234" i="5"/>
  <c r="U2234" i="5"/>
  <c r="T2234" i="5"/>
  <c r="S2234" i="5"/>
  <c r="R2234" i="5"/>
  <c r="Q2234" i="5"/>
  <c r="P2234" i="5"/>
  <c r="V2233" i="5"/>
  <c r="U2233" i="5"/>
  <c r="T2233" i="5"/>
  <c r="S2233" i="5"/>
  <c r="R2233" i="5"/>
  <c r="Q2233" i="5"/>
  <c r="P2233" i="5"/>
  <c r="O2233" i="5"/>
  <c r="N2233" i="5"/>
  <c r="M2233" i="5"/>
  <c r="L2233" i="5"/>
  <c r="K2233" i="5"/>
  <c r="J2233" i="5"/>
  <c r="I2233" i="5"/>
  <c r="H2233" i="5"/>
  <c r="U2232" i="5"/>
  <c r="T2232" i="5"/>
  <c r="S2232" i="5"/>
  <c r="R2232" i="5"/>
  <c r="Q2232" i="5"/>
  <c r="P2232" i="5"/>
  <c r="O2232" i="5"/>
  <c r="N2232" i="5"/>
  <c r="M2232" i="5"/>
  <c r="L2232" i="5"/>
  <c r="K2232" i="5"/>
  <c r="J2232" i="5"/>
  <c r="I2232" i="5"/>
  <c r="H2232" i="5"/>
  <c r="V2231" i="5"/>
  <c r="U2231" i="5"/>
  <c r="T2231" i="5"/>
  <c r="S2231" i="5"/>
  <c r="R2231" i="5"/>
  <c r="Q2231" i="5"/>
  <c r="P2231" i="5"/>
  <c r="O2231" i="5"/>
  <c r="N2231" i="5"/>
  <c r="M2231" i="5"/>
  <c r="L2231" i="5"/>
  <c r="K2231" i="5"/>
  <c r="J2231" i="5"/>
  <c r="I2231" i="5"/>
  <c r="H2231" i="5"/>
  <c r="V2230" i="5"/>
  <c r="O2230" i="5"/>
  <c r="N2230" i="5"/>
  <c r="M2230" i="5"/>
  <c r="L2230" i="5"/>
  <c r="K2230" i="5"/>
  <c r="J2230" i="5"/>
  <c r="I2230" i="5"/>
  <c r="H2230" i="5"/>
  <c r="V2229" i="5"/>
  <c r="U2229" i="5"/>
  <c r="T2229" i="5"/>
  <c r="S2229" i="5"/>
  <c r="R2229" i="5"/>
  <c r="Q2229" i="5"/>
  <c r="P2229" i="5"/>
  <c r="O2229" i="5"/>
  <c r="N2229" i="5"/>
  <c r="M2229" i="5"/>
  <c r="L2229" i="5"/>
  <c r="K2229" i="5"/>
  <c r="J2229" i="5"/>
  <c r="I2229" i="5"/>
  <c r="H2229" i="5"/>
  <c r="V2228" i="5"/>
  <c r="U2228" i="5"/>
  <c r="T2228" i="5"/>
  <c r="S2228" i="5"/>
  <c r="R2228" i="5"/>
  <c r="Q2228" i="5"/>
  <c r="P2228" i="5"/>
  <c r="O2228" i="5"/>
  <c r="N2228" i="5"/>
  <c r="M2228" i="5"/>
  <c r="L2228" i="5"/>
  <c r="K2228" i="5"/>
  <c r="J2228" i="5"/>
  <c r="I2228" i="5"/>
  <c r="H2228" i="5"/>
  <c r="V2227" i="5"/>
  <c r="U2227" i="5"/>
  <c r="T2227" i="5"/>
  <c r="S2227" i="5"/>
  <c r="R2227" i="5"/>
  <c r="Q2227" i="5"/>
  <c r="P2227" i="5"/>
  <c r="O2227" i="5"/>
  <c r="N2227" i="5"/>
  <c r="M2227" i="5"/>
  <c r="L2227" i="5"/>
  <c r="K2227" i="5"/>
  <c r="J2227" i="5"/>
  <c r="I2227" i="5"/>
  <c r="H2227" i="5"/>
  <c r="V2226" i="5"/>
  <c r="U2226" i="5"/>
  <c r="T2226" i="5"/>
  <c r="S2226" i="5"/>
  <c r="R2226" i="5"/>
  <c r="Q2226" i="5"/>
  <c r="P2226" i="5"/>
  <c r="O2226" i="5"/>
  <c r="N2226" i="5"/>
  <c r="M2226" i="5"/>
  <c r="L2226" i="5"/>
  <c r="K2226" i="5"/>
  <c r="J2226" i="5"/>
  <c r="I2226" i="5"/>
  <c r="H2226" i="5"/>
  <c r="V2225" i="5"/>
  <c r="U2225" i="5"/>
  <c r="T2225" i="5"/>
  <c r="S2225" i="5"/>
  <c r="R2225" i="5"/>
  <c r="Q2225" i="5"/>
  <c r="P2225" i="5"/>
  <c r="O2225" i="5"/>
  <c r="N2225" i="5"/>
  <c r="M2225" i="5"/>
  <c r="L2225" i="5"/>
  <c r="K2225" i="5"/>
  <c r="J2225" i="5"/>
  <c r="I2225" i="5"/>
  <c r="H2225" i="5"/>
  <c r="V2224" i="5"/>
  <c r="U2224" i="5"/>
  <c r="T2224" i="5"/>
  <c r="S2224" i="5"/>
  <c r="R2224" i="5"/>
  <c r="Q2224" i="5"/>
  <c r="P2224" i="5"/>
  <c r="V2223" i="5"/>
  <c r="U2223" i="5"/>
  <c r="T2223" i="5"/>
  <c r="S2223" i="5"/>
  <c r="R2223" i="5"/>
  <c r="Q2223" i="5"/>
  <c r="P2223" i="5"/>
  <c r="O2223" i="5"/>
  <c r="N2223" i="5"/>
  <c r="M2223" i="5"/>
  <c r="L2223" i="5"/>
  <c r="K2223" i="5"/>
  <c r="J2223" i="5"/>
  <c r="I2223" i="5"/>
  <c r="H2223" i="5"/>
  <c r="U2222" i="5"/>
  <c r="T2222" i="5"/>
  <c r="S2222" i="5"/>
  <c r="R2222" i="5"/>
  <c r="Q2222" i="5"/>
  <c r="P2222" i="5"/>
  <c r="O2222" i="5"/>
  <c r="N2222" i="5"/>
  <c r="M2222" i="5"/>
  <c r="L2222" i="5"/>
  <c r="K2222" i="5"/>
  <c r="J2222" i="5"/>
  <c r="I2222" i="5"/>
  <c r="H2222" i="5"/>
  <c r="V2221" i="5"/>
  <c r="U2221" i="5"/>
  <c r="T2221" i="5"/>
  <c r="S2221" i="5"/>
  <c r="R2221" i="5"/>
  <c r="Q2221" i="5"/>
  <c r="P2221" i="5"/>
  <c r="O2221" i="5"/>
  <c r="N2221" i="5"/>
  <c r="M2221" i="5"/>
  <c r="L2221" i="5"/>
  <c r="K2221" i="5"/>
  <c r="J2221" i="5"/>
  <c r="I2221" i="5"/>
  <c r="H2221" i="5"/>
  <c r="V2220" i="5"/>
  <c r="O2220" i="5"/>
  <c r="N2220" i="5"/>
  <c r="M2220" i="5"/>
  <c r="L2220" i="5"/>
  <c r="K2220" i="5"/>
  <c r="J2220" i="5"/>
  <c r="I2220" i="5"/>
  <c r="H2220" i="5"/>
  <c r="V2219" i="5"/>
  <c r="U2219" i="5"/>
  <c r="T2219" i="5"/>
  <c r="S2219" i="5"/>
  <c r="R2219" i="5"/>
  <c r="Q2219" i="5"/>
  <c r="P2219" i="5"/>
  <c r="O2219" i="5"/>
  <c r="N2219" i="5"/>
  <c r="M2219" i="5"/>
  <c r="L2219" i="5"/>
  <c r="K2219" i="5"/>
  <c r="J2219" i="5"/>
  <c r="I2219" i="5"/>
  <c r="H2219" i="5"/>
  <c r="V2218" i="5"/>
  <c r="U2218" i="5"/>
  <c r="T2218" i="5"/>
  <c r="S2218" i="5"/>
  <c r="R2218" i="5"/>
  <c r="Q2218" i="5"/>
  <c r="P2218" i="5"/>
  <c r="O2218" i="5"/>
  <c r="N2218" i="5"/>
  <c r="M2218" i="5"/>
  <c r="L2218" i="5"/>
  <c r="K2218" i="5"/>
  <c r="J2218" i="5"/>
  <c r="I2218" i="5"/>
  <c r="H2218" i="5"/>
  <c r="V2217" i="5"/>
  <c r="U2217" i="5"/>
  <c r="T2217" i="5"/>
  <c r="S2217" i="5"/>
  <c r="R2217" i="5"/>
  <c r="Q2217" i="5"/>
  <c r="P2217" i="5"/>
  <c r="O2217" i="5"/>
  <c r="N2217" i="5"/>
  <c r="M2217" i="5"/>
  <c r="L2217" i="5"/>
  <c r="K2217" i="5"/>
  <c r="J2217" i="5"/>
  <c r="I2217" i="5"/>
  <c r="H2217" i="5"/>
  <c r="V2216" i="5"/>
  <c r="U2216" i="5"/>
  <c r="T2216" i="5"/>
  <c r="S2216" i="5"/>
  <c r="R2216" i="5"/>
  <c r="Q2216" i="5"/>
  <c r="P2216" i="5"/>
  <c r="O2216" i="5"/>
  <c r="N2216" i="5"/>
  <c r="M2216" i="5"/>
  <c r="L2216" i="5"/>
  <c r="K2216" i="5"/>
  <c r="J2216" i="5"/>
  <c r="I2216" i="5"/>
  <c r="H2216" i="5"/>
  <c r="V2215" i="5"/>
  <c r="U2215" i="5"/>
  <c r="T2215" i="5"/>
  <c r="S2215" i="5"/>
  <c r="R2215" i="5"/>
  <c r="Q2215" i="5"/>
  <c r="P2215" i="5"/>
  <c r="O2215" i="5"/>
  <c r="N2215" i="5"/>
  <c r="M2215" i="5"/>
  <c r="L2215" i="5"/>
  <c r="K2215" i="5"/>
  <c r="J2215" i="5"/>
  <c r="I2215" i="5"/>
  <c r="H2215" i="5"/>
  <c r="V2214" i="5"/>
  <c r="U2214" i="5"/>
  <c r="T2214" i="5"/>
  <c r="S2214" i="5"/>
  <c r="R2214" i="5"/>
  <c r="Q2214" i="5"/>
  <c r="P2214" i="5"/>
  <c r="V2213" i="5"/>
  <c r="U2213" i="5"/>
  <c r="T2213" i="5"/>
  <c r="S2213" i="5"/>
  <c r="R2213" i="5"/>
  <c r="Q2213" i="5"/>
  <c r="P2213" i="5"/>
  <c r="O2213" i="5"/>
  <c r="N2213" i="5"/>
  <c r="M2213" i="5"/>
  <c r="L2213" i="5"/>
  <c r="K2213" i="5"/>
  <c r="J2213" i="5"/>
  <c r="I2213" i="5"/>
  <c r="H2213" i="5"/>
  <c r="U2212" i="5"/>
  <c r="T2212" i="5"/>
  <c r="S2212" i="5"/>
  <c r="R2212" i="5"/>
  <c r="Q2212" i="5"/>
  <c r="P2212" i="5"/>
  <c r="O2212" i="5"/>
  <c r="N2212" i="5"/>
  <c r="M2212" i="5"/>
  <c r="L2212" i="5"/>
  <c r="K2212" i="5"/>
  <c r="J2212" i="5"/>
  <c r="I2212" i="5"/>
  <c r="H2212" i="5"/>
  <c r="V2211" i="5"/>
  <c r="U2211" i="5"/>
  <c r="T2211" i="5"/>
  <c r="S2211" i="5"/>
  <c r="R2211" i="5"/>
  <c r="Q2211" i="5"/>
  <c r="P2211" i="5"/>
  <c r="O2211" i="5"/>
  <c r="N2211" i="5"/>
  <c r="M2211" i="5"/>
  <c r="L2211" i="5"/>
  <c r="K2211" i="5"/>
  <c r="J2211" i="5"/>
  <c r="I2211" i="5"/>
  <c r="H2211" i="5"/>
  <c r="V2210" i="5"/>
  <c r="O2210" i="5"/>
  <c r="N2210" i="5"/>
  <c r="M2210" i="5"/>
  <c r="L2210" i="5"/>
  <c r="K2210" i="5"/>
  <c r="J2210" i="5"/>
  <c r="I2210" i="5"/>
  <c r="H2210" i="5"/>
  <c r="V2209" i="5"/>
  <c r="U2209" i="5"/>
  <c r="T2209" i="5"/>
  <c r="S2209" i="5"/>
  <c r="R2209" i="5"/>
  <c r="Q2209" i="5"/>
  <c r="P2209" i="5"/>
  <c r="O2209" i="5"/>
  <c r="N2209" i="5"/>
  <c r="M2209" i="5"/>
  <c r="L2209" i="5"/>
  <c r="K2209" i="5"/>
  <c r="J2209" i="5"/>
  <c r="I2209" i="5"/>
  <c r="H2209" i="5"/>
  <c r="V2208" i="5"/>
  <c r="U2208" i="5"/>
  <c r="T2208" i="5"/>
  <c r="S2208" i="5"/>
  <c r="R2208" i="5"/>
  <c r="Q2208" i="5"/>
  <c r="P2208" i="5"/>
  <c r="O2208" i="5"/>
  <c r="N2208" i="5"/>
  <c r="M2208" i="5"/>
  <c r="L2208" i="5"/>
  <c r="K2208" i="5"/>
  <c r="J2208" i="5"/>
  <c r="I2208" i="5"/>
  <c r="H2208" i="5"/>
  <c r="V2207" i="5"/>
  <c r="U2207" i="5"/>
  <c r="T2207" i="5"/>
  <c r="S2207" i="5"/>
  <c r="R2207" i="5"/>
  <c r="Q2207" i="5"/>
  <c r="P2207" i="5"/>
  <c r="O2207" i="5"/>
  <c r="N2207" i="5"/>
  <c r="M2207" i="5"/>
  <c r="L2207" i="5"/>
  <c r="K2207" i="5"/>
  <c r="J2207" i="5"/>
  <c r="I2207" i="5"/>
  <c r="H2207" i="5"/>
  <c r="V2206" i="5"/>
  <c r="U2206" i="5"/>
  <c r="T2206" i="5"/>
  <c r="S2206" i="5"/>
  <c r="R2206" i="5"/>
  <c r="Q2206" i="5"/>
  <c r="P2206" i="5"/>
  <c r="O2206" i="5"/>
  <c r="N2206" i="5"/>
  <c r="M2206" i="5"/>
  <c r="L2206" i="5"/>
  <c r="K2206" i="5"/>
  <c r="J2206" i="5"/>
  <c r="I2206" i="5"/>
  <c r="H2206" i="5"/>
  <c r="V2205" i="5"/>
  <c r="U2205" i="5"/>
  <c r="T2205" i="5"/>
  <c r="S2205" i="5"/>
  <c r="R2205" i="5"/>
  <c r="Q2205" i="5"/>
  <c r="P2205" i="5"/>
  <c r="O2205" i="5"/>
  <c r="N2205" i="5"/>
  <c r="M2205" i="5"/>
  <c r="L2205" i="5"/>
  <c r="K2205" i="5"/>
  <c r="J2205" i="5"/>
  <c r="I2205" i="5"/>
  <c r="H2205" i="5"/>
  <c r="V2204" i="5"/>
  <c r="U2204" i="5"/>
  <c r="T2204" i="5"/>
  <c r="S2204" i="5"/>
  <c r="R2204" i="5"/>
  <c r="Q2204" i="5"/>
  <c r="P2204" i="5"/>
  <c r="V2203" i="5"/>
  <c r="U2203" i="5"/>
  <c r="T2203" i="5"/>
  <c r="S2203" i="5"/>
  <c r="R2203" i="5"/>
  <c r="Q2203" i="5"/>
  <c r="P2203" i="5"/>
  <c r="O2203" i="5"/>
  <c r="N2203" i="5"/>
  <c r="M2203" i="5"/>
  <c r="L2203" i="5"/>
  <c r="K2203" i="5"/>
  <c r="J2203" i="5"/>
  <c r="I2203" i="5"/>
  <c r="H2203" i="5"/>
  <c r="U2202" i="5"/>
  <c r="T2202" i="5"/>
  <c r="S2202" i="5"/>
  <c r="R2202" i="5"/>
  <c r="Q2202" i="5"/>
  <c r="P2202" i="5"/>
  <c r="O2202" i="5"/>
  <c r="N2202" i="5"/>
  <c r="M2202" i="5"/>
  <c r="L2202" i="5"/>
  <c r="K2202" i="5"/>
  <c r="J2202" i="5"/>
  <c r="I2202" i="5"/>
  <c r="H2202" i="5"/>
  <c r="V2201" i="5"/>
  <c r="U2201" i="5"/>
  <c r="T2201" i="5"/>
  <c r="S2201" i="5"/>
  <c r="R2201" i="5"/>
  <c r="Q2201" i="5"/>
  <c r="P2201" i="5"/>
  <c r="O2201" i="5"/>
  <c r="N2201" i="5"/>
  <c r="M2201" i="5"/>
  <c r="L2201" i="5"/>
  <c r="K2201" i="5"/>
  <c r="J2201" i="5"/>
  <c r="I2201" i="5"/>
  <c r="H2201" i="5"/>
  <c r="V2200" i="5"/>
  <c r="O2200" i="5"/>
  <c r="N2200" i="5"/>
  <c r="M2200" i="5"/>
  <c r="L2200" i="5"/>
  <c r="K2200" i="5"/>
  <c r="J2200" i="5"/>
  <c r="I2200" i="5"/>
  <c r="H2200" i="5"/>
  <c r="V2199" i="5"/>
  <c r="U2199" i="5"/>
  <c r="T2199" i="5"/>
  <c r="S2199" i="5"/>
  <c r="R2199" i="5"/>
  <c r="Q2199" i="5"/>
  <c r="P2199" i="5"/>
  <c r="O2199" i="5"/>
  <c r="N2199" i="5"/>
  <c r="M2199" i="5"/>
  <c r="L2199" i="5"/>
  <c r="K2199" i="5"/>
  <c r="J2199" i="5"/>
  <c r="I2199" i="5"/>
  <c r="H2199" i="5"/>
  <c r="V2198" i="5"/>
  <c r="U2198" i="5"/>
  <c r="T2198" i="5"/>
  <c r="S2198" i="5"/>
  <c r="R2198" i="5"/>
  <c r="Q2198" i="5"/>
  <c r="P2198" i="5"/>
  <c r="O2198" i="5"/>
  <c r="N2198" i="5"/>
  <c r="M2198" i="5"/>
  <c r="L2198" i="5"/>
  <c r="K2198" i="5"/>
  <c r="J2198" i="5"/>
  <c r="I2198" i="5"/>
  <c r="H2198" i="5"/>
  <c r="V2197" i="5"/>
  <c r="U2197" i="5"/>
  <c r="T2197" i="5"/>
  <c r="S2197" i="5"/>
  <c r="R2197" i="5"/>
  <c r="Q2197" i="5"/>
  <c r="P2197" i="5"/>
  <c r="O2197" i="5"/>
  <c r="N2197" i="5"/>
  <c r="M2197" i="5"/>
  <c r="L2197" i="5"/>
  <c r="K2197" i="5"/>
  <c r="J2197" i="5"/>
  <c r="I2197" i="5"/>
  <c r="H2197" i="5"/>
  <c r="V2196" i="5"/>
  <c r="U2196" i="5"/>
  <c r="T2196" i="5"/>
  <c r="S2196" i="5"/>
  <c r="R2196" i="5"/>
  <c r="Q2196" i="5"/>
  <c r="P2196" i="5"/>
  <c r="O2196" i="5"/>
  <c r="N2196" i="5"/>
  <c r="M2196" i="5"/>
  <c r="L2196" i="5"/>
  <c r="K2196" i="5"/>
  <c r="J2196" i="5"/>
  <c r="I2196" i="5"/>
  <c r="H2196" i="5"/>
  <c r="V2195" i="5"/>
  <c r="U2195" i="5"/>
  <c r="T2195" i="5"/>
  <c r="S2195" i="5"/>
  <c r="R2195" i="5"/>
  <c r="Q2195" i="5"/>
  <c r="P2195" i="5"/>
  <c r="O2195" i="5"/>
  <c r="N2195" i="5"/>
  <c r="M2195" i="5"/>
  <c r="L2195" i="5"/>
  <c r="K2195" i="5"/>
  <c r="J2195" i="5"/>
  <c r="I2195" i="5"/>
  <c r="H2195" i="5"/>
  <c r="V2194" i="5"/>
  <c r="U2194" i="5"/>
  <c r="T2194" i="5"/>
  <c r="S2194" i="5"/>
  <c r="R2194" i="5"/>
  <c r="Q2194" i="5"/>
  <c r="P2194" i="5"/>
  <c r="V2193" i="5"/>
  <c r="U2193" i="5"/>
  <c r="T2193" i="5"/>
  <c r="S2193" i="5"/>
  <c r="R2193" i="5"/>
  <c r="Q2193" i="5"/>
  <c r="P2193" i="5"/>
  <c r="O2193" i="5"/>
  <c r="N2193" i="5"/>
  <c r="M2193" i="5"/>
  <c r="L2193" i="5"/>
  <c r="K2193" i="5"/>
  <c r="J2193" i="5"/>
  <c r="I2193" i="5"/>
  <c r="H2193" i="5"/>
  <c r="U2192" i="5"/>
  <c r="T2192" i="5"/>
  <c r="S2192" i="5"/>
  <c r="R2192" i="5"/>
  <c r="Q2192" i="5"/>
  <c r="P2192" i="5"/>
  <c r="O2192" i="5"/>
  <c r="N2192" i="5"/>
  <c r="M2192" i="5"/>
  <c r="L2192" i="5"/>
  <c r="K2192" i="5"/>
  <c r="J2192" i="5"/>
  <c r="I2192" i="5"/>
  <c r="H2192" i="5"/>
  <c r="V2191" i="5"/>
  <c r="U2191" i="5"/>
  <c r="T2191" i="5"/>
  <c r="S2191" i="5"/>
  <c r="R2191" i="5"/>
  <c r="Q2191" i="5"/>
  <c r="P2191" i="5"/>
  <c r="O2191" i="5"/>
  <c r="N2191" i="5"/>
  <c r="M2191" i="5"/>
  <c r="L2191" i="5"/>
  <c r="K2191" i="5"/>
  <c r="J2191" i="5"/>
  <c r="I2191" i="5"/>
  <c r="H2191" i="5"/>
  <c r="V2190" i="5"/>
  <c r="O2190" i="5"/>
  <c r="N2190" i="5"/>
  <c r="M2190" i="5"/>
  <c r="L2190" i="5"/>
  <c r="K2190" i="5"/>
  <c r="J2190" i="5"/>
  <c r="I2190" i="5"/>
  <c r="H2190" i="5"/>
  <c r="V2189" i="5"/>
  <c r="U2189" i="5"/>
  <c r="T2189" i="5"/>
  <c r="S2189" i="5"/>
  <c r="R2189" i="5"/>
  <c r="Q2189" i="5"/>
  <c r="P2189" i="5"/>
  <c r="O2189" i="5"/>
  <c r="N2189" i="5"/>
  <c r="M2189" i="5"/>
  <c r="L2189" i="5"/>
  <c r="K2189" i="5"/>
  <c r="J2189" i="5"/>
  <c r="I2189" i="5"/>
  <c r="H2189" i="5"/>
  <c r="V2188" i="5"/>
  <c r="U2188" i="5"/>
  <c r="T2188" i="5"/>
  <c r="S2188" i="5"/>
  <c r="R2188" i="5"/>
  <c r="Q2188" i="5"/>
  <c r="P2188" i="5"/>
  <c r="O2188" i="5"/>
  <c r="N2188" i="5"/>
  <c r="M2188" i="5"/>
  <c r="L2188" i="5"/>
  <c r="K2188" i="5"/>
  <c r="J2188" i="5"/>
  <c r="I2188" i="5"/>
  <c r="H2188" i="5"/>
  <c r="V2187" i="5"/>
  <c r="U2187" i="5"/>
  <c r="T2187" i="5"/>
  <c r="S2187" i="5"/>
  <c r="R2187" i="5"/>
  <c r="Q2187" i="5"/>
  <c r="P2187" i="5"/>
  <c r="V2186" i="5"/>
  <c r="U2186" i="5"/>
  <c r="T2186" i="5"/>
  <c r="S2186" i="5"/>
  <c r="R2186" i="5"/>
  <c r="Q2186" i="5"/>
  <c r="P2186" i="5"/>
  <c r="U2185" i="5"/>
  <c r="T2185" i="5"/>
  <c r="S2185" i="5"/>
  <c r="R2185" i="5"/>
  <c r="Q2185" i="5"/>
  <c r="P2185" i="5"/>
  <c r="U2184" i="5"/>
  <c r="T2184" i="5"/>
  <c r="S2184" i="5"/>
  <c r="R2184" i="5"/>
  <c r="Q2184" i="5"/>
  <c r="P2184" i="5"/>
  <c r="O2177" i="5"/>
  <c r="N2177" i="5"/>
  <c r="M2177" i="5"/>
  <c r="L2177" i="5"/>
  <c r="K2177" i="5"/>
  <c r="J2177" i="5"/>
  <c r="I2177" i="5"/>
  <c r="H2177" i="5"/>
  <c r="O2176" i="5"/>
  <c r="N2176" i="5"/>
  <c r="M2176" i="5"/>
  <c r="L2176" i="5"/>
  <c r="K2176" i="5"/>
  <c r="J2176" i="5"/>
  <c r="I2176" i="5"/>
  <c r="H2176" i="5"/>
  <c r="V2175" i="5"/>
  <c r="O2175" i="5"/>
  <c r="N2175" i="5"/>
  <c r="M2175" i="5"/>
  <c r="L2175" i="5"/>
  <c r="K2175" i="5"/>
  <c r="J2175" i="5"/>
  <c r="I2175" i="5"/>
  <c r="H2175" i="5"/>
  <c r="V2174" i="5"/>
  <c r="V2173" i="5"/>
  <c r="U2173" i="5"/>
  <c r="T2173" i="5"/>
  <c r="S2173" i="5"/>
  <c r="R2173" i="5"/>
  <c r="Q2173" i="5"/>
  <c r="P2173" i="5"/>
  <c r="O2173" i="5"/>
  <c r="N2173" i="5"/>
  <c r="M2173" i="5"/>
  <c r="L2173" i="5"/>
  <c r="K2173" i="5"/>
  <c r="J2173" i="5"/>
  <c r="I2173" i="5"/>
  <c r="H2173" i="5"/>
  <c r="U2172" i="5"/>
  <c r="T2172" i="5"/>
  <c r="S2172" i="5"/>
  <c r="R2172" i="5"/>
  <c r="Q2172" i="5"/>
  <c r="P2172" i="5"/>
  <c r="O2172" i="5"/>
  <c r="N2172" i="5"/>
  <c r="M2172" i="5"/>
  <c r="L2172" i="5"/>
  <c r="K2172" i="5"/>
  <c r="J2172" i="5"/>
  <c r="I2172" i="5"/>
  <c r="H2172" i="5"/>
  <c r="V2171" i="5"/>
  <c r="U2171" i="5"/>
  <c r="T2171" i="5"/>
  <c r="S2171" i="5"/>
  <c r="R2171" i="5"/>
  <c r="Q2171" i="5"/>
  <c r="P2171" i="5"/>
  <c r="O2171" i="5"/>
  <c r="N2171" i="5"/>
  <c r="M2171" i="5"/>
  <c r="L2171" i="5"/>
  <c r="K2171" i="5"/>
  <c r="J2171" i="5"/>
  <c r="I2171" i="5"/>
  <c r="H2171" i="5"/>
  <c r="V2170" i="5"/>
  <c r="O2170" i="5"/>
  <c r="N2170" i="5"/>
  <c r="M2170" i="5"/>
  <c r="L2170" i="5"/>
  <c r="K2170" i="5"/>
  <c r="J2170" i="5"/>
  <c r="I2170" i="5"/>
  <c r="H2170" i="5"/>
  <c r="V2169" i="5"/>
  <c r="U2169" i="5"/>
  <c r="T2169" i="5"/>
  <c r="S2169" i="5"/>
  <c r="R2169" i="5"/>
  <c r="Q2169" i="5"/>
  <c r="P2169" i="5"/>
  <c r="O2169" i="5"/>
  <c r="N2169" i="5"/>
  <c r="M2169" i="5"/>
  <c r="L2169" i="5"/>
  <c r="K2169" i="5"/>
  <c r="J2169" i="5"/>
  <c r="I2169" i="5"/>
  <c r="H2169" i="5"/>
  <c r="V2168" i="5"/>
  <c r="U2168" i="5"/>
  <c r="T2168" i="5"/>
  <c r="S2168" i="5"/>
  <c r="R2168" i="5"/>
  <c r="Q2168" i="5"/>
  <c r="P2168" i="5"/>
  <c r="O2168" i="5"/>
  <c r="N2168" i="5"/>
  <c r="M2168" i="5"/>
  <c r="L2168" i="5"/>
  <c r="K2168" i="5"/>
  <c r="J2168" i="5"/>
  <c r="I2168" i="5"/>
  <c r="H2168" i="5"/>
  <c r="V2167" i="5"/>
  <c r="U2167" i="5"/>
  <c r="T2167" i="5"/>
  <c r="S2167" i="5"/>
  <c r="R2167" i="5"/>
  <c r="Q2167" i="5"/>
  <c r="P2167" i="5"/>
  <c r="O2167" i="5"/>
  <c r="N2167" i="5"/>
  <c r="M2167" i="5"/>
  <c r="L2167" i="5"/>
  <c r="K2167" i="5"/>
  <c r="J2167" i="5"/>
  <c r="I2167" i="5"/>
  <c r="H2167" i="5"/>
  <c r="V2166" i="5"/>
  <c r="U2166" i="5"/>
  <c r="T2166" i="5"/>
  <c r="S2166" i="5"/>
  <c r="R2166" i="5"/>
  <c r="Q2166" i="5"/>
  <c r="P2166" i="5"/>
  <c r="O2166" i="5"/>
  <c r="N2166" i="5"/>
  <c r="M2166" i="5"/>
  <c r="L2166" i="5"/>
  <c r="K2166" i="5"/>
  <c r="J2166" i="5"/>
  <c r="I2166" i="5"/>
  <c r="H2166" i="5"/>
  <c r="V2165" i="5"/>
  <c r="U2165" i="5"/>
  <c r="T2165" i="5"/>
  <c r="S2165" i="5"/>
  <c r="R2165" i="5"/>
  <c r="Q2165" i="5"/>
  <c r="P2165" i="5"/>
  <c r="O2165" i="5"/>
  <c r="N2165" i="5"/>
  <c r="M2165" i="5"/>
  <c r="L2165" i="5"/>
  <c r="K2165" i="5"/>
  <c r="J2165" i="5"/>
  <c r="I2165" i="5"/>
  <c r="H2165" i="5"/>
  <c r="V2164" i="5"/>
  <c r="U2164" i="5"/>
  <c r="T2164" i="5"/>
  <c r="S2164" i="5"/>
  <c r="R2164" i="5"/>
  <c r="Q2164" i="5"/>
  <c r="P2164" i="5"/>
  <c r="V2163" i="5"/>
  <c r="U2163" i="5"/>
  <c r="T2163" i="5"/>
  <c r="S2163" i="5"/>
  <c r="R2163" i="5"/>
  <c r="Q2163" i="5"/>
  <c r="P2163" i="5"/>
  <c r="O2163" i="5"/>
  <c r="N2163" i="5"/>
  <c r="M2163" i="5"/>
  <c r="L2163" i="5"/>
  <c r="K2163" i="5"/>
  <c r="J2163" i="5"/>
  <c r="I2163" i="5"/>
  <c r="H2163" i="5"/>
  <c r="U2162" i="5"/>
  <c r="T2162" i="5"/>
  <c r="S2162" i="5"/>
  <c r="R2162" i="5"/>
  <c r="Q2162" i="5"/>
  <c r="P2162" i="5"/>
  <c r="O2162" i="5"/>
  <c r="N2162" i="5"/>
  <c r="M2162" i="5"/>
  <c r="L2162" i="5"/>
  <c r="K2162" i="5"/>
  <c r="J2162" i="5"/>
  <c r="I2162" i="5"/>
  <c r="H2162" i="5"/>
  <c r="V2161" i="5"/>
  <c r="U2161" i="5"/>
  <c r="T2161" i="5"/>
  <c r="S2161" i="5"/>
  <c r="R2161" i="5"/>
  <c r="Q2161" i="5"/>
  <c r="P2161" i="5"/>
  <c r="O2161" i="5"/>
  <c r="N2161" i="5"/>
  <c r="M2161" i="5"/>
  <c r="L2161" i="5"/>
  <c r="K2161" i="5"/>
  <c r="J2161" i="5"/>
  <c r="I2161" i="5"/>
  <c r="H2161" i="5"/>
  <c r="V2160" i="5"/>
  <c r="O2160" i="5"/>
  <c r="N2160" i="5"/>
  <c r="M2160" i="5"/>
  <c r="L2160" i="5"/>
  <c r="K2160" i="5"/>
  <c r="J2160" i="5"/>
  <c r="I2160" i="5"/>
  <c r="H2160" i="5"/>
  <c r="V2159" i="5"/>
  <c r="U2159" i="5"/>
  <c r="T2159" i="5"/>
  <c r="S2159" i="5"/>
  <c r="R2159" i="5"/>
  <c r="Q2159" i="5"/>
  <c r="P2159" i="5"/>
  <c r="O2159" i="5"/>
  <c r="N2159" i="5"/>
  <c r="M2159" i="5"/>
  <c r="L2159" i="5"/>
  <c r="K2159" i="5"/>
  <c r="J2159" i="5"/>
  <c r="I2159" i="5"/>
  <c r="H2159" i="5"/>
  <c r="V2158" i="5"/>
  <c r="U2158" i="5"/>
  <c r="T2158" i="5"/>
  <c r="S2158" i="5"/>
  <c r="R2158" i="5"/>
  <c r="Q2158" i="5"/>
  <c r="P2158" i="5"/>
  <c r="O2158" i="5"/>
  <c r="N2158" i="5"/>
  <c r="M2158" i="5"/>
  <c r="L2158" i="5"/>
  <c r="K2158" i="5"/>
  <c r="J2158" i="5"/>
  <c r="I2158" i="5"/>
  <c r="H2158" i="5"/>
  <c r="V2157" i="5"/>
  <c r="U2157" i="5"/>
  <c r="T2157" i="5"/>
  <c r="S2157" i="5"/>
  <c r="R2157" i="5"/>
  <c r="Q2157" i="5"/>
  <c r="P2157" i="5"/>
  <c r="O2157" i="5"/>
  <c r="N2157" i="5"/>
  <c r="M2157" i="5"/>
  <c r="L2157" i="5"/>
  <c r="K2157" i="5"/>
  <c r="J2157" i="5"/>
  <c r="I2157" i="5"/>
  <c r="H2157" i="5"/>
  <c r="V2156" i="5"/>
  <c r="U2156" i="5"/>
  <c r="T2156" i="5"/>
  <c r="S2156" i="5"/>
  <c r="R2156" i="5"/>
  <c r="Q2156" i="5"/>
  <c r="P2156" i="5"/>
  <c r="O2156" i="5"/>
  <c r="N2156" i="5"/>
  <c r="M2156" i="5"/>
  <c r="L2156" i="5"/>
  <c r="K2156" i="5"/>
  <c r="J2156" i="5"/>
  <c r="I2156" i="5"/>
  <c r="H2156" i="5"/>
  <c r="V2155" i="5"/>
  <c r="U2155" i="5"/>
  <c r="T2155" i="5"/>
  <c r="S2155" i="5"/>
  <c r="R2155" i="5"/>
  <c r="Q2155" i="5"/>
  <c r="P2155" i="5"/>
  <c r="O2155" i="5"/>
  <c r="N2155" i="5"/>
  <c r="M2155" i="5"/>
  <c r="L2155" i="5"/>
  <c r="K2155" i="5"/>
  <c r="J2155" i="5"/>
  <c r="I2155" i="5"/>
  <c r="H2155" i="5"/>
  <c r="V2154" i="5"/>
  <c r="U2154" i="5"/>
  <c r="T2154" i="5"/>
  <c r="S2154" i="5"/>
  <c r="R2154" i="5"/>
  <c r="Q2154" i="5"/>
  <c r="P2154" i="5"/>
  <c r="V2153" i="5"/>
  <c r="U2153" i="5"/>
  <c r="T2153" i="5"/>
  <c r="S2153" i="5"/>
  <c r="R2153" i="5"/>
  <c r="Q2153" i="5"/>
  <c r="P2153" i="5"/>
  <c r="O2153" i="5"/>
  <c r="N2153" i="5"/>
  <c r="M2153" i="5"/>
  <c r="L2153" i="5"/>
  <c r="K2153" i="5"/>
  <c r="J2153" i="5"/>
  <c r="I2153" i="5"/>
  <c r="H2153" i="5"/>
  <c r="U2152" i="5"/>
  <c r="T2152" i="5"/>
  <c r="S2152" i="5"/>
  <c r="R2152" i="5"/>
  <c r="Q2152" i="5"/>
  <c r="P2152" i="5"/>
  <c r="O2152" i="5"/>
  <c r="N2152" i="5"/>
  <c r="M2152" i="5"/>
  <c r="L2152" i="5"/>
  <c r="K2152" i="5"/>
  <c r="J2152" i="5"/>
  <c r="I2152" i="5"/>
  <c r="H2152" i="5"/>
  <c r="V2151" i="5"/>
  <c r="U2151" i="5"/>
  <c r="T2151" i="5"/>
  <c r="S2151" i="5"/>
  <c r="R2151" i="5"/>
  <c r="Q2151" i="5"/>
  <c r="P2151" i="5"/>
  <c r="O2151" i="5"/>
  <c r="N2151" i="5"/>
  <c r="M2151" i="5"/>
  <c r="L2151" i="5"/>
  <c r="K2151" i="5"/>
  <c r="J2151" i="5"/>
  <c r="I2151" i="5"/>
  <c r="H2151" i="5"/>
  <c r="V2150" i="5"/>
  <c r="O2150" i="5"/>
  <c r="N2150" i="5"/>
  <c r="M2150" i="5"/>
  <c r="L2150" i="5"/>
  <c r="K2150" i="5"/>
  <c r="J2150" i="5"/>
  <c r="I2150" i="5"/>
  <c r="H2150" i="5"/>
  <c r="V2149" i="5"/>
  <c r="U2149" i="5"/>
  <c r="T2149" i="5"/>
  <c r="S2149" i="5"/>
  <c r="R2149" i="5"/>
  <c r="Q2149" i="5"/>
  <c r="P2149" i="5"/>
  <c r="O2149" i="5"/>
  <c r="N2149" i="5"/>
  <c r="M2149" i="5"/>
  <c r="L2149" i="5"/>
  <c r="K2149" i="5"/>
  <c r="J2149" i="5"/>
  <c r="I2149" i="5"/>
  <c r="H2149" i="5"/>
  <c r="V2148" i="5"/>
  <c r="U2148" i="5"/>
  <c r="T2148" i="5"/>
  <c r="S2148" i="5"/>
  <c r="R2148" i="5"/>
  <c r="Q2148" i="5"/>
  <c r="P2148" i="5"/>
  <c r="O2148" i="5"/>
  <c r="N2148" i="5"/>
  <c r="M2148" i="5"/>
  <c r="L2148" i="5"/>
  <c r="K2148" i="5"/>
  <c r="J2148" i="5"/>
  <c r="I2148" i="5"/>
  <c r="H2148" i="5"/>
  <c r="V2147" i="5"/>
  <c r="U2147" i="5"/>
  <c r="T2147" i="5"/>
  <c r="S2147" i="5"/>
  <c r="R2147" i="5"/>
  <c r="Q2147" i="5"/>
  <c r="P2147" i="5"/>
  <c r="O2147" i="5"/>
  <c r="N2147" i="5"/>
  <c r="M2147" i="5"/>
  <c r="L2147" i="5"/>
  <c r="K2147" i="5"/>
  <c r="J2147" i="5"/>
  <c r="I2147" i="5"/>
  <c r="H2147" i="5"/>
  <c r="V2146" i="5"/>
  <c r="U2146" i="5"/>
  <c r="T2146" i="5"/>
  <c r="S2146" i="5"/>
  <c r="R2146" i="5"/>
  <c r="Q2146" i="5"/>
  <c r="P2146" i="5"/>
  <c r="O2146" i="5"/>
  <c r="N2146" i="5"/>
  <c r="M2146" i="5"/>
  <c r="L2146" i="5"/>
  <c r="K2146" i="5"/>
  <c r="J2146" i="5"/>
  <c r="I2146" i="5"/>
  <c r="H2146" i="5"/>
  <c r="V2145" i="5"/>
  <c r="U2145" i="5"/>
  <c r="T2145" i="5"/>
  <c r="S2145" i="5"/>
  <c r="R2145" i="5"/>
  <c r="Q2145" i="5"/>
  <c r="P2145" i="5"/>
  <c r="O2145" i="5"/>
  <c r="N2145" i="5"/>
  <c r="M2145" i="5"/>
  <c r="L2145" i="5"/>
  <c r="K2145" i="5"/>
  <c r="J2145" i="5"/>
  <c r="I2145" i="5"/>
  <c r="H2145" i="5"/>
  <c r="V2144" i="5"/>
  <c r="U2144" i="5"/>
  <c r="T2144" i="5"/>
  <c r="S2144" i="5"/>
  <c r="R2144" i="5"/>
  <c r="Q2144" i="5"/>
  <c r="P2144" i="5"/>
  <c r="V2143" i="5"/>
  <c r="U2143" i="5"/>
  <c r="T2143" i="5"/>
  <c r="S2143" i="5"/>
  <c r="R2143" i="5"/>
  <c r="Q2143" i="5"/>
  <c r="P2143" i="5"/>
  <c r="O2143" i="5"/>
  <c r="N2143" i="5"/>
  <c r="M2143" i="5"/>
  <c r="L2143" i="5"/>
  <c r="K2143" i="5"/>
  <c r="J2143" i="5"/>
  <c r="I2143" i="5"/>
  <c r="H2143" i="5"/>
  <c r="U2142" i="5"/>
  <c r="T2142" i="5"/>
  <c r="S2142" i="5"/>
  <c r="R2142" i="5"/>
  <c r="Q2142" i="5"/>
  <c r="P2142" i="5"/>
  <c r="O2142" i="5"/>
  <c r="N2142" i="5"/>
  <c r="M2142" i="5"/>
  <c r="L2142" i="5"/>
  <c r="K2142" i="5"/>
  <c r="J2142" i="5"/>
  <c r="I2142" i="5"/>
  <c r="H2142" i="5"/>
  <c r="V2141" i="5"/>
  <c r="U2141" i="5"/>
  <c r="T2141" i="5"/>
  <c r="S2141" i="5"/>
  <c r="R2141" i="5"/>
  <c r="Q2141" i="5"/>
  <c r="P2141" i="5"/>
  <c r="O2141" i="5"/>
  <c r="N2141" i="5"/>
  <c r="M2141" i="5"/>
  <c r="L2141" i="5"/>
  <c r="K2141" i="5"/>
  <c r="J2141" i="5"/>
  <c r="I2141" i="5"/>
  <c r="H2141" i="5"/>
  <c r="V2140" i="5"/>
  <c r="O2140" i="5"/>
  <c r="N2140" i="5"/>
  <c r="M2140" i="5"/>
  <c r="L2140" i="5"/>
  <c r="K2140" i="5"/>
  <c r="J2140" i="5"/>
  <c r="I2140" i="5"/>
  <c r="H2140" i="5"/>
  <c r="V2139" i="5"/>
  <c r="U2139" i="5"/>
  <c r="T2139" i="5"/>
  <c r="S2139" i="5"/>
  <c r="R2139" i="5"/>
  <c r="Q2139" i="5"/>
  <c r="P2139" i="5"/>
  <c r="O2139" i="5"/>
  <c r="N2139" i="5"/>
  <c r="M2139" i="5"/>
  <c r="L2139" i="5"/>
  <c r="K2139" i="5"/>
  <c r="J2139" i="5"/>
  <c r="I2139" i="5"/>
  <c r="H2139" i="5"/>
  <c r="V2138" i="5"/>
  <c r="U2138" i="5"/>
  <c r="T2138" i="5"/>
  <c r="S2138" i="5"/>
  <c r="R2138" i="5"/>
  <c r="Q2138" i="5"/>
  <c r="P2138" i="5"/>
  <c r="O2138" i="5"/>
  <c r="N2138" i="5"/>
  <c r="M2138" i="5"/>
  <c r="L2138" i="5"/>
  <c r="K2138" i="5"/>
  <c r="J2138" i="5"/>
  <c r="I2138" i="5"/>
  <c r="H2138" i="5"/>
  <c r="V2137" i="5"/>
  <c r="U2137" i="5"/>
  <c r="T2137" i="5"/>
  <c r="S2137" i="5"/>
  <c r="R2137" i="5"/>
  <c r="Q2137" i="5"/>
  <c r="P2137" i="5"/>
  <c r="O2137" i="5"/>
  <c r="N2137" i="5"/>
  <c r="M2137" i="5"/>
  <c r="L2137" i="5"/>
  <c r="K2137" i="5"/>
  <c r="J2137" i="5"/>
  <c r="I2137" i="5"/>
  <c r="H2137" i="5"/>
  <c r="V2136" i="5"/>
  <c r="U2136" i="5"/>
  <c r="T2136" i="5"/>
  <c r="S2136" i="5"/>
  <c r="R2136" i="5"/>
  <c r="Q2136" i="5"/>
  <c r="P2136" i="5"/>
  <c r="O2136" i="5"/>
  <c r="N2136" i="5"/>
  <c r="M2136" i="5"/>
  <c r="L2136" i="5"/>
  <c r="K2136" i="5"/>
  <c r="J2136" i="5"/>
  <c r="I2136" i="5"/>
  <c r="H2136" i="5"/>
  <c r="V2135" i="5"/>
  <c r="U2135" i="5"/>
  <c r="T2135" i="5"/>
  <c r="S2135" i="5"/>
  <c r="R2135" i="5"/>
  <c r="Q2135" i="5"/>
  <c r="P2135" i="5"/>
  <c r="O2135" i="5"/>
  <c r="N2135" i="5"/>
  <c r="M2135" i="5"/>
  <c r="L2135" i="5"/>
  <c r="K2135" i="5"/>
  <c r="J2135" i="5"/>
  <c r="I2135" i="5"/>
  <c r="H2135" i="5"/>
  <c r="V2134" i="5"/>
  <c r="U2134" i="5"/>
  <c r="T2134" i="5"/>
  <c r="S2134" i="5"/>
  <c r="R2134" i="5"/>
  <c r="Q2134" i="5"/>
  <c r="P2134" i="5"/>
  <c r="V2133" i="5"/>
  <c r="U2133" i="5"/>
  <c r="T2133" i="5"/>
  <c r="S2133" i="5"/>
  <c r="R2133" i="5"/>
  <c r="Q2133" i="5"/>
  <c r="P2133" i="5"/>
  <c r="O2133" i="5"/>
  <c r="N2133" i="5"/>
  <c r="M2133" i="5"/>
  <c r="L2133" i="5"/>
  <c r="K2133" i="5"/>
  <c r="J2133" i="5"/>
  <c r="I2133" i="5"/>
  <c r="H2133" i="5"/>
  <c r="U2132" i="5"/>
  <c r="T2132" i="5"/>
  <c r="S2132" i="5"/>
  <c r="R2132" i="5"/>
  <c r="Q2132" i="5"/>
  <c r="P2132" i="5"/>
  <c r="O2132" i="5"/>
  <c r="N2132" i="5"/>
  <c r="M2132" i="5"/>
  <c r="L2132" i="5"/>
  <c r="K2132" i="5"/>
  <c r="J2132" i="5"/>
  <c r="I2132" i="5"/>
  <c r="H2132" i="5"/>
  <c r="V2131" i="5"/>
  <c r="U2131" i="5"/>
  <c r="T2131" i="5"/>
  <c r="S2131" i="5"/>
  <c r="R2131" i="5"/>
  <c r="Q2131" i="5"/>
  <c r="P2131" i="5"/>
  <c r="O2131" i="5"/>
  <c r="N2131" i="5"/>
  <c r="M2131" i="5"/>
  <c r="L2131" i="5"/>
  <c r="K2131" i="5"/>
  <c r="J2131" i="5"/>
  <c r="I2131" i="5"/>
  <c r="H2131" i="5"/>
  <c r="V2130" i="5"/>
  <c r="O2130" i="5"/>
  <c r="N2130" i="5"/>
  <c r="M2130" i="5"/>
  <c r="L2130" i="5"/>
  <c r="K2130" i="5"/>
  <c r="J2130" i="5"/>
  <c r="I2130" i="5"/>
  <c r="H2130" i="5"/>
  <c r="V2129" i="5"/>
  <c r="U2129" i="5"/>
  <c r="T2129" i="5"/>
  <c r="S2129" i="5"/>
  <c r="R2129" i="5"/>
  <c r="Q2129" i="5"/>
  <c r="P2129" i="5"/>
  <c r="O2129" i="5"/>
  <c r="N2129" i="5"/>
  <c r="M2129" i="5"/>
  <c r="L2129" i="5"/>
  <c r="K2129" i="5"/>
  <c r="J2129" i="5"/>
  <c r="I2129" i="5"/>
  <c r="H2129" i="5"/>
  <c r="V2128" i="5"/>
  <c r="U2128" i="5"/>
  <c r="T2128" i="5"/>
  <c r="S2128" i="5"/>
  <c r="R2128" i="5"/>
  <c r="Q2128" i="5"/>
  <c r="P2128" i="5"/>
  <c r="O2128" i="5"/>
  <c r="N2128" i="5"/>
  <c r="M2128" i="5"/>
  <c r="L2128" i="5"/>
  <c r="K2128" i="5"/>
  <c r="J2128" i="5"/>
  <c r="I2128" i="5"/>
  <c r="H2128" i="5"/>
  <c r="V2127" i="5"/>
  <c r="U2127" i="5"/>
  <c r="T2127" i="5"/>
  <c r="S2127" i="5"/>
  <c r="R2127" i="5"/>
  <c r="Q2127" i="5"/>
  <c r="P2127" i="5"/>
  <c r="O2127" i="5"/>
  <c r="N2127" i="5"/>
  <c r="M2127" i="5"/>
  <c r="L2127" i="5"/>
  <c r="K2127" i="5"/>
  <c r="J2127" i="5"/>
  <c r="I2127" i="5"/>
  <c r="H2127" i="5"/>
  <c r="V2126" i="5"/>
  <c r="U2126" i="5"/>
  <c r="T2126" i="5"/>
  <c r="S2126" i="5"/>
  <c r="R2126" i="5"/>
  <c r="Q2126" i="5"/>
  <c r="P2126" i="5"/>
  <c r="O2126" i="5"/>
  <c r="N2126" i="5"/>
  <c r="M2126" i="5"/>
  <c r="L2126" i="5"/>
  <c r="K2126" i="5"/>
  <c r="J2126" i="5"/>
  <c r="I2126" i="5"/>
  <c r="H2126" i="5"/>
  <c r="V2125" i="5"/>
  <c r="U2125" i="5"/>
  <c r="T2125" i="5"/>
  <c r="S2125" i="5"/>
  <c r="R2125" i="5"/>
  <c r="Q2125" i="5"/>
  <c r="P2125" i="5"/>
  <c r="O2125" i="5"/>
  <c r="N2125" i="5"/>
  <c r="M2125" i="5"/>
  <c r="L2125" i="5"/>
  <c r="K2125" i="5"/>
  <c r="J2125" i="5"/>
  <c r="I2125" i="5"/>
  <c r="H2125" i="5"/>
  <c r="V2124" i="5"/>
  <c r="U2124" i="5"/>
  <c r="T2124" i="5"/>
  <c r="S2124" i="5"/>
  <c r="R2124" i="5"/>
  <c r="Q2124" i="5"/>
  <c r="P2124" i="5"/>
  <c r="V2123" i="5"/>
  <c r="U2123" i="5"/>
  <c r="T2123" i="5"/>
  <c r="S2123" i="5"/>
  <c r="R2123" i="5"/>
  <c r="Q2123" i="5"/>
  <c r="P2123" i="5"/>
  <c r="O2123" i="5"/>
  <c r="N2123" i="5"/>
  <c r="M2123" i="5"/>
  <c r="L2123" i="5"/>
  <c r="K2123" i="5"/>
  <c r="J2123" i="5"/>
  <c r="I2123" i="5"/>
  <c r="H2123" i="5"/>
  <c r="U2122" i="5"/>
  <c r="T2122" i="5"/>
  <c r="S2122" i="5"/>
  <c r="R2122" i="5"/>
  <c r="Q2122" i="5"/>
  <c r="P2122" i="5"/>
  <c r="O2122" i="5"/>
  <c r="N2122" i="5"/>
  <c r="M2122" i="5"/>
  <c r="L2122" i="5"/>
  <c r="K2122" i="5"/>
  <c r="J2122" i="5"/>
  <c r="I2122" i="5"/>
  <c r="H2122" i="5"/>
  <c r="V2121" i="5"/>
  <c r="U2121" i="5"/>
  <c r="T2121" i="5"/>
  <c r="S2121" i="5"/>
  <c r="R2121" i="5"/>
  <c r="Q2121" i="5"/>
  <c r="P2121" i="5"/>
  <c r="O2121" i="5"/>
  <c r="N2121" i="5"/>
  <c r="M2121" i="5"/>
  <c r="L2121" i="5"/>
  <c r="K2121" i="5"/>
  <c r="J2121" i="5"/>
  <c r="I2121" i="5"/>
  <c r="H2121" i="5"/>
  <c r="V2120" i="5"/>
  <c r="O2120" i="5"/>
  <c r="N2120" i="5"/>
  <c r="M2120" i="5"/>
  <c r="L2120" i="5"/>
  <c r="K2120" i="5"/>
  <c r="J2120" i="5"/>
  <c r="I2120" i="5"/>
  <c r="H2120" i="5"/>
  <c r="V2119" i="5"/>
  <c r="U2119" i="5"/>
  <c r="T2119" i="5"/>
  <c r="S2119" i="5"/>
  <c r="R2119" i="5"/>
  <c r="Q2119" i="5"/>
  <c r="P2119" i="5"/>
  <c r="O2119" i="5"/>
  <c r="N2119" i="5"/>
  <c r="M2119" i="5"/>
  <c r="L2119" i="5"/>
  <c r="K2119" i="5"/>
  <c r="J2119" i="5"/>
  <c r="I2119" i="5"/>
  <c r="H2119" i="5"/>
  <c r="V2118" i="5"/>
  <c r="U2118" i="5"/>
  <c r="T2118" i="5"/>
  <c r="S2118" i="5"/>
  <c r="R2118" i="5"/>
  <c r="Q2118" i="5"/>
  <c r="P2118" i="5"/>
  <c r="O2118" i="5"/>
  <c r="N2118" i="5"/>
  <c r="M2118" i="5"/>
  <c r="L2118" i="5"/>
  <c r="K2118" i="5"/>
  <c r="J2118" i="5"/>
  <c r="I2118" i="5"/>
  <c r="H2118" i="5"/>
  <c r="V2117" i="5"/>
  <c r="U2117" i="5"/>
  <c r="T2117" i="5"/>
  <c r="S2117" i="5"/>
  <c r="R2117" i="5"/>
  <c r="Q2117" i="5"/>
  <c r="P2117" i="5"/>
  <c r="O2117" i="5"/>
  <c r="N2117" i="5"/>
  <c r="M2117" i="5"/>
  <c r="L2117" i="5"/>
  <c r="K2117" i="5"/>
  <c r="J2117" i="5"/>
  <c r="I2117" i="5"/>
  <c r="H2117" i="5"/>
  <c r="V2116" i="5"/>
  <c r="U2116" i="5"/>
  <c r="T2116" i="5"/>
  <c r="S2116" i="5"/>
  <c r="R2116" i="5"/>
  <c r="Q2116" i="5"/>
  <c r="P2116" i="5"/>
  <c r="O2116" i="5"/>
  <c r="N2116" i="5"/>
  <c r="M2116" i="5"/>
  <c r="L2116" i="5"/>
  <c r="K2116" i="5"/>
  <c r="J2116" i="5"/>
  <c r="I2116" i="5"/>
  <c r="H2116" i="5"/>
  <c r="V2115" i="5"/>
  <c r="U2115" i="5"/>
  <c r="T2115" i="5"/>
  <c r="S2115" i="5"/>
  <c r="R2115" i="5"/>
  <c r="Q2115" i="5"/>
  <c r="P2115" i="5"/>
  <c r="O2115" i="5"/>
  <c r="N2115" i="5"/>
  <c r="M2115" i="5"/>
  <c r="L2115" i="5"/>
  <c r="K2115" i="5"/>
  <c r="J2115" i="5"/>
  <c r="I2115" i="5"/>
  <c r="H2115" i="5"/>
  <c r="V2114" i="5"/>
  <c r="U2114" i="5"/>
  <c r="T2114" i="5"/>
  <c r="S2114" i="5"/>
  <c r="R2114" i="5"/>
  <c r="Q2114" i="5"/>
  <c r="P2114" i="5"/>
  <c r="V2113" i="5"/>
  <c r="U2113" i="5"/>
  <c r="T2113" i="5"/>
  <c r="S2113" i="5"/>
  <c r="R2113" i="5"/>
  <c r="Q2113" i="5"/>
  <c r="P2113" i="5"/>
  <c r="O2113" i="5"/>
  <c r="N2113" i="5"/>
  <c r="M2113" i="5"/>
  <c r="L2113" i="5"/>
  <c r="K2113" i="5"/>
  <c r="J2113" i="5"/>
  <c r="I2113" i="5"/>
  <c r="H2113" i="5"/>
  <c r="U2112" i="5"/>
  <c r="T2112" i="5"/>
  <c r="S2112" i="5"/>
  <c r="R2112" i="5"/>
  <c r="Q2112" i="5"/>
  <c r="P2112" i="5"/>
  <c r="O2112" i="5"/>
  <c r="N2112" i="5"/>
  <c r="M2112" i="5"/>
  <c r="L2112" i="5"/>
  <c r="K2112" i="5"/>
  <c r="J2112" i="5"/>
  <c r="I2112" i="5"/>
  <c r="H2112" i="5"/>
  <c r="V2111" i="5"/>
  <c r="U2111" i="5"/>
  <c r="T2111" i="5"/>
  <c r="S2111" i="5"/>
  <c r="R2111" i="5"/>
  <c r="Q2111" i="5"/>
  <c r="P2111" i="5"/>
  <c r="O2111" i="5"/>
  <c r="N2111" i="5"/>
  <c r="M2111" i="5"/>
  <c r="L2111" i="5"/>
  <c r="K2111" i="5"/>
  <c r="J2111" i="5"/>
  <c r="I2111" i="5"/>
  <c r="H2111" i="5"/>
  <c r="V2110" i="5"/>
  <c r="O2110" i="5"/>
  <c r="N2110" i="5"/>
  <c r="M2110" i="5"/>
  <c r="L2110" i="5"/>
  <c r="K2110" i="5"/>
  <c r="J2110" i="5"/>
  <c r="I2110" i="5"/>
  <c r="H2110" i="5"/>
  <c r="V2109" i="5"/>
  <c r="U2109" i="5"/>
  <c r="T2109" i="5"/>
  <c r="S2109" i="5"/>
  <c r="R2109" i="5"/>
  <c r="Q2109" i="5"/>
  <c r="P2109" i="5"/>
  <c r="O2109" i="5"/>
  <c r="N2109" i="5"/>
  <c r="M2109" i="5"/>
  <c r="L2109" i="5"/>
  <c r="K2109" i="5"/>
  <c r="J2109" i="5"/>
  <c r="I2109" i="5"/>
  <c r="H2109" i="5"/>
  <c r="V2108" i="5"/>
  <c r="U2108" i="5"/>
  <c r="T2108" i="5"/>
  <c r="S2108" i="5"/>
  <c r="R2108" i="5"/>
  <c r="Q2108" i="5"/>
  <c r="P2108" i="5"/>
  <c r="O2108" i="5"/>
  <c r="N2108" i="5"/>
  <c r="M2108" i="5"/>
  <c r="L2108" i="5"/>
  <c r="K2108" i="5"/>
  <c r="J2108" i="5"/>
  <c r="I2108" i="5"/>
  <c r="H2108" i="5"/>
  <c r="V2107" i="5"/>
  <c r="U2107" i="5"/>
  <c r="T2107" i="5"/>
  <c r="S2107" i="5"/>
  <c r="R2107" i="5"/>
  <c r="Q2107" i="5"/>
  <c r="P2107" i="5"/>
  <c r="O2107" i="5"/>
  <c r="N2107" i="5"/>
  <c r="M2107" i="5"/>
  <c r="L2107" i="5"/>
  <c r="K2107" i="5"/>
  <c r="J2107" i="5"/>
  <c r="I2107" i="5"/>
  <c r="H2107" i="5"/>
  <c r="V2106" i="5"/>
  <c r="U2106" i="5"/>
  <c r="T2106" i="5"/>
  <c r="S2106" i="5"/>
  <c r="R2106" i="5"/>
  <c r="Q2106" i="5"/>
  <c r="P2106" i="5"/>
  <c r="O2106" i="5"/>
  <c r="N2106" i="5"/>
  <c r="M2106" i="5"/>
  <c r="L2106" i="5"/>
  <c r="K2106" i="5"/>
  <c r="J2106" i="5"/>
  <c r="I2106" i="5"/>
  <c r="H2106" i="5"/>
  <c r="V2105" i="5"/>
  <c r="U2105" i="5"/>
  <c r="T2105" i="5"/>
  <c r="S2105" i="5"/>
  <c r="R2105" i="5"/>
  <c r="Q2105" i="5"/>
  <c r="P2105" i="5"/>
  <c r="O2105" i="5"/>
  <c r="N2105" i="5"/>
  <c r="M2105" i="5"/>
  <c r="L2105" i="5"/>
  <c r="K2105" i="5"/>
  <c r="J2105" i="5"/>
  <c r="I2105" i="5"/>
  <c r="H2105" i="5"/>
  <c r="V2104" i="5"/>
  <c r="U2104" i="5"/>
  <c r="T2104" i="5"/>
  <c r="S2104" i="5"/>
  <c r="R2104" i="5"/>
  <c r="Q2104" i="5"/>
  <c r="P2104" i="5"/>
  <c r="V2103" i="5"/>
  <c r="U2103" i="5"/>
  <c r="T2103" i="5"/>
  <c r="S2103" i="5"/>
  <c r="R2103" i="5"/>
  <c r="Q2103" i="5"/>
  <c r="P2103" i="5"/>
  <c r="O2103" i="5"/>
  <c r="N2103" i="5"/>
  <c r="M2103" i="5"/>
  <c r="L2103" i="5"/>
  <c r="K2103" i="5"/>
  <c r="J2103" i="5"/>
  <c r="I2103" i="5"/>
  <c r="H2103" i="5"/>
  <c r="U2102" i="5"/>
  <c r="T2102" i="5"/>
  <c r="S2102" i="5"/>
  <c r="R2102" i="5"/>
  <c r="Q2102" i="5"/>
  <c r="P2102" i="5"/>
  <c r="O2102" i="5"/>
  <c r="N2102" i="5"/>
  <c r="M2102" i="5"/>
  <c r="L2102" i="5"/>
  <c r="K2102" i="5"/>
  <c r="J2102" i="5"/>
  <c r="I2102" i="5"/>
  <c r="H2102" i="5"/>
  <c r="V2101" i="5"/>
  <c r="U2101" i="5"/>
  <c r="T2101" i="5"/>
  <c r="S2101" i="5"/>
  <c r="R2101" i="5"/>
  <c r="Q2101" i="5"/>
  <c r="P2101" i="5"/>
  <c r="O2101" i="5"/>
  <c r="N2101" i="5"/>
  <c r="M2101" i="5"/>
  <c r="L2101" i="5"/>
  <c r="K2101" i="5"/>
  <c r="J2101" i="5"/>
  <c r="I2101" i="5"/>
  <c r="H2101" i="5"/>
  <c r="V2100" i="5"/>
  <c r="O2100" i="5"/>
  <c r="N2100" i="5"/>
  <c r="M2100" i="5"/>
  <c r="L2100" i="5"/>
  <c r="K2100" i="5"/>
  <c r="J2100" i="5"/>
  <c r="I2100" i="5"/>
  <c r="H2100" i="5"/>
  <c r="V2099" i="5"/>
  <c r="U2099" i="5"/>
  <c r="T2099" i="5"/>
  <c r="S2099" i="5"/>
  <c r="R2099" i="5"/>
  <c r="Q2099" i="5"/>
  <c r="P2099" i="5"/>
  <c r="O2099" i="5"/>
  <c r="N2099" i="5"/>
  <c r="M2099" i="5"/>
  <c r="L2099" i="5"/>
  <c r="K2099" i="5"/>
  <c r="J2099" i="5"/>
  <c r="I2099" i="5"/>
  <c r="H2099" i="5"/>
  <c r="V2098" i="5"/>
  <c r="U2098" i="5"/>
  <c r="T2098" i="5"/>
  <c r="S2098" i="5"/>
  <c r="R2098" i="5"/>
  <c r="Q2098" i="5"/>
  <c r="P2098" i="5"/>
  <c r="O2098" i="5"/>
  <c r="N2098" i="5"/>
  <c r="M2098" i="5"/>
  <c r="L2098" i="5"/>
  <c r="K2098" i="5"/>
  <c r="J2098" i="5"/>
  <c r="I2098" i="5"/>
  <c r="H2098" i="5"/>
  <c r="V2097" i="5"/>
  <c r="U2097" i="5"/>
  <c r="T2097" i="5"/>
  <c r="S2097" i="5"/>
  <c r="R2097" i="5"/>
  <c r="Q2097" i="5"/>
  <c r="P2097" i="5"/>
  <c r="O2097" i="5"/>
  <c r="N2097" i="5"/>
  <c r="M2097" i="5"/>
  <c r="L2097" i="5"/>
  <c r="K2097" i="5"/>
  <c r="J2097" i="5"/>
  <c r="I2097" i="5"/>
  <c r="H2097" i="5"/>
  <c r="V2096" i="5"/>
  <c r="U2096" i="5"/>
  <c r="T2096" i="5"/>
  <c r="S2096" i="5"/>
  <c r="R2096" i="5"/>
  <c r="Q2096" i="5"/>
  <c r="P2096" i="5"/>
  <c r="O2096" i="5"/>
  <c r="N2096" i="5"/>
  <c r="M2096" i="5"/>
  <c r="L2096" i="5"/>
  <c r="K2096" i="5"/>
  <c r="J2096" i="5"/>
  <c r="I2096" i="5"/>
  <c r="H2096" i="5"/>
  <c r="V2095" i="5"/>
  <c r="U2095" i="5"/>
  <c r="T2095" i="5"/>
  <c r="S2095" i="5"/>
  <c r="R2095" i="5"/>
  <c r="Q2095" i="5"/>
  <c r="P2095" i="5"/>
  <c r="O2095" i="5"/>
  <c r="N2095" i="5"/>
  <c r="M2095" i="5"/>
  <c r="L2095" i="5"/>
  <c r="K2095" i="5"/>
  <c r="J2095" i="5"/>
  <c r="I2095" i="5"/>
  <c r="H2095" i="5"/>
  <c r="V2094" i="5"/>
  <c r="U2094" i="5"/>
  <c r="T2094" i="5"/>
  <c r="S2094" i="5"/>
  <c r="R2094" i="5"/>
  <c r="Q2094" i="5"/>
  <c r="P2094" i="5"/>
  <c r="V2093" i="5"/>
  <c r="U2093" i="5"/>
  <c r="T2093" i="5"/>
  <c r="S2093" i="5"/>
  <c r="R2093" i="5"/>
  <c r="Q2093" i="5"/>
  <c r="P2093" i="5"/>
  <c r="O2093" i="5"/>
  <c r="N2093" i="5"/>
  <c r="M2093" i="5"/>
  <c r="L2093" i="5"/>
  <c r="K2093" i="5"/>
  <c r="J2093" i="5"/>
  <c r="I2093" i="5"/>
  <c r="H2093" i="5"/>
  <c r="U2092" i="5"/>
  <c r="T2092" i="5"/>
  <c r="S2092" i="5"/>
  <c r="R2092" i="5"/>
  <c r="Q2092" i="5"/>
  <c r="P2092" i="5"/>
  <c r="O2092" i="5"/>
  <c r="N2092" i="5"/>
  <c r="M2092" i="5"/>
  <c r="L2092" i="5"/>
  <c r="K2092" i="5"/>
  <c r="J2092" i="5"/>
  <c r="I2092" i="5"/>
  <c r="H2092" i="5"/>
  <c r="V2091" i="5"/>
  <c r="U2091" i="5"/>
  <c r="T2091" i="5"/>
  <c r="S2091" i="5"/>
  <c r="R2091" i="5"/>
  <c r="Q2091" i="5"/>
  <c r="P2091" i="5"/>
  <c r="O2091" i="5"/>
  <c r="N2091" i="5"/>
  <c r="M2091" i="5"/>
  <c r="L2091" i="5"/>
  <c r="K2091" i="5"/>
  <c r="J2091" i="5"/>
  <c r="I2091" i="5"/>
  <c r="H2091" i="5"/>
  <c r="V2090" i="5"/>
  <c r="O2090" i="5"/>
  <c r="N2090" i="5"/>
  <c r="M2090" i="5"/>
  <c r="L2090" i="5"/>
  <c r="K2090" i="5"/>
  <c r="J2090" i="5"/>
  <c r="I2090" i="5"/>
  <c r="H2090" i="5"/>
  <c r="V2089" i="5"/>
  <c r="U2089" i="5"/>
  <c r="T2089" i="5"/>
  <c r="S2089" i="5"/>
  <c r="R2089" i="5"/>
  <c r="Q2089" i="5"/>
  <c r="P2089" i="5"/>
  <c r="O2089" i="5"/>
  <c r="N2089" i="5"/>
  <c r="M2089" i="5"/>
  <c r="L2089" i="5"/>
  <c r="K2089" i="5"/>
  <c r="J2089" i="5"/>
  <c r="I2089" i="5"/>
  <c r="H2089" i="5"/>
  <c r="V2088" i="5"/>
  <c r="U2088" i="5"/>
  <c r="T2088" i="5"/>
  <c r="S2088" i="5"/>
  <c r="R2088" i="5"/>
  <c r="Q2088" i="5"/>
  <c r="P2088" i="5"/>
  <c r="O2088" i="5"/>
  <c r="N2088" i="5"/>
  <c r="M2088" i="5"/>
  <c r="L2088" i="5"/>
  <c r="K2088" i="5"/>
  <c r="J2088" i="5"/>
  <c r="I2088" i="5"/>
  <c r="H2088" i="5"/>
  <c r="V2087" i="5"/>
  <c r="U2087" i="5"/>
  <c r="T2087" i="5"/>
  <c r="S2087" i="5"/>
  <c r="R2087" i="5"/>
  <c r="Q2087" i="5"/>
  <c r="P2087" i="5"/>
  <c r="V2086" i="5"/>
  <c r="U2086" i="5"/>
  <c r="T2086" i="5"/>
  <c r="S2086" i="5"/>
  <c r="R2086" i="5"/>
  <c r="Q2086" i="5"/>
  <c r="P2086" i="5"/>
  <c r="U2085" i="5"/>
  <c r="T2085" i="5"/>
  <c r="S2085" i="5"/>
  <c r="R2085" i="5"/>
  <c r="Q2085" i="5"/>
  <c r="P2085" i="5"/>
  <c r="U2084" i="5"/>
  <c r="T2084" i="5"/>
  <c r="S2084" i="5"/>
  <c r="R2084" i="5"/>
  <c r="Q2084" i="5"/>
  <c r="P2084" i="5"/>
  <c r="O2077" i="5"/>
  <c r="N2077" i="5"/>
  <c r="M2077" i="5"/>
  <c r="L2077" i="5"/>
  <c r="K2077" i="5"/>
  <c r="J2077" i="5"/>
  <c r="I2077" i="5"/>
  <c r="H2077" i="5"/>
  <c r="O2076" i="5"/>
  <c r="N2076" i="5"/>
  <c r="M2076" i="5"/>
  <c r="L2076" i="5"/>
  <c r="K2076" i="5"/>
  <c r="J2076" i="5"/>
  <c r="I2076" i="5"/>
  <c r="H2076" i="5"/>
  <c r="V2075" i="5"/>
  <c r="O2075" i="5"/>
  <c r="N2075" i="5"/>
  <c r="M2075" i="5"/>
  <c r="L2075" i="5"/>
  <c r="K2075" i="5"/>
  <c r="J2075" i="5"/>
  <c r="I2075" i="5"/>
  <c r="H2075" i="5"/>
  <c r="V2074" i="5"/>
  <c r="V2073" i="5"/>
  <c r="U2073" i="5"/>
  <c r="T2073" i="5"/>
  <c r="S2073" i="5"/>
  <c r="R2073" i="5"/>
  <c r="Q2073" i="5"/>
  <c r="P2073" i="5"/>
  <c r="O2073" i="5"/>
  <c r="N2073" i="5"/>
  <c r="M2073" i="5"/>
  <c r="L2073" i="5"/>
  <c r="K2073" i="5"/>
  <c r="J2073" i="5"/>
  <c r="I2073" i="5"/>
  <c r="H2073" i="5"/>
  <c r="U2072" i="5"/>
  <c r="T2072" i="5"/>
  <c r="S2072" i="5"/>
  <c r="R2072" i="5"/>
  <c r="Q2072" i="5"/>
  <c r="P2072" i="5"/>
  <c r="O2072" i="5"/>
  <c r="N2072" i="5"/>
  <c r="M2072" i="5"/>
  <c r="L2072" i="5"/>
  <c r="K2072" i="5"/>
  <c r="J2072" i="5"/>
  <c r="I2072" i="5"/>
  <c r="H2072" i="5"/>
  <c r="V2071" i="5"/>
  <c r="U2071" i="5"/>
  <c r="T2071" i="5"/>
  <c r="S2071" i="5"/>
  <c r="R2071" i="5"/>
  <c r="Q2071" i="5"/>
  <c r="P2071" i="5"/>
  <c r="O2071" i="5"/>
  <c r="N2071" i="5"/>
  <c r="M2071" i="5"/>
  <c r="L2071" i="5"/>
  <c r="K2071" i="5"/>
  <c r="J2071" i="5"/>
  <c r="I2071" i="5"/>
  <c r="H2071" i="5"/>
  <c r="V2070" i="5"/>
  <c r="O2070" i="5"/>
  <c r="N2070" i="5"/>
  <c r="M2070" i="5"/>
  <c r="L2070" i="5"/>
  <c r="K2070" i="5"/>
  <c r="J2070" i="5"/>
  <c r="I2070" i="5"/>
  <c r="H2070" i="5"/>
  <c r="V2069" i="5"/>
  <c r="U2069" i="5"/>
  <c r="T2069" i="5"/>
  <c r="S2069" i="5"/>
  <c r="R2069" i="5"/>
  <c r="Q2069" i="5"/>
  <c r="P2069" i="5"/>
  <c r="O2069" i="5"/>
  <c r="N2069" i="5"/>
  <c r="M2069" i="5"/>
  <c r="L2069" i="5"/>
  <c r="K2069" i="5"/>
  <c r="J2069" i="5"/>
  <c r="I2069" i="5"/>
  <c r="H2069" i="5"/>
  <c r="V2068" i="5"/>
  <c r="U2068" i="5"/>
  <c r="T2068" i="5"/>
  <c r="S2068" i="5"/>
  <c r="R2068" i="5"/>
  <c r="Q2068" i="5"/>
  <c r="P2068" i="5"/>
  <c r="O2068" i="5"/>
  <c r="N2068" i="5"/>
  <c r="M2068" i="5"/>
  <c r="L2068" i="5"/>
  <c r="K2068" i="5"/>
  <c r="J2068" i="5"/>
  <c r="I2068" i="5"/>
  <c r="H2068" i="5"/>
  <c r="V2067" i="5"/>
  <c r="U2067" i="5"/>
  <c r="T2067" i="5"/>
  <c r="S2067" i="5"/>
  <c r="R2067" i="5"/>
  <c r="Q2067" i="5"/>
  <c r="P2067" i="5"/>
  <c r="O2067" i="5"/>
  <c r="N2067" i="5"/>
  <c r="M2067" i="5"/>
  <c r="L2067" i="5"/>
  <c r="K2067" i="5"/>
  <c r="J2067" i="5"/>
  <c r="I2067" i="5"/>
  <c r="H2067" i="5"/>
  <c r="V2066" i="5"/>
  <c r="U2066" i="5"/>
  <c r="T2066" i="5"/>
  <c r="S2066" i="5"/>
  <c r="R2066" i="5"/>
  <c r="Q2066" i="5"/>
  <c r="P2066" i="5"/>
  <c r="O2066" i="5"/>
  <c r="N2066" i="5"/>
  <c r="M2066" i="5"/>
  <c r="L2066" i="5"/>
  <c r="K2066" i="5"/>
  <c r="J2066" i="5"/>
  <c r="I2066" i="5"/>
  <c r="H2066" i="5"/>
  <c r="V2065" i="5"/>
  <c r="U2065" i="5"/>
  <c r="T2065" i="5"/>
  <c r="S2065" i="5"/>
  <c r="R2065" i="5"/>
  <c r="Q2065" i="5"/>
  <c r="P2065" i="5"/>
  <c r="O2065" i="5"/>
  <c r="N2065" i="5"/>
  <c r="M2065" i="5"/>
  <c r="L2065" i="5"/>
  <c r="K2065" i="5"/>
  <c r="J2065" i="5"/>
  <c r="I2065" i="5"/>
  <c r="H2065" i="5"/>
  <c r="V2064" i="5"/>
  <c r="U2064" i="5"/>
  <c r="T2064" i="5"/>
  <c r="S2064" i="5"/>
  <c r="R2064" i="5"/>
  <c r="Q2064" i="5"/>
  <c r="P2064" i="5"/>
  <c r="V2063" i="5"/>
  <c r="U2063" i="5"/>
  <c r="T2063" i="5"/>
  <c r="S2063" i="5"/>
  <c r="R2063" i="5"/>
  <c r="Q2063" i="5"/>
  <c r="P2063" i="5"/>
  <c r="O2063" i="5"/>
  <c r="N2063" i="5"/>
  <c r="M2063" i="5"/>
  <c r="L2063" i="5"/>
  <c r="K2063" i="5"/>
  <c r="J2063" i="5"/>
  <c r="I2063" i="5"/>
  <c r="H2063" i="5"/>
  <c r="U2062" i="5"/>
  <c r="T2062" i="5"/>
  <c r="S2062" i="5"/>
  <c r="R2062" i="5"/>
  <c r="Q2062" i="5"/>
  <c r="P2062" i="5"/>
  <c r="O2062" i="5"/>
  <c r="N2062" i="5"/>
  <c r="M2062" i="5"/>
  <c r="L2062" i="5"/>
  <c r="K2062" i="5"/>
  <c r="J2062" i="5"/>
  <c r="I2062" i="5"/>
  <c r="H2062" i="5"/>
  <c r="V2061" i="5"/>
  <c r="U2061" i="5"/>
  <c r="T2061" i="5"/>
  <c r="S2061" i="5"/>
  <c r="R2061" i="5"/>
  <c r="Q2061" i="5"/>
  <c r="P2061" i="5"/>
  <c r="O2061" i="5"/>
  <c r="N2061" i="5"/>
  <c r="M2061" i="5"/>
  <c r="L2061" i="5"/>
  <c r="K2061" i="5"/>
  <c r="J2061" i="5"/>
  <c r="I2061" i="5"/>
  <c r="H2061" i="5"/>
  <c r="V2060" i="5"/>
  <c r="O2060" i="5"/>
  <c r="N2060" i="5"/>
  <c r="M2060" i="5"/>
  <c r="L2060" i="5"/>
  <c r="K2060" i="5"/>
  <c r="J2060" i="5"/>
  <c r="I2060" i="5"/>
  <c r="H2060" i="5"/>
  <c r="V2059" i="5"/>
  <c r="U2059" i="5"/>
  <c r="T2059" i="5"/>
  <c r="S2059" i="5"/>
  <c r="R2059" i="5"/>
  <c r="Q2059" i="5"/>
  <c r="P2059" i="5"/>
  <c r="O2059" i="5"/>
  <c r="N2059" i="5"/>
  <c r="M2059" i="5"/>
  <c r="L2059" i="5"/>
  <c r="K2059" i="5"/>
  <c r="J2059" i="5"/>
  <c r="I2059" i="5"/>
  <c r="H2059" i="5"/>
  <c r="V2058" i="5"/>
  <c r="U2058" i="5"/>
  <c r="T2058" i="5"/>
  <c r="S2058" i="5"/>
  <c r="R2058" i="5"/>
  <c r="Q2058" i="5"/>
  <c r="P2058" i="5"/>
  <c r="O2058" i="5"/>
  <c r="N2058" i="5"/>
  <c r="M2058" i="5"/>
  <c r="L2058" i="5"/>
  <c r="K2058" i="5"/>
  <c r="J2058" i="5"/>
  <c r="I2058" i="5"/>
  <c r="H2058" i="5"/>
  <c r="V2057" i="5"/>
  <c r="U2057" i="5"/>
  <c r="T2057" i="5"/>
  <c r="S2057" i="5"/>
  <c r="R2057" i="5"/>
  <c r="Q2057" i="5"/>
  <c r="P2057" i="5"/>
  <c r="O2057" i="5"/>
  <c r="N2057" i="5"/>
  <c r="M2057" i="5"/>
  <c r="L2057" i="5"/>
  <c r="K2057" i="5"/>
  <c r="J2057" i="5"/>
  <c r="I2057" i="5"/>
  <c r="H2057" i="5"/>
  <c r="V2056" i="5"/>
  <c r="U2056" i="5"/>
  <c r="T2056" i="5"/>
  <c r="S2056" i="5"/>
  <c r="R2056" i="5"/>
  <c r="Q2056" i="5"/>
  <c r="P2056" i="5"/>
  <c r="O2056" i="5"/>
  <c r="N2056" i="5"/>
  <c r="M2056" i="5"/>
  <c r="L2056" i="5"/>
  <c r="K2056" i="5"/>
  <c r="J2056" i="5"/>
  <c r="I2056" i="5"/>
  <c r="H2056" i="5"/>
  <c r="V2055" i="5"/>
  <c r="U2055" i="5"/>
  <c r="T2055" i="5"/>
  <c r="S2055" i="5"/>
  <c r="R2055" i="5"/>
  <c r="Q2055" i="5"/>
  <c r="P2055" i="5"/>
  <c r="O2055" i="5"/>
  <c r="N2055" i="5"/>
  <c r="M2055" i="5"/>
  <c r="L2055" i="5"/>
  <c r="K2055" i="5"/>
  <c r="J2055" i="5"/>
  <c r="I2055" i="5"/>
  <c r="H2055" i="5"/>
  <c r="V2054" i="5"/>
  <c r="U2054" i="5"/>
  <c r="T2054" i="5"/>
  <c r="S2054" i="5"/>
  <c r="R2054" i="5"/>
  <c r="Q2054" i="5"/>
  <c r="P2054" i="5"/>
  <c r="V2053" i="5"/>
  <c r="U2053" i="5"/>
  <c r="T2053" i="5"/>
  <c r="S2053" i="5"/>
  <c r="R2053" i="5"/>
  <c r="Q2053" i="5"/>
  <c r="P2053" i="5"/>
  <c r="O2053" i="5"/>
  <c r="N2053" i="5"/>
  <c r="M2053" i="5"/>
  <c r="L2053" i="5"/>
  <c r="K2053" i="5"/>
  <c r="J2053" i="5"/>
  <c r="I2053" i="5"/>
  <c r="H2053" i="5"/>
  <c r="U2052" i="5"/>
  <c r="T2052" i="5"/>
  <c r="S2052" i="5"/>
  <c r="R2052" i="5"/>
  <c r="Q2052" i="5"/>
  <c r="P2052" i="5"/>
  <c r="O2052" i="5"/>
  <c r="N2052" i="5"/>
  <c r="M2052" i="5"/>
  <c r="L2052" i="5"/>
  <c r="K2052" i="5"/>
  <c r="J2052" i="5"/>
  <c r="I2052" i="5"/>
  <c r="H2052" i="5"/>
  <c r="V2051" i="5"/>
  <c r="U2051" i="5"/>
  <c r="T2051" i="5"/>
  <c r="S2051" i="5"/>
  <c r="R2051" i="5"/>
  <c r="Q2051" i="5"/>
  <c r="P2051" i="5"/>
  <c r="O2051" i="5"/>
  <c r="N2051" i="5"/>
  <c r="M2051" i="5"/>
  <c r="L2051" i="5"/>
  <c r="K2051" i="5"/>
  <c r="J2051" i="5"/>
  <c r="I2051" i="5"/>
  <c r="H2051" i="5"/>
  <c r="V2050" i="5"/>
  <c r="O2050" i="5"/>
  <c r="N2050" i="5"/>
  <c r="M2050" i="5"/>
  <c r="L2050" i="5"/>
  <c r="K2050" i="5"/>
  <c r="J2050" i="5"/>
  <c r="I2050" i="5"/>
  <c r="H2050" i="5"/>
  <c r="V2049" i="5"/>
  <c r="U2049" i="5"/>
  <c r="T2049" i="5"/>
  <c r="S2049" i="5"/>
  <c r="R2049" i="5"/>
  <c r="Q2049" i="5"/>
  <c r="P2049" i="5"/>
  <c r="O2049" i="5"/>
  <c r="N2049" i="5"/>
  <c r="M2049" i="5"/>
  <c r="L2049" i="5"/>
  <c r="K2049" i="5"/>
  <c r="J2049" i="5"/>
  <c r="I2049" i="5"/>
  <c r="H2049" i="5"/>
  <c r="V2048" i="5"/>
  <c r="U2048" i="5"/>
  <c r="T2048" i="5"/>
  <c r="S2048" i="5"/>
  <c r="R2048" i="5"/>
  <c r="Q2048" i="5"/>
  <c r="P2048" i="5"/>
  <c r="O2048" i="5"/>
  <c r="N2048" i="5"/>
  <c r="M2048" i="5"/>
  <c r="L2048" i="5"/>
  <c r="K2048" i="5"/>
  <c r="J2048" i="5"/>
  <c r="I2048" i="5"/>
  <c r="H2048" i="5"/>
  <c r="V2047" i="5"/>
  <c r="U2047" i="5"/>
  <c r="T2047" i="5"/>
  <c r="S2047" i="5"/>
  <c r="R2047" i="5"/>
  <c r="Q2047" i="5"/>
  <c r="P2047" i="5"/>
  <c r="O2047" i="5"/>
  <c r="N2047" i="5"/>
  <c r="M2047" i="5"/>
  <c r="L2047" i="5"/>
  <c r="K2047" i="5"/>
  <c r="J2047" i="5"/>
  <c r="I2047" i="5"/>
  <c r="H2047" i="5"/>
  <c r="V2046" i="5"/>
  <c r="U2046" i="5"/>
  <c r="T2046" i="5"/>
  <c r="S2046" i="5"/>
  <c r="R2046" i="5"/>
  <c r="Q2046" i="5"/>
  <c r="P2046" i="5"/>
  <c r="O2046" i="5"/>
  <c r="N2046" i="5"/>
  <c r="M2046" i="5"/>
  <c r="L2046" i="5"/>
  <c r="K2046" i="5"/>
  <c r="J2046" i="5"/>
  <c r="I2046" i="5"/>
  <c r="H2046" i="5"/>
  <c r="V2045" i="5"/>
  <c r="U2045" i="5"/>
  <c r="T2045" i="5"/>
  <c r="S2045" i="5"/>
  <c r="R2045" i="5"/>
  <c r="Q2045" i="5"/>
  <c r="P2045" i="5"/>
  <c r="O2045" i="5"/>
  <c r="N2045" i="5"/>
  <c r="M2045" i="5"/>
  <c r="L2045" i="5"/>
  <c r="K2045" i="5"/>
  <c r="J2045" i="5"/>
  <c r="I2045" i="5"/>
  <c r="H2045" i="5"/>
  <c r="V2044" i="5"/>
  <c r="U2044" i="5"/>
  <c r="T2044" i="5"/>
  <c r="S2044" i="5"/>
  <c r="R2044" i="5"/>
  <c r="Q2044" i="5"/>
  <c r="P2044" i="5"/>
  <c r="V2043" i="5"/>
  <c r="U2043" i="5"/>
  <c r="T2043" i="5"/>
  <c r="S2043" i="5"/>
  <c r="R2043" i="5"/>
  <c r="Q2043" i="5"/>
  <c r="P2043" i="5"/>
  <c r="O2043" i="5"/>
  <c r="N2043" i="5"/>
  <c r="M2043" i="5"/>
  <c r="L2043" i="5"/>
  <c r="K2043" i="5"/>
  <c r="J2043" i="5"/>
  <c r="I2043" i="5"/>
  <c r="H2043" i="5"/>
  <c r="U2042" i="5"/>
  <c r="T2042" i="5"/>
  <c r="S2042" i="5"/>
  <c r="R2042" i="5"/>
  <c r="Q2042" i="5"/>
  <c r="P2042" i="5"/>
  <c r="O2042" i="5"/>
  <c r="N2042" i="5"/>
  <c r="M2042" i="5"/>
  <c r="L2042" i="5"/>
  <c r="K2042" i="5"/>
  <c r="J2042" i="5"/>
  <c r="I2042" i="5"/>
  <c r="H2042" i="5"/>
  <c r="V2041" i="5"/>
  <c r="U2041" i="5"/>
  <c r="T2041" i="5"/>
  <c r="S2041" i="5"/>
  <c r="R2041" i="5"/>
  <c r="Q2041" i="5"/>
  <c r="P2041" i="5"/>
  <c r="O2041" i="5"/>
  <c r="N2041" i="5"/>
  <c r="M2041" i="5"/>
  <c r="L2041" i="5"/>
  <c r="K2041" i="5"/>
  <c r="J2041" i="5"/>
  <c r="I2041" i="5"/>
  <c r="H2041" i="5"/>
  <c r="V2040" i="5"/>
  <c r="O2040" i="5"/>
  <c r="N2040" i="5"/>
  <c r="M2040" i="5"/>
  <c r="L2040" i="5"/>
  <c r="K2040" i="5"/>
  <c r="J2040" i="5"/>
  <c r="I2040" i="5"/>
  <c r="H2040" i="5"/>
  <c r="V2039" i="5"/>
  <c r="U2039" i="5"/>
  <c r="T2039" i="5"/>
  <c r="S2039" i="5"/>
  <c r="R2039" i="5"/>
  <c r="Q2039" i="5"/>
  <c r="P2039" i="5"/>
  <c r="O2039" i="5"/>
  <c r="N2039" i="5"/>
  <c r="M2039" i="5"/>
  <c r="L2039" i="5"/>
  <c r="K2039" i="5"/>
  <c r="J2039" i="5"/>
  <c r="I2039" i="5"/>
  <c r="H2039" i="5"/>
  <c r="V2038" i="5"/>
  <c r="U2038" i="5"/>
  <c r="T2038" i="5"/>
  <c r="S2038" i="5"/>
  <c r="R2038" i="5"/>
  <c r="Q2038" i="5"/>
  <c r="P2038" i="5"/>
  <c r="O2038" i="5"/>
  <c r="N2038" i="5"/>
  <c r="M2038" i="5"/>
  <c r="L2038" i="5"/>
  <c r="K2038" i="5"/>
  <c r="J2038" i="5"/>
  <c r="I2038" i="5"/>
  <c r="H2038" i="5"/>
  <c r="V2037" i="5"/>
  <c r="U2037" i="5"/>
  <c r="T2037" i="5"/>
  <c r="S2037" i="5"/>
  <c r="R2037" i="5"/>
  <c r="Q2037" i="5"/>
  <c r="P2037" i="5"/>
  <c r="O2037" i="5"/>
  <c r="N2037" i="5"/>
  <c r="M2037" i="5"/>
  <c r="L2037" i="5"/>
  <c r="K2037" i="5"/>
  <c r="J2037" i="5"/>
  <c r="I2037" i="5"/>
  <c r="H2037" i="5"/>
  <c r="V2036" i="5"/>
  <c r="U2036" i="5"/>
  <c r="T2036" i="5"/>
  <c r="S2036" i="5"/>
  <c r="R2036" i="5"/>
  <c r="Q2036" i="5"/>
  <c r="P2036" i="5"/>
  <c r="O2036" i="5"/>
  <c r="N2036" i="5"/>
  <c r="M2036" i="5"/>
  <c r="L2036" i="5"/>
  <c r="K2036" i="5"/>
  <c r="J2036" i="5"/>
  <c r="I2036" i="5"/>
  <c r="H2036" i="5"/>
  <c r="V2035" i="5"/>
  <c r="U2035" i="5"/>
  <c r="T2035" i="5"/>
  <c r="S2035" i="5"/>
  <c r="R2035" i="5"/>
  <c r="Q2035" i="5"/>
  <c r="P2035" i="5"/>
  <c r="O2035" i="5"/>
  <c r="N2035" i="5"/>
  <c r="M2035" i="5"/>
  <c r="L2035" i="5"/>
  <c r="K2035" i="5"/>
  <c r="J2035" i="5"/>
  <c r="I2035" i="5"/>
  <c r="H2035" i="5"/>
  <c r="V2034" i="5"/>
  <c r="U2034" i="5"/>
  <c r="T2034" i="5"/>
  <c r="S2034" i="5"/>
  <c r="R2034" i="5"/>
  <c r="Q2034" i="5"/>
  <c r="P2034" i="5"/>
  <c r="V2033" i="5"/>
  <c r="U2033" i="5"/>
  <c r="T2033" i="5"/>
  <c r="S2033" i="5"/>
  <c r="R2033" i="5"/>
  <c r="Q2033" i="5"/>
  <c r="P2033" i="5"/>
  <c r="O2033" i="5"/>
  <c r="N2033" i="5"/>
  <c r="M2033" i="5"/>
  <c r="L2033" i="5"/>
  <c r="K2033" i="5"/>
  <c r="J2033" i="5"/>
  <c r="I2033" i="5"/>
  <c r="H2033" i="5"/>
  <c r="U2032" i="5"/>
  <c r="T2032" i="5"/>
  <c r="S2032" i="5"/>
  <c r="R2032" i="5"/>
  <c r="Q2032" i="5"/>
  <c r="P2032" i="5"/>
  <c r="O2032" i="5"/>
  <c r="N2032" i="5"/>
  <c r="M2032" i="5"/>
  <c r="L2032" i="5"/>
  <c r="K2032" i="5"/>
  <c r="J2032" i="5"/>
  <c r="I2032" i="5"/>
  <c r="H2032" i="5"/>
  <c r="V2031" i="5"/>
  <c r="U2031" i="5"/>
  <c r="T2031" i="5"/>
  <c r="S2031" i="5"/>
  <c r="R2031" i="5"/>
  <c r="Q2031" i="5"/>
  <c r="P2031" i="5"/>
  <c r="O2031" i="5"/>
  <c r="N2031" i="5"/>
  <c r="M2031" i="5"/>
  <c r="L2031" i="5"/>
  <c r="K2031" i="5"/>
  <c r="J2031" i="5"/>
  <c r="I2031" i="5"/>
  <c r="H2031" i="5"/>
  <c r="V2030" i="5"/>
  <c r="O2030" i="5"/>
  <c r="N2030" i="5"/>
  <c r="M2030" i="5"/>
  <c r="L2030" i="5"/>
  <c r="K2030" i="5"/>
  <c r="J2030" i="5"/>
  <c r="I2030" i="5"/>
  <c r="H2030" i="5"/>
  <c r="V2029" i="5"/>
  <c r="U2029" i="5"/>
  <c r="T2029" i="5"/>
  <c r="S2029" i="5"/>
  <c r="R2029" i="5"/>
  <c r="Q2029" i="5"/>
  <c r="P2029" i="5"/>
  <c r="O2029" i="5"/>
  <c r="N2029" i="5"/>
  <c r="M2029" i="5"/>
  <c r="L2029" i="5"/>
  <c r="K2029" i="5"/>
  <c r="J2029" i="5"/>
  <c r="I2029" i="5"/>
  <c r="H2029" i="5"/>
  <c r="V2028" i="5"/>
  <c r="U2028" i="5"/>
  <c r="T2028" i="5"/>
  <c r="S2028" i="5"/>
  <c r="R2028" i="5"/>
  <c r="Q2028" i="5"/>
  <c r="P2028" i="5"/>
  <c r="O2028" i="5"/>
  <c r="N2028" i="5"/>
  <c r="M2028" i="5"/>
  <c r="L2028" i="5"/>
  <c r="K2028" i="5"/>
  <c r="J2028" i="5"/>
  <c r="I2028" i="5"/>
  <c r="H2028" i="5"/>
  <c r="V2027" i="5"/>
  <c r="U2027" i="5"/>
  <c r="T2027" i="5"/>
  <c r="S2027" i="5"/>
  <c r="R2027" i="5"/>
  <c r="Q2027" i="5"/>
  <c r="P2027" i="5"/>
  <c r="O2027" i="5"/>
  <c r="N2027" i="5"/>
  <c r="M2027" i="5"/>
  <c r="L2027" i="5"/>
  <c r="K2027" i="5"/>
  <c r="J2027" i="5"/>
  <c r="I2027" i="5"/>
  <c r="H2027" i="5"/>
  <c r="V2026" i="5"/>
  <c r="U2026" i="5"/>
  <c r="T2026" i="5"/>
  <c r="S2026" i="5"/>
  <c r="R2026" i="5"/>
  <c r="Q2026" i="5"/>
  <c r="P2026" i="5"/>
  <c r="O2026" i="5"/>
  <c r="N2026" i="5"/>
  <c r="M2026" i="5"/>
  <c r="L2026" i="5"/>
  <c r="K2026" i="5"/>
  <c r="J2026" i="5"/>
  <c r="I2026" i="5"/>
  <c r="H2026" i="5"/>
  <c r="V2025" i="5"/>
  <c r="U2025" i="5"/>
  <c r="T2025" i="5"/>
  <c r="S2025" i="5"/>
  <c r="R2025" i="5"/>
  <c r="Q2025" i="5"/>
  <c r="P2025" i="5"/>
  <c r="O2025" i="5"/>
  <c r="N2025" i="5"/>
  <c r="M2025" i="5"/>
  <c r="L2025" i="5"/>
  <c r="K2025" i="5"/>
  <c r="J2025" i="5"/>
  <c r="I2025" i="5"/>
  <c r="H2025" i="5"/>
  <c r="V2024" i="5"/>
  <c r="U2024" i="5"/>
  <c r="T2024" i="5"/>
  <c r="S2024" i="5"/>
  <c r="R2024" i="5"/>
  <c r="Q2024" i="5"/>
  <c r="P2024" i="5"/>
  <c r="V2023" i="5"/>
  <c r="U2023" i="5"/>
  <c r="T2023" i="5"/>
  <c r="S2023" i="5"/>
  <c r="R2023" i="5"/>
  <c r="Q2023" i="5"/>
  <c r="P2023" i="5"/>
  <c r="O2023" i="5"/>
  <c r="N2023" i="5"/>
  <c r="M2023" i="5"/>
  <c r="L2023" i="5"/>
  <c r="K2023" i="5"/>
  <c r="J2023" i="5"/>
  <c r="I2023" i="5"/>
  <c r="H2023" i="5"/>
  <c r="U2022" i="5"/>
  <c r="T2022" i="5"/>
  <c r="S2022" i="5"/>
  <c r="R2022" i="5"/>
  <c r="Q2022" i="5"/>
  <c r="P2022" i="5"/>
  <c r="O2022" i="5"/>
  <c r="N2022" i="5"/>
  <c r="M2022" i="5"/>
  <c r="L2022" i="5"/>
  <c r="K2022" i="5"/>
  <c r="J2022" i="5"/>
  <c r="I2022" i="5"/>
  <c r="H2022" i="5"/>
  <c r="V2021" i="5"/>
  <c r="U2021" i="5"/>
  <c r="T2021" i="5"/>
  <c r="S2021" i="5"/>
  <c r="R2021" i="5"/>
  <c r="Q2021" i="5"/>
  <c r="P2021" i="5"/>
  <c r="O2021" i="5"/>
  <c r="N2021" i="5"/>
  <c r="M2021" i="5"/>
  <c r="L2021" i="5"/>
  <c r="K2021" i="5"/>
  <c r="J2021" i="5"/>
  <c r="I2021" i="5"/>
  <c r="H2021" i="5"/>
  <c r="V2020" i="5"/>
  <c r="O2020" i="5"/>
  <c r="N2020" i="5"/>
  <c r="M2020" i="5"/>
  <c r="L2020" i="5"/>
  <c r="K2020" i="5"/>
  <c r="J2020" i="5"/>
  <c r="I2020" i="5"/>
  <c r="H2020" i="5"/>
  <c r="V2019" i="5"/>
  <c r="U2019" i="5"/>
  <c r="T2019" i="5"/>
  <c r="S2019" i="5"/>
  <c r="R2019" i="5"/>
  <c r="Q2019" i="5"/>
  <c r="P2019" i="5"/>
  <c r="O2019" i="5"/>
  <c r="N2019" i="5"/>
  <c r="M2019" i="5"/>
  <c r="L2019" i="5"/>
  <c r="K2019" i="5"/>
  <c r="J2019" i="5"/>
  <c r="I2019" i="5"/>
  <c r="H2019" i="5"/>
  <c r="V2018" i="5"/>
  <c r="U2018" i="5"/>
  <c r="T2018" i="5"/>
  <c r="S2018" i="5"/>
  <c r="R2018" i="5"/>
  <c r="Q2018" i="5"/>
  <c r="P2018" i="5"/>
  <c r="O2018" i="5"/>
  <c r="N2018" i="5"/>
  <c r="M2018" i="5"/>
  <c r="L2018" i="5"/>
  <c r="K2018" i="5"/>
  <c r="J2018" i="5"/>
  <c r="I2018" i="5"/>
  <c r="H2018" i="5"/>
  <c r="V2017" i="5"/>
  <c r="U2017" i="5"/>
  <c r="T2017" i="5"/>
  <c r="S2017" i="5"/>
  <c r="R2017" i="5"/>
  <c r="Q2017" i="5"/>
  <c r="P2017" i="5"/>
  <c r="O2017" i="5"/>
  <c r="N2017" i="5"/>
  <c r="M2017" i="5"/>
  <c r="L2017" i="5"/>
  <c r="K2017" i="5"/>
  <c r="J2017" i="5"/>
  <c r="I2017" i="5"/>
  <c r="H2017" i="5"/>
  <c r="V2016" i="5"/>
  <c r="U2016" i="5"/>
  <c r="T2016" i="5"/>
  <c r="S2016" i="5"/>
  <c r="R2016" i="5"/>
  <c r="Q2016" i="5"/>
  <c r="P2016" i="5"/>
  <c r="O2016" i="5"/>
  <c r="N2016" i="5"/>
  <c r="M2016" i="5"/>
  <c r="L2016" i="5"/>
  <c r="K2016" i="5"/>
  <c r="J2016" i="5"/>
  <c r="I2016" i="5"/>
  <c r="H2016" i="5"/>
  <c r="V2015" i="5"/>
  <c r="U2015" i="5"/>
  <c r="T2015" i="5"/>
  <c r="S2015" i="5"/>
  <c r="R2015" i="5"/>
  <c r="Q2015" i="5"/>
  <c r="P2015" i="5"/>
  <c r="O2015" i="5"/>
  <c r="N2015" i="5"/>
  <c r="M2015" i="5"/>
  <c r="L2015" i="5"/>
  <c r="K2015" i="5"/>
  <c r="J2015" i="5"/>
  <c r="I2015" i="5"/>
  <c r="H2015" i="5"/>
  <c r="V2014" i="5"/>
  <c r="U2014" i="5"/>
  <c r="T2014" i="5"/>
  <c r="S2014" i="5"/>
  <c r="R2014" i="5"/>
  <c r="Q2014" i="5"/>
  <c r="P2014" i="5"/>
  <c r="V2013" i="5"/>
  <c r="U2013" i="5"/>
  <c r="T2013" i="5"/>
  <c r="S2013" i="5"/>
  <c r="R2013" i="5"/>
  <c r="Q2013" i="5"/>
  <c r="P2013" i="5"/>
  <c r="O2013" i="5"/>
  <c r="N2013" i="5"/>
  <c r="M2013" i="5"/>
  <c r="L2013" i="5"/>
  <c r="K2013" i="5"/>
  <c r="J2013" i="5"/>
  <c r="I2013" i="5"/>
  <c r="H2013" i="5"/>
  <c r="U2012" i="5"/>
  <c r="T2012" i="5"/>
  <c r="S2012" i="5"/>
  <c r="R2012" i="5"/>
  <c r="Q2012" i="5"/>
  <c r="P2012" i="5"/>
  <c r="O2012" i="5"/>
  <c r="N2012" i="5"/>
  <c r="M2012" i="5"/>
  <c r="L2012" i="5"/>
  <c r="K2012" i="5"/>
  <c r="J2012" i="5"/>
  <c r="I2012" i="5"/>
  <c r="H2012" i="5"/>
  <c r="V2011" i="5"/>
  <c r="U2011" i="5"/>
  <c r="T2011" i="5"/>
  <c r="S2011" i="5"/>
  <c r="R2011" i="5"/>
  <c r="Q2011" i="5"/>
  <c r="P2011" i="5"/>
  <c r="O2011" i="5"/>
  <c r="N2011" i="5"/>
  <c r="M2011" i="5"/>
  <c r="L2011" i="5"/>
  <c r="K2011" i="5"/>
  <c r="J2011" i="5"/>
  <c r="I2011" i="5"/>
  <c r="H2011" i="5"/>
  <c r="V2010" i="5"/>
  <c r="O2010" i="5"/>
  <c r="N2010" i="5"/>
  <c r="M2010" i="5"/>
  <c r="L2010" i="5"/>
  <c r="K2010" i="5"/>
  <c r="J2010" i="5"/>
  <c r="I2010" i="5"/>
  <c r="H2010" i="5"/>
  <c r="V2009" i="5"/>
  <c r="U2009" i="5"/>
  <c r="T2009" i="5"/>
  <c r="S2009" i="5"/>
  <c r="R2009" i="5"/>
  <c r="Q2009" i="5"/>
  <c r="P2009" i="5"/>
  <c r="O2009" i="5"/>
  <c r="N2009" i="5"/>
  <c r="M2009" i="5"/>
  <c r="L2009" i="5"/>
  <c r="K2009" i="5"/>
  <c r="J2009" i="5"/>
  <c r="I2009" i="5"/>
  <c r="H2009" i="5"/>
  <c r="V2008" i="5"/>
  <c r="U2008" i="5"/>
  <c r="T2008" i="5"/>
  <c r="S2008" i="5"/>
  <c r="R2008" i="5"/>
  <c r="Q2008" i="5"/>
  <c r="P2008" i="5"/>
  <c r="O2008" i="5"/>
  <c r="N2008" i="5"/>
  <c r="M2008" i="5"/>
  <c r="L2008" i="5"/>
  <c r="K2008" i="5"/>
  <c r="J2008" i="5"/>
  <c r="I2008" i="5"/>
  <c r="H2008" i="5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7" i="2"/>
  <c r="J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N7" i="2"/>
  <c r="O7" i="2"/>
  <c r="P7" i="2"/>
  <c r="Q7" i="2"/>
  <c r="R7" i="2"/>
  <c r="S7" i="2"/>
  <c r="T7" i="2"/>
  <c r="U7" i="2"/>
  <c r="V7" i="2"/>
  <c r="K7" i="2"/>
  <c r="L7" i="2"/>
  <c r="M7" i="2"/>
  <c r="H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7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6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E800" i="1"/>
  <c r="E804" i="1"/>
  <c r="E803" i="1"/>
  <c r="E802" i="1"/>
  <c r="E801" i="1"/>
  <c r="E795" i="1"/>
  <c r="E799" i="1"/>
  <c r="E798" i="1"/>
  <c r="E797" i="1"/>
  <c r="E796" i="1"/>
  <c r="E794" i="1"/>
  <c r="E793" i="1"/>
  <c r="E792" i="1"/>
  <c r="E787" i="1"/>
  <c r="E791" i="1"/>
  <c r="E790" i="1"/>
  <c r="E789" i="1"/>
  <c r="E788" i="1"/>
  <c r="E786" i="1"/>
  <c r="E785" i="1"/>
  <c r="E784" i="1"/>
  <c r="E783" i="1"/>
  <c r="E782" i="1"/>
  <c r="E781" i="1"/>
  <c r="D763" i="1"/>
  <c r="E763" i="1" s="1"/>
  <c r="E778" i="1"/>
  <c r="E780" i="1"/>
  <c r="E779" i="1"/>
  <c r="E777" i="1"/>
  <c r="E776" i="1"/>
  <c r="E775" i="1"/>
  <c r="E774" i="1"/>
  <c r="E773" i="1"/>
  <c r="E772" i="1"/>
  <c r="E771" i="1"/>
  <c r="E769" i="1"/>
  <c r="E768" i="1"/>
  <c r="E767" i="1"/>
  <c r="E766" i="1"/>
  <c r="E765" i="1"/>
  <c r="E764" i="1"/>
  <c r="E762" i="1"/>
  <c r="E770" i="1"/>
  <c r="E741" i="1"/>
  <c r="E752" i="1"/>
  <c r="E761" i="1"/>
  <c r="E760" i="1"/>
  <c r="E759" i="1"/>
  <c r="E758" i="1"/>
  <c r="E757" i="1"/>
  <c r="E756" i="1"/>
  <c r="E755" i="1"/>
  <c r="E754" i="1"/>
  <c r="E753" i="1"/>
  <c r="E751" i="1"/>
  <c r="E750" i="1"/>
  <c r="E749" i="1"/>
  <c r="E748" i="1"/>
  <c r="E747" i="1"/>
  <c r="E746" i="1"/>
  <c r="E745" i="1"/>
  <c r="E744" i="1"/>
  <c r="U6" i="2"/>
  <c r="E743" i="1"/>
  <c r="E742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675" i="1"/>
  <c r="E703" i="1"/>
  <c r="E720" i="1"/>
  <c r="E711" i="1"/>
  <c r="E701" i="1"/>
  <c r="E692" i="1"/>
  <c r="E724" i="1"/>
  <c r="E723" i="1"/>
  <c r="E722" i="1"/>
  <c r="E721" i="1"/>
  <c r="E719" i="1"/>
  <c r="E718" i="1"/>
  <c r="E717" i="1"/>
  <c r="E716" i="1"/>
  <c r="E714" i="1"/>
  <c r="E713" i="1"/>
  <c r="E712" i="1"/>
  <c r="E700" i="1"/>
  <c r="E699" i="1"/>
  <c r="E698" i="1"/>
  <c r="E697" i="1"/>
  <c r="E696" i="1"/>
  <c r="E695" i="1"/>
  <c r="E694" i="1"/>
  <c r="E693" i="1"/>
  <c r="E691" i="1"/>
  <c r="E690" i="1"/>
  <c r="E715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4" i="1"/>
  <c r="E702" i="1"/>
  <c r="E710" i="1"/>
  <c r="E709" i="1"/>
  <c r="E708" i="1"/>
  <c r="E707" i="1"/>
  <c r="E706" i="1"/>
  <c r="E705" i="1"/>
  <c r="E704" i="1"/>
  <c r="E673" i="1"/>
  <c r="E672" i="1"/>
  <c r="E671" i="1"/>
  <c r="E670" i="1"/>
  <c r="E669" i="1"/>
  <c r="E668" i="1"/>
  <c r="E667" i="1"/>
  <c r="E666" i="1"/>
  <c r="E664" i="1"/>
  <c r="E665" i="1"/>
  <c r="E663" i="1"/>
  <c r="E662" i="1"/>
  <c r="E661" i="1"/>
  <c r="E660" i="1"/>
  <c r="E659" i="1"/>
  <c r="E658" i="1"/>
  <c r="E657" i="1"/>
  <c r="E645" i="1"/>
  <c r="E656" i="1"/>
  <c r="E655" i="1"/>
  <c r="E654" i="1"/>
  <c r="E653" i="1"/>
  <c r="E652" i="1"/>
  <c r="E651" i="1"/>
  <c r="E650" i="1"/>
  <c r="E649" i="1"/>
  <c r="E648" i="1"/>
  <c r="E647" i="1"/>
  <c r="E646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H6" i="2"/>
  <c r="I6" i="2"/>
  <c r="J6" i="2"/>
  <c r="K6" i="2"/>
  <c r="L6" i="2"/>
  <c r="M6" i="2"/>
  <c r="N6" i="2"/>
  <c r="O6" i="2"/>
  <c r="P6" i="2"/>
  <c r="Q6" i="2"/>
  <c r="R6" i="2"/>
  <c r="S6" i="2"/>
  <c r="T6" i="2"/>
  <c r="G6" i="2"/>
  <c r="E608" i="1"/>
  <c r="E607" i="1"/>
  <c r="E613" i="1"/>
  <c r="E612" i="1"/>
  <c r="E611" i="1"/>
  <c r="E610" i="1"/>
  <c r="E609" i="1"/>
  <c r="E606" i="1"/>
  <c r="E605" i="1"/>
  <c r="E604" i="1"/>
  <c r="E603" i="1"/>
  <c r="E602" i="1"/>
  <c r="E601" i="1"/>
  <c r="D589" i="1"/>
  <c r="E589" i="1" s="1"/>
  <c r="E592" i="1"/>
  <c r="E600" i="1"/>
  <c r="E599" i="1"/>
  <c r="E598" i="1"/>
  <c r="E597" i="1"/>
  <c r="E596" i="1"/>
  <c r="E595" i="1"/>
  <c r="E594" i="1"/>
  <c r="E593" i="1"/>
  <c r="E591" i="1"/>
  <c r="E590" i="1"/>
  <c r="E582" i="1"/>
  <c r="E588" i="1"/>
  <c r="E569" i="1"/>
  <c r="E571" i="1"/>
  <c r="E547" i="1"/>
  <c r="E546" i="1"/>
  <c r="E545" i="1"/>
  <c r="E515" i="1"/>
  <c r="E513" i="1"/>
  <c r="E587" i="1"/>
  <c r="E586" i="1"/>
  <c r="E585" i="1"/>
  <c r="E584" i="1"/>
  <c r="E583" i="1"/>
  <c r="E581" i="1"/>
  <c r="E580" i="1"/>
  <c r="E579" i="1"/>
  <c r="E578" i="1"/>
  <c r="E577" i="1"/>
  <c r="E576" i="1"/>
  <c r="E575" i="1"/>
  <c r="E574" i="1"/>
  <c r="E573" i="1"/>
  <c r="E572" i="1"/>
  <c r="E570" i="1"/>
  <c r="E568" i="1"/>
  <c r="E567" i="1"/>
  <c r="E566" i="1"/>
  <c r="E565" i="1"/>
  <c r="E564" i="1"/>
  <c r="E563" i="1"/>
  <c r="E543" i="1"/>
  <c r="E562" i="1"/>
  <c r="E561" i="1"/>
  <c r="E560" i="1"/>
  <c r="E559" i="1"/>
  <c r="E558" i="1"/>
  <c r="E555" i="1"/>
  <c r="E553" i="1"/>
  <c r="E552" i="1"/>
  <c r="E551" i="1"/>
  <c r="E550" i="1"/>
  <c r="E549" i="1"/>
  <c r="E548" i="1"/>
  <c r="E544" i="1"/>
  <c r="E542" i="1"/>
  <c r="E541" i="1"/>
  <c r="E540" i="1"/>
  <c r="E539" i="1"/>
  <c r="E537" i="1"/>
  <c r="E536" i="1"/>
  <c r="E535" i="1"/>
  <c r="E534" i="1"/>
  <c r="E533" i="1"/>
  <c r="E532" i="1"/>
  <c r="E531" i="1"/>
  <c r="E530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4" i="1"/>
  <c r="E512" i="1"/>
  <c r="E511" i="1"/>
  <c r="E510" i="1"/>
  <c r="E509" i="1"/>
  <c r="E508" i="1"/>
  <c r="E507" i="1"/>
  <c r="E506" i="1"/>
  <c r="E505" i="1"/>
  <c r="E501" i="1"/>
  <c r="E502" i="1"/>
  <c r="E557" i="1"/>
  <c r="E556" i="1"/>
  <c r="E554" i="1"/>
  <c r="E538" i="1"/>
  <c r="E529" i="1"/>
  <c r="E504" i="1"/>
  <c r="E503" i="1"/>
  <c r="D499" i="1"/>
  <c r="E499" i="1" s="1"/>
  <c r="E490" i="1"/>
  <c r="E491" i="1"/>
  <c r="E492" i="1"/>
  <c r="E493" i="1"/>
  <c r="E494" i="1"/>
  <c r="E495" i="1"/>
  <c r="E496" i="1"/>
  <c r="E497" i="1"/>
  <c r="E498" i="1"/>
  <c r="E500" i="1"/>
  <c r="E489" i="1"/>
  <c r="E487" i="1"/>
  <c r="E486" i="1"/>
  <c r="E485" i="1"/>
  <c r="E475" i="1"/>
  <c r="E488" i="1"/>
  <c r="E484" i="1"/>
  <c r="E483" i="1"/>
  <c r="E482" i="1"/>
  <c r="E481" i="1"/>
  <c r="E480" i="1"/>
  <c r="E479" i="1"/>
  <c r="E478" i="1"/>
  <c r="E477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98" i="1"/>
  <c r="E277" i="1"/>
  <c r="E276" i="1"/>
  <c r="E274" i="1"/>
  <c r="E273" i="1"/>
  <c r="E272" i="1"/>
  <c r="E270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D275" i="1" l="1"/>
  <c r="E275" i="1" s="1"/>
  <c r="D271" i="1"/>
  <c r="E271" i="1" s="1"/>
  <c r="D269" i="1"/>
  <c r="E269" i="1" s="1"/>
  <c r="D268" i="1"/>
  <c r="E268" i="1" s="1"/>
  <c r="D267" i="1"/>
  <c r="E267" i="1" s="1"/>
  <c r="D266" i="1"/>
  <c r="E266" i="1" s="1"/>
  <c r="G496" i="5" a="1"/>
  <c r="R59" i="5" a="1"/>
  <c r="Q33" i="5" a="1"/>
  <c r="G455" i="5" a="1"/>
  <c r="P16" i="5" a="1"/>
  <c r="G126" i="5" a="1"/>
  <c r="N44" i="5" a="1"/>
  <c r="S45" i="5" a="1"/>
  <c r="R78" i="5" a="1"/>
  <c r="M60" i="5" a="1"/>
  <c r="G516" i="5" a="1"/>
  <c r="R32" i="5" a="1"/>
  <c r="P28" i="5" a="1"/>
  <c r="J82" i="5" a="1"/>
  <c r="G36" i="5" a="1"/>
  <c r="S85" i="5" a="1"/>
  <c r="O10" i="5" a="1"/>
  <c r="H28" i="5" a="1"/>
  <c r="P76" i="5" a="1"/>
  <c r="T22" i="5" a="1"/>
  <c r="T93" i="5" a="1"/>
  <c r="R47" i="5" a="1"/>
  <c r="L43" i="5" a="1"/>
  <c r="U28" i="5" a="1"/>
  <c r="G255" i="5" a="1"/>
  <c r="G46" i="5" a="1"/>
  <c r="G530" i="5" a="1"/>
  <c r="R52" i="5" a="1"/>
  <c r="T95" i="5" a="1"/>
  <c r="M79" i="5" a="1"/>
  <c r="O45" i="5" a="1"/>
  <c r="P19" i="5" a="1"/>
  <c r="Q27" i="5" a="1"/>
  <c r="M18" i="5" a="1"/>
  <c r="I35" i="5" a="1"/>
  <c r="O29" i="5" a="1"/>
  <c r="P54" i="5" a="1"/>
  <c r="M84" i="5" a="1"/>
  <c r="J53" i="5" a="1"/>
  <c r="U79" i="5" a="1"/>
  <c r="S33" i="5" a="1"/>
  <c r="I77" i="5" a="1"/>
  <c r="N36" i="5" a="1"/>
  <c r="J59" i="5" a="1"/>
  <c r="J26" i="5" a="1"/>
  <c r="T53" i="5" a="1"/>
  <c r="L13" i="5" a="1"/>
  <c r="Q40" i="5" a="1"/>
  <c r="T17" i="5" a="1"/>
  <c r="J88" i="5" a="1"/>
  <c r="G376" i="5" a="1"/>
  <c r="L57" i="5" a="1"/>
  <c r="I18" i="5" a="1"/>
  <c r="G288" i="5" a="1"/>
  <c r="I90" i="5" a="1"/>
  <c r="R17" i="5" a="1"/>
  <c r="N39" i="5" a="1"/>
  <c r="G247" i="5" a="1"/>
  <c r="L60" i="5" a="1"/>
  <c r="N76" i="5" a="1"/>
  <c r="H32" i="5" a="1"/>
  <c r="S43" i="5" a="1"/>
  <c r="G109" i="5" a="1"/>
  <c r="K18" i="5" a="1"/>
  <c r="I32" i="5" a="1"/>
  <c r="O58" i="5" a="1"/>
  <c r="K58" i="5" a="1"/>
  <c r="P60" i="5" a="1"/>
  <c r="G137" i="5" a="1"/>
  <c r="K86" i="5" a="1"/>
  <c r="G49" i="5" a="1"/>
  <c r="I9" i="5" a="1"/>
  <c r="M54" i="5" a="1"/>
  <c r="N84" i="5" a="1"/>
  <c r="I49" i="5" a="1"/>
  <c r="Q84" i="5" a="1"/>
  <c r="O89" i="5" a="1"/>
  <c r="O57" i="5" a="1"/>
  <c r="J17" i="5" a="1"/>
  <c r="G543" i="5" a="1"/>
  <c r="J29" i="5" a="1"/>
  <c r="V36" i="5" a="1"/>
  <c r="G210" i="5" a="1"/>
  <c r="Q55" i="5" a="1"/>
  <c r="G180" i="5" a="1"/>
  <c r="U9" i="5" a="1"/>
  <c r="G480" i="5" a="1"/>
  <c r="J37" i="5" a="1"/>
  <c r="O75" i="5" a="1"/>
  <c r="G243" i="5" a="1"/>
  <c r="L39" i="5" a="1"/>
  <c r="L58" i="5" a="1"/>
  <c r="N77" i="5" a="1"/>
  <c r="G306" i="5" a="1"/>
  <c r="G457" i="5" a="1"/>
  <c r="P57" i="5" a="1"/>
  <c r="G426" i="5" a="1"/>
  <c r="G44" i="5" a="1"/>
  <c r="U35" i="5" a="1"/>
  <c r="I12" i="5" a="1"/>
  <c r="Q56" i="5" a="1"/>
  <c r="U26" i="5" a="1"/>
  <c r="I55" i="5" a="1"/>
  <c r="K16" i="5" a="1"/>
  <c r="G460" i="5" a="1"/>
  <c r="G358" i="5" a="1"/>
  <c r="Q9" i="5" a="1"/>
  <c r="J30" i="5" a="1"/>
  <c r="J44" i="5" a="1"/>
  <c r="U53" i="5" a="1"/>
  <c r="L78" i="5" a="1"/>
  <c r="I79" i="5" a="1"/>
  <c r="Q47" i="5" a="1"/>
  <c r="G225" i="5" a="1"/>
  <c r="M56" i="5" a="1"/>
  <c r="G196" i="5" a="1"/>
  <c r="G333" i="5" a="1"/>
  <c r="T30" i="5" a="1"/>
  <c r="V22" i="5" a="1"/>
  <c r="G188" i="5" a="1"/>
  <c r="G292" i="5" a="1"/>
  <c r="T83" i="5" a="1"/>
  <c r="L27" i="5" a="1"/>
  <c r="O44" i="5" a="1"/>
  <c r="K26" i="5" a="1"/>
  <c r="M57" i="5" a="1"/>
  <c r="U10" i="5" a="1"/>
  <c r="H14" i="5" a="1"/>
  <c r="J22" i="5" a="1"/>
  <c r="Q52" i="5" a="1"/>
  <c r="M86" i="5" a="1"/>
  <c r="R8" i="5" a="1"/>
  <c r="K82" i="5" a="1"/>
  <c r="G513" i="5" a="1"/>
  <c r="J42" i="5" a="1"/>
  <c r="V75" i="5" a="1"/>
  <c r="G332" i="5" a="1"/>
  <c r="U94" i="5" a="1"/>
  <c r="G534" i="5" a="1"/>
  <c r="H22" i="5" a="1"/>
  <c r="G207" i="5" a="1"/>
  <c r="P55" i="5" a="1"/>
  <c r="G586" i="5" a="1"/>
  <c r="H84" i="5" a="1"/>
  <c r="G405" i="5" a="1"/>
  <c r="N90" i="5" a="1"/>
  <c r="G89" i="5" a="1"/>
  <c r="I40" i="5" a="1"/>
  <c r="N28" i="5" a="1"/>
  <c r="G142" i="5" a="1"/>
  <c r="G76" i="5" a="1"/>
  <c r="G40" i="5" a="1"/>
  <c r="R49" i="5" a="1"/>
  <c r="K40" i="5" a="1"/>
  <c r="N18" i="5" a="1"/>
  <c r="Q39" i="5" a="1"/>
  <c r="G389" i="5" a="1"/>
  <c r="G410" i="5" a="1"/>
  <c r="L48" i="5" a="1"/>
  <c r="G278" i="5" a="1"/>
  <c r="P14" i="5" a="1"/>
  <c r="G504" i="5" a="1"/>
  <c r="G497" i="5" a="1"/>
  <c r="T88" i="5" a="1"/>
  <c r="G345" i="5" a="1"/>
  <c r="V48" i="5" a="1"/>
  <c r="V56" i="5" a="1"/>
  <c r="L15" i="5" a="1"/>
  <c r="K52" i="5" a="1"/>
  <c r="Q8" i="5" a="1"/>
  <c r="H59" i="5" a="1"/>
  <c r="R77" i="5" a="1"/>
  <c r="M35" i="5" a="1"/>
  <c r="G443" i="5" a="1"/>
  <c r="Q49" i="5" a="1"/>
  <c r="G580" i="5" a="1"/>
  <c r="R95" i="5" a="1"/>
  <c r="G179" i="5" a="1"/>
  <c r="L90" i="5" a="1"/>
  <c r="G482" i="5" a="1"/>
  <c r="G224" i="5" a="1"/>
  <c r="K56" i="5" a="1"/>
  <c r="G452" i="5" a="1"/>
  <c r="Q76" i="5" a="1"/>
  <c r="G548" i="5" a="1"/>
  <c r="H45" i="5" a="1"/>
  <c r="P53" i="5" a="1"/>
  <c r="U89" i="5" a="1"/>
  <c r="S56" i="5" a="1"/>
  <c r="U19" i="5" a="1"/>
  <c r="J89" i="5" a="1"/>
  <c r="P17" i="5" a="1"/>
  <c r="H64" i="5" a="1"/>
  <c r="T85" i="5" a="1"/>
  <c r="R93" i="5" a="1"/>
  <c r="G539" i="5" a="1"/>
  <c r="O92" i="5" a="1"/>
  <c r="G48" i="5" a="1"/>
  <c r="G90" i="5" a="1"/>
  <c r="H62" i="5" a="1"/>
  <c r="J63" i="5" a="1"/>
  <c r="G359" i="5" a="1"/>
  <c r="G220" i="5" a="1"/>
  <c r="O84" i="5" a="1"/>
  <c r="U85" i="5" a="1"/>
  <c r="S54" i="5" a="1"/>
  <c r="G377" i="5" a="1"/>
  <c r="J12" i="5" a="1"/>
  <c r="U75" i="5" a="1"/>
  <c r="G313" i="5" a="1"/>
  <c r="K77" i="5" a="1"/>
  <c r="S7" i="5" a="1"/>
  <c r="G508" i="5" a="1"/>
  <c r="O79" i="5" a="1"/>
  <c r="K13" i="5" a="1"/>
  <c r="G350" i="5" a="1"/>
  <c r="U90" i="5" a="1"/>
  <c r="V15" i="5" a="1"/>
  <c r="R50" i="5" a="1"/>
  <c r="P88" i="5" a="1"/>
  <c r="L87" i="5" a="1"/>
  <c r="G77" i="5" a="1"/>
  <c r="T37" i="5" a="1"/>
  <c r="T13" i="5" a="1"/>
  <c r="G344" i="5" a="1"/>
  <c r="G419" i="5" a="1"/>
  <c r="T82" i="5" a="1"/>
  <c r="H77" i="5" a="1"/>
  <c r="U37" i="5" a="1"/>
  <c r="M62" i="5" a="1"/>
  <c r="P22" i="5" a="1"/>
  <c r="H49" i="5" a="1"/>
  <c r="N25" i="5" a="1"/>
  <c r="G122" i="5" a="1"/>
  <c r="S38" i="5" a="1"/>
  <c r="R37" i="5" a="1"/>
  <c r="J64" i="5" a="1"/>
  <c r="G310" i="5" a="1"/>
  <c r="H83" i="5" a="1"/>
  <c r="H46" i="5" a="1"/>
  <c r="P59" i="5" a="1"/>
  <c r="G592" i="5" a="1"/>
  <c r="G484" i="5" a="1"/>
  <c r="G193" i="5" a="1"/>
  <c r="L54" i="5" a="1"/>
  <c r="P94" i="5" a="1"/>
  <c r="J16" i="5" a="1"/>
  <c r="N53" i="5" a="1"/>
  <c r="G305" i="5" a="1"/>
  <c r="H50" i="5" a="1"/>
  <c r="V8" i="5" a="1"/>
  <c r="S42" i="5" a="1"/>
  <c r="N47" i="5" a="1"/>
  <c r="I88" i="5" a="1"/>
  <c r="J48" i="5" a="1"/>
  <c r="N22" i="5" a="1"/>
  <c r="K54" i="5" a="1"/>
  <c r="M23" i="5" a="1"/>
  <c r="G587" i="5" a="1"/>
  <c r="G489" i="5" a="1"/>
  <c r="R82" i="5" a="1"/>
  <c r="G32" i="5" a="1"/>
  <c r="G428" i="5" a="1"/>
  <c r="M55" i="5" a="1"/>
  <c r="G563" i="5" a="1"/>
  <c r="V54" i="5" a="1"/>
  <c r="J24" i="5" a="1"/>
  <c r="G245" i="5" a="1"/>
  <c r="O93" i="5" a="1"/>
  <c r="M75" i="5" a="1"/>
  <c r="S52" i="5" a="1"/>
  <c r="I92" i="5" a="1"/>
  <c r="G557" i="5" a="1"/>
  <c r="U92" i="5" a="1"/>
  <c r="Q57" i="5" a="1"/>
  <c r="V12" i="5" a="1"/>
  <c r="M17" i="5" a="1"/>
  <c r="U13" i="5" a="1"/>
  <c r="I25" i="5" a="1"/>
  <c r="G475" i="5" a="1"/>
  <c r="G80" i="5" a="1"/>
  <c r="R7" i="5" a="1"/>
  <c r="G125" i="5" a="1"/>
  <c r="V83" i="5" a="1"/>
  <c r="V63" i="5" a="1"/>
  <c r="G55" i="5" a="1"/>
  <c r="K50" i="5" a="1"/>
  <c r="G117" i="5" a="1"/>
  <c r="G434" i="5" a="1"/>
  <c r="G13" i="5" a="1"/>
  <c r="G114" i="5" a="1"/>
  <c r="H13" i="5" a="1"/>
  <c r="G502" i="5" a="1"/>
  <c r="G303" i="5" a="1"/>
  <c r="J60" i="5" a="1"/>
  <c r="G128" i="5" a="1"/>
  <c r="G12" i="5" a="1"/>
  <c r="I58" i="5" a="1"/>
  <c r="T84" i="5" a="1"/>
  <c r="Q62" i="5" a="1"/>
  <c r="K36" i="5" a="1"/>
  <c r="J55" i="5" a="1"/>
  <c r="I10" i="5" a="1"/>
  <c r="I23" i="5" a="1"/>
  <c r="S10" i="5" a="1"/>
  <c r="G116" i="5" a="1"/>
  <c r="H90" i="5" a="1"/>
  <c r="N15" i="5" a="1"/>
  <c r="U64" i="5" a="1"/>
  <c r="T36" i="5" a="1"/>
  <c r="G556" i="5" a="1"/>
  <c r="O46" i="5" a="1"/>
  <c r="G499" i="5" a="1"/>
  <c r="U17" i="5" a="1"/>
  <c r="G246" i="5" a="1"/>
  <c r="G524" i="5" a="1"/>
  <c r="M37" i="5" a="1"/>
  <c r="R30" i="5" a="1"/>
  <c r="H16" i="5" a="1"/>
  <c r="L17" i="5" a="1"/>
  <c r="V45" i="5" a="1"/>
  <c r="H38" i="5" a="1"/>
  <c r="T55" i="5" a="1"/>
  <c r="G184" i="5" a="1"/>
  <c r="I33" i="5" a="1"/>
  <c r="G436" i="5" a="1"/>
  <c r="J7" i="5" a="1"/>
  <c r="M45" i="5" a="1"/>
  <c r="P63" i="5" a="1"/>
  <c r="I42" i="5" a="1"/>
  <c r="T54" i="5" a="1"/>
  <c r="G295" i="5" a="1"/>
  <c r="U43" i="5" a="1"/>
  <c r="H92" i="5" a="1"/>
  <c r="U60" i="5" a="1"/>
  <c r="Q63" i="5" a="1"/>
  <c r="L75" i="5" a="1"/>
  <c r="Q20" i="5" a="1"/>
  <c r="G38" i="5" a="1"/>
  <c r="U27" i="5" a="1"/>
  <c r="R25" i="5" a="1"/>
  <c r="M64" i="5" a="1"/>
  <c r="G56" i="5" a="1"/>
  <c r="G138" i="5" a="1"/>
  <c r="R35" i="5" a="1"/>
  <c r="U86" i="5" a="1"/>
  <c r="Q10" i="5" a="1"/>
  <c r="J36" i="5" a="1"/>
  <c r="J45" i="5" a="1"/>
  <c r="G329" i="5" a="1"/>
  <c r="J92" i="5" a="1"/>
  <c r="Q16" i="5" a="1"/>
  <c r="H39" i="5" a="1"/>
  <c r="I20" i="5" a="1"/>
  <c r="K27" i="5" a="1"/>
  <c r="G560" i="5" a="1"/>
  <c r="T10" i="5" a="1"/>
  <c r="U45" i="5" a="1"/>
  <c r="L52" i="5" a="1"/>
  <c r="J13" i="5" a="1"/>
  <c r="M29" i="5" a="1"/>
  <c r="G429" i="5" a="1"/>
  <c r="G10" i="5" a="1"/>
  <c r="L84" i="5" a="1"/>
  <c r="G507" i="5" a="1"/>
  <c r="U18" i="5" a="1"/>
  <c r="G228" i="5" a="1"/>
  <c r="M85" i="5" a="1"/>
  <c r="L25" i="5" a="1"/>
  <c r="K43" i="5" a="1"/>
  <c r="K78" i="5" a="1"/>
  <c r="M38" i="5" a="1"/>
  <c r="G492" i="5" a="1"/>
  <c r="P37" i="5" a="1"/>
  <c r="G380" i="5" a="1"/>
  <c r="I64" i="5" a="1"/>
  <c r="G58" i="5" a="1"/>
  <c r="I29" i="5" a="1"/>
  <c r="O60" i="5" a="1"/>
  <c r="G532" i="5" a="1"/>
  <c r="U50" i="5" a="1"/>
  <c r="V62" i="5" a="1"/>
  <c r="V32" i="5" a="1"/>
  <c r="S26" i="5" a="1"/>
  <c r="G342" i="5" a="1"/>
  <c r="G134" i="5" a="1"/>
  <c r="U83" i="5" a="1"/>
  <c r="P33" i="5" a="1"/>
  <c r="H24" i="5" a="1"/>
  <c r="P29" i="5" a="1"/>
  <c r="N8" i="5" a="1"/>
  <c r="S49" i="5" a="1"/>
  <c r="S84" i="5" a="1"/>
  <c r="G108" i="5" a="1"/>
  <c r="G594" i="5" a="1"/>
  <c r="J8" i="5" a="1"/>
  <c r="V86" i="5" a="1"/>
  <c r="G7" i="5" a="1"/>
  <c r="K34" i="5" a="1"/>
  <c r="G197" i="5" a="1"/>
  <c r="Q35" i="5" a="1"/>
  <c r="T56" i="5" a="1"/>
  <c r="G88" i="5" a="1"/>
  <c r="G430" i="5" a="1"/>
  <c r="H40" i="5" a="1"/>
  <c r="O76" i="5" a="1"/>
  <c r="G33" i="5" a="1"/>
  <c r="Q24" i="5" a="1"/>
  <c r="V95" i="5" a="1"/>
  <c r="G603" i="5" a="1"/>
  <c r="G522" i="5" a="1"/>
  <c r="G312" i="5" a="1"/>
  <c r="K30" i="5" a="1"/>
  <c r="N30" i="5" a="1"/>
  <c r="Q28" i="5" a="1"/>
  <c r="L29" i="5" a="1"/>
  <c r="L59" i="5" a="1"/>
  <c r="N10" i="5" a="1"/>
  <c r="G87" i="5" a="1"/>
  <c r="G182" i="5" a="1"/>
  <c r="G537" i="5" a="1"/>
  <c r="G494" i="5" a="1"/>
  <c r="J47" i="5" a="1"/>
  <c r="N93" i="5" a="1"/>
  <c r="G209" i="5" a="1"/>
  <c r="G564" i="5" a="1"/>
  <c r="M78" i="5" a="1"/>
  <c r="G102" i="5" a="1"/>
  <c r="P24" i="5" a="1"/>
  <c r="G538" i="5" a="1"/>
  <c r="S55" i="5" a="1"/>
  <c r="U52" i="5" a="1"/>
  <c r="Q36" i="5" a="1"/>
  <c r="O48" i="5" a="1"/>
  <c r="S27" i="5" a="1"/>
  <c r="I17" i="5" a="1"/>
  <c r="J95" i="5" a="1"/>
  <c r="O77" i="5" a="1"/>
  <c r="K62" i="5" a="1"/>
  <c r="U63" i="5" a="1"/>
  <c r="G149" i="5" a="1"/>
  <c r="K60" i="5" a="1"/>
  <c r="S20" i="5" a="1"/>
  <c r="Q7" i="5" a="1"/>
  <c r="P12" i="5" a="1"/>
  <c r="N82" i="5" a="1"/>
  <c r="G26" i="5" a="1"/>
  <c r="G437" i="5" a="1"/>
  <c r="L23" i="5" a="1"/>
  <c r="G43" i="5" a="1"/>
  <c r="G375" i="5" a="1"/>
  <c r="G463" i="5" a="1"/>
  <c r="G153" i="5" a="1"/>
  <c r="J43" i="5" a="1"/>
  <c r="V25" i="5" a="1"/>
  <c r="I62" i="5" a="1"/>
  <c r="G542" i="5" a="1"/>
  <c r="Q30" i="5" a="1"/>
  <c r="M47" i="5" a="1"/>
  <c r="N64" i="5" a="1"/>
  <c r="S30" i="5" a="1"/>
  <c r="G194" i="5" a="1"/>
  <c r="S57" i="5" a="1"/>
  <c r="G242" i="5" a="1"/>
  <c r="G483" i="5" a="1"/>
  <c r="N94" i="5" a="1"/>
  <c r="R83" i="5" a="1"/>
  <c r="N95" i="5" a="1"/>
  <c r="K32" i="5" a="1"/>
  <c r="G438" i="5" a="1"/>
  <c r="P13" i="5" a="1"/>
  <c r="Q43" i="5" a="1"/>
  <c r="G230" i="5" a="1"/>
  <c r="G28" i="5" a="1"/>
  <c r="M63" i="5" a="1"/>
  <c r="L62" i="5" a="1"/>
  <c r="I78" i="5" a="1"/>
  <c r="S77" i="5" a="1"/>
  <c r="L63" i="5" a="1"/>
  <c r="M42" i="5" a="1"/>
  <c r="G378" i="5" a="1"/>
  <c r="G388" i="5" a="1"/>
  <c r="K12" i="5" a="1"/>
  <c r="O43" i="5" a="1"/>
  <c r="O20" i="5" a="1"/>
  <c r="T76" i="5" a="1"/>
  <c r="V64" i="5" a="1"/>
  <c r="J50" i="5" a="1"/>
  <c r="G280" i="5" a="1"/>
  <c r="G293" i="5" a="1"/>
  <c r="P75" i="5" a="1"/>
  <c r="G427" i="5" a="1"/>
  <c r="S64" i="5" a="1"/>
  <c r="U38" i="5" a="1"/>
  <c r="H44" i="5" a="1"/>
  <c r="G477" i="5" a="1"/>
  <c r="P84" i="5" a="1"/>
  <c r="U49" i="5" a="1"/>
  <c r="G27" i="5" a="1"/>
  <c r="L82" i="5" a="1"/>
  <c r="G239" i="5" a="1"/>
  <c r="G94" i="5" a="1"/>
  <c r="G317" i="5" a="1"/>
  <c r="H29" i="5" a="1"/>
  <c r="G208" i="5" a="1"/>
  <c r="G29" i="5" a="1"/>
  <c r="N20" i="5" a="1"/>
  <c r="J35" i="5" a="1"/>
  <c r="G107" i="5" a="1"/>
  <c r="M92" i="5" a="1"/>
  <c r="R90" i="5" a="1"/>
  <c r="G287" i="5" a="1"/>
  <c r="G189" i="5" a="1"/>
  <c r="H89" i="5" a="1"/>
  <c r="K33" i="5" a="1"/>
  <c r="G235" i="5" a="1"/>
  <c r="I52" i="5" a="1"/>
  <c r="G509" i="5" a="1"/>
  <c r="G115" i="5" a="1"/>
  <c r="G302" i="5" a="1"/>
  <c r="I34" i="5" a="1"/>
  <c r="G598" i="5" a="1"/>
  <c r="G163" i="5" a="1"/>
  <c r="M27" i="5" a="1"/>
  <c r="J56" i="5" a="1"/>
  <c r="G164" i="5" a="1"/>
  <c r="T33" i="5" a="1"/>
  <c r="H8" i="5" a="1"/>
  <c r="G576" i="5" a="1"/>
  <c r="P56" i="5" a="1"/>
  <c r="L80" i="5" a="1"/>
  <c r="U32" i="5" a="1"/>
  <c r="P93" i="5" a="1"/>
  <c r="S48" i="5" a="1"/>
  <c r="G79" i="5" a="1"/>
  <c r="G444" i="5" a="1"/>
  <c r="G308" i="5" a="1"/>
  <c r="G439" i="5" a="1"/>
  <c r="R75" i="5" a="1"/>
  <c r="M44" i="5" a="1"/>
  <c r="S13" i="5" a="1"/>
  <c r="G144" i="5" a="1"/>
  <c r="R62" i="5" a="1"/>
  <c r="G515" i="5" a="1"/>
  <c r="T78" i="5" a="1"/>
  <c r="H30" i="5" a="1"/>
  <c r="O22" i="5" a="1"/>
  <c r="R57" i="5" a="1"/>
  <c r="T42" i="5" a="1"/>
  <c r="O56" i="5" a="1"/>
  <c r="P32" i="5" a="1"/>
  <c r="V80" i="5" a="1"/>
  <c r="H85" i="5" a="1"/>
  <c r="G545" i="5" a="1"/>
  <c r="G204" i="5" a="1"/>
  <c r="K15" i="5" a="1"/>
  <c r="M49" i="5" a="1"/>
  <c r="G596" i="5" a="1"/>
  <c r="L7" i="5" a="1"/>
  <c r="K45" i="5" a="1"/>
  <c r="N35" i="5" a="1"/>
  <c r="K39" i="5" a="1"/>
  <c r="G298" i="5" a="1"/>
  <c r="G512" i="5" a="1"/>
  <c r="O19" i="5" a="1"/>
  <c r="G256" i="5" a="1"/>
  <c r="U88" i="5" a="1"/>
  <c r="G300" i="5" a="1"/>
  <c r="H27" i="5" a="1"/>
  <c r="V23" i="5" a="1"/>
  <c r="M8" i="5" a="1"/>
  <c r="O54" i="5" a="1"/>
  <c r="I27" i="5" a="1"/>
  <c r="L22" i="5" a="1"/>
  <c r="K75" i="5" a="1"/>
  <c r="G100" i="5" a="1"/>
  <c r="G105" i="5" a="1"/>
  <c r="G42" i="5" a="1"/>
  <c r="T19" i="5" a="1"/>
  <c r="M82" i="5" a="1"/>
  <c r="V29" i="5" a="1"/>
  <c r="J15" i="5" a="1"/>
  <c r="R55" i="5" a="1"/>
  <c r="U93" i="5" a="1"/>
  <c r="Q42" i="5" a="1"/>
  <c r="G15" i="5" a="1"/>
  <c r="S9" i="5" a="1"/>
  <c r="Q83" i="5" a="1"/>
  <c r="G412" i="5" a="1"/>
  <c r="G162" i="5" a="1"/>
  <c r="H42" i="5" a="1"/>
  <c r="S23" i="5" a="1"/>
  <c r="S8" i="5" a="1"/>
  <c r="K23" i="5" a="1"/>
  <c r="U44" i="5" a="1"/>
  <c r="G338" i="5" a="1"/>
  <c r="G34" i="5" a="1"/>
  <c r="G546" i="5" a="1"/>
  <c r="T50" i="5" a="1"/>
  <c r="G349" i="5" a="1"/>
  <c r="N54" i="5" a="1"/>
  <c r="O50" i="5" a="1"/>
  <c r="N63" i="5" a="1"/>
  <c r="N17" i="5" a="1"/>
  <c r="S93" i="5" a="1"/>
  <c r="S16" i="5" a="1"/>
  <c r="U47" i="5" a="1"/>
  <c r="G154" i="5" a="1"/>
  <c r="H60" i="5" a="1"/>
  <c r="J39" i="5" a="1"/>
  <c r="G106" i="5" a="1"/>
  <c r="G364" i="5" a="1"/>
  <c r="P78" i="5" a="1"/>
  <c r="G17" i="5" a="1"/>
  <c r="G328" i="5" a="1"/>
  <c r="G343" i="5" a="1"/>
  <c r="I53" i="5" a="1"/>
  <c r="G409" i="5" a="1"/>
  <c r="G355" i="5" a="1"/>
  <c r="G464" i="5" a="1"/>
  <c r="L44" i="5" a="1"/>
  <c r="J40" i="5" a="1"/>
  <c r="G503" i="5" a="1"/>
  <c r="S36" i="5" a="1"/>
  <c r="H78" i="5" a="1"/>
  <c r="T35" i="5" a="1"/>
  <c r="K48" i="5" a="1"/>
  <c r="M30" i="5" a="1"/>
  <c r="G140" i="5" a="1"/>
  <c r="I80" i="5" a="1"/>
  <c r="J32" i="5" a="1"/>
  <c r="G226" i="5" a="1"/>
  <c r="R76" i="5" a="1"/>
  <c r="S24" i="5" a="1"/>
  <c r="G259" i="5" a="1"/>
  <c r="K17" i="5" a="1"/>
  <c r="H35" i="5" a="1"/>
  <c r="Q23" i="5" a="1"/>
  <c r="J20" i="5" a="1"/>
  <c r="O78" i="5" a="1"/>
  <c r="M93" i="5" a="1"/>
  <c r="U95" i="5" a="1"/>
  <c r="K88" i="5" a="1"/>
  <c r="G432" i="5" a="1"/>
  <c r="G386" i="5" a="1"/>
  <c r="G449" i="5" a="1"/>
  <c r="G547" i="5" a="1"/>
  <c r="Q93" i="5" a="1"/>
  <c r="Q12" i="5" a="1"/>
  <c r="J79" i="5" a="1"/>
  <c r="R58" i="5" a="1"/>
  <c r="O34" i="5" a="1"/>
  <c r="P42" i="5" a="1"/>
  <c r="V16" i="5" a="1"/>
  <c r="M88" i="5" a="1"/>
  <c r="L18" i="5" a="1"/>
  <c r="R45" i="5" a="1"/>
  <c r="T27" i="5" a="1"/>
  <c r="R56" i="5" a="1"/>
  <c r="R54" i="5" a="1"/>
  <c r="G357" i="5" a="1"/>
  <c r="V47" i="5" a="1"/>
  <c r="P52" i="5" a="1"/>
  <c r="G309" i="5" a="1"/>
  <c r="H94" i="5" a="1"/>
  <c r="I36" i="5" a="1"/>
  <c r="P46" i="5" a="1"/>
  <c r="I28" i="5" a="1"/>
  <c r="G397" i="5" a="1"/>
  <c r="K44" i="5" a="1"/>
  <c r="G190" i="5" a="1"/>
  <c r="N13" i="5" a="1"/>
  <c r="K53" i="5" a="1"/>
  <c r="K55" i="5" a="1"/>
  <c r="G398" i="5" a="1"/>
  <c r="O35" i="5" a="1"/>
  <c r="J87" i="5" a="1"/>
  <c r="M40" i="5" a="1"/>
  <c r="O15" i="5" a="1"/>
  <c r="I54" i="5" a="1"/>
  <c r="L36" i="5" a="1"/>
  <c r="G14" i="5" a="1"/>
  <c r="G277" i="5" a="1"/>
  <c r="G559" i="5" a="1"/>
  <c r="G558" i="5" a="1"/>
  <c r="T63" i="5" a="1"/>
  <c r="G425" i="5" a="1"/>
  <c r="R44" i="5" a="1"/>
  <c r="G602" i="5" a="1"/>
  <c r="P34" i="5" a="1"/>
  <c r="S80" i="5" a="1"/>
  <c r="O12" i="5" a="1"/>
  <c r="G395" i="5" a="1"/>
  <c r="I86" i="5" a="1"/>
  <c r="N9" i="5" a="1"/>
  <c r="P18" i="5" a="1"/>
  <c r="G334" i="5" a="1"/>
  <c r="S94" i="5" a="1"/>
  <c r="L30" i="5" a="1"/>
  <c r="U16" i="5" a="1"/>
  <c r="G127" i="5" a="1"/>
  <c r="R42" i="5" a="1"/>
  <c r="G264" i="5" a="1"/>
  <c r="N86" i="5" a="1"/>
  <c r="L33" i="5" a="1"/>
  <c r="G383" i="5" a="1"/>
  <c r="U25" i="5" a="1"/>
  <c r="H25" i="5" a="1"/>
  <c r="G139" i="5" a="1"/>
  <c r="G113" i="5" a="1"/>
  <c r="G177" i="5" a="1"/>
  <c r="G158" i="5" a="1"/>
  <c r="M10" i="5" a="1"/>
  <c r="S90" i="5" a="1"/>
  <c r="P58" i="5" a="1"/>
  <c r="V18" i="5" a="1"/>
  <c r="U58" i="5" a="1"/>
  <c r="T62" i="5" a="1"/>
  <c r="I93" i="5" a="1"/>
  <c r="V20" i="5" a="1"/>
  <c r="N48" i="5" a="1"/>
  <c r="G362" i="5" a="1"/>
  <c r="N59" i="5" a="1"/>
  <c r="R12" i="5" a="1"/>
  <c r="G59" i="5" a="1"/>
  <c r="Q86" i="5" a="1"/>
  <c r="S89" i="5" a="1"/>
  <c r="K79" i="5" a="1"/>
  <c r="T24" i="5" a="1"/>
  <c r="G337" i="5" a="1"/>
  <c r="G8" i="5" a="1"/>
  <c r="U77" i="5" a="1"/>
  <c r="S82" i="5" a="1"/>
  <c r="T57" i="5" a="1"/>
  <c r="G186" i="5" a="1"/>
  <c r="H33" i="5" a="1"/>
  <c r="O95" i="5" a="1"/>
  <c r="G183" i="5" a="1"/>
  <c r="G223" i="5" a="1"/>
  <c r="O90" i="5" a="1"/>
  <c r="O52" i="5" a="1"/>
  <c r="G187" i="5" a="1"/>
  <c r="I39" i="5" a="1"/>
  <c r="H36" i="5" a="1"/>
  <c r="T49" i="5" a="1"/>
  <c r="M13" i="5" a="1"/>
  <c r="U23" i="5" a="1"/>
  <c r="G155" i="5" a="1"/>
  <c r="G578" i="5" a="1"/>
  <c r="P79" i="5" a="1"/>
  <c r="H18" i="5" a="1"/>
  <c r="G315" i="5" a="1"/>
  <c r="O86" i="5" a="1"/>
  <c r="G135" i="5" a="1"/>
  <c r="V35" i="5" a="1"/>
  <c r="T60" i="5" a="1"/>
  <c r="R79" i="5" a="1"/>
  <c r="G276" i="5" a="1"/>
  <c r="G192" i="5" a="1"/>
  <c r="P92" i="5" a="1"/>
  <c r="L94" i="5" a="1"/>
  <c r="M53" i="5" a="1"/>
  <c r="G252" i="5" a="1"/>
  <c r="G283" i="5" a="1"/>
  <c r="G156" i="5" a="1"/>
  <c r="P9" i="5" a="1"/>
  <c r="P86" i="5" a="1"/>
  <c r="M25" i="5" a="1"/>
  <c r="T75" i="5" a="1"/>
  <c r="G446" i="5" a="1"/>
  <c r="G453" i="5" a="1"/>
  <c r="O13" i="5" a="1"/>
  <c r="G178" i="5" a="1"/>
  <c r="G322" i="5" a="1"/>
  <c r="G318" i="5" a="1"/>
  <c r="G286" i="5" a="1"/>
  <c r="G132" i="5" a="1"/>
  <c r="L46" i="5" a="1"/>
  <c r="G423" i="5" a="1"/>
  <c r="S15" i="5" a="1"/>
  <c r="O62" i="5" a="1"/>
  <c r="H17" i="5" a="1"/>
  <c r="G487" i="5" a="1"/>
  <c r="T86" i="5" a="1"/>
  <c r="O24" i="5" a="1"/>
  <c r="G112" i="5" a="1"/>
  <c r="G86" i="5" a="1"/>
  <c r="G544" i="5" a="1"/>
  <c r="V50" i="5" a="1"/>
  <c r="P43" i="5" a="1"/>
  <c r="M48" i="5" a="1"/>
  <c r="M24" i="5" a="1"/>
  <c r="I45" i="5" a="1"/>
  <c r="T26" i="5" a="1"/>
  <c r="L37" i="5" a="1"/>
  <c r="L56" i="5" a="1"/>
  <c r="G327" i="5" a="1"/>
  <c r="T77" i="5" a="1"/>
  <c r="K46" i="5" a="1"/>
  <c r="G533" i="5" a="1"/>
  <c r="G458" i="5" a="1"/>
  <c r="U24" i="5" a="1"/>
  <c r="G64" i="5" a="1"/>
  <c r="I43" i="5" a="1"/>
  <c r="N62" i="5" a="1"/>
  <c r="U34" i="5" a="1"/>
  <c r="G476" i="5" a="1"/>
  <c r="G262" i="5" a="1"/>
  <c r="O53" i="5" a="1"/>
  <c r="P64" i="5" a="1"/>
  <c r="G413" i="5" a="1"/>
  <c r="R22" i="5" a="1"/>
  <c r="H75" i="5" a="1"/>
  <c r="N56" i="5" a="1"/>
  <c r="I57" i="5" a="1"/>
  <c r="G145" i="5" a="1"/>
  <c r="I16" i="5" a="1"/>
  <c r="V27" i="5" a="1"/>
  <c r="S46" i="5" a="1"/>
  <c r="G324" i="5" a="1"/>
  <c r="Q48" i="5" a="1"/>
  <c r="K38" i="5" a="1"/>
  <c r="Q22" i="5" a="1"/>
  <c r="N49" i="5" a="1"/>
  <c r="K92" i="5" a="1"/>
  <c r="V94" i="5" a="1"/>
  <c r="O94" i="5" a="1"/>
  <c r="O23" i="5" a="1"/>
  <c r="L8" i="5" a="1"/>
  <c r="G30" i="5" a="1"/>
  <c r="G62" i="5" a="1"/>
  <c r="P15" i="5" a="1"/>
  <c r="T46" i="5" a="1"/>
  <c r="G402" i="5" a="1"/>
  <c r="V78" i="5" a="1"/>
  <c r="G238" i="5" a="1"/>
  <c r="G408" i="5" a="1"/>
  <c r="G63" i="5" a="1"/>
  <c r="S37" i="5" a="1"/>
  <c r="N27" i="5" a="1"/>
  <c r="G95" i="5" a="1"/>
  <c r="J19" i="5" a="1"/>
  <c r="U55" i="5" a="1"/>
  <c r="G249" i="5" a="1"/>
  <c r="O33" i="5" a="1"/>
  <c r="I7" i="5" a="1"/>
  <c r="G435" i="5" a="1"/>
  <c r="O49" i="5" a="1"/>
  <c r="Q75" i="5" a="1"/>
  <c r="P44" i="5" a="1"/>
  <c r="S63" i="5" a="1"/>
  <c r="P62" i="5" a="1"/>
  <c r="K89" i="5" a="1"/>
  <c r="J25" i="5" a="1"/>
  <c r="G214" i="5" a="1"/>
  <c r="S19" i="5" a="1"/>
  <c r="O30" i="5" a="1"/>
  <c r="S92" i="5" a="1"/>
  <c r="P25" i="5" a="1"/>
  <c r="G147" i="5" a="1"/>
  <c r="G16" i="5" a="1"/>
  <c r="K28" i="5" a="1"/>
  <c r="V24" i="5" a="1"/>
  <c r="V60" i="5" a="1"/>
  <c r="G152" i="5" a="1"/>
  <c r="Q53" i="5" a="1"/>
  <c r="V43" i="5" a="1"/>
  <c r="G424" i="5" a="1"/>
  <c r="I83" i="5" a="1"/>
  <c r="O37" i="5" a="1"/>
  <c r="G222" i="5" a="1"/>
  <c r="K9" i="5" a="1"/>
  <c r="K14" i="5" a="1"/>
  <c r="G47" i="5" a="1"/>
  <c r="I95" i="5" a="1"/>
  <c r="G416" i="5" a="1"/>
  <c r="V14" i="5" a="1"/>
  <c r="M12" i="5" a="1"/>
  <c r="G555" i="5" a="1"/>
  <c r="H34" i="5" a="1"/>
  <c r="S88" i="5" a="1"/>
  <c r="Q50" i="5" a="1"/>
  <c r="L26" i="5" a="1"/>
  <c r="I8" i="5" a="1"/>
  <c r="J52" i="5" a="1"/>
  <c r="O85" i="5" a="1"/>
  <c r="T52" i="5" a="1"/>
  <c r="G518" i="5" a="1"/>
  <c r="G456" i="5" a="1"/>
  <c r="N23" i="5" a="1"/>
  <c r="S78" i="5" a="1"/>
  <c r="O16" i="5" a="1"/>
  <c r="V82" i="5" a="1"/>
  <c r="Q15" i="5" a="1"/>
  <c r="P40" i="5" a="1"/>
  <c r="V76" i="5" a="1"/>
  <c r="G479" i="5" a="1"/>
  <c r="M87" i="5" a="1"/>
  <c r="G582" i="5" a="1"/>
  <c r="G403" i="5" a="1"/>
  <c r="G118" i="5" a="1"/>
  <c r="G399" i="5" a="1"/>
  <c r="K85" i="5" a="1"/>
  <c r="N38" i="5" a="1"/>
  <c r="Q58" i="5" a="1"/>
  <c r="S17" i="5" a="1"/>
  <c r="R16" i="5" a="1"/>
  <c r="G320" i="5" a="1"/>
  <c r="H43" i="5" a="1"/>
  <c r="K25" i="5" a="1"/>
  <c r="G25" i="5" a="1"/>
  <c r="G159" i="5" a="1"/>
  <c r="G500" i="5" a="1"/>
  <c r="G335" i="5" a="1"/>
  <c r="U30" i="5" a="1"/>
  <c r="L10" i="5" a="1"/>
  <c r="G316" i="5" a="1"/>
  <c r="V13" i="5" a="1"/>
  <c r="T14" i="5" a="1"/>
  <c r="L89" i="5" a="1"/>
  <c r="G523" i="5" a="1"/>
  <c r="Q78" i="5" a="1"/>
  <c r="N19" i="5" a="1"/>
  <c r="I48" i="5" a="1"/>
  <c r="G406" i="5" a="1"/>
  <c r="M90" i="5" a="1"/>
  <c r="G129" i="5" a="1"/>
  <c r="N45" i="5" a="1"/>
  <c r="V37" i="5" a="1"/>
  <c r="P36" i="5" a="1"/>
  <c r="G526" i="5" a="1"/>
  <c r="G299" i="5" a="1"/>
  <c r="J46" i="5" a="1"/>
  <c r="G146" i="5" a="1"/>
  <c r="N43" i="5" a="1"/>
  <c r="L47" i="5" a="1"/>
  <c r="R89" i="5" a="1"/>
  <c r="G404" i="5" a="1"/>
  <c r="G233" i="5" a="1"/>
  <c r="S87" i="5" a="1"/>
  <c r="R28" i="5" a="1"/>
  <c r="U8" i="5" a="1"/>
  <c r="U56" i="5" a="1"/>
  <c r="M46" i="5" a="1"/>
  <c r="G133" i="5" a="1"/>
  <c r="V40" i="5" a="1"/>
  <c r="K64" i="5" a="1"/>
  <c r="N78" i="5" a="1"/>
  <c r="J85" i="5" a="1"/>
  <c r="R80" i="5" a="1"/>
  <c r="G528" i="5" a="1"/>
  <c r="Q80" i="5" a="1"/>
  <c r="N79" i="5" a="1"/>
  <c r="L45" i="5" a="1"/>
  <c r="G84" i="5" a="1"/>
  <c r="G394" i="5" a="1"/>
  <c r="G217" i="5" a="1"/>
  <c r="S14" i="5" a="1"/>
  <c r="O26" i="5" a="1"/>
  <c r="R85" i="5" a="1"/>
  <c r="S28" i="5" a="1"/>
  <c r="L64" i="5" a="1"/>
  <c r="R87" i="5" a="1"/>
  <c r="L40" i="5" a="1"/>
  <c r="G206" i="5" a="1"/>
  <c r="I89" i="5" a="1"/>
  <c r="R92" i="5" a="1"/>
  <c r="S83" i="5" a="1"/>
  <c r="Q19" i="5" a="1"/>
  <c r="N88" i="5" a="1"/>
  <c r="G450" i="5" a="1"/>
  <c r="L28" i="5" a="1"/>
  <c r="H82" i="5" a="1"/>
  <c r="J38" i="5" a="1"/>
  <c r="G495" i="5" a="1"/>
  <c r="N60" i="5" a="1"/>
  <c r="H54" i="5" a="1"/>
  <c r="G83" i="5" a="1"/>
  <c r="P50" i="5" a="1"/>
  <c r="G37" i="5" a="1"/>
  <c r="V9" i="5" a="1"/>
  <c r="V87" i="5" a="1"/>
  <c r="S40" i="5" a="1"/>
  <c r="P85" i="5" a="1"/>
  <c r="O42" i="5" a="1"/>
  <c r="G583" i="5" a="1"/>
  <c r="G52" i="5" a="1"/>
  <c r="G352" i="5" a="1"/>
  <c r="I47" i="5" a="1"/>
  <c r="K90" i="5" a="1"/>
  <c r="V28" i="5" a="1"/>
  <c r="K87" i="5" a="1"/>
  <c r="V33" i="5" a="1"/>
  <c r="J78" i="5" a="1"/>
  <c r="M22" i="5" a="1"/>
  <c r="J84" i="5" a="1"/>
  <c r="Q88" i="5" a="1"/>
  <c r="H10" i="5" a="1"/>
  <c r="V42" i="5" a="1"/>
  <c r="M50" i="5" a="1"/>
  <c r="P27" i="5" a="1"/>
  <c r="K80" i="5" a="1"/>
  <c r="M94" i="5" a="1"/>
  <c r="H53" i="5" a="1"/>
  <c r="I63" i="5" a="1"/>
  <c r="L85" i="5" a="1"/>
  <c r="O87" i="5" a="1"/>
  <c r="G387" i="5" a="1"/>
  <c r="H86" i="5" a="1"/>
  <c r="I44" i="5" a="1"/>
  <c r="H12" i="5" a="1"/>
  <c r="G454" i="5" a="1"/>
  <c r="G150" i="5" a="1"/>
  <c r="G520" i="5" a="1"/>
  <c r="I24" i="5" a="1"/>
  <c r="R53" i="5" a="1"/>
  <c r="J23" i="5" a="1"/>
  <c r="N32" i="5" a="1"/>
  <c r="G237" i="5" a="1"/>
  <c r="G240" i="5" a="1"/>
  <c r="J14" i="5" a="1"/>
  <c r="G462" i="5" a="1"/>
  <c r="J77" i="5" a="1"/>
  <c r="R40" i="5" a="1"/>
  <c r="G143" i="5" a="1"/>
  <c r="G493" i="5" a="1"/>
  <c r="U48" i="5" a="1"/>
  <c r="G248" i="5" a="1"/>
  <c r="G282" i="5" a="1"/>
  <c r="I30" i="5" a="1"/>
  <c r="G347" i="5" a="1"/>
  <c r="M26" i="5" a="1"/>
  <c r="K49" i="5" a="1"/>
  <c r="G589" i="5" a="1"/>
  <c r="S39" i="5" a="1"/>
  <c r="I76" i="5" a="1"/>
  <c r="T23" i="5" a="1"/>
  <c r="U22" i="5" a="1"/>
  <c r="G124" i="5" a="1"/>
  <c r="G339" i="5" a="1"/>
  <c r="O88" i="5" a="1"/>
  <c r="H47" i="5" a="1"/>
  <c r="U80" i="5" a="1"/>
  <c r="L16" i="5" a="1"/>
  <c r="Q89" i="5" a="1"/>
  <c r="N75" i="5" a="1"/>
  <c r="M9" i="5" a="1"/>
  <c r="N29" i="5" a="1"/>
  <c r="J80" i="5" a="1"/>
  <c r="N92" i="5" a="1"/>
  <c r="K57" i="5" a="1"/>
  <c r="G382" i="5" a="1"/>
  <c r="L86" i="5" a="1"/>
  <c r="G356" i="5" a="1"/>
  <c r="G200" i="5" a="1"/>
  <c r="R27" i="5" a="1"/>
  <c r="N12" i="5" a="1"/>
  <c r="V89" i="5" a="1"/>
  <c r="R14" i="5" a="1"/>
  <c r="G289" i="5" a="1"/>
  <c r="V26" i="5" a="1"/>
  <c r="G234" i="5" a="1"/>
  <c r="T80" i="5" a="1"/>
  <c r="K47" i="5" a="1"/>
  <c r="R38" i="5" a="1"/>
  <c r="I85" i="5" a="1"/>
  <c r="N83" i="5" a="1"/>
  <c r="J94" i="5" a="1"/>
  <c r="G119" i="5" a="1"/>
  <c r="G244" i="5" a="1"/>
  <c r="G579" i="5" a="1"/>
  <c r="K84" i="5" a="1"/>
  <c r="Q34" i="5" a="1"/>
  <c r="H79" i="5" a="1"/>
  <c r="G294" i="5" a="1"/>
  <c r="G304" i="5" a="1"/>
  <c r="I87" i="5" a="1"/>
  <c r="L34" i="5" a="1"/>
  <c r="L50" i="5" a="1"/>
  <c r="O55" i="5" a="1"/>
  <c r="G99" i="5" a="1"/>
  <c r="G93" i="5" a="1"/>
  <c r="H37" i="5" a="1"/>
  <c r="G185" i="5" a="1"/>
  <c r="T38" i="5" a="1"/>
  <c r="Q92" i="5" a="1"/>
  <c r="O40" i="5" a="1"/>
  <c r="G550" i="5" a="1"/>
  <c r="P89" i="5" a="1"/>
  <c r="G307" i="5" a="1"/>
  <c r="G326" i="5" a="1"/>
  <c r="G379" i="5" a="1"/>
  <c r="H88" i="5" a="1"/>
  <c r="G160" i="5" a="1"/>
  <c r="G290" i="5" a="1"/>
  <c r="P26" i="5" a="1"/>
  <c r="G535" i="5" a="1"/>
  <c r="V79" i="5" a="1"/>
  <c r="H57" i="5" a="1"/>
  <c r="S50" i="5" a="1"/>
  <c r="V7" i="5" a="1"/>
  <c r="T47" i="5" a="1"/>
  <c r="Q25" i="5" a="1"/>
  <c r="G554" i="5" a="1"/>
  <c r="O9" i="5" a="1"/>
  <c r="K19" i="5" a="1"/>
  <c r="G22" i="5" a="1"/>
  <c r="O32" i="5" a="1"/>
  <c r="H80" i="5" a="1"/>
  <c r="Q60" i="5" a="1"/>
  <c r="S35" i="5" a="1"/>
  <c r="N26" i="5" a="1"/>
  <c r="R33" i="5" a="1"/>
  <c r="P7" i="5" a="1"/>
  <c r="G417" i="5" a="1"/>
  <c r="L93" i="5" a="1"/>
  <c r="J83" i="5" a="1"/>
  <c r="G552" i="5" a="1"/>
  <c r="G392" i="5" a="1"/>
  <c r="T20" i="5" a="1"/>
  <c r="P95" i="5" a="1"/>
  <c r="T87" i="5" a="1"/>
  <c r="G279" i="5" a="1"/>
  <c r="R13" i="5" a="1"/>
  <c r="J27" i="5" a="1"/>
  <c r="V77" i="5" a="1"/>
  <c r="R84" i="5" a="1"/>
  <c r="U33" i="5" a="1"/>
  <c r="J54" i="5" a="1"/>
  <c r="R43" i="5" a="1"/>
  <c r="P82" i="5" a="1"/>
  <c r="G540" i="5" a="1"/>
  <c r="G384" i="5" a="1"/>
  <c r="I94" i="5" a="1"/>
  <c r="V10" i="5" a="1"/>
  <c r="L53" i="5" a="1"/>
  <c r="K35" i="5" a="1"/>
  <c r="V88" i="5" a="1"/>
  <c r="T12" i="5" a="1"/>
  <c r="H7" i="5" a="1"/>
  <c r="V34" i="5" a="1"/>
  <c r="G348" i="5" a="1"/>
  <c r="V39" i="5" a="1"/>
  <c r="O64" i="5" a="1"/>
  <c r="U42" i="5" a="1"/>
  <c r="O36" i="5" a="1"/>
  <c r="G584" i="5" a="1"/>
  <c r="M14" i="5" a="1"/>
  <c r="G506" i="5" a="1"/>
  <c r="G195" i="5" a="1"/>
  <c r="N52" i="5" a="1"/>
  <c r="G212" i="5" a="1"/>
  <c r="G485" i="5" a="1"/>
  <c r="N80" i="5" a="1"/>
  <c r="G442" i="5" a="1"/>
  <c r="R48" i="5" a="1"/>
  <c r="K29" i="5" a="1"/>
  <c r="M80" i="5" a="1"/>
  <c r="G53" i="5" a="1"/>
  <c r="T40" i="5" a="1"/>
  <c r="L20" i="5" a="1"/>
  <c r="G96" i="5" a="1"/>
  <c r="G433" i="5" a="1"/>
  <c r="O80" i="5" a="1"/>
  <c r="G250" i="5" a="1"/>
  <c r="M59" i="5" a="1"/>
  <c r="J76" i="5" a="1"/>
  <c r="T29" i="5" a="1"/>
  <c r="G422" i="5" a="1"/>
  <c r="P87" i="5" a="1"/>
  <c r="U78" i="5" a="1"/>
  <c r="G396" i="5" a="1"/>
  <c r="I59" i="5" a="1"/>
  <c r="R94" i="5" a="1"/>
  <c r="V19" i="5" a="1"/>
  <c r="V92" i="5" a="1"/>
  <c r="M89" i="5" a="1"/>
  <c r="L32" i="5" a="1"/>
  <c r="S18" i="5" a="1"/>
  <c r="S29" i="5" a="1"/>
  <c r="S95" i="5" a="1"/>
  <c r="U82" i="5" a="1"/>
  <c r="U15" i="5" a="1"/>
  <c r="G575" i="5" a="1"/>
  <c r="P47" i="5" a="1"/>
  <c r="K95" i="5" a="1"/>
  <c r="G346" i="5" a="1"/>
  <c r="H23" i="5" a="1"/>
  <c r="G519" i="5" a="1"/>
  <c r="L76" i="5" a="1"/>
  <c r="V57" i="5" a="1"/>
  <c r="G57" i="5" a="1"/>
  <c r="T39" i="5" a="1"/>
  <c r="H63" i="5" a="1"/>
  <c r="T90" i="5" a="1"/>
  <c r="G448" i="5" a="1"/>
  <c r="L92" i="5" a="1"/>
  <c r="G314" i="5" a="1"/>
  <c r="G78" i="5" a="1"/>
  <c r="K24" i="5" a="1"/>
  <c r="K83" i="5" a="1"/>
  <c r="S53" i="5" a="1"/>
  <c r="P30" i="5" a="1"/>
  <c r="O28" i="5" a="1"/>
  <c r="G253" i="5" a="1"/>
  <c r="S76" i="5" a="1"/>
  <c r="G92" i="5" a="1"/>
  <c r="Q32" i="5" a="1"/>
  <c r="G562" i="5" a="1"/>
  <c r="T64" i="5" a="1"/>
  <c r="K37" i="5" a="1"/>
  <c r="I75" i="5" a="1"/>
  <c r="G498" i="5" a="1"/>
  <c r="S62" i="5" a="1"/>
  <c r="G98" i="5" a="1"/>
  <c r="G258" i="5" a="1"/>
  <c r="U12" i="5" a="1"/>
  <c r="Q26" i="5" a="1"/>
  <c r="T44" i="5" a="1"/>
  <c r="V38" i="5" a="1"/>
  <c r="G459" i="5" a="1"/>
  <c r="R88" i="5" a="1"/>
  <c r="J28" i="5" a="1"/>
  <c r="G415" i="5" a="1"/>
  <c r="G390" i="5" a="1"/>
  <c r="G360" i="5" a="1"/>
  <c r="S59" i="5" a="1"/>
  <c r="Q38" i="5" a="1"/>
  <c r="G205" i="5" a="1"/>
  <c r="G420" i="5" a="1"/>
  <c r="G445" i="5" a="1"/>
  <c r="M77" i="5" a="1"/>
  <c r="G588" i="5" a="1"/>
  <c r="G336" i="5" a="1"/>
  <c r="Q87" i="5" a="1"/>
  <c r="J9" i="5" a="1"/>
  <c r="N16" i="5" a="1"/>
  <c r="G257" i="5" a="1"/>
  <c r="T94" i="5" a="1"/>
  <c r="H48" i="5" a="1"/>
  <c r="T28" i="5" a="1"/>
  <c r="T43" i="5" a="1"/>
  <c r="P10" i="5" a="1"/>
  <c r="G536" i="5" a="1"/>
  <c r="M36" i="5" a="1"/>
  <c r="O83" i="5" a="1"/>
  <c r="L35" i="5" a="1"/>
  <c r="G385" i="5" a="1"/>
  <c r="T79" i="5" a="1"/>
  <c r="I15" i="5" a="1"/>
  <c r="L79" i="5" a="1"/>
  <c r="G514" i="5" a="1"/>
  <c r="S25" i="5" a="1"/>
  <c r="T34" i="5" a="1"/>
  <c r="O18" i="5" a="1"/>
  <c r="U36" i="5" a="1"/>
  <c r="N55" i="5" a="1"/>
  <c r="Q64" i="5" a="1"/>
  <c r="L49" i="5" a="1"/>
  <c r="G97" i="5" a="1"/>
  <c r="G284" i="5" a="1"/>
  <c r="H26" i="5" a="1"/>
  <c r="H20" i="5" a="1"/>
  <c r="H56" i="5" a="1"/>
  <c r="G85" i="5" a="1"/>
  <c r="R18" i="5" a="1"/>
  <c r="M95" i="5" a="1"/>
  <c r="G525" i="5" a="1"/>
  <c r="H15" i="5" a="1"/>
  <c r="L12" i="5" a="1"/>
  <c r="U7" i="5" a="1"/>
  <c r="M15" i="5" a="1"/>
  <c r="O39" i="5" a="1"/>
  <c r="Q13" i="5" a="1"/>
  <c r="V53" i="5" a="1"/>
  <c r="G447" i="5" a="1"/>
  <c r="I56" i="5" a="1"/>
  <c r="P39" i="5" a="1"/>
  <c r="U57" i="5" a="1"/>
  <c r="V93" i="5" a="1"/>
  <c r="Q29" i="5" a="1"/>
  <c r="U76" i="5" a="1"/>
  <c r="R23" i="5" a="1"/>
  <c r="G215" i="5" a="1"/>
  <c r="G104" i="5" a="1"/>
  <c r="R60" i="5" a="1"/>
  <c r="K93" i="5" a="1"/>
  <c r="G9" i="5" a="1"/>
  <c r="G600" i="5" a="1"/>
  <c r="G24" i="5" a="1"/>
  <c r="Q82" i="5" a="1"/>
  <c r="U29" i="5" a="1"/>
  <c r="V17" i="5" a="1"/>
  <c r="V49" i="5" a="1"/>
  <c r="T9" i="5" a="1"/>
  <c r="K7" i="5" a="1"/>
  <c r="M76" i="5" a="1"/>
  <c r="R19" i="5" a="1"/>
  <c r="P48" i="5" a="1"/>
  <c r="L83" i="5" a="1"/>
  <c r="H9" i="5" a="1"/>
  <c r="G593" i="5" a="1"/>
  <c r="G176" i="5" a="1"/>
  <c r="J33" i="5" a="1"/>
  <c r="G213" i="5" a="1"/>
  <c r="G148" i="5" a="1"/>
  <c r="H55" i="5" a="1"/>
  <c r="G232" i="5" a="1"/>
  <c r="U62" i="5" a="1"/>
  <c r="M19" i="5" a="1"/>
  <c r="L9" i="5" a="1"/>
  <c r="N7" i="5" a="1"/>
  <c r="U40" i="5" a="1"/>
  <c r="O8" i="5" a="1"/>
  <c r="P20" i="5" a="1"/>
  <c r="K63" i="5" a="1"/>
  <c r="P35" i="5" a="1"/>
  <c r="Q44" i="5" a="1"/>
  <c r="R9" i="5" a="1"/>
  <c r="J75" i="5" a="1"/>
  <c r="Q54" i="5" a="1"/>
  <c r="I26" i="5" a="1"/>
  <c r="I37" i="5" a="1"/>
  <c r="N46" i="5" a="1"/>
  <c r="R36" i="5" a="1"/>
  <c r="U84" i="5" a="1"/>
  <c r="J90" i="5" a="1"/>
  <c r="K59" i="5" a="1"/>
  <c r="G110" i="5" a="1"/>
  <c r="P83" i="5" a="1"/>
  <c r="K10" i="5" a="1"/>
  <c r="H52" i="5" a="1"/>
  <c r="G216" i="5" a="1"/>
  <c r="L19" i="5" a="1"/>
  <c r="G418" i="5" a="1"/>
  <c r="O7" i="5" a="1"/>
  <c r="G103" i="5" a="1"/>
  <c r="Q79" i="5" a="1"/>
  <c r="K20" i="5" a="1"/>
  <c r="G549" i="5" a="1"/>
  <c r="T48" i="5" a="1"/>
  <c r="I38" i="5" a="1"/>
  <c r="Q94" i="5" a="1"/>
  <c r="Q14" i="5" a="1"/>
  <c r="G323" i="5" a="1"/>
  <c r="N24" i="5" a="1"/>
  <c r="O47" i="5" a="1"/>
  <c r="G219" i="5" a="1"/>
  <c r="V59" i="5" a="1"/>
  <c r="M28" i="5" a="1"/>
  <c r="L42" i="5" a="1"/>
  <c r="G136" i="5" a="1"/>
  <c r="L24" i="5" a="1"/>
  <c r="R63" i="5" a="1"/>
  <c r="J86" i="5" a="1"/>
  <c r="N33" i="5" a="1"/>
  <c r="R39" i="5" a="1"/>
  <c r="G505" i="5" a="1"/>
  <c r="Q46" i="5" a="1"/>
  <c r="I19" i="5" a="1"/>
  <c r="H95" i="5" a="1"/>
  <c r="G123" i="5" a="1"/>
  <c r="I22" i="5" a="1"/>
  <c r="G510" i="5" a="1"/>
  <c r="S86" i="5" a="1"/>
  <c r="S60" i="5" a="1"/>
  <c r="J49" i="5" a="1"/>
  <c r="L55" i="5" a="1"/>
  <c r="R15" i="5" a="1"/>
  <c r="N14" i="5" a="1"/>
  <c r="S22" i="5" a="1"/>
  <c r="G82" i="5" a="1"/>
  <c r="G120" i="5" a="1"/>
  <c r="N89" i="5" a="1"/>
  <c r="M32" i="5" a="1"/>
  <c r="U14" i="5" a="1"/>
  <c r="G319" i="5" a="1"/>
  <c r="M34" i="5" a="1"/>
  <c r="G285" i="5" a="1"/>
  <c r="G354" i="5" a="1"/>
  <c r="T32" i="5" a="1"/>
  <c r="G254" i="5" a="1"/>
  <c r="G553" i="5" a="1"/>
  <c r="O27" i="5" a="1"/>
  <c r="G175" i="5" a="1"/>
  <c r="U46" i="5" a="1"/>
  <c r="G218" i="5" a="1"/>
  <c r="T8" i="5" a="1"/>
  <c r="R20" i="5" a="1"/>
  <c r="P80" i="5" a="1"/>
  <c r="G486" i="5" a="1"/>
  <c r="Q95" i="5" a="1"/>
  <c r="R29" i="5" a="1"/>
  <c r="G236" i="5" a="1"/>
  <c r="Q59" i="5" a="1"/>
  <c r="T16" i="5" a="1"/>
  <c r="Q37" i="5" a="1"/>
  <c r="M39" i="5" a="1"/>
  <c r="I84" i="5" a="1"/>
  <c r="G490" i="5" a="1"/>
  <c r="G50" i="5" a="1"/>
  <c r="L38" i="5" a="1"/>
  <c r="T18" i="5" a="1"/>
  <c r="I13" i="5" a="1"/>
  <c r="S47" i="5" a="1"/>
  <c r="G199" i="5" a="1"/>
  <c r="M33" i="5" a="1"/>
  <c r="J34" i="5" a="1"/>
  <c r="P8" i="5" a="1"/>
  <c r="G407" i="5" a="1"/>
  <c r="Q45" i="5" a="1"/>
  <c r="N85" i="5" a="1"/>
  <c r="V85" i="5" a="1"/>
  <c r="O82" i="5" a="1"/>
  <c r="N42" i="5" a="1"/>
  <c r="I60" i="5" a="1"/>
  <c r="T89" i="5" a="1"/>
  <c r="M43" i="5" a="1"/>
  <c r="Q17" i="5" a="1"/>
  <c r="O17" i="5" a="1"/>
  <c r="T58" i="5" a="1"/>
  <c r="K8" i="5" a="1"/>
  <c r="O38" i="5" a="1"/>
  <c r="I82" i="5" a="1"/>
  <c r="N58" i="5" a="1"/>
  <c r="K94" i="5" a="1"/>
  <c r="G440" i="5" a="1"/>
  <c r="J62" i="5" a="1"/>
  <c r="N87" i="5" a="1"/>
  <c r="V58" i="5" a="1"/>
  <c r="G23" i="5" a="1"/>
  <c r="M58" i="5" a="1"/>
  <c r="P38" i="5" a="1"/>
  <c r="P77" i="5" a="1"/>
  <c r="S79" i="5" a="1"/>
  <c r="U54" i="5" a="1"/>
  <c r="G54" i="5" a="1"/>
  <c r="M83" i="5" a="1"/>
  <c r="H76" i="5" a="1"/>
  <c r="N34" i="5" a="1"/>
  <c r="T25" i="5" a="1"/>
  <c r="L88" i="5" a="1"/>
  <c r="G75" i="5" a="1"/>
  <c r="G488" i="5" a="1"/>
  <c r="Q85" i="5" a="1"/>
  <c r="V30" i="5" a="1"/>
  <c r="G599" i="5" a="1"/>
  <c r="L95" i="5" a="1"/>
  <c r="G330" i="5" a="1"/>
  <c r="N57" i="5" a="1"/>
  <c r="U87" i="5" a="1"/>
  <c r="G414" i="5" a="1"/>
  <c r="G18" i="5" a="1"/>
  <c r="Q90" i="5" a="1"/>
  <c r="N40" i="5" a="1"/>
  <c r="R64" i="5" a="1"/>
  <c r="T59" i="5" a="1"/>
  <c r="G604" i="5" a="1"/>
  <c r="V46" i="5" a="1"/>
  <c r="N50" i="5" a="1"/>
  <c r="Q77" i="5" a="1"/>
  <c r="G229" i="5" a="1"/>
  <c r="G517" i="5" a="1"/>
  <c r="L14" i="5" a="1"/>
  <c r="G527" i="5" a="1"/>
  <c r="R46" i="5" a="1"/>
  <c r="G39" i="5" a="1"/>
  <c r="S32" i="5" a="1"/>
  <c r="G19" i="5" a="1"/>
  <c r="G202" i="5" a="1"/>
  <c r="M52" i="5" a="1"/>
  <c r="H19" i="5" a="1"/>
  <c r="M7" i="5" a="1"/>
  <c r="V44" i="5" a="1"/>
  <c r="R86" i="5" a="1"/>
  <c r="R10" i="5" a="1"/>
  <c r="S44" i="5" a="1"/>
  <c r="G275" i="5" a="1"/>
  <c r="G597" i="5" a="1"/>
  <c r="U59" i="5" a="1"/>
  <c r="G595" i="5" a="1"/>
  <c r="H87" i="5" a="1"/>
  <c r="S34" i="5" a="1"/>
  <c r="G203" i="5" a="1"/>
  <c r="M16" i="5" a="1"/>
  <c r="G260" i="5" a="1"/>
  <c r="K42" i="5" a="1"/>
  <c r="H93" i="5" a="1"/>
  <c r="G157" i="5" a="1"/>
  <c r="G400" i="5" a="1"/>
  <c r="G227" i="5" a="1"/>
  <c r="T15" i="5" a="1"/>
  <c r="G590" i="5" a="1"/>
  <c r="G478" i="5" a="1"/>
  <c r="J10" i="5" a="1"/>
  <c r="G585" i="5" a="1"/>
  <c r="P23" i="5" a="1"/>
  <c r="G60" i="5" a="1"/>
  <c r="K22" i="5" a="1"/>
  <c r="P45" i="5" a="1"/>
  <c r="J57" i="5" a="1"/>
  <c r="N37" i="5" a="1"/>
  <c r="V90" i="5" a="1"/>
  <c r="T7" i="5" a="1"/>
  <c r="J93" i="5" a="1"/>
  <c r="G35" i="5" a="1"/>
  <c r="I46" i="5" a="1"/>
  <c r="I50" i="5" a="1"/>
  <c r="O25" i="5" a="1"/>
  <c r="G529" i="5" a="1"/>
  <c r="G45" i="5" a="1"/>
  <c r="P90" i="5" a="1"/>
  <c r="G20" i="5" a="1"/>
  <c r="O63" i="5" a="1"/>
  <c r="R34" i="5" a="1"/>
  <c r="G363" i="5" a="1"/>
  <c r="G297" i="5" a="1"/>
  <c r="G263" i="5" a="1"/>
  <c r="R26" i="5" a="1"/>
  <c r="V55" i="5" a="1"/>
  <c r="U39" i="5" a="1"/>
  <c r="M20" i="5" a="1"/>
  <c r="J18" i="5" a="1"/>
  <c r="O14" i="5" a="1"/>
  <c r="L77" i="5" a="1"/>
  <c r="T45" i="5" a="1"/>
  <c r="O59" i="5" a="1"/>
  <c r="G393" i="5" a="1"/>
  <c r="V52" i="5" a="1"/>
  <c r="T92" i="5" a="1"/>
  <c r="G296" i="5" a="1"/>
  <c r="J58" i="5" a="1"/>
  <c r="G353" i="5" a="1"/>
  <c r="V84" i="5" a="1"/>
  <c r="U20" i="5" a="1"/>
  <c r="G130" i="5" a="1"/>
  <c r="P49" i="5" a="1"/>
  <c r="G325" i="5" a="1"/>
  <c r="K76" i="5" a="1"/>
  <c r="G198" i="5" a="1"/>
  <c r="S12" i="5" a="1"/>
  <c r="G340" i="5" a="1"/>
  <c r="Q18" i="5" a="1"/>
  <c r="R24" i="5" a="1"/>
  <c r="G577" i="5" a="1"/>
  <c r="I14" i="5" a="1"/>
  <c r="H58" i="5" a="1"/>
  <c r="S75" i="5" a="1"/>
  <c r="S58" i="5" a="1"/>
  <c r="S58" i="5" l="1"/>
  <c r="S75" i="5"/>
  <c r="H58" i="5"/>
  <c r="I14" i="5"/>
  <c r="G577" i="5"/>
  <c r="R24" i="5"/>
  <c r="Q18" i="5"/>
  <c r="G340" i="5"/>
  <c r="S12" i="5"/>
  <c r="G198" i="5"/>
  <c r="K76" i="5"/>
  <c r="G325" i="5"/>
  <c r="P49" i="5"/>
  <c r="G130" i="5"/>
  <c r="U20" i="5"/>
  <c r="V84" i="5"/>
  <c r="G353" i="5"/>
  <c r="J58" i="5"/>
  <c r="G296" i="5"/>
  <c r="T92" i="5"/>
  <c r="V52" i="5"/>
  <c r="G393" i="5"/>
  <c r="O59" i="5"/>
  <c r="T45" i="5"/>
  <c r="L77" i="5"/>
  <c r="O14" i="5"/>
  <c r="J18" i="5"/>
  <c r="M20" i="5"/>
  <c r="U39" i="5"/>
  <c r="V55" i="5"/>
  <c r="R26" i="5"/>
  <c r="G263" i="5"/>
  <c r="G297" i="5"/>
  <c r="G363" i="5"/>
  <c r="R34" i="5"/>
  <c r="O63" i="5"/>
  <c r="G20" i="5"/>
  <c r="P90" i="5"/>
  <c r="G45" i="5"/>
  <c r="G529" i="5"/>
  <c r="O25" i="5"/>
  <c r="I50" i="5"/>
  <c r="I46" i="5"/>
  <c r="G35" i="5"/>
  <c r="J93" i="5"/>
  <c r="T7" i="5"/>
  <c r="V90" i="5"/>
  <c r="N37" i="5"/>
  <c r="J57" i="5"/>
  <c r="P45" i="5"/>
  <c r="K22" i="5"/>
  <c r="G60" i="5"/>
  <c r="P23" i="5"/>
  <c r="G585" i="5"/>
  <c r="J10" i="5"/>
  <c r="G478" i="5"/>
  <c r="G590" i="5"/>
  <c r="T15" i="5"/>
  <c r="G227" i="5"/>
  <c r="G400" i="5"/>
  <c r="G157" i="5"/>
  <c r="H93" i="5"/>
  <c r="K42" i="5"/>
  <c r="G260" i="5"/>
  <c r="M16" i="5"/>
  <c r="G203" i="5"/>
  <c r="S34" i="5"/>
  <c r="H87" i="5"/>
  <c r="G595" i="5"/>
  <c r="U59" i="5"/>
  <c r="G597" i="5"/>
  <c r="G275" i="5"/>
  <c r="S44" i="5"/>
  <c r="R10" i="5"/>
  <c r="R86" i="5"/>
  <c r="V44" i="5"/>
  <c r="M7" i="5"/>
  <c r="H19" i="5"/>
  <c r="M52" i="5"/>
  <c r="G202" i="5"/>
  <c r="G19" i="5"/>
  <c r="S32" i="5"/>
  <c r="G39" i="5"/>
  <c r="R46" i="5"/>
  <c r="G527" i="5"/>
  <c r="L14" i="5"/>
  <c r="G517" i="5"/>
  <c r="G229" i="5"/>
  <c r="Q77" i="5"/>
  <c r="N50" i="5"/>
  <c r="V46" i="5"/>
  <c r="G604" i="5"/>
  <c r="T59" i="5"/>
  <c r="R64" i="5"/>
  <c r="N40" i="5"/>
  <c r="Q90" i="5"/>
  <c r="G18" i="5"/>
  <c r="G414" i="5"/>
  <c r="U87" i="5"/>
  <c r="N57" i="5"/>
  <c r="G330" i="5"/>
  <c r="L95" i="5"/>
  <c r="G599" i="5"/>
  <c r="V30" i="5"/>
  <c r="Q85" i="5"/>
  <c r="G488" i="5"/>
  <c r="G75" i="5"/>
  <c r="L88" i="5"/>
  <c r="T25" i="5"/>
  <c r="N34" i="5"/>
  <c r="H76" i="5"/>
  <c r="M83" i="5"/>
  <c r="G54" i="5"/>
  <c r="U54" i="5"/>
  <c r="S79" i="5"/>
  <c r="P77" i="5"/>
  <c r="P38" i="5"/>
  <c r="M58" i="5"/>
  <c r="G23" i="5"/>
  <c r="V58" i="5"/>
  <c r="N87" i="5"/>
  <c r="J62" i="5"/>
  <c r="G440" i="5"/>
  <c r="K94" i="5"/>
  <c r="N58" i="5"/>
  <c r="I82" i="5"/>
  <c r="O38" i="5"/>
  <c r="K8" i="5"/>
  <c r="T58" i="5"/>
  <c r="O17" i="5"/>
  <c r="Q17" i="5"/>
  <c r="M43" i="5"/>
  <c r="T89" i="5"/>
  <c r="I60" i="5"/>
  <c r="N42" i="5"/>
  <c r="O82" i="5"/>
  <c r="V85" i="5"/>
  <c r="N85" i="5"/>
  <c r="Q45" i="5"/>
  <c r="G407" i="5"/>
  <c r="P8" i="5"/>
  <c r="J34" i="5"/>
  <c r="M33" i="5"/>
  <c r="G199" i="5"/>
  <c r="S47" i="5"/>
  <c r="I13" i="5"/>
  <c r="T18" i="5"/>
  <c r="L38" i="5"/>
  <c r="G50" i="5"/>
  <c r="G490" i="5"/>
  <c r="I84" i="5"/>
  <c r="M39" i="5"/>
  <c r="Q37" i="5"/>
  <c r="T16" i="5"/>
  <c r="Q59" i="5"/>
  <c r="G236" i="5"/>
  <c r="R29" i="5"/>
  <c r="Q95" i="5"/>
  <c r="G486" i="5"/>
  <c r="P80" i="5"/>
  <c r="R20" i="5"/>
  <c r="T8" i="5"/>
  <c r="G218" i="5"/>
  <c r="U46" i="5"/>
  <c r="G175" i="5"/>
  <c r="O27" i="5"/>
  <c r="G553" i="5"/>
  <c r="G254" i="5"/>
  <c r="T32" i="5"/>
  <c r="G354" i="5"/>
  <c r="G285" i="5"/>
  <c r="M34" i="5"/>
  <c r="G319" i="5"/>
  <c r="U14" i="5"/>
  <c r="M32" i="5"/>
  <c r="N89" i="5"/>
  <c r="G120" i="5"/>
  <c r="G82" i="5"/>
  <c r="S22" i="5"/>
  <c r="N14" i="5"/>
  <c r="R15" i="5"/>
  <c r="L55" i="5"/>
  <c r="J49" i="5"/>
  <c r="S60" i="5"/>
  <c r="S86" i="5"/>
  <c r="G510" i="5"/>
  <c r="I22" i="5"/>
  <c r="G123" i="5"/>
  <c r="H95" i="5"/>
  <c r="I19" i="5"/>
  <c r="Q46" i="5"/>
  <c r="G505" i="5"/>
  <c r="R39" i="5"/>
  <c r="N33" i="5"/>
  <c r="J86" i="5"/>
  <c r="R63" i="5"/>
  <c r="L24" i="5"/>
  <c r="G136" i="5"/>
  <c r="L42" i="5"/>
  <c r="M28" i="5"/>
  <c r="V59" i="5"/>
  <c r="G219" i="5"/>
  <c r="O47" i="5"/>
  <c r="N24" i="5"/>
  <c r="G323" i="5"/>
  <c r="Q14" i="5"/>
  <c r="Q94" i="5"/>
  <c r="I38" i="5"/>
  <c r="T48" i="5"/>
  <c r="G549" i="5"/>
  <c r="K20" i="5"/>
  <c r="Q79" i="5"/>
  <c r="G103" i="5"/>
  <c r="O7" i="5"/>
  <c r="G418" i="5"/>
  <c r="L19" i="5"/>
  <c r="G216" i="5"/>
  <c r="H52" i="5"/>
  <c r="K10" i="5"/>
  <c r="P83" i="5"/>
  <c r="G110" i="5"/>
  <c r="K59" i="5"/>
  <c r="J90" i="5"/>
  <c r="U84" i="5"/>
  <c r="R36" i="5"/>
  <c r="N46" i="5"/>
  <c r="I37" i="5"/>
  <c r="I26" i="5"/>
  <c r="Q54" i="5"/>
  <c r="J75" i="5"/>
  <c r="R9" i="5"/>
  <c r="Q44" i="5"/>
  <c r="P35" i="5"/>
  <c r="K63" i="5"/>
  <c r="P20" i="5"/>
  <c r="O8" i="5"/>
  <c r="U40" i="5"/>
  <c r="N7" i="5"/>
  <c r="L9" i="5"/>
  <c r="M19" i="5"/>
  <c r="U62" i="5"/>
  <c r="G232" i="5"/>
  <c r="H55" i="5"/>
  <c r="G148" i="5"/>
  <c r="G213" i="5"/>
  <c r="J33" i="5"/>
  <c r="G176" i="5"/>
  <c r="G593" i="5"/>
  <c r="H9" i="5"/>
  <c r="L83" i="5"/>
  <c r="P48" i="5"/>
  <c r="R19" i="5"/>
  <c r="M76" i="5"/>
  <c r="K7" i="5"/>
  <c r="T9" i="5"/>
  <c r="V49" i="5"/>
  <c r="V17" i="5"/>
  <c r="U29" i="5"/>
  <c r="Q82" i="5"/>
  <c r="G24" i="5"/>
  <c r="G600" i="5"/>
  <c r="G9" i="5"/>
  <c r="K93" i="5"/>
  <c r="R60" i="5"/>
  <c r="G104" i="5"/>
  <c r="G215" i="5"/>
  <c r="R23" i="5"/>
  <c r="U76" i="5"/>
  <c r="Q29" i="5"/>
  <c r="V93" i="5"/>
  <c r="U57" i="5"/>
  <c r="P39" i="5"/>
  <c r="I56" i="5"/>
  <c r="G447" i="5"/>
  <c r="V53" i="5"/>
  <c r="Q13" i="5"/>
  <c r="O39" i="5"/>
  <c r="M15" i="5"/>
  <c r="U7" i="5"/>
  <c r="L12" i="5"/>
  <c r="H15" i="5"/>
  <c r="G525" i="5"/>
  <c r="M95" i="5"/>
  <c r="R18" i="5"/>
  <c r="G85" i="5"/>
  <c r="H56" i="5"/>
  <c r="H20" i="5"/>
  <c r="H26" i="5"/>
  <c r="G284" i="5"/>
  <c r="G97" i="5"/>
  <c r="L49" i="5"/>
  <c r="Q64" i="5"/>
  <c r="N55" i="5"/>
  <c r="U36" i="5"/>
  <c r="O18" i="5"/>
  <c r="T34" i="5"/>
  <c r="S25" i="5"/>
  <c r="G514" i="5"/>
  <c r="L79" i="5"/>
  <c r="I15" i="5"/>
  <c r="T79" i="5"/>
  <c r="G385" i="5"/>
  <c r="L35" i="5"/>
  <c r="O83" i="5"/>
  <c r="M36" i="5"/>
  <c r="G536" i="5"/>
  <c r="P10" i="5"/>
  <c r="T43" i="5"/>
  <c r="T28" i="5"/>
  <c r="H48" i="5"/>
  <c r="T94" i="5"/>
  <c r="G257" i="5"/>
  <c r="N16" i="5"/>
  <c r="J9" i="5"/>
  <c r="Q87" i="5"/>
  <c r="G336" i="5"/>
  <c r="G588" i="5"/>
  <c r="M77" i="5"/>
  <c r="G445" i="5"/>
  <c r="G420" i="5"/>
  <c r="G205" i="5"/>
  <c r="Q38" i="5"/>
  <c r="S59" i="5"/>
  <c r="G360" i="5"/>
  <c r="G390" i="5"/>
  <c r="G415" i="5"/>
  <c r="J28" i="5"/>
  <c r="R88" i="5"/>
  <c r="G459" i="5"/>
  <c r="V38" i="5"/>
  <c r="T44" i="5"/>
  <c r="Q26" i="5"/>
  <c r="U12" i="5"/>
  <c r="G258" i="5"/>
  <c r="G98" i="5"/>
  <c r="S62" i="5"/>
  <c r="G498" i="5"/>
  <c r="I75" i="5"/>
  <c r="K37" i="5"/>
  <c r="T64" i="5"/>
  <c r="G562" i="5"/>
  <c r="Q32" i="5"/>
  <c r="G92" i="5"/>
  <c r="S76" i="5"/>
  <c r="G253" i="5"/>
  <c r="O28" i="5"/>
  <c r="P30" i="5"/>
  <c r="S53" i="5"/>
  <c r="K83" i="5"/>
  <c r="K24" i="5"/>
  <c r="G78" i="5"/>
  <c r="G314" i="5"/>
  <c r="L92" i="5"/>
  <c r="G448" i="5"/>
  <c r="T90" i="5"/>
  <c r="H63" i="5"/>
  <c r="T39" i="5"/>
  <c r="G57" i="5"/>
  <c r="V57" i="5"/>
  <c r="L76" i="5"/>
  <c r="G519" i="5"/>
  <c r="H23" i="5"/>
  <c r="G346" i="5"/>
  <c r="K95" i="5"/>
  <c r="P47" i="5"/>
  <c r="G575" i="5"/>
  <c r="U15" i="5"/>
  <c r="U82" i="5"/>
  <c r="S95" i="5"/>
  <c r="S29" i="5"/>
  <c r="S18" i="5"/>
  <c r="L32" i="5"/>
  <c r="M89" i="5"/>
  <c r="V92" i="5"/>
  <c r="V19" i="5"/>
  <c r="R94" i="5"/>
  <c r="I59" i="5"/>
  <c r="G396" i="5"/>
  <c r="U78" i="5"/>
  <c r="P87" i="5"/>
  <c r="G422" i="5"/>
  <c r="T29" i="5"/>
  <c r="J76" i="5"/>
  <c r="M59" i="5"/>
  <c r="G250" i="5"/>
  <c r="O80" i="5"/>
  <c r="G433" i="5"/>
  <c r="G96" i="5"/>
  <c r="L20" i="5"/>
  <c r="T40" i="5"/>
  <c r="G53" i="5"/>
  <c r="M80" i="5"/>
  <c r="K29" i="5"/>
  <c r="R48" i="5"/>
  <c r="G442" i="5"/>
  <c r="N80" i="5"/>
  <c r="G485" i="5"/>
  <c r="G212" i="5"/>
  <c r="N52" i="5"/>
  <c r="G195" i="5"/>
  <c r="G506" i="5"/>
  <c r="M14" i="5"/>
  <c r="G584" i="5"/>
  <c r="O36" i="5"/>
  <c r="U42" i="5"/>
  <c r="O64" i="5"/>
  <c r="V39" i="5"/>
  <c r="G348" i="5"/>
  <c r="V34" i="5"/>
  <c r="H7" i="5"/>
  <c r="T12" i="5"/>
  <c r="V88" i="5"/>
  <c r="K35" i="5"/>
  <c r="L53" i="5"/>
  <c r="V10" i="5"/>
  <c r="I94" i="5"/>
  <c r="G384" i="5"/>
  <c r="G540" i="5"/>
  <c r="P82" i="5"/>
  <c r="R43" i="5"/>
  <c r="J54" i="5"/>
  <c r="U33" i="5"/>
  <c r="R84" i="5"/>
  <c r="V77" i="5"/>
  <c r="J27" i="5"/>
  <c r="R13" i="5"/>
  <c r="G279" i="5"/>
  <c r="T87" i="5"/>
  <c r="P95" i="5"/>
  <c r="T20" i="5"/>
  <c r="G392" i="5"/>
  <c r="G552" i="5"/>
  <c r="J83" i="5"/>
  <c r="L93" i="5"/>
  <c r="G417" i="5"/>
  <c r="P7" i="5"/>
  <c r="R33" i="5"/>
  <c r="N26" i="5"/>
  <c r="S35" i="5"/>
  <c r="Q60" i="5"/>
  <c r="H80" i="5"/>
  <c r="O32" i="5"/>
  <c r="G22" i="5"/>
  <c r="K19" i="5"/>
  <c r="O9" i="5"/>
  <c r="G554" i="5"/>
  <c r="Q25" i="5"/>
  <c r="T47" i="5"/>
  <c r="V7" i="5"/>
  <c r="S50" i="5"/>
  <c r="H57" i="5"/>
  <c r="V79" i="5"/>
  <c r="G535" i="5"/>
  <c r="P26" i="5"/>
  <c r="G290" i="5"/>
  <c r="G160" i="5"/>
  <c r="H88" i="5"/>
  <c r="G379" i="5"/>
  <c r="G326" i="5"/>
  <c r="G307" i="5"/>
  <c r="P89" i="5"/>
  <c r="G550" i="5"/>
  <c r="O40" i="5"/>
  <c r="Q92" i="5"/>
  <c r="T38" i="5"/>
  <c r="G185" i="5"/>
  <c r="H37" i="5"/>
  <c r="G93" i="5"/>
  <c r="G99" i="5"/>
  <c r="O55" i="5"/>
  <c r="L50" i="5"/>
  <c r="L34" i="5"/>
  <c r="I87" i="5"/>
  <c r="G304" i="5"/>
  <c r="G294" i="5"/>
  <c r="H79" i="5"/>
  <c r="Q34" i="5"/>
  <c r="K84" i="5"/>
  <c r="G579" i="5"/>
  <c r="G244" i="5"/>
  <c r="G119" i="5"/>
  <c r="J94" i="5"/>
  <c r="N83" i="5"/>
  <c r="I85" i="5"/>
  <c r="R38" i="5"/>
  <c r="K47" i="5"/>
  <c r="T80" i="5"/>
  <c r="G234" i="5"/>
  <c r="V26" i="5"/>
  <c r="G289" i="5"/>
  <c r="R14" i="5"/>
  <c r="V89" i="5"/>
  <c r="N12" i="5"/>
  <c r="R27" i="5"/>
  <c r="G200" i="5"/>
  <c r="G356" i="5"/>
  <c r="L86" i="5"/>
  <c r="G382" i="5"/>
  <c r="K57" i="5"/>
  <c r="N92" i="5"/>
  <c r="J80" i="5"/>
  <c r="N29" i="5"/>
  <c r="M9" i="5"/>
  <c r="N75" i="5"/>
  <c r="Q89" i="5"/>
  <c r="L16" i="5"/>
  <c r="U80" i="5"/>
  <c r="H47" i="5"/>
  <c r="O88" i="5"/>
  <c r="G339" i="5"/>
  <c r="G124" i="5"/>
  <c r="U22" i="5"/>
  <c r="T23" i="5"/>
  <c r="I76" i="5"/>
  <c r="S39" i="5"/>
  <c r="G589" i="5"/>
  <c r="K49" i="5"/>
  <c r="M26" i="5"/>
  <c r="G347" i="5"/>
  <c r="I30" i="5"/>
  <c r="G282" i="5"/>
  <c r="G248" i="5"/>
  <c r="U48" i="5"/>
  <c r="G493" i="5"/>
  <c r="G143" i="5"/>
  <c r="R40" i="5"/>
  <c r="J77" i="5"/>
  <c r="G462" i="5"/>
  <c r="J14" i="5"/>
  <c r="G240" i="5"/>
  <c r="G237" i="5"/>
  <c r="N32" i="5"/>
  <c r="J23" i="5"/>
  <c r="R53" i="5"/>
  <c r="I24" i="5"/>
  <c r="G520" i="5"/>
  <c r="G150" i="5"/>
  <c r="G454" i="5"/>
  <c r="H12" i="5"/>
  <c r="I44" i="5"/>
  <c r="H86" i="5"/>
  <c r="G387" i="5"/>
  <c r="O87" i="5"/>
  <c r="L85" i="5"/>
  <c r="I63" i="5"/>
  <c r="H53" i="5"/>
  <c r="M94" i="5"/>
  <c r="K80" i="5"/>
  <c r="P27" i="5"/>
  <c r="M50" i="5"/>
  <c r="V42" i="5"/>
  <c r="H10" i="5"/>
  <c r="Q88" i="5"/>
  <c r="J84" i="5"/>
  <c r="M22" i="5"/>
  <c r="J78" i="5"/>
  <c r="V33" i="5"/>
  <c r="K87" i="5"/>
  <c r="V28" i="5"/>
  <c r="K90" i="5"/>
  <c r="I47" i="5"/>
  <c r="G352" i="5"/>
  <c r="G52" i="5"/>
  <c r="G583" i="5"/>
  <c r="O42" i="5"/>
  <c r="P85" i="5"/>
  <c r="S40" i="5"/>
  <c r="V87" i="5"/>
  <c r="V9" i="5"/>
  <c r="G37" i="5"/>
  <c r="P50" i="5"/>
  <c r="G83" i="5"/>
  <c r="H54" i="5"/>
  <c r="N60" i="5"/>
  <c r="G495" i="5"/>
  <c r="J38" i="5"/>
  <c r="H82" i="5"/>
  <c r="L28" i="5"/>
  <c r="G450" i="5"/>
  <c r="N88" i="5"/>
  <c r="Q19" i="5"/>
  <c r="S83" i="5"/>
  <c r="R92" i="5"/>
  <c r="I89" i="5"/>
  <c r="G206" i="5"/>
  <c r="L40" i="5"/>
  <c r="R87" i="5"/>
  <c r="L64" i="5"/>
  <c r="S28" i="5"/>
  <c r="R85" i="5"/>
  <c r="O26" i="5"/>
  <c r="S14" i="5"/>
  <c r="G217" i="5"/>
  <c r="G394" i="5"/>
  <c r="G84" i="5"/>
  <c r="L45" i="5"/>
  <c r="N79" i="5"/>
  <c r="Q80" i="5"/>
  <c r="G528" i="5"/>
  <c r="R80" i="5"/>
  <c r="J85" i="5"/>
  <c r="N78" i="5"/>
  <c r="K64" i="5"/>
  <c r="V40" i="5"/>
  <c r="G133" i="5"/>
  <c r="M46" i="5"/>
  <c r="U56" i="5"/>
  <c r="U8" i="5"/>
  <c r="R28" i="5"/>
  <c r="S87" i="5"/>
  <c r="G233" i="5"/>
  <c r="G404" i="5"/>
  <c r="R89" i="5"/>
  <c r="L47" i="5"/>
  <c r="N43" i="5"/>
  <c r="G146" i="5"/>
  <c r="J46" i="5"/>
  <c r="G299" i="5"/>
  <c r="G526" i="5"/>
  <c r="P36" i="5"/>
  <c r="V37" i="5"/>
  <c r="N45" i="5"/>
  <c r="G129" i="5"/>
  <c r="M90" i="5"/>
  <c r="G406" i="5"/>
  <c r="I48" i="5"/>
  <c r="N19" i="5"/>
  <c r="Q78" i="5"/>
  <c r="G523" i="5"/>
  <c r="L89" i="5"/>
  <c r="T14" i="5"/>
  <c r="V13" i="5"/>
  <c r="G316" i="5"/>
  <c r="L10" i="5"/>
  <c r="U30" i="5"/>
  <c r="G335" i="5"/>
  <c r="G500" i="5"/>
  <c r="G159" i="5"/>
  <c r="G25" i="5"/>
  <c r="K25" i="5"/>
  <c r="H43" i="5"/>
  <c r="G320" i="5"/>
  <c r="R16" i="5"/>
  <c r="S17" i="5"/>
  <c r="Q58" i="5"/>
  <c r="N38" i="5"/>
  <c r="K85" i="5"/>
  <c r="G399" i="5"/>
  <c r="G118" i="5"/>
  <c r="G403" i="5"/>
  <c r="G582" i="5"/>
  <c r="M87" i="5"/>
  <c r="G479" i="5"/>
  <c r="V76" i="5"/>
  <c r="P40" i="5"/>
  <c r="Q15" i="5"/>
  <c r="V82" i="5"/>
  <c r="O16" i="5"/>
  <c r="S78" i="5"/>
  <c r="N23" i="5"/>
  <c r="G456" i="5"/>
  <c r="G518" i="5"/>
  <c r="T52" i="5"/>
  <c r="O85" i="5"/>
  <c r="J52" i="5"/>
  <c r="I8" i="5"/>
  <c r="L26" i="5"/>
  <c r="Q50" i="5"/>
  <c r="S88" i="5"/>
  <c r="H34" i="5"/>
  <c r="G555" i="5"/>
  <c r="M12" i="5"/>
  <c r="V14" i="5"/>
  <c r="G416" i="5"/>
  <c r="I95" i="5"/>
  <c r="G47" i="5"/>
  <c r="K14" i="5"/>
  <c r="K9" i="5"/>
  <c r="G222" i="5"/>
  <c r="O37" i="5"/>
  <c r="I83" i="5"/>
  <c r="G424" i="5"/>
  <c r="V43" i="5"/>
  <c r="Q53" i="5"/>
  <c r="G152" i="5"/>
  <c r="V60" i="5"/>
  <c r="V24" i="5"/>
  <c r="K28" i="5"/>
  <c r="G16" i="5"/>
  <c r="G147" i="5"/>
  <c r="P25" i="5"/>
  <c r="S92" i="5"/>
  <c r="O30" i="5"/>
  <c r="S19" i="5"/>
  <c r="G214" i="5"/>
  <c r="J25" i="5"/>
  <c r="K89" i="5"/>
  <c r="P62" i="5"/>
  <c r="S63" i="5"/>
  <c r="P44" i="5"/>
  <c r="Q75" i="5"/>
  <c r="O49" i="5"/>
  <c r="G435" i="5"/>
  <c r="I7" i="5"/>
  <c r="O33" i="5"/>
  <c r="G249" i="5"/>
  <c r="U55" i="5"/>
  <c r="J19" i="5"/>
  <c r="G95" i="5"/>
  <c r="N27" i="5"/>
  <c r="S37" i="5"/>
  <c r="G63" i="5"/>
  <c r="G408" i="5"/>
  <c r="G238" i="5"/>
  <c r="V78" i="5"/>
  <c r="G402" i="5"/>
  <c r="T46" i="5"/>
  <c r="P15" i="5"/>
  <c r="G62" i="5"/>
  <c r="G30" i="5"/>
  <c r="L8" i="5"/>
  <c r="O23" i="5"/>
  <c r="O94" i="5"/>
  <c r="V94" i="5"/>
  <c r="K92" i="5"/>
  <c r="N49" i="5"/>
  <c r="Q22" i="5"/>
  <c r="K38" i="5"/>
  <c r="Q48" i="5"/>
  <c r="G324" i="5"/>
  <c r="S46" i="5"/>
  <c r="V27" i="5"/>
  <c r="I16" i="5"/>
  <c r="G145" i="5"/>
  <c r="I57" i="5"/>
  <c r="N56" i="5"/>
  <c r="H75" i="5"/>
  <c r="R22" i="5"/>
  <c r="G413" i="5"/>
  <c r="P64" i="5"/>
  <c r="O53" i="5"/>
  <c r="G262" i="5"/>
  <c r="G476" i="5"/>
  <c r="U34" i="5"/>
  <c r="N62" i="5"/>
  <c r="I43" i="5"/>
  <c r="G64" i="5"/>
  <c r="U24" i="5"/>
  <c r="G458" i="5"/>
  <c r="G533" i="5"/>
  <c r="K46" i="5"/>
  <c r="T77" i="5"/>
  <c r="G327" i="5"/>
  <c r="L56" i="5"/>
  <c r="L37" i="5"/>
  <c r="T26" i="5"/>
  <c r="I45" i="5"/>
  <c r="M24" i="5"/>
  <c r="M48" i="5"/>
  <c r="P43" i="5"/>
  <c r="V50" i="5"/>
  <c r="G544" i="5"/>
  <c r="G86" i="5"/>
  <c r="G112" i="5"/>
  <c r="O24" i="5"/>
  <c r="T86" i="5"/>
  <c r="G487" i="5"/>
  <c r="H17" i="5"/>
  <c r="O62" i="5"/>
  <c r="S15" i="5"/>
  <c r="G423" i="5"/>
  <c r="L46" i="5"/>
  <c r="G132" i="5"/>
  <c r="G286" i="5"/>
  <c r="G318" i="5"/>
  <c r="G322" i="5"/>
  <c r="G178" i="5"/>
  <c r="O13" i="5"/>
  <c r="G453" i="5"/>
  <c r="G446" i="5"/>
  <c r="T75" i="5"/>
  <c r="M25" i="5"/>
  <c r="P86" i="5"/>
  <c r="P9" i="5"/>
  <c r="G156" i="5"/>
  <c r="G283" i="5"/>
  <c r="G252" i="5"/>
  <c r="M53" i="5"/>
  <c r="L94" i="5"/>
  <c r="P92" i="5"/>
  <c r="G192" i="5"/>
  <c r="G276" i="5"/>
  <c r="R79" i="5"/>
  <c r="T60" i="5"/>
  <c r="V35" i="5"/>
  <c r="G135" i="5"/>
  <c r="O86" i="5"/>
  <c r="G315" i="5"/>
  <c r="H18" i="5"/>
  <c r="P79" i="5"/>
  <c r="G578" i="5"/>
  <c r="G155" i="5"/>
  <c r="U23" i="5"/>
  <c r="M13" i="5"/>
  <c r="T49" i="5"/>
  <c r="H36" i="5"/>
  <c r="I39" i="5"/>
  <c r="G187" i="5"/>
  <c r="O52" i="5"/>
  <c r="O90" i="5"/>
  <c r="G223" i="5"/>
  <c r="G183" i="5"/>
  <c r="O95" i="5"/>
  <c r="H33" i="5"/>
  <c r="G186" i="5"/>
  <c r="T57" i="5"/>
  <c r="S82" i="5"/>
  <c r="U77" i="5"/>
  <c r="G8" i="5"/>
  <c r="G337" i="5"/>
  <c r="T24" i="5"/>
  <c r="K79" i="5"/>
  <c r="S89" i="5"/>
  <c r="Q86" i="5"/>
  <c r="G59" i="5"/>
  <c r="R12" i="5"/>
  <c r="N59" i="5"/>
  <c r="G362" i="5"/>
  <c r="N48" i="5"/>
  <c r="V20" i="5"/>
  <c r="I93" i="5"/>
  <c r="T62" i="5"/>
  <c r="U58" i="5"/>
  <c r="V18" i="5"/>
  <c r="P58" i="5"/>
  <c r="S90" i="5"/>
  <c r="M10" i="5"/>
  <c r="G158" i="5"/>
  <c r="G177" i="5"/>
  <c r="G113" i="5"/>
  <c r="G139" i="5"/>
  <c r="H25" i="5"/>
  <c r="U25" i="5"/>
  <c r="G383" i="5"/>
  <c r="L33" i="5"/>
  <c r="N86" i="5"/>
  <c r="G264" i="5"/>
  <c r="R42" i="5"/>
  <c r="G127" i="5"/>
  <c r="U16" i="5"/>
  <c r="L30" i="5"/>
  <c r="S94" i="5"/>
  <c r="G334" i="5"/>
  <c r="P18" i="5"/>
  <c r="N9" i="5"/>
  <c r="I86" i="5"/>
  <c r="G395" i="5"/>
  <c r="O12" i="5"/>
  <c r="S80" i="5"/>
  <c r="P34" i="5"/>
  <c r="G602" i="5"/>
  <c r="R44" i="5"/>
  <c r="G425" i="5"/>
  <c r="T63" i="5"/>
  <c r="G558" i="5"/>
  <c r="G559" i="5"/>
  <c r="G277" i="5"/>
  <c r="G14" i="5"/>
  <c r="L36" i="5"/>
  <c r="I54" i="5"/>
  <c r="O15" i="5"/>
  <c r="M40" i="5"/>
  <c r="J87" i="5"/>
  <c r="O35" i="5"/>
  <c r="G398" i="5"/>
  <c r="K55" i="5"/>
  <c r="K53" i="5"/>
  <c r="N13" i="5"/>
  <c r="G190" i="5"/>
  <c r="K44" i="5"/>
  <c r="G397" i="5"/>
  <c r="I28" i="5"/>
  <c r="P46" i="5"/>
  <c r="I36" i="5"/>
  <c r="H94" i="5"/>
  <c r="G309" i="5"/>
  <c r="P52" i="5"/>
  <c r="V47" i="5"/>
  <c r="G357" i="5"/>
  <c r="R54" i="5"/>
  <c r="R56" i="5"/>
  <c r="T27" i="5"/>
  <c r="R45" i="5"/>
  <c r="L18" i="5"/>
  <c r="M88" i="5"/>
  <c r="V16" i="5"/>
  <c r="P42" i="5"/>
  <c r="O34" i="5"/>
  <c r="R58" i="5"/>
  <c r="J79" i="5"/>
  <c r="Q12" i="5"/>
  <c r="Q93" i="5"/>
  <c r="G547" i="5"/>
  <c r="G449" i="5"/>
  <c r="G386" i="5"/>
  <c r="G432" i="5"/>
  <c r="K88" i="5"/>
  <c r="U95" i="5"/>
  <c r="M93" i="5"/>
  <c r="O78" i="5"/>
  <c r="J20" i="5"/>
  <c r="Q23" i="5"/>
  <c r="H35" i="5"/>
  <c r="K17" i="5"/>
  <c r="G259" i="5"/>
  <c r="S24" i="5"/>
  <c r="R76" i="5"/>
  <c r="G226" i="5"/>
  <c r="J32" i="5"/>
  <c r="I80" i="5"/>
  <c r="G140" i="5"/>
  <c r="M30" i="5"/>
  <c r="K48" i="5"/>
  <c r="T35" i="5"/>
  <c r="H78" i="5"/>
  <c r="S36" i="5"/>
  <c r="G503" i="5"/>
  <c r="J40" i="5"/>
  <c r="L44" i="5"/>
  <c r="G464" i="5"/>
  <c r="G355" i="5"/>
  <c r="G409" i="5"/>
  <c r="I53" i="5"/>
  <c r="G343" i="5"/>
  <c r="G328" i="5"/>
  <c r="G17" i="5"/>
  <c r="P78" i="5"/>
  <c r="G364" i="5"/>
  <c r="G106" i="5"/>
  <c r="J39" i="5"/>
  <c r="H60" i="5"/>
  <c r="G154" i="5"/>
  <c r="U47" i="5"/>
  <c r="S16" i="5"/>
  <c r="S93" i="5"/>
  <c r="N17" i="5"/>
  <c r="N63" i="5"/>
  <c r="O50" i="5"/>
  <c r="N54" i="5"/>
  <c r="G349" i="5"/>
  <c r="T50" i="5"/>
  <c r="G546" i="5"/>
  <c r="G34" i="5"/>
  <c r="G338" i="5"/>
  <c r="U44" i="5"/>
  <c r="K23" i="5"/>
  <c r="S8" i="5"/>
  <c r="S23" i="5"/>
  <c r="H42" i="5"/>
  <c r="G162" i="5"/>
  <c r="G412" i="5"/>
  <c r="Q83" i="5"/>
  <c r="S9" i="5"/>
  <c r="G15" i="5"/>
  <c r="Q42" i="5"/>
  <c r="U93" i="5"/>
  <c r="R55" i="5"/>
  <c r="J15" i="5"/>
  <c r="V29" i="5"/>
  <c r="M82" i="5"/>
  <c r="T19" i="5"/>
  <c r="G42" i="5"/>
  <c r="G105" i="5"/>
  <c r="G100" i="5"/>
  <c r="K75" i="5"/>
  <c r="L22" i="5"/>
  <c r="I27" i="5"/>
  <c r="O54" i="5"/>
  <c r="M8" i="5"/>
  <c r="V23" i="5"/>
  <c r="H27" i="5"/>
  <c r="G300" i="5"/>
  <c r="U88" i="5"/>
  <c r="G256" i="5"/>
  <c r="O19" i="5"/>
  <c r="G512" i="5"/>
  <c r="G298" i="5"/>
  <c r="K39" i="5"/>
  <c r="N35" i="5"/>
  <c r="K45" i="5"/>
  <c r="L7" i="5"/>
  <c r="G596" i="5"/>
  <c r="M49" i="5"/>
  <c r="K15" i="5"/>
  <c r="G204" i="5"/>
  <c r="G545" i="5"/>
  <c r="H85" i="5"/>
  <c r="V80" i="5"/>
  <c r="P32" i="5"/>
  <c r="O56" i="5"/>
  <c r="T42" i="5"/>
  <c r="R57" i="5"/>
  <c r="O22" i="5"/>
  <c r="H30" i="5"/>
  <c r="T78" i="5"/>
  <c r="G515" i="5"/>
  <c r="R62" i="5"/>
  <c r="G144" i="5"/>
  <c r="S13" i="5"/>
  <c r="M44" i="5"/>
  <c r="R75" i="5"/>
  <c r="G439" i="5"/>
  <c r="G308" i="5"/>
  <c r="G444" i="5"/>
  <c r="G79" i="5"/>
  <c r="S48" i="5"/>
  <c r="P93" i="5"/>
  <c r="U32" i="5"/>
  <c r="L80" i="5"/>
  <c r="P56" i="5"/>
  <c r="G576" i="5"/>
  <c r="H8" i="5"/>
  <c r="T33" i="5"/>
  <c r="G164" i="5"/>
  <c r="J56" i="5"/>
  <c r="M27" i="5"/>
  <c r="G163" i="5"/>
  <c r="G598" i="5"/>
  <c r="I34" i="5"/>
  <c r="G302" i="5"/>
  <c r="G115" i="5"/>
  <c r="G509" i="5"/>
  <c r="I52" i="5"/>
  <c r="G235" i="5"/>
  <c r="K33" i="5"/>
  <c r="H89" i="5"/>
  <c r="G189" i="5"/>
  <c r="G287" i="5"/>
  <c r="R90" i="5"/>
  <c r="M92" i="5"/>
  <c r="G107" i="5"/>
  <c r="J35" i="5"/>
  <c r="N20" i="5"/>
  <c r="G29" i="5"/>
  <c r="G208" i="5"/>
  <c r="H29" i="5"/>
  <c r="G317" i="5"/>
  <c r="G94" i="5"/>
  <c r="G239" i="5"/>
  <c r="L82" i="5"/>
  <c r="G27" i="5"/>
  <c r="U49" i="5"/>
  <c r="P84" i="5"/>
  <c r="G477" i="5"/>
  <c r="H44" i="5"/>
  <c r="U38" i="5"/>
  <c r="S64" i="5"/>
  <c r="G427" i="5"/>
  <c r="P75" i="5"/>
  <c r="G293" i="5"/>
  <c r="G280" i="5"/>
  <c r="J50" i="5"/>
  <c r="V64" i="5"/>
  <c r="T76" i="5"/>
  <c r="O20" i="5"/>
  <c r="O43" i="5"/>
  <c r="K12" i="5"/>
  <c r="G388" i="5"/>
  <c r="G378" i="5"/>
  <c r="M42" i="5"/>
  <c r="L63" i="5"/>
  <c r="S77" i="5"/>
  <c r="I78" i="5"/>
  <c r="L62" i="5"/>
  <c r="M63" i="5"/>
  <c r="G28" i="5"/>
  <c r="G230" i="5"/>
  <c r="Q43" i="5"/>
  <c r="P13" i="5"/>
  <c r="G438" i="5"/>
  <c r="K32" i="5"/>
  <c r="N95" i="5"/>
  <c r="R83" i="5"/>
  <c r="N94" i="5"/>
  <c r="G483" i="5"/>
  <c r="G242" i="5"/>
  <c r="S57" i="5"/>
  <c r="G194" i="5"/>
  <c r="S30" i="5"/>
  <c r="N64" i="5"/>
  <c r="M47" i="5"/>
  <c r="Q30" i="5"/>
  <c r="G542" i="5"/>
  <c r="I62" i="5"/>
  <c r="V25" i="5"/>
  <c r="J43" i="5"/>
  <c r="G153" i="5"/>
  <c r="G463" i="5"/>
  <c r="G375" i="5"/>
  <c r="G43" i="5"/>
  <c r="L23" i="5"/>
  <c r="G437" i="5"/>
  <c r="G26" i="5"/>
  <c r="N82" i="5"/>
  <c r="P12" i="5"/>
  <c r="Q7" i="5"/>
  <c r="S20" i="5"/>
  <c r="K60" i="5"/>
  <c r="G149" i="5"/>
  <c r="U63" i="5"/>
  <c r="K62" i="5"/>
  <c r="O77" i="5"/>
  <c r="J95" i="5"/>
  <c r="I17" i="5"/>
  <c r="S27" i="5"/>
  <c r="O48" i="5"/>
  <c r="Q36" i="5"/>
  <c r="U52" i="5"/>
  <c r="S55" i="5"/>
  <c r="G538" i="5"/>
  <c r="P24" i="5"/>
  <c r="G102" i="5"/>
  <c r="M78" i="5"/>
  <c r="G564" i="5"/>
  <c r="G209" i="5"/>
  <c r="N93" i="5"/>
  <c r="J47" i="5"/>
  <c r="G494" i="5"/>
  <c r="G537" i="5"/>
  <c r="G182" i="5"/>
  <c r="G87" i="5"/>
  <c r="N10" i="5"/>
  <c r="L59" i="5"/>
  <c r="L29" i="5"/>
  <c r="Q28" i="5"/>
  <c r="N30" i="5"/>
  <c r="K30" i="5"/>
  <c r="G312" i="5"/>
  <c r="G522" i="5"/>
  <c r="G603" i="5"/>
  <c r="V95" i="5"/>
  <c r="Q24" i="5"/>
  <c r="G33" i="5"/>
  <c r="O76" i="5"/>
  <c r="H40" i="5"/>
  <c r="G430" i="5"/>
  <c r="G88" i="5"/>
  <c r="T56" i="5"/>
  <c r="Q35" i="5"/>
  <c r="G197" i="5"/>
  <c r="K34" i="5"/>
  <c r="G7" i="5"/>
  <c r="V86" i="5"/>
  <c r="J8" i="5"/>
  <c r="G594" i="5"/>
  <c r="G108" i="5"/>
  <c r="S84" i="5"/>
  <c r="S49" i="5"/>
  <c r="N8" i="5"/>
  <c r="P29" i="5"/>
  <c r="H24" i="5"/>
  <c r="P33" i="5"/>
  <c r="U83" i="5"/>
  <c r="G134" i="5"/>
  <c r="G342" i="5"/>
  <c r="S26" i="5"/>
  <c r="V32" i="5"/>
  <c r="V62" i="5"/>
  <c r="U50" i="5"/>
  <c r="G532" i="5"/>
  <c r="O60" i="5"/>
  <c r="I29" i="5"/>
  <c r="G58" i="5"/>
  <c r="I64" i="5"/>
  <c r="G380" i="5"/>
  <c r="P37" i="5"/>
  <c r="G492" i="5"/>
  <c r="M38" i="5"/>
  <c r="K78" i="5"/>
  <c r="K43" i="5"/>
  <c r="L25" i="5"/>
  <c r="M85" i="5"/>
  <c r="G228" i="5"/>
  <c r="U18" i="5"/>
  <c r="G507" i="5"/>
  <c r="L84" i="5"/>
  <c r="G10" i="5"/>
  <c r="G429" i="5"/>
  <c r="M29" i="5"/>
  <c r="J13" i="5"/>
  <c r="L52" i="5"/>
  <c r="U45" i="5"/>
  <c r="T10" i="5"/>
  <c r="G560" i="5"/>
  <c r="K27" i="5"/>
  <c r="I20" i="5"/>
  <c r="H39" i="5"/>
  <c r="Q16" i="5"/>
  <c r="J92" i="5"/>
  <c r="G329" i="5"/>
  <c r="J45" i="5"/>
  <c r="J36" i="5"/>
  <c r="Q10" i="5"/>
  <c r="U86" i="5"/>
  <c r="R35" i="5"/>
  <c r="G138" i="5"/>
  <c r="G56" i="5"/>
  <c r="M64" i="5"/>
  <c r="R25" i="5"/>
  <c r="U27" i="5"/>
  <c r="G38" i="5"/>
  <c r="Q20" i="5"/>
  <c r="L75" i="5"/>
  <c r="Q63" i="5"/>
  <c r="U60" i="5"/>
  <c r="H92" i="5"/>
  <c r="U43" i="5"/>
  <c r="G295" i="5"/>
  <c r="T54" i="5"/>
  <c r="I42" i="5"/>
  <c r="P63" i="5"/>
  <c r="M45" i="5"/>
  <c r="J7" i="5"/>
  <c r="G436" i="5"/>
  <c r="I33" i="5"/>
  <c r="G184" i="5"/>
  <c r="T55" i="5"/>
  <c r="H38" i="5"/>
  <c r="V45" i="5"/>
  <c r="L17" i="5"/>
  <c r="H16" i="5"/>
  <c r="R30" i="5"/>
  <c r="M37" i="5"/>
  <c r="G524" i="5"/>
  <c r="G246" i="5"/>
  <c r="U17" i="5"/>
  <c r="G499" i="5"/>
  <c r="O46" i="5"/>
  <c r="G556" i="5"/>
  <c r="T36" i="5"/>
  <c r="U64" i="5"/>
  <c r="N15" i="5"/>
  <c r="H90" i="5"/>
  <c r="G116" i="5"/>
  <c r="S10" i="5"/>
  <c r="I23" i="5"/>
  <c r="I10" i="5"/>
  <c r="J55" i="5"/>
  <c r="K36" i="5"/>
  <c r="Q62" i="5"/>
  <c r="T84" i="5"/>
  <c r="I58" i="5"/>
  <c r="G12" i="5"/>
  <c r="G128" i="5"/>
  <c r="J60" i="5"/>
  <c r="G303" i="5"/>
  <c r="G502" i="5"/>
  <c r="H13" i="5"/>
  <c r="G114" i="5"/>
  <c r="G13" i="5"/>
  <c r="G434" i="5"/>
  <c r="G117" i="5"/>
  <c r="K50" i="5"/>
  <c r="G55" i="5"/>
  <c r="V63" i="5"/>
  <c r="V83" i="5"/>
  <c r="G125" i="5"/>
  <c r="R7" i="5"/>
  <c r="G80" i="5"/>
  <c r="G475" i="5"/>
  <c r="I25" i="5"/>
  <c r="U13" i="5"/>
  <c r="M17" i="5"/>
  <c r="V12" i="5"/>
  <c r="Q57" i="5"/>
  <c r="U92" i="5"/>
  <c r="G557" i="5"/>
  <c r="I92" i="5"/>
  <c r="S52" i="5"/>
  <c r="M75" i="5"/>
  <c r="O93" i="5"/>
  <c r="G245" i="5"/>
  <c r="J24" i="5"/>
  <c r="V54" i="5"/>
  <c r="G563" i="5"/>
  <c r="M55" i="5"/>
  <c r="G428" i="5"/>
  <c r="G32" i="5"/>
  <c r="R82" i="5"/>
  <c r="G489" i="5"/>
  <c r="G587" i="5"/>
  <c r="M23" i="5"/>
  <c r="K54" i="5"/>
  <c r="N22" i="5"/>
  <c r="J48" i="5"/>
  <c r="I88" i="5"/>
  <c r="N47" i="5"/>
  <c r="S42" i="5"/>
  <c r="V8" i="5"/>
  <c r="H50" i="5"/>
  <c r="G305" i="5"/>
  <c r="N53" i="5"/>
  <c r="J16" i="5"/>
  <c r="P94" i="5"/>
  <c r="L54" i="5"/>
  <c r="G193" i="5"/>
  <c r="G484" i="5"/>
  <c r="G592" i="5"/>
  <c r="P59" i="5"/>
  <c r="H46" i="5"/>
  <c r="H83" i="5"/>
  <c r="G310" i="5"/>
  <c r="J64" i="5"/>
  <c r="R37" i="5"/>
  <c r="S38" i="5"/>
  <c r="G122" i="5"/>
  <c r="N25" i="5"/>
  <c r="H49" i="5"/>
  <c r="P22" i="5"/>
  <c r="M62" i="5"/>
  <c r="U37" i="5"/>
  <c r="H77" i="5"/>
  <c r="T82" i="5"/>
  <c r="G419" i="5"/>
  <c r="G344" i="5"/>
  <c r="T13" i="5"/>
  <c r="T37" i="5"/>
  <c r="G77" i="5"/>
  <c r="L87" i="5"/>
  <c r="P88" i="5"/>
  <c r="R50" i="5"/>
  <c r="V15" i="5"/>
  <c r="U90" i="5"/>
  <c r="G350" i="5"/>
  <c r="K13" i="5"/>
  <c r="O79" i="5"/>
  <c r="G508" i="5"/>
  <c r="S7" i="5"/>
  <c r="K77" i="5"/>
  <c r="G313" i="5"/>
  <c r="U75" i="5"/>
  <c r="J12" i="5"/>
  <c r="G377" i="5"/>
  <c r="S54" i="5"/>
  <c r="U85" i="5"/>
  <c r="O84" i="5"/>
  <c r="G220" i="5"/>
  <c r="G359" i="5"/>
  <c r="J63" i="5"/>
  <c r="H62" i="5"/>
  <c r="G90" i="5"/>
  <c r="G48" i="5"/>
  <c r="O92" i="5"/>
  <c r="G539" i="5"/>
  <c r="R93" i="5"/>
  <c r="T85" i="5"/>
  <c r="H64" i="5"/>
  <c r="P17" i="5"/>
  <c r="J89" i="5"/>
  <c r="U19" i="5"/>
  <c r="S56" i="5"/>
  <c r="U89" i="5"/>
  <c r="P53" i="5"/>
  <c r="H45" i="5"/>
  <c r="G548" i="5"/>
  <c r="Q76" i="5"/>
  <c r="G452" i="5"/>
  <c r="K56" i="5"/>
  <c r="G224" i="5"/>
  <c r="G482" i="5"/>
  <c r="L90" i="5"/>
  <c r="G179" i="5"/>
  <c r="R95" i="5"/>
  <c r="G580" i="5"/>
  <c r="Q49" i="5"/>
  <c r="G443" i="5"/>
  <c r="M35" i="5"/>
  <c r="R77" i="5"/>
  <c r="H59" i="5"/>
  <c r="Q8" i="5"/>
  <c r="K52" i="5"/>
  <c r="L15" i="5"/>
  <c r="V56" i="5"/>
  <c r="V48" i="5"/>
  <c r="G345" i="5"/>
  <c r="T88" i="5"/>
  <c r="G497" i="5"/>
  <c r="G504" i="5"/>
  <c r="P14" i="5"/>
  <c r="G278" i="5"/>
  <c r="L48" i="5"/>
  <c r="G410" i="5"/>
  <c r="G389" i="5"/>
  <c r="Q39" i="5"/>
  <c r="N18" i="5"/>
  <c r="K40" i="5"/>
  <c r="R49" i="5"/>
  <c r="G40" i="5"/>
  <c r="G76" i="5"/>
  <c r="G142" i="5"/>
  <c r="N28" i="5"/>
  <c r="I40" i="5"/>
  <c r="G89" i="5"/>
  <c r="N90" i="5"/>
  <c r="G405" i="5"/>
  <c r="H84" i="5"/>
  <c r="G586" i="5"/>
  <c r="P55" i="5"/>
  <c r="G207" i="5"/>
  <c r="H22" i="5"/>
  <c r="G534" i="5"/>
  <c r="U94" i="5"/>
  <c r="G332" i="5"/>
  <c r="V75" i="5"/>
  <c r="J42" i="5"/>
  <c r="G513" i="5"/>
  <c r="K82" i="5"/>
  <c r="R8" i="5"/>
  <c r="M86" i="5"/>
  <c r="Q52" i="5"/>
  <c r="J22" i="5"/>
  <c r="H14" i="5"/>
  <c r="U10" i="5"/>
  <c r="M57" i="5"/>
  <c r="K26" i="5"/>
  <c r="O44" i="5"/>
  <c r="L27" i="5"/>
  <c r="T83" i="5"/>
  <c r="G292" i="5"/>
  <c r="G188" i="5"/>
  <c r="V22" i="5"/>
  <c r="T30" i="5"/>
  <c r="G333" i="5"/>
  <c r="G196" i="5"/>
  <c r="M56" i="5"/>
  <c r="G225" i="5"/>
  <c r="Q47" i="5"/>
  <c r="I79" i="5"/>
  <c r="L78" i="5"/>
  <c r="U53" i="5"/>
  <c r="J44" i="5"/>
  <c r="J30" i="5"/>
  <c r="Q9" i="5"/>
  <c r="G358" i="5"/>
  <c r="G460" i="5"/>
  <c r="K16" i="5"/>
  <c r="I55" i="5"/>
  <c r="U26" i="5"/>
  <c r="Q56" i="5"/>
  <c r="I12" i="5"/>
  <c r="U35" i="5"/>
  <c r="G44" i="5"/>
  <c r="G426" i="5"/>
  <c r="P57" i="5"/>
  <c r="G457" i="5"/>
  <c r="G306" i="5"/>
  <c r="N77" i="5"/>
  <c r="L58" i="5"/>
  <c r="L39" i="5"/>
  <c r="G243" i="5"/>
  <c r="O75" i="5"/>
  <c r="J37" i="5"/>
  <c r="G480" i="5"/>
  <c r="U9" i="5"/>
  <c r="G180" i="5"/>
  <c r="Q55" i="5"/>
  <c r="G210" i="5"/>
  <c r="V36" i="5"/>
  <c r="J29" i="5"/>
  <c r="G543" i="5"/>
  <c r="J17" i="5"/>
  <c r="O57" i="5"/>
  <c r="O89" i="5"/>
  <c r="Q84" i="5"/>
  <c r="I49" i="5"/>
  <c r="N84" i="5"/>
  <c r="M54" i="5"/>
  <c r="I9" i="5"/>
  <c r="G49" i="5"/>
  <c r="K86" i="5"/>
  <c r="G137" i="5"/>
  <c r="P60" i="5"/>
  <c r="K58" i="5"/>
  <c r="O58" i="5"/>
  <c r="I32" i="5"/>
  <c r="K18" i="5"/>
  <c r="G109" i="5"/>
  <c r="S43" i="5"/>
  <c r="H32" i="5"/>
  <c r="N76" i="5"/>
  <c r="L60" i="5"/>
  <c r="G247" i="5"/>
  <c r="N39" i="5"/>
  <c r="R17" i="5"/>
  <c r="I90" i="5"/>
  <c r="G288" i="5"/>
  <c r="I18" i="5"/>
  <c r="L57" i="5"/>
  <c r="G376" i="5"/>
  <c r="J88" i="5"/>
  <c r="T17" i="5"/>
  <c r="Q40" i="5"/>
  <c r="L13" i="5"/>
  <c r="T53" i="5"/>
  <c r="J26" i="5"/>
  <c r="J59" i="5"/>
  <c r="N36" i="5"/>
  <c r="I77" i="5"/>
  <c r="S33" i="5"/>
  <c r="U79" i="5"/>
  <c r="J53" i="5"/>
  <c r="M84" i="5"/>
  <c r="P54" i="5"/>
  <c r="O29" i="5"/>
  <c r="I35" i="5"/>
  <c r="M18" i="5"/>
  <c r="Q27" i="5"/>
  <c r="P19" i="5"/>
  <c r="O45" i="5"/>
  <c r="M79" i="5"/>
  <c r="T95" i="5"/>
  <c r="R52" i="5"/>
  <c r="G530" i="5"/>
  <c r="G46" i="5"/>
  <c r="G255" i="5"/>
  <c r="U28" i="5"/>
  <c r="L43" i="5"/>
  <c r="R47" i="5"/>
  <c r="T93" i="5"/>
  <c r="T22" i="5"/>
  <c r="P76" i="5"/>
  <c r="H28" i="5"/>
  <c r="O10" i="5"/>
  <c r="S85" i="5"/>
  <c r="G36" i="5"/>
  <c r="J82" i="5"/>
  <c r="P28" i="5"/>
  <c r="R32" i="5"/>
  <c r="G516" i="5"/>
  <c r="M60" i="5"/>
  <c r="R78" i="5"/>
  <c r="S45" i="5"/>
  <c r="N44" i="5"/>
  <c r="G126" i="5"/>
  <c r="P16" i="5"/>
  <c r="G455" i="5"/>
  <c r="Q33" i="5"/>
  <c r="R59" i="5"/>
  <c r="G49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6F3A87-ADC9-42AD-80DE-D52F95D7CABC}" keepAlive="1" interval="10" name="Query - UP Invoice Data" description="Connection to the 'UP Invoice Data' query in the workbook." type="5" refreshedVersion="8" background="1" refreshOnLoad="1" saveData="1">
    <dbPr connection="Provider=Microsoft.Mashup.OleDb.1;Data Source=$Workbook$;Location=&quot;UP Invoice Data&quot;;Extended Properties=&quot;&quot;" command="SELECT * FROM [UP Invoice 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<sst xmlns="http://schemas.openxmlformats.org/spreadsheetml/2006/main" count="13194" uniqueCount="506">
  <si>
    <t>PAYMENT CODES</t>
  </si>
  <si>
    <t>Union Pacific Website</t>
  </si>
  <si>
    <t>Ok to Pay</t>
  </si>
  <si>
    <t>xtpe767</t>
  </si>
  <si>
    <t>DO NOT PAY</t>
  </si>
  <si>
    <t>enviroap</t>
  </si>
  <si>
    <t>Pre-Pay</t>
  </si>
  <si>
    <t>Payment Code</t>
  </si>
  <si>
    <t>Supply Chain Note</t>
  </si>
  <si>
    <t>Purchase Order</t>
  </si>
  <si>
    <t>PO Quantity</t>
  </si>
  <si>
    <t>Variance</t>
  </si>
  <si>
    <t>Accounting Note</t>
  </si>
  <si>
    <t>Invoice #</t>
  </si>
  <si>
    <t>Invoice Date</t>
  </si>
  <si>
    <t>Due Date</t>
  </si>
  <si>
    <t>Amount Due</t>
  </si>
  <si>
    <t>Charge Type</t>
  </si>
  <si>
    <t>Invoice Status</t>
  </si>
  <si>
    <t>Disputed Date</t>
  </si>
  <si>
    <t>Delinquent</t>
  </si>
  <si>
    <t>Customer Ref # (BOL)</t>
  </si>
  <si>
    <t>Equipment</t>
  </si>
  <si>
    <t>WayBill #</t>
  </si>
  <si>
    <t>Waybill Date</t>
  </si>
  <si>
    <t>Consignee Name</t>
  </si>
  <si>
    <t>Movement Origin City</t>
  </si>
  <si>
    <t>Movement Destination City</t>
  </si>
  <si>
    <t>Movement Destination State</t>
  </si>
  <si>
    <t>Total Amount Paid to Date</t>
  </si>
  <si>
    <t xml:space="preserve">Added to prepay </t>
  </si>
  <si>
    <t>FREIGHT</t>
  </si>
  <si>
    <t>Open</t>
  </si>
  <si>
    <t>GBRX716069</t>
  </si>
  <si>
    <t>ENVIROTECH SERVICES</t>
  </si>
  <si>
    <t>ARAGONITE</t>
  </si>
  <si>
    <t>LEWISTON</t>
  </si>
  <si>
    <t>ID</t>
  </si>
  <si>
    <t>GBRX711525</t>
  </si>
  <si>
    <t>NEBRASKA SALT GRAIN</t>
  </si>
  <si>
    <t>BLAIR</t>
  </si>
  <si>
    <t>GOTHENBURG</t>
  </si>
  <si>
    <t>NE</t>
  </si>
  <si>
    <t>TAEX408</t>
  </si>
  <si>
    <t>ROWLEY</t>
  </si>
  <si>
    <t>DENVER</t>
  </si>
  <si>
    <t>CO</t>
  </si>
  <si>
    <t>AOKX410169</t>
  </si>
  <si>
    <t>ENVIROTECH SERVICES INC</t>
  </si>
  <si>
    <t>NEPHI</t>
  </si>
  <si>
    <t>INTERSTATE</t>
  </si>
  <si>
    <t>CRDX200729</t>
  </si>
  <si>
    <t>GBRX711529</t>
  </si>
  <si>
    <t>GBRX711537</t>
  </si>
  <si>
    <t>TAEX391</t>
  </si>
  <si>
    <t>TCIX50776</t>
  </si>
  <si>
    <t>CRDX200107</t>
  </si>
  <si>
    <t>TAEX214</t>
  </si>
  <si>
    <t>LA SALLE</t>
  </si>
  <si>
    <t>EVRX102</t>
  </si>
  <si>
    <t>TCIX224559</t>
  </si>
  <si>
    <t>TAEX217</t>
  </si>
  <si>
    <t>GBRX711542</t>
  </si>
  <si>
    <t>CRDX200736</t>
  </si>
  <si>
    <t>NATX73528</t>
  </si>
  <si>
    <t>CRDX200079</t>
  </si>
  <si>
    <t>GBRX711523</t>
  </si>
  <si>
    <t>CRDX200186</t>
  </si>
  <si>
    <t>GBRX716077</t>
  </si>
  <si>
    <t>CMHX800677</t>
  </si>
  <si>
    <t>CARLOAD CONNECTION</t>
  </si>
  <si>
    <t>CANNON FALLS</t>
  </si>
  <si>
    <t>MN</t>
  </si>
  <si>
    <t>EVRX120106</t>
  </si>
  <si>
    <t>AOKX410366</t>
  </si>
  <si>
    <t>ROLLA</t>
  </si>
  <si>
    <t>CRDX7655</t>
  </si>
  <si>
    <t>CRDX200163</t>
  </si>
  <si>
    <t>EVRX108</t>
  </si>
  <si>
    <t>TAEX206</t>
  </si>
  <si>
    <t>GBRX711530</t>
  </si>
  <si>
    <t>GBRX716058</t>
  </si>
  <si>
    <t>CRDX200106</t>
  </si>
  <si>
    <t>CRDX200722</t>
  </si>
  <si>
    <t>GLENWOOD SPRINGS</t>
  </si>
  <si>
    <t>GBRX716061</t>
  </si>
  <si>
    <t>TAEX209</t>
  </si>
  <si>
    <t>GBRX711521</t>
  </si>
  <si>
    <t>RANDOLPH</t>
  </si>
  <si>
    <t>GBRX716063</t>
  </si>
  <si>
    <t>TAEX260</t>
  </si>
  <si>
    <t>GBRX711527</t>
  </si>
  <si>
    <t>TAEX386</t>
  </si>
  <si>
    <t>CRDX200094</t>
  </si>
  <si>
    <t>CRDX200741</t>
  </si>
  <si>
    <t>CRDX200178</t>
  </si>
  <si>
    <t>CRDX200182</t>
  </si>
  <si>
    <t>TAEX723</t>
  </si>
  <si>
    <t>CRDX200749</t>
  </si>
  <si>
    <t>GBRX711524</t>
  </si>
  <si>
    <t>GBRX711522</t>
  </si>
  <si>
    <t>CRDX200025</t>
  </si>
  <si>
    <t>GBRX711549</t>
  </si>
  <si>
    <t>CRDX200100</t>
  </si>
  <si>
    <t>CRDX200075</t>
  </si>
  <si>
    <t>CHS</t>
  </si>
  <si>
    <t>RYDER</t>
  </si>
  <si>
    <t>ND</t>
  </si>
  <si>
    <t>GLNX21123</t>
  </si>
  <si>
    <t>TAEX252</t>
  </si>
  <si>
    <t>GBRX711531</t>
  </si>
  <si>
    <t>GBRX716064</t>
  </si>
  <si>
    <t>GBRX711520</t>
  </si>
  <si>
    <t>CRDX200177</t>
  </si>
  <si>
    <t>GBRX716066</t>
  </si>
  <si>
    <t>CRDX200102</t>
  </si>
  <si>
    <t>CRDX200730</t>
  </si>
  <si>
    <t>CRDX200728</t>
  </si>
  <si>
    <t>CRDX200181</t>
  </si>
  <si>
    <t>CRDX200185</t>
  </si>
  <si>
    <t>CRDX200088</t>
  </si>
  <si>
    <t>CRDX200086</t>
  </si>
  <si>
    <t>GBRX711533</t>
  </si>
  <si>
    <t>EVRX1206</t>
  </si>
  <si>
    <t>TAEX728</t>
  </si>
  <si>
    <t>GBRX711538</t>
  </si>
  <si>
    <t>AOKX410359</t>
  </si>
  <si>
    <t>CRDX200108</t>
  </si>
  <si>
    <t>CRDX200189</t>
  </si>
  <si>
    <t>GBRX711528</t>
  </si>
  <si>
    <t>LOUISIANA PACIFIC</t>
  </si>
  <si>
    <t>THOMASVILLE</t>
  </si>
  <si>
    <t>AL</t>
  </si>
  <si>
    <t>GBRX716067</t>
  </si>
  <si>
    <t>GBRX716079</t>
  </si>
  <si>
    <t>GBRX716054</t>
  </si>
  <si>
    <t>GBRX716053</t>
  </si>
  <si>
    <t>GBRX716080</t>
  </si>
  <si>
    <t>GBRX711526</t>
  </si>
  <si>
    <t>TAEX216</t>
  </si>
  <si>
    <t>CRDX200176</t>
  </si>
  <si>
    <t>CRDX200093</t>
  </si>
  <si>
    <t>EVRX120</t>
  </si>
  <si>
    <t>CRDX200083</t>
  </si>
  <si>
    <t>TAEX396</t>
  </si>
  <si>
    <t>Will receive when RM invoices customer</t>
  </si>
  <si>
    <t>879698;879699;879700;879701;879702</t>
  </si>
  <si>
    <t>EVRX120102</t>
  </si>
  <si>
    <t>NSG LOGISTICS LLC</t>
  </si>
  <si>
    <t>CLEBURNE</t>
  </si>
  <si>
    <t>TX</t>
  </si>
  <si>
    <t>AOKX410177</t>
  </si>
  <si>
    <t>CRDX200168</t>
  </si>
  <si>
    <t>CRDX200748</t>
  </si>
  <si>
    <t>CRDX200162</t>
  </si>
  <si>
    <t>AOKX410173</t>
  </si>
  <si>
    <t>CRDX200080</t>
  </si>
  <si>
    <t>PRINEVILLE</t>
  </si>
  <si>
    <t>OR</t>
  </si>
  <si>
    <t>CRDX200104</t>
  </si>
  <si>
    <t>GBRX716056</t>
  </si>
  <si>
    <t>CRDX200081</t>
  </si>
  <si>
    <t>TAEX215</t>
  </si>
  <si>
    <t>PUEBLO</t>
  </si>
  <si>
    <t>TAEX715</t>
  </si>
  <si>
    <t>TAEX204</t>
  </si>
  <si>
    <t>CRDX200742</t>
  </si>
  <si>
    <t>CRDX200747</t>
  </si>
  <si>
    <t>CRDX200099</t>
  </si>
  <si>
    <t>CRDX200097</t>
  </si>
  <si>
    <t>CRDX200731</t>
  </si>
  <si>
    <t>CRDX200171</t>
  </si>
  <si>
    <t>GBRX716076</t>
  </si>
  <si>
    <t>GBRX711548</t>
  </si>
  <si>
    <t>CRDX200101</t>
  </si>
  <si>
    <t>CRDX200179</t>
  </si>
  <si>
    <t>GBRX711536</t>
  </si>
  <si>
    <t>CRDX200072</t>
  </si>
  <si>
    <t>RTMX3178</t>
  </si>
  <si>
    <t>GBRX711544</t>
  </si>
  <si>
    <t>METRO WATER RECOVERY</t>
  </si>
  <si>
    <t>GBRX711539</t>
  </si>
  <si>
    <t>CRDX200164</t>
  </si>
  <si>
    <t>CRDX200744</t>
  </si>
  <si>
    <t>INTX75008</t>
  </si>
  <si>
    <t>GBRX711540</t>
  </si>
  <si>
    <t>CHICAGO JUNCTION RAILWAY COMPA</t>
  </si>
  <si>
    <t>ELK GROVE VILLAGE</t>
  </si>
  <si>
    <t>IL</t>
  </si>
  <si>
    <t>CRDX200070</t>
  </si>
  <si>
    <t>CRDX200740</t>
  </si>
  <si>
    <t>GBRX711547</t>
  </si>
  <si>
    <t>CRDX200737</t>
  </si>
  <si>
    <t>CRDX200172</t>
  </si>
  <si>
    <t>CRDX200723</t>
  </si>
  <si>
    <t>CRDX200082</t>
  </si>
  <si>
    <t>CRDX200751</t>
  </si>
  <si>
    <t>CRDX200738</t>
  </si>
  <si>
    <t>GLNX21122</t>
  </si>
  <si>
    <t>EVRX120108</t>
  </si>
  <si>
    <t>879703;879705</t>
  </si>
  <si>
    <t>EVRX120115</t>
  </si>
  <si>
    <t>GBRX711543</t>
  </si>
  <si>
    <t>CRDX200187</t>
  </si>
  <si>
    <t>CRDX200180</t>
  </si>
  <si>
    <t>AOKX410370</t>
  </si>
  <si>
    <t>TCIX224553</t>
  </si>
  <si>
    <t>AOKX410362</t>
  </si>
  <si>
    <t>GBRX716060</t>
  </si>
  <si>
    <t>HOUSTON</t>
  </si>
  <si>
    <t>GBRX716078</t>
  </si>
  <si>
    <t>CRDX200175</t>
  </si>
  <si>
    <t>CRDX200073</t>
  </si>
  <si>
    <t>CRDX200169</t>
  </si>
  <si>
    <t>GBRX711535</t>
  </si>
  <si>
    <t>C E S</t>
  </si>
  <si>
    <t>CRDX200743</t>
  </si>
  <si>
    <t>GBRX716074</t>
  </si>
  <si>
    <t>CRDX200733</t>
  </si>
  <si>
    <t>GBRX716070</t>
  </si>
  <si>
    <t>AOKX410367</t>
  </si>
  <si>
    <t>CRDX200076</t>
  </si>
  <si>
    <t>GBRX716081</t>
  </si>
  <si>
    <t>CRDX200735</t>
  </si>
  <si>
    <t>CRDX200089</t>
  </si>
  <si>
    <t>GBRX716052</t>
  </si>
  <si>
    <t>CRDX200727</t>
  </si>
  <si>
    <t>CRDX200071</t>
  </si>
  <si>
    <t>CRDX200746</t>
  </si>
  <si>
    <t>GBRX716073</t>
  </si>
  <si>
    <t>CRDX200170</t>
  </si>
  <si>
    <t>CRDX200165</t>
  </si>
  <si>
    <t>AOKX410174</t>
  </si>
  <si>
    <t>GBRX711545</t>
  </si>
  <si>
    <t>CLIMATE CONTROL</t>
  </si>
  <si>
    <t>ABERDEEN</t>
  </si>
  <si>
    <t>SD</t>
  </si>
  <si>
    <t>GBRX716057</t>
  </si>
  <si>
    <t>PMRX7567</t>
  </si>
  <si>
    <t>FORM A FEED</t>
  </si>
  <si>
    <t>STEWART</t>
  </si>
  <si>
    <t>AOKX410371</t>
  </si>
  <si>
    <t>AOKX410175</t>
  </si>
  <si>
    <t>EVRX120104</t>
  </si>
  <si>
    <t>TAEX401</t>
  </si>
  <si>
    <t>CRDX8594</t>
  </si>
  <si>
    <t>FURX824698</t>
  </si>
  <si>
    <t>EVRX120107</t>
  </si>
  <si>
    <t>CMHX800640</t>
  </si>
  <si>
    <t>INTX462146</t>
  </si>
  <si>
    <t>Disputed - Westway to pay</t>
  </si>
  <si>
    <t>n/a</t>
  </si>
  <si>
    <t>CRDX200087</t>
  </si>
  <si>
    <t>WESTWAY FEED PRODUCTS LLC</t>
  </si>
  <si>
    <t>SOUTH SAINT PAUL</t>
  </si>
  <si>
    <t>TAEX749</t>
  </si>
  <si>
    <t>Disputed to RMI</t>
  </si>
  <si>
    <t>ELITE RETURN</t>
  </si>
  <si>
    <t>EVRX120113</t>
  </si>
  <si>
    <t>REDMOND MINERALS INC</t>
  </si>
  <si>
    <t>SHARP</t>
  </si>
  <si>
    <t>UT</t>
  </si>
  <si>
    <t>NATX73530</t>
  </si>
  <si>
    <t>GBRX716065</t>
  </si>
  <si>
    <t>GBRX716059</t>
  </si>
  <si>
    <t>CRDX200173</t>
  </si>
  <si>
    <t>CRDX200167</t>
  </si>
  <si>
    <t>CRDX200745</t>
  </si>
  <si>
    <t>CMHX800736</t>
  </si>
  <si>
    <t>UTLX87940</t>
  </si>
  <si>
    <t>GBRX711532</t>
  </si>
  <si>
    <t>CRDX200160</t>
  </si>
  <si>
    <t>GBRX716072</t>
  </si>
  <si>
    <t>CRDX200184</t>
  </si>
  <si>
    <t>GBRX716055</t>
  </si>
  <si>
    <t>GBRX716075</t>
  </si>
  <si>
    <t>CRDX200098</t>
  </si>
  <si>
    <t>WYOMING CONNECT 5027</t>
  </si>
  <si>
    <t>YODER</t>
  </si>
  <si>
    <t>WY</t>
  </si>
  <si>
    <t>PO will receive when Midwest Invoices customer</t>
  </si>
  <si>
    <t>GBRX711534</t>
  </si>
  <si>
    <t>GBRX711541</t>
  </si>
  <si>
    <t>GBRX716062</t>
  </si>
  <si>
    <t>SCRAP</t>
  </si>
  <si>
    <t>EVRX111</t>
  </si>
  <si>
    <t>PROGRESS RAIL SERVICES</t>
  </si>
  <si>
    <t>MINNEQUA</t>
  </si>
  <si>
    <t>GBRX716068</t>
  </si>
  <si>
    <t>CRDX200074</t>
  </si>
  <si>
    <t>INTX74689</t>
  </si>
  <si>
    <t>INTX74764</t>
  </si>
  <si>
    <t>INTX75046</t>
  </si>
  <si>
    <t>AOKX410190</t>
  </si>
  <si>
    <t>Customer Exception</t>
  </si>
  <si>
    <t>TCIX224758</t>
  </si>
  <si>
    <t>ITFX190008</t>
  </si>
  <si>
    <t>EVRX150113</t>
  </si>
  <si>
    <t>UTLX214318</t>
  </si>
  <si>
    <t>CRDX200725</t>
  </si>
  <si>
    <t>AOKX410176</t>
  </si>
  <si>
    <t>INTX74979</t>
  </si>
  <si>
    <t>CRDX200750</t>
  </si>
  <si>
    <t>CRDX200084</t>
  </si>
  <si>
    <t>GBRX716071</t>
  </si>
  <si>
    <t>Removed from Account</t>
  </si>
  <si>
    <t>EVRX1217</t>
  </si>
  <si>
    <t>EVRX120112</t>
  </si>
  <si>
    <t>AMALGAMATED SUGAR CO</t>
  </si>
  <si>
    <t>BRIGHTON</t>
  </si>
  <si>
    <t>883236-1</t>
  </si>
  <si>
    <t>UTLX214320</t>
  </si>
  <si>
    <t>883236-2</t>
  </si>
  <si>
    <t>UTLX120360</t>
  </si>
  <si>
    <t>883236-3</t>
  </si>
  <si>
    <t>UTLX214336</t>
  </si>
  <si>
    <t>EVRX120132</t>
  </si>
  <si>
    <t>PMRX75106</t>
  </si>
  <si>
    <t>LG EVERIST</t>
  </si>
  <si>
    <t>HAWARDEN</t>
  </si>
  <si>
    <t>IA</t>
  </si>
  <si>
    <t>CRDX200077</t>
  </si>
  <si>
    <t>CRDX200174</t>
  </si>
  <si>
    <t>CRDX200166</t>
  </si>
  <si>
    <t>AOKX410373</t>
  </si>
  <si>
    <t>CMHX800725</t>
  </si>
  <si>
    <t>884150;884153;884156</t>
  </si>
  <si>
    <t>EVRX120122</t>
  </si>
  <si>
    <t>CRDX8502</t>
  </si>
  <si>
    <t>INTX74939</t>
  </si>
  <si>
    <t>705003;705004;705005;705006;705007</t>
  </si>
  <si>
    <t>AOKX410372</t>
  </si>
  <si>
    <t>TAEX211</t>
  </si>
  <si>
    <t>TAEX405</t>
  </si>
  <si>
    <t>cancelled per Mary 12/11</t>
  </si>
  <si>
    <t>CRDX200183</t>
  </si>
  <si>
    <t>CRDX200085</t>
  </si>
  <si>
    <t>886079-1,2</t>
  </si>
  <si>
    <t>NDYX824003</t>
  </si>
  <si>
    <t>WALRATH TRUCKING TE</t>
  </si>
  <si>
    <t>SEATTLE</t>
  </si>
  <si>
    <t>WA</t>
  </si>
  <si>
    <t>CMHX800679</t>
  </si>
  <si>
    <t>Removed from account</t>
  </si>
  <si>
    <t>INTX75053</t>
  </si>
  <si>
    <t>AOKX410187</t>
  </si>
  <si>
    <t>TAEX219</t>
  </si>
  <si>
    <t>CRDX200092</t>
  </si>
  <si>
    <t>CRDX200161</t>
  </si>
  <si>
    <t>CRDX200103</t>
  </si>
  <si>
    <t>887207;887210;887213</t>
  </si>
  <si>
    <t>LUBBOCK</t>
  </si>
  <si>
    <t>NDYX823996</t>
  </si>
  <si>
    <t>AOKX410356</t>
  </si>
  <si>
    <t>PMRX765784</t>
  </si>
  <si>
    <t>CHEHALIS</t>
  </si>
  <si>
    <t>AOKX410365</t>
  </si>
  <si>
    <t>CMHX800668</t>
  </si>
  <si>
    <t>NS</t>
  </si>
  <si>
    <t>INTREPID WENDOVER POTASH LLC</t>
  </si>
  <si>
    <t>CORSON</t>
  </si>
  <si>
    <t>NA</t>
  </si>
  <si>
    <t>REDMOND MINERALS</t>
  </si>
  <si>
    <t>CMHX800667</t>
  </si>
  <si>
    <t>889114;889116;889118;889120;889122</t>
  </si>
  <si>
    <t>710500;710501;710502; 710503;710504</t>
  </si>
  <si>
    <t>PMRX74584</t>
  </si>
  <si>
    <t>AOKX410358</t>
  </si>
  <si>
    <t>ES</t>
  </si>
  <si>
    <t>Demand Order O4034</t>
  </si>
  <si>
    <t>891597;891600;891603;891606;891609</t>
  </si>
  <si>
    <t>710870;710871;710872;710873;710874</t>
  </si>
  <si>
    <t>EVRX150102</t>
  </si>
  <si>
    <t>EVRX120123</t>
  </si>
  <si>
    <t>KEYMAR FERTILIZER</t>
  </si>
  <si>
    <t>KEYMAR</t>
  </si>
  <si>
    <t>MD</t>
  </si>
  <si>
    <t>CMHX800686</t>
  </si>
  <si>
    <t>EVRX120109</t>
  </si>
  <si>
    <t>NDYX824045</t>
  </si>
  <si>
    <t>AOKX410369</t>
  </si>
  <si>
    <t>894627;894631;894634;894637;894640</t>
  </si>
  <si>
    <t>EVRX120127</t>
  </si>
  <si>
    <t>INTX75175</t>
  </si>
  <si>
    <t>895841-1</t>
  </si>
  <si>
    <t>CSR5</t>
  </si>
  <si>
    <t>EVRX120151</t>
  </si>
  <si>
    <t>ESCANABA</t>
  </si>
  <si>
    <t>895841-2</t>
  </si>
  <si>
    <t>EVRX120156</t>
  </si>
  <si>
    <t>CMHX800735</t>
  </si>
  <si>
    <t>895841-3</t>
  </si>
  <si>
    <t>N/A</t>
  </si>
  <si>
    <t>CMHX800642</t>
  </si>
  <si>
    <t>RELIANCE</t>
  </si>
  <si>
    <t>EVRX120114</t>
  </si>
  <si>
    <t>896897-1</t>
  </si>
  <si>
    <t>GLNX</t>
  </si>
  <si>
    <t>896897-2</t>
  </si>
  <si>
    <t>PMRX75290</t>
  </si>
  <si>
    <t>897438-1</t>
  </si>
  <si>
    <t>897438-2</t>
  </si>
  <si>
    <t>PMRX75053</t>
  </si>
  <si>
    <t>INTX74558</t>
  </si>
  <si>
    <t>Disputed</t>
  </si>
  <si>
    <t>EVRX120165</t>
  </si>
  <si>
    <t>PMRX1454</t>
  </si>
  <si>
    <t>delinquent</t>
  </si>
  <si>
    <t>Equipment Id</t>
  </si>
  <si>
    <t>WayBill Date</t>
  </si>
  <si>
    <t>Consignee</t>
  </si>
  <si>
    <t>creation_date</t>
  </si>
  <si>
    <t>FALSE</t>
  </si>
  <si>
    <t>DEMURRAGE</t>
  </si>
  <si>
    <t>602187</t>
  </si>
  <si>
    <t>330851082</t>
  </si>
  <si>
    <t>710532</t>
  </si>
  <si>
    <t>359832</t>
  </si>
  <si>
    <t>331314917</t>
  </si>
  <si>
    <t>717098</t>
  </si>
  <si>
    <t>175715</t>
  </si>
  <si>
    <t>331206880</t>
  </si>
  <si>
    <t>21264</t>
  </si>
  <si>
    <t>836926</t>
  </si>
  <si>
    <t>331206880v2</t>
  </si>
  <si>
    <t>331314917v2</t>
  </si>
  <si>
    <t>330851085</t>
  </si>
  <si>
    <t>331206880v3</t>
  </si>
  <si>
    <t>331200540</t>
  </si>
  <si>
    <t>827392</t>
  </si>
  <si>
    <t>331201111</t>
  </si>
  <si>
    <t>331315740</t>
  </si>
  <si>
    <t>177083</t>
  </si>
  <si>
    <t>331315740v2</t>
  </si>
  <si>
    <t>320944446</t>
  </si>
  <si>
    <t>331364846</t>
  </si>
  <si>
    <t>331364846v2</t>
  </si>
  <si>
    <t>331639958</t>
  </si>
  <si>
    <t>605392</t>
  </si>
  <si>
    <t>331662753</t>
  </si>
  <si>
    <t>719113</t>
  </si>
  <si>
    <t>564722</t>
  </si>
  <si>
    <t>331662754</t>
  </si>
  <si>
    <t>718824</t>
  </si>
  <si>
    <t>564676</t>
  </si>
  <si>
    <t>331662762</t>
  </si>
  <si>
    <t>719114</t>
  </si>
  <si>
    <t>564834</t>
  </si>
  <si>
    <t>331662748</t>
  </si>
  <si>
    <t>718816</t>
  </si>
  <si>
    <t>413063</t>
  </si>
  <si>
    <t>331662745</t>
  </si>
  <si>
    <t>718817</t>
  </si>
  <si>
    <t>413018</t>
  </si>
  <si>
    <t>331662755</t>
  </si>
  <si>
    <t>719112</t>
  </si>
  <si>
    <t>564788</t>
  </si>
  <si>
    <t>331662752</t>
  </si>
  <si>
    <t>718821</t>
  </si>
  <si>
    <t>548453</t>
  </si>
  <si>
    <t>331662747</t>
  </si>
  <si>
    <t>718815</t>
  </si>
  <si>
    <t>438005</t>
  </si>
  <si>
    <t>331662756</t>
  </si>
  <si>
    <t>719111</t>
  </si>
  <si>
    <t>564705</t>
  </si>
  <si>
    <t>331663910</t>
  </si>
  <si>
    <t>715193</t>
  </si>
  <si>
    <t>639523</t>
  </si>
  <si>
    <t>331662749</t>
  </si>
  <si>
    <t>718819</t>
  </si>
  <si>
    <t>519962</t>
  </si>
  <si>
    <t>331662751</t>
  </si>
  <si>
    <t>718820</t>
  </si>
  <si>
    <t>535380</t>
  </si>
  <si>
    <t>331663927</t>
  </si>
  <si>
    <t>715183</t>
  </si>
  <si>
    <t>639579</t>
  </si>
  <si>
    <t>331662750</t>
  </si>
  <si>
    <t>718818</t>
  </si>
  <si>
    <t>519926</t>
  </si>
  <si>
    <t>331663587</t>
  </si>
  <si>
    <t>719118</t>
  </si>
  <si>
    <t>639381</t>
  </si>
  <si>
    <t>331663627</t>
  </si>
  <si>
    <t>719115</t>
  </si>
  <si>
    <t>639466</t>
  </si>
  <si>
    <t>331663652</t>
  </si>
  <si>
    <t>719117</t>
  </si>
  <si>
    <t>639424</t>
  </si>
  <si>
    <t>331663668</t>
  </si>
  <si>
    <t>719116</t>
  </si>
  <si>
    <t>639065</t>
  </si>
  <si>
    <t>331663672</t>
  </si>
  <si>
    <t>719468</t>
  </si>
  <si>
    <t>639197</t>
  </si>
  <si>
    <t>331663671</t>
  </si>
  <si>
    <t>719119</t>
  </si>
  <si>
    <t>639149</t>
  </si>
  <si>
    <t>331663893</t>
  </si>
  <si>
    <t>715196</t>
  </si>
  <si>
    <t>639633</t>
  </si>
  <si>
    <t>331663894</t>
  </si>
  <si>
    <t>715182</t>
  </si>
  <si>
    <t>639614</t>
  </si>
  <si>
    <t>Invoice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</si>
</sst>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mm/dd/yy;@"/>
    <numFmt numFmtId="165" formatCode="&quot;$&quot;#,##0.00"/>
    <numFmt numFmtId="166" formatCode="[$-409]m/d/yy\ h:mm\ AM/PM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7">
    <fill>
      <patternFill patternType="none"/>
    </fill>
    <fill>
      <patternFill patternType="gray125"/>
    </fill>
    <fill>
      <patternFill patternType="solid">
        <fgColor rgb="FFACC8C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FC8CA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0" fillId="2" borderId="1" xfId="0" applyFill="1" applyBorder="1"/>
    <xf numFmtId="165" fontId="0" fillId="2" borderId="1" xfId="0" applyNumberFormat="1" applyFill="1" applyBorder="1"/>
    <xf numFmtId="16" fontId="0" fillId="0" borderId="1" xfId="0" applyNumberFormat="1" applyBorder="1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1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4" fillId="3" borderId="0" xfId="0" applyFont="1" applyFill="1"/>
    <xf numFmtId="165" fontId="5" fillId="2" borderId="1" xfId="0" applyNumberFormat="1" applyFont="1" applyFill="1" applyBorder="1"/>
    <xf numFmtId="0" fontId="0" fillId="2" borderId="1" xfId="0" applyFill="1" applyBorder="1" applyAlignment="1">
      <alignment wrapText="1"/>
    </xf>
    <xf numFmtId="165" fontId="6" fillId="2" borderId="1" xfId="0" applyNumberFormat="1" applyFont="1" applyFill="1" applyBorder="1"/>
    <xf numFmtId="22" fontId="0" fillId="0" borderId="0" xfId="0" applyNumberFormat="1"/>
    <xf numFmtId="14" fontId="0" fillId="0" borderId="0" xfId="0" applyNumberFormat="1"/>
    <xf numFmtId="0" fontId="0" fillId="2" borderId="2" xfId="0" applyFill="1" applyBorder="1"/>
    <xf numFmtId="165" fontId="0" fillId="2" borderId="3" xfId="0" applyNumberFormat="1" applyFill="1" applyBorder="1"/>
    <xf numFmtId="14" fontId="1" fillId="0" borderId="0" xfId="0" applyNumberFormat="1" applyFont="1"/>
    <xf numFmtId="14" fontId="2" fillId="0" borderId="0" xfId="0" applyNumberFormat="1" applyFont="1"/>
    <xf numFmtId="0" fontId="0" fillId="4" borderId="1" xfId="0" applyFill="1" applyBorder="1"/>
    <xf numFmtId="43" fontId="0" fillId="2" borderId="2" xfId="0" applyNumberFormat="1" applyFill="1" applyBorder="1"/>
    <xf numFmtId="0" fontId="0" fillId="5" borderId="1" xfId="0" applyFill="1" applyBorder="1"/>
    <xf numFmtId="0" fontId="4" fillId="5" borderId="0" xfId="0" applyFont="1" applyFill="1"/>
    <xf numFmtId="0" fontId="3" fillId="5" borderId="0" xfId="0" applyFont="1" applyFill="1"/>
    <xf numFmtId="166" fontId="1" fillId="0" borderId="0" xfId="0" applyNumberFormat="1" applyFont="1"/>
    <xf numFmtId="166" fontId="2" fillId="0" borderId="0" xfId="0" applyNumberFormat="1" applyFont="1"/>
    <xf numFmtId="166" fontId="0" fillId="0" borderId="0" xfId="0" applyNumberFormat="1"/>
    <xf numFmtId="0" fontId="0" fillId="6" borderId="1" xfId="0" applyFill="1" applyBorder="1"/>
    <xf numFmtId="0" fontId="0" fillId="6" borderId="2" xfId="0" applyFill="1" applyBorder="1"/>
    <xf numFmtId="0" fontId="0" fillId="6" borderId="1" xfId="0" applyFill="1" applyBorder="1" applyAlignment="1">
      <alignment wrapText="1"/>
    </xf>
    <xf numFmtId="165" fontId="5" fillId="6" borderId="1" xfId="0" applyNumberFormat="1" applyFont="1" applyFill="1" applyBorder="1"/>
    <xf numFmtId="0" fontId="0" fillId="3" borderId="0" xfId="0" applyFill="1"/>
    <xf numFmtId="14" fontId="8" fillId="0" borderId="0" xfId="0" applyNumberFormat="1" applyFont="1"/>
    <xf numFmtId="0" fontId="9" fillId="0" borderId="0" xfId="0" applyFont="1"/>
    <xf numFmtId="0" fontId="8" fillId="0" borderId="0" xfId="0" applyFont="1"/>
    <xf numFmtId="0" fontId="4" fillId="4" borderId="0" xfId="0" applyFont="1" applyFill="1"/>
    <xf numFmtId="0" fontId="4" fillId="0" borderId="0" xfId="0" applyFont="1" applyAlignment="1">
      <alignment wrapText="1"/>
    </xf>
    <xf numFmtId="14" fontId="3" fillId="0" borderId="0" xfId="0" applyNumberFormat="1" applyFont="1" applyAlignment="1">
      <alignment horizontal="right"/>
    </xf>
    <xf numFmtId="0" fontId="3" fillId="6" borderId="0" xfId="0" applyFont="1" applyFill="1"/>
    <xf numFmtId="14" fontId="3" fillId="3" borderId="0" xfId="0" applyNumberFormat="1" applyFont="1" applyFill="1"/>
    <xf numFmtId="0" fontId="3" fillId="3" borderId="0" xfId="0" applyFont="1" applyFill="1"/>
    <xf numFmtId="0" fontId="10" fillId="0" borderId="0" xfId="0" applyFont="1"/>
    <xf numFmtId="14" fontId="10" fillId="0" borderId="0" xfId="0" applyNumberFormat="1" applyFont="1"/>
    <xf numFmtId="0" fontId="11" fillId="0" borderId="0" xfId="0" applyFont="1"/>
    <xf numFmtId="0" fontId="0" fillId="0" borderId="0" xfId="0" applyNumberFormat="1"/>
  </cellXfs>
  <cellStyles count="1">
    <cellStyle name="Normal" xfId="0" builtinId="0"/>
  </cellStyles>
  <dxfs count="38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166" formatCode="[$-409]m/d/yy\ h:mm\ AM/PM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F864D6B4-BE97-42AC-BCE8-3E2FB43A0DCC}"/>
  </tableStyles>
  <colors>
    <mruColors>
      <color rgb="FFAFC8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D1195154-83B1-4282-B0D4-CBD3292DD0B7}" autoFormatId="16" applyNumberFormats="0" applyBorderFormats="0" applyFontFormats="0" applyPatternFormats="0" applyAlignmentFormats="0" applyWidthHeightFormats="0">
  <queryTableRefresh nextId="58">
    <queryTableFields count="16">
      <queryTableField id="37" name="Invoice #" tableColumnId="25"/>
      <queryTableField id="38" name="Invoice Date" tableColumnId="26"/>
      <queryTableField id="39" name="Due Date" tableColumnId="27"/>
      <queryTableField id="40" name="Amount Due" tableColumnId="28"/>
      <queryTableField id="41" name="Charge Type" tableColumnId="29"/>
      <queryTableField id="19" name="delinquent" tableColumnId="19"/>
      <queryTableField id="42" name="Customer Ref # (BOL)" tableColumnId="30"/>
      <queryTableField id="43" name="Equipment Id" tableColumnId="31"/>
      <queryTableField id="44" name="WayBill #" tableColumnId="32"/>
      <queryTableField id="45" name="WayBill Date" tableColumnId="33"/>
      <queryTableField id="46" name="Consignee" tableColumnId="34"/>
      <queryTableField id="47" name="Movement Origin City" tableColumnId="35"/>
      <queryTableField id="48" name="Movement Destination City" tableColumnId="36"/>
      <queryTableField id="49" name="Movement Destination State" tableColumnId="37"/>
      <queryTableField id="56" name="Total Amount Paid to Date" tableColumnId="1"/>
      <queryTableField id="57" name="creation_date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CFDB2F-4B82-4510-8725-3F3BB0E1019A}" name="Table3" displayName="Table3" ref="A6:V5009" totalsRowShown="0" headerRowDxfId="37">
  <autoFilter ref="A6:V5009" xr:uid="{81B85DA7-B608-4651-A252-5AA60EEC294D}"/>
  <sortState xmlns:xlrd2="http://schemas.microsoft.com/office/spreadsheetml/2017/richdata2" ref="A7:V5009">
    <sortCondition descending="1" ref="V6:V5009"/>
  </sortState>
  <tableColumns count="22">
    <tableColumn id="1" xr3:uid="{09E14764-6CCC-49DD-BC06-3C431C1D2D5A}" name="Payment Code"/>
    <tableColumn id="2" xr3:uid="{CDF56E9C-DE25-4E71-B92C-DAF1682E9C4B}" name="Supply Chain Note"/>
    <tableColumn id="3" xr3:uid="{85A2FDA8-7F17-41DA-A4E1-A2FB34A2EE4F}" name="Purchase Order"/>
    <tableColumn id="4" xr3:uid="{F37E869B-543E-4F41-99DB-01D30B61D11D}" name="PO Quantity"/>
    <tableColumn id="5" xr3:uid="{BFA42509-1DED-4A88-8056-76D4F72DB9A3}" name="Variance"/>
    <tableColumn id="6" xr3:uid="{E62983F6-2E52-425E-A70B-ACB0BECB9E6D}" name="Accounting Note"/>
    <tableColumn id="7" xr3:uid="{7222084C-6B5C-4470-949D-2794837496AE}" name="Invoice #">
      <calculatedColumnFormula>Data!A4</calculatedColumnFormula>
    </tableColumn>
    <tableColumn id="8" xr3:uid="{075CD3CB-2AB9-4C9D-AE4F-3F106ECCD04A}" name="Invoice Date" dataDxfId="35">
      <calculatedColumnFormula>Data!B4</calculatedColumnFormula>
    </tableColumn>
    <tableColumn id="9" xr3:uid="{FFFCD713-6A5F-49E1-8548-00C652F76632}" name="Due Date" dataDxfId="34">
      <calculatedColumnFormula>Data!C4</calculatedColumnFormula>
    </tableColumn>
    <tableColumn id="10" xr3:uid="{A5A02DA9-6F70-4BF2-8648-EF22877531AC}" name="Amount Due">
      <calculatedColumnFormula>Data!D4</calculatedColumnFormula>
    </tableColumn>
    <tableColumn id="11" xr3:uid="{62FBA638-6290-4B24-BF16-0DCE8D13888F}" name="Charge Type">
      <calculatedColumnFormula>Data!E4</calculatedColumnFormula>
    </tableColumn>
    <tableColumn id="12" xr3:uid="{1B7DE40B-8A19-4E5F-9E9C-4DF5EF0A7451}" name="delinquent">
      <calculatedColumnFormula>Data!F4</calculatedColumnFormula>
    </tableColumn>
    <tableColumn id="13" xr3:uid="{D1CE8361-28BE-4C2E-BAB1-2922CED38CF0}" name="Customer Ref # (BOL)">
      <calculatedColumnFormula>Data!G4</calculatedColumnFormula>
    </tableColumn>
    <tableColumn id="14" xr3:uid="{CE1CC0BA-6BDE-4946-B48B-F7B4BC1CA5E4}" name="Equipment Id">
      <calculatedColumnFormula>Data!H4</calculatedColumnFormula>
    </tableColumn>
    <tableColumn id="15" xr3:uid="{0E773F41-3B06-41A5-B969-6E9DA72EA9A8}" name="WayBill #">
      <calculatedColumnFormula>Data!I4</calculatedColumnFormula>
    </tableColumn>
    <tableColumn id="16" xr3:uid="{94A89CFD-F859-4866-B2AB-1D47CAD0A527}" name="WayBill Date" dataDxfId="33">
      <calculatedColumnFormula>Data!#REF!</calculatedColumnFormula>
    </tableColumn>
    <tableColumn id="17" xr3:uid="{192277A5-A680-4D48-987B-6FF9AC0D5B01}" name="Consignee">
      <calculatedColumnFormula>Data!#REF!</calculatedColumnFormula>
    </tableColumn>
    <tableColumn id="18" xr3:uid="{3ACE639B-20E5-4A0D-BAA5-45C62F51E47B}" name="Movement Origin City">
      <calculatedColumnFormula>Data!#REF!</calculatedColumnFormula>
    </tableColumn>
    <tableColumn id="19" xr3:uid="{FADD580E-F8B4-4EEF-B9E9-514A02A16C17}" name="Movement Destination City">
      <calculatedColumnFormula>Data!#REF!</calculatedColumnFormula>
    </tableColumn>
    <tableColumn id="20" xr3:uid="{018E732B-CDEC-4DEA-9099-5C5A0813552E}" name="Movement Destination State">
      <calculatedColumnFormula>Data!#REF!</calculatedColumnFormula>
    </tableColumn>
    <tableColumn id="21" xr3:uid="{C067D22D-2EE8-4C36-8138-1664A64041CD}" name="Total Amount Paid to Date">
      <calculatedColumnFormula>Data!#REF!</calculatedColumnFormula>
    </tableColumn>
    <tableColumn id="22" xr3:uid="{B1DC2EFB-965C-4729-BC87-5A7A9967366E}" name="creation_date" dataDxfId="36">
      <calculatedColumnFormula>Data!P6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1CFADD-25CF-45DA-A070-83DFE08241CC}" name="UP_Invoice_Data" displayName="UP_Invoice_Data" ref="A1:P38" tableType="queryTable" totalsRowShown="0">
  <autoFilter ref="A1:P38" xr:uid="{F61CFADD-25CF-45DA-A070-83DFE08241CC}"/>
  <tableColumns count="16">
    <tableColumn id="25" xr3:uid="{7DEEE079-F3D7-49C7-8252-91CE88E96DE9}" uniqueName="25" name="Invoice #" queryTableFieldId="37" dataDxfId="13"/>
    <tableColumn id="26" xr3:uid="{BAE5951C-85E7-4FA8-9563-C249D6E39313}" uniqueName="26" name="Invoice Date" queryTableFieldId="38" dataDxfId="12"/>
    <tableColumn id="27" xr3:uid="{A644EFAF-7228-4BA7-8F90-173388B56C31}" uniqueName="27" name="Due Date" queryTableFieldId="39" dataDxfId="11"/>
    <tableColumn id="28" xr3:uid="{66A5AE02-6170-4F27-899A-F827AAA648A5}" uniqueName="28" name="Amount Due" queryTableFieldId="40"/>
    <tableColumn id="29" xr3:uid="{F91A3E26-4872-42BC-9530-FAC9F8ED3E3F}" uniqueName="29" name="Charge Type" queryTableFieldId="41" dataDxfId="10"/>
    <tableColumn id="19" xr3:uid="{2FCFC630-0169-4160-B329-0938A8EAB8D3}" uniqueName="19" name="delinquent" queryTableFieldId="19" dataDxfId="9"/>
    <tableColumn id="30" xr3:uid="{6A1E44B4-064A-4AFB-8BC1-31E5FD299927}" uniqueName="30" name="Customer Ref # (BOL)" queryTableFieldId="42" dataDxfId="8"/>
    <tableColumn id="31" xr3:uid="{D498A9BE-F54B-4386-98E9-DF59D2D0D69E}" uniqueName="31" name="Equipment Id" queryTableFieldId="43" dataDxfId="7"/>
    <tableColumn id="32" xr3:uid="{7A302168-3C2F-43AF-ABF8-D28EEDECDBA3}" uniqueName="32" name="WayBill #" queryTableFieldId="44" dataDxfId="6"/>
    <tableColumn id="33" xr3:uid="{93E1817C-691D-43B5-A86D-3E9B990E2C98}" uniqueName="33" name="WayBill Date" queryTableFieldId="45" dataDxfId="5"/>
    <tableColumn id="34" xr3:uid="{0BC5AEAA-1D00-4A7D-AB32-F74627439F40}" uniqueName="34" name="Consignee" queryTableFieldId="46" dataDxfId="4"/>
    <tableColumn id="35" xr3:uid="{66757480-5343-44BE-9FC3-ED040C412BB2}" uniqueName="35" name="Movement Origin City" queryTableFieldId="47" dataDxfId="3"/>
    <tableColumn id="36" xr3:uid="{70466A45-5A59-47A1-A580-CA1031E348AA}" uniqueName="36" name="Movement Destination City" queryTableFieldId="48" dataDxfId="2"/>
    <tableColumn id="37" xr3:uid="{3FBE1B1E-6196-4AB0-8682-1CE7B522D585}" uniqueName="37" name="Movement Destination State" queryTableFieldId="49" dataDxfId="1"/>
    <tableColumn id="1" xr3:uid="{AA9BD448-B715-44F1-94E6-04AAB52DFC36}" uniqueName="1" name="Total Amount Paid to Date" queryTableFieldId="56"/>
    <tableColumn id="2" xr3:uid="{0FFF0C74-FCEA-4F49-A87D-7C38F4C6B162}" uniqueName="2" name="creation_date" queryTableFieldId="5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E558C-96E6-4AB3-BD99-858E3BE0AC95}">
  <dimension ref="A1:X905"/>
  <sheetViews>
    <sheetView showGridLines="0" workbookViewId="0">
      <pane ySplit="5" topLeftCell="A880" activePane="bottomLeft" state="frozen"/>
      <selection pane="bottomLeft" activeCell="G6" sqref="G6:G905"/>
    </sheetView>
  </sheetViews>
  <sheetFormatPr defaultRowHeight="15" x14ac:dyDescent="0.25"/>
  <cols>
    <col min="1" max="1" width="11.28515625" customWidth="1"/>
    <col min="2" max="2" width="13.7109375" customWidth="1"/>
    <col min="3" max="3" width="22.5703125" customWidth="1"/>
    <col min="4" max="4" width="20.85546875" bestFit="1" customWidth="1"/>
    <col min="5" max="5" width="13.28515625" bestFit="1" customWidth="1"/>
    <col min="6" max="6" width="21.42578125" customWidth="1"/>
    <col min="7" max="7" width="13.140625" style="7" customWidth="1"/>
    <col min="8" max="8" width="12" bestFit="1" customWidth="1"/>
    <col min="9" max="9" width="11.42578125" bestFit="1" customWidth="1"/>
    <col min="10" max="10" width="12.140625" bestFit="1" customWidth="1"/>
    <col min="11" max="11" width="12" bestFit="1" customWidth="1"/>
    <col min="12" max="12" width="13.42578125" bestFit="1" customWidth="1"/>
    <col min="13" max="13" width="17.85546875" customWidth="1"/>
    <col min="14" max="14" width="10.85546875" bestFit="1" customWidth="1"/>
    <col min="15" max="15" width="23.5703125" style="7" customWidth="1"/>
    <col min="16" max="16" width="15" customWidth="1"/>
    <col min="17" max="17" width="9.28515625" bestFit="1" customWidth="1"/>
    <col min="18" max="18" width="12.28515625" bestFit="1" customWidth="1"/>
    <col min="19" max="19" width="25" bestFit="1" customWidth="1"/>
    <col min="20" max="20" width="20.5703125" bestFit="1" customWidth="1"/>
    <col min="21" max="21" width="25.7109375" bestFit="1" customWidth="1"/>
    <col min="22" max="22" width="26.85546875" bestFit="1" customWidth="1"/>
    <col min="23" max="23" width="28" customWidth="1"/>
    <col min="24" max="24" width="14.28515625" customWidth="1"/>
    <col min="25" max="25" width="10.7109375" customWidth="1"/>
    <col min="26" max="26" width="15" customWidth="1"/>
    <col min="27" max="27" width="10.5703125" customWidth="1"/>
    <col min="28" max="29" width="14.28515625" customWidth="1"/>
    <col min="30" max="30" width="14" customWidth="1"/>
    <col min="31" max="31" width="14.28515625" customWidth="1"/>
    <col min="32" max="32" width="13.140625" customWidth="1"/>
    <col min="33" max="33" width="13.42578125" customWidth="1"/>
  </cols>
  <sheetData>
    <row r="1" spans="1:23" s="1" customFormat="1" x14ac:dyDescent="0.25">
      <c r="A1" s="1" t="s">
        <v>0</v>
      </c>
      <c r="C1" s="1" t="s">
        <v>1</v>
      </c>
      <c r="P1" s="3"/>
    </row>
    <row r="2" spans="1:23" s="1" customFormat="1" x14ac:dyDescent="0.25">
      <c r="A2" s="1">
        <v>1</v>
      </c>
      <c r="B2" s="1" t="s">
        <v>2</v>
      </c>
      <c r="C2" s="1" t="s">
        <v>3</v>
      </c>
      <c r="P2" s="3"/>
    </row>
    <row r="3" spans="1:23" s="1" customFormat="1" x14ac:dyDescent="0.25">
      <c r="A3" s="1">
        <v>2</v>
      </c>
      <c r="B3" s="1" t="s">
        <v>4</v>
      </c>
      <c r="C3" s="1" t="s">
        <v>5</v>
      </c>
      <c r="P3" s="3"/>
    </row>
    <row r="4" spans="1:23" s="1" customFormat="1" x14ac:dyDescent="0.25">
      <c r="A4" s="1">
        <v>3</v>
      </c>
      <c r="B4" s="1" t="s">
        <v>6</v>
      </c>
      <c r="C4" s="2"/>
      <c r="P4" s="3"/>
    </row>
    <row r="5" spans="1:23" s="11" customFormat="1" x14ac:dyDescent="0.25">
      <c r="A5" s="11" t="s">
        <v>7</v>
      </c>
      <c r="B5" s="11" t="s">
        <v>8</v>
      </c>
      <c r="C5" s="11" t="s">
        <v>9</v>
      </c>
      <c r="D5" s="11" t="s">
        <v>10</v>
      </c>
      <c r="E5" s="12" t="s">
        <v>11</v>
      </c>
      <c r="F5" s="11" t="s">
        <v>12</v>
      </c>
      <c r="G5" s="11" t="s">
        <v>13</v>
      </c>
      <c r="H5" s="11" t="s">
        <v>14</v>
      </c>
      <c r="I5" s="13" t="s">
        <v>15</v>
      </c>
      <c r="J5" s="13" t="s">
        <v>16</v>
      </c>
      <c r="K5" s="12" t="s">
        <v>17</v>
      </c>
      <c r="L5" s="11" t="s">
        <v>18</v>
      </c>
      <c r="M5" s="11" t="s">
        <v>19</v>
      </c>
      <c r="N5" s="11" t="s">
        <v>20</v>
      </c>
      <c r="O5" s="11" t="s">
        <v>21</v>
      </c>
      <c r="P5" s="13" t="s">
        <v>22</v>
      </c>
      <c r="Q5" s="11" t="s">
        <v>23</v>
      </c>
      <c r="R5" s="11" t="s">
        <v>24</v>
      </c>
      <c r="S5" s="11" t="s">
        <v>25</v>
      </c>
      <c r="T5" s="11" t="s">
        <v>26</v>
      </c>
      <c r="U5" s="11" t="s">
        <v>27</v>
      </c>
      <c r="V5" s="11" t="s">
        <v>28</v>
      </c>
      <c r="W5" s="11" t="s">
        <v>29</v>
      </c>
    </row>
    <row r="6" spans="1:23" x14ac:dyDescent="0.25">
      <c r="A6" s="4">
        <v>3</v>
      </c>
      <c r="B6" s="4"/>
      <c r="C6" s="4">
        <v>876264</v>
      </c>
      <c r="D6" s="4">
        <v>6240.24</v>
      </c>
      <c r="E6" s="5">
        <f t="shared" ref="E6:E69" si="0">J6-D6</f>
        <v>-0.23999999999978172</v>
      </c>
      <c r="F6" s="6" t="s">
        <v>30</v>
      </c>
      <c r="G6" s="10">
        <v>328564443</v>
      </c>
      <c r="H6" s="9">
        <v>45180</v>
      </c>
      <c r="I6" s="9">
        <v>45195</v>
      </c>
      <c r="J6" s="8">
        <v>6240</v>
      </c>
      <c r="K6" s="8" t="s">
        <v>31</v>
      </c>
      <c r="L6" s="8" t="s">
        <v>32</v>
      </c>
      <c r="M6" s="8"/>
      <c r="N6" s="8" t="b">
        <v>1</v>
      </c>
      <c r="O6" s="10">
        <v>20875</v>
      </c>
      <c r="P6" s="8" t="s">
        <v>33</v>
      </c>
      <c r="Q6" s="8">
        <v>377014</v>
      </c>
      <c r="R6" s="9">
        <v>45179</v>
      </c>
      <c r="S6" s="8" t="s">
        <v>34</v>
      </c>
      <c r="T6" s="8" t="s">
        <v>35</v>
      </c>
      <c r="U6" s="8" t="s">
        <v>36</v>
      </c>
      <c r="V6" s="8" t="s">
        <v>37</v>
      </c>
      <c r="W6" s="8">
        <v>0</v>
      </c>
    </row>
    <row r="7" spans="1:23" x14ac:dyDescent="0.25">
      <c r="A7" s="4">
        <v>3</v>
      </c>
      <c r="B7" s="4"/>
      <c r="C7" s="4">
        <v>876819</v>
      </c>
      <c r="D7" s="4">
        <v>6911.84</v>
      </c>
      <c r="E7" s="5">
        <f t="shared" si="0"/>
        <v>-0.84000000000014552</v>
      </c>
      <c r="F7" s="6" t="s">
        <v>30</v>
      </c>
      <c r="G7" s="10">
        <v>328750804</v>
      </c>
      <c r="H7" s="9">
        <v>45189</v>
      </c>
      <c r="I7" s="9">
        <v>45204</v>
      </c>
      <c r="J7" s="8">
        <v>6911</v>
      </c>
      <c r="K7" s="8" t="s">
        <v>31</v>
      </c>
      <c r="L7" s="8" t="s">
        <v>32</v>
      </c>
      <c r="M7" s="8"/>
      <c r="N7" s="8" t="b">
        <v>0</v>
      </c>
      <c r="O7" s="10">
        <v>20894</v>
      </c>
      <c r="P7" s="8" t="s">
        <v>38</v>
      </c>
      <c r="Q7" s="8">
        <v>515097</v>
      </c>
      <c r="R7" s="9">
        <v>45189</v>
      </c>
      <c r="S7" s="8" t="s">
        <v>39</v>
      </c>
      <c r="T7" s="8" t="s">
        <v>40</v>
      </c>
      <c r="U7" s="8" t="s">
        <v>41</v>
      </c>
      <c r="V7" s="8" t="s">
        <v>42</v>
      </c>
      <c r="W7" s="8">
        <v>0</v>
      </c>
    </row>
    <row r="8" spans="1:23" x14ac:dyDescent="0.25">
      <c r="A8" s="4">
        <v>3</v>
      </c>
      <c r="B8" s="4"/>
      <c r="C8" s="4">
        <v>876827</v>
      </c>
      <c r="D8" s="4">
        <v>5085.3599999999997</v>
      </c>
      <c r="E8" s="5">
        <f t="shared" si="0"/>
        <v>-0.35999999999967258</v>
      </c>
      <c r="F8" s="6" t="s">
        <v>30</v>
      </c>
      <c r="G8" s="10">
        <v>328751479</v>
      </c>
      <c r="H8" s="9">
        <v>45189</v>
      </c>
      <c r="I8" s="9">
        <v>45204</v>
      </c>
      <c r="J8" s="8">
        <v>5085</v>
      </c>
      <c r="K8" s="8" t="s">
        <v>31</v>
      </c>
      <c r="L8" s="8" t="s">
        <v>32</v>
      </c>
      <c r="M8" s="8"/>
      <c r="N8" s="8" t="b">
        <v>0</v>
      </c>
      <c r="O8" s="10">
        <v>699214</v>
      </c>
      <c r="P8" s="8" t="s">
        <v>43</v>
      </c>
      <c r="Q8" s="8">
        <v>515340</v>
      </c>
      <c r="R8" s="9">
        <v>45189</v>
      </c>
      <c r="S8" s="8" t="s">
        <v>34</v>
      </c>
      <c r="T8" s="8" t="s">
        <v>44</v>
      </c>
      <c r="U8" s="8" t="s">
        <v>45</v>
      </c>
      <c r="V8" s="8" t="s">
        <v>46</v>
      </c>
      <c r="W8" s="8">
        <v>0</v>
      </c>
    </row>
    <row r="9" spans="1:23" x14ac:dyDescent="0.25">
      <c r="A9" s="4">
        <v>3</v>
      </c>
      <c r="B9" s="4"/>
      <c r="C9" s="4">
        <v>876926</v>
      </c>
      <c r="D9" s="4">
        <v>43349.32</v>
      </c>
      <c r="E9" s="5">
        <f t="shared" si="0"/>
        <v>1.680000000000291</v>
      </c>
      <c r="F9" s="6" t="s">
        <v>30</v>
      </c>
      <c r="G9" s="10">
        <v>328768174</v>
      </c>
      <c r="H9" s="9">
        <v>45190</v>
      </c>
      <c r="I9" s="9">
        <v>45205</v>
      </c>
      <c r="J9" s="8">
        <v>43351</v>
      </c>
      <c r="K9" s="8" t="s">
        <v>31</v>
      </c>
      <c r="L9" s="8" t="s">
        <v>32</v>
      </c>
      <c r="M9" s="8"/>
      <c r="N9" s="8" t="b">
        <v>0</v>
      </c>
      <c r="O9" s="10"/>
      <c r="P9" s="8" t="s">
        <v>47</v>
      </c>
      <c r="Q9" s="8">
        <v>526759</v>
      </c>
      <c r="R9" s="9">
        <v>45190</v>
      </c>
      <c r="S9" s="8" t="s">
        <v>48</v>
      </c>
      <c r="T9" s="8" t="s">
        <v>49</v>
      </c>
      <c r="U9" s="8" t="s">
        <v>50</v>
      </c>
      <c r="V9" s="8" t="s">
        <v>37</v>
      </c>
      <c r="W9" s="8">
        <v>0</v>
      </c>
    </row>
    <row r="10" spans="1:23" x14ac:dyDescent="0.25">
      <c r="A10" s="4">
        <v>3</v>
      </c>
      <c r="B10" s="4"/>
      <c r="C10" s="4">
        <v>876927</v>
      </c>
      <c r="D10" s="4">
        <v>6911.84</v>
      </c>
      <c r="E10" s="5">
        <f t="shared" si="0"/>
        <v>-0.84000000000014552</v>
      </c>
      <c r="F10" s="6" t="s">
        <v>30</v>
      </c>
      <c r="G10" s="10">
        <v>328776144</v>
      </c>
      <c r="H10" s="9">
        <v>45190</v>
      </c>
      <c r="I10" s="9">
        <v>45205</v>
      </c>
      <c r="J10" s="8">
        <v>6911</v>
      </c>
      <c r="K10" s="8" t="s">
        <v>31</v>
      </c>
      <c r="L10" s="8" t="s">
        <v>32</v>
      </c>
      <c r="M10" s="8"/>
      <c r="N10" s="8" t="b">
        <v>0</v>
      </c>
      <c r="O10" s="10">
        <v>20895</v>
      </c>
      <c r="P10" s="8" t="s">
        <v>51</v>
      </c>
      <c r="Q10" s="8">
        <v>535013</v>
      </c>
      <c r="R10" s="9">
        <v>45190</v>
      </c>
      <c r="S10" s="8" t="s">
        <v>39</v>
      </c>
      <c r="T10" s="8" t="s">
        <v>40</v>
      </c>
      <c r="U10" s="8" t="s">
        <v>41</v>
      </c>
      <c r="V10" s="8" t="s">
        <v>42</v>
      </c>
      <c r="W10" s="8">
        <v>0</v>
      </c>
    </row>
    <row r="11" spans="1:23" x14ac:dyDescent="0.25">
      <c r="A11" s="4">
        <v>3</v>
      </c>
      <c r="B11" s="4"/>
      <c r="C11" s="4">
        <v>876925</v>
      </c>
      <c r="D11" s="4">
        <v>6272.28</v>
      </c>
      <c r="E11" s="5">
        <f t="shared" si="0"/>
        <v>-0.27999999999974534</v>
      </c>
      <c r="F11" s="6" t="s">
        <v>30</v>
      </c>
      <c r="G11" s="10">
        <v>328776209</v>
      </c>
      <c r="H11" s="9">
        <v>45190</v>
      </c>
      <c r="I11" s="9">
        <v>45205</v>
      </c>
      <c r="J11" s="8">
        <v>6272</v>
      </c>
      <c r="K11" s="8" t="s">
        <v>31</v>
      </c>
      <c r="L11" s="8" t="s">
        <v>32</v>
      </c>
      <c r="M11" s="8"/>
      <c r="N11" s="8" t="b">
        <v>0</v>
      </c>
      <c r="O11" s="10">
        <v>700174</v>
      </c>
      <c r="P11" s="8" t="s">
        <v>52</v>
      </c>
      <c r="Q11" s="8">
        <v>535067</v>
      </c>
      <c r="R11" s="9">
        <v>45190</v>
      </c>
      <c r="S11" s="8" t="s">
        <v>48</v>
      </c>
      <c r="T11" s="8" t="s">
        <v>40</v>
      </c>
      <c r="U11" s="8" t="s">
        <v>50</v>
      </c>
      <c r="V11" s="8" t="s">
        <v>37</v>
      </c>
      <c r="W11" s="8">
        <v>0</v>
      </c>
    </row>
    <row r="12" spans="1:23" x14ac:dyDescent="0.25">
      <c r="A12" s="4">
        <v>3</v>
      </c>
      <c r="B12" s="4"/>
      <c r="C12" s="4">
        <v>876928</v>
      </c>
      <c r="D12" s="4">
        <v>6911.84</v>
      </c>
      <c r="E12" s="5">
        <f t="shared" si="0"/>
        <v>-0.84000000000014552</v>
      </c>
      <c r="F12" s="6" t="s">
        <v>30</v>
      </c>
      <c r="G12" s="10">
        <v>328776243</v>
      </c>
      <c r="H12" s="9">
        <v>45190</v>
      </c>
      <c r="I12" s="9">
        <v>45205</v>
      </c>
      <c r="J12" s="8">
        <v>6911</v>
      </c>
      <c r="K12" s="8" t="s">
        <v>31</v>
      </c>
      <c r="L12" s="8" t="s">
        <v>32</v>
      </c>
      <c r="M12" s="8"/>
      <c r="N12" s="8" t="b">
        <v>0</v>
      </c>
      <c r="O12" s="10">
        <v>20896</v>
      </c>
      <c r="P12" s="8" t="s">
        <v>53</v>
      </c>
      <c r="Q12" s="8">
        <v>535018</v>
      </c>
      <c r="R12" s="9">
        <v>45190</v>
      </c>
      <c r="S12" s="8" t="s">
        <v>39</v>
      </c>
      <c r="T12" s="8" t="s">
        <v>40</v>
      </c>
      <c r="U12" s="8" t="s">
        <v>41</v>
      </c>
      <c r="V12" s="8" t="s">
        <v>42</v>
      </c>
      <c r="W12" s="8">
        <v>0</v>
      </c>
    </row>
    <row r="13" spans="1:23" x14ac:dyDescent="0.25">
      <c r="A13" s="4">
        <v>3</v>
      </c>
      <c r="B13" s="4"/>
      <c r="C13" s="4">
        <v>877211</v>
      </c>
      <c r="D13" s="4">
        <v>5085.3599999999997</v>
      </c>
      <c r="E13" s="5">
        <f t="shared" si="0"/>
        <v>-0.35999999999967258</v>
      </c>
      <c r="F13" s="6" t="s">
        <v>30</v>
      </c>
      <c r="G13" s="10">
        <v>328789388</v>
      </c>
      <c r="H13" s="9">
        <v>45191</v>
      </c>
      <c r="I13" s="9">
        <v>45206</v>
      </c>
      <c r="J13" s="8">
        <v>5085</v>
      </c>
      <c r="K13" s="8" t="s">
        <v>31</v>
      </c>
      <c r="L13" s="8" t="s">
        <v>32</v>
      </c>
      <c r="M13" s="8"/>
      <c r="N13" s="8" t="b">
        <v>0</v>
      </c>
      <c r="O13" s="10">
        <v>699218</v>
      </c>
      <c r="P13" s="8" t="s">
        <v>54</v>
      </c>
      <c r="Q13" s="8">
        <v>544535</v>
      </c>
      <c r="R13" s="9">
        <v>45191</v>
      </c>
      <c r="S13" s="8" t="s">
        <v>34</v>
      </c>
      <c r="T13" s="8" t="s">
        <v>44</v>
      </c>
      <c r="U13" s="8" t="s">
        <v>45</v>
      </c>
      <c r="V13" s="8" t="s">
        <v>46</v>
      </c>
      <c r="W13" s="8">
        <v>0</v>
      </c>
    </row>
    <row r="14" spans="1:23" x14ac:dyDescent="0.25">
      <c r="A14" s="4">
        <v>3</v>
      </c>
      <c r="B14" s="4"/>
      <c r="C14" s="4">
        <v>877216</v>
      </c>
      <c r="D14" s="4">
        <v>6272.28</v>
      </c>
      <c r="E14" s="5">
        <f t="shared" si="0"/>
        <v>-0.27999999999974534</v>
      </c>
      <c r="F14" s="6" t="s">
        <v>30</v>
      </c>
      <c r="G14" s="10">
        <v>328792783</v>
      </c>
      <c r="H14" s="9">
        <v>45191</v>
      </c>
      <c r="I14" s="9">
        <v>45206</v>
      </c>
      <c r="J14" s="8">
        <v>6272</v>
      </c>
      <c r="K14" s="8" t="s">
        <v>31</v>
      </c>
      <c r="L14" s="8" t="s">
        <v>32</v>
      </c>
      <c r="M14" s="8"/>
      <c r="N14" s="8" t="b">
        <v>0</v>
      </c>
      <c r="O14" s="10">
        <v>700175</v>
      </c>
      <c r="P14" s="8" t="s">
        <v>55</v>
      </c>
      <c r="Q14" s="8">
        <v>548514</v>
      </c>
      <c r="R14" s="9">
        <v>45191</v>
      </c>
      <c r="S14" s="8" t="s">
        <v>48</v>
      </c>
      <c r="T14" s="8" t="s">
        <v>40</v>
      </c>
      <c r="U14" s="8" t="s">
        <v>50</v>
      </c>
      <c r="V14" s="8" t="s">
        <v>37</v>
      </c>
      <c r="W14" s="8">
        <v>0</v>
      </c>
    </row>
    <row r="15" spans="1:23" x14ac:dyDescent="0.25">
      <c r="A15" s="4">
        <v>3</v>
      </c>
      <c r="B15" s="4"/>
      <c r="C15" s="4">
        <v>877215</v>
      </c>
      <c r="D15" s="4">
        <v>5106.6000000000004</v>
      </c>
      <c r="E15" s="5">
        <f t="shared" si="0"/>
        <v>0.3999999999996362</v>
      </c>
      <c r="F15" s="6" t="s">
        <v>30</v>
      </c>
      <c r="G15" s="10">
        <v>328792797</v>
      </c>
      <c r="H15" s="9">
        <v>45191</v>
      </c>
      <c r="I15" s="9">
        <v>45206</v>
      </c>
      <c r="J15" s="8">
        <v>5107</v>
      </c>
      <c r="K15" s="8" t="s">
        <v>31</v>
      </c>
      <c r="L15" s="8" t="s">
        <v>32</v>
      </c>
      <c r="M15" s="8"/>
      <c r="N15" s="8" t="b">
        <v>0</v>
      </c>
      <c r="O15" s="10">
        <v>700677</v>
      </c>
      <c r="P15" s="8" t="s">
        <v>56</v>
      </c>
      <c r="Q15" s="8">
        <v>548553</v>
      </c>
      <c r="R15" s="9">
        <v>45191</v>
      </c>
      <c r="S15" s="8" t="s">
        <v>48</v>
      </c>
      <c r="T15" s="8" t="s">
        <v>40</v>
      </c>
      <c r="U15" s="8" t="s">
        <v>45</v>
      </c>
      <c r="V15" s="8" t="s">
        <v>46</v>
      </c>
      <c r="W15" s="8">
        <v>0</v>
      </c>
    </row>
    <row r="16" spans="1:23" x14ac:dyDescent="0.25">
      <c r="A16" s="4">
        <v>3</v>
      </c>
      <c r="B16" s="4"/>
      <c r="C16" s="4">
        <v>877213</v>
      </c>
      <c r="D16" s="4">
        <v>5105.16</v>
      </c>
      <c r="E16" s="5">
        <f t="shared" si="0"/>
        <v>-0.15999999999985448</v>
      </c>
      <c r="F16" s="6" t="s">
        <v>30</v>
      </c>
      <c r="G16" s="10">
        <v>328792851</v>
      </c>
      <c r="H16" s="9">
        <v>45191</v>
      </c>
      <c r="I16" s="9">
        <v>45206</v>
      </c>
      <c r="J16" s="8">
        <v>5105</v>
      </c>
      <c r="K16" s="8" t="s">
        <v>31</v>
      </c>
      <c r="L16" s="8" t="s">
        <v>32</v>
      </c>
      <c r="M16" s="8"/>
      <c r="N16" s="8" t="b">
        <v>0</v>
      </c>
      <c r="O16" s="10">
        <v>700683</v>
      </c>
      <c r="P16" s="8" t="s">
        <v>57</v>
      </c>
      <c r="Q16" s="8">
        <v>548561</v>
      </c>
      <c r="R16" s="9">
        <v>45191</v>
      </c>
      <c r="S16" s="8" t="s">
        <v>34</v>
      </c>
      <c r="T16" s="8" t="s">
        <v>40</v>
      </c>
      <c r="U16" s="8" t="s">
        <v>58</v>
      </c>
      <c r="V16" s="8" t="s">
        <v>46</v>
      </c>
      <c r="W16" s="8">
        <v>0</v>
      </c>
    </row>
    <row r="17" spans="1:23" x14ac:dyDescent="0.25">
      <c r="A17" s="4">
        <v>3</v>
      </c>
      <c r="B17" s="4"/>
      <c r="C17" s="4">
        <v>877212</v>
      </c>
      <c r="D17" s="4">
        <v>5105.16</v>
      </c>
      <c r="E17" s="5">
        <f t="shared" si="0"/>
        <v>-0.15999999999985448</v>
      </c>
      <c r="F17" s="6" t="s">
        <v>30</v>
      </c>
      <c r="G17" s="10">
        <v>328795302</v>
      </c>
      <c r="H17" s="9">
        <v>45191</v>
      </c>
      <c r="I17" s="9">
        <v>45206</v>
      </c>
      <c r="J17" s="8">
        <v>5105</v>
      </c>
      <c r="K17" s="8" t="s">
        <v>31</v>
      </c>
      <c r="L17" s="8" t="s">
        <v>32</v>
      </c>
      <c r="M17" s="8"/>
      <c r="N17" s="8" t="b">
        <v>0</v>
      </c>
      <c r="O17" s="10">
        <v>700684</v>
      </c>
      <c r="P17" s="8" t="s">
        <v>59</v>
      </c>
      <c r="Q17" s="8">
        <v>550993</v>
      </c>
      <c r="R17" s="9">
        <v>45191</v>
      </c>
      <c r="S17" s="8" t="s">
        <v>34</v>
      </c>
      <c r="T17" s="8" t="s">
        <v>40</v>
      </c>
      <c r="U17" s="8" t="s">
        <v>58</v>
      </c>
      <c r="V17" s="8" t="s">
        <v>46</v>
      </c>
      <c r="W17" s="8">
        <v>0</v>
      </c>
    </row>
    <row r="18" spans="1:23" x14ac:dyDescent="0.25">
      <c r="A18" s="4">
        <v>3</v>
      </c>
      <c r="B18" s="4"/>
      <c r="C18" s="4">
        <v>877218</v>
      </c>
      <c r="D18" s="4">
        <v>5105.16</v>
      </c>
      <c r="E18" s="5">
        <f t="shared" si="0"/>
        <v>-0.15999999999985448</v>
      </c>
      <c r="F18" s="6" t="s">
        <v>30</v>
      </c>
      <c r="G18" s="10">
        <v>328795331</v>
      </c>
      <c r="H18" s="9">
        <v>45191</v>
      </c>
      <c r="I18" s="9">
        <v>45206</v>
      </c>
      <c r="J18" s="8">
        <v>5105</v>
      </c>
      <c r="K18" s="8" t="s">
        <v>31</v>
      </c>
      <c r="L18" s="8" t="s">
        <v>32</v>
      </c>
      <c r="M18" s="8"/>
      <c r="N18" s="8" t="b">
        <v>0</v>
      </c>
      <c r="O18" s="10">
        <v>700685</v>
      </c>
      <c r="P18" s="8" t="s">
        <v>60</v>
      </c>
      <c r="Q18" s="8">
        <v>551006</v>
      </c>
      <c r="R18" s="9">
        <v>45191</v>
      </c>
      <c r="S18" s="8" t="s">
        <v>34</v>
      </c>
      <c r="T18" s="8" t="s">
        <v>40</v>
      </c>
      <c r="U18" s="8" t="s">
        <v>58</v>
      </c>
      <c r="V18" s="8" t="s">
        <v>46</v>
      </c>
      <c r="W18" s="8">
        <v>0</v>
      </c>
    </row>
    <row r="19" spans="1:23" x14ac:dyDescent="0.25">
      <c r="A19" s="4">
        <v>3</v>
      </c>
      <c r="B19" s="4"/>
      <c r="C19" s="4">
        <v>877214</v>
      </c>
      <c r="D19" s="4">
        <v>5105.16</v>
      </c>
      <c r="E19" s="5">
        <f t="shared" si="0"/>
        <v>-0.15999999999985448</v>
      </c>
      <c r="F19" s="6" t="s">
        <v>30</v>
      </c>
      <c r="G19" s="10">
        <v>328798492</v>
      </c>
      <c r="H19" s="9">
        <v>45191</v>
      </c>
      <c r="I19" s="9">
        <v>45206</v>
      </c>
      <c r="J19" s="8">
        <v>5105</v>
      </c>
      <c r="K19" s="8" t="s">
        <v>31</v>
      </c>
      <c r="L19" s="8" t="s">
        <v>32</v>
      </c>
      <c r="M19" s="8"/>
      <c r="N19" s="8" t="b">
        <v>0</v>
      </c>
      <c r="O19" s="10">
        <v>700686</v>
      </c>
      <c r="P19" s="8" t="s">
        <v>61</v>
      </c>
      <c r="Q19" s="8">
        <v>554292</v>
      </c>
      <c r="R19" s="9">
        <v>45191</v>
      </c>
      <c r="S19" s="8" t="s">
        <v>34</v>
      </c>
      <c r="T19" s="8" t="s">
        <v>40</v>
      </c>
      <c r="U19" s="8" t="s">
        <v>58</v>
      </c>
      <c r="V19" s="8" t="s">
        <v>46</v>
      </c>
      <c r="W19" s="8">
        <v>0</v>
      </c>
    </row>
    <row r="20" spans="1:23" x14ac:dyDescent="0.25">
      <c r="A20" s="4">
        <v>3</v>
      </c>
      <c r="B20" s="4"/>
      <c r="C20" s="4">
        <v>878056</v>
      </c>
      <c r="D20" s="4">
        <v>5085.3599999999997</v>
      </c>
      <c r="E20" s="5">
        <f t="shared" si="0"/>
        <v>-0.35999999999967258</v>
      </c>
      <c r="F20" s="6" t="s">
        <v>30</v>
      </c>
      <c r="G20" s="10">
        <v>328820988</v>
      </c>
      <c r="H20" s="9">
        <v>45194</v>
      </c>
      <c r="I20" s="9">
        <v>45209</v>
      </c>
      <c r="J20" s="8">
        <v>5085</v>
      </c>
      <c r="K20" s="8" t="s">
        <v>31</v>
      </c>
      <c r="L20" s="8" t="s">
        <v>32</v>
      </c>
      <c r="M20" s="8"/>
      <c r="N20" s="8" t="b">
        <v>0</v>
      </c>
      <c r="O20" s="10">
        <v>699216</v>
      </c>
      <c r="P20" s="8" t="s">
        <v>62</v>
      </c>
      <c r="Q20" s="8">
        <v>564313</v>
      </c>
      <c r="R20" s="9">
        <v>45193</v>
      </c>
      <c r="S20" s="8" t="s">
        <v>34</v>
      </c>
      <c r="T20" s="8" t="s">
        <v>44</v>
      </c>
      <c r="U20" s="8" t="s">
        <v>45</v>
      </c>
      <c r="V20" s="8" t="s">
        <v>46</v>
      </c>
      <c r="W20" s="8">
        <v>0</v>
      </c>
    </row>
    <row r="21" spans="1:23" x14ac:dyDescent="0.25">
      <c r="A21" s="4">
        <v>3</v>
      </c>
      <c r="B21" s="4"/>
      <c r="C21" s="4">
        <v>878051</v>
      </c>
      <c r="D21" s="4">
        <v>5106.6000000000004</v>
      </c>
      <c r="E21" s="5">
        <f t="shared" si="0"/>
        <v>0.3999999999996362</v>
      </c>
      <c r="F21" s="6" t="s">
        <v>30</v>
      </c>
      <c r="G21" s="10">
        <v>328821321</v>
      </c>
      <c r="H21" s="9">
        <v>45194</v>
      </c>
      <c r="I21" s="9">
        <v>45209</v>
      </c>
      <c r="J21" s="8">
        <v>5107</v>
      </c>
      <c r="K21" s="8" t="s">
        <v>31</v>
      </c>
      <c r="L21" s="8" t="s">
        <v>32</v>
      </c>
      <c r="M21" s="8"/>
      <c r="N21" s="8" t="b">
        <v>0</v>
      </c>
      <c r="O21" s="10">
        <v>700682</v>
      </c>
      <c r="P21" s="8" t="s">
        <v>63</v>
      </c>
      <c r="Q21" s="8">
        <v>564383</v>
      </c>
      <c r="R21" s="9">
        <v>45193</v>
      </c>
      <c r="S21" s="8" t="s">
        <v>48</v>
      </c>
      <c r="T21" s="8" t="s">
        <v>40</v>
      </c>
      <c r="U21" s="8" t="s">
        <v>45</v>
      </c>
      <c r="V21" s="8" t="s">
        <v>46</v>
      </c>
      <c r="W21" s="8">
        <v>0</v>
      </c>
    </row>
    <row r="22" spans="1:23" x14ac:dyDescent="0.25">
      <c r="A22" s="4">
        <v>3</v>
      </c>
      <c r="B22" s="4"/>
      <c r="C22" s="4">
        <v>878050</v>
      </c>
      <c r="D22" s="4">
        <v>5085.3599999999997</v>
      </c>
      <c r="E22" s="5">
        <f t="shared" si="0"/>
        <v>-0.35999999999967258</v>
      </c>
      <c r="F22" s="6" t="s">
        <v>30</v>
      </c>
      <c r="G22" s="10">
        <v>328821357</v>
      </c>
      <c r="H22" s="9">
        <v>45194</v>
      </c>
      <c r="I22" s="9">
        <v>45209</v>
      </c>
      <c r="J22" s="8">
        <v>5085</v>
      </c>
      <c r="K22" s="8" t="s">
        <v>31</v>
      </c>
      <c r="L22" s="8" t="s">
        <v>32</v>
      </c>
      <c r="M22" s="8"/>
      <c r="N22" s="8" t="b">
        <v>0</v>
      </c>
      <c r="O22" s="10">
        <v>699217</v>
      </c>
      <c r="P22" s="8" t="s">
        <v>64</v>
      </c>
      <c r="Q22" s="8">
        <v>564356</v>
      </c>
      <c r="R22" s="9">
        <v>45193</v>
      </c>
      <c r="S22" s="8" t="s">
        <v>34</v>
      </c>
      <c r="T22" s="8" t="s">
        <v>44</v>
      </c>
      <c r="U22" s="8" t="s">
        <v>45</v>
      </c>
      <c r="V22" s="8" t="s">
        <v>46</v>
      </c>
      <c r="W22" s="8">
        <v>0</v>
      </c>
    </row>
    <row r="23" spans="1:23" x14ac:dyDescent="0.25">
      <c r="A23" s="4">
        <v>3</v>
      </c>
      <c r="B23" s="4"/>
      <c r="C23" s="4">
        <v>878052</v>
      </c>
      <c r="D23" s="4">
        <v>5106.6000000000004</v>
      </c>
      <c r="E23" s="5">
        <f t="shared" si="0"/>
        <v>0.3999999999996362</v>
      </c>
      <c r="F23" s="6" t="s">
        <v>30</v>
      </c>
      <c r="G23" s="10">
        <v>328821368</v>
      </c>
      <c r="H23" s="9">
        <v>45194</v>
      </c>
      <c r="I23" s="9">
        <v>45209</v>
      </c>
      <c r="J23" s="8">
        <v>5107</v>
      </c>
      <c r="K23" s="8" t="s">
        <v>31</v>
      </c>
      <c r="L23" s="8" t="s">
        <v>32</v>
      </c>
      <c r="M23" s="8"/>
      <c r="N23" s="8" t="b">
        <v>0</v>
      </c>
      <c r="O23" s="10">
        <v>700679</v>
      </c>
      <c r="P23" s="8" t="s">
        <v>65</v>
      </c>
      <c r="Q23" s="8">
        <v>564378</v>
      </c>
      <c r="R23" s="9">
        <v>45193</v>
      </c>
      <c r="S23" s="8" t="s">
        <v>48</v>
      </c>
      <c r="T23" s="8" t="s">
        <v>40</v>
      </c>
      <c r="U23" s="8" t="s">
        <v>45</v>
      </c>
      <c r="V23" s="8" t="s">
        <v>46</v>
      </c>
      <c r="W23" s="8">
        <v>0</v>
      </c>
    </row>
    <row r="24" spans="1:23" x14ac:dyDescent="0.25">
      <c r="A24" s="4">
        <v>3</v>
      </c>
      <c r="B24" s="4"/>
      <c r="C24" s="4">
        <v>878053</v>
      </c>
      <c r="D24" s="4">
        <v>5106.6000000000004</v>
      </c>
      <c r="E24" s="5">
        <f t="shared" si="0"/>
        <v>0.3999999999996362</v>
      </c>
      <c r="F24" s="6" t="s">
        <v>30</v>
      </c>
      <c r="G24" s="10">
        <v>328821380</v>
      </c>
      <c r="H24" s="9">
        <v>45194</v>
      </c>
      <c r="I24" s="9">
        <v>45209</v>
      </c>
      <c r="J24" s="8">
        <v>5107</v>
      </c>
      <c r="K24" s="8" t="s">
        <v>31</v>
      </c>
      <c r="L24" s="8" t="s">
        <v>32</v>
      </c>
      <c r="M24" s="8"/>
      <c r="N24" s="8" t="b">
        <v>0</v>
      </c>
      <c r="O24" s="10">
        <v>700680</v>
      </c>
      <c r="P24" s="8" t="s">
        <v>66</v>
      </c>
      <c r="Q24" s="8">
        <v>564379</v>
      </c>
      <c r="R24" s="9">
        <v>45193</v>
      </c>
      <c r="S24" s="8" t="s">
        <v>48</v>
      </c>
      <c r="T24" s="8" t="s">
        <v>40</v>
      </c>
      <c r="U24" s="8" t="s">
        <v>45</v>
      </c>
      <c r="V24" s="8" t="s">
        <v>46</v>
      </c>
      <c r="W24" s="8">
        <v>0</v>
      </c>
    </row>
    <row r="25" spans="1:23" x14ac:dyDescent="0.25">
      <c r="A25" s="4">
        <v>3</v>
      </c>
      <c r="B25" s="4"/>
      <c r="C25" s="4">
        <v>878054</v>
      </c>
      <c r="D25" s="4">
        <v>5106.6000000000004</v>
      </c>
      <c r="E25" s="5">
        <f t="shared" si="0"/>
        <v>0.3999999999996362</v>
      </c>
      <c r="F25" s="6" t="s">
        <v>30</v>
      </c>
      <c r="G25" s="10">
        <v>328821381</v>
      </c>
      <c r="H25" s="9">
        <v>45194</v>
      </c>
      <c r="I25" s="9">
        <v>45209</v>
      </c>
      <c r="J25" s="8">
        <v>5107</v>
      </c>
      <c r="K25" s="8" t="s">
        <v>31</v>
      </c>
      <c r="L25" s="8" t="s">
        <v>32</v>
      </c>
      <c r="M25" s="8"/>
      <c r="N25" s="8" t="b">
        <v>0</v>
      </c>
      <c r="O25" s="10">
        <v>700681</v>
      </c>
      <c r="P25" s="8" t="s">
        <v>67</v>
      </c>
      <c r="Q25" s="8">
        <v>564380</v>
      </c>
      <c r="R25" s="9">
        <v>45193</v>
      </c>
      <c r="S25" s="8" t="s">
        <v>48</v>
      </c>
      <c r="T25" s="8" t="s">
        <v>40</v>
      </c>
      <c r="U25" s="8" t="s">
        <v>45</v>
      </c>
      <c r="V25" s="8" t="s">
        <v>46</v>
      </c>
      <c r="W25" s="8">
        <v>0</v>
      </c>
    </row>
    <row r="26" spans="1:23" x14ac:dyDescent="0.25">
      <c r="A26" s="4">
        <v>3</v>
      </c>
      <c r="B26" s="4"/>
      <c r="C26" s="4">
        <v>878055</v>
      </c>
      <c r="D26" s="4">
        <v>5106.6000000000004</v>
      </c>
      <c r="E26" s="5">
        <f t="shared" si="0"/>
        <v>0.3999999999996362</v>
      </c>
      <c r="F26" s="6" t="s">
        <v>30</v>
      </c>
      <c r="G26" s="10">
        <v>328821421</v>
      </c>
      <c r="H26" s="9">
        <v>45194</v>
      </c>
      <c r="I26" s="9">
        <v>45209</v>
      </c>
      <c r="J26" s="8">
        <v>5107</v>
      </c>
      <c r="K26" s="8" t="s">
        <v>31</v>
      </c>
      <c r="L26" s="8" t="s">
        <v>32</v>
      </c>
      <c r="M26" s="8"/>
      <c r="N26" s="8" t="b">
        <v>0</v>
      </c>
      <c r="O26" s="10">
        <v>700678</v>
      </c>
      <c r="P26" s="8" t="s">
        <v>68</v>
      </c>
      <c r="Q26" s="8">
        <v>564362</v>
      </c>
      <c r="R26" s="9">
        <v>45193</v>
      </c>
      <c r="S26" s="8" t="s">
        <v>48</v>
      </c>
      <c r="T26" s="8" t="s">
        <v>40</v>
      </c>
      <c r="U26" s="8" t="s">
        <v>45</v>
      </c>
      <c r="V26" s="8" t="s">
        <v>46</v>
      </c>
      <c r="W26" s="8">
        <v>0</v>
      </c>
    </row>
    <row r="27" spans="1:23" x14ac:dyDescent="0.25">
      <c r="A27" s="4">
        <v>3</v>
      </c>
      <c r="B27" s="4"/>
      <c r="C27" s="4">
        <v>878082</v>
      </c>
      <c r="D27" s="4">
        <v>63507.199999999997</v>
      </c>
      <c r="E27" s="5">
        <f t="shared" si="0"/>
        <v>2.8000000000029104</v>
      </c>
      <c r="F27" s="6" t="s">
        <v>30</v>
      </c>
      <c r="G27" s="10">
        <v>328829821</v>
      </c>
      <c r="H27" s="9">
        <v>45194</v>
      </c>
      <c r="I27" s="9">
        <v>45209</v>
      </c>
      <c r="J27" s="8">
        <v>63510</v>
      </c>
      <c r="K27" s="8" t="s">
        <v>31</v>
      </c>
      <c r="L27" s="8" t="s">
        <v>32</v>
      </c>
      <c r="M27" s="8"/>
      <c r="N27" s="8" t="b">
        <v>0</v>
      </c>
      <c r="O27" s="10"/>
      <c r="P27" s="8" t="s">
        <v>69</v>
      </c>
      <c r="Q27" s="8">
        <v>570211</v>
      </c>
      <c r="R27" s="9">
        <v>45194</v>
      </c>
      <c r="S27" s="8" t="s">
        <v>70</v>
      </c>
      <c r="T27" s="8" t="s">
        <v>49</v>
      </c>
      <c r="U27" s="8" t="s">
        <v>71</v>
      </c>
      <c r="V27" s="8" t="s">
        <v>72</v>
      </c>
      <c r="W27" s="8">
        <v>0</v>
      </c>
    </row>
    <row r="28" spans="1:23" x14ac:dyDescent="0.25">
      <c r="A28" s="4">
        <v>3</v>
      </c>
      <c r="B28" s="4"/>
      <c r="C28" s="4">
        <v>878081</v>
      </c>
      <c r="D28" s="4">
        <v>18578.28</v>
      </c>
      <c r="E28" s="5">
        <f t="shared" si="0"/>
        <v>0.72000000000116415</v>
      </c>
      <c r="F28" s="6" t="s">
        <v>30</v>
      </c>
      <c r="G28" s="10">
        <v>328829830</v>
      </c>
      <c r="H28" s="9">
        <v>45194</v>
      </c>
      <c r="I28" s="9">
        <v>45209</v>
      </c>
      <c r="J28" s="8">
        <v>18579</v>
      </c>
      <c r="K28" s="8" t="s">
        <v>31</v>
      </c>
      <c r="L28" s="8" t="s">
        <v>32</v>
      </c>
      <c r="M28" s="8"/>
      <c r="N28" s="8" t="b">
        <v>0</v>
      </c>
      <c r="O28" s="10"/>
      <c r="P28" s="8" t="s">
        <v>73</v>
      </c>
      <c r="Q28" s="8">
        <v>570125</v>
      </c>
      <c r="R28" s="9">
        <v>45194</v>
      </c>
      <c r="S28" s="8" t="s">
        <v>48</v>
      </c>
      <c r="T28" s="8" t="s">
        <v>49</v>
      </c>
      <c r="U28" s="8" t="s">
        <v>50</v>
      </c>
      <c r="V28" s="8" t="s">
        <v>37</v>
      </c>
      <c r="W28" s="8">
        <v>0</v>
      </c>
    </row>
    <row r="29" spans="1:23" x14ac:dyDescent="0.25">
      <c r="A29" s="4">
        <v>3</v>
      </c>
      <c r="B29" s="4"/>
      <c r="C29" s="4">
        <v>878084</v>
      </c>
      <c r="D29" s="4">
        <v>21588</v>
      </c>
      <c r="E29" s="5">
        <f t="shared" si="0"/>
        <v>2</v>
      </c>
      <c r="F29" s="6" t="s">
        <v>30</v>
      </c>
      <c r="G29" s="10">
        <v>328849218</v>
      </c>
      <c r="H29" s="9">
        <v>45195</v>
      </c>
      <c r="I29" s="9">
        <v>45210</v>
      </c>
      <c r="J29" s="8">
        <v>21590</v>
      </c>
      <c r="K29" s="8" t="s">
        <v>31</v>
      </c>
      <c r="L29" s="8" t="s">
        <v>32</v>
      </c>
      <c r="M29" s="8"/>
      <c r="N29" s="8" t="b">
        <v>0</v>
      </c>
      <c r="O29" s="10"/>
      <c r="P29" s="8" t="s">
        <v>74</v>
      </c>
      <c r="Q29" s="8">
        <v>585154</v>
      </c>
      <c r="R29" s="9">
        <v>45195</v>
      </c>
      <c r="S29" s="8" t="s">
        <v>34</v>
      </c>
      <c r="T29" s="8" t="s">
        <v>49</v>
      </c>
      <c r="U29" s="8" t="s">
        <v>75</v>
      </c>
      <c r="V29" s="8" t="s">
        <v>46</v>
      </c>
      <c r="W29" s="8">
        <v>0</v>
      </c>
    </row>
    <row r="30" spans="1:23" x14ac:dyDescent="0.25">
      <c r="A30" s="4">
        <v>3</v>
      </c>
      <c r="B30" s="4"/>
      <c r="C30" s="4">
        <v>878083</v>
      </c>
      <c r="D30" s="4">
        <v>24771.040000000001</v>
      </c>
      <c r="E30" s="5">
        <f t="shared" si="0"/>
        <v>0.95999999999912689</v>
      </c>
      <c r="F30" s="6" t="s">
        <v>30</v>
      </c>
      <c r="G30" s="10">
        <v>328849225</v>
      </c>
      <c r="H30" s="9">
        <v>45195</v>
      </c>
      <c r="I30" s="9">
        <v>45210</v>
      </c>
      <c r="J30" s="8">
        <v>24772</v>
      </c>
      <c r="K30" s="8" t="s">
        <v>31</v>
      </c>
      <c r="L30" s="8" t="s">
        <v>32</v>
      </c>
      <c r="M30" s="8"/>
      <c r="N30" s="8" t="b">
        <v>0</v>
      </c>
      <c r="O30" s="10"/>
      <c r="P30" s="8" t="s">
        <v>76</v>
      </c>
      <c r="Q30" s="8">
        <v>585121</v>
      </c>
      <c r="R30" s="9">
        <v>45195</v>
      </c>
      <c r="S30" s="8" t="s">
        <v>48</v>
      </c>
      <c r="T30" s="8" t="s">
        <v>49</v>
      </c>
      <c r="U30" s="8" t="s">
        <v>50</v>
      </c>
      <c r="V30" s="8" t="s">
        <v>37</v>
      </c>
      <c r="W30" s="8">
        <v>0</v>
      </c>
    </row>
    <row r="31" spans="1:23" x14ac:dyDescent="0.25">
      <c r="A31" s="4">
        <v>3</v>
      </c>
      <c r="B31" s="4"/>
      <c r="C31" s="4">
        <v>878061</v>
      </c>
      <c r="D31" s="4">
        <v>5106.6000000000004</v>
      </c>
      <c r="E31" s="5">
        <f t="shared" si="0"/>
        <v>0.3999999999996362</v>
      </c>
      <c r="F31" s="6" t="s">
        <v>30</v>
      </c>
      <c r="G31" s="10">
        <v>328872722</v>
      </c>
      <c r="H31" s="9">
        <v>45196</v>
      </c>
      <c r="I31" s="9">
        <v>45211</v>
      </c>
      <c r="J31" s="8">
        <v>5107</v>
      </c>
      <c r="K31" s="8" t="s">
        <v>31</v>
      </c>
      <c r="L31" s="8" t="s">
        <v>32</v>
      </c>
      <c r="M31" s="8"/>
      <c r="N31" s="8" t="b">
        <v>0</v>
      </c>
      <c r="O31" s="10">
        <v>700952</v>
      </c>
      <c r="P31" s="8" t="s">
        <v>77</v>
      </c>
      <c r="Q31" s="8">
        <v>605390</v>
      </c>
      <c r="R31" s="9">
        <v>45196</v>
      </c>
      <c r="S31" s="8" t="s">
        <v>48</v>
      </c>
      <c r="T31" s="8" t="s">
        <v>40</v>
      </c>
      <c r="U31" s="8" t="s">
        <v>45</v>
      </c>
      <c r="V31" s="8" t="s">
        <v>46</v>
      </c>
      <c r="W31" s="8">
        <v>0</v>
      </c>
    </row>
    <row r="32" spans="1:23" x14ac:dyDescent="0.25">
      <c r="A32" s="4">
        <v>3</v>
      </c>
      <c r="B32" s="4"/>
      <c r="C32" s="4">
        <v>878059</v>
      </c>
      <c r="D32" s="4">
        <v>5105.16</v>
      </c>
      <c r="E32" s="5">
        <f t="shared" si="0"/>
        <v>-0.15999999999985448</v>
      </c>
      <c r="F32" s="6" t="s">
        <v>30</v>
      </c>
      <c r="G32" s="10">
        <v>328872769</v>
      </c>
      <c r="H32" s="9">
        <v>45196</v>
      </c>
      <c r="I32" s="9">
        <v>45211</v>
      </c>
      <c r="J32" s="8">
        <v>5105</v>
      </c>
      <c r="K32" s="8" t="s">
        <v>31</v>
      </c>
      <c r="L32" s="8" t="s">
        <v>32</v>
      </c>
      <c r="M32" s="8"/>
      <c r="N32" s="8" t="b">
        <v>0</v>
      </c>
      <c r="O32" s="10">
        <v>700959</v>
      </c>
      <c r="P32" s="8" t="s">
        <v>78</v>
      </c>
      <c r="Q32" s="8">
        <v>605475</v>
      </c>
      <c r="R32" s="9">
        <v>45196</v>
      </c>
      <c r="S32" s="8" t="s">
        <v>34</v>
      </c>
      <c r="T32" s="8" t="s">
        <v>40</v>
      </c>
      <c r="U32" s="8" t="s">
        <v>58</v>
      </c>
      <c r="V32" s="8" t="s">
        <v>46</v>
      </c>
      <c r="W32" s="8">
        <v>0</v>
      </c>
    </row>
    <row r="33" spans="1:23" x14ac:dyDescent="0.25">
      <c r="A33" s="4">
        <v>3</v>
      </c>
      <c r="B33" s="4"/>
      <c r="C33" s="4">
        <v>878058</v>
      </c>
      <c r="D33" s="4">
        <v>5105.16</v>
      </c>
      <c r="E33" s="5">
        <f t="shared" si="0"/>
        <v>-0.15999999999985448</v>
      </c>
      <c r="F33" s="6" t="s">
        <v>30</v>
      </c>
      <c r="G33" s="10">
        <v>328872787</v>
      </c>
      <c r="H33" s="9">
        <v>45196</v>
      </c>
      <c r="I33" s="9">
        <v>45211</v>
      </c>
      <c r="J33" s="8">
        <v>5105</v>
      </c>
      <c r="K33" s="8" t="s">
        <v>31</v>
      </c>
      <c r="L33" s="8" t="s">
        <v>32</v>
      </c>
      <c r="M33" s="8"/>
      <c r="N33" s="8" t="b">
        <v>0</v>
      </c>
      <c r="O33" s="10">
        <v>700960</v>
      </c>
      <c r="P33" s="8" t="s">
        <v>79</v>
      </c>
      <c r="Q33" s="8">
        <v>605501</v>
      </c>
      <c r="R33" s="9">
        <v>45196</v>
      </c>
      <c r="S33" s="8" t="s">
        <v>34</v>
      </c>
      <c r="T33" s="8" t="s">
        <v>40</v>
      </c>
      <c r="U33" s="8" t="s">
        <v>58</v>
      </c>
      <c r="V33" s="8" t="s">
        <v>46</v>
      </c>
      <c r="W33" s="8">
        <v>0</v>
      </c>
    </row>
    <row r="34" spans="1:23" x14ac:dyDescent="0.25">
      <c r="A34" s="4">
        <v>3</v>
      </c>
      <c r="B34" s="4"/>
      <c r="C34" s="4">
        <v>878086</v>
      </c>
      <c r="D34" s="4">
        <v>6272.28</v>
      </c>
      <c r="E34" s="5">
        <f t="shared" si="0"/>
        <v>-0.27999999999974534</v>
      </c>
      <c r="F34" s="6" t="s">
        <v>30</v>
      </c>
      <c r="G34" s="10">
        <v>328872792</v>
      </c>
      <c r="H34" s="9">
        <v>45196</v>
      </c>
      <c r="I34" s="9">
        <v>45211</v>
      </c>
      <c r="J34" s="8">
        <v>6272</v>
      </c>
      <c r="K34" s="8" t="s">
        <v>31</v>
      </c>
      <c r="L34" s="8" t="s">
        <v>32</v>
      </c>
      <c r="M34" s="8"/>
      <c r="N34" s="8" t="b">
        <v>0</v>
      </c>
      <c r="O34" s="10">
        <v>20901</v>
      </c>
      <c r="P34" s="8" t="s">
        <v>80</v>
      </c>
      <c r="Q34" s="8">
        <v>605434</v>
      </c>
      <c r="R34" s="9">
        <v>45196</v>
      </c>
      <c r="S34" s="8" t="s">
        <v>48</v>
      </c>
      <c r="T34" s="8" t="s">
        <v>40</v>
      </c>
      <c r="U34" s="8" t="s">
        <v>50</v>
      </c>
      <c r="V34" s="8" t="s">
        <v>37</v>
      </c>
      <c r="W34" s="8">
        <v>0</v>
      </c>
    </row>
    <row r="35" spans="1:23" x14ac:dyDescent="0.25">
      <c r="A35" s="4">
        <v>3</v>
      </c>
      <c r="B35" s="4"/>
      <c r="C35" s="4">
        <v>878062</v>
      </c>
      <c r="D35" s="4">
        <v>5106.6000000000004</v>
      </c>
      <c r="E35" s="5">
        <f t="shared" si="0"/>
        <v>0.3999999999996362</v>
      </c>
      <c r="F35" s="6" t="s">
        <v>30</v>
      </c>
      <c r="G35" s="10">
        <v>328872805</v>
      </c>
      <c r="H35" s="9">
        <v>45196</v>
      </c>
      <c r="I35" s="9">
        <v>45211</v>
      </c>
      <c r="J35" s="8">
        <v>5107</v>
      </c>
      <c r="K35" s="8" t="s">
        <v>31</v>
      </c>
      <c r="L35" s="8" t="s">
        <v>32</v>
      </c>
      <c r="M35" s="8"/>
      <c r="N35" s="8" t="b">
        <v>0</v>
      </c>
      <c r="O35" s="10">
        <v>700951</v>
      </c>
      <c r="P35" s="8" t="s">
        <v>81</v>
      </c>
      <c r="Q35" s="8">
        <v>605368</v>
      </c>
      <c r="R35" s="9">
        <v>45196</v>
      </c>
      <c r="S35" s="8" t="s">
        <v>48</v>
      </c>
      <c r="T35" s="8" t="s">
        <v>40</v>
      </c>
      <c r="U35" s="8" t="s">
        <v>45</v>
      </c>
      <c r="V35" s="8" t="s">
        <v>46</v>
      </c>
      <c r="W35" s="8">
        <v>0</v>
      </c>
    </row>
    <row r="36" spans="1:23" x14ac:dyDescent="0.25">
      <c r="A36" s="4">
        <v>3</v>
      </c>
      <c r="B36" s="4"/>
      <c r="C36" s="4">
        <v>878064</v>
      </c>
      <c r="D36" s="4">
        <v>5106.6000000000004</v>
      </c>
      <c r="E36" s="5">
        <f t="shared" si="0"/>
        <v>0.3999999999996362</v>
      </c>
      <c r="F36" s="6" t="s">
        <v>30</v>
      </c>
      <c r="G36" s="10">
        <v>328872823</v>
      </c>
      <c r="H36" s="9">
        <v>45196</v>
      </c>
      <c r="I36" s="9">
        <v>45211</v>
      </c>
      <c r="J36" s="8">
        <v>5107</v>
      </c>
      <c r="K36" s="8" t="s">
        <v>31</v>
      </c>
      <c r="L36" s="8" t="s">
        <v>32</v>
      </c>
      <c r="M36" s="8"/>
      <c r="N36" s="8" t="b">
        <v>0</v>
      </c>
      <c r="O36" s="10">
        <v>700953</v>
      </c>
      <c r="P36" s="8" t="s">
        <v>82</v>
      </c>
      <c r="Q36" s="8">
        <v>605406</v>
      </c>
      <c r="R36" s="9">
        <v>45196</v>
      </c>
      <c r="S36" s="8" t="s">
        <v>48</v>
      </c>
      <c r="T36" s="8" t="s">
        <v>40</v>
      </c>
      <c r="U36" s="8" t="s">
        <v>45</v>
      </c>
      <c r="V36" s="8" t="s">
        <v>46</v>
      </c>
      <c r="W36" s="8">
        <v>0</v>
      </c>
    </row>
    <row r="37" spans="1:23" x14ac:dyDescent="0.25">
      <c r="A37" s="4">
        <v>3</v>
      </c>
      <c r="B37" s="4"/>
      <c r="C37" s="4">
        <v>878060</v>
      </c>
      <c r="D37" s="4">
        <v>4988</v>
      </c>
      <c r="E37" s="5">
        <f t="shared" si="0"/>
        <v>0</v>
      </c>
      <c r="F37" s="6" t="s">
        <v>30</v>
      </c>
      <c r="G37" s="10">
        <v>328876272</v>
      </c>
      <c r="H37" s="9">
        <v>45196</v>
      </c>
      <c r="I37" s="9">
        <v>45211</v>
      </c>
      <c r="J37" s="8">
        <v>4988</v>
      </c>
      <c r="K37" s="8" t="s">
        <v>31</v>
      </c>
      <c r="L37" s="8" t="s">
        <v>32</v>
      </c>
      <c r="M37" s="8"/>
      <c r="N37" s="8" t="b">
        <v>0</v>
      </c>
      <c r="O37" s="10">
        <v>700955</v>
      </c>
      <c r="P37" s="8" t="s">
        <v>83</v>
      </c>
      <c r="Q37" s="8">
        <v>611833</v>
      </c>
      <c r="R37" s="9">
        <v>45196</v>
      </c>
      <c r="S37" s="8" t="s">
        <v>34</v>
      </c>
      <c r="T37" s="8" t="s">
        <v>40</v>
      </c>
      <c r="U37" s="8" t="s">
        <v>84</v>
      </c>
      <c r="V37" s="8" t="s">
        <v>46</v>
      </c>
      <c r="W37" s="8">
        <v>0</v>
      </c>
    </row>
    <row r="38" spans="1:23" x14ac:dyDescent="0.25">
      <c r="A38" s="4">
        <v>3</v>
      </c>
      <c r="B38" s="4"/>
      <c r="C38" s="4">
        <v>878063</v>
      </c>
      <c r="D38" s="4">
        <v>5106.6000000000004</v>
      </c>
      <c r="E38" s="5">
        <f t="shared" si="0"/>
        <v>0.3999999999996362</v>
      </c>
      <c r="F38" s="6" t="s">
        <v>30</v>
      </c>
      <c r="G38" s="10">
        <v>328876287</v>
      </c>
      <c r="H38" s="9">
        <v>45196</v>
      </c>
      <c r="I38" s="9">
        <v>45211</v>
      </c>
      <c r="J38" s="8">
        <v>5107</v>
      </c>
      <c r="K38" s="8" t="s">
        <v>31</v>
      </c>
      <c r="L38" s="8" t="s">
        <v>32</v>
      </c>
      <c r="M38" s="8"/>
      <c r="N38" s="8" t="b">
        <v>0</v>
      </c>
      <c r="O38" s="10">
        <v>700954</v>
      </c>
      <c r="P38" s="8" t="s">
        <v>85</v>
      </c>
      <c r="Q38" s="8">
        <v>611825</v>
      </c>
      <c r="R38" s="9">
        <v>45196</v>
      </c>
      <c r="S38" s="8" t="s">
        <v>48</v>
      </c>
      <c r="T38" s="8" t="s">
        <v>40</v>
      </c>
      <c r="U38" s="8" t="s">
        <v>45</v>
      </c>
      <c r="V38" s="8" t="s">
        <v>46</v>
      </c>
      <c r="W38" s="8">
        <v>0</v>
      </c>
    </row>
    <row r="39" spans="1:23" x14ac:dyDescent="0.25">
      <c r="A39" s="4">
        <v>3</v>
      </c>
      <c r="B39" s="4"/>
      <c r="C39" s="4">
        <v>878057</v>
      </c>
      <c r="D39" s="4">
        <v>5105.16</v>
      </c>
      <c r="E39" s="5">
        <f t="shared" si="0"/>
        <v>-0.15999999999985448</v>
      </c>
      <c r="F39" s="6" t="s">
        <v>30</v>
      </c>
      <c r="G39" s="10">
        <v>328876292</v>
      </c>
      <c r="H39" s="9">
        <v>45196</v>
      </c>
      <c r="I39" s="9">
        <v>45211</v>
      </c>
      <c r="J39" s="8">
        <v>5105</v>
      </c>
      <c r="K39" s="8" t="s">
        <v>31</v>
      </c>
      <c r="L39" s="8" t="s">
        <v>32</v>
      </c>
      <c r="M39" s="8"/>
      <c r="N39" s="8" t="b">
        <v>0</v>
      </c>
      <c r="O39" s="10">
        <v>700961</v>
      </c>
      <c r="P39" s="8" t="s">
        <v>86</v>
      </c>
      <c r="Q39" s="8">
        <v>611846</v>
      </c>
      <c r="R39" s="9">
        <v>45196</v>
      </c>
      <c r="S39" s="8" t="s">
        <v>34</v>
      </c>
      <c r="T39" s="8" t="s">
        <v>40</v>
      </c>
      <c r="U39" s="8" t="s">
        <v>58</v>
      </c>
      <c r="V39" s="8" t="s">
        <v>46</v>
      </c>
      <c r="W39" s="8">
        <v>0</v>
      </c>
    </row>
    <row r="40" spans="1:23" x14ac:dyDescent="0.25">
      <c r="A40" s="4">
        <v>3</v>
      </c>
      <c r="B40" s="4"/>
      <c r="C40" s="4">
        <v>878073</v>
      </c>
      <c r="D40" s="4">
        <v>7833.08</v>
      </c>
      <c r="E40" s="5">
        <f t="shared" si="0"/>
        <v>-7.999999999992724E-2</v>
      </c>
      <c r="F40" s="6" t="s">
        <v>30</v>
      </c>
      <c r="G40" s="10">
        <v>328911591</v>
      </c>
      <c r="H40" s="9">
        <v>45198</v>
      </c>
      <c r="I40" s="9">
        <v>45213</v>
      </c>
      <c r="J40" s="8">
        <v>7833</v>
      </c>
      <c r="K40" s="8" t="s">
        <v>31</v>
      </c>
      <c r="L40" s="8" t="s">
        <v>32</v>
      </c>
      <c r="M40" s="8"/>
      <c r="N40" s="8" t="b">
        <v>0</v>
      </c>
      <c r="O40" s="10">
        <v>700942</v>
      </c>
      <c r="P40" s="8" t="s">
        <v>87</v>
      </c>
      <c r="Q40" s="8">
        <v>638834</v>
      </c>
      <c r="R40" s="9">
        <v>45197</v>
      </c>
      <c r="S40" s="8" t="s">
        <v>34</v>
      </c>
      <c r="T40" s="8" t="s">
        <v>40</v>
      </c>
      <c r="U40" s="8" t="s">
        <v>88</v>
      </c>
      <c r="V40" s="8" t="s">
        <v>72</v>
      </c>
      <c r="W40" s="8">
        <v>0</v>
      </c>
    </row>
    <row r="41" spans="1:23" x14ac:dyDescent="0.25">
      <c r="A41" s="4">
        <v>3</v>
      </c>
      <c r="B41" s="4"/>
      <c r="C41" s="4">
        <v>878077</v>
      </c>
      <c r="D41" s="4">
        <v>7833.08</v>
      </c>
      <c r="E41" s="5">
        <f t="shared" si="0"/>
        <v>-7.999999999992724E-2</v>
      </c>
      <c r="F41" s="6" t="s">
        <v>30</v>
      </c>
      <c r="G41" s="10">
        <v>328911599</v>
      </c>
      <c r="H41" s="9">
        <v>45198</v>
      </c>
      <c r="I41" s="9">
        <v>45213</v>
      </c>
      <c r="J41" s="8">
        <v>7833</v>
      </c>
      <c r="K41" s="8" t="s">
        <v>31</v>
      </c>
      <c r="L41" s="8" t="s">
        <v>32</v>
      </c>
      <c r="M41" s="8"/>
      <c r="N41" s="8" t="b">
        <v>0</v>
      </c>
      <c r="O41" s="10">
        <v>700941</v>
      </c>
      <c r="P41" s="8" t="s">
        <v>89</v>
      </c>
      <c r="Q41" s="8">
        <v>638832</v>
      </c>
      <c r="R41" s="9">
        <v>45197</v>
      </c>
      <c r="S41" s="8" t="s">
        <v>34</v>
      </c>
      <c r="T41" s="8" t="s">
        <v>40</v>
      </c>
      <c r="U41" s="8" t="s">
        <v>88</v>
      </c>
      <c r="V41" s="8" t="s">
        <v>72</v>
      </c>
      <c r="W41" s="8">
        <v>0</v>
      </c>
    </row>
    <row r="42" spans="1:23" x14ac:dyDescent="0.25">
      <c r="A42" s="4">
        <v>3</v>
      </c>
      <c r="B42" s="4"/>
      <c r="C42" s="4">
        <v>878080</v>
      </c>
      <c r="D42" s="4">
        <v>5105.16</v>
      </c>
      <c r="E42" s="5">
        <f t="shared" si="0"/>
        <v>-0.15999999999985448</v>
      </c>
      <c r="F42" s="6" t="s">
        <v>30</v>
      </c>
      <c r="G42" s="10">
        <v>328911690</v>
      </c>
      <c r="H42" s="9">
        <v>45198</v>
      </c>
      <c r="I42" s="9">
        <v>45213</v>
      </c>
      <c r="J42" s="8">
        <v>5105</v>
      </c>
      <c r="K42" s="8" t="s">
        <v>31</v>
      </c>
      <c r="L42" s="8" t="s">
        <v>32</v>
      </c>
      <c r="M42" s="8"/>
      <c r="N42" s="8" t="b">
        <v>0</v>
      </c>
      <c r="O42" s="10">
        <v>700963</v>
      </c>
      <c r="P42" s="8" t="s">
        <v>90</v>
      </c>
      <c r="Q42" s="8">
        <v>638900</v>
      </c>
      <c r="R42" s="9">
        <v>45197</v>
      </c>
      <c r="S42" s="8" t="s">
        <v>34</v>
      </c>
      <c r="T42" s="8" t="s">
        <v>40</v>
      </c>
      <c r="U42" s="8" t="s">
        <v>58</v>
      </c>
      <c r="V42" s="8" t="s">
        <v>46</v>
      </c>
      <c r="W42" s="8">
        <v>0</v>
      </c>
    </row>
    <row r="43" spans="1:23" x14ac:dyDescent="0.25">
      <c r="A43" s="4">
        <v>3</v>
      </c>
      <c r="B43" s="4"/>
      <c r="C43" s="4">
        <v>878076</v>
      </c>
      <c r="D43" s="4">
        <v>4988</v>
      </c>
      <c r="E43" s="5">
        <f t="shared" si="0"/>
        <v>0</v>
      </c>
      <c r="F43" s="6" t="s">
        <v>30</v>
      </c>
      <c r="G43" s="10">
        <v>328911692</v>
      </c>
      <c r="H43" s="9">
        <v>45198</v>
      </c>
      <c r="I43" s="9">
        <v>45213</v>
      </c>
      <c r="J43" s="8">
        <v>4988</v>
      </c>
      <c r="K43" s="8" t="s">
        <v>31</v>
      </c>
      <c r="L43" s="8" t="s">
        <v>32</v>
      </c>
      <c r="M43" s="8"/>
      <c r="N43" s="8" t="b">
        <v>0</v>
      </c>
      <c r="O43" s="10">
        <v>700956</v>
      </c>
      <c r="P43" s="8" t="s">
        <v>91</v>
      </c>
      <c r="Q43" s="8">
        <v>638888</v>
      </c>
      <c r="R43" s="9">
        <v>45197</v>
      </c>
      <c r="S43" s="8" t="s">
        <v>34</v>
      </c>
      <c r="T43" s="8" t="s">
        <v>40</v>
      </c>
      <c r="U43" s="8" t="s">
        <v>84</v>
      </c>
      <c r="V43" s="8" t="s">
        <v>46</v>
      </c>
      <c r="W43" s="8">
        <v>0</v>
      </c>
    </row>
    <row r="44" spans="1:23" x14ac:dyDescent="0.25">
      <c r="A44" s="4">
        <v>3</v>
      </c>
      <c r="B44" s="4"/>
      <c r="C44" s="4">
        <v>878066</v>
      </c>
      <c r="D44" s="4">
        <v>5105.16</v>
      </c>
      <c r="E44" s="5">
        <f t="shared" si="0"/>
        <v>-0.15999999999985448</v>
      </c>
      <c r="F44" s="6" t="s">
        <v>30</v>
      </c>
      <c r="G44" s="10">
        <v>328911694</v>
      </c>
      <c r="H44" s="9">
        <v>45198</v>
      </c>
      <c r="I44" s="9">
        <v>45213</v>
      </c>
      <c r="J44" s="8">
        <v>5105</v>
      </c>
      <c r="K44" s="8" t="s">
        <v>31</v>
      </c>
      <c r="L44" s="8" t="s">
        <v>32</v>
      </c>
      <c r="M44" s="8"/>
      <c r="N44" s="8" t="b">
        <v>0</v>
      </c>
      <c r="O44" s="10">
        <v>700962</v>
      </c>
      <c r="P44" s="8" t="s">
        <v>92</v>
      </c>
      <c r="Q44" s="8">
        <v>638893</v>
      </c>
      <c r="R44" s="9">
        <v>45197</v>
      </c>
      <c r="S44" s="8" t="s">
        <v>34</v>
      </c>
      <c r="T44" s="8" t="s">
        <v>40</v>
      </c>
      <c r="U44" s="8" t="s">
        <v>58</v>
      </c>
      <c r="V44" s="8" t="s">
        <v>46</v>
      </c>
      <c r="W44" s="8">
        <v>0</v>
      </c>
    </row>
    <row r="45" spans="1:23" x14ac:dyDescent="0.25">
      <c r="A45" s="4">
        <v>3</v>
      </c>
      <c r="B45" s="4"/>
      <c r="C45" s="4">
        <v>878072</v>
      </c>
      <c r="D45" s="4">
        <v>7833.08</v>
      </c>
      <c r="E45" s="5">
        <f t="shared" si="0"/>
        <v>-7.999999999992724E-2</v>
      </c>
      <c r="F45" s="6" t="s">
        <v>30</v>
      </c>
      <c r="G45" s="10">
        <v>328911695</v>
      </c>
      <c r="H45" s="9">
        <v>45198</v>
      </c>
      <c r="I45" s="9">
        <v>45213</v>
      </c>
      <c r="J45" s="8">
        <v>7833</v>
      </c>
      <c r="K45" s="8" t="s">
        <v>31</v>
      </c>
      <c r="L45" s="8" t="s">
        <v>32</v>
      </c>
      <c r="M45" s="8"/>
      <c r="N45" s="8" t="b">
        <v>0</v>
      </c>
      <c r="O45" s="10">
        <v>700945</v>
      </c>
      <c r="P45" s="8" t="s">
        <v>93</v>
      </c>
      <c r="Q45" s="8">
        <v>638874</v>
      </c>
      <c r="R45" s="9">
        <v>45197</v>
      </c>
      <c r="S45" s="8" t="s">
        <v>34</v>
      </c>
      <c r="T45" s="8" t="s">
        <v>40</v>
      </c>
      <c r="U45" s="8" t="s">
        <v>88</v>
      </c>
      <c r="V45" s="8" t="s">
        <v>72</v>
      </c>
      <c r="W45" s="8">
        <v>0</v>
      </c>
    </row>
    <row r="46" spans="1:23" x14ac:dyDescent="0.25">
      <c r="A46" s="4">
        <v>3</v>
      </c>
      <c r="B46" s="4"/>
      <c r="C46" s="4">
        <v>878068</v>
      </c>
      <c r="D46" s="4">
        <v>7833.08</v>
      </c>
      <c r="E46" s="5">
        <f t="shared" si="0"/>
        <v>-7.999999999992724E-2</v>
      </c>
      <c r="F46" s="6" t="s">
        <v>30</v>
      </c>
      <c r="G46" s="10">
        <v>328911699</v>
      </c>
      <c r="H46" s="9">
        <v>45198</v>
      </c>
      <c r="I46" s="9">
        <v>45213</v>
      </c>
      <c r="J46" s="8">
        <v>7833</v>
      </c>
      <c r="K46" s="8" t="s">
        <v>31</v>
      </c>
      <c r="L46" s="8" t="s">
        <v>32</v>
      </c>
      <c r="M46" s="8"/>
      <c r="N46" s="8" t="b">
        <v>0</v>
      </c>
      <c r="O46" s="10">
        <v>700944</v>
      </c>
      <c r="P46" s="8" t="s">
        <v>94</v>
      </c>
      <c r="Q46" s="8">
        <v>638867</v>
      </c>
      <c r="R46" s="9">
        <v>45197</v>
      </c>
      <c r="S46" s="8" t="s">
        <v>34</v>
      </c>
      <c r="T46" s="8" t="s">
        <v>40</v>
      </c>
      <c r="U46" s="8" t="s">
        <v>88</v>
      </c>
      <c r="V46" s="8" t="s">
        <v>72</v>
      </c>
      <c r="W46" s="8">
        <v>0</v>
      </c>
    </row>
    <row r="47" spans="1:23" x14ac:dyDescent="0.25">
      <c r="A47" s="4">
        <v>3</v>
      </c>
      <c r="B47" s="4"/>
      <c r="C47" s="4">
        <v>878071</v>
      </c>
      <c r="D47" s="4">
        <v>7833.08</v>
      </c>
      <c r="E47" s="5">
        <f t="shared" si="0"/>
        <v>-7.999999999992724E-2</v>
      </c>
      <c r="F47" s="6" t="s">
        <v>30</v>
      </c>
      <c r="G47" s="10">
        <v>328911702</v>
      </c>
      <c r="H47" s="9">
        <v>45198</v>
      </c>
      <c r="I47" s="9">
        <v>45213</v>
      </c>
      <c r="J47" s="8">
        <v>7833</v>
      </c>
      <c r="K47" s="8" t="s">
        <v>31</v>
      </c>
      <c r="L47" s="8" t="s">
        <v>32</v>
      </c>
      <c r="M47" s="8"/>
      <c r="N47" s="8" t="b">
        <v>0</v>
      </c>
      <c r="O47" s="10">
        <v>700943</v>
      </c>
      <c r="P47" s="8" t="s">
        <v>95</v>
      </c>
      <c r="Q47" s="8">
        <v>638852</v>
      </c>
      <c r="R47" s="9">
        <v>45197</v>
      </c>
      <c r="S47" s="8" t="s">
        <v>34</v>
      </c>
      <c r="T47" s="8" t="s">
        <v>40</v>
      </c>
      <c r="U47" s="8" t="s">
        <v>88</v>
      </c>
      <c r="V47" s="8" t="s">
        <v>72</v>
      </c>
      <c r="W47" s="8">
        <v>0</v>
      </c>
    </row>
    <row r="48" spans="1:23" x14ac:dyDescent="0.25">
      <c r="A48" s="4">
        <v>3</v>
      </c>
      <c r="B48" s="4"/>
      <c r="C48" s="4">
        <v>878074</v>
      </c>
      <c r="D48" s="4">
        <v>7833.08</v>
      </c>
      <c r="E48" s="5">
        <f t="shared" si="0"/>
        <v>-7.999999999992724E-2</v>
      </c>
      <c r="F48" s="6" t="s">
        <v>30</v>
      </c>
      <c r="G48" s="10">
        <v>328911704</v>
      </c>
      <c r="H48" s="9">
        <v>45198</v>
      </c>
      <c r="I48" s="9">
        <v>45213</v>
      </c>
      <c r="J48" s="8">
        <v>7833</v>
      </c>
      <c r="K48" s="8" t="s">
        <v>31</v>
      </c>
      <c r="L48" s="8" t="s">
        <v>32</v>
      </c>
      <c r="M48" s="8"/>
      <c r="N48" s="8" t="b">
        <v>0</v>
      </c>
      <c r="O48" s="10">
        <v>700946</v>
      </c>
      <c r="P48" s="8" t="s">
        <v>96</v>
      </c>
      <c r="Q48" s="8">
        <v>638883</v>
      </c>
      <c r="R48" s="9">
        <v>45197</v>
      </c>
      <c r="S48" s="8" t="s">
        <v>34</v>
      </c>
      <c r="T48" s="8" t="s">
        <v>40</v>
      </c>
      <c r="U48" s="8" t="s">
        <v>88</v>
      </c>
      <c r="V48" s="8" t="s">
        <v>72</v>
      </c>
      <c r="W48" s="8">
        <v>0</v>
      </c>
    </row>
    <row r="49" spans="1:23" x14ac:dyDescent="0.25">
      <c r="A49" s="4">
        <v>3</v>
      </c>
      <c r="B49" s="4"/>
      <c r="C49" s="4">
        <v>878079</v>
      </c>
      <c r="D49" s="4">
        <v>5105.16</v>
      </c>
      <c r="E49" s="5">
        <f t="shared" si="0"/>
        <v>-0.15999999999985448</v>
      </c>
      <c r="F49" s="6" t="s">
        <v>30</v>
      </c>
      <c r="G49" s="10">
        <v>328911783</v>
      </c>
      <c r="H49" s="9">
        <v>45198</v>
      </c>
      <c r="I49" s="9">
        <v>45213</v>
      </c>
      <c r="J49" s="8">
        <v>5105</v>
      </c>
      <c r="K49" s="8" t="s">
        <v>31</v>
      </c>
      <c r="L49" s="8" t="s">
        <v>32</v>
      </c>
      <c r="M49" s="8"/>
      <c r="N49" s="8" t="b">
        <v>0</v>
      </c>
      <c r="O49" s="10">
        <v>700964</v>
      </c>
      <c r="P49" s="8" t="s">
        <v>97</v>
      </c>
      <c r="Q49" s="8">
        <v>638946</v>
      </c>
      <c r="R49" s="9">
        <v>45197</v>
      </c>
      <c r="S49" s="8" t="s">
        <v>34</v>
      </c>
      <c r="T49" s="8" t="s">
        <v>40</v>
      </c>
      <c r="U49" s="8" t="s">
        <v>58</v>
      </c>
      <c r="V49" s="8" t="s">
        <v>46</v>
      </c>
      <c r="W49" s="8">
        <v>0</v>
      </c>
    </row>
    <row r="50" spans="1:23" x14ac:dyDescent="0.25">
      <c r="A50" s="4">
        <v>3</v>
      </c>
      <c r="B50" s="4"/>
      <c r="C50" s="4">
        <v>878089</v>
      </c>
      <c r="D50" s="4">
        <v>6911.84</v>
      </c>
      <c r="E50" s="5">
        <f t="shared" si="0"/>
        <v>-0.84000000000014552</v>
      </c>
      <c r="F50" s="6" t="s">
        <v>30</v>
      </c>
      <c r="G50" s="10">
        <v>328911786</v>
      </c>
      <c r="H50" s="9">
        <v>45198</v>
      </c>
      <c r="I50" s="9">
        <v>45213</v>
      </c>
      <c r="J50" s="8">
        <v>6911</v>
      </c>
      <c r="K50" s="8" t="s">
        <v>31</v>
      </c>
      <c r="L50" s="8" t="s">
        <v>32</v>
      </c>
      <c r="M50" s="8"/>
      <c r="N50" s="8" t="b">
        <v>0</v>
      </c>
      <c r="O50" s="10">
        <v>20903</v>
      </c>
      <c r="P50" s="8" t="s">
        <v>98</v>
      </c>
      <c r="Q50" s="8">
        <v>638966</v>
      </c>
      <c r="R50" s="9">
        <v>45197</v>
      </c>
      <c r="S50" s="8" t="s">
        <v>39</v>
      </c>
      <c r="T50" s="8" t="s">
        <v>40</v>
      </c>
      <c r="U50" s="8" t="s">
        <v>41</v>
      </c>
      <c r="V50" s="8" t="s">
        <v>42</v>
      </c>
      <c r="W50" s="8">
        <v>0</v>
      </c>
    </row>
    <row r="51" spans="1:23" x14ac:dyDescent="0.25">
      <c r="A51" s="4">
        <v>3</v>
      </c>
      <c r="B51" s="4"/>
      <c r="C51" s="4">
        <v>878070</v>
      </c>
      <c r="D51" s="4">
        <v>7833.08</v>
      </c>
      <c r="E51" s="5">
        <f t="shared" si="0"/>
        <v>-7.999999999992724E-2</v>
      </c>
      <c r="F51" s="6" t="s">
        <v>30</v>
      </c>
      <c r="G51" s="10">
        <v>328911789</v>
      </c>
      <c r="H51" s="9">
        <v>45198</v>
      </c>
      <c r="I51" s="9">
        <v>45213</v>
      </c>
      <c r="J51" s="8">
        <v>7833</v>
      </c>
      <c r="K51" s="8" t="s">
        <v>31</v>
      </c>
      <c r="L51" s="8" t="s">
        <v>32</v>
      </c>
      <c r="M51" s="8"/>
      <c r="N51" s="8" t="b">
        <v>0</v>
      </c>
      <c r="O51" s="10">
        <v>700947</v>
      </c>
      <c r="P51" s="8" t="s">
        <v>99</v>
      </c>
      <c r="Q51" s="8">
        <v>638952</v>
      </c>
      <c r="R51" s="9">
        <v>45197</v>
      </c>
      <c r="S51" s="8" t="s">
        <v>34</v>
      </c>
      <c r="T51" s="8" t="s">
        <v>40</v>
      </c>
      <c r="U51" s="8" t="s">
        <v>88</v>
      </c>
      <c r="V51" s="8" t="s">
        <v>72</v>
      </c>
      <c r="W51" s="8">
        <v>0</v>
      </c>
    </row>
    <row r="52" spans="1:23" x14ac:dyDescent="0.25">
      <c r="A52" s="4">
        <v>3</v>
      </c>
      <c r="B52" s="4"/>
      <c r="C52" s="4">
        <v>878090</v>
      </c>
      <c r="D52" s="4">
        <v>6911.84</v>
      </c>
      <c r="E52" s="5">
        <f t="shared" si="0"/>
        <v>-0.84000000000014552</v>
      </c>
      <c r="F52" s="6" t="s">
        <v>30</v>
      </c>
      <c r="G52" s="10">
        <v>328911790</v>
      </c>
      <c r="H52" s="9">
        <v>45198</v>
      </c>
      <c r="I52" s="9">
        <v>45213</v>
      </c>
      <c r="J52" s="8">
        <v>6911</v>
      </c>
      <c r="K52" s="8" t="s">
        <v>31</v>
      </c>
      <c r="L52" s="8" t="s">
        <v>32</v>
      </c>
      <c r="M52" s="8"/>
      <c r="N52" s="8" t="b">
        <v>0</v>
      </c>
      <c r="O52" s="10">
        <v>20904</v>
      </c>
      <c r="P52" s="8" t="s">
        <v>100</v>
      </c>
      <c r="Q52" s="8">
        <v>638969</v>
      </c>
      <c r="R52" s="9">
        <v>45197</v>
      </c>
      <c r="S52" s="8" t="s">
        <v>39</v>
      </c>
      <c r="T52" s="8" t="s">
        <v>40</v>
      </c>
      <c r="U52" s="8" t="s">
        <v>41</v>
      </c>
      <c r="V52" s="8" t="s">
        <v>42</v>
      </c>
      <c r="W52" s="8">
        <v>0</v>
      </c>
    </row>
    <row r="53" spans="1:23" x14ac:dyDescent="0.25">
      <c r="A53" s="4">
        <v>3</v>
      </c>
      <c r="B53" s="4"/>
      <c r="C53" s="4">
        <v>878088</v>
      </c>
      <c r="D53" s="4">
        <v>6911.84</v>
      </c>
      <c r="E53" s="5">
        <f t="shared" si="0"/>
        <v>-0.84000000000014552</v>
      </c>
      <c r="F53" s="6" t="s">
        <v>30</v>
      </c>
      <c r="G53" s="10">
        <v>328911791</v>
      </c>
      <c r="H53" s="9">
        <v>45198</v>
      </c>
      <c r="I53" s="9">
        <v>45213</v>
      </c>
      <c r="J53" s="8">
        <v>6911</v>
      </c>
      <c r="K53" s="8" t="s">
        <v>31</v>
      </c>
      <c r="L53" s="8" t="s">
        <v>32</v>
      </c>
      <c r="M53" s="8"/>
      <c r="N53" s="8" t="b">
        <v>0</v>
      </c>
      <c r="O53" s="10">
        <v>20902</v>
      </c>
      <c r="P53" s="8" t="s">
        <v>101</v>
      </c>
      <c r="Q53" s="8">
        <v>638965</v>
      </c>
      <c r="R53" s="9">
        <v>45197</v>
      </c>
      <c r="S53" s="8" t="s">
        <v>39</v>
      </c>
      <c r="T53" s="8" t="s">
        <v>40</v>
      </c>
      <c r="U53" s="8" t="s">
        <v>41</v>
      </c>
      <c r="V53" s="8" t="s">
        <v>42</v>
      </c>
      <c r="W53" s="8">
        <v>0</v>
      </c>
    </row>
    <row r="54" spans="1:23" x14ac:dyDescent="0.25">
      <c r="A54" s="4">
        <v>3</v>
      </c>
      <c r="B54" s="4"/>
      <c r="C54" s="4">
        <v>878069</v>
      </c>
      <c r="D54" s="4">
        <v>7833.08</v>
      </c>
      <c r="E54" s="5">
        <f t="shared" si="0"/>
        <v>-7.999999999992724E-2</v>
      </c>
      <c r="F54" s="6" t="s">
        <v>30</v>
      </c>
      <c r="G54" s="10">
        <v>328911793</v>
      </c>
      <c r="H54" s="9">
        <v>45198</v>
      </c>
      <c r="I54" s="9">
        <v>45213</v>
      </c>
      <c r="J54" s="8">
        <v>7833</v>
      </c>
      <c r="K54" s="8" t="s">
        <v>31</v>
      </c>
      <c r="L54" s="8" t="s">
        <v>32</v>
      </c>
      <c r="M54" s="8"/>
      <c r="N54" s="8" t="b">
        <v>0</v>
      </c>
      <c r="O54" s="10">
        <v>700949</v>
      </c>
      <c r="P54" s="8" t="s">
        <v>102</v>
      </c>
      <c r="Q54" s="8">
        <v>638960</v>
      </c>
      <c r="R54" s="9">
        <v>45197</v>
      </c>
      <c r="S54" s="8" t="s">
        <v>34</v>
      </c>
      <c r="T54" s="8" t="s">
        <v>40</v>
      </c>
      <c r="U54" s="8" t="s">
        <v>88</v>
      </c>
      <c r="V54" s="8" t="s">
        <v>72</v>
      </c>
      <c r="W54" s="8">
        <v>0</v>
      </c>
    </row>
    <row r="55" spans="1:23" x14ac:dyDescent="0.25">
      <c r="A55" s="4">
        <v>3</v>
      </c>
      <c r="B55" s="4"/>
      <c r="C55" s="4">
        <v>878078</v>
      </c>
      <c r="D55" s="4">
        <v>7833.08</v>
      </c>
      <c r="E55" s="5">
        <f t="shared" si="0"/>
        <v>-7.999999999992724E-2</v>
      </c>
      <c r="F55" s="6" t="s">
        <v>30</v>
      </c>
      <c r="G55" s="10">
        <v>328911795</v>
      </c>
      <c r="H55" s="9">
        <v>45198</v>
      </c>
      <c r="I55" s="9">
        <v>45213</v>
      </c>
      <c r="J55" s="8">
        <v>7833</v>
      </c>
      <c r="K55" s="8" t="s">
        <v>31</v>
      </c>
      <c r="L55" s="8" t="s">
        <v>32</v>
      </c>
      <c r="M55" s="8"/>
      <c r="N55" s="8" t="b">
        <v>0</v>
      </c>
      <c r="O55" s="10">
        <v>700948</v>
      </c>
      <c r="P55" s="8" t="s">
        <v>103</v>
      </c>
      <c r="Q55" s="8">
        <v>638954</v>
      </c>
      <c r="R55" s="9">
        <v>45197</v>
      </c>
      <c r="S55" s="8" t="s">
        <v>34</v>
      </c>
      <c r="T55" s="8" t="s">
        <v>40</v>
      </c>
      <c r="U55" s="8" t="s">
        <v>88</v>
      </c>
      <c r="V55" s="8" t="s">
        <v>72</v>
      </c>
      <c r="W55" s="8">
        <v>0</v>
      </c>
    </row>
    <row r="56" spans="1:23" x14ac:dyDescent="0.25">
      <c r="A56" s="4">
        <v>3</v>
      </c>
      <c r="B56" s="4"/>
      <c r="C56" s="4">
        <v>878067</v>
      </c>
      <c r="D56" s="4">
        <v>7829.84</v>
      </c>
      <c r="E56" s="5">
        <f t="shared" si="0"/>
        <v>0.15999999999985448</v>
      </c>
      <c r="F56" s="6" t="s">
        <v>30</v>
      </c>
      <c r="G56" s="10">
        <v>328911814</v>
      </c>
      <c r="H56" s="9">
        <v>45198</v>
      </c>
      <c r="I56" s="9">
        <v>45213</v>
      </c>
      <c r="J56" s="8">
        <v>7830</v>
      </c>
      <c r="K56" s="8" t="s">
        <v>31</v>
      </c>
      <c r="L56" s="8" t="s">
        <v>32</v>
      </c>
      <c r="M56" s="8"/>
      <c r="N56" s="8" t="b">
        <v>0</v>
      </c>
      <c r="O56" s="10">
        <v>877631</v>
      </c>
      <c r="P56" s="8" t="s">
        <v>104</v>
      </c>
      <c r="Q56" s="8">
        <v>638948</v>
      </c>
      <c r="R56" s="9">
        <v>45197</v>
      </c>
      <c r="S56" s="8" t="s">
        <v>105</v>
      </c>
      <c r="T56" s="8" t="s">
        <v>40</v>
      </c>
      <c r="U56" s="8" t="s">
        <v>106</v>
      </c>
      <c r="V56" s="8" t="s">
        <v>107</v>
      </c>
      <c r="W56" s="8">
        <v>0</v>
      </c>
    </row>
    <row r="57" spans="1:23" x14ac:dyDescent="0.25">
      <c r="A57" s="4">
        <v>3</v>
      </c>
      <c r="B57" s="4"/>
      <c r="C57" s="4">
        <v>878065</v>
      </c>
      <c r="D57" s="4">
        <v>5085.3599999999997</v>
      </c>
      <c r="E57" s="5">
        <f t="shared" si="0"/>
        <v>-0.35999999999967258</v>
      </c>
      <c r="F57" s="6" t="s">
        <v>30</v>
      </c>
      <c r="G57" s="10">
        <v>328920894</v>
      </c>
      <c r="H57" s="9">
        <v>45198</v>
      </c>
      <c r="I57" s="9">
        <v>45213</v>
      </c>
      <c r="J57" s="8">
        <v>5085</v>
      </c>
      <c r="K57" s="8" t="s">
        <v>31</v>
      </c>
      <c r="L57" s="8" t="s">
        <v>32</v>
      </c>
      <c r="M57" s="8"/>
      <c r="N57" s="8" t="b">
        <v>0</v>
      </c>
      <c r="O57" s="10">
        <v>699219</v>
      </c>
      <c r="P57" s="8" t="s">
        <v>108</v>
      </c>
      <c r="Q57" s="8">
        <v>644244</v>
      </c>
      <c r="R57" s="9">
        <v>45198</v>
      </c>
      <c r="S57" s="8" t="s">
        <v>34</v>
      </c>
      <c r="T57" s="8" t="s">
        <v>44</v>
      </c>
      <c r="U57" s="8" t="s">
        <v>45</v>
      </c>
      <c r="V57" s="8" t="s">
        <v>46</v>
      </c>
      <c r="W57" s="8">
        <v>0</v>
      </c>
    </row>
    <row r="58" spans="1:23" x14ac:dyDescent="0.25">
      <c r="A58" s="4">
        <v>3</v>
      </c>
      <c r="B58" s="4"/>
      <c r="C58" s="4">
        <v>878075</v>
      </c>
      <c r="D58" s="4">
        <v>5085.3599999999997</v>
      </c>
      <c r="E58" s="5">
        <f t="shared" si="0"/>
        <v>-0.35999999999967258</v>
      </c>
      <c r="F58" s="6" t="s">
        <v>30</v>
      </c>
      <c r="G58" s="10">
        <v>328921004</v>
      </c>
      <c r="H58" s="9">
        <v>45198</v>
      </c>
      <c r="I58" s="9">
        <v>45213</v>
      </c>
      <c r="J58" s="8">
        <v>5085</v>
      </c>
      <c r="K58" s="8" t="s">
        <v>31</v>
      </c>
      <c r="L58" s="8" t="s">
        <v>32</v>
      </c>
      <c r="M58" s="8"/>
      <c r="N58" s="8" t="b">
        <v>0</v>
      </c>
      <c r="O58" s="10">
        <v>699221</v>
      </c>
      <c r="P58" s="8" t="s">
        <v>109</v>
      </c>
      <c r="Q58" s="8">
        <v>644249</v>
      </c>
      <c r="R58" s="9">
        <v>45198</v>
      </c>
      <c r="S58" s="8" t="s">
        <v>34</v>
      </c>
      <c r="T58" s="8" t="s">
        <v>44</v>
      </c>
      <c r="U58" s="8" t="s">
        <v>45</v>
      </c>
      <c r="V58" s="8" t="s">
        <v>46</v>
      </c>
      <c r="W58" s="8">
        <v>0</v>
      </c>
    </row>
    <row r="59" spans="1:23" x14ac:dyDescent="0.25">
      <c r="A59" s="4">
        <v>3</v>
      </c>
      <c r="B59" s="4"/>
      <c r="C59" s="4">
        <v>878267</v>
      </c>
      <c r="D59" s="4">
        <v>5105.16</v>
      </c>
      <c r="E59" s="5">
        <f t="shared" si="0"/>
        <v>-0.15999999999985448</v>
      </c>
      <c r="F59" s="6" t="s">
        <v>30</v>
      </c>
      <c r="G59" s="10">
        <v>328946692</v>
      </c>
      <c r="H59" s="9">
        <v>45201</v>
      </c>
      <c r="I59" s="9">
        <v>45216</v>
      </c>
      <c r="J59" s="8">
        <v>5105</v>
      </c>
      <c r="K59" s="8" t="s">
        <v>31</v>
      </c>
      <c r="L59" s="8" t="s">
        <v>32</v>
      </c>
      <c r="M59" s="8"/>
      <c r="N59" s="8" t="b">
        <v>0</v>
      </c>
      <c r="O59" s="10">
        <v>701367</v>
      </c>
      <c r="P59" s="8" t="s">
        <v>110</v>
      </c>
      <c r="Q59" s="8">
        <v>663951</v>
      </c>
      <c r="R59" s="9">
        <v>45199</v>
      </c>
      <c r="S59" s="8" t="s">
        <v>34</v>
      </c>
      <c r="T59" s="8" t="s">
        <v>40</v>
      </c>
      <c r="U59" s="8" t="s">
        <v>58</v>
      </c>
      <c r="V59" s="8" t="s">
        <v>46</v>
      </c>
      <c r="W59" s="8">
        <v>0</v>
      </c>
    </row>
    <row r="60" spans="1:23" x14ac:dyDescent="0.25">
      <c r="A60" s="4">
        <v>3</v>
      </c>
      <c r="B60" s="4"/>
      <c r="C60" s="4">
        <v>878268</v>
      </c>
      <c r="D60" s="4">
        <v>5105.16</v>
      </c>
      <c r="E60" s="5">
        <f t="shared" si="0"/>
        <v>-0.15999999999985448</v>
      </c>
      <c r="F60" s="6" t="s">
        <v>30</v>
      </c>
      <c r="G60" s="10">
        <v>328946697</v>
      </c>
      <c r="H60" s="9">
        <v>45201</v>
      </c>
      <c r="I60" s="9">
        <v>45216</v>
      </c>
      <c r="J60" s="8">
        <v>5105</v>
      </c>
      <c r="K60" s="8" t="s">
        <v>31</v>
      </c>
      <c r="L60" s="8" t="s">
        <v>32</v>
      </c>
      <c r="M60" s="8"/>
      <c r="N60" s="8" t="b">
        <v>0</v>
      </c>
      <c r="O60" s="10">
        <v>701370</v>
      </c>
      <c r="P60" s="8" t="s">
        <v>111</v>
      </c>
      <c r="Q60" s="8">
        <v>663957</v>
      </c>
      <c r="R60" s="9">
        <v>45199</v>
      </c>
      <c r="S60" s="8" t="s">
        <v>34</v>
      </c>
      <c r="T60" s="8" t="s">
        <v>40</v>
      </c>
      <c r="U60" s="8" t="s">
        <v>58</v>
      </c>
      <c r="V60" s="8" t="s">
        <v>46</v>
      </c>
      <c r="W60" s="8">
        <v>0</v>
      </c>
    </row>
    <row r="61" spans="1:23" x14ac:dyDescent="0.25">
      <c r="A61" s="4">
        <v>3</v>
      </c>
      <c r="B61" s="4"/>
      <c r="C61" s="4">
        <v>878269</v>
      </c>
      <c r="D61" s="4">
        <v>5105.16</v>
      </c>
      <c r="E61" s="5">
        <f t="shared" si="0"/>
        <v>-0.15999999999985448</v>
      </c>
      <c r="F61" s="6" t="s">
        <v>30</v>
      </c>
      <c r="G61" s="10">
        <v>328946698</v>
      </c>
      <c r="H61" s="9">
        <v>45201</v>
      </c>
      <c r="I61" s="9">
        <v>45216</v>
      </c>
      <c r="J61" s="8">
        <v>5105</v>
      </c>
      <c r="K61" s="8" t="s">
        <v>31</v>
      </c>
      <c r="L61" s="8" t="s">
        <v>32</v>
      </c>
      <c r="M61" s="8"/>
      <c r="N61" s="8" t="b">
        <v>0</v>
      </c>
      <c r="O61" s="10">
        <v>701371</v>
      </c>
      <c r="P61" s="8" t="s">
        <v>112</v>
      </c>
      <c r="Q61" s="8">
        <v>663960</v>
      </c>
      <c r="R61" s="9">
        <v>45199</v>
      </c>
      <c r="S61" s="8" t="s">
        <v>34</v>
      </c>
      <c r="T61" s="8" t="s">
        <v>40</v>
      </c>
      <c r="U61" s="8" t="s">
        <v>58</v>
      </c>
      <c r="V61" s="8" t="s">
        <v>46</v>
      </c>
      <c r="W61" s="8">
        <v>0</v>
      </c>
    </row>
    <row r="62" spans="1:23" x14ac:dyDescent="0.25">
      <c r="A62" s="4">
        <v>3</v>
      </c>
      <c r="B62" s="4"/>
      <c r="C62" s="4">
        <v>878263</v>
      </c>
      <c r="D62" s="4">
        <v>4988</v>
      </c>
      <c r="E62" s="5">
        <f t="shared" si="0"/>
        <v>0</v>
      </c>
      <c r="F62" s="6" t="s">
        <v>30</v>
      </c>
      <c r="G62" s="10">
        <v>328946700</v>
      </c>
      <c r="H62" s="9">
        <v>45201</v>
      </c>
      <c r="I62" s="9">
        <v>45216</v>
      </c>
      <c r="J62" s="8">
        <v>4988</v>
      </c>
      <c r="K62" s="8" t="s">
        <v>31</v>
      </c>
      <c r="L62" s="8" t="s">
        <v>32</v>
      </c>
      <c r="M62" s="8"/>
      <c r="N62" s="8" t="b">
        <v>0</v>
      </c>
      <c r="O62" s="10">
        <v>700958</v>
      </c>
      <c r="P62" s="8" t="s">
        <v>113</v>
      </c>
      <c r="Q62" s="8">
        <v>663940</v>
      </c>
      <c r="R62" s="9">
        <v>45199</v>
      </c>
      <c r="S62" s="8" t="s">
        <v>34</v>
      </c>
      <c r="T62" s="8" t="s">
        <v>40</v>
      </c>
      <c r="U62" s="8" t="s">
        <v>84</v>
      </c>
      <c r="V62" s="8" t="s">
        <v>46</v>
      </c>
      <c r="W62" s="8">
        <v>0</v>
      </c>
    </row>
    <row r="63" spans="1:23" x14ac:dyDescent="0.25">
      <c r="A63" s="4">
        <v>3</v>
      </c>
      <c r="B63" s="4"/>
      <c r="C63" s="4">
        <v>878270</v>
      </c>
      <c r="D63" s="4">
        <v>4988</v>
      </c>
      <c r="E63" s="5">
        <f t="shared" si="0"/>
        <v>0</v>
      </c>
      <c r="F63" s="6" t="s">
        <v>30</v>
      </c>
      <c r="G63" s="10">
        <v>328946701</v>
      </c>
      <c r="H63" s="9">
        <v>45201</v>
      </c>
      <c r="I63" s="9">
        <v>45216</v>
      </c>
      <c r="J63" s="8">
        <v>4988</v>
      </c>
      <c r="K63" s="8" t="s">
        <v>31</v>
      </c>
      <c r="L63" s="8" t="s">
        <v>32</v>
      </c>
      <c r="M63" s="8"/>
      <c r="N63" s="8" t="b">
        <v>0</v>
      </c>
      <c r="O63" s="10">
        <v>700957</v>
      </c>
      <c r="P63" s="8" t="s">
        <v>114</v>
      </c>
      <c r="Q63" s="8">
        <v>663939</v>
      </c>
      <c r="R63" s="9">
        <v>45199</v>
      </c>
      <c r="S63" s="8" t="s">
        <v>34</v>
      </c>
      <c r="T63" s="8" t="s">
        <v>40</v>
      </c>
      <c r="U63" s="8" t="s">
        <v>84</v>
      </c>
      <c r="V63" s="8" t="s">
        <v>46</v>
      </c>
      <c r="W63" s="8">
        <v>0</v>
      </c>
    </row>
    <row r="64" spans="1:23" x14ac:dyDescent="0.25">
      <c r="A64" s="4">
        <v>3</v>
      </c>
      <c r="B64" s="4"/>
      <c r="C64" s="4">
        <v>878271</v>
      </c>
      <c r="D64" s="4">
        <v>5105.16</v>
      </c>
      <c r="E64" s="5">
        <f t="shared" si="0"/>
        <v>-0.15999999999985448</v>
      </c>
      <c r="F64" s="6" t="s">
        <v>30</v>
      </c>
      <c r="G64" s="10">
        <v>328946702</v>
      </c>
      <c r="H64" s="9">
        <v>45201</v>
      </c>
      <c r="I64" s="9">
        <v>45216</v>
      </c>
      <c r="J64" s="8">
        <v>5105</v>
      </c>
      <c r="K64" s="8" t="s">
        <v>31</v>
      </c>
      <c r="L64" s="8" t="s">
        <v>32</v>
      </c>
      <c r="M64" s="8"/>
      <c r="N64" s="8" t="b">
        <v>0</v>
      </c>
      <c r="O64" s="10">
        <v>701369</v>
      </c>
      <c r="P64" s="8" t="s">
        <v>115</v>
      </c>
      <c r="Q64" s="8">
        <v>663953</v>
      </c>
      <c r="R64" s="9">
        <v>45199</v>
      </c>
      <c r="S64" s="8" t="s">
        <v>34</v>
      </c>
      <c r="T64" s="8" t="s">
        <v>40</v>
      </c>
      <c r="U64" s="8" t="s">
        <v>58</v>
      </c>
      <c r="V64" s="8" t="s">
        <v>46</v>
      </c>
      <c r="W64" s="8">
        <v>0</v>
      </c>
    </row>
    <row r="65" spans="1:23" x14ac:dyDescent="0.25">
      <c r="A65" s="4">
        <v>3</v>
      </c>
      <c r="B65" s="4"/>
      <c r="C65" s="4">
        <v>878272</v>
      </c>
      <c r="D65" s="4">
        <v>5105.16</v>
      </c>
      <c r="E65" s="5">
        <f t="shared" si="0"/>
        <v>-0.15999999999985448</v>
      </c>
      <c r="F65" s="6" t="s">
        <v>30</v>
      </c>
      <c r="G65" s="10">
        <v>328946703</v>
      </c>
      <c r="H65" s="9">
        <v>45201</v>
      </c>
      <c r="I65" s="9">
        <v>45216</v>
      </c>
      <c r="J65" s="8">
        <v>5105</v>
      </c>
      <c r="K65" s="8" t="s">
        <v>31</v>
      </c>
      <c r="L65" s="8" t="s">
        <v>32</v>
      </c>
      <c r="M65" s="8"/>
      <c r="N65" s="8" t="b">
        <v>0</v>
      </c>
      <c r="O65" s="10">
        <v>701368</v>
      </c>
      <c r="P65" s="8" t="s">
        <v>116</v>
      </c>
      <c r="Q65" s="8">
        <v>663952</v>
      </c>
      <c r="R65" s="9">
        <v>45199</v>
      </c>
      <c r="S65" s="8" t="s">
        <v>34</v>
      </c>
      <c r="T65" s="8" t="s">
        <v>40</v>
      </c>
      <c r="U65" s="8" t="s">
        <v>58</v>
      </c>
      <c r="V65" s="8" t="s">
        <v>46</v>
      </c>
      <c r="W65" s="8">
        <v>0</v>
      </c>
    </row>
    <row r="66" spans="1:23" x14ac:dyDescent="0.25">
      <c r="A66" s="4">
        <v>3</v>
      </c>
      <c r="B66" s="4"/>
      <c r="C66" s="4">
        <v>878273</v>
      </c>
      <c r="D66" s="4">
        <v>5105.16</v>
      </c>
      <c r="E66" s="5">
        <f t="shared" si="0"/>
        <v>-0.15999999999985448</v>
      </c>
      <c r="F66" s="6" t="s">
        <v>30</v>
      </c>
      <c r="G66" s="10">
        <v>328946706</v>
      </c>
      <c r="H66" s="9">
        <v>45201</v>
      </c>
      <c r="I66" s="9">
        <v>45216</v>
      </c>
      <c r="J66" s="8">
        <v>5105</v>
      </c>
      <c r="K66" s="8" t="s">
        <v>31</v>
      </c>
      <c r="L66" s="8" t="s">
        <v>32</v>
      </c>
      <c r="M66" s="8"/>
      <c r="N66" s="8" t="b">
        <v>0</v>
      </c>
      <c r="O66" s="10">
        <v>700967</v>
      </c>
      <c r="P66" s="8" t="s">
        <v>117</v>
      </c>
      <c r="Q66" s="8">
        <v>663949</v>
      </c>
      <c r="R66" s="9">
        <v>45199</v>
      </c>
      <c r="S66" s="8" t="s">
        <v>34</v>
      </c>
      <c r="T66" s="8" t="s">
        <v>40</v>
      </c>
      <c r="U66" s="8" t="s">
        <v>58</v>
      </c>
      <c r="V66" s="8" t="s">
        <v>46</v>
      </c>
      <c r="W66" s="8">
        <v>0</v>
      </c>
    </row>
    <row r="67" spans="1:23" x14ac:dyDescent="0.25">
      <c r="A67" s="4">
        <v>3</v>
      </c>
      <c r="B67" s="4"/>
      <c r="C67" s="4">
        <v>878274</v>
      </c>
      <c r="D67" s="4">
        <v>5105.16</v>
      </c>
      <c r="E67" s="5">
        <f t="shared" si="0"/>
        <v>-0.15999999999985448</v>
      </c>
      <c r="F67" s="6" t="s">
        <v>30</v>
      </c>
      <c r="G67" s="10">
        <v>328946709</v>
      </c>
      <c r="H67" s="9">
        <v>45201</v>
      </c>
      <c r="I67" s="9">
        <v>45216</v>
      </c>
      <c r="J67" s="8">
        <v>5105</v>
      </c>
      <c r="K67" s="8" t="s">
        <v>31</v>
      </c>
      <c r="L67" s="8" t="s">
        <v>32</v>
      </c>
      <c r="M67" s="8"/>
      <c r="N67" s="8" t="b">
        <v>0</v>
      </c>
      <c r="O67" s="10">
        <v>700966</v>
      </c>
      <c r="P67" s="8" t="s">
        <v>118</v>
      </c>
      <c r="Q67" s="8">
        <v>663947</v>
      </c>
      <c r="R67" s="9">
        <v>45199</v>
      </c>
      <c r="S67" s="8" t="s">
        <v>34</v>
      </c>
      <c r="T67" s="8" t="s">
        <v>40</v>
      </c>
      <c r="U67" s="8" t="s">
        <v>58</v>
      </c>
      <c r="V67" s="8" t="s">
        <v>46</v>
      </c>
      <c r="W67" s="8">
        <v>0</v>
      </c>
    </row>
    <row r="68" spans="1:23" x14ac:dyDescent="0.25">
      <c r="A68" s="4">
        <v>3</v>
      </c>
      <c r="B68" s="4"/>
      <c r="C68" s="4">
        <v>878264</v>
      </c>
      <c r="D68" s="4">
        <v>5105.16</v>
      </c>
      <c r="E68" s="5">
        <f t="shared" si="0"/>
        <v>-0.15999999999985448</v>
      </c>
      <c r="F68" s="6" t="s">
        <v>30</v>
      </c>
      <c r="G68" s="10">
        <v>328946711</v>
      </c>
      <c r="H68" s="9">
        <v>45201</v>
      </c>
      <c r="I68" s="9">
        <v>45216</v>
      </c>
      <c r="J68" s="8">
        <v>5105</v>
      </c>
      <c r="K68" s="8" t="s">
        <v>31</v>
      </c>
      <c r="L68" s="8" t="s">
        <v>32</v>
      </c>
      <c r="M68" s="8"/>
      <c r="N68" s="8" t="b">
        <v>0</v>
      </c>
      <c r="O68" s="10">
        <v>700965</v>
      </c>
      <c r="P68" s="8" t="s">
        <v>119</v>
      </c>
      <c r="Q68" s="8">
        <v>663943</v>
      </c>
      <c r="R68" s="9">
        <v>45199</v>
      </c>
      <c r="S68" s="8" t="s">
        <v>34</v>
      </c>
      <c r="T68" s="8" t="s">
        <v>40</v>
      </c>
      <c r="U68" s="8" t="s">
        <v>58</v>
      </c>
      <c r="V68" s="8" t="s">
        <v>46</v>
      </c>
      <c r="W68" s="8">
        <v>0</v>
      </c>
    </row>
    <row r="69" spans="1:23" x14ac:dyDescent="0.25">
      <c r="A69" s="4">
        <v>3</v>
      </c>
      <c r="B69" s="4"/>
      <c r="C69" s="4">
        <v>878280</v>
      </c>
      <c r="D69" s="4">
        <v>6333.64</v>
      </c>
      <c r="E69" s="5">
        <f t="shared" si="0"/>
        <v>0.35999999999967258</v>
      </c>
      <c r="F69" s="6" t="s">
        <v>30</v>
      </c>
      <c r="G69" s="10">
        <v>328950169</v>
      </c>
      <c r="H69" s="9">
        <v>45201</v>
      </c>
      <c r="I69" s="9">
        <v>45216</v>
      </c>
      <c r="J69" s="8">
        <v>6334</v>
      </c>
      <c r="K69" s="8" t="s">
        <v>31</v>
      </c>
      <c r="L69" s="8" t="s">
        <v>32</v>
      </c>
      <c r="M69" s="8"/>
      <c r="N69" s="8" t="b">
        <v>0</v>
      </c>
      <c r="O69" s="10">
        <v>20920</v>
      </c>
      <c r="P69" s="8" t="s">
        <v>120</v>
      </c>
      <c r="Q69" s="8">
        <v>664878</v>
      </c>
      <c r="R69" s="9">
        <v>45200</v>
      </c>
      <c r="S69" s="8" t="s">
        <v>34</v>
      </c>
      <c r="T69" s="8" t="s">
        <v>35</v>
      </c>
      <c r="U69" s="8" t="s">
        <v>36</v>
      </c>
      <c r="V69" s="8" t="s">
        <v>37</v>
      </c>
      <c r="W69" s="8">
        <v>0</v>
      </c>
    </row>
    <row r="70" spans="1:23" x14ac:dyDescent="0.25">
      <c r="A70" s="4">
        <v>3</v>
      </c>
      <c r="B70" s="4"/>
      <c r="C70" s="4">
        <v>878279</v>
      </c>
      <c r="D70" s="4">
        <v>6333.64</v>
      </c>
      <c r="E70" s="5">
        <f t="shared" ref="E70:E133" si="1">J70-D70</f>
        <v>0.35999999999967258</v>
      </c>
      <c r="F70" s="6" t="s">
        <v>30</v>
      </c>
      <c r="G70" s="10">
        <v>328950170</v>
      </c>
      <c r="H70" s="9">
        <v>45201</v>
      </c>
      <c r="I70" s="9">
        <v>45216</v>
      </c>
      <c r="J70" s="8">
        <v>6334</v>
      </c>
      <c r="K70" s="8" t="s">
        <v>31</v>
      </c>
      <c r="L70" s="8" t="s">
        <v>32</v>
      </c>
      <c r="M70" s="8"/>
      <c r="N70" s="8" t="b">
        <v>0</v>
      </c>
      <c r="O70" s="10">
        <v>20921</v>
      </c>
      <c r="P70" s="8" t="s">
        <v>121</v>
      </c>
      <c r="Q70" s="8">
        <v>664879</v>
      </c>
      <c r="R70" s="9">
        <v>45200</v>
      </c>
      <c r="S70" s="8" t="s">
        <v>34</v>
      </c>
      <c r="T70" s="8" t="s">
        <v>35</v>
      </c>
      <c r="U70" s="8" t="s">
        <v>36</v>
      </c>
      <c r="V70" s="8" t="s">
        <v>37</v>
      </c>
      <c r="W70" s="8">
        <v>0</v>
      </c>
    </row>
    <row r="71" spans="1:23" x14ac:dyDescent="0.25">
      <c r="A71" s="4">
        <v>3</v>
      </c>
      <c r="B71" s="4"/>
      <c r="C71" s="4">
        <v>878281</v>
      </c>
      <c r="D71" s="4">
        <v>6333.64</v>
      </c>
      <c r="E71" s="5">
        <f t="shared" si="1"/>
        <v>0.35999999999967258</v>
      </c>
      <c r="F71" s="6" t="s">
        <v>30</v>
      </c>
      <c r="G71" s="10">
        <v>328950172</v>
      </c>
      <c r="H71" s="9">
        <v>45201</v>
      </c>
      <c r="I71" s="9">
        <v>45216</v>
      </c>
      <c r="J71" s="8">
        <v>6334</v>
      </c>
      <c r="K71" s="8" t="s">
        <v>31</v>
      </c>
      <c r="L71" s="8" t="s">
        <v>32</v>
      </c>
      <c r="M71" s="8"/>
      <c r="N71" s="8" t="b">
        <v>0</v>
      </c>
      <c r="O71" s="10">
        <v>20919</v>
      </c>
      <c r="P71" s="8" t="s">
        <v>122</v>
      </c>
      <c r="Q71" s="8">
        <v>664877</v>
      </c>
      <c r="R71" s="9">
        <v>45200</v>
      </c>
      <c r="S71" s="8" t="s">
        <v>34</v>
      </c>
      <c r="T71" s="8" t="s">
        <v>35</v>
      </c>
      <c r="U71" s="8" t="s">
        <v>36</v>
      </c>
      <c r="V71" s="8" t="s">
        <v>37</v>
      </c>
      <c r="W71" s="8">
        <v>0</v>
      </c>
    </row>
    <row r="72" spans="1:23" x14ac:dyDescent="0.25">
      <c r="A72" s="4">
        <v>3</v>
      </c>
      <c r="B72" s="4"/>
      <c r="C72" s="4">
        <v>878284</v>
      </c>
      <c r="D72" s="4">
        <v>25905.599999999999</v>
      </c>
      <c r="E72" s="5">
        <f t="shared" si="1"/>
        <v>2.4000000000014552</v>
      </c>
      <c r="F72" s="6" t="s">
        <v>30</v>
      </c>
      <c r="G72" s="10">
        <v>328962671</v>
      </c>
      <c r="H72" s="9">
        <v>45201</v>
      </c>
      <c r="I72" s="9">
        <v>45216</v>
      </c>
      <c r="J72" s="8">
        <v>25908</v>
      </c>
      <c r="K72" s="8" t="s">
        <v>31</v>
      </c>
      <c r="L72" s="8" t="s">
        <v>32</v>
      </c>
      <c r="M72" s="8"/>
      <c r="N72" s="8" t="b">
        <v>0</v>
      </c>
      <c r="O72" s="10"/>
      <c r="P72" s="8" t="s">
        <v>123</v>
      </c>
      <c r="Q72" s="8">
        <v>570251</v>
      </c>
      <c r="R72" s="9">
        <v>45194</v>
      </c>
      <c r="S72" s="8" t="s">
        <v>34</v>
      </c>
      <c r="T72" s="8" t="s">
        <v>49</v>
      </c>
      <c r="U72" s="8" t="s">
        <v>75</v>
      </c>
      <c r="V72" s="8" t="s">
        <v>46</v>
      </c>
      <c r="W72" s="8">
        <v>0</v>
      </c>
    </row>
    <row r="73" spans="1:23" x14ac:dyDescent="0.25">
      <c r="A73" s="4">
        <v>3</v>
      </c>
      <c r="B73" s="4"/>
      <c r="C73" s="4">
        <v>878276</v>
      </c>
      <c r="D73" s="4">
        <v>5147.96</v>
      </c>
      <c r="E73" s="5">
        <f t="shared" si="1"/>
        <v>3.999999999996362E-2</v>
      </c>
      <c r="F73" s="6" t="s">
        <v>30</v>
      </c>
      <c r="G73" s="10">
        <v>328967100</v>
      </c>
      <c r="H73" s="9">
        <v>45201</v>
      </c>
      <c r="I73" s="9">
        <v>45216</v>
      </c>
      <c r="J73" s="8">
        <v>5148</v>
      </c>
      <c r="K73" s="8" t="s">
        <v>31</v>
      </c>
      <c r="L73" s="8" t="s">
        <v>32</v>
      </c>
      <c r="M73" s="8"/>
      <c r="N73" s="8" t="b">
        <v>0</v>
      </c>
      <c r="O73" s="10">
        <v>701392</v>
      </c>
      <c r="P73" s="8" t="s">
        <v>124</v>
      </c>
      <c r="Q73" s="8">
        <v>674461</v>
      </c>
      <c r="R73" s="9">
        <v>45201</v>
      </c>
      <c r="S73" s="8" t="s">
        <v>34</v>
      </c>
      <c r="T73" s="8" t="s">
        <v>44</v>
      </c>
      <c r="U73" s="8" t="s">
        <v>45</v>
      </c>
      <c r="V73" s="8" t="s">
        <v>46</v>
      </c>
      <c r="W73" s="8">
        <v>0</v>
      </c>
    </row>
    <row r="74" spans="1:23" x14ac:dyDescent="0.25">
      <c r="A74" s="4">
        <v>3</v>
      </c>
      <c r="B74" s="4"/>
      <c r="C74" s="4">
        <v>878277</v>
      </c>
      <c r="D74" s="4">
        <v>5147.96</v>
      </c>
      <c r="E74" s="5">
        <f t="shared" si="1"/>
        <v>3.999999999996362E-2</v>
      </c>
      <c r="F74" s="6" t="s">
        <v>30</v>
      </c>
      <c r="G74" s="10">
        <v>328967160</v>
      </c>
      <c r="H74" s="9">
        <v>45201</v>
      </c>
      <c r="I74" s="9">
        <v>45216</v>
      </c>
      <c r="J74" s="8">
        <v>5148</v>
      </c>
      <c r="K74" s="8" t="s">
        <v>31</v>
      </c>
      <c r="L74" s="8" t="s">
        <v>32</v>
      </c>
      <c r="M74" s="8"/>
      <c r="N74" s="8" t="b">
        <v>0</v>
      </c>
      <c r="O74" s="10">
        <v>701393</v>
      </c>
      <c r="P74" s="8" t="s">
        <v>125</v>
      </c>
      <c r="Q74" s="8">
        <v>674465</v>
      </c>
      <c r="R74" s="9">
        <v>45201</v>
      </c>
      <c r="S74" s="8" t="s">
        <v>34</v>
      </c>
      <c r="T74" s="8" t="s">
        <v>44</v>
      </c>
      <c r="U74" s="8" t="s">
        <v>45</v>
      </c>
      <c r="V74" s="8" t="s">
        <v>46</v>
      </c>
      <c r="W74" s="8">
        <v>0</v>
      </c>
    </row>
    <row r="75" spans="1:23" x14ac:dyDescent="0.25">
      <c r="A75" s="4">
        <v>3</v>
      </c>
      <c r="B75" s="4"/>
      <c r="C75" s="4">
        <v>878286</v>
      </c>
      <c r="D75" s="4">
        <v>87472</v>
      </c>
      <c r="E75" s="5">
        <f t="shared" si="1"/>
        <v>8</v>
      </c>
      <c r="F75" s="6" t="s">
        <v>30</v>
      </c>
      <c r="G75" s="10">
        <v>328967933</v>
      </c>
      <c r="H75" s="9">
        <v>45201</v>
      </c>
      <c r="I75" s="9">
        <v>45216</v>
      </c>
      <c r="J75" s="8">
        <v>87480</v>
      </c>
      <c r="K75" s="8" t="s">
        <v>31</v>
      </c>
      <c r="L75" s="8" t="s">
        <v>32</v>
      </c>
      <c r="M75" s="8"/>
      <c r="N75" s="8" t="b">
        <v>0</v>
      </c>
      <c r="O75" s="10"/>
      <c r="P75" s="8" t="s">
        <v>126</v>
      </c>
      <c r="Q75" s="8">
        <v>675367</v>
      </c>
      <c r="R75" s="9">
        <v>45201</v>
      </c>
      <c r="S75" s="8" t="s">
        <v>34</v>
      </c>
      <c r="T75" s="8" t="s">
        <v>49</v>
      </c>
      <c r="U75" s="8" t="s">
        <v>75</v>
      </c>
      <c r="V75" s="8" t="s">
        <v>46</v>
      </c>
      <c r="W75" s="8">
        <v>0</v>
      </c>
    </row>
    <row r="76" spans="1:23" x14ac:dyDescent="0.25">
      <c r="A76" s="4">
        <v>3</v>
      </c>
      <c r="B76" s="4"/>
      <c r="C76" s="4">
        <v>878287</v>
      </c>
      <c r="D76" s="4">
        <v>6374.58</v>
      </c>
      <c r="E76" s="5">
        <f t="shared" si="1"/>
        <v>0.42000000000007276</v>
      </c>
      <c r="F76" s="6" t="s">
        <v>30</v>
      </c>
      <c r="G76" s="10">
        <v>328972112</v>
      </c>
      <c r="H76" s="9">
        <v>45201</v>
      </c>
      <c r="I76" s="9">
        <v>45216</v>
      </c>
      <c r="J76" s="8">
        <v>6375</v>
      </c>
      <c r="K76" s="8" t="s">
        <v>31</v>
      </c>
      <c r="L76" s="8" t="s">
        <v>32</v>
      </c>
      <c r="M76" s="8"/>
      <c r="N76" s="8" t="b">
        <v>0</v>
      </c>
      <c r="O76" s="10">
        <v>20927</v>
      </c>
      <c r="P76" s="8" t="s">
        <v>127</v>
      </c>
      <c r="Q76" s="8">
        <v>678825</v>
      </c>
      <c r="R76" s="9">
        <v>45201</v>
      </c>
      <c r="S76" s="8" t="s">
        <v>48</v>
      </c>
      <c r="T76" s="8" t="s">
        <v>40</v>
      </c>
      <c r="U76" s="8" t="s">
        <v>50</v>
      </c>
      <c r="V76" s="8" t="s">
        <v>37</v>
      </c>
      <c r="W76" s="8">
        <v>0</v>
      </c>
    </row>
    <row r="77" spans="1:23" x14ac:dyDescent="0.25">
      <c r="A77" s="4">
        <v>3</v>
      </c>
      <c r="B77" s="4"/>
      <c r="C77" s="4">
        <v>878288</v>
      </c>
      <c r="D77" s="4">
        <v>6374.58</v>
      </c>
      <c r="E77" s="5">
        <f t="shared" si="1"/>
        <v>0.42000000000007276</v>
      </c>
      <c r="F77" s="6" t="s">
        <v>30</v>
      </c>
      <c r="G77" s="10">
        <v>328972150</v>
      </c>
      <c r="H77" s="9">
        <v>45201</v>
      </c>
      <c r="I77" s="9">
        <v>45216</v>
      </c>
      <c r="J77" s="8">
        <v>6375</v>
      </c>
      <c r="K77" s="8" t="s">
        <v>31</v>
      </c>
      <c r="L77" s="8" t="s">
        <v>32</v>
      </c>
      <c r="M77" s="8"/>
      <c r="N77" s="8" t="b">
        <v>0</v>
      </c>
      <c r="O77" s="10">
        <v>20926</v>
      </c>
      <c r="P77" s="8" t="s">
        <v>128</v>
      </c>
      <c r="Q77" s="8">
        <v>678807</v>
      </c>
      <c r="R77" s="9">
        <v>45201</v>
      </c>
      <c r="S77" s="8" t="s">
        <v>48</v>
      </c>
      <c r="T77" s="8" t="s">
        <v>40</v>
      </c>
      <c r="U77" s="8" t="s">
        <v>50</v>
      </c>
      <c r="V77" s="8" t="s">
        <v>37</v>
      </c>
      <c r="W77" s="8">
        <v>0</v>
      </c>
    </row>
    <row r="78" spans="1:23" x14ac:dyDescent="0.25">
      <c r="A78" s="4">
        <v>3</v>
      </c>
      <c r="B78" s="4"/>
      <c r="C78" s="4">
        <v>878487</v>
      </c>
      <c r="D78" s="4">
        <v>9263.8799999999992</v>
      </c>
      <c r="E78" s="5">
        <f t="shared" si="1"/>
        <v>0.12000000000080036</v>
      </c>
      <c r="F78" s="6" t="s">
        <v>30</v>
      </c>
      <c r="G78" s="10">
        <v>328984270</v>
      </c>
      <c r="H78" s="9">
        <v>45202</v>
      </c>
      <c r="I78" s="9">
        <v>45217</v>
      </c>
      <c r="J78" s="8">
        <v>9264</v>
      </c>
      <c r="K78" s="8" t="s">
        <v>31</v>
      </c>
      <c r="L78" s="8" t="s">
        <v>32</v>
      </c>
      <c r="M78" s="8"/>
      <c r="N78" s="8" t="b">
        <v>0</v>
      </c>
      <c r="O78" s="10">
        <v>700587</v>
      </c>
      <c r="P78" s="8" t="s">
        <v>129</v>
      </c>
      <c r="Q78" s="8">
        <v>686001</v>
      </c>
      <c r="R78" s="9">
        <v>45202</v>
      </c>
      <c r="S78" s="8" t="s">
        <v>130</v>
      </c>
      <c r="T78" s="8" t="s">
        <v>40</v>
      </c>
      <c r="U78" s="8" t="s">
        <v>131</v>
      </c>
      <c r="V78" s="8" t="s">
        <v>132</v>
      </c>
      <c r="W78" s="8">
        <v>0</v>
      </c>
    </row>
    <row r="79" spans="1:23" x14ac:dyDescent="0.25">
      <c r="A79" s="4">
        <v>3</v>
      </c>
      <c r="B79" s="4"/>
      <c r="C79" s="4">
        <v>878488</v>
      </c>
      <c r="D79" s="4">
        <v>7980.88</v>
      </c>
      <c r="E79" s="5">
        <f t="shared" si="1"/>
        <v>0.11999999999989086</v>
      </c>
      <c r="F79" s="6" t="s">
        <v>30</v>
      </c>
      <c r="G79" s="10">
        <v>328984650</v>
      </c>
      <c r="H79" s="9">
        <v>45202</v>
      </c>
      <c r="I79" s="9">
        <v>45217</v>
      </c>
      <c r="J79" s="8">
        <v>7981</v>
      </c>
      <c r="K79" s="8" t="s">
        <v>31</v>
      </c>
      <c r="L79" s="8" t="s">
        <v>32</v>
      </c>
      <c r="M79" s="8"/>
      <c r="N79" s="8" t="b">
        <v>0</v>
      </c>
      <c r="O79" s="10">
        <v>701495</v>
      </c>
      <c r="P79" s="8" t="s">
        <v>133</v>
      </c>
      <c r="Q79" s="8">
        <v>686549</v>
      </c>
      <c r="R79" s="9">
        <v>45202</v>
      </c>
      <c r="S79" s="8" t="s">
        <v>34</v>
      </c>
      <c r="T79" s="8" t="s">
        <v>40</v>
      </c>
      <c r="U79" s="8" t="s">
        <v>88</v>
      </c>
      <c r="V79" s="8" t="s">
        <v>72</v>
      </c>
      <c r="W79" s="8">
        <v>0</v>
      </c>
    </row>
    <row r="80" spans="1:23" x14ac:dyDescent="0.25">
      <c r="A80" s="4">
        <v>3</v>
      </c>
      <c r="B80" s="4"/>
      <c r="C80" s="4">
        <v>878489</v>
      </c>
      <c r="D80" s="4">
        <v>7980.88</v>
      </c>
      <c r="E80" s="5">
        <f t="shared" si="1"/>
        <v>0.11999999999989086</v>
      </c>
      <c r="F80" s="6" t="s">
        <v>30</v>
      </c>
      <c r="G80" s="10">
        <v>328984681</v>
      </c>
      <c r="H80" s="9">
        <v>45202</v>
      </c>
      <c r="I80" s="9">
        <v>45217</v>
      </c>
      <c r="J80" s="8">
        <v>7981</v>
      </c>
      <c r="K80" s="8" t="s">
        <v>31</v>
      </c>
      <c r="L80" s="8" t="s">
        <v>32</v>
      </c>
      <c r="M80" s="8"/>
      <c r="N80" s="8" t="b">
        <v>0</v>
      </c>
      <c r="O80" s="10">
        <v>701496</v>
      </c>
      <c r="P80" s="8" t="s">
        <v>134</v>
      </c>
      <c r="Q80" s="8">
        <v>686551</v>
      </c>
      <c r="R80" s="9">
        <v>45202</v>
      </c>
      <c r="S80" s="8" t="s">
        <v>34</v>
      </c>
      <c r="T80" s="8" t="s">
        <v>40</v>
      </c>
      <c r="U80" s="8" t="s">
        <v>88</v>
      </c>
      <c r="V80" s="8" t="s">
        <v>72</v>
      </c>
      <c r="W80" s="8">
        <v>0</v>
      </c>
    </row>
    <row r="81" spans="1:23" x14ac:dyDescent="0.25">
      <c r="A81" s="4">
        <v>3</v>
      </c>
      <c r="B81" s="4"/>
      <c r="C81" s="4">
        <v>878493</v>
      </c>
      <c r="D81" s="4">
        <v>7001.24</v>
      </c>
      <c r="E81" s="5">
        <f t="shared" si="1"/>
        <v>-0.23999999999978172</v>
      </c>
      <c r="F81" s="6" t="s">
        <v>30</v>
      </c>
      <c r="G81" s="10">
        <v>328992752</v>
      </c>
      <c r="H81" s="9">
        <v>45202</v>
      </c>
      <c r="I81" s="9">
        <v>45217</v>
      </c>
      <c r="J81" s="8">
        <v>7001</v>
      </c>
      <c r="K81" s="8" t="s">
        <v>31</v>
      </c>
      <c r="L81" s="8" t="s">
        <v>32</v>
      </c>
      <c r="M81" s="8"/>
      <c r="N81" s="8" t="b">
        <v>0</v>
      </c>
      <c r="O81" s="10">
        <v>20907</v>
      </c>
      <c r="P81" s="8" t="s">
        <v>135</v>
      </c>
      <c r="Q81" s="8">
        <v>695368</v>
      </c>
      <c r="R81" s="9">
        <v>45202</v>
      </c>
      <c r="S81" s="8" t="s">
        <v>39</v>
      </c>
      <c r="T81" s="8" t="s">
        <v>40</v>
      </c>
      <c r="U81" s="8" t="s">
        <v>41</v>
      </c>
      <c r="V81" s="8" t="s">
        <v>42</v>
      </c>
      <c r="W81" s="8">
        <v>0</v>
      </c>
    </row>
    <row r="82" spans="1:23" x14ac:dyDescent="0.25">
      <c r="A82" s="4">
        <v>3</v>
      </c>
      <c r="B82" s="4"/>
      <c r="C82" s="4">
        <v>878494</v>
      </c>
      <c r="D82" s="4">
        <v>7001.24</v>
      </c>
      <c r="E82" s="5">
        <f t="shared" si="1"/>
        <v>-0.23999999999978172</v>
      </c>
      <c r="F82" s="6" t="s">
        <v>30</v>
      </c>
      <c r="G82" s="10">
        <v>328992839</v>
      </c>
      <c r="H82" s="9">
        <v>45202</v>
      </c>
      <c r="I82" s="9">
        <v>45217</v>
      </c>
      <c r="J82" s="8">
        <v>7001</v>
      </c>
      <c r="K82" s="8" t="s">
        <v>31</v>
      </c>
      <c r="L82" s="8" t="s">
        <v>32</v>
      </c>
      <c r="M82" s="8"/>
      <c r="N82" s="8" t="b">
        <v>0</v>
      </c>
      <c r="O82" s="10">
        <v>20906</v>
      </c>
      <c r="P82" s="8" t="s">
        <v>136</v>
      </c>
      <c r="Q82" s="8">
        <v>695354</v>
      </c>
      <c r="R82" s="9">
        <v>45202</v>
      </c>
      <c r="S82" s="8" t="s">
        <v>39</v>
      </c>
      <c r="T82" s="8" t="s">
        <v>40</v>
      </c>
      <c r="U82" s="8" t="s">
        <v>41</v>
      </c>
      <c r="V82" s="8" t="s">
        <v>42</v>
      </c>
      <c r="W82" s="8">
        <v>0</v>
      </c>
    </row>
    <row r="83" spans="1:23" x14ac:dyDescent="0.25">
      <c r="A83" s="4">
        <v>3</v>
      </c>
      <c r="B83" s="4"/>
      <c r="C83" s="4">
        <v>878495</v>
      </c>
      <c r="D83" s="4">
        <v>7001.24</v>
      </c>
      <c r="E83" s="5">
        <f t="shared" si="1"/>
        <v>-0.23999999999978172</v>
      </c>
      <c r="F83" s="6" t="s">
        <v>30</v>
      </c>
      <c r="G83" s="10">
        <v>328992890</v>
      </c>
      <c r="H83" s="9">
        <v>45202</v>
      </c>
      <c r="I83" s="9">
        <v>45217</v>
      </c>
      <c r="J83" s="8">
        <v>7001</v>
      </c>
      <c r="K83" s="8" t="s">
        <v>31</v>
      </c>
      <c r="L83" s="8" t="s">
        <v>32</v>
      </c>
      <c r="M83" s="8"/>
      <c r="N83" s="8" t="b">
        <v>0</v>
      </c>
      <c r="O83" s="10">
        <v>20905</v>
      </c>
      <c r="P83" s="8" t="s">
        <v>137</v>
      </c>
      <c r="Q83" s="8">
        <v>695331</v>
      </c>
      <c r="R83" s="9">
        <v>45202</v>
      </c>
      <c r="S83" s="8" t="s">
        <v>39</v>
      </c>
      <c r="T83" s="8" t="s">
        <v>40</v>
      </c>
      <c r="U83" s="8" t="s">
        <v>41</v>
      </c>
      <c r="V83" s="8" t="s">
        <v>42</v>
      </c>
      <c r="W83" s="8">
        <v>0</v>
      </c>
    </row>
    <row r="84" spans="1:23" x14ac:dyDescent="0.25">
      <c r="A84" s="4">
        <v>3</v>
      </c>
      <c r="B84" s="4"/>
      <c r="C84" s="4">
        <v>878490</v>
      </c>
      <c r="D84" s="4">
        <v>7980.88</v>
      </c>
      <c r="E84" s="5">
        <f t="shared" si="1"/>
        <v>0.11999999999989086</v>
      </c>
      <c r="F84" s="6" t="s">
        <v>30</v>
      </c>
      <c r="G84" s="10">
        <v>328992901</v>
      </c>
      <c r="H84" s="9">
        <v>45202</v>
      </c>
      <c r="I84" s="9">
        <v>45217</v>
      </c>
      <c r="J84" s="8">
        <v>7981</v>
      </c>
      <c r="K84" s="8" t="s">
        <v>31</v>
      </c>
      <c r="L84" s="8" t="s">
        <v>32</v>
      </c>
      <c r="M84" s="8"/>
      <c r="N84" s="8" t="b">
        <v>0</v>
      </c>
      <c r="O84" s="10">
        <v>701497</v>
      </c>
      <c r="P84" s="8" t="s">
        <v>138</v>
      </c>
      <c r="Q84" s="8">
        <v>695392</v>
      </c>
      <c r="R84" s="9">
        <v>45202</v>
      </c>
      <c r="S84" s="8" t="s">
        <v>34</v>
      </c>
      <c r="T84" s="8" t="s">
        <v>40</v>
      </c>
      <c r="U84" s="8" t="s">
        <v>88</v>
      </c>
      <c r="V84" s="8" t="s">
        <v>72</v>
      </c>
      <c r="W84" s="8">
        <v>0</v>
      </c>
    </row>
    <row r="85" spans="1:23" x14ac:dyDescent="0.25">
      <c r="A85" s="4">
        <v>3</v>
      </c>
      <c r="B85" s="4"/>
      <c r="C85" s="4">
        <v>878492</v>
      </c>
      <c r="D85" s="4">
        <v>6374.58</v>
      </c>
      <c r="E85" s="5">
        <f t="shared" si="1"/>
        <v>0.42000000000007276</v>
      </c>
      <c r="F85" s="6" t="s">
        <v>30</v>
      </c>
      <c r="G85" s="10">
        <v>328994833</v>
      </c>
      <c r="H85" s="9">
        <v>45202</v>
      </c>
      <c r="I85" s="9">
        <v>45217</v>
      </c>
      <c r="J85" s="8">
        <v>6375</v>
      </c>
      <c r="K85" s="8" t="s">
        <v>31</v>
      </c>
      <c r="L85" s="8" t="s">
        <v>32</v>
      </c>
      <c r="M85" s="8"/>
      <c r="N85" s="8" t="b">
        <v>0</v>
      </c>
      <c r="O85" s="10">
        <v>20925</v>
      </c>
      <c r="P85" s="8" t="s">
        <v>139</v>
      </c>
      <c r="Q85" s="8">
        <v>696352</v>
      </c>
      <c r="R85" s="9">
        <v>45202</v>
      </c>
      <c r="S85" s="8" t="s">
        <v>48</v>
      </c>
      <c r="T85" s="8" t="s">
        <v>40</v>
      </c>
      <c r="U85" s="8" t="s">
        <v>50</v>
      </c>
      <c r="V85" s="8" t="s">
        <v>37</v>
      </c>
      <c r="W85" s="8">
        <v>0</v>
      </c>
    </row>
    <row r="86" spans="1:23" x14ac:dyDescent="0.25">
      <c r="A86" s="4">
        <v>3</v>
      </c>
      <c r="B86" s="4"/>
      <c r="C86" s="4">
        <v>878483</v>
      </c>
      <c r="D86" s="4">
        <v>7980.88</v>
      </c>
      <c r="E86" s="5">
        <f t="shared" si="1"/>
        <v>0.11999999999989086</v>
      </c>
      <c r="F86" s="6" t="s">
        <v>30</v>
      </c>
      <c r="G86" s="10">
        <v>329008161</v>
      </c>
      <c r="H86" s="9">
        <v>45203</v>
      </c>
      <c r="I86" s="9">
        <v>45218</v>
      </c>
      <c r="J86" s="8">
        <v>7981</v>
      </c>
      <c r="K86" s="8" t="s">
        <v>31</v>
      </c>
      <c r="L86" s="8" t="s">
        <v>32</v>
      </c>
      <c r="M86" s="8"/>
      <c r="N86" s="8" t="b">
        <v>0</v>
      </c>
      <c r="O86" s="10">
        <v>701499</v>
      </c>
      <c r="P86" s="8" t="s">
        <v>140</v>
      </c>
      <c r="Q86" s="8">
        <v>105329</v>
      </c>
      <c r="R86" s="9">
        <v>45203</v>
      </c>
      <c r="S86" s="8" t="s">
        <v>34</v>
      </c>
      <c r="T86" s="8" t="s">
        <v>40</v>
      </c>
      <c r="U86" s="8" t="s">
        <v>88</v>
      </c>
      <c r="V86" s="8" t="s">
        <v>72</v>
      </c>
      <c r="W86" s="8">
        <v>0</v>
      </c>
    </row>
    <row r="87" spans="1:23" x14ac:dyDescent="0.25">
      <c r="A87" s="4">
        <v>3</v>
      </c>
      <c r="B87" s="4"/>
      <c r="C87" s="4">
        <v>878484</v>
      </c>
      <c r="D87" s="4">
        <v>7980.88</v>
      </c>
      <c r="E87" s="5">
        <f t="shared" si="1"/>
        <v>0.11999999999989086</v>
      </c>
      <c r="F87" s="6" t="s">
        <v>30</v>
      </c>
      <c r="G87" s="10">
        <v>329008190</v>
      </c>
      <c r="H87" s="9">
        <v>45203</v>
      </c>
      <c r="I87" s="9">
        <v>45218</v>
      </c>
      <c r="J87" s="8">
        <v>7981</v>
      </c>
      <c r="K87" s="8" t="s">
        <v>31</v>
      </c>
      <c r="L87" s="8" t="s">
        <v>32</v>
      </c>
      <c r="M87" s="8"/>
      <c r="N87" s="8" t="b">
        <v>0</v>
      </c>
      <c r="O87" s="10">
        <v>701500</v>
      </c>
      <c r="P87" s="8" t="s">
        <v>141</v>
      </c>
      <c r="Q87" s="8">
        <v>105336</v>
      </c>
      <c r="R87" s="9">
        <v>45203</v>
      </c>
      <c r="S87" s="8" t="s">
        <v>34</v>
      </c>
      <c r="T87" s="8" t="s">
        <v>40</v>
      </c>
      <c r="U87" s="8" t="s">
        <v>88</v>
      </c>
      <c r="V87" s="8" t="s">
        <v>72</v>
      </c>
      <c r="W87" s="8">
        <v>0</v>
      </c>
    </row>
    <row r="88" spans="1:23" x14ac:dyDescent="0.25">
      <c r="A88" s="4">
        <v>3</v>
      </c>
      <c r="B88" s="4"/>
      <c r="C88" s="4">
        <v>878486</v>
      </c>
      <c r="D88" s="4">
        <v>5173.26</v>
      </c>
      <c r="E88" s="5">
        <f t="shared" si="1"/>
        <v>-0.26000000000021828</v>
      </c>
      <c r="F88" s="6" t="s">
        <v>30</v>
      </c>
      <c r="G88" s="10">
        <v>329008196</v>
      </c>
      <c r="H88" s="9">
        <v>45203</v>
      </c>
      <c r="I88" s="9">
        <v>45218</v>
      </c>
      <c r="J88" s="8">
        <v>5173</v>
      </c>
      <c r="K88" s="8" t="s">
        <v>31</v>
      </c>
      <c r="L88" s="8" t="s">
        <v>32</v>
      </c>
      <c r="M88" s="8"/>
      <c r="N88" s="8" t="b">
        <v>0</v>
      </c>
      <c r="O88" s="10">
        <v>701816</v>
      </c>
      <c r="P88" s="8" t="s">
        <v>142</v>
      </c>
      <c r="Q88" s="8">
        <v>105380</v>
      </c>
      <c r="R88" s="9">
        <v>45203</v>
      </c>
      <c r="S88" s="8" t="s">
        <v>34</v>
      </c>
      <c r="T88" s="8" t="s">
        <v>40</v>
      </c>
      <c r="U88" s="8" t="s">
        <v>58</v>
      </c>
      <c r="V88" s="8" t="s">
        <v>46</v>
      </c>
      <c r="W88" s="8">
        <v>0</v>
      </c>
    </row>
    <row r="89" spans="1:23" x14ac:dyDescent="0.25">
      <c r="A89" s="4">
        <v>3</v>
      </c>
      <c r="B89" s="4"/>
      <c r="C89" s="4">
        <v>878482</v>
      </c>
      <c r="D89" s="4">
        <v>7980.88</v>
      </c>
      <c r="E89" s="5">
        <f t="shared" si="1"/>
        <v>0.11999999999989086</v>
      </c>
      <c r="F89" s="6" t="s">
        <v>30</v>
      </c>
      <c r="G89" s="10">
        <v>329008213</v>
      </c>
      <c r="H89" s="9">
        <v>45203</v>
      </c>
      <c r="I89" s="9">
        <v>45218</v>
      </c>
      <c r="J89" s="8">
        <v>7981</v>
      </c>
      <c r="K89" s="8" t="s">
        <v>31</v>
      </c>
      <c r="L89" s="8" t="s">
        <v>32</v>
      </c>
      <c r="M89" s="8"/>
      <c r="N89" s="8" t="b">
        <v>0</v>
      </c>
      <c r="O89" s="10">
        <v>701498</v>
      </c>
      <c r="P89" s="8" t="s">
        <v>143</v>
      </c>
      <c r="Q89" s="8">
        <v>105321</v>
      </c>
      <c r="R89" s="9">
        <v>45203</v>
      </c>
      <c r="S89" s="8" t="s">
        <v>34</v>
      </c>
      <c r="T89" s="8" t="s">
        <v>40</v>
      </c>
      <c r="U89" s="8" t="s">
        <v>88</v>
      </c>
      <c r="V89" s="8" t="s">
        <v>72</v>
      </c>
      <c r="W89" s="8">
        <v>0</v>
      </c>
    </row>
    <row r="90" spans="1:23" x14ac:dyDescent="0.25">
      <c r="A90" s="4">
        <v>3</v>
      </c>
      <c r="B90" s="4"/>
      <c r="C90" s="4">
        <v>878485</v>
      </c>
      <c r="D90" s="4">
        <v>5173.26</v>
      </c>
      <c r="E90" s="5">
        <f t="shared" si="1"/>
        <v>-0.26000000000021828</v>
      </c>
      <c r="F90" s="6" t="s">
        <v>30</v>
      </c>
      <c r="G90" s="10">
        <v>329008257</v>
      </c>
      <c r="H90" s="9">
        <v>45203</v>
      </c>
      <c r="I90" s="9">
        <v>45218</v>
      </c>
      <c r="J90" s="8">
        <v>5173</v>
      </c>
      <c r="K90" s="8" t="s">
        <v>31</v>
      </c>
      <c r="L90" s="8" t="s">
        <v>32</v>
      </c>
      <c r="M90" s="8"/>
      <c r="N90" s="8" t="b">
        <v>0</v>
      </c>
      <c r="O90" s="10">
        <v>701815</v>
      </c>
      <c r="P90" s="8" t="s">
        <v>144</v>
      </c>
      <c r="Q90" s="8">
        <v>105373</v>
      </c>
      <c r="R90" s="9">
        <v>45203</v>
      </c>
      <c r="S90" s="8" t="s">
        <v>34</v>
      </c>
      <c r="T90" s="8" t="s">
        <v>40</v>
      </c>
      <c r="U90" s="8" t="s">
        <v>58</v>
      </c>
      <c r="V90" s="8" t="s">
        <v>46</v>
      </c>
      <c r="W90" s="8">
        <v>0</v>
      </c>
    </row>
    <row r="91" spans="1:23" x14ac:dyDescent="0.25">
      <c r="A91" s="4">
        <v>1</v>
      </c>
      <c r="B91" s="4" t="s">
        <v>145</v>
      </c>
      <c r="C91" s="4" t="s">
        <v>146</v>
      </c>
      <c r="D91" s="4">
        <v>41172.800000000003</v>
      </c>
      <c r="E91" s="5">
        <f t="shared" si="1"/>
        <v>2.1999999999970896</v>
      </c>
      <c r="F91" s="6" t="s">
        <v>30</v>
      </c>
      <c r="G91" s="10">
        <v>329019704</v>
      </c>
      <c r="H91" s="9">
        <v>45203</v>
      </c>
      <c r="I91" s="9">
        <v>45218</v>
      </c>
      <c r="J91" s="8">
        <v>41175</v>
      </c>
      <c r="K91" s="8" t="s">
        <v>31</v>
      </c>
      <c r="L91" s="8" t="s">
        <v>32</v>
      </c>
      <c r="M91" s="8"/>
      <c r="N91" s="8" t="b">
        <v>0</v>
      </c>
      <c r="O91" s="10"/>
      <c r="P91" s="8" t="s">
        <v>147</v>
      </c>
      <c r="Q91" s="8">
        <v>115335</v>
      </c>
      <c r="R91" s="9">
        <v>45203</v>
      </c>
      <c r="S91" s="8" t="s">
        <v>148</v>
      </c>
      <c r="T91" s="8" t="s">
        <v>49</v>
      </c>
      <c r="U91" s="8" t="s">
        <v>149</v>
      </c>
      <c r="V91" s="8" t="s">
        <v>150</v>
      </c>
      <c r="W91" s="8">
        <v>0</v>
      </c>
    </row>
    <row r="92" spans="1:23" x14ac:dyDescent="0.25">
      <c r="A92" s="4">
        <v>3</v>
      </c>
      <c r="B92" s="4"/>
      <c r="C92" s="4">
        <v>878491</v>
      </c>
      <c r="D92" s="4">
        <v>51967.360000000001</v>
      </c>
      <c r="E92" s="5">
        <f t="shared" si="1"/>
        <v>0.63999999999941792</v>
      </c>
      <c r="F92" s="6" t="s">
        <v>30</v>
      </c>
      <c r="G92" s="10">
        <v>329019732</v>
      </c>
      <c r="H92" s="9">
        <v>45203</v>
      </c>
      <c r="I92" s="9">
        <v>45218</v>
      </c>
      <c r="J92" s="8">
        <v>51968</v>
      </c>
      <c r="K92" s="8" t="s">
        <v>31</v>
      </c>
      <c r="L92" s="8" t="s">
        <v>32</v>
      </c>
      <c r="M92" s="8"/>
      <c r="N92" s="8" t="b">
        <v>0</v>
      </c>
      <c r="O92" s="10"/>
      <c r="P92" s="8" t="s">
        <v>151</v>
      </c>
      <c r="Q92" s="8">
        <v>115289</v>
      </c>
      <c r="R92" s="9">
        <v>45203</v>
      </c>
      <c r="S92" s="8" t="s">
        <v>70</v>
      </c>
      <c r="T92" s="8" t="s">
        <v>49</v>
      </c>
      <c r="U92" s="8" t="s">
        <v>71</v>
      </c>
      <c r="V92" s="8" t="s">
        <v>72</v>
      </c>
      <c r="W92" s="8">
        <v>0</v>
      </c>
    </row>
    <row r="93" spans="1:23" x14ac:dyDescent="0.25">
      <c r="A93" s="4">
        <v>3</v>
      </c>
      <c r="B93" s="4"/>
      <c r="C93" s="4">
        <v>878645</v>
      </c>
      <c r="D93" s="4">
        <v>6330.42</v>
      </c>
      <c r="E93" s="5">
        <f t="shared" si="1"/>
        <v>-0.42000000000007276</v>
      </c>
      <c r="F93" s="6" t="s">
        <v>30</v>
      </c>
      <c r="G93" s="10">
        <v>329032986</v>
      </c>
      <c r="H93" s="9">
        <v>45204</v>
      </c>
      <c r="I93" s="9">
        <v>45219</v>
      </c>
      <c r="J93" s="8">
        <v>6330</v>
      </c>
      <c r="K93" s="8" t="s">
        <v>31</v>
      </c>
      <c r="L93" s="8" t="s">
        <v>32</v>
      </c>
      <c r="M93" s="8"/>
      <c r="N93" s="8" t="b">
        <v>0</v>
      </c>
      <c r="O93" s="10">
        <v>697222</v>
      </c>
      <c r="P93" s="8" t="s">
        <v>152</v>
      </c>
      <c r="Q93" s="8">
        <v>123833</v>
      </c>
      <c r="R93" s="9">
        <v>45204</v>
      </c>
      <c r="S93" s="8" t="s">
        <v>34</v>
      </c>
      <c r="T93" s="8" t="s">
        <v>44</v>
      </c>
      <c r="U93" s="8" t="s">
        <v>36</v>
      </c>
      <c r="V93" s="8" t="s">
        <v>37</v>
      </c>
      <c r="W93" s="8"/>
    </row>
    <row r="94" spans="1:23" x14ac:dyDescent="0.25">
      <c r="A94" s="4">
        <v>3</v>
      </c>
      <c r="B94" s="4"/>
      <c r="C94" s="4">
        <v>878644</v>
      </c>
      <c r="D94" s="4">
        <v>5173.26</v>
      </c>
      <c r="E94" s="5">
        <f t="shared" si="1"/>
        <v>-0.26000000000021828</v>
      </c>
      <c r="F94" s="6" t="s">
        <v>30</v>
      </c>
      <c r="G94" s="10">
        <v>329033036</v>
      </c>
      <c r="H94" s="9">
        <v>45204</v>
      </c>
      <c r="I94" s="9">
        <v>45219</v>
      </c>
      <c r="J94" s="8">
        <v>5173</v>
      </c>
      <c r="K94" s="8" t="s">
        <v>31</v>
      </c>
      <c r="L94" s="8" t="s">
        <v>32</v>
      </c>
      <c r="M94" s="8"/>
      <c r="N94" s="8" t="b">
        <v>0</v>
      </c>
      <c r="O94" s="10">
        <v>701817</v>
      </c>
      <c r="P94" s="8" t="s">
        <v>153</v>
      </c>
      <c r="Q94" s="8">
        <v>123915</v>
      </c>
      <c r="R94" s="9">
        <v>45204</v>
      </c>
      <c r="S94" s="8" t="s">
        <v>34</v>
      </c>
      <c r="T94" s="8" t="s">
        <v>40</v>
      </c>
      <c r="U94" s="8" t="s">
        <v>58</v>
      </c>
      <c r="V94" s="8" t="s">
        <v>46</v>
      </c>
      <c r="W94" s="8"/>
    </row>
    <row r="95" spans="1:23" x14ac:dyDescent="0.25">
      <c r="A95" s="4">
        <v>3</v>
      </c>
      <c r="B95" s="4"/>
      <c r="C95" s="4">
        <v>878642</v>
      </c>
      <c r="D95" s="4">
        <v>5173.26</v>
      </c>
      <c r="E95" s="5">
        <f t="shared" si="1"/>
        <v>-0.26000000000021828</v>
      </c>
      <c r="F95" s="6" t="s">
        <v>30</v>
      </c>
      <c r="G95" s="10">
        <v>329034185</v>
      </c>
      <c r="H95" s="9">
        <v>45204</v>
      </c>
      <c r="I95" s="9">
        <v>45219</v>
      </c>
      <c r="J95" s="8">
        <v>5173</v>
      </c>
      <c r="K95" s="8" t="s">
        <v>31</v>
      </c>
      <c r="L95" s="8" t="s">
        <v>32</v>
      </c>
      <c r="M95" s="8"/>
      <c r="N95" s="8" t="b">
        <v>0</v>
      </c>
      <c r="O95" s="10">
        <v>701818</v>
      </c>
      <c r="P95" s="8" t="s">
        <v>154</v>
      </c>
      <c r="Q95" s="8">
        <v>124964</v>
      </c>
      <c r="R95" s="9">
        <v>45204</v>
      </c>
      <c r="S95" s="8" t="s">
        <v>34</v>
      </c>
      <c r="T95" s="8" t="s">
        <v>40</v>
      </c>
      <c r="U95" s="8" t="s">
        <v>58</v>
      </c>
      <c r="V95" s="8" t="s">
        <v>46</v>
      </c>
      <c r="W95" s="8"/>
    </row>
    <row r="96" spans="1:23" x14ac:dyDescent="0.25">
      <c r="A96" s="4">
        <v>3</v>
      </c>
      <c r="B96" s="4"/>
      <c r="C96" s="4">
        <v>878646</v>
      </c>
      <c r="D96" s="4">
        <v>34988.800000000003</v>
      </c>
      <c r="E96" s="5">
        <f t="shared" si="1"/>
        <v>3.1999999999970896</v>
      </c>
      <c r="F96" s="6" t="s">
        <v>30</v>
      </c>
      <c r="G96" s="10">
        <v>329035766</v>
      </c>
      <c r="H96" s="9">
        <v>45204</v>
      </c>
      <c r="I96" s="9">
        <v>45219</v>
      </c>
      <c r="J96" s="8">
        <v>34992</v>
      </c>
      <c r="K96" s="8" t="s">
        <v>31</v>
      </c>
      <c r="L96" s="8" t="s">
        <v>32</v>
      </c>
      <c r="M96" s="8"/>
      <c r="N96" s="8" t="b">
        <v>0</v>
      </c>
      <c r="O96" s="10"/>
      <c r="P96" s="8" t="s">
        <v>155</v>
      </c>
      <c r="Q96" s="8">
        <v>115399</v>
      </c>
      <c r="R96" s="9">
        <v>45203</v>
      </c>
      <c r="S96" s="8" t="s">
        <v>34</v>
      </c>
      <c r="T96" s="8" t="s">
        <v>49</v>
      </c>
      <c r="U96" s="8" t="s">
        <v>75</v>
      </c>
      <c r="V96" s="8" t="s">
        <v>46</v>
      </c>
      <c r="W96" s="8"/>
    </row>
    <row r="97" spans="1:23" x14ac:dyDescent="0.25">
      <c r="A97" s="4">
        <v>3</v>
      </c>
      <c r="B97" s="4"/>
      <c r="C97" s="4">
        <v>878809</v>
      </c>
      <c r="D97" s="4">
        <v>8014.16</v>
      </c>
      <c r="E97" s="5">
        <f t="shared" si="1"/>
        <v>-0.15999999999985448</v>
      </c>
      <c r="F97" s="6">
        <v>45224</v>
      </c>
      <c r="G97" s="10">
        <v>329076562</v>
      </c>
      <c r="H97" s="9">
        <v>45208</v>
      </c>
      <c r="I97" s="9">
        <v>45223</v>
      </c>
      <c r="J97" s="8">
        <v>8014</v>
      </c>
      <c r="K97" s="8" t="s">
        <v>31</v>
      </c>
      <c r="L97" s="8" t="s">
        <v>32</v>
      </c>
      <c r="M97" s="8"/>
      <c r="N97" s="8" t="b">
        <v>0</v>
      </c>
      <c r="O97" s="10">
        <v>695781</v>
      </c>
      <c r="P97" s="8" t="s">
        <v>156</v>
      </c>
      <c r="Q97" s="8">
        <v>154099</v>
      </c>
      <c r="R97" s="9">
        <v>45206</v>
      </c>
      <c r="S97" s="8" t="s">
        <v>34</v>
      </c>
      <c r="T97" s="8" t="s">
        <v>44</v>
      </c>
      <c r="U97" s="8" t="s">
        <v>157</v>
      </c>
      <c r="V97" s="8" t="s">
        <v>158</v>
      </c>
      <c r="W97" s="8">
        <v>0</v>
      </c>
    </row>
    <row r="98" spans="1:23" x14ac:dyDescent="0.25">
      <c r="A98" s="4">
        <v>3</v>
      </c>
      <c r="B98" s="4"/>
      <c r="C98" s="4">
        <v>878808</v>
      </c>
      <c r="D98" s="4">
        <v>8014.16</v>
      </c>
      <c r="E98" s="5">
        <f t="shared" si="1"/>
        <v>-0.15999999999985448</v>
      </c>
      <c r="F98" s="6">
        <v>45224</v>
      </c>
      <c r="G98" s="10">
        <v>329076565</v>
      </c>
      <c r="H98" s="9">
        <v>45208</v>
      </c>
      <c r="I98" s="9">
        <v>45223</v>
      </c>
      <c r="J98" s="8">
        <v>8014</v>
      </c>
      <c r="K98" s="8" t="s">
        <v>31</v>
      </c>
      <c r="L98" s="8" t="s">
        <v>32</v>
      </c>
      <c r="M98" s="8"/>
      <c r="N98" s="8" t="b">
        <v>0</v>
      </c>
      <c r="O98" s="10">
        <v>695776</v>
      </c>
      <c r="P98" s="8" t="s">
        <v>159</v>
      </c>
      <c r="Q98" s="8">
        <v>154098</v>
      </c>
      <c r="R98" s="9">
        <v>45206</v>
      </c>
      <c r="S98" s="8" t="s">
        <v>34</v>
      </c>
      <c r="T98" s="8" t="s">
        <v>44</v>
      </c>
      <c r="U98" s="8" t="s">
        <v>157</v>
      </c>
      <c r="V98" s="8" t="s">
        <v>158</v>
      </c>
      <c r="W98" s="8">
        <v>0</v>
      </c>
    </row>
    <row r="99" spans="1:23" x14ac:dyDescent="0.25">
      <c r="A99" s="4">
        <v>3</v>
      </c>
      <c r="B99" s="4"/>
      <c r="C99" s="4">
        <v>878807</v>
      </c>
      <c r="D99" s="4">
        <v>5173.26</v>
      </c>
      <c r="E99" s="5">
        <f t="shared" si="1"/>
        <v>-0.26000000000021828</v>
      </c>
      <c r="F99" s="6">
        <v>45224</v>
      </c>
      <c r="G99" s="10">
        <v>329076691</v>
      </c>
      <c r="H99" s="9">
        <v>45208</v>
      </c>
      <c r="I99" s="9">
        <v>45223</v>
      </c>
      <c r="J99" s="8">
        <v>5173</v>
      </c>
      <c r="K99" s="8" t="s">
        <v>31</v>
      </c>
      <c r="L99" s="8" t="s">
        <v>32</v>
      </c>
      <c r="M99" s="8"/>
      <c r="N99" s="8" t="b">
        <v>0</v>
      </c>
      <c r="O99" s="10">
        <v>701820</v>
      </c>
      <c r="P99" s="8" t="s">
        <v>160</v>
      </c>
      <c r="Q99" s="8">
        <v>154135</v>
      </c>
      <c r="R99" s="9">
        <v>45206</v>
      </c>
      <c r="S99" s="8" t="s">
        <v>34</v>
      </c>
      <c r="T99" s="8" t="s">
        <v>40</v>
      </c>
      <c r="U99" s="8" t="s">
        <v>58</v>
      </c>
      <c r="V99" s="8" t="s">
        <v>46</v>
      </c>
      <c r="W99" s="8">
        <v>0</v>
      </c>
    </row>
    <row r="100" spans="1:23" x14ac:dyDescent="0.25">
      <c r="A100" s="4">
        <v>3</v>
      </c>
      <c r="B100" s="4"/>
      <c r="C100" s="4">
        <v>878806</v>
      </c>
      <c r="D100" s="4">
        <v>5173.26</v>
      </c>
      <c r="E100" s="5">
        <f t="shared" si="1"/>
        <v>-0.26000000000021828</v>
      </c>
      <c r="F100" s="6">
        <v>45224</v>
      </c>
      <c r="G100" s="10">
        <v>329076693</v>
      </c>
      <c r="H100" s="9">
        <v>45208</v>
      </c>
      <c r="I100" s="9">
        <v>45223</v>
      </c>
      <c r="J100" s="8">
        <v>5173</v>
      </c>
      <c r="K100" s="8" t="s">
        <v>31</v>
      </c>
      <c r="L100" s="8" t="s">
        <v>32</v>
      </c>
      <c r="M100" s="8"/>
      <c r="N100" s="8" t="b">
        <v>0</v>
      </c>
      <c r="O100" s="10">
        <v>701819</v>
      </c>
      <c r="P100" s="8" t="s">
        <v>161</v>
      </c>
      <c r="Q100" s="8">
        <v>154127</v>
      </c>
      <c r="R100" s="9">
        <v>45206</v>
      </c>
      <c r="S100" s="8" t="s">
        <v>34</v>
      </c>
      <c r="T100" s="8" t="s">
        <v>40</v>
      </c>
      <c r="U100" s="8" t="s">
        <v>58</v>
      </c>
      <c r="V100" s="8" t="s">
        <v>46</v>
      </c>
      <c r="W100" s="8">
        <v>0</v>
      </c>
    </row>
    <row r="101" spans="1:23" x14ac:dyDescent="0.25">
      <c r="A101" s="4">
        <v>3</v>
      </c>
      <c r="B101" s="4"/>
      <c r="C101" s="4">
        <v>878635</v>
      </c>
      <c r="D101" s="4">
        <v>5200.84</v>
      </c>
      <c r="E101" s="5">
        <f t="shared" si="1"/>
        <v>-1.8400000000001455</v>
      </c>
      <c r="F101" s="6">
        <v>45224</v>
      </c>
      <c r="G101" s="10">
        <v>329076694</v>
      </c>
      <c r="H101" s="9">
        <v>45208</v>
      </c>
      <c r="I101" s="9">
        <v>45223</v>
      </c>
      <c r="J101" s="8">
        <v>5199</v>
      </c>
      <c r="K101" s="8" t="s">
        <v>31</v>
      </c>
      <c r="L101" s="8" t="s">
        <v>32</v>
      </c>
      <c r="M101" s="8"/>
      <c r="N101" s="8" t="b">
        <v>0</v>
      </c>
      <c r="O101" s="10">
        <v>20928</v>
      </c>
      <c r="P101" s="8" t="s">
        <v>162</v>
      </c>
      <c r="Q101" s="8">
        <v>154137</v>
      </c>
      <c r="R101" s="9">
        <v>45206</v>
      </c>
      <c r="S101" s="8" t="s">
        <v>48</v>
      </c>
      <c r="T101" s="8" t="s">
        <v>40</v>
      </c>
      <c r="U101" s="8" t="s">
        <v>163</v>
      </c>
      <c r="V101" s="8" t="s">
        <v>46</v>
      </c>
      <c r="W101" s="8">
        <v>0</v>
      </c>
    </row>
    <row r="102" spans="1:23" x14ac:dyDescent="0.25">
      <c r="A102" s="4">
        <v>3</v>
      </c>
      <c r="B102" s="4"/>
      <c r="C102" s="4">
        <v>878634</v>
      </c>
      <c r="D102" s="4">
        <v>5200.84</v>
      </c>
      <c r="E102" s="5">
        <f t="shared" si="1"/>
        <v>-1.8400000000001455</v>
      </c>
      <c r="F102" s="6">
        <v>45224</v>
      </c>
      <c r="G102" s="10">
        <v>329076696</v>
      </c>
      <c r="H102" s="9">
        <v>45208</v>
      </c>
      <c r="I102" s="9">
        <v>45223</v>
      </c>
      <c r="J102" s="8">
        <v>5199</v>
      </c>
      <c r="K102" s="8" t="s">
        <v>31</v>
      </c>
      <c r="L102" s="8" t="s">
        <v>32</v>
      </c>
      <c r="M102" s="8"/>
      <c r="N102" s="8" t="b">
        <v>0</v>
      </c>
      <c r="O102" s="10">
        <v>20929</v>
      </c>
      <c r="P102" s="8" t="s">
        <v>164</v>
      </c>
      <c r="Q102" s="8">
        <v>154142</v>
      </c>
      <c r="R102" s="9">
        <v>45206</v>
      </c>
      <c r="S102" s="8" t="s">
        <v>48</v>
      </c>
      <c r="T102" s="8" t="s">
        <v>40</v>
      </c>
      <c r="U102" s="8" t="s">
        <v>163</v>
      </c>
      <c r="V102" s="8" t="s">
        <v>46</v>
      </c>
      <c r="W102" s="8">
        <v>0</v>
      </c>
    </row>
    <row r="103" spans="1:23" x14ac:dyDescent="0.25">
      <c r="A103" s="4">
        <v>3</v>
      </c>
      <c r="B103" s="4"/>
      <c r="C103" s="4">
        <v>878805</v>
      </c>
      <c r="D103" s="4">
        <v>6330.42</v>
      </c>
      <c r="E103" s="5">
        <f t="shared" si="1"/>
        <v>-0.42000000000007276</v>
      </c>
      <c r="F103" s="6">
        <v>45224</v>
      </c>
      <c r="G103" s="10">
        <v>329076697</v>
      </c>
      <c r="H103" s="9">
        <v>45208</v>
      </c>
      <c r="I103" s="9">
        <v>45223</v>
      </c>
      <c r="J103" s="8">
        <v>6330</v>
      </c>
      <c r="K103" s="8" t="s">
        <v>31</v>
      </c>
      <c r="L103" s="8" t="s">
        <v>32</v>
      </c>
      <c r="M103" s="8"/>
      <c r="N103" s="8" t="b">
        <v>0</v>
      </c>
      <c r="O103" s="10">
        <v>697217</v>
      </c>
      <c r="P103" s="8" t="s">
        <v>165</v>
      </c>
      <c r="Q103" s="8">
        <v>154103</v>
      </c>
      <c r="R103" s="9">
        <v>45206</v>
      </c>
      <c r="S103" s="8" t="s">
        <v>34</v>
      </c>
      <c r="T103" s="8" t="s">
        <v>44</v>
      </c>
      <c r="U103" s="8" t="s">
        <v>36</v>
      </c>
      <c r="V103" s="8" t="s">
        <v>37</v>
      </c>
      <c r="W103" s="8">
        <v>0</v>
      </c>
    </row>
    <row r="104" spans="1:23" x14ac:dyDescent="0.25">
      <c r="A104" s="4">
        <v>3</v>
      </c>
      <c r="B104" s="4"/>
      <c r="C104" s="4">
        <v>878804</v>
      </c>
      <c r="D104" s="4">
        <v>6330.42</v>
      </c>
      <c r="E104" s="5">
        <f t="shared" si="1"/>
        <v>-0.42000000000007276</v>
      </c>
      <c r="F104" s="6">
        <v>45224</v>
      </c>
      <c r="G104" s="10">
        <v>329076698</v>
      </c>
      <c r="H104" s="9">
        <v>45208</v>
      </c>
      <c r="I104" s="9">
        <v>45223</v>
      </c>
      <c r="J104" s="8">
        <v>6330</v>
      </c>
      <c r="K104" s="8" t="s">
        <v>31</v>
      </c>
      <c r="L104" s="8" t="s">
        <v>32</v>
      </c>
      <c r="M104" s="8"/>
      <c r="N104" s="8" t="b">
        <v>0</v>
      </c>
      <c r="O104" s="10">
        <v>697225</v>
      </c>
      <c r="P104" s="8" t="s">
        <v>166</v>
      </c>
      <c r="Q104" s="8">
        <v>154107</v>
      </c>
      <c r="R104" s="9">
        <v>45206</v>
      </c>
      <c r="S104" s="8" t="s">
        <v>34</v>
      </c>
      <c r="T104" s="8" t="s">
        <v>44</v>
      </c>
      <c r="U104" s="8" t="s">
        <v>36</v>
      </c>
      <c r="V104" s="8" t="s">
        <v>37</v>
      </c>
      <c r="W104" s="8">
        <v>0</v>
      </c>
    </row>
    <row r="105" spans="1:23" x14ac:dyDescent="0.25">
      <c r="A105" s="4">
        <v>3</v>
      </c>
      <c r="B105" s="4"/>
      <c r="C105" s="4">
        <v>878803</v>
      </c>
      <c r="D105" s="4">
        <v>8014.16</v>
      </c>
      <c r="E105" s="5">
        <f t="shared" si="1"/>
        <v>-0.15999999999985448</v>
      </c>
      <c r="F105" s="6">
        <v>45224</v>
      </c>
      <c r="G105" s="10">
        <v>329076699</v>
      </c>
      <c r="H105" s="9">
        <v>45208</v>
      </c>
      <c r="I105" s="9">
        <v>45223</v>
      </c>
      <c r="J105" s="8">
        <v>8014</v>
      </c>
      <c r="K105" s="8" t="s">
        <v>31</v>
      </c>
      <c r="L105" s="8" t="s">
        <v>32</v>
      </c>
      <c r="M105" s="8"/>
      <c r="N105" s="8" t="b">
        <v>0</v>
      </c>
      <c r="O105" s="10">
        <v>695782</v>
      </c>
      <c r="P105" s="8" t="s">
        <v>167</v>
      </c>
      <c r="Q105" s="8">
        <v>154101</v>
      </c>
      <c r="R105" s="9">
        <v>45206</v>
      </c>
      <c r="S105" s="8" t="s">
        <v>34</v>
      </c>
      <c r="T105" s="8" t="s">
        <v>44</v>
      </c>
      <c r="U105" s="8" t="s">
        <v>157</v>
      </c>
      <c r="V105" s="8" t="s">
        <v>158</v>
      </c>
      <c r="W105" s="8">
        <v>0</v>
      </c>
    </row>
    <row r="106" spans="1:23" x14ac:dyDescent="0.25">
      <c r="A106" s="4">
        <v>3</v>
      </c>
      <c r="B106" s="4"/>
      <c r="C106" s="4">
        <v>878802</v>
      </c>
      <c r="D106" s="4">
        <v>5173.26</v>
      </c>
      <c r="E106" s="5">
        <f t="shared" si="1"/>
        <v>-0.26000000000021828</v>
      </c>
      <c r="F106" s="6">
        <v>45224</v>
      </c>
      <c r="G106" s="10">
        <v>329076850</v>
      </c>
      <c r="H106" s="9">
        <v>45208</v>
      </c>
      <c r="I106" s="9">
        <v>45223</v>
      </c>
      <c r="J106" s="8">
        <v>5173</v>
      </c>
      <c r="K106" s="8" t="s">
        <v>31</v>
      </c>
      <c r="L106" s="8" t="s">
        <v>32</v>
      </c>
      <c r="M106" s="8"/>
      <c r="N106" s="8" t="b">
        <v>0</v>
      </c>
      <c r="O106" s="10">
        <v>702007</v>
      </c>
      <c r="P106" s="8" t="s">
        <v>168</v>
      </c>
      <c r="Q106" s="8">
        <v>154164</v>
      </c>
      <c r="R106" s="9">
        <v>45206</v>
      </c>
      <c r="S106" s="8" t="s">
        <v>34</v>
      </c>
      <c r="T106" s="8" t="s">
        <v>40</v>
      </c>
      <c r="U106" s="8" t="s">
        <v>58</v>
      </c>
      <c r="V106" s="8" t="s">
        <v>46</v>
      </c>
      <c r="W106" s="8">
        <v>0</v>
      </c>
    </row>
    <row r="107" spans="1:23" x14ac:dyDescent="0.25">
      <c r="A107" s="4">
        <v>3</v>
      </c>
      <c r="B107" s="4"/>
      <c r="C107" s="4">
        <v>878801</v>
      </c>
      <c r="D107" s="4">
        <v>5173.26</v>
      </c>
      <c r="E107" s="5">
        <f t="shared" si="1"/>
        <v>-0.26000000000021828</v>
      </c>
      <c r="F107" s="6">
        <v>45224</v>
      </c>
      <c r="G107" s="10">
        <v>329076853</v>
      </c>
      <c r="H107" s="9">
        <v>45208</v>
      </c>
      <c r="I107" s="9">
        <v>45223</v>
      </c>
      <c r="J107" s="8">
        <v>5173</v>
      </c>
      <c r="K107" s="8" t="s">
        <v>31</v>
      </c>
      <c r="L107" s="8" t="s">
        <v>32</v>
      </c>
      <c r="M107" s="8"/>
      <c r="N107" s="8" t="b">
        <v>0</v>
      </c>
      <c r="O107" s="10">
        <v>702010</v>
      </c>
      <c r="P107" s="8" t="s">
        <v>169</v>
      </c>
      <c r="Q107" s="8">
        <v>154186</v>
      </c>
      <c r="R107" s="9">
        <v>45206</v>
      </c>
      <c r="S107" s="8" t="s">
        <v>34</v>
      </c>
      <c r="T107" s="8" t="s">
        <v>40</v>
      </c>
      <c r="U107" s="8" t="s">
        <v>58</v>
      </c>
      <c r="V107" s="8" t="s">
        <v>46</v>
      </c>
      <c r="W107" s="8">
        <v>0</v>
      </c>
    </row>
    <row r="108" spans="1:23" x14ac:dyDescent="0.25">
      <c r="A108" s="4">
        <v>3</v>
      </c>
      <c r="B108" s="4"/>
      <c r="C108" s="4">
        <v>878800</v>
      </c>
      <c r="D108" s="4">
        <v>5173.26</v>
      </c>
      <c r="E108" s="5">
        <f t="shared" si="1"/>
        <v>-0.26000000000021828</v>
      </c>
      <c r="F108" s="6">
        <v>45224</v>
      </c>
      <c r="G108" s="10">
        <v>329076875</v>
      </c>
      <c r="H108" s="9">
        <v>45208</v>
      </c>
      <c r="I108" s="9">
        <v>45223</v>
      </c>
      <c r="J108" s="8">
        <v>5173</v>
      </c>
      <c r="K108" s="8" t="s">
        <v>31</v>
      </c>
      <c r="L108" s="8" t="s">
        <v>32</v>
      </c>
      <c r="M108" s="8"/>
      <c r="N108" s="8" t="b">
        <v>0</v>
      </c>
      <c r="O108" s="10">
        <v>702005</v>
      </c>
      <c r="P108" s="8" t="s">
        <v>170</v>
      </c>
      <c r="Q108" s="8">
        <v>154161</v>
      </c>
      <c r="R108" s="9">
        <v>45206</v>
      </c>
      <c r="S108" s="8" t="s">
        <v>34</v>
      </c>
      <c r="T108" s="8" t="s">
        <v>40</v>
      </c>
      <c r="U108" s="8" t="s">
        <v>58</v>
      </c>
      <c r="V108" s="8" t="s">
        <v>46</v>
      </c>
      <c r="W108" s="8">
        <v>0</v>
      </c>
    </row>
    <row r="109" spans="1:23" x14ac:dyDescent="0.25">
      <c r="A109" s="4">
        <v>3</v>
      </c>
      <c r="B109" s="4"/>
      <c r="C109" s="4">
        <v>878799</v>
      </c>
      <c r="D109" s="4">
        <v>7980.88</v>
      </c>
      <c r="E109" s="5">
        <f t="shared" si="1"/>
        <v>0.11999999999989086</v>
      </c>
      <c r="F109" s="6">
        <v>45224</v>
      </c>
      <c r="G109" s="10">
        <v>329076884</v>
      </c>
      <c r="H109" s="9">
        <v>45208</v>
      </c>
      <c r="I109" s="9">
        <v>45223</v>
      </c>
      <c r="J109" s="8">
        <v>7981</v>
      </c>
      <c r="K109" s="8" t="s">
        <v>31</v>
      </c>
      <c r="L109" s="8" t="s">
        <v>32</v>
      </c>
      <c r="M109" s="8"/>
      <c r="N109" s="8" t="b">
        <v>0</v>
      </c>
      <c r="O109" s="10">
        <v>702001</v>
      </c>
      <c r="P109" s="8" t="s">
        <v>171</v>
      </c>
      <c r="Q109" s="8">
        <v>154188</v>
      </c>
      <c r="R109" s="9">
        <v>45206</v>
      </c>
      <c r="S109" s="8" t="s">
        <v>34</v>
      </c>
      <c r="T109" s="8" t="s">
        <v>40</v>
      </c>
      <c r="U109" s="8" t="s">
        <v>88</v>
      </c>
      <c r="V109" s="8" t="s">
        <v>72</v>
      </c>
      <c r="W109" s="8">
        <v>0</v>
      </c>
    </row>
    <row r="110" spans="1:23" x14ac:dyDescent="0.25">
      <c r="A110" s="4">
        <v>3</v>
      </c>
      <c r="B110" s="4"/>
      <c r="C110" s="4">
        <v>878798</v>
      </c>
      <c r="D110" s="4">
        <v>7980.88</v>
      </c>
      <c r="E110" s="5">
        <f t="shared" si="1"/>
        <v>0.11999999999989086</v>
      </c>
      <c r="F110" s="6">
        <v>45224</v>
      </c>
      <c r="G110" s="10">
        <v>329076886</v>
      </c>
      <c r="H110" s="9">
        <v>45208</v>
      </c>
      <c r="I110" s="9">
        <v>45223</v>
      </c>
      <c r="J110" s="8">
        <v>7981</v>
      </c>
      <c r="K110" s="8" t="s">
        <v>31</v>
      </c>
      <c r="L110" s="8" t="s">
        <v>32</v>
      </c>
      <c r="M110" s="8"/>
      <c r="N110" s="8" t="b">
        <v>0</v>
      </c>
      <c r="O110" s="10">
        <v>702002</v>
      </c>
      <c r="P110" s="8" t="s">
        <v>172</v>
      </c>
      <c r="Q110" s="8">
        <v>154190</v>
      </c>
      <c r="R110" s="9">
        <v>45206</v>
      </c>
      <c r="S110" s="8" t="s">
        <v>34</v>
      </c>
      <c r="T110" s="8" t="s">
        <v>40</v>
      </c>
      <c r="U110" s="8" t="s">
        <v>88</v>
      </c>
      <c r="V110" s="8" t="s">
        <v>72</v>
      </c>
      <c r="W110" s="8">
        <v>0</v>
      </c>
    </row>
    <row r="111" spans="1:23" x14ac:dyDescent="0.25">
      <c r="A111" s="4">
        <v>3</v>
      </c>
      <c r="B111" s="4"/>
      <c r="C111" s="4">
        <v>878797</v>
      </c>
      <c r="D111" s="4">
        <v>7980.88</v>
      </c>
      <c r="E111" s="5">
        <f t="shared" si="1"/>
        <v>0.11999999999989086</v>
      </c>
      <c r="F111" s="6">
        <v>45224</v>
      </c>
      <c r="G111" s="10">
        <v>329076888</v>
      </c>
      <c r="H111" s="9">
        <v>45208</v>
      </c>
      <c r="I111" s="9">
        <v>45223</v>
      </c>
      <c r="J111" s="8">
        <v>7981</v>
      </c>
      <c r="K111" s="8" t="s">
        <v>31</v>
      </c>
      <c r="L111" s="8" t="s">
        <v>32</v>
      </c>
      <c r="M111" s="8"/>
      <c r="N111" s="8" t="b">
        <v>0</v>
      </c>
      <c r="O111" s="10">
        <v>702004</v>
      </c>
      <c r="P111" s="8" t="s">
        <v>173</v>
      </c>
      <c r="Q111" s="8">
        <v>154194</v>
      </c>
      <c r="R111" s="9">
        <v>45206</v>
      </c>
      <c r="S111" s="8" t="s">
        <v>34</v>
      </c>
      <c r="T111" s="8" t="s">
        <v>40</v>
      </c>
      <c r="U111" s="8" t="s">
        <v>88</v>
      </c>
      <c r="V111" s="8" t="s">
        <v>72</v>
      </c>
      <c r="W111" s="8">
        <v>0</v>
      </c>
    </row>
    <row r="112" spans="1:23" x14ac:dyDescent="0.25">
      <c r="A112" s="4">
        <v>3</v>
      </c>
      <c r="B112" s="4"/>
      <c r="C112" s="4">
        <v>878796</v>
      </c>
      <c r="D112" s="4">
        <v>5173.26</v>
      </c>
      <c r="E112" s="5">
        <f t="shared" si="1"/>
        <v>-0.26000000000021828</v>
      </c>
      <c r="F112" s="6">
        <v>45224</v>
      </c>
      <c r="G112" s="10">
        <v>329076890</v>
      </c>
      <c r="H112" s="9">
        <v>45208</v>
      </c>
      <c r="I112" s="9">
        <v>45223</v>
      </c>
      <c r="J112" s="8">
        <v>5173</v>
      </c>
      <c r="K112" s="8" t="s">
        <v>31</v>
      </c>
      <c r="L112" s="8" t="s">
        <v>32</v>
      </c>
      <c r="M112" s="8"/>
      <c r="N112" s="8" t="b">
        <v>0</v>
      </c>
      <c r="O112" s="10">
        <v>702009</v>
      </c>
      <c r="P112" s="8" t="s">
        <v>174</v>
      </c>
      <c r="Q112" s="8">
        <v>154166</v>
      </c>
      <c r="R112" s="9">
        <v>45206</v>
      </c>
      <c r="S112" s="8" t="s">
        <v>34</v>
      </c>
      <c r="T112" s="8" t="s">
        <v>40</v>
      </c>
      <c r="U112" s="8" t="s">
        <v>58</v>
      </c>
      <c r="V112" s="8" t="s">
        <v>46</v>
      </c>
      <c r="W112" s="8">
        <v>0</v>
      </c>
    </row>
    <row r="113" spans="1:23" x14ac:dyDescent="0.25">
      <c r="A113" s="4">
        <v>3</v>
      </c>
      <c r="B113" s="4"/>
      <c r="C113" s="4">
        <v>878795</v>
      </c>
      <c r="D113" s="4">
        <v>7980.88</v>
      </c>
      <c r="E113" s="5">
        <f t="shared" si="1"/>
        <v>0.11999999999989086</v>
      </c>
      <c r="F113" s="6">
        <v>45224</v>
      </c>
      <c r="G113" s="10">
        <v>329076902</v>
      </c>
      <c r="H113" s="9">
        <v>45208</v>
      </c>
      <c r="I113" s="9">
        <v>45223</v>
      </c>
      <c r="J113" s="8">
        <v>7981</v>
      </c>
      <c r="K113" s="8" t="s">
        <v>31</v>
      </c>
      <c r="L113" s="8" t="s">
        <v>32</v>
      </c>
      <c r="M113" s="8"/>
      <c r="N113" s="8" t="b">
        <v>0</v>
      </c>
      <c r="O113" s="10">
        <v>702000</v>
      </c>
      <c r="P113" s="8" t="s">
        <v>175</v>
      </c>
      <c r="Q113" s="8">
        <v>154187</v>
      </c>
      <c r="R113" s="9">
        <v>45206</v>
      </c>
      <c r="S113" s="8" t="s">
        <v>34</v>
      </c>
      <c r="T113" s="8" t="s">
        <v>40</v>
      </c>
      <c r="U113" s="8" t="s">
        <v>88</v>
      </c>
      <c r="V113" s="8" t="s">
        <v>72</v>
      </c>
      <c r="W113" s="8">
        <v>0</v>
      </c>
    </row>
    <row r="114" spans="1:23" x14ac:dyDescent="0.25">
      <c r="A114" s="4">
        <v>3</v>
      </c>
      <c r="B114" s="4"/>
      <c r="C114" s="4">
        <v>878794</v>
      </c>
      <c r="D114" s="4">
        <v>7980.88</v>
      </c>
      <c r="E114" s="5">
        <f t="shared" si="1"/>
        <v>0.11999999999989086</v>
      </c>
      <c r="F114" s="6">
        <v>45224</v>
      </c>
      <c r="G114" s="10">
        <v>329076908</v>
      </c>
      <c r="H114" s="9">
        <v>45208</v>
      </c>
      <c r="I114" s="9">
        <v>45223</v>
      </c>
      <c r="J114" s="8">
        <v>7981</v>
      </c>
      <c r="K114" s="8" t="s">
        <v>31</v>
      </c>
      <c r="L114" s="8" t="s">
        <v>32</v>
      </c>
      <c r="M114" s="8"/>
      <c r="N114" s="8" t="b">
        <v>0</v>
      </c>
      <c r="O114" s="10">
        <v>702003</v>
      </c>
      <c r="P114" s="8" t="s">
        <v>176</v>
      </c>
      <c r="Q114" s="8">
        <v>154192</v>
      </c>
      <c r="R114" s="9">
        <v>45206</v>
      </c>
      <c r="S114" s="8" t="s">
        <v>34</v>
      </c>
      <c r="T114" s="8" t="s">
        <v>40</v>
      </c>
      <c r="U114" s="8" t="s">
        <v>88</v>
      </c>
      <c r="V114" s="8" t="s">
        <v>72</v>
      </c>
      <c r="W114" s="8">
        <v>0</v>
      </c>
    </row>
    <row r="115" spans="1:23" x14ac:dyDescent="0.25">
      <c r="A115" s="4">
        <v>3</v>
      </c>
      <c r="B115" s="4"/>
      <c r="C115" s="4">
        <v>878793</v>
      </c>
      <c r="D115" s="4">
        <v>5173.26</v>
      </c>
      <c r="E115" s="5">
        <f t="shared" si="1"/>
        <v>-0.26000000000021828</v>
      </c>
      <c r="F115" s="6">
        <v>45224</v>
      </c>
      <c r="G115" s="10">
        <v>329076915</v>
      </c>
      <c r="H115" s="9">
        <v>45208</v>
      </c>
      <c r="I115" s="9">
        <v>45223</v>
      </c>
      <c r="J115" s="8">
        <v>5173</v>
      </c>
      <c r="K115" s="8" t="s">
        <v>31</v>
      </c>
      <c r="L115" s="8" t="s">
        <v>32</v>
      </c>
      <c r="M115" s="8"/>
      <c r="N115" s="8" t="b">
        <v>0</v>
      </c>
      <c r="O115" s="10">
        <v>702006</v>
      </c>
      <c r="P115" s="8" t="s">
        <v>177</v>
      </c>
      <c r="Q115" s="8">
        <v>154162</v>
      </c>
      <c r="R115" s="9">
        <v>45206</v>
      </c>
      <c r="S115" s="8" t="s">
        <v>34</v>
      </c>
      <c r="T115" s="8" t="s">
        <v>40</v>
      </c>
      <c r="U115" s="8" t="s">
        <v>58</v>
      </c>
      <c r="V115" s="8" t="s">
        <v>46</v>
      </c>
      <c r="W115" s="8">
        <v>0</v>
      </c>
    </row>
    <row r="116" spans="1:23" x14ac:dyDescent="0.25">
      <c r="A116" s="4">
        <v>3</v>
      </c>
      <c r="B116" s="4"/>
      <c r="C116" s="4">
        <v>878792</v>
      </c>
      <c r="D116" s="4">
        <v>5173.26</v>
      </c>
      <c r="E116" s="5">
        <f t="shared" si="1"/>
        <v>-0.26000000000021828</v>
      </c>
      <c r="F116" s="6">
        <v>45224</v>
      </c>
      <c r="G116" s="10">
        <v>329076921</v>
      </c>
      <c r="H116" s="9">
        <v>45208</v>
      </c>
      <c r="I116" s="9">
        <v>45223</v>
      </c>
      <c r="J116" s="8">
        <v>5173</v>
      </c>
      <c r="K116" s="8" t="s">
        <v>31</v>
      </c>
      <c r="L116" s="8" t="s">
        <v>32</v>
      </c>
      <c r="M116" s="8"/>
      <c r="N116" s="8" t="b">
        <v>0</v>
      </c>
      <c r="O116" s="10">
        <v>702008</v>
      </c>
      <c r="P116" s="8" t="s">
        <v>178</v>
      </c>
      <c r="Q116" s="8">
        <v>154165</v>
      </c>
      <c r="R116" s="9">
        <v>45206</v>
      </c>
      <c r="S116" s="8" t="s">
        <v>34</v>
      </c>
      <c r="T116" s="8" t="s">
        <v>40</v>
      </c>
      <c r="U116" s="8" t="s">
        <v>58</v>
      </c>
      <c r="V116" s="8" t="s">
        <v>46</v>
      </c>
      <c r="W116" s="8">
        <v>0</v>
      </c>
    </row>
    <row r="117" spans="1:23" x14ac:dyDescent="0.25">
      <c r="A117" s="4">
        <v>3</v>
      </c>
      <c r="B117" s="4"/>
      <c r="C117" s="4">
        <v>878791</v>
      </c>
      <c r="D117" s="4">
        <v>5147.96</v>
      </c>
      <c r="E117" s="5">
        <f t="shared" si="1"/>
        <v>3.999999999996362E-2</v>
      </c>
      <c r="F117" s="6">
        <v>45224</v>
      </c>
      <c r="G117" s="10">
        <v>329077041</v>
      </c>
      <c r="H117" s="9">
        <v>45208</v>
      </c>
      <c r="I117" s="9">
        <v>45223</v>
      </c>
      <c r="J117" s="8">
        <v>5148</v>
      </c>
      <c r="K117" s="8" t="s">
        <v>31</v>
      </c>
      <c r="L117" s="8" t="s">
        <v>32</v>
      </c>
      <c r="M117" s="8"/>
      <c r="N117" s="8" t="b">
        <v>0</v>
      </c>
      <c r="O117" s="10">
        <v>695734</v>
      </c>
      <c r="P117" s="8" t="s">
        <v>179</v>
      </c>
      <c r="Q117" s="8">
        <v>154201</v>
      </c>
      <c r="R117" s="9">
        <v>45206</v>
      </c>
      <c r="S117" s="8" t="s">
        <v>180</v>
      </c>
      <c r="T117" s="8" t="s">
        <v>44</v>
      </c>
      <c r="U117" s="8" t="s">
        <v>45</v>
      </c>
      <c r="V117" s="8" t="s">
        <v>46</v>
      </c>
      <c r="W117" s="8">
        <v>0</v>
      </c>
    </row>
    <row r="118" spans="1:23" x14ac:dyDescent="0.25">
      <c r="A118" s="4">
        <v>3</v>
      </c>
      <c r="B118" s="4"/>
      <c r="C118" s="4">
        <v>878628</v>
      </c>
      <c r="D118" s="4">
        <v>5148.42</v>
      </c>
      <c r="E118" s="5">
        <f t="shared" si="1"/>
        <v>-0.42000000000007276</v>
      </c>
      <c r="F118" s="6">
        <v>45224</v>
      </c>
      <c r="G118" s="10">
        <v>329077222</v>
      </c>
      <c r="H118" s="9">
        <v>45208</v>
      </c>
      <c r="I118" s="9">
        <v>45223</v>
      </c>
      <c r="J118" s="8">
        <v>5148</v>
      </c>
      <c r="K118" s="8" t="s">
        <v>31</v>
      </c>
      <c r="L118" s="8" t="s">
        <v>32</v>
      </c>
      <c r="M118" s="8"/>
      <c r="N118" s="8" t="b">
        <v>0</v>
      </c>
      <c r="O118" s="10">
        <v>20949</v>
      </c>
      <c r="P118" s="8" t="s">
        <v>181</v>
      </c>
      <c r="Q118" s="8">
        <v>154302</v>
      </c>
      <c r="R118" s="9">
        <v>45206</v>
      </c>
      <c r="S118" s="8" t="s">
        <v>48</v>
      </c>
      <c r="T118" s="8" t="s">
        <v>35</v>
      </c>
      <c r="U118" s="8" t="s">
        <v>58</v>
      </c>
      <c r="V118" s="8" t="s">
        <v>46</v>
      </c>
      <c r="W118" s="8">
        <v>0</v>
      </c>
    </row>
    <row r="119" spans="1:23" x14ac:dyDescent="0.25">
      <c r="A119" s="4">
        <v>3</v>
      </c>
      <c r="B119" s="4"/>
      <c r="C119" s="4">
        <v>878630</v>
      </c>
      <c r="D119" s="4">
        <v>5148.42</v>
      </c>
      <c r="E119" s="5">
        <f t="shared" si="1"/>
        <v>-0.42000000000007276</v>
      </c>
      <c r="F119" s="6">
        <v>45224</v>
      </c>
      <c r="G119" s="10">
        <v>329077234</v>
      </c>
      <c r="H119" s="9">
        <v>45208</v>
      </c>
      <c r="I119" s="9">
        <v>45223</v>
      </c>
      <c r="J119" s="8">
        <v>5148</v>
      </c>
      <c r="K119" s="8" t="s">
        <v>31</v>
      </c>
      <c r="L119" s="8" t="s">
        <v>32</v>
      </c>
      <c r="M119" s="8"/>
      <c r="N119" s="8" t="b">
        <v>0</v>
      </c>
      <c r="O119" s="10">
        <v>20947</v>
      </c>
      <c r="P119" s="8" t="s">
        <v>182</v>
      </c>
      <c r="Q119" s="8">
        <v>154300</v>
      </c>
      <c r="R119" s="9">
        <v>45206</v>
      </c>
      <c r="S119" s="8" t="s">
        <v>48</v>
      </c>
      <c r="T119" s="8" t="s">
        <v>35</v>
      </c>
      <c r="U119" s="8" t="s">
        <v>58</v>
      </c>
      <c r="V119" s="8" t="s">
        <v>46</v>
      </c>
      <c r="W119" s="8">
        <v>0</v>
      </c>
    </row>
    <row r="120" spans="1:23" x14ac:dyDescent="0.25">
      <c r="A120" s="4">
        <v>3</v>
      </c>
      <c r="B120" s="4"/>
      <c r="C120" s="4">
        <v>878629</v>
      </c>
      <c r="D120" s="4">
        <v>5148.42</v>
      </c>
      <c r="E120" s="5">
        <f t="shared" si="1"/>
        <v>-0.42000000000007276</v>
      </c>
      <c r="F120" s="6">
        <v>45224</v>
      </c>
      <c r="G120" s="10">
        <v>329077241</v>
      </c>
      <c r="H120" s="9">
        <v>45208</v>
      </c>
      <c r="I120" s="9">
        <v>45223</v>
      </c>
      <c r="J120" s="8">
        <v>5148</v>
      </c>
      <c r="K120" s="8" t="s">
        <v>31</v>
      </c>
      <c r="L120" s="8" t="s">
        <v>32</v>
      </c>
      <c r="M120" s="8"/>
      <c r="N120" s="8" t="b">
        <v>0</v>
      </c>
      <c r="O120" s="10">
        <v>20948</v>
      </c>
      <c r="P120" s="8" t="s">
        <v>183</v>
      </c>
      <c r="Q120" s="8">
        <v>154301</v>
      </c>
      <c r="R120" s="9">
        <v>45206</v>
      </c>
      <c r="S120" s="8" t="s">
        <v>48</v>
      </c>
      <c r="T120" s="8" t="s">
        <v>35</v>
      </c>
      <c r="U120" s="8" t="s">
        <v>58</v>
      </c>
      <c r="V120" s="8" t="s">
        <v>46</v>
      </c>
      <c r="W120" s="8">
        <v>0</v>
      </c>
    </row>
    <row r="121" spans="1:23" x14ac:dyDescent="0.25">
      <c r="A121" s="4">
        <v>3</v>
      </c>
      <c r="B121" s="4"/>
      <c r="C121" s="4">
        <v>878819</v>
      </c>
      <c r="D121" s="4">
        <v>44043.02</v>
      </c>
      <c r="E121" s="5">
        <f t="shared" si="1"/>
        <v>0.98000000000320142</v>
      </c>
      <c r="F121" s="6">
        <v>45224</v>
      </c>
      <c r="G121" s="10">
        <v>329095456</v>
      </c>
      <c r="H121" s="9">
        <v>45208</v>
      </c>
      <c r="I121" s="9">
        <v>45223</v>
      </c>
      <c r="J121" s="8">
        <v>44044</v>
      </c>
      <c r="K121" s="8" t="s">
        <v>31</v>
      </c>
      <c r="L121" s="8" t="s">
        <v>32</v>
      </c>
      <c r="M121" s="8"/>
      <c r="N121" s="8" t="b">
        <v>0</v>
      </c>
      <c r="O121" s="10"/>
      <c r="P121" s="8" t="s">
        <v>184</v>
      </c>
      <c r="Q121" s="8">
        <v>164275</v>
      </c>
      <c r="R121" s="9">
        <v>45208</v>
      </c>
      <c r="S121" s="8" t="s">
        <v>48</v>
      </c>
      <c r="T121" s="8" t="s">
        <v>49</v>
      </c>
      <c r="U121" s="8" t="s">
        <v>50</v>
      </c>
      <c r="V121" s="8" t="s">
        <v>37</v>
      </c>
      <c r="W121" s="8">
        <v>0</v>
      </c>
    </row>
    <row r="122" spans="1:23" x14ac:dyDescent="0.25">
      <c r="A122" s="4">
        <v>3</v>
      </c>
      <c r="B122" s="4"/>
      <c r="C122" s="4">
        <v>878790</v>
      </c>
      <c r="D122" s="4">
        <v>7913.4</v>
      </c>
      <c r="E122" s="5">
        <f t="shared" si="1"/>
        <v>-0.3999999999996362</v>
      </c>
      <c r="F122" s="6">
        <v>45224</v>
      </c>
      <c r="G122" s="10">
        <v>329100165</v>
      </c>
      <c r="H122" s="9">
        <v>45208</v>
      </c>
      <c r="I122" s="9">
        <v>45223</v>
      </c>
      <c r="J122" s="8">
        <v>7913</v>
      </c>
      <c r="K122" s="8" t="s">
        <v>31</v>
      </c>
      <c r="L122" s="8" t="s">
        <v>32</v>
      </c>
      <c r="M122" s="8"/>
      <c r="N122" s="8" t="b">
        <v>0</v>
      </c>
      <c r="O122" s="10">
        <v>702141</v>
      </c>
      <c r="P122" s="8" t="s">
        <v>185</v>
      </c>
      <c r="Q122" s="8">
        <v>169837</v>
      </c>
      <c r="R122" s="9">
        <v>45208</v>
      </c>
      <c r="S122" s="8" t="s">
        <v>186</v>
      </c>
      <c r="T122" s="8" t="s">
        <v>40</v>
      </c>
      <c r="U122" s="8" t="s">
        <v>187</v>
      </c>
      <c r="V122" s="8" t="s">
        <v>188</v>
      </c>
      <c r="W122" s="8">
        <v>0</v>
      </c>
    </row>
    <row r="123" spans="1:23" x14ac:dyDescent="0.25">
      <c r="A123" s="4">
        <v>3</v>
      </c>
      <c r="B123" s="4"/>
      <c r="C123" s="4">
        <v>878734</v>
      </c>
      <c r="D123" s="4">
        <v>7001.24</v>
      </c>
      <c r="E123" s="5">
        <f t="shared" si="1"/>
        <v>-0.23999999999978172</v>
      </c>
      <c r="F123" s="6">
        <v>45224</v>
      </c>
      <c r="G123" s="10">
        <v>329100194</v>
      </c>
      <c r="H123" s="9">
        <v>45208</v>
      </c>
      <c r="I123" s="9">
        <v>45223</v>
      </c>
      <c r="J123" s="8">
        <v>7001</v>
      </c>
      <c r="K123" s="8" t="s">
        <v>31</v>
      </c>
      <c r="L123" s="8" t="s">
        <v>32</v>
      </c>
      <c r="M123" s="8"/>
      <c r="N123" s="8" t="b">
        <v>0</v>
      </c>
      <c r="O123" s="10">
        <v>20953</v>
      </c>
      <c r="P123" s="8" t="s">
        <v>189</v>
      </c>
      <c r="Q123" s="8">
        <v>169834</v>
      </c>
      <c r="R123" s="9">
        <v>45208</v>
      </c>
      <c r="S123" s="8" t="s">
        <v>39</v>
      </c>
      <c r="T123" s="8" t="s">
        <v>40</v>
      </c>
      <c r="U123" s="8" t="s">
        <v>41</v>
      </c>
      <c r="V123" s="8" t="s">
        <v>42</v>
      </c>
      <c r="W123" s="8">
        <v>0</v>
      </c>
    </row>
    <row r="124" spans="1:23" x14ac:dyDescent="0.25">
      <c r="A124" s="4">
        <v>3</v>
      </c>
      <c r="B124" s="4"/>
      <c r="C124" s="4">
        <v>878735</v>
      </c>
      <c r="D124" s="4">
        <v>7001.24</v>
      </c>
      <c r="E124" s="5">
        <f t="shared" si="1"/>
        <v>-0.23999999999978172</v>
      </c>
      <c r="F124" s="6">
        <v>45224</v>
      </c>
      <c r="G124" s="10">
        <v>329100268</v>
      </c>
      <c r="H124" s="9">
        <v>45208</v>
      </c>
      <c r="I124" s="9">
        <v>45223</v>
      </c>
      <c r="J124" s="8">
        <v>7001</v>
      </c>
      <c r="K124" s="8" t="s">
        <v>31</v>
      </c>
      <c r="L124" s="8" t="s">
        <v>32</v>
      </c>
      <c r="M124" s="8"/>
      <c r="N124" s="8" t="b">
        <v>0</v>
      </c>
      <c r="O124" s="10">
        <v>20952</v>
      </c>
      <c r="P124" s="8" t="s">
        <v>190</v>
      </c>
      <c r="Q124" s="8">
        <v>169825</v>
      </c>
      <c r="R124" s="9">
        <v>45208</v>
      </c>
      <c r="S124" s="8" t="s">
        <v>39</v>
      </c>
      <c r="T124" s="8" t="s">
        <v>40</v>
      </c>
      <c r="U124" s="8" t="s">
        <v>41</v>
      </c>
      <c r="V124" s="8" t="s">
        <v>42</v>
      </c>
      <c r="W124" s="8">
        <v>0</v>
      </c>
    </row>
    <row r="125" spans="1:23" x14ac:dyDescent="0.25">
      <c r="A125" s="4">
        <v>3</v>
      </c>
      <c r="B125" s="4"/>
      <c r="C125" s="4">
        <v>878789</v>
      </c>
      <c r="D125" s="4">
        <v>8014.16</v>
      </c>
      <c r="E125" s="5">
        <f t="shared" si="1"/>
        <v>-0.15999999999985448</v>
      </c>
      <c r="F125" s="6">
        <v>45224</v>
      </c>
      <c r="G125" s="10">
        <v>329101221</v>
      </c>
      <c r="H125" s="9">
        <v>45208</v>
      </c>
      <c r="I125" s="9">
        <v>45223</v>
      </c>
      <c r="J125" s="8">
        <v>8014</v>
      </c>
      <c r="K125" s="8" t="s">
        <v>31</v>
      </c>
      <c r="L125" s="8" t="s">
        <v>32</v>
      </c>
      <c r="M125" s="8"/>
      <c r="N125" s="8" t="b">
        <v>0</v>
      </c>
      <c r="O125" s="10">
        <v>695778</v>
      </c>
      <c r="P125" s="8" t="s">
        <v>191</v>
      </c>
      <c r="Q125" s="8">
        <v>170704</v>
      </c>
      <c r="R125" s="9">
        <v>45208</v>
      </c>
      <c r="S125" s="8" t="s">
        <v>34</v>
      </c>
      <c r="T125" s="8" t="s">
        <v>44</v>
      </c>
      <c r="U125" s="8" t="s">
        <v>157</v>
      </c>
      <c r="V125" s="8" t="s">
        <v>158</v>
      </c>
      <c r="W125" s="8">
        <v>0</v>
      </c>
    </row>
    <row r="126" spans="1:23" x14ac:dyDescent="0.25">
      <c r="A126" s="4">
        <v>3</v>
      </c>
      <c r="B126" s="4"/>
      <c r="C126" s="4">
        <v>878788</v>
      </c>
      <c r="D126" s="4">
        <v>9263.8799999999992</v>
      </c>
      <c r="E126" s="5">
        <f t="shared" si="1"/>
        <v>0.12000000000080036</v>
      </c>
      <c r="F126" s="6">
        <v>45224</v>
      </c>
      <c r="G126" s="10">
        <v>329101272</v>
      </c>
      <c r="H126" s="9">
        <v>45208</v>
      </c>
      <c r="I126" s="9">
        <v>45223</v>
      </c>
      <c r="J126" s="8">
        <v>9264</v>
      </c>
      <c r="K126" s="8" t="s">
        <v>31</v>
      </c>
      <c r="L126" s="8" t="s">
        <v>32</v>
      </c>
      <c r="M126" s="8"/>
      <c r="N126" s="8" t="b">
        <v>0</v>
      </c>
      <c r="O126" s="10">
        <v>700588</v>
      </c>
      <c r="P126" s="8" t="s">
        <v>192</v>
      </c>
      <c r="Q126" s="8">
        <v>170677</v>
      </c>
      <c r="R126" s="9">
        <v>45208</v>
      </c>
      <c r="S126" s="8" t="s">
        <v>130</v>
      </c>
      <c r="T126" s="8" t="s">
        <v>40</v>
      </c>
      <c r="U126" s="8" t="s">
        <v>131</v>
      </c>
      <c r="V126" s="8" t="s">
        <v>132</v>
      </c>
      <c r="W126" s="8">
        <v>0</v>
      </c>
    </row>
    <row r="127" spans="1:23" x14ac:dyDescent="0.25">
      <c r="A127" s="4">
        <v>3</v>
      </c>
      <c r="B127" s="4"/>
      <c r="C127" s="4">
        <v>878787</v>
      </c>
      <c r="D127" s="4">
        <v>6330.42</v>
      </c>
      <c r="E127" s="5">
        <f t="shared" si="1"/>
        <v>-0.42000000000007276</v>
      </c>
      <c r="F127" s="6">
        <v>45224</v>
      </c>
      <c r="G127" s="10">
        <v>329101335</v>
      </c>
      <c r="H127" s="9">
        <v>45208</v>
      </c>
      <c r="I127" s="9">
        <v>45223</v>
      </c>
      <c r="J127" s="8">
        <v>6330</v>
      </c>
      <c r="K127" s="8" t="s">
        <v>31</v>
      </c>
      <c r="L127" s="8" t="s">
        <v>32</v>
      </c>
      <c r="M127" s="8"/>
      <c r="N127" s="8" t="b">
        <v>0</v>
      </c>
      <c r="O127" s="10">
        <v>697210</v>
      </c>
      <c r="P127" s="8" t="s">
        <v>193</v>
      </c>
      <c r="Q127" s="8">
        <v>170708</v>
      </c>
      <c r="R127" s="9">
        <v>45208</v>
      </c>
      <c r="S127" s="8" t="s">
        <v>34</v>
      </c>
      <c r="T127" s="8" t="s">
        <v>44</v>
      </c>
      <c r="U127" s="8" t="s">
        <v>36</v>
      </c>
      <c r="V127" s="8" t="s">
        <v>37</v>
      </c>
      <c r="W127" s="8">
        <v>0</v>
      </c>
    </row>
    <row r="128" spans="1:23" x14ac:dyDescent="0.25">
      <c r="A128" s="4">
        <v>3</v>
      </c>
      <c r="B128" s="4"/>
      <c r="C128" s="4">
        <v>878786</v>
      </c>
      <c r="D128" s="4">
        <v>6330.42</v>
      </c>
      <c r="E128" s="5">
        <f t="shared" si="1"/>
        <v>-0.42000000000007276</v>
      </c>
      <c r="F128" s="6">
        <v>45224</v>
      </c>
      <c r="G128" s="10">
        <v>329101586</v>
      </c>
      <c r="H128" s="9">
        <v>45208</v>
      </c>
      <c r="I128" s="9">
        <v>45223</v>
      </c>
      <c r="J128" s="8">
        <v>6330</v>
      </c>
      <c r="K128" s="8" t="s">
        <v>31</v>
      </c>
      <c r="L128" s="8" t="s">
        <v>32</v>
      </c>
      <c r="M128" s="8"/>
      <c r="N128" s="8" t="b">
        <v>0</v>
      </c>
      <c r="O128" s="10">
        <v>697224</v>
      </c>
      <c r="P128" s="8" t="s">
        <v>194</v>
      </c>
      <c r="Q128" s="8">
        <v>170721</v>
      </c>
      <c r="R128" s="9">
        <v>45208</v>
      </c>
      <c r="S128" s="8" t="s">
        <v>34</v>
      </c>
      <c r="T128" s="8" t="s">
        <v>44</v>
      </c>
      <c r="U128" s="8" t="s">
        <v>36</v>
      </c>
      <c r="V128" s="8" t="s">
        <v>37</v>
      </c>
      <c r="W128" s="8">
        <v>0</v>
      </c>
    </row>
    <row r="129" spans="1:23" x14ac:dyDescent="0.25">
      <c r="A129" s="4">
        <v>1</v>
      </c>
      <c r="B129" s="4"/>
      <c r="C129" s="4">
        <v>878818</v>
      </c>
      <c r="D129" s="4">
        <v>8014.16</v>
      </c>
      <c r="E129" s="5">
        <f t="shared" si="1"/>
        <v>-0.15999999999985448</v>
      </c>
      <c r="F129" s="6">
        <v>45224</v>
      </c>
      <c r="G129" s="10">
        <v>329116462</v>
      </c>
      <c r="H129" s="9">
        <v>45209</v>
      </c>
      <c r="I129" s="9">
        <v>45224</v>
      </c>
      <c r="J129" s="8">
        <v>8014</v>
      </c>
      <c r="K129" s="8" t="s">
        <v>31</v>
      </c>
      <c r="L129" s="8" t="s">
        <v>32</v>
      </c>
      <c r="M129" s="8"/>
      <c r="N129" s="8" t="b">
        <v>0</v>
      </c>
      <c r="O129" s="10">
        <v>695771</v>
      </c>
      <c r="P129" s="8" t="s">
        <v>195</v>
      </c>
      <c r="Q129" s="8">
        <v>179829</v>
      </c>
      <c r="R129" s="9">
        <v>45209</v>
      </c>
      <c r="S129" s="8" t="s">
        <v>34</v>
      </c>
      <c r="T129" s="8" t="s">
        <v>44</v>
      </c>
      <c r="U129" s="8" t="s">
        <v>157</v>
      </c>
      <c r="V129" s="8" t="s">
        <v>158</v>
      </c>
      <c r="W129" s="8">
        <v>0</v>
      </c>
    </row>
    <row r="130" spans="1:23" x14ac:dyDescent="0.25">
      <c r="A130" s="4">
        <v>1</v>
      </c>
      <c r="B130" s="4"/>
      <c r="C130" s="4">
        <v>878817</v>
      </c>
      <c r="D130" s="4">
        <v>8014.16</v>
      </c>
      <c r="E130" s="5">
        <f t="shared" si="1"/>
        <v>-0.15999999999985448</v>
      </c>
      <c r="F130" s="6">
        <v>45224</v>
      </c>
      <c r="G130" s="10">
        <v>329116739</v>
      </c>
      <c r="H130" s="9">
        <v>45209</v>
      </c>
      <c r="I130" s="9">
        <v>45224</v>
      </c>
      <c r="J130" s="8">
        <v>8014</v>
      </c>
      <c r="K130" s="8" t="s">
        <v>31</v>
      </c>
      <c r="L130" s="8" t="s">
        <v>32</v>
      </c>
      <c r="M130" s="8"/>
      <c r="N130" s="8" t="b">
        <v>0</v>
      </c>
      <c r="O130" s="10">
        <v>695775</v>
      </c>
      <c r="P130" s="8" t="s">
        <v>196</v>
      </c>
      <c r="Q130" s="8">
        <v>179854</v>
      </c>
      <c r="R130" s="9">
        <v>45209</v>
      </c>
      <c r="S130" s="8" t="s">
        <v>34</v>
      </c>
      <c r="T130" s="8" t="s">
        <v>44</v>
      </c>
      <c r="U130" s="8" t="s">
        <v>157</v>
      </c>
      <c r="V130" s="8" t="s">
        <v>158</v>
      </c>
      <c r="W130" s="8">
        <v>0</v>
      </c>
    </row>
    <row r="131" spans="1:23" x14ac:dyDescent="0.25">
      <c r="A131" s="4">
        <v>1</v>
      </c>
      <c r="B131" s="4"/>
      <c r="C131" s="4">
        <v>878816</v>
      </c>
      <c r="D131" s="4">
        <v>6374.58</v>
      </c>
      <c r="E131" s="5">
        <f t="shared" si="1"/>
        <v>0.42000000000007276</v>
      </c>
      <c r="F131" s="6">
        <v>45224</v>
      </c>
      <c r="G131" s="10">
        <v>329116743</v>
      </c>
      <c r="H131" s="9">
        <v>45209</v>
      </c>
      <c r="I131" s="9">
        <v>45224</v>
      </c>
      <c r="J131" s="8">
        <v>6375</v>
      </c>
      <c r="K131" s="8" t="s">
        <v>31</v>
      </c>
      <c r="L131" s="8" t="s">
        <v>32</v>
      </c>
      <c r="M131" s="8"/>
      <c r="N131" s="8" t="b">
        <v>0</v>
      </c>
      <c r="O131" s="10">
        <v>702142</v>
      </c>
      <c r="P131" s="8" t="s">
        <v>197</v>
      </c>
      <c r="Q131" s="8">
        <v>179879</v>
      </c>
      <c r="R131" s="9">
        <v>45209</v>
      </c>
      <c r="S131" s="8" t="s">
        <v>48</v>
      </c>
      <c r="T131" s="8" t="s">
        <v>40</v>
      </c>
      <c r="U131" s="8" t="s">
        <v>50</v>
      </c>
      <c r="V131" s="8" t="s">
        <v>37</v>
      </c>
      <c r="W131" s="8">
        <v>0</v>
      </c>
    </row>
    <row r="132" spans="1:23" x14ac:dyDescent="0.25">
      <c r="A132" s="4">
        <v>1</v>
      </c>
      <c r="B132" s="4"/>
      <c r="C132" s="4">
        <v>878815</v>
      </c>
      <c r="D132" s="4">
        <v>5145.66</v>
      </c>
      <c r="E132" s="5">
        <f t="shared" si="1"/>
        <v>0.34000000000014552</v>
      </c>
      <c r="F132" s="6">
        <v>45224</v>
      </c>
      <c r="G132" s="10">
        <v>329116757</v>
      </c>
      <c r="H132" s="9">
        <v>45209</v>
      </c>
      <c r="I132" s="9">
        <v>45224</v>
      </c>
      <c r="J132" s="8">
        <v>5146</v>
      </c>
      <c r="K132" s="8" t="s">
        <v>31</v>
      </c>
      <c r="L132" s="8" t="s">
        <v>32</v>
      </c>
      <c r="M132" s="8"/>
      <c r="N132" s="8" t="b">
        <v>0</v>
      </c>
      <c r="O132" s="10">
        <v>702159</v>
      </c>
      <c r="P132" s="8" t="s">
        <v>198</v>
      </c>
      <c r="Q132" s="8">
        <v>179866</v>
      </c>
      <c r="R132" s="9">
        <v>45209</v>
      </c>
      <c r="S132" s="8" t="s">
        <v>34</v>
      </c>
      <c r="T132" s="8" t="s">
        <v>44</v>
      </c>
      <c r="U132" s="8" t="s">
        <v>58</v>
      </c>
      <c r="V132" s="8" t="s">
        <v>46</v>
      </c>
      <c r="W132" s="8">
        <v>0</v>
      </c>
    </row>
    <row r="133" spans="1:23" x14ac:dyDescent="0.25">
      <c r="A133" s="4">
        <v>1</v>
      </c>
      <c r="B133" s="4"/>
      <c r="C133" s="4">
        <v>878822</v>
      </c>
      <c r="D133" s="4">
        <v>56856.800000000003</v>
      </c>
      <c r="E133" s="5">
        <f t="shared" si="1"/>
        <v>5.1999999999970896</v>
      </c>
      <c r="F133" s="6">
        <v>45224</v>
      </c>
      <c r="G133" s="10">
        <v>329117300</v>
      </c>
      <c r="H133" s="9">
        <v>45209</v>
      </c>
      <c r="I133" s="9">
        <v>45224</v>
      </c>
      <c r="J133" s="8">
        <v>56862</v>
      </c>
      <c r="K133" s="8" t="s">
        <v>31</v>
      </c>
      <c r="L133" s="8" t="s">
        <v>32</v>
      </c>
      <c r="M133" s="8"/>
      <c r="N133" s="8" t="b">
        <v>0</v>
      </c>
      <c r="O133" s="10"/>
      <c r="P133" s="8" t="s">
        <v>199</v>
      </c>
      <c r="Q133" s="8">
        <v>164857</v>
      </c>
      <c r="R133" s="9">
        <v>45208</v>
      </c>
      <c r="S133" s="8" t="s">
        <v>34</v>
      </c>
      <c r="T133" s="8" t="s">
        <v>49</v>
      </c>
      <c r="U133" s="8" t="s">
        <v>75</v>
      </c>
      <c r="V133" s="8" t="s">
        <v>46</v>
      </c>
      <c r="W133" s="8">
        <v>0</v>
      </c>
    </row>
    <row r="134" spans="1:23" x14ac:dyDescent="0.25">
      <c r="A134" s="4">
        <v>1</v>
      </c>
      <c r="B134" s="4" t="s">
        <v>145</v>
      </c>
      <c r="C134" s="4" t="s">
        <v>200</v>
      </c>
      <c r="D134" s="4">
        <v>16469.12</v>
      </c>
      <c r="E134" s="5">
        <f t="shared" ref="E134:E197" si="2">J134-D134</f>
        <v>0.88000000000101863</v>
      </c>
      <c r="F134" s="6">
        <v>45224</v>
      </c>
      <c r="G134" s="10">
        <v>329125822</v>
      </c>
      <c r="H134" s="9">
        <v>45209</v>
      </c>
      <c r="I134" s="9">
        <v>45224</v>
      </c>
      <c r="J134" s="8">
        <v>16470</v>
      </c>
      <c r="K134" s="8" t="s">
        <v>31</v>
      </c>
      <c r="L134" s="8" t="s">
        <v>32</v>
      </c>
      <c r="M134" s="8"/>
      <c r="N134" s="8" t="b">
        <v>0</v>
      </c>
      <c r="O134" s="10"/>
      <c r="P134" s="8" t="s">
        <v>201</v>
      </c>
      <c r="Q134" s="8">
        <v>189746</v>
      </c>
      <c r="R134" s="9">
        <v>45209</v>
      </c>
      <c r="S134" s="8" t="s">
        <v>148</v>
      </c>
      <c r="T134" s="8" t="s">
        <v>49</v>
      </c>
      <c r="U134" s="8" t="s">
        <v>149</v>
      </c>
      <c r="V134" s="8" t="s">
        <v>150</v>
      </c>
      <c r="W134" s="8">
        <v>0</v>
      </c>
    </row>
    <row r="135" spans="1:23" x14ac:dyDescent="0.25">
      <c r="A135" s="4">
        <v>1</v>
      </c>
      <c r="B135" s="4"/>
      <c r="C135" s="4">
        <v>878814</v>
      </c>
      <c r="D135" s="4">
        <v>8014.16</v>
      </c>
      <c r="E135" s="5">
        <f t="shared" si="2"/>
        <v>-0.15999999999985448</v>
      </c>
      <c r="F135" s="6">
        <v>45224</v>
      </c>
      <c r="G135" s="10">
        <v>329126491</v>
      </c>
      <c r="H135" s="9">
        <v>45209</v>
      </c>
      <c r="I135" s="9">
        <v>45224</v>
      </c>
      <c r="J135" s="8">
        <v>8014</v>
      </c>
      <c r="K135" s="8" t="s">
        <v>31</v>
      </c>
      <c r="L135" s="8" t="s">
        <v>32</v>
      </c>
      <c r="M135" s="8"/>
      <c r="N135" s="8" t="b">
        <v>0</v>
      </c>
      <c r="O135" s="10">
        <v>695774</v>
      </c>
      <c r="P135" s="8" t="s">
        <v>202</v>
      </c>
      <c r="Q135" s="8">
        <v>190504</v>
      </c>
      <c r="R135" s="9">
        <v>45209</v>
      </c>
      <c r="S135" s="8" t="s">
        <v>34</v>
      </c>
      <c r="T135" s="8" t="s">
        <v>44</v>
      </c>
      <c r="U135" s="8" t="s">
        <v>157</v>
      </c>
      <c r="V135" s="8" t="s">
        <v>158</v>
      </c>
      <c r="W135" s="8">
        <v>0</v>
      </c>
    </row>
    <row r="136" spans="1:23" x14ac:dyDescent="0.25">
      <c r="A136" s="4">
        <v>1</v>
      </c>
      <c r="B136" s="4"/>
      <c r="C136" s="4">
        <v>878813</v>
      </c>
      <c r="D136" s="4">
        <v>5147.96</v>
      </c>
      <c r="E136" s="5">
        <f t="shared" si="2"/>
        <v>3.999999999996362E-2</v>
      </c>
      <c r="F136" s="6">
        <v>45224</v>
      </c>
      <c r="G136" s="10">
        <v>329126494</v>
      </c>
      <c r="H136" s="9">
        <v>45209</v>
      </c>
      <c r="I136" s="9">
        <v>45224</v>
      </c>
      <c r="J136" s="8">
        <v>5148</v>
      </c>
      <c r="K136" s="8" t="s">
        <v>31</v>
      </c>
      <c r="L136" s="8" t="s">
        <v>32</v>
      </c>
      <c r="M136" s="8"/>
      <c r="N136" s="8" t="b">
        <v>0</v>
      </c>
      <c r="O136" s="10">
        <v>695735</v>
      </c>
      <c r="P136" s="8" t="s">
        <v>203</v>
      </c>
      <c r="Q136" s="8">
        <v>190495</v>
      </c>
      <c r="R136" s="9">
        <v>45209</v>
      </c>
      <c r="S136" s="8" t="s">
        <v>180</v>
      </c>
      <c r="T136" s="8" t="s">
        <v>44</v>
      </c>
      <c r="U136" s="8" t="s">
        <v>45</v>
      </c>
      <c r="V136" s="8" t="s">
        <v>46</v>
      </c>
      <c r="W136" s="8">
        <v>0</v>
      </c>
    </row>
    <row r="137" spans="1:23" x14ac:dyDescent="0.25">
      <c r="A137" s="4">
        <v>1</v>
      </c>
      <c r="B137" s="4"/>
      <c r="C137" s="4">
        <v>878812</v>
      </c>
      <c r="D137" s="4">
        <v>5145.66</v>
      </c>
      <c r="E137" s="5">
        <f t="shared" si="2"/>
        <v>0.34000000000014552</v>
      </c>
      <c r="F137" s="6">
        <v>45224</v>
      </c>
      <c r="G137" s="10">
        <v>329126516</v>
      </c>
      <c r="H137" s="9">
        <v>45209</v>
      </c>
      <c r="I137" s="9">
        <v>45224</v>
      </c>
      <c r="J137" s="8">
        <v>5146</v>
      </c>
      <c r="K137" s="8" t="s">
        <v>31</v>
      </c>
      <c r="L137" s="8" t="s">
        <v>32</v>
      </c>
      <c r="M137" s="8"/>
      <c r="N137" s="8" t="b">
        <v>0</v>
      </c>
      <c r="O137" s="10">
        <v>702158</v>
      </c>
      <c r="P137" s="8" t="s">
        <v>204</v>
      </c>
      <c r="Q137" s="8">
        <v>190506</v>
      </c>
      <c r="R137" s="9">
        <v>45209</v>
      </c>
      <c r="S137" s="8" t="s">
        <v>34</v>
      </c>
      <c r="T137" s="8" t="s">
        <v>44</v>
      </c>
      <c r="U137" s="8" t="s">
        <v>58</v>
      </c>
      <c r="V137" s="8" t="s">
        <v>46</v>
      </c>
      <c r="W137" s="8">
        <v>0</v>
      </c>
    </row>
    <row r="138" spans="1:23" x14ac:dyDescent="0.25">
      <c r="A138" s="4">
        <v>1</v>
      </c>
      <c r="B138" s="4"/>
      <c r="C138" s="4">
        <v>878821</v>
      </c>
      <c r="D138" s="4">
        <v>12991.84</v>
      </c>
      <c r="E138" s="5">
        <f t="shared" si="2"/>
        <v>0.15999999999985448</v>
      </c>
      <c r="F138" s="6">
        <v>45224</v>
      </c>
      <c r="G138" s="10">
        <v>329126558</v>
      </c>
      <c r="H138" s="9">
        <v>45209</v>
      </c>
      <c r="I138" s="9">
        <v>45224</v>
      </c>
      <c r="J138" s="8">
        <v>12992</v>
      </c>
      <c r="K138" s="8" t="s">
        <v>31</v>
      </c>
      <c r="L138" s="8" t="s">
        <v>32</v>
      </c>
      <c r="M138" s="8"/>
      <c r="N138" s="8" t="b">
        <v>0</v>
      </c>
      <c r="O138" s="10"/>
      <c r="P138" s="8" t="s">
        <v>205</v>
      </c>
      <c r="Q138" s="8">
        <v>190371</v>
      </c>
      <c r="R138" s="9">
        <v>45209</v>
      </c>
      <c r="S138" s="8" t="s">
        <v>70</v>
      </c>
      <c r="T138" s="8" t="s">
        <v>49</v>
      </c>
      <c r="U138" s="8" t="s">
        <v>71</v>
      </c>
      <c r="V138" s="8" t="s">
        <v>72</v>
      </c>
      <c r="W138" s="8">
        <v>0</v>
      </c>
    </row>
    <row r="139" spans="1:23" x14ac:dyDescent="0.25">
      <c r="A139" s="4">
        <v>1</v>
      </c>
      <c r="B139" s="4"/>
      <c r="C139" s="4">
        <v>878784</v>
      </c>
      <c r="D139" s="4">
        <v>5199.46</v>
      </c>
      <c r="E139" s="5">
        <f t="shared" si="2"/>
        <v>-0.46000000000003638</v>
      </c>
      <c r="F139" s="6">
        <v>45224</v>
      </c>
      <c r="G139" s="10">
        <v>329126581</v>
      </c>
      <c r="H139" s="9">
        <v>45209</v>
      </c>
      <c r="I139" s="9">
        <v>45224</v>
      </c>
      <c r="J139" s="8">
        <v>5199</v>
      </c>
      <c r="K139" s="8" t="s">
        <v>31</v>
      </c>
      <c r="L139" s="8" t="s">
        <v>32</v>
      </c>
      <c r="M139" s="8"/>
      <c r="N139" s="8" t="b">
        <v>0</v>
      </c>
      <c r="O139" s="10">
        <v>20930</v>
      </c>
      <c r="P139" s="8" t="s">
        <v>206</v>
      </c>
      <c r="Q139" s="8">
        <v>190583</v>
      </c>
      <c r="R139" s="9">
        <v>45209</v>
      </c>
      <c r="S139" s="8" t="s">
        <v>48</v>
      </c>
      <c r="T139" s="8" t="s">
        <v>40</v>
      </c>
      <c r="U139" s="8" t="s">
        <v>163</v>
      </c>
      <c r="V139" s="8" t="s">
        <v>46</v>
      </c>
      <c r="W139" s="8">
        <v>0</v>
      </c>
    </row>
    <row r="140" spans="1:23" x14ac:dyDescent="0.25">
      <c r="A140" s="4">
        <v>1</v>
      </c>
      <c r="B140" s="4"/>
      <c r="C140" s="4">
        <v>878811</v>
      </c>
      <c r="D140" s="4">
        <v>6369.52</v>
      </c>
      <c r="E140" s="5">
        <f t="shared" si="2"/>
        <v>5.4799999999995634</v>
      </c>
      <c r="F140" s="6">
        <v>45224</v>
      </c>
      <c r="G140" s="10">
        <v>329127054</v>
      </c>
      <c r="H140" s="9">
        <v>45209</v>
      </c>
      <c r="I140" s="9">
        <v>45224</v>
      </c>
      <c r="J140" s="8">
        <v>6375</v>
      </c>
      <c r="K140" s="8" t="s">
        <v>31</v>
      </c>
      <c r="L140" s="8" t="s">
        <v>32</v>
      </c>
      <c r="M140" s="8"/>
      <c r="N140" s="8" t="b">
        <v>0</v>
      </c>
      <c r="O140" s="10">
        <v>702143</v>
      </c>
      <c r="P140" s="8" t="s">
        <v>53</v>
      </c>
      <c r="Q140" s="8">
        <v>190640</v>
      </c>
      <c r="R140" s="9">
        <v>45209</v>
      </c>
      <c r="S140" s="8" t="s">
        <v>48</v>
      </c>
      <c r="T140" s="8" t="s">
        <v>40</v>
      </c>
      <c r="U140" s="8" t="s">
        <v>50</v>
      </c>
      <c r="V140" s="8" t="s">
        <v>37</v>
      </c>
      <c r="W140" s="8">
        <v>0</v>
      </c>
    </row>
    <row r="141" spans="1:23" x14ac:dyDescent="0.25">
      <c r="A141" s="4">
        <v>1</v>
      </c>
      <c r="B141" s="4"/>
      <c r="C141" s="4">
        <v>878810</v>
      </c>
      <c r="D141" s="4">
        <v>6374.58</v>
      </c>
      <c r="E141" s="5">
        <f t="shared" si="2"/>
        <v>0.42000000000007276</v>
      </c>
      <c r="F141" s="6">
        <v>45224</v>
      </c>
      <c r="G141" s="10">
        <v>329127099</v>
      </c>
      <c r="H141" s="9">
        <v>45209</v>
      </c>
      <c r="I141" s="9">
        <v>45224</v>
      </c>
      <c r="J141" s="8">
        <v>6375</v>
      </c>
      <c r="K141" s="8" t="s">
        <v>31</v>
      </c>
      <c r="L141" s="8" t="s">
        <v>32</v>
      </c>
      <c r="M141" s="8"/>
      <c r="N141" s="8" t="b">
        <v>0</v>
      </c>
      <c r="O141" s="10">
        <v>702144</v>
      </c>
      <c r="P141" s="8" t="s">
        <v>51</v>
      </c>
      <c r="Q141" s="8">
        <v>190659</v>
      </c>
      <c r="R141" s="9">
        <v>45209</v>
      </c>
      <c r="S141" s="8" t="s">
        <v>48</v>
      </c>
      <c r="T141" s="8" t="s">
        <v>40</v>
      </c>
      <c r="U141" s="8" t="s">
        <v>50</v>
      </c>
      <c r="V141" s="8" t="s">
        <v>37</v>
      </c>
      <c r="W141" s="8">
        <v>0</v>
      </c>
    </row>
    <row r="142" spans="1:23" x14ac:dyDescent="0.25">
      <c r="A142" s="4">
        <v>1</v>
      </c>
      <c r="B142" s="4"/>
      <c r="C142" s="4">
        <v>878820</v>
      </c>
      <c r="D142" s="4">
        <v>38975.519999999997</v>
      </c>
      <c r="E142" s="5">
        <f t="shared" si="2"/>
        <v>0.48000000000320142</v>
      </c>
      <c r="F142" s="6">
        <v>45224</v>
      </c>
      <c r="G142" s="10">
        <v>329127759</v>
      </c>
      <c r="H142" s="9">
        <v>45209</v>
      </c>
      <c r="I142" s="9">
        <v>45224</v>
      </c>
      <c r="J142" s="8">
        <v>38976</v>
      </c>
      <c r="K142" s="8" t="s">
        <v>31</v>
      </c>
      <c r="L142" s="8" t="s">
        <v>32</v>
      </c>
      <c r="M142" s="8"/>
      <c r="N142" s="8" t="b">
        <v>0</v>
      </c>
      <c r="O142" s="10"/>
      <c r="P142" s="8" t="s">
        <v>207</v>
      </c>
      <c r="Q142" s="8">
        <v>191490</v>
      </c>
      <c r="R142" s="9">
        <v>45209</v>
      </c>
      <c r="S142" s="8" t="s">
        <v>70</v>
      </c>
      <c r="T142" s="8" t="s">
        <v>49</v>
      </c>
      <c r="U142" s="8" t="s">
        <v>71</v>
      </c>
      <c r="V142" s="8" t="s">
        <v>72</v>
      </c>
      <c r="W142" s="8">
        <v>0</v>
      </c>
    </row>
    <row r="143" spans="1:23" x14ac:dyDescent="0.25">
      <c r="A143" s="4">
        <v>1</v>
      </c>
      <c r="B143" s="4"/>
      <c r="C143" s="4">
        <v>879051</v>
      </c>
      <c r="D143" s="4">
        <v>6300.92</v>
      </c>
      <c r="E143" s="5">
        <f t="shared" si="2"/>
        <v>7.999999999992724E-2</v>
      </c>
      <c r="F143" s="6">
        <v>45224</v>
      </c>
      <c r="G143" s="10">
        <v>329135914</v>
      </c>
      <c r="H143" s="9">
        <v>45210</v>
      </c>
      <c r="I143" s="9">
        <v>45225</v>
      </c>
      <c r="J143" s="8">
        <v>6301</v>
      </c>
      <c r="K143" s="8" t="s">
        <v>31</v>
      </c>
      <c r="L143" s="8" t="s">
        <v>32</v>
      </c>
      <c r="M143" s="8"/>
      <c r="N143" s="8" t="b">
        <v>0</v>
      </c>
      <c r="O143" s="10">
        <v>700984</v>
      </c>
      <c r="P143" s="8" t="s">
        <v>208</v>
      </c>
      <c r="Q143" s="8">
        <v>165712</v>
      </c>
      <c r="R143" s="9">
        <v>45208</v>
      </c>
      <c r="S143" s="8" t="s">
        <v>34</v>
      </c>
      <c r="T143" s="8" t="s">
        <v>209</v>
      </c>
      <c r="U143" s="8" t="s">
        <v>58</v>
      </c>
      <c r="V143" s="8" t="s">
        <v>46</v>
      </c>
      <c r="W143" s="8">
        <v>0</v>
      </c>
    </row>
    <row r="144" spans="1:23" x14ac:dyDescent="0.25">
      <c r="A144" s="4">
        <v>1</v>
      </c>
      <c r="B144" s="4"/>
      <c r="C144" s="4">
        <v>879052</v>
      </c>
      <c r="D144" s="4">
        <v>5145.66</v>
      </c>
      <c r="E144" s="5">
        <f t="shared" si="2"/>
        <v>0.34000000000014552</v>
      </c>
      <c r="F144" s="6">
        <v>45224</v>
      </c>
      <c r="G144" s="10">
        <v>329144037</v>
      </c>
      <c r="H144" s="9">
        <v>45210</v>
      </c>
      <c r="I144" s="9">
        <v>45225</v>
      </c>
      <c r="J144" s="8">
        <v>5146</v>
      </c>
      <c r="K144" s="8" t="s">
        <v>31</v>
      </c>
      <c r="L144" s="8" t="s">
        <v>32</v>
      </c>
      <c r="M144" s="8"/>
      <c r="N144" s="8" t="b">
        <v>0</v>
      </c>
      <c r="O144" s="10">
        <v>702163</v>
      </c>
      <c r="P144" s="8" t="s">
        <v>210</v>
      </c>
      <c r="Q144" s="8">
        <v>203925</v>
      </c>
      <c r="R144" s="9">
        <v>45210</v>
      </c>
      <c r="S144" s="8" t="s">
        <v>34</v>
      </c>
      <c r="T144" s="8" t="s">
        <v>44</v>
      </c>
      <c r="U144" s="8" t="s">
        <v>58</v>
      </c>
      <c r="V144" s="8" t="s">
        <v>46</v>
      </c>
      <c r="W144" s="8">
        <v>0</v>
      </c>
    </row>
    <row r="145" spans="1:23" x14ac:dyDescent="0.25">
      <c r="A145" s="4">
        <v>1</v>
      </c>
      <c r="B145" s="4"/>
      <c r="C145" s="4">
        <v>879053</v>
      </c>
      <c r="D145" s="4">
        <v>6374.58</v>
      </c>
      <c r="E145" s="5">
        <f t="shared" si="2"/>
        <v>0.42000000000007276</v>
      </c>
      <c r="F145" s="6">
        <v>45224</v>
      </c>
      <c r="G145" s="10">
        <v>329144406</v>
      </c>
      <c r="H145" s="9">
        <v>45210</v>
      </c>
      <c r="I145" s="9">
        <v>45225</v>
      </c>
      <c r="J145" s="8">
        <v>6375</v>
      </c>
      <c r="K145" s="8" t="s">
        <v>31</v>
      </c>
      <c r="L145" s="8" t="s">
        <v>32</v>
      </c>
      <c r="M145" s="8"/>
      <c r="N145" s="8" t="b">
        <v>0</v>
      </c>
      <c r="O145" s="10">
        <v>702147</v>
      </c>
      <c r="P145" s="8" t="s">
        <v>211</v>
      </c>
      <c r="Q145" s="8">
        <v>204172</v>
      </c>
      <c r="R145" s="9">
        <v>45210</v>
      </c>
      <c r="S145" s="8" t="s">
        <v>48</v>
      </c>
      <c r="T145" s="8" t="s">
        <v>40</v>
      </c>
      <c r="U145" s="8" t="s">
        <v>50</v>
      </c>
      <c r="V145" s="8" t="s">
        <v>37</v>
      </c>
      <c r="W145" s="8">
        <v>0</v>
      </c>
    </row>
    <row r="146" spans="1:23" x14ac:dyDescent="0.25">
      <c r="A146" s="4">
        <v>1</v>
      </c>
      <c r="B146" s="4"/>
      <c r="C146" s="4">
        <v>879054</v>
      </c>
      <c r="D146" s="4">
        <v>6374.58</v>
      </c>
      <c r="E146" s="5">
        <f t="shared" si="2"/>
        <v>0.42000000000007276</v>
      </c>
      <c r="F146" s="6">
        <v>45224</v>
      </c>
      <c r="G146" s="10">
        <v>329144449</v>
      </c>
      <c r="H146" s="9">
        <v>45210</v>
      </c>
      <c r="I146" s="9">
        <v>45225</v>
      </c>
      <c r="J146" s="8">
        <v>6375</v>
      </c>
      <c r="K146" s="8" t="s">
        <v>31</v>
      </c>
      <c r="L146" s="8" t="s">
        <v>32</v>
      </c>
      <c r="M146" s="8"/>
      <c r="N146" s="8" t="b">
        <v>0</v>
      </c>
      <c r="O146" s="10">
        <v>702146</v>
      </c>
      <c r="P146" s="8" t="s">
        <v>212</v>
      </c>
      <c r="Q146" s="8">
        <v>204156</v>
      </c>
      <c r="R146" s="9">
        <v>45210</v>
      </c>
      <c r="S146" s="8" t="s">
        <v>48</v>
      </c>
      <c r="T146" s="8" t="s">
        <v>40</v>
      </c>
      <c r="U146" s="8" t="s">
        <v>50</v>
      </c>
      <c r="V146" s="8" t="s">
        <v>37</v>
      </c>
      <c r="W146" s="8">
        <v>0</v>
      </c>
    </row>
    <row r="147" spans="1:23" x14ac:dyDescent="0.25">
      <c r="A147" s="4">
        <v>1</v>
      </c>
      <c r="B147" s="4"/>
      <c r="C147" s="4">
        <v>879055</v>
      </c>
      <c r="D147" s="4">
        <v>6374.58</v>
      </c>
      <c r="E147" s="5">
        <f t="shared" si="2"/>
        <v>0.42000000000007276</v>
      </c>
      <c r="F147" s="6">
        <v>45224</v>
      </c>
      <c r="G147" s="10">
        <v>329144571</v>
      </c>
      <c r="H147" s="9">
        <v>45210</v>
      </c>
      <c r="I147" s="9">
        <v>45225</v>
      </c>
      <c r="J147" s="8">
        <v>6375</v>
      </c>
      <c r="K147" s="8" t="s">
        <v>31</v>
      </c>
      <c r="L147" s="8" t="s">
        <v>32</v>
      </c>
      <c r="M147" s="8"/>
      <c r="N147" s="8" t="b">
        <v>0</v>
      </c>
      <c r="O147" s="10">
        <v>702145</v>
      </c>
      <c r="P147" s="8" t="s">
        <v>213</v>
      </c>
      <c r="Q147" s="8">
        <v>204111</v>
      </c>
      <c r="R147" s="9">
        <v>45210</v>
      </c>
      <c r="S147" s="8" t="s">
        <v>48</v>
      </c>
      <c r="T147" s="8" t="s">
        <v>40</v>
      </c>
      <c r="U147" s="8" t="s">
        <v>50</v>
      </c>
      <c r="V147" s="8" t="s">
        <v>37</v>
      </c>
      <c r="W147" s="8">
        <v>0</v>
      </c>
    </row>
    <row r="148" spans="1:23" x14ac:dyDescent="0.25">
      <c r="A148" s="4">
        <v>1</v>
      </c>
      <c r="B148" s="4"/>
      <c r="C148" s="4">
        <v>879114</v>
      </c>
      <c r="D148" s="4">
        <v>7001.24</v>
      </c>
      <c r="E148" s="5">
        <f t="shared" si="2"/>
        <v>-0.23999999999978172</v>
      </c>
      <c r="F148" s="6">
        <v>45224</v>
      </c>
      <c r="G148" s="10">
        <v>329144975</v>
      </c>
      <c r="H148" s="9">
        <v>45210</v>
      </c>
      <c r="I148" s="9">
        <v>45225</v>
      </c>
      <c r="J148" s="8">
        <v>7001</v>
      </c>
      <c r="K148" s="8" t="s">
        <v>31</v>
      </c>
      <c r="L148" s="8" t="s">
        <v>32</v>
      </c>
      <c r="M148" s="8"/>
      <c r="N148" s="8" t="b">
        <v>0</v>
      </c>
      <c r="O148" s="10">
        <v>20958</v>
      </c>
      <c r="P148" s="8" t="s">
        <v>214</v>
      </c>
      <c r="Q148" s="8">
        <v>204425</v>
      </c>
      <c r="R148" s="9">
        <v>45210</v>
      </c>
      <c r="S148" s="8" t="s">
        <v>39</v>
      </c>
      <c r="T148" s="8" t="s">
        <v>40</v>
      </c>
      <c r="U148" s="8" t="s">
        <v>41</v>
      </c>
      <c r="V148" s="8" t="s">
        <v>42</v>
      </c>
      <c r="W148" s="8">
        <v>0</v>
      </c>
    </row>
    <row r="149" spans="1:23" x14ac:dyDescent="0.25">
      <c r="A149" s="4">
        <v>1</v>
      </c>
      <c r="B149" s="4"/>
      <c r="C149" s="4">
        <v>879070</v>
      </c>
      <c r="D149" s="4">
        <v>1000</v>
      </c>
      <c r="E149" s="5">
        <f t="shared" si="2"/>
        <v>0</v>
      </c>
      <c r="F149" s="6">
        <v>45224</v>
      </c>
      <c r="G149" s="10">
        <v>329145697</v>
      </c>
      <c r="H149" s="9">
        <v>45211</v>
      </c>
      <c r="I149" s="9">
        <v>45226</v>
      </c>
      <c r="J149" s="8">
        <v>1000</v>
      </c>
      <c r="K149" s="8" t="s">
        <v>215</v>
      </c>
      <c r="L149" s="8" t="s">
        <v>32</v>
      </c>
      <c r="M149" s="8"/>
      <c r="N149" s="8" t="b">
        <v>0</v>
      </c>
      <c r="O149" s="10"/>
      <c r="P149" s="8"/>
      <c r="Q149" s="8"/>
      <c r="R149" s="9"/>
      <c r="S149" s="8" t="s">
        <v>48</v>
      </c>
      <c r="T149" s="8"/>
      <c r="U149" s="8"/>
      <c r="V149" s="8"/>
      <c r="W149" s="8">
        <v>0</v>
      </c>
    </row>
    <row r="150" spans="1:23" x14ac:dyDescent="0.25">
      <c r="A150" s="4">
        <v>1</v>
      </c>
      <c r="B150" s="4"/>
      <c r="C150" s="4">
        <v>879056</v>
      </c>
      <c r="D150" s="4">
        <v>6374.58</v>
      </c>
      <c r="E150" s="5">
        <f t="shared" si="2"/>
        <v>0.42000000000007276</v>
      </c>
      <c r="F150" s="6">
        <v>45224</v>
      </c>
      <c r="G150" s="10">
        <v>329164994</v>
      </c>
      <c r="H150" s="9">
        <v>45211</v>
      </c>
      <c r="I150" s="9">
        <v>45226</v>
      </c>
      <c r="J150" s="8">
        <v>6375</v>
      </c>
      <c r="K150" s="8" t="s">
        <v>31</v>
      </c>
      <c r="L150" s="8" t="s">
        <v>32</v>
      </c>
      <c r="M150" s="8"/>
      <c r="N150" s="8" t="b">
        <v>0</v>
      </c>
      <c r="O150" s="10">
        <v>702149</v>
      </c>
      <c r="P150" s="8" t="s">
        <v>216</v>
      </c>
      <c r="Q150" s="8">
        <v>218755</v>
      </c>
      <c r="R150" s="9">
        <v>45211</v>
      </c>
      <c r="S150" s="8" t="s">
        <v>48</v>
      </c>
      <c r="T150" s="8" t="s">
        <v>40</v>
      </c>
      <c r="U150" s="8" t="s">
        <v>50</v>
      </c>
      <c r="V150" s="8" t="s">
        <v>37</v>
      </c>
      <c r="W150" s="8">
        <v>0</v>
      </c>
    </row>
    <row r="151" spans="1:23" x14ac:dyDescent="0.25">
      <c r="A151" s="4">
        <v>1</v>
      </c>
      <c r="B151" s="4"/>
      <c r="C151" s="4">
        <v>879057</v>
      </c>
      <c r="D151" s="4">
        <v>6374.58</v>
      </c>
      <c r="E151" s="5">
        <f t="shared" si="2"/>
        <v>0.42000000000007276</v>
      </c>
      <c r="F151" s="6">
        <v>45224</v>
      </c>
      <c r="G151" s="10">
        <v>329165005</v>
      </c>
      <c r="H151" s="9">
        <v>45211</v>
      </c>
      <c r="I151" s="9">
        <v>45226</v>
      </c>
      <c r="J151" s="8">
        <v>6375</v>
      </c>
      <c r="K151" s="8" t="s">
        <v>31</v>
      </c>
      <c r="L151" s="8" t="s">
        <v>32</v>
      </c>
      <c r="M151" s="8"/>
      <c r="N151" s="8" t="b">
        <v>0</v>
      </c>
      <c r="O151" s="10">
        <v>702150</v>
      </c>
      <c r="P151" s="8" t="s">
        <v>38</v>
      </c>
      <c r="Q151" s="8">
        <v>218765</v>
      </c>
      <c r="R151" s="9">
        <v>45211</v>
      </c>
      <c r="S151" s="8" t="s">
        <v>48</v>
      </c>
      <c r="T151" s="8" t="s">
        <v>40</v>
      </c>
      <c r="U151" s="8" t="s">
        <v>50</v>
      </c>
      <c r="V151" s="8" t="s">
        <v>37</v>
      </c>
      <c r="W151" s="8">
        <v>0</v>
      </c>
    </row>
    <row r="152" spans="1:23" x14ac:dyDescent="0.25">
      <c r="A152" s="4">
        <v>1</v>
      </c>
      <c r="B152" s="4"/>
      <c r="C152" s="4">
        <v>879058</v>
      </c>
      <c r="D152" s="4">
        <v>5173.26</v>
      </c>
      <c r="E152" s="5">
        <f t="shared" si="2"/>
        <v>-0.26000000000021828</v>
      </c>
      <c r="F152" s="6">
        <v>45224</v>
      </c>
      <c r="G152" s="10">
        <v>329165046</v>
      </c>
      <c r="H152" s="9">
        <v>45211</v>
      </c>
      <c r="I152" s="9">
        <v>45226</v>
      </c>
      <c r="J152" s="8">
        <v>5173</v>
      </c>
      <c r="K152" s="8" t="s">
        <v>31</v>
      </c>
      <c r="L152" s="8" t="s">
        <v>32</v>
      </c>
      <c r="M152" s="8"/>
      <c r="N152" s="8" t="b">
        <v>0</v>
      </c>
      <c r="O152" s="10">
        <v>702430</v>
      </c>
      <c r="P152" s="8" t="s">
        <v>217</v>
      </c>
      <c r="Q152" s="8">
        <v>218792</v>
      </c>
      <c r="R152" s="9">
        <v>45211</v>
      </c>
      <c r="S152" s="8" t="s">
        <v>34</v>
      </c>
      <c r="T152" s="8" t="s">
        <v>40</v>
      </c>
      <c r="U152" s="8" t="s">
        <v>58</v>
      </c>
      <c r="V152" s="8" t="s">
        <v>46</v>
      </c>
      <c r="W152" s="8">
        <v>0</v>
      </c>
    </row>
    <row r="153" spans="1:23" x14ac:dyDescent="0.25">
      <c r="A153" s="4">
        <v>1</v>
      </c>
      <c r="B153" s="4"/>
      <c r="C153" s="4">
        <v>879059</v>
      </c>
      <c r="D153" s="4">
        <v>6374.58</v>
      </c>
      <c r="E153" s="5">
        <f t="shared" si="2"/>
        <v>0.42000000000007276</v>
      </c>
      <c r="F153" s="6">
        <v>45224</v>
      </c>
      <c r="G153" s="10">
        <v>329165056</v>
      </c>
      <c r="H153" s="9">
        <v>45211</v>
      </c>
      <c r="I153" s="9">
        <v>45226</v>
      </c>
      <c r="J153" s="8">
        <v>6375</v>
      </c>
      <c r="K153" s="8" t="s">
        <v>31</v>
      </c>
      <c r="L153" s="8" t="s">
        <v>32</v>
      </c>
      <c r="M153" s="8"/>
      <c r="N153" s="8" t="b">
        <v>0</v>
      </c>
      <c r="O153" s="10">
        <v>702148</v>
      </c>
      <c r="P153" s="8" t="s">
        <v>218</v>
      </c>
      <c r="Q153" s="8">
        <v>218742</v>
      </c>
      <c r="R153" s="9">
        <v>45211</v>
      </c>
      <c r="S153" s="8" t="s">
        <v>48</v>
      </c>
      <c r="T153" s="8" t="s">
        <v>40</v>
      </c>
      <c r="U153" s="8" t="s">
        <v>50</v>
      </c>
      <c r="V153" s="8" t="s">
        <v>37</v>
      </c>
      <c r="W153" s="8">
        <v>0</v>
      </c>
    </row>
    <row r="154" spans="1:23" x14ac:dyDescent="0.25">
      <c r="A154" s="4">
        <v>1</v>
      </c>
      <c r="B154" s="4"/>
      <c r="C154" s="4">
        <v>879060</v>
      </c>
      <c r="D154" s="4">
        <v>5173.26</v>
      </c>
      <c r="E154" s="5">
        <f t="shared" si="2"/>
        <v>-0.26000000000021828</v>
      </c>
      <c r="F154" s="6">
        <v>45224</v>
      </c>
      <c r="G154" s="10">
        <v>329165102</v>
      </c>
      <c r="H154" s="9">
        <v>45211</v>
      </c>
      <c r="I154" s="9">
        <v>45226</v>
      </c>
      <c r="J154" s="8">
        <v>5173</v>
      </c>
      <c r="K154" s="8" t="s">
        <v>31</v>
      </c>
      <c r="L154" s="8" t="s">
        <v>32</v>
      </c>
      <c r="M154" s="8"/>
      <c r="N154" s="8" t="b">
        <v>0</v>
      </c>
      <c r="O154" s="10">
        <v>702429</v>
      </c>
      <c r="P154" s="8" t="s">
        <v>219</v>
      </c>
      <c r="Q154" s="8">
        <v>218774</v>
      </c>
      <c r="R154" s="9">
        <v>45211</v>
      </c>
      <c r="S154" s="8" t="s">
        <v>34</v>
      </c>
      <c r="T154" s="8" t="s">
        <v>40</v>
      </c>
      <c r="U154" s="8" t="s">
        <v>58</v>
      </c>
      <c r="V154" s="8" t="s">
        <v>46</v>
      </c>
      <c r="W154" s="8">
        <v>0</v>
      </c>
    </row>
    <row r="155" spans="1:23" x14ac:dyDescent="0.25">
      <c r="A155" s="4">
        <v>1</v>
      </c>
      <c r="B155" s="4"/>
      <c r="C155" s="4">
        <v>879071</v>
      </c>
      <c r="D155" s="4">
        <v>43740.6</v>
      </c>
      <c r="E155" s="5">
        <f t="shared" si="2"/>
        <v>-0.59999999999854481</v>
      </c>
      <c r="F155" s="6">
        <v>45224</v>
      </c>
      <c r="G155" s="10">
        <v>329170974</v>
      </c>
      <c r="H155" s="9">
        <v>45211</v>
      </c>
      <c r="I155" s="9">
        <v>45226</v>
      </c>
      <c r="J155" s="8">
        <v>43740</v>
      </c>
      <c r="K155" s="8" t="s">
        <v>31</v>
      </c>
      <c r="L155" s="8" t="s">
        <v>32</v>
      </c>
      <c r="M155" s="8"/>
      <c r="N155" s="8" t="b">
        <v>0</v>
      </c>
      <c r="O155" s="10"/>
      <c r="P155" s="8" t="s">
        <v>220</v>
      </c>
      <c r="Q155" s="8">
        <v>205404</v>
      </c>
      <c r="R155" s="9">
        <v>45210</v>
      </c>
      <c r="S155" s="8" t="s">
        <v>34</v>
      </c>
      <c r="T155" s="8" t="s">
        <v>49</v>
      </c>
      <c r="U155" s="8" t="s">
        <v>75</v>
      </c>
      <c r="V155" s="8" t="s">
        <v>46</v>
      </c>
      <c r="W155" s="8">
        <v>0</v>
      </c>
    </row>
    <row r="156" spans="1:23" x14ac:dyDescent="0.25">
      <c r="A156" s="4">
        <v>1</v>
      </c>
      <c r="B156" s="4"/>
      <c r="C156" s="4">
        <v>879061</v>
      </c>
      <c r="D156" s="4">
        <v>5173.26</v>
      </c>
      <c r="E156" s="5">
        <f t="shared" si="2"/>
        <v>-0.26000000000021828</v>
      </c>
      <c r="F156" s="6">
        <v>45224</v>
      </c>
      <c r="G156" s="10">
        <v>329174250</v>
      </c>
      <c r="H156" s="9">
        <v>45211</v>
      </c>
      <c r="I156" s="9">
        <v>45226</v>
      </c>
      <c r="J156" s="8">
        <v>5173</v>
      </c>
      <c r="K156" s="8" t="s">
        <v>31</v>
      </c>
      <c r="L156" s="8" t="s">
        <v>32</v>
      </c>
      <c r="M156" s="8"/>
      <c r="N156" s="8" t="b">
        <v>0</v>
      </c>
      <c r="O156" s="10">
        <v>702431</v>
      </c>
      <c r="P156" s="8" t="s">
        <v>68</v>
      </c>
      <c r="Q156" s="8">
        <v>226485</v>
      </c>
      <c r="R156" s="9">
        <v>45211</v>
      </c>
      <c r="S156" s="8" t="s">
        <v>34</v>
      </c>
      <c r="T156" s="8" t="s">
        <v>40</v>
      </c>
      <c r="U156" s="8" t="s">
        <v>58</v>
      </c>
      <c r="V156" s="8" t="s">
        <v>46</v>
      </c>
      <c r="W156" s="8">
        <v>0</v>
      </c>
    </row>
    <row r="157" spans="1:23" x14ac:dyDescent="0.25">
      <c r="A157" s="4">
        <v>1</v>
      </c>
      <c r="B157" s="4"/>
      <c r="C157" s="4">
        <v>879062</v>
      </c>
      <c r="D157" s="4">
        <v>6374.58</v>
      </c>
      <c r="E157" s="5">
        <f t="shared" si="2"/>
        <v>0.42000000000007276</v>
      </c>
      <c r="F157" s="6">
        <v>45224</v>
      </c>
      <c r="G157" s="10">
        <v>329174292</v>
      </c>
      <c r="H157" s="9">
        <v>45211</v>
      </c>
      <c r="I157" s="9">
        <v>45226</v>
      </c>
      <c r="J157" s="8">
        <v>6375</v>
      </c>
      <c r="K157" s="8" t="s">
        <v>31</v>
      </c>
      <c r="L157" s="8" t="s">
        <v>32</v>
      </c>
      <c r="M157" s="8"/>
      <c r="N157" s="8" t="b">
        <v>0</v>
      </c>
      <c r="O157" s="10">
        <v>702151</v>
      </c>
      <c r="P157" s="8" t="s">
        <v>62</v>
      </c>
      <c r="Q157" s="8">
        <v>226477</v>
      </c>
      <c r="R157" s="9">
        <v>45211</v>
      </c>
      <c r="S157" s="8" t="s">
        <v>48</v>
      </c>
      <c r="T157" s="8" t="s">
        <v>40</v>
      </c>
      <c r="U157" s="8" t="s">
        <v>50</v>
      </c>
      <c r="V157" s="8" t="s">
        <v>37</v>
      </c>
      <c r="W157" s="8">
        <v>0</v>
      </c>
    </row>
    <row r="158" spans="1:23" x14ac:dyDescent="0.25">
      <c r="A158" s="4">
        <v>1</v>
      </c>
      <c r="B158" s="4"/>
      <c r="C158" s="4">
        <v>879063</v>
      </c>
      <c r="D158" s="4">
        <v>6374.58</v>
      </c>
      <c r="E158" s="5">
        <f t="shared" si="2"/>
        <v>0.42000000000007276</v>
      </c>
      <c r="F158" s="6">
        <v>45224</v>
      </c>
      <c r="G158" s="10">
        <v>329174534</v>
      </c>
      <c r="H158" s="9">
        <v>45211</v>
      </c>
      <c r="I158" s="9">
        <v>45226</v>
      </c>
      <c r="J158" s="8">
        <v>6375</v>
      </c>
      <c r="K158" s="8" t="s">
        <v>31</v>
      </c>
      <c r="L158" s="8" t="s">
        <v>32</v>
      </c>
      <c r="M158" s="8"/>
      <c r="N158" s="8" t="b">
        <v>0</v>
      </c>
      <c r="O158" s="10">
        <v>702549</v>
      </c>
      <c r="P158" s="8" t="s">
        <v>63</v>
      </c>
      <c r="Q158" s="8">
        <v>226516</v>
      </c>
      <c r="R158" s="9">
        <v>45211</v>
      </c>
      <c r="S158" s="8" t="s">
        <v>48</v>
      </c>
      <c r="T158" s="8" t="s">
        <v>40</v>
      </c>
      <c r="U158" s="8" t="s">
        <v>50</v>
      </c>
      <c r="V158" s="8" t="s">
        <v>37</v>
      </c>
      <c r="W158" s="8">
        <v>0</v>
      </c>
    </row>
    <row r="159" spans="1:23" x14ac:dyDescent="0.25">
      <c r="A159" s="4">
        <v>1</v>
      </c>
      <c r="B159" s="4"/>
      <c r="C159" s="4">
        <v>879064</v>
      </c>
      <c r="D159" s="4">
        <v>8014.16</v>
      </c>
      <c r="E159" s="5">
        <f t="shared" si="2"/>
        <v>-0.15999999999985448</v>
      </c>
      <c r="F159" s="6">
        <v>45224</v>
      </c>
      <c r="G159" s="10">
        <v>329174582</v>
      </c>
      <c r="H159" s="9">
        <v>45211</v>
      </c>
      <c r="I159" s="9">
        <v>45226</v>
      </c>
      <c r="J159" s="8">
        <v>8014</v>
      </c>
      <c r="K159" s="8" t="s">
        <v>31</v>
      </c>
      <c r="L159" s="8" t="s">
        <v>32</v>
      </c>
      <c r="M159" s="8"/>
      <c r="N159" s="8" t="b">
        <v>0</v>
      </c>
      <c r="O159" s="10">
        <v>695783</v>
      </c>
      <c r="P159" s="8" t="s">
        <v>221</v>
      </c>
      <c r="Q159" s="8">
        <v>226536</v>
      </c>
      <c r="R159" s="9">
        <v>45211</v>
      </c>
      <c r="S159" s="8" t="s">
        <v>34</v>
      </c>
      <c r="T159" s="8" t="s">
        <v>44</v>
      </c>
      <c r="U159" s="8" t="s">
        <v>157</v>
      </c>
      <c r="V159" s="8" t="s">
        <v>158</v>
      </c>
      <c r="W159" s="8">
        <v>0</v>
      </c>
    </row>
    <row r="160" spans="1:23" x14ac:dyDescent="0.25">
      <c r="A160" s="4">
        <v>1</v>
      </c>
      <c r="B160" s="4"/>
      <c r="C160" s="4">
        <v>879065</v>
      </c>
      <c r="D160" s="4">
        <v>6374.58</v>
      </c>
      <c r="E160" s="5">
        <f t="shared" si="2"/>
        <v>0.42000000000007276</v>
      </c>
      <c r="F160" s="6">
        <v>45224</v>
      </c>
      <c r="G160" s="10">
        <v>329174594</v>
      </c>
      <c r="H160" s="9">
        <v>45211</v>
      </c>
      <c r="I160" s="9">
        <v>45226</v>
      </c>
      <c r="J160" s="8">
        <v>6375</v>
      </c>
      <c r="K160" s="8" t="s">
        <v>31</v>
      </c>
      <c r="L160" s="8" t="s">
        <v>32</v>
      </c>
      <c r="M160" s="8"/>
      <c r="N160" s="8" t="b">
        <v>0</v>
      </c>
      <c r="O160" s="10">
        <v>702547</v>
      </c>
      <c r="P160" s="8" t="s">
        <v>65</v>
      </c>
      <c r="Q160" s="8">
        <v>226508</v>
      </c>
      <c r="R160" s="9">
        <v>45211</v>
      </c>
      <c r="S160" s="8" t="s">
        <v>48</v>
      </c>
      <c r="T160" s="8" t="s">
        <v>40</v>
      </c>
      <c r="U160" s="8" t="s">
        <v>50</v>
      </c>
      <c r="V160" s="8" t="s">
        <v>37</v>
      </c>
      <c r="W160" s="8">
        <v>0</v>
      </c>
    </row>
    <row r="161" spans="1:23" x14ac:dyDescent="0.25">
      <c r="A161" s="4">
        <v>1</v>
      </c>
      <c r="B161" s="4"/>
      <c r="C161" s="4">
        <v>879110</v>
      </c>
      <c r="D161" s="4">
        <v>6374.58</v>
      </c>
      <c r="E161" s="5">
        <f t="shared" si="2"/>
        <v>0.42000000000007276</v>
      </c>
      <c r="F161" s="6">
        <v>45224</v>
      </c>
      <c r="G161" s="10">
        <v>329174607</v>
      </c>
      <c r="H161" s="9">
        <v>45211</v>
      </c>
      <c r="I161" s="9">
        <v>45226</v>
      </c>
      <c r="J161" s="8">
        <v>6375</v>
      </c>
      <c r="K161" s="8" t="s">
        <v>31</v>
      </c>
      <c r="L161" s="8" t="s">
        <v>32</v>
      </c>
      <c r="M161" s="8"/>
      <c r="N161" s="8" t="b">
        <v>0</v>
      </c>
      <c r="O161" s="10">
        <v>20954</v>
      </c>
      <c r="P161" s="8" t="s">
        <v>56</v>
      </c>
      <c r="Q161" s="8">
        <v>226506</v>
      </c>
      <c r="R161" s="9">
        <v>45211</v>
      </c>
      <c r="S161" s="8" t="s">
        <v>48</v>
      </c>
      <c r="T161" s="8" t="s">
        <v>40</v>
      </c>
      <c r="U161" s="8" t="s">
        <v>50</v>
      </c>
      <c r="V161" s="8" t="s">
        <v>37</v>
      </c>
      <c r="W161" s="8">
        <v>0</v>
      </c>
    </row>
    <row r="162" spans="1:23" x14ac:dyDescent="0.25">
      <c r="A162" s="4">
        <v>1</v>
      </c>
      <c r="B162" s="4"/>
      <c r="C162" s="4">
        <v>879066</v>
      </c>
      <c r="D162" s="4">
        <v>5145.66</v>
      </c>
      <c r="E162" s="5">
        <f t="shared" si="2"/>
        <v>0.34000000000014552</v>
      </c>
      <c r="F162" s="6">
        <v>45224</v>
      </c>
      <c r="G162" s="10">
        <v>329174660</v>
      </c>
      <c r="H162" s="9">
        <v>45211</v>
      </c>
      <c r="I162" s="9">
        <v>45226</v>
      </c>
      <c r="J162" s="8">
        <v>5146</v>
      </c>
      <c r="K162" s="8" t="s">
        <v>31</v>
      </c>
      <c r="L162" s="8" t="s">
        <v>32</v>
      </c>
      <c r="M162" s="8"/>
      <c r="N162" s="8" t="b">
        <v>0</v>
      </c>
      <c r="O162" s="10">
        <v>702160</v>
      </c>
      <c r="P162" s="8" t="s">
        <v>222</v>
      </c>
      <c r="Q162" s="8">
        <v>226544</v>
      </c>
      <c r="R162" s="9">
        <v>45211</v>
      </c>
      <c r="S162" s="8" t="s">
        <v>34</v>
      </c>
      <c r="T162" s="8" t="s">
        <v>44</v>
      </c>
      <c r="U162" s="8" t="s">
        <v>58</v>
      </c>
      <c r="V162" s="8" t="s">
        <v>46</v>
      </c>
      <c r="W162" s="8">
        <v>0</v>
      </c>
    </row>
    <row r="163" spans="1:23" x14ac:dyDescent="0.25">
      <c r="A163" s="4">
        <v>1</v>
      </c>
      <c r="B163" s="4"/>
      <c r="C163" s="4">
        <v>879067</v>
      </c>
      <c r="D163" s="4">
        <v>6374.58</v>
      </c>
      <c r="E163" s="5">
        <f t="shared" si="2"/>
        <v>0.42000000000007276</v>
      </c>
      <c r="F163" s="6">
        <v>45224</v>
      </c>
      <c r="G163" s="10">
        <v>329174665</v>
      </c>
      <c r="H163" s="9">
        <v>45211</v>
      </c>
      <c r="I163" s="9">
        <v>45226</v>
      </c>
      <c r="J163" s="8">
        <v>6375</v>
      </c>
      <c r="K163" s="8" t="s">
        <v>31</v>
      </c>
      <c r="L163" s="8" t="s">
        <v>32</v>
      </c>
      <c r="M163" s="8"/>
      <c r="N163" s="8" t="b">
        <v>0</v>
      </c>
      <c r="O163" s="10">
        <v>702548</v>
      </c>
      <c r="P163" s="8" t="s">
        <v>66</v>
      </c>
      <c r="Q163" s="8">
        <v>226510</v>
      </c>
      <c r="R163" s="9">
        <v>45211</v>
      </c>
      <c r="S163" s="8" t="s">
        <v>48</v>
      </c>
      <c r="T163" s="8" t="s">
        <v>40</v>
      </c>
      <c r="U163" s="8" t="s">
        <v>50</v>
      </c>
      <c r="V163" s="8" t="s">
        <v>37</v>
      </c>
      <c r="W163" s="8">
        <v>0</v>
      </c>
    </row>
    <row r="164" spans="1:23" x14ac:dyDescent="0.25">
      <c r="A164" s="4">
        <v>1</v>
      </c>
      <c r="B164" s="4"/>
      <c r="C164" s="4">
        <v>879068</v>
      </c>
      <c r="D164" s="4">
        <v>8014.16</v>
      </c>
      <c r="E164" s="5">
        <f t="shared" si="2"/>
        <v>-0.15999999999985448</v>
      </c>
      <c r="F164" s="6">
        <v>45224</v>
      </c>
      <c r="G164" s="10">
        <v>329174708</v>
      </c>
      <c r="H164" s="9">
        <v>45211</v>
      </c>
      <c r="I164" s="9">
        <v>45226</v>
      </c>
      <c r="J164" s="8">
        <v>8014</v>
      </c>
      <c r="K164" s="8" t="s">
        <v>31</v>
      </c>
      <c r="L164" s="8" t="s">
        <v>32</v>
      </c>
      <c r="M164" s="8"/>
      <c r="N164" s="8" t="b">
        <v>0</v>
      </c>
      <c r="O164" s="10">
        <v>695784</v>
      </c>
      <c r="P164" s="8" t="s">
        <v>223</v>
      </c>
      <c r="Q164" s="8">
        <v>226540</v>
      </c>
      <c r="R164" s="9">
        <v>45211</v>
      </c>
      <c r="S164" s="8" t="s">
        <v>34</v>
      </c>
      <c r="T164" s="8" t="s">
        <v>44</v>
      </c>
      <c r="U164" s="8" t="s">
        <v>157</v>
      </c>
      <c r="V164" s="8" t="s">
        <v>158</v>
      </c>
      <c r="W164" s="8">
        <v>0</v>
      </c>
    </row>
    <row r="165" spans="1:23" x14ac:dyDescent="0.25">
      <c r="A165" s="4">
        <v>1</v>
      </c>
      <c r="B165" s="4"/>
      <c r="C165" s="4">
        <v>879069</v>
      </c>
      <c r="D165" s="4">
        <v>6374.58</v>
      </c>
      <c r="E165" s="5">
        <f t="shared" si="2"/>
        <v>0.42000000000007276</v>
      </c>
      <c r="F165" s="6">
        <v>45224</v>
      </c>
      <c r="G165" s="10">
        <v>329175820</v>
      </c>
      <c r="H165" s="9">
        <v>45212</v>
      </c>
      <c r="I165" s="9">
        <v>45227</v>
      </c>
      <c r="J165" s="8">
        <v>6375</v>
      </c>
      <c r="K165" s="8" t="s">
        <v>31</v>
      </c>
      <c r="L165" s="8" t="s">
        <v>32</v>
      </c>
      <c r="M165" s="8"/>
      <c r="N165" s="8" t="b">
        <v>0</v>
      </c>
      <c r="O165" s="10">
        <v>702550</v>
      </c>
      <c r="P165" s="8" t="s">
        <v>224</v>
      </c>
      <c r="Q165" s="8">
        <v>227119</v>
      </c>
      <c r="R165" s="9">
        <v>45211</v>
      </c>
      <c r="S165" s="8" t="s">
        <v>48</v>
      </c>
      <c r="T165" s="8" t="s">
        <v>40</v>
      </c>
      <c r="U165" s="8" t="s">
        <v>50</v>
      </c>
      <c r="V165" s="8" t="s">
        <v>37</v>
      </c>
      <c r="W165" s="8">
        <v>0</v>
      </c>
    </row>
    <row r="166" spans="1:23" x14ac:dyDescent="0.25">
      <c r="A166" s="4">
        <v>1</v>
      </c>
      <c r="B166" s="4"/>
      <c r="C166" s="4">
        <v>879138</v>
      </c>
      <c r="D166" s="4">
        <v>5173.26</v>
      </c>
      <c r="E166" s="5">
        <f t="shared" si="2"/>
        <v>-0.26000000000021828</v>
      </c>
      <c r="F166" s="14">
        <v>45226</v>
      </c>
      <c r="G166" s="10">
        <v>329219410</v>
      </c>
      <c r="H166" s="9">
        <v>45215</v>
      </c>
      <c r="I166" s="9">
        <v>45230</v>
      </c>
      <c r="J166" s="8">
        <v>5173</v>
      </c>
      <c r="K166" s="8" t="s">
        <v>31</v>
      </c>
      <c r="L166" s="8" t="s">
        <v>32</v>
      </c>
      <c r="M166" s="8"/>
      <c r="N166" s="8" t="b">
        <v>0</v>
      </c>
      <c r="O166" s="10">
        <v>702651</v>
      </c>
      <c r="P166" s="8" t="s">
        <v>225</v>
      </c>
      <c r="Q166" s="8">
        <v>253492</v>
      </c>
      <c r="R166" s="9">
        <v>45214</v>
      </c>
      <c r="S166" s="8" t="s">
        <v>34</v>
      </c>
      <c r="T166" s="8" t="s">
        <v>40</v>
      </c>
      <c r="U166" s="8" t="s">
        <v>58</v>
      </c>
      <c r="V166" s="8" t="s">
        <v>46</v>
      </c>
      <c r="W166" s="8">
        <v>0</v>
      </c>
    </row>
    <row r="167" spans="1:23" x14ac:dyDescent="0.25">
      <c r="A167" s="4">
        <v>1</v>
      </c>
      <c r="B167" s="4"/>
      <c r="C167" s="4">
        <v>879137</v>
      </c>
      <c r="D167" s="4">
        <v>5145.66</v>
      </c>
      <c r="E167" s="5">
        <f t="shared" si="2"/>
        <v>0.34000000000014552</v>
      </c>
      <c r="F167" s="14">
        <v>45226</v>
      </c>
      <c r="G167" s="10">
        <v>329219413</v>
      </c>
      <c r="H167" s="9">
        <v>45215</v>
      </c>
      <c r="I167" s="9">
        <v>45230</v>
      </c>
      <c r="J167" s="8">
        <v>5146</v>
      </c>
      <c r="K167" s="8" t="s">
        <v>31</v>
      </c>
      <c r="L167" s="8" t="s">
        <v>32</v>
      </c>
      <c r="M167" s="8"/>
      <c r="N167" s="8" t="b">
        <v>0</v>
      </c>
      <c r="O167" s="10">
        <v>702170</v>
      </c>
      <c r="P167" s="8" t="s">
        <v>54</v>
      </c>
      <c r="Q167" s="8">
        <v>253503</v>
      </c>
      <c r="R167" s="9">
        <v>45214</v>
      </c>
      <c r="S167" s="8" t="s">
        <v>34</v>
      </c>
      <c r="T167" s="8" t="s">
        <v>44</v>
      </c>
      <c r="U167" s="8" t="s">
        <v>58</v>
      </c>
      <c r="V167" s="8" t="s">
        <v>46</v>
      </c>
      <c r="W167" s="8">
        <v>0</v>
      </c>
    </row>
    <row r="168" spans="1:23" x14ac:dyDescent="0.25">
      <c r="A168" s="4">
        <v>1</v>
      </c>
      <c r="B168" s="4"/>
      <c r="C168" s="4">
        <v>879136</v>
      </c>
      <c r="D168" s="4">
        <v>5173.26</v>
      </c>
      <c r="E168" s="5">
        <f t="shared" si="2"/>
        <v>-0.26000000000021828</v>
      </c>
      <c r="F168" s="14">
        <v>45226</v>
      </c>
      <c r="G168" s="10">
        <v>329219414</v>
      </c>
      <c r="H168" s="9">
        <v>45215</v>
      </c>
      <c r="I168" s="9">
        <v>45230</v>
      </c>
      <c r="J168" s="8">
        <v>5173</v>
      </c>
      <c r="K168" s="8" t="s">
        <v>31</v>
      </c>
      <c r="L168" s="8" t="s">
        <v>32</v>
      </c>
      <c r="M168" s="8"/>
      <c r="N168" s="8" t="b">
        <v>0</v>
      </c>
      <c r="O168" s="10">
        <v>702650</v>
      </c>
      <c r="P168" s="8" t="s">
        <v>226</v>
      </c>
      <c r="Q168" s="8">
        <v>253491</v>
      </c>
      <c r="R168" s="9">
        <v>45214</v>
      </c>
      <c r="S168" s="8" t="s">
        <v>34</v>
      </c>
      <c r="T168" s="8" t="s">
        <v>40</v>
      </c>
      <c r="U168" s="8" t="s">
        <v>58</v>
      </c>
      <c r="V168" s="8" t="s">
        <v>46</v>
      </c>
      <c r="W168" s="8">
        <v>0</v>
      </c>
    </row>
    <row r="169" spans="1:23" x14ac:dyDescent="0.25">
      <c r="A169" s="4">
        <v>1</v>
      </c>
      <c r="B169" s="4"/>
      <c r="C169" s="4">
        <v>879135</v>
      </c>
      <c r="D169" s="4">
        <v>6374.58</v>
      </c>
      <c r="E169" s="5">
        <f t="shared" si="2"/>
        <v>0.42000000000007276</v>
      </c>
      <c r="F169" s="14">
        <v>45226</v>
      </c>
      <c r="G169" s="10">
        <v>329219425</v>
      </c>
      <c r="H169" s="9">
        <v>45215</v>
      </c>
      <c r="I169" s="9">
        <v>45230</v>
      </c>
      <c r="J169" s="8">
        <v>6375</v>
      </c>
      <c r="K169" s="8" t="s">
        <v>31</v>
      </c>
      <c r="L169" s="8" t="s">
        <v>32</v>
      </c>
      <c r="M169" s="8"/>
      <c r="N169" s="8" t="b">
        <v>0</v>
      </c>
      <c r="O169" s="10">
        <v>702653</v>
      </c>
      <c r="P169" s="8" t="s">
        <v>227</v>
      </c>
      <c r="Q169" s="8">
        <v>253495</v>
      </c>
      <c r="R169" s="9">
        <v>45214</v>
      </c>
      <c r="S169" s="8" t="s">
        <v>48</v>
      </c>
      <c r="T169" s="8" t="s">
        <v>40</v>
      </c>
      <c r="U169" s="8" t="s">
        <v>50</v>
      </c>
      <c r="V169" s="8" t="s">
        <v>37</v>
      </c>
      <c r="W169" s="8">
        <v>0</v>
      </c>
    </row>
    <row r="170" spans="1:23" x14ac:dyDescent="0.25">
      <c r="A170" s="4">
        <v>1</v>
      </c>
      <c r="B170" s="4"/>
      <c r="C170" s="4">
        <v>879134</v>
      </c>
      <c r="D170" s="4">
        <v>6374.58</v>
      </c>
      <c r="E170" s="5">
        <f t="shared" si="2"/>
        <v>0.42000000000007276</v>
      </c>
      <c r="F170" s="14">
        <v>45226</v>
      </c>
      <c r="G170" s="10">
        <v>329219426</v>
      </c>
      <c r="H170" s="9">
        <v>45215</v>
      </c>
      <c r="I170" s="9">
        <v>45230</v>
      </c>
      <c r="J170" s="8">
        <v>6375</v>
      </c>
      <c r="K170" s="8" t="s">
        <v>31</v>
      </c>
      <c r="L170" s="8" t="s">
        <v>32</v>
      </c>
      <c r="M170" s="8"/>
      <c r="N170" s="8" t="b">
        <v>0</v>
      </c>
      <c r="O170" s="10">
        <v>702654</v>
      </c>
      <c r="P170" s="8" t="s">
        <v>228</v>
      </c>
      <c r="Q170" s="8">
        <v>253498</v>
      </c>
      <c r="R170" s="9">
        <v>45214</v>
      </c>
      <c r="S170" s="8" t="s">
        <v>48</v>
      </c>
      <c r="T170" s="8" t="s">
        <v>40</v>
      </c>
      <c r="U170" s="8" t="s">
        <v>50</v>
      </c>
      <c r="V170" s="8" t="s">
        <v>37</v>
      </c>
      <c r="W170" s="8">
        <v>0</v>
      </c>
    </row>
    <row r="171" spans="1:23" x14ac:dyDescent="0.25">
      <c r="A171" s="4">
        <v>1</v>
      </c>
      <c r="B171" s="4"/>
      <c r="C171" s="4">
        <v>879133</v>
      </c>
      <c r="D171" s="4">
        <v>5173.26</v>
      </c>
      <c r="E171" s="5">
        <f t="shared" si="2"/>
        <v>-0.26000000000021828</v>
      </c>
      <c r="F171" s="14">
        <v>45226</v>
      </c>
      <c r="G171" s="10">
        <v>329219428</v>
      </c>
      <c r="H171" s="9">
        <v>45215</v>
      </c>
      <c r="I171" s="9">
        <v>45230</v>
      </c>
      <c r="J171" s="8">
        <v>5173</v>
      </c>
      <c r="K171" s="8" t="s">
        <v>31</v>
      </c>
      <c r="L171" s="8" t="s">
        <v>32</v>
      </c>
      <c r="M171" s="8"/>
      <c r="N171" s="8" t="b">
        <v>0</v>
      </c>
      <c r="O171" s="10">
        <v>702652</v>
      </c>
      <c r="P171" s="8" t="s">
        <v>229</v>
      </c>
      <c r="Q171" s="8">
        <v>253493</v>
      </c>
      <c r="R171" s="9">
        <v>45214</v>
      </c>
      <c r="S171" s="8" t="s">
        <v>34</v>
      </c>
      <c r="T171" s="8" t="s">
        <v>40</v>
      </c>
      <c r="U171" s="8" t="s">
        <v>58</v>
      </c>
      <c r="V171" s="8" t="s">
        <v>46</v>
      </c>
      <c r="W171" s="8">
        <v>0</v>
      </c>
    </row>
    <row r="172" spans="1:23" x14ac:dyDescent="0.25">
      <c r="A172" s="4">
        <v>1</v>
      </c>
      <c r="B172" s="4"/>
      <c r="C172" s="4">
        <v>879132</v>
      </c>
      <c r="D172" s="4">
        <v>6374.58</v>
      </c>
      <c r="E172" s="5">
        <f t="shared" si="2"/>
        <v>0.42000000000007276</v>
      </c>
      <c r="F172" s="14">
        <v>45226</v>
      </c>
      <c r="G172" s="10">
        <v>329219434</v>
      </c>
      <c r="H172" s="9">
        <v>45215</v>
      </c>
      <c r="I172" s="9">
        <v>45230</v>
      </c>
      <c r="J172" s="8">
        <v>6375</v>
      </c>
      <c r="K172" s="8" t="s">
        <v>31</v>
      </c>
      <c r="L172" s="8" t="s">
        <v>32</v>
      </c>
      <c r="M172" s="8"/>
      <c r="N172" s="8" t="b">
        <v>0</v>
      </c>
      <c r="O172" s="10">
        <v>702655</v>
      </c>
      <c r="P172" s="8" t="s">
        <v>230</v>
      </c>
      <c r="Q172" s="8">
        <v>253499</v>
      </c>
      <c r="R172" s="9">
        <v>45214</v>
      </c>
      <c r="S172" s="8" t="s">
        <v>48</v>
      </c>
      <c r="T172" s="8" t="s">
        <v>40</v>
      </c>
      <c r="U172" s="8" t="s">
        <v>50</v>
      </c>
      <c r="V172" s="8" t="s">
        <v>37</v>
      </c>
      <c r="W172" s="8">
        <v>0</v>
      </c>
    </row>
    <row r="173" spans="1:23" x14ac:dyDescent="0.25">
      <c r="A173" s="4">
        <v>1</v>
      </c>
      <c r="B173" s="4"/>
      <c r="C173" s="4">
        <v>879131</v>
      </c>
      <c r="D173" s="4">
        <v>5173.26</v>
      </c>
      <c r="E173" s="5">
        <f t="shared" si="2"/>
        <v>-0.26000000000021828</v>
      </c>
      <c r="F173" s="14">
        <v>45226</v>
      </c>
      <c r="G173" s="10">
        <v>329219437</v>
      </c>
      <c r="H173" s="9">
        <v>45215</v>
      </c>
      <c r="I173" s="9">
        <v>45230</v>
      </c>
      <c r="J173" s="8">
        <v>5173</v>
      </c>
      <c r="K173" s="8" t="s">
        <v>31</v>
      </c>
      <c r="L173" s="8" t="s">
        <v>32</v>
      </c>
      <c r="M173" s="8"/>
      <c r="N173" s="8" t="b">
        <v>0</v>
      </c>
      <c r="O173" s="10">
        <v>702649</v>
      </c>
      <c r="P173" s="8" t="s">
        <v>231</v>
      </c>
      <c r="Q173" s="8">
        <v>253486</v>
      </c>
      <c r="R173" s="9">
        <v>45214</v>
      </c>
      <c r="S173" s="8" t="s">
        <v>34</v>
      </c>
      <c r="T173" s="8" t="s">
        <v>40</v>
      </c>
      <c r="U173" s="8" t="s">
        <v>58</v>
      </c>
      <c r="V173" s="8" t="s">
        <v>46</v>
      </c>
      <c r="W173" s="8">
        <v>0</v>
      </c>
    </row>
    <row r="174" spans="1:23" x14ac:dyDescent="0.25">
      <c r="A174" s="4">
        <v>1</v>
      </c>
      <c r="B174" s="4"/>
      <c r="C174" s="4">
        <v>879139</v>
      </c>
      <c r="D174" s="4">
        <v>25983.68</v>
      </c>
      <c r="E174" s="5">
        <f t="shared" si="2"/>
        <v>0.31999999999970896</v>
      </c>
      <c r="F174" s="14">
        <v>45226</v>
      </c>
      <c r="G174" s="10">
        <v>329230240</v>
      </c>
      <c r="H174" s="9">
        <v>45215</v>
      </c>
      <c r="I174" s="9">
        <v>45230</v>
      </c>
      <c r="J174" s="8">
        <v>25984</v>
      </c>
      <c r="K174" s="8" t="s">
        <v>31</v>
      </c>
      <c r="L174" s="8" t="s">
        <v>32</v>
      </c>
      <c r="M174" s="8"/>
      <c r="N174" s="8" t="b">
        <v>0</v>
      </c>
      <c r="O174" s="10"/>
      <c r="P174" s="8" t="s">
        <v>232</v>
      </c>
      <c r="Q174" s="8">
        <v>262784</v>
      </c>
      <c r="R174" s="9">
        <v>45215</v>
      </c>
      <c r="S174" s="8" t="s">
        <v>70</v>
      </c>
      <c r="T174" s="8" t="s">
        <v>49</v>
      </c>
      <c r="U174" s="8" t="s">
        <v>71</v>
      </c>
      <c r="V174" s="8" t="s">
        <v>72</v>
      </c>
      <c r="W174" s="8">
        <v>0</v>
      </c>
    </row>
    <row r="175" spans="1:23" x14ac:dyDescent="0.25">
      <c r="A175" s="4">
        <v>1</v>
      </c>
      <c r="B175" s="4"/>
      <c r="C175" s="4">
        <v>879112</v>
      </c>
      <c r="D175" s="4">
        <v>6374.58</v>
      </c>
      <c r="E175" s="5">
        <f t="shared" si="2"/>
        <v>0.42000000000007276</v>
      </c>
      <c r="F175" s="14">
        <v>45226</v>
      </c>
      <c r="G175" s="10">
        <v>329237431</v>
      </c>
      <c r="H175" s="9">
        <v>45215</v>
      </c>
      <c r="I175" s="9">
        <v>45230</v>
      </c>
      <c r="J175" s="8">
        <v>6375</v>
      </c>
      <c r="K175" s="8" t="s">
        <v>31</v>
      </c>
      <c r="L175" s="8" t="s">
        <v>32</v>
      </c>
      <c r="M175" s="8"/>
      <c r="N175" s="8" t="b">
        <v>0</v>
      </c>
      <c r="O175" s="10">
        <v>20973</v>
      </c>
      <c r="P175" s="8" t="s">
        <v>233</v>
      </c>
      <c r="Q175" s="8">
        <v>268897</v>
      </c>
      <c r="R175" s="9">
        <v>45215</v>
      </c>
      <c r="S175" s="8" t="s">
        <v>48</v>
      </c>
      <c r="T175" s="8" t="s">
        <v>40</v>
      </c>
      <c r="U175" s="8" t="s">
        <v>50</v>
      </c>
      <c r="V175" s="8" t="s">
        <v>37</v>
      </c>
      <c r="W175" s="8">
        <v>0</v>
      </c>
    </row>
    <row r="176" spans="1:23" x14ac:dyDescent="0.25">
      <c r="A176" s="4">
        <v>1</v>
      </c>
      <c r="B176" s="4"/>
      <c r="C176" s="4">
        <v>879117</v>
      </c>
      <c r="D176" s="4">
        <v>5199.46</v>
      </c>
      <c r="E176" s="5">
        <f t="shared" si="2"/>
        <v>-0.46000000000003638</v>
      </c>
      <c r="F176" s="14">
        <v>45226</v>
      </c>
      <c r="G176" s="10">
        <v>329237472</v>
      </c>
      <c r="H176" s="9">
        <v>45215</v>
      </c>
      <c r="I176" s="9">
        <v>45230</v>
      </c>
      <c r="J176" s="8">
        <v>5199</v>
      </c>
      <c r="K176" s="8" t="s">
        <v>31</v>
      </c>
      <c r="L176" s="8" t="s">
        <v>32</v>
      </c>
      <c r="M176" s="8"/>
      <c r="N176" s="8" t="b">
        <v>0</v>
      </c>
      <c r="O176" s="10">
        <v>20931</v>
      </c>
      <c r="P176" s="8" t="s">
        <v>59</v>
      </c>
      <c r="Q176" s="8">
        <v>268781</v>
      </c>
      <c r="R176" s="9">
        <v>45215</v>
      </c>
      <c r="S176" s="8" t="s">
        <v>48</v>
      </c>
      <c r="T176" s="8" t="s">
        <v>40</v>
      </c>
      <c r="U176" s="8" t="s">
        <v>163</v>
      </c>
      <c r="V176" s="8" t="s">
        <v>46</v>
      </c>
      <c r="W176" s="8">
        <v>0</v>
      </c>
    </row>
    <row r="177" spans="1:23" x14ac:dyDescent="0.25">
      <c r="A177" s="4">
        <v>1</v>
      </c>
      <c r="B177" s="4"/>
      <c r="C177" s="4">
        <v>879130</v>
      </c>
      <c r="D177" s="4">
        <v>7980.88</v>
      </c>
      <c r="E177" s="5">
        <f t="shared" si="2"/>
        <v>0.11999999999989086</v>
      </c>
      <c r="F177" s="14">
        <v>45226</v>
      </c>
      <c r="G177" s="10">
        <v>329237514</v>
      </c>
      <c r="H177" s="9">
        <v>45215</v>
      </c>
      <c r="I177" s="9">
        <v>45230</v>
      </c>
      <c r="J177" s="8">
        <v>7981</v>
      </c>
      <c r="K177" s="8" t="s">
        <v>31</v>
      </c>
      <c r="L177" s="8" t="s">
        <v>32</v>
      </c>
      <c r="M177" s="8"/>
      <c r="N177" s="8" t="b">
        <v>0</v>
      </c>
      <c r="O177" s="10">
        <v>702775</v>
      </c>
      <c r="P177" s="8" t="s">
        <v>100</v>
      </c>
      <c r="Q177" s="8">
        <v>268930</v>
      </c>
      <c r="R177" s="9">
        <v>45215</v>
      </c>
      <c r="S177" s="8" t="s">
        <v>34</v>
      </c>
      <c r="T177" s="8" t="s">
        <v>40</v>
      </c>
      <c r="U177" s="8" t="s">
        <v>88</v>
      </c>
      <c r="V177" s="8" t="s">
        <v>72</v>
      </c>
      <c r="W177" s="8">
        <v>0</v>
      </c>
    </row>
    <row r="178" spans="1:23" x14ac:dyDescent="0.25">
      <c r="A178" s="4">
        <v>1</v>
      </c>
      <c r="B178" s="4"/>
      <c r="C178" s="4">
        <v>879129</v>
      </c>
      <c r="D178" s="4">
        <v>6374.58</v>
      </c>
      <c r="E178" s="5">
        <f t="shared" si="2"/>
        <v>0.42000000000007276</v>
      </c>
      <c r="F178" s="14">
        <v>45226</v>
      </c>
      <c r="G178" s="10">
        <v>329237515</v>
      </c>
      <c r="H178" s="9">
        <v>45215</v>
      </c>
      <c r="I178" s="9">
        <v>45230</v>
      </c>
      <c r="J178" s="8">
        <v>6375</v>
      </c>
      <c r="K178" s="8" t="s">
        <v>31</v>
      </c>
      <c r="L178" s="8" t="s">
        <v>32</v>
      </c>
      <c r="M178" s="8"/>
      <c r="N178" s="8" t="b">
        <v>0</v>
      </c>
      <c r="O178" s="10">
        <v>702778</v>
      </c>
      <c r="P178" s="8" t="s">
        <v>57</v>
      </c>
      <c r="Q178" s="8">
        <v>268958</v>
      </c>
      <c r="R178" s="9">
        <v>45215</v>
      </c>
      <c r="S178" s="8" t="s">
        <v>48</v>
      </c>
      <c r="T178" s="8" t="s">
        <v>40</v>
      </c>
      <c r="U178" s="8" t="s">
        <v>50</v>
      </c>
      <c r="V178" s="8" t="s">
        <v>37</v>
      </c>
      <c r="W178" s="8">
        <v>0</v>
      </c>
    </row>
    <row r="179" spans="1:23" x14ac:dyDescent="0.25">
      <c r="A179" s="4">
        <v>1</v>
      </c>
      <c r="B179" s="4"/>
      <c r="C179" s="4">
        <v>879126</v>
      </c>
      <c r="D179" s="4">
        <v>4927.24</v>
      </c>
      <c r="E179" s="5">
        <f t="shared" si="2"/>
        <v>-0.23999999999978172</v>
      </c>
      <c r="F179" s="14">
        <v>45226</v>
      </c>
      <c r="G179" s="10">
        <v>329237541</v>
      </c>
      <c r="H179" s="9">
        <v>45215</v>
      </c>
      <c r="I179" s="9">
        <v>45230</v>
      </c>
      <c r="J179" s="8">
        <v>4927</v>
      </c>
      <c r="K179" s="8" t="s">
        <v>31</v>
      </c>
      <c r="L179" s="8" t="s">
        <v>32</v>
      </c>
      <c r="M179" s="8"/>
      <c r="N179" s="8" t="b">
        <v>0</v>
      </c>
      <c r="O179" s="10">
        <v>702563</v>
      </c>
      <c r="P179" s="8" t="s">
        <v>60</v>
      </c>
      <c r="Q179" s="8">
        <v>268803</v>
      </c>
      <c r="R179" s="9">
        <v>45215</v>
      </c>
      <c r="S179" s="8" t="s">
        <v>234</v>
      </c>
      <c r="T179" s="8" t="s">
        <v>40</v>
      </c>
      <c r="U179" s="8" t="s">
        <v>235</v>
      </c>
      <c r="V179" s="8" t="s">
        <v>236</v>
      </c>
      <c r="W179" s="8">
        <v>0</v>
      </c>
    </row>
    <row r="180" spans="1:23" x14ac:dyDescent="0.25">
      <c r="A180" s="4">
        <v>1</v>
      </c>
      <c r="B180" s="4"/>
      <c r="C180" s="4">
        <v>879111</v>
      </c>
      <c r="D180" s="4">
        <v>6374.58</v>
      </c>
      <c r="E180" s="5">
        <f t="shared" si="2"/>
        <v>0.42000000000007276</v>
      </c>
      <c r="F180" s="14">
        <v>45226</v>
      </c>
      <c r="G180" s="10">
        <v>329237557</v>
      </c>
      <c r="H180" s="9">
        <v>45215</v>
      </c>
      <c r="I180" s="9">
        <v>45230</v>
      </c>
      <c r="J180" s="8">
        <v>6375</v>
      </c>
      <c r="K180" s="8" t="s">
        <v>31</v>
      </c>
      <c r="L180" s="8" t="s">
        <v>32</v>
      </c>
      <c r="M180" s="8"/>
      <c r="N180" s="8" t="b">
        <v>0</v>
      </c>
      <c r="O180" s="10">
        <v>20974</v>
      </c>
      <c r="P180" s="8" t="s">
        <v>237</v>
      </c>
      <c r="Q180" s="8">
        <v>268914</v>
      </c>
      <c r="R180" s="9">
        <v>45215</v>
      </c>
      <c r="S180" s="8" t="s">
        <v>48</v>
      </c>
      <c r="T180" s="8" t="s">
        <v>40</v>
      </c>
      <c r="U180" s="8" t="s">
        <v>50</v>
      </c>
      <c r="V180" s="8" t="s">
        <v>37</v>
      </c>
      <c r="W180" s="8">
        <v>0</v>
      </c>
    </row>
    <row r="181" spans="1:23" x14ac:dyDescent="0.25">
      <c r="A181" s="4">
        <v>1</v>
      </c>
      <c r="B181" s="4"/>
      <c r="C181" s="4">
        <v>879115</v>
      </c>
      <c r="D181" s="4">
        <v>7001.24</v>
      </c>
      <c r="E181" s="5">
        <f t="shared" si="2"/>
        <v>-0.23999999999978172</v>
      </c>
      <c r="F181" s="14">
        <v>45226</v>
      </c>
      <c r="G181" s="10">
        <v>329237949</v>
      </c>
      <c r="H181" s="9">
        <v>45215</v>
      </c>
      <c r="I181" s="9">
        <v>45230</v>
      </c>
      <c r="J181" s="8">
        <v>7001</v>
      </c>
      <c r="K181" s="8" t="s">
        <v>31</v>
      </c>
      <c r="L181" s="8" t="s">
        <v>32</v>
      </c>
      <c r="M181" s="8"/>
      <c r="N181" s="8" t="b">
        <v>0</v>
      </c>
      <c r="O181" s="10">
        <v>20975</v>
      </c>
      <c r="P181" s="8" t="s">
        <v>98</v>
      </c>
      <c r="Q181" s="8">
        <v>269158</v>
      </c>
      <c r="R181" s="9">
        <v>45215</v>
      </c>
      <c r="S181" s="8" t="s">
        <v>39</v>
      </c>
      <c r="T181" s="8" t="s">
        <v>40</v>
      </c>
      <c r="U181" s="8" t="s">
        <v>41</v>
      </c>
      <c r="V181" s="8" t="s">
        <v>42</v>
      </c>
      <c r="W181" s="8">
        <v>0</v>
      </c>
    </row>
    <row r="182" spans="1:23" x14ac:dyDescent="0.25">
      <c r="A182" s="4">
        <v>1</v>
      </c>
      <c r="B182" s="4"/>
      <c r="C182" s="4">
        <v>879254</v>
      </c>
      <c r="D182" s="4">
        <v>7980.88</v>
      </c>
      <c r="E182" s="5">
        <f t="shared" si="2"/>
        <v>0.11999999999989086</v>
      </c>
      <c r="F182" s="14">
        <v>45226</v>
      </c>
      <c r="G182" s="10">
        <v>329251507</v>
      </c>
      <c r="H182" s="9">
        <v>45216</v>
      </c>
      <c r="I182" s="9">
        <v>45231</v>
      </c>
      <c r="J182" s="8">
        <v>7981</v>
      </c>
      <c r="K182" s="8" t="s">
        <v>31</v>
      </c>
      <c r="L182" s="8" t="s">
        <v>32</v>
      </c>
      <c r="M182" s="8"/>
      <c r="N182" s="8" t="b">
        <v>0</v>
      </c>
      <c r="O182" s="10">
        <v>702776</v>
      </c>
      <c r="P182" s="8" t="s">
        <v>101</v>
      </c>
      <c r="Q182" s="8">
        <v>277046</v>
      </c>
      <c r="R182" s="9">
        <v>45216</v>
      </c>
      <c r="S182" s="8" t="s">
        <v>34</v>
      </c>
      <c r="T182" s="8" t="s">
        <v>40</v>
      </c>
      <c r="U182" s="8" t="s">
        <v>88</v>
      </c>
      <c r="V182" s="8" t="s">
        <v>72</v>
      </c>
      <c r="W182" s="8">
        <v>0</v>
      </c>
    </row>
    <row r="183" spans="1:23" x14ac:dyDescent="0.25">
      <c r="A183" s="4">
        <v>1</v>
      </c>
      <c r="B183" s="4"/>
      <c r="C183" s="4">
        <v>879253</v>
      </c>
      <c r="D183" s="4">
        <v>7980.88</v>
      </c>
      <c r="E183" s="5">
        <f t="shared" si="2"/>
        <v>0.11999999999989086</v>
      </c>
      <c r="F183" s="14">
        <v>45226</v>
      </c>
      <c r="G183" s="10">
        <v>329251515</v>
      </c>
      <c r="H183" s="9">
        <v>45216</v>
      </c>
      <c r="I183" s="9">
        <v>45231</v>
      </c>
      <c r="J183" s="8">
        <v>7981</v>
      </c>
      <c r="K183" s="8" t="s">
        <v>31</v>
      </c>
      <c r="L183" s="8" t="s">
        <v>32</v>
      </c>
      <c r="M183" s="8"/>
      <c r="N183" s="8" t="b">
        <v>0</v>
      </c>
      <c r="O183" s="10">
        <v>702777</v>
      </c>
      <c r="P183" s="8" t="s">
        <v>85</v>
      </c>
      <c r="Q183" s="8">
        <v>277049</v>
      </c>
      <c r="R183" s="9">
        <v>45216</v>
      </c>
      <c r="S183" s="8" t="s">
        <v>34</v>
      </c>
      <c r="T183" s="8" t="s">
        <v>40</v>
      </c>
      <c r="U183" s="8" t="s">
        <v>88</v>
      </c>
      <c r="V183" s="8" t="s">
        <v>72</v>
      </c>
      <c r="W183" s="8">
        <v>0</v>
      </c>
    </row>
    <row r="184" spans="1:23" x14ac:dyDescent="0.25">
      <c r="A184" s="4">
        <v>1</v>
      </c>
      <c r="B184" s="4"/>
      <c r="C184" s="4">
        <v>879252</v>
      </c>
      <c r="D184" s="4">
        <v>6374.58</v>
      </c>
      <c r="E184" s="5">
        <f t="shared" si="2"/>
        <v>0.42000000000007276</v>
      </c>
      <c r="F184" s="14">
        <v>45226</v>
      </c>
      <c r="G184" s="10">
        <v>329251545</v>
      </c>
      <c r="H184" s="9">
        <v>45216</v>
      </c>
      <c r="I184" s="9">
        <v>45231</v>
      </c>
      <c r="J184" s="8">
        <v>6375</v>
      </c>
      <c r="K184" s="8" t="s">
        <v>31</v>
      </c>
      <c r="L184" s="8" t="s">
        <v>32</v>
      </c>
      <c r="M184" s="8"/>
      <c r="N184" s="8" t="b">
        <v>0</v>
      </c>
      <c r="O184" s="10">
        <v>702779</v>
      </c>
      <c r="P184" s="8" t="s">
        <v>79</v>
      </c>
      <c r="Q184" s="8">
        <v>277068</v>
      </c>
      <c r="R184" s="9">
        <v>45216</v>
      </c>
      <c r="S184" s="8" t="s">
        <v>48</v>
      </c>
      <c r="T184" s="8" t="s">
        <v>40</v>
      </c>
      <c r="U184" s="8" t="s">
        <v>50</v>
      </c>
      <c r="V184" s="8" t="s">
        <v>37</v>
      </c>
      <c r="W184" s="8">
        <v>0</v>
      </c>
    </row>
    <row r="185" spans="1:23" x14ac:dyDescent="0.25">
      <c r="A185" s="4">
        <v>1</v>
      </c>
      <c r="B185" s="4"/>
      <c r="C185" s="4">
        <v>879116</v>
      </c>
      <c r="D185" s="4">
        <v>5199.46</v>
      </c>
      <c r="E185" s="5">
        <f t="shared" si="2"/>
        <v>-0.46000000000003638</v>
      </c>
      <c r="F185" s="14">
        <v>45226</v>
      </c>
      <c r="G185" s="10">
        <v>329253720</v>
      </c>
      <c r="H185" s="9">
        <v>45216</v>
      </c>
      <c r="I185" s="9">
        <v>45231</v>
      </c>
      <c r="J185" s="8">
        <v>5199</v>
      </c>
      <c r="K185" s="8" t="s">
        <v>31</v>
      </c>
      <c r="L185" s="8" t="s">
        <v>32</v>
      </c>
      <c r="M185" s="8"/>
      <c r="N185" s="8" t="b">
        <v>0</v>
      </c>
      <c r="O185" s="10">
        <v>20978</v>
      </c>
      <c r="P185" s="8" t="s">
        <v>61</v>
      </c>
      <c r="Q185" s="8">
        <v>280592</v>
      </c>
      <c r="R185" s="9">
        <v>45216</v>
      </c>
      <c r="S185" s="8" t="s">
        <v>48</v>
      </c>
      <c r="T185" s="8" t="s">
        <v>40</v>
      </c>
      <c r="U185" s="8" t="s">
        <v>163</v>
      </c>
      <c r="V185" s="8" t="s">
        <v>46</v>
      </c>
      <c r="W185" s="8">
        <v>0</v>
      </c>
    </row>
    <row r="186" spans="1:23" x14ac:dyDescent="0.25">
      <c r="A186" s="4">
        <v>1</v>
      </c>
      <c r="B186" s="4"/>
      <c r="C186" s="4">
        <v>879113</v>
      </c>
      <c r="D186" s="4">
        <v>6374.58</v>
      </c>
      <c r="E186" s="5">
        <f t="shared" si="2"/>
        <v>0.42000000000007276</v>
      </c>
      <c r="F186" s="14">
        <v>45226</v>
      </c>
      <c r="G186" s="10">
        <v>329254085</v>
      </c>
      <c r="H186" s="9">
        <v>45216</v>
      </c>
      <c r="I186" s="9">
        <v>45231</v>
      </c>
      <c r="J186" s="8">
        <v>6375</v>
      </c>
      <c r="K186" s="8" t="s">
        <v>31</v>
      </c>
      <c r="L186" s="8" t="s">
        <v>32</v>
      </c>
      <c r="M186" s="8"/>
      <c r="N186" s="8" t="b">
        <v>0</v>
      </c>
      <c r="O186" s="10">
        <v>20979</v>
      </c>
      <c r="P186" s="8" t="s">
        <v>119</v>
      </c>
      <c r="Q186" s="8">
        <v>280766</v>
      </c>
      <c r="R186" s="9">
        <v>45216</v>
      </c>
      <c r="S186" s="8" t="s">
        <v>48</v>
      </c>
      <c r="T186" s="8" t="s">
        <v>40</v>
      </c>
      <c r="U186" s="8" t="s">
        <v>50</v>
      </c>
      <c r="V186" s="8" t="s">
        <v>37</v>
      </c>
      <c r="W186" s="8">
        <v>0</v>
      </c>
    </row>
    <row r="187" spans="1:23" x14ac:dyDescent="0.25">
      <c r="A187" s="4">
        <v>1</v>
      </c>
      <c r="B187" s="4"/>
      <c r="C187" s="4">
        <v>879251</v>
      </c>
      <c r="D187" s="4">
        <v>9263.8799999999992</v>
      </c>
      <c r="E187" s="5">
        <f t="shared" si="2"/>
        <v>0.12000000000080036</v>
      </c>
      <c r="F187" s="14">
        <v>45226</v>
      </c>
      <c r="G187" s="10">
        <v>329254990</v>
      </c>
      <c r="H187" s="9">
        <v>45216</v>
      </c>
      <c r="I187" s="9">
        <v>45231</v>
      </c>
      <c r="J187" s="8">
        <v>9264</v>
      </c>
      <c r="K187" s="8" t="s">
        <v>31</v>
      </c>
      <c r="L187" s="8" t="s">
        <v>32</v>
      </c>
      <c r="M187" s="8"/>
      <c r="N187" s="8" t="b">
        <v>0</v>
      </c>
      <c r="O187" s="10">
        <v>700590</v>
      </c>
      <c r="P187" s="8" t="s">
        <v>118</v>
      </c>
      <c r="Q187" s="8">
        <v>281668</v>
      </c>
      <c r="R187" s="9">
        <v>45216</v>
      </c>
      <c r="S187" s="8" t="s">
        <v>130</v>
      </c>
      <c r="T187" s="8" t="s">
        <v>40</v>
      </c>
      <c r="U187" s="8" t="s">
        <v>131</v>
      </c>
      <c r="V187" s="8" t="s">
        <v>132</v>
      </c>
      <c r="W187" s="8">
        <v>0</v>
      </c>
    </row>
    <row r="188" spans="1:23" x14ac:dyDescent="0.25">
      <c r="A188" s="4">
        <v>1</v>
      </c>
      <c r="B188" s="4"/>
      <c r="C188" s="4">
        <v>879250</v>
      </c>
      <c r="D188" s="4">
        <v>6374.58</v>
      </c>
      <c r="E188" s="5">
        <f t="shared" si="2"/>
        <v>0.42000000000007276</v>
      </c>
      <c r="F188" s="14">
        <v>45226</v>
      </c>
      <c r="G188" s="10">
        <v>329256586</v>
      </c>
      <c r="H188" s="9">
        <v>45216</v>
      </c>
      <c r="I188" s="9">
        <v>45231</v>
      </c>
      <c r="J188" s="8">
        <v>6375</v>
      </c>
      <c r="K188" s="8" t="s">
        <v>31</v>
      </c>
      <c r="L188" s="8" t="s">
        <v>32</v>
      </c>
      <c r="M188" s="8"/>
      <c r="N188" s="8" t="b">
        <v>0</v>
      </c>
      <c r="O188" s="10">
        <v>702780</v>
      </c>
      <c r="P188" s="8" t="s">
        <v>117</v>
      </c>
      <c r="Q188" s="8">
        <v>283946</v>
      </c>
      <c r="R188" s="9">
        <v>45216</v>
      </c>
      <c r="S188" s="8" t="s">
        <v>48</v>
      </c>
      <c r="T188" s="8" t="s">
        <v>40</v>
      </c>
      <c r="U188" s="8" t="s">
        <v>50</v>
      </c>
      <c r="V188" s="8" t="s">
        <v>37</v>
      </c>
      <c r="W188" s="8">
        <v>0</v>
      </c>
    </row>
    <row r="189" spans="1:23" x14ac:dyDescent="0.25">
      <c r="A189" s="4">
        <v>1</v>
      </c>
      <c r="B189" s="4"/>
      <c r="C189" s="4">
        <v>879249</v>
      </c>
      <c r="D189" s="4">
        <v>6374.58</v>
      </c>
      <c r="E189" s="5">
        <f t="shared" si="2"/>
        <v>0.42000000000007276</v>
      </c>
      <c r="F189" s="14">
        <v>45226</v>
      </c>
      <c r="G189" s="10">
        <v>329257283</v>
      </c>
      <c r="H189" s="9">
        <v>45216</v>
      </c>
      <c r="I189" s="9">
        <v>45231</v>
      </c>
      <c r="J189" s="8">
        <v>6375</v>
      </c>
      <c r="K189" s="8" t="s">
        <v>31</v>
      </c>
      <c r="L189" s="8" t="s">
        <v>32</v>
      </c>
      <c r="M189" s="8"/>
      <c r="N189" s="8" t="b">
        <v>0</v>
      </c>
      <c r="O189" s="10">
        <v>702781</v>
      </c>
      <c r="P189" s="8" t="s">
        <v>110</v>
      </c>
      <c r="Q189" s="8">
        <v>284669</v>
      </c>
      <c r="R189" s="9">
        <v>45216</v>
      </c>
      <c r="S189" s="8" t="s">
        <v>48</v>
      </c>
      <c r="T189" s="8" t="s">
        <v>40</v>
      </c>
      <c r="U189" s="8" t="s">
        <v>50</v>
      </c>
      <c r="V189" s="8" t="s">
        <v>37</v>
      </c>
      <c r="W189" s="8">
        <v>0</v>
      </c>
    </row>
    <row r="190" spans="1:23" x14ac:dyDescent="0.25">
      <c r="A190" s="4">
        <v>1</v>
      </c>
      <c r="B190" s="4"/>
      <c r="C190" s="4">
        <v>879248</v>
      </c>
      <c r="D190" s="4">
        <v>6374.58</v>
      </c>
      <c r="E190" s="5">
        <f t="shared" si="2"/>
        <v>0.42000000000007276</v>
      </c>
      <c r="F190" s="14">
        <v>45226</v>
      </c>
      <c r="G190" s="10">
        <v>329258779</v>
      </c>
      <c r="H190" s="9">
        <v>45216</v>
      </c>
      <c r="I190" s="9">
        <v>45231</v>
      </c>
      <c r="J190" s="8">
        <v>6375</v>
      </c>
      <c r="K190" s="8" t="s">
        <v>31</v>
      </c>
      <c r="L190" s="8" t="s">
        <v>32</v>
      </c>
      <c r="M190" s="8"/>
      <c r="N190" s="8" t="b">
        <v>0</v>
      </c>
      <c r="O190" s="10">
        <v>702782</v>
      </c>
      <c r="P190" s="8" t="s">
        <v>116</v>
      </c>
      <c r="Q190" s="8">
        <v>285620</v>
      </c>
      <c r="R190" s="9">
        <v>45216</v>
      </c>
      <c r="S190" s="8" t="s">
        <v>48</v>
      </c>
      <c r="T190" s="8" t="s">
        <v>40</v>
      </c>
      <c r="U190" s="8" t="s">
        <v>50</v>
      </c>
      <c r="V190" s="8" t="s">
        <v>37</v>
      </c>
      <c r="W190" s="8">
        <v>0</v>
      </c>
    </row>
    <row r="191" spans="1:23" x14ac:dyDescent="0.25">
      <c r="A191" s="4">
        <v>1</v>
      </c>
      <c r="B191" s="4"/>
      <c r="C191" s="4">
        <v>879247</v>
      </c>
      <c r="D191" s="4">
        <v>5173.26</v>
      </c>
      <c r="E191" s="5">
        <f t="shared" si="2"/>
        <v>-0.26000000000021828</v>
      </c>
      <c r="F191" s="14">
        <v>45226</v>
      </c>
      <c r="G191" s="10">
        <v>329259683</v>
      </c>
      <c r="H191" s="9">
        <v>45216</v>
      </c>
      <c r="I191" s="9">
        <v>45231</v>
      </c>
      <c r="J191" s="8">
        <v>5173</v>
      </c>
      <c r="K191" s="8" t="s">
        <v>31</v>
      </c>
      <c r="L191" s="8" t="s">
        <v>32</v>
      </c>
      <c r="M191" s="8"/>
      <c r="N191" s="8" t="b">
        <v>0</v>
      </c>
      <c r="O191" s="10">
        <v>702842</v>
      </c>
      <c r="P191" s="8" t="s">
        <v>115</v>
      </c>
      <c r="Q191" s="8">
        <v>286738</v>
      </c>
      <c r="R191" s="9">
        <v>45216</v>
      </c>
      <c r="S191" s="8" t="s">
        <v>34</v>
      </c>
      <c r="T191" s="8" t="s">
        <v>40</v>
      </c>
      <c r="U191" s="8" t="s">
        <v>58</v>
      </c>
      <c r="V191" s="8" t="s">
        <v>46</v>
      </c>
      <c r="W191" s="8">
        <v>0</v>
      </c>
    </row>
    <row r="192" spans="1:23" x14ac:dyDescent="0.25">
      <c r="A192" s="4">
        <v>1</v>
      </c>
      <c r="B192" s="4"/>
      <c r="C192" s="4">
        <v>880814</v>
      </c>
      <c r="D192" s="4">
        <v>7464.52</v>
      </c>
      <c r="E192" s="5">
        <f t="shared" si="2"/>
        <v>0.47999999999956344</v>
      </c>
      <c r="F192" s="14">
        <v>45226</v>
      </c>
      <c r="G192" s="10">
        <v>329263434</v>
      </c>
      <c r="H192" s="9">
        <v>45217</v>
      </c>
      <c r="I192" s="9">
        <v>45232</v>
      </c>
      <c r="J192" s="8">
        <v>7465</v>
      </c>
      <c r="K192" s="8" t="s">
        <v>31</v>
      </c>
      <c r="L192" s="8" t="s">
        <v>32</v>
      </c>
      <c r="M192" s="8"/>
      <c r="N192" s="8" t="b">
        <v>0</v>
      </c>
      <c r="O192" s="10"/>
      <c r="P192" s="8" t="s">
        <v>238</v>
      </c>
      <c r="Q192" s="8">
        <v>288577</v>
      </c>
      <c r="R192" s="9">
        <v>45216</v>
      </c>
      <c r="S192" s="8" t="s">
        <v>239</v>
      </c>
      <c r="T192" s="8" t="s">
        <v>49</v>
      </c>
      <c r="U192" s="8" t="s">
        <v>240</v>
      </c>
      <c r="V192" s="8" t="s">
        <v>72</v>
      </c>
      <c r="W192" s="8">
        <v>0</v>
      </c>
    </row>
    <row r="193" spans="1:23" x14ac:dyDescent="0.25">
      <c r="A193" s="4">
        <v>1</v>
      </c>
      <c r="B193" s="4"/>
      <c r="C193" s="4">
        <v>879258</v>
      </c>
      <c r="D193" s="4">
        <v>38975.519999999997</v>
      </c>
      <c r="E193" s="5">
        <f t="shared" si="2"/>
        <v>0.48000000000320142</v>
      </c>
      <c r="F193" s="14">
        <v>45226</v>
      </c>
      <c r="G193" s="10">
        <v>329263448</v>
      </c>
      <c r="H193" s="9">
        <v>45217</v>
      </c>
      <c r="I193" s="9">
        <v>45232</v>
      </c>
      <c r="J193" s="8">
        <v>38976</v>
      </c>
      <c r="K193" s="8" t="s">
        <v>31</v>
      </c>
      <c r="L193" s="8" t="s">
        <v>32</v>
      </c>
      <c r="M193" s="8"/>
      <c r="N193" s="8" t="b">
        <v>0</v>
      </c>
      <c r="O193" s="10"/>
      <c r="P193" s="8" t="s">
        <v>241</v>
      </c>
      <c r="Q193" s="8">
        <v>288593</v>
      </c>
      <c r="R193" s="9">
        <v>45216</v>
      </c>
      <c r="S193" s="8" t="s">
        <v>70</v>
      </c>
      <c r="T193" s="8" t="s">
        <v>49</v>
      </c>
      <c r="U193" s="8" t="s">
        <v>71</v>
      </c>
      <c r="V193" s="8" t="s">
        <v>72</v>
      </c>
      <c r="W193" s="8">
        <v>0</v>
      </c>
    </row>
    <row r="194" spans="1:23" x14ac:dyDescent="0.25">
      <c r="A194" s="4">
        <v>1</v>
      </c>
      <c r="B194" s="4"/>
      <c r="C194" s="4">
        <v>879246</v>
      </c>
      <c r="D194" s="4">
        <v>5173.26</v>
      </c>
      <c r="E194" s="5">
        <f t="shared" si="2"/>
        <v>-0.26000000000021828</v>
      </c>
      <c r="F194" s="14">
        <v>45226</v>
      </c>
      <c r="G194" s="10">
        <v>329270383</v>
      </c>
      <c r="H194" s="9">
        <v>45217</v>
      </c>
      <c r="I194" s="9">
        <v>45232</v>
      </c>
      <c r="J194" s="8">
        <v>5173</v>
      </c>
      <c r="K194" s="8" t="s">
        <v>31</v>
      </c>
      <c r="L194" s="8" t="s">
        <v>32</v>
      </c>
      <c r="M194" s="8"/>
      <c r="N194" s="8" t="b">
        <v>0</v>
      </c>
      <c r="O194" s="10">
        <v>702845</v>
      </c>
      <c r="P194" s="8" t="s">
        <v>81</v>
      </c>
      <c r="Q194" s="8">
        <v>292168</v>
      </c>
      <c r="R194" s="9">
        <v>45217</v>
      </c>
      <c r="S194" s="8" t="s">
        <v>34</v>
      </c>
      <c r="T194" s="8" t="s">
        <v>40</v>
      </c>
      <c r="U194" s="8" t="s">
        <v>58</v>
      </c>
      <c r="V194" s="8" t="s">
        <v>46</v>
      </c>
      <c r="W194" s="8">
        <v>0</v>
      </c>
    </row>
    <row r="195" spans="1:23" x14ac:dyDescent="0.25">
      <c r="A195" s="4">
        <v>1</v>
      </c>
      <c r="B195" s="4"/>
      <c r="C195" s="4">
        <v>879245</v>
      </c>
      <c r="D195" s="4">
        <v>5173.26</v>
      </c>
      <c r="E195" s="5">
        <f t="shared" si="2"/>
        <v>-0.26000000000021828</v>
      </c>
      <c r="F195" s="14">
        <v>45226</v>
      </c>
      <c r="G195" s="10">
        <v>329270395</v>
      </c>
      <c r="H195" s="9">
        <v>45217</v>
      </c>
      <c r="I195" s="9">
        <v>45232</v>
      </c>
      <c r="J195" s="8">
        <v>5173</v>
      </c>
      <c r="K195" s="8" t="s">
        <v>31</v>
      </c>
      <c r="L195" s="8" t="s">
        <v>32</v>
      </c>
      <c r="M195" s="8"/>
      <c r="N195" s="8" t="b">
        <v>0</v>
      </c>
      <c r="O195" s="10">
        <v>702843</v>
      </c>
      <c r="P195" s="8" t="s">
        <v>111</v>
      </c>
      <c r="Q195" s="8">
        <v>292155</v>
      </c>
      <c r="R195" s="9">
        <v>45217</v>
      </c>
      <c r="S195" s="8" t="s">
        <v>34</v>
      </c>
      <c r="T195" s="8" t="s">
        <v>40</v>
      </c>
      <c r="U195" s="8" t="s">
        <v>58</v>
      </c>
      <c r="V195" s="8" t="s">
        <v>46</v>
      </c>
      <c r="W195" s="8">
        <v>0</v>
      </c>
    </row>
    <row r="196" spans="1:23" x14ac:dyDescent="0.25">
      <c r="A196" s="4">
        <v>1</v>
      </c>
      <c r="B196" s="4"/>
      <c r="C196" s="4">
        <v>879244</v>
      </c>
      <c r="D196" s="4">
        <v>5173.26</v>
      </c>
      <c r="E196" s="5">
        <f t="shared" si="2"/>
        <v>-0.26000000000021828</v>
      </c>
      <c r="F196" s="14">
        <v>45226</v>
      </c>
      <c r="G196" s="10">
        <v>329270408</v>
      </c>
      <c r="H196" s="9">
        <v>45217</v>
      </c>
      <c r="I196" s="9">
        <v>45232</v>
      </c>
      <c r="J196" s="8">
        <v>5173</v>
      </c>
      <c r="K196" s="8" t="s">
        <v>31</v>
      </c>
      <c r="L196" s="8" t="s">
        <v>32</v>
      </c>
      <c r="M196" s="8"/>
      <c r="N196" s="8" t="b">
        <v>0</v>
      </c>
      <c r="O196" s="10">
        <v>702844</v>
      </c>
      <c r="P196" s="8" t="s">
        <v>112</v>
      </c>
      <c r="Q196" s="8">
        <v>292161</v>
      </c>
      <c r="R196" s="9">
        <v>45217</v>
      </c>
      <c r="S196" s="8" t="s">
        <v>34</v>
      </c>
      <c r="T196" s="8" t="s">
        <v>40</v>
      </c>
      <c r="U196" s="8" t="s">
        <v>58</v>
      </c>
      <c r="V196" s="8" t="s">
        <v>46</v>
      </c>
      <c r="W196" s="8">
        <v>0</v>
      </c>
    </row>
    <row r="197" spans="1:23" x14ac:dyDescent="0.25">
      <c r="A197" s="4">
        <v>1</v>
      </c>
      <c r="B197" s="4"/>
      <c r="C197" s="4">
        <v>879243</v>
      </c>
      <c r="D197" s="4">
        <v>5173.26</v>
      </c>
      <c r="E197" s="5">
        <f t="shared" si="2"/>
        <v>-0.26000000000021828</v>
      </c>
      <c r="F197" s="14">
        <v>45226</v>
      </c>
      <c r="G197" s="10">
        <v>329270696</v>
      </c>
      <c r="H197" s="9">
        <v>45217</v>
      </c>
      <c r="I197" s="9">
        <v>45232</v>
      </c>
      <c r="J197" s="8">
        <v>5173</v>
      </c>
      <c r="K197" s="8" t="s">
        <v>31</v>
      </c>
      <c r="L197" s="8" t="s">
        <v>32</v>
      </c>
      <c r="M197" s="8"/>
      <c r="N197" s="8" t="b">
        <v>0</v>
      </c>
      <c r="O197" s="10">
        <v>702847</v>
      </c>
      <c r="P197" s="8" t="s">
        <v>82</v>
      </c>
      <c r="Q197" s="8">
        <v>292243</v>
      </c>
      <c r="R197" s="9">
        <v>45217</v>
      </c>
      <c r="S197" s="8" t="s">
        <v>34</v>
      </c>
      <c r="T197" s="8" t="s">
        <v>40</v>
      </c>
      <c r="U197" s="8" t="s">
        <v>58</v>
      </c>
      <c r="V197" s="8" t="s">
        <v>46</v>
      </c>
      <c r="W197" s="8">
        <v>0</v>
      </c>
    </row>
    <row r="198" spans="1:23" x14ac:dyDescent="0.25">
      <c r="A198" s="4">
        <v>1</v>
      </c>
      <c r="B198" s="4"/>
      <c r="C198" s="4">
        <v>879257</v>
      </c>
      <c r="D198" s="4">
        <v>5145.66</v>
      </c>
      <c r="E198" s="5">
        <f t="shared" ref="E198:E261" si="3">J198-D198</f>
        <v>0.34000000000014552</v>
      </c>
      <c r="F198" s="14">
        <v>45226</v>
      </c>
      <c r="G198" s="10">
        <v>329270718</v>
      </c>
      <c r="H198" s="9">
        <v>45217</v>
      </c>
      <c r="I198" s="9">
        <v>45232</v>
      </c>
      <c r="J198" s="8">
        <v>5146</v>
      </c>
      <c r="K198" s="8" t="s">
        <v>31</v>
      </c>
      <c r="L198" s="8" t="s">
        <v>32</v>
      </c>
      <c r="M198" s="8"/>
      <c r="N198" s="8" t="b">
        <v>0</v>
      </c>
      <c r="O198" s="10">
        <v>702164</v>
      </c>
      <c r="P198" s="8" t="s">
        <v>33</v>
      </c>
      <c r="Q198" s="8">
        <v>292279</v>
      </c>
      <c r="R198" s="9">
        <v>45217</v>
      </c>
      <c r="S198" s="8" t="s">
        <v>34</v>
      </c>
      <c r="T198" s="8" t="s">
        <v>44</v>
      </c>
      <c r="U198" s="8" t="s">
        <v>58</v>
      </c>
      <c r="V198" s="8" t="s">
        <v>46</v>
      </c>
      <c r="W198" s="8">
        <v>0</v>
      </c>
    </row>
    <row r="199" spans="1:23" x14ac:dyDescent="0.25">
      <c r="A199" s="4">
        <v>1</v>
      </c>
      <c r="B199" s="4"/>
      <c r="C199" s="4">
        <v>879242</v>
      </c>
      <c r="D199" s="4">
        <v>5173.26</v>
      </c>
      <c r="E199" s="5">
        <f t="shared" si="3"/>
        <v>-0.26000000000021828</v>
      </c>
      <c r="F199" s="14">
        <v>45226</v>
      </c>
      <c r="G199" s="10">
        <v>329270728</v>
      </c>
      <c r="H199" s="9">
        <v>45217</v>
      </c>
      <c r="I199" s="9">
        <v>45232</v>
      </c>
      <c r="J199" s="8">
        <v>5173</v>
      </c>
      <c r="K199" s="8" t="s">
        <v>31</v>
      </c>
      <c r="L199" s="8" t="s">
        <v>32</v>
      </c>
      <c r="M199" s="8"/>
      <c r="N199" s="8" t="b">
        <v>0</v>
      </c>
      <c r="O199" s="10">
        <v>702846</v>
      </c>
      <c r="P199" s="8" t="s">
        <v>77</v>
      </c>
      <c r="Q199" s="8">
        <v>292173</v>
      </c>
      <c r="R199" s="9">
        <v>45217</v>
      </c>
      <c r="S199" s="8" t="s">
        <v>34</v>
      </c>
      <c r="T199" s="8" t="s">
        <v>40</v>
      </c>
      <c r="U199" s="8" t="s">
        <v>58</v>
      </c>
      <c r="V199" s="8" t="s">
        <v>46</v>
      </c>
      <c r="W199" s="8">
        <v>0</v>
      </c>
    </row>
    <row r="200" spans="1:23" x14ac:dyDescent="0.25">
      <c r="A200" s="4">
        <v>1</v>
      </c>
      <c r="B200" s="4"/>
      <c r="C200" s="4">
        <v>879256</v>
      </c>
      <c r="D200" s="4">
        <v>61230.400000000001</v>
      </c>
      <c r="E200" s="5">
        <f t="shared" si="3"/>
        <v>5.5999999999985448</v>
      </c>
      <c r="F200" s="14">
        <v>45226</v>
      </c>
      <c r="G200" s="10">
        <v>329272611</v>
      </c>
      <c r="H200" s="9">
        <v>45217</v>
      </c>
      <c r="I200" s="9">
        <v>45232</v>
      </c>
      <c r="J200" s="8">
        <v>61236</v>
      </c>
      <c r="K200" s="8" t="s">
        <v>31</v>
      </c>
      <c r="L200" s="8" t="s">
        <v>32</v>
      </c>
      <c r="M200" s="8"/>
      <c r="N200" s="8" t="b">
        <v>0</v>
      </c>
      <c r="O200" s="10"/>
      <c r="P200" s="8" t="s">
        <v>242</v>
      </c>
      <c r="Q200" s="8">
        <v>288615</v>
      </c>
      <c r="R200" s="9">
        <v>45216</v>
      </c>
      <c r="S200" s="8" t="s">
        <v>34</v>
      </c>
      <c r="T200" s="8" t="s">
        <v>49</v>
      </c>
      <c r="U200" s="8" t="s">
        <v>75</v>
      </c>
      <c r="V200" s="8" t="s">
        <v>46</v>
      </c>
      <c r="W200" s="8">
        <v>0</v>
      </c>
    </row>
    <row r="201" spans="1:23" x14ac:dyDescent="0.25">
      <c r="A201" s="4">
        <v>1</v>
      </c>
      <c r="B201" s="4"/>
      <c r="C201" s="4">
        <v>879255</v>
      </c>
      <c r="D201" s="4">
        <v>69984.960000000006</v>
      </c>
      <c r="E201" s="5">
        <f t="shared" si="3"/>
        <v>-0.96000000000640284</v>
      </c>
      <c r="F201" s="14">
        <v>45226</v>
      </c>
      <c r="G201" s="10">
        <v>329272674</v>
      </c>
      <c r="H201" s="9">
        <v>45217</v>
      </c>
      <c r="I201" s="9">
        <v>45232</v>
      </c>
      <c r="J201" s="8">
        <v>69984</v>
      </c>
      <c r="K201" s="8" t="s">
        <v>31</v>
      </c>
      <c r="L201" s="8" t="s">
        <v>32</v>
      </c>
      <c r="M201" s="8"/>
      <c r="N201" s="8" t="b">
        <v>0</v>
      </c>
      <c r="O201" s="10"/>
      <c r="P201" s="8" t="s">
        <v>243</v>
      </c>
      <c r="Q201" s="8">
        <v>262977</v>
      </c>
      <c r="R201" s="9">
        <v>45215</v>
      </c>
      <c r="S201" s="8" t="s">
        <v>34</v>
      </c>
      <c r="T201" s="8" t="s">
        <v>49</v>
      </c>
      <c r="U201" s="8" t="s">
        <v>75</v>
      </c>
      <c r="V201" s="8" t="s">
        <v>46</v>
      </c>
      <c r="W201" s="8">
        <v>0</v>
      </c>
    </row>
    <row r="202" spans="1:23" x14ac:dyDescent="0.25">
      <c r="A202" s="4">
        <v>1</v>
      </c>
      <c r="B202" s="4"/>
      <c r="C202" s="4">
        <v>879241</v>
      </c>
      <c r="D202" s="4">
        <v>5173.26</v>
      </c>
      <c r="E202" s="5">
        <f t="shared" si="3"/>
        <v>-0.26000000000021828</v>
      </c>
      <c r="F202" s="14">
        <v>45226</v>
      </c>
      <c r="G202" s="10">
        <v>329282196</v>
      </c>
      <c r="H202" s="9">
        <v>45217</v>
      </c>
      <c r="I202" s="9">
        <v>45232</v>
      </c>
      <c r="J202" s="8">
        <v>5173</v>
      </c>
      <c r="K202" s="8" t="s">
        <v>31</v>
      </c>
      <c r="L202" s="8" t="s">
        <v>32</v>
      </c>
      <c r="M202" s="8"/>
      <c r="N202" s="8" t="b">
        <v>0</v>
      </c>
      <c r="O202" s="10">
        <v>702850</v>
      </c>
      <c r="P202" s="8" t="s">
        <v>90</v>
      </c>
      <c r="Q202" s="8">
        <v>303228</v>
      </c>
      <c r="R202" s="9">
        <v>45217</v>
      </c>
      <c r="S202" s="8" t="s">
        <v>34</v>
      </c>
      <c r="T202" s="8" t="s">
        <v>40</v>
      </c>
      <c r="U202" s="8" t="s">
        <v>58</v>
      </c>
      <c r="V202" s="8" t="s">
        <v>46</v>
      </c>
      <c r="W202" s="8">
        <v>0</v>
      </c>
    </row>
    <row r="203" spans="1:23" x14ac:dyDescent="0.25">
      <c r="A203" s="4">
        <v>1</v>
      </c>
      <c r="B203" s="4"/>
      <c r="C203" s="4">
        <v>879240</v>
      </c>
      <c r="D203" s="4">
        <v>5173.26</v>
      </c>
      <c r="E203" s="5">
        <f t="shared" si="3"/>
        <v>-0.26000000000021828</v>
      </c>
      <c r="F203" s="14">
        <v>45226</v>
      </c>
      <c r="G203" s="10">
        <v>329282203</v>
      </c>
      <c r="H203" s="9">
        <v>45217</v>
      </c>
      <c r="I203" s="9">
        <v>45232</v>
      </c>
      <c r="J203" s="8">
        <v>5173</v>
      </c>
      <c r="K203" s="8" t="s">
        <v>31</v>
      </c>
      <c r="L203" s="8" t="s">
        <v>32</v>
      </c>
      <c r="M203" s="8"/>
      <c r="N203" s="8" t="b">
        <v>0</v>
      </c>
      <c r="O203" s="10">
        <v>702848</v>
      </c>
      <c r="P203" s="8" t="s">
        <v>86</v>
      </c>
      <c r="Q203" s="8">
        <v>303209</v>
      </c>
      <c r="R203" s="9">
        <v>45217</v>
      </c>
      <c r="S203" s="8" t="s">
        <v>34</v>
      </c>
      <c r="T203" s="8" t="s">
        <v>40</v>
      </c>
      <c r="U203" s="8" t="s">
        <v>58</v>
      </c>
      <c r="V203" s="8" t="s">
        <v>46</v>
      </c>
      <c r="W203" s="8">
        <v>0</v>
      </c>
    </row>
    <row r="204" spans="1:23" x14ac:dyDescent="0.25">
      <c r="A204" s="4">
        <v>1</v>
      </c>
      <c r="B204" s="4"/>
      <c r="C204" s="4">
        <v>879239</v>
      </c>
      <c r="D204" s="4">
        <v>5173.26</v>
      </c>
      <c r="E204" s="5">
        <f t="shared" si="3"/>
        <v>-0.26000000000021828</v>
      </c>
      <c r="F204" s="14">
        <v>45226</v>
      </c>
      <c r="G204" s="10">
        <v>329282233</v>
      </c>
      <c r="H204" s="9">
        <v>45217</v>
      </c>
      <c r="I204" s="9">
        <v>45232</v>
      </c>
      <c r="J204" s="8">
        <v>5173</v>
      </c>
      <c r="K204" s="8" t="s">
        <v>31</v>
      </c>
      <c r="L204" s="8" t="s">
        <v>32</v>
      </c>
      <c r="M204" s="8"/>
      <c r="N204" s="8" t="b">
        <v>0</v>
      </c>
      <c r="O204" s="10">
        <v>702852</v>
      </c>
      <c r="P204" s="8" t="s">
        <v>78</v>
      </c>
      <c r="Q204" s="8">
        <v>303256</v>
      </c>
      <c r="R204" s="9">
        <v>45217</v>
      </c>
      <c r="S204" s="8" t="s">
        <v>34</v>
      </c>
      <c r="T204" s="8" t="s">
        <v>40</v>
      </c>
      <c r="U204" s="8" t="s">
        <v>58</v>
      </c>
      <c r="V204" s="8" t="s">
        <v>46</v>
      </c>
      <c r="W204" s="8">
        <v>0</v>
      </c>
    </row>
    <row r="205" spans="1:23" x14ac:dyDescent="0.25">
      <c r="A205" s="4">
        <v>1</v>
      </c>
      <c r="B205" s="4"/>
      <c r="C205" s="4">
        <v>879237</v>
      </c>
      <c r="D205" s="4">
        <v>5173.26</v>
      </c>
      <c r="E205" s="5">
        <f t="shared" si="3"/>
        <v>-0.26000000000021828</v>
      </c>
      <c r="F205" s="14">
        <v>45226</v>
      </c>
      <c r="G205" s="10">
        <v>329282234</v>
      </c>
      <c r="H205" s="9">
        <v>45217</v>
      </c>
      <c r="I205" s="9">
        <v>45232</v>
      </c>
      <c r="J205" s="8">
        <v>5173</v>
      </c>
      <c r="K205" s="8" t="s">
        <v>31</v>
      </c>
      <c r="L205" s="8" t="s">
        <v>32</v>
      </c>
      <c r="M205" s="8"/>
      <c r="N205" s="8" t="b">
        <v>0</v>
      </c>
      <c r="O205" s="10">
        <v>702849</v>
      </c>
      <c r="P205" s="8" t="s">
        <v>97</v>
      </c>
      <c r="Q205" s="8">
        <v>303212</v>
      </c>
      <c r="R205" s="9">
        <v>45217</v>
      </c>
      <c r="S205" s="8" t="s">
        <v>34</v>
      </c>
      <c r="T205" s="8" t="s">
        <v>40</v>
      </c>
      <c r="U205" s="8" t="s">
        <v>58</v>
      </c>
      <c r="V205" s="8" t="s">
        <v>46</v>
      </c>
      <c r="W205" s="8">
        <v>0</v>
      </c>
    </row>
    <row r="206" spans="1:23" x14ac:dyDescent="0.25">
      <c r="A206" s="4">
        <v>1</v>
      </c>
      <c r="B206" s="4"/>
      <c r="C206" s="4">
        <v>879236</v>
      </c>
      <c r="D206" s="4">
        <v>5173.26</v>
      </c>
      <c r="E206" s="5">
        <f t="shared" si="3"/>
        <v>-0.26000000000021828</v>
      </c>
      <c r="F206" s="14">
        <v>45226</v>
      </c>
      <c r="G206" s="10">
        <v>329282254</v>
      </c>
      <c r="H206" s="9">
        <v>45217</v>
      </c>
      <c r="I206" s="9">
        <v>45232</v>
      </c>
      <c r="J206" s="8">
        <v>5173</v>
      </c>
      <c r="K206" s="8" t="s">
        <v>31</v>
      </c>
      <c r="L206" s="8" t="s">
        <v>32</v>
      </c>
      <c r="M206" s="8"/>
      <c r="N206" s="8" t="b">
        <v>0</v>
      </c>
      <c r="O206" s="10">
        <v>702851</v>
      </c>
      <c r="P206" s="8" t="s">
        <v>92</v>
      </c>
      <c r="Q206" s="8">
        <v>303244</v>
      </c>
      <c r="R206" s="9">
        <v>45217</v>
      </c>
      <c r="S206" s="8" t="s">
        <v>34</v>
      </c>
      <c r="T206" s="8" t="s">
        <v>40</v>
      </c>
      <c r="U206" s="8" t="s">
        <v>58</v>
      </c>
      <c r="V206" s="8" t="s">
        <v>46</v>
      </c>
      <c r="W206" s="8">
        <v>0</v>
      </c>
    </row>
    <row r="207" spans="1:23" x14ac:dyDescent="0.25">
      <c r="A207" s="4">
        <v>1</v>
      </c>
      <c r="B207" s="4"/>
      <c r="C207" s="4">
        <v>879313</v>
      </c>
      <c r="D207" s="4">
        <v>5145.66</v>
      </c>
      <c r="E207" s="5">
        <f t="shared" si="3"/>
        <v>0.34000000000014552</v>
      </c>
      <c r="F207" s="14">
        <v>45226</v>
      </c>
      <c r="G207" s="10">
        <v>329303667</v>
      </c>
      <c r="H207" s="9">
        <v>45218</v>
      </c>
      <c r="I207" s="9">
        <v>45233</v>
      </c>
      <c r="J207" s="8">
        <v>5146</v>
      </c>
      <c r="K207" s="8" t="s">
        <v>31</v>
      </c>
      <c r="L207" s="8" t="s">
        <v>32</v>
      </c>
      <c r="M207" s="8"/>
      <c r="N207" s="8" t="b">
        <v>0</v>
      </c>
      <c r="O207" s="10">
        <v>703095</v>
      </c>
      <c r="P207" s="8" t="s">
        <v>64</v>
      </c>
      <c r="Q207" s="8">
        <v>321056</v>
      </c>
      <c r="R207" s="9">
        <v>45218</v>
      </c>
      <c r="S207" s="8" t="s">
        <v>34</v>
      </c>
      <c r="T207" s="8" t="s">
        <v>44</v>
      </c>
      <c r="U207" s="8" t="s">
        <v>58</v>
      </c>
      <c r="V207" s="8" t="s">
        <v>46</v>
      </c>
      <c r="W207" s="8">
        <v>0</v>
      </c>
    </row>
    <row r="208" spans="1:23" x14ac:dyDescent="0.25">
      <c r="A208" s="4">
        <v>1</v>
      </c>
      <c r="B208" s="4"/>
      <c r="C208" s="4">
        <v>879310</v>
      </c>
      <c r="D208" s="4">
        <v>6330.42</v>
      </c>
      <c r="E208" s="5">
        <f t="shared" si="3"/>
        <v>-0.42000000000007276</v>
      </c>
      <c r="F208" s="14">
        <v>45226</v>
      </c>
      <c r="G208" s="10">
        <v>329303696</v>
      </c>
      <c r="H208" s="9">
        <v>45218</v>
      </c>
      <c r="I208" s="9">
        <v>45233</v>
      </c>
      <c r="J208" s="8">
        <v>6330</v>
      </c>
      <c r="K208" s="8" t="s">
        <v>31</v>
      </c>
      <c r="L208" s="8" t="s">
        <v>32</v>
      </c>
      <c r="M208" s="8"/>
      <c r="N208" s="8" t="b">
        <v>0</v>
      </c>
      <c r="O208" s="10">
        <v>697227</v>
      </c>
      <c r="P208" s="8" t="s">
        <v>108</v>
      </c>
      <c r="Q208" s="8">
        <v>321007</v>
      </c>
      <c r="R208" s="9">
        <v>45218</v>
      </c>
      <c r="S208" s="8" t="s">
        <v>34</v>
      </c>
      <c r="T208" s="8" t="s">
        <v>44</v>
      </c>
      <c r="U208" s="8" t="s">
        <v>36</v>
      </c>
      <c r="V208" s="8" t="s">
        <v>37</v>
      </c>
      <c r="W208" s="8">
        <v>0</v>
      </c>
    </row>
    <row r="209" spans="1:23" x14ac:dyDescent="0.25">
      <c r="A209" s="4">
        <v>1</v>
      </c>
      <c r="B209" s="4"/>
      <c r="C209" s="4">
        <v>879304</v>
      </c>
      <c r="D209" s="4">
        <v>5145.66</v>
      </c>
      <c r="E209" s="5">
        <f t="shared" si="3"/>
        <v>0.34000000000014552</v>
      </c>
      <c r="F209" s="14">
        <v>45226</v>
      </c>
      <c r="G209" s="10">
        <v>329303697</v>
      </c>
      <c r="H209" s="9">
        <v>45218</v>
      </c>
      <c r="I209" s="9">
        <v>45233</v>
      </c>
      <c r="J209" s="8">
        <v>5146</v>
      </c>
      <c r="K209" s="8" t="s">
        <v>31</v>
      </c>
      <c r="L209" s="8" t="s">
        <v>32</v>
      </c>
      <c r="M209" s="8"/>
      <c r="N209" s="8" t="b">
        <v>0</v>
      </c>
      <c r="O209" s="10">
        <v>702171</v>
      </c>
      <c r="P209" s="8" t="s">
        <v>244</v>
      </c>
      <c r="Q209" s="8">
        <v>321032</v>
      </c>
      <c r="R209" s="9">
        <v>45218</v>
      </c>
      <c r="S209" s="8" t="s">
        <v>34</v>
      </c>
      <c r="T209" s="8" t="s">
        <v>44</v>
      </c>
      <c r="U209" s="8" t="s">
        <v>58</v>
      </c>
      <c r="V209" s="8" t="s">
        <v>46</v>
      </c>
      <c r="W209" s="8">
        <v>0</v>
      </c>
    </row>
    <row r="210" spans="1:23" x14ac:dyDescent="0.25">
      <c r="A210" s="4">
        <v>1</v>
      </c>
      <c r="B210" s="4"/>
      <c r="C210" s="4">
        <v>879303</v>
      </c>
      <c r="D210" s="4">
        <v>6330.42</v>
      </c>
      <c r="E210" s="5">
        <f t="shared" si="3"/>
        <v>-0.42000000000007276</v>
      </c>
      <c r="F210" s="14">
        <v>45226</v>
      </c>
      <c r="G210" s="10">
        <v>329303719</v>
      </c>
      <c r="H210" s="9">
        <v>45218</v>
      </c>
      <c r="I210" s="9">
        <v>45233</v>
      </c>
      <c r="J210" s="8">
        <v>6330</v>
      </c>
      <c r="K210" s="8" t="s">
        <v>31</v>
      </c>
      <c r="L210" s="8" t="s">
        <v>32</v>
      </c>
      <c r="M210" s="8"/>
      <c r="N210" s="8" t="b">
        <v>0</v>
      </c>
      <c r="O210" s="10">
        <v>697226</v>
      </c>
      <c r="P210" s="8" t="s">
        <v>109</v>
      </c>
      <c r="Q210" s="8">
        <v>321000</v>
      </c>
      <c r="R210" s="9">
        <v>45218</v>
      </c>
      <c r="S210" s="8" t="s">
        <v>34</v>
      </c>
      <c r="T210" s="8" t="s">
        <v>44</v>
      </c>
      <c r="U210" s="8" t="s">
        <v>36</v>
      </c>
      <c r="V210" s="8" t="s">
        <v>37</v>
      </c>
      <c r="W210" s="8">
        <v>0</v>
      </c>
    </row>
    <row r="211" spans="1:23" x14ac:dyDescent="0.25">
      <c r="A211" s="4">
        <v>1</v>
      </c>
      <c r="B211" s="4"/>
      <c r="C211" s="4">
        <v>879302</v>
      </c>
      <c r="D211" s="4">
        <v>6330.42</v>
      </c>
      <c r="E211" s="5">
        <f t="shared" si="3"/>
        <v>-0.42000000000007276</v>
      </c>
      <c r="F211" s="14">
        <v>45226</v>
      </c>
      <c r="G211" s="10">
        <v>329303748</v>
      </c>
      <c r="H211" s="9">
        <v>45218</v>
      </c>
      <c r="I211" s="9">
        <v>45233</v>
      </c>
      <c r="J211" s="8">
        <v>6330</v>
      </c>
      <c r="K211" s="8" t="s">
        <v>31</v>
      </c>
      <c r="L211" s="8" t="s">
        <v>32</v>
      </c>
      <c r="M211" s="8"/>
      <c r="N211" s="8" t="b">
        <v>0</v>
      </c>
      <c r="O211" s="10">
        <v>697228</v>
      </c>
      <c r="P211" s="8" t="s">
        <v>43</v>
      </c>
      <c r="Q211" s="8">
        <v>321017</v>
      </c>
      <c r="R211" s="9">
        <v>45218</v>
      </c>
      <c r="S211" s="8" t="s">
        <v>34</v>
      </c>
      <c r="T211" s="8" t="s">
        <v>44</v>
      </c>
      <c r="U211" s="8" t="s">
        <v>36</v>
      </c>
      <c r="V211" s="8" t="s">
        <v>37</v>
      </c>
      <c r="W211" s="8">
        <v>0</v>
      </c>
    </row>
    <row r="212" spans="1:23" x14ac:dyDescent="0.25">
      <c r="A212" s="4">
        <v>1</v>
      </c>
      <c r="B212" s="4"/>
      <c r="C212" s="4">
        <v>879693</v>
      </c>
      <c r="D212" s="4">
        <v>5173.26</v>
      </c>
      <c r="E212" s="5">
        <f t="shared" si="3"/>
        <v>-0.26000000000021828</v>
      </c>
      <c r="F212" s="14">
        <v>45226</v>
      </c>
      <c r="G212" s="10">
        <v>329342347</v>
      </c>
      <c r="H212" s="9">
        <v>45222</v>
      </c>
      <c r="I212" s="9">
        <v>45237</v>
      </c>
      <c r="J212" s="8">
        <v>5173</v>
      </c>
      <c r="K212" s="8" t="s">
        <v>31</v>
      </c>
      <c r="L212" s="8" t="s">
        <v>32</v>
      </c>
      <c r="M212" s="8"/>
      <c r="N212" s="8" t="b">
        <v>0</v>
      </c>
      <c r="O212" s="10">
        <v>702924</v>
      </c>
      <c r="P212" s="8" t="s">
        <v>136</v>
      </c>
      <c r="Q212" s="8">
        <v>345206</v>
      </c>
      <c r="R212" s="9">
        <v>45220</v>
      </c>
      <c r="S212" s="8" t="s">
        <v>34</v>
      </c>
      <c r="T212" s="8" t="s">
        <v>40</v>
      </c>
      <c r="U212" s="8" t="s">
        <v>58</v>
      </c>
      <c r="V212" s="8" t="s">
        <v>46</v>
      </c>
      <c r="W212" s="8">
        <v>0</v>
      </c>
    </row>
    <row r="213" spans="1:23" x14ac:dyDescent="0.25">
      <c r="A213" s="4">
        <v>1</v>
      </c>
      <c r="B213" s="4"/>
      <c r="C213" s="4">
        <v>879683</v>
      </c>
      <c r="D213" s="4">
        <v>5173.26</v>
      </c>
      <c r="E213" s="5">
        <f t="shared" si="3"/>
        <v>-0.26000000000021828</v>
      </c>
      <c r="F213" s="14">
        <v>45226</v>
      </c>
      <c r="G213" s="10">
        <v>329342352</v>
      </c>
      <c r="H213" s="9">
        <v>45222</v>
      </c>
      <c r="I213" s="9">
        <v>45237</v>
      </c>
      <c r="J213" s="8">
        <v>5173</v>
      </c>
      <c r="K213" s="8" t="s">
        <v>31</v>
      </c>
      <c r="L213" s="8" t="s">
        <v>32</v>
      </c>
      <c r="M213" s="8"/>
      <c r="N213" s="8" t="b">
        <v>0</v>
      </c>
      <c r="O213" s="10">
        <v>702923</v>
      </c>
      <c r="P213" s="8" t="s">
        <v>137</v>
      </c>
      <c r="Q213" s="8">
        <v>345203</v>
      </c>
      <c r="R213" s="9">
        <v>45220</v>
      </c>
      <c r="S213" s="8" t="s">
        <v>34</v>
      </c>
      <c r="T213" s="8" t="s">
        <v>40</v>
      </c>
      <c r="U213" s="8" t="s">
        <v>58</v>
      </c>
      <c r="V213" s="8" t="s">
        <v>46</v>
      </c>
      <c r="W213" s="8">
        <v>0</v>
      </c>
    </row>
    <row r="214" spans="1:23" x14ac:dyDescent="0.25">
      <c r="A214" s="4">
        <v>1</v>
      </c>
      <c r="B214" s="4"/>
      <c r="C214" s="4">
        <v>879692</v>
      </c>
      <c r="D214" s="4">
        <v>5173.26</v>
      </c>
      <c r="E214" s="5">
        <f t="shared" si="3"/>
        <v>-0.26000000000021828</v>
      </c>
      <c r="F214" s="14">
        <v>45226</v>
      </c>
      <c r="G214" s="10">
        <v>329342354</v>
      </c>
      <c r="H214" s="9">
        <v>45222</v>
      </c>
      <c r="I214" s="9">
        <v>45237</v>
      </c>
      <c r="J214" s="8">
        <v>5173</v>
      </c>
      <c r="K214" s="8" t="s">
        <v>31</v>
      </c>
      <c r="L214" s="8" t="s">
        <v>32</v>
      </c>
      <c r="M214" s="8"/>
      <c r="N214" s="8" t="b">
        <v>0</v>
      </c>
      <c r="O214" s="10">
        <v>702925</v>
      </c>
      <c r="P214" s="8" t="s">
        <v>135</v>
      </c>
      <c r="Q214" s="8">
        <v>345207</v>
      </c>
      <c r="R214" s="9">
        <v>45220</v>
      </c>
      <c r="S214" s="8" t="s">
        <v>34</v>
      </c>
      <c r="T214" s="8" t="s">
        <v>40</v>
      </c>
      <c r="U214" s="8" t="s">
        <v>58</v>
      </c>
      <c r="V214" s="8" t="s">
        <v>46</v>
      </c>
      <c r="W214" s="8">
        <v>0</v>
      </c>
    </row>
    <row r="215" spans="1:23" x14ac:dyDescent="0.25">
      <c r="A215" s="4">
        <v>1</v>
      </c>
      <c r="B215" s="4"/>
      <c r="C215" s="4">
        <v>879691</v>
      </c>
      <c r="D215" s="4">
        <v>5173.26</v>
      </c>
      <c r="E215" s="5">
        <f t="shared" si="3"/>
        <v>-0.26000000000021828</v>
      </c>
      <c r="F215" s="14">
        <v>45226</v>
      </c>
      <c r="G215" s="10">
        <v>329342363</v>
      </c>
      <c r="H215" s="9">
        <v>45222</v>
      </c>
      <c r="I215" s="9">
        <v>45237</v>
      </c>
      <c r="J215" s="8">
        <v>5173</v>
      </c>
      <c r="K215" s="8" t="s">
        <v>31</v>
      </c>
      <c r="L215" s="8" t="s">
        <v>32</v>
      </c>
      <c r="M215" s="8"/>
      <c r="N215" s="8" t="b">
        <v>0</v>
      </c>
      <c r="O215" s="10">
        <v>702926</v>
      </c>
      <c r="P215" s="8" t="s">
        <v>67</v>
      </c>
      <c r="Q215" s="8">
        <v>345221</v>
      </c>
      <c r="R215" s="9">
        <v>45220</v>
      </c>
      <c r="S215" s="8" t="s">
        <v>34</v>
      </c>
      <c r="T215" s="8" t="s">
        <v>40</v>
      </c>
      <c r="U215" s="8" t="s">
        <v>58</v>
      </c>
      <c r="V215" s="8" t="s">
        <v>46</v>
      </c>
      <c r="W215" s="8">
        <v>0</v>
      </c>
    </row>
    <row r="216" spans="1:23" x14ac:dyDescent="0.25">
      <c r="A216" s="4">
        <v>1</v>
      </c>
      <c r="B216" s="4"/>
      <c r="C216" s="4">
        <v>879682</v>
      </c>
      <c r="D216" s="4">
        <v>44043.02</v>
      </c>
      <c r="E216" s="5">
        <f t="shared" si="3"/>
        <v>0.98000000000320142</v>
      </c>
      <c r="F216" s="14">
        <v>45226</v>
      </c>
      <c r="G216" s="10">
        <v>329356780</v>
      </c>
      <c r="H216" s="9">
        <v>45222</v>
      </c>
      <c r="I216" s="9">
        <v>45237</v>
      </c>
      <c r="J216" s="8">
        <v>44044</v>
      </c>
      <c r="K216" s="8" t="s">
        <v>31</v>
      </c>
      <c r="L216" s="8" t="s">
        <v>32</v>
      </c>
      <c r="M216" s="8"/>
      <c r="N216" s="8" t="b">
        <v>0</v>
      </c>
      <c r="O216" s="10"/>
      <c r="P216" s="8" t="s">
        <v>245</v>
      </c>
      <c r="Q216" s="8">
        <v>262838</v>
      </c>
      <c r="R216" s="9">
        <v>45215</v>
      </c>
      <c r="S216" s="8" t="s">
        <v>48</v>
      </c>
      <c r="T216" s="8" t="s">
        <v>49</v>
      </c>
      <c r="U216" s="8" t="s">
        <v>50</v>
      </c>
      <c r="V216" s="8" t="s">
        <v>37</v>
      </c>
      <c r="W216" s="8">
        <v>0</v>
      </c>
    </row>
    <row r="217" spans="1:23" x14ac:dyDescent="0.25">
      <c r="A217" s="4">
        <v>1</v>
      </c>
      <c r="B217" s="4"/>
      <c r="C217" s="4">
        <v>879689</v>
      </c>
      <c r="D217" s="4">
        <v>45471.44</v>
      </c>
      <c r="E217" s="5">
        <f t="shared" si="3"/>
        <v>0.55999999999767169</v>
      </c>
      <c r="F217" s="14">
        <v>45226</v>
      </c>
      <c r="G217" s="10">
        <v>329361883</v>
      </c>
      <c r="H217" s="9">
        <v>45222</v>
      </c>
      <c r="I217" s="9">
        <v>45237</v>
      </c>
      <c r="J217" s="8">
        <v>45472</v>
      </c>
      <c r="K217" s="8" t="s">
        <v>31</v>
      </c>
      <c r="L217" s="8" t="s">
        <v>32</v>
      </c>
      <c r="M217" s="8"/>
      <c r="N217" s="8" t="b">
        <v>0</v>
      </c>
      <c r="O217" s="10"/>
      <c r="P217" s="8" t="s">
        <v>246</v>
      </c>
      <c r="Q217" s="8">
        <v>356108</v>
      </c>
      <c r="R217" s="9">
        <v>45222</v>
      </c>
      <c r="S217" s="8" t="s">
        <v>70</v>
      </c>
      <c r="T217" s="8" t="s">
        <v>49</v>
      </c>
      <c r="U217" s="8" t="s">
        <v>71</v>
      </c>
      <c r="V217" s="8" t="s">
        <v>72</v>
      </c>
      <c r="W217" s="8">
        <v>0</v>
      </c>
    </row>
    <row r="218" spans="1:23" x14ac:dyDescent="0.25">
      <c r="A218" s="4">
        <v>1</v>
      </c>
      <c r="B218" s="4"/>
      <c r="C218" s="4">
        <v>879688</v>
      </c>
      <c r="D218" s="4">
        <v>25167.439999999999</v>
      </c>
      <c r="E218" s="5">
        <f t="shared" si="3"/>
        <v>0.56000000000130967</v>
      </c>
      <c r="F218" s="14">
        <v>45226</v>
      </c>
      <c r="G218" s="10">
        <v>329362120</v>
      </c>
      <c r="H218" s="9">
        <v>45222</v>
      </c>
      <c r="I218" s="9">
        <v>45237</v>
      </c>
      <c r="J218" s="8">
        <v>25168</v>
      </c>
      <c r="K218" s="8" t="s">
        <v>31</v>
      </c>
      <c r="L218" s="8" t="s">
        <v>32</v>
      </c>
      <c r="M218" s="8"/>
      <c r="N218" s="8" t="b">
        <v>0</v>
      </c>
      <c r="O218" s="10"/>
      <c r="P218" s="8" t="s">
        <v>247</v>
      </c>
      <c r="Q218" s="8">
        <v>356260</v>
      </c>
      <c r="R218" s="9">
        <v>45222</v>
      </c>
      <c r="S218" s="8" t="s">
        <v>48</v>
      </c>
      <c r="T218" s="8" t="s">
        <v>49</v>
      </c>
      <c r="U218" s="8" t="s">
        <v>50</v>
      </c>
      <c r="V218" s="8" t="s">
        <v>37</v>
      </c>
      <c r="W218" s="8">
        <v>0</v>
      </c>
    </row>
    <row r="219" spans="1:23" x14ac:dyDescent="0.25">
      <c r="A219" s="4">
        <v>1</v>
      </c>
      <c r="B219" s="4"/>
      <c r="C219" s="4">
        <v>879687</v>
      </c>
      <c r="D219" s="4">
        <v>17496.240000000002</v>
      </c>
      <c r="E219" s="5">
        <f t="shared" si="3"/>
        <v>-0.24000000000160071</v>
      </c>
      <c r="F219" s="14">
        <v>45226</v>
      </c>
      <c r="G219" s="10">
        <v>329364407</v>
      </c>
      <c r="H219" s="9">
        <v>45222</v>
      </c>
      <c r="I219" s="9">
        <v>45237</v>
      </c>
      <c r="J219" s="8">
        <v>17496</v>
      </c>
      <c r="K219" s="8" t="s">
        <v>31</v>
      </c>
      <c r="L219" s="8" t="s">
        <v>32</v>
      </c>
      <c r="M219" s="8"/>
      <c r="N219" s="8" t="b">
        <v>0</v>
      </c>
      <c r="O219" s="10"/>
      <c r="P219" s="8" t="s">
        <v>248</v>
      </c>
      <c r="Q219" s="8">
        <v>296532</v>
      </c>
      <c r="R219" s="9">
        <v>45217</v>
      </c>
      <c r="S219" s="8" t="s">
        <v>34</v>
      </c>
      <c r="T219" s="8" t="s">
        <v>49</v>
      </c>
      <c r="U219" s="8" t="s">
        <v>75</v>
      </c>
      <c r="V219" s="8" t="s">
        <v>46</v>
      </c>
      <c r="W219" s="8">
        <v>0</v>
      </c>
    </row>
    <row r="220" spans="1:23" x14ac:dyDescent="0.25">
      <c r="A220" s="4">
        <v>1</v>
      </c>
      <c r="B220" s="4"/>
      <c r="C220" s="4">
        <v>879686</v>
      </c>
      <c r="D220" s="4">
        <v>48109.599999999999</v>
      </c>
      <c r="E220" s="5">
        <f t="shared" si="3"/>
        <v>4.4000000000014552</v>
      </c>
      <c r="F220" s="14">
        <v>45226</v>
      </c>
      <c r="G220" s="10">
        <v>329364408</v>
      </c>
      <c r="H220" s="9">
        <v>45222</v>
      </c>
      <c r="I220" s="9">
        <v>45237</v>
      </c>
      <c r="J220" s="8">
        <v>48114</v>
      </c>
      <c r="K220" s="8" t="s">
        <v>31</v>
      </c>
      <c r="L220" s="8" t="s">
        <v>32</v>
      </c>
      <c r="M220" s="8"/>
      <c r="N220" s="8" t="b">
        <v>0</v>
      </c>
      <c r="O220" s="10"/>
      <c r="P220" s="8" t="s">
        <v>249</v>
      </c>
      <c r="Q220" s="8">
        <v>356017</v>
      </c>
      <c r="R220" s="9">
        <v>45222</v>
      </c>
      <c r="S220" s="8" t="s">
        <v>34</v>
      </c>
      <c r="T220" s="8" t="s">
        <v>49</v>
      </c>
      <c r="U220" s="8" t="s">
        <v>75</v>
      </c>
      <c r="V220" s="8" t="s">
        <v>46</v>
      </c>
      <c r="W220" s="8">
        <v>0</v>
      </c>
    </row>
    <row r="221" spans="1:23" ht="15.75" customHeight="1" x14ac:dyDescent="0.25">
      <c r="A221" s="4">
        <v>2</v>
      </c>
      <c r="B221" s="4" t="s">
        <v>250</v>
      </c>
      <c r="C221" s="4"/>
      <c r="D221" s="4"/>
      <c r="E221" s="5">
        <f t="shared" si="3"/>
        <v>7846</v>
      </c>
      <c r="F221" s="15" t="s">
        <v>251</v>
      </c>
      <c r="G221" s="10">
        <v>329366111</v>
      </c>
      <c r="H221" s="9">
        <v>45222</v>
      </c>
      <c r="I221" s="9">
        <v>45237</v>
      </c>
      <c r="J221" s="8">
        <v>7846</v>
      </c>
      <c r="K221" s="8" t="s">
        <v>31</v>
      </c>
      <c r="L221" s="8" t="s">
        <v>32</v>
      </c>
      <c r="M221" s="8"/>
      <c r="N221" s="8" t="b">
        <v>0</v>
      </c>
      <c r="O221" s="10">
        <v>693170</v>
      </c>
      <c r="P221" s="8" t="s">
        <v>252</v>
      </c>
      <c r="Q221" s="8">
        <v>228630</v>
      </c>
      <c r="R221" s="9">
        <v>45121</v>
      </c>
      <c r="S221" s="8" t="s">
        <v>253</v>
      </c>
      <c r="T221" s="8" t="s">
        <v>40</v>
      </c>
      <c r="U221" s="8" t="s">
        <v>254</v>
      </c>
      <c r="V221" s="8" t="s">
        <v>72</v>
      </c>
      <c r="W221" s="8">
        <v>0</v>
      </c>
    </row>
    <row r="222" spans="1:23" x14ac:dyDescent="0.25">
      <c r="A222" s="4">
        <v>1</v>
      </c>
      <c r="B222" s="4"/>
      <c r="C222" s="4">
        <v>879685</v>
      </c>
      <c r="D222" s="4">
        <v>6330.42</v>
      </c>
      <c r="E222" s="5">
        <f t="shared" si="3"/>
        <v>-0.42000000000007276</v>
      </c>
      <c r="F222" s="14">
        <v>45226</v>
      </c>
      <c r="G222" s="10">
        <v>329367397</v>
      </c>
      <c r="H222" s="9">
        <v>45222</v>
      </c>
      <c r="I222" s="9">
        <v>45237</v>
      </c>
      <c r="J222" s="8">
        <v>6330</v>
      </c>
      <c r="K222" s="8" t="s">
        <v>31</v>
      </c>
      <c r="L222" s="8" t="s">
        <v>32</v>
      </c>
      <c r="M222" s="8"/>
      <c r="N222" s="8" t="b">
        <v>0</v>
      </c>
      <c r="O222" s="10">
        <v>697229</v>
      </c>
      <c r="P222" s="8" t="s">
        <v>125</v>
      </c>
      <c r="Q222" s="8">
        <v>361627</v>
      </c>
      <c r="R222" s="9">
        <v>45222</v>
      </c>
      <c r="S222" s="8" t="s">
        <v>34</v>
      </c>
      <c r="T222" s="8" t="s">
        <v>44</v>
      </c>
      <c r="U222" s="8" t="s">
        <v>36</v>
      </c>
      <c r="V222" s="8" t="s">
        <v>37</v>
      </c>
      <c r="W222" s="8">
        <v>0</v>
      </c>
    </row>
    <row r="223" spans="1:23" x14ac:dyDescent="0.25">
      <c r="A223" s="4">
        <v>1</v>
      </c>
      <c r="B223" s="4"/>
      <c r="C223" s="4">
        <v>879684</v>
      </c>
      <c r="D223" s="4">
        <v>5147.96</v>
      </c>
      <c r="E223" s="5">
        <f t="shared" si="3"/>
        <v>3.999999999996362E-2</v>
      </c>
      <c r="F223" s="14">
        <v>45226</v>
      </c>
      <c r="G223" s="10">
        <v>329367781</v>
      </c>
      <c r="H223" s="9">
        <v>45222</v>
      </c>
      <c r="I223" s="9">
        <v>45237</v>
      </c>
      <c r="J223" s="8">
        <v>5148</v>
      </c>
      <c r="K223" s="8" t="s">
        <v>31</v>
      </c>
      <c r="L223" s="8" t="s">
        <v>32</v>
      </c>
      <c r="M223" s="8"/>
      <c r="N223" s="8" t="b">
        <v>0</v>
      </c>
      <c r="O223" s="10">
        <v>695736</v>
      </c>
      <c r="P223" s="8" t="s">
        <v>255</v>
      </c>
      <c r="Q223" s="8">
        <v>362044</v>
      </c>
      <c r="R223" s="9">
        <v>45222</v>
      </c>
      <c r="S223" s="8" t="s">
        <v>180</v>
      </c>
      <c r="T223" s="8" t="s">
        <v>44</v>
      </c>
      <c r="U223" s="8" t="s">
        <v>45</v>
      </c>
      <c r="V223" s="8" t="s">
        <v>46</v>
      </c>
      <c r="W223" s="8">
        <v>0</v>
      </c>
    </row>
    <row r="224" spans="1:23" x14ac:dyDescent="0.25">
      <c r="A224" s="4">
        <v>2</v>
      </c>
      <c r="B224" s="4" t="s">
        <v>256</v>
      </c>
      <c r="C224" s="4"/>
      <c r="D224" s="4"/>
      <c r="E224" s="5">
        <f t="shared" si="3"/>
        <v>8471.92</v>
      </c>
      <c r="F224" s="15" t="s">
        <v>251</v>
      </c>
      <c r="G224" s="10">
        <v>329377512</v>
      </c>
      <c r="H224" s="9">
        <v>45223</v>
      </c>
      <c r="I224" s="9">
        <v>45238</v>
      </c>
      <c r="J224" s="8">
        <v>8471.92</v>
      </c>
      <c r="K224" s="8" t="s">
        <v>31</v>
      </c>
      <c r="L224" s="8" t="s">
        <v>32</v>
      </c>
      <c r="M224" s="8"/>
      <c r="N224" s="8" t="b">
        <v>0</v>
      </c>
      <c r="O224" s="10" t="s">
        <v>257</v>
      </c>
      <c r="P224" s="8" t="s">
        <v>258</v>
      </c>
      <c r="Q224" s="8">
        <v>294648</v>
      </c>
      <c r="R224" s="9">
        <v>45217</v>
      </c>
      <c r="S224" s="8" t="s">
        <v>259</v>
      </c>
      <c r="T224" s="8" t="s">
        <v>149</v>
      </c>
      <c r="U224" s="8" t="s">
        <v>260</v>
      </c>
      <c r="V224" s="8" t="s">
        <v>261</v>
      </c>
      <c r="W224" s="8">
        <v>0</v>
      </c>
    </row>
    <row r="225" spans="1:23" x14ac:dyDescent="0.25">
      <c r="A225" s="4">
        <v>1</v>
      </c>
      <c r="B225" s="4"/>
      <c r="C225" s="4">
        <v>880971</v>
      </c>
      <c r="D225" s="4">
        <v>5145.66</v>
      </c>
      <c r="E225" s="5">
        <f t="shared" si="3"/>
        <v>0.34000000000014552</v>
      </c>
      <c r="F225" s="15">
        <v>45287</v>
      </c>
      <c r="G225" s="10">
        <v>329379775</v>
      </c>
      <c r="H225" s="9">
        <v>45223</v>
      </c>
      <c r="I225" s="9">
        <v>45238</v>
      </c>
      <c r="J225" s="8">
        <v>5146</v>
      </c>
      <c r="K225" s="8" t="s">
        <v>31</v>
      </c>
      <c r="L225" s="8" t="s">
        <v>32</v>
      </c>
      <c r="M225" s="8"/>
      <c r="N225" s="8" t="b">
        <v>1</v>
      </c>
      <c r="O225" s="10">
        <v>702165</v>
      </c>
      <c r="P225" s="8" t="s">
        <v>262</v>
      </c>
      <c r="Q225" s="8">
        <v>369785</v>
      </c>
      <c r="R225" s="9">
        <v>45223</v>
      </c>
      <c r="S225" s="8" t="s">
        <v>34</v>
      </c>
      <c r="T225" s="8" t="s">
        <v>44</v>
      </c>
      <c r="U225" s="8" t="s">
        <v>58</v>
      </c>
      <c r="V225" s="8" t="s">
        <v>46</v>
      </c>
      <c r="W225" s="8">
        <v>0</v>
      </c>
    </row>
    <row r="226" spans="1:23" x14ac:dyDescent="0.25">
      <c r="A226" s="4">
        <v>1</v>
      </c>
      <c r="B226" s="4"/>
      <c r="C226" s="4">
        <v>880975</v>
      </c>
      <c r="D226" s="4">
        <v>5145.66</v>
      </c>
      <c r="E226" s="5">
        <f t="shared" si="3"/>
        <v>0.34000000000014552</v>
      </c>
      <c r="F226" s="15">
        <v>45287</v>
      </c>
      <c r="G226" s="10">
        <v>329387965</v>
      </c>
      <c r="H226" s="9">
        <v>45223</v>
      </c>
      <c r="I226" s="9">
        <v>45238</v>
      </c>
      <c r="J226" s="8">
        <v>5146</v>
      </c>
      <c r="K226" s="8" t="s">
        <v>31</v>
      </c>
      <c r="L226" s="8" t="s">
        <v>32</v>
      </c>
      <c r="M226" s="8"/>
      <c r="N226" s="8" t="b">
        <v>1</v>
      </c>
      <c r="O226" s="10">
        <v>702167</v>
      </c>
      <c r="P226" s="8" t="s">
        <v>263</v>
      </c>
      <c r="Q226" s="8">
        <v>378079</v>
      </c>
      <c r="R226" s="9">
        <v>45223</v>
      </c>
      <c r="S226" s="8" t="s">
        <v>34</v>
      </c>
      <c r="T226" s="8" t="s">
        <v>44</v>
      </c>
      <c r="U226" s="8" t="s">
        <v>58</v>
      </c>
      <c r="V226" s="8" t="s">
        <v>46</v>
      </c>
      <c r="W226" s="8">
        <v>0</v>
      </c>
    </row>
    <row r="227" spans="1:23" x14ac:dyDescent="0.25">
      <c r="A227" s="4">
        <v>1</v>
      </c>
      <c r="B227" s="4"/>
      <c r="C227" s="4">
        <v>880803</v>
      </c>
      <c r="D227" s="4">
        <v>18875.580000000002</v>
      </c>
      <c r="E227" s="5">
        <f t="shared" si="3"/>
        <v>0.41999999999825377</v>
      </c>
      <c r="F227" s="15">
        <v>45230</v>
      </c>
      <c r="G227" s="10">
        <v>329404647</v>
      </c>
      <c r="H227" s="9">
        <v>45224</v>
      </c>
      <c r="I227" s="9">
        <v>45239</v>
      </c>
      <c r="J227" s="8">
        <v>18876</v>
      </c>
      <c r="K227" s="8" t="s">
        <v>31</v>
      </c>
      <c r="L227" s="8" t="s">
        <v>32</v>
      </c>
      <c r="M227" s="8"/>
      <c r="N227" s="8" t="b">
        <v>0</v>
      </c>
      <c r="O227" s="10"/>
      <c r="P227" s="8" t="s">
        <v>73</v>
      </c>
      <c r="Q227" s="8">
        <v>390037</v>
      </c>
      <c r="R227" s="9">
        <v>45224</v>
      </c>
      <c r="S227" s="8" t="s">
        <v>48</v>
      </c>
      <c r="T227" s="8" t="s">
        <v>49</v>
      </c>
      <c r="U227" s="8" t="s">
        <v>50</v>
      </c>
      <c r="V227" s="8" t="s">
        <v>37</v>
      </c>
      <c r="W227" s="8">
        <v>0</v>
      </c>
    </row>
    <row r="228" spans="1:23" x14ac:dyDescent="0.25">
      <c r="A228" s="4">
        <v>1</v>
      </c>
      <c r="B228" s="4"/>
      <c r="C228" s="4">
        <v>880798</v>
      </c>
      <c r="D228" s="4">
        <v>6374.58</v>
      </c>
      <c r="E228" s="5">
        <f t="shared" si="3"/>
        <v>0.42000000000007276</v>
      </c>
      <c r="F228" s="15">
        <v>45230</v>
      </c>
      <c r="G228" s="10">
        <v>329414368</v>
      </c>
      <c r="H228" s="9">
        <v>45224</v>
      </c>
      <c r="I228" s="9">
        <v>45239</v>
      </c>
      <c r="J228" s="8">
        <v>6375</v>
      </c>
      <c r="K228" s="8" t="s">
        <v>31</v>
      </c>
      <c r="L228" s="8" t="s">
        <v>32</v>
      </c>
      <c r="M228" s="8"/>
      <c r="N228" s="8" t="b">
        <v>0</v>
      </c>
      <c r="O228" s="10">
        <v>703289</v>
      </c>
      <c r="P228" s="8" t="s">
        <v>55</v>
      </c>
      <c r="Q228" s="8">
        <v>398935</v>
      </c>
      <c r="R228" s="9">
        <v>45224</v>
      </c>
      <c r="S228" s="8" t="s">
        <v>48</v>
      </c>
      <c r="T228" s="8" t="s">
        <v>40</v>
      </c>
      <c r="U228" s="8" t="s">
        <v>50</v>
      </c>
      <c r="V228" s="8" t="s">
        <v>37</v>
      </c>
      <c r="W228" s="8">
        <v>0</v>
      </c>
    </row>
    <row r="229" spans="1:23" x14ac:dyDescent="0.25">
      <c r="A229" s="4">
        <v>1</v>
      </c>
      <c r="B229" s="4"/>
      <c r="C229" s="4">
        <v>880797</v>
      </c>
      <c r="D229" s="4">
        <v>5145.66</v>
      </c>
      <c r="E229" s="5">
        <f t="shared" si="3"/>
        <v>0.34000000000014552</v>
      </c>
      <c r="F229" s="15">
        <v>45230</v>
      </c>
      <c r="G229" s="10">
        <v>329414396</v>
      </c>
      <c r="H229" s="9">
        <v>45224</v>
      </c>
      <c r="I229" s="9">
        <v>45239</v>
      </c>
      <c r="J229" s="8">
        <v>5146</v>
      </c>
      <c r="K229" s="8" t="s">
        <v>31</v>
      </c>
      <c r="L229" s="8" t="s">
        <v>32</v>
      </c>
      <c r="M229" s="8"/>
      <c r="N229" s="8" t="b">
        <v>0</v>
      </c>
      <c r="O229" s="10">
        <v>702166</v>
      </c>
      <c r="P229" s="8" t="s">
        <v>264</v>
      </c>
      <c r="Q229" s="8">
        <v>398822</v>
      </c>
      <c r="R229" s="9">
        <v>45224</v>
      </c>
      <c r="S229" s="8" t="s">
        <v>34</v>
      </c>
      <c r="T229" s="8" t="s">
        <v>44</v>
      </c>
      <c r="U229" s="8" t="s">
        <v>58</v>
      </c>
      <c r="V229" s="8" t="s">
        <v>46</v>
      </c>
      <c r="W229" s="8">
        <v>0</v>
      </c>
    </row>
    <row r="230" spans="1:23" x14ac:dyDescent="0.25">
      <c r="A230" s="4">
        <v>1</v>
      </c>
      <c r="B230" s="4"/>
      <c r="C230" s="4">
        <v>880796</v>
      </c>
      <c r="D230" s="4">
        <v>5175.1000000000004</v>
      </c>
      <c r="E230" s="5">
        <f t="shared" si="3"/>
        <v>-0.1000000000003638</v>
      </c>
      <c r="F230" s="15">
        <v>45230</v>
      </c>
      <c r="G230" s="10">
        <v>329414404</v>
      </c>
      <c r="H230" s="9">
        <v>45224</v>
      </c>
      <c r="I230" s="9">
        <v>45239</v>
      </c>
      <c r="J230" s="8">
        <v>5175</v>
      </c>
      <c r="K230" s="8" t="s">
        <v>31</v>
      </c>
      <c r="L230" s="8" t="s">
        <v>32</v>
      </c>
      <c r="M230" s="8"/>
      <c r="N230" s="8" t="b">
        <v>0</v>
      </c>
      <c r="O230" s="10">
        <v>703287</v>
      </c>
      <c r="P230" s="8" t="s">
        <v>52</v>
      </c>
      <c r="Q230" s="8">
        <v>398912</v>
      </c>
      <c r="R230" s="9">
        <v>45224</v>
      </c>
      <c r="S230" s="8" t="s">
        <v>48</v>
      </c>
      <c r="T230" s="8" t="s">
        <v>40</v>
      </c>
      <c r="U230" s="8" t="s">
        <v>45</v>
      </c>
      <c r="V230" s="8" t="s">
        <v>46</v>
      </c>
      <c r="W230" s="8">
        <v>0</v>
      </c>
    </row>
    <row r="231" spans="1:23" x14ac:dyDescent="0.25">
      <c r="A231" s="4">
        <v>1</v>
      </c>
      <c r="B231" s="4"/>
      <c r="C231" s="4">
        <v>880744</v>
      </c>
      <c r="D231" s="4">
        <v>5038</v>
      </c>
      <c r="E231" s="5">
        <f t="shared" si="3"/>
        <v>0</v>
      </c>
      <c r="F231" s="15">
        <v>45230</v>
      </c>
      <c r="G231" s="10">
        <v>329414437</v>
      </c>
      <c r="H231" s="9">
        <v>45224</v>
      </c>
      <c r="I231" s="9">
        <v>45239</v>
      </c>
      <c r="J231" s="8">
        <v>5038</v>
      </c>
      <c r="K231" s="8" t="s">
        <v>31</v>
      </c>
      <c r="L231" s="8" t="s">
        <v>32</v>
      </c>
      <c r="M231" s="8"/>
      <c r="N231" s="8" t="b">
        <v>0</v>
      </c>
      <c r="O231" s="10">
        <v>20980</v>
      </c>
      <c r="P231" s="8" t="s">
        <v>265</v>
      </c>
      <c r="Q231" s="8">
        <v>398869</v>
      </c>
      <c r="R231" s="9">
        <v>45224</v>
      </c>
      <c r="S231" s="8" t="s">
        <v>34</v>
      </c>
      <c r="T231" s="8" t="s">
        <v>40</v>
      </c>
      <c r="U231" s="8" t="s">
        <v>84</v>
      </c>
      <c r="V231" s="8" t="s">
        <v>46</v>
      </c>
      <c r="W231" s="8">
        <v>0</v>
      </c>
    </row>
    <row r="232" spans="1:23" x14ac:dyDescent="0.25">
      <c r="A232" s="4">
        <v>1</v>
      </c>
      <c r="B232" s="4"/>
      <c r="C232" s="4">
        <v>880795</v>
      </c>
      <c r="D232" s="4">
        <v>5173.26</v>
      </c>
      <c r="E232" s="5">
        <f t="shared" si="3"/>
        <v>-0.26000000000021828</v>
      </c>
      <c r="F232" s="15">
        <v>45230</v>
      </c>
      <c r="G232" s="10">
        <v>329414454</v>
      </c>
      <c r="H232" s="9">
        <v>45224</v>
      </c>
      <c r="I232" s="9">
        <v>45239</v>
      </c>
      <c r="J232" s="8">
        <v>5173</v>
      </c>
      <c r="K232" s="8" t="s">
        <v>31</v>
      </c>
      <c r="L232" s="8" t="s">
        <v>32</v>
      </c>
      <c r="M232" s="8"/>
      <c r="N232" s="8" t="b">
        <v>0</v>
      </c>
      <c r="O232" s="10">
        <v>703285</v>
      </c>
      <c r="P232" s="8" t="s">
        <v>80</v>
      </c>
      <c r="Q232" s="8">
        <v>398888</v>
      </c>
      <c r="R232" s="9">
        <v>45224</v>
      </c>
      <c r="S232" s="8" t="s">
        <v>34</v>
      </c>
      <c r="T232" s="8" t="s">
        <v>40</v>
      </c>
      <c r="U232" s="8" t="s">
        <v>58</v>
      </c>
      <c r="V232" s="8" t="s">
        <v>46</v>
      </c>
      <c r="W232" s="8">
        <v>0</v>
      </c>
    </row>
    <row r="233" spans="1:23" x14ac:dyDescent="0.25">
      <c r="A233" s="4">
        <v>1</v>
      </c>
      <c r="B233" s="4"/>
      <c r="C233" s="4">
        <v>880794</v>
      </c>
      <c r="D233" s="4">
        <v>6374.58</v>
      </c>
      <c r="E233" s="5">
        <f t="shared" si="3"/>
        <v>0.42000000000007276</v>
      </c>
      <c r="F233" s="15">
        <v>45230</v>
      </c>
      <c r="G233" s="10">
        <v>329414456</v>
      </c>
      <c r="H233" s="9">
        <v>45224</v>
      </c>
      <c r="I233" s="9">
        <v>45239</v>
      </c>
      <c r="J233" s="8">
        <v>6375</v>
      </c>
      <c r="K233" s="8" t="s">
        <v>31</v>
      </c>
      <c r="L233" s="8" t="s">
        <v>32</v>
      </c>
      <c r="M233" s="8"/>
      <c r="N233" s="8" t="b">
        <v>0</v>
      </c>
      <c r="O233" s="10">
        <v>703290</v>
      </c>
      <c r="P233" s="8" t="s">
        <v>214</v>
      </c>
      <c r="Q233" s="8">
        <v>398951</v>
      </c>
      <c r="R233" s="9">
        <v>45224</v>
      </c>
      <c r="S233" s="8" t="s">
        <v>48</v>
      </c>
      <c r="T233" s="8" t="s">
        <v>40</v>
      </c>
      <c r="U233" s="8" t="s">
        <v>50</v>
      </c>
      <c r="V233" s="8" t="s">
        <v>37</v>
      </c>
      <c r="W233" s="8">
        <v>0</v>
      </c>
    </row>
    <row r="234" spans="1:23" x14ac:dyDescent="0.25">
      <c r="A234" s="4">
        <v>1</v>
      </c>
      <c r="B234" s="4"/>
      <c r="C234" s="4">
        <v>880793</v>
      </c>
      <c r="D234" s="4">
        <v>5175.1000000000004</v>
      </c>
      <c r="E234" s="5">
        <f t="shared" si="3"/>
        <v>-0.1000000000003638</v>
      </c>
      <c r="F234" s="15">
        <v>45230</v>
      </c>
      <c r="G234" s="10">
        <v>329414469</v>
      </c>
      <c r="H234" s="9">
        <v>45224</v>
      </c>
      <c r="I234" s="9">
        <v>45239</v>
      </c>
      <c r="J234" s="8">
        <v>5175</v>
      </c>
      <c r="K234" s="8" t="s">
        <v>31</v>
      </c>
      <c r="L234" s="8" t="s">
        <v>32</v>
      </c>
      <c r="M234" s="8"/>
      <c r="N234" s="8" t="b">
        <v>0</v>
      </c>
      <c r="O234" s="10">
        <v>703288</v>
      </c>
      <c r="P234" s="8" t="s">
        <v>91</v>
      </c>
      <c r="Q234" s="8">
        <v>398927</v>
      </c>
      <c r="R234" s="9">
        <v>45224</v>
      </c>
      <c r="S234" s="8" t="s">
        <v>48</v>
      </c>
      <c r="T234" s="8" t="s">
        <v>40</v>
      </c>
      <c r="U234" s="8" t="s">
        <v>45</v>
      </c>
      <c r="V234" s="8" t="s">
        <v>46</v>
      </c>
      <c r="W234" s="8">
        <v>0</v>
      </c>
    </row>
    <row r="235" spans="1:23" x14ac:dyDescent="0.25">
      <c r="A235" s="4">
        <v>1</v>
      </c>
      <c r="B235" s="4"/>
      <c r="C235" s="4">
        <v>880469</v>
      </c>
      <c r="D235" s="4">
        <v>9263.8799999999992</v>
      </c>
      <c r="E235" s="5">
        <f t="shared" si="3"/>
        <v>0.12000000000080036</v>
      </c>
      <c r="F235" s="15">
        <v>45230</v>
      </c>
      <c r="G235" s="10">
        <v>329414473</v>
      </c>
      <c r="H235" s="9">
        <v>45224</v>
      </c>
      <c r="I235" s="9">
        <v>45239</v>
      </c>
      <c r="J235" s="8">
        <v>9264</v>
      </c>
      <c r="K235" s="8" t="s">
        <v>31</v>
      </c>
      <c r="L235" s="8" t="s">
        <v>32</v>
      </c>
      <c r="M235" s="8"/>
      <c r="N235" s="8" t="b">
        <v>0</v>
      </c>
      <c r="O235" s="10">
        <v>700591</v>
      </c>
      <c r="P235" s="8" t="s">
        <v>266</v>
      </c>
      <c r="Q235" s="8">
        <v>398879</v>
      </c>
      <c r="R235" s="9">
        <v>45224</v>
      </c>
      <c r="S235" s="8" t="s">
        <v>130</v>
      </c>
      <c r="T235" s="8" t="s">
        <v>40</v>
      </c>
      <c r="U235" s="8" t="s">
        <v>131</v>
      </c>
      <c r="V235" s="8" t="s">
        <v>132</v>
      </c>
      <c r="W235" s="8">
        <v>0</v>
      </c>
    </row>
    <row r="236" spans="1:23" x14ac:dyDescent="0.25">
      <c r="A236" s="4">
        <v>1</v>
      </c>
      <c r="B236" s="4"/>
      <c r="C236" s="4">
        <v>880792</v>
      </c>
      <c r="D236" s="4">
        <v>5173.26</v>
      </c>
      <c r="E236" s="5">
        <f t="shared" si="3"/>
        <v>-0.26000000000021828</v>
      </c>
      <c r="F236" s="15">
        <v>45230</v>
      </c>
      <c r="G236" s="10">
        <v>329414491</v>
      </c>
      <c r="H236" s="9">
        <v>45224</v>
      </c>
      <c r="I236" s="9">
        <v>45239</v>
      </c>
      <c r="J236" s="8">
        <v>5173</v>
      </c>
      <c r="K236" s="8" t="s">
        <v>31</v>
      </c>
      <c r="L236" s="8" t="s">
        <v>32</v>
      </c>
      <c r="M236" s="8"/>
      <c r="N236" s="8" t="b">
        <v>0</v>
      </c>
      <c r="O236" s="10">
        <v>703286</v>
      </c>
      <c r="P236" s="8" t="s">
        <v>83</v>
      </c>
      <c r="Q236" s="8">
        <v>398899</v>
      </c>
      <c r="R236" s="9">
        <v>45224</v>
      </c>
      <c r="S236" s="8" t="s">
        <v>34</v>
      </c>
      <c r="T236" s="8" t="s">
        <v>40</v>
      </c>
      <c r="U236" s="8" t="s">
        <v>58</v>
      </c>
      <c r="V236" s="8" t="s">
        <v>46</v>
      </c>
      <c r="W236" s="8">
        <v>0</v>
      </c>
    </row>
    <row r="237" spans="1:23" x14ac:dyDescent="0.25">
      <c r="A237" s="4">
        <v>1</v>
      </c>
      <c r="B237" s="4"/>
      <c r="C237" s="4">
        <v>880791</v>
      </c>
      <c r="D237" s="4">
        <v>5145.66</v>
      </c>
      <c r="E237" s="5">
        <f t="shared" si="3"/>
        <v>0.34000000000014552</v>
      </c>
      <c r="F237" s="15">
        <v>45230</v>
      </c>
      <c r="G237" s="10">
        <v>329414662</v>
      </c>
      <c r="H237" s="9">
        <v>45224</v>
      </c>
      <c r="I237" s="9">
        <v>45239</v>
      </c>
      <c r="J237" s="8">
        <v>5146</v>
      </c>
      <c r="K237" s="8" t="s">
        <v>31</v>
      </c>
      <c r="L237" s="8" t="s">
        <v>32</v>
      </c>
      <c r="M237" s="8"/>
      <c r="N237" s="8" t="b">
        <v>0</v>
      </c>
      <c r="O237" s="10">
        <v>702172</v>
      </c>
      <c r="P237" s="8" t="s">
        <v>267</v>
      </c>
      <c r="Q237" s="8">
        <v>399072</v>
      </c>
      <c r="R237" s="9">
        <v>45224</v>
      </c>
      <c r="S237" s="8" t="s">
        <v>34</v>
      </c>
      <c r="T237" s="8" t="s">
        <v>44</v>
      </c>
      <c r="U237" s="8" t="s">
        <v>58</v>
      </c>
      <c r="V237" s="8" t="s">
        <v>46</v>
      </c>
      <c r="W237" s="8">
        <v>0</v>
      </c>
    </row>
    <row r="238" spans="1:23" x14ac:dyDescent="0.25">
      <c r="A238" s="4">
        <v>1</v>
      </c>
      <c r="B238" s="4"/>
      <c r="C238" s="4">
        <v>880805</v>
      </c>
      <c r="D238" s="4">
        <v>83098.399999999994</v>
      </c>
      <c r="E238" s="5">
        <f t="shared" si="3"/>
        <v>7.6000000000058208</v>
      </c>
      <c r="F238" s="15">
        <v>45230</v>
      </c>
      <c r="G238" s="10">
        <v>329423869</v>
      </c>
      <c r="H238" s="9">
        <v>45225</v>
      </c>
      <c r="I238" s="9">
        <v>45240</v>
      </c>
      <c r="J238" s="8">
        <v>83106</v>
      </c>
      <c r="K238" s="8" t="s">
        <v>31</v>
      </c>
      <c r="L238" s="8" t="s">
        <v>32</v>
      </c>
      <c r="M238" s="8"/>
      <c r="N238" s="8" t="b">
        <v>0</v>
      </c>
      <c r="O238" s="10"/>
      <c r="P238" s="8" t="s">
        <v>155</v>
      </c>
      <c r="Q238" s="8">
        <v>392359</v>
      </c>
      <c r="R238" s="9">
        <v>45224</v>
      </c>
      <c r="S238" s="8" t="s">
        <v>34</v>
      </c>
      <c r="T238" s="8" t="s">
        <v>49</v>
      </c>
      <c r="U238" s="8" t="s">
        <v>75</v>
      </c>
      <c r="V238" s="8" t="s">
        <v>46</v>
      </c>
      <c r="W238" s="8">
        <v>0</v>
      </c>
    </row>
    <row r="239" spans="1:23" x14ac:dyDescent="0.25">
      <c r="A239" s="4">
        <v>1</v>
      </c>
      <c r="B239" s="4"/>
      <c r="C239" s="4">
        <v>880804</v>
      </c>
      <c r="D239" s="4">
        <v>19487.759999999998</v>
      </c>
      <c r="E239" s="5">
        <f t="shared" si="3"/>
        <v>0.24000000000160071</v>
      </c>
      <c r="F239" s="15">
        <v>45230</v>
      </c>
      <c r="G239" s="10">
        <v>329435684</v>
      </c>
      <c r="H239" s="9">
        <v>45225</v>
      </c>
      <c r="I239" s="9">
        <v>45240</v>
      </c>
      <c r="J239" s="8">
        <v>19488</v>
      </c>
      <c r="K239" s="8" t="s">
        <v>31</v>
      </c>
      <c r="L239" s="8" t="s">
        <v>32</v>
      </c>
      <c r="M239" s="8"/>
      <c r="N239" s="8" t="b">
        <v>0</v>
      </c>
      <c r="O239" s="10"/>
      <c r="P239" s="8" t="s">
        <v>220</v>
      </c>
      <c r="Q239" s="8">
        <v>416145</v>
      </c>
      <c r="R239" s="9">
        <v>45225</v>
      </c>
      <c r="S239" s="8" t="s">
        <v>70</v>
      </c>
      <c r="T239" s="8" t="s">
        <v>49</v>
      </c>
      <c r="U239" s="8" t="s">
        <v>71</v>
      </c>
      <c r="V239" s="8" t="s">
        <v>72</v>
      </c>
      <c r="W239" s="8">
        <v>0</v>
      </c>
    </row>
    <row r="240" spans="1:23" x14ac:dyDescent="0.25">
      <c r="A240" s="4">
        <v>1</v>
      </c>
      <c r="B240" s="4"/>
      <c r="C240" s="4">
        <v>880802</v>
      </c>
      <c r="D240" s="4">
        <v>5173.26</v>
      </c>
      <c r="E240" s="5">
        <f t="shared" si="3"/>
        <v>-0.26000000000021828</v>
      </c>
      <c r="F240" s="15">
        <v>45230</v>
      </c>
      <c r="G240" s="10">
        <v>329452786</v>
      </c>
      <c r="H240" s="9">
        <v>45226</v>
      </c>
      <c r="I240" s="9">
        <v>45241</v>
      </c>
      <c r="J240" s="8">
        <v>5173</v>
      </c>
      <c r="K240" s="8" t="s">
        <v>31</v>
      </c>
      <c r="L240" s="8" t="s">
        <v>32</v>
      </c>
      <c r="M240" s="8"/>
      <c r="N240" s="8" t="b">
        <v>0</v>
      </c>
      <c r="O240" s="10">
        <v>704174</v>
      </c>
      <c r="P240" s="8" t="s">
        <v>99</v>
      </c>
      <c r="Q240" s="8">
        <v>429913</v>
      </c>
      <c r="R240" s="9">
        <v>45226</v>
      </c>
      <c r="S240" s="8" t="s">
        <v>34</v>
      </c>
      <c r="T240" s="8" t="s">
        <v>40</v>
      </c>
      <c r="U240" s="8" t="s">
        <v>58</v>
      </c>
      <c r="V240" s="8" t="s">
        <v>46</v>
      </c>
      <c r="W240" s="8">
        <v>0</v>
      </c>
    </row>
    <row r="241" spans="1:23" x14ac:dyDescent="0.25">
      <c r="A241" s="4">
        <v>1</v>
      </c>
      <c r="B241" s="4"/>
      <c r="C241" s="4">
        <v>880801</v>
      </c>
      <c r="D241" s="4">
        <v>5173.26</v>
      </c>
      <c r="E241" s="5">
        <f t="shared" si="3"/>
        <v>-0.26000000000021828</v>
      </c>
      <c r="F241" s="15">
        <v>45230</v>
      </c>
      <c r="G241" s="10">
        <v>329452792</v>
      </c>
      <c r="H241" s="9">
        <v>45226</v>
      </c>
      <c r="I241" s="9">
        <v>45241</v>
      </c>
      <c r="J241" s="8">
        <v>5173</v>
      </c>
      <c r="K241" s="8" t="s">
        <v>31</v>
      </c>
      <c r="L241" s="8" t="s">
        <v>32</v>
      </c>
      <c r="M241" s="8"/>
      <c r="N241" s="8" t="b">
        <v>0</v>
      </c>
      <c r="O241" s="10">
        <v>880800</v>
      </c>
      <c r="P241" s="8" t="s">
        <v>96</v>
      </c>
      <c r="Q241" s="8">
        <v>429926</v>
      </c>
      <c r="R241" s="9">
        <v>45226</v>
      </c>
      <c r="S241" s="8" t="s">
        <v>34</v>
      </c>
      <c r="T241" s="8" t="s">
        <v>40</v>
      </c>
      <c r="U241" s="8" t="s">
        <v>58</v>
      </c>
      <c r="V241" s="8" t="s">
        <v>46</v>
      </c>
      <c r="W241" s="8">
        <v>0</v>
      </c>
    </row>
    <row r="242" spans="1:23" x14ac:dyDescent="0.25">
      <c r="A242" s="4">
        <v>1</v>
      </c>
      <c r="B242" s="4"/>
      <c r="C242" s="4">
        <v>880800</v>
      </c>
      <c r="D242" s="4">
        <v>5173.26</v>
      </c>
      <c r="E242" s="5">
        <f t="shared" si="3"/>
        <v>-0.26000000000021828</v>
      </c>
      <c r="F242" s="15">
        <v>45230</v>
      </c>
      <c r="G242" s="10">
        <v>329453099</v>
      </c>
      <c r="H242" s="9">
        <v>45226</v>
      </c>
      <c r="I242" s="9">
        <v>45241</v>
      </c>
      <c r="J242" s="8">
        <v>5173</v>
      </c>
      <c r="K242" s="8" t="s">
        <v>31</v>
      </c>
      <c r="L242" s="8" t="s">
        <v>32</v>
      </c>
      <c r="M242" s="8"/>
      <c r="N242" s="8" t="b">
        <v>0</v>
      </c>
      <c r="O242" s="10">
        <v>704176</v>
      </c>
      <c r="P242" s="8" t="s">
        <v>93</v>
      </c>
      <c r="Q242" s="8">
        <v>429952</v>
      </c>
      <c r="R242" s="9">
        <v>45226</v>
      </c>
      <c r="S242" s="8" t="s">
        <v>34</v>
      </c>
      <c r="T242" s="8" t="s">
        <v>40</v>
      </c>
      <c r="U242" s="8" t="s">
        <v>58</v>
      </c>
      <c r="V242" s="8" t="s">
        <v>46</v>
      </c>
      <c r="W242" s="8">
        <v>0</v>
      </c>
    </row>
    <row r="243" spans="1:23" x14ac:dyDescent="0.25">
      <c r="A243" s="4">
        <v>1</v>
      </c>
      <c r="B243" s="4"/>
      <c r="C243" s="4">
        <v>880799</v>
      </c>
      <c r="D243" s="4">
        <v>5173.26</v>
      </c>
      <c r="E243" s="5">
        <f t="shared" si="3"/>
        <v>-0.26000000000021828</v>
      </c>
      <c r="F243" s="15">
        <v>45230</v>
      </c>
      <c r="G243" s="10">
        <v>329453112</v>
      </c>
      <c r="H243" s="9">
        <v>45226</v>
      </c>
      <c r="I243" s="9">
        <v>45241</v>
      </c>
      <c r="J243" s="8">
        <v>5173</v>
      </c>
      <c r="K243" s="8" t="s">
        <v>31</v>
      </c>
      <c r="L243" s="8" t="s">
        <v>32</v>
      </c>
      <c r="M243" s="8"/>
      <c r="N243" s="8" t="b">
        <v>0</v>
      </c>
      <c r="O243" s="10">
        <v>704177</v>
      </c>
      <c r="P243" s="8" t="s">
        <v>94</v>
      </c>
      <c r="Q243" s="8">
        <v>429957</v>
      </c>
      <c r="R243" s="9">
        <v>45226</v>
      </c>
      <c r="S243" s="8" t="s">
        <v>34</v>
      </c>
      <c r="T243" s="8" t="s">
        <v>40</v>
      </c>
      <c r="U243" s="8" t="s">
        <v>58</v>
      </c>
      <c r="V243" s="8" t="s">
        <v>46</v>
      </c>
      <c r="W243" s="8">
        <v>0</v>
      </c>
    </row>
    <row r="244" spans="1:23" x14ac:dyDescent="0.25">
      <c r="A244" s="4">
        <v>1</v>
      </c>
      <c r="B244" s="4"/>
      <c r="C244" s="4">
        <v>880806</v>
      </c>
      <c r="D244" s="4">
        <v>39362.400000000001</v>
      </c>
      <c r="E244" s="5">
        <f t="shared" si="3"/>
        <v>3.5999999999985448</v>
      </c>
      <c r="F244" s="15">
        <v>45230</v>
      </c>
      <c r="G244" s="10">
        <v>329455350</v>
      </c>
      <c r="H244" s="9">
        <v>45226</v>
      </c>
      <c r="I244" s="9">
        <v>45241</v>
      </c>
      <c r="J244" s="8">
        <v>39366</v>
      </c>
      <c r="K244" s="8" t="s">
        <v>31</v>
      </c>
      <c r="L244" s="8" t="s">
        <v>32</v>
      </c>
      <c r="M244" s="8"/>
      <c r="N244" s="8" t="b">
        <v>0</v>
      </c>
      <c r="O244" s="10"/>
      <c r="P244" s="8" t="s">
        <v>268</v>
      </c>
      <c r="Q244" s="8">
        <v>416184</v>
      </c>
      <c r="R244" s="9">
        <v>45225</v>
      </c>
      <c r="S244" s="8" t="s">
        <v>34</v>
      </c>
      <c r="T244" s="8" t="s">
        <v>49</v>
      </c>
      <c r="U244" s="8" t="s">
        <v>75</v>
      </c>
      <c r="V244" s="8" t="s">
        <v>46</v>
      </c>
      <c r="W244" s="8">
        <v>0</v>
      </c>
    </row>
    <row r="245" spans="1:23" x14ac:dyDescent="0.25">
      <c r="A245" s="4">
        <v>1</v>
      </c>
      <c r="B245" s="4"/>
      <c r="C245" s="4">
        <v>881024</v>
      </c>
      <c r="D245" s="4">
        <v>5173.26</v>
      </c>
      <c r="E245" s="5">
        <f t="shared" si="3"/>
        <v>-0.26000000000021828</v>
      </c>
      <c r="F245" s="15">
        <v>45230</v>
      </c>
      <c r="G245" s="10">
        <v>329472537</v>
      </c>
      <c r="H245" s="9">
        <v>45229</v>
      </c>
      <c r="I245" s="9">
        <v>45244</v>
      </c>
      <c r="J245" s="8">
        <v>5173</v>
      </c>
      <c r="K245" s="8" t="s">
        <v>31</v>
      </c>
      <c r="L245" s="8" t="s">
        <v>32</v>
      </c>
      <c r="M245" s="8"/>
      <c r="N245" s="8" t="b">
        <v>0</v>
      </c>
      <c r="O245" s="10">
        <v>704180</v>
      </c>
      <c r="P245" s="8" t="s">
        <v>95</v>
      </c>
      <c r="Q245" s="8">
        <v>441316</v>
      </c>
      <c r="R245" s="9">
        <v>45227</v>
      </c>
      <c r="S245" s="8" t="s">
        <v>34</v>
      </c>
      <c r="T245" s="8" t="s">
        <v>40</v>
      </c>
      <c r="U245" s="8" t="s">
        <v>58</v>
      </c>
      <c r="V245" s="8" t="s">
        <v>46</v>
      </c>
      <c r="W245" s="8">
        <v>0</v>
      </c>
    </row>
    <row r="246" spans="1:23" x14ac:dyDescent="0.25">
      <c r="A246" s="4">
        <v>1</v>
      </c>
      <c r="B246" s="4"/>
      <c r="C246" s="4">
        <v>881035</v>
      </c>
      <c r="D246" s="4">
        <v>5173.26</v>
      </c>
      <c r="E246" s="5">
        <f t="shared" si="3"/>
        <v>-0.26000000000021828</v>
      </c>
      <c r="F246" s="15">
        <v>45230</v>
      </c>
      <c r="G246" s="10">
        <v>329472538</v>
      </c>
      <c r="H246" s="9">
        <v>45229</v>
      </c>
      <c r="I246" s="9">
        <v>45244</v>
      </c>
      <c r="J246" s="8">
        <v>5173</v>
      </c>
      <c r="K246" s="8" t="s">
        <v>31</v>
      </c>
      <c r="L246" s="8" t="s">
        <v>32</v>
      </c>
      <c r="M246" s="8"/>
      <c r="N246" s="8" t="b">
        <v>0</v>
      </c>
      <c r="O246" s="10">
        <v>704272</v>
      </c>
      <c r="P246" s="8" t="s">
        <v>103</v>
      </c>
      <c r="Q246" s="8">
        <v>441338</v>
      </c>
      <c r="R246" s="9">
        <v>45227</v>
      </c>
      <c r="S246" s="8" t="s">
        <v>34</v>
      </c>
      <c r="T246" s="8" t="s">
        <v>40</v>
      </c>
      <c r="U246" s="8" t="s">
        <v>58</v>
      </c>
      <c r="V246" s="8" t="s">
        <v>46</v>
      </c>
      <c r="W246" s="8">
        <v>0</v>
      </c>
    </row>
    <row r="247" spans="1:23" x14ac:dyDescent="0.25">
      <c r="A247" s="4">
        <v>1</v>
      </c>
      <c r="B247" s="4"/>
      <c r="C247" s="4">
        <v>881029</v>
      </c>
      <c r="D247" s="4">
        <v>5173.26</v>
      </c>
      <c r="E247" s="5">
        <f t="shared" si="3"/>
        <v>-0.26000000000021828</v>
      </c>
      <c r="F247" s="15">
        <v>45230</v>
      </c>
      <c r="G247" s="10">
        <v>329472539</v>
      </c>
      <c r="H247" s="9">
        <v>45229</v>
      </c>
      <c r="I247" s="9">
        <v>45244</v>
      </c>
      <c r="J247" s="8">
        <v>5173</v>
      </c>
      <c r="K247" s="8" t="s">
        <v>31</v>
      </c>
      <c r="L247" s="8" t="s">
        <v>32</v>
      </c>
      <c r="M247" s="8"/>
      <c r="N247" s="8" t="b">
        <v>0</v>
      </c>
      <c r="O247" s="10">
        <v>704266</v>
      </c>
      <c r="P247" s="8" t="s">
        <v>269</v>
      </c>
      <c r="Q247" s="8">
        <v>441322</v>
      </c>
      <c r="R247" s="9">
        <v>45227</v>
      </c>
      <c r="S247" s="8" t="s">
        <v>34</v>
      </c>
      <c r="T247" s="8" t="s">
        <v>40</v>
      </c>
      <c r="U247" s="8" t="s">
        <v>58</v>
      </c>
      <c r="V247" s="8" t="s">
        <v>46</v>
      </c>
      <c r="W247" s="8">
        <v>0</v>
      </c>
    </row>
    <row r="248" spans="1:23" x14ac:dyDescent="0.25">
      <c r="A248" s="4">
        <v>1</v>
      </c>
      <c r="B248" s="4"/>
      <c r="C248" s="4">
        <v>881028</v>
      </c>
      <c r="D248" s="4">
        <v>5173.26</v>
      </c>
      <c r="E248" s="5">
        <f t="shared" si="3"/>
        <v>-0.26000000000021828</v>
      </c>
      <c r="F248" s="15">
        <v>45230</v>
      </c>
      <c r="G248" s="10">
        <v>329472540</v>
      </c>
      <c r="H248" s="9">
        <v>45229</v>
      </c>
      <c r="I248" s="9">
        <v>45244</v>
      </c>
      <c r="J248" s="8">
        <v>5173</v>
      </c>
      <c r="K248" s="8" t="s">
        <v>31</v>
      </c>
      <c r="L248" s="8" t="s">
        <v>32</v>
      </c>
      <c r="M248" s="8"/>
      <c r="N248" s="8" t="b">
        <v>0</v>
      </c>
      <c r="O248" s="10">
        <v>704183</v>
      </c>
      <c r="P248" s="8" t="s">
        <v>270</v>
      </c>
      <c r="Q248" s="8">
        <v>441321</v>
      </c>
      <c r="R248" s="9">
        <v>45227</v>
      </c>
      <c r="S248" s="8" t="s">
        <v>34</v>
      </c>
      <c r="T248" s="8" t="s">
        <v>40</v>
      </c>
      <c r="U248" s="8" t="s">
        <v>58</v>
      </c>
      <c r="V248" s="8" t="s">
        <v>46</v>
      </c>
      <c r="W248" s="8">
        <v>0</v>
      </c>
    </row>
    <row r="249" spans="1:23" x14ac:dyDescent="0.25">
      <c r="A249" s="4">
        <v>1</v>
      </c>
      <c r="B249" s="4"/>
      <c r="C249" s="4">
        <v>881026</v>
      </c>
      <c r="D249" s="4">
        <v>5173.26</v>
      </c>
      <c r="E249" s="5">
        <f t="shared" si="3"/>
        <v>-0.26000000000021828</v>
      </c>
      <c r="F249" s="15">
        <v>45230</v>
      </c>
      <c r="G249" s="10">
        <v>329472541</v>
      </c>
      <c r="H249" s="9">
        <v>45229</v>
      </c>
      <c r="I249" s="9">
        <v>45244</v>
      </c>
      <c r="J249" s="8">
        <v>5173</v>
      </c>
      <c r="K249" s="8" t="s">
        <v>31</v>
      </c>
      <c r="L249" s="8" t="s">
        <v>32</v>
      </c>
      <c r="M249" s="8"/>
      <c r="N249" s="8" t="b">
        <v>0</v>
      </c>
      <c r="O249" s="10">
        <v>704181</v>
      </c>
      <c r="P249" s="8" t="s">
        <v>271</v>
      </c>
      <c r="Q249" s="8">
        <v>441317</v>
      </c>
      <c r="R249" s="9">
        <v>45227</v>
      </c>
      <c r="S249" s="8" t="s">
        <v>34</v>
      </c>
      <c r="T249" s="8" t="s">
        <v>40</v>
      </c>
      <c r="U249" s="8" t="s">
        <v>58</v>
      </c>
      <c r="V249" s="8" t="s">
        <v>46</v>
      </c>
      <c r="W249" s="8">
        <v>0</v>
      </c>
    </row>
    <row r="250" spans="1:23" x14ac:dyDescent="0.25">
      <c r="A250" s="4">
        <v>1</v>
      </c>
      <c r="B250" s="4"/>
      <c r="C250" s="4">
        <v>881030</v>
      </c>
      <c r="D250" s="4">
        <v>5173.26</v>
      </c>
      <c r="E250" s="5">
        <f t="shared" si="3"/>
        <v>-0.26000000000021828</v>
      </c>
      <c r="F250" s="15">
        <v>45230</v>
      </c>
      <c r="G250" s="10">
        <v>329472543</v>
      </c>
      <c r="H250" s="9">
        <v>45229</v>
      </c>
      <c r="I250" s="9">
        <v>45244</v>
      </c>
      <c r="J250" s="8">
        <v>5173</v>
      </c>
      <c r="K250" s="8" t="s">
        <v>31</v>
      </c>
      <c r="L250" s="8" t="s">
        <v>32</v>
      </c>
      <c r="M250" s="8"/>
      <c r="N250" s="8" t="b">
        <v>0</v>
      </c>
      <c r="O250" s="10">
        <v>704267</v>
      </c>
      <c r="P250" s="8" t="s">
        <v>272</v>
      </c>
      <c r="Q250" s="8">
        <v>441323</v>
      </c>
      <c r="R250" s="9">
        <v>45227</v>
      </c>
      <c r="S250" s="8" t="s">
        <v>34</v>
      </c>
      <c r="T250" s="8" t="s">
        <v>40</v>
      </c>
      <c r="U250" s="8" t="s">
        <v>58</v>
      </c>
      <c r="V250" s="8" t="s">
        <v>46</v>
      </c>
      <c r="W250" s="8">
        <v>0</v>
      </c>
    </row>
    <row r="251" spans="1:23" x14ac:dyDescent="0.25">
      <c r="A251" s="4">
        <v>1</v>
      </c>
      <c r="B251" s="4"/>
      <c r="C251" s="4">
        <v>881032</v>
      </c>
      <c r="D251" s="4">
        <v>5173.26</v>
      </c>
      <c r="E251" s="5">
        <f t="shared" si="3"/>
        <v>-0.26000000000021828</v>
      </c>
      <c r="F251" s="15">
        <v>45230</v>
      </c>
      <c r="G251" s="10">
        <v>329472546</v>
      </c>
      <c r="H251" s="9">
        <v>45229</v>
      </c>
      <c r="I251" s="9">
        <v>45244</v>
      </c>
      <c r="J251" s="8">
        <v>5173</v>
      </c>
      <c r="K251" s="8" t="s">
        <v>31</v>
      </c>
      <c r="L251" s="8" t="s">
        <v>32</v>
      </c>
      <c r="M251" s="8"/>
      <c r="N251" s="8" t="b">
        <v>0</v>
      </c>
      <c r="O251" s="10">
        <v>704269</v>
      </c>
      <c r="P251" s="8" t="s">
        <v>273</v>
      </c>
      <c r="Q251" s="8">
        <v>441329</v>
      </c>
      <c r="R251" s="9">
        <v>45227</v>
      </c>
      <c r="S251" s="8" t="s">
        <v>34</v>
      </c>
      <c r="T251" s="8" t="s">
        <v>40</v>
      </c>
      <c r="U251" s="8" t="s">
        <v>58</v>
      </c>
      <c r="V251" s="8" t="s">
        <v>46</v>
      </c>
      <c r="W251" s="8">
        <v>0</v>
      </c>
    </row>
    <row r="252" spans="1:23" x14ac:dyDescent="0.25">
      <c r="A252" s="4">
        <v>1</v>
      </c>
      <c r="B252" s="4"/>
      <c r="C252" s="4">
        <v>881027</v>
      </c>
      <c r="D252" s="4">
        <v>5173.26</v>
      </c>
      <c r="E252" s="5">
        <f t="shared" si="3"/>
        <v>-0.26000000000021828</v>
      </c>
      <c r="F252" s="15">
        <v>45230</v>
      </c>
      <c r="G252" s="10">
        <v>329472549</v>
      </c>
      <c r="H252" s="9">
        <v>45229</v>
      </c>
      <c r="I252" s="9">
        <v>45244</v>
      </c>
      <c r="J252" s="8">
        <v>5173</v>
      </c>
      <c r="K252" s="8" t="s">
        <v>31</v>
      </c>
      <c r="L252" s="8" t="s">
        <v>32</v>
      </c>
      <c r="M252" s="8"/>
      <c r="N252" s="8" t="b">
        <v>0</v>
      </c>
      <c r="O252" s="10">
        <v>704182</v>
      </c>
      <c r="P252" s="8" t="s">
        <v>274</v>
      </c>
      <c r="Q252" s="8">
        <v>441320</v>
      </c>
      <c r="R252" s="9">
        <v>45227</v>
      </c>
      <c r="S252" s="8" t="s">
        <v>34</v>
      </c>
      <c r="T252" s="8" t="s">
        <v>40</v>
      </c>
      <c r="U252" s="8" t="s">
        <v>58</v>
      </c>
      <c r="V252" s="8" t="s">
        <v>46</v>
      </c>
      <c r="W252" s="8">
        <v>0</v>
      </c>
    </row>
    <row r="253" spans="1:23" x14ac:dyDescent="0.25">
      <c r="A253" s="4">
        <v>1</v>
      </c>
      <c r="B253" s="4"/>
      <c r="C253" s="4">
        <v>881031</v>
      </c>
      <c r="D253" s="4">
        <v>5173.26</v>
      </c>
      <c r="E253" s="5">
        <f t="shared" si="3"/>
        <v>-0.26000000000021828</v>
      </c>
      <c r="F253" s="15">
        <v>45230</v>
      </c>
      <c r="G253" s="10">
        <v>329472553</v>
      </c>
      <c r="H253" s="9">
        <v>45229</v>
      </c>
      <c r="I253" s="9">
        <v>45244</v>
      </c>
      <c r="J253" s="8">
        <v>5173</v>
      </c>
      <c r="K253" s="8" t="s">
        <v>31</v>
      </c>
      <c r="L253" s="8" t="s">
        <v>32</v>
      </c>
      <c r="M253" s="8"/>
      <c r="N253" s="8" t="b">
        <v>0</v>
      </c>
      <c r="O253" s="10">
        <v>704268</v>
      </c>
      <c r="P253" s="8" t="s">
        <v>275</v>
      </c>
      <c r="Q253" s="8">
        <v>441324</v>
      </c>
      <c r="R253" s="9">
        <v>45227</v>
      </c>
      <c r="S253" s="8" t="s">
        <v>34</v>
      </c>
      <c r="T253" s="8" t="s">
        <v>40</v>
      </c>
      <c r="U253" s="8" t="s">
        <v>58</v>
      </c>
      <c r="V253" s="8" t="s">
        <v>46</v>
      </c>
      <c r="W253" s="8">
        <v>0</v>
      </c>
    </row>
    <row r="254" spans="1:23" x14ac:dyDescent="0.25">
      <c r="A254" s="4">
        <v>1</v>
      </c>
      <c r="B254" s="4"/>
      <c r="C254" s="4">
        <v>881023</v>
      </c>
      <c r="D254" s="4">
        <v>5173.26</v>
      </c>
      <c r="E254" s="5">
        <f t="shared" si="3"/>
        <v>-0.26000000000021828</v>
      </c>
      <c r="F254" s="15">
        <v>45230</v>
      </c>
      <c r="G254" s="10">
        <v>329472559</v>
      </c>
      <c r="H254" s="9">
        <v>45229</v>
      </c>
      <c r="I254" s="9">
        <v>45244</v>
      </c>
      <c r="J254" s="8">
        <v>5173</v>
      </c>
      <c r="K254" s="8" t="s">
        <v>31</v>
      </c>
      <c r="L254" s="8" t="s">
        <v>32</v>
      </c>
      <c r="M254" s="8"/>
      <c r="N254" s="8" t="b">
        <v>0</v>
      </c>
      <c r="O254" s="10">
        <v>704179</v>
      </c>
      <c r="P254" s="8" t="s">
        <v>89</v>
      </c>
      <c r="Q254" s="8">
        <v>441313</v>
      </c>
      <c r="R254" s="9">
        <v>45227</v>
      </c>
      <c r="S254" s="8" t="s">
        <v>34</v>
      </c>
      <c r="T254" s="8" t="s">
        <v>40</v>
      </c>
      <c r="U254" s="8" t="s">
        <v>58</v>
      </c>
      <c r="V254" s="8" t="s">
        <v>46</v>
      </c>
      <c r="W254" s="8">
        <v>0</v>
      </c>
    </row>
    <row r="255" spans="1:23" x14ac:dyDescent="0.25">
      <c r="A255" s="4">
        <v>1</v>
      </c>
      <c r="B255" s="4"/>
      <c r="C255" s="4">
        <v>881034</v>
      </c>
      <c r="D255" s="4">
        <v>5173.26</v>
      </c>
      <c r="E255" s="5">
        <f t="shared" si="3"/>
        <v>-0.26000000000021828</v>
      </c>
      <c r="F255" s="15">
        <v>45230</v>
      </c>
      <c r="G255" s="10">
        <v>329472562</v>
      </c>
      <c r="H255" s="9">
        <v>45229</v>
      </c>
      <c r="I255" s="9">
        <v>45244</v>
      </c>
      <c r="J255" s="8">
        <v>5173</v>
      </c>
      <c r="K255" s="8" t="s">
        <v>31</v>
      </c>
      <c r="L255" s="8" t="s">
        <v>32</v>
      </c>
      <c r="M255" s="8"/>
      <c r="N255" s="8" t="b">
        <v>0</v>
      </c>
      <c r="O255" s="10">
        <v>704271</v>
      </c>
      <c r="P255" s="8" t="s">
        <v>102</v>
      </c>
      <c r="Q255" s="8">
        <v>441332</v>
      </c>
      <c r="R255" s="9">
        <v>45227</v>
      </c>
      <c r="S255" s="8" t="s">
        <v>34</v>
      </c>
      <c r="T255" s="8" t="s">
        <v>40</v>
      </c>
      <c r="U255" s="8" t="s">
        <v>58</v>
      </c>
      <c r="V255" s="8" t="s">
        <v>46</v>
      </c>
      <c r="W255" s="8">
        <v>0</v>
      </c>
    </row>
    <row r="256" spans="1:23" x14ac:dyDescent="0.25">
      <c r="A256" s="4">
        <v>1</v>
      </c>
      <c r="B256" s="4"/>
      <c r="C256" s="4">
        <v>881022</v>
      </c>
      <c r="D256" s="4">
        <v>5173.26</v>
      </c>
      <c r="E256" s="5">
        <f t="shared" si="3"/>
        <v>-0.26000000000021828</v>
      </c>
      <c r="F256" s="15">
        <v>45230</v>
      </c>
      <c r="G256" s="10">
        <v>329472565</v>
      </c>
      <c r="H256" s="9">
        <v>45229</v>
      </c>
      <c r="I256" s="9">
        <v>45244</v>
      </c>
      <c r="J256" s="8">
        <v>5173</v>
      </c>
      <c r="K256" s="8" t="s">
        <v>31</v>
      </c>
      <c r="L256" s="8" t="s">
        <v>32</v>
      </c>
      <c r="M256" s="8"/>
      <c r="N256" s="8" t="b">
        <v>0</v>
      </c>
      <c r="O256" s="10">
        <v>704178</v>
      </c>
      <c r="P256" s="8" t="s">
        <v>87</v>
      </c>
      <c r="Q256" s="8">
        <v>441300</v>
      </c>
      <c r="R256" s="9">
        <v>45227</v>
      </c>
      <c r="S256" s="8" t="s">
        <v>34</v>
      </c>
      <c r="T256" s="8" t="s">
        <v>40</v>
      </c>
      <c r="U256" s="8" t="s">
        <v>58</v>
      </c>
      <c r="V256" s="8" t="s">
        <v>46</v>
      </c>
      <c r="W256" s="8">
        <v>0</v>
      </c>
    </row>
    <row r="257" spans="1:23" x14ac:dyDescent="0.25">
      <c r="A257" s="4">
        <v>1</v>
      </c>
      <c r="B257" s="4"/>
      <c r="C257" s="4">
        <v>881033</v>
      </c>
      <c r="D257" s="4">
        <v>5173.26</v>
      </c>
      <c r="E257" s="5">
        <f t="shared" si="3"/>
        <v>-0.26000000000021828</v>
      </c>
      <c r="F257" s="15">
        <v>45230</v>
      </c>
      <c r="G257" s="10">
        <v>329472572</v>
      </c>
      <c r="H257" s="9">
        <v>45229</v>
      </c>
      <c r="I257" s="9">
        <v>45244</v>
      </c>
      <c r="J257" s="8">
        <v>5173</v>
      </c>
      <c r="K257" s="8" t="s">
        <v>31</v>
      </c>
      <c r="L257" s="8" t="s">
        <v>32</v>
      </c>
      <c r="M257" s="8"/>
      <c r="N257" s="8" t="b">
        <v>0</v>
      </c>
      <c r="O257" s="10">
        <v>704270</v>
      </c>
      <c r="P257" s="8" t="s">
        <v>276</v>
      </c>
      <c r="Q257" s="8">
        <v>441330</v>
      </c>
      <c r="R257" s="9">
        <v>45227</v>
      </c>
      <c r="S257" s="8" t="s">
        <v>34</v>
      </c>
      <c r="T257" s="8" t="s">
        <v>40</v>
      </c>
      <c r="U257" s="8" t="s">
        <v>58</v>
      </c>
      <c r="V257" s="8" t="s">
        <v>46</v>
      </c>
      <c r="W257" s="8">
        <v>0</v>
      </c>
    </row>
    <row r="258" spans="1:23" x14ac:dyDescent="0.25">
      <c r="A258" s="4">
        <v>1</v>
      </c>
      <c r="B258" s="4"/>
      <c r="C258" s="4">
        <v>881021</v>
      </c>
      <c r="D258" s="4">
        <v>7980.88</v>
      </c>
      <c r="E258" s="5">
        <f t="shared" si="3"/>
        <v>0.11999999999989086</v>
      </c>
      <c r="F258" s="15">
        <v>45230</v>
      </c>
      <c r="G258" s="10">
        <v>329498493</v>
      </c>
      <c r="H258" s="9">
        <v>45229</v>
      </c>
      <c r="I258" s="9">
        <v>45244</v>
      </c>
      <c r="J258" s="8">
        <v>7981</v>
      </c>
      <c r="K258" s="8" t="s">
        <v>31</v>
      </c>
      <c r="L258" s="8" t="s">
        <v>32</v>
      </c>
      <c r="M258" s="8"/>
      <c r="N258" s="8" t="b">
        <v>0</v>
      </c>
      <c r="O258" s="10">
        <v>703284</v>
      </c>
      <c r="P258" s="8" t="s">
        <v>161</v>
      </c>
      <c r="Q258" s="8">
        <v>457581</v>
      </c>
      <c r="R258" s="9">
        <v>45229</v>
      </c>
      <c r="S258" s="8" t="s">
        <v>34</v>
      </c>
      <c r="T258" s="8" t="s">
        <v>40</v>
      </c>
      <c r="U258" s="8" t="s">
        <v>88</v>
      </c>
      <c r="V258" s="8" t="s">
        <v>72</v>
      </c>
      <c r="W258" s="8">
        <v>0</v>
      </c>
    </row>
    <row r="259" spans="1:23" x14ac:dyDescent="0.25">
      <c r="A259" s="4">
        <v>1</v>
      </c>
      <c r="B259" s="4"/>
      <c r="C259" s="4">
        <v>881015</v>
      </c>
      <c r="D259" s="4">
        <v>4872.42</v>
      </c>
      <c r="E259" s="5">
        <f t="shared" si="3"/>
        <v>-0.42000000000007276</v>
      </c>
      <c r="F259" s="15">
        <v>45230</v>
      </c>
      <c r="G259" s="10">
        <v>329498606</v>
      </c>
      <c r="H259" s="9">
        <v>45229</v>
      </c>
      <c r="I259" s="9">
        <v>45244</v>
      </c>
      <c r="J259" s="8">
        <v>4872</v>
      </c>
      <c r="K259" s="8" t="s">
        <v>31</v>
      </c>
      <c r="L259" s="8" t="s">
        <v>32</v>
      </c>
      <c r="M259" s="8"/>
      <c r="N259" s="8" t="b">
        <v>0</v>
      </c>
      <c r="O259" s="10">
        <v>20999</v>
      </c>
      <c r="P259" s="8" t="s">
        <v>170</v>
      </c>
      <c r="Q259" s="8">
        <v>457597</v>
      </c>
      <c r="R259" s="9">
        <v>45229</v>
      </c>
      <c r="S259" s="8" t="s">
        <v>277</v>
      </c>
      <c r="T259" s="8" t="s">
        <v>40</v>
      </c>
      <c r="U259" s="8" t="s">
        <v>278</v>
      </c>
      <c r="V259" s="8" t="s">
        <v>279</v>
      </c>
      <c r="W259" s="8">
        <v>0</v>
      </c>
    </row>
    <row r="260" spans="1:23" x14ac:dyDescent="0.25">
      <c r="A260" s="4">
        <v>1</v>
      </c>
      <c r="B260" s="4"/>
      <c r="C260" s="4">
        <v>881020</v>
      </c>
      <c r="D260" s="4">
        <v>7980.88</v>
      </c>
      <c r="E260" s="5">
        <f t="shared" si="3"/>
        <v>0.11999999999989086</v>
      </c>
      <c r="F260" s="15">
        <v>45230</v>
      </c>
      <c r="G260" s="10">
        <v>329498642</v>
      </c>
      <c r="H260" s="9">
        <v>45229</v>
      </c>
      <c r="I260" s="9">
        <v>45244</v>
      </c>
      <c r="J260" s="8">
        <v>7981</v>
      </c>
      <c r="K260" s="8" t="s">
        <v>31</v>
      </c>
      <c r="L260" s="8" t="s">
        <v>32</v>
      </c>
      <c r="M260" s="8"/>
      <c r="N260" s="8" t="b">
        <v>0</v>
      </c>
      <c r="O260" s="10">
        <v>703283</v>
      </c>
      <c r="P260" s="8" t="s">
        <v>168</v>
      </c>
      <c r="Q260" s="8">
        <v>457561</v>
      </c>
      <c r="R260" s="9">
        <v>45229</v>
      </c>
      <c r="S260" s="8" t="s">
        <v>34</v>
      </c>
      <c r="T260" s="8" t="s">
        <v>40</v>
      </c>
      <c r="U260" s="8" t="s">
        <v>88</v>
      </c>
      <c r="V260" s="8" t="s">
        <v>72</v>
      </c>
      <c r="W260" s="8">
        <v>0</v>
      </c>
    </row>
    <row r="261" spans="1:23" x14ac:dyDescent="0.25">
      <c r="A261" s="4">
        <v>1</v>
      </c>
      <c r="B261" s="4"/>
      <c r="C261" s="4">
        <v>881019</v>
      </c>
      <c r="D261" s="4">
        <v>7980.88</v>
      </c>
      <c r="E261" s="5">
        <f t="shared" si="3"/>
        <v>0.11999999999989086</v>
      </c>
      <c r="F261" s="15">
        <v>45230</v>
      </c>
      <c r="G261" s="10">
        <v>329498645</v>
      </c>
      <c r="H261" s="9">
        <v>45229</v>
      </c>
      <c r="I261" s="9">
        <v>45244</v>
      </c>
      <c r="J261" s="8">
        <v>7981</v>
      </c>
      <c r="K261" s="8" t="s">
        <v>31</v>
      </c>
      <c r="L261" s="8" t="s">
        <v>32</v>
      </c>
      <c r="M261" s="8"/>
      <c r="N261" s="8" t="b">
        <v>0</v>
      </c>
      <c r="O261" s="10">
        <v>703282</v>
      </c>
      <c r="P261" s="8" t="s">
        <v>174</v>
      </c>
      <c r="Q261" s="8">
        <v>457555</v>
      </c>
      <c r="R261" s="9">
        <v>45229</v>
      </c>
      <c r="S261" s="8" t="s">
        <v>34</v>
      </c>
      <c r="T261" s="8" t="s">
        <v>40</v>
      </c>
      <c r="U261" s="8" t="s">
        <v>88</v>
      </c>
      <c r="V261" s="8" t="s">
        <v>72</v>
      </c>
      <c r="W261" s="8">
        <v>0</v>
      </c>
    </row>
    <row r="262" spans="1:23" x14ac:dyDescent="0.25">
      <c r="A262" s="4">
        <v>1</v>
      </c>
      <c r="B262" s="4"/>
      <c r="C262" s="4">
        <v>881016</v>
      </c>
      <c r="D262" s="4">
        <v>4872.42</v>
      </c>
      <c r="E262" s="5">
        <f t="shared" ref="E262:E325" si="4">J262-D262</f>
        <v>-0.42000000000007276</v>
      </c>
      <c r="F262" s="15">
        <v>45230</v>
      </c>
      <c r="G262" s="10">
        <v>329498670</v>
      </c>
      <c r="H262" s="9">
        <v>45229</v>
      </c>
      <c r="I262" s="9">
        <v>45244</v>
      </c>
      <c r="J262" s="8">
        <v>4872</v>
      </c>
      <c r="K262" s="8" t="s">
        <v>31</v>
      </c>
      <c r="L262" s="8" t="s">
        <v>32</v>
      </c>
      <c r="M262" s="8"/>
      <c r="N262" s="8" t="b">
        <v>0</v>
      </c>
      <c r="O262" s="10">
        <v>20998</v>
      </c>
      <c r="P262" s="8" t="s">
        <v>177</v>
      </c>
      <c r="Q262" s="8">
        <v>457593</v>
      </c>
      <c r="R262" s="9">
        <v>45229</v>
      </c>
      <c r="S262" s="8" t="s">
        <v>277</v>
      </c>
      <c r="T262" s="8" t="s">
        <v>40</v>
      </c>
      <c r="U262" s="8" t="s">
        <v>278</v>
      </c>
      <c r="V262" s="8" t="s">
        <v>279</v>
      </c>
      <c r="W262" s="8">
        <v>0</v>
      </c>
    </row>
    <row r="263" spans="1:23" x14ac:dyDescent="0.25">
      <c r="A263" s="4">
        <v>1</v>
      </c>
      <c r="B263" s="4" t="s">
        <v>280</v>
      </c>
      <c r="C263" s="4">
        <v>881018</v>
      </c>
      <c r="D263" s="4">
        <v>9263.8799999999992</v>
      </c>
      <c r="E263" s="5">
        <f t="shared" si="4"/>
        <v>0.12000000000080036</v>
      </c>
      <c r="F263" s="15">
        <v>45230</v>
      </c>
      <c r="G263" s="10">
        <v>329498951</v>
      </c>
      <c r="H263" s="9">
        <v>45229</v>
      </c>
      <c r="I263" s="9">
        <v>45244</v>
      </c>
      <c r="J263" s="8">
        <v>9264</v>
      </c>
      <c r="K263" s="8" t="s">
        <v>31</v>
      </c>
      <c r="L263" s="8" t="s">
        <v>32</v>
      </c>
      <c r="M263" s="8"/>
      <c r="N263" s="8" t="b">
        <v>0</v>
      </c>
      <c r="O263" s="10">
        <v>700592</v>
      </c>
      <c r="P263" s="8" t="s">
        <v>160</v>
      </c>
      <c r="Q263" s="8">
        <v>457995</v>
      </c>
      <c r="R263" s="9">
        <v>45229</v>
      </c>
      <c r="S263" s="8" t="s">
        <v>130</v>
      </c>
      <c r="T263" s="8" t="s">
        <v>40</v>
      </c>
      <c r="U263" s="8" t="s">
        <v>131</v>
      </c>
      <c r="V263" s="8" t="s">
        <v>132</v>
      </c>
      <c r="W263" s="8">
        <v>0</v>
      </c>
    </row>
    <row r="264" spans="1:23" x14ac:dyDescent="0.25">
      <c r="A264" s="4">
        <v>1</v>
      </c>
      <c r="B264" s="4"/>
      <c r="C264" s="4">
        <v>881036</v>
      </c>
      <c r="D264" s="4">
        <v>5173.26</v>
      </c>
      <c r="E264" s="5">
        <f t="shared" si="4"/>
        <v>-0.26000000000021828</v>
      </c>
      <c r="F264" s="15">
        <v>45230</v>
      </c>
      <c r="G264" s="10">
        <v>329499223</v>
      </c>
      <c r="H264" s="9">
        <v>45229</v>
      </c>
      <c r="I264" s="9">
        <v>45244</v>
      </c>
      <c r="J264" s="8">
        <v>5173</v>
      </c>
      <c r="K264" s="8" t="s">
        <v>31</v>
      </c>
      <c r="L264" s="8" t="s">
        <v>32</v>
      </c>
      <c r="M264" s="8"/>
      <c r="N264" s="8" t="b">
        <v>0</v>
      </c>
      <c r="O264" s="10">
        <v>704346</v>
      </c>
      <c r="P264" s="8" t="s">
        <v>169</v>
      </c>
      <c r="Q264" s="8">
        <v>458497</v>
      </c>
      <c r="R264" s="9">
        <v>45229</v>
      </c>
      <c r="S264" s="8" t="s">
        <v>34</v>
      </c>
      <c r="T264" s="8" t="s">
        <v>40</v>
      </c>
      <c r="U264" s="8" t="s">
        <v>58</v>
      </c>
      <c r="V264" s="8" t="s">
        <v>46</v>
      </c>
      <c r="W264" s="8">
        <v>0</v>
      </c>
    </row>
    <row r="265" spans="1:23" x14ac:dyDescent="0.25">
      <c r="A265" s="4">
        <v>1</v>
      </c>
      <c r="B265" s="4"/>
      <c r="C265" s="4">
        <v>882443</v>
      </c>
      <c r="D265" s="4">
        <v>5173.26</v>
      </c>
      <c r="E265" s="5">
        <f t="shared" si="4"/>
        <v>-0.26000000000021828</v>
      </c>
      <c r="F265" s="15">
        <v>45245</v>
      </c>
      <c r="G265" s="10">
        <v>329500836</v>
      </c>
      <c r="H265" s="9">
        <v>45230</v>
      </c>
      <c r="I265" s="9">
        <v>45245</v>
      </c>
      <c r="J265" s="8">
        <v>5173</v>
      </c>
      <c r="K265" s="8" t="s">
        <v>31</v>
      </c>
      <c r="L265" s="8" t="s">
        <v>32</v>
      </c>
      <c r="M265" s="8"/>
      <c r="N265" s="8" t="b">
        <v>0</v>
      </c>
      <c r="O265" s="10">
        <v>704347</v>
      </c>
      <c r="P265" s="8" t="s">
        <v>144</v>
      </c>
      <c r="Q265" s="8">
        <v>459670</v>
      </c>
      <c r="R265" s="9">
        <v>45229</v>
      </c>
      <c r="S265" s="8" t="s">
        <v>34</v>
      </c>
      <c r="T265" s="8" t="s">
        <v>40</v>
      </c>
      <c r="U265" s="8" t="s">
        <v>58</v>
      </c>
      <c r="V265" s="8" t="s">
        <v>46</v>
      </c>
      <c r="W265" s="8">
        <v>0</v>
      </c>
    </row>
    <row r="266" spans="1:23" x14ac:dyDescent="0.25">
      <c r="A266" s="4">
        <v>1</v>
      </c>
      <c r="B266" s="4"/>
      <c r="C266" s="4">
        <v>882441</v>
      </c>
      <c r="D266" s="4">
        <f>4860+313.26</f>
        <v>5173.26</v>
      </c>
      <c r="E266" s="5">
        <f t="shared" si="4"/>
        <v>-0.26000000000021828</v>
      </c>
      <c r="F266" s="15">
        <v>45245</v>
      </c>
      <c r="G266" s="10">
        <v>329501752</v>
      </c>
      <c r="H266" s="9">
        <v>45230</v>
      </c>
      <c r="I266" s="9">
        <v>45245</v>
      </c>
      <c r="J266" s="8">
        <v>5173</v>
      </c>
      <c r="K266" s="8" t="s">
        <v>31</v>
      </c>
      <c r="L266" s="8" t="s">
        <v>32</v>
      </c>
      <c r="M266" s="8"/>
      <c r="N266" s="8" t="b">
        <v>0</v>
      </c>
      <c r="O266" s="10">
        <v>704348</v>
      </c>
      <c r="P266" s="8" t="s">
        <v>154</v>
      </c>
      <c r="Q266" s="8">
        <v>460330</v>
      </c>
      <c r="R266" s="9">
        <v>45229</v>
      </c>
      <c r="S266" s="8" t="s">
        <v>34</v>
      </c>
      <c r="T266" s="8" t="s">
        <v>40</v>
      </c>
      <c r="U266" s="8" t="s">
        <v>58</v>
      </c>
      <c r="V266" s="8" t="s">
        <v>46</v>
      </c>
      <c r="W266" s="8">
        <v>0</v>
      </c>
    </row>
    <row r="267" spans="1:23" x14ac:dyDescent="0.25">
      <c r="A267" s="4">
        <v>1</v>
      </c>
      <c r="B267" s="4"/>
      <c r="C267" s="4">
        <v>882449</v>
      </c>
      <c r="D267" s="4">
        <f>4860+313.26</f>
        <v>5173.26</v>
      </c>
      <c r="E267" s="5">
        <f t="shared" si="4"/>
        <v>-0.26000000000021828</v>
      </c>
      <c r="F267" s="15">
        <v>45245</v>
      </c>
      <c r="G267" s="10">
        <v>329513155</v>
      </c>
      <c r="H267" s="9">
        <v>45230</v>
      </c>
      <c r="I267" s="9">
        <v>45245</v>
      </c>
      <c r="J267" s="8">
        <v>5173</v>
      </c>
      <c r="K267" s="8" t="s">
        <v>31</v>
      </c>
      <c r="L267" s="8" t="s">
        <v>32</v>
      </c>
      <c r="M267" s="8"/>
      <c r="N267" s="8" t="b">
        <v>0</v>
      </c>
      <c r="O267" s="10">
        <v>704350</v>
      </c>
      <c r="P267" s="8" t="s">
        <v>281</v>
      </c>
      <c r="Q267" s="8">
        <v>468085</v>
      </c>
      <c r="R267" s="9">
        <v>45230</v>
      </c>
      <c r="S267" s="8" t="s">
        <v>34</v>
      </c>
      <c r="T267" s="8" t="s">
        <v>40</v>
      </c>
      <c r="U267" s="8" t="s">
        <v>58</v>
      </c>
      <c r="V267" s="8" t="s">
        <v>46</v>
      </c>
      <c r="W267" s="8">
        <v>0</v>
      </c>
    </row>
    <row r="268" spans="1:23" x14ac:dyDescent="0.25">
      <c r="A268" s="4">
        <v>1</v>
      </c>
      <c r="B268" s="4"/>
      <c r="C268" s="4">
        <v>882451</v>
      </c>
      <c r="D268" s="4">
        <f>4860+313.26</f>
        <v>5173.26</v>
      </c>
      <c r="E268" s="5">
        <f t="shared" si="4"/>
        <v>-0.26000000000021828</v>
      </c>
      <c r="F268" s="15">
        <v>45245</v>
      </c>
      <c r="G268" s="10">
        <v>329513167</v>
      </c>
      <c r="H268" s="9">
        <v>45230</v>
      </c>
      <c r="I268" s="9">
        <v>45245</v>
      </c>
      <c r="J268" s="8">
        <v>5173</v>
      </c>
      <c r="K268" s="8" t="s">
        <v>31</v>
      </c>
      <c r="L268" s="8" t="s">
        <v>32</v>
      </c>
      <c r="M268" s="8"/>
      <c r="N268" s="8" t="b">
        <v>0</v>
      </c>
      <c r="O268" s="10">
        <v>704349</v>
      </c>
      <c r="P268" s="8" t="s">
        <v>282</v>
      </c>
      <c r="Q268" s="8">
        <v>468072</v>
      </c>
      <c r="R268" s="9">
        <v>45230</v>
      </c>
      <c r="S268" s="8" t="s">
        <v>34</v>
      </c>
      <c r="T268" s="8" t="s">
        <v>40</v>
      </c>
      <c r="U268" s="8" t="s">
        <v>58</v>
      </c>
      <c r="V268" s="8" t="s">
        <v>46</v>
      </c>
      <c r="W268" s="8">
        <v>0</v>
      </c>
    </row>
    <row r="269" spans="1:23" x14ac:dyDescent="0.25">
      <c r="A269" s="4">
        <v>1</v>
      </c>
      <c r="B269" s="4"/>
      <c r="C269" s="4">
        <v>882447</v>
      </c>
      <c r="D269" s="4">
        <f>4860+313.26</f>
        <v>5173.26</v>
      </c>
      <c r="E269" s="5">
        <f t="shared" si="4"/>
        <v>-0.26000000000021828</v>
      </c>
      <c r="F269" s="15">
        <v>45245</v>
      </c>
      <c r="G269" s="10">
        <v>329513836</v>
      </c>
      <c r="H269" s="9">
        <v>45230</v>
      </c>
      <c r="I269" s="9">
        <v>45245</v>
      </c>
      <c r="J269" s="8">
        <v>5173</v>
      </c>
      <c r="K269" s="8" t="s">
        <v>31</v>
      </c>
      <c r="L269" s="8" t="s">
        <v>32</v>
      </c>
      <c r="M269" s="8"/>
      <c r="N269" s="8" t="b">
        <v>0</v>
      </c>
      <c r="O269" s="10">
        <v>704351</v>
      </c>
      <c r="P269" s="8" t="s">
        <v>283</v>
      </c>
      <c r="Q269" s="8">
        <v>468559</v>
      </c>
      <c r="R269" s="9">
        <v>45230</v>
      </c>
      <c r="S269" s="8" t="s">
        <v>34</v>
      </c>
      <c r="T269" s="8" t="s">
        <v>40</v>
      </c>
      <c r="U269" s="8" t="s">
        <v>58</v>
      </c>
      <c r="V269" s="8" t="s">
        <v>46</v>
      </c>
      <c r="W269" s="8">
        <v>0</v>
      </c>
    </row>
    <row r="270" spans="1:23" x14ac:dyDescent="0.25">
      <c r="A270" s="4">
        <v>1</v>
      </c>
      <c r="B270" s="4"/>
      <c r="C270" s="4">
        <v>882892</v>
      </c>
      <c r="D270" s="4">
        <v>2298</v>
      </c>
      <c r="E270" s="5">
        <f t="shared" si="4"/>
        <v>0</v>
      </c>
      <c r="F270" s="15">
        <v>45245</v>
      </c>
      <c r="G270" s="10">
        <v>329521066</v>
      </c>
      <c r="H270" s="9">
        <v>45230</v>
      </c>
      <c r="I270" s="9">
        <v>45245</v>
      </c>
      <c r="J270" s="8">
        <v>2298</v>
      </c>
      <c r="K270" s="8" t="s">
        <v>31</v>
      </c>
      <c r="L270" s="8" t="s">
        <v>32</v>
      </c>
      <c r="M270" s="8"/>
      <c r="N270" s="8" t="b">
        <v>0</v>
      </c>
      <c r="O270" s="10" t="s">
        <v>284</v>
      </c>
      <c r="P270" s="8" t="s">
        <v>285</v>
      </c>
      <c r="Q270" s="8">
        <v>842452</v>
      </c>
      <c r="R270" s="9">
        <v>45064</v>
      </c>
      <c r="S270" s="8" t="s">
        <v>286</v>
      </c>
      <c r="T270" s="8" t="s">
        <v>58</v>
      </c>
      <c r="U270" s="8" t="s">
        <v>287</v>
      </c>
      <c r="V270" s="8" t="s">
        <v>46</v>
      </c>
      <c r="W270" s="8">
        <v>0</v>
      </c>
    </row>
    <row r="271" spans="1:23" x14ac:dyDescent="0.25">
      <c r="A271" s="4">
        <v>1</v>
      </c>
      <c r="B271" s="4"/>
      <c r="C271" s="4">
        <v>882445</v>
      </c>
      <c r="D271" s="4">
        <f>4860+313.26</f>
        <v>5173.26</v>
      </c>
      <c r="E271" s="5">
        <f t="shared" si="4"/>
        <v>27.739999999999782</v>
      </c>
      <c r="F271" s="15">
        <v>45245</v>
      </c>
      <c r="G271" s="10">
        <v>329532302</v>
      </c>
      <c r="H271" s="9">
        <v>45231</v>
      </c>
      <c r="I271" s="9">
        <v>45246</v>
      </c>
      <c r="J271" s="8">
        <v>5201</v>
      </c>
      <c r="K271" s="8" t="s">
        <v>31</v>
      </c>
      <c r="L271" s="8" t="s">
        <v>32</v>
      </c>
      <c r="M271" s="8"/>
      <c r="N271" s="8" t="b">
        <v>0</v>
      </c>
      <c r="O271" s="10">
        <v>704352</v>
      </c>
      <c r="P271" s="8" t="s">
        <v>288</v>
      </c>
      <c r="Q271" s="8">
        <v>481815</v>
      </c>
      <c r="R271" s="9">
        <v>45231</v>
      </c>
      <c r="S271" s="8" t="s">
        <v>34</v>
      </c>
      <c r="T271" s="8" t="s">
        <v>40</v>
      </c>
      <c r="U271" s="8" t="s">
        <v>58</v>
      </c>
      <c r="V271" s="8" t="s">
        <v>46</v>
      </c>
      <c r="W271" s="8">
        <v>0</v>
      </c>
    </row>
    <row r="272" spans="1:23" x14ac:dyDescent="0.25">
      <c r="A272" s="4">
        <v>1</v>
      </c>
      <c r="B272" s="4"/>
      <c r="C272" s="4">
        <v>882835</v>
      </c>
      <c r="D272" s="4">
        <v>6367.5</v>
      </c>
      <c r="E272" s="5">
        <f t="shared" si="4"/>
        <v>0.5</v>
      </c>
      <c r="F272" s="15">
        <v>45245</v>
      </c>
      <c r="G272" s="10">
        <v>329533925</v>
      </c>
      <c r="H272" s="9">
        <v>45231</v>
      </c>
      <c r="I272" s="9">
        <v>45246</v>
      </c>
      <c r="J272" s="8">
        <v>6368</v>
      </c>
      <c r="K272" s="8" t="s">
        <v>31</v>
      </c>
      <c r="L272" s="8" t="s">
        <v>32</v>
      </c>
      <c r="M272" s="8"/>
      <c r="N272" s="8" t="b">
        <v>0</v>
      </c>
      <c r="O272" s="10">
        <v>697230</v>
      </c>
      <c r="P272" s="8" t="s">
        <v>289</v>
      </c>
      <c r="Q272" s="8">
        <v>483163</v>
      </c>
      <c r="R272" s="9">
        <v>45231</v>
      </c>
      <c r="S272" s="8" t="s">
        <v>34</v>
      </c>
      <c r="T272" s="8" t="s">
        <v>44</v>
      </c>
      <c r="U272" s="8" t="s">
        <v>36</v>
      </c>
      <c r="V272" s="8" t="s">
        <v>37</v>
      </c>
      <c r="W272" s="8">
        <v>0</v>
      </c>
    </row>
    <row r="273" spans="1:23" x14ac:dyDescent="0.25">
      <c r="A273" s="4">
        <v>1</v>
      </c>
      <c r="B273" s="4"/>
      <c r="C273" s="4">
        <v>882438</v>
      </c>
      <c r="D273" s="4">
        <v>74732</v>
      </c>
      <c r="E273" s="5">
        <f t="shared" si="4"/>
        <v>0</v>
      </c>
      <c r="F273" s="15">
        <v>45245</v>
      </c>
      <c r="G273" s="10">
        <v>329540594</v>
      </c>
      <c r="H273" s="9">
        <v>45231</v>
      </c>
      <c r="I273" s="9">
        <v>45246</v>
      </c>
      <c r="J273" s="8">
        <v>74732</v>
      </c>
      <c r="K273" s="8" t="s">
        <v>31</v>
      </c>
      <c r="L273" s="8" t="s">
        <v>32</v>
      </c>
      <c r="M273" s="8"/>
      <c r="N273" s="8" t="b">
        <v>0</v>
      </c>
      <c r="O273" s="10"/>
      <c r="P273" s="8" t="s">
        <v>290</v>
      </c>
      <c r="Q273" s="8">
        <v>481133</v>
      </c>
      <c r="R273" s="9">
        <v>45231</v>
      </c>
      <c r="S273" s="8" t="s">
        <v>34</v>
      </c>
      <c r="T273" s="8" t="s">
        <v>49</v>
      </c>
      <c r="U273" s="8" t="s">
        <v>75</v>
      </c>
      <c r="V273" s="8" t="s">
        <v>46</v>
      </c>
      <c r="W273" s="8">
        <v>0</v>
      </c>
    </row>
    <row r="274" spans="1:23" x14ac:dyDescent="0.25">
      <c r="A274" s="4">
        <v>1</v>
      </c>
      <c r="B274" s="4"/>
      <c r="C274" s="4">
        <v>882530</v>
      </c>
      <c r="D274" s="4">
        <v>6415.5</v>
      </c>
      <c r="E274" s="5">
        <f t="shared" si="4"/>
        <v>0.5</v>
      </c>
      <c r="F274" s="15">
        <v>45245</v>
      </c>
      <c r="G274" s="10">
        <v>329547444</v>
      </c>
      <c r="H274" s="9">
        <v>45232</v>
      </c>
      <c r="I274" s="9">
        <v>45247</v>
      </c>
      <c r="J274" s="8">
        <v>6416</v>
      </c>
      <c r="K274" s="8" t="s">
        <v>31</v>
      </c>
      <c r="L274" s="8" t="s">
        <v>32</v>
      </c>
      <c r="M274" s="8"/>
      <c r="N274" s="8" t="b">
        <v>0</v>
      </c>
      <c r="O274" s="10">
        <v>21022</v>
      </c>
      <c r="P274" s="8" t="s">
        <v>185</v>
      </c>
      <c r="Q274" s="8">
        <v>495748</v>
      </c>
      <c r="R274" s="9">
        <v>45231</v>
      </c>
      <c r="S274" s="8" t="s">
        <v>48</v>
      </c>
      <c r="T274" s="8" t="s">
        <v>40</v>
      </c>
      <c r="U274" s="8" t="s">
        <v>50</v>
      </c>
      <c r="V274" s="8" t="s">
        <v>37</v>
      </c>
      <c r="W274" s="8">
        <v>0</v>
      </c>
    </row>
    <row r="275" spans="1:23" x14ac:dyDescent="0.25">
      <c r="A275" s="4">
        <v>1</v>
      </c>
      <c r="B275" s="4"/>
      <c r="C275" s="4">
        <v>882550</v>
      </c>
      <c r="D275" s="4">
        <f>4860+342.5</f>
        <v>5202.5</v>
      </c>
      <c r="E275" s="5">
        <f t="shared" si="4"/>
        <v>0.5</v>
      </c>
      <c r="F275" s="15">
        <v>45245</v>
      </c>
      <c r="G275" s="10">
        <v>329547452</v>
      </c>
      <c r="H275" s="9">
        <v>45232</v>
      </c>
      <c r="I275" s="9">
        <v>45247</v>
      </c>
      <c r="J275" s="8">
        <v>5203</v>
      </c>
      <c r="K275" s="8" t="s">
        <v>31</v>
      </c>
      <c r="L275" s="8" t="s">
        <v>32</v>
      </c>
      <c r="M275" s="8"/>
      <c r="N275" s="8" t="b">
        <v>0</v>
      </c>
      <c r="O275" s="10">
        <v>704336</v>
      </c>
      <c r="P275" s="8" t="s">
        <v>190</v>
      </c>
      <c r="Q275" s="8">
        <v>495741</v>
      </c>
      <c r="R275" s="9">
        <v>45231</v>
      </c>
      <c r="S275" s="8" t="s">
        <v>48</v>
      </c>
      <c r="T275" s="8" t="s">
        <v>40</v>
      </c>
      <c r="U275" s="8" t="s">
        <v>45</v>
      </c>
      <c r="V275" s="8" t="s">
        <v>46</v>
      </c>
      <c r="W275" s="8">
        <v>0</v>
      </c>
    </row>
    <row r="276" spans="1:23" x14ac:dyDescent="0.25">
      <c r="A276" s="4">
        <v>1</v>
      </c>
      <c r="B276" s="4"/>
      <c r="C276" s="4">
        <v>882586</v>
      </c>
      <c r="D276" s="4">
        <v>7525</v>
      </c>
      <c r="E276" s="5">
        <f t="shared" si="4"/>
        <v>0</v>
      </c>
      <c r="F276" s="15">
        <v>45245</v>
      </c>
      <c r="G276" s="10">
        <v>329558381</v>
      </c>
      <c r="H276" s="9">
        <v>45232</v>
      </c>
      <c r="I276" s="9">
        <v>45247</v>
      </c>
      <c r="J276" s="8">
        <v>7525</v>
      </c>
      <c r="K276" s="8" t="s">
        <v>31</v>
      </c>
      <c r="L276" s="8" t="s">
        <v>32</v>
      </c>
      <c r="M276" s="8"/>
      <c r="N276" s="8" t="b">
        <v>0</v>
      </c>
      <c r="O276" s="10"/>
      <c r="P276" s="8" t="s">
        <v>291</v>
      </c>
      <c r="Q276" s="8">
        <v>505067</v>
      </c>
      <c r="R276" s="9">
        <v>45232</v>
      </c>
      <c r="S276" s="8" t="s">
        <v>239</v>
      </c>
      <c r="T276" s="8" t="s">
        <v>49</v>
      </c>
      <c r="U276" s="8" t="s">
        <v>240</v>
      </c>
      <c r="V276" s="8" t="s">
        <v>72</v>
      </c>
      <c r="W276" s="8">
        <v>0</v>
      </c>
    </row>
    <row r="277" spans="1:23" x14ac:dyDescent="0.25">
      <c r="A277" s="4">
        <v>1</v>
      </c>
      <c r="B277" s="4"/>
      <c r="C277" s="4">
        <v>882883</v>
      </c>
      <c r="D277" s="4">
        <v>6558.5</v>
      </c>
      <c r="E277" s="5">
        <f t="shared" si="4"/>
        <v>-4.5</v>
      </c>
      <c r="F277" s="15">
        <v>45245</v>
      </c>
      <c r="G277" s="10">
        <v>329558398</v>
      </c>
      <c r="H277" s="9">
        <v>45232</v>
      </c>
      <c r="I277" s="9">
        <v>45247</v>
      </c>
      <c r="J277" s="8">
        <v>6554</v>
      </c>
      <c r="K277" s="8" t="s">
        <v>31</v>
      </c>
      <c r="L277" s="8" t="s">
        <v>32</v>
      </c>
      <c r="M277" s="8"/>
      <c r="N277" s="8" t="b">
        <v>0</v>
      </c>
      <c r="O277" s="10"/>
      <c r="P277" s="8" t="s">
        <v>292</v>
      </c>
      <c r="Q277" s="8">
        <v>504942</v>
      </c>
      <c r="R277" s="9">
        <v>45232</v>
      </c>
      <c r="S277" s="8" t="s">
        <v>70</v>
      </c>
      <c r="T277" s="8" t="s">
        <v>49</v>
      </c>
      <c r="U277" s="8" t="s">
        <v>71</v>
      </c>
      <c r="V277" s="8" t="s">
        <v>72</v>
      </c>
      <c r="W277" s="8">
        <v>0</v>
      </c>
    </row>
    <row r="278" spans="1:23" x14ac:dyDescent="0.25">
      <c r="A278" s="4">
        <v>1</v>
      </c>
      <c r="B278" s="4"/>
      <c r="C278" s="4">
        <v>882836</v>
      </c>
      <c r="D278" s="4">
        <v>6367.5</v>
      </c>
      <c r="E278" s="5">
        <f t="shared" si="4"/>
        <v>0.5</v>
      </c>
      <c r="F278" s="15">
        <v>45245</v>
      </c>
      <c r="G278" s="10">
        <v>329578368</v>
      </c>
      <c r="H278" s="9">
        <v>45233</v>
      </c>
      <c r="I278" s="9">
        <v>45248</v>
      </c>
      <c r="J278" s="8">
        <v>6368</v>
      </c>
      <c r="K278" s="8" t="s">
        <v>31</v>
      </c>
      <c r="L278" s="8" t="s">
        <v>32</v>
      </c>
      <c r="M278" s="8"/>
      <c r="N278" s="8" t="b">
        <v>0</v>
      </c>
      <c r="O278" s="10">
        <v>697234</v>
      </c>
      <c r="P278" s="8" t="s">
        <v>166</v>
      </c>
      <c r="Q278" s="8">
        <v>519549</v>
      </c>
      <c r="R278" s="9">
        <v>45233</v>
      </c>
      <c r="S278" s="8" t="s">
        <v>34</v>
      </c>
      <c r="T278" s="8" t="s">
        <v>44</v>
      </c>
      <c r="U278" s="8" t="s">
        <v>36</v>
      </c>
      <c r="V278" s="8" t="s">
        <v>37</v>
      </c>
      <c r="W278" s="8">
        <v>0</v>
      </c>
    </row>
    <row r="279" spans="1:23" x14ac:dyDescent="0.25">
      <c r="A279" s="4">
        <v>1</v>
      </c>
      <c r="B279" s="4"/>
      <c r="C279" s="4">
        <v>882837</v>
      </c>
      <c r="D279" s="4">
        <v>6367.5</v>
      </c>
      <c r="E279" s="5">
        <f t="shared" si="4"/>
        <v>0.5</v>
      </c>
      <c r="F279" s="15">
        <v>45245</v>
      </c>
      <c r="G279" s="10">
        <v>329578385</v>
      </c>
      <c r="H279" s="9">
        <v>45233</v>
      </c>
      <c r="I279" s="9">
        <v>45248</v>
      </c>
      <c r="J279" s="8">
        <v>6368</v>
      </c>
      <c r="K279" s="8" t="s">
        <v>31</v>
      </c>
      <c r="L279" s="8" t="s">
        <v>32</v>
      </c>
      <c r="M279" s="8"/>
      <c r="N279" s="8" t="b">
        <v>0</v>
      </c>
      <c r="O279" s="10">
        <v>697238</v>
      </c>
      <c r="P279" s="8" t="s">
        <v>181</v>
      </c>
      <c r="Q279" s="8">
        <v>519578</v>
      </c>
      <c r="R279" s="9">
        <v>45233</v>
      </c>
      <c r="S279" s="8" t="s">
        <v>34</v>
      </c>
      <c r="T279" s="8" t="s">
        <v>44</v>
      </c>
      <c r="U279" s="8" t="s">
        <v>36</v>
      </c>
      <c r="V279" s="8" t="s">
        <v>37</v>
      </c>
      <c r="W279" s="8">
        <v>0</v>
      </c>
    </row>
    <row r="280" spans="1:23" x14ac:dyDescent="0.25">
      <c r="A280" s="4">
        <v>1</v>
      </c>
      <c r="B280" s="4"/>
      <c r="C280" s="4">
        <v>882184</v>
      </c>
      <c r="D280" s="4">
        <v>5173</v>
      </c>
      <c r="E280" s="5">
        <f t="shared" si="4"/>
        <v>0</v>
      </c>
      <c r="F280" s="15">
        <v>45245</v>
      </c>
      <c r="G280" s="10">
        <v>329578398</v>
      </c>
      <c r="H280" s="9">
        <v>45233</v>
      </c>
      <c r="I280" s="9">
        <v>45248</v>
      </c>
      <c r="J280" s="8">
        <v>5173</v>
      </c>
      <c r="K280" s="8" t="s">
        <v>31</v>
      </c>
      <c r="L280" s="8" t="s">
        <v>32</v>
      </c>
      <c r="M280" s="8"/>
      <c r="N280" s="8" t="b">
        <v>0</v>
      </c>
      <c r="O280" s="10">
        <v>695737</v>
      </c>
      <c r="P280" s="8" t="s">
        <v>183</v>
      </c>
      <c r="Q280" s="8">
        <v>519488</v>
      </c>
      <c r="R280" s="9">
        <v>45233</v>
      </c>
      <c r="S280" s="8" t="s">
        <v>180</v>
      </c>
      <c r="T280" s="8" t="s">
        <v>44</v>
      </c>
      <c r="U280" s="8" t="s">
        <v>45</v>
      </c>
      <c r="V280" s="8" t="s">
        <v>46</v>
      </c>
      <c r="W280" s="8">
        <v>0</v>
      </c>
    </row>
    <row r="281" spans="1:23" x14ac:dyDescent="0.25">
      <c r="A281" s="4">
        <v>1</v>
      </c>
      <c r="B281" s="4"/>
      <c r="C281" s="4">
        <v>882838</v>
      </c>
      <c r="D281" s="4">
        <v>6367.5</v>
      </c>
      <c r="E281" s="5">
        <f t="shared" si="4"/>
        <v>0.5</v>
      </c>
      <c r="F281" s="15">
        <v>45245</v>
      </c>
      <c r="G281" s="10">
        <v>329578407</v>
      </c>
      <c r="H281" s="9">
        <v>45233</v>
      </c>
      <c r="I281" s="9">
        <v>45248</v>
      </c>
      <c r="J281" s="8">
        <v>6368</v>
      </c>
      <c r="K281" s="8" t="s">
        <v>31</v>
      </c>
      <c r="L281" s="8" t="s">
        <v>32</v>
      </c>
      <c r="M281" s="8"/>
      <c r="N281" s="8" t="b">
        <v>0</v>
      </c>
      <c r="O281" s="10">
        <v>697233</v>
      </c>
      <c r="P281" s="8" t="s">
        <v>152</v>
      </c>
      <c r="Q281" s="8">
        <v>519513</v>
      </c>
      <c r="R281" s="9">
        <v>45233</v>
      </c>
      <c r="S281" s="8" t="s">
        <v>34</v>
      </c>
      <c r="T281" s="8" t="s">
        <v>44</v>
      </c>
      <c r="U281" s="8" t="s">
        <v>36</v>
      </c>
      <c r="V281" s="8" t="s">
        <v>37</v>
      </c>
      <c r="W281" s="8">
        <v>0</v>
      </c>
    </row>
    <row r="282" spans="1:23" x14ac:dyDescent="0.25">
      <c r="A282" s="4">
        <v>1</v>
      </c>
      <c r="B282" s="4"/>
      <c r="C282" s="4">
        <v>882839</v>
      </c>
      <c r="D282" s="4">
        <v>6367.5</v>
      </c>
      <c r="E282" s="5">
        <f t="shared" si="4"/>
        <v>0.5</v>
      </c>
      <c r="F282" s="15">
        <v>45245</v>
      </c>
      <c r="G282" s="10">
        <v>329578439</v>
      </c>
      <c r="H282" s="9">
        <v>45233</v>
      </c>
      <c r="I282" s="9">
        <v>45248</v>
      </c>
      <c r="J282" s="8">
        <v>6368</v>
      </c>
      <c r="K282" s="8" t="s">
        <v>31</v>
      </c>
      <c r="L282" s="8" t="s">
        <v>32</v>
      </c>
      <c r="M282" s="8"/>
      <c r="N282" s="8" t="b">
        <v>0</v>
      </c>
      <c r="O282" s="10">
        <v>697237</v>
      </c>
      <c r="P282" s="8" t="s">
        <v>122</v>
      </c>
      <c r="Q282" s="8">
        <v>519565</v>
      </c>
      <c r="R282" s="9">
        <v>45233</v>
      </c>
      <c r="S282" s="8" t="s">
        <v>34</v>
      </c>
      <c r="T282" s="8" t="s">
        <v>44</v>
      </c>
      <c r="U282" s="8" t="s">
        <v>36</v>
      </c>
      <c r="V282" s="8" t="s">
        <v>37</v>
      </c>
      <c r="W282" s="8">
        <v>0</v>
      </c>
    </row>
    <row r="283" spans="1:23" x14ac:dyDescent="0.25">
      <c r="A283" s="4">
        <v>1</v>
      </c>
      <c r="B283" s="4"/>
      <c r="C283" s="4">
        <v>882840</v>
      </c>
      <c r="D283" s="4">
        <v>5200.5</v>
      </c>
      <c r="E283" s="5">
        <f t="shared" si="4"/>
        <v>0.5</v>
      </c>
      <c r="F283" s="15">
        <v>45245</v>
      </c>
      <c r="G283" s="10">
        <v>329578643</v>
      </c>
      <c r="H283" s="9">
        <v>45233</v>
      </c>
      <c r="I283" s="9">
        <v>45248</v>
      </c>
      <c r="J283" s="8">
        <v>5201</v>
      </c>
      <c r="K283" s="8" t="s">
        <v>31</v>
      </c>
      <c r="L283" s="8" t="s">
        <v>32</v>
      </c>
      <c r="M283" s="8"/>
      <c r="N283" s="8" t="b">
        <v>0</v>
      </c>
      <c r="O283" s="10">
        <v>705110</v>
      </c>
      <c r="P283" s="8" t="s">
        <v>81</v>
      </c>
      <c r="Q283" s="8">
        <v>519812</v>
      </c>
      <c r="R283" s="9">
        <v>45233</v>
      </c>
      <c r="S283" s="8" t="s">
        <v>34</v>
      </c>
      <c r="T283" s="8" t="s">
        <v>40</v>
      </c>
      <c r="U283" s="8" t="s">
        <v>58</v>
      </c>
      <c r="V283" s="8" t="s">
        <v>46</v>
      </c>
      <c r="W283" s="8">
        <v>0</v>
      </c>
    </row>
    <row r="284" spans="1:23" x14ac:dyDescent="0.25">
      <c r="A284" s="4">
        <v>1</v>
      </c>
      <c r="B284" s="4"/>
      <c r="C284" s="4">
        <v>882841</v>
      </c>
      <c r="D284" s="4">
        <v>5202.5</v>
      </c>
      <c r="E284" s="5">
        <f t="shared" si="4"/>
        <v>0.5</v>
      </c>
      <c r="F284" s="15">
        <v>45245</v>
      </c>
      <c r="G284" s="10">
        <v>329578644</v>
      </c>
      <c r="H284" s="9">
        <v>45233</v>
      </c>
      <c r="I284" s="9">
        <v>45248</v>
      </c>
      <c r="J284" s="8">
        <v>5203</v>
      </c>
      <c r="K284" s="8" t="s">
        <v>31</v>
      </c>
      <c r="L284" s="8" t="s">
        <v>32</v>
      </c>
      <c r="M284" s="8"/>
      <c r="N284" s="8" t="b">
        <v>0</v>
      </c>
      <c r="O284" s="10">
        <v>704337</v>
      </c>
      <c r="P284" s="8" t="s">
        <v>112</v>
      </c>
      <c r="Q284" s="8">
        <v>519804</v>
      </c>
      <c r="R284" s="9">
        <v>45233</v>
      </c>
      <c r="S284" s="8" t="s">
        <v>48</v>
      </c>
      <c r="T284" s="8" t="s">
        <v>40</v>
      </c>
      <c r="U284" s="8" t="s">
        <v>45</v>
      </c>
      <c r="V284" s="8" t="s">
        <v>46</v>
      </c>
      <c r="W284" s="8">
        <v>0</v>
      </c>
    </row>
    <row r="285" spans="1:23" x14ac:dyDescent="0.25">
      <c r="A285" s="4">
        <v>1</v>
      </c>
      <c r="B285" s="4"/>
      <c r="C285" s="4">
        <v>882531</v>
      </c>
      <c r="D285" s="4">
        <v>6415.5</v>
      </c>
      <c r="E285" s="5">
        <f t="shared" si="4"/>
        <v>0.5</v>
      </c>
      <c r="F285" s="15">
        <v>45245</v>
      </c>
      <c r="G285" s="10">
        <v>329578655</v>
      </c>
      <c r="H285" s="9">
        <v>45233</v>
      </c>
      <c r="I285" s="9">
        <v>45248</v>
      </c>
      <c r="J285" s="8">
        <v>6416</v>
      </c>
      <c r="K285" s="8" t="s">
        <v>31</v>
      </c>
      <c r="L285" s="8" t="s">
        <v>32</v>
      </c>
      <c r="M285" s="8"/>
      <c r="N285" s="8" t="b">
        <v>0</v>
      </c>
      <c r="O285" s="10">
        <v>21015</v>
      </c>
      <c r="P285" s="8" t="s">
        <v>98</v>
      </c>
      <c r="Q285" s="8">
        <v>519791</v>
      </c>
      <c r="R285" s="9">
        <v>45233</v>
      </c>
      <c r="S285" s="8" t="s">
        <v>48</v>
      </c>
      <c r="T285" s="8" t="s">
        <v>40</v>
      </c>
      <c r="U285" s="8" t="s">
        <v>50</v>
      </c>
      <c r="V285" s="8" t="s">
        <v>37</v>
      </c>
      <c r="W285" s="8">
        <v>0</v>
      </c>
    </row>
    <row r="286" spans="1:23" x14ac:dyDescent="0.25">
      <c r="A286" s="4">
        <v>1</v>
      </c>
      <c r="B286" s="4"/>
      <c r="C286" s="4">
        <v>882533</v>
      </c>
      <c r="D286" s="4">
        <v>6415.5</v>
      </c>
      <c r="E286" s="5">
        <f t="shared" si="4"/>
        <v>0.5</v>
      </c>
      <c r="F286" s="15">
        <v>45245</v>
      </c>
      <c r="G286" s="10">
        <v>329578689</v>
      </c>
      <c r="H286" s="9">
        <v>45233</v>
      </c>
      <c r="I286" s="9">
        <v>45248</v>
      </c>
      <c r="J286" s="8">
        <v>6416</v>
      </c>
      <c r="K286" s="8" t="s">
        <v>31</v>
      </c>
      <c r="L286" s="8" t="s">
        <v>32</v>
      </c>
      <c r="M286" s="8"/>
      <c r="N286" s="8" t="b">
        <v>0</v>
      </c>
      <c r="O286" s="10">
        <v>21013</v>
      </c>
      <c r="P286" s="8" t="s">
        <v>189</v>
      </c>
      <c r="Q286" s="8">
        <v>519756</v>
      </c>
      <c r="R286" s="9">
        <v>45233</v>
      </c>
      <c r="S286" s="8" t="s">
        <v>48</v>
      </c>
      <c r="T286" s="8" t="s">
        <v>40</v>
      </c>
      <c r="U286" s="8" t="s">
        <v>50</v>
      </c>
      <c r="V286" s="8" t="s">
        <v>37</v>
      </c>
      <c r="W286" s="8">
        <v>0</v>
      </c>
    </row>
    <row r="287" spans="1:23" x14ac:dyDescent="0.25">
      <c r="A287" s="4">
        <v>1</v>
      </c>
      <c r="B287" s="4"/>
      <c r="C287" s="4">
        <v>882532</v>
      </c>
      <c r="D287" s="4">
        <v>6415.5</v>
      </c>
      <c r="E287" s="5">
        <f t="shared" si="4"/>
        <v>0.5</v>
      </c>
      <c r="F287" s="15">
        <v>45245</v>
      </c>
      <c r="G287" s="10">
        <v>329578704</v>
      </c>
      <c r="H287" s="9">
        <v>45233</v>
      </c>
      <c r="I287" s="9">
        <v>45248</v>
      </c>
      <c r="J287" s="8">
        <v>6416</v>
      </c>
      <c r="K287" s="8" t="s">
        <v>31</v>
      </c>
      <c r="L287" s="8" t="s">
        <v>32</v>
      </c>
      <c r="M287" s="8"/>
      <c r="N287" s="8" t="b">
        <v>0</v>
      </c>
      <c r="O287" s="10">
        <v>21014</v>
      </c>
      <c r="P287" s="8" t="s">
        <v>153</v>
      </c>
      <c r="Q287" s="8">
        <v>519782</v>
      </c>
      <c r="R287" s="9">
        <v>45233</v>
      </c>
      <c r="S287" s="8" t="s">
        <v>48</v>
      </c>
      <c r="T287" s="8" t="s">
        <v>40</v>
      </c>
      <c r="U287" s="8" t="s">
        <v>50</v>
      </c>
      <c r="V287" s="8" t="s">
        <v>37</v>
      </c>
      <c r="W287" s="8">
        <v>0</v>
      </c>
    </row>
    <row r="288" spans="1:23" x14ac:dyDescent="0.25">
      <c r="A288" s="4">
        <v>1</v>
      </c>
      <c r="B288" s="4"/>
      <c r="C288" s="4">
        <v>882842</v>
      </c>
      <c r="D288" s="4">
        <v>5202.5</v>
      </c>
      <c r="E288" s="5">
        <f t="shared" si="4"/>
        <v>0.5</v>
      </c>
      <c r="F288" s="15">
        <v>45245</v>
      </c>
      <c r="G288" s="10">
        <v>329578983</v>
      </c>
      <c r="H288" s="9">
        <v>45233</v>
      </c>
      <c r="I288" s="9">
        <v>45248</v>
      </c>
      <c r="J288" s="8">
        <v>5203</v>
      </c>
      <c r="K288" s="8" t="s">
        <v>31</v>
      </c>
      <c r="L288" s="8" t="s">
        <v>32</v>
      </c>
      <c r="M288" s="8"/>
      <c r="N288" s="8" t="b">
        <v>0</v>
      </c>
      <c r="O288" s="10">
        <v>704338</v>
      </c>
      <c r="P288" s="8" t="s">
        <v>111</v>
      </c>
      <c r="Q288" s="8">
        <v>519959</v>
      </c>
      <c r="R288" s="9">
        <v>45233</v>
      </c>
      <c r="S288" s="8" t="s">
        <v>48</v>
      </c>
      <c r="T288" s="8" t="s">
        <v>40</v>
      </c>
      <c r="U288" s="8" t="s">
        <v>45</v>
      </c>
      <c r="V288" s="8" t="s">
        <v>46</v>
      </c>
      <c r="W288" s="8">
        <v>0</v>
      </c>
    </row>
    <row r="289" spans="1:23" x14ac:dyDescent="0.25">
      <c r="A289" s="4">
        <v>1</v>
      </c>
      <c r="B289" s="4"/>
      <c r="C289" s="4">
        <v>882552</v>
      </c>
      <c r="D289" s="4">
        <v>5175.1000000000004</v>
      </c>
      <c r="E289" s="5">
        <f t="shared" si="4"/>
        <v>-2.1000000000003638</v>
      </c>
      <c r="F289" s="15">
        <v>45245</v>
      </c>
      <c r="G289" s="10">
        <v>329579774</v>
      </c>
      <c r="H289" s="9">
        <v>45233</v>
      </c>
      <c r="I289" s="9">
        <v>45248</v>
      </c>
      <c r="J289" s="8">
        <v>5173</v>
      </c>
      <c r="K289" s="8" t="s">
        <v>31</v>
      </c>
      <c r="L289" s="8" t="s">
        <v>32</v>
      </c>
      <c r="M289" s="8"/>
      <c r="N289" s="8" t="b">
        <v>0</v>
      </c>
      <c r="O289" s="10">
        <v>704291</v>
      </c>
      <c r="P289" s="8" t="s">
        <v>121</v>
      </c>
      <c r="Q289" s="8">
        <v>520975</v>
      </c>
      <c r="R289" s="9">
        <v>45233</v>
      </c>
      <c r="S289" s="8" t="s">
        <v>34</v>
      </c>
      <c r="T289" s="8" t="s">
        <v>44</v>
      </c>
      <c r="U289" s="8" t="s">
        <v>45</v>
      </c>
      <c r="V289" s="8" t="s">
        <v>46</v>
      </c>
      <c r="W289" s="8">
        <v>0</v>
      </c>
    </row>
    <row r="290" spans="1:23" x14ac:dyDescent="0.25">
      <c r="A290" s="4">
        <v>1</v>
      </c>
      <c r="B290" s="4"/>
      <c r="C290" s="4">
        <v>882843</v>
      </c>
      <c r="D290" s="4">
        <v>5202.5</v>
      </c>
      <c r="E290" s="5">
        <f t="shared" si="4"/>
        <v>0.5</v>
      </c>
      <c r="F290" s="15">
        <v>45245</v>
      </c>
      <c r="G290" s="10">
        <v>329580734</v>
      </c>
      <c r="H290" s="9">
        <v>45233</v>
      </c>
      <c r="I290" s="9">
        <v>45248</v>
      </c>
      <c r="J290" s="8">
        <v>5203</v>
      </c>
      <c r="K290" s="8" t="s">
        <v>31</v>
      </c>
      <c r="L290" s="8" t="s">
        <v>32</v>
      </c>
      <c r="M290" s="8"/>
      <c r="N290" s="8" t="b">
        <v>0</v>
      </c>
      <c r="O290" s="10">
        <v>704339</v>
      </c>
      <c r="P290" s="8" t="s">
        <v>115</v>
      </c>
      <c r="Q290" s="8">
        <v>521796</v>
      </c>
      <c r="R290" s="9">
        <v>45233</v>
      </c>
      <c r="S290" s="8" t="s">
        <v>48</v>
      </c>
      <c r="T290" s="8" t="s">
        <v>40</v>
      </c>
      <c r="U290" s="8" t="s">
        <v>45</v>
      </c>
      <c r="V290" s="8" t="s">
        <v>46</v>
      </c>
      <c r="W290" s="8">
        <v>0</v>
      </c>
    </row>
    <row r="291" spans="1:23" x14ac:dyDescent="0.25">
      <c r="A291" s="4">
        <v>1</v>
      </c>
      <c r="B291" s="4"/>
      <c r="C291" s="4">
        <v>882844</v>
      </c>
      <c r="D291" s="4">
        <v>5202.5</v>
      </c>
      <c r="E291" s="5">
        <f t="shared" si="4"/>
        <v>0.5</v>
      </c>
      <c r="F291" s="15">
        <v>45245</v>
      </c>
      <c r="G291" s="10">
        <v>329581436</v>
      </c>
      <c r="H291" s="9">
        <v>45233</v>
      </c>
      <c r="I291" s="9">
        <v>45248</v>
      </c>
      <c r="J291" s="8">
        <v>5203</v>
      </c>
      <c r="K291" s="8" t="s">
        <v>31</v>
      </c>
      <c r="L291" s="8" t="s">
        <v>32</v>
      </c>
      <c r="M291" s="8"/>
      <c r="N291" s="8" t="b">
        <v>0</v>
      </c>
      <c r="O291" s="10">
        <v>704340</v>
      </c>
      <c r="P291" s="8" t="s">
        <v>82</v>
      </c>
      <c r="Q291" s="8">
        <v>522190</v>
      </c>
      <c r="R291" s="9">
        <v>45233</v>
      </c>
      <c r="S291" s="8" t="s">
        <v>48</v>
      </c>
      <c r="T291" s="8" t="s">
        <v>40</v>
      </c>
      <c r="U291" s="8" t="s">
        <v>45</v>
      </c>
      <c r="V291" s="8" t="s">
        <v>46</v>
      </c>
      <c r="W291" s="8">
        <v>0</v>
      </c>
    </row>
    <row r="292" spans="1:23" x14ac:dyDescent="0.25">
      <c r="A292" s="4">
        <v>1</v>
      </c>
      <c r="B292" s="4"/>
      <c r="C292" s="4">
        <v>882845</v>
      </c>
      <c r="D292" s="4">
        <v>5202.5</v>
      </c>
      <c r="E292" s="5">
        <f t="shared" si="4"/>
        <v>0.5</v>
      </c>
      <c r="F292" s="15">
        <v>45245</v>
      </c>
      <c r="G292" s="10">
        <v>329583699</v>
      </c>
      <c r="H292" s="9">
        <v>45233</v>
      </c>
      <c r="I292" s="9">
        <v>45248</v>
      </c>
      <c r="J292" s="8">
        <v>5203</v>
      </c>
      <c r="K292" s="8" t="s">
        <v>31</v>
      </c>
      <c r="L292" s="8" t="s">
        <v>32</v>
      </c>
      <c r="M292" s="8"/>
      <c r="N292" s="8" t="b">
        <v>0</v>
      </c>
      <c r="O292" s="10">
        <v>704342</v>
      </c>
      <c r="P292" s="8" t="s">
        <v>68</v>
      </c>
      <c r="Q292" s="8">
        <v>524226</v>
      </c>
      <c r="R292" s="9">
        <v>45233</v>
      </c>
      <c r="S292" s="8" t="s">
        <v>48</v>
      </c>
      <c r="T292" s="8" t="s">
        <v>40</v>
      </c>
      <c r="U292" s="8" t="s">
        <v>45</v>
      </c>
      <c r="V292" s="8" t="s">
        <v>46</v>
      </c>
      <c r="W292" s="8">
        <v>0</v>
      </c>
    </row>
    <row r="293" spans="1:23" x14ac:dyDescent="0.25">
      <c r="A293" s="4">
        <v>1</v>
      </c>
      <c r="B293" s="4"/>
      <c r="C293" s="4">
        <v>882846</v>
      </c>
      <c r="D293" s="4">
        <v>5202.5</v>
      </c>
      <c r="E293" s="5">
        <f t="shared" si="4"/>
        <v>0.5</v>
      </c>
      <c r="F293" s="15">
        <v>45245</v>
      </c>
      <c r="G293" s="10">
        <v>329583767</v>
      </c>
      <c r="H293" s="9">
        <v>45233</v>
      </c>
      <c r="I293" s="9">
        <v>45248</v>
      </c>
      <c r="J293" s="8">
        <v>5203</v>
      </c>
      <c r="K293" s="8" t="s">
        <v>31</v>
      </c>
      <c r="L293" s="8" t="s">
        <v>32</v>
      </c>
      <c r="M293" s="8"/>
      <c r="N293" s="8" t="b">
        <v>0</v>
      </c>
      <c r="O293" s="10">
        <v>704341</v>
      </c>
      <c r="P293" s="8" t="s">
        <v>77</v>
      </c>
      <c r="Q293" s="8">
        <v>524210</v>
      </c>
      <c r="R293" s="9">
        <v>45233</v>
      </c>
      <c r="S293" s="8" t="s">
        <v>48</v>
      </c>
      <c r="T293" s="8" t="s">
        <v>40</v>
      </c>
      <c r="U293" s="8" t="s">
        <v>45</v>
      </c>
      <c r="V293" s="8" t="s">
        <v>46</v>
      </c>
      <c r="W293" s="8">
        <v>0</v>
      </c>
    </row>
    <row r="294" spans="1:23" x14ac:dyDescent="0.25">
      <c r="A294" s="4">
        <v>1</v>
      </c>
      <c r="B294" s="4"/>
      <c r="C294" s="4">
        <v>882197</v>
      </c>
      <c r="D294" s="4">
        <v>5173</v>
      </c>
      <c r="E294" s="5">
        <f t="shared" si="4"/>
        <v>0</v>
      </c>
      <c r="F294" s="15">
        <v>45245</v>
      </c>
      <c r="G294" s="10">
        <v>329584059</v>
      </c>
      <c r="H294" s="9">
        <v>45233</v>
      </c>
      <c r="I294" s="9">
        <v>45248</v>
      </c>
      <c r="J294" s="8">
        <v>5173</v>
      </c>
      <c r="K294" s="8" t="s">
        <v>31</v>
      </c>
      <c r="L294" s="8" t="s">
        <v>32</v>
      </c>
      <c r="M294" s="8"/>
      <c r="N294" s="8" t="b">
        <v>0</v>
      </c>
      <c r="O294" s="10">
        <v>695738</v>
      </c>
      <c r="P294" s="8" t="s">
        <v>204</v>
      </c>
      <c r="Q294" s="8">
        <v>524614</v>
      </c>
      <c r="R294" s="9">
        <v>45233</v>
      </c>
      <c r="S294" s="8" t="s">
        <v>180</v>
      </c>
      <c r="T294" s="8" t="s">
        <v>44</v>
      </c>
      <c r="U294" s="8" t="s">
        <v>45</v>
      </c>
      <c r="V294" s="8" t="s">
        <v>46</v>
      </c>
      <c r="W294" s="8">
        <v>0</v>
      </c>
    </row>
    <row r="295" spans="1:23" x14ac:dyDescent="0.25">
      <c r="A295" s="4">
        <v>1</v>
      </c>
      <c r="B295" s="4"/>
      <c r="C295" s="4">
        <v>882847</v>
      </c>
      <c r="D295" s="4">
        <v>5173</v>
      </c>
      <c r="E295" s="5">
        <f t="shared" si="4"/>
        <v>-2</v>
      </c>
      <c r="F295" s="15">
        <v>45245</v>
      </c>
      <c r="G295" s="10">
        <v>329584112</v>
      </c>
      <c r="H295" s="9">
        <v>45233</v>
      </c>
      <c r="I295" s="9">
        <v>45248</v>
      </c>
      <c r="J295" s="8">
        <v>5171</v>
      </c>
      <c r="K295" s="8" t="s">
        <v>31</v>
      </c>
      <c r="L295" s="8" t="s">
        <v>32</v>
      </c>
      <c r="M295" s="8"/>
      <c r="N295" s="8" t="b">
        <v>0</v>
      </c>
      <c r="O295" s="10">
        <v>687434</v>
      </c>
      <c r="P295" s="8" t="s">
        <v>198</v>
      </c>
      <c r="Q295" s="8">
        <v>524591</v>
      </c>
      <c r="R295" s="9">
        <v>45233</v>
      </c>
      <c r="S295" s="8" t="s">
        <v>34</v>
      </c>
      <c r="T295" s="8" t="s">
        <v>44</v>
      </c>
      <c r="U295" s="8" t="s">
        <v>58</v>
      </c>
      <c r="V295" s="8" t="s">
        <v>46</v>
      </c>
      <c r="W295" s="8">
        <v>0</v>
      </c>
    </row>
    <row r="296" spans="1:23" x14ac:dyDescent="0.25">
      <c r="A296" s="4">
        <v>1</v>
      </c>
      <c r="B296" s="4"/>
      <c r="C296" s="4">
        <v>882884</v>
      </c>
      <c r="D296" s="4">
        <v>35168</v>
      </c>
      <c r="E296" s="5">
        <f t="shared" si="4"/>
        <v>0</v>
      </c>
      <c r="F296" s="15">
        <v>45245</v>
      </c>
      <c r="G296" s="10">
        <v>329584577</v>
      </c>
      <c r="H296" s="9">
        <v>45233</v>
      </c>
      <c r="I296" s="9">
        <v>45248</v>
      </c>
      <c r="J296" s="8">
        <v>35168</v>
      </c>
      <c r="K296" s="8" t="s">
        <v>31</v>
      </c>
      <c r="L296" s="8" t="s">
        <v>32</v>
      </c>
      <c r="M296" s="8"/>
      <c r="N296" s="8" t="b">
        <v>0</v>
      </c>
      <c r="O296" s="10"/>
      <c r="P296" s="8" t="s">
        <v>293</v>
      </c>
      <c r="Q296" s="8">
        <v>504129</v>
      </c>
      <c r="R296" s="9">
        <v>45232</v>
      </c>
      <c r="S296" s="8" t="s">
        <v>34</v>
      </c>
      <c r="T296" s="8" t="s">
        <v>49</v>
      </c>
      <c r="U296" s="8" t="s">
        <v>75</v>
      </c>
      <c r="V296" s="8" t="s">
        <v>46</v>
      </c>
      <c r="W296" s="8">
        <v>0</v>
      </c>
    </row>
    <row r="297" spans="1:23" x14ac:dyDescent="0.25">
      <c r="A297" s="4">
        <v>1</v>
      </c>
      <c r="B297" s="4"/>
      <c r="C297" s="4">
        <v>882848</v>
      </c>
      <c r="D297" s="4">
        <v>5202.5</v>
      </c>
      <c r="E297" s="5">
        <f t="shared" si="4"/>
        <v>-1.5</v>
      </c>
      <c r="F297" s="15">
        <v>45245</v>
      </c>
      <c r="G297" s="10">
        <v>329584628</v>
      </c>
      <c r="H297" s="9">
        <v>45233</v>
      </c>
      <c r="I297" s="9">
        <v>45248</v>
      </c>
      <c r="J297" s="8">
        <v>5201</v>
      </c>
      <c r="K297" s="8" t="s">
        <v>31</v>
      </c>
      <c r="L297" s="8" t="s">
        <v>32</v>
      </c>
      <c r="M297" s="8"/>
      <c r="N297" s="8" t="b">
        <v>0</v>
      </c>
      <c r="O297" s="10">
        <v>705111</v>
      </c>
      <c r="P297" s="8" t="s">
        <v>219</v>
      </c>
      <c r="Q297" s="8">
        <v>524766</v>
      </c>
      <c r="R297" s="9">
        <v>45233</v>
      </c>
      <c r="S297" s="8" t="s">
        <v>34</v>
      </c>
      <c r="T297" s="8" t="s">
        <v>40</v>
      </c>
      <c r="U297" s="8" t="s">
        <v>58</v>
      </c>
      <c r="V297" s="8" t="s">
        <v>46</v>
      </c>
      <c r="W297" s="8">
        <v>0</v>
      </c>
    </row>
    <row r="298" spans="1:23" x14ac:dyDescent="0.25">
      <c r="A298" s="4">
        <v>1</v>
      </c>
      <c r="B298" s="4"/>
      <c r="C298" s="4">
        <v>882891</v>
      </c>
      <c r="D298" s="4">
        <v>1600</v>
      </c>
      <c r="E298" s="5">
        <f t="shared" si="4"/>
        <v>0</v>
      </c>
      <c r="F298" s="15">
        <v>45245</v>
      </c>
      <c r="G298" s="10">
        <v>329577365</v>
      </c>
      <c r="H298" s="9">
        <v>45236</v>
      </c>
      <c r="I298" s="9">
        <v>45251</v>
      </c>
      <c r="J298" s="8">
        <v>1600</v>
      </c>
      <c r="K298" s="8" t="s">
        <v>294</v>
      </c>
      <c r="L298" s="8" t="s">
        <v>32</v>
      </c>
      <c r="M298" s="8"/>
      <c r="N298" s="8" t="b">
        <v>0</v>
      </c>
      <c r="O298" s="10"/>
      <c r="P298" s="8"/>
      <c r="Q298" s="8"/>
      <c r="R298" s="9"/>
      <c r="S298" s="8"/>
      <c r="T298" s="8"/>
      <c r="U298" s="8"/>
      <c r="V298" s="8"/>
      <c r="W298" s="8">
        <v>0</v>
      </c>
    </row>
    <row r="299" spans="1:23" x14ac:dyDescent="0.25">
      <c r="A299" s="4">
        <v>1</v>
      </c>
      <c r="B299" s="4"/>
      <c r="C299" s="4">
        <v>882849</v>
      </c>
      <c r="D299" s="4">
        <v>5200.5</v>
      </c>
      <c r="E299" s="5">
        <f t="shared" si="4"/>
        <v>0.5</v>
      </c>
      <c r="F299" s="15">
        <v>45245</v>
      </c>
      <c r="G299" s="10">
        <v>329603519</v>
      </c>
      <c r="H299" s="9">
        <v>45236</v>
      </c>
      <c r="I299" s="9">
        <v>45251</v>
      </c>
      <c r="J299" s="8">
        <v>5201</v>
      </c>
      <c r="K299" s="8" t="s">
        <v>31</v>
      </c>
      <c r="L299" s="8" t="s">
        <v>32</v>
      </c>
      <c r="M299" s="8"/>
      <c r="N299" s="8" t="b">
        <v>0</v>
      </c>
      <c r="O299" s="10">
        <v>705113</v>
      </c>
      <c r="P299" s="8" t="s">
        <v>133</v>
      </c>
      <c r="Q299" s="8">
        <v>535889</v>
      </c>
      <c r="R299" s="9">
        <v>45234</v>
      </c>
      <c r="S299" s="8" t="s">
        <v>34</v>
      </c>
      <c r="T299" s="8" t="s">
        <v>40</v>
      </c>
      <c r="U299" s="8" t="s">
        <v>58</v>
      </c>
      <c r="V299" s="8" t="s">
        <v>46</v>
      </c>
      <c r="W299" s="8">
        <v>0</v>
      </c>
    </row>
    <row r="300" spans="1:23" x14ac:dyDescent="0.25">
      <c r="A300" s="4">
        <v>1</v>
      </c>
      <c r="B300" s="4"/>
      <c r="C300" s="4">
        <v>882850</v>
      </c>
      <c r="D300" s="4">
        <v>5200.5</v>
      </c>
      <c r="E300" s="5">
        <f t="shared" si="4"/>
        <v>2.5</v>
      </c>
      <c r="F300" s="15">
        <v>45245</v>
      </c>
      <c r="G300" s="10">
        <v>329603532</v>
      </c>
      <c r="H300" s="9">
        <v>45236</v>
      </c>
      <c r="I300" s="9">
        <v>45251</v>
      </c>
      <c r="J300" s="8">
        <v>5203</v>
      </c>
      <c r="K300" s="8" t="s">
        <v>31</v>
      </c>
      <c r="L300" s="8" t="s">
        <v>32</v>
      </c>
      <c r="M300" s="8"/>
      <c r="N300" s="8" t="b">
        <v>0</v>
      </c>
      <c r="O300" s="10">
        <v>705227</v>
      </c>
      <c r="P300" s="8" t="s">
        <v>143</v>
      </c>
      <c r="Q300" s="8">
        <v>535882</v>
      </c>
      <c r="R300" s="9">
        <v>45234</v>
      </c>
      <c r="S300" s="8" t="s">
        <v>48</v>
      </c>
      <c r="T300" s="8" t="s">
        <v>40</v>
      </c>
      <c r="U300" s="8" t="s">
        <v>45</v>
      </c>
      <c r="V300" s="8" t="s">
        <v>46</v>
      </c>
      <c r="W300" s="8">
        <v>0</v>
      </c>
    </row>
    <row r="301" spans="1:23" x14ac:dyDescent="0.25">
      <c r="A301" s="4">
        <v>1</v>
      </c>
      <c r="B301" s="4"/>
      <c r="C301" s="4">
        <v>882851</v>
      </c>
      <c r="D301" s="4">
        <v>5202.5</v>
      </c>
      <c r="E301" s="5">
        <f t="shared" si="4"/>
        <v>0.5</v>
      </c>
      <c r="F301" s="15">
        <v>45245</v>
      </c>
      <c r="G301" s="10">
        <v>329603533</v>
      </c>
      <c r="H301" s="9">
        <v>45236</v>
      </c>
      <c r="I301" s="9">
        <v>45251</v>
      </c>
      <c r="J301" s="8">
        <v>5203</v>
      </c>
      <c r="K301" s="8" t="s">
        <v>31</v>
      </c>
      <c r="L301" s="8" t="s">
        <v>32</v>
      </c>
      <c r="M301" s="8"/>
      <c r="N301" s="8" t="b">
        <v>0</v>
      </c>
      <c r="O301" s="10">
        <v>705230</v>
      </c>
      <c r="P301" s="8" t="s">
        <v>229</v>
      </c>
      <c r="Q301" s="8">
        <v>535885</v>
      </c>
      <c r="R301" s="9">
        <v>45234</v>
      </c>
      <c r="S301" s="8" t="s">
        <v>48</v>
      </c>
      <c r="T301" s="8" t="s">
        <v>40</v>
      </c>
      <c r="U301" s="8" t="s">
        <v>45</v>
      </c>
      <c r="V301" s="8" t="s">
        <v>46</v>
      </c>
      <c r="W301" s="8">
        <v>0</v>
      </c>
    </row>
    <row r="302" spans="1:23" x14ac:dyDescent="0.25">
      <c r="A302" s="4">
        <v>1</v>
      </c>
      <c r="B302" s="4"/>
      <c r="C302" s="4">
        <v>882852</v>
      </c>
      <c r="D302" s="4">
        <v>5202.5</v>
      </c>
      <c r="E302" s="5">
        <f t="shared" si="4"/>
        <v>0.5</v>
      </c>
      <c r="F302" s="15">
        <v>45245</v>
      </c>
      <c r="G302" s="10">
        <v>329603534</v>
      </c>
      <c r="H302" s="9">
        <v>45236</v>
      </c>
      <c r="I302" s="9">
        <v>45251</v>
      </c>
      <c r="J302" s="8">
        <v>5203</v>
      </c>
      <c r="K302" s="8" t="s">
        <v>31</v>
      </c>
      <c r="L302" s="8" t="s">
        <v>32</v>
      </c>
      <c r="M302" s="8"/>
      <c r="N302" s="8" t="b">
        <v>0</v>
      </c>
      <c r="O302" s="10">
        <v>705226</v>
      </c>
      <c r="P302" s="8" t="s">
        <v>140</v>
      </c>
      <c r="Q302" s="8">
        <v>535880</v>
      </c>
      <c r="R302" s="9">
        <v>45234</v>
      </c>
      <c r="S302" s="8" t="s">
        <v>48</v>
      </c>
      <c r="T302" s="8" t="s">
        <v>40</v>
      </c>
      <c r="U302" s="8" t="s">
        <v>45</v>
      </c>
      <c r="V302" s="8" t="s">
        <v>46</v>
      </c>
      <c r="W302" s="8">
        <v>0</v>
      </c>
    </row>
    <row r="303" spans="1:23" x14ac:dyDescent="0.25">
      <c r="A303" s="4">
        <v>1</v>
      </c>
      <c r="B303" s="4"/>
      <c r="C303" s="4">
        <v>882853</v>
      </c>
      <c r="D303" s="4">
        <v>5202.5</v>
      </c>
      <c r="E303" s="5">
        <f t="shared" si="4"/>
        <v>-1.5</v>
      </c>
      <c r="F303" s="15">
        <v>45245</v>
      </c>
      <c r="G303" s="10">
        <v>329603536</v>
      </c>
      <c r="H303" s="9">
        <v>45236</v>
      </c>
      <c r="I303" s="9">
        <v>45251</v>
      </c>
      <c r="J303" s="8">
        <v>5201</v>
      </c>
      <c r="K303" s="8" t="s">
        <v>31</v>
      </c>
      <c r="L303" s="8" t="s">
        <v>32</v>
      </c>
      <c r="M303" s="8"/>
      <c r="N303" s="8" t="b">
        <v>0</v>
      </c>
      <c r="O303" s="10">
        <v>705112</v>
      </c>
      <c r="P303" s="8" t="s">
        <v>134</v>
      </c>
      <c r="Q303" s="8">
        <v>535888</v>
      </c>
      <c r="R303" s="9">
        <v>45234</v>
      </c>
      <c r="S303" s="8" t="s">
        <v>34</v>
      </c>
      <c r="T303" s="8" t="s">
        <v>40</v>
      </c>
      <c r="U303" s="8" t="s">
        <v>58</v>
      </c>
      <c r="V303" s="8" t="s">
        <v>46</v>
      </c>
      <c r="W303" s="8">
        <v>0</v>
      </c>
    </row>
    <row r="304" spans="1:23" x14ac:dyDescent="0.25">
      <c r="A304" s="4">
        <v>1</v>
      </c>
      <c r="B304" s="4"/>
      <c r="C304" s="4">
        <v>882854</v>
      </c>
      <c r="D304" s="4">
        <v>5202.5</v>
      </c>
      <c r="E304" s="5">
        <f t="shared" si="4"/>
        <v>0.5</v>
      </c>
      <c r="F304" s="15">
        <v>45245</v>
      </c>
      <c r="G304" s="10">
        <v>329603538</v>
      </c>
      <c r="H304" s="9">
        <v>45236</v>
      </c>
      <c r="I304" s="9">
        <v>45251</v>
      </c>
      <c r="J304" s="8">
        <v>5203</v>
      </c>
      <c r="K304" s="8" t="s">
        <v>31</v>
      </c>
      <c r="L304" s="8" t="s">
        <v>32</v>
      </c>
      <c r="M304" s="8"/>
      <c r="N304" s="8" t="b">
        <v>0</v>
      </c>
      <c r="O304" s="10">
        <v>704343</v>
      </c>
      <c r="P304" s="8" t="s">
        <v>217</v>
      </c>
      <c r="Q304" s="8">
        <v>535878</v>
      </c>
      <c r="R304" s="9">
        <v>45234</v>
      </c>
      <c r="S304" s="8" t="s">
        <v>48</v>
      </c>
      <c r="T304" s="8" t="s">
        <v>40</v>
      </c>
      <c r="U304" s="8" t="s">
        <v>45</v>
      </c>
      <c r="V304" s="8" t="s">
        <v>46</v>
      </c>
      <c r="W304" s="8">
        <v>0</v>
      </c>
    </row>
    <row r="305" spans="1:23" x14ac:dyDescent="0.25">
      <c r="A305" s="4">
        <v>1</v>
      </c>
      <c r="B305" s="4"/>
      <c r="C305" s="4">
        <v>882855</v>
      </c>
      <c r="D305" s="4">
        <v>5202.5</v>
      </c>
      <c r="E305" s="5">
        <f t="shared" si="4"/>
        <v>0.5</v>
      </c>
      <c r="F305" s="15">
        <v>45245</v>
      </c>
      <c r="G305" s="10">
        <v>329603539</v>
      </c>
      <c r="H305" s="9">
        <v>45236</v>
      </c>
      <c r="I305" s="9">
        <v>45251</v>
      </c>
      <c r="J305" s="8">
        <v>5203</v>
      </c>
      <c r="K305" s="8" t="s">
        <v>31</v>
      </c>
      <c r="L305" s="8" t="s">
        <v>32</v>
      </c>
      <c r="M305" s="8"/>
      <c r="N305" s="8" t="b">
        <v>0</v>
      </c>
      <c r="O305" s="10">
        <v>705229</v>
      </c>
      <c r="P305" s="8" t="s">
        <v>138</v>
      </c>
      <c r="Q305" s="8">
        <v>535884</v>
      </c>
      <c r="R305" s="9">
        <v>45234</v>
      </c>
      <c r="S305" s="8" t="s">
        <v>48</v>
      </c>
      <c r="T305" s="8" t="s">
        <v>40</v>
      </c>
      <c r="U305" s="8" t="s">
        <v>45</v>
      </c>
      <c r="V305" s="8" t="s">
        <v>46</v>
      </c>
      <c r="W305" s="8">
        <v>0</v>
      </c>
    </row>
    <row r="306" spans="1:23" x14ac:dyDescent="0.25">
      <c r="A306" s="4">
        <v>1</v>
      </c>
      <c r="B306" s="4"/>
      <c r="C306" s="4">
        <v>882856</v>
      </c>
      <c r="D306" s="4">
        <v>5202.5</v>
      </c>
      <c r="E306" s="5">
        <f t="shared" si="4"/>
        <v>0.5</v>
      </c>
      <c r="F306" s="15">
        <v>45245</v>
      </c>
      <c r="G306" s="10">
        <v>329603540</v>
      </c>
      <c r="H306" s="9">
        <v>45236</v>
      </c>
      <c r="I306" s="9">
        <v>45251</v>
      </c>
      <c r="J306" s="8">
        <v>5203</v>
      </c>
      <c r="K306" s="8" t="s">
        <v>31</v>
      </c>
      <c r="L306" s="8" t="s">
        <v>32</v>
      </c>
      <c r="M306" s="8"/>
      <c r="N306" s="8" t="b">
        <v>0</v>
      </c>
      <c r="O306" s="10">
        <v>705225</v>
      </c>
      <c r="P306" s="8" t="s">
        <v>141</v>
      </c>
      <c r="Q306" s="8">
        <v>535879</v>
      </c>
      <c r="R306" s="9">
        <v>45234</v>
      </c>
      <c r="S306" s="8" t="s">
        <v>48</v>
      </c>
      <c r="T306" s="8" t="s">
        <v>40</v>
      </c>
      <c r="U306" s="8" t="s">
        <v>45</v>
      </c>
      <c r="V306" s="8" t="s">
        <v>46</v>
      </c>
      <c r="W306" s="8">
        <v>0</v>
      </c>
    </row>
    <row r="307" spans="1:23" x14ac:dyDescent="0.25">
      <c r="A307" s="4">
        <v>1</v>
      </c>
      <c r="B307" s="4"/>
      <c r="C307" s="4">
        <v>882857</v>
      </c>
      <c r="D307" s="4">
        <v>5202.5</v>
      </c>
      <c r="E307" s="5">
        <f t="shared" si="4"/>
        <v>0.5</v>
      </c>
      <c r="F307" s="15">
        <v>45245</v>
      </c>
      <c r="G307" s="10">
        <v>329603541</v>
      </c>
      <c r="H307" s="9">
        <v>45236</v>
      </c>
      <c r="I307" s="9">
        <v>45251</v>
      </c>
      <c r="J307" s="8">
        <v>5203</v>
      </c>
      <c r="K307" s="8" t="s">
        <v>31</v>
      </c>
      <c r="L307" s="8" t="s">
        <v>32</v>
      </c>
      <c r="M307" s="8"/>
      <c r="N307" s="8" t="b">
        <v>0</v>
      </c>
      <c r="O307" s="10">
        <v>705228</v>
      </c>
      <c r="P307" s="8" t="s">
        <v>127</v>
      </c>
      <c r="Q307" s="8">
        <v>535883</v>
      </c>
      <c r="R307" s="9">
        <v>45234</v>
      </c>
      <c r="S307" s="8" t="s">
        <v>48</v>
      </c>
      <c r="T307" s="8" t="s">
        <v>40</v>
      </c>
      <c r="U307" s="8" t="s">
        <v>45</v>
      </c>
      <c r="V307" s="8" t="s">
        <v>46</v>
      </c>
      <c r="W307" s="8">
        <v>0</v>
      </c>
    </row>
    <row r="308" spans="1:23" x14ac:dyDescent="0.25">
      <c r="A308" s="4">
        <v>1</v>
      </c>
      <c r="B308" s="4"/>
      <c r="C308" s="4">
        <v>882858</v>
      </c>
      <c r="D308" s="4">
        <v>5202.5</v>
      </c>
      <c r="E308" s="5">
        <f t="shared" si="4"/>
        <v>0.5</v>
      </c>
      <c r="F308" s="15">
        <v>45245</v>
      </c>
      <c r="G308" s="10">
        <v>329603542</v>
      </c>
      <c r="H308" s="9">
        <v>45236</v>
      </c>
      <c r="I308" s="9">
        <v>45251</v>
      </c>
      <c r="J308" s="8">
        <v>5203</v>
      </c>
      <c r="K308" s="8" t="s">
        <v>31</v>
      </c>
      <c r="L308" s="8" t="s">
        <v>32</v>
      </c>
      <c r="M308" s="8"/>
      <c r="N308" s="8" t="b">
        <v>0</v>
      </c>
      <c r="O308" s="10">
        <v>705231</v>
      </c>
      <c r="P308" s="8" t="s">
        <v>226</v>
      </c>
      <c r="Q308" s="8">
        <v>535886</v>
      </c>
      <c r="R308" s="9">
        <v>45234</v>
      </c>
      <c r="S308" s="8" t="s">
        <v>48</v>
      </c>
      <c r="T308" s="8" t="s">
        <v>40</v>
      </c>
      <c r="U308" s="8" t="s">
        <v>45</v>
      </c>
      <c r="V308" s="8" t="s">
        <v>46</v>
      </c>
      <c r="W308" s="8">
        <v>0</v>
      </c>
    </row>
    <row r="309" spans="1:23" x14ac:dyDescent="0.25">
      <c r="A309" s="4">
        <v>1</v>
      </c>
      <c r="B309" s="4"/>
      <c r="C309" s="4">
        <v>882859</v>
      </c>
      <c r="D309" s="4">
        <v>5202.5</v>
      </c>
      <c r="E309" s="5">
        <f t="shared" si="4"/>
        <v>0.5</v>
      </c>
      <c r="F309" s="15">
        <v>45245</v>
      </c>
      <c r="G309" s="10">
        <v>329610082</v>
      </c>
      <c r="H309" s="9">
        <v>45236</v>
      </c>
      <c r="I309" s="9">
        <v>45251</v>
      </c>
      <c r="J309" s="8">
        <v>5203</v>
      </c>
      <c r="K309" s="8" t="s">
        <v>31</v>
      </c>
      <c r="L309" s="8" t="s">
        <v>32</v>
      </c>
      <c r="M309" s="8"/>
      <c r="N309" s="8" t="b">
        <v>0</v>
      </c>
      <c r="O309" s="10">
        <v>705232</v>
      </c>
      <c r="P309" s="8" t="s">
        <v>231</v>
      </c>
      <c r="Q309" s="8">
        <v>538497</v>
      </c>
      <c r="R309" s="9">
        <v>45235</v>
      </c>
      <c r="S309" s="8" t="s">
        <v>48</v>
      </c>
      <c r="T309" s="8" t="s">
        <v>40</v>
      </c>
      <c r="U309" s="8" t="s">
        <v>45</v>
      </c>
      <c r="V309" s="8" t="s">
        <v>46</v>
      </c>
      <c r="W309" s="8">
        <v>0</v>
      </c>
    </row>
    <row r="310" spans="1:23" x14ac:dyDescent="0.25">
      <c r="A310" s="4">
        <v>1</v>
      </c>
      <c r="B310" s="4"/>
      <c r="C310" s="4">
        <v>882860</v>
      </c>
      <c r="D310" s="4">
        <v>5200.5</v>
      </c>
      <c r="E310" s="5">
        <f t="shared" si="4"/>
        <v>0.5</v>
      </c>
      <c r="F310" s="15">
        <v>45245</v>
      </c>
      <c r="G310" s="10">
        <v>329610094</v>
      </c>
      <c r="H310" s="9">
        <v>45236</v>
      </c>
      <c r="I310" s="9">
        <v>45251</v>
      </c>
      <c r="J310" s="8">
        <v>5201</v>
      </c>
      <c r="K310" s="8" t="s">
        <v>31</v>
      </c>
      <c r="L310" s="8" t="s">
        <v>32</v>
      </c>
      <c r="M310" s="8"/>
      <c r="N310" s="8" t="b">
        <v>0</v>
      </c>
      <c r="O310" s="10">
        <v>705239</v>
      </c>
      <c r="P310" s="8" t="s">
        <v>225</v>
      </c>
      <c r="Q310" s="8">
        <v>538499</v>
      </c>
      <c r="R310" s="9">
        <v>45235</v>
      </c>
      <c r="S310" s="8" t="s">
        <v>34</v>
      </c>
      <c r="T310" s="8" t="s">
        <v>40</v>
      </c>
      <c r="U310" s="8" t="s">
        <v>58</v>
      </c>
      <c r="V310" s="8" t="s">
        <v>46</v>
      </c>
      <c r="W310" s="8">
        <v>0</v>
      </c>
    </row>
    <row r="311" spans="1:23" x14ac:dyDescent="0.25">
      <c r="A311" s="4">
        <v>1</v>
      </c>
      <c r="B311" s="4"/>
      <c r="C311" s="4">
        <v>882861</v>
      </c>
      <c r="D311" s="4">
        <v>5170.5</v>
      </c>
      <c r="E311" s="5">
        <f t="shared" si="4"/>
        <v>2.5</v>
      </c>
      <c r="F311" s="15">
        <v>45245</v>
      </c>
      <c r="G311" s="10">
        <v>329617522</v>
      </c>
      <c r="H311" s="9">
        <v>45236</v>
      </c>
      <c r="I311" s="9">
        <v>45251</v>
      </c>
      <c r="J311" s="8">
        <v>5173</v>
      </c>
      <c r="K311" s="8" t="s">
        <v>31</v>
      </c>
      <c r="L311" s="8" t="s">
        <v>32</v>
      </c>
      <c r="M311" s="8"/>
      <c r="N311" s="8" t="b">
        <v>0</v>
      </c>
      <c r="O311" s="10">
        <v>704292</v>
      </c>
      <c r="P311" s="8" t="s">
        <v>182</v>
      </c>
      <c r="Q311" s="8">
        <v>542402</v>
      </c>
      <c r="R311" s="9">
        <v>45236</v>
      </c>
      <c r="S311" s="8" t="s">
        <v>34</v>
      </c>
      <c r="T311" s="8" t="s">
        <v>44</v>
      </c>
      <c r="U311" s="8" t="s">
        <v>45</v>
      </c>
      <c r="V311" s="8" t="s">
        <v>46</v>
      </c>
      <c r="W311" s="8">
        <v>0</v>
      </c>
    </row>
    <row r="312" spans="1:23" x14ac:dyDescent="0.25">
      <c r="A312" s="4">
        <v>1</v>
      </c>
      <c r="B312" s="4"/>
      <c r="C312" s="4">
        <v>882862</v>
      </c>
      <c r="D312" s="4">
        <v>5170.5</v>
      </c>
      <c r="E312" s="5">
        <f t="shared" si="4"/>
        <v>2.5</v>
      </c>
      <c r="F312" s="15">
        <v>45245</v>
      </c>
      <c r="G312" s="10">
        <v>329617866</v>
      </c>
      <c r="H312" s="9">
        <v>45236</v>
      </c>
      <c r="I312" s="9">
        <v>45251</v>
      </c>
      <c r="J312" s="8">
        <v>5173</v>
      </c>
      <c r="K312" s="8" t="s">
        <v>31</v>
      </c>
      <c r="L312" s="8" t="s">
        <v>32</v>
      </c>
      <c r="M312" s="8"/>
      <c r="N312" s="8" t="b">
        <v>0</v>
      </c>
      <c r="O312" s="10">
        <v>705118</v>
      </c>
      <c r="P312" s="8" t="s">
        <v>295</v>
      </c>
      <c r="Q312" s="8">
        <v>542509</v>
      </c>
      <c r="R312" s="9">
        <v>45236</v>
      </c>
      <c r="S312" s="8" t="s">
        <v>34</v>
      </c>
      <c r="T312" s="8" t="s">
        <v>44</v>
      </c>
      <c r="U312" s="8" t="s">
        <v>45</v>
      </c>
      <c r="V312" s="8" t="s">
        <v>46</v>
      </c>
      <c r="W312" s="8">
        <v>0</v>
      </c>
    </row>
    <row r="313" spans="1:23" x14ac:dyDescent="0.25">
      <c r="A313" s="4">
        <v>1</v>
      </c>
      <c r="B313" s="4"/>
      <c r="C313" s="4">
        <v>882863</v>
      </c>
      <c r="D313" s="4">
        <v>5170.5</v>
      </c>
      <c r="E313" s="5">
        <f t="shared" si="4"/>
        <v>2.5</v>
      </c>
      <c r="F313" s="15">
        <v>45245</v>
      </c>
      <c r="G313" s="10">
        <v>329617880</v>
      </c>
      <c r="H313" s="9">
        <v>45236</v>
      </c>
      <c r="I313" s="9">
        <v>45251</v>
      </c>
      <c r="J313" s="8">
        <v>5173</v>
      </c>
      <c r="K313" s="8" t="s">
        <v>31</v>
      </c>
      <c r="L313" s="8" t="s">
        <v>32</v>
      </c>
      <c r="M313" s="8"/>
      <c r="N313" s="8" t="b">
        <v>0</v>
      </c>
      <c r="O313" s="10">
        <v>705117</v>
      </c>
      <c r="P313" s="8" t="s">
        <v>252</v>
      </c>
      <c r="Q313" s="8">
        <v>542480</v>
      </c>
      <c r="R313" s="9">
        <v>45236</v>
      </c>
      <c r="S313" s="8" t="s">
        <v>34</v>
      </c>
      <c r="T313" s="8" t="s">
        <v>44</v>
      </c>
      <c r="U313" s="8" t="s">
        <v>45</v>
      </c>
      <c r="V313" s="8" t="s">
        <v>46</v>
      </c>
      <c r="W313" s="8">
        <v>0</v>
      </c>
    </row>
    <row r="314" spans="1:23" x14ac:dyDescent="0.25">
      <c r="A314" s="4">
        <v>1</v>
      </c>
      <c r="B314" s="4"/>
      <c r="C314" s="4">
        <v>882885</v>
      </c>
      <c r="D314" s="4">
        <v>13117</v>
      </c>
      <c r="E314" s="5">
        <f t="shared" si="4"/>
        <v>-9</v>
      </c>
      <c r="F314" s="15">
        <v>45245</v>
      </c>
      <c r="G314" s="10">
        <v>329620493</v>
      </c>
      <c r="H314" s="9">
        <v>45236</v>
      </c>
      <c r="I314" s="9">
        <v>45251</v>
      </c>
      <c r="J314" s="8">
        <v>13108</v>
      </c>
      <c r="K314" s="8" t="s">
        <v>31</v>
      </c>
      <c r="L314" s="8" t="s">
        <v>32</v>
      </c>
      <c r="M314" s="8"/>
      <c r="N314" s="8" t="b">
        <v>0</v>
      </c>
      <c r="O314" s="10"/>
      <c r="P314" s="8" t="s">
        <v>296</v>
      </c>
      <c r="Q314" s="8">
        <v>545811</v>
      </c>
      <c r="R314" s="9">
        <v>45236</v>
      </c>
      <c r="S314" s="8" t="s">
        <v>70</v>
      </c>
      <c r="T314" s="8" t="s">
        <v>49</v>
      </c>
      <c r="U314" s="8" t="s">
        <v>71</v>
      </c>
      <c r="V314" s="8" t="s">
        <v>72</v>
      </c>
      <c r="W314" s="8">
        <v>0</v>
      </c>
    </row>
    <row r="315" spans="1:23" x14ac:dyDescent="0.25">
      <c r="A315" s="4">
        <v>1</v>
      </c>
      <c r="B315" s="4"/>
      <c r="C315" s="4">
        <v>882886</v>
      </c>
      <c r="D315" s="4">
        <v>52752</v>
      </c>
      <c r="E315" s="5">
        <f t="shared" si="4"/>
        <v>0</v>
      </c>
      <c r="F315" s="15">
        <v>45245</v>
      </c>
      <c r="G315" s="10">
        <v>329637007</v>
      </c>
      <c r="H315" s="9">
        <v>45237</v>
      </c>
      <c r="I315" s="9">
        <v>45252</v>
      </c>
      <c r="J315" s="8">
        <v>52752</v>
      </c>
      <c r="K315" s="8" t="s">
        <v>31</v>
      </c>
      <c r="L315" s="8" t="s">
        <v>32</v>
      </c>
      <c r="M315" s="8"/>
      <c r="N315" s="8" t="b">
        <v>0</v>
      </c>
      <c r="O315" s="10"/>
      <c r="P315" s="8" t="s">
        <v>297</v>
      </c>
      <c r="Q315" s="8">
        <v>546263</v>
      </c>
      <c r="R315" s="9">
        <v>45236</v>
      </c>
      <c r="S315" s="8" t="s">
        <v>34</v>
      </c>
      <c r="T315" s="8" t="s">
        <v>49</v>
      </c>
      <c r="U315" s="8" t="s">
        <v>75</v>
      </c>
      <c r="V315" s="8" t="s">
        <v>46</v>
      </c>
      <c r="W315" s="8">
        <v>0</v>
      </c>
    </row>
    <row r="316" spans="1:23" x14ac:dyDescent="0.25">
      <c r="A316" s="4">
        <v>1</v>
      </c>
      <c r="B316" s="4"/>
      <c r="C316" s="4">
        <v>882022</v>
      </c>
      <c r="D316" s="4">
        <v>9339</v>
      </c>
      <c r="E316" s="5">
        <f t="shared" si="4"/>
        <v>1</v>
      </c>
      <c r="F316" s="15">
        <v>45245</v>
      </c>
      <c r="G316" s="10">
        <v>329645981</v>
      </c>
      <c r="H316" s="9">
        <v>45237</v>
      </c>
      <c r="I316" s="9">
        <v>45252</v>
      </c>
      <c r="J316" s="8">
        <v>9340</v>
      </c>
      <c r="K316" s="8" t="s">
        <v>31</v>
      </c>
      <c r="L316" s="8" t="s">
        <v>32</v>
      </c>
      <c r="M316" s="8"/>
      <c r="N316" s="8" t="b">
        <v>0</v>
      </c>
      <c r="O316" s="10">
        <v>700593</v>
      </c>
      <c r="P316" s="8" t="s">
        <v>230</v>
      </c>
      <c r="Q316" s="8">
        <v>566827</v>
      </c>
      <c r="R316" s="9">
        <v>45237</v>
      </c>
      <c r="S316" s="8" t="s">
        <v>130</v>
      </c>
      <c r="T316" s="8" t="s">
        <v>40</v>
      </c>
      <c r="U316" s="8" t="s">
        <v>131</v>
      </c>
      <c r="V316" s="8" t="s">
        <v>132</v>
      </c>
      <c r="W316" s="8">
        <v>0</v>
      </c>
    </row>
    <row r="317" spans="1:23" x14ac:dyDescent="0.25">
      <c r="A317" s="4">
        <v>1</v>
      </c>
      <c r="B317" s="4"/>
      <c r="C317" s="4">
        <v>882864</v>
      </c>
      <c r="D317" s="4">
        <v>5202.5</v>
      </c>
      <c r="E317" s="5">
        <f t="shared" si="4"/>
        <v>-1.5</v>
      </c>
      <c r="F317" s="15">
        <v>45245</v>
      </c>
      <c r="G317" s="10">
        <v>329646332</v>
      </c>
      <c r="H317" s="9">
        <v>45237</v>
      </c>
      <c r="I317" s="9">
        <v>45252</v>
      </c>
      <c r="J317" s="8">
        <v>5201</v>
      </c>
      <c r="K317" s="8" t="s">
        <v>31</v>
      </c>
      <c r="L317" s="8" t="s">
        <v>32</v>
      </c>
      <c r="M317" s="8"/>
      <c r="N317" s="8" t="b">
        <v>0</v>
      </c>
      <c r="O317" s="10">
        <v>705408</v>
      </c>
      <c r="P317" s="8" t="s">
        <v>227</v>
      </c>
      <c r="Q317" s="8">
        <v>566993</v>
      </c>
      <c r="R317" s="9">
        <v>45237</v>
      </c>
      <c r="S317" s="8" t="s">
        <v>34</v>
      </c>
      <c r="T317" s="8" t="s">
        <v>40</v>
      </c>
      <c r="U317" s="8" t="s">
        <v>58</v>
      </c>
      <c r="V317" s="8" t="s">
        <v>46</v>
      </c>
      <c r="W317" s="8">
        <v>0</v>
      </c>
    </row>
    <row r="318" spans="1:23" x14ac:dyDescent="0.25">
      <c r="A318" s="4">
        <v>1</v>
      </c>
      <c r="B318" s="4"/>
      <c r="C318" s="4">
        <v>882539</v>
      </c>
      <c r="D318" s="4">
        <v>7037</v>
      </c>
      <c r="E318" s="5">
        <f t="shared" si="4"/>
        <v>0</v>
      </c>
      <c r="F318" s="15">
        <v>45245</v>
      </c>
      <c r="G318" s="10">
        <v>329646345</v>
      </c>
      <c r="H318" s="9">
        <v>45237</v>
      </c>
      <c r="I318" s="9">
        <v>45252</v>
      </c>
      <c r="J318" s="8">
        <v>7037</v>
      </c>
      <c r="K318" s="8" t="s">
        <v>31</v>
      </c>
      <c r="L318" s="8" t="s">
        <v>32</v>
      </c>
      <c r="M318" s="8"/>
      <c r="N318" s="8" t="b">
        <v>0</v>
      </c>
      <c r="O318" s="10">
        <v>21035</v>
      </c>
      <c r="P318" s="8" t="s">
        <v>218</v>
      </c>
      <c r="Q318" s="8">
        <v>566931</v>
      </c>
      <c r="R318" s="9">
        <v>45237</v>
      </c>
      <c r="S318" s="8" t="s">
        <v>39</v>
      </c>
      <c r="T318" s="8" t="s">
        <v>40</v>
      </c>
      <c r="U318" s="8" t="s">
        <v>41</v>
      </c>
      <c r="V318" s="8" t="s">
        <v>42</v>
      </c>
      <c r="W318" s="8">
        <v>0</v>
      </c>
    </row>
    <row r="319" spans="1:23" x14ac:dyDescent="0.25">
      <c r="A319" s="4">
        <v>1</v>
      </c>
      <c r="B319" s="4"/>
      <c r="C319" s="4">
        <v>882536</v>
      </c>
      <c r="D319" s="4">
        <v>6415.5</v>
      </c>
      <c r="E319" s="5">
        <f t="shared" si="4"/>
        <v>0.5</v>
      </c>
      <c r="F319" s="15">
        <v>45245</v>
      </c>
      <c r="G319" s="10">
        <v>329646352</v>
      </c>
      <c r="H319" s="9">
        <v>45237</v>
      </c>
      <c r="I319" s="9">
        <v>45252</v>
      </c>
      <c r="J319" s="8">
        <v>6416</v>
      </c>
      <c r="K319" s="8" t="s">
        <v>31</v>
      </c>
      <c r="L319" s="8" t="s">
        <v>32</v>
      </c>
      <c r="M319" s="8"/>
      <c r="N319" s="8" t="b">
        <v>0</v>
      </c>
      <c r="O319" s="10">
        <v>21032</v>
      </c>
      <c r="P319" s="8" t="s">
        <v>62</v>
      </c>
      <c r="Q319" s="8">
        <v>566877</v>
      </c>
      <c r="R319" s="9">
        <v>45237</v>
      </c>
      <c r="S319" s="8" t="s">
        <v>48</v>
      </c>
      <c r="T319" s="8" t="s">
        <v>40</v>
      </c>
      <c r="U319" s="8" t="s">
        <v>50</v>
      </c>
      <c r="V319" s="8" t="s">
        <v>37</v>
      </c>
      <c r="W319" s="8">
        <v>0</v>
      </c>
    </row>
    <row r="320" spans="1:23" x14ac:dyDescent="0.25">
      <c r="A320" s="4">
        <v>1</v>
      </c>
      <c r="B320" s="4"/>
      <c r="C320" s="4">
        <v>882865</v>
      </c>
      <c r="D320" s="4">
        <v>5202.5</v>
      </c>
      <c r="E320" s="5">
        <f t="shared" si="4"/>
        <v>-1.5</v>
      </c>
      <c r="F320" s="15">
        <v>45245</v>
      </c>
      <c r="G320" s="10">
        <v>329646361</v>
      </c>
      <c r="H320" s="9">
        <v>45237</v>
      </c>
      <c r="I320" s="9">
        <v>45252</v>
      </c>
      <c r="J320" s="8">
        <v>5201</v>
      </c>
      <c r="K320" s="8" t="s">
        <v>31</v>
      </c>
      <c r="L320" s="8" t="s">
        <v>32</v>
      </c>
      <c r="M320" s="8"/>
      <c r="N320" s="8" t="b">
        <v>0</v>
      </c>
      <c r="O320" s="10">
        <v>705409</v>
      </c>
      <c r="P320" s="8" t="s">
        <v>211</v>
      </c>
      <c r="Q320" s="8">
        <v>567007</v>
      </c>
      <c r="R320" s="9">
        <v>45237</v>
      </c>
      <c r="S320" s="8" t="s">
        <v>34</v>
      </c>
      <c r="T320" s="8" t="s">
        <v>40</v>
      </c>
      <c r="U320" s="8" t="s">
        <v>58</v>
      </c>
      <c r="V320" s="8" t="s">
        <v>46</v>
      </c>
      <c r="W320" s="8">
        <v>0</v>
      </c>
    </row>
    <row r="321" spans="1:23" x14ac:dyDescent="0.25">
      <c r="A321" s="4">
        <v>1</v>
      </c>
      <c r="B321" s="4"/>
      <c r="C321" s="4">
        <v>882534</v>
      </c>
      <c r="D321" s="4">
        <v>6415.5</v>
      </c>
      <c r="E321" s="5">
        <f t="shared" si="4"/>
        <v>0.5</v>
      </c>
      <c r="F321" s="15">
        <v>45245</v>
      </c>
      <c r="G321" s="10">
        <v>329646396</v>
      </c>
      <c r="H321" s="9">
        <v>45237</v>
      </c>
      <c r="I321" s="9">
        <v>45252</v>
      </c>
      <c r="J321" s="8">
        <v>6416</v>
      </c>
      <c r="K321" s="8" t="s">
        <v>31</v>
      </c>
      <c r="L321" s="8" t="s">
        <v>32</v>
      </c>
      <c r="M321" s="8"/>
      <c r="N321" s="8" t="b">
        <v>0</v>
      </c>
      <c r="O321" s="10">
        <v>21034</v>
      </c>
      <c r="P321" s="8" t="s">
        <v>216</v>
      </c>
      <c r="Q321" s="8">
        <v>566912</v>
      </c>
      <c r="R321" s="9">
        <v>45237</v>
      </c>
      <c r="S321" s="8" t="s">
        <v>48</v>
      </c>
      <c r="T321" s="8" t="s">
        <v>40</v>
      </c>
      <c r="U321" s="8" t="s">
        <v>50</v>
      </c>
      <c r="V321" s="8" t="s">
        <v>37</v>
      </c>
      <c r="W321" s="8">
        <v>0</v>
      </c>
    </row>
    <row r="322" spans="1:23" x14ac:dyDescent="0.25">
      <c r="A322" s="4">
        <v>1</v>
      </c>
      <c r="B322" s="4"/>
      <c r="C322" s="4">
        <v>882535</v>
      </c>
      <c r="D322" s="4">
        <v>6415.5</v>
      </c>
      <c r="E322" s="5">
        <f t="shared" si="4"/>
        <v>0.5</v>
      </c>
      <c r="F322" s="15">
        <v>45245</v>
      </c>
      <c r="G322" s="10">
        <v>329646402</v>
      </c>
      <c r="H322" s="9">
        <v>45237</v>
      </c>
      <c r="I322" s="9">
        <v>45252</v>
      </c>
      <c r="J322" s="8">
        <v>6416</v>
      </c>
      <c r="K322" s="8" t="s">
        <v>31</v>
      </c>
      <c r="L322" s="8" t="s">
        <v>32</v>
      </c>
      <c r="M322" s="8"/>
      <c r="N322" s="8" t="b">
        <v>0</v>
      </c>
      <c r="O322" s="10">
        <v>21033</v>
      </c>
      <c r="P322" s="8" t="s">
        <v>38</v>
      </c>
      <c r="Q322" s="8">
        <v>566886</v>
      </c>
      <c r="R322" s="9">
        <v>45237</v>
      </c>
      <c r="S322" s="8" t="s">
        <v>48</v>
      </c>
      <c r="T322" s="8" t="s">
        <v>40</v>
      </c>
      <c r="U322" s="8" t="s">
        <v>50</v>
      </c>
      <c r="V322" s="8" t="s">
        <v>37</v>
      </c>
      <c r="W322" s="8">
        <v>0</v>
      </c>
    </row>
    <row r="323" spans="1:23" x14ac:dyDescent="0.25">
      <c r="A323" s="4">
        <v>1</v>
      </c>
      <c r="B323" s="4"/>
      <c r="C323" s="4">
        <v>882538</v>
      </c>
      <c r="D323" s="4">
        <v>7037</v>
      </c>
      <c r="E323" s="5">
        <f t="shared" si="4"/>
        <v>0</v>
      </c>
      <c r="F323" s="15">
        <v>45245</v>
      </c>
      <c r="G323" s="10">
        <v>329646412</v>
      </c>
      <c r="H323" s="9">
        <v>45237</v>
      </c>
      <c r="I323" s="9">
        <v>45252</v>
      </c>
      <c r="J323" s="8">
        <v>7037</v>
      </c>
      <c r="K323" s="8" t="s">
        <v>31</v>
      </c>
      <c r="L323" s="8" t="s">
        <v>32</v>
      </c>
      <c r="M323" s="8"/>
      <c r="N323" s="8" t="b">
        <v>0</v>
      </c>
      <c r="O323" s="10">
        <v>21036</v>
      </c>
      <c r="P323" s="8" t="s">
        <v>128</v>
      </c>
      <c r="Q323" s="8">
        <v>566951</v>
      </c>
      <c r="R323" s="9">
        <v>45237</v>
      </c>
      <c r="S323" s="8" t="s">
        <v>39</v>
      </c>
      <c r="T323" s="8" t="s">
        <v>40</v>
      </c>
      <c r="U323" s="8" t="s">
        <v>41</v>
      </c>
      <c r="V323" s="8" t="s">
        <v>42</v>
      </c>
      <c r="W323" s="8">
        <v>0</v>
      </c>
    </row>
    <row r="324" spans="1:23" x14ac:dyDescent="0.25">
      <c r="A324" s="4">
        <v>1</v>
      </c>
      <c r="B324" s="4"/>
      <c r="C324" s="4">
        <v>882866</v>
      </c>
      <c r="D324" s="4">
        <v>5202.5</v>
      </c>
      <c r="E324" s="5">
        <f t="shared" si="4"/>
        <v>-1.5</v>
      </c>
      <c r="F324" s="15">
        <v>45245</v>
      </c>
      <c r="G324" s="10">
        <v>329646618</v>
      </c>
      <c r="H324" s="9">
        <v>45237</v>
      </c>
      <c r="I324" s="9">
        <v>45252</v>
      </c>
      <c r="J324" s="8">
        <v>5201</v>
      </c>
      <c r="K324" s="8" t="s">
        <v>31</v>
      </c>
      <c r="L324" s="8" t="s">
        <v>32</v>
      </c>
      <c r="M324" s="8"/>
      <c r="N324" s="8" t="b">
        <v>0</v>
      </c>
      <c r="O324" s="10">
        <v>705243</v>
      </c>
      <c r="P324" s="8" t="s">
        <v>63</v>
      </c>
      <c r="Q324" s="8">
        <v>567225</v>
      </c>
      <c r="R324" s="9">
        <v>45237</v>
      </c>
      <c r="S324" s="8" t="s">
        <v>34</v>
      </c>
      <c r="T324" s="8" t="s">
        <v>40</v>
      </c>
      <c r="U324" s="8" t="s">
        <v>58</v>
      </c>
      <c r="V324" s="8" t="s">
        <v>46</v>
      </c>
      <c r="W324" s="8">
        <v>0</v>
      </c>
    </row>
    <row r="325" spans="1:23" x14ac:dyDescent="0.25">
      <c r="A325" s="4">
        <v>1</v>
      </c>
      <c r="B325" s="4"/>
      <c r="C325" s="4">
        <v>882867</v>
      </c>
      <c r="D325" s="4">
        <v>5202.5</v>
      </c>
      <c r="E325" s="5">
        <f t="shared" si="4"/>
        <v>-1.5</v>
      </c>
      <c r="F325" s="15">
        <v>45245</v>
      </c>
      <c r="G325" s="10">
        <v>329646622</v>
      </c>
      <c r="H325" s="9">
        <v>45237</v>
      </c>
      <c r="I325" s="9">
        <v>45252</v>
      </c>
      <c r="J325" s="8">
        <v>5201</v>
      </c>
      <c r="K325" s="8" t="s">
        <v>31</v>
      </c>
      <c r="L325" s="8" t="s">
        <v>32</v>
      </c>
      <c r="M325" s="8"/>
      <c r="N325" s="8" t="b">
        <v>0</v>
      </c>
      <c r="O325" s="10">
        <v>705244</v>
      </c>
      <c r="P325" s="8" t="s">
        <v>228</v>
      </c>
      <c r="Q325" s="8">
        <v>567263</v>
      </c>
      <c r="R325" s="9">
        <v>45237</v>
      </c>
      <c r="S325" s="8" t="s">
        <v>34</v>
      </c>
      <c r="T325" s="8" t="s">
        <v>40</v>
      </c>
      <c r="U325" s="8" t="s">
        <v>58</v>
      </c>
      <c r="V325" s="8" t="s">
        <v>46</v>
      </c>
      <c r="W325" s="8">
        <v>0</v>
      </c>
    </row>
    <row r="326" spans="1:23" x14ac:dyDescent="0.25">
      <c r="A326" s="4">
        <v>1</v>
      </c>
      <c r="B326" s="4"/>
      <c r="C326" s="4">
        <v>882868</v>
      </c>
      <c r="D326" s="4">
        <v>5202.5</v>
      </c>
      <c r="E326" s="5">
        <f t="shared" ref="E326:E389" si="5">J326-D326</f>
        <v>-1.5</v>
      </c>
      <c r="F326" s="15">
        <v>45245</v>
      </c>
      <c r="G326" s="10">
        <v>329646630</v>
      </c>
      <c r="H326" s="9">
        <v>45237</v>
      </c>
      <c r="I326" s="9">
        <v>45252</v>
      </c>
      <c r="J326" s="8">
        <v>5201</v>
      </c>
      <c r="K326" s="8" t="s">
        <v>31</v>
      </c>
      <c r="L326" s="8" t="s">
        <v>32</v>
      </c>
      <c r="M326" s="8"/>
      <c r="N326" s="8" t="b">
        <v>0</v>
      </c>
      <c r="O326" s="10">
        <v>705242</v>
      </c>
      <c r="P326" s="8" t="s">
        <v>224</v>
      </c>
      <c r="Q326" s="8">
        <v>567193</v>
      </c>
      <c r="R326" s="9">
        <v>45237</v>
      </c>
      <c r="S326" s="8" t="s">
        <v>34</v>
      </c>
      <c r="T326" s="8" t="s">
        <v>40</v>
      </c>
      <c r="U326" s="8" t="s">
        <v>58</v>
      </c>
      <c r="V326" s="8" t="s">
        <v>46</v>
      </c>
      <c r="W326" s="8">
        <v>0</v>
      </c>
    </row>
    <row r="327" spans="1:23" x14ac:dyDescent="0.25">
      <c r="A327" s="4">
        <v>1</v>
      </c>
      <c r="B327" s="4"/>
      <c r="C327" s="4">
        <v>882869</v>
      </c>
      <c r="D327" s="4">
        <v>5202.5</v>
      </c>
      <c r="E327" s="5">
        <f t="shared" si="5"/>
        <v>-1.5</v>
      </c>
      <c r="F327" s="15">
        <v>45245</v>
      </c>
      <c r="G327" s="10">
        <v>329646641</v>
      </c>
      <c r="H327" s="9">
        <v>45237</v>
      </c>
      <c r="I327" s="9">
        <v>45252</v>
      </c>
      <c r="J327" s="8">
        <v>5201</v>
      </c>
      <c r="K327" s="8" t="s">
        <v>31</v>
      </c>
      <c r="L327" s="8" t="s">
        <v>32</v>
      </c>
      <c r="M327" s="8"/>
      <c r="N327" s="8" t="b">
        <v>0</v>
      </c>
      <c r="O327" s="10">
        <v>705240</v>
      </c>
      <c r="P327" s="8" t="s">
        <v>212</v>
      </c>
      <c r="Q327" s="8">
        <v>567137</v>
      </c>
      <c r="R327" s="9">
        <v>45237</v>
      </c>
      <c r="S327" s="8" t="s">
        <v>34</v>
      </c>
      <c r="T327" s="8" t="s">
        <v>40</v>
      </c>
      <c r="U327" s="8" t="s">
        <v>58</v>
      </c>
      <c r="V327" s="8" t="s">
        <v>46</v>
      </c>
      <c r="W327" s="8">
        <v>0</v>
      </c>
    </row>
    <row r="328" spans="1:23" x14ac:dyDescent="0.25">
      <c r="A328" s="4">
        <v>1</v>
      </c>
      <c r="B328" s="4"/>
      <c r="C328" s="4">
        <v>882870</v>
      </c>
      <c r="D328" s="4">
        <v>5202.5</v>
      </c>
      <c r="E328" s="5">
        <f t="shared" si="5"/>
        <v>-1.5</v>
      </c>
      <c r="F328" s="15">
        <v>45245</v>
      </c>
      <c r="G328" s="10">
        <v>329646649</v>
      </c>
      <c r="H328" s="9">
        <v>45237</v>
      </c>
      <c r="I328" s="9">
        <v>45252</v>
      </c>
      <c r="J328" s="8">
        <v>5201</v>
      </c>
      <c r="K328" s="8" t="s">
        <v>31</v>
      </c>
      <c r="L328" s="8" t="s">
        <v>32</v>
      </c>
      <c r="M328" s="8"/>
      <c r="N328" s="8" t="b">
        <v>0</v>
      </c>
      <c r="O328" s="10">
        <v>705241</v>
      </c>
      <c r="P328" s="8" t="s">
        <v>213</v>
      </c>
      <c r="Q328" s="8">
        <v>567165</v>
      </c>
      <c r="R328" s="9">
        <v>45237</v>
      </c>
      <c r="S328" s="8" t="s">
        <v>34</v>
      </c>
      <c r="T328" s="8" t="s">
        <v>40</v>
      </c>
      <c r="U328" s="8" t="s">
        <v>58</v>
      </c>
      <c r="V328" s="8" t="s">
        <v>46</v>
      </c>
      <c r="W328" s="8">
        <v>0</v>
      </c>
    </row>
    <row r="329" spans="1:23" x14ac:dyDescent="0.25">
      <c r="A329" s="4">
        <v>1</v>
      </c>
      <c r="B329" s="4"/>
      <c r="C329" s="4">
        <v>882871</v>
      </c>
      <c r="D329" s="4">
        <v>5170.5</v>
      </c>
      <c r="E329" s="5">
        <f t="shared" si="5"/>
        <v>0.5</v>
      </c>
      <c r="F329" s="15">
        <v>45245</v>
      </c>
      <c r="G329" s="10">
        <v>329646962</v>
      </c>
      <c r="H329" s="9">
        <v>45237</v>
      </c>
      <c r="I329" s="9">
        <v>45252</v>
      </c>
      <c r="J329" s="8">
        <v>5171</v>
      </c>
      <c r="K329" s="8" t="s">
        <v>31</v>
      </c>
      <c r="L329" s="8" t="s">
        <v>32</v>
      </c>
      <c r="M329" s="8"/>
      <c r="N329" s="8" t="b">
        <v>0</v>
      </c>
      <c r="O329" s="10">
        <v>702168</v>
      </c>
      <c r="P329" s="8" t="s">
        <v>159</v>
      </c>
      <c r="Q329" s="8">
        <v>567434</v>
      </c>
      <c r="R329" s="9">
        <v>45237</v>
      </c>
      <c r="S329" s="8" t="s">
        <v>34</v>
      </c>
      <c r="T329" s="8" t="s">
        <v>44</v>
      </c>
      <c r="U329" s="8" t="s">
        <v>58</v>
      </c>
      <c r="V329" s="8" t="s">
        <v>46</v>
      </c>
      <c r="W329" s="8">
        <v>0</v>
      </c>
    </row>
    <row r="330" spans="1:23" x14ac:dyDescent="0.25">
      <c r="A330" s="4">
        <v>1</v>
      </c>
      <c r="B330" s="4"/>
      <c r="C330" s="4">
        <v>882872</v>
      </c>
      <c r="D330" s="4">
        <v>5170.5</v>
      </c>
      <c r="E330" s="5">
        <f t="shared" si="5"/>
        <v>0.5</v>
      </c>
      <c r="F330" s="15">
        <v>45245</v>
      </c>
      <c r="G330" s="10">
        <v>329646993</v>
      </c>
      <c r="H330" s="9">
        <v>45237</v>
      </c>
      <c r="I330" s="9">
        <v>45252</v>
      </c>
      <c r="J330" s="8">
        <v>5171</v>
      </c>
      <c r="K330" s="8" t="s">
        <v>31</v>
      </c>
      <c r="L330" s="8" t="s">
        <v>32</v>
      </c>
      <c r="M330" s="8"/>
      <c r="N330" s="8" t="b">
        <v>0</v>
      </c>
      <c r="O330" s="10">
        <v>702169</v>
      </c>
      <c r="P330" s="8" t="s">
        <v>210</v>
      </c>
      <c r="Q330" s="8">
        <v>567445</v>
      </c>
      <c r="R330" s="9">
        <v>45237</v>
      </c>
      <c r="S330" s="8" t="s">
        <v>34</v>
      </c>
      <c r="T330" s="8" t="s">
        <v>44</v>
      </c>
      <c r="U330" s="8" t="s">
        <v>58</v>
      </c>
      <c r="V330" s="8" t="s">
        <v>46</v>
      </c>
      <c r="W330" s="8">
        <v>0</v>
      </c>
    </row>
    <row r="331" spans="1:23" x14ac:dyDescent="0.25">
      <c r="A331" s="4">
        <v>1</v>
      </c>
      <c r="B331" s="4"/>
      <c r="C331" s="4">
        <v>882873</v>
      </c>
      <c r="D331" s="4">
        <v>5170.5</v>
      </c>
      <c r="E331" s="5">
        <f t="shared" si="5"/>
        <v>0.5</v>
      </c>
      <c r="F331" s="15">
        <v>45245</v>
      </c>
      <c r="G331" s="10">
        <v>329646997</v>
      </c>
      <c r="H331" s="9">
        <v>45237</v>
      </c>
      <c r="I331" s="9">
        <v>45252</v>
      </c>
      <c r="J331" s="8">
        <v>5171</v>
      </c>
      <c r="K331" s="8" t="s">
        <v>31</v>
      </c>
      <c r="L331" s="8" t="s">
        <v>32</v>
      </c>
      <c r="M331" s="8"/>
      <c r="N331" s="8" t="b">
        <v>0</v>
      </c>
      <c r="O331" s="10">
        <v>705137</v>
      </c>
      <c r="P331" s="8" t="s">
        <v>298</v>
      </c>
      <c r="Q331" s="8">
        <v>567658</v>
      </c>
      <c r="R331" s="9">
        <v>45237</v>
      </c>
      <c r="S331" s="8" t="s">
        <v>34</v>
      </c>
      <c r="T331" s="8" t="s">
        <v>44</v>
      </c>
      <c r="U331" s="8" t="s">
        <v>58</v>
      </c>
      <c r="V331" s="8" t="s">
        <v>46</v>
      </c>
      <c r="W331" s="8">
        <v>0</v>
      </c>
    </row>
    <row r="332" spans="1:23" x14ac:dyDescent="0.25">
      <c r="A332" s="4">
        <v>1</v>
      </c>
      <c r="B332" s="4"/>
      <c r="C332" s="4">
        <v>882874</v>
      </c>
      <c r="D332" s="4">
        <v>5170.5</v>
      </c>
      <c r="E332" s="5">
        <f t="shared" si="5"/>
        <v>0.5</v>
      </c>
      <c r="F332" s="15">
        <v>45245</v>
      </c>
      <c r="G332" s="10">
        <v>329647007</v>
      </c>
      <c r="H332" s="9">
        <v>45237</v>
      </c>
      <c r="I332" s="9">
        <v>45252</v>
      </c>
      <c r="J332" s="8">
        <v>5171</v>
      </c>
      <c r="K332" s="8" t="s">
        <v>31</v>
      </c>
      <c r="L332" s="8" t="s">
        <v>32</v>
      </c>
      <c r="M332" s="8"/>
      <c r="N332" s="8" t="b">
        <v>0</v>
      </c>
      <c r="O332" s="10">
        <v>705131</v>
      </c>
      <c r="P332" s="8" t="s">
        <v>299</v>
      </c>
      <c r="Q332" s="8">
        <v>567624</v>
      </c>
      <c r="R332" s="9">
        <v>45237</v>
      </c>
      <c r="S332" s="8" t="s">
        <v>34</v>
      </c>
      <c r="T332" s="8" t="s">
        <v>44</v>
      </c>
      <c r="U332" s="8" t="s">
        <v>58</v>
      </c>
      <c r="V332" s="8" t="s">
        <v>46</v>
      </c>
      <c r="W332" s="8">
        <v>0</v>
      </c>
    </row>
    <row r="333" spans="1:23" x14ac:dyDescent="0.25">
      <c r="A333" s="4">
        <v>1</v>
      </c>
      <c r="B333" s="4"/>
      <c r="C333" s="4">
        <v>882875</v>
      </c>
      <c r="D333" s="4">
        <v>5170.5</v>
      </c>
      <c r="E333" s="5">
        <f t="shared" si="5"/>
        <v>0.5</v>
      </c>
      <c r="F333" s="15">
        <v>45245</v>
      </c>
      <c r="G333" s="10">
        <v>329647014</v>
      </c>
      <c r="H333" s="9">
        <v>45237</v>
      </c>
      <c r="I333" s="9">
        <v>45252</v>
      </c>
      <c r="J333" s="8">
        <v>5171</v>
      </c>
      <c r="K333" s="8" t="s">
        <v>31</v>
      </c>
      <c r="L333" s="8" t="s">
        <v>32</v>
      </c>
      <c r="M333" s="8"/>
      <c r="N333" s="8" t="b">
        <v>0</v>
      </c>
      <c r="O333" s="10">
        <v>702161</v>
      </c>
      <c r="P333" s="8" t="s">
        <v>222</v>
      </c>
      <c r="Q333" s="8">
        <v>567395</v>
      </c>
      <c r="R333" s="9">
        <v>45237</v>
      </c>
      <c r="S333" s="8" t="s">
        <v>34</v>
      </c>
      <c r="T333" s="8" t="s">
        <v>44</v>
      </c>
      <c r="U333" s="8" t="s">
        <v>58</v>
      </c>
      <c r="V333" s="8" t="s">
        <v>46</v>
      </c>
      <c r="W333" s="8">
        <v>0</v>
      </c>
    </row>
    <row r="334" spans="1:23" x14ac:dyDescent="0.25">
      <c r="A334" s="4">
        <v>1</v>
      </c>
      <c r="B334" s="4"/>
      <c r="C334" s="4">
        <v>882876</v>
      </c>
      <c r="D334" s="4">
        <v>5170.5</v>
      </c>
      <c r="E334" s="5">
        <f t="shared" si="5"/>
        <v>0.5</v>
      </c>
      <c r="F334" s="15">
        <v>45245</v>
      </c>
      <c r="G334" s="10">
        <v>329647037</v>
      </c>
      <c r="H334" s="9">
        <v>45237</v>
      </c>
      <c r="I334" s="9">
        <v>45252</v>
      </c>
      <c r="J334" s="8">
        <v>5171</v>
      </c>
      <c r="K334" s="8" t="s">
        <v>31</v>
      </c>
      <c r="L334" s="8" t="s">
        <v>32</v>
      </c>
      <c r="M334" s="8"/>
      <c r="N334" s="8" t="b">
        <v>0</v>
      </c>
      <c r="O334" s="10">
        <v>705130</v>
      </c>
      <c r="P334" s="8" t="s">
        <v>179</v>
      </c>
      <c r="Q334" s="8">
        <v>567462</v>
      </c>
      <c r="R334" s="9">
        <v>45237</v>
      </c>
      <c r="S334" s="8" t="s">
        <v>34</v>
      </c>
      <c r="T334" s="8" t="s">
        <v>44</v>
      </c>
      <c r="U334" s="8" t="s">
        <v>58</v>
      </c>
      <c r="V334" s="8" t="s">
        <v>46</v>
      </c>
      <c r="W334" s="8">
        <v>0</v>
      </c>
    </row>
    <row r="335" spans="1:23" x14ac:dyDescent="0.25">
      <c r="A335" s="4">
        <v>1</v>
      </c>
      <c r="B335" s="4"/>
      <c r="C335" s="4">
        <v>882877</v>
      </c>
      <c r="D335" s="4">
        <v>5170.5</v>
      </c>
      <c r="E335" s="5">
        <f t="shared" si="5"/>
        <v>0.5</v>
      </c>
      <c r="F335" s="15">
        <v>45245</v>
      </c>
      <c r="G335" s="10">
        <v>329647048</v>
      </c>
      <c r="H335" s="9">
        <v>45237</v>
      </c>
      <c r="I335" s="9">
        <v>45252</v>
      </c>
      <c r="J335" s="8">
        <v>5171</v>
      </c>
      <c r="K335" s="8" t="s">
        <v>31</v>
      </c>
      <c r="L335" s="8" t="s">
        <v>32</v>
      </c>
      <c r="M335" s="8"/>
      <c r="N335" s="8" t="b">
        <v>0</v>
      </c>
      <c r="O335" s="10">
        <v>702162</v>
      </c>
      <c r="P335" s="8" t="s">
        <v>120</v>
      </c>
      <c r="Q335" s="8">
        <v>567414</v>
      </c>
      <c r="R335" s="9">
        <v>45237</v>
      </c>
      <c r="S335" s="8" t="s">
        <v>34</v>
      </c>
      <c r="T335" s="8" t="s">
        <v>44</v>
      </c>
      <c r="U335" s="8" t="s">
        <v>58</v>
      </c>
      <c r="V335" s="8" t="s">
        <v>46</v>
      </c>
      <c r="W335" s="8">
        <v>0</v>
      </c>
    </row>
    <row r="336" spans="1:23" x14ac:dyDescent="0.25">
      <c r="A336" s="4">
        <v>1</v>
      </c>
      <c r="B336" s="4"/>
      <c r="C336" s="4">
        <v>882878</v>
      </c>
      <c r="D336" s="4">
        <v>5170.5</v>
      </c>
      <c r="E336" s="5">
        <f t="shared" si="5"/>
        <v>0.5</v>
      </c>
      <c r="F336" s="15">
        <v>45245</v>
      </c>
      <c r="G336" s="10">
        <v>329647049</v>
      </c>
      <c r="H336" s="9">
        <v>45237</v>
      </c>
      <c r="I336" s="9">
        <v>45252</v>
      </c>
      <c r="J336" s="8">
        <v>5171</v>
      </c>
      <c r="K336" s="8" t="s">
        <v>31</v>
      </c>
      <c r="L336" s="8" t="s">
        <v>32</v>
      </c>
      <c r="M336" s="8"/>
      <c r="N336" s="8" t="b">
        <v>0</v>
      </c>
      <c r="O336" s="10">
        <v>705129</v>
      </c>
      <c r="P336" s="8" t="s">
        <v>203</v>
      </c>
      <c r="Q336" s="8">
        <v>567449</v>
      </c>
      <c r="R336" s="9">
        <v>45237</v>
      </c>
      <c r="S336" s="8" t="s">
        <v>34</v>
      </c>
      <c r="T336" s="8" t="s">
        <v>44</v>
      </c>
      <c r="U336" s="8" t="s">
        <v>58</v>
      </c>
      <c r="V336" s="8" t="s">
        <v>46</v>
      </c>
      <c r="W336" s="8">
        <v>0</v>
      </c>
    </row>
    <row r="337" spans="1:23" x14ac:dyDescent="0.25">
      <c r="A337" s="4">
        <v>1</v>
      </c>
      <c r="B337" s="4"/>
      <c r="C337" s="4">
        <v>882879</v>
      </c>
      <c r="D337" s="4">
        <v>5170.5</v>
      </c>
      <c r="E337" s="5">
        <f t="shared" si="5"/>
        <v>0.5</v>
      </c>
      <c r="F337" s="15">
        <v>45245</v>
      </c>
      <c r="G337" s="10">
        <v>329647075</v>
      </c>
      <c r="H337" s="9">
        <v>45237</v>
      </c>
      <c r="I337" s="9">
        <v>45252</v>
      </c>
      <c r="J337" s="8">
        <v>5171</v>
      </c>
      <c r="K337" s="8" t="s">
        <v>31</v>
      </c>
      <c r="L337" s="8" t="s">
        <v>32</v>
      </c>
      <c r="M337" s="8"/>
      <c r="N337" s="8" t="b">
        <v>0</v>
      </c>
      <c r="O337" s="10">
        <v>705132</v>
      </c>
      <c r="P337" s="8" t="s">
        <v>54</v>
      </c>
      <c r="Q337" s="8">
        <v>567644</v>
      </c>
      <c r="R337" s="9">
        <v>45237</v>
      </c>
      <c r="S337" s="8" t="s">
        <v>34</v>
      </c>
      <c r="T337" s="8" t="s">
        <v>44</v>
      </c>
      <c r="U337" s="8" t="s">
        <v>58</v>
      </c>
      <c r="V337" s="8" t="s">
        <v>46</v>
      </c>
      <c r="W337" s="8">
        <v>0</v>
      </c>
    </row>
    <row r="338" spans="1:23" x14ac:dyDescent="0.25">
      <c r="A338" s="4">
        <v>1</v>
      </c>
      <c r="B338" s="4"/>
      <c r="C338" s="4">
        <v>882887</v>
      </c>
      <c r="D338" s="4">
        <v>50652</v>
      </c>
      <c r="E338" s="5">
        <f t="shared" si="5"/>
        <v>4</v>
      </c>
      <c r="F338" s="15">
        <v>45245</v>
      </c>
      <c r="G338" s="10">
        <v>329666150</v>
      </c>
      <c r="H338" s="9">
        <v>45238</v>
      </c>
      <c r="I338" s="9">
        <v>45253</v>
      </c>
      <c r="J338" s="8">
        <v>50656</v>
      </c>
      <c r="K338" s="8" t="s">
        <v>31</v>
      </c>
      <c r="L338" s="8" t="s">
        <v>32</v>
      </c>
      <c r="M338" s="8"/>
      <c r="N338" s="8" t="b">
        <v>0</v>
      </c>
      <c r="O338" s="10"/>
      <c r="P338" s="8" t="s">
        <v>300</v>
      </c>
      <c r="Q338" s="8">
        <v>582370</v>
      </c>
      <c r="R338" s="9">
        <v>45238</v>
      </c>
      <c r="S338" s="8" t="s">
        <v>48</v>
      </c>
      <c r="T338" s="8" t="s">
        <v>49</v>
      </c>
      <c r="U338" s="8" t="s">
        <v>50</v>
      </c>
      <c r="V338" s="8" t="s">
        <v>37</v>
      </c>
      <c r="W338" s="8">
        <v>0</v>
      </c>
    </row>
    <row r="339" spans="1:23" x14ac:dyDescent="0.25">
      <c r="A339" s="4">
        <v>1</v>
      </c>
      <c r="B339" s="4"/>
      <c r="C339" s="4">
        <v>882888</v>
      </c>
      <c r="D339" s="4">
        <v>48356</v>
      </c>
      <c r="E339" s="5">
        <f t="shared" si="5"/>
        <v>0</v>
      </c>
      <c r="F339" s="15">
        <v>45245</v>
      </c>
      <c r="G339" s="10">
        <v>329666468</v>
      </c>
      <c r="H339" s="9">
        <v>45238</v>
      </c>
      <c r="I339" s="9">
        <v>45253</v>
      </c>
      <c r="J339" s="8">
        <v>48356</v>
      </c>
      <c r="K339" s="8" t="s">
        <v>31</v>
      </c>
      <c r="L339" s="8" t="s">
        <v>32</v>
      </c>
      <c r="M339" s="8"/>
      <c r="N339" s="8" t="b">
        <v>0</v>
      </c>
      <c r="O339" s="10"/>
      <c r="P339" s="8" t="s">
        <v>301</v>
      </c>
      <c r="Q339" s="8">
        <v>582498</v>
      </c>
      <c r="R339" s="9">
        <v>45238</v>
      </c>
      <c r="S339" s="8" t="s">
        <v>34</v>
      </c>
      <c r="T339" s="8" t="s">
        <v>49</v>
      </c>
      <c r="U339" s="8" t="s">
        <v>75</v>
      </c>
      <c r="V339" s="8" t="s">
        <v>46</v>
      </c>
      <c r="W339" s="8">
        <v>0</v>
      </c>
    </row>
    <row r="340" spans="1:23" x14ac:dyDescent="0.25">
      <c r="A340" s="4">
        <v>1</v>
      </c>
      <c r="B340" s="4"/>
      <c r="C340" s="4">
        <v>882889</v>
      </c>
      <c r="D340" s="4">
        <v>6558.5</v>
      </c>
      <c r="E340" s="5">
        <f t="shared" si="5"/>
        <v>-4.5</v>
      </c>
      <c r="F340" s="15">
        <v>45245</v>
      </c>
      <c r="G340" s="10">
        <v>329666534</v>
      </c>
      <c r="H340" s="9">
        <v>45238</v>
      </c>
      <c r="I340" s="9">
        <v>45253</v>
      </c>
      <c r="J340" s="8">
        <v>6554</v>
      </c>
      <c r="K340" s="8" t="s">
        <v>31</v>
      </c>
      <c r="L340" s="8" t="s">
        <v>32</v>
      </c>
      <c r="M340" s="8"/>
      <c r="N340" s="8" t="b">
        <v>0</v>
      </c>
      <c r="O340" s="10"/>
      <c r="P340" s="8" t="s">
        <v>74</v>
      </c>
      <c r="Q340" s="8">
        <v>582427</v>
      </c>
      <c r="R340" s="9">
        <v>45238</v>
      </c>
      <c r="S340" s="8" t="s">
        <v>70</v>
      </c>
      <c r="T340" s="8" t="s">
        <v>49</v>
      </c>
      <c r="U340" s="8" t="s">
        <v>71</v>
      </c>
      <c r="V340" s="8" t="s">
        <v>72</v>
      </c>
      <c r="W340" s="8">
        <v>0</v>
      </c>
    </row>
    <row r="341" spans="1:23" x14ac:dyDescent="0.25">
      <c r="A341" s="4">
        <v>1</v>
      </c>
      <c r="B341" s="4"/>
      <c r="C341" s="4">
        <v>882880</v>
      </c>
      <c r="D341" s="4">
        <v>5200.5</v>
      </c>
      <c r="E341" s="5">
        <f t="shared" si="5"/>
        <v>0.5</v>
      </c>
      <c r="F341" s="15">
        <v>45245</v>
      </c>
      <c r="G341" s="10">
        <v>329684635</v>
      </c>
      <c r="H341" s="9">
        <v>45239</v>
      </c>
      <c r="I341" s="9">
        <v>45254</v>
      </c>
      <c r="J341" s="8">
        <v>5201</v>
      </c>
      <c r="K341" s="8" t="s">
        <v>31</v>
      </c>
      <c r="L341" s="8" t="s">
        <v>32</v>
      </c>
      <c r="M341" s="8"/>
      <c r="N341" s="8" t="b">
        <v>0</v>
      </c>
      <c r="O341" s="10">
        <v>705245</v>
      </c>
      <c r="P341" s="8" t="s">
        <v>139</v>
      </c>
      <c r="Q341" s="8">
        <v>597663</v>
      </c>
      <c r="R341" s="9">
        <v>45239</v>
      </c>
      <c r="S341" s="8" t="s">
        <v>34</v>
      </c>
      <c r="T341" s="8" t="s">
        <v>40</v>
      </c>
      <c r="U341" s="8" t="s">
        <v>58</v>
      </c>
      <c r="V341" s="8" t="s">
        <v>46</v>
      </c>
      <c r="W341" s="8">
        <v>0</v>
      </c>
    </row>
    <row r="342" spans="1:23" x14ac:dyDescent="0.25">
      <c r="A342" s="4">
        <v>1</v>
      </c>
      <c r="B342" s="4"/>
      <c r="C342" s="4">
        <v>882544</v>
      </c>
      <c r="D342" s="4">
        <v>5170.5</v>
      </c>
      <c r="E342" s="5">
        <f t="shared" si="5"/>
        <v>0.5</v>
      </c>
      <c r="F342" s="15">
        <v>45245</v>
      </c>
      <c r="G342" s="10">
        <v>329686515</v>
      </c>
      <c r="H342" s="9">
        <v>45239</v>
      </c>
      <c r="I342" s="9">
        <v>45254</v>
      </c>
      <c r="J342" s="8">
        <v>5171</v>
      </c>
      <c r="K342" s="8" t="s">
        <v>31</v>
      </c>
      <c r="L342" s="8" t="s">
        <v>32</v>
      </c>
      <c r="M342" s="8"/>
      <c r="N342" s="8" t="b">
        <v>0</v>
      </c>
      <c r="O342" s="10">
        <v>21027</v>
      </c>
      <c r="P342" s="8" t="s">
        <v>302</v>
      </c>
      <c r="Q342" s="8">
        <v>600442</v>
      </c>
      <c r="R342" s="9">
        <v>45239</v>
      </c>
      <c r="S342" s="8" t="s">
        <v>34</v>
      </c>
      <c r="T342" s="8" t="s">
        <v>44</v>
      </c>
      <c r="U342" s="8" t="s">
        <v>58</v>
      </c>
      <c r="V342" s="8" t="s">
        <v>46</v>
      </c>
      <c r="W342" s="8">
        <v>0</v>
      </c>
    </row>
    <row r="343" spans="1:23" x14ac:dyDescent="0.25">
      <c r="A343" s="4">
        <v>1</v>
      </c>
      <c r="B343" s="4"/>
      <c r="C343" s="4">
        <v>882543</v>
      </c>
      <c r="D343" s="4">
        <v>5170.5</v>
      </c>
      <c r="E343" s="5">
        <f t="shared" si="5"/>
        <v>0.5</v>
      </c>
      <c r="F343" s="15">
        <v>45245</v>
      </c>
      <c r="G343" s="10">
        <v>329686516</v>
      </c>
      <c r="H343" s="9">
        <v>45239</v>
      </c>
      <c r="I343" s="9">
        <v>45254</v>
      </c>
      <c r="J343" s="8">
        <v>5171</v>
      </c>
      <c r="K343" s="8" t="s">
        <v>31</v>
      </c>
      <c r="L343" s="8" t="s">
        <v>32</v>
      </c>
      <c r="M343" s="8"/>
      <c r="N343" s="8" t="b">
        <v>0</v>
      </c>
      <c r="O343" s="10">
        <v>21026</v>
      </c>
      <c r="P343" s="8" t="s">
        <v>303</v>
      </c>
      <c r="Q343" s="8">
        <v>600430</v>
      </c>
      <c r="R343" s="9">
        <v>45239</v>
      </c>
      <c r="S343" s="8" t="s">
        <v>34</v>
      </c>
      <c r="T343" s="8" t="s">
        <v>44</v>
      </c>
      <c r="U343" s="8" t="s">
        <v>58</v>
      </c>
      <c r="V343" s="8" t="s">
        <v>46</v>
      </c>
      <c r="W343" s="8">
        <v>0</v>
      </c>
    </row>
    <row r="344" spans="1:23" x14ac:dyDescent="0.25">
      <c r="A344" s="4">
        <v>1</v>
      </c>
      <c r="B344" s="4"/>
      <c r="C344" s="4">
        <v>882542</v>
      </c>
      <c r="D344" s="4">
        <v>5170.5</v>
      </c>
      <c r="E344" s="5">
        <f t="shared" si="5"/>
        <v>0.5</v>
      </c>
      <c r="F344" s="15">
        <v>45245</v>
      </c>
      <c r="G344" s="10">
        <v>329686558</v>
      </c>
      <c r="H344" s="9">
        <v>45239</v>
      </c>
      <c r="I344" s="9">
        <v>45254</v>
      </c>
      <c r="J344" s="8">
        <v>5171</v>
      </c>
      <c r="K344" s="8" t="s">
        <v>31</v>
      </c>
      <c r="L344" s="8" t="s">
        <v>32</v>
      </c>
      <c r="M344" s="8"/>
      <c r="N344" s="8" t="b">
        <v>0</v>
      </c>
      <c r="O344" s="10">
        <v>21025</v>
      </c>
      <c r="P344" s="8" t="s">
        <v>304</v>
      </c>
      <c r="Q344" s="8">
        <v>600424</v>
      </c>
      <c r="R344" s="9">
        <v>45239</v>
      </c>
      <c r="S344" s="8" t="s">
        <v>34</v>
      </c>
      <c r="T344" s="8" t="s">
        <v>44</v>
      </c>
      <c r="U344" s="8" t="s">
        <v>58</v>
      </c>
      <c r="V344" s="8" t="s">
        <v>46</v>
      </c>
      <c r="W344" s="8">
        <v>0</v>
      </c>
    </row>
    <row r="345" spans="1:23" x14ac:dyDescent="0.25">
      <c r="A345" s="4">
        <v>2</v>
      </c>
      <c r="B345" s="4" t="s">
        <v>305</v>
      </c>
      <c r="C345" s="4"/>
      <c r="D345" s="4"/>
      <c r="E345" s="5">
        <f t="shared" si="5"/>
        <v>12664</v>
      </c>
      <c r="F345" s="15">
        <v>45245</v>
      </c>
      <c r="G345" s="10">
        <v>329690419</v>
      </c>
      <c r="H345" s="9">
        <v>45239</v>
      </c>
      <c r="I345" s="9">
        <v>45254</v>
      </c>
      <c r="J345" s="8">
        <v>12664</v>
      </c>
      <c r="K345" s="8" t="s">
        <v>31</v>
      </c>
      <c r="L345" s="8" t="s">
        <v>32</v>
      </c>
      <c r="M345" s="8"/>
      <c r="N345" s="8" t="b">
        <v>0</v>
      </c>
      <c r="O345" s="10"/>
      <c r="P345" s="8" t="s">
        <v>306</v>
      </c>
      <c r="Q345" s="8">
        <v>545982</v>
      </c>
      <c r="R345" s="9">
        <v>45236</v>
      </c>
      <c r="S345" s="8" t="s">
        <v>48</v>
      </c>
      <c r="T345" s="8" t="s">
        <v>49</v>
      </c>
      <c r="U345" s="8" t="s">
        <v>50</v>
      </c>
      <c r="V345" s="8" t="s">
        <v>37</v>
      </c>
      <c r="W345" s="8">
        <v>0</v>
      </c>
    </row>
    <row r="346" spans="1:23" x14ac:dyDescent="0.25">
      <c r="A346" s="4">
        <v>1</v>
      </c>
      <c r="B346" s="4"/>
      <c r="C346" s="4">
        <v>882537</v>
      </c>
      <c r="D346" s="4">
        <v>6415.5</v>
      </c>
      <c r="E346" s="5">
        <f t="shared" si="5"/>
        <v>0.5</v>
      </c>
      <c r="F346" s="15">
        <v>45245</v>
      </c>
      <c r="G346" s="10">
        <v>329691947</v>
      </c>
      <c r="H346" s="9">
        <v>45239</v>
      </c>
      <c r="I346" s="9">
        <v>45254</v>
      </c>
      <c r="J346" s="8">
        <v>6416</v>
      </c>
      <c r="K346" s="8" t="s">
        <v>31</v>
      </c>
      <c r="L346" s="8" t="s">
        <v>32</v>
      </c>
      <c r="M346" s="8"/>
      <c r="N346" s="8" t="b">
        <v>0</v>
      </c>
      <c r="O346" s="10">
        <v>21043</v>
      </c>
      <c r="P346" s="8" t="s">
        <v>97</v>
      </c>
      <c r="Q346" s="8">
        <v>604548</v>
      </c>
      <c r="R346" s="9">
        <v>45239</v>
      </c>
      <c r="S346" s="8" t="s">
        <v>48</v>
      </c>
      <c r="T346" s="8" t="s">
        <v>40</v>
      </c>
      <c r="U346" s="8" t="s">
        <v>50</v>
      </c>
      <c r="V346" s="8" t="s">
        <v>37</v>
      </c>
      <c r="W346" s="8">
        <v>0</v>
      </c>
    </row>
    <row r="347" spans="1:23" x14ac:dyDescent="0.25">
      <c r="A347" s="4">
        <v>1</v>
      </c>
      <c r="B347" s="4"/>
      <c r="C347" s="4">
        <v>882881</v>
      </c>
      <c r="D347" s="4">
        <v>8094.5</v>
      </c>
      <c r="E347" s="5">
        <f t="shared" si="5"/>
        <v>0.5</v>
      </c>
      <c r="F347" s="15">
        <v>45245</v>
      </c>
      <c r="G347" s="10">
        <v>329691981</v>
      </c>
      <c r="H347" s="9">
        <v>45239</v>
      </c>
      <c r="I347" s="9">
        <v>45254</v>
      </c>
      <c r="J347" s="8">
        <v>8095</v>
      </c>
      <c r="K347" s="8" t="s">
        <v>31</v>
      </c>
      <c r="L347" s="8" t="s">
        <v>32</v>
      </c>
      <c r="M347" s="8"/>
      <c r="N347" s="8" t="b">
        <v>0</v>
      </c>
      <c r="O347" s="10">
        <v>705691</v>
      </c>
      <c r="P347" s="8" t="s">
        <v>92</v>
      </c>
      <c r="Q347" s="8">
        <v>604570</v>
      </c>
      <c r="R347" s="9">
        <v>45239</v>
      </c>
      <c r="S347" s="8" t="s">
        <v>34</v>
      </c>
      <c r="T347" s="8" t="s">
        <v>40</v>
      </c>
      <c r="U347" s="8" t="s">
        <v>157</v>
      </c>
      <c r="V347" s="8" t="s">
        <v>158</v>
      </c>
      <c r="W347" s="8">
        <v>0</v>
      </c>
    </row>
    <row r="348" spans="1:23" x14ac:dyDescent="0.25">
      <c r="A348" s="4">
        <v>1</v>
      </c>
      <c r="B348" s="4"/>
      <c r="C348" s="4">
        <v>882540</v>
      </c>
      <c r="D348" s="4">
        <v>5231.5</v>
      </c>
      <c r="E348" s="5">
        <f t="shared" si="5"/>
        <v>0.5</v>
      </c>
      <c r="F348" s="15">
        <v>45245</v>
      </c>
      <c r="G348" s="10">
        <v>329692012</v>
      </c>
      <c r="H348" s="9">
        <v>45239</v>
      </c>
      <c r="I348" s="9">
        <v>45254</v>
      </c>
      <c r="J348" s="8">
        <v>5232</v>
      </c>
      <c r="K348" s="8" t="s">
        <v>31</v>
      </c>
      <c r="L348" s="8" t="s">
        <v>32</v>
      </c>
      <c r="M348" s="8"/>
      <c r="N348" s="8" t="b">
        <v>0</v>
      </c>
      <c r="O348" s="10">
        <v>21044</v>
      </c>
      <c r="P348" s="8" t="s">
        <v>90</v>
      </c>
      <c r="Q348" s="8">
        <v>604560</v>
      </c>
      <c r="R348" s="9">
        <v>45239</v>
      </c>
      <c r="S348" s="8" t="s">
        <v>48</v>
      </c>
      <c r="T348" s="8" t="s">
        <v>40</v>
      </c>
      <c r="U348" s="8" t="s">
        <v>163</v>
      </c>
      <c r="V348" s="8" t="s">
        <v>46</v>
      </c>
      <c r="W348" s="8">
        <v>0</v>
      </c>
    </row>
    <row r="349" spans="1:23" x14ac:dyDescent="0.25">
      <c r="A349" s="4">
        <v>1</v>
      </c>
      <c r="B349" s="4"/>
      <c r="C349" s="4">
        <v>882541</v>
      </c>
      <c r="D349" s="4">
        <v>5231.5</v>
      </c>
      <c r="E349" s="5">
        <f t="shared" si="5"/>
        <v>0.5</v>
      </c>
      <c r="F349" s="15">
        <v>45245</v>
      </c>
      <c r="G349" s="10">
        <v>329692019</v>
      </c>
      <c r="H349" s="9">
        <v>45239</v>
      </c>
      <c r="I349" s="9">
        <v>45254</v>
      </c>
      <c r="J349" s="8">
        <v>5232</v>
      </c>
      <c r="K349" s="8" t="s">
        <v>31</v>
      </c>
      <c r="L349" s="8" t="s">
        <v>32</v>
      </c>
      <c r="M349" s="8"/>
      <c r="N349" s="8" t="b">
        <v>0</v>
      </c>
      <c r="O349" s="10">
        <v>21042</v>
      </c>
      <c r="P349" s="8" t="s">
        <v>86</v>
      </c>
      <c r="Q349" s="8">
        <v>604534</v>
      </c>
      <c r="R349" s="9">
        <v>45239</v>
      </c>
      <c r="S349" s="8" t="s">
        <v>48</v>
      </c>
      <c r="T349" s="8" t="s">
        <v>40</v>
      </c>
      <c r="U349" s="8" t="s">
        <v>163</v>
      </c>
      <c r="V349" s="8" t="s">
        <v>46</v>
      </c>
      <c r="W349" s="8">
        <v>0</v>
      </c>
    </row>
    <row r="350" spans="1:23" x14ac:dyDescent="0.25">
      <c r="A350" s="4">
        <v>1</v>
      </c>
      <c r="B350" s="4"/>
      <c r="C350" s="4">
        <v>882882</v>
      </c>
      <c r="D350" s="4">
        <v>8094.5</v>
      </c>
      <c r="E350" s="5">
        <f t="shared" si="5"/>
        <v>0.5</v>
      </c>
      <c r="F350" s="15">
        <v>45245</v>
      </c>
      <c r="G350" s="10">
        <v>329692983</v>
      </c>
      <c r="H350" s="9">
        <v>45239</v>
      </c>
      <c r="I350" s="9">
        <v>45254</v>
      </c>
      <c r="J350" s="8">
        <v>8095</v>
      </c>
      <c r="K350" s="8" t="s">
        <v>31</v>
      </c>
      <c r="L350" s="8" t="s">
        <v>32</v>
      </c>
      <c r="M350" s="8"/>
      <c r="N350" s="8" t="b">
        <v>0</v>
      </c>
      <c r="O350" s="10">
        <v>705692</v>
      </c>
      <c r="P350" s="8" t="s">
        <v>78</v>
      </c>
      <c r="Q350" s="8">
        <v>605217</v>
      </c>
      <c r="R350" s="9">
        <v>45239</v>
      </c>
      <c r="S350" s="8" t="s">
        <v>34</v>
      </c>
      <c r="T350" s="8" t="s">
        <v>40</v>
      </c>
      <c r="U350" s="8" t="s">
        <v>157</v>
      </c>
      <c r="V350" s="8" t="s">
        <v>158</v>
      </c>
      <c r="W350" s="8">
        <v>0</v>
      </c>
    </row>
    <row r="351" spans="1:23" x14ac:dyDescent="0.25">
      <c r="A351" s="4">
        <v>1</v>
      </c>
      <c r="B351" s="4"/>
      <c r="C351" s="4">
        <v>882890</v>
      </c>
      <c r="D351" s="4">
        <v>6331.5</v>
      </c>
      <c r="E351" s="5">
        <f t="shared" si="5"/>
        <v>0.5</v>
      </c>
      <c r="F351" s="15">
        <v>45245</v>
      </c>
      <c r="G351" s="10">
        <v>329695256</v>
      </c>
      <c r="H351" s="9">
        <v>45239</v>
      </c>
      <c r="I351" s="9">
        <v>45254</v>
      </c>
      <c r="J351" s="8">
        <v>6332</v>
      </c>
      <c r="K351" s="8" t="s">
        <v>31</v>
      </c>
      <c r="L351" s="8" t="s">
        <v>32</v>
      </c>
      <c r="M351" s="8"/>
      <c r="N351" s="8" t="b">
        <v>0</v>
      </c>
      <c r="O351" s="10"/>
      <c r="P351" s="8" t="s">
        <v>307</v>
      </c>
      <c r="Q351" s="8">
        <v>608512</v>
      </c>
      <c r="R351" s="9">
        <v>45239</v>
      </c>
      <c r="S351" s="8" t="s">
        <v>48</v>
      </c>
      <c r="T351" s="8" t="s">
        <v>49</v>
      </c>
      <c r="U351" s="8" t="s">
        <v>50</v>
      </c>
      <c r="V351" s="8" t="s">
        <v>37</v>
      </c>
      <c r="W351" s="8">
        <v>0</v>
      </c>
    </row>
    <row r="352" spans="1:23" x14ac:dyDescent="0.25">
      <c r="A352" s="4">
        <v>1</v>
      </c>
      <c r="B352" s="4"/>
      <c r="C352" s="4">
        <v>883028</v>
      </c>
      <c r="D352" s="4">
        <v>5183</v>
      </c>
      <c r="E352" s="5">
        <f t="shared" si="5"/>
        <v>1</v>
      </c>
      <c r="F352" s="15">
        <v>45245</v>
      </c>
      <c r="G352" s="10">
        <v>329697030</v>
      </c>
      <c r="H352" s="9">
        <v>45240</v>
      </c>
      <c r="I352" s="9">
        <v>45255</v>
      </c>
      <c r="J352" s="8">
        <v>5184</v>
      </c>
      <c r="K352" s="8" t="s">
        <v>31</v>
      </c>
      <c r="L352" s="8" t="s">
        <v>32</v>
      </c>
      <c r="M352" s="8"/>
      <c r="N352" s="8" t="b">
        <v>0</v>
      </c>
      <c r="O352" s="10">
        <v>704415</v>
      </c>
      <c r="P352" s="8" t="s">
        <v>255</v>
      </c>
      <c r="Q352" s="8">
        <v>609780</v>
      </c>
      <c r="R352" s="9">
        <v>45239</v>
      </c>
      <c r="S352" s="8" t="s">
        <v>308</v>
      </c>
      <c r="T352" s="8" t="s">
        <v>44</v>
      </c>
      <c r="U352" s="8" t="s">
        <v>309</v>
      </c>
      <c r="V352" s="8" t="s">
        <v>46</v>
      </c>
      <c r="W352" s="8">
        <v>0</v>
      </c>
    </row>
    <row r="353" spans="1:23" x14ac:dyDescent="0.25">
      <c r="A353" s="4">
        <v>1</v>
      </c>
      <c r="B353" s="4"/>
      <c r="C353" s="4">
        <v>883041</v>
      </c>
      <c r="D353" s="4">
        <v>5173</v>
      </c>
      <c r="E353" s="5">
        <f t="shared" si="5"/>
        <v>0</v>
      </c>
      <c r="F353" s="15">
        <v>45245</v>
      </c>
      <c r="G353" s="10">
        <v>329715729</v>
      </c>
      <c r="H353" s="9">
        <v>45240</v>
      </c>
      <c r="I353" s="9">
        <v>45255</v>
      </c>
      <c r="J353" s="8">
        <v>5173</v>
      </c>
      <c r="K353" s="8" t="s">
        <v>31</v>
      </c>
      <c r="L353" s="8" t="s">
        <v>32</v>
      </c>
      <c r="M353" s="8"/>
      <c r="N353" s="8" t="b">
        <v>0</v>
      </c>
      <c r="O353" s="10">
        <v>702409</v>
      </c>
      <c r="P353" s="8" t="s">
        <v>33</v>
      </c>
      <c r="Q353" s="8">
        <v>623570</v>
      </c>
      <c r="R353" s="9">
        <v>45240</v>
      </c>
      <c r="S353" s="8" t="s">
        <v>180</v>
      </c>
      <c r="T353" s="8" t="s">
        <v>44</v>
      </c>
      <c r="U353" s="8" t="s">
        <v>45</v>
      </c>
      <c r="V353" s="8" t="s">
        <v>46</v>
      </c>
      <c r="W353" s="8">
        <v>0</v>
      </c>
    </row>
    <row r="354" spans="1:23" x14ac:dyDescent="0.25">
      <c r="A354" s="4">
        <v>1</v>
      </c>
      <c r="B354" s="4"/>
      <c r="C354" s="4">
        <v>883231</v>
      </c>
      <c r="D354" s="4">
        <v>5170.5</v>
      </c>
      <c r="E354" s="5">
        <f t="shared" si="5"/>
        <v>0.5</v>
      </c>
      <c r="F354" s="15">
        <v>45257</v>
      </c>
      <c r="G354" s="10">
        <v>329769212</v>
      </c>
      <c r="H354" s="9">
        <v>45244</v>
      </c>
      <c r="I354" s="9">
        <v>45259</v>
      </c>
      <c r="J354" s="8">
        <v>5171</v>
      </c>
      <c r="K354" s="8" t="s">
        <v>31</v>
      </c>
      <c r="L354" s="8" t="s">
        <v>32</v>
      </c>
      <c r="M354" s="8"/>
      <c r="N354" s="8" t="b">
        <v>0</v>
      </c>
      <c r="O354" s="10">
        <v>705140</v>
      </c>
      <c r="P354" s="8" t="s">
        <v>244</v>
      </c>
      <c r="Q354" s="8">
        <v>659134</v>
      </c>
      <c r="R354" s="9">
        <v>45244</v>
      </c>
      <c r="S354" s="8" t="s">
        <v>34</v>
      </c>
      <c r="T354" s="8" t="s">
        <v>44</v>
      </c>
      <c r="U354" s="8" t="s">
        <v>58</v>
      </c>
      <c r="V354" s="8" t="s">
        <v>46</v>
      </c>
      <c r="W354" s="8">
        <v>0</v>
      </c>
    </row>
    <row r="355" spans="1:23" x14ac:dyDescent="0.25">
      <c r="A355" s="4">
        <v>1</v>
      </c>
      <c r="B355" s="4"/>
      <c r="C355" s="4">
        <v>883169</v>
      </c>
      <c r="D355" s="4">
        <v>5183</v>
      </c>
      <c r="E355" s="5">
        <f t="shared" si="5"/>
        <v>1</v>
      </c>
      <c r="F355" s="15">
        <v>45257</v>
      </c>
      <c r="G355" s="10">
        <v>329769650</v>
      </c>
      <c r="H355" s="9">
        <v>45244</v>
      </c>
      <c r="I355" s="9">
        <v>45259</v>
      </c>
      <c r="J355" s="8">
        <v>5184</v>
      </c>
      <c r="K355" s="8" t="s">
        <v>31</v>
      </c>
      <c r="L355" s="8" t="s">
        <v>32</v>
      </c>
      <c r="M355" s="8"/>
      <c r="N355" s="8" t="b">
        <v>0</v>
      </c>
      <c r="O355" s="10">
        <v>704418</v>
      </c>
      <c r="P355" s="8" t="s">
        <v>167</v>
      </c>
      <c r="Q355" s="8">
        <v>659506</v>
      </c>
      <c r="R355" s="9">
        <v>45244</v>
      </c>
      <c r="S355" s="8" t="s">
        <v>308</v>
      </c>
      <c r="T355" s="8" t="s">
        <v>44</v>
      </c>
      <c r="U355" s="8" t="s">
        <v>309</v>
      </c>
      <c r="V355" s="8" t="s">
        <v>46</v>
      </c>
      <c r="W355" s="8">
        <v>0</v>
      </c>
    </row>
    <row r="356" spans="1:23" x14ac:dyDescent="0.25">
      <c r="A356" s="4">
        <v>1</v>
      </c>
      <c r="B356" s="4"/>
      <c r="C356" s="4">
        <v>883233</v>
      </c>
      <c r="D356" s="4">
        <v>5183</v>
      </c>
      <c r="E356" s="5">
        <f t="shared" si="5"/>
        <v>1</v>
      </c>
      <c r="F356" s="15">
        <v>45257</v>
      </c>
      <c r="G356" s="10">
        <v>329770093</v>
      </c>
      <c r="H356" s="9">
        <v>45244</v>
      </c>
      <c r="I356" s="9">
        <v>45259</v>
      </c>
      <c r="J356" s="8">
        <v>5184</v>
      </c>
      <c r="K356" s="8" t="s">
        <v>31</v>
      </c>
      <c r="L356" s="8" t="s">
        <v>32</v>
      </c>
      <c r="M356" s="8"/>
      <c r="N356" s="8" t="b">
        <v>0</v>
      </c>
      <c r="O356" s="10">
        <v>704416</v>
      </c>
      <c r="P356" s="8" t="s">
        <v>156</v>
      </c>
      <c r="Q356" s="8">
        <v>659794</v>
      </c>
      <c r="R356" s="9">
        <v>45244</v>
      </c>
      <c r="S356" s="8" t="s">
        <v>308</v>
      </c>
      <c r="T356" s="8" t="s">
        <v>44</v>
      </c>
      <c r="U356" s="8" t="s">
        <v>309</v>
      </c>
      <c r="V356" s="8" t="s">
        <v>46</v>
      </c>
      <c r="W356" s="8">
        <v>0</v>
      </c>
    </row>
    <row r="357" spans="1:23" x14ac:dyDescent="0.25">
      <c r="A357" s="4">
        <v>1</v>
      </c>
      <c r="B357" s="4"/>
      <c r="C357" s="4">
        <v>883235</v>
      </c>
      <c r="D357" s="4">
        <v>5183</v>
      </c>
      <c r="E357" s="5">
        <f t="shared" si="5"/>
        <v>1</v>
      </c>
      <c r="F357" s="15">
        <v>45257</v>
      </c>
      <c r="G357" s="10">
        <v>329771602</v>
      </c>
      <c r="H357" s="9">
        <v>45244</v>
      </c>
      <c r="I357" s="9">
        <v>45259</v>
      </c>
      <c r="J357" s="8">
        <v>5184</v>
      </c>
      <c r="K357" s="8" t="s">
        <v>31</v>
      </c>
      <c r="L357" s="8" t="s">
        <v>32</v>
      </c>
      <c r="M357" s="8"/>
      <c r="N357" s="8" t="b">
        <v>0</v>
      </c>
      <c r="O357" s="10">
        <v>704419</v>
      </c>
      <c r="P357" s="8" t="s">
        <v>191</v>
      </c>
      <c r="Q357" s="8">
        <v>663023</v>
      </c>
      <c r="R357" s="9">
        <v>45244</v>
      </c>
      <c r="S357" s="8" t="s">
        <v>308</v>
      </c>
      <c r="T357" s="8" t="s">
        <v>44</v>
      </c>
      <c r="U357" s="8" t="s">
        <v>309</v>
      </c>
      <c r="V357" s="8" t="s">
        <v>46</v>
      </c>
      <c r="W357" s="8">
        <v>0</v>
      </c>
    </row>
    <row r="358" spans="1:23" x14ac:dyDescent="0.25">
      <c r="A358" s="4">
        <v>1</v>
      </c>
      <c r="B358" s="4"/>
      <c r="C358" s="4" t="s">
        <v>310</v>
      </c>
      <c r="D358" s="4">
        <v>2298</v>
      </c>
      <c r="E358" s="5">
        <f t="shared" si="5"/>
        <v>0</v>
      </c>
      <c r="F358" s="15">
        <v>45257</v>
      </c>
      <c r="G358" s="10">
        <v>329774193</v>
      </c>
      <c r="H358" s="9">
        <v>45244</v>
      </c>
      <c r="I358" s="9">
        <v>45259</v>
      </c>
      <c r="J358" s="8">
        <v>2298</v>
      </c>
      <c r="K358" s="8" t="s">
        <v>31</v>
      </c>
      <c r="L358" s="8" t="s">
        <v>32</v>
      </c>
      <c r="M358" s="8"/>
      <c r="N358" s="8" t="b">
        <v>0</v>
      </c>
      <c r="O358" s="10" t="s">
        <v>284</v>
      </c>
      <c r="P358" s="8" t="s">
        <v>311</v>
      </c>
      <c r="Q358" s="8">
        <v>857658</v>
      </c>
      <c r="R358" s="9">
        <v>45048</v>
      </c>
      <c r="S358" s="8" t="s">
        <v>286</v>
      </c>
      <c r="T358" s="8" t="s">
        <v>58</v>
      </c>
      <c r="U358" s="8" t="s">
        <v>287</v>
      </c>
      <c r="V358" s="8" t="s">
        <v>46</v>
      </c>
      <c r="W358" s="8">
        <v>0</v>
      </c>
    </row>
    <row r="359" spans="1:23" x14ac:dyDescent="0.25">
      <c r="A359" s="4">
        <v>1</v>
      </c>
      <c r="B359" s="4"/>
      <c r="C359" s="4" t="s">
        <v>312</v>
      </c>
      <c r="D359" s="4">
        <v>2298</v>
      </c>
      <c r="E359" s="5">
        <f t="shared" si="5"/>
        <v>0</v>
      </c>
      <c r="F359" s="15">
        <v>45257</v>
      </c>
      <c r="G359" s="10">
        <v>329774260</v>
      </c>
      <c r="H359" s="9">
        <v>45244</v>
      </c>
      <c r="I359" s="9">
        <v>45259</v>
      </c>
      <c r="J359" s="8">
        <v>2298</v>
      </c>
      <c r="K359" s="8" t="s">
        <v>31</v>
      </c>
      <c r="L359" s="8" t="s">
        <v>32</v>
      </c>
      <c r="M359" s="8"/>
      <c r="N359" s="8" t="b">
        <v>0</v>
      </c>
      <c r="O359" s="10" t="s">
        <v>284</v>
      </c>
      <c r="P359" s="8" t="s">
        <v>313</v>
      </c>
      <c r="Q359" s="8">
        <v>868914</v>
      </c>
      <c r="R359" s="9">
        <v>45049</v>
      </c>
      <c r="S359" s="8" t="s">
        <v>286</v>
      </c>
      <c r="T359" s="8" t="s">
        <v>58</v>
      </c>
      <c r="U359" s="8" t="s">
        <v>287</v>
      </c>
      <c r="V359" s="8" t="s">
        <v>46</v>
      </c>
      <c r="W359" s="8">
        <v>0</v>
      </c>
    </row>
    <row r="360" spans="1:23" x14ac:dyDescent="0.25">
      <c r="A360" s="4">
        <v>1</v>
      </c>
      <c r="B360" s="4"/>
      <c r="C360" s="4" t="s">
        <v>314</v>
      </c>
      <c r="D360" s="4">
        <v>2298</v>
      </c>
      <c r="E360" s="5">
        <f t="shared" si="5"/>
        <v>0</v>
      </c>
      <c r="F360" s="15">
        <v>45257</v>
      </c>
      <c r="G360" s="10">
        <v>329774326</v>
      </c>
      <c r="H360" s="9">
        <v>45244</v>
      </c>
      <c r="I360" s="9">
        <v>45259</v>
      </c>
      <c r="J360" s="8">
        <v>2298</v>
      </c>
      <c r="K360" s="8" t="s">
        <v>31</v>
      </c>
      <c r="L360" s="8" t="s">
        <v>32</v>
      </c>
      <c r="M360" s="8"/>
      <c r="N360" s="8" t="b">
        <v>0</v>
      </c>
      <c r="O360" s="10" t="s">
        <v>284</v>
      </c>
      <c r="P360" s="8" t="s">
        <v>315</v>
      </c>
      <c r="Q360" s="8">
        <v>857659</v>
      </c>
      <c r="R360" s="9">
        <v>45048</v>
      </c>
      <c r="S360" s="8" t="s">
        <v>286</v>
      </c>
      <c r="T360" s="8" t="s">
        <v>58</v>
      </c>
      <c r="U360" s="8" t="s">
        <v>287</v>
      </c>
      <c r="V360" s="8" t="s">
        <v>46</v>
      </c>
      <c r="W360" s="8">
        <v>0</v>
      </c>
    </row>
    <row r="361" spans="1:23" x14ac:dyDescent="0.25">
      <c r="A361" s="4">
        <v>1</v>
      </c>
      <c r="B361" s="4"/>
      <c r="C361" s="4">
        <v>883765</v>
      </c>
      <c r="D361" s="4">
        <v>6351</v>
      </c>
      <c r="E361" s="5">
        <f t="shared" si="5"/>
        <v>0</v>
      </c>
      <c r="F361" s="15">
        <v>45257</v>
      </c>
      <c r="G361" s="10">
        <v>329779069</v>
      </c>
      <c r="H361" s="9">
        <v>45245</v>
      </c>
      <c r="I361" s="9">
        <v>45260</v>
      </c>
      <c r="J361" s="8">
        <v>6351</v>
      </c>
      <c r="K361" s="8" t="s">
        <v>31</v>
      </c>
      <c r="L361" s="8" t="s">
        <v>32</v>
      </c>
      <c r="M361" s="8"/>
      <c r="N361" s="8" t="b">
        <v>0</v>
      </c>
      <c r="O361" s="10">
        <v>703551</v>
      </c>
      <c r="P361" s="8" t="s">
        <v>208</v>
      </c>
      <c r="Q361" s="8">
        <v>640450</v>
      </c>
      <c r="R361" s="9">
        <v>45243</v>
      </c>
      <c r="S361" s="8" t="s">
        <v>34</v>
      </c>
      <c r="T361" s="8" t="s">
        <v>209</v>
      </c>
      <c r="U361" s="8" t="s">
        <v>58</v>
      </c>
      <c r="V361" s="8" t="s">
        <v>46</v>
      </c>
      <c r="W361" s="8">
        <v>0</v>
      </c>
    </row>
    <row r="362" spans="1:23" x14ac:dyDescent="0.25">
      <c r="A362" s="4">
        <v>1</v>
      </c>
      <c r="B362" s="4"/>
      <c r="C362" s="4">
        <v>883785</v>
      </c>
      <c r="D362" s="4">
        <v>6331.5</v>
      </c>
      <c r="E362" s="5">
        <f t="shared" si="5"/>
        <v>0.5</v>
      </c>
      <c r="F362" s="15">
        <v>45257</v>
      </c>
      <c r="G362" s="10">
        <v>329788085</v>
      </c>
      <c r="H362" s="9">
        <v>45245</v>
      </c>
      <c r="I362" s="9">
        <v>45260</v>
      </c>
      <c r="J362" s="8">
        <v>6332</v>
      </c>
      <c r="K362" s="8" t="s">
        <v>31</v>
      </c>
      <c r="L362" s="8" t="s">
        <v>32</v>
      </c>
      <c r="M362" s="8"/>
      <c r="N362" s="8" t="b">
        <v>0</v>
      </c>
      <c r="O362" s="10"/>
      <c r="P362" s="8" t="s">
        <v>258</v>
      </c>
      <c r="Q362" s="8">
        <v>674868</v>
      </c>
      <c r="R362" s="9">
        <v>45245</v>
      </c>
      <c r="S362" s="8" t="s">
        <v>48</v>
      </c>
      <c r="T362" s="8" t="s">
        <v>49</v>
      </c>
      <c r="U362" s="8" t="s">
        <v>50</v>
      </c>
      <c r="V362" s="8" t="s">
        <v>37</v>
      </c>
      <c r="W362" s="8">
        <v>0</v>
      </c>
    </row>
    <row r="363" spans="1:23" x14ac:dyDescent="0.25">
      <c r="A363" s="4">
        <v>1</v>
      </c>
      <c r="B363" s="4"/>
      <c r="C363" s="4">
        <v>883786</v>
      </c>
      <c r="D363" s="4">
        <v>35168</v>
      </c>
      <c r="E363" s="5">
        <f t="shared" si="5"/>
        <v>0</v>
      </c>
      <c r="F363" s="15">
        <v>45257</v>
      </c>
      <c r="G363" s="10">
        <v>329788737</v>
      </c>
      <c r="H363" s="9">
        <v>45245</v>
      </c>
      <c r="I363" s="9">
        <v>45260</v>
      </c>
      <c r="J363" s="8">
        <v>35168</v>
      </c>
      <c r="K363" s="8" t="s">
        <v>31</v>
      </c>
      <c r="L363" s="8" t="s">
        <v>32</v>
      </c>
      <c r="M363" s="8"/>
      <c r="N363" s="8" t="b">
        <v>0</v>
      </c>
      <c r="O363" s="10"/>
      <c r="P363" s="8" t="s">
        <v>316</v>
      </c>
      <c r="Q363" s="8">
        <v>675593</v>
      </c>
      <c r="R363" s="9">
        <v>45245</v>
      </c>
      <c r="S363" s="8" t="s">
        <v>34</v>
      </c>
      <c r="T363" s="8" t="s">
        <v>49</v>
      </c>
      <c r="U363" s="8" t="s">
        <v>75</v>
      </c>
      <c r="V363" s="8" t="s">
        <v>46</v>
      </c>
      <c r="W363" s="8">
        <v>0</v>
      </c>
    </row>
    <row r="364" spans="1:23" x14ac:dyDescent="0.25">
      <c r="A364" s="4">
        <v>1</v>
      </c>
      <c r="B364" s="4"/>
      <c r="C364" s="4">
        <v>883787</v>
      </c>
      <c r="D364" s="4">
        <v>63315</v>
      </c>
      <c r="E364" s="5">
        <f t="shared" si="5"/>
        <v>5</v>
      </c>
      <c r="F364" s="15">
        <v>45257</v>
      </c>
      <c r="G364" s="10">
        <v>329788796</v>
      </c>
      <c r="H364" s="9">
        <v>45245</v>
      </c>
      <c r="I364" s="9">
        <v>45260</v>
      </c>
      <c r="J364" s="8">
        <v>63320</v>
      </c>
      <c r="K364" s="8" t="s">
        <v>31</v>
      </c>
      <c r="L364" s="8" t="s">
        <v>32</v>
      </c>
      <c r="M364" s="8"/>
      <c r="N364" s="8" t="b">
        <v>0</v>
      </c>
      <c r="O364" s="10"/>
      <c r="P364" s="8" t="s">
        <v>317</v>
      </c>
      <c r="Q364" s="8">
        <v>675534</v>
      </c>
      <c r="R364" s="9">
        <v>45245</v>
      </c>
      <c r="S364" s="8" t="s">
        <v>48</v>
      </c>
      <c r="T364" s="8" t="s">
        <v>49</v>
      </c>
      <c r="U364" s="8" t="s">
        <v>50</v>
      </c>
      <c r="V364" s="8" t="s">
        <v>37</v>
      </c>
      <c r="W364" s="8">
        <v>0</v>
      </c>
    </row>
    <row r="365" spans="1:23" x14ac:dyDescent="0.25">
      <c r="A365" s="4">
        <v>1</v>
      </c>
      <c r="B365" s="4"/>
      <c r="C365" s="4">
        <v>883744</v>
      </c>
      <c r="D365" s="4">
        <v>7850</v>
      </c>
      <c r="E365" s="5">
        <f t="shared" si="5"/>
        <v>0</v>
      </c>
      <c r="F365" s="15">
        <v>45257</v>
      </c>
      <c r="G365" s="10">
        <v>329795464</v>
      </c>
      <c r="H365" s="9">
        <v>45245</v>
      </c>
      <c r="I365" s="9">
        <v>45260</v>
      </c>
      <c r="J365" s="8">
        <v>7850</v>
      </c>
      <c r="K365" s="8" t="s">
        <v>31</v>
      </c>
      <c r="L365" s="8" t="s">
        <v>32</v>
      </c>
      <c r="M365" s="8"/>
      <c r="N365" s="8" t="b">
        <v>0</v>
      </c>
      <c r="O365" s="10">
        <v>21066</v>
      </c>
      <c r="P365" s="8" t="s">
        <v>135</v>
      </c>
      <c r="Q365" s="8">
        <v>682008</v>
      </c>
      <c r="R365" s="9">
        <v>45245</v>
      </c>
      <c r="S365" s="8" t="s">
        <v>318</v>
      </c>
      <c r="T365" s="8" t="s">
        <v>40</v>
      </c>
      <c r="U365" s="8" t="s">
        <v>319</v>
      </c>
      <c r="V365" s="8" t="s">
        <v>320</v>
      </c>
      <c r="W365" s="8">
        <v>0</v>
      </c>
    </row>
    <row r="366" spans="1:23" x14ac:dyDescent="0.25">
      <c r="A366" s="4">
        <v>1</v>
      </c>
      <c r="B366" s="4"/>
      <c r="C366" s="4">
        <v>883745</v>
      </c>
      <c r="D366" s="4">
        <v>4901.5</v>
      </c>
      <c r="E366" s="5">
        <f t="shared" si="5"/>
        <v>0.5</v>
      </c>
      <c r="F366" s="15">
        <v>45257</v>
      </c>
      <c r="G366" s="10">
        <v>329795465</v>
      </c>
      <c r="H366" s="9">
        <v>45245</v>
      </c>
      <c r="I366" s="9">
        <v>45260</v>
      </c>
      <c r="J366" s="8">
        <v>4902</v>
      </c>
      <c r="K366" s="8" t="s">
        <v>31</v>
      </c>
      <c r="L366" s="8" t="s">
        <v>32</v>
      </c>
      <c r="M366" s="8"/>
      <c r="N366" s="8" t="b">
        <v>0</v>
      </c>
      <c r="O366" s="10">
        <v>21065</v>
      </c>
      <c r="P366" s="8" t="s">
        <v>136</v>
      </c>
      <c r="Q366" s="8">
        <v>682057</v>
      </c>
      <c r="R366" s="9">
        <v>45245</v>
      </c>
      <c r="S366" s="8" t="s">
        <v>277</v>
      </c>
      <c r="T366" s="8" t="s">
        <v>40</v>
      </c>
      <c r="U366" s="8" t="s">
        <v>278</v>
      </c>
      <c r="V366" s="8" t="s">
        <v>279</v>
      </c>
      <c r="W366" s="8">
        <v>0</v>
      </c>
    </row>
    <row r="367" spans="1:23" x14ac:dyDescent="0.25">
      <c r="A367" s="4">
        <v>1</v>
      </c>
      <c r="B367" s="4"/>
      <c r="C367" s="4">
        <v>883747</v>
      </c>
      <c r="D367" s="4">
        <v>4901.5</v>
      </c>
      <c r="E367" s="5">
        <f t="shared" si="5"/>
        <v>0.5</v>
      </c>
      <c r="F367" s="15">
        <v>45257</v>
      </c>
      <c r="G367" s="10">
        <v>329795466</v>
      </c>
      <c r="H367" s="9">
        <v>45245</v>
      </c>
      <c r="I367" s="9">
        <v>45260</v>
      </c>
      <c r="J367" s="8">
        <v>4902</v>
      </c>
      <c r="K367" s="8" t="s">
        <v>31</v>
      </c>
      <c r="L367" s="8" t="s">
        <v>32</v>
      </c>
      <c r="M367" s="8"/>
      <c r="N367" s="8" t="b">
        <v>0</v>
      </c>
      <c r="O367" s="10">
        <v>21063</v>
      </c>
      <c r="P367" s="8" t="s">
        <v>270</v>
      </c>
      <c r="Q367" s="8">
        <v>681984</v>
      </c>
      <c r="R367" s="9">
        <v>45245</v>
      </c>
      <c r="S367" s="8" t="s">
        <v>277</v>
      </c>
      <c r="T367" s="8" t="s">
        <v>40</v>
      </c>
      <c r="U367" s="8" t="s">
        <v>278</v>
      </c>
      <c r="V367" s="8" t="s">
        <v>279</v>
      </c>
      <c r="W367" s="8">
        <v>0</v>
      </c>
    </row>
    <row r="368" spans="1:23" x14ac:dyDescent="0.25">
      <c r="A368" s="4">
        <v>1</v>
      </c>
      <c r="B368" s="4"/>
      <c r="C368" s="4">
        <v>883736</v>
      </c>
      <c r="D368" s="4">
        <v>7037</v>
      </c>
      <c r="E368" s="5">
        <f t="shared" si="5"/>
        <v>0</v>
      </c>
      <c r="F368" s="15">
        <v>45257</v>
      </c>
      <c r="G368" s="10">
        <v>329795468</v>
      </c>
      <c r="H368" s="9">
        <v>45245</v>
      </c>
      <c r="I368" s="9">
        <v>45260</v>
      </c>
      <c r="J368" s="8">
        <v>7037</v>
      </c>
      <c r="K368" s="8" t="s">
        <v>31</v>
      </c>
      <c r="L368" s="8" t="s">
        <v>32</v>
      </c>
      <c r="M368" s="8"/>
      <c r="N368" s="8" t="b">
        <v>0</v>
      </c>
      <c r="O368" s="10">
        <v>21069</v>
      </c>
      <c r="P368" s="8" t="s">
        <v>57</v>
      </c>
      <c r="Q368" s="8">
        <v>682038</v>
      </c>
      <c r="R368" s="9">
        <v>45245</v>
      </c>
      <c r="S368" s="8" t="s">
        <v>39</v>
      </c>
      <c r="T368" s="8" t="s">
        <v>40</v>
      </c>
      <c r="U368" s="8" t="s">
        <v>41</v>
      </c>
      <c r="V368" s="8" t="s">
        <v>42</v>
      </c>
      <c r="W368" s="8">
        <v>0</v>
      </c>
    </row>
    <row r="369" spans="1:23" x14ac:dyDescent="0.25">
      <c r="A369" s="4">
        <v>1</v>
      </c>
      <c r="B369" s="4"/>
      <c r="C369" s="4">
        <v>883735</v>
      </c>
      <c r="D369" s="4">
        <v>7037</v>
      </c>
      <c r="E369" s="5">
        <f t="shared" si="5"/>
        <v>0</v>
      </c>
      <c r="F369" s="15">
        <v>45257</v>
      </c>
      <c r="G369" s="10">
        <v>329795481</v>
      </c>
      <c r="H369" s="9">
        <v>45245</v>
      </c>
      <c r="I369" s="9">
        <v>45260</v>
      </c>
      <c r="J369" s="8">
        <v>7037</v>
      </c>
      <c r="K369" s="8" t="s">
        <v>31</v>
      </c>
      <c r="L369" s="8" t="s">
        <v>32</v>
      </c>
      <c r="M369" s="8"/>
      <c r="N369" s="8" t="b">
        <v>0</v>
      </c>
      <c r="O369" s="10">
        <v>21070</v>
      </c>
      <c r="P369" s="8" t="s">
        <v>237</v>
      </c>
      <c r="Q369" s="8">
        <v>682044</v>
      </c>
      <c r="R369" s="9">
        <v>45245</v>
      </c>
      <c r="S369" s="8" t="s">
        <v>39</v>
      </c>
      <c r="T369" s="8" t="s">
        <v>40</v>
      </c>
      <c r="U369" s="8" t="s">
        <v>41</v>
      </c>
      <c r="V369" s="8" t="s">
        <v>42</v>
      </c>
      <c r="W369" s="8">
        <v>0</v>
      </c>
    </row>
    <row r="370" spans="1:23" x14ac:dyDescent="0.25">
      <c r="A370" s="4">
        <v>1</v>
      </c>
      <c r="B370" s="4"/>
      <c r="C370" s="4">
        <v>883768</v>
      </c>
      <c r="D370" s="4">
        <v>5170.5</v>
      </c>
      <c r="E370" s="5">
        <f t="shared" si="5"/>
        <v>0.5</v>
      </c>
      <c r="F370" s="15">
        <v>45257</v>
      </c>
      <c r="G370" s="10">
        <v>329795504</v>
      </c>
      <c r="H370" s="9">
        <v>45245</v>
      </c>
      <c r="I370" s="9">
        <v>45260</v>
      </c>
      <c r="J370" s="8">
        <v>5171</v>
      </c>
      <c r="K370" s="8" t="s">
        <v>31</v>
      </c>
      <c r="L370" s="8" t="s">
        <v>32</v>
      </c>
      <c r="M370" s="8"/>
      <c r="N370" s="8" t="b">
        <v>0</v>
      </c>
      <c r="O370" s="10">
        <v>705139</v>
      </c>
      <c r="P370" s="8" t="s">
        <v>269</v>
      </c>
      <c r="Q370" s="8">
        <v>681930</v>
      </c>
      <c r="R370" s="9">
        <v>45245</v>
      </c>
      <c r="S370" s="8" t="s">
        <v>34</v>
      </c>
      <c r="T370" s="8" t="s">
        <v>44</v>
      </c>
      <c r="U370" s="8" t="s">
        <v>58</v>
      </c>
      <c r="V370" s="8" t="s">
        <v>46</v>
      </c>
      <c r="W370" s="8">
        <v>0</v>
      </c>
    </row>
    <row r="371" spans="1:23" x14ac:dyDescent="0.25">
      <c r="A371" s="4">
        <v>1</v>
      </c>
      <c r="B371" s="4"/>
      <c r="C371" s="4">
        <v>883743</v>
      </c>
      <c r="D371" s="4">
        <v>7850</v>
      </c>
      <c r="E371" s="5">
        <f t="shared" si="5"/>
        <v>0</v>
      </c>
      <c r="F371" s="15">
        <v>45257</v>
      </c>
      <c r="G371" s="10">
        <v>329795510</v>
      </c>
      <c r="H371" s="9">
        <v>45245</v>
      </c>
      <c r="I371" s="9">
        <v>45260</v>
      </c>
      <c r="J371" s="8">
        <v>7850</v>
      </c>
      <c r="K371" s="8" t="s">
        <v>31</v>
      </c>
      <c r="L371" s="8" t="s">
        <v>32</v>
      </c>
      <c r="M371" s="8"/>
      <c r="N371" s="8" t="b">
        <v>0</v>
      </c>
      <c r="O371" s="10">
        <v>21067</v>
      </c>
      <c r="P371" s="8" t="s">
        <v>67</v>
      </c>
      <c r="Q371" s="8">
        <v>682027</v>
      </c>
      <c r="R371" s="9">
        <v>45245</v>
      </c>
      <c r="S371" s="8" t="s">
        <v>318</v>
      </c>
      <c r="T371" s="8" t="s">
        <v>40</v>
      </c>
      <c r="U371" s="8" t="s">
        <v>319</v>
      </c>
      <c r="V371" s="8" t="s">
        <v>320</v>
      </c>
      <c r="W371" s="8">
        <v>0</v>
      </c>
    </row>
    <row r="372" spans="1:23" x14ac:dyDescent="0.25">
      <c r="A372" s="4">
        <v>1</v>
      </c>
      <c r="B372" s="4"/>
      <c r="C372" s="4">
        <v>883742</v>
      </c>
      <c r="D372" s="4">
        <v>7850</v>
      </c>
      <c r="E372" s="5">
        <f t="shared" si="5"/>
        <v>0</v>
      </c>
      <c r="F372" s="15">
        <v>45257</v>
      </c>
      <c r="G372" s="10">
        <v>329795512</v>
      </c>
      <c r="H372" s="9">
        <v>45245</v>
      </c>
      <c r="I372" s="9">
        <v>45260</v>
      </c>
      <c r="J372" s="8">
        <v>7850</v>
      </c>
      <c r="K372" s="8" t="s">
        <v>31</v>
      </c>
      <c r="L372" s="8" t="s">
        <v>32</v>
      </c>
      <c r="M372" s="8"/>
      <c r="N372" s="8" t="b">
        <v>0</v>
      </c>
      <c r="O372" s="10">
        <v>21068</v>
      </c>
      <c r="P372" s="8" t="s">
        <v>66</v>
      </c>
      <c r="Q372" s="8">
        <v>682030</v>
      </c>
      <c r="R372" s="9">
        <v>45245</v>
      </c>
      <c r="S372" s="8" t="s">
        <v>318</v>
      </c>
      <c r="T372" s="8" t="s">
        <v>40</v>
      </c>
      <c r="U372" s="8" t="s">
        <v>319</v>
      </c>
      <c r="V372" s="8" t="s">
        <v>320</v>
      </c>
      <c r="W372" s="8">
        <v>0</v>
      </c>
    </row>
    <row r="373" spans="1:23" x14ac:dyDescent="0.25">
      <c r="A373" s="4">
        <v>1</v>
      </c>
      <c r="B373" s="4"/>
      <c r="C373" s="4">
        <v>883748</v>
      </c>
      <c r="D373" s="4">
        <v>4901.5</v>
      </c>
      <c r="E373" s="5">
        <f t="shared" si="5"/>
        <v>0.5</v>
      </c>
      <c r="F373" s="15">
        <v>45257</v>
      </c>
      <c r="G373" s="10">
        <v>329795525</v>
      </c>
      <c r="H373" s="9">
        <v>45245</v>
      </c>
      <c r="I373" s="9">
        <v>45260</v>
      </c>
      <c r="J373" s="8">
        <v>4902</v>
      </c>
      <c r="K373" s="8" t="s">
        <v>31</v>
      </c>
      <c r="L373" s="8" t="s">
        <v>32</v>
      </c>
      <c r="M373" s="8"/>
      <c r="N373" s="8" t="b">
        <v>0</v>
      </c>
      <c r="O373" s="10">
        <v>21062</v>
      </c>
      <c r="P373" s="8" t="s">
        <v>272</v>
      </c>
      <c r="Q373" s="8">
        <v>681981</v>
      </c>
      <c r="R373" s="9">
        <v>45245</v>
      </c>
      <c r="S373" s="8" t="s">
        <v>277</v>
      </c>
      <c r="T373" s="8" t="s">
        <v>40</v>
      </c>
      <c r="U373" s="8" t="s">
        <v>278</v>
      </c>
      <c r="V373" s="8" t="s">
        <v>279</v>
      </c>
      <c r="W373" s="8">
        <v>0</v>
      </c>
    </row>
    <row r="374" spans="1:23" x14ac:dyDescent="0.25">
      <c r="A374" s="4">
        <v>1</v>
      </c>
      <c r="B374" s="4"/>
      <c r="C374" s="4">
        <v>883769</v>
      </c>
      <c r="D374" s="4">
        <v>5172.5</v>
      </c>
      <c r="E374" s="5">
        <f t="shared" si="5"/>
        <v>-1.5</v>
      </c>
      <c r="F374" s="15">
        <v>45257</v>
      </c>
      <c r="G374" s="10">
        <v>329795526</v>
      </c>
      <c r="H374" s="9">
        <v>45245</v>
      </c>
      <c r="I374" s="9">
        <v>45260</v>
      </c>
      <c r="J374" s="8">
        <v>5171</v>
      </c>
      <c r="K374" s="8" t="s">
        <v>31</v>
      </c>
      <c r="L374" s="8" t="s">
        <v>32</v>
      </c>
      <c r="M374" s="8"/>
      <c r="N374" s="8" t="b">
        <v>0</v>
      </c>
      <c r="O374" s="10">
        <v>705138</v>
      </c>
      <c r="P374" s="8" t="s">
        <v>274</v>
      </c>
      <c r="Q374" s="8">
        <v>681917</v>
      </c>
      <c r="R374" s="9">
        <v>45245</v>
      </c>
      <c r="S374" s="8" t="s">
        <v>34</v>
      </c>
      <c r="T374" s="8" t="s">
        <v>44</v>
      </c>
      <c r="U374" s="8" t="s">
        <v>58</v>
      </c>
      <c r="V374" s="8" t="s">
        <v>46</v>
      </c>
      <c r="W374" s="8">
        <v>0</v>
      </c>
    </row>
    <row r="375" spans="1:23" x14ac:dyDescent="0.25">
      <c r="A375" s="4">
        <v>1</v>
      </c>
      <c r="B375" s="4"/>
      <c r="C375" s="4">
        <v>883746</v>
      </c>
      <c r="D375" s="4">
        <v>4901.5</v>
      </c>
      <c r="E375" s="5">
        <f t="shared" si="5"/>
        <v>0.5</v>
      </c>
      <c r="F375" s="15">
        <v>45257</v>
      </c>
      <c r="G375" s="10">
        <v>329795571</v>
      </c>
      <c r="H375" s="9">
        <v>45245</v>
      </c>
      <c r="I375" s="9">
        <v>45260</v>
      </c>
      <c r="J375" s="8">
        <v>4902</v>
      </c>
      <c r="K375" s="8" t="s">
        <v>31</v>
      </c>
      <c r="L375" s="8" t="s">
        <v>32</v>
      </c>
      <c r="M375" s="8"/>
      <c r="N375" s="8" t="b">
        <v>0</v>
      </c>
      <c r="O375" s="10">
        <v>21064</v>
      </c>
      <c r="P375" s="8" t="s">
        <v>137</v>
      </c>
      <c r="Q375" s="8">
        <v>682001</v>
      </c>
      <c r="R375" s="9">
        <v>45245</v>
      </c>
      <c r="S375" s="8" t="s">
        <v>277</v>
      </c>
      <c r="T375" s="8" t="s">
        <v>40</v>
      </c>
      <c r="U375" s="8" t="s">
        <v>278</v>
      </c>
      <c r="V375" s="8" t="s">
        <v>279</v>
      </c>
      <c r="W375" s="8">
        <v>0</v>
      </c>
    </row>
    <row r="376" spans="1:23" x14ac:dyDescent="0.25">
      <c r="A376" s="4">
        <v>1</v>
      </c>
      <c r="B376" s="4"/>
      <c r="C376" s="4">
        <v>883770</v>
      </c>
      <c r="D376" s="4">
        <v>8094.5</v>
      </c>
      <c r="E376" s="5">
        <f t="shared" si="5"/>
        <v>0.5</v>
      </c>
      <c r="F376" s="15">
        <v>45257</v>
      </c>
      <c r="G376" s="10">
        <v>329796683</v>
      </c>
      <c r="H376" s="9">
        <v>45245</v>
      </c>
      <c r="I376" s="9">
        <v>45260</v>
      </c>
      <c r="J376" s="8">
        <v>8095</v>
      </c>
      <c r="K376" s="8" t="s">
        <v>31</v>
      </c>
      <c r="L376" s="8" t="s">
        <v>32</v>
      </c>
      <c r="M376" s="8"/>
      <c r="N376" s="8" t="b">
        <v>0</v>
      </c>
      <c r="O376" s="10">
        <v>705878</v>
      </c>
      <c r="P376" s="8" t="s">
        <v>233</v>
      </c>
      <c r="Q376" s="8">
        <v>683177</v>
      </c>
      <c r="R376" s="9">
        <v>45245</v>
      </c>
      <c r="S376" s="8" t="s">
        <v>34</v>
      </c>
      <c r="T376" s="8" t="s">
        <v>40</v>
      </c>
      <c r="U376" s="8" t="s">
        <v>157</v>
      </c>
      <c r="V376" s="8" t="s">
        <v>158</v>
      </c>
      <c r="W376" s="8">
        <v>0</v>
      </c>
    </row>
    <row r="377" spans="1:23" x14ac:dyDescent="0.25">
      <c r="A377" s="4">
        <v>1</v>
      </c>
      <c r="B377" s="4"/>
      <c r="C377" s="4">
        <v>883771</v>
      </c>
      <c r="D377" s="4">
        <v>8094.5</v>
      </c>
      <c r="E377" s="5">
        <f t="shared" si="5"/>
        <v>0.5</v>
      </c>
      <c r="F377" s="15">
        <v>45257</v>
      </c>
      <c r="G377" s="10">
        <v>329797756</v>
      </c>
      <c r="H377" s="9">
        <v>45245</v>
      </c>
      <c r="I377" s="9">
        <v>45260</v>
      </c>
      <c r="J377" s="8">
        <v>8095</v>
      </c>
      <c r="K377" s="8" t="s">
        <v>31</v>
      </c>
      <c r="L377" s="8" t="s">
        <v>32</v>
      </c>
      <c r="M377" s="8"/>
      <c r="N377" s="8" t="b">
        <v>0</v>
      </c>
      <c r="O377" s="10">
        <v>705879</v>
      </c>
      <c r="P377" s="8" t="s">
        <v>116</v>
      </c>
      <c r="Q377" s="8">
        <v>684809</v>
      </c>
      <c r="R377" s="9">
        <v>45245</v>
      </c>
      <c r="S377" s="8" t="s">
        <v>34</v>
      </c>
      <c r="T377" s="8" t="s">
        <v>40</v>
      </c>
      <c r="U377" s="8" t="s">
        <v>157</v>
      </c>
      <c r="V377" s="8" t="s">
        <v>158</v>
      </c>
      <c r="W377" s="8">
        <v>0</v>
      </c>
    </row>
    <row r="378" spans="1:23" x14ac:dyDescent="0.25">
      <c r="A378" s="4">
        <v>1</v>
      </c>
      <c r="B378" s="4"/>
      <c r="C378" s="4">
        <v>883772</v>
      </c>
      <c r="D378" s="4">
        <v>8094.5</v>
      </c>
      <c r="E378" s="5">
        <f t="shared" si="5"/>
        <v>0.5</v>
      </c>
      <c r="F378" s="15">
        <v>45257</v>
      </c>
      <c r="G378" s="10">
        <v>329798498</v>
      </c>
      <c r="H378" s="9">
        <v>45245</v>
      </c>
      <c r="I378" s="9">
        <v>45260</v>
      </c>
      <c r="J378" s="8">
        <v>8095</v>
      </c>
      <c r="K378" s="8" t="s">
        <v>31</v>
      </c>
      <c r="L378" s="8" t="s">
        <v>32</v>
      </c>
      <c r="M378" s="8"/>
      <c r="N378" s="8" t="b">
        <v>0</v>
      </c>
      <c r="O378" s="10">
        <v>705880</v>
      </c>
      <c r="P378" s="8" t="s">
        <v>129</v>
      </c>
      <c r="Q378" s="8">
        <v>686040</v>
      </c>
      <c r="R378" s="9">
        <v>45245</v>
      </c>
      <c r="S378" s="8" t="s">
        <v>34</v>
      </c>
      <c r="T378" s="8" t="s">
        <v>40</v>
      </c>
      <c r="U378" s="8" t="s">
        <v>157</v>
      </c>
      <c r="V378" s="8" t="s">
        <v>158</v>
      </c>
      <c r="W378" s="8">
        <v>0</v>
      </c>
    </row>
    <row r="379" spans="1:23" x14ac:dyDescent="0.25">
      <c r="A379" s="4">
        <v>1</v>
      </c>
      <c r="B379" s="4"/>
      <c r="C379" s="4">
        <v>884020</v>
      </c>
      <c r="D379" s="4">
        <v>6331.5</v>
      </c>
      <c r="E379" s="5">
        <f t="shared" si="5"/>
        <v>0.5</v>
      </c>
      <c r="F379" s="15">
        <v>45257</v>
      </c>
      <c r="G379" s="10">
        <v>329811611</v>
      </c>
      <c r="H379" s="9">
        <v>45246</v>
      </c>
      <c r="I379" s="9">
        <v>45261</v>
      </c>
      <c r="J379" s="8">
        <v>6332</v>
      </c>
      <c r="K379" s="8" t="s">
        <v>31</v>
      </c>
      <c r="L379" s="8" t="s">
        <v>32</v>
      </c>
      <c r="M379" s="8"/>
      <c r="N379" s="8" t="b">
        <v>0</v>
      </c>
      <c r="O379" s="10"/>
      <c r="P379" s="8" t="s">
        <v>306</v>
      </c>
      <c r="Q379" s="8">
        <v>608507</v>
      </c>
      <c r="R379" s="9">
        <v>45239</v>
      </c>
      <c r="S379" s="8" t="s">
        <v>48</v>
      </c>
      <c r="T379" s="8" t="s">
        <v>49</v>
      </c>
      <c r="U379" s="8" t="s">
        <v>50</v>
      </c>
      <c r="V379" s="8" t="s">
        <v>37</v>
      </c>
      <c r="W379" s="8">
        <v>0</v>
      </c>
    </row>
    <row r="380" spans="1:23" x14ac:dyDescent="0.25">
      <c r="A380" s="4">
        <v>1</v>
      </c>
      <c r="B380" s="4"/>
      <c r="C380" s="4">
        <v>883773</v>
      </c>
      <c r="D380" s="4">
        <v>8094.5</v>
      </c>
      <c r="E380" s="5">
        <f t="shared" si="5"/>
        <v>0.5</v>
      </c>
      <c r="F380" s="15">
        <v>45257</v>
      </c>
      <c r="G380" s="10">
        <v>329812300</v>
      </c>
      <c r="H380" s="9">
        <v>45246</v>
      </c>
      <c r="I380" s="9">
        <v>45261</v>
      </c>
      <c r="J380" s="8">
        <v>8095</v>
      </c>
      <c r="K380" s="8" t="s">
        <v>31</v>
      </c>
      <c r="L380" s="8" t="s">
        <v>32</v>
      </c>
      <c r="M380" s="8"/>
      <c r="N380" s="8" t="b">
        <v>0</v>
      </c>
      <c r="O380" s="10">
        <v>705885</v>
      </c>
      <c r="P380" s="8" t="s">
        <v>271</v>
      </c>
      <c r="Q380" s="8">
        <v>695755</v>
      </c>
      <c r="R380" s="9">
        <v>45246</v>
      </c>
      <c r="S380" s="8" t="s">
        <v>34</v>
      </c>
      <c r="T380" s="8" t="s">
        <v>40</v>
      </c>
      <c r="U380" s="8" t="s">
        <v>157</v>
      </c>
      <c r="V380" s="8" t="s">
        <v>158</v>
      </c>
      <c r="W380" s="8">
        <v>0</v>
      </c>
    </row>
    <row r="381" spans="1:23" x14ac:dyDescent="0.25">
      <c r="A381" s="4">
        <v>1</v>
      </c>
      <c r="B381" s="4"/>
      <c r="C381" s="4">
        <v>883774</v>
      </c>
      <c r="D381" s="4">
        <v>8094.5</v>
      </c>
      <c r="E381" s="5">
        <f t="shared" si="5"/>
        <v>0.5</v>
      </c>
      <c r="F381" s="15">
        <v>45257</v>
      </c>
      <c r="G381" s="10">
        <v>329812330</v>
      </c>
      <c r="H381" s="9">
        <v>45246</v>
      </c>
      <c r="I381" s="9">
        <v>45261</v>
      </c>
      <c r="J381" s="8">
        <v>8095</v>
      </c>
      <c r="K381" s="8" t="s">
        <v>31</v>
      </c>
      <c r="L381" s="8" t="s">
        <v>32</v>
      </c>
      <c r="M381" s="8"/>
      <c r="N381" s="8" t="b">
        <v>0</v>
      </c>
      <c r="O381" s="10">
        <v>705883</v>
      </c>
      <c r="P381" s="8" t="s">
        <v>89</v>
      </c>
      <c r="Q381" s="8">
        <v>695619</v>
      </c>
      <c r="R381" s="9">
        <v>45246</v>
      </c>
      <c r="S381" s="8" t="s">
        <v>34</v>
      </c>
      <c r="T381" s="8" t="s">
        <v>40</v>
      </c>
      <c r="U381" s="8" t="s">
        <v>157</v>
      </c>
      <c r="V381" s="8" t="s">
        <v>158</v>
      </c>
      <c r="W381" s="8">
        <v>0</v>
      </c>
    </row>
    <row r="382" spans="1:23" x14ac:dyDescent="0.25">
      <c r="A382" s="4">
        <v>1</v>
      </c>
      <c r="B382" s="4"/>
      <c r="C382" s="4">
        <v>883775</v>
      </c>
      <c r="D382" s="4">
        <v>8094.5</v>
      </c>
      <c r="E382" s="5">
        <f t="shared" si="5"/>
        <v>0.5</v>
      </c>
      <c r="F382" s="15">
        <v>45257</v>
      </c>
      <c r="G382" s="10">
        <v>329812361</v>
      </c>
      <c r="H382" s="9">
        <v>45246</v>
      </c>
      <c r="I382" s="9">
        <v>45261</v>
      </c>
      <c r="J382" s="8">
        <v>8095</v>
      </c>
      <c r="K382" s="8" t="s">
        <v>31</v>
      </c>
      <c r="L382" s="8" t="s">
        <v>32</v>
      </c>
      <c r="M382" s="8"/>
      <c r="N382" s="8" t="b">
        <v>0</v>
      </c>
      <c r="O382" s="10">
        <v>705882</v>
      </c>
      <c r="P382" s="8" t="s">
        <v>87</v>
      </c>
      <c r="Q382" s="8">
        <v>695613</v>
      </c>
      <c r="R382" s="9">
        <v>45246</v>
      </c>
      <c r="S382" s="8" t="s">
        <v>34</v>
      </c>
      <c r="T382" s="8" t="s">
        <v>40</v>
      </c>
      <c r="U382" s="8" t="s">
        <v>157</v>
      </c>
      <c r="V382" s="8" t="s">
        <v>158</v>
      </c>
      <c r="W382" s="8">
        <v>0</v>
      </c>
    </row>
    <row r="383" spans="1:23" x14ac:dyDescent="0.25">
      <c r="A383" s="4">
        <v>1</v>
      </c>
      <c r="B383" s="4"/>
      <c r="C383" s="4">
        <v>883776</v>
      </c>
      <c r="D383" s="4">
        <v>8094.5</v>
      </c>
      <c r="E383" s="5">
        <f t="shared" si="5"/>
        <v>0.5</v>
      </c>
      <c r="F383" s="15">
        <v>45257</v>
      </c>
      <c r="G383" s="10">
        <v>329812364</v>
      </c>
      <c r="H383" s="9">
        <v>45246</v>
      </c>
      <c r="I383" s="9">
        <v>45261</v>
      </c>
      <c r="J383" s="8">
        <v>8095</v>
      </c>
      <c r="K383" s="8" t="s">
        <v>31</v>
      </c>
      <c r="L383" s="8" t="s">
        <v>32</v>
      </c>
      <c r="M383" s="8"/>
      <c r="N383" s="8" t="b">
        <v>0</v>
      </c>
      <c r="O383" s="10">
        <v>705884</v>
      </c>
      <c r="P383" s="8" t="s">
        <v>95</v>
      </c>
      <c r="Q383" s="8">
        <v>695738</v>
      </c>
      <c r="R383" s="9">
        <v>45246</v>
      </c>
      <c r="S383" s="8" t="s">
        <v>34</v>
      </c>
      <c r="T383" s="8" t="s">
        <v>40</v>
      </c>
      <c r="U383" s="8" t="s">
        <v>157</v>
      </c>
      <c r="V383" s="8" t="s">
        <v>158</v>
      </c>
      <c r="W383" s="8">
        <v>0</v>
      </c>
    </row>
    <row r="384" spans="1:23" x14ac:dyDescent="0.25">
      <c r="A384" s="4">
        <v>1</v>
      </c>
      <c r="B384" s="4"/>
      <c r="C384" s="4">
        <v>883777</v>
      </c>
      <c r="D384" s="4">
        <v>8094.5</v>
      </c>
      <c r="E384" s="5">
        <f t="shared" si="5"/>
        <v>0.5</v>
      </c>
      <c r="F384" s="15">
        <v>45257</v>
      </c>
      <c r="G384" s="10">
        <v>329812371</v>
      </c>
      <c r="H384" s="9">
        <v>45246</v>
      </c>
      <c r="I384" s="9">
        <v>45261</v>
      </c>
      <c r="J384" s="8">
        <v>8095</v>
      </c>
      <c r="K384" s="8" t="s">
        <v>31</v>
      </c>
      <c r="L384" s="8" t="s">
        <v>32</v>
      </c>
      <c r="M384" s="8"/>
      <c r="N384" s="8" t="b">
        <v>0</v>
      </c>
      <c r="O384" s="10">
        <v>705886</v>
      </c>
      <c r="P384" s="8" t="s">
        <v>176</v>
      </c>
      <c r="Q384" s="8">
        <v>695760</v>
      </c>
      <c r="R384" s="9">
        <v>45246</v>
      </c>
      <c r="S384" s="8" t="s">
        <v>34</v>
      </c>
      <c r="T384" s="8" t="s">
        <v>40</v>
      </c>
      <c r="U384" s="8" t="s">
        <v>157</v>
      </c>
      <c r="V384" s="8" t="s">
        <v>158</v>
      </c>
      <c r="W384" s="8">
        <v>0</v>
      </c>
    </row>
    <row r="385" spans="1:23" x14ac:dyDescent="0.25">
      <c r="A385" s="4">
        <v>1</v>
      </c>
      <c r="B385" s="4"/>
      <c r="C385" s="4">
        <v>883778</v>
      </c>
      <c r="D385" s="4">
        <v>8094.5</v>
      </c>
      <c r="E385" s="5">
        <f t="shared" si="5"/>
        <v>0.5</v>
      </c>
      <c r="F385" s="15">
        <v>45257</v>
      </c>
      <c r="G385" s="10">
        <v>329812414</v>
      </c>
      <c r="H385" s="9">
        <v>45246</v>
      </c>
      <c r="I385" s="9">
        <v>45261</v>
      </c>
      <c r="J385" s="8">
        <v>8095</v>
      </c>
      <c r="K385" s="8" t="s">
        <v>31</v>
      </c>
      <c r="L385" s="8" t="s">
        <v>32</v>
      </c>
      <c r="M385" s="8"/>
      <c r="N385" s="8" t="b">
        <v>0</v>
      </c>
      <c r="O385" s="10">
        <v>705881</v>
      </c>
      <c r="P385" s="8" t="s">
        <v>94</v>
      </c>
      <c r="Q385" s="8">
        <v>695599</v>
      </c>
      <c r="R385" s="9">
        <v>45246</v>
      </c>
      <c r="S385" s="8" t="s">
        <v>34</v>
      </c>
      <c r="T385" s="8" t="s">
        <v>40</v>
      </c>
      <c r="U385" s="8" t="s">
        <v>157</v>
      </c>
      <c r="V385" s="8" t="s">
        <v>158</v>
      </c>
      <c r="W385" s="8">
        <v>0</v>
      </c>
    </row>
    <row r="386" spans="1:23" x14ac:dyDescent="0.25">
      <c r="A386" s="4">
        <v>1</v>
      </c>
      <c r="B386" s="4"/>
      <c r="C386" s="4">
        <v>883779</v>
      </c>
      <c r="D386" s="4">
        <v>8094.5</v>
      </c>
      <c r="E386" s="5">
        <f t="shared" si="5"/>
        <v>0.5</v>
      </c>
      <c r="F386" s="15">
        <v>45257</v>
      </c>
      <c r="G386" s="10">
        <v>329831562</v>
      </c>
      <c r="H386" s="9">
        <v>45247</v>
      </c>
      <c r="I386" s="9">
        <v>45262</v>
      </c>
      <c r="J386" s="8">
        <v>8095</v>
      </c>
      <c r="K386" s="8" t="s">
        <v>31</v>
      </c>
      <c r="L386" s="8" t="s">
        <v>32</v>
      </c>
      <c r="M386" s="8"/>
      <c r="N386" s="8" t="b">
        <v>0</v>
      </c>
      <c r="O386" s="10">
        <v>705887</v>
      </c>
      <c r="P386" s="8" t="s">
        <v>173</v>
      </c>
      <c r="Q386" s="8">
        <v>111333</v>
      </c>
      <c r="R386" s="9">
        <v>45247</v>
      </c>
      <c r="S386" s="8" t="s">
        <v>34</v>
      </c>
      <c r="T386" s="8" t="s">
        <v>40</v>
      </c>
      <c r="U386" s="8" t="s">
        <v>157</v>
      </c>
      <c r="V386" s="8" t="s">
        <v>158</v>
      </c>
      <c r="W386" s="8">
        <v>0</v>
      </c>
    </row>
    <row r="387" spans="1:23" x14ac:dyDescent="0.25">
      <c r="A387" s="4">
        <v>1</v>
      </c>
      <c r="B387" s="4"/>
      <c r="C387" s="4">
        <v>883780</v>
      </c>
      <c r="D387" s="4">
        <v>8094.5</v>
      </c>
      <c r="E387" s="5">
        <f t="shared" si="5"/>
        <v>0.5</v>
      </c>
      <c r="F387" s="15">
        <v>45257</v>
      </c>
      <c r="G387" s="10">
        <v>329831752</v>
      </c>
      <c r="H387" s="9">
        <v>45247</v>
      </c>
      <c r="I387" s="9">
        <v>45262</v>
      </c>
      <c r="J387" s="8">
        <v>8095</v>
      </c>
      <c r="K387" s="8" t="s">
        <v>31</v>
      </c>
      <c r="L387" s="8" t="s">
        <v>32</v>
      </c>
      <c r="M387" s="8"/>
      <c r="N387" s="8" t="b">
        <v>0</v>
      </c>
      <c r="O387" s="10">
        <v>705892</v>
      </c>
      <c r="P387" s="8" t="s">
        <v>197</v>
      </c>
      <c r="Q387" s="8">
        <v>111362</v>
      </c>
      <c r="R387" s="9">
        <v>45247</v>
      </c>
      <c r="S387" s="8" t="s">
        <v>34</v>
      </c>
      <c r="T387" s="8" t="s">
        <v>40</v>
      </c>
      <c r="U387" s="8" t="s">
        <v>157</v>
      </c>
      <c r="V387" s="8" t="s">
        <v>158</v>
      </c>
      <c r="W387" s="8">
        <v>0</v>
      </c>
    </row>
    <row r="388" spans="1:23" x14ac:dyDescent="0.25">
      <c r="A388" s="4">
        <v>1</v>
      </c>
      <c r="B388" s="4"/>
      <c r="C388" s="4">
        <v>883737</v>
      </c>
      <c r="D388" s="4">
        <v>7007</v>
      </c>
      <c r="E388" s="5">
        <f t="shared" si="5"/>
        <v>0</v>
      </c>
      <c r="F388" s="15">
        <v>45257</v>
      </c>
      <c r="G388" s="10">
        <v>329831756</v>
      </c>
      <c r="H388" s="9">
        <v>45247</v>
      </c>
      <c r="I388" s="9">
        <v>45262</v>
      </c>
      <c r="J388" s="8">
        <v>7007</v>
      </c>
      <c r="K388" s="8" t="s">
        <v>31</v>
      </c>
      <c r="L388" s="8" t="s">
        <v>32</v>
      </c>
      <c r="M388" s="8"/>
      <c r="N388" s="8" t="b">
        <v>0</v>
      </c>
      <c r="O388" s="10">
        <v>21061</v>
      </c>
      <c r="P388" s="8" t="s">
        <v>264</v>
      </c>
      <c r="Q388" s="8">
        <v>111468</v>
      </c>
      <c r="R388" s="9">
        <v>45247</v>
      </c>
      <c r="S388" s="8" t="s">
        <v>39</v>
      </c>
      <c r="T388" s="8" t="s">
        <v>44</v>
      </c>
      <c r="U388" s="8" t="s">
        <v>41</v>
      </c>
      <c r="V388" s="8" t="s">
        <v>42</v>
      </c>
      <c r="W388" s="8">
        <v>0</v>
      </c>
    </row>
    <row r="389" spans="1:23" x14ac:dyDescent="0.25">
      <c r="A389" s="4">
        <v>1</v>
      </c>
      <c r="B389" s="4"/>
      <c r="C389" s="4">
        <v>883734</v>
      </c>
      <c r="D389" s="4">
        <v>5170.5</v>
      </c>
      <c r="E389" s="5">
        <f t="shared" si="5"/>
        <v>0.5</v>
      </c>
      <c r="F389" s="15">
        <v>45257</v>
      </c>
      <c r="G389" s="10">
        <v>329831759</v>
      </c>
      <c r="H389" s="9">
        <v>45247</v>
      </c>
      <c r="I389" s="9">
        <v>45262</v>
      </c>
      <c r="J389" s="8">
        <v>5171</v>
      </c>
      <c r="K389" s="8" t="s">
        <v>31</v>
      </c>
      <c r="L389" s="8" t="s">
        <v>32</v>
      </c>
      <c r="M389" s="8"/>
      <c r="N389" s="8" t="b">
        <v>0</v>
      </c>
      <c r="O389" s="10">
        <v>21078</v>
      </c>
      <c r="P389" s="8" t="s">
        <v>263</v>
      </c>
      <c r="Q389" s="8">
        <v>111471</v>
      </c>
      <c r="R389" s="9">
        <v>45247</v>
      </c>
      <c r="S389" s="8" t="s">
        <v>34</v>
      </c>
      <c r="T389" s="8" t="s">
        <v>44</v>
      </c>
      <c r="U389" s="8" t="s">
        <v>58</v>
      </c>
      <c r="V389" s="8" t="s">
        <v>46</v>
      </c>
      <c r="W389" s="8">
        <v>0</v>
      </c>
    </row>
    <row r="390" spans="1:23" x14ac:dyDescent="0.25">
      <c r="A390" s="4">
        <v>1</v>
      </c>
      <c r="B390" s="4"/>
      <c r="C390" s="4">
        <v>883781</v>
      </c>
      <c r="D390" s="4">
        <v>5200.5</v>
      </c>
      <c r="E390" s="5">
        <f t="shared" ref="E390:E453" si="6">J390-D390</f>
        <v>0.5</v>
      </c>
      <c r="F390" s="15">
        <v>45257</v>
      </c>
      <c r="G390" s="10">
        <v>329831774</v>
      </c>
      <c r="H390" s="9">
        <v>45247</v>
      </c>
      <c r="I390" s="9">
        <v>45262</v>
      </c>
      <c r="J390" s="8">
        <v>5201</v>
      </c>
      <c r="K390" s="8" t="s">
        <v>31</v>
      </c>
      <c r="L390" s="8" t="s">
        <v>32</v>
      </c>
      <c r="M390" s="8"/>
      <c r="N390" s="8" t="b">
        <v>0</v>
      </c>
      <c r="O390" s="10">
        <v>705893</v>
      </c>
      <c r="P390" s="8" t="s">
        <v>80</v>
      </c>
      <c r="Q390" s="8">
        <v>111387</v>
      </c>
      <c r="R390" s="9">
        <v>45247</v>
      </c>
      <c r="S390" s="8" t="s">
        <v>34</v>
      </c>
      <c r="T390" s="8" t="s">
        <v>40</v>
      </c>
      <c r="U390" s="8" t="s">
        <v>58</v>
      </c>
      <c r="V390" s="8" t="s">
        <v>46</v>
      </c>
      <c r="W390" s="8">
        <v>0</v>
      </c>
    </row>
    <row r="391" spans="1:23" x14ac:dyDescent="0.25">
      <c r="A391" s="4">
        <v>1</v>
      </c>
      <c r="B391" s="4"/>
      <c r="C391" s="4">
        <v>883782</v>
      </c>
      <c r="D391" s="4">
        <v>8094.5</v>
      </c>
      <c r="E391" s="5">
        <f t="shared" si="6"/>
        <v>0.5</v>
      </c>
      <c r="F391" s="15">
        <v>45257</v>
      </c>
      <c r="G391" s="10">
        <v>329831776</v>
      </c>
      <c r="H391" s="9">
        <v>45247</v>
      </c>
      <c r="I391" s="9">
        <v>45262</v>
      </c>
      <c r="J391" s="8">
        <v>8095</v>
      </c>
      <c r="K391" s="8" t="s">
        <v>31</v>
      </c>
      <c r="L391" s="8" t="s">
        <v>32</v>
      </c>
      <c r="M391" s="8"/>
      <c r="N391" s="8" t="b">
        <v>0</v>
      </c>
      <c r="O391" s="10">
        <v>705889</v>
      </c>
      <c r="P391" s="8" t="s">
        <v>321</v>
      </c>
      <c r="Q391" s="8">
        <v>111342</v>
      </c>
      <c r="R391" s="9">
        <v>45247</v>
      </c>
      <c r="S391" s="8" t="s">
        <v>34</v>
      </c>
      <c r="T391" s="8" t="s">
        <v>40</v>
      </c>
      <c r="U391" s="8" t="s">
        <v>157</v>
      </c>
      <c r="V391" s="8" t="s">
        <v>158</v>
      </c>
      <c r="W391" s="8">
        <v>0</v>
      </c>
    </row>
    <row r="392" spans="1:23" x14ac:dyDescent="0.25">
      <c r="A392" s="4">
        <v>1</v>
      </c>
      <c r="B392" s="4"/>
      <c r="C392" s="4">
        <v>883738</v>
      </c>
      <c r="D392" s="4">
        <v>7007</v>
      </c>
      <c r="E392" s="5">
        <f t="shared" si="6"/>
        <v>0</v>
      </c>
      <c r="F392" s="15">
        <v>45257</v>
      </c>
      <c r="G392" s="10">
        <v>329831800</v>
      </c>
      <c r="H392" s="9">
        <v>45247</v>
      </c>
      <c r="I392" s="9">
        <v>45262</v>
      </c>
      <c r="J392" s="8">
        <v>7007</v>
      </c>
      <c r="K392" s="8" t="s">
        <v>31</v>
      </c>
      <c r="L392" s="8" t="s">
        <v>32</v>
      </c>
      <c r="M392" s="8"/>
      <c r="N392" s="8" t="b">
        <v>0</v>
      </c>
      <c r="O392" s="10">
        <v>21060</v>
      </c>
      <c r="P392" s="8" t="s">
        <v>267</v>
      </c>
      <c r="Q392" s="8">
        <v>111465</v>
      </c>
      <c r="R392" s="9">
        <v>45247</v>
      </c>
      <c r="S392" s="8" t="s">
        <v>39</v>
      </c>
      <c r="T392" s="8" t="s">
        <v>44</v>
      </c>
      <c r="U392" s="8" t="s">
        <v>41</v>
      </c>
      <c r="V392" s="8" t="s">
        <v>42</v>
      </c>
      <c r="W392" s="8">
        <v>0</v>
      </c>
    </row>
    <row r="393" spans="1:23" x14ac:dyDescent="0.25">
      <c r="A393" s="4">
        <v>1</v>
      </c>
      <c r="B393" s="4"/>
      <c r="C393" s="4">
        <v>883783</v>
      </c>
      <c r="D393" s="4">
        <v>8094.5</v>
      </c>
      <c r="E393" s="5">
        <f t="shared" si="6"/>
        <v>0.5</v>
      </c>
      <c r="F393" s="15">
        <v>45257</v>
      </c>
      <c r="G393" s="10">
        <v>329831802</v>
      </c>
      <c r="H393" s="9">
        <v>45247</v>
      </c>
      <c r="I393" s="9">
        <v>45262</v>
      </c>
      <c r="J393" s="8">
        <v>8095</v>
      </c>
      <c r="K393" s="8" t="s">
        <v>31</v>
      </c>
      <c r="L393" s="8" t="s">
        <v>32</v>
      </c>
      <c r="M393" s="8"/>
      <c r="N393" s="8" t="b">
        <v>0</v>
      </c>
      <c r="O393" s="10">
        <v>705891</v>
      </c>
      <c r="P393" s="8" t="s">
        <v>322</v>
      </c>
      <c r="Q393" s="8">
        <v>111357</v>
      </c>
      <c r="R393" s="9">
        <v>45247</v>
      </c>
      <c r="S393" s="8" t="s">
        <v>34</v>
      </c>
      <c r="T393" s="8" t="s">
        <v>40</v>
      </c>
      <c r="U393" s="8" t="s">
        <v>157</v>
      </c>
      <c r="V393" s="8" t="s">
        <v>158</v>
      </c>
      <c r="W393" s="8">
        <v>0</v>
      </c>
    </row>
    <row r="394" spans="1:23" x14ac:dyDescent="0.25">
      <c r="A394" s="4">
        <v>1</v>
      </c>
      <c r="B394" s="4"/>
      <c r="C394" s="4">
        <v>883784</v>
      </c>
      <c r="D394" s="4">
        <v>8094.5</v>
      </c>
      <c r="E394" s="5">
        <f t="shared" si="6"/>
        <v>0.5</v>
      </c>
      <c r="F394" s="15">
        <v>45257</v>
      </c>
      <c r="G394" s="10">
        <v>329831812</v>
      </c>
      <c r="H394" s="9">
        <v>45247</v>
      </c>
      <c r="I394" s="9">
        <v>45262</v>
      </c>
      <c r="J394" s="8">
        <v>8095</v>
      </c>
      <c r="K394" s="8" t="s">
        <v>31</v>
      </c>
      <c r="L394" s="8" t="s">
        <v>32</v>
      </c>
      <c r="M394" s="8"/>
      <c r="N394" s="8" t="b">
        <v>0</v>
      </c>
      <c r="O394" s="10">
        <v>705890</v>
      </c>
      <c r="P394" s="8" t="s">
        <v>51</v>
      </c>
      <c r="Q394" s="8">
        <v>111348</v>
      </c>
      <c r="R394" s="9">
        <v>45247</v>
      </c>
      <c r="S394" s="8" t="s">
        <v>34</v>
      </c>
      <c r="T394" s="8" t="s">
        <v>40</v>
      </c>
      <c r="U394" s="8" t="s">
        <v>157</v>
      </c>
      <c r="V394" s="8" t="s">
        <v>158</v>
      </c>
      <c r="W394" s="8">
        <v>0</v>
      </c>
    </row>
    <row r="395" spans="1:23" x14ac:dyDescent="0.25">
      <c r="A395" s="4">
        <v>1</v>
      </c>
      <c r="B395" s="4"/>
      <c r="C395" s="4">
        <v>883546</v>
      </c>
      <c r="D395" s="4">
        <v>9339</v>
      </c>
      <c r="E395" s="5">
        <f t="shared" si="6"/>
        <v>1</v>
      </c>
      <c r="F395" s="15">
        <v>45257</v>
      </c>
      <c r="G395" s="10">
        <v>329832391</v>
      </c>
      <c r="H395" s="9">
        <v>45247</v>
      </c>
      <c r="I395" s="9">
        <v>45262</v>
      </c>
      <c r="J395" s="8">
        <v>9340</v>
      </c>
      <c r="K395" s="8" t="s">
        <v>31</v>
      </c>
      <c r="L395" s="8" t="s">
        <v>32</v>
      </c>
      <c r="M395" s="8"/>
      <c r="N395" s="8" t="b">
        <v>0</v>
      </c>
      <c r="O395" s="10">
        <v>705913</v>
      </c>
      <c r="P395" s="8" t="s">
        <v>171</v>
      </c>
      <c r="Q395" s="8">
        <v>112079</v>
      </c>
      <c r="R395" s="9">
        <v>45247</v>
      </c>
      <c r="S395" s="8" t="s">
        <v>130</v>
      </c>
      <c r="T395" s="8" t="s">
        <v>40</v>
      </c>
      <c r="U395" s="8" t="s">
        <v>131</v>
      </c>
      <c r="V395" s="8" t="s">
        <v>132</v>
      </c>
      <c r="W395" s="8">
        <v>0</v>
      </c>
    </row>
    <row r="396" spans="1:23" x14ac:dyDescent="0.25">
      <c r="A396" s="4">
        <v>1</v>
      </c>
      <c r="B396" s="4"/>
      <c r="C396" s="4">
        <v>882545</v>
      </c>
      <c r="D396" s="4">
        <v>5200.5</v>
      </c>
      <c r="E396" s="5">
        <f t="shared" si="6"/>
        <v>0.5</v>
      </c>
      <c r="F396" s="15">
        <v>45257</v>
      </c>
      <c r="G396" s="10">
        <v>329832401</v>
      </c>
      <c r="H396" s="9">
        <v>45247</v>
      </c>
      <c r="I396" s="9">
        <v>45262</v>
      </c>
      <c r="J396" s="8">
        <v>5201</v>
      </c>
      <c r="K396" s="8" t="s">
        <v>31</v>
      </c>
      <c r="L396" s="8" t="s">
        <v>32</v>
      </c>
      <c r="M396" s="8"/>
      <c r="N396" s="8" t="b">
        <v>0</v>
      </c>
      <c r="O396" s="10">
        <v>21028</v>
      </c>
      <c r="P396" s="8" t="s">
        <v>323</v>
      </c>
      <c r="Q396" s="8">
        <v>112085</v>
      </c>
      <c r="R396" s="9">
        <v>45247</v>
      </c>
      <c r="S396" s="8" t="s">
        <v>34</v>
      </c>
      <c r="T396" s="8" t="s">
        <v>40</v>
      </c>
      <c r="U396" s="8" t="s">
        <v>58</v>
      </c>
      <c r="V396" s="8" t="s">
        <v>46</v>
      </c>
      <c r="W396" s="8">
        <v>0</v>
      </c>
    </row>
    <row r="397" spans="1:23" x14ac:dyDescent="0.25">
      <c r="A397" s="4">
        <v>1</v>
      </c>
      <c r="B397" s="4"/>
      <c r="C397" s="4">
        <v>883739</v>
      </c>
      <c r="D397" s="4">
        <v>7037</v>
      </c>
      <c r="E397" s="5">
        <f t="shared" si="6"/>
        <v>0</v>
      </c>
      <c r="F397" s="15">
        <v>45257</v>
      </c>
      <c r="G397" s="10">
        <v>329852140</v>
      </c>
      <c r="H397" s="9">
        <v>45250</v>
      </c>
      <c r="I397" s="9">
        <v>45265</v>
      </c>
      <c r="J397" s="8">
        <v>7037</v>
      </c>
      <c r="K397" s="8" t="s">
        <v>31</v>
      </c>
      <c r="L397" s="8" t="s">
        <v>32</v>
      </c>
      <c r="M397" s="8"/>
      <c r="N397" s="8" t="b">
        <v>0</v>
      </c>
      <c r="O397" s="10">
        <v>21073</v>
      </c>
      <c r="P397" s="8" t="s">
        <v>93</v>
      </c>
      <c r="Q397" s="8">
        <v>126065</v>
      </c>
      <c r="R397" s="9">
        <v>45248</v>
      </c>
      <c r="S397" s="8" t="s">
        <v>39</v>
      </c>
      <c r="T397" s="8" t="s">
        <v>40</v>
      </c>
      <c r="U397" s="8" t="s">
        <v>41</v>
      </c>
      <c r="V397" s="8" t="s">
        <v>42</v>
      </c>
      <c r="W397" s="8">
        <v>0</v>
      </c>
    </row>
    <row r="398" spans="1:23" x14ac:dyDescent="0.25">
      <c r="A398" s="4">
        <v>1</v>
      </c>
      <c r="B398" s="4"/>
      <c r="C398" s="4">
        <v>883994</v>
      </c>
      <c r="D398" s="4">
        <v>5200.5</v>
      </c>
      <c r="E398" s="5">
        <f t="shared" si="6"/>
        <v>0.5</v>
      </c>
      <c r="F398" s="15">
        <v>45257</v>
      </c>
      <c r="G398" s="10">
        <v>329852141</v>
      </c>
      <c r="H398" s="9">
        <v>45250</v>
      </c>
      <c r="I398" s="9">
        <v>45265</v>
      </c>
      <c r="J398" s="8">
        <v>5201</v>
      </c>
      <c r="K398" s="8" t="s">
        <v>31</v>
      </c>
      <c r="L398" s="8" t="s">
        <v>32</v>
      </c>
      <c r="M398" s="8"/>
      <c r="N398" s="8" t="b">
        <v>0</v>
      </c>
      <c r="O398" s="10">
        <v>705898</v>
      </c>
      <c r="P398" s="8" t="s">
        <v>61</v>
      </c>
      <c r="Q398" s="8">
        <v>126080</v>
      </c>
      <c r="R398" s="9">
        <v>45248</v>
      </c>
      <c r="S398" s="8" t="s">
        <v>34</v>
      </c>
      <c r="T398" s="8" t="s">
        <v>40</v>
      </c>
      <c r="U398" s="8" t="s">
        <v>58</v>
      </c>
      <c r="V398" s="8" t="s">
        <v>46</v>
      </c>
      <c r="W398" s="8">
        <v>0</v>
      </c>
    </row>
    <row r="399" spans="1:23" x14ac:dyDescent="0.25">
      <c r="A399" s="4">
        <v>1</v>
      </c>
      <c r="B399" s="4"/>
      <c r="C399" s="4">
        <v>883741</v>
      </c>
      <c r="D399" s="4">
        <v>7037</v>
      </c>
      <c r="E399" s="5">
        <f t="shared" si="6"/>
        <v>0</v>
      </c>
      <c r="F399" s="15">
        <v>45257</v>
      </c>
      <c r="G399" s="10">
        <v>329852143</v>
      </c>
      <c r="H399" s="9">
        <v>45250</v>
      </c>
      <c r="I399" s="9">
        <v>45265</v>
      </c>
      <c r="J399" s="8">
        <v>7037</v>
      </c>
      <c r="K399" s="8" t="s">
        <v>31</v>
      </c>
      <c r="L399" s="8" t="s">
        <v>32</v>
      </c>
      <c r="M399" s="8"/>
      <c r="N399" s="8" t="b">
        <v>0</v>
      </c>
      <c r="O399" s="10">
        <v>21071</v>
      </c>
      <c r="P399" s="8" t="s">
        <v>99</v>
      </c>
      <c r="Q399" s="8">
        <v>126059</v>
      </c>
      <c r="R399" s="9">
        <v>45248</v>
      </c>
      <c r="S399" s="8" t="s">
        <v>39</v>
      </c>
      <c r="T399" s="8" t="s">
        <v>40</v>
      </c>
      <c r="U399" s="8" t="s">
        <v>41</v>
      </c>
      <c r="V399" s="8" t="s">
        <v>42</v>
      </c>
      <c r="W399" s="8">
        <v>0</v>
      </c>
    </row>
    <row r="400" spans="1:23" x14ac:dyDescent="0.25">
      <c r="A400" s="4">
        <v>1</v>
      </c>
      <c r="B400" s="4"/>
      <c r="C400" s="4">
        <v>883995</v>
      </c>
      <c r="D400" s="4">
        <v>5200.5</v>
      </c>
      <c r="E400" s="5">
        <f t="shared" si="6"/>
        <v>0.5</v>
      </c>
      <c r="F400" s="15">
        <v>45257</v>
      </c>
      <c r="G400" s="10">
        <v>329852149</v>
      </c>
      <c r="H400" s="9">
        <v>45250</v>
      </c>
      <c r="I400" s="9">
        <v>45265</v>
      </c>
      <c r="J400" s="8">
        <v>5201</v>
      </c>
      <c r="K400" s="8" t="s">
        <v>31</v>
      </c>
      <c r="L400" s="8" t="s">
        <v>32</v>
      </c>
      <c r="M400" s="8"/>
      <c r="N400" s="8" t="b">
        <v>0</v>
      </c>
      <c r="O400" s="10">
        <v>705895</v>
      </c>
      <c r="P400" s="8" t="s">
        <v>164</v>
      </c>
      <c r="Q400" s="8">
        <v>126073</v>
      </c>
      <c r="R400" s="9">
        <v>45248</v>
      </c>
      <c r="S400" s="8" t="s">
        <v>34</v>
      </c>
      <c r="T400" s="8" t="s">
        <v>40</v>
      </c>
      <c r="U400" s="8" t="s">
        <v>58</v>
      </c>
      <c r="V400" s="8" t="s">
        <v>46</v>
      </c>
      <c r="W400" s="8">
        <v>0</v>
      </c>
    </row>
    <row r="401" spans="1:23" x14ac:dyDescent="0.25">
      <c r="A401" s="4">
        <v>1</v>
      </c>
      <c r="B401" s="4"/>
      <c r="C401" s="4">
        <v>883996</v>
      </c>
      <c r="D401" s="4">
        <v>5200.5</v>
      </c>
      <c r="E401" s="5">
        <f t="shared" si="6"/>
        <v>0.5</v>
      </c>
      <c r="F401" s="15">
        <v>45257</v>
      </c>
      <c r="G401" s="10">
        <v>329852152</v>
      </c>
      <c r="H401" s="9">
        <v>45250</v>
      </c>
      <c r="I401" s="9">
        <v>45265</v>
      </c>
      <c r="J401" s="8">
        <v>5201</v>
      </c>
      <c r="K401" s="8" t="s">
        <v>31</v>
      </c>
      <c r="L401" s="8" t="s">
        <v>32</v>
      </c>
      <c r="M401" s="8"/>
      <c r="N401" s="8" t="b">
        <v>0</v>
      </c>
      <c r="O401" s="10">
        <v>705896</v>
      </c>
      <c r="P401" s="8" t="s">
        <v>206</v>
      </c>
      <c r="Q401" s="8">
        <v>126076</v>
      </c>
      <c r="R401" s="9">
        <v>45248</v>
      </c>
      <c r="S401" s="8" t="s">
        <v>34</v>
      </c>
      <c r="T401" s="8" t="s">
        <v>40</v>
      </c>
      <c r="U401" s="8" t="s">
        <v>58</v>
      </c>
      <c r="V401" s="8" t="s">
        <v>46</v>
      </c>
      <c r="W401" s="8">
        <v>0</v>
      </c>
    </row>
    <row r="402" spans="1:23" x14ac:dyDescent="0.25">
      <c r="A402" s="4">
        <v>1</v>
      </c>
      <c r="B402" s="4"/>
      <c r="C402" s="4">
        <v>883997</v>
      </c>
      <c r="D402" s="4">
        <v>5200.5</v>
      </c>
      <c r="E402" s="5">
        <f t="shared" si="6"/>
        <v>0.5</v>
      </c>
      <c r="F402" s="15">
        <v>45257</v>
      </c>
      <c r="G402" s="10">
        <v>329852155</v>
      </c>
      <c r="H402" s="9">
        <v>45250</v>
      </c>
      <c r="I402" s="9">
        <v>45265</v>
      </c>
      <c r="J402" s="8">
        <v>5201</v>
      </c>
      <c r="K402" s="8" t="s">
        <v>31</v>
      </c>
      <c r="L402" s="8" t="s">
        <v>32</v>
      </c>
      <c r="M402" s="8"/>
      <c r="N402" s="8" t="b">
        <v>0</v>
      </c>
      <c r="O402" s="10">
        <v>705894</v>
      </c>
      <c r="P402" s="8" t="s">
        <v>83</v>
      </c>
      <c r="Q402" s="8">
        <v>126068</v>
      </c>
      <c r="R402" s="9">
        <v>45248</v>
      </c>
      <c r="S402" s="8" t="s">
        <v>34</v>
      </c>
      <c r="T402" s="8" t="s">
        <v>40</v>
      </c>
      <c r="U402" s="8" t="s">
        <v>58</v>
      </c>
      <c r="V402" s="8" t="s">
        <v>46</v>
      </c>
      <c r="W402" s="8">
        <v>0</v>
      </c>
    </row>
    <row r="403" spans="1:23" x14ac:dyDescent="0.25">
      <c r="A403" s="4">
        <v>1</v>
      </c>
      <c r="B403" s="4"/>
      <c r="C403" s="4">
        <v>883998</v>
      </c>
      <c r="D403" s="4">
        <v>5200.5</v>
      </c>
      <c r="E403" s="5">
        <f t="shared" si="6"/>
        <v>0.5</v>
      </c>
      <c r="F403" s="15">
        <v>45257</v>
      </c>
      <c r="G403" s="10">
        <v>329852157</v>
      </c>
      <c r="H403" s="9">
        <v>45250</v>
      </c>
      <c r="I403" s="9">
        <v>45265</v>
      </c>
      <c r="J403" s="8">
        <v>5201</v>
      </c>
      <c r="K403" s="8" t="s">
        <v>31</v>
      </c>
      <c r="L403" s="8" t="s">
        <v>32</v>
      </c>
      <c r="M403" s="8"/>
      <c r="N403" s="8" t="b">
        <v>0</v>
      </c>
      <c r="O403" s="10">
        <v>705897</v>
      </c>
      <c r="P403" s="8" t="s">
        <v>59</v>
      </c>
      <c r="Q403" s="8">
        <v>126079</v>
      </c>
      <c r="R403" s="9">
        <v>45248</v>
      </c>
      <c r="S403" s="8" t="s">
        <v>34</v>
      </c>
      <c r="T403" s="8" t="s">
        <v>40</v>
      </c>
      <c r="U403" s="8" t="s">
        <v>58</v>
      </c>
      <c r="V403" s="8" t="s">
        <v>46</v>
      </c>
      <c r="W403" s="8">
        <v>0</v>
      </c>
    </row>
    <row r="404" spans="1:23" x14ac:dyDescent="0.25">
      <c r="A404" s="4">
        <v>1</v>
      </c>
      <c r="B404" s="4"/>
      <c r="C404" s="4">
        <v>883740</v>
      </c>
      <c r="D404" s="4">
        <v>7037</v>
      </c>
      <c r="E404" s="5">
        <f t="shared" si="6"/>
        <v>0</v>
      </c>
      <c r="F404" s="15">
        <v>45257</v>
      </c>
      <c r="G404" s="10">
        <v>329852160</v>
      </c>
      <c r="H404" s="9">
        <v>45250</v>
      </c>
      <c r="I404" s="9">
        <v>45265</v>
      </c>
      <c r="J404" s="8">
        <v>7037</v>
      </c>
      <c r="K404" s="8" t="s">
        <v>31</v>
      </c>
      <c r="L404" s="8" t="s">
        <v>32</v>
      </c>
      <c r="M404" s="8"/>
      <c r="N404" s="8" t="b">
        <v>0</v>
      </c>
      <c r="O404" s="10">
        <v>21072</v>
      </c>
      <c r="P404" s="8" t="s">
        <v>96</v>
      </c>
      <c r="Q404" s="8">
        <v>126063</v>
      </c>
      <c r="R404" s="9">
        <v>45248</v>
      </c>
      <c r="S404" s="8" t="s">
        <v>39</v>
      </c>
      <c r="T404" s="8" t="s">
        <v>40</v>
      </c>
      <c r="U404" s="8" t="s">
        <v>41</v>
      </c>
      <c r="V404" s="8" t="s">
        <v>42</v>
      </c>
      <c r="W404" s="8">
        <v>0</v>
      </c>
    </row>
    <row r="405" spans="1:23" x14ac:dyDescent="0.25">
      <c r="A405" s="4">
        <v>1</v>
      </c>
      <c r="B405" s="4"/>
      <c r="C405" s="4">
        <v>883999</v>
      </c>
      <c r="D405" s="4">
        <v>5200.5</v>
      </c>
      <c r="E405" s="5">
        <f t="shared" si="6"/>
        <v>0.5</v>
      </c>
      <c r="F405" s="15">
        <v>45257</v>
      </c>
      <c r="G405" s="10">
        <v>329852164</v>
      </c>
      <c r="H405" s="9">
        <v>45250</v>
      </c>
      <c r="I405" s="9">
        <v>45265</v>
      </c>
      <c r="J405" s="8">
        <v>5201</v>
      </c>
      <c r="K405" s="8" t="s">
        <v>31</v>
      </c>
      <c r="L405" s="8" t="s">
        <v>32</v>
      </c>
      <c r="M405" s="8"/>
      <c r="N405" s="8" t="b">
        <v>0</v>
      </c>
      <c r="O405" s="10">
        <v>705899</v>
      </c>
      <c r="P405" s="8" t="s">
        <v>79</v>
      </c>
      <c r="Q405" s="8">
        <v>126086</v>
      </c>
      <c r="R405" s="9">
        <v>45248</v>
      </c>
      <c r="S405" s="8" t="s">
        <v>34</v>
      </c>
      <c r="T405" s="8" t="s">
        <v>40</v>
      </c>
      <c r="U405" s="8" t="s">
        <v>58</v>
      </c>
      <c r="V405" s="8" t="s">
        <v>46</v>
      </c>
      <c r="W405" s="8">
        <v>0</v>
      </c>
    </row>
    <row r="406" spans="1:23" x14ac:dyDescent="0.25">
      <c r="A406" s="4">
        <v>1</v>
      </c>
      <c r="B406" s="4"/>
      <c r="C406" s="4">
        <v>884000</v>
      </c>
      <c r="D406" s="4">
        <v>5200.5</v>
      </c>
      <c r="E406" s="5">
        <f t="shared" si="6"/>
        <v>0.5</v>
      </c>
      <c r="F406" s="15">
        <v>45257</v>
      </c>
      <c r="G406" s="10">
        <v>329881721</v>
      </c>
      <c r="H406" s="9">
        <v>45250</v>
      </c>
      <c r="I406" s="9">
        <v>45265</v>
      </c>
      <c r="J406" s="8">
        <v>5201</v>
      </c>
      <c r="K406" s="8" t="s">
        <v>31</v>
      </c>
      <c r="L406" s="8" t="s">
        <v>32</v>
      </c>
      <c r="M406" s="8"/>
      <c r="N406" s="8" t="b">
        <v>0</v>
      </c>
      <c r="O406" s="10">
        <v>706375</v>
      </c>
      <c r="P406" s="8" t="s">
        <v>177</v>
      </c>
      <c r="Q406" s="8">
        <v>146441</v>
      </c>
      <c r="R406" s="9">
        <v>45250</v>
      </c>
      <c r="S406" s="8" t="s">
        <v>34</v>
      </c>
      <c r="T406" s="8" t="s">
        <v>40</v>
      </c>
      <c r="U406" s="8" t="s">
        <v>58</v>
      </c>
      <c r="V406" s="8" t="s">
        <v>46</v>
      </c>
      <c r="W406" s="8">
        <v>0</v>
      </c>
    </row>
    <row r="407" spans="1:23" x14ac:dyDescent="0.25">
      <c r="A407" s="4">
        <v>1</v>
      </c>
      <c r="B407" s="4"/>
      <c r="C407" s="4">
        <v>884001</v>
      </c>
      <c r="D407" s="4">
        <v>5200.5</v>
      </c>
      <c r="E407" s="5">
        <f t="shared" si="6"/>
        <v>0.5</v>
      </c>
      <c r="F407" s="15">
        <v>45257</v>
      </c>
      <c r="G407" s="10">
        <v>329881759</v>
      </c>
      <c r="H407" s="9">
        <v>45250</v>
      </c>
      <c r="I407" s="9">
        <v>45265</v>
      </c>
      <c r="J407" s="8">
        <v>5201</v>
      </c>
      <c r="K407" s="8" t="s">
        <v>31</v>
      </c>
      <c r="L407" s="8" t="s">
        <v>32</v>
      </c>
      <c r="M407" s="8"/>
      <c r="N407" s="8" t="b">
        <v>0</v>
      </c>
      <c r="O407" s="10">
        <v>706374</v>
      </c>
      <c r="P407" s="8" t="s">
        <v>170</v>
      </c>
      <c r="Q407" s="8">
        <v>146434</v>
      </c>
      <c r="R407" s="9">
        <v>45250</v>
      </c>
      <c r="S407" s="8" t="s">
        <v>34</v>
      </c>
      <c r="T407" s="8" t="s">
        <v>40</v>
      </c>
      <c r="U407" s="8" t="s">
        <v>58</v>
      </c>
      <c r="V407" s="8" t="s">
        <v>46</v>
      </c>
      <c r="W407" s="8">
        <v>0</v>
      </c>
    </row>
    <row r="408" spans="1:23" x14ac:dyDescent="0.25">
      <c r="A408" s="4">
        <v>1</v>
      </c>
      <c r="B408" s="4"/>
      <c r="C408" s="4">
        <v>884008</v>
      </c>
      <c r="D408" s="4">
        <v>7037</v>
      </c>
      <c r="E408" s="5">
        <f t="shared" si="6"/>
        <v>0</v>
      </c>
      <c r="F408" s="15">
        <v>45257</v>
      </c>
      <c r="G408" s="10">
        <v>329881782</v>
      </c>
      <c r="H408" s="9">
        <v>45250</v>
      </c>
      <c r="I408" s="9">
        <v>45265</v>
      </c>
      <c r="J408" s="8">
        <v>7037</v>
      </c>
      <c r="K408" s="8" t="s">
        <v>31</v>
      </c>
      <c r="L408" s="8" t="s">
        <v>32</v>
      </c>
      <c r="M408" s="8"/>
      <c r="N408" s="8" t="b">
        <v>0</v>
      </c>
      <c r="O408" s="10">
        <v>21083</v>
      </c>
      <c r="P408" s="8" t="s">
        <v>190</v>
      </c>
      <c r="Q408" s="8">
        <v>146418</v>
      </c>
      <c r="R408" s="9">
        <v>45250</v>
      </c>
      <c r="S408" s="8" t="s">
        <v>39</v>
      </c>
      <c r="T408" s="8" t="s">
        <v>40</v>
      </c>
      <c r="U408" s="8" t="s">
        <v>41</v>
      </c>
      <c r="V408" s="8" t="s">
        <v>42</v>
      </c>
      <c r="W408" s="8">
        <v>0</v>
      </c>
    </row>
    <row r="409" spans="1:23" x14ac:dyDescent="0.25">
      <c r="A409" s="4">
        <v>1</v>
      </c>
      <c r="B409" s="4"/>
      <c r="C409" s="4">
        <v>884002</v>
      </c>
      <c r="D409" s="4">
        <v>5170.5</v>
      </c>
      <c r="E409" s="5">
        <f t="shared" si="6"/>
        <v>0.5</v>
      </c>
      <c r="F409" s="15">
        <v>45257</v>
      </c>
      <c r="G409" s="10">
        <v>329881794</v>
      </c>
      <c r="H409" s="9">
        <v>45250</v>
      </c>
      <c r="I409" s="9">
        <v>45265</v>
      </c>
      <c r="J409" s="8">
        <v>5171</v>
      </c>
      <c r="K409" s="8" t="s">
        <v>31</v>
      </c>
      <c r="L409" s="8" t="s">
        <v>32</v>
      </c>
      <c r="M409" s="8"/>
      <c r="N409" s="8" t="b">
        <v>0</v>
      </c>
      <c r="O409" s="10">
        <v>705135</v>
      </c>
      <c r="P409" s="8" t="s">
        <v>273</v>
      </c>
      <c r="Q409" s="8">
        <v>146522</v>
      </c>
      <c r="R409" s="9">
        <v>45250</v>
      </c>
      <c r="S409" s="8" t="s">
        <v>34</v>
      </c>
      <c r="T409" s="8" t="s">
        <v>44</v>
      </c>
      <c r="U409" s="8" t="s">
        <v>58</v>
      </c>
      <c r="V409" s="8" t="s">
        <v>46</v>
      </c>
      <c r="W409" s="8">
        <v>0</v>
      </c>
    </row>
    <row r="410" spans="1:23" x14ac:dyDescent="0.25">
      <c r="A410" s="4">
        <v>1</v>
      </c>
      <c r="B410" s="4"/>
      <c r="C410" s="4">
        <v>884010</v>
      </c>
      <c r="D410" s="4">
        <v>7037</v>
      </c>
      <c r="E410" s="5">
        <f t="shared" si="6"/>
        <v>0</v>
      </c>
      <c r="F410" s="15">
        <v>45257</v>
      </c>
      <c r="G410" s="10">
        <v>329881804</v>
      </c>
      <c r="H410" s="9">
        <v>45250</v>
      </c>
      <c r="I410" s="9">
        <v>45265</v>
      </c>
      <c r="J410" s="8">
        <v>7037</v>
      </c>
      <c r="K410" s="8" t="s">
        <v>31</v>
      </c>
      <c r="L410" s="8" t="s">
        <v>32</v>
      </c>
      <c r="M410" s="8"/>
      <c r="N410" s="8" t="b">
        <v>0</v>
      </c>
      <c r="O410" s="10">
        <v>21082</v>
      </c>
      <c r="P410" s="8" t="s">
        <v>52</v>
      </c>
      <c r="Q410" s="8">
        <v>146405</v>
      </c>
      <c r="R410" s="9">
        <v>45250</v>
      </c>
      <c r="S410" s="8" t="s">
        <v>39</v>
      </c>
      <c r="T410" s="8" t="s">
        <v>40</v>
      </c>
      <c r="U410" s="8" t="s">
        <v>41</v>
      </c>
      <c r="V410" s="8" t="s">
        <v>42</v>
      </c>
      <c r="W410" s="8">
        <v>0</v>
      </c>
    </row>
    <row r="411" spans="1:23" x14ac:dyDescent="0.25">
      <c r="A411" s="4">
        <v>1</v>
      </c>
      <c r="B411" s="4"/>
      <c r="C411" s="4">
        <v>884011</v>
      </c>
      <c r="D411" s="4">
        <v>7037</v>
      </c>
      <c r="E411" s="5">
        <f t="shared" si="6"/>
        <v>0</v>
      </c>
      <c r="F411" s="15">
        <v>45257</v>
      </c>
      <c r="G411" s="10">
        <v>329881822</v>
      </c>
      <c r="H411" s="9">
        <v>45250</v>
      </c>
      <c r="I411" s="9">
        <v>45265</v>
      </c>
      <c r="J411" s="8">
        <v>7037</v>
      </c>
      <c r="K411" s="8" t="s">
        <v>31</v>
      </c>
      <c r="L411" s="8" t="s">
        <v>32</v>
      </c>
      <c r="M411" s="8"/>
      <c r="N411" s="8" t="b">
        <v>0</v>
      </c>
      <c r="O411" s="10">
        <v>21081</v>
      </c>
      <c r="P411" s="8" t="s">
        <v>91</v>
      </c>
      <c r="Q411" s="8">
        <v>146375</v>
      </c>
      <c r="R411" s="9">
        <v>45250</v>
      </c>
      <c r="S411" s="8" t="s">
        <v>39</v>
      </c>
      <c r="T411" s="8" t="s">
        <v>40</v>
      </c>
      <c r="U411" s="8" t="s">
        <v>41</v>
      </c>
      <c r="V411" s="8" t="s">
        <v>42</v>
      </c>
      <c r="W411" s="8">
        <v>0</v>
      </c>
    </row>
    <row r="412" spans="1:23" x14ac:dyDescent="0.25">
      <c r="A412" s="4">
        <v>1</v>
      </c>
      <c r="B412" s="4"/>
      <c r="C412" s="4">
        <v>884004</v>
      </c>
      <c r="D412" s="4">
        <v>5170.5</v>
      </c>
      <c r="E412" s="5">
        <f t="shared" si="6"/>
        <v>0.5</v>
      </c>
      <c r="F412" s="15">
        <v>45257</v>
      </c>
      <c r="G412" s="10">
        <v>329881823</v>
      </c>
      <c r="H412" s="9">
        <v>45250</v>
      </c>
      <c r="I412" s="9">
        <v>45265</v>
      </c>
      <c r="J412" s="8">
        <v>5171</v>
      </c>
      <c r="K412" s="8" t="s">
        <v>31</v>
      </c>
      <c r="L412" s="8" t="s">
        <v>32</v>
      </c>
      <c r="M412" s="8"/>
      <c r="N412" s="8" t="b">
        <v>0</v>
      </c>
      <c r="O412" s="10">
        <v>705133</v>
      </c>
      <c r="P412" s="8" t="s">
        <v>275</v>
      </c>
      <c r="Q412" s="8">
        <v>146502</v>
      </c>
      <c r="R412" s="9">
        <v>45250</v>
      </c>
      <c r="S412" s="8" t="s">
        <v>34</v>
      </c>
      <c r="T412" s="8" t="s">
        <v>44</v>
      </c>
      <c r="U412" s="8" t="s">
        <v>58</v>
      </c>
      <c r="V412" s="8" t="s">
        <v>46</v>
      </c>
      <c r="W412" s="8">
        <v>0</v>
      </c>
    </row>
    <row r="413" spans="1:23" x14ac:dyDescent="0.25">
      <c r="A413" s="4">
        <v>1</v>
      </c>
      <c r="B413" s="4"/>
      <c r="C413" s="4">
        <v>884005</v>
      </c>
      <c r="D413" s="4">
        <v>5183</v>
      </c>
      <c r="E413" s="5">
        <f t="shared" si="6"/>
        <v>1</v>
      </c>
      <c r="F413" s="15">
        <v>45257</v>
      </c>
      <c r="G413" s="10">
        <v>329881824</v>
      </c>
      <c r="H413" s="9">
        <v>45250</v>
      </c>
      <c r="I413" s="9">
        <v>45265</v>
      </c>
      <c r="J413" s="8">
        <v>5184</v>
      </c>
      <c r="K413" s="8" t="s">
        <v>31</v>
      </c>
      <c r="L413" s="8" t="s">
        <v>32</v>
      </c>
      <c r="M413" s="8"/>
      <c r="N413" s="8" t="b">
        <v>0</v>
      </c>
      <c r="O413" s="10">
        <v>704417</v>
      </c>
      <c r="P413" s="8" t="s">
        <v>276</v>
      </c>
      <c r="Q413" s="8">
        <v>146493</v>
      </c>
      <c r="R413" s="9">
        <v>45250</v>
      </c>
      <c r="S413" s="8" t="s">
        <v>308</v>
      </c>
      <c r="T413" s="8" t="s">
        <v>44</v>
      </c>
      <c r="U413" s="8" t="s">
        <v>309</v>
      </c>
      <c r="V413" s="8" t="s">
        <v>46</v>
      </c>
      <c r="W413" s="8">
        <v>0</v>
      </c>
    </row>
    <row r="414" spans="1:23" x14ac:dyDescent="0.25">
      <c r="A414" s="4">
        <v>1</v>
      </c>
      <c r="B414" s="4"/>
      <c r="C414" s="4">
        <v>884007</v>
      </c>
      <c r="D414" s="4">
        <v>7037</v>
      </c>
      <c r="E414" s="5">
        <f t="shared" si="6"/>
        <v>0</v>
      </c>
      <c r="F414" s="15">
        <v>45257</v>
      </c>
      <c r="G414" s="10">
        <v>329882240</v>
      </c>
      <c r="H414" s="9">
        <v>45250</v>
      </c>
      <c r="I414" s="9">
        <v>45265</v>
      </c>
      <c r="J414" s="8">
        <v>7037</v>
      </c>
      <c r="K414" s="8" t="s">
        <v>31</v>
      </c>
      <c r="L414" s="8" t="s">
        <v>32</v>
      </c>
      <c r="M414" s="8"/>
      <c r="N414" s="8" t="b">
        <v>0</v>
      </c>
      <c r="O414" s="10">
        <v>21084</v>
      </c>
      <c r="P414" s="8" t="s">
        <v>53</v>
      </c>
      <c r="Q414" s="8">
        <v>146742</v>
      </c>
      <c r="R414" s="9">
        <v>45250</v>
      </c>
      <c r="S414" s="8" t="s">
        <v>39</v>
      </c>
      <c r="T414" s="8" t="s">
        <v>40</v>
      </c>
      <c r="U414" s="8" t="s">
        <v>41</v>
      </c>
      <c r="V414" s="8" t="s">
        <v>42</v>
      </c>
      <c r="W414" s="8">
        <v>0</v>
      </c>
    </row>
    <row r="415" spans="1:23" x14ac:dyDescent="0.25">
      <c r="A415" s="4">
        <v>1</v>
      </c>
      <c r="B415" s="4"/>
      <c r="C415" s="4">
        <v>884138</v>
      </c>
      <c r="D415" s="4">
        <v>65940</v>
      </c>
      <c r="E415" s="5">
        <f t="shared" si="6"/>
        <v>0</v>
      </c>
      <c r="F415" s="15">
        <v>45257</v>
      </c>
      <c r="G415" s="10">
        <v>329893068</v>
      </c>
      <c r="H415" s="9">
        <v>45251</v>
      </c>
      <c r="I415" s="9">
        <v>45266</v>
      </c>
      <c r="J415" s="8">
        <v>65940</v>
      </c>
      <c r="K415" s="8" t="s">
        <v>31</v>
      </c>
      <c r="L415" s="8" t="s">
        <v>32</v>
      </c>
      <c r="M415" s="8"/>
      <c r="N415" s="8" t="b">
        <v>0</v>
      </c>
      <c r="O415" s="10"/>
      <c r="P415" s="8" t="s">
        <v>324</v>
      </c>
      <c r="Q415" s="8">
        <v>140958</v>
      </c>
      <c r="R415" s="9">
        <v>45250</v>
      </c>
      <c r="S415" s="8" t="s">
        <v>34</v>
      </c>
      <c r="T415" s="8" t="s">
        <v>49</v>
      </c>
      <c r="U415" s="8" t="s">
        <v>75</v>
      </c>
      <c r="V415" s="8" t="s">
        <v>46</v>
      </c>
      <c r="W415" s="8">
        <v>0</v>
      </c>
    </row>
    <row r="416" spans="1:23" x14ac:dyDescent="0.25">
      <c r="A416" s="4">
        <v>1</v>
      </c>
      <c r="B416" s="4"/>
      <c r="C416" s="4">
        <v>884139</v>
      </c>
      <c r="D416" s="4">
        <v>5200.5</v>
      </c>
      <c r="E416" s="5">
        <f t="shared" si="6"/>
        <v>0.5</v>
      </c>
      <c r="F416" s="15">
        <v>45257</v>
      </c>
      <c r="G416" s="10">
        <v>329894355</v>
      </c>
      <c r="H416" s="9">
        <v>45251</v>
      </c>
      <c r="I416" s="9">
        <v>45266</v>
      </c>
      <c r="J416" s="8">
        <v>5201</v>
      </c>
      <c r="K416" s="8" t="s">
        <v>31</v>
      </c>
      <c r="L416" s="8" t="s">
        <v>32</v>
      </c>
      <c r="M416" s="8"/>
      <c r="N416" s="8" t="b">
        <v>0</v>
      </c>
      <c r="O416" s="10">
        <v>706378</v>
      </c>
      <c r="P416" s="8" t="s">
        <v>56</v>
      </c>
      <c r="Q416" s="8">
        <v>156241</v>
      </c>
      <c r="R416" s="9">
        <v>45251</v>
      </c>
      <c r="S416" s="8" t="s">
        <v>34</v>
      </c>
      <c r="T416" s="8" t="s">
        <v>40</v>
      </c>
      <c r="U416" s="8" t="s">
        <v>58</v>
      </c>
      <c r="V416" s="8" t="s">
        <v>46</v>
      </c>
      <c r="W416" s="8">
        <v>0</v>
      </c>
    </row>
    <row r="417" spans="1:23" x14ac:dyDescent="0.25">
      <c r="A417" s="4">
        <v>1</v>
      </c>
      <c r="B417" s="4"/>
      <c r="C417" s="4">
        <v>884140</v>
      </c>
      <c r="D417" s="4">
        <v>5200.5</v>
      </c>
      <c r="E417" s="5">
        <f t="shared" si="6"/>
        <v>0.5</v>
      </c>
      <c r="F417" s="15">
        <v>45257</v>
      </c>
      <c r="G417" s="10">
        <v>329894393</v>
      </c>
      <c r="H417" s="9">
        <v>45251</v>
      </c>
      <c r="I417" s="9">
        <v>45266</v>
      </c>
      <c r="J417" s="8">
        <v>5201</v>
      </c>
      <c r="K417" s="8" t="s">
        <v>31</v>
      </c>
      <c r="L417" s="8" t="s">
        <v>32</v>
      </c>
      <c r="M417" s="8"/>
      <c r="N417" s="8" t="b">
        <v>0</v>
      </c>
      <c r="O417" s="10">
        <v>706377</v>
      </c>
      <c r="P417" s="8" t="s">
        <v>65</v>
      </c>
      <c r="Q417" s="8">
        <v>156224</v>
      </c>
      <c r="R417" s="9">
        <v>45251</v>
      </c>
      <c r="S417" s="8" t="s">
        <v>34</v>
      </c>
      <c r="T417" s="8" t="s">
        <v>40</v>
      </c>
      <c r="U417" s="8" t="s">
        <v>58</v>
      </c>
      <c r="V417" s="8" t="s">
        <v>46</v>
      </c>
      <c r="W417" s="8">
        <v>0</v>
      </c>
    </row>
    <row r="418" spans="1:23" x14ac:dyDescent="0.25">
      <c r="A418" s="4">
        <v>1</v>
      </c>
      <c r="B418" s="4"/>
      <c r="C418" s="4">
        <v>884141</v>
      </c>
      <c r="D418" s="4">
        <v>5200.5</v>
      </c>
      <c r="E418" s="5">
        <f t="shared" si="6"/>
        <v>0.5</v>
      </c>
      <c r="F418" s="15">
        <v>45257</v>
      </c>
      <c r="G418" s="10">
        <v>329894411</v>
      </c>
      <c r="H418" s="9">
        <v>45251</v>
      </c>
      <c r="I418" s="9">
        <v>45266</v>
      </c>
      <c r="J418" s="8">
        <v>5201</v>
      </c>
      <c r="K418" s="8" t="s">
        <v>31</v>
      </c>
      <c r="L418" s="8" t="s">
        <v>32</v>
      </c>
      <c r="M418" s="8"/>
      <c r="N418" s="8" t="b">
        <v>0</v>
      </c>
      <c r="O418" s="10">
        <v>706376</v>
      </c>
      <c r="P418" s="8" t="s">
        <v>110</v>
      </c>
      <c r="Q418" s="8">
        <v>156179</v>
      </c>
      <c r="R418" s="9">
        <v>45251</v>
      </c>
      <c r="S418" s="8" t="s">
        <v>34</v>
      </c>
      <c r="T418" s="8" t="s">
        <v>40</v>
      </c>
      <c r="U418" s="8" t="s">
        <v>58</v>
      </c>
      <c r="V418" s="8" t="s">
        <v>46</v>
      </c>
      <c r="W418" s="8">
        <v>0</v>
      </c>
    </row>
    <row r="419" spans="1:23" x14ac:dyDescent="0.25">
      <c r="A419" s="4">
        <v>1</v>
      </c>
      <c r="B419" s="4"/>
      <c r="C419" s="4">
        <v>884142</v>
      </c>
      <c r="D419" s="4">
        <v>8094.5</v>
      </c>
      <c r="E419" s="5">
        <f t="shared" si="6"/>
        <v>0.5</v>
      </c>
      <c r="F419" s="15">
        <v>45257</v>
      </c>
      <c r="G419" s="10">
        <v>329894599</v>
      </c>
      <c r="H419" s="9">
        <v>45251</v>
      </c>
      <c r="I419" s="9">
        <v>45266</v>
      </c>
      <c r="J419" s="8">
        <v>8095</v>
      </c>
      <c r="K419" s="8" t="s">
        <v>31</v>
      </c>
      <c r="L419" s="8" t="s">
        <v>32</v>
      </c>
      <c r="M419" s="8"/>
      <c r="N419" s="8" t="b">
        <v>0</v>
      </c>
      <c r="O419" s="10">
        <v>705888</v>
      </c>
      <c r="P419" s="8" t="s">
        <v>172</v>
      </c>
      <c r="Q419" s="8">
        <v>156612</v>
      </c>
      <c r="R419" s="9">
        <v>45251</v>
      </c>
      <c r="S419" s="8" t="s">
        <v>34</v>
      </c>
      <c r="T419" s="8" t="s">
        <v>40</v>
      </c>
      <c r="U419" s="8" t="s">
        <v>157</v>
      </c>
      <c r="V419" s="8" t="s">
        <v>158</v>
      </c>
      <c r="W419" s="8">
        <v>0</v>
      </c>
    </row>
    <row r="420" spans="1:23" x14ac:dyDescent="0.25">
      <c r="A420" s="4">
        <v>1</v>
      </c>
      <c r="B420" s="4"/>
      <c r="C420" s="4">
        <v>884143</v>
      </c>
      <c r="D420" s="4">
        <v>5200.5</v>
      </c>
      <c r="E420" s="5">
        <f t="shared" si="6"/>
        <v>0.5</v>
      </c>
      <c r="F420" s="15">
        <v>45257</v>
      </c>
      <c r="G420" s="10">
        <v>329903342</v>
      </c>
      <c r="H420" s="9">
        <v>45251</v>
      </c>
      <c r="I420" s="9">
        <v>45266</v>
      </c>
      <c r="J420" s="8">
        <v>5201</v>
      </c>
      <c r="K420" s="8" t="s">
        <v>31</v>
      </c>
      <c r="L420" s="8" t="s">
        <v>32</v>
      </c>
      <c r="M420" s="8"/>
      <c r="N420" s="8" t="b">
        <v>0</v>
      </c>
      <c r="O420" s="10">
        <v>706379</v>
      </c>
      <c r="P420" s="8" t="s">
        <v>117</v>
      </c>
      <c r="Q420" s="8">
        <v>169269</v>
      </c>
      <c r="R420" s="9">
        <v>45251</v>
      </c>
      <c r="S420" s="8" t="s">
        <v>34</v>
      </c>
      <c r="T420" s="8" t="s">
        <v>40</v>
      </c>
      <c r="U420" s="8" t="s">
        <v>58</v>
      </c>
      <c r="V420" s="8" t="s">
        <v>46</v>
      </c>
      <c r="W420" s="8">
        <v>0</v>
      </c>
    </row>
    <row r="421" spans="1:23" x14ac:dyDescent="0.25">
      <c r="A421" s="4">
        <v>1</v>
      </c>
      <c r="B421" s="4"/>
      <c r="C421" s="4">
        <v>884117</v>
      </c>
      <c r="D421" s="4">
        <v>7006</v>
      </c>
      <c r="E421" s="5">
        <f t="shared" si="6"/>
        <v>1</v>
      </c>
      <c r="F421" s="15">
        <v>45257</v>
      </c>
      <c r="G421" s="10">
        <v>329903351</v>
      </c>
      <c r="H421" s="9">
        <v>45251</v>
      </c>
      <c r="I421" s="9">
        <v>45266</v>
      </c>
      <c r="J421" s="8">
        <v>7007</v>
      </c>
      <c r="K421" s="8" t="s">
        <v>31</v>
      </c>
      <c r="L421" s="8" t="s">
        <v>32</v>
      </c>
      <c r="M421" s="8"/>
      <c r="N421" s="8" t="b">
        <v>0</v>
      </c>
      <c r="O421" s="10">
        <v>21059</v>
      </c>
      <c r="P421" s="8" t="s">
        <v>283</v>
      </c>
      <c r="Q421" s="8">
        <v>169244</v>
      </c>
      <c r="R421" s="9">
        <v>45251</v>
      </c>
      <c r="S421" s="8" t="s">
        <v>39</v>
      </c>
      <c r="T421" s="8" t="s">
        <v>44</v>
      </c>
      <c r="U421" s="8" t="s">
        <v>41</v>
      </c>
      <c r="V421" s="8" t="s">
        <v>42</v>
      </c>
      <c r="W421" s="8">
        <v>0</v>
      </c>
    </row>
    <row r="422" spans="1:23" x14ac:dyDescent="0.25">
      <c r="A422" s="4">
        <v>1</v>
      </c>
      <c r="B422" s="4"/>
      <c r="C422" s="4">
        <v>884144</v>
      </c>
      <c r="D422" s="4">
        <v>5200.5</v>
      </c>
      <c r="E422" s="5">
        <f t="shared" si="6"/>
        <v>0.5</v>
      </c>
      <c r="F422" s="15">
        <v>45257</v>
      </c>
      <c r="G422" s="10">
        <v>329903461</v>
      </c>
      <c r="H422" s="9">
        <v>45251</v>
      </c>
      <c r="I422" s="9">
        <v>45266</v>
      </c>
      <c r="J422" s="8">
        <v>5201</v>
      </c>
      <c r="K422" s="8" t="s">
        <v>31</v>
      </c>
      <c r="L422" s="8" t="s">
        <v>32</v>
      </c>
      <c r="M422" s="8"/>
      <c r="N422" s="8" t="b">
        <v>0</v>
      </c>
      <c r="O422" s="10">
        <v>706380</v>
      </c>
      <c r="P422" s="8" t="s">
        <v>162</v>
      </c>
      <c r="Q422" s="8">
        <v>169279</v>
      </c>
      <c r="R422" s="9">
        <v>45251</v>
      </c>
      <c r="S422" s="8" t="s">
        <v>34</v>
      </c>
      <c r="T422" s="8" t="s">
        <v>40</v>
      </c>
      <c r="U422" s="8" t="s">
        <v>58</v>
      </c>
      <c r="V422" s="8" t="s">
        <v>46</v>
      </c>
      <c r="W422" s="8">
        <v>0</v>
      </c>
    </row>
    <row r="423" spans="1:23" x14ac:dyDescent="0.25">
      <c r="A423" s="4">
        <v>1</v>
      </c>
      <c r="B423" s="4"/>
      <c r="C423" s="4">
        <v>884145</v>
      </c>
      <c r="D423" s="4">
        <v>5173</v>
      </c>
      <c r="E423" s="5">
        <f t="shared" si="6"/>
        <v>0</v>
      </c>
      <c r="F423" s="15">
        <v>45257</v>
      </c>
      <c r="G423" s="10">
        <v>329903482</v>
      </c>
      <c r="H423" s="9">
        <v>45251</v>
      </c>
      <c r="I423" s="9">
        <v>45266</v>
      </c>
      <c r="J423" s="8">
        <v>5173</v>
      </c>
      <c r="K423" s="8" t="s">
        <v>31</v>
      </c>
      <c r="L423" s="8" t="s">
        <v>32</v>
      </c>
      <c r="M423" s="8"/>
      <c r="N423" s="8" t="b">
        <v>0</v>
      </c>
      <c r="O423" s="10">
        <v>702410</v>
      </c>
      <c r="P423" s="8" t="s">
        <v>103</v>
      </c>
      <c r="Q423" s="8">
        <v>169232</v>
      </c>
      <c r="R423" s="9">
        <v>45251</v>
      </c>
      <c r="S423" s="8" t="s">
        <v>180</v>
      </c>
      <c r="T423" s="8" t="s">
        <v>44</v>
      </c>
      <c r="U423" s="8" t="s">
        <v>45</v>
      </c>
      <c r="V423" s="8" t="s">
        <v>46</v>
      </c>
      <c r="W423" s="8">
        <v>0</v>
      </c>
    </row>
    <row r="424" spans="1:23" x14ac:dyDescent="0.25">
      <c r="A424" s="4">
        <v>1</v>
      </c>
      <c r="B424" s="4"/>
      <c r="C424" s="4">
        <v>884116</v>
      </c>
      <c r="D424" s="4">
        <v>7006</v>
      </c>
      <c r="E424" s="5">
        <f t="shared" si="6"/>
        <v>1</v>
      </c>
      <c r="F424" s="15">
        <v>45257</v>
      </c>
      <c r="G424" s="10">
        <v>329903517</v>
      </c>
      <c r="H424" s="9">
        <v>45251</v>
      </c>
      <c r="I424" s="9">
        <v>45266</v>
      </c>
      <c r="J424" s="8">
        <v>7007</v>
      </c>
      <c r="K424" s="8" t="s">
        <v>31</v>
      </c>
      <c r="L424" s="8" t="s">
        <v>32</v>
      </c>
      <c r="M424" s="8"/>
      <c r="N424" s="8" t="b">
        <v>0</v>
      </c>
      <c r="O424" s="10">
        <v>21085</v>
      </c>
      <c r="P424" s="8" t="s">
        <v>102</v>
      </c>
      <c r="Q424" s="8">
        <v>169257</v>
      </c>
      <c r="R424" s="9">
        <v>45251</v>
      </c>
      <c r="S424" s="8" t="s">
        <v>39</v>
      </c>
      <c r="T424" s="8" t="s">
        <v>44</v>
      </c>
      <c r="U424" s="8" t="s">
        <v>41</v>
      </c>
      <c r="V424" s="8" t="s">
        <v>42</v>
      </c>
      <c r="W424" s="8">
        <v>0</v>
      </c>
    </row>
    <row r="425" spans="1:23" x14ac:dyDescent="0.25">
      <c r="A425" s="4">
        <v>1</v>
      </c>
      <c r="B425" s="4"/>
      <c r="C425" s="4">
        <v>884147</v>
      </c>
      <c r="D425" s="4">
        <v>5200.5</v>
      </c>
      <c r="E425" s="5">
        <f t="shared" si="6"/>
        <v>0.5</v>
      </c>
      <c r="F425" s="15">
        <v>45257</v>
      </c>
      <c r="G425" s="10">
        <v>329903536</v>
      </c>
      <c r="H425" s="9">
        <v>45251</v>
      </c>
      <c r="I425" s="9">
        <v>45266</v>
      </c>
      <c r="J425" s="8">
        <v>5201</v>
      </c>
      <c r="K425" s="8" t="s">
        <v>31</v>
      </c>
      <c r="L425" s="8" t="s">
        <v>32</v>
      </c>
      <c r="M425" s="8"/>
      <c r="N425" s="8" t="b">
        <v>0</v>
      </c>
      <c r="O425" s="10">
        <v>706381</v>
      </c>
      <c r="P425" s="8" t="s">
        <v>202</v>
      </c>
      <c r="Q425" s="8">
        <v>169283</v>
      </c>
      <c r="R425" s="9">
        <v>45251</v>
      </c>
      <c r="S425" s="8" t="s">
        <v>34</v>
      </c>
      <c r="T425" s="8" t="s">
        <v>40</v>
      </c>
      <c r="U425" s="8" t="s">
        <v>58</v>
      </c>
      <c r="V425" s="8" t="s">
        <v>46</v>
      </c>
      <c r="W425" s="8">
        <v>0</v>
      </c>
    </row>
    <row r="426" spans="1:23" x14ac:dyDescent="0.25">
      <c r="A426" s="4">
        <v>1</v>
      </c>
      <c r="B426" s="4"/>
      <c r="C426" s="4">
        <v>884148</v>
      </c>
      <c r="D426" s="4">
        <v>17584</v>
      </c>
      <c r="E426" s="5">
        <f t="shared" si="6"/>
        <v>0</v>
      </c>
      <c r="F426" s="15">
        <v>45257</v>
      </c>
      <c r="G426" s="10">
        <v>329905195</v>
      </c>
      <c r="H426" s="9">
        <v>45251</v>
      </c>
      <c r="I426" s="9">
        <v>45266</v>
      </c>
      <c r="J426" s="8">
        <v>17584</v>
      </c>
      <c r="K426" s="8" t="s">
        <v>31</v>
      </c>
      <c r="L426" s="8" t="s">
        <v>32</v>
      </c>
      <c r="M426" s="8"/>
      <c r="N426" s="8" t="b">
        <v>0</v>
      </c>
      <c r="O426" s="10"/>
      <c r="P426" s="8" t="s">
        <v>325</v>
      </c>
      <c r="Q426" s="8">
        <v>170556</v>
      </c>
      <c r="R426" s="9">
        <v>45251</v>
      </c>
      <c r="S426" s="8" t="s">
        <v>34</v>
      </c>
      <c r="T426" s="8" t="s">
        <v>49</v>
      </c>
      <c r="U426" s="8" t="s">
        <v>75</v>
      </c>
      <c r="V426" s="8" t="s">
        <v>46</v>
      </c>
      <c r="W426" s="8">
        <v>0</v>
      </c>
    </row>
    <row r="427" spans="1:23" x14ac:dyDescent="0.25">
      <c r="A427" s="4">
        <v>1</v>
      </c>
      <c r="B427" s="4"/>
      <c r="C427" s="4">
        <v>884111</v>
      </c>
      <c r="D427" s="4">
        <v>7525</v>
      </c>
      <c r="E427" s="5">
        <f t="shared" si="6"/>
        <v>0</v>
      </c>
      <c r="F427" s="15">
        <v>45257</v>
      </c>
      <c r="G427" s="10">
        <v>329905562</v>
      </c>
      <c r="H427" s="9">
        <v>45251</v>
      </c>
      <c r="I427" s="9">
        <v>45266</v>
      </c>
      <c r="J427" s="8">
        <v>7525</v>
      </c>
      <c r="K427" s="8" t="s">
        <v>31</v>
      </c>
      <c r="L427" s="8" t="s">
        <v>32</v>
      </c>
      <c r="M427" s="8"/>
      <c r="N427" s="8" t="b">
        <v>0</v>
      </c>
      <c r="O427" s="10"/>
      <c r="P427" s="8" t="s">
        <v>297</v>
      </c>
      <c r="Q427" s="8">
        <v>170744</v>
      </c>
      <c r="R427" s="9">
        <v>45251</v>
      </c>
      <c r="S427" s="8" t="s">
        <v>239</v>
      </c>
      <c r="T427" s="8" t="s">
        <v>49</v>
      </c>
      <c r="U427" s="8" t="s">
        <v>240</v>
      </c>
      <c r="V427" s="8" t="s">
        <v>72</v>
      </c>
      <c r="W427" s="8">
        <v>0</v>
      </c>
    </row>
    <row r="428" spans="1:23" x14ac:dyDescent="0.25">
      <c r="A428" s="4">
        <v>1</v>
      </c>
      <c r="B428" s="4"/>
      <c r="C428" s="4" t="s">
        <v>326</v>
      </c>
      <c r="D428" s="4">
        <v>24888</v>
      </c>
      <c r="E428" s="5">
        <f t="shared" si="6"/>
        <v>0</v>
      </c>
      <c r="F428" s="15">
        <v>45257</v>
      </c>
      <c r="G428" s="10">
        <v>329905824</v>
      </c>
      <c r="H428" s="9">
        <v>45251</v>
      </c>
      <c r="I428" s="9">
        <v>45266</v>
      </c>
      <c r="J428" s="8">
        <v>24888</v>
      </c>
      <c r="K428" s="8" t="s">
        <v>31</v>
      </c>
      <c r="L428" s="8" t="s">
        <v>32</v>
      </c>
      <c r="M428" s="8"/>
      <c r="N428" s="8" t="b">
        <v>0</v>
      </c>
      <c r="O428" s="10"/>
      <c r="P428" s="8" t="s">
        <v>243</v>
      </c>
      <c r="Q428" s="8">
        <v>170783</v>
      </c>
      <c r="R428" s="9">
        <v>45251</v>
      </c>
      <c r="S428" s="8" t="s">
        <v>148</v>
      </c>
      <c r="T428" s="8" t="s">
        <v>49</v>
      </c>
      <c r="U428" s="8" t="s">
        <v>149</v>
      </c>
      <c r="V428" s="8" t="s">
        <v>150</v>
      </c>
      <c r="W428" s="8">
        <v>0</v>
      </c>
    </row>
    <row r="429" spans="1:23" x14ac:dyDescent="0.25">
      <c r="A429" s="4">
        <v>1</v>
      </c>
      <c r="B429" s="4"/>
      <c r="C429" s="4">
        <v>884159</v>
      </c>
      <c r="D429" s="4">
        <v>63315</v>
      </c>
      <c r="E429" s="5">
        <f t="shared" si="6"/>
        <v>5</v>
      </c>
      <c r="F429" s="15">
        <v>45257</v>
      </c>
      <c r="G429" s="10">
        <v>329905827</v>
      </c>
      <c r="H429" s="9">
        <v>45251</v>
      </c>
      <c r="I429" s="9">
        <v>45266</v>
      </c>
      <c r="J429" s="8">
        <v>63320</v>
      </c>
      <c r="K429" s="8" t="s">
        <v>31</v>
      </c>
      <c r="L429" s="8" t="s">
        <v>32</v>
      </c>
      <c r="M429" s="8"/>
      <c r="N429" s="8" t="b">
        <v>0</v>
      </c>
      <c r="O429" s="10"/>
      <c r="P429" s="8" t="s">
        <v>327</v>
      </c>
      <c r="Q429" s="8">
        <v>170832</v>
      </c>
      <c r="R429" s="9">
        <v>45251</v>
      </c>
      <c r="S429" s="8" t="s">
        <v>48</v>
      </c>
      <c r="T429" s="8" t="s">
        <v>49</v>
      </c>
      <c r="U429" s="8" t="s">
        <v>50</v>
      </c>
      <c r="V429" s="8" t="s">
        <v>37</v>
      </c>
      <c r="W429" s="8">
        <v>0</v>
      </c>
    </row>
    <row r="430" spans="1:23" x14ac:dyDescent="0.25">
      <c r="A430" s="4">
        <v>1</v>
      </c>
      <c r="B430" s="4"/>
      <c r="C430" s="4">
        <v>884452</v>
      </c>
      <c r="D430" s="4">
        <v>5200.5</v>
      </c>
      <c r="E430" s="5">
        <f t="shared" si="6"/>
        <v>0.5</v>
      </c>
      <c r="F430" s="15">
        <v>45260</v>
      </c>
      <c r="G430" s="10">
        <v>329916908</v>
      </c>
      <c r="H430" s="9">
        <v>45252</v>
      </c>
      <c r="I430" s="9">
        <v>45267</v>
      </c>
      <c r="J430" s="8">
        <v>5201</v>
      </c>
      <c r="K430" s="8" t="s">
        <v>31</v>
      </c>
      <c r="L430" s="8" t="s">
        <v>32</v>
      </c>
      <c r="M430" s="8"/>
      <c r="N430" s="8" t="b">
        <v>0</v>
      </c>
      <c r="O430" s="10">
        <v>706384</v>
      </c>
      <c r="P430" s="8" t="s">
        <v>223</v>
      </c>
      <c r="Q430" s="8">
        <v>177011</v>
      </c>
      <c r="R430" s="9">
        <v>45252</v>
      </c>
      <c r="S430" s="8" t="s">
        <v>34</v>
      </c>
      <c r="T430" s="8" t="s">
        <v>40</v>
      </c>
      <c r="U430" s="8" t="s">
        <v>58</v>
      </c>
      <c r="V430" s="8" t="s">
        <v>46</v>
      </c>
      <c r="W430" s="8">
        <v>0</v>
      </c>
    </row>
    <row r="431" spans="1:23" x14ac:dyDescent="0.25">
      <c r="A431" s="4">
        <v>1</v>
      </c>
      <c r="B431" s="4"/>
      <c r="C431" s="4">
        <v>884453</v>
      </c>
      <c r="D431" s="4">
        <v>5200.5</v>
      </c>
      <c r="E431" s="5">
        <f t="shared" si="6"/>
        <v>0.5</v>
      </c>
      <c r="F431" s="15">
        <v>45260</v>
      </c>
      <c r="G431" s="10">
        <v>329916944</v>
      </c>
      <c r="H431" s="9">
        <v>45252</v>
      </c>
      <c r="I431" s="9">
        <v>45267</v>
      </c>
      <c r="J431" s="8">
        <v>5201</v>
      </c>
      <c r="K431" s="8" t="s">
        <v>31</v>
      </c>
      <c r="L431" s="8" t="s">
        <v>32</v>
      </c>
      <c r="M431" s="8"/>
      <c r="N431" s="8" t="b">
        <v>0</v>
      </c>
      <c r="O431" s="10">
        <v>706382</v>
      </c>
      <c r="P431" s="8" t="s">
        <v>196</v>
      </c>
      <c r="Q431" s="8">
        <v>176953</v>
      </c>
      <c r="R431" s="9">
        <v>45252</v>
      </c>
      <c r="S431" s="8" t="s">
        <v>34</v>
      </c>
      <c r="T431" s="8" t="s">
        <v>40</v>
      </c>
      <c r="U431" s="8" t="s">
        <v>58</v>
      </c>
      <c r="V431" s="8" t="s">
        <v>46</v>
      </c>
      <c r="W431" s="8">
        <v>0</v>
      </c>
    </row>
    <row r="432" spans="1:23" x14ac:dyDescent="0.25">
      <c r="A432" s="4">
        <v>1</v>
      </c>
      <c r="B432" s="4"/>
      <c r="C432" s="4">
        <v>884454</v>
      </c>
      <c r="D432" s="4">
        <v>5200.5</v>
      </c>
      <c r="E432" s="5">
        <f t="shared" si="6"/>
        <v>0.5</v>
      </c>
      <c r="F432" s="15">
        <v>45260</v>
      </c>
      <c r="G432" s="10">
        <v>329916974</v>
      </c>
      <c r="H432" s="9">
        <v>45252</v>
      </c>
      <c r="I432" s="9">
        <v>45267</v>
      </c>
      <c r="J432" s="8">
        <v>5201</v>
      </c>
      <c r="K432" s="8" t="s">
        <v>31</v>
      </c>
      <c r="L432" s="8" t="s">
        <v>32</v>
      </c>
      <c r="M432" s="8"/>
      <c r="N432" s="8" t="b">
        <v>0</v>
      </c>
      <c r="O432" s="10">
        <v>706383</v>
      </c>
      <c r="P432" s="8" t="s">
        <v>221</v>
      </c>
      <c r="Q432" s="8">
        <v>176990</v>
      </c>
      <c r="R432" s="9">
        <v>45252</v>
      </c>
      <c r="S432" s="8" t="s">
        <v>34</v>
      </c>
      <c r="T432" s="8" t="s">
        <v>40</v>
      </c>
      <c r="U432" s="8" t="s">
        <v>58</v>
      </c>
      <c r="V432" s="8" t="s">
        <v>46</v>
      </c>
      <c r="W432" s="8">
        <v>0</v>
      </c>
    </row>
    <row r="433" spans="1:23" x14ac:dyDescent="0.25">
      <c r="A433" s="4">
        <v>1</v>
      </c>
      <c r="B433" s="4"/>
      <c r="C433" s="4">
        <v>884740</v>
      </c>
      <c r="D433" s="4">
        <v>5200.5</v>
      </c>
      <c r="E433" s="5">
        <f t="shared" si="6"/>
        <v>0.5</v>
      </c>
      <c r="F433" s="15">
        <v>45260</v>
      </c>
      <c r="G433" s="10">
        <v>329962391</v>
      </c>
      <c r="H433" s="9">
        <v>45257</v>
      </c>
      <c r="I433" s="9">
        <v>45272</v>
      </c>
      <c r="J433" s="8">
        <v>5201</v>
      </c>
      <c r="K433" s="8" t="s">
        <v>31</v>
      </c>
      <c r="L433" s="8" t="s">
        <v>32</v>
      </c>
      <c r="M433" s="8"/>
      <c r="N433" s="8" t="b">
        <v>0</v>
      </c>
      <c r="O433" s="10">
        <v>706386</v>
      </c>
      <c r="P433" s="8" t="s">
        <v>134</v>
      </c>
      <c r="Q433" s="8">
        <v>208004</v>
      </c>
      <c r="R433" s="9">
        <v>45255</v>
      </c>
      <c r="S433" s="8" t="s">
        <v>34</v>
      </c>
      <c r="T433" s="8" t="s">
        <v>40</v>
      </c>
      <c r="U433" s="8" t="s">
        <v>58</v>
      </c>
      <c r="V433" s="8" t="s">
        <v>46</v>
      </c>
      <c r="W433" s="8">
        <v>0</v>
      </c>
    </row>
    <row r="434" spans="1:23" x14ac:dyDescent="0.25">
      <c r="A434" s="4">
        <v>1</v>
      </c>
      <c r="B434" s="4"/>
      <c r="C434" s="4">
        <v>884746</v>
      </c>
      <c r="D434" s="4">
        <v>5200.5</v>
      </c>
      <c r="E434" s="5">
        <f t="shared" si="6"/>
        <v>0.5</v>
      </c>
      <c r="F434" s="15">
        <v>45260</v>
      </c>
      <c r="G434" s="10">
        <v>329962392</v>
      </c>
      <c r="H434" s="9">
        <v>45257</v>
      </c>
      <c r="I434" s="9">
        <v>45272</v>
      </c>
      <c r="J434" s="8">
        <v>5201</v>
      </c>
      <c r="K434" s="8" t="s">
        <v>31</v>
      </c>
      <c r="L434" s="8" t="s">
        <v>32</v>
      </c>
      <c r="M434" s="8"/>
      <c r="N434" s="8" t="b">
        <v>0</v>
      </c>
      <c r="O434" s="10">
        <v>706385</v>
      </c>
      <c r="P434" s="8" t="s">
        <v>133</v>
      </c>
      <c r="Q434" s="8">
        <v>208002</v>
      </c>
      <c r="R434" s="9">
        <v>45255</v>
      </c>
      <c r="S434" s="8" t="s">
        <v>34</v>
      </c>
      <c r="T434" s="8" t="s">
        <v>40</v>
      </c>
      <c r="U434" s="8" t="s">
        <v>58</v>
      </c>
      <c r="V434" s="8" t="s">
        <v>46</v>
      </c>
      <c r="W434" s="8">
        <v>0</v>
      </c>
    </row>
    <row r="435" spans="1:23" x14ac:dyDescent="0.25">
      <c r="A435" s="4">
        <v>1</v>
      </c>
      <c r="B435" s="4"/>
      <c r="C435" s="4">
        <v>884747</v>
      </c>
      <c r="D435" s="4">
        <v>5200.5</v>
      </c>
      <c r="E435" s="5">
        <f t="shared" si="6"/>
        <v>0.5</v>
      </c>
      <c r="F435" s="15">
        <v>45260</v>
      </c>
      <c r="G435" s="10">
        <v>329962393</v>
      </c>
      <c r="H435" s="9">
        <v>45257</v>
      </c>
      <c r="I435" s="9">
        <v>45272</v>
      </c>
      <c r="J435" s="8">
        <v>5201</v>
      </c>
      <c r="K435" s="8" t="s">
        <v>31</v>
      </c>
      <c r="L435" s="8" t="s">
        <v>32</v>
      </c>
      <c r="M435" s="8"/>
      <c r="N435" s="8" t="b">
        <v>0</v>
      </c>
      <c r="O435" s="10">
        <v>706387</v>
      </c>
      <c r="P435" s="8" t="s">
        <v>81</v>
      </c>
      <c r="Q435" s="8">
        <v>208005</v>
      </c>
      <c r="R435" s="9">
        <v>45255</v>
      </c>
      <c r="S435" s="8" t="s">
        <v>34</v>
      </c>
      <c r="T435" s="8" t="s">
        <v>40</v>
      </c>
      <c r="U435" s="8" t="s">
        <v>58</v>
      </c>
      <c r="V435" s="8" t="s">
        <v>46</v>
      </c>
      <c r="W435" s="8">
        <v>0</v>
      </c>
    </row>
    <row r="436" spans="1:23" x14ac:dyDescent="0.25">
      <c r="A436" s="4">
        <v>1</v>
      </c>
      <c r="B436" s="4"/>
      <c r="C436" s="4">
        <v>884748</v>
      </c>
      <c r="D436" s="4">
        <v>5200.5</v>
      </c>
      <c r="E436" s="5">
        <f t="shared" si="6"/>
        <v>0.5</v>
      </c>
      <c r="F436" s="15">
        <v>45260</v>
      </c>
      <c r="G436" s="10">
        <v>329962395</v>
      </c>
      <c r="H436" s="9">
        <v>45257</v>
      </c>
      <c r="I436" s="9">
        <v>45272</v>
      </c>
      <c r="J436" s="8">
        <v>5201</v>
      </c>
      <c r="K436" s="8" t="s">
        <v>31</v>
      </c>
      <c r="L436" s="8" t="s">
        <v>32</v>
      </c>
      <c r="M436" s="8"/>
      <c r="N436" s="8" t="b">
        <v>0</v>
      </c>
      <c r="O436" s="10">
        <v>706388</v>
      </c>
      <c r="P436" s="8" t="s">
        <v>115</v>
      </c>
      <c r="Q436" s="8">
        <v>208008</v>
      </c>
      <c r="R436" s="9">
        <v>45255</v>
      </c>
      <c r="S436" s="8" t="s">
        <v>34</v>
      </c>
      <c r="T436" s="8" t="s">
        <v>40</v>
      </c>
      <c r="U436" s="8" t="s">
        <v>58</v>
      </c>
      <c r="V436" s="8" t="s">
        <v>46</v>
      </c>
      <c r="W436" s="8">
        <v>0</v>
      </c>
    </row>
    <row r="437" spans="1:23" x14ac:dyDescent="0.25">
      <c r="A437" s="4">
        <v>1</v>
      </c>
      <c r="B437" s="4"/>
      <c r="C437" s="4">
        <v>884749</v>
      </c>
      <c r="D437" s="4">
        <v>5200.5</v>
      </c>
      <c r="E437" s="5">
        <f t="shared" si="6"/>
        <v>0.5</v>
      </c>
      <c r="F437" s="15">
        <v>45260</v>
      </c>
      <c r="G437" s="10">
        <v>329962397</v>
      </c>
      <c r="H437" s="9">
        <v>45257</v>
      </c>
      <c r="I437" s="9">
        <v>45272</v>
      </c>
      <c r="J437" s="8">
        <v>5201</v>
      </c>
      <c r="K437" s="8" t="s">
        <v>31</v>
      </c>
      <c r="L437" s="8" t="s">
        <v>32</v>
      </c>
      <c r="M437" s="8"/>
      <c r="N437" s="8" t="b">
        <v>0</v>
      </c>
      <c r="O437" s="10">
        <v>706391</v>
      </c>
      <c r="P437" s="8" t="s">
        <v>118</v>
      </c>
      <c r="Q437" s="8">
        <v>208011</v>
      </c>
      <c r="R437" s="9">
        <v>45255</v>
      </c>
      <c r="S437" s="8" t="s">
        <v>34</v>
      </c>
      <c r="T437" s="8" t="s">
        <v>40</v>
      </c>
      <c r="U437" s="8" t="s">
        <v>58</v>
      </c>
      <c r="V437" s="8" t="s">
        <v>46</v>
      </c>
      <c r="W437" s="8">
        <v>0</v>
      </c>
    </row>
    <row r="438" spans="1:23" x14ac:dyDescent="0.25">
      <c r="A438" s="4">
        <v>1</v>
      </c>
      <c r="B438" s="4"/>
      <c r="C438" s="4">
        <v>884750</v>
      </c>
      <c r="D438" s="4">
        <v>5200.5</v>
      </c>
      <c r="E438" s="5">
        <f t="shared" si="6"/>
        <v>0.5</v>
      </c>
      <c r="F438" s="15">
        <v>45260</v>
      </c>
      <c r="G438" s="10">
        <v>329962398</v>
      </c>
      <c r="H438" s="9">
        <v>45257</v>
      </c>
      <c r="I438" s="9">
        <v>45272</v>
      </c>
      <c r="J438" s="8">
        <v>5201</v>
      </c>
      <c r="K438" s="8" t="s">
        <v>31</v>
      </c>
      <c r="L438" s="8" t="s">
        <v>32</v>
      </c>
      <c r="M438" s="8"/>
      <c r="N438" s="8" t="b">
        <v>0</v>
      </c>
      <c r="O438" s="10">
        <v>706392</v>
      </c>
      <c r="P438" s="8" t="s">
        <v>192</v>
      </c>
      <c r="Q438" s="8">
        <v>208012</v>
      </c>
      <c r="R438" s="9">
        <v>45255</v>
      </c>
      <c r="S438" s="8" t="s">
        <v>34</v>
      </c>
      <c r="T438" s="8" t="s">
        <v>40</v>
      </c>
      <c r="U438" s="8" t="s">
        <v>58</v>
      </c>
      <c r="V438" s="8" t="s">
        <v>46</v>
      </c>
      <c r="W438" s="8">
        <v>0</v>
      </c>
    </row>
    <row r="439" spans="1:23" x14ac:dyDescent="0.25">
      <c r="A439" s="4">
        <v>1</v>
      </c>
      <c r="B439" s="4"/>
      <c r="C439" s="4">
        <v>884751</v>
      </c>
      <c r="D439" s="4">
        <v>5200.5</v>
      </c>
      <c r="E439" s="5">
        <f t="shared" si="6"/>
        <v>0.5</v>
      </c>
      <c r="F439" s="15">
        <v>45260</v>
      </c>
      <c r="G439" s="10">
        <v>329962399</v>
      </c>
      <c r="H439" s="9">
        <v>45257</v>
      </c>
      <c r="I439" s="9">
        <v>45272</v>
      </c>
      <c r="J439" s="8">
        <v>5201</v>
      </c>
      <c r="K439" s="8" t="s">
        <v>31</v>
      </c>
      <c r="L439" s="8" t="s">
        <v>32</v>
      </c>
      <c r="M439" s="8"/>
      <c r="N439" s="8" t="b">
        <v>0</v>
      </c>
      <c r="O439" s="10">
        <v>706390</v>
      </c>
      <c r="P439" s="8" t="s">
        <v>112</v>
      </c>
      <c r="Q439" s="8">
        <v>208010</v>
      </c>
      <c r="R439" s="9">
        <v>45255</v>
      </c>
      <c r="S439" s="8" t="s">
        <v>34</v>
      </c>
      <c r="T439" s="8" t="s">
        <v>40</v>
      </c>
      <c r="U439" s="8" t="s">
        <v>58</v>
      </c>
      <c r="V439" s="8" t="s">
        <v>46</v>
      </c>
      <c r="W439" s="8">
        <v>0</v>
      </c>
    </row>
    <row r="440" spans="1:23" x14ac:dyDescent="0.25">
      <c r="A440" s="4">
        <v>1</v>
      </c>
      <c r="B440" s="4"/>
      <c r="C440" s="4">
        <v>884752</v>
      </c>
      <c r="D440" s="4">
        <v>5200.5</v>
      </c>
      <c r="E440" s="5">
        <f t="shared" si="6"/>
        <v>0.5</v>
      </c>
      <c r="F440" s="15">
        <v>45260</v>
      </c>
      <c r="G440" s="10">
        <v>329962400</v>
      </c>
      <c r="H440" s="9">
        <v>45257</v>
      </c>
      <c r="I440" s="9">
        <v>45272</v>
      </c>
      <c r="J440" s="8">
        <v>5201</v>
      </c>
      <c r="K440" s="8" t="s">
        <v>31</v>
      </c>
      <c r="L440" s="8" t="s">
        <v>32</v>
      </c>
      <c r="M440" s="8"/>
      <c r="N440" s="8" t="b">
        <v>0</v>
      </c>
      <c r="O440" s="10">
        <v>706389</v>
      </c>
      <c r="P440" s="8" t="s">
        <v>111</v>
      </c>
      <c r="Q440" s="8">
        <v>208009</v>
      </c>
      <c r="R440" s="9">
        <v>45255</v>
      </c>
      <c r="S440" s="8" t="s">
        <v>34</v>
      </c>
      <c r="T440" s="8" t="s">
        <v>40</v>
      </c>
      <c r="U440" s="8" t="s">
        <v>58</v>
      </c>
      <c r="V440" s="8" t="s">
        <v>46</v>
      </c>
      <c r="W440" s="8">
        <v>0</v>
      </c>
    </row>
    <row r="441" spans="1:23" x14ac:dyDescent="0.25">
      <c r="A441" s="4">
        <v>1</v>
      </c>
      <c r="B441" s="4"/>
      <c r="C441" s="4">
        <v>884753</v>
      </c>
      <c r="D441" s="4">
        <v>5200.5</v>
      </c>
      <c r="E441" s="5">
        <f t="shared" si="6"/>
        <v>0.5</v>
      </c>
      <c r="F441" s="15">
        <v>45260</v>
      </c>
      <c r="G441" s="10">
        <v>329962401</v>
      </c>
      <c r="H441" s="9">
        <v>45257</v>
      </c>
      <c r="I441" s="9">
        <v>45272</v>
      </c>
      <c r="J441" s="8">
        <v>5201</v>
      </c>
      <c r="K441" s="8" t="s">
        <v>31</v>
      </c>
      <c r="L441" s="8" t="s">
        <v>32</v>
      </c>
      <c r="M441" s="8"/>
      <c r="N441" s="8" t="b">
        <v>0</v>
      </c>
      <c r="O441" s="10">
        <v>706393</v>
      </c>
      <c r="P441" s="8" t="s">
        <v>288</v>
      </c>
      <c r="Q441" s="8">
        <v>208013</v>
      </c>
      <c r="R441" s="9">
        <v>45255</v>
      </c>
      <c r="S441" s="8" t="s">
        <v>34</v>
      </c>
      <c r="T441" s="8" t="s">
        <v>40</v>
      </c>
      <c r="U441" s="8" t="s">
        <v>58</v>
      </c>
      <c r="V441" s="8" t="s">
        <v>46</v>
      </c>
      <c r="W441" s="8">
        <v>0</v>
      </c>
    </row>
    <row r="442" spans="1:23" x14ac:dyDescent="0.25">
      <c r="A442" s="4">
        <v>1</v>
      </c>
      <c r="B442" s="4"/>
      <c r="C442" s="4">
        <v>884754</v>
      </c>
      <c r="D442" s="4">
        <v>5200.5</v>
      </c>
      <c r="E442" s="5">
        <f t="shared" si="6"/>
        <v>0.5</v>
      </c>
      <c r="F442" s="15">
        <v>45260</v>
      </c>
      <c r="G442" s="10">
        <v>329975384</v>
      </c>
      <c r="H442" s="9">
        <v>45257</v>
      </c>
      <c r="I442" s="9">
        <v>45272</v>
      </c>
      <c r="J442" s="8">
        <v>5201</v>
      </c>
      <c r="K442" s="8" t="s">
        <v>31</v>
      </c>
      <c r="L442" s="8" t="s">
        <v>32</v>
      </c>
      <c r="M442" s="8"/>
      <c r="N442" s="8" t="b">
        <v>0</v>
      </c>
      <c r="O442" s="10">
        <v>706396</v>
      </c>
      <c r="P442" s="8" t="s">
        <v>154</v>
      </c>
      <c r="Q442" s="8">
        <v>214768</v>
      </c>
      <c r="R442" s="9">
        <v>45257</v>
      </c>
      <c r="S442" s="8" t="s">
        <v>34</v>
      </c>
      <c r="T442" s="8" t="s">
        <v>40</v>
      </c>
      <c r="U442" s="8" t="s">
        <v>58</v>
      </c>
      <c r="V442" s="8" t="s">
        <v>46</v>
      </c>
      <c r="W442" s="8">
        <v>0</v>
      </c>
    </row>
    <row r="443" spans="1:23" x14ac:dyDescent="0.25">
      <c r="A443" s="4">
        <v>1</v>
      </c>
      <c r="B443" s="4"/>
      <c r="C443" s="4">
        <v>884755</v>
      </c>
      <c r="D443" s="4">
        <v>5200.5</v>
      </c>
      <c r="E443" s="5">
        <f t="shared" si="6"/>
        <v>0.5</v>
      </c>
      <c r="F443" s="15">
        <v>45260</v>
      </c>
      <c r="G443" s="10">
        <v>329975411</v>
      </c>
      <c r="H443" s="9">
        <v>45257</v>
      </c>
      <c r="I443" s="9">
        <v>45272</v>
      </c>
      <c r="J443" s="8">
        <v>5201</v>
      </c>
      <c r="K443" s="8" t="s">
        <v>31</v>
      </c>
      <c r="L443" s="8" t="s">
        <v>32</v>
      </c>
      <c r="M443" s="8"/>
      <c r="N443" s="8" t="b">
        <v>0</v>
      </c>
      <c r="O443" s="10">
        <v>706395</v>
      </c>
      <c r="P443" s="8" t="s">
        <v>144</v>
      </c>
      <c r="Q443" s="8">
        <v>214751</v>
      </c>
      <c r="R443" s="9">
        <v>45257</v>
      </c>
      <c r="S443" s="8" t="s">
        <v>34</v>
      </c>
      <c r="T443" s="8" t="s">
        <v>40</v>
      </c>
      <c r="U443" s="8" t="s">
        <v>58</v>
      </c>
      <c r="V443" s="8" t="s">
        <v>46</v>
      </c>
      <c r="W443" s="8">
        <v>0</v>
      </c>
    </row>
    <row r="444" spans="1:23" x14ac:dyDescent="0.25">
      <c r="A444" s="4">
        <v>1</v>
      </c>
      <c r="B444" s="4"/>
      <c r="C444" s="4">
        <v>884756</v>
      </c>
      <c r="D444" s="4">
        <v>5200.5</v>
      </c>
      <c r="E444" s="5">
        <f t="shared" si="6"/>
        <v>0.5</v>
      </c>
      <c r="F444" s="15">
        <v>45260</v>
      </c>
      <c r="G444" s="10">
        <v>329975424</v>
      </c>
      <c r="H444" s="9">
        <v>45257</v>
      </c>
      <c r="I444" s="9">
        <v>45272</v>
      </c>
      <c r="J444" s="8">
        <v>5201</v>
      </c>
      <c r="K444" s="8" t="s">
        <v>31</v>
      </c>
      <c r="L444" s="8" t="s">
        <v>32</v>
      </c>
      <c r="M444" s="8"/>
      <c r="N444" s="8" t="b">
        <v>0</v>
      </c>
      <c r="O444" s="10">
        <v>706397</v>
      </c>
      <c r="P444" s="8" t="s">
        <v>175</v>
      </c>
      <c r="Q444" s="8">
        <v>214779</v>
      </c>
      <c r="R444" s="9">
        <v>45257</v>
      </c>
      <c r="S444" s="8" t="s">
        <v>34</v>
      </c>
      <c r="T444" s="8" t="s">
        <v>40</v>
      </c>
      <c r="U444" s="8" t="s">
        <v>58</v>
      </c>
      <c r="V444" s="8" t="s">
        <v>46</v>
      </c>
      <c r="W444" s="8">
        <v>0</v>
      </c>
    </row>
    <row r="445" spans="1:23" x14ac:dyDescent="0.25">
      <c r="A445" s="4">
        <v>1</v>
      </c>
      <c r="B445" s="4"/>
      <c r="C445" s="4">
        <v>884530</v>
      </c>
      <c r="D445" s="4">
        <v>9339</v>
      </c>
      <c r="E445" s="5">
        <f t="shared" si="6"/>
        <v>1</v>
      </c>
      <c r="F445" s="15">
        <v>45260</v>
      </c>
      <c r="G445" s="10">
        <v>329975433</v>
      </c>
      <c r="H445" s="9">
        <v>45257</v>
      </c>
      <c r="I445" s="9">
        <v>45272</v>
      </c>
      <c r="J445" s="8">
        <v>9340</v>
      </c>
      <c r="K445" s="8" t="s">
        <v>31</v>
      </c>
      <c r="L445" s="8" t="s">
        <v>32</v>
      </c>
      <c r="M445" s="8"/>
      <c r="N445" s="8" t="b">
        <v>0</v>
      </c>
      <c r="O445" s="10">
        <v>705915</v>
      </c>
      <c r="P445" s="8" t="s">
        <v>225</v>
      </c>
      <c r="Q445" s="8">
        <v>214735</v>
      </c>
      <c r="R445" s="9">
        <v>45257</v>
      </c>
      <c r="S445" s="8" t="s">
        <v>130</v>
      </c>
      <c r="T445" s="8" t="s">
        <v>40</v>
      </c>
      <c r="U445" s="8" t="s">
        <v>131</v>
      </c>
      <c r="V445" s="8" t="s">
        <v>132</v>
      </c>
      <c r="W445" s="8">
        <v>0</v>
      </c>
    </row>
    <row r="446" spans="1:23" x14ac:dyDescent="0.25">
      <c r="A446" s="4">
        <v>1</v>
      </c>
      <c r="B446" s="4"/>
      <c r="C446" s="4">
        <v>884757</v>
      </c>
      <c r="D446" s="4">
        <v>5200.5</v>
      </c>
      <c r="E446" s="5">
        <f t="shared" si="6"/>
        <v>0.5</v>
      </c>
      <c r="F446" s="15">
        <v>45260</v>
      </c>
      <c r="G446" s="10">
        <v>329975441</v>
      </c>
      <c r="H446" s="9">
        <v>45257</v>
      </c>
      <c r="I446" s="9">
        <v>45272</v>
      </c>
      <c r="J446" s="8">
        <v>5201</v>
      </c>
      <c r="K446" s="8" t="s">
        <v>31</v>
      </c>
      <c r="L446" s="8" t="s">
        <v>32</v>
      </c>
      <c r="M446" s="8"/>
      <c r="N446" s="8" t="b">
        <v>0</v>
      </c>
      <c r="O446" s="10">
        <v>706394</v>
      </c>
      <c r="P446" s="8" t="s">
        <v>169</v>
      </c>
      <c r="Q446" s="8">
        <v>214745</v>
      </c>
      <c r="R446" s="9">
        <v>45257</v>
      </c>
      <c r="S446" s="8" t="s">
        <v>34</v>
      </c>
      <c r="T446" s="8" t="s">
        <v>40</v>
      </c>
      <c r="U446" s="8" t="s">
        <v>58</v>
      </c>
      <c r="V446" s="8" t="s">
        <v>46</v>
      </c>
      <c r="W446" s="8">
        <v>0</v>
      </c>
    </row>
    <row r="447" spans="1:23" x14ac:dyDescent="0.25">
      <c r="A447" s="4">
        <v>1</v>
      </c>
      <c r="B447" s="4"/>
      <c r="C447" s="4">
        <v>884758</v>
      </c>
      <c r="D447" s="4">
        <v>5200.5</v>
      </c>
      <c r="E447" s="5">
        <f t="shared" si="6"/>
        <v>0.5</v>
      </c>
      <c r="F447" s="15">
        <v>45260</v>
      </c>
      <c r="G447" s="10">
        <v>329979442</v>
      </c>
      <c r="H447" s="9">
        <v>45257</v>
      </c>
      <c r="I447" s="9">
        <v>45272</v>
      </c>
      <c r="J447" s="8">
        <v>5201</v>
      </c>
      <c r="K447" s="8" t="s">
        <v>31</v>
      </c>
      <c r="L447" s="8" t="s">
        <v>32</v>
      </c>
      <c r="M447" s="8"/>
      <c r="N447" s="8" t="b">
        <v>0</v>
      </c>
      <c r="O447" s="10">
        <v>707145</v>
      </c>
      <c r="P447" s="8" t="s">
        <v>101</v>
      </c>
      <c r="Q447" s="8">
        <v>219489</v>
      </c>
      <c r="R447" s="9">
        <v>45257</v>
      </c>
      <c r="S447" s="8" t="s">
        <v>34</v>
      </c>
      <c r="T447" s="8" t="s">
        <v>40</v>
      </c>
      <c r="U447" s="8" t="s">
        <v>58</v>
      </c>
      <c r="V447" s="8" t="s">
        <v>46</v>
      </c>
      <c r="W447" s="8">
        <v>0</v>
      </c>
    </row>
    <row r="448" spans="1:23" x14ac:dyDescent="0.25">
      <c r="A448" s="4">
        <v>1</v>
      </c>
      <c r="B448" s="4"/>
      <c r="C448" s="4">
        <v>884759</v>
      </c>
      <c r="D448" s="4">
        <v>5200.5</v>
      </c>
      <c r="E448" s="5">
        <f t="shared" si="6"/>
        <v>0.5</v>
      </c>
      <c r="F448" s="15">
        <v>45260</v>
      </c>
      <c r="G448" s="10">
        <v>329979597</v>
      </c>
      <c r="H448" s="9">
        <v>45257</v>
      </c>
      <c r="I448" s="9">
        <v>45272</v>
      </c>
      <c r="J448" s="8">
        <v>5201</v>
      </c>
      <c r="K448" s="8" t="s">
        <v>31</v>
      </c>
      <c r="L448" s="8" t="s">
        <v>32</v>
      </c>
      <c r="M448" s="8"/>
      <c r="N448" s="8" t="b">
        <v>0</v>
      </c>
      <c r="O448" s="10">
        <v>707144</v>
      </c>
      <c r="P448" s="8" t="s">
        <v>85</v>
      </c>
      <c r="Q448" s="8">
        <v>219460</v>
      </c>
      <c r="R448" s="9">
        <v>45257</v>
      </c>
      <c r="S448" s="8" t="s">
        <v>34</v>
      </c>
      <c r="T448" s="8" t="s">
        <v>40</v>
      </c>
      <c r="U448" s="8" t="s">
        <v>58</v>
      </c>
      <c r="V448" s="8" t="s">
        <v>46</v>
      </c>
      <c r="W448" s="8">
        <v>0</v>
      </c>
    </row>
    <row r="449" spans="1:23" x14ac:dyDescent="0.25">
      <c r="A449" s="4">
        <v>1</v>
      </c>
      <c r="B449" s="4"/>
      <c r="C449" s="4">
        <v>884744</v>
      </c>
      <c r="D449" s="4">
        <v>43960</v>
      </c>
      <c r="E449" s="5">
        <f t="shared" si="6"/>
        <v>0</v>
      </c>
      <c r="F449" s="15">
        <v>45260</v>
      </c>
      <c r="G449" s="10">
        <v>329979796</v>
      </c>
      <c r="H449" s="9">
        <v>45257</v>
      </c>
      <c r="I449" s="9">
        <v>45272</v>
      </c>
      <c r="J449" s="8">
        <v>43960</v>
      </c>
      <c r="K449" s="8" t="s">
        <v>31</v>
      </c>
      <c r="L449" s="8" t="s">
        <v>32</v>
      </c>
      <c r="M449" s="8"/>
      <c r="N449" s="8" t="b">
        <v>0</v>
      </c>
      <c r="O449" s="10"/>
      <c r="P449" s="8" t="s">
        <v>328</v>
      </c>
      <c r="Q449" s="8">
        <v>219919</v>
      </c>
      <c r="R449" s="9">
        <v>45257</v>
      </c>
      <c r="S449" s="8" t="s">
        <v>34</v>
      </c>
      <c r="T449" s="8" t="s">
        <v>49</v>
      </c>
      <c r="U449" s="8" t="s">
        <v>75</v>
      </c>
      <c r="V449" s="8" t="s">
        <v>46</v>
      </c>
      <c r="W449" s="8">
        <v>0</v>
      </c>
    </row>
    <row r="450" spans="1:23" x14ac:dyDescent="0.25">
      <c r="A450" s="4">
        <v>1</v>
      </c>
      <c r="B450" s="4"/>
      <c r="C450" s="4">
        <v>884764</v>
      </c>
      <c r="D450" s="4">
        <v>63315</v>
      </c>
      <c r="E450" s="5">
        <f t="shared" si="6"/>
        <v>5</v>
      </c>
      <c r="F450" s="15">
        <v>45260</v>
      </c>
      <c r="G450" s="10">
        <v>329979813</v>
      </c>
      <c r="H450" s="9">
        <v>45257</v>
      </c>
      <c r="I450" s="9">
        <v>45272</v>
      </c>
      <c r="J450" s="8">
        <v>63320</v>
      </c>
      <c r="K450" s="8" t="s">
        <v>31</v>
      </c>
      <c r="L450" s="8" t="s">
        <v>32</v>
      </c>
      <c r="M450" s="8"/>
      <c r="N450" s="8" t="b">
        <v>0</v>
      </c>
      <c r="O450" s="10"/>
      <c r="P450" s="8" t="s">
        <v>329</v>
      </c>
      <c r="Q450" s="8">
        <v>219887</v>
      </c>
      <c r="R450" s="9">
        <v>45257</v>
      </c>
      <c r="S450" s="8" t="s">
        <v>48</v>
      </c>
      <c r="T450" s="8" t="s">
        <v>49</v>
      </c>
      <c r="U450" s="8" t="s">
        <v>50</v>
      </c>
      <c r="V450" s="8" t="s">
        <v>37</v>
      </c>
      <c r="W450" s="8">
        <v>0</v>
      </c>
    </row>
    <row r="451" spans="1:23" x14ac:dyDescent="0.25">
      <c r="A451" s="4">
        <v>1</v>
      </c>
      <c r="B451" s="4"/>
      <c r="C451" s="4">
        <v>884760</v>
      </c>
      <c r="D451" s="4">
        <v>5170.5</v>
      </c>
      <c r="E451" s="5">
        <f t="shared" si="6"/>
        <v>0.5</v>
      </c>
      <c r="F451" s="15">
        <v>45260</v>
      </c>
      <c r="G451" s="10">
        <v>329980157</v>
      </c>
      <c r="H451" s="9">
        <v>45257</v>
      </c>
      <c r="I451" s="9">
        <v>45272</v>
      </c>
      <c r="J451" s="8">
        <v>5171</v>
      </c>
      <c r="K451" s="8" t="s">
        <v>31</v>
      </c>
      <c r="L451" s="8" t="s">
        <v>32</v>
      </c>
      <c r="M451" s="8"/>
      <c r="N451" s="8" t="b">
        <v>0</v>
      </c>
      <c r="O451" s="10">
        <v>706725</v>
      </c>
      <c r="P451" s="8" t="s">
        <v>113</v>
      </c>
      <c r="Q451" s="8">
        <v>220616</v>
      </c>
      <c r="R451" s="9">
        <v>45257</v>
      </c>
      <c r="S451" s="8" t="s">
        <v>34</v>
      </c>
      <c r="T451" s="8" t="s">
        <v>44</v>
      </c>
      <c r="U451" s="8" t="s">
        <v>58</v>
      </c>
      <c r="V451" s="8" t="s">
        <v>46</v>
      </c>
      <c r="W451" s="8">
        <v>0</v>
      </c>
    </row>
    <row r="452" spans="1:23" x14ac:dyDescent="0.25">
      <c r="A452" s="4">
        <v>1</v>
      </c>
      <c r="B452" s="4"/>
      <c r="C452" s="4">
        <v>884469</v>
      </c>
      <c r="D452" s="4">
        <v>5200.5</v>
      </c>
      <c r="E452" s="5">
        <f t="shared" si="6"/>
        <v>0.5</v>
      </c>
      <c r="F452" s="15">
        <v>45260</v>
      </c>
      <c r="G452" s="10">
        <v>329980470</v>
      </c>
      <c r="H452" s="9">
        <v>45257</v>
      </c>
      <c r="I452" s="9">
        <v>45272</v>
      </c>
      <c r="J452" s="8">
        <v>5201</v>
      </c>
      <c r="K452" s="8" t="s">
        <v>31</v>
      </c>
      <c r="L452" s="8" t="s">
        <v>32</v>
      </c>
      <c r="M452" s="8"/>
      <c r="N452" s="8" t="b">
        <v>0</v>
      </c>
      <c r="O452" s="10">
        <v>21097</v>
      </c>
      <c r="P452" s="8" t="s">
        <v>104</v>
      </c>
      <c r="Q452" s="8">
        <v>220783</v>
      </c>
      <c r="R452" s="9">
        <v>45257</v>
      </c>
      <c r="S452" s="8" t="s">
        <v>34</v>
      </c>
      <c r="T452" s="8" t="s">
        <v>40</v>
      </c>
      <c r="U452" s="8" t="s">
        <v>58</v>
      </c>
      <c r="V452" s="8" t="s">
        <v>46</v>
      </c>
      <c r="W452" s="8">
        <v>0</v>
      </c>
    </row>
    <row r="453" spans="1:23" x14ac:dyDescent="0.25">
      <c r="A453" s="4">
        <v>1</v>
      </c>
      <c r="B453" s="4"/>
      <c r="C453" s="4">
        <v>884761</v>
      </c>
      <c r="D453" s="4">
        <v>5200.5</v>
      </c>
      <c r="E453" s="5">
        <f t="shared" si="6"/>
        <v>0.5</v>
      </c>
      <c r="F453" s="15">
        <v>45260</v>
      </c>
      <c r="G453" s="10">
        <v>329980673</v>
      </c>
      <c r="H453" s="9">
        <v>45257</v>
      </c>
      <c r="I453" s="9">
        <v>45272</v>
      </c>
      <c r="J453" s="8">
        <v>5201</v>
      </c>
      <c r="K453" s="8" t="s">
        <v>31</v>
      </c>
      <c r="L453" s="8" t="s">
        <v>32</v>
      </c>
      <c r="M453" s="8"/>
      <c r="N453" s="8" t="b">
        <v>0</v>
      </c>
      <c r="O453" s="10">
        <v>707146</v>
      </c>
      <c r="P453" s="8" t="s">
        <v>100</v>
      </c>
      <c r="Q453" s="8">
        <v>220881</v>
      </c>
      <c r="R453" s="9">
        <v>45257</v>
      </c>
      <c r="S453" s="8" t="s">
        <v>34</v>
      </c>
      <c r="T453" s="8" t="s">
        <v>40</v>
      </c>
      <c r="U453" s="8" t="s">
        <v>58</v>
      </c>
      <c r="V453" s="8" t="s">
        <v>46</v>
      </c>
      <c r="W453" s="8">
        <v>0</v>
      </c>
    </row>
    <row r="454" spans="1:23" x14ac:dyDescent="0.25">
      <c r="A454" s="4">
        <v>1</v>
      </c>
      <c r="B454" s="4"/>
      <c r="C454" s="4">
        <v>884762</v>
      </c>
      <c r="D454" s="4">
        <v>5173</v>
      </c>
      <c r="E454" s="5">
        <f t="shared" ref="E454:E517" si="7">J454-D454</f>
        <v>0</v>
      </c>
      <c r="F454" s="15">
        <v>45260</v>
      </c>
      <c r="G454" s="10">
        <v>329981866</v>
      </c>
      <c r="H454" s="9">
        <v>45257</v>
      </c>
      <c r="I454" s="9">
        <v>45272</v>
      </c>
      <c r="J454" s="8">
        <v>5173</v>
      </c>
      <c r="K454" s="8" t="s">
        <v>31</v>
      </c>
      <c r="L454" s="8" t="s">
        <v>32</v>
      </c>
      <c r="M454" s="8"/>
      <c r="N454" s="8" t="b">
        <v>0</v>
      </c>
      <c r="O454" s="10">
        <v>702411</v>
      </c>
      <c r="P454" s="8" t="s">
        <v>114</v>
      </c>
      <c r="Q454" s="8">
        <v>221648</v>
      </c>
      <c r="R454" s="9">
        <v>45257</v>
      </c>
      <c r="S454" s="8" t="s">
        <v>180</v>
      </c>
      <c r="T454" s="8" t="s">
        <v>44</v>
      </c>
      <c r="U454" s="8" t="s">
        <v>45</v>
      </c>
      <c r="V454" s="8" t="s">
        <v>46</v>
      </c>
      <c r="W454" s="8">
        <v>0</v>
      </c>
    </row>
    <row r="455" spans="1:23" x14ac:dyDescent="0.25">
      <c r="A455" s="4">
        <v>1</v>
      </c>
      <c r="B455" s="4"/>
      <c r="C455" s="4">
        <v>884763</v>
      </c>
      <c r="D455" s="4">
        <v>5170.5</v>
      </c>
      <c r="E455" s="5">
        <f t="shared" si="7"/>
        <v>0.5</v>
      </c>
      <c r="F455" s="15">
        <v>45260</v>
      </c>
      <c r="G455" s="10">
        <v>329988016</v>
      </c>
      <c r="H455" s="9">
        <v>45257</v>
      </c>
      <c r="I455" s="9">
        <v>45272</v>
      </c>
      <c r="J455" s="8">
        <v>5171</v>
      </c>
      <c r="K455" s="8" t="s">
        <v>31</v>
      </c>
      <c r="L455" s="8" t="s">
        <v>32</v>
      </c>
      <c r="M455" s="8"/>
      <c r="N455" s="8" t="b">
        <v>0</v>
      </c>
      <c r="O455" s="10">
        <v>705136</v>
      </c>
      <c r="P455" s="8" t="s">
        <v>282</v>
      </c>
      <c r="Q455" s="8">
        <v>226808</v>
      </c>
      <c r="R455" s="9">
        <v>45257</v>
      </c>
      <c r="S455" s="8" t="s">
        <v>34</v>
      </c>
      <c r="T455" s="8" t="s">
        <v>44</v>
      </c>
      <c r="U455" s="8" t="s">
        <v>58</v>
      </c>
      <c r="V455" s="8" t="s">
        <v>46</v>
      </c>
      <c r="W455" s="8">
        <v>0</v>
      </c>
    </row>
    <row r="456" spans="1:23" x14ac:dyDescent="0.25">
      <c r="A456" s="4">
        <v>1</v>
      </c>
      <c r="B456" s="4"/>
      <c r="C456" s="4">
        <v>884900</v>
      </c>
      <c r="D456" s="4">
        <v>5170.5</v>
      </c>
      <c r="E456" s="5">
        <f t="shared" si="7"/>
        <v>0.5</v>
      </c>
      <c r="F456" s="15">
        <v>45260</v>
      </c>
      <c r="G456" s="10">
        <v>329988767</v>
      </c>
      <c r="H456" s="9">
        <v>45258</v>
      </c>
      <c r="I456" s="9">
        <v>45273</v>
      </c>
      <c r="J456" s="8">
        <v>5171</v>
      </c>
      <c r="K456" s="8" t="s">
        <v>31</v>
      </c>
      <c r="L456" s="8" t="s">
        <v>32</v>
      </c>
      <c r="M456" s="8"/>
      <c r="N456" s="8" t="b">
        <v>0</v>
      </c>
      <c r="O456" s="10">
        <v>705134</v>
      </c>
      <c r="P456" s="8" t="s">
        <v>281</v>
      </c>
      <c r="Q456" s="8">
        <v>227204</v>
      </c>
      <c r="R456" s="9">
        <v>45257</v>
      </c>
      <c r="S456" s="8" t="s">
        <v>34</v>
      </c>
      <c r="T456" s="8" t="s">
        <v>44</v>
      </c>
      <c r="U456" s="8" t="s">
        <v>58</v>
      </c>
      <c r="V456" s="8" t="s">
        <v>46</v>
      </c>
      <c r="W456" s="8">
        <v>0</v>
      </c>
    </row>
    <row r="457" spans="1:23" x14ac:dyDescent="0.25">
      <c r="A457" s="4">
        <v>1</v>
      </c>
      <c r="B457" s="4"/>
      <c r="C457" s="4">
        <v>884909</v>
      </c>
      <c r="D457" s="4">
        <v>4901.5</v>
      </c>
      <c r="E457" s="5">
        <f t="shared" si="7"/>
        <v>0.5</v>
      </c>
      <c r="F457" s="15">
        <v>45260</v>
      </c>
      <c r="G457" s="10">
        <v>330000838</v>
      </c>
      <c r="H457" s="9">
        <v>45258</v>
      </c>
      <c r="I457" s="9">
        <v>45273</v>
      </c>
      <c r="J457" s="8">
        <v>4902</v>
      </c>
      <c r="K457" s="8" t="s">
        <v>31</v>
      </c>
      <c r="L457" s="8" t="s">
        <v>32</v>
      </c>
      <c r="M457" s="8"/>
      <c r="N457" s="8" t="b">
        <v>0</v>
      </c>
      <c r="O457" s="10">
        <v>21100</v>
      </c>
      <c r="P457" s="8" t="s">
        <v>128</v>
      </c>
      <c r="Q457" s="8">
        <v>237855</v>
      </c>
      <c r="R457" s="9">
        <v>45258</v>
      </c>
      <c r="S457" s="8" t="s">
        <v>277</v>
      </c>
      <c r="T457" s="8" t="s">
        <v>40</v>
      </c>
      <c r="U457" s="8" t="s">
        <v>278</v>
      </c>
      <c r="V457" s="8" t="s">
        <v>279</v>
      </c>
      <c r="W457" s="8">
        <v>0</v>
      </c>
    </row>
    <row r="458" spans="1:23" x14ac:dyDescent="0.25">
      <c r="A458" s="4">
        <v>1</v>
      </c>
      <c r="B458" s="4"/>
      <c r="C458" s="4">
        <v>884905</v>
      </c>
      <c r="D458" s="4">
        <v>4901.5</v>
      </c>
      <c r="E458" s="5">
        <f t="shared" si="7"/>
        <v>0.5</v>
      </c>
      <c r="F458" s="15">
        <v>45260</v>
      </c>
      <c r="G458" s="10">
        <v>330000857</v>
      </c>
      <c r="H458" s="9">
        <v>45258</v>
      </c>
      <c r="I458" s="9">
        <v>45273</v>
      </c>
      <c r="J458" s="8">
        <v>4902</v>
      </c>
      <c r="K458" s="8" t="s">
        <v>31</v>
      </c>
      <c r="L458" s="8" t="s">
        <v>32</v>
      </c>
      <c r="M458" s="8"/>
      <c r="N458" s="8" t="b">
        <v>0</v>
      </c>
      <c r="O458" s="10">
        <v>21101</v>
      </c>
      <c r="P458" s="8" t="s">
        <v>218</v>
      </c>
      <c r="Q458" s="8">
        <v>237861</v>
      </c>
      <c r="R458" s="9">
        <v>45258</v>
      </c>
      <c r="S458" s="8" t="s">
        <v>277</v>
      </c>
      <c r="T458" s="8" t="s">
        <v>40</v>
      </c>
      <c r="U458" s="8" t="s">
        <v>278</v>
      </c>
      <c r="V458" s="8" t="s">
        <v>279</v>
      </c>
      <c r="W458" s="8">
        <v>0</v>
      </c>
    </row>
    <row r="459" spans="1:23" x14ac:dyDescent="0.25">
      <c r="A459" s="4">
        <v>1</v>
      </c>
      <c r="B459" s="4"/>
      <c r="C459" s="4" t="s">
        <v>330</v>
      </c>
      <c r="D459" s="4">
        <v>41480</v>
      </c>
      <c r="E459" s="5">
        <f t="shared" si="7"/>
        <v>0</v>
      </c>
      <c r="F459" s="15">
        <v>45260</v>
      </c>
      <c r="G459" s="10">
        <v>330003909</v>
      </c>
      <c r="H459" s="9">
        <v>45258</v>
      </c>
      <c r="I459" s="9">
        <v>45273</v>
      </c>
      <c r="J459" s="8">
        <v>41480</v>
      </c>
      <c r="K459" s="8" t="s">
        <v>31</v>
      </c>
      <c r="L459" s="8" t="s">
        <v>32</v>
      </c>
      <c r="M459" s="8"/>
      <c r="N459" s="8" t="b">
        <v>0</v>
      </c>
      <c r="O459" s="10"/>
      <c r="P459" s="8" t="s">
        <v>232</v>
      </c>
      <c r="Q459" s="8">
        <v>240104</v>
      </c>
      <c r="R459" s="9">
        <v>45258</v>
      </c>
      <c r="S459" s="8" t="s">
        <v>148</v>
      </c>
      <c r="T459" s="8" t="s">
        <v>49</v>
      </c>
      <c r="U459" s="8" t="s">
        <v>149</v>
      </c>
      <c r="V459" s="8" t="s">
        <v>150</v>
      </c>
      <c r="W459" s="8">
        <v>0</v>
      </c>
    </row>
    <row r="460" spans="1:23" x14ac:dyDescent="0.25">
      <c r="A460" s="4">
        <v>1</v>
      </c>
      <c r="B460" s="4"/>
      <c r="C460" s="4">
        <v>884901</v>
      </c>
      <c r="D460" s="4">
        <v>65940</v>
      </c>
      <c r="E460" s="5">
        <f t="shared" si="7"/>
        <v>0</v>
      </c>
      <c r="F460" s="15">
        <v>45260</v>
      </c>
      <c r="G460" s="10">
        <v>330010177</v>
      </c>
      <c r="H460" s="9">
        <v>45258</v>
      </c>
      <c r="I460" s="9">
        <v>45273</v>
      </c>
      <c r="J460" s="8">
        <v>65940</v>
      </c>
      <c r="K460" s="8" t="s">
        <v>31</v>
      </c>
      <c r="L460" s="8" t="s">
        <v>32</v>
      </c>
      <c r="M460" s="8"/>
      <c r="N460" s="8" t="b">
        <v>0</v>
      </c>
      <c r="O460" s="10"/>
      <c r="P460" s="8" t="s">
        <v>155</v>
      </c>
      <c r="Q460" s="8">
        <v>245134</v>
      </c>
      <c r="R460" s="9">
        <v>45258</v>
      </c>
      <c r="S460" s="8" t="s">
        <v>34</v>
      </c>
      <c r="T460" s="8" t="s">
        <v>49</v>
      </c>
      <c r="U460" s="8" t="s">
        <v>75</v>
      </c>
      <c r="V460" s="8" t="s">
        <v>46</v>
      </c>
      <c r="W460" s="8">
        <v>0</v>
      </c>
    </row>
    <row r="461" spans="1:23" x14ac:dyDescent="0.25">
      <c r="A461" s="4">
        <v>1</v>
      </c>
      <c r="B461" s="4"/>
      <c r="C461" s="4">
        <v>885274</v>
      </c>
      <c r="D461" s="4">
        <v>5200.5</v>
      </c>
      <c r="E461" s="5">
        <f t="shared" si="7"/>
        <v>0.5</v>
      </c>
      <c r="F461" s="15">
        <v>45268</v>
      </c>
      <c r="G461" s="10">
        <v>330030965</v>
      </c>
      <c r="H461" s="9">
        <v>45259</v>
      </c>
      <c r="I461" s="9">
        <v>45274</v>
      </c>
      <c r="J461" s="8">
        <v>5201</v>
      </c>
      <c r="K461" s="8" t="s">
        <v>31</v>
      </c>
      <c r="L461" s="8" t="s">
        <v>32</v>
      </c>
      <c r="M461" s="8"/>
      <c r="N461" s="8" t="b">
        <v>0</v>
      </c>
      <c r="O461" s="10">
        <v>707148</v>
      </c>
      <c r="P461" s="8" t="s">
        <v>237</v>
      </c>
      <c r="Q461" s="8">
        <v>261754</v>
      </c>
      <c r="R461" s="9">
        <v>45259</v>
      </c>
      <c r="S461" s="8" t="s">
        <v>34</v>
      </c>
      <c r="T461" s="8" t="s">
        <v>40</v>
      </c>
      <c r="U461" s="8" t="s">
        <v>58</v>
      </c>
      <c r="V461" s="8" t="s">
        <v>46</v>
      </c>
      <c r="W461" s="8">
        <v>0</v>
      </c>
    </row>
    <row r="462" spans="1:23" x14ac:dyDescent="0.25">
      <c r="A462" s="4">
        <v>1</v>
      </c>
      <c r="B462" s="4"/>
      <c r="C462" s="4">
        <v>885275</v>
      </c>
      <c r="D462" s="4">
        <v>5200.5</v>
      </c>
      <c r="E462" s="5">
        <f t="shared" si="7"/>
        <v>0.5</v>
      </c>
      <c r="F462" s="15">
        <v>45268</v>
      </c>
      <c r="G462" s="10">
        <v>330030966</v>
      </c>
      <c r="H462" s="9">
        <v>45259</v>
      </c>
      <c r="I462" s="9">
        <v>45274</v>
      </c>
      <c r="J462" s="8">
        <v>5201</v>
      </c>
      <c r="K462" s="8" t="s">
        <v>31</v>
      </c>
      <c r="L462" s="8" t="s">
        <v>32</v>
      </c>
      <c r="M462" s="8"/>
      <c r="N462" s="8" t="b">
        <v>0</v>
      </c>
      <c r="O462" s="10">
        <v>707147</v>
      </c>
      <c r="P462" s="8" t="s">
        <v>189</v>
      </c>
      <c r="Q462" s="8">
        <v>261747</v>
      </c>
      <c r="R462" s="9">
        <v>45259</v>
      </c>
      <c r="S462" s="8" t="s">
        <v>34</v>
      </c>
      <c r="T462" s="8" t="s">
        <v>40</v>
      </c>
      <c r="U462" s="8" t="s">
        <v>58</v>
      </c>
      <c r="V462" s="8" t="s">
        <v>46</v>
      </c>
      <c r="W462" s="8">
        <v>0</v>
      </c>
    </row>
    <row r="463" spans="1:23" x14ac:dyDescent="0.25">
      <c r="A463" s="4">
        <v>1</v>
      </c>
      <c r="B463" s="4"/>
      <c r="C463" s="4">
        <v>885276</v>
      </c>
      <c r="D463" s="4">
        <v>5170.5</v>
      </c>
      <c r="E463" s="5">
        <f t="shared" si="7"/>
        <v>0.5</v>
      </c>
      <c r="F463" s="15">
        <v>45268</v>
      </c>
      <c r="G463" s="10">
        <v>330030969</v>
      </c>
      <c r="H463" s="9">
        <v>45259</v>
      </c>
      <c r="I463" s="9">
        <v>45274</v>
      </c>
      <c r="J463" s="8">
        <v>5171</v>
      </c>
      <c r="K463" s="8" t="s">
        <v>31</v>
      </c>
      <c r="L463" s="8" t="s">
        <v>32</v>
      </c>
      <c r="M463" s="8"/>
      <c r="N463" s="8" t="b">
        <v>0</v>
      </c>
      <c r="O463" s="10">
        <v>706728</v>
      </c>
      <c r="P463" s="8" t="s">
        <v>182</v>
      </c>
      <c r="Q463" s="8">
        <v>261799</v>
      </c>
      <c r="R463" s="9">
        <v>45259</v>
      </c>
      <c r="S463" s="8" t="s">
        <v>34</v>
      </c>
      <c r="T463" s="8" t="s">
        <v>44</v>
      </c>
      <c r="U463" s="8" t="s">
        <v>58</v>
      </c>
      <c r="V463" s="8" t="s">
        <v>46</v>
      </c>
      <c r="W463" s="8">
        <v>0</v>
      </c>
    </row>
    <row r="464" spans="1:23" x14ac:dyDescent="0.25">
      <c r="A464" s="4">
        <v>1</v>
      </c>
      <c r="B464" s="4"/>
      <c r="C464" s="4">
        <v>885277</v>
      </c>
      <c r="D464" s="4">
        <v>5200.5</v>
      </c>
      <c r="E464" s="5">
        <f t="shared" si="7"/>
        <v>0.5</v>
      </c>
      <c r="F464" s="15">
        <v>45268</v>
      </c>
      <c r="G464" s="10">
        <v>330032597</v>
      </c>
      <c r="H464" s="9">
        <v>45259</v>
      </c>
      <c r="I464" s="9">
        <v>45274</v>
      </c>
      <c r="J464" s="8">
        <v>5201</v>
      </c>
      <c r="K464" s="8" t="s">
        <v>31</v>
      </c>
      <c r="L464" s="8" t="s">
        <v>32</v>
      </c>
      <c r="M464" s="8"/>
      <c r="N464" s="8" t="b">
        <v>0</v>
      </c>
      <c r="O464" s="10">
        <v>707149</v>
      </c>
      <c r="P464" s="8" t="s">
        <v>57</v>
      </c>
      <c r="Q464" s="8">
        <v>262777</v>
      </c>
      <c r="R464" s="9">
        <v>45259</v>
      </c>
      <c r="S464" s="8" t="s">
        <v>34</v>
      </c>
      <c r="T464" s="8" t="s">
        <v>40</v>
      </c>
      <c r="U464" s="8" t="s">
        <v>58</v>
      </c>
      <c r="V464" s="8" t="s">
        <v>46</v>
      </c>
      <c r="W464" s="8">
        <v>0</v>
      </c>
    </row>
    <row r="465" spans="1:23" x14ac:dyDescent="0.25">
      <c r="A465" s="4">
        <v>1</v>
      </c>
      <c r="B465" s="4"/>
      <c r="C465" s="4">
        <v>885582</v>
      </c>
      <c r="D465" s="4">
        <v>5200.5</v>
      </c>
      <c r="E465" s="5">
        <f t="shared" si="7"/>
        <v>0.5</v>
      </c>
      <c r="F465" s="15">
        <v>45268</v>
      </c>
      <c r="G465" s="10">
        <v>330045603</v>
      </c>
      <c r="H465" s="9">
        <v>45260</v>
      </c>
      <c r="I465" s="9">
        <v>45275</v>
      </c>
      <c r="J465" s="8">
        <v>5201</v>
      </c>
      <c r="K465" s="8" t="s">
        <v>31</v>
      </c>
      <c r="L465" s="8" t="s">
        <v>32</v>
      </c>
      <c r="M465" s="8"/>
      <c r="N465" s="8" t="b">
        <v>0</v>
      </c>
      <c r="O465" s="10">
        <v>707150</v>
      </c>
      <c r="P465" s="8" t="s">
        <v>119</v>
      </c>
      <c r="Q465" s="8">
        <v>270342</v>
      </c>
      <c r="R465" s="9">
        <v>45260</v>
      </c>
      <c r="S465" s="8" t="s">
        <v>34</v>
      </c>
      <c r="T465" s="8" t="s">
        <v>40</v>
      </c>
      <c r="U465" s="8" t="s">
        <v>58</v>
      </c>
      <c r="V465" s="8" t="s">
        <v>46</v>
      </c>
      <c r="W465" s="8">
        <v>0</v>
      </c>
    </row>
    <row r="466" spans="1:23" x14ac:dyDescent="0.25">
      <c r="A466" s="4">
        <v>1</v>
      </c>
      <c r="B466" s="4"/>
      <c r="C466" s="4">
        <v>885589</v>
      </c>
      <c r="D466" s="4">
        <v>101108</v>
      </c>
      <c r="E466" s="5">
        <f t="shared" si="7"/>
        <v>0</v>
      </c>
      <c r="F466" s="15">
        <v>45268</v>
      </c>
      <c r="G466" s="10">
        <v>330047033</v>
      </c>
      <c r="H466" s="9">
        <v>45260</v>
      </c>
      <c r="I466" s="9">
        <v>45275</v>
      </c>
      <c r="J466" s="8">
        <v>101108</v>
      </c>
      <c r="K466" s="8" t="s">
        <v>31</v>
      </c>
      <c r="L466" s="8" t="s">
        <v>32</v>
      </c>
      <c r="M466" s="8"/>
      <c r="N466" s="8" t="b">
        <v>0</v>
      </c>
      <c r="O466" s="10"/>
      <c r="P466" s="8" t="s">
        <v>331</v>
      </c>
      <c r="Q466" s="8">
        <v>271787</v>
      </c>
      <c r="R466" s="9">
        <v>45260</v>
      </c>
      <c r="S466" s="8" t="s">
        <v>34</v>
      </c>
      <c r="T466" s="8" t="s">
        <v>49</v>
      </c>
      <c r="U466" s="8" t="s">
        <v>75</v>
      </c>
      <c r="V466" s="8" t="s">
        <v>46</v>
      </c>
      <c r="W466" s="8">
        <v>0</v>
      </c>
    </row>
    <row r="467" spans="1:23" x14ac:dyDescent="0.25">
      <c r="A467" s="4">
        <v>1</v>
      </c>
      <c r="B467" s="4"/>
      <c r="C467" s="4">
        <v>885262</v>
      </c>
      <c r="D467" s="4">
        <v>5200.5</v>
      </c>
      <c r="E467" s="5">
        <f t="shared" si="7"/>
        <v>0.5</v>
      </c>
      <c r="F467" s="15">
        <v>45271</v>
      </c>
      <c r="G467" s="10">
        <v>330049183</v>
      </c>
      <c r="H467" s="9">
        <v>45260</v>
      </c>
      <c r="I467" s="9">
        <v>45275</v>
      </c>
      <c r="J467" s="8">
        <v>5201</v>
      </c>
      <c r="K467" s="8" t="s">
        <v>31</v>
      </c>
      <c r="L467" s="8" t="s">
        <v>32</v>
      </c>
      <c r="M467" s="8"/>
      <c r="N467" s="8" t="b">
        <v>0</v>
      </c>
      <c r="O467" s="10">
        <v>21111</v>
      </c>
      <c r="P467" s="8" t="s">
        <v>219</v>
      </c>
      <c r="Q467" s="8">
        <v>274653</v>
      </c>
      <c r="R467" s="9">
        <v>45260</v>
      </c>
      <c r="S467" s="8" t="s">
        <v>34</v>
      </c>
      <c r="T467" s="8" t="s">
        <v>40</v>
      </c>
      <c r="U467" s="8" t="s">
        <v>58</v>
      </c>
      <c r="V467" s="8" t="s">
        <v>46</v>
      </c>
      <c r="W467" s="8">
        <v>0</v>
      </c>
    </row>
    <row r="468" spans="1:23" x14ac:dyDescent="0.25">
      <c r="A468" s="4">
        <v>1</v>
      </c>
      <c r="B468" s="4"/>
      <c r="C468" s="4">
        <v>885583</v>
      </c>
      <c r="D468" s="4">
        <v>5200.5</v>
      </c>
      <c r="E468" s="5">
        <f t="shared" si="7"/>
        <v>0.5</v>
      </c>
      <c r="F468" s="15">
        <v>45271</v>
      </c>
      <c r="G468" s="10">
        <v>330049217</v>
      </c>
      <c r="H468" s="9">
        <v>45260</v>
      </c>
      <c r="I468" s="9">
        <v>45275</v>
      </c>
      <c r="J468" s="8">
        <v>5201</v>
      </c>
      <c r="K468" s="8" t="s">
        <v>31</v>
      </c>
      <c r="L468" s="8" t="s">
        <v>32</v>
      </c>
      <c r="M468" s="8"/>
      <c r="N468" s="8" t="b">
        <v>0</v>
      </c>
      <c r="O468" s="10">
        <v>707151</v>
      </c>
      <c r="P468" s="8" t="s">
        <v>60</v>
      </c>
      <c r="Q468" s="8">
        <v>274643</v>
      </c>
      <c r="R468" s="9">
        <v>45260</v>
      </c>
      <c r="S468" s="8" t="s">
        <v>34</v>
      </c>
      <c r="T468" s="8" t="s">
        <v>40</v>
      </c>
      <c r="U468" s="8" t="s">
        <v>58</v>
      </c>
      <c r="V468" s="8" t="s">
        <v>46</v>
      </c>
      <c r="W468" s="8">
        <v>0</v>
      </c>
    </row>
    <row r="469" spans="1:23" x14ac:dyDescent="0.25">
      <c r="A469" s="4">
        <v>1</v>
      </c>
      <c r="B469" s="4"/>
      <c r="C469" s="4">
        <v>885584</v>
      </c>
      <c r="D469" s="4">
        <v>5170.5</v>
      </c>
      <c r="E469" s="5">
        <f t="shared" si="7"/>
        <v>0.5</v>
      </c>
      <c r="F469" s="15">
        <v>45271</v>
      </c>
      <c r="G469" s="10">
        <v>330056858</v>
      </c>
      <c r="H469" s="9">
        <v>45260</v>
      </c>
      <c r="I469" s="9">
        <v>45275</v>
      </c>
      <c r="J469" s="8">
        <v>5171</v>
      </c>
      <c r="K469" s="8" t="s">
        <v>31</v>
      </c>
      <c r="L469" s="8" t="s">
        <v>32</v>
      </c>
      <c r="M469" s="8"/>
      <c r="N469" s="8" t="b">
        <v>0</v>
      </c>
      <c r="O469" s="10">
        <v>706723</v>
      </c>
      <c r="P469" s="8" t="s">
        <v>332</v>
      </c>
      <c r="Q469" s="8">
        <v>281294</v>
      </c>
      <c r="R469" s="9">
        <v>45260</v>
      </c>
      <c r="S469" s="8" t="s">
        <v>34</v>
      </c>
      <c r="T469" s="8" t="s">
        <v>44</v>
      </c>
      <c r="U469" s="8" t="s">
        <v>58</v>
      </c>
      <c r="V469" s="8" t="s">
        <v>46</v>
      </c>
      <c r="W469" s="8">
        <v>0</v>
      </c>
    </row>
    <row r="470" spans="1:23" x14ac:dyDescent="0.25">
      <c r="A470" s="4">
        <v>1</v>
      </c>
      <c r="B470" s="4"/>
      <c r="C470" s="4">
        <v>885585</v>
      </c>
      <c r="D470" s="4">
        <v>5170.5</v>
      </c>
      <c r="E470" s="5">
        <f t="shared" si="7"/>
        <v>0.5</v>
      </c>
      <c r="F470" s="15">
        <v>45271</v>
      </c>
      <c r="G470" s="10">
        <v>330058820</v>
      </c>
      <c r="H470" s="9">
        <v>45260</v>
      </c>
      <c r="I470" s="9">
        <v>45275</v>
      </c>
      <c r="J470" s="8">
        <v>5171</v>
      </c>
      <c r="K470" s="8" t="s">
        <v>31</v>
      </c>
      <c r="L470" s="8" t="s">
        <v>32</v>
      </c>
      <c r="M470" s="8"/>
      <c r="N470" s="8" t="b">
        <v>0</v>
      </c>
      <c r="O470" s="10">
        <v>706726</v>
      </c>
      <c r="P470" s="8" t="s">
        <v>333</v>
      </c>
      <c r="Q470" s="8">
        <v>283512</v>
      </c>
      <c r="R470" s="9">
        <v>45260</v>
      </c>
      <c r="S470" s="8" t="s">
        <v>34</v>
      </c>
      <c r="T470" s="8" t="s">
        <v>44</v>
      </c>
      <c r="U470" s="8" t="s">
        <v>58</v>
      </c>
      <c r="V470" s="8" t="s">
        <v>46</v>
      </c>
      <c r="W470" s="8">
        <v>0</v>
      </c>
    </row>
    <row r="471" spans="1:23" x14ac:dyDescent="0.25">
      <c r="A471" s="4">
        <v>1</v>
      </c>
      <c r="B471" s="4"/>
      <c r="C471" s="4">
        <v>885587</v>
      </c>
      <c r="D471" s="4">
        <v>5170.5</v>
      </c>
      <c r="E471" s="5">
        <f t="shared" si="7"/>
        <v>0.5</v>
      </c>
      <c r="F471" s="15">
        <v>45271</v>
      </c>
      <c r="G471" s="10">
        <v>330058851</v>
      </c>
      <c r="H471" s="9">
        <v>45260</v>
      </c>
      <c r="I471" s="9">
        <v>45275</v>
      </c>
      <c r="J471" s="8">
        <v>5171</v>
      </c>
      <c r="K471" s="8" t="s">
        <v>31</v>
      </c>
      <c r="L471" s="8" t="s">
        <v>32</v>
      </c>
      <c r="M471" s="8"/>
      <c r="N471" s="8" t="b">
        <v>0</v>
      </c>
      <c r="O471" s="10">
        <v>706724</v>
      </c>
      <c r="P471" s="8" t="s">
        <v>265</v>
      </c>
      <c r="Q471" s="8">
        <v>283509</v>
      </c>
      <c r="R471" s="9">
        <v>45260</v>
      </c>
      <c r="S471" s="8" t="s">
        <v>34</v>
      </c>
      <c r="T471" s="8" t="s">
        <v>44</v>
      </c>
      <c r="U471" s="8" t="s">
        <v>58</v>
      </c>
      <c r="V471" s="8" t="s">
        <v>46</v>
      </c>
      <c r="W471" s="8">
        <v>0</v>
      </c>
    </row>
    <row r="472" spans="1:23" x14ac:dyDescent="0.25">
      <c r="A472" s="4">
        <v>1</v>
      </c>
      <c r="B472" s="4"/>
      <c r="C472" s="4">
        <v>885588</v>
      </c>
      <c r="D472" s="4">
        <v>5170.5</v>
      </c>
      <c r="E472" s="5">
        <f t="shared" si="7"/>
        <v>0.5</v>
      </c>
      <c r="F472" s="15">
        <v>45271</v>
      </c>
      <c r="G472" s="10">
        <v>330058866</v>
      </c>
      <c r="H472" s="9">
        <v>45260</v>
      </c>
      <c r="I472" s="9">
        <v>45275</v>
      </c>
      <c r="J472" s="8">
        <v>5171</v>
      </c>
      <c r="K472" s="8" t="s">
        <v>31</v>
      </c>
      <c r="L472" s="8" t="s">
        <v>32</v>
      </c>
      <c r="M472" s="8"/>
      <c r="N472" s="8" t="b">
        <v>0</v>
      </c>
      <c r="O472" s="10">
        <v>706730</v>
      </c>
      <c r="P472" s="8" t="s">
        <v>295</v>
      </c>
      <c r="Q472" s="8">
        <v>283513</v>
      </c>
      <c r="R472" s="9">
        <v>45260</v>
      </c>
      <c r="S472" s="8" t="s">
        <v>34</v>
      </c>
      <c r="T472" s="8" t="s">
        <v>44</v>
      </c>
      <c r="U472" s="8" t="s">
        <v>58</v>
      </c>
      <c r="V472" s="8" t="s">
        <v>46</v>
      </c>
      <c r="W472" s="8">
        <v>0</v>
      </c>
    </row>
    <row r="473" spans="1:23" x14ac:dyDescent="0.25">
      <c r="A473" s="4">
        <v>1</v>
      </c>
      <c r="B473" s="4"/>
      <c r="C473" s="4">
        <v>885820</v>
      </c>
      <c r="D473" s="4">
        <v>5053</v>
      </c>
      <c r="E473" s="5">
        <f t="shared" si="7"/>
        <v>0</v>
      </c>
      <c r="F473" s="15">
        <v>45268</v>
      </c>
      <c r="G473" s="10">
        <v>330106003</v>
      </c>
      <c r="H473" s="9">
        <v>45264</v>
      </c>
      <c r="I473" s="9">
        <v>45279</v>
      </c>
      <c r="J473" s="8">
        <v>5053</v>
      </c>
      <c r="K473" s="8" t="s">
        <v>31</v>
      </c>
      <c r="L473" s="8" t="s">
        <v>32</v>
      </c>
      <c r="M473" s="8"/>
      <c r="N473" s="8" t="b">
        <v>0</v>
      </c>
      <c r="O473" s="10">
        <v>708122</v>
      </c>
      <c r="P473" s="8" t="s">
        <v>168</v>
      </c>
      <c r="Q473" s="8">
        <v>315032</v>
      </c>
      <c r="R473" s="9">
        <v>45263</v>
      </c>
      <c r="S473" s="8" t="s">
        <v>34</v>
      </c>
      <c r="T473" s="8" t="s">
        <v>40</v>
      </c>
      <c r="U473" s="8" t="s">
        <v>84</v>
      </c>
      <c r="V473" s="8" t="s">
        <v>46</v>
      </c>
      <c r="W473" s="8">
        <v>0</v>
      </c>
    </row>
    <row r="474" spans="1:23" x14ac:dyDescent="0.25">
      <c r="A474" s="4">
        <v>1</v>
      </c>
      <c r="B474" s="4"/>
      <c r="C474" s="4">
        <v>885821</v>
      </c>
      <c r="D474" s="4">
        <v>5053</v>
      </c>
      <c r="E474" s="5">
        <f t="shared" si="7"/>
        <v>0</v>
      </c>
      <c r="F474" s="15">
        <v>45268</v>
      </c>
      <c r="G474" s="10">
        <v>330106019</v>
      </c>
      <c r="H474" s="9">
        <v>45264</v>
      </c>
      <c r="I474" s="9">
        <v>45279</v>
      </c>
      <c r="J474" s="8">
        <v>5053</v>
      </c>
      <c r="K474" s="8" t="s">
        <v>31</v>
      </c>
      <c r="L474" s="8" t="s">
        <v>32</v>
      </c>
      <c r="M474" s="8"/>
      <c r="N474" s="8" t="b">
        <v>0</v>
      </c>
      <c r="O474" s="10">
        <v>708121</v>
      </c>
      <c r="P474" s="8" t="s">
        <v>161</v>
      </c>
      <c r="Q474" s="8">
        <v>315031</v>
      </c>
      <c r="R474" s="9">
        <v>45263</v>
      </c>
      <c r="S474" s="8" t="s">
        <v>34</v>
      </c>
      <c r="T474" s="8" t="s">
        <v>40</v>
      </c>
      <c r="U474" s="8" t="s">
        <v>84</v>
      </c>
      <c r="V474" s="8" t="s">
        <v>46</v>
      </c>
      <c r="W474" s="8">
        <v>0</v>
      </c>
    </row>
    <row r="475" spans="1:23" x14ac:dyDescent="0.25">
      <c r="A475" s="4">
        <v>1</v>
      </c>
      <c r="B475" s="4"/>
      <c r="C475" s="4">
        <v>885590</v>
      </c>
      <c r="D475" s="4">
        <v>4894.2299999999996</v>
      </c>
      <c r="E475" s="5">
        <f t="shared" si="7"/>
        <v>-0.22999999999956344</v>
      </c>
      <c r="F475" s="15">
        <v>45271</v>
      </c>
      <c r="G475" s="10">
        <v>330106026</v>
      </c>
      <c r="H475" s="9">
        <v>45264</v>
      </c>
      <c r="I475" s="9">
        <v>45279</v>
      </c>
      <c r="J475" s="8">
        <v>4894</v>
      </c>
      <c r="K475" s="8" t="s">
        <v>31</v>
      </c>
      <c r="L475" s="8" t="s">
        <v>32</v>
      </c>
      <c r="M475" s="8"/>
      <c r="N475" s="8" t="b">
        <v>0</v>
      </c>
      <c r="O475" s="10">
        <v>21102</v>
      </c>
      <c r="P475" s="8" t="s">
        <v>174</v>
      </c>
      <c r="Q475" s="8">
        <v>315028</v>
      </c>
      <c r="R475" s="9">
        <v>45263</v>
      </c>
      <c r="S475" s="8" t="s">
        <v>277</v>
      </c>
      <c r="T475" s="8" t="s">
        <v>40</v>
      </c>
      <c r="U475" s="8" t="s">
        <v>278</v>
      </c>
      <c r="V475" s="8" t="s">
        <v>279</v>
      </c>
      <c r="W475" s="8">
        <v>0</v>
      </c>
    </row>
    <row r="476" spans="1:23" x14ac:dyDescent="0.25">
      <c r="A476" s="4">
        <v>1</v>
      </c>
      <c r="B476" s="4"/>
      <c r="C476" s="4">
        <v>885822</v>
      </c>
      <c r="D476" s="4">
        <v>5164.29</v>
      </c>
      <c r="E476" s="5">
        <f t="shared" si="7"/>
        <v>-0.28999999999996362</v>
      </c>
      <c r="F476" s="15">
        <v>45271</v>
      </c>
      <c r="G476" s="10">
        <v>330106105</v>
      </c>
      <c r="H476" s="9">
        <v>45264</v>
      </c>
      <c r="I476" s="9">
        <v>45279</v>
      </c>
      <c r="J476" s="8">
        <v>5164</v>
      </c>
      <c r="K476" s="8" t="s">
        <v>31</v>
      </c>
      <c r="L476" s="8" t="s">
        <v>32</v>
      </c>
      <c r="M476" s="8"/>
      <c r="N476" s="8" t="b">
        <v>0</v>
      </c>
      <c r="O476" s="10">
        <v>706746</v>
      </c>
      <c r="P476" s="8" t="s">
        <v>204</v>
      </c>
      <c r="Q476" s="8">
        <v>315051</v>
      </c>
      <c r="R476" s="9">
        <v>45263</v>
      </c>
      <c r="S476" s="8" t="s">
        <v>34</v>
      </c>
      <c r="T476" s="8" t="s">
        <v>44</v>
      </c>
      <c r="U476" s="8" t="s">
        <v>58</v>
      </c>
      <c r="V476" s="8" t="s">
        <v>46</v>
      </c>
      <c r="W476" s="8">
        <v>0</v>
      </c>
    </row>
    <row r="477" spans="1:23" x14ac:dyDescent="0.25">
      <c r="A477" s="4">
        <v>1</v>
      </c>
      <c r="B477" s="4" t="s">
        <v>305</v>
      </c>
      <c r="C477" s="4">
        <v>885823</v>
      </c>
      <c r="D477" s="4">
        <v>5164.29</v>
      </c>
      <c r="E477" s="5">
        <f t="shared" si="7"/>
        <v>-0.28999999999996362</v>
      </c>
      <c r="F477" s="15" t="s">
        <v>334</v>
      </c>
      <c r="G477" s="10">
        <v>330106109</v>
      </c>
      <c r="H477" s="9">
        <v>45264</v>
      </c>
      <c r="I477" s="9">
        <v>45279</v>
      </c>
      <c r="J477" s="8">
        <v>5164</v>
      </c>
      <c r="K477" s="8" t="s">
        <v>31</v>
      </c>
      <c r="L477" s="8" t="s">
        <v>32</v>
      </c>
      <c r="M477" s="8"/>
      <c r="N477" s="8" t="b">
        <v>0</v>
      </c>
      <c r="O477" s="10">
        <v>706745</v>
      </c>
      <c r="P477" s="8" t="s">
        <v>264</v>
      </c>
      <c r="Q477" s="8">
        <v>315049</v>
      </c>
      <c r="R477" s="9">
        <v>45263</v>
      </c>
      <c r="S477" s="8" t="s">
        <v>34</v>
      </c>
      <c r="T477" s="8" t="s">
        <v>44</v>
      </c>
      <c r="U477" s="8" t="s">
        <v>58</v>
      </c>
      <c r="V477" s="8" t="s">
        <v>46</v>
      </c>
      <c r="W477" s="8">
        <v>0</v>
      </c>
    </row>
    <row r="478" spans="1:23" x14ac:dyDescent="0.25">
      <c r="A478" s="4">
        <v>1</v>
      </c>
      <c r="B478" s="4"/>
      <c r="C478" s="4">
        <v>885824</v>
      </c>
      <c r="D478" s="4">
        <v>5164.29</v>
      </c>
      <c r="E478" s="5">
        <f t="shared" si="7"/>
        <v>-0.28999999999996362</v>
      </c>
      <c r="F478" s="9">
        <v>45271</v>
      </c>
      <c r="G478" s="10">
        <v>330106110</v>
      </c>
      <c r="H478" s="9">
        <v>45264</v>
      </c>
      <c r="I478" s="9">
        <v>45279</v>
      </c>
      <c r="J478" s="8">
        <v>5164</v>
      </c>
      <c r="K478" s="8" t="s">
        <v>31</v>
      </c>
      <c r="L478" s="8" t="s">
        <v>32</v>
      </c>
      <c r="M478" s="8"/>
      <c r="N478" s="8" t="b">
        <v>0</v>
      </c>
      <c r="O478" s="10">
        <v>706735</v>
      </c>
      <c r="P478" s="8" t="s">
        <v>179</v>
      </c>
      <c r="Q478" s="8">
        <v>315048</v>
      </c>
      <c r="R478" s="9">
        <v>45263</v>
      </c>
      <c r="S478" s="8" t="s">
        <v>34</v>
      </c>
      <c r="T478" s="8" t="s">
        <v>44</v>
      </c>
      <c r="U478" s="8" t="s">
        <v>58</v>
      </c>
      <c r="V478" s="8" t="s">
        <v>46</v>
      </c>
      <c r="W478" s="8">
        <v>0</v>
      </c>
    </row>
    <row r="479" spans="1:23" x14ac:dyDescent="0.25">
      <c r="A479" s="4">
        <v>1</v>
      </c>
      <c r="B479" s="4"/>
      <c r="C479" s="4">
        <v>885825</v>
      </c>
      <c r="D479" s="4">
        <v>5164.29</v>
      </c>
      <c r="E479" s="5">
        <f t="shared" si="7"/>
        <v>-0.28999999999996362</v>
      </c>
      <c r="F479" s="9">
        <v>45271</v>
      </c>
      <c r="G479" s="10">
        <v>330106111</v>
      </c>
      <c r="H479" s="9">
        <v>45264</v>
      </c>
      <c r="I479" s="9">
        <v>45279</v>
      </c>
      <c r="J479" s="8">
        <v>5164</v>
      </c>
      <c r="K479" s="8" t="s">
        <v>31</v>
      </c>
      <c r="L479" s="8" t="s">
        <v>32</v>
      </c>
      <c r="M479" s="8"/>
      <c r="N479" s="8" t="b">
        <v>0</v>
      </c>
      <c r="O479" s="10">
        <v>706747</v>
      </c>
      <c r="P479" s="8" t="s">
        <v>267</v>
      </c>
      <c r="Q479" s="8">
        <v>315052</v>
      </c>
      <c r="R479" s="9">
        <v>45263</v>
      </c>
      <c r="S479" s="8" t="s">
        <v>34</v>
      </c>
      <c r="T479" s="8" t="s">
        <v>44</v>
      </c>
      <c r="U479" s="8" t="s">
        <v>58</v>
      </c>
      <c r="V479" s="8" t="s">
        <v>46</v>
      </c>
      <c r="W479" s="8">
        <v>0</v>
      </c>
    </row>
    <row r="480" spans="1:23" x14ac:dyDescent="0.25">
      <c r="A480" s="4">
        <v>1</v>
      </c>
      <c r="B480" s="4"/>
      <c r="C480" s="4">
        <v>885826</v>
      </c>
      <c r="D480" s="4">
        <v>5164.29</v>
      </c>
      <c r="E480" s="5">
        <f t="shared" si="7"/>
        <v>-0.28999999999996362</v>
      </c>
      <c r="F480" s="9">
        <v>45271</v>
      </c>
      <c r="G480" s="10">
        <v>330106112</v>
      </c>
      <c r="H480" s="9">
        <v>45264</v>
      </c>
      <c r="I480" s="9">
        <v>45279</v>
      </c>
      <c r="J480" s="8">
        <v>5164</v>
      </c>
      <c r="K480" s="8" t="s">
        <v>31</v>
      </c>
      <c r="L480" s="8" t="s">
        <v>32</v>
      </c>
      <c r="M480" s="8"/>
      <c r="N480" s="8" t="b">
        <v>0</v>
      </c>
      <c r="O480" s="10">
        <v>705141</v>
      </c>
      <c r="P480" s="8" t="s">
        <v>255</v>
      </c>
      <c r="Q480" s="8">
        <v>315043</v>
      </c>
      <c r="R480" s="9">
        <v>45263</v>
      </c>
      <c r="S480" s="8" t="s">
        <v>34</v>
      </c>
      <c r="T480" s="8" t="s">
        <v>44</v>
      </c>
      <c r="U480" s="8" t="s">
        <v>58</v>
      </c>
      <c r="V480" s="8" t="s">
        <v>46</v>
      </c>
      <c r="W480" s="8">
        <v>0</v>
      </c>
    </row>
    <row r="481" spans="1:23" x14ac:dyDescent="0.25">
      <c r="A481" s="4">
        <v>1</v>
      </c>
      <c r="B481" s="4"/>
      <c r="C481" s="4">
        <v>885827</v>
      </c>
      <c r="D481" s="4">
        <v>5164.29</v>
      </c>
      <c r="E481" s="5">
        <f t="shared" si="7"/>
        <v>-0.28999999999996362</v>
      </c>
      <c r="F481" s="9">
        <v>45271</v>
      </c>
      <c r="G481" s="10">
        <v>330106117</v>
      </c>
      <c r="H481" s="9">
        <v>45264</v>
      </c>
      <c r="I481" s="9">
        <v>45279</v>
      </c>
      <c r="J481" s="8">
        <v>5164</v>
      </c>
      <c r="K481" s="8" t="s">
        <v>31</v>
      </c>
      <c r="L481" s="8" t="s">
        <v>32</v>
      </c>
      <c r="M481" s="8"/>
      <c r="N481" s="8" t="b">
        <v>0</v>
      </c>
      <c r="O481" s="10">
        <v>706729</v>
      </c>
      <c r="P481" s="8" t="s">
        <v>183</v>
      </c>
      <c r="Q481" s="8">
        <v>315047</v>
      </c>
      <c r="R481" s="9">
        <v>45263</v>
      </c>
      <c r="S481" s="8" t="s">
        <v>34</v>
      </c>
      <c r="T481" s="8" t="s">
        <v>44</v>
      </c>
      <c r="U481" s="8" t="s">
        <v>58</v>
      </c>
      <c r="V481" s="8" t="s">
        <v>46</v>
      </c>
      <c r="W481" s="8">
        <v>0</v>
      </c>
    </row>
    <row r="482" spans="1:23" x14ac:dyDescent="0.25">
      <c r="A482" s="4">
        <v>1</v>
      </c>
      <c r="B482" s="4"/>
      <c r="C482" s="4">
        <v>885828</v>
      </c>
      <c r="D482" s="4">
        <v>5176.54</v>
      </c>
      <c r="E482" s="5">
        <f t="shared" si="7"/>
        <v>0.46000000000003638</v>
      </c>
      <c r="F482" s="9">
        <v>45271</v>
      </c>
      <c r="G482" s="10">
        <v>330114033</v>
      </c>
      <c r="H482" s="9">
        <v>45264</v>
      </c>
      <c r="I482" s="9">
        <v>45279</v>
      </c>
      <c r="J482" s="8">
        <v>5177</v>
      </c>
      <c r="K482" s="8" t="s">
        <v>31</v>
      </c>
      <c r="L482" s="8" t="s">
        <v>32</v>
      </c>
      <c r="M482" s="8"/>
      <c r="N482" s="8" t="b">
        <v>0</v>
      </c>
      <c r="O482" s="10">
        <v>708144</v>
      </c>
      <c r="P482" s="8" t="s">
        <v>264</v>
      </c>
      <c r="Q482" s="8">
        <v>320148</v>
      </c>
      <c r="R482" s="9">
        <v>45264</v>
      </c>
      <c r="S482" s="8" t="s">
        <v>308</v>
      </c>
      <c r="T482" s="8" t="s">
        <v>44</v>
      </c>
      <c r="U482" s="8" t="s">
        <v>309</v>
      </c>
      <c r="V482" s="8" t="s">
        <v>46</v>
      </c>
      <c r="W482" s="8">
        <v>0</v>
      </c>
    </row>
    <row r="483" spans="1:23" x14ac:dyDescent="0.25">
      <c r="A483" s="4">
        <v>1</v>
      </c>
      <c r="B483" s="4"/>
      <c r="C483" s="4">
        <v>885829</v>
      </c>
      <c r="D483" s="4">
        <v>5053</v>
      </c>
      <c r="E483" s="5">
        <f t="shared" si="7"/>
        <v>0</v>
      </c>
      <c r="F483" s="15">
        <v>45268</v>
      </c>
      <c r="G483" s="10">
        <v>330121047</v>
      </c>
      <c r="H483" s="9">
        <v>45264</v>
      </c>
      <c r="I483" s="9">
        <v>45279</v>
      </c>
      <c r="J483" s="8">
        <v>5053</v>
      </c>
      <c r="K483" s="8" t="s">
        <v>31</v>
      </c>
      <c r="L483" s="8" t="s">
        <v>32</v>
      </c>
      <c r="M483" s="8"/>
      <c r="N483" s="8" t="b">
        <v>0</v>
      </c>
      <c r="O483" s="10">
        <v>708129</v>
      </c>
      <c r="P483" s="8" t="s">
        <v>227</v>
      </c>
      <c r="Q483" s="8">
        <v>326116</v>
      </c>
      <c r="R483" s="9">
        <v>45264</v>
      </c>
      <c r="S483" s="8" t="s">
        <v>34</v>
      </c>
      <c r="T483" s="8" t="s">
        <v>40</v>
      </c>
      <c r="U483" s="8" t="s">
        <v>84</v>
      </c>
      <c r="V483" s="8" t="s">
        <v>46</v>
      </c>
      <c r="W483" s="8">
        <v>0</v>
      </c>
    </row>
    <row r="484" spans="1:23" x14ac:dyDescent="0.25">
      <c r="A484" s="4">
        <v>1</v>
      </c>
      <c r="B484" s="4"/>
      <c r="C484" s="4">
        <v>885830</v>
      </c>
      <c r="D484" s="4">
        <v>5053</v>
      </c>
      <c r="E484" s="5">
        <f t="shared" si="7"/>
        <v>0</v>
      </c>
      <c r="F484" s="15">
        <v>45268</v>
      </c>
      <c r="G484" s="10">
        <v>330121050</v>
      </c>
      <c r="H484" s="9">
        <v>45264</v>
      </c>
      <c r="I484" s="9">
        <v>45279</v>
      </c>
      <c r="J484" s="8">
        <v>5053</v>
      </c>
      <c r="K484" s="8" t="s">
        <v>31</v>
      </c>
      <c r="L484" s="8" t="s">
        <v>32</v>
      </c>
      <c r="M484" s="8"/>
      <c r="N484" s="8" t="b">
        <v>0</v>
      </c>
      <c r="O484" s="10">
        <v>708130</v>
      </c>
      <c r="P484" s="8" t="s">
        <v>228</v>
      </c>
      <c r="Q484" s="8">
        <v>326133</v>
      </c>
      <c r="R484" s="9">
        <v>45264</v>
      </c>
      <c r="S484" s="8" t="s">
        <v>34</v>
      </c>
      <c r="T484" s="8" t="s">
        <v>40</v>
      </c>
      <c r="U484" s="8" t="s">
        <v>84</v>
      </c>
      <c r="V484" s="8" t="s">
        <v>46</v>
      </c>
      <c r="W484" s="8">
        <v>0</v>
      </c>
    </row>
    <row r="485" spans="1:23" x14ac:dyDescent="0.25">
      <c r="A485" s="4">
        <v>1</v>
      </c>
      <c r="B485" s="4"/>
      <c r="C485" s="4">
        <v>885699</v>
      </c>
      <c r="D485" s="4">
        <v>7028.06</v>
      </c>
      <c r="E485" s="5">
        <f t="shared" si="7"/>
        <v>-6.0000000000400178E-2</v>
      </c>
      <c r="F485" s="9">
        <v>45271</v>
      </c>
      <c r="G485" s="10">
        <v>330121086</v>
      </c>
      <c r="H485" s="9">
        <v>45264</v>
      </c>
      <c r="I485" s="9">
        <v>45279</v>
      </c>
      <c r="J485" s="8">
        <v>7028</v>
      </c>
      <c r="K485" s="8" t="s">
        <v>31</v>
      </c>
      <c r="L485" s="8" t="s">
        <v>32</v>
      </c>
      <c r="M485" s="8"/>
      <c r="N485" s="8" t="b">
        <v>0</v>
      </c>
      <c r="O485" s="10">
        <v>21105</v>
      </c>
      <c r="P485" s="8" t="s">
        <v>63</v>
      </c>
      <c r="Q485" s="8">
        <v>326107</v>
      </c>
      <c r="R485" s="9">
        <v>45264</v>
      </c>
      <c r="S485" s="8" t="s">
        <v>39</v>
      </c>
      <c r="T485" s="8" t="s">
        <v>40</v>
      </c>
      <c r="U485" s="8" t="s">
        <v>41</v>
      </c>
      <c r="V485" s="8" t="s">
        <v>42</v>
      </c>
      <c r="W485" s="8">
        <v>0</v>
      </c>
    </row>
    <row r="486" spans="1:23" x14ac:dyDescent="0.25">
      <c r="A486" s="4">
        <v>1</v>
      </c>
      <c r="B486" s="4"/>
      <c r="C486" s="4">
        <v>885698</v>
      </c>
      <c r="D486" s="4">
        <v>7028.06</v>
      </c>
      <c r="E486" s="5">
        <f t="shared" si="7"/>
        <v>-6.0000000000400178E-2</v>
      </c>
      <c r="F486" s="9">
        <v>45271</v>
      </c>
      <c r="G486" s="10">
        <v>330121100</v>
      </c>
      <c r="H486" s="9">
        <v>45264</v>
      </c>
      <c r="I486" s="9">
        <v>45279</v>
      </c>
      <c r="J486" s="8">
        <v>7028</v>
      </c>
      <c r="K486" s="8" t="s">
        <v>31</v>
      </c>
      <c r="L486" s="8" t="s">
        <v>32</v>
      </c>
      <c r="M486" s="8"/>
      <c r="N486" s="8" t="b">
        <v>0</v>
      </c>
      <c r="O486" s="10">
        <v>21106</v>
      </c>
      <c r="P486" s="8" t="s">
        <v>335</v>
      </c>
      <c r="Q486" s="8">
        <v>326109</v>
      </c>
      <c r="R486" s="9">
        <v>45264</v>
      </c>
      <c r="S486" s="8" t="s">
        <v>39</v>
      </c>
      <c r="T486" s="8" t="s">
        <v>40</v>
      </c>
      <c r="U486" s="8" t="s">
        <v>41</v>
      </c>
      <c r="V486" s="8" t="s">
        <v>42</v>
      </c>
      <c r="W486" s="8">
        <v>0</v>
      </c>
    </row>
    <row r="487" spans="1:23" x14ac:dyDescent="0.25">
      <c r="A487" s="4">
        <v>1</v>
      </c>
      <c r="B487" s="4"/>
      <c r="C487" s="4">
        <v>885700</v>
      </c>
      <c r="D487" s="4">
        <v>7028.06</v>
      </c>
      <c r="E487" s="5">
        <f t="shared" si="7"/>
        <v>-6.0000000000400178E-2</v>
      </c>
      <c r="F487" s="9">
        <v>45271</v>
      </c>
      <c r="G487" s="10">
        <v>330121159</v>
      </c>
      <c r="H487" s="9">
        <v>45264</v>
      </c>
      <c r="I487" s="9">
        <v>45279</v>
      </c>
      <c r="J487" s="8">
        <v>7028</v>
      </c>
      <c r="K487" s="8" t="s">
        <v>31</v>
      </c>
      <c r="L487" s="8" t="s">
        <v>32</v>
      </c>
      <c r="M487" s="8"/>
      <c r="N487" s="8" t="b">
        <v>0</v>
      </c>
      <c r="O487" s="10">
        <v>21104</v>
      </c>
      <c r="P487" s="8" t="s">
        <v>336</v>
      </c>
      <c r="Q487" s="8">
        <v>326096</v>
      </c>
      <c r="R487" s="9">
        <v>45264</v>
      </c>
      <c r="S487" s="8" t="s">
        <v>39</v>
      </c>
      <c r="T487" s="8" t="s">
        <v>40</v>
      </c>
      <c r="U487" s="8" t="s">
        <v>41</v>
      </c>
      <c r="V487" s="8" t="s">
        <v>42</v>
      </c>
      <c r="W487" s="8">
        <v>0</v>
      </c>
    </row>
    <row r="488" spans="1:23" x14ac:dyDescent="0.25">
      <c r="A488" s="4">
        <v>1</v>
      </c>
      <c r="B488" s="4"/>
      <c r="C488" s="4">
        <v>885831</v>
      </c>
      <c r="D488" s="4">
        <v>5193.6899999999996</v>
      </c>
      <c r="E488" s="5">
        <f t="shared" si="7"/>
        <v>0.31000000000040018</v>
      </c>
      <c r="F488" s="9">
        <v>45271</v>
      </c>
      <c r="G488" s="10">
        <v>330123029</v>
      </c>
      <c r="H488" s="9">
        <v>45264</v>
      </c>
      <c r="I488" s="9">
        <v>45279</v>
      </c>
      <c r="J488" s="8">
        <v>5194</v>
      </c>
      <c r="K488" s="8" t="s">
        <v>31</v>
      </c>
      <c r="L488" s="8" t="s">
        <v>32</v>
      </c>
      <c r="M488" s="8"/>
      <c r="N488" s="8" t="b">
        <v>0</v>
      </c>
      <c r="O488" s="10">
        <v>708248</v>
      </c>
      <c r="P488" s="8" t="s">
        <v>206</v>
      </c>
      <c r="Q488" s="8">
        <v>328055</v>
      </c>
      <c r="R488" s="9">
        <v>45264</v>
      </c>
      <c r="S488" s="8" t="s">
        <v>34</v>
      </c>
      <c r="T488" s="8" t="s">
        <v>40</v>
      </c>
      <c r="U488" s="8" t="s">
        <v>58</v>
      </c>
      <c r="V488" s="8" t="s">
        <v>46</v>
      </c>
      <c r="W488" s="8">
        <v>0</v>
      </c>
    </row>
    <row r="489" spans="1:23" x14ac:dyDescent="0.25">
      <c r="A489" s="4">
        <v>1</v>
      </c>
      <c r="B489" s="4"/>
      <c r="C489" s="4">
        <v>885697</v>
      </c>
      <c r="D489" s="4">
        <v>7028.06</v>
      </c>
      <c r="E489" s="5">
        <f t="shared" si="7"/>
        <v>-6.0000000000400178E-2</v>
      </c>
      <c r="F489" s="9">
        <v>45271</v>
      </c>
      <c r="G489" s="10">
        <v>330124754</v>
      </c>
      <c r="H489" s="9">
        <v>45264</v>
      </c>
      <c r="I489" s="9">
        <v>45279</v>
      </c>
      <c r="J489" s="8">
        <v>7028</v>
      </c>
      <c r="K489" s="8" t="s">
        <v>31</v>
      </c>
      <c r="L489" s="8" t="s">
        <v>32</v>
      </c>
      <c r="M489" s="8"/>
      <c r="N489" s="8" t="b">
        <v>0</v>
      </c>
      <c r="O489" s="10">
        <v>21107</v>
      </c>
      <c r="P489" s="8" t="s">
        <v>59</v>
      </c>
      <c r="Q489" s="8">
        <v>329590</v>
      </c>
      <c r="R489" s="9">
        <v>45264</v>
      </c>
      <c r="S489" s="8" t="s">
        <v>39</v>
      </c>
      <c r="T489" s="8" t="s">
        <v>40</v>
      </c>
      <c r="U489" s="8" t="s">
        <v>41</v>
      </c>
      <c r="V489" s="8" t="s">
        <v>42</v>
      </c>
      <c r="W489" s="8">
        <v>0</v>
      </c>
    </row>
    <row r="490" spans="1:23" x14ac:dyDescent="0.25">
      <c r="A490" s="4">
        <v>1</v>
      </c>
      <c r="B490" s="4"/>
      <c r="C490" s="4">
        <v>885694</v>
      </c>
      <c r="D490" s="4">
        <v>7837.52</v>
      </c>
      <c r="E490" s="5">
        <f t="shared" si="7"/>
        <v>0.47999999999956344</v>
      </c>
      <c r="F490" s="9">
        <v>45271</v>
      </c>
      <c r="G490" s="10">
        <v>330135062</v>
      </c>
      <c r="H490" s="9">
        <v>45265</v>
      </c>
      <c r="I490" s="9">
        <v>45280</v>
      </c>
      <c r="J490" s="8">
        <v>7838</v>
      </c>
      <c r="K490" s="8" t="s">
        <v>31</v>
      </c>
      <c r="L490" s="8" t="s">
        <v>32</v>
      </c>
      <c r="M490" s="8"/>
      <c r="N490" s="8" t="b">
        <v>0</v>
      </c>
      <c r="O490" s="10">
        <v>21115</v>
      </c>
      <c r="P490" s="8" t="s">
        <v>136</v>
      </c>
      <c r="Q490" s="8">
        <v>336181</v>
      </c>
      <c r="R490" s="9">
        <v>45265</v>
      </c>
      <c r="S490" s="8" t="s">
        <v>318</v>
      </c>
      <c r="T490" s="8" t="s">
        <v>40</v>
      </c>
      <c r="U490" s="8" t="s">
        <v>319</v>
      </c>
      <c r="V490" s="8" t="s">
        <v>320</v>
      </c>
      <c r="W490" s="8">
        <v>0</v>
      </c>
    </row>
    <row r="491" spans="1:23" x14ac:dyDescent="0.25">
      <c r="A491" s="4">
        <v>1</v>
      </c>
      <c r="B491" s="4"/>
      <c r="C491" s="28">
        <v>885696</v>
      </c>
      <c r="D491" s="4">
        <v>5223.49</v>
      </c>
      <c r="E491" s="5">
        <f t="shared" si="7"/>
        <v>-0.48999999999978172</v>
      </c>
      <c r="F491" s="9">
        <v>45271</v>
      </c>
      <c r="G491" s="29">
        <v>330135077</v>
      </c>
      <c r="H491" s="9">
        <v>45265</v>
      </c>
      <c r="I491" s="9">
        <v>45280</v>
      </c>
      <c r="J491" s="8">
        <v>5223</v>
      </c>
      <c r="K491" s="8" t="s">
        <v>31</v>
      </c>
      <c r="L491" s="8" t="s">
        <v>32</v>
      </c>
      <c r="M491" s="8"/>
      <c r="N491" s="8" t="b">
        <v>0</v>
      </c>
      <c r="O491" s="29">
        <v>21098</v>
      </c>
      <c r="P491" s="30" t="s">
        <v>61</v>
      </c>
      <c r="Q491" s="8">
        <v>336153</v>
      </c>
      <c r="R491" s="9">
        <v>45265</v>
      </c>
      <c r="S491" s="8" t="s">
        <v>48</v>
      </c>
      <c r="T491" s="8" t="s">
        <v>40</v>
      </c>
      <c r="U491" s="8" t="s">
        <v>163</v>
      </c>
      <c r="V491" s="8" t="s">
        <v>46</v>
      </c>
      <c r="W491" s="8">
        <v>0</v>
      </c>
    </row>
    <row r="492" spans="1:23" x14ac:dyDescent="0.25">
      <c r="A492" s="4">
        <v>1</v>
      </c>
      <c r="B492" s="4"/>
      <c r="C492" s="4">
        <v>885695</v>
      </c>
      <c r="D492" s="4">
        <v>7837.52</v>
      </c>
      <c r="E492" s="5">
        <f t="shared" si="7"/>
        <v>0.47999999999956344</v>
      </c>
      <c r="F492" s="9">
        <v>45271</v>
      </c>
      <c r="G492" s="10">
        <v>330135146</v>
      </c>
      <c r="H492" s="9">
        <v>45265</v>
      </c>
      <c r="I492" s="9">
        <v>45280</v>
      </c>
      <c r="J492" s="8">
        <v>7838</v>
      </c>
      <c r="K492" s="8" t="s">
        <v>31</v>
      </c>
      <c r="L492" s="8" t="s">
        <v>32</v>
      </c>
      <c r="M492" s="8"/>
      <c r="N492" s="8" t="b">
        <v>0</v>
      </c>
      <c r="O492" s="10">
        <v>21114</v>
      </c>
      <c r="P492" s="8" t="s">
        <v>137</v>
      </c>
      <c r="Q492" s="8">
        <v>336161</v>
      </c>
      <c r="R492" s="9">
        <v>45265</v>
      </c>
      <c r="S492" s="8" t="s">
        <v>318</v>
      </c>
      <c r="T492" s="8" t="s">
        <v>40</v>
      </c>
      <c r="U492" s="8" t="s">
        <v>319</v>
      </c>
      <c r="V492" s="8" t="s">
        <v>320</v>
      </c>
      <c r="W492" s="8">
        <v>0</v>
      </c>
    </row>
    <row r="493" spans="1:23" x14ac:dyDescent="0.25">
      <c r="A493" s="4">
        <v>1</v>
      </c>
      <c r="B493" s="4"/>
      <c r="C493" s="4">
        <v>886056</v>
      </c>
      <c r="D493" s="4">
        <v>5166.74</v>
      </c>
      <c r="E493" s="5">
        <f t="shared" si="7"/>
        <v>0.26000000000021828</v>
      </c>
      <c r="F493" s="9">
        <v>45271</v>
      </c>
      <c r="G493" s="10">
        <v>330138624</v>
      </c>
      <c r="H493" s="9">
        <v>45265</v>
      </c>
      <c r="I493" s="9">
        <v>45280</v>
      </c>
      <c r="J493" s="8">
        <v>5167</v>
      </c>
      <c r="K493" s="8" t="s">
        <v>31</v>
      </c>
      <c r="L493" s="8" t="s">
        <v>32</v>
      </c>
      <c r="M493" s="8"/>
      <c r="N493" s="8" t="b">
        <v>0</v>
      </c>
      <c r="O493" s="10">
        <v>702412</v>
      </c>
      <c r="P493" s="8" t="s">
        <v>299</v>
      </c>
      <c r="Q493" s="8">
        <v>340152</v>
      </c>
      <c r="R493" s="9">
        <v>45265</v>
      </c>
      <c r="S493" s="8" t="s">
        <v>180</v>
      </c>
      <c r="T493" s="8" t="s">
        <v>44</v>
      </c>
      <c r="U493" s="8" t="s">
        <v>45</v>
      </c>
      <c r="V493" s="8" t="s">
        <v>46</v>
      </c>
      <c r="W493" s="8">
        <v>0</v>
      </c>
    </row>
    <row r="494" spans="1:23" x14ac:dyDescent="0.25">
      <c r="A494" s="4">
        <v>1</v>
      </c>
      <c r="B494" s="4"/>
      <c r="C494" s="4">
        <v>886060</v>
      </c>
      <c r="D494" s="4">
        <v>5053</v>
      </c>
      <c r="E494" s="5">
        <f t="shared" si="7"/>
        <v>0</v>
      </c>
      <c r="F494" s="9">
        <v>45271</v>
      </c>
      <c r="G494" s="10">
        <v>330138630</v>
      </c>
      <c r="H494" s="9">
        <v>45265</v>
      </c>
      <c r="I494" s="9">
        <v>45280</v>
      </c>
      <c r="J494" s="8">
        <v>5053</v>
      </c>
      <c r="K494" s="8" t="s">
        <v>31</v>
      </c>
      <c r="L494" s="8" t="s">
        <v>32</v>
      </c>
      <c r="M494" s="8"/>
      <c r="N494" s="8" t="b">
        <v>0</v>
      </c>
      <c r="O494" s="10">
        <v>708131</v>
      </c>
      <c r="P494" s="8" t="s">
        <v>272</v>
      </c>
      <c r="Q494" s="8">
        <v>340226</v>
      </c>
      <c r="R494" s="9">
        <v>45265</v>
      </c>
      <c r="S494" s="8" t="s">
        <v>34</v>
      </c>
      <c r="T494" s="8" t="s">
        <v>40</v>
      </c>
      <c r="U494" s="8" t="s">
        <v>84</v>
      </c>
      <c r="V494" s="8" t="s">
        <v>46</v>
      </c>
      <c r="W494" s="8">
        <v>0</v>
      </c>
    </row>
    <row r="495" spans="1:23" x14ac:dyDescent="0.25">
      <c r="A495" s="4">
        <v>1</v>
      </c>
      <c r="B495" s="4"/>
      <c r="C495" s="4">
        <v>886070</v>
      </c>
      <c r="D495" s="4">
        <v>5164.29</v>
      </c>
      <c r="E495" s="5">
        <f t="shared" si="7"/>
        <v>-0.28999999999996362</v>
      </c>
      <c r="F495" s="9">
        <v>45271</v>
      </c>
      <c r="G495" s="10">
        <v>330138645</v>
      </c>
      <c r="H495" s="9">
        <v>45265</v>
      </c>
      <c r="I495" s="9">
        <v>45280</v>
      </c>
      <c r="J495" s="8">
        <v>5164</v>
      </c>
      <c r="K495" s="8" t="s">
        <v>31</v>
      </c>
      <c r="L495" s="8" t="s">
        <v>32</v>
      </c>
      <c r="M495" s="8"/>
      <c r="N495" s="8" t="b">
        <v>0</v>
      </c>
      <c r="O495" s="10">
        <v>706740</v>
      </c>
      <c r="P495" s="8" t="s">
        <v>298</v>
      </c>
      <c r="Q495" s="8">
        <v>340186</v>
      </c>
      <c r="R495" s="9">
        <v>45265</v>
      </c>
      <c r="S495" s="8" t="s">
        <v>34</v>
      </c>
      <c r="T495" s="8" t="s">
        <v>44</v>
      </c>
      <c r="U495" s="8" t="s">
        <v>58</v>
      </c>
      <c r="V495" s="8" t="s">
        <v>46</v>
      </c>
      <c r="W495" s="8">
        <v>0</v>
      </c>
    </row>
    <row r="496" spans="1:23" x14ac:dyDescent="0.25">
      <c r="A496" s="4">
        <v>1</v>
      </c>
      <c r="B496" s="4"/>
      <c r="C496" s="4">
        <v>886071</v>
      </c>
      <c r="D496" s="4">
        <v>5164.29</v>
      </c>
      <c r="E496" s="5">
        <f t="shared" si="7"/>
        <v>-0.28999999999996362</v>
      </c>
      <c r="F496" s="9">
        <v>45271</v>
      </c>
      <c r="G496" s="10">
        <v>330138655</v>
      </c>
      <c r="H496" s="9">
        <v>45265</v>
      </c>
      <c r="I496" s="9">
        <v>45280</v>
      </c>
      <c r="J496" s="8">
        <v>5164</v>
      </c>
      <c r="K496" s="8" t="s">
        <v>31</v>
      </c>
      <c r="L496" s="8" t="s">
        <v>32</v>
      </c>
      <c r="M496" s="8"/>
      <c r="N496" s="8" t="b">
        <v>0</v>
      </c>
      <c r="O496" s="10">
        <v>706737</v>
      </c>
      <c r="P496" s="8" t="s">
        <v>222</v>
      </c>
      <c r="Q496" s="8">
        <v>340165</v>
      </c>
      <c r="R496" s="9">
        <v>45265</v>
      </c>
      <c r="S496" s="8" t="s">
        <v>34</v>
      </c>
      <c r="T496" s="8" t="s">
        <v>44</v>
      </c>
      <c r="U496" s="8" t="s">
        <v>58</v>
      </c>
      <c r="V496" s="8" t="s">
        <v>46</v>
      </c>
      <c r="W496" s="8">
        <v>0</v>
      </c>
    </row>
    <row r="497" spans="1:23" x14ac:dyDescent="0.25">
      <c r="A497" s="4">
        <v>1</v>
      </c>
      <c r="B497" s="4"/>
      <c r="C497" s="4">
        <v>886073</v>
      </c>
      <c r="D497" s="4">
        <v>5164.29</v>
      </c>
      <c r="E497" s="5">
        <f t="shared" si="7"/>
        <v>-0.28999999999996362</v>
      </c>
      <c r="F497" s="9">
        <v>45271</v>
      </c>
      <c r="G497" s="10">
        <v>330138684</v>
      </c>
      <c r="H497" s="9">
        <v>45265</v>
      </c>
      <c r="I497" s="9">
        <v>45280</v>
      </c>
      <c r="J497" s="8">
        <v>5164</v>
      </c>
      <c r="K497" s="8" t="s">
        <v>31</v>
      </c>
      <c r="L497" s="8" t="s">
        <v>32</v>
      </c>
      <c r="M497" s="8"/>
      <c r="N497" s="8" t="b">
        <v>0</v>
      </c>
      <c r="O497" s="10">
        <v>706736</v>
      </c>
      <c r="P497" s="8" t="s">
        <v>210</v>
      </c>
      <c r="Q497" s="8">
        <v>340157</v>
      </c>
      <c r="R497" s="9">
        <v>45265</v>
      </c>
      <c r="S497" s="8" t="s">
        <v>34</v>
      </c>
      <c r="T497" s="8" t="s">
        <v>44</v>
      </c>
      <c r="U497" s="8" t="s">
        <v>58</v>
      </c>
      <c r="V497" s="8" t="s">
        <v>46</v>
      </c>
      <c r="W497" s="8">
        <v>0</v>
      </c>
    </row>
    <row r="498" spans="1:23" x14ac:dyDescent="0.25">
      <c r="A498" s="4">
        <v>1</v>
      </c>
      <c r="B498" s="4"/>
      <c r="C498" s="4">
        <v>886076</v>
      </c>
      <c r="D498" s="4">
        <v>5164.29</v>
      </c>
      <c r="E498" s="5">
        <f t="shared" si="7"/>
        <v>-0.28999999999996362</v>
      </c>
      <c r="F498" s="9">
        <v>45271</v>
      </c>
      <c r="G498" s="10">
        <v>330138726</v>
      </c>
      <c r="H498" s="9">
        <v>45265</v>
      </c>
      <c r="I498" s="9">
        <v>45280</v>
      </c>
      <c r="J498" s="8">
        <v>5164</v>
      </c>
      <c r="K498" s="8" t="s">
        <v>31</v>
      </c>
      <c r="L498" s="8" t="s">
        <v>32</v>
      </c>
      <c r="M498" s="8"/>
      <c r="N498" s="8" t="b">
        <v>0</v>
      </c>
      <c r="O498" s="10">
        <v>706739</v>
      </c>
      <c r="P498" s="8" t="s">
        <v>54</v>
      </c>
      <c r="Q498" s="8">
        <v>340175</v>
      </c>
      <c r="R498" s="9">
        <v>45265</v>
      </c>
      <c r="S498" s="8" t="s">
        <v>34</v>
      </c>
      <c r="T498" s="8" t="s">
        <v>44</v>
      </c>
      <c r="U498" s="8" t="s">
        <v>58</v>
      </c>
      <c r="V498" s="8" t="s">
        <v>46</v>
      </c>
      <c r="W498" s="8">
        <v>0</v>
      </c>
    </row>
    <row r="499" spans="1:23" x14ac:dyDescent="0.25">
      <c r="A499" s="4">
        <v>1</v>
      </c>
      <c r="B499" s="4"/>
      <c r="C499" s="4" t="s">
        <v>337</v>
      </c>
      <c r="D499" s="4">
        <f>6559+573.5</f>
        <v>7132.5</v>
      </c>
      <c r="E499" s="5">
        <f t="shared" si="7"/>
        <v>0.5</v>
      </c>
      <c r="F499" s="9">
        <v>45271</v>
      </c>
      <c r="G499" s="10">
        <v>330140682</v>
      </c>
      <c r="H499" s="9">
        <v>45265</v>
      </c>
      <c r="I499" s="9">
        <v>45280</v>
      </c>
      <c r="J499" s="8">
        <v>7133</v>
      </c>
      <c r="K499" s="8" t="s">
        <v>31</v>
      </c>
      <c r="L499" s="8" t="s">
        <v>32</v>
      </c>
      <c r="M499" s="8"/>
      <c r="N499" s="8" t="b">
        <v>0</v>
      </c>
      <c r="O499" s="10"/>
      <c r="P499" s="8" t="s">
        <v>338</v>
      </c>
      <c r="Q499" s="8">
        <v>189051</v>
      </c>
      <c r="R499" s="9">
        <v>45252</v>
      </c>
      <c r="S499" s="8" t="s">
        <v>339</v>
      </c>
      <c r="T499" s="8" t="s">
        <v>49</v>
      </c>
      <c r="U499" s="8" t="s">
        <v>340</v>
      </c>
      <c r="V499" s="8" t="s">
        <v>341</v>
      </c>
      <c r="W499" s="8">
        <v>0</v>
      </c>
    </row>
    <row r="500" spans="1:23" x14ac:dyDescent="0.25">
      <c r="A500" s="4">
        <v>1</v>
      </c>
      <c r="B500" s="4"/>
      <c r="C500" s="4">
        <v>886029</v>
      </c>
      <c r="D500" s="4">
        <v>6997.68</v>
      </c>
      <c r="E500" s="5">
        <f t="shared" si="7"/>
        <v>1.319999999999709</v>
      </c>
      <c r="F500" s="9">
        <v>45271</v>
      </c>
      <c r="G500" s="10">
        <v>330147104</v>
      </c>
      <c r="H500" s="9">
        <v>45265</v>
      </c>
      <c r="I500" s="9">
        <v>45280</v>
      </c>
      <c r="J500" s="8">
        <v>6999</v>
      </c>
      <c r="K500" s="8" t="s">
        <v>31</v>
      </c>
      <c r="L500" s="8" t="s">
        <v>32</v>
      </c>
      <c r="M500" s="8"/>
      <c r="N500" s="8" t="b">
        <v>0</v>
      </c>
      <c r="O500" s="10">
        <v>21119</v>
      </c>
      <c r="P500" s="8" t="s">
        <v>159</v>
      </c>
      <c r="Q500" s="8">
        <v>347336</v>
      </c>
      <c r="R500" s="9">
        <v>45265</v>
      </c>
      <c r="S500" s="8" t="s">
        <v>39</v>
      </c>
      <c r="T500" s="8" t="s">
        <v>44</v>
      </c>
      <c r="U500" s="8" t="s">
        <v>41</v>
      </c>
      <c r="V500" s="8" t="s">
        <v>42</v>
      </c>
      <c r="W500" s="8">
        <v>0</v>
      </c>
    </row>
    <row r="501" spans="1:23" x14ac:dyDescent="0.25">
      <c r="A501" s="4"/>
      <c r="B501" s="4"/>
      <c r="C501" s="4">
        <v>886067</v>
      </c>
      <c r="D501" s="4">
        <v>92198.399999999994</v>
      </c>
      <c r="E501" s="5">
        <f t="shared" si="7"/>
        <v>-8.3999999999941792</v>
      </c>
      <c r="F501" s="9">
        <v>45279</v>
      </c>
      <c r="G501" s="10">
        <v>330159973</v>
      </c>
      <c r="H501" s="9">
        <v>45266</v>
      </c>
      <c r="I501" s="9">
        <v>45281</v>
      </c>
      <c r="J501" s="8">
        <v>92190</v>
      </c>
      <c r="K501" s="8" t="s">
        <v>31</v>
      </c>
      <c r="L501" s="8" t="s">
        <v>32</v>
      </c>
      <c r="M501" s="8"/>
      <c r="N501" s="8" t="b">
        <v>0</v>
      </c>
      <c r="O501" s="10">
        <v>708622</v>
      </c>
      <c r="P501" s="8" t="s">
        <v>342</v>
      </c>
      <c r="Q501" s="8">
        <v>356900</v>
      </c>
      <c r="R501" s="9">
        <v>45266</v>
      </c>
      <c r="S501" s="8" t="s">
        <v>34</v>
      </c>
      <c r="T501" s="8" t="s">
        <v>49</v>
      </c>
      <c r="U501" s="8" t="s">
        <v>75</v>
      </c>
      <c r="V501" s="8" t="s">
        <v>46</v>
      </c>
      <c r="W501" s="8">
        <v>0</v>
      </c>
    </row>
    <row r="502" spans="1:23" x14ac:dyDescent="0.25">
      <c r="A502" s="4">
        <v>2</v>
      </c>
      <c r="B502" s="4" t="s">
        <v>343</v>
      </c>
      <c r="C502" s="4"/>
      <c r="D502" s="4"/>
      <c r="E502" s="5">
        <f t="shared" si="7"/>
        <v>6322</v>
      </c>
      <c r="F502" s="9">
        <v>45279</v>
      </c>
      <c r="G502" s="10">
        <v>330200788</v>
      </c>
      <c r="H502" s="9">
        <v>45268</v>
      </c>
      <c r="I502" s="9">
        <v>45283</v>
      </c>
      <c r="J502" s="8">
        <v>6322</v>
      </c>
      <c r="K502" s="8" t="s">
        <v>31</v>
      </c>
      <c r="L502" s="8" t="s">
        <v>32</v>
      </c>
      <c r="M502" s="8"/>
      <c r="N502" s="8" t="b">
        <v>0</v>
      </c>
      <c r="O502" s="10"/>
      <c r="P502" s="8" t="s">
        <v>344</v>
      </c>
      <c r="Q502" s="8">
        <v>386768</v>
      </c>
      <c r="R502" s="9">
        <v>45267</v>
      </c>
      <c r="S502" s="8" t="s">
        <v>48</v>
      </c>
      <c r="T502" s="8" t="s">
        <v>49</v>
      </c>
      <c r="U502" s="8" t="s">
        <v>50</v>
      </c>
      <c r="V502" s="8" t="s">
        <v>37</v>
      </c>
      <c r="W502" s="8">
        <v>0</v>
      </c>
    </row>
    <row r="503" spans="1:23" x14ac:dyDescent="0.25">
      <c r="A503" s="4"/>
      <c r="B503" s="4"/>
      <c r="C503" s="4">
        <v>886670</v>
      </c>
      <c r="D503" s="4">
        <v>5053</v>
      </c>
      <c r="E503" s="5">
        <f t="shared" si="7"/>
        <v>0</v>
      </c>
      <c r="F503" s="9">
        <v>45279</v>
      </c>
      <c r="G503" s="10">
        <v>330202004</v>
      </c>
      <c r="H503" s="9">
        <v>45268</v>
      </c>
      <c r="I503" s="9">
        <v>45283</v>
      </c>
      <c r="J503" s="8">
        <v>5053</v>
      </c>
      <c r="K503" s="8" t="s">
        <v>31</v>
      </c>
      <c r="L503" s="8" t="s">
        <v>32</v>
      </c>
      <c r="M503" s="8"/>
      <c r="N503" s="8" t="b">
        <v>0</v>
      </c>
      <c r="O503" s="10">
        <v>708132</v>
      </c>
      <c r="P503" s="8" t="s">
        <v>99</v>
      </c>
      <c r="Q503" s="8">
        <v>389343</v>
      </c>
      <c r="R503" s="9">
        <v>45268</v>
      </c>
      <c r="S503" s="8" t="s">
        <v>34</v>
      </c>
      <c r="T503" s="8" t="s">
        <v>40</v>
      </c>
      <c r="U503" s="8" t="s">
        <v>84</v>
      </c>
      <c r="V503" s="8" t="s">
        <v>46</v>
      </c>
      <c r="W503" s="8">
        <v>0</v>
      </c>
    </row>
    <row r="504" spans="1:23" x14ac:dyDescent="0.25">
      <c r="A504" s="4"/>
      <c r="B504" s="4"/>
      <c r="C504" s="4">
        <v>886350</v>
      </c>
      <c r="D504" s="4">
        <v>9320.2199999999993</v>
      </c>
      <c r="E504" s="5">
        <f t="shared" si="7"/>
        <v>0.78000000000065484</v>
      </c>
      <c r="F504" s="9">
        <v>45279</v>
      </c>
      <c r="G504" s="10">
        <v>330202037</v>
      </c>
      <c r="H504" s="9">
        <v>45268</v>
      </c>
      <c r="I504" s="9">
        <v>45283</v>
      </c>
      <c r="J504" s="8">
        <v>9321</v>
      </c>
      <c r="K504" s="8" t="s">
        <v>31</v>
      </c>
      <c r="L504" s="8" t="s">
        <v>32</v>
      </c>
      <c r="M504" s="8"/>
      <c r="N504" s="8" t="b">
        <v>0</v>
      </c>
      <c r="O504" s="10">
        <v>705916</v>
      </c>
      <c r="P504" s="8" t="s">
        <v>195</v>
      </c>
      <c r="Q504" s="8">
        <v>389336</v>
      </c>
      <c r="R504" s="9">
        <v>45268</v>
      </c>
      <c r="S504" s="8" t="s">
        <v>130</v>
      </c>
      <c r="T504" s="8" t="s">
        <v>40</v>
      </c>
      <c r="U504" s="8" t="s">
        <v>131</v>
      </c>
      <c r="V504" s="8" t="s">
        <v>132</v>
      </c>
      <c r="W504" s="8">
        <v>0</v>
      </c>
    </row>
    <row r="505" spans="1:23" x14ac:dyDescent="0.25">
      <c r="A505" s="4"/>
      <c r="B505" s="4"/>
      <c r="C505" s="4">
        <v>886668</v>
      </c>
      <c r="D505" s="4">
        <v>5053</v>
      </c>
      <c r="E505" s="5">
        <f t="shared" si="7"/>
        <v>0</v>
      </c>
      <c r="F505" s="9">
        <v>45279</v>
      </c>
      <c r="G505" s="10">
        <v>330202138</v>
      </c>
      <c r="H505" s="9">
        <v>45268</v>
      </c>
      <c r="I505" s="9">
        <v>45283</v>
      </c>
      <c r="J505" s="8">
        <v>5053</v>
      </c>
      <c r="K505" s="8" t="s">
        <v>31</v>
      </c>
      <c r="L505" s="8" t="s">
        <v>32</v>
      </c>
      <c r="M505" s="8"/>
      <c r="N505" s="8" t="b">
        <v>0</v>
      </c>
      <c r="O505" s="10">
        <v>708133</v>
      </c>
      <c r="P505" s="8" t="s">
        <v>213</v>
      </c>
      <c r="Q505" s="8">
        <v>389361</v>
      </c>
      <c r="R505" s="9">
        <v>45268</v>
      </c>
      <c r="S505" s="8" t="s">
        <v>34</v>
      </c>
      <c r="T505" s="8" t="s">
        <v>40</v>
      </c>
      <c r="U505" s="8" t="s">
        <v>84</v>
      </c>
      <c r="V505" s="8" t="s">
        <v>46</v>
      </c>
      <c r="W505" s="8">
        <v>0</v>
      </c>
    </row>
    <row r="506" spans="1:23" x14ac:dyDescent="0.25">
      <c r="A506" s="4"/>
      <c r="B506" s="4"/>
      <c r="C506" s="4">
        <v>886662</v>
      </c>
      <c r="D506" s="4">
        <v>5164.29</v>
      </c>
      <c r="E506" s="5">
        <f t="shared" si="7"/>
        <v>-0.28999999999996362</v>
      </c>
      <c r="F506" s="9">
        <v>45279</v>
      </c>
      <c r="G506" s="10">
        <v>330209853</v>
      </c>
      <c r="H506" s="9">
        <v>45268</v>
      </c>
      <c r="I506" s="9">
        <v>45283</v>
      </c>
      <c r="J506" s="8">
        <v>5164</v>
      </c>
      <c r="K506" s="8" t="s">
        <v>31</v>
      </c>
      <c r="L506" s="8" t="s">
        <v>32</v>
      </c>
      <c r="M506" s="8"/>
      <c r="N506" s="8" t="b">
        <v>0</v>
      </c>
      <c r="O506" s="10">
        <v>708408</v>
      </c>
      <c r="P506" s="8" t="s">
        <v>303</v>
      </c>
      <c r="Q506" s="8">
        <v>396661</v>
      </c>
      <c r="R506" s="9">
        <v>45268</v>
      </c>
      <c r="S506" s="8" t="s">
        <v>34</v>
      </c>
      <c r="T506" s="8" t="s">
        <v>44</v>
      </c>
      <c r="U506" s="8" t="s">
        <v>58</v>
      </c>
      <c r="V506" s="8" t="s">
        <v>46</v>
      </c>
      <c r="W506" s="8">
        <v>0</v>
      </c>
    </row>
    <row r="507" spans="1:23" x14ac:dyDescent="0.25">
      <c r="A507" s="4"/>
      <c r="B507" s="4"/>
      <c r="C507" s="4">
        <v>886664</v>
      </c>
      <c r="D507" s="4">
        <v>5164.29</v>
      </c>
      <c r="E507" s="5">
        <f t="shared" si="7"/>
        <v>-0.28999999999996362</v>
      </c>
      <c r="F507" s="9">
        <v>45279</v>
      </c>
      <c r="G507" s="10">
        <v>330209880</v>
      </c>
      <c r="H507" s="9">
        <v>45268</v>
      </c>
      <c r="I507" s="9">
        <v>45283</v>
      </c>
      <c r="J507" s="8">
        <v>5164</v>
      </c>
      <c r="K507" s="8" t="s">
        <v>31</v>
      </c>
      <c r="L507" s="8" t="s">
        <v>32</v>
      </c>
      <c r="M507" s="8"/>
      <c r="N507" s="8" t="b">
        <v>0</v>
      </c>
      <c r="O507" s="10">
        <v>706738</v>
      </c>
      <c r="P507" s="8" t="s">
        <v>198</v>
      </c>
      <c r="Q507" s="8">
        <v>396514</v>
      </c>
      <c r="R507" s="9">
        <v>45268</v>
      </c>
      <c r="S507" s="8" t="s">
        <v>34</v>
      </c>
      <c r="T507" s="8" t="s">
        <v>44</v>
      </c>
      <c r="U507" s="8" t="s">
        <v>58</v>
      </c>
      <c r="V507" s="8" t="s">
        <v>46</v>
      </c>
      <c r="W507" s="8">
        <v>0</v>
      </c>
    </row>
    <row r="508" spans="1:23" x14ac:dyDescent="0.25">
      <c r="A508" s="4"/>
      <c r="B508" s="4"/>
      <c r="C508" s="4">
        <v>886666</v>
      </c>
      <c r="D508" s="4">
        <v>5164.29</v>
      </c>
      <c r="E508" s="5">
        <f t="shared" si="7"/>
        <v>-0.28999999999996362</v>
      </c>
      <c r="F508" s="9">
        <v>45279</v>
      </c>
      <c r="G508" s="10">
        <v>330209890</v>
      </c>
      <c r="H508" s="9">
        <v>45268</v>
      </c>
      <c r="I508" s="9">
        <v>45283</v>
      </c>
      <c r="J508" s="8">
        <v>5164</v>
      </c>
      <c r="K508" s="8" t="s">
        <v>31</v>
      </c>
      <c r="L508" s="8" t="s">
        <v>32</v>
      </c>
      <c r="M508" s="8"/>
      <c r="N508" s="8" t="b">
        <v>0</v>
      </c>
      <c r="O508" s="10">
        <v>706731</v>
      </c>
      <c r="P508" s="8" t="s">
        <v>120</v>
      </c>
      <c r="Q508" s="8">
        <v>396470</v>
      </c>
      <c r="R508" s="9">
        <v>45268</v>
      </c>
      <c r="S508" s="8" t="s">
        <v>34</v>
      </c>
      <c r="T508" s="8" t="s">
        <v>44</v>
      </c>
      <c r="U508" s="8" t="s">
        <v>58</v>
      </c>
      <c r="V508" s="8" t="s">
        <v>46</v>
      </c>
      <c r="W508" s="8">
        <v>0</v>
      </c>
    </row>
    <row r="509" spans="1:23" x14ac:dyDescent="0.25">
      <c r="A509" s="4"/>
      <c r="B509" s="4"/>
      <c r="C509" s="4">
        <v>886654</v>
      </c>
      <c r="D509" s="4">
        <v>5164.29</v>
      </c>
      <c r="E509" s="5">
        <f t="shared" si="7"/>
        <v>-0.28999999999996362</v>
      </c>
      <c r="F509" s="9">
        <v>45279</v>
      </c>
      <c r="G509" s="10">
        <v>330216288</v>
      </c>
      <c r="H509" s="9">
        <v>45271</v>
      </c>
      <c r="I509" s="9">
        <v>45286</v>
      </c>
      <c r="J509" s="8">
        <v>5164</v>
      </c>
      <c r="K509" s="8" t="s">
        <v>31</v>
      </c>
      <c r="L509" s="8" t="s">
        <v>32</v>
      </c>
      <c r="M509" s="8"/>
      <c r="N509" s="8" t="b">
        <v>0</v>
      </c>
      <c r="O509" s="10">
        <v>708413</v>
      </c>
      <c r="P509" s="8" t="s">
        <v>244</v>
      </c>
      <c r="Q509" s="8">
        <v>402662</v>
      </c>
      <c r="R509" s="9">
        <v>45268</v>
      </c>
      <c r="S509" s="8" t="s">
        <v>34</v>
      </c>
      <c r="T509" s="8" t="s">
        <v>44</v>
      </c>
      <c r="U509" s="8" t="s">
        <v>58</v>
      </c>
      <c r="V509" s="8" t="s">
        <v>46</v>
      </c>
      <c r="W509" s="8">
        <v>0</v>
      </c>
    </row>
    <row r="510" spans="1:23" x14ac:dyDescent="0.25">
      <c r="A510" s="4"/>
      <c r="B510" s="4"/>
      <c r="C510" s="4">
        <v>886658</v>
      </c>
      <c r="D510" s="4">
        <v>5164.29</v>
      </c>
      <c r="E510" s="5">
        <f t="shared" si="7"/>
        <v>-0.28999999999996362</v>
      </c>
      <c r="F510" s="9">
        <v>45279</v>
      </c>
      <c r="G510" s="10">
        <v>330216291</v>
      </c>
      <c r="H510" s="9">
        <v>45271</v>
      </c>
      <c r="I510" s="9">
        <v>45286</v>
      </c>
      <c r="J510" s="8">
        <v>5164</v>
      </c>
      <c r="K510" s="8" t="s">
        <v>31</v>
      </c>
      <c r="L510" s="8" t="s">
        <v>32</v>
      </c>
      <c r="M510" s="8"/>
      <c r="N510" s="8" t="b">
        <v>0</v>
      </c>
      <c r="O510" s="10">
        <v>708410</v>
      </c>
      <c r="P510" s="8" t="s">
        <v>274</v>
      </c>
      <c r="Q510" s="8">
        <v>402651</v>
      </c>
      <c r="R510" s="9">
        <v>45268</v>
      </c>
      <c r="S510" s="8" t="s">
        <v>34</v>
      </c>
      <c r="T510" s="8" t="s">
        <v>44</v>
      </c>
      <c r="U510" s="8" t="s">
        <v>58</v>
      </c>
      <c r="V510" s="8" t="s">
        <v>46</v>
      </c>
      <c r="W510" s="8">
        <v>0</v>
      </c>
    </row>
    <row r="511" spans="1:23" x14ac:dyDescent="0.25">
      <c r="A511" s="4"/>
      <c r="B511" s="4"/>
      <c r="C511" s="4">
        <v>886660</v>
      </c>
      <c r="D511" s="4">
        <v>5053</v>
      </c>
      <c r="E511" s="5">
        <f t="shared" si="7"/>
        <v>0</v>
      </c>
      <c r="F511" s="9">
        <v>45279</v>
      </c>
      <c r="G511" s="10">
        <v>330216294</v>
      </c>
      <c r="H511" s="9">
        <v>45271</v>
      </c>
      <c r="I511" s="9">
        <v>45286</v>
      </c>
      <c r="J511" s="8">
        <v>5053</v>
      </c>
      <c r="K511" s="8" t="s">
        <v>31</v>
      </c>
      <c r="L511" s="8" t="s">
        <v>32</v>
      </c>
      <c r="M511" s="8"/>
      <c r="N511" s="8" t="b">
        <v>0</v>
      </c>
      <c r="O511" s="10">
        <v>708134</v>
      </c>
      <c r="P511" s="8" t="s">
        <v>212</v>
      </c>
      <c r="Q511" s="8">
        <v>402621</v>
      </c>
      <c r="R511" s="9">
        <v>45268</v>
      </c>
      <c r="S511" s="8" t="s">
        <v>34</v>
      </c>
      <c r="T511" s="8" t="s">
        <v>40</v>
      </c>
      <c r="U511" s="8" t="s">
        <v>84</v>
      </c>
      <c r="V511" s="8" t="s">
        <v>46</v>
      </c>
      <c r="W511" s="8">
        <v>0</v>
      </c>
    </row>
    <row r="512" spans="1:23" x14ac:dyDescent="0.25">
      <c r="A512" s="4"/>
      <c r="B512" s="4"/>
      <c r="C512" s="4">
        <v>886656</v>
      </c>
      <c r="D512" s="4">
        <v>5164.29</v>
      </c>
      <c r="E512" s="5">
        <f t="shared" si="7"/>
        <v>-0.28999999999996362</v>
      </c>
      <c r="F512" s="9">
        <v>45279</v>
      </c>
      <c r="G512" s="10">
        <v>330216298</v>
      </c>
      <c r="H512" s="9">
        <v>45271</v>
      </c>
      <c r="I512" s="9">
        <v>45286</v>
      </c>
      <c r="J512" s="8">
        <v>5164</v>
      </c>
      <c r="K512" s="8" t="s">
        <v>31</v>
      </c>
      <c r="L512" s="8" t="s">
        <v>32</v>
      </c>
      <c r="M512" s="8"/>
      <c r="N512" s="8" t="b">
        <v>0</v>
      </c>
      <c r="O512" s="10">
        <v>708411</v>
      </c>
      <c r="P512" s="8" t="s">
        <v>263</v>
      </c>
      <c r="Q512" s="8">
        <v>402659</v>
      </c>
      <c r="R512" s="9">
        <v>45268</v>
      </c>
      <c r="S512" s="8" t="s">
        <v>34</v>
      </c>
      <c r="T512" s="8" t="s">
        <v>44</v>
      </c>
      <c r="U512" s="8" t="s">
        <v>58</v>
      </c>
      <c r="V512" s="8" t="s">
        <v>46</v>
      </c>
      <c r="W512" s="8">
        <v>0</v>
      </c>
    </row>
    <row r="513" spans="1:23" x14ac:dyDescent="0.25">
      <c r="A513" s="4"/>
      <c r="B513" s="4"/>
      <c r="C513" s="4">
        <v>886973</v>
      </c>
      <c r="D513" s="4">
        <v>5224.96</v>
      </c>
      <c r="E513" s="5">
        <f t="shared" si="7"/>
        <v>-1.9600000000000364</v>
      </c>
      <c r="F513" s="9">
        <v>45279</v>
      </c>
      <c r="G513" s="10">
        <v>330216452</v>
      </c>
      <c r="H513" s="9">
        <v>45271</v>
      </c>
      <c r="I513" s="9">
        <v>45286</v>
      </c>
      <c r="J513" s="8">
        <v>5223</v>
      </c>
      <c r="K513" s="8" t="s">
        <v>31</v>
      </c>
      <c r="L513" s="8" t="s">
        <v>32</v>
      </c>
      <c r="M513" s="8"/>
      <c r="N513" s="8" t="b">
        <v>0</v>
      </c>
      <c r="O513" s="16">
        <v>21099</v>
      </c>
      <c r="P513" s="8" t="s">
        <v>139</v>
      </c>
      <c r="Q513" s="8">
        <v>402807</v>
      </c>
      <c r="R513" s="9">
        <v>45268</v>
      </c>
      <c r="S513" s="8" t="s">
        <v>48</v>
      </c>
      <c r="T513" s="8" t="s">
        <v>40</v>
      </c>
      <c r="U513" s="8" t="s">
        <v>163</v>
      </c>
      <c r="V513" s="8" t="s">
        <v>46</v>
      </c>
      <c r="W513" s="8">
        <v>0</v>
      </c>
    </row>
    <row r="514" spans="1:23" x14ac:dyDescent="0.25">
      <c r="A514" s="4"/>
      <c r="B514" s="4"/>
      <c r="C514" s="4">
        <v>886652</v>
      </c>
      <c r="D514" s="4">
        <v>5053</v>
      </c>
      <c r="E514" s="5">
        <f t="shared" si="7"/>
        <v>0</v>
      </c>
      <c r="F514" s="9">
        <v>45279</v>
      </c>
      <c r="G514" s="10">
        <v>330216458</v>
      </c>
      <c r="H514" s="9">
        <v>45271</v>
      </c>
      <c r="I514" s="9">
        <v>45286</v>
      </c>
      <c r="J514" s="8">
        <v>5053</v>
      </c>
      <c r="K514" s="8" t="s">
        <v>31</v>
      </c>
      <c r="L514" s="8" t="s">
        <v>32</v>
      </c>
      <c r="M514" s="8"/>
      <c r="N514" s="8" t="b">
        <v>0</v>
      </c>
      <c r="O514" s="10">
        <v>708135</v>
      </c>
      <c r="P514" s="8" t="s">
        <v>211</v>
      </c>
      <c r="Q514" s="8">
        <v>402819</v>
      </c>
      <c r="R514" s="9">
        <v>45268</v>
      </c>
      <c r="S514" s="8" t="s">
        <v>34</v>
      </c>
      <c r="T514" s="8" t="s">
        <v>40</v>
      </c>
      <c r="U514" s="8" t="s">
        <v>84</v>
      </c>
      <c r="V514" s="8" t="s">
        <v>46</v>
      </c>
      <c r="W514" s="8">
        <v>0</v>
      </c>
    </row>
    <row r="515" spans="1:23" x14ac:dyDescent="0.25">
      <c r="A515" s="4"/>
      <c r="B515" s="4"/>
      <c r="C515" s="4">
        <v>886975</v>
      </c>
      <c r="D515" s="4">
        <v>4894.2299999999996</v>
      </c>
      <c r="E515" s="5">
        <f t="shared" si="7"/>
        <v>-0.22999999999956344</v>
      </c>
      <c r="F515" s="9">
        <v>45279</v>
      </c>
      <c r="G515" s="10">
        <v>330216474</v>
      </c>
      <c r="H515" s="9">
        <v>45271</v>
      </c>
      <c r="I515" s="9">
        <v>45286</v>
      </c>
      <c r="J515" s="8">
        <v>4894</v>
      </c>
      <c r="K515" s="8" t="s">
        <v>31</v>
      </c>
      <c r="L515" s="8" t="s">
        <v>32</v>
      </c>
      <c r="M515" s="8"/>
      <c r="N515" s="8" t="b">
        <v>0</v>
      </c>
      <c r="O515" s="16">
        <v>21103</v>
      </c>
      <c r="P515" s="8" t="s">
        <v>164</v>
      </c>
      <c r="Q515" s="8">
        <v>402812</v>
      </c>
      <c r="R515" s="9">
        <v>45268</v>
      </c>
      <c r="S515" s="8" t="s">
        <v>277</v>
      </c>
      <c r="T515" s="8" t="s">
        <v>40</v>
      </c>
      <c r="U515" s="8" t="s">
        <v>278</v>
      </c>
      <c r="V515" s="8" t="s">
        <v>279</v>
      </c>
      <c r="W515" s="8">
        <v>0</v>
      </c>
    </row>
    <row r="516" spans="1:23" x14ac:dyDescent="0.25">
      <c r="A516" s="4"/>
      <c r="B516" s="4"/>
      <c r="C516" s="4">
        <v>886648</v>
      </c>
      <c r="D516" s="4">
        <v>5193.6899999999996</v>
      </c>
      <c r="E516" s="5">
        <f t="shared" si="7"/>
        <v>0.31000000000040018</v>
      </c>
      <c r="F516" s="9">
        <v>45279</v>
      </c>
      <c r="G516" s="10">
        <v>330216870</v>
      </c>
      <c r="H516" s="9">
        <v>45271</v>
      </c>
      <c r="I516" s="9">
        <v>45286</v>
      </c>
      <c r="J516" s="8">
        <v>5194</v>
      </c>
      <c r="K516" s="8" t="s">
        <v>31</v>
      </c>
      <c r="L516" s="8" t="s">
        <v>32</v>
      </c>
      <c r="M516" s="8"/>
      <c r="N516" s="8" t="b">
        <v>0</v>
      </c>
      <c r="O516" s="10">
        <v>708250</v>
      </c>
      <c r="P516" s="8" t="s">
        <v>67</v>
      </c>
      <c r="Q516" s="8">
        <v>402903</v>
      </c>
      <c r="R516" s="9">
        <v>45268</v>
      </c>
      <c r="S516" s="8" t="s">
        <v>34</v>
      </c>
      <c r="T516" s="8" t="s">
        <v>40</v>
      </c>
      <c r="U516" s="8" t="s">
        <v>58</v>
      </c>
      <c r="V516" s="8" t="s">
        <v>46</v>
      </c>
      <c r="W516" s="8">
        <v>0</v>
      </c>
    </row>
    <row r="517" spans="1:23" x14ac:dyDescent="0.25">
      <c r="A517" s="4"/>
      <c r="B517" s="4"/>
      <c r="C517" s="4">
        <v>886650</v>
      </c>
      <c r="D517" s="4">
        <v>5193.6899999999996</v>
      </c>
      <c r="E517" s="5">
        <f t="shared" si="7"/>
        <v>0.31000000000040018</v>
      </c>
      <c r="F517" s="9">
        <v>45279</v>
      </c>
      <c r="G517" s="10">
        <v>330216872</v>
      </c>
      <c r="H517" s="9">
        <v>45271</v>
      </c>
      <c r="I517" s="9">
        <v>45286</v>
      </c>
      <c r="J517" s="8">
        <v>5194</v>
      </c>
      <c r="K517" s="8" t="s">
        <v>31</v>
      </c>
      <c r="L517" s="8" t="s">
        <v>32</v>
      </c>
      <c r="M517" s="8"/>
      <c r="N517" s="8" t="b">
        <v>0</v>
      </c>
      <c r="O517" s="10">
        <v>708249</v>
      </c>
      <c r="P517" s="8" t="s">
        <v>224</v>
      </c>
      <c r="Q517" s="8">
        <v>402863</v>
      </c>
      <c r="R517" s="9">
        <v>45268</v>
      </c>
      <c r="S517" s="8" t="s">
        <v>34</v>
      </c>
      <c r="T517" s="8" t="s">
        <v>40</v>
      </c>
      <c r="U517" s="8" t="s">
        <v>58</v>
      </c>
      <c r="V517" s="8" t="s">
        <v>46</v>
      </c>
      <c r="W517" s="8">
        <v>0</v>
      </c>
    </row>
    <row r="518" spans="1:23" x14ac:dyDescent="0.25">
      <c r="A518" s="4"/>
      <c r="B518" s="4"/>
      <c r="C518" s="4">
        <v>886644</v>
      </c>
      <c r="D518" s="4">
        <v>5193.6899999999996</v>
      </c>
      <c r="E518" s="5">
        <f t="shared" ref="E518:E580" si="8">J518-D518</f>
        <v>0.31000000000040018</v>
      </c>
      <c r="F518" s="9">
        <v>45279</v>
      </c>
      <c r="G518" s="10">
        <v>330216873</v>
      </c>
      <c r="H518" s="9">
        <v>45271</v>
      </c>
      <c r="I518" s="9">
        <v>45286</v>
      </c>
      <c r="J518" s="8">
        <v>5194</v>
      </c>
      <c r="K518" s="8" t="s">
        <v>31</v>
      </c>
      <c r="L518" s="8" t="s">
        <v>32</v>
      </c>
      <c r="M518" s="8"/>
      <c r="N518" s="8" t="b">
        <v>0</v>
      </c>
      <c r="O518" s="10">
        <v>708252</v>
      </c>
      <c r="P518" s="8" t="s">
        <v>102</v>
      </c>
      <c r="Q518" s="8">
        <v>403029</v>
      </c>
      <c r="R518" s="9">
        <v>45268</v>
      </c>
      <c r="S518" s="8" t="s">
        <v>34</v>
      </c>
      <c r="T518" s="8" t="s">
        <v>40</v>
      </c>
      <c r="U518" s="8" t="s">
        <v>58</v>
      </c>
      <c r="V518" s="8" t="s">
        <v>46</v>
      </c>
      <c r="W518" s="8">
        <v>0</v>
      </c>
    </row>
    <row r="519" spans="1:23" x14ac:dyDescent="0.25">
      <c r="A519" s="4"/>
      <c r="B519" s="4"/>
      <c r="C519" s="4">
        <v>886642</v>
      </c>
      <c r="D519" s="4">
        <v>5193.6899999999996</v>
      </c>
      <c r="E519" s="5">
        <f t="shared" si="8"/>
        <v>0.31000000000040018</v>
      </c>
      <c r="F519" s="9">
        <v>45279</v>
      </c>
      <c r="G519" s="10">
        <v>330216877</v>
      </c>
      <c r="H519" s="9">
        <v>45271</v>
      </c>
      <c r="I519" s="9">
        <v>45286</v>
      </c>
      <c r="J519" s="8">
        <v>5194</v>
      </c>
      <c r="K519" s="8" t="s">
        <v>31</v>
      </c>
      <c r="L519" s="8" t="s">
        <v>32</v>
      </c>
      <c r="M519" s="8"/>
      <c r="N519" s="8" t="b">
        <v>0</v>
      </c>
      <c r="O519" s="10">
        <v>708913</v>
      </c>
      <c r="P519" s="8" t="s">
        <v>283</v>
      </c>
      <c r="Q519" s="8">
        <v>403068</v>
      </c>
      <c r="R519" s="9">
        <v>45268</v>
      </c>
      <c r="S519" s="8" t="s">
        <v>34</v>
      </c>
      <c r="T519" s="8" t="s">
        <v>40</v>
      </c>
      <c r="U519" s="8" t="s">
        <v>58</v>
      </c>
      <c r="V519" s="8" t="s">
        <v>46</v>
      </c>
      <c r="W519" s="8">
        <v>0</v>
      </c>
    </row>
    <row r="520" spans="1:23" x14ac:dyDescent="0.25">
      <c r="A520" s="4"/>
      <c r="B520" s="4"/>
      <c r="C520" s="4">
        <v>886646</v>
      </c>
      <c r="D520" s="4">
        <v>5193.6899999999996</v>
      </c>
      <c r="E520" s="5">
        <f t="shared" si="8"/>
        <v>0.31000000000040018</v>
      </c>
      <c r="F520" s="9">
        <v>45279</v>
      </c>
      <c r="G520" s="10">
        <v>330216890</v>
      </c>
      <c r="H520" s="9">
        <v>45271</v>
      </c>
      <c r="I520" s="9">
        <v>45286</v>
      </c>
      <c r="J520" s="8">
        <v>5194</v>
      </c>
      <c r="K520" s="8" t="s">
        <v>31</v>
      </c>
      <c r="L520" s="8" t="s">
        <v>32</v>
      </c>
      <c r="M520" s="8"/>
      <c r="N520" s="8" t="b">
        <v>0</v>
      </c>
      <c r="O520" s="10">
        <v>708251</v>
      </c>
      <c r="P520" s="8" t="s">
        <v>66</v>
      </c>
      <c r="Q520" s="8">
        <v>402971</v>
      </c>
      <c r="R520" s="9">
        <v>45268</v>
      </c>
      <c r="S520" s="8" t="s">
        <v>34</v>
      </c>
      <c r="T520" s="8" t="s">
        <v>40</v>
      </c>
      <c r="U520" s="8" t="s">
        <v>58</v>
      </c>
      <c r="V520" s="8" t="s">
        <v>46</v>
      </c>
      <c r="W520" s="8">
        <v>0</v>
      </c>
    </row>
    <row r="521" spans="1:23" x14ac:dyDescent="0.25">
      <c r="A521" s="4"/>
      <c r="B521" s="4"/>
      <c r="C521" s="4">
        <v>886640</v>
      </c>
      <c r="D521" s="4">
        <v>5193.6899999999996</v>
      </c>
      <c r="E521" s="5">
        <f t="shared" si="8"/>
        <v>0.31000000000040018</v>
      </c>
      <c r="F521" s="9">
        <v>45279</v>
      </c>
      <c r="G521" s="10">
        <v>330216897</v>
      </c>
      <c r="H521" s="9">
        <v>45271</v>
      </c>
      <c r="I521" s="9">
        <v>45286</v>
      </c>
      <c r="J521" s="8">
        <v>5194</v>
      </c>
      <c r="K521" s="8" t="s">
        <v>31</v>
      </c>
      <c r="L521" s="8" t="s">
        <v>32</v>
      </c>
      <c r="M521" s="8"/>
      <c r="N521" s="8" t="b">
        <v>0</v>
      </c>
      <c r="O521" s="10">
        <v>708914</v>
      </c>
      <c r="P521" s="8" t="s">
        <v>96</v>
      </c>
      <c r="Q521" s="8">
        <v>403099</v>
      </c>
      <c r="R521" s="9">
        <v>45268</v>
      </c>
      <c r="S521" s="8" t="s">
        <v>34</v>
      </c>
      <c r="T521" s="8" t="s">
        <v>40</v>
      </c>
      <c r="U521" s="8" t="s">
        <v>58</v>
      </c>
      <c r="V521" s="8" t="s">
        <v>46</v>
      </c>
      <c r="W521" s="8">
        <v>0</v>
      </c>
    </row>
    <row r="522" spans="1:23" x14ac:dyDescent="0.25">
      <c r="A522" s="4"/>
      <c r="B522" s="4"/>
      <c r="C522" s="4">
        <v>886636</v>
      </c>
      <c r="D522" s="4">
        <v>5053</v>
      </c>
      <c r="E522" s="5">
        <f t="shared" si="8"/>
        <v>0</v>
      </c>
      <c r="F522" s="9">
        <v>45279</v>
      </c>
      <c r="G522" s="10">
        <v>330247499</v>
      </c>
      <c r="H522" s="9">
        <v>45271</v>
      </c>
      <c r="I522" s="9">
        <v>45286</v>
      </c>
      <c r="J522" s="8">
        <v>5053</v>
      </c>
      <c r="K522" s="8" t="s">
        <v>31</v>
      </c>
      <c r="L522" s="8" t="s">
        <v>32</v>
      </c>
      <c r="M522" s="8"/>
      <c r="N522" s="8" t="b">
        <v>0</v>
      </c>
      <c r="O522" s="10">
        <v>708137</v>
      </c>
      <c r="P522" s="8" t="s">
        <v>167</v>
      </c>
      <c r="Q522" s="8">
        <v>417332</v>
      </c>
      <c r="R522" s="9">
        <v>45271</v>
      </c>
      <c r="S522" s="8" t="s">
        <v>34</v>
      </c>
      <c r="T522" s="8" t="s">
        <v>40</v>
      </c>
      <c r="U522" s="8" t="s">
        <v>84</v>
      </c>
      <c r="V522" s="8" t="s">
        <v>46</v>
      </c>
      <c r="W522" s="8">
        <v>0</v>
      </c>
    </row>
    <row r="523" spans="1:23" x14ac:dyDescent="0.25">
      <c r="A523" s="4"/>
      <c r="B523" s="4"/>
      <c r="C523" s="4">
        <v>886628</v>
      </c>
      <c r="D523" s="4">
        <v>5053</v>
      </c>
      <c r="E523" s="5">
        <f t="shared" si="8"/>
        <v>0</v>
      </c>
      <c r="F523" s="9">
        <v>45279</v>
      </c>
      <c r="G523" s="10">
        <v>330247523</v>
      </c>
      <c r="H523" s="9">
        <v>45271</v>
      </c>
      <c r="I523" s="9">
        <v>45286</v>
      </c>
      <c r="J523" s="8">
        <v>5053</v>
      </c>
      <c r="K523" s="8" t="s">
        <v>31</v>
      </c>
      <c r="L523" s="8" t="s">
        <v>32</v>
      </c>
      <c r="M523" s="8"/>
      <c r="N523" s="8" t="b">
        <v>0</v>
      </c>
      <c r="O523" s="10">
        <v>708141</v>
      </c>
      <c r="P523" s="8" t="s">
        <v>33</v>
      </c>
      <c r="Q523" s="8">
        <v>417364</v>
      </c>
      <c r="R523" s="9">
        <v>45271</v>
      </c>
      <c r="S523" s="8" t="s">
        <v>34</v>
      </c>
      <c r="T523" s="8" t="s">
        <v>40</v>
      </c>
      <c r="U523" s="8" t="s">
        <v>84</v>
      </c>
      <c r="V523" s="8" t="s">
        <v>46</v>
      </c>
      <c r="W523" s="8">
        <v>0</v>
      </c>
    </row>
    <row r="524" spans="1:23" x14ac:dyDescent="0.25">
      <c r="A524" s="4"/>
      <c r="B524" s="4"/>
      <c r="C524" s="4">
        <v>886632</v>
      </c>
      <c r="D524" s="4">
        <v>5053</v>
      </c>
      <c r="E524" s="5">
        <f t="shared" si="8"/>
        <v>0</v>
      </c>
      <c r="F524" s="9">
        <v>45279</v>
      </c>
      <c r="G524" s="10">
        <v>330247531</v>
      </c>
      <c r="H524" s="9">
        <v>45271</v>
      </c>
      <c r="I524" s="9">
        <v>45286</v>
      </c>
      <c r="J524" s="8">
        <v>5053</v>
      </c>
      <c r="K524" s="8" t="s">
        <v>31</v>
      </c>
      <c r="L524" s="8" t="s">
        <v>32</v>
      </c>
      <c r="M524" s="8"/>
      <c r="N524" s="8" t="b">
        <v>0</v>
      </c>
      <c r="O524" s="10">
        <v>708139</v>
      </c>
      <c r="P524" s="8" t="s">
        <v>80</v>
      </c>
      <c r="Q524" s="8">
        <v>417342</v>
      </c>
      <c r="R524" s="9">
        <v>45271</v>
      </c>
      <c r="S524" s="8" t="s">
        <v>34</v>
      </c>
      <c r="T524" s="8" t="s">
        <v>40</v>
      </c>
      <c r="U524" s="8" t="s">
        <v>84</v>
      </c>
      <c r="V524" s="8" t="s">
        <v>46</v>
      </c>
      <c r="W524" s="8">
        <v>0</v>
      </c>
    </row>
    <row r="525" spans="1:23" x14ac:dyDescent="0.25">
      <c r="A525" s="4"/>
      <c r="B525" s="4"/>
      <c r="C525" s="4">
        <v>886634</v>
      </c>
      <c r="D525" s="4">
        <v>5053</v>
      </c>
      <c r="E525" s="5">
        <f t="shared" si="8"/>
        <v>0</v>
      </c>
      <c r="F525" s="9">
        <v>45279</v>
      </c>
      <c r="G525" s="10">
        <v>330247553</v>
      </c>
      <c r="H525" s="9">
        <v>45271</v>
      </c>
      <c r="I525" s="9">
        <v>45286</v>
      </c>
      <c r="J525" s="8">
        <v>5053</v>
      </c>
      <c r="K525" s="8" t="s">
        <v>31</v>
      </c>
      <c r="L525" s="8" t="s">
        <v>32</v>
      </c>
      <c r="M525" s="8"/>
      <c r="N525" s="8" t="b">
        <v>0</v>
      </c>
      <c r="O525" s="10">
        <v>708138</v>
      </c>
      <c r="P525" s="8" t="s">
        <v>135</v>
      </c>
      <c r="Q525" s="8">
        <v>417339</v>
      </c>
      <c r="R525" s="9">
        <v>45271</v>
      </c>
      <c r="S525" s="8" t="s">
        <v>34</v>
      </c>
      <c r="T525" s="8" t="s">
        <v>40</v>
      </c>
      <c r="U525" s="8" t="s">
        <v>84</v>
      </c>
      <c r="V525" s="8" t="s">
        <v>46</v>
      </c>
      <c r="W525" s="8">
        <v>0</v>
      </c>
    </row>
    <row r="526" spans="1:23" x14ac:dyDescent="0.25">
      <c r="A526" s="4"/>
      <c r="B526" s="4"/>
      <c r="C526" s="4">
        <v>886638</v>
      </c>
      <c r="D526" s="4">
        <v>5053</v>
      </c>
      <c r="E526" s="5">
        <f t="shared" si="8"/>
        <v>0</v>
      </c>
      <c r="F526" s="9">
        <v>45279</v>
      </c>
      <c r="G526" s="10">
        <v>330247555</v>
      </c>
      <c r="H526" s="9">
        <v>45271</v>
      </c>
      <c r="I526" s="9">
        <v>45286</v>
      </c>
      <c r="J526" s="8">
        <v>5053</v>
      </c>
      <c r="K526" s="8" t="s">
        <v>31</v>
      </c>
      <c r="L526" s="8" t="s">
        <v>32</v>
      </c>
      <c r="M526" s="8"/>
      <c r="N526" s="8" t="b">
        <v>0</v>
      </c>
      <c r="O526" s="10">
        <v>708136</v>
      </c>
      <c r="P526" s="8" t="s">
        <v>156</v>
      </c>
      <c r="Q526" s="8">
        <v>417322</v>
      </c>
      <c r="R526" s="9">
        <v>45271</v>
      </c>
      <c r="S526" s="8" t="s">
        <v>34</v>
      </c>
      <c r="T526" s="8" t="s">
        <v>40</v>
      </c>
      <c r="U526" s="8" t="s">
        <v>84</v>
      </c>
      <c r="V526" s="8" t="s">
        <v>46</v>
      </c>
      <c r="W526" s="8">
        <v>0</v>
      </c>
    </row>
    <row r="527" spans="1:23" x14ac:dyDescent="0.25">
      <c r="A527" s="4"/>
      <c r="B527" s="4"/>
      <c r="C527" s="4">
        <v>886626</v>
      </c>
      <c r="D527" s="4">
        <v>5193.6899999999996</v>
      </c>
      <c r="E527" s="5">
        <f t="shared" si="8"/>
        <v>0.31000000000040018</v>
      </c>
      <c r="F527" s="9">
        <v>45279</v>
      </c>
      <c r="G527" s="10">
        <v>330247577</v>
      </c>
      <c r="H527" s="9">
        <v>45271</v>
      </c>
      <c r="I527" s="9">
        <v>45286</v>
      </c>
      <c r="J527" s="8">
        <v>5194</v>
      </c>
      <c r="K527" s="8" t="s">
        <v>31</v>
      </c>
      <c r="L527" s="8" t="s">
        <v>32</v>
      </c>
      <c r="M527" s="8"/>
      <c r="N527" s="8" t="b">
        <v>0</v>
      </c>
      <c r="O527" s="10">
        <v>708936</v>
      </c>
      <c r="P527" s="8" t="s">
        <v>276</v>
      </c>
      <c r="Q527" s="8">
        <v>417382</v>
      </c>
      <c r="R527" s="9">
        <v>45271</v>
      </c>
      <c r="S527" s="8" t="s">
        <v>34</v>
      </c>
      <c r="T527" s="8" t="s">
        <v>40</v>
      </c>
      <c r="U527" s="8" t="s">
        <v>58</v>
      </c>
      <c r="V527" s="8" t="s">
        <v>46</v>
      </c>
      <c r="W527" s="8">
        <v>0</v>
      </c>
    </row>
    <row r="528" spans="1:23" x14ac:dyDescent="0.25">
      <c r="A528" s="4"/>
      <c r="B528" s="4"/>
      <c r="C528" s="4">
        <v>886620</v>
      </c>
      <c r="D528" s="4">
        <v>5193.6899999999996</v>
      </c>
      <c r="E528" s="5">
        <f t="shared" si="8"/>
        <v>0.31000000000040018</v>
      </c>
      <c r="F528" s="9">
        <v>45279</v>
      </c>
      <c r="G528" s="10">
        <v>330247578</v>
      </c>
      <c r="H528" s="9">
        <v>45271</v>
      </c>
      <c r="I528" s="9">
        <v>45286</v>
      </c>
      <c r="J528" s="8">
        <v>5194</v>
      </c>
      <c r="K528" s="8" t="s">
        <v>31</v>
      </c>
      <c r="L528" s="8" t="s">
        <v>32</v>
      </c>
      <c r="M528" s="8"/>
      <c r="N528" s="8" t="b">
        <v>0</v>
      </c>
      <c r="O528" s="10">
        <v>708938</v>
      </c>
      <c r="P528" s="8" t="s">
        <v>79</v>
      </c>
      <c r="Q528" s="8">
        <v>417393</v>
      </c>
      <c r="R528" s="9">
        <v>45271</v>
      </c>
      <c r="S528" s="8" t="s">
        <v>34</v>
      </c>
      <c r="T528" s="8" t="s">
        <v>40</v>
      </c>
      <c r="U528" s="8" t="s">
        <v>58</v>
      </c>
      <c r="V528" s="8" t="s">
        <v>46</v>
      </c>
      <c r="W528" s="8">
        <v>0</v>
      </c>
    </row>
    <row r="529" spans="1:23" x14ac:dyDescent="0.25">
      <c r="A529" s="4"/>
      <c r="B529" s="4"/>
      <c r="C529" s="4">
        <v>886520</v>
      </c>
      <c r="D529" s="4">
        <v>43904</v>
      </c>
      <c r="E529" s="5">
        <f t="shared" si="8"/>
        <v>-4</v>
      </c>
      <c r="F529" s="9">
        <v>45279</v>
      </c>
      <c r="G529" s="10">
        <v>330247581</v>
      </c>
      <c r="H529" s="9">
        <v>45271</v>
      </c>
      <c r="I529" s="9">
        <v>45286</v>
      </c>
      <c r="J529" s="8">
        <v>43900</v>
      </c>
      <c r="K529" s="8" t="s">
        <v>31</v>
      </c>
      <c r="L529" s="8" t="s">
        <v>32</v>
      </c>
      <c r="M529" s="8"/>
      <c r="N529" s="8" t="b">
        <v>0</v>
      </c>
      <c r="O529" s="10"/>
      <c r="P529" s="8" t="s">
        <v>345</v>
      </c>
      <c r="Q529" s="8">
        <v>417405</v>
      </c>
      <c r="R529" s="9">
        <v>45271</v>
      </c>
      <c r="S529" s="8" t="s">
        <v>34</v>
      </c>
      <c r="T529" s="8" t="s">
        <v>49</v>
      </c>
      <c r="U529" s="8" t="s">
        <v>75</v>
      </c>
      <c r="V529" s="8" t="s">
        <v>46</v>
      </c>
      <c r="W529" s="8">
        <v>0</v>
      </c>
    </row>
    <row r="530" spans="1:23" x14ac:dyDescent="0.25">
      <c r="A530" s="4"/>
      <c r="B530" s="4"/>
      <c r="C530" s="4">
        <v>886623</v>
      </c>
      <c r="D530" s="4">
        <v>5193.6899999999996</v>
      </c>
      <c r="E530" s="5">
        <f t="shared" si="8"/>
        <v>0.31000000000040018</v>
      </c>
      <c r="F530" s="9">
        <v>45279</v>
      </c>
      <c r="G530" s="10">
        <v>330247600</v>
      </c>
      <c r="H530" s="9">
        <v>45271</v>
      </c>
      <c r="I530" s="9">
        <v>45286</v>
      </c>
      <c r="J530" s="8">
        <v>5194</v>
      </c>
      <c r="K530" s="8" t="s">
        <v>31</v>
      </c>
      <c r="L530" s="8" t="s">
        <v>32</v>
      </c>
      <c r="M530" s="8"/>
      <c r="N530" s="8" t="b">
        <v>0</v>
      </c>
      <c r="O530" s="10">
        <v>708937</v>
      </c>
      <c r="P530" s="8" t="s">
        <v>191</v>
      </c>
      <c r="Q530" s="8">
        <v>417386</v>
      </c>
      <c r="R530" s="9">
        <v>45271</v>
      </c>
      <c r="S530" s="8" t="s">
        <v>34</v>
      </c>
      <c r="T530" s="8" t="s">
        <v>40</v>
      </c>
      <c r="U530" s="8" t="s">
        <v>58</v>
      </c>
      <c r="V530" s="8" t="s">
        <v>46</v>
      </c>
      <c r="W530" s="8">
        <v>0</v>
      </c>
    </row>
    <row r="531" spans="1:23" x14ac:dyDescent="0.25">
      <c r="A531" s="4"/>
      <c r="B531" s="4"/>
      <c r="C531" s="4">
        <v>886630</v>
      </c>
      <c r="D531" s="4">
        <v>5053</v>
      </c>
      <c r="E531" s="5">
        <f t="shared" si="8"/>
        <v>0</v>
      </c>
      <c r="F531" s="9">
        <v>45279</v>
      </c>
      <c r="G531" s="10">
        <v>330247621</v>
      </c>
      <c r="H531" s="9">
        <v>45271</v>
      </c>
      <c r="I531" s="9">
        <v>45286</v>
      </c>
      <c r="J531" s="8">
        <v>5053</v>
      </c>
      <c r="K531" s="8" t="s">
        <v>31</v>
      </c>
      <c r="L531" s="8" t="s">
        <v>32</v>
      </c>
      <c r="M531" s="8"/>
      <c r="N531" s="8" t="b">
        <v>0</v>
      </c>
      <c r="O531" s="10">
        <v>708140</v>
      </c>
      <c r="P531" s="8" t="s">
        <v>323</v>
      </c>
      <c r="Q531" s="8">
        <v>417360</v>
      </c>
      <c r="R531" s="9">
        <v>45271</v>
      </c>
      <c r="S531" s="8" t="s">
        <v>34</v>
      </c>
      <c r="T531" s="8" t="s">
        <v>40</v>
      </c>
      <c r="U531" s="8" t="s">
        <v>84</v>
      </c>
      <c r="V531" s="8" t="s">
        <v>46</v>
      </c>
      <c r="W531" s="8">
        <v>0</v>
      </c>
    </row>
    <row r="532" spans="1:23" x14ac:dyDescent="0.25">
      <c r="A532" s="4"/>
      <c r="B532" s="4"/>
      <c r="C532" s="4">
        <v>887084</v>
      </c>
      <c r="D532" s="4">
        <v>5164.29</v>
      </c>
      <c r="E532" s="5">
        <f t="shared" si="8"/>
        <v>-0.28999999999996362</v>
      </c>
      <c r="F532" s="9">
        <v>45279</v>
      </c>
      <c r="G532" s="10">
        <v>330248102</v>
      </c>
      <c r="H532" s="9">
        <v>45271</v>
      </c>
      <c r="I532" s="9">
        <v>45286</v>
      </c>
      <c r="J532" s="8">
        <v>5164</v>
      </c>
      <c r="K532" s="8" t="s">
        <v>31</v>
      </c>
      <c r="L532" s="8" t="s">
        <v>32</v>
      </c>
      <c r="M532" s="8"/>
      <c r="N532" s="8" t="b">
        <v>0</v>
      </c>
      <c r="O532" s="10">
        <v>705143</v>
      </c>
      <c r="P532" s="8" t="s">
        <v>121</v>
      </c>
      <c r="Q532" s="8">
        <v>417914</v>
      </c>
      <c r="R532" s="9">
        <v>45271</v>
      </c>
      <c r="S532" s="8" t="s">
        <v>34</v>
      </c>
      <c r="T532" s="8" t="s">
        <v>44</v>
      </c>
      <c r="U532" s="8" t="s">
        <v>58</v>
      </c>
      <c r="V532" s="8" t="s">
        <v>46</v>
      </c>
      <c r="W532" s="8">
        <v>0</v>
      </c>
    </row>
    <row r="533" spans="1:23" x14ac:dyDescent="0.25">
      <c r="A533" s="4"/>
      <c r="B533" s="4"/>
      <c r="C533" s="4">
        <v>887086</v>
      </c>
      <c r="D533" s="4">
        <v>5164.29</v>
      </c>
      <c r="E533" s="5">
        <f t="shared" si="8"/>
        <v>-0.28999999999996362</v>
      </c>
      <c r="F533" s="9">
        <v>45279</v>
      </c>
      <c r="G533" s="10">
        <v>330248128</v>
      </c>
      <c r="H533" s="9">
        <v>45271</v>
      </c>
      <c r="I533" s="9">
        <v>45286</v>
      </c>
      <c r="J533" s="8">
        <v>5164</v>
      </c>
      <c r="K533" s="8" t="s">
        <v>31</v>
      </c>
      <c r="L533" s="8" t="s">
        <v>32</v>
      </c>
      <c r="M533" s="8"/>
      <c r="N533" s="8" t="b">
        <v>0</v>
      </c>
      <c r="O533" s="10">
        <v>705144</v>
      </c>
      <c r="P533" s="8" t="s">
        <v>194</v>
      </c>
      <c r="Q533" s="8">
        <v>417917</v>
      </c>
      <c r="R533" s="9">
        <v>45271</v>
      </c>
      <c r="S533" s="8" t="s">
        <v>34</v>
      </c>
      <c r="T533" s="8" t="s">
        <v>44</v>
      </c>
      <c r="U533" s="8" t="s">
        <v>58</v>
      </c>
      <c r="V533" s="8" t="s">
        <v>46</v>
      </c>
      <c r="W533" s="8">
        <v>0</v>
      </c>
    </row>
    <row r="534" spans="1:23" x14ac:dyDescent="0.25">
      <c r="A534" s="4"/>
      <c r="B534" s="4"/>
      <c r="C534" s="4">
        <v>887088</v>
      </c>
      <c r="D534" s="4">
        <v>5164.29</v>
      </c>
      <c r="E534" s="5">
        <f t="shared" si="8"/>
        <v>-0.28999999999996362</v>
      </c>
      <c r="F534" s="9">
        <v>45279</v>
      </c>
      <c r="G534" s="10">
        <v>330248147</v>
      </c>
      <c r="H534" s="9">
        <v>45271</v>
      </c>
      <c r="I534" s="9">
        <v>45286</v>
      </c>
      <c r="J534" s="8">
        <v>5164</v>
      </c>
      <c r="K534" s="8" t="s">
        <v>31</v>
      </c>
      <c r="L534" s="8" t="s">
        <v>32</v>
      </c>
      <c r="M534" s="8"/>
      <c r="N534" s="8" t="b">
        <v>0</v>
      </c>
      <c r="O534" s="10">
        <v>706722</v>
      </c>
      <c r="P534" s="8" t="s">
        <v>124</v>
      </c>
      <c r="Q534" s="8">
        <v>417955</v>
      </c>
      <c r="R534" s="9">
        <v>45271</v>
      </c>
      <c r="S534" s="8" t="s">
        <v>34</v>
      </c>
      <c r="T534" s="8" t="s">
        <v>44</v>
      </c>
      <c r="U534" s="8" t="s">
        <v>58</v>
      </c>
      <c r="V534" s="8" t="s">
        <v>46</v>
      </c>
      <c r="W534" s="8">
        <v>0</v>
      </c>
    </row>
    <row r="535" spans="1:23" x14ac:dyDescent="0.25">
      <c r="A535" s="4"/>
      <c r="B535" s="4"/>
      <c r="C535" s="4">
        <v>887090</v>
      </c>
      <c r="D535" s="4">
        <v>5164.29</v>
      </c>
      <c r="E535" s="5">
        <f t="shared" si="8"/>
        <v>-0.28999999999996362</v>
      </c>
      <c r="F535" s="9">
        <v>45279</v>
      </c>
      <c r="G535" s="10">
        <v>330248173</v>
      </c>
      <c r="H535" s="9">
        <v>45271</v>
      </c>
      <c r="I535" s="9">
        <v>45286</v>
      </c>
      <c r="J535" s="8">
        <v>5164</v>
      </c>
      <c r="K535" s="8" t="s">
        <v>31</v>
      </c>
      <c r="L535" s="8" t="s">
        <v>32</v>
      </c>
      <c r="M535" s="8"/>
      <c r="N535" s="8" t="b">
        <v>0</v>
      </c>
      <c r="O535" s="10">
        <v>708409</v>
      </c>
      <c r="P535" s="8" t="s">
        <v>302</v>
      </c>
      <c r="Q535" s="8">
        <v>418062</v>
      </c>
      <c r="R535" s="9">
        <v>45271</v>
      </c>
      <c r="S535" s="8" t="s">
        <v>34</v>
      </c>
      <c r="T535" s="8" t="s">
        <v>44</v>
      </c>
      <c r="U535" s="8" t="s">
        <v>58</v>
      </c>
      <c r="V535" s="8" t="s">
        <v>46</v>
      </c>
      <c r="W535" s="8">
        <v>0</v>
      </c>
    </row>
    <row r="536" spans="1:23" x14ac:dyDescent="0.25">
      <c r="A536" s="4"/>
      <c r="B536" s="4"/>
      <c r="C536" s="4">
        <v>887092</v>
      </c>
      <c r="D536" s="4">
        <v>5164.29</v>
      </c>
      <c r="E536" s="5">
        <f t="shared" si="8"/>
        <v>-0.28999999999996362</v>
      </c>
      <c r="F536" s="9">
        <v>45279</v>
      </c>
      <c r="G536" s="10">
        <v>330248175</v>
      </c>
      <c r="H536" s="9">
        <v>45271</v>
      </c>
      <c r="I536" s="9">
        <v>45286</v>
      </c>
      <c r="J536" s="8">
        <v>5164</v>
      </c>
      <c r="K536" s="8" t="s">
        <v>31</v>
      </c>
      <c r="L536" s="8" t="s">
        <v>32</v>
      </c>
      <c r="M536" s="8"/>
      <c r="N536" s="8" t="b">
        <v>0</v>
      </c>
      <c r="O536" s="10">
        <v>708412</v>
      </c>
      <c r="P536" s="8" t="s">
        <v>304</v>
      </c>
      <c r="Q536" s="8">
        <v>418085</v>
      </c>
      <c r="R536" s="9">
        <v>45271</v>
      </c>
      <c r="S536" s="8" t="s">
        <v>34</v>
      </c>
      <c r="T536" s="8" t="s">
        <v>44</v>
      </c>
      <c r="U536" s="8" t="s">
        <v>58</v>
      </c>
      <c r="V536" s="8" t="s">
        <v>46</v>
      </c>
      <c r="W536" s="8">
        <v>0</v>
      </c>
    </row>
    <row r="537" spans="1:23" x14ac:dyDescent="0.25">
      <c r="A537" s="4"/>
      <c r="B537" s="4"/>
      <c r="C537" s="4">
        <v>886672</v>
      </c>
      <c r="D537" s="4">
        <v>5193.6899999999996</v>
      </c>
      <c r="E537" s="5">
        <f t="shared" si="8"/>
        <v>0.31000000000040018</v>
      </c>
      <c r="F537" s="9">
        <v>45279</v>
      </c>
      <c r="G537" s="10">
        <v>330254401</v>
      </c>
      <c r="H537" s="9">
        <v>45271</v>
      </c>
      <c r="I537" s="9">
        <v>45286</v>
      </c>
      <c r="J537" s="8">
        <v>5194</v>
      </c>
      <c r="K537" s="8" t="s">
        <v>31</v>
      </c>
      <c r="L537" s="8" t="s">
        <v>32</v>
      </c>
      <c r="M537" s="8"/>
      <c r="N537" s="8" t="b">
        <v>0</v>
      </c>
      <c r="O537" s="10">
        <v>709037</v>
      </c>
      <c r="P537" s="8" t="s">
        <v>221</v>
      </c>
      <c r="Q537" s="8">
        <v>423297</v>
      </c>
      <c r="R537" s="9">
        <v>45271</v>
      </c>
      <c r="S537" s="8" t="s">
        <v>34</v>
      </c>
      <c r="T537" s="8" t="s">
        <v>40</v>
      </c>
      <c r="U537" s="8" t="s">
        <v>58</v>
      </c>
      <c r="V537" s="8" t="s">
        <v>46</v>
      </c>
      <c r="W537" s="8">
        <v>0</v>
      </c>
    </row>
    <row r="538" spans="1:23" x14ac:dyDescent="0.25">
      <c r="A538" s="4"/>
      <c r="B538" s="4"/>
      <c r="C538" s="4">
        <v>886836</v>
      </c>
      <c r="D538" s="4">
        <v>7028.06</v>
      </c>
      <c r="E538" s="5">
        <f t="shared" si="8"/>
        <v>-6.0000000000400178E-2</v>
      </c>
      <c r="F538" s="9">
        <v>45279</v>
      </c>
      <c r="G538" s="10">
        <v>330254454</v>
      </c>
      <c r="H538" s="9">
        <v>45271</v>
      </c>
      <c r="I538" s="9">
        <v>45286</v>
      </c>
      <c r="J538" s="8">
        <v>7028</v>
      </c>
      <c r="K538" s="8" t="s">
        <v>31</v>
      </c>
      <c r="L538" s="8" t="s">
        <v>32</v>
      </c>
      <c r="M538" s="8"/>
      <c r="N538" s="8" t="b">
        <v>0</v>
      </c>
      <c r="O538" s="10">
        <v>21148</v>
      </c>
      <c r="P538" s="8" t="s">
        <v>83</v>
      </c>
      <c r="Q538" s="8">
        <v>423290</v>
      </c>
      <c r="R538" s="9">
        <v>45271</v>
      </c>
      <c r="S538" s="8" t="s">
        <v>39</v>
      </c>
      <c r="T538" s="8" t="s">
        <v>40</v>
      </c>
      <c r="U538" s="8" t="s">
        <v>41</v>
      </c>
      <c r="V538" s="8" t="s">
        <v>42</v>
      </c>
      <c r="W538" s="8">
        <v>0</v>
      </c>
    </row>
    <row r="539" spans="1:23" x14ac:dyDescent="0.25">
      <c r="A539" s="4"/>
      <c r="B539" s="4"/>
      <c r="C539" s="4">
        <v>886735</v>
      </c>
      <c r="D539" s="4">
        <v>9320.2199999999993</v>
      </c>
      <c r="E539" s="5">
        <f t="shared" si="8"/>
        <v>0.78000000000065484</v>
      </c>
      <c r="F539" s="9">
        <v>45279</v>
      </c>
      <c r="G539" s="10">
        <v>330254463</v>
      </c>
      <c r="H539" s="9">
        <v>45271</v>
      </c>
      <c r="I539" s="9">
        <v>45286</v>
      </c>
      <c r="J539" s="8">
        <v>9321</v>
      </c>
      <c r="K539" s="8" t="s">
        <v>31</v>
      </c>
      <c r="L539" s="8" t="s">
        <v>32</v>
      </c>
      <c r="M539" s="8"/>
      <c r="N539" s="8" t="b">
        <v>0</v>
      </c>
      <c r="O539" s="10">
        <v>705917</v>
      </c>
      <c r="P539" s="8" t="s">
        <v>223</v>
      </c>
      <c r="Q539" s="8">
        <v>423287</v>
      </c>
      <c r="R539" s="9">
        <v>45271</v>
      </c>
      <c r="S539" s="8" t="s">
        <v>130</v>
      </c>
      <c r="T539" s="8" t="s">
        <v>40</v>
      </c>
      <c r="U539" s="8" t="s">
        <v>131</v>
      </c>
      <c r="V539" s="8" t="s">
        <v>132</v>
      </c>
      <c r="W539" s="8">
        <v>0</v>
      </c>
    </row>
    <row r="540" spans="1:23" x14ac:dyDescent="0.25">
      <c r="A540" s="4"/>
      <c r="B540" s="4"/>
      <c r="C540" s="4">
        <v>887094</v>
      </c>
      <c r="D540" s="4">
        <v>5193.6899999999996</v>
      </c>
      <c r="E540" s="5">
        <f t="shared" si="8"/>
        <v>0.31000000000040018</v>
      </c>
      <c r="F540" s="9">
        <v>45279</v>
      </c>
      <c r="G540" s="10">
        <v>330254773</v>
      </c>
      <c r="H540" s="9">
        <v>45271</v>
      </c>
      <c r="I540" s="9">
        <v>45286</v>
      </c>
      <c r="J540" s="8">
        <v>5194</v>
      </c>
      <c r="K540" s="8" t="s">
        <v>31</v>
      </c>
      <c r="L540" s="8" t="s">
        <v>32</v>
      </c>
      <c r="M540" s="8"/>
      <c r="N540" s="8" t="b">
        <v>0</v>
      </c>
      <c r="O540" s="10">
        <v>709038</v>
      </c>
      <c r="P540" s="8" t="s">
        <v>196</v>
      </c>
      <c r="Q540" s="8">
        <v>423645</v>
      </c>
      <c r="R540" s="9">
        <v>45271</v>
      </c>
      <c r="S540" s="8" t="s">
        <v>34</v>
      </c>
      <c r="T540" s="8" t="s">
        <v>40</v>
      </c>
      <c r="U540" s="8" t="s">
        <v>58</v>
      </c>
      <c r="V540" s="8" t="s">
        <v>46</v>
      </c>
      <c r="W540" s="8">
        <v>0</v>
      </c>
    </row>
    <row r="541" spans="1:23" x14ac:dyDescent="0.25">
      <c r="A541" s="4"/>
      <c r="B541" s="4"/>
      <c r="C541" s="4">
        <v>886674</v>
      </c>
      <c r="D541" s="4">
        <v>5164.29</v>
      </c>
      <c r="E541" s="5">
        <f t="shared" si="8"/>
        <v>-0.28999999999996362</v>
      </c>
      <c r="F541" s="9">
        <v>45279</v>
      </c>
      <c r="G541" s="10">
        <v>330255346</v>
      </c>
      <c r="H541" s="9">
        <v>45271</v>
      </c>
      <c r="I541" s="9">
        <v>45286</v>
      </c>
      <c r="J541" s="8">
        <v>5164</v>
      </c>
      <c r="K541" s="8" t="s">
        <v>31</v>
      </c>
      <c r="L541" s="8" t="s">
        <v>32</v>
      </c>
      <c r="M541" s="8"/>
      <c r="N541" s="8" t="b">
        <v>0</v>
      </c>
      <c r="O541" s="10">
        <v>705145</v>
      </c>
      <c r="P541" s="8" t="s">
        <v>166</v>
      </c>
      <c r="Q541" s="8">
        <v>423839</v>
      </c>
      <c r="R541" s="9">
        <v>45271</v>
      </c>
      <c r="S541" s="8" t="s">
        <v>34</v>
      </c>
      <c r="T541" s="8" t="s">
        <v>44</v>
      </c>
      <c r="U541" s="8" t="s">
        <v>58</v>
      </c>
      <c r="V541" s="8" t="s">
        <v>46</v>
      </c>
      <c r="W541" s="8">
        <v>0</v>
      </c>
    </row>
    <row r="542" spans="1:23" x14ac:dyDescent="0.25">
      <c r="A542" s="4"/>
      <c r="B542" s="4"/>
      <c r="C542" s="4">
        <v>886618</v>
      </c>
      <c r="D542" s="4">
        <v>5164.29</v>
      </c>
      <c r="E542" s="5">
        <f t="shared" si="8"/>
        <v>-0.28999999999996362</v>
      </c>
      <c r="F542" s="9">
        <v>45279</v>
      </c>
      <c r="G542" s="10">
        <v>330255394</v>
      </c>
      <c r="H542" s="9">
        <v>45271</v>
      </c>
      <c r="I542" s="9">
        <v>45286</v>
      </c>
      <c r="J542" s="8">
        <v>5164</v>
      </c>
      <c r="K542" s="8" t="s">
        <v>31</v>
      </c>
      <c r="L542" s="8" t="s">
        <v>32</v>
      </c>
      <c r="M542" s="8"/>
      <c r="N542" s="8" t="b">
        <v>0</v>
      </c>
      <c r="O542" s="10">
        <v>705147</v>
      </c>
      <c r="P542" s="8" t="s">
        <v>289</v>
      </c>
      <c r="Q542" s="8">
        <v>423861</v>
      </c>
      <c r="R542" s="9">
        <v>45271</v>
      </c>
      <c r="S542" s="8" t="s">
        <v>34</v>
      </c>
      <c r="T542" s="8" t="s">
        <v>44</v>
      </c>
      <c r="U542" s="8" t="s">
        <v>58</v>
      </c>
      <c r="V542" s="8" t="s">
        <v>46</v>
      </c>
      <c r="W542" s="8">
        <v>0</v>
      </c>
    </row>
    <row r="543" spans="1:23" x14ac:dyDescent="0.25">
      <c r="A543" s="4"/>
      <c r="B543" s="4"/>
      <c r="C543" s="4">
        <v>887595</v>
      </c>
      <c r="D543" s="4">
        <v>5166.74</v>
      </c>
      <c r="E543" s="5">
        <f t="shared" si="8"/>
        <v>0.26000000000021828</v>
      </c>
      <c r="F543" s="9">
        <v>45279</v>
      </c>
      <c r="G543" s="10">
        <v>330255428</v>
      </c>
      <c r="H543" s="9">
        <v>45271</v>
      </c>
      <c r="I543" s="9">
        <v>45286</v>
      </c>
      <c r="J543" s="8">
        <v>5167</v>
      </c>
      <c r="K543" s="8" t="s">
        <v>31</v>
      </c>
      <c r="L543" s="8" t="s">
        <v>32</v>
      </c>
      <c r="M543" s="8"/>
      <c r="N543" s="8" t="b">
        <v>0</v>
      </c>
      <c r="O543" s="10">
        <v>702413</v>
      </c>
      <c r="P543" s="8" t="s">
        <v>152</v>
      </c>
      <c r="Q543" s="8">
        <v>423827</v>
      </c>
      <c r="R543" s="9">
        <v>45271</v>
      </c>
      <c r="S543" s="8" t="s">
        <v>180</v>
      </c>
      <c r="T543" s="8" t="s">
        <v>44</v>
      </c>
      <c r="U543" s="8" t="s">
        <v>45</v>
      </c>
      <c r="V543" s="8" t="s">
        <v>46</v>
      </c>
      <c r="W543" s="8">
        <v>0</v>
      </c>
    </row>
    <row r="544" spans="1:23" x14ac:dyDescent="0.25">
      <c r="A544" s="4"/>
      <c r="B544" s="4"/>
      <c r="C544" s="4">
        <v>886676</v>
      </c>
      <c r="D544" s="4">
        <v>5164.29</v>
      </c>
      <c r="E544" s="5">
        <f t="shared" si="8"/>
        <v>-0.28999999999996362</v>
      </c>
      <c r="F544" s="9">
        <v>45279</v>
      </c>
      <c r="G544" s="10">
        <v>330255430</v>
      </c>
      <c r="H544" s="9">
        <v>45271</v>
      </c>
      <c r="I544" s="9">
        <v>45286</v>
      </c>
      <c r="J544" s="8">
        <v>5164</v>
      </c>
      <c r="K544" s="8" t="s">
        <v>31</v>
      </c>
      <c r="L544" s="8" t="s">
        <v>32</v>
      </c>
      <c r="M544" s="8"/>
      <c r="N544" s="8" t="b">
        <v>0</v>
      </c>
      <c r="O544" s="16">
        <v>705146</v>
      </c>
      <c r="P544" s="8" t="s">
        <v>122</v>
      </c>
      <c r="Q544" s="8">
        <v>423845</v>
      </c>
      <c r="R544" s="9">
        <v>45271</v>
      </c>
      <c r="S544" s="8" t="s">
        <v>34</v>
      </c>
      <c r="T544" s="8" t="s">
        <v>44</v>
      </c>
      <c r="U544" s="8" t="s">
        <v>58</v>
      </c>
      <c r="V544" s="8" t="s">
        <v>46</v>
      </c>
      <c r="W544" s="8">
        <v>0</v>
      </c>
    </row>
    <row r="545" spans="1:23" x14ac:dyDescent="0.25">
      <c r="A545" s="4"/>
      <c r="B545" s="4"/>
      <c r="C545" s="4">
        <v>886837</v>
      </c>
      <c r="D545" s="4">
        <v>7028.06</v>
      </c>
      <c r="E545" s="5">
        <f t="shared" si="8"/>
        <v>-6.0000000000400178E-2</v>
      </c>
      <c r="F545" s="9">
        <v>45279</v>
      </c>
      <c r="G545" s="10">
        <v>330255993</v>
      </c>
      <c r="H545" s="9">
        <v>45271</v>
      </c>
      <c r="I545" s="9">
        <v>45286</v>
      </c>
      <c r="J545" s="8">
        <v>7028</v>
      </c>
      <c r="K545" s="8" t="s">
        <v>31</v>
      </c>
      <c r="L545" s="8" t="s">
        <v>32</v>
      </c>
      <c r="M545" s="8"/>
      <c r="N545" s="8" t="b">
        <v>0</v>
      </c>
      <c r="O545" s="16">
        <v>21149</v>
      </c>
      <c r="P545" s="8" t="s">
        <v>202</v>
      </c>
      <c r="Q545" s="8">
        <v>424325</v>
      </c>
      <c r="R545" s="9">
        <v>45271</v>
      </c>
      <c r="S545" s="8" t="s">
        <v>39</v>
      </c>
      <c r="T545" s="8" t="s">
        <v>40</v>
      </c>
      <c r="U545" s="8" t="s">
        <v>41</v>
      </c>
      <c r="V545" s="8" t="s">
        <v>42</v>
      </c>
      <c r="W545" s="8">
        <v>0</v>
      </c>
    </row>
    <row r="546" spans="1:23" x14ac:dyDescent="0.25">
      <c r="A546" s="4"/>
      <c r="B546" s="4"/>
      <c r="C546" s="4">
        <v>886841</v>
      </c>
      <c r="D546" s="4">
        <v>4894.2299999999996</v>
      </c>
      <c r="E546" s="5">
        <f t="shared" si="8"/>
        <v>-0.22999999999956344</v>
      </c>
      <c r="F546" s="9">
        <v>45279</v>
      </c>
      <c r="G546" s="10">
        <v>330259345</v>
      </c>
      <c r="H546" s="9">
        <v>45271</v>
      </c>
      <c r="I546" s="9">
        <v>45286</v>
      </c>
      <c r="J546" s="8">
        <v>4894</v>
      </c>
      <c r="K546" s="8" t="s">
        <v>31</v>
      </c>
      <c r="L546" s="8" t="s">
        <v>32</v>
      </c>
      <c r="M546" s="8"/>
      <c r="N546" s="8" t="b">
        <v>0</v>
      </c>
      <c r="O546" s="16">
        <v>21150</v>
      </c>
      <c r="P546" s="8" t="s">
        <v>162</v>
      </c>
      <c r="Q546" s="8">
        <v>427551</v>
      </c>
      <c r="R546" s="9">
        <v>45271</v>
      </c>
      <c r="S546" s="8" t="s">
        <v>277</v>
      </c>
      <c r="T546" s="8" t="s">
        <v>40</v>
      </c>
      <c r="U546" s="8" t="s">
        <v>278</v>
      </c>
      <c r="V546" s="8" t="s">
        <v>279</v>
      </c>
      <c r="W546" s="8">
        <v>0</v>
      </c>
    </row>
    <row r="547" spans="1:23" x14ac:dyDescent="0.25">
      <c r="A547" s="4"/>
      <c r="B547" s="4"/>
      <c r="C547" s="4">
        <v>886839</v>
      </c>
      <c r="D547" s="4">
        <v>5053</v>
      </c>
      <c r="E547" s="5">
        <f t="shared" si="8"/>
        <v>0</v>
      </c>
      <c r="F547" s="9">
        <v>45279</v>
      </c>
      <c r="G547" s="10">
        <v>330259388</v>
      </c>
      <c r="H547" s="9">
        <v>45271</v>
      </c>
      <c r="I547" s="9">
        <v>45286</v>
      </c>
      <c r="J547" s="8">
        <v>5053</v>
      </c>
      <c r="K547" s="8" t="s">
        <v>31</v>
      </c>
      <c r="L547" s="8" t="s">
        <v>32</v>
      </c>
      <c r="M547" s="8"/>
      <c r="N547" s="8" t="b">
        <v>0</v>
      </c>
      <c r="O547" s="16">
        <v>21147</v>
      </c>
      <c r="P547" s="8" t="s">
        <v>117</v>
      </c>
      <c r="Q547" s="8">
        <v>427542</v>
      </c>
      <c r="R547" s="9">
        <v>45271</v>
      </c>
      <c r="S547" s="8" t="s">
        <v>34</v>
      </c>
      <c r="T547" s="8" t="s">
        <v>40</v>
      </c>
      <c r="U547" s="8" t="s">
        <v>84</v>
      </c>
      <c r="V547" s="8" t="s">
        <v>46</v>
      </c>
      <c r="W547" s="8">
        <v>0</v>
      </c>
    </row>
    <row r="548" spans="1:23" x14ac:dyDescent="0.25">
      <c r="A548" s="4"/>
      <c r="B548" s="4"/>
      <c r="C548" s="4">
        <v>886758</v>
      </c>
      <c r="D548" s="4">
        <v>83417.600000000006</v>
      </c>
      <c r="E548" s="5">
        <f t="shared" si="8"/>
        <v>-7.6000000000058208</v>
      </c>
      <c r="F548" s="9">
        <v>45279</v>
      </c>
      <c r="G548" s="10">
        <v>330269459</v>
      </c>
      <c r="H548" s="9">
        <v>45272</v>
      </c>
      <c r="I548" s="9">
        <v>45287</v>
      </c>
      <c r="J548" s="8">
        <v>83410</v>
      </c>
      <c r="K548" s="8" t="s">
        <v>31</v>
      </c>
      <c r="L548" s="8" t="s">
        <v>32</v>
      </c>
      <c r="M548" s="8"/>
      <c r="N548" s="8" t="b">
        <v>0</v>
      </c>
      <c r="O548" s="10">
        <v>709185</v>
      </c>
      <c r="P548" s="8" t="s">
        <v>151</v>
      </c>
      <c r="Q548" s="8">
        <v>432671</v>
      </c>
      <c r="R548" s="9">
        <v>45272</v>
      </c>
      <c r="S548" s="8" t="s">
        <v>34</v>
      </c>
      <c r="T548" s="8" t="s">
        <v>49</v>
      </c>
      <c r="U548" s="8" t="s">
        <v>75</v>
      </c>
      <c r="V548" s="8" t="s">
        <v>46</v>
      </c>
      <c r="W548" s="8">
        <v>0</v>
      </c>
    </row>
    <row r="549" spans="1:23" x14ac:dyDescent="0.25">
      <c r="A549" s="4"/>
      <c r="B549" s="4"/>
      <c r="C549" s="4">
        <v>887096</v>
      </c>
      <c r="D549" s="4">
        <v>5193.6899999999996</v>
      </c>
      <c r="E549" s="5">
        <f t="shared" si="8"/>
        <v>0.31000000000040018</v>
      </c>
      <c r="F549" s="9">
        <v>45279</v>
      </c>
      <c r="G549" s="10">
        <v>330269922</v>
      </c>
      <c r="H549" s="9">
        <v>45272</v>
      </c>
      <c r="I549" s="9">
        <v>45287</v>
      </c>
      <c r="J549" s="8">
        <v>5194</v>
      </c>
      <c r="K549" s="8" t="s">
        <v>31</v>
      </c>
      <c r="L549" s="8" t="s">
        <v>32</v>
      </c>
      <c r="M549" s="8"/>
      <c r="N549" s="8" t="b">
        <v>0</v>
      </c>
      <c r="O549" s="10">
        <v>709039</v>
      </c>
      <c r="P549" s="8" t="s">
        <v>185</v>
      </c>
      <c r="Q549" s="8">
        <v>433070</v>
      </c>
      <c r="R549" s="9">
        <v>45272</v>
      </c>
      <c r="S549" s="8" t="s">
        <v>34</v>
      </c>
      <c r="T549" s="8" t="s">
        <v>40</v>
      </c>
      <c r="U549" s="8" t="s">
        <v>58</v>
      </c>
      <c r="V549" s="8" t="s">
        <v>46</v>
      </c>
      <c r="W549" s="8">
        <v>0</v>
      </c>
    </row>
    <row r="550" spans="1:23" x14ac:dyDescent="0.25">
      <c r="A550" s="4"/>
      <c r="B550" s="4"/>
      <c r="C550" s="4">
        <v>887098</v>
      </c>
      <c r="D550" s="4">
        <v>5193.6899999999996</v>
      </c>
      <c r="E550" s="5">
        <f t="shared" si="8"/>
        <v>0.31000000000040018</v>
      </c>
      <c r="F550" s="9">
        <v>45279</v>
      </c>
      <c r="G550" s="10">
        <v>330269928</v>
      </c>
      <c r="H550" s="9">
        <v>45272</v>
      </c>
      <c r="I550" s="9">
        <v>45287</v>
      </c>
      <c r="J550" s="8">
        <v>5194</v>
      </c>
      <c r="K550" s="8" t="s">
        <v>31</v>
      </c>
      <c r="L550" s="8" t="s">
        <v>32</v>
      </c>
      <c r="M550" s="8"/>
      <c r="N550" s="8" t="b">
        <v>0</v>
      </c>
      <c r="O550" s="10">
        <v>709040</v>
      </c>
      <c r="P550" s="8" t="s">
        <v>266</v>
      </c>
      <c r="Q550" s="8">
        <v>433105</v>
      </c>
      <c r="R550" s="9">
        <v>45272</v>
      </c>
      <c r="S550" s="8" t="s">
        <v>34</v>
      </c>
      <c r="T550" s="8" t="s">
        <v>40</v>
      </c>
      <c r="U550" s="8" t="s">
        <v>58</v>
      </c>
      <c r="V550" s="8" t="s">
        <v>46</v>
      </c>
      <c r="W550" s="8">
        <v>0</v>
      </c>
    </row>
    <row r="551" spans="1:23" x14ac:dyDescent="0.25">
      <c r="A551" s="4"/>
      <c r="B551" s="4"/>
      <c r="C551" s="4">
        <v>887101</v>
      </c>
      <c r="D551" s="4">
        <v>5193.6899999999996</v>
      </c>
      <c r="E551" s="5">
        <f t="shared" si="8"/>
        <v>0.31000000000040018</v>
      </c>
      <c r="F551" s="9">
        <v>45279</v>
      </c>
      <c r="G551" s="10">
        <v>330270311</v>
      </c>
      <c r="H551" s="9">
        <v>45272</v>
      </c>
      <c r="I551" s="9">
        <v>45287</v>
      </c>
      <c r="J551" s="8">
        <v>5194</v>
      </c>
      <c r="K551" s="8" t="s">
        <v>31</v>
      </c>
      <c r="L551" s="8" t="s">
        <v>32</v>
      </c>
      <c r="M551" s="8"/>
      <c r="N551" s="8" t="b">
        <v>0</v>
      </c>
      <c r="O551" s="10">
        <v>709041</v>
      </c>
      <c r="P551" s="8" t="s">
        <v>93</v>
      </c>
      <c r="Q551" s="8">
        <v>433427</v>
      </c>
      <c r="R551" s="9">
        <v>45272</v>
      </c>
      <c r="S551" s="8" t="s">
        <v>34</v>
      </c>
      <c r="T551" s="8" t="s">
        <v>40</v>
      </c>
      <c r="U551" s="8" t="s">
        <v>58</v>
      </c>
      <c r="V551" s="8" t="s">
        <v>46</v>
      </c>
      <c r="W551" s="8">
        <v>0</v>
      </c>
    </row>
    <row r="552" spans="1:23" x14ac:dyDescent="0.25">
      <c r="A552" s="4"/>
      <c r="B552" s="4"/>
      <c r="C552" s="4">
        <v>887103</v>
      </c>
      <c r="D552" s="4">
        <v>5193.6899999999996</v>
      </c>
      <c r="E552" s="5">
        <f t="shared" si="8"/>
        <v>0.31000000000040018</v>
      </c>
      <c r="F552" s="9">
        <v>45279</v>
      </c>
      <c r="G552" s="10">
        <v>330272105</v>
      </c>
      <c r="H552" s="9">
        <v>45272</v>
      </c>
      <c r="I552" s="9">
        <v>45287</v>
      </c>
      <c r="J552" s="8">
        <v>5194</v>
      </c>
      <c r="K552" s="8" t="s">
        <v>31</v>
      </c>
      <c r="L552" s="8" t="s">
        <v>32</v>
      </c>
      <c r="M552" s="8"/>
      <c r="N552" s="8" t="b">
        <v>0</v>
      </c>
      <c r="O552" s="10">
        <v>709042</v>
      </c>
      <c r="P552" s="8" t="s">
        <v>68</v>
      </c>
      <c r="Q552" s="8">
        <v>436373</v>
      </c>
      <c r="R552" s="9">
        <v>45272</v>
      </c>
      <c r="S552" s="8" t="s">
        <v>34</v>
      </c>
      <c r="T552" s="8" t="s">
        <v>40</v>
      </c>
      <c r="U552" s="8" t="s">
        <v>58</v>
      </c>
      <c r="V552" s="8" t="s">
        <v>46</v>
      </c>
      <c r="W552" s="8">
        <v>0</v>
      </c>
    </row>
    <row r="553" spans="1:23" x14ac:dyDescent="0.25">
      <c r="A553" s="4"/>
      <c r="B553" s="4"/>
      <c r="C553" s="4">
        <v>887105</v>
      </c>
      <c r="D553" s="4">
        <v>5193.6899999999996</v>
      </c>
      <c r="E553" s="5">
        <f t="shared" si="8"/>
        <v>0.31000000000040018</v>
      </c>
      <c r="F553" s="9">
        <v>45279</v>
      </c>
      <c r="G553" s="10">
        <v>330273916</v>
      </c>
      <c r="H553" s="9">
        <v>45272</v>
      </c>
      <c r="I553" s="9">
        <v>45287</v>
      </c>
      <c r="J553" s="8">
        <v>5194</v>
      </c>
      <c r="K553" s="8" t="s">
        <v>31</v>
      </c>
      <c r="L553" s="8" t="s">
        <v>32</v>
      </c>
      <c r="M553" s="8"/>
      <c r="N553" s="8" t="b">
        <v>0</v>
      </c>
      <c r="O553" s="10">
        <v>709043</v>
      </c>
      <c r="P553" s="8" t="s">
        <v>170</v>
      </c>
      <c r="Q553" s="8">
        <v>438151</v>
      </c>
      <c r="R553" s="9">
        <v>45272</v>
      </c>
      <c r="S553" s="8" t="s">
        <v>34</v>
      </c>
      <c r="T553" s="8" t="s">
        <v>40</v>
      </c>
      <c r="U553" s="8" t="s">
        <v>58</v>
      </c>
      <c r="V553" s="8" t="s">
        <v>46</v>
      </c>
      <c r="W553" s="8">
        <v>0</v>
      </c>
    </row>
    <row r="554" spans="1:23" x14ac:dyDescent="0.25">
      <c r="A554" s="4"/>
      <c r="B554" s="4"/>
      <c r="C554" s="4">
        <v>887107</v>
      </c>
      <c r="D554" s="4">
        <v>5193.6899999999996</v>
      </c>
      <c r="E554" s="5">
        <f t="shared" si="8"/>
        <v>0.31000000000040018</v>
      </c>
      <c r="F554" s="9">
        <v>45279</v>
      </c>
      <c r="G554" s="10">
        <v>330274231</v>
      </c>
      <c r="H554" s="9">
        <v>45272</v>
      </c>
      <c r="I554" s="9">
        <v>45287</v>
      </c>
      <c r="J554" s="8">
        <v>5194</v>
      </c>
      <c r="K554" s="8" t="s">
        <v>31</v>
      </c>
      <c r="L554" s="8" t="s">
        <v>32</v>
      </c>
      <c r="M554" s="8"/>
      <c r="N554" s="8" t="b">
        <v>0</v>
      </c>
      <c r="O554" s="10">
        <v>709044</v>
      </c>
      <c r="P554" s="8" t="s">
        <v>177</v>
      </c>
      <c r="Q554" s="8">
        <v>438304</v>
      </c>
      <c r="R554" s="9">
        <v>45272</v>
      </c>
      <c r="S554" s="8" t="s">
        <v>34</v>
      </c>
      <c r="T554" s="8" t="s">
        <v>40</v>
      </c>
      <c r="U554" s="8" t="s">
        <v>58</v>
      </c>
      <c r="V554" s="8" t="s">
        <v>46</v>
      </c>
      <c r="W554" s="8">
        <v>0</v>
      </c>
    </row>
    <row r="555" spans="1:23" x14ac:dyDescent="0.25">
      <c r="A555" s="4"/>
      <c r="B555" s="4"/>
      <c r="C555" s="4">
        <v>887109</v>
      </c>
      <c r="D555" s="4">
        <v>5053</v>
      </c>
      <c r="E555" s="5">
        <f t="shared" si="8"/>
        <v>0</v>
      </c>
      <c r="F555" s="9">
        <v>45279</v>
      </c>
      <c r="G555" s="10">
        <v>330277545</v>
      </c>
      <c r="H555" s="9">
        <v>45272</v>
      </c>
      <c r="I555" s="9">
        <v>45287</v>
      </c>
      <c r="J555" s="8">
        <v>5053</v>
      </c>
      <c r="K555" s="8" t="s">
        <v>31</v>
      </c>
      <c r="L555" s="8" t="s">
        <v>32</v>
      </c>
      <c r="M555" s="8"/>
      <c r="N555" s="8" t="b">
        <v>0</v>
      </c>
      <c r="O555" s="10">
        <v>708971</v>
      </c>
      <c r="P555" s="8" t="s">
        <v>65</v>
      </c>
      <c r="Q555" s="8">
        <v>441892</v>
      </c>
      <c r="R555" s="9">
        <v>45272</v>
      </c>
      <c r="S555" s="8" t="s">
        <v>34</v>
      </c>
      <c r="T555" s="8" t="s">
        <v>40</v>
      </c>
      <c r="U555" s="8" t="s">
        <v>84</v>
      </c>
      <c r="V555" s="8" t="s">
        <v>46</v>
      </c>
      <c r="W555" s="8">
        <v>0</v>
      </c>
    </row>
    <row r="556" spans="1:23" x14ac:dyDescent="0.25">
      <c r="A556" s="4"/>
      <c r="B556" s="4"/>
      <c r="C556" s="4">
        <v>887111</v>
      </c>
      <c r="D556" s="4">
        <v>5053</v>
      </c>
      <c r="E556" s="5">
        <f t="shared" si="8"/>
        <v>0</v>
      </c>
      <c r="F556" s="9">
        <v>45279</v>
      </c>
      <c r="G556" s="10">
        <v>330277553</v>
      </c>
      <c r="H556" s="9">
        <v>45272</v>
      </c>
      <c r="I556" s="9">
        <v>45287</v>
      </c>
      <c r="J556" s="8">
        <v>5053</v>
      </c>
      <c r="K556" s="8" t="s">
        <v>31</v>
      </c>
      <c r="L556" s="8" t="s">
        <v>32</v>
      </c>
      <c r="M556" s="8"/>
      <c r="N556" s="8" t="b">
        <v>0</v>
      </c>
      <c r="O556" s="10">
        <v>708970</v>
      </c>
      <c r="P556" s="8" t="s">
        <v>110</v>
      </c>
      <c r="Q556" s="8">
        <v>441887</v>
      </c>
      <c r="R556" s="9">
        <v>45272</v>
      </c>
      <c r="S556" s="8" t="s">
        <v>34</v>
      </c>
      <c r="T556" s="8" t="s">
        <v>40</v>
      </c>
      <c r="U556" s="8" t="s">
        <v>84</v>
      </c>
      <c r="V556" s="8" t="s">
        <v>46</v>
      </c>
      <c r="W556" s="8">
        <v>0</v>
      </c>
    </row>
    <row r="557" spans="1:23" x14ac:dyDescent="0.25">
      <c r="A557" s="4"/>
      <c r="B557" s="4"/>
      <c r="C557" s="4">
        <v>887113</v>
      </c>
      <c r="D557" s="4">
        <v>5053</v>
      </c>
      <c r="E557" s="5">
        <f t="shared" si="8"/>
        <v>0</v>
      </c>
      <c r="F557" s="9">
        <v>45279</v>
      </c>
      <c r="G557" s="10">
        <v>330278335</v>
      </c>
      <c r="H557" s="9">
        <v>45272</v>
      </c>
      <c r="I557" s="9">
        <v>45287</v>
      </c>
      <c r="J557" s="8">
        <v>5053</v>
      </c>
      <c r="K557" s="8" t="s">
        <v>31</v>
      </c>
      <c r="L557" s="8" t="s">
        <v>32</v>
      </c>
      <c r="M557" s="8"/>
      <c r="N557" s="8" t="b">
        <v>0</v>
      </c>
      <c r="O557" s="10">
        <v>708972</v>
      </c>
      <c r="P557" s="8" t="s">
        <v>56</v>
      </c>
      <c r="Q557" s="8">
        <v>442562</v>
      </c>
      <c r="R557" s="9">
        <v>45272</v>
      </c>
      <c r="S557" s="8" t="s">
        <v>34</v>
      </c>
      <c r="T557" s="8" t="s">
        <v>40</v>
      </c>
      <c r="U557" s="8" t="s">
        <v>84</v>
      </c>
      <c r="V557" s="8" t="s">
        <v>46</v>
      </c>
      <c r="W557" s="8">
        <v>0</v>
      </c>
    </row>
    <row r="558" spans="1:23" x14ac:dyDescent="0.25">
      <c r="A558" s="4"/>
      <c r="B558" s="4"/>
      <c r="C558" s="4">
        <v>887115</v>
      </c>
      <c r="D558" s="4">
        <v>5164.29</v>
      </c>
      <c r="E558" s="5">
        <f t="shared" si="8"/>
        <v>-0.28999999999996362</v>
      </c>
      <c r="F558" s="9">
        <v>45279</v>
      </c>
      <c r="G558" s="10">
        <v>330281375</v>
      </c>
      <c r="H558" s="9">
        <v>45272</v>
      </c>
      <c r="I558" s="9">
        <v>45287</v>
      </c>
      <c r="J558" s="8">
        <v>5164</v>
      </c>
      <c r="K558" s="8" t="s">
        <v>31</v>
      </c>
      <c r="L558" s="8" t="s">
        <v>32</v>
      </c>
      <c r="M558" s="8"/>
      <c r="N558" s="8" t="b">
        <v>0</v>
      </c>
      <c r="O558" s="10">
        <v>706733</v>
      </c>
      <c r="P558" s="8" t="s">
        <v>273</v>
      </c>
      <c r="Q558" s="8">
        <v>444791</v>
      </c>
      <c r="R558" s="9">
        <v>45272</v>
      </c>
      <c r="S558" s="8" t="s">
        <v>34</v>
      </c>
      <c r="T558" s="8" t="s">
        <v>44</v>
      </c>
      <c r="U558" s="8" t="s">
        <v>58</v>
      </c>
      <c r="V558" s="8" t="s">
        <v>46</v>
      </c>
      <c r="W558" s="8">
        <v>0</v>
      </c>
    </row>
    <row r="559" spans="1:23" x14ac:dyDescent="0.25">
      <c r="A559" s="4"/>
      <c r="B559" s="4"/>
      <c r="C559" s="4">
        <v>887117</v>
      </c>
      <c r="D559" s="4">
        <v>5164.29</v>
      </c>
      <c r="E559" s="5">
        <f t="shared" si="8"/>
        <v>-0.28999999999996362</v>
      </c>
      <c r="F559" s="9">
        <v>45279</v>
      </c>
      <c r="G559" s="10">
        <v>330281401</v>
      </c>
      <c r="H559" s="9">
        <v>45272</v>
      </c>
      <c r="I559" s="9">
        <v>45287</v>
      </c>
      <c r="J559" s="8">
        <v>5164</v>
      </c>
      <c r="K559" s="8" t="s">
        <v>31</v>
      </c>
      <c r="L559" s="8" t="s">
        <v>32</v>
      </c>
      <c r="M559" s="8"/>
      <c r="N559" s="8" t="b">
        <v>0</v>
      </c>
      <c r="O559" s="10">
        <v>705148</v>
      </c>
      <c r="P559" s="8" t="s">
        <v>43</v>
      </c>
      <c r="Q559" s="8">
        <v>444775</v>
      </c>
      <c r="R559" s="9">
        <v>45272</v>
      </c>
      <c r="S559" s="8" t="s">
        <v>34</v>
      </c>
      <c r="T559" s="8" t="s">
        <v>44</v>
      </c>
      <c r="U559" s="8" t="s">
        <v>58</v>
      </c>
      <c r="V559" s="8" t="s">
        <v>46</v>
      </c>
      <c r="W559" s="8">
        <v>0</v>
      </c>
    </row>
    <row r="560" spans="1:23" x14ac:dyDescent="0.25">
      <c r="A560" s="4"/>
      <c r="B560" s="4"/>
      <c r="C560" s="4">
        <v>887119</v>
      </c>
      <c r="D560" s="4">
        <v>5164.29</v>
      </c>
      <c r="E560" s="23">
        <f t="shared" si="8"/>
        <v>-0.28999999999996362</v>
      </c>
      <c r="F560" s="9">
        <v>45279</v>
      </c>
      <c r="G560" s="10">
        <v>330281431</v>
      </c>
      <c r="H560" s="9">
        <v>45272</v>
      </c>
      <c r="I560" s="9">
        <v>45287</v>
      </c>
      <c r="J560" s="8">
        <v>5164</v>
      </c>
      <c r="K560" s="8" t="s">
        <v>31</v>
      </c>
      <c r="L560" s="8" t="s">
        <v>32</v>
      </c>
      <c r="M560" s="8"/>
      <c r="N560" s="8" t="b">
        <v>0</v>
      </c>
      <c r="O560" s="10">
        <v>706732</v>
      </c>
      <c r="P560" s="8" t="s">
        <v>109</v>
      </c>
      <c r="Q560" s="8">
        <v>444788</v>
      </c>
      <c r="R560" s="9">
        <v>45272</v>
      </c>
      <c r="S560" s="8" t="s">
        <v>34</v>
      </c>
      <c r="T560" s="8" t="s">
        <v>44</v>
      </c>
      <c r="U560" s="8" t="s">
        <v>58</v>
      </c>
      <c r="V560" s="8" t="s">
        <v>46</v>
      </c>
      <c r="W560" s="8">
        <v>0</v>
      </c>
    </row>
    <row r="561" spans="1:23" x14ac:dyDescent="0.25">
      <c r="A561" s="4"/>
      <c r="B561" s="4"/>
      <c r="C561" s="4">
        <v>887121</v>
      </c>
      <c r="D561" s="22">
        <v>5164.29</v>
      </c>
      <c r="E561" s="5">
        <f t="shared" si="8"/>
        <v>-0.28999999999996362</v>
      </c>
      <c r="F561" s="9">
        <v>45279</v>
      </c>
      <c r="G561" s="10">
        <v>330281470</v>
      </c>
      <c r="H561" s="9">
        <v>45272</v>
      </c>
      <c r="I561" s="9">
        <v>45287</v>
      </c>
      <c r="J561" s="8">
        <v>5164</v>
      </c>
      <c r="K561" s="8" t="s">
        <v>31</v>
      </c>
      <c r="L561" s="8" t="s">
        <v>32</v>
      </c>
      <c r="M561" s="8"/>
      <c r="N561" s="8" t="b">
        <v>0</v>
      </c>
      <c r="O561" s="10">
        <v>706734</v>
      </c>
      <c r="P561" s="8" t="s">
        <v>275</v>
      </c>
      <c r="Q561" s="8">
        <v>444802</v>
      </c>
      <c r="R561" s="9">
        <v>45272</v>
      </c>
      <c r="S561" s="8" t="s">
        <v>34</v>
      </c>
      <c r="T561" s="8" t="s">
        <v>44</v>
      </c>
      <c r="U561" s="8" t="s">
        <v>58</v>
      </c>
      <c r="V561" s="8" t="s">
        <v>46</v>
      </c>
      <c r="W561" s="8">
        <v>0</v>
      </c>
    </row>
    <row r="562" spans="1:23" x14ac:dyDescent="0.25">
      <c r="A562" s="4"/>
      <c r="B562" s="4"/>
      <c r="C562" s="4">
        <v>887123</v>
      </c>
      <c r="D562" s="22">
        <v>5164.29</v>
      </c>
      <c r="E562" s="5">
        <f t="shared" si="8"/>
        <v>-0.28999999999996362</v>
      </c>
      <c r="F562" s="9">
        <v>45279</v>
      </c>
      <c r="G562" s="10">
        <v>330281482</v>
      </c>
      <c r="H562" s="9">
        <v>45272</v>
      </c>
      <c r="I562" s="9">
        <v>45287</v>
      </c>
      <c r="J562" s="8">
        <v>5164</v>
      </c>
      <c r="K562" s="8" t="s">
        <v>31</v>
      </c>
      <c r="L562" s="8" t="s">
        <v>32</v>
      </c>
      <c r="M562" s="8"/>
      <c r="N562" s="8" t="b">
        <v>0</v>
      </c>
      <c r="O562" s="10">
        <v>706727</v>
      </c>
      <c r="P562" s="8" t="s">
        <v>108</v>
      </c>
      <c r="Q562" s="8">
        <v>444786</v>
      </c>
      <c r="R562" s="9">
        <v>45272</v>
      </c>
      <c r="S562" s="8" t="s">
        <v>34</v>
      </c>
      <c r="T562" s="8" t="s">
        <v>44</v>
      </c>
      <c r="U562" s="8" t="s">
        <v>58</v>
      </c>
      <c r="V562" s="8" t="s">
        <v>46</v>
      </c>
      <c r="W562" s="8">
        <v>0</v>
      </c>
    </row>
    <row r="563" spans="1:23" x14ac:dyDescent="0.25">
      <c r="A563" s="4"/>
      <c r="B563" s="4"/>
      <c r="C563" s="4">
        <v>887609</v>
      </c>
      <c r="D563" s="22">
        <v>6405.27</v>
      </c>
      <c r="E563" s="5">
        <f t="shared" si="8"/>
        <v>-0.27000000000043656</v>
      </c>
      <c r="F563" s="9">
        <v>45279</v>
      </c>
      <c r="G563" s="10">
        <v>330298961</v>
      </c>
      <c r="H563" s="9">
        <v>45273</v>
      </c>
      <c r="I563" s="9">
        <v>45288</v>
      </c>
      <c r="J563" s="8">
        <v>6405</v>
      </c>
      <c r="K563" s="8" t="s">
        <v>31</v>
      </c>
      <c r="L563" s="8" t="s">
        <v>32</v>
      </c>
      <c r="M563" s="8"/>
      <c r="N563" s="8" t="b">
        <v>0</v>
      </c>
      <c r="O563" s="10">
        <v>709300</v>
      </c>
      <c r="P563" s="8" t="s">
        <v>100</v>
      </c>
      <c r="Q563" s="8">
        <v>457432</v>
      </c>
      <c r="R563" s="9">
        <v>45273</v>
      </c>
      <c r="S563" s="8" t="s">
        <v>48</v>
      </c>
      <c r="T563" s="8" t="s">
        <v>40</v>
      </c>
      <c r="U563" s="8" t="s">
        <v>50</v>
      </c>
      <c r="V563" s="8" t="s">
        <v>37</v>
      </c>
      <c r="W563" s="8">
        <v>0</v>
      </c>
    </row>
    <row r="564" spans="1:23" x14ac:dyDescent="0.25">
      <c r="A564" s="4"/>
      <c r="B564" s="4"/>
      <c r="C564" s="4">
        <v>887610</v>
      </c>
      <c r="D564" s="22">
        <v>5053</v>
      </c>
      <c r="E564" s="5">
        <f t="shared" si="8"/>
        <v>0</v>
      </c>
      <c r="F564" s="9">
        <v>45279</v>
      </c>
      <c r="G564" s="10">
        <v>330298990</v>
      </c>
      <c r="H564" s="9">
        <v>45273</v>
      </c>
      <c r="I564" s="9">
        <v>45288</v>
      </c>
      <c r="J564" s="8">
        <v>5053</v>
      </c>
      <c r="K564" s="8" t="s">
        <v>31</v>
      </c>
      <c r="L564" s="8" t="s">
        <v>32</v>
      </c>
      <c r="M564" s="8"/>
      <c r="N564" s="8" t="b">
        <v>0</v>
      </c>
      <c r="O564" s="10">
        <v>708975</v>
      </c>
      <c r="P564" s="8" t="s">
        <v>169</v>
      </c>
      <c r="Q564" s="8">
        <v>457426</v>
      </c>
      <c r="R564" s="9">
        <v>45273</v>
      </c>
      <c r="S564" s="8" t="s">
        <v>34</v>
      </c>
      <c r="T564" s="8" t="s">
        <v>40</v>
      </c>
      <c r="U564" s="8" t="s">
        <v>84</v>
      </c>
      <c r="V564" s="8" t="s">
        <v>46</v>
      </c>
      <c r="W564" s="8">
        <v>0</v>
      </c>
    </row>
    <row r="565" spans="1:23" x14ac:dyDescent="0.25">
      <c r="A565" s="4"/>
      <c r="B565" s="4"/>
      <c r="C565" s="4">
        <v>887611</v>
      </c>
      <c r="D565" s="22">
        <v>5053</v>
      </c>
      <c r="E565" s="5">
        <f t="shared" si="8"/>
        <v>0</v>
      </c>
      <c r="F565" s="9">
        <v>45279</v>
      </c>
      <c r="G565" s="10">
        <v>330299063</v>
      </c>
      <c r="H565" s="9">
        <v>45273</v>
      </c>
      <c r="I565" s="9">
        <v>45288</v>
      </c>
      <c r="J565" s="8">
        <v>5053</v>
      </c>
      <c r="K565" s="8" t="s">
        <v>31</v>
      </c>
      <c r="L565" s="8" t="s">
        <v>32</v>
      </c>
      <c r="M565" s="8"/>
      <c r="N565" s="8" t="b">
        <v>0</v>
      </c>
      <c r="O565" s="10">
        <v>708973</v>
      </c>
      <c r="P565" s="8" t="s">
        <v>104</v>
      </c>
      <c r="Q565" s="8">
        <v>457380</v>
      </c>
      <c r="R565" s="9">
        <v>45273</v>
      </c>
      <c r="S565" s="8" t="s">
        <v>34</v>
      </c>
      <c r="T565" s="8" t="s">
        <v>40</v>
      </c>
      <c r="U565" s="8" t="s">
        <v>84</v>
      </c>
      <c r="V565" s="8" t="s">
        <v>46</v>
      </c>
      <c r="W565" s="8">
        <v>0</v>
      </c>
    </row>
    <row r="566" spans="1:23" x14ac:dyDescent="0.25">
      <c r="A566" s="4"/>
      <c r="B566" s="4"/>
      <c r="C566" s="4">
        <v>887612</v>
      </c>
      <c r="D566" s="22">
        <v>5053</v>
      </c>
      <c r="E566" s="5">
        <f t="shared" si="8"/>
        <v>0</v>
      </c>
      <c r="F566" s="9">
        <v>45279</v>
      </c>
      <c r="G566" s="10">
        <v>330299068</v>
      </c>
      <c r="H566" s="9">
        <v>45273</v>
      </c>
      <c r="I566" s="9">
        <v>45288</v>
      </c>
      <c r="J566" s="8">
        <v>5053</v>
      </c>
      <c r="K566" s="8" t="s">
        <v>31</v>
      </c>
      <c r="L566" s="8" t="s">
        <v>32</v>
      </c>
      <c r="M566" s="8"/>
      <c r="N566" s="8" t="b">
        <v>0</v>
      </c>
      <c r="O566" s="10">
        <v>708974</v>
      </c>
      <c r="P566" s="8" t="s">
        <v>288</v>
      </c>
      <c r="Q566" s="8">
        <v>457418</v>
      </c>
      <c r="R566" s="9">
        <v>45273</v>
      </c>
      <c r="S566" s="8" t="s">
        <v>34</v>
      </c>
      <c r="T566" s="8" t="s">
        <v>40</v>
      </c>
      <c r="U566" s="8" t="s">
        <v>84</v>
      </c>
      <c r="V566" s="8" t="s">
        <v>46</v>
      </c>
      <c r="W566" s="8">
        <v>0</v>
      </c>
    </row>
    <row r="567" spans="1:23" x14ac:dyDescent="0.25">
      <c r="A567" s="4"/>
      <c r="B567" s="4"/>
      <c r="C567" s="4">
        <v>887613</v>
      </c>
      <c r="D567" s="22">
        <v>5053</v>
      </c>
      <c r="E567" s="5">
        <f t="shared" si="8"/>
        <v>0</v>
      </c>
      <c r="F567" s="9">
        <v>45279</v>
      </c>
      <c r="G567" s="10">
        <v>330299728</v>
      </c>
      <c r="H567" s="9">
        <v>45273</v>
      </c>
      <c r="I567" s="9">
        <v>45288</v>
      </c>
      <c r="J567" s="8">
        <v>5053</v>
      </c>
      <c r="K567" s="8" t="s">
        <v>31</v>
      </c>
      <c r="L567" s="8" t="s">
        <v>32</v>
      </c>
      <c r="M567" s="8"/>
      <c r="N567" s="8" t="b">
        <v>0</v>
      </c>
      <c r="O567" s="10">
        <v>708976</v>
      </c>
      <c r="P567" s="8" t="s">
        <v>192</v>
      </c>
      <c r="Q567" s="8">
        <v>457766</v>
      </c>
      <c r="R567" s="9">
        <v>45273</v>
      </c>
      <c r="S567" s="8" t="s">
        <v>34</v>
      </c>
      <c r="T567" s="8" t="s">
        <v>40</v>
      </c>
      <c r="U567" s="8" t="s">
        <v>84</v>
      </c>
      <c r="V567" s="8" t="s">
        <v>46</v>
      </c>
      <c r="W567" s="8">
        <v>0</v>
      </c>
    </row>
    <row r="568" spans="1:23" x14ac:dyDescent="0.25">
      <c r="A568" s="4"/>
      <c r="B568" s="4"/>
      <c r="C568" s="4">
        <v>887614</v>
      </c>
      <c r="D568" s="22">
        <v>5053</v>
      </c>
      <c r="E568" s="5">
        <f t="shared" si="8"/>
        <v>0</v>
      </c>
      <c r="F568" s="9">
        <v>45279</v>
      </c>
      <c r="G568" s="10">
        <v>330301156</v>
      </c>
      <c r="H568" s="9">
        <v>45273</v>
      </c>
      <c r="I568" s="9">
        <v>45288</v>
      </c>
      <c r="J568" s="8">
        <v>5053</v>
      </c>
      <c r="K568" s="8" t="s">
        <v>31</v>
      </c>
      <c r="L568" s="8" t="s">
        <v>32</v>
      </c>
      <c r="M568" s="8"/>
      <c r="N568" s="8" t="b">
        <v>0</v>
      </c>
      <c r="O568" s="10">
        <v>708977</v>
      </c>
      <c r="P568" s="8" t="s">
        <v>85</v>
      </c>
      <c r="Q568" s="8">
        <v>458979</v>
      </c>
      <c r="R568" s="9">
        <v>45273</v>
      </c>
      <c r="S568" s="8" t="s">
        <v>34</v>
      </c>
      <c r="T568" s="8" t="s">
        <v>40</v>
      </c>
      <c r="U568" s="8" t="s">
        <v>84</v>
      </c>
      <c r="V568" s="8" t="s">
        <v>46</v>
      </c>
      <c r="W568" s="8">
        <v>0</v>
      </c>
    </row>
    <row r="569" spans="1:23" x14ac:dyDescent="0.25">
      <c r="A569" s="4"/>
      <c r="B569" s="4"/>
      <c r="C569" s="4">
        <v>887646</v>
      </c>
      <c r="D569" s="22">
        <v>7028.06</v>
      </c>
      <c r="E569" s="5">
        <f t="shared" si="8"/>
        <v>-6.0000000000400178E-2</v>
      </c>
      <c r="F569" s="9">
        <v>45279</v>
      </c>
      <c r="G569" s="10">
        <v>330302960</v>
      </c>
      <c r="H569" s="9">
        <v>45273</v>
      </c>
      <c r="I569" s="9">
        <v>45288</v>
      </c>
      <c r="J569" s="8">
        <v>7028</v>
      </c>
      <c r="K569" s="8" t="s">
        <v>31</v>
      </c>
      <c r="L569" s="8" t="s">
        <v>32</v>
      </c>
      <c r="M569" s="8"/>
      <c r="N569" s="8" t="b">
        <v>0</v>
      </c>
      <c r="O569" s="16">
        <v>21160</v>
      </c>
      <c r="P569" s="8" t="s">
        <v>101</v>
      </c>
      <c r="Q569" s="8">
        <v>461512</v>
      </c>
      <c r="R569" s="9">
        <v>45273</v>
      </c>
      <c r="S569" s="8" t="s">
        <v>39</v>
      </c>
      <c r="T569" s="8" t="s">
        <v>40</v>
      </c>
      <c r="U569" s="8" t="s">
        <v>41</v>
      </c>
      <c r="V569" s="8" t="s">
        <v>42</v>
      </c>
      <c r="W569" s="8">
        <v>0</v>
      </c>
    </row>
    <row r="570" spans="1:23" x14ac:dyDescent="0.25">
      <c r="A570" s="4"/>
      <c r="B570" s="4"/>
      <c r="C570" s="4">
        <v>887615</v>
      </c>
      <c r="D570" s="22">
        <v>6405.27</v>
      </c>
      <c r="E570" s="5">
        <f t="shared" si="8"/>
        <v>-0.27000000000043656</v>
      </c>
      <c r="F570" s="9">
        <v>45279</v>
      </c>
      <c r="G570" s="10">
        <v>330303421</v>
      </c>
      <c r="H570" s="9">
        <v>45273</v>
      </c>
      <c r="I570" s="9">
        <v>45288</v>
      </c>
      <c r="J570" s="8">
        <v>6405</v>
      </c>
      <c r="K570" s="8" t="s">
        <v>31</v>
      </c>
      <c r="L570" s="8" t="s">
        <v>32</v>
      </c>
      <c r="M570" s="8"/>
      <c r="N570" s="8" t="b">
        <v>0</v>
      </c>
      <c r="O570" s="10">
        <v>709301</v>
      </c>
      <c r="P570" s="8" t="s">
        <v>144</v>
      </c>
      <c r="Q570" s="8">
        <v>461883</v>
      </c>
      <c r="R570" s="9">
        <v>45273</v>
      </c>
      <c r="S570" s="8" t="s">
        <v>48</v>
      </c>
      <c r="T570" s="8" t="s">
        <v>40</v>
      </c>
      <c r="U570" s="8" t="s">
        <v>50</v>
      </c>
      <c r="V570" s="8" t="s">
        <v>37</v>
      </c>
      <c r="W570" s="8">
        <v>0</v>
      </c>
    </row>
    <row r="571" spans="1:23" x14ac:dyDescent="0.25">
      <c r="A571" s="4"/>
      <c r="B571" s="4"/>
      <c r="C571" s="4">
        <v>887192</v>
      </c>
      <c r="D571" s="22">
        <v>79027.199999999997</v>
      </c>
      <c r="E571" s="5">
        <f t="shared" si="8"/>
        <v>-7.1999999999970896</v>
      </c>
      <c r="F571" s="9">
        <v>45279</v>
      </c>
      <c r="G571" s="10">
        <v>330318279</v>
      </c>
      <c r="H571" s="9">
        <v>45274</v>
      </c>
      <c r="I571" s="9">
        <v>45289</v>
      </c>
      <c r="J571" s="8">
        <v>79020</v>
      </c>
      <c r="K571" s="8" t="s">
        <v>31</v>
      </c>
      <c r="L571" s="8" t="s">
        <v>32</v>
      </c>
      <c r="M571" s="8"/>
      <c r="N571" s="8" t="b">
        <v>0</v>
      </c>
      <c r="O571" s="16">
        <v>709534</v>
      </c>
      <c r="P571" s="8" t="s">
        <v>248</v>
      </c>
      <c r="Q571" s="8">
        <v>472456</v>
      </c>
      <c r="R571" s="9">
        <v>45274</v>
      </c>
      <c r="S571" s="8" t="s">
        <v>34</v>
      </c>
      <c r="T571" s="8" t="s">
        <v>49</v>
      </c>
      <c r="U571" s="8" t="s">
        <v>75</v>
      </c>
      <c r="V571" s="8" t="s">
        <v>46</v>
      </c>
      <c r="W571" s="8">
        <v>0</v>
      </c>
    </row>
    <row r="572" spans="1:23" x14ac:dyDescent="0.25">
      <c r="A572" s="4"/>
      <c r="B572" s="4"/>
      <c r="C572" s="4">
        <v>887628</v>
      </c>
      <c r="D572" s="22">
        <v>5195.6499999999996</v>
      </c>
      <c r="E572" s="5">
        <f t="shared" si="8"/>
        <v>0.3500000000003638</v>
      </c>
      <c r="F572" s="9">
        <v>45279</v>
      </c>
      <c r="G572" s="10">
        <v>330323571</v>
      </c>
      <c r="H572" s="9">
        <v>45274</v>
      </c>
      <c r="I572" s="9">
        <v>45289</v>
      </c>
      <c r="J572" s="8">
        <v>5196</v>
      </c>
      <c r="K572" s="8" t="s">
        <v>31</v>
      </c>
      <c r="L572" s="8" t="s">
        <v>32</v>
      </c>
      <c r="M572" s="8"/>
      <c r="N572" s="8" t="b">
        <v>0</v>
      </c>
      <c r="O572" s="10">
        <v>708962</v>
      </c>
      <c r="P572" s="8" t="s">
        <v>118</v>
      </c>
      <c r="Q572" s="8">
        <v>476377</v>
      </c>
      <c r="R572" s="9">
        <v>45274</v>
      </c>
      <c r="S572" s="8" t="s">
        <v>48</v>
      </c>
      <c r="T572" s="8" t="s">
        <v>40</v>
      </c>
      <c r="U572" s="8" t="s">
        <v>45</v>
      </c>
      <c r="V572" s="8" t="s">
        <v>46</v>
      </c>
      <c r="W572" s="8">
        <v>0</v>
      </c>
    </row>
    <row r="573" spans="1:23" x14ac:dyDescent="0.25">
      <c r="A573" s="4"/>
      <c r="B573" s="4"/>
      <c r="C573" s="4">
        <v>887631</v>
      </c>
      <c r="D573" s="22">
        <v>5053</v>
      </c>
      <c r="E573" s="5">
        <f t="shared" si="8"/>
        <v>0</v>
      </c>
      <c r="F573" s="9">
        <v>45279</v>
      </c>
      <c r="G573" s="10">
        <v>330323572</v>
      </c>
      <c r="H573" s="9">
        <v>45274</v>
      </c>
      <c r="I573" s="9">
        <v>45289</v>
      </c>
      <c r="J573" s="8">
        <v>5053</v>
      </c>
      <c r="K573" s="8" t="s">
        <v>31</v>
      </c>
      <c r="L573" s="8" t="s">
        <v>32</v>
      </c>
      <c r="M573" s="8"/>
      <c r="N573" s="8" t="b">
        <v>0</v>
      </c>
      <c r="O573" s="10">
        <v>708978</v>
      </c>
      <c r="P573" s="8" t="s">
        <v>154</v>
      </c>
      <c r="Q573" s="8">
        <v>476268</v>
      </c>
      <c r="R573" s="9">
        <v>45274</v>
      </c>
      <c r="S573" s="8" t="s">
        <v>34</v>
      </c>
      <c r="T573" s="8" t="s">
        <v>40</v>
      </c>
      <c r="U573" s="8" t="s">
        <v>84</v>
      </c>
      <c r="V573" s="8" t="s">
        <v>46</v>
      </c>
      <c r="W573" s="8">
        <v>0</v>
      </c>
    </row>
    <row r="574" spans="1:23" x14ac:dyDescent="0.25">
      <c r="A574" s="4"/>
      <c r="B574" s="4"/>
      <c r="C574" s="4">
        <v>887632</v>
      </c>
      <c r="D574" s="22">
        <v>5053</v>
      </c>
      <c r="E574" s="5">
        <f t="shared" si="8"/>
        <v>0</v>
      </c>
      <c r="F574" s="9">
        <v>45279</v>
      </c>
      <c r="G574" s="10">
        <v>330323583</v>
      </c>
      <c r="H574" s="9">
        <v>45274</v>
      </c>
      <c r="I574" s="9">
        <v>45289</v>
      </c>
      <c r="J574" s="8">
        <v>5053</v>
      </c>
      <c r="K574" s="8" t="s">
        <v>31</v>
      </c>
      <c r="L574" s="8" t="s">
        <v>32</v>
      </c>
      <c r="M574" s="8"/>
      <c r="N574" s="8" t="b">
        <v>0</v>
      </c>
      <c r="O574" s="10">
        <v>708979</v>
      </c>
      <c r="P574" s="8" t="s">
        <v>175</v>
      </c>
      <c r="Q574" s="8">
        <v>476286</v>
      </c>
      <c r="R574" s="9">
        <v>45274</v>
      </c>
      <c r="S574" s="8" t="s">
        <v>34</v>
      </c>
      <c r="T574" s="8" t="s">
        <v>40</v>
      </c>
      <c r="U574" s="8" t="s">
        <v>84</v>
      </c>
      <c r="V574" s="8" t="s">
        <v>46</v>
      </c>
      <c r="W574" s="8">
        <v>0</v>
      </c>
    </row>
    <row r="575" spans="1:23" x14ac:dyDescent="0.25">
      <c r="A575" s="4"/>
      <c r="B575" s="4"/>
      <c r="C575" s="4">
        <v>886719</v>
      </c>
      <c r="D575" s="22">
        <v>5195.6499999999996</v>
      </c>
      <c r="E575" s="5">
        <f t="shared" si="8"/>
        <v>0.3500000000003638</v>
      </c>
      <c r="F575" s="9">
        <v>45279</v>
      </c>
      <c r="G575" s="10">
        <v>330323587</v>
      </c>
      <c r="H575" s="9">
        <v>45274</v>
      </c>
      <c r="I575" s="9">
        <v>45289</v>
      </c>
      <c r="J575" s="8">
        <v>5196</v>
      </c>
      <c r="K575" s="8" t="s">
        <v>31</v>
      </c>
      <c r="L575" s="8" t="s">
        <v>32</v>
      </c>
      <c r="M575" s="8"/>
      <c r="N575" s="8" t="b">
        <v>0</v>
      </c>
      <c r="O575" s="10">
        <v>708959</v>
      </c>
      <c r="P575" s="8" t="s">
        <v>115</v>
      </c>
      <c r="Q575" s="8">
        <v>476347</v>
      </c>
      <c r="R575" s="9">
        <v>45274</v>
      </c>
      <c r="S575" s="8" t="s">
        <v>48</v>
      </c>
      <c r="T575" s="8" t="s">
        <v>40</v>
      </c>
      <c r="U575" s="8" t="s">
        <v>45</v>
      </c>
      <c r="V575" s="8" t="s">
        <v>46</v>
      </c>
      <c r="W575" s="8">
        <v>0</v>
      </c>
    </row>
    <row r="576" spans="1:23" x14ac:dyDescent="0.25">
      <c r="A576" s="4"/>
      <c r="B576" s="4"/>
      <c r="C576" s="4">
        <v>887633</v>
      </c>
      <c r="D576" s="22">
        <v>5053</v>
      </c>
      <c r="E576" s="5">
        <f t="shared" si="8"/>
        <v>0</v>
      </c>
      <c r="F576" s="9">
        <v>45279</v>
      </c>
      <c r="G576" s="10">
        <v>330323591</v>
      </c>
      <c r="H576" s="9">
        <v>45274</v>
      </c>
      <c r="I576" s="9">
        <v>45289</v>
      </c>
      <c r="J576" s="8">
        <v>5053</v>
      </c>
      <c r="K576" s="8" t="s">
        <v>31</v>
      </c>
      <c r="L576" s="8" t="s">
        <v>32</v>
      </c>
      <c r="M576" s="8"/>
      <c r="N576" s="8" t="b">
        <v>0</v>
      </c>
      <c r="O576" s="10">
        <v>709003</v>
      </c>
      <c r="P576" s="8" t="s">
        <v>134</v>
      </c>
      <c r="Q576" s="8">
        <v>476315</v>
      </c>
      <c r="R576" s="9">
        <v>45274</v>
      </c>
      <c r="S576" s="8" t="s">
        <v>34</v>
      </c>
      <c r="T576" s="8" t="s">
        <v>40</v>
      </c>
      <c r="U576" s="8" t="s">
        <v>84</v>
      </c>
      <c r="V576" s="8" t="s">
        <v>46</v>
      </c>
      <c r="W576" s="8">
        <v>0</v>
      </c>
    </row>
    <row r="577" spans="1:23" x14ac:dyDescent="0.25">
      <c r="A577" s="4"/>
      <c r="B577" s="4"/>
      <c r="C577" s="4">
        <v>887634</v>
      </c>
      <c r="D577" s="22">
        <v>5195.6499999999996</v>
      </c>
      <c r="E577" s="5">
        <f t="shared" si="8"/>
        <v>0.3500000000003638</v>
      </c>
      <c r="F577" s="9">
        <v>45279</v>
      </c>
      <c r="G577" s="10">
        <v>330323597</v>
      </c>
      <c r="H577" s="9">
        <v>45274</v>
      </c>
      <c r="I577" s="9">
        <v>45289</v>
      </c>
      <c r="J577" s="8">
        <v>5196</v>
      </c>
      <c r="K577" s="8" t="s">
        <v>31</v>
      </c>
      <c r="L577" s="8" t="s">
        <v>32</v>
      </c>
      <c r="M577" s="8"/>
      <c r="N577" s="8" t="b">
        <v>0</v>
      </c>
      <c r="O577" s="10">
        <v>708960</v>
      </c>
      <c r="P577" s="8" t="s">
        <v>111</v>
      </c>
      <c r="Q577" s="8">
        <v>476354</v>
      </c>
      <c r="R577" s="9">
        <v>45274</v>
      </c>
      <c r="S577" s="8" t="s">
        <v>48</v>
      </c>
      <c r="T577" s="8" t="s">
        <v>40</v>
      </c>
      <c r="U577" s="8" t="s">
        <v>45</v>
      </c>
      <c r="V577" s="8" t="s">
        <v>46</v>
      </c>
      <c r="W577" s="8">
        <v>0</v>
      </c>
    </row>
    <row r="578" spans="1:23" x14ac:dyDescent="0.25">
      <c r="A578" s="4"/>
      <c r="B578" s="4"/>
      <c r="C578" s="4">
        <v>887635</v>
      </c>
      <c r="D578" s="22">
        <v>5195.6499999999996</v>
      </c>
      <c r="E578" s="5">
        <f t="shared" si="8"/>
        <v>0.3500000000003638</v>
      </c>
      <c r="F578" s="9">
        <v>45279</v>
      </c>
      <c r="G578" s="10">
        <v>330323600</v>
      </c>
      <c r="H578" s="9">
        <v>45274</v>
      </c>
      <c r="I578" s="9">
        <v>45289</v>
      </c>
      <c r="J578" s="8">
        <v>5196</v>
      </c>
      <c r="K578" s="8" t="s">
        <v>31</v>
      </c>
      <c r="L578" s="8" t="s">
        <v>32</v>
      </c>
      <c r="M578" s="8"/>
      <c r="N578" s="8" t="b">
        <v>0</v>
      </c>
      <c r="O578" s="10">
        <v>708963</v>
      </c>
      <c r="P578" s="8" t="s">
        <v>53</v>
      </c>
      <c r="Q578" s="8">
        <v>476424</v>
      </c>
      <c r="R578" s="9">
        <v>45274</v>
      </c>
      <c r="S578" s="8" t="s">
        <v>48</v>
      </c>
      <c r="T578" s="8" t="s">
        <v>40</v>
      </c>
      <c r="U578" s="8" t="s">
        <v>45</v>
      </c>
      <c r="V578" s="8" t="s">
        <v>46</v>
      </c>
      <c r="W578" s="8">
        <v>0</v>
      </c>
    </row>
    <row r="579" spans="1:23" x14ac:dyDescent="0.25">
      <c r="A579" s="4"/>
      <c r="B579" s="4"/>
      <c r="C579" s="4">
        <v>887636</v>
      </c>
      <c r="D579" s="22">
        <v>5053</v>
      </c>
      <c r="E579" s="5">
        <f t="shared" si="8"/>
        <v>0</v>
      </c>
      <c r="F579" s="9">
        <v>45279</v>
      </c>
      <c r="G579" s="10">
        <v>330323621</v>
      </c>
      <c r="H579" s="9">
        <v>45274</v>
      </c>
      <c r="I579" s="9">
        <v>45289</v>
      </c>
      <c r="J579" s="8">
        <v>5053</v>
      </c>
      <c r="K579" s="8" t="s">
        <v>31</v>
      </c>
      <c r="L579" s="8" t="s">
        <v>32</v>
      </c>
      <c r="M579" s="8"/>
      <c r="N579" s="8" t="b">
        <v>0</v>
      </c>
      <c r="O579" s="10">
        <v>709004</v>
      </c>
      <c r="P579" s="8" t="s">
        <v>81</v>
      </c>
      <c r="Q579" s="8">
        <v>476325</v>
      </c>
      <c r="R579" s="9">
        <v>45274</v>
      </c>
      <c r="S579" s="8" t="s">
        <v>34</v>
      </c>
      <c r="T579" s="8" t="s">
        <v>40</v>
      </c>
      <c r="U579" s="8" t="s">
        <v>84</v>
      </c>
      <c r="V579" s="8" t="s">
        <v>46</v>
      </c>
      <c r="W579" s="8">
        <v>0</v>
      </c>
    </row>
    <row r="580" spans="1:23" x14ac:dyDescent="0.25">
      <c r="A580" s="4"/>
      <c r="B580" s="4"/>
      <c r="C580" s="4">
        <v>887637</v>
      </c>
      <c r="D580" s="22">
        <v>5195.6499999999996</v>
      </c>
      <c r="E580" s="5">
        <f t="shared" si="8"/>
        <v>0.3500000000003638</v>
      </c>
      <c r="F580" s="9">
        <v>45279</v>
      </c>
      <c r="G580" s="10">
        <v>330323632</v>
      </c>
      <c r="H580" s="9">
        <v>45274</v>
      </c>
      <c r="I580" s="9">
        <v>45289</v>
      </c>
      <c r="J580" s="8">
        <v>5196</v>
      </c>
      <c r="K580" s="8" t="s">
        <v>31</v>
      </c>
      <c r="L580" s="8" t="s">
        <v>32</v>
      </c>
      <c r="M580" s="8"/>
      <c r="N580" s="8" t="b">
        <v>0</v>
      </c>
      <c r="O580" s="10">
        <v>708961</v>
      </c>
      <c r="P580" s="8" t="s">
        <v>112</v>
      </c>
      <c r="Q580" s="8">
        <v>476365</v>
      </c>
      <c r="R580" s="9">
        <v>45274</v>
      </c>
      <c r="S580" s="8" t="s">
        <v>48</v>
      </c>
      <c r="T580" s="8" t="s">
        <v>40</v>
      </c>
      <c r="U580" s="8" t="s">
        <v>45</v>
      </c>
      <c r="V580" s="8" t="s">
        <v>46</v>
      </c>
      <c r="W580" s="8">
        <v>0</v>
      </c>
    </row>
    <row r="581" spans="1:23" x14ac:dyDescent="0.25">
      <c r="A581" s="4"/>
      <c r="B581" s="4"/>
      <c r="C581" s="4">
        <v>887638</v>
      </c>
      <c r="D581" s="22">
        <v>5164.29</v>
      </c>
      <c r="E581" s="5">
        <f t="shared" ref="E581:E644" si="9">J581-D581</f>
        <v>-0.28999999999996362</v>
      </c>
      <c r="F581" s="9">
        <v>45279</v>
      </c>
      <c r="G581" s="10">
        <v>330323950</v>
      </c>
      <c r="H581" s="9">
        <v>45274</v>
      </c>
      <c r="I581" s="9">
        <v>45289</v>
      </c>
      <c r="J581" s="8">
        <v>5164</v>
      </c>
      <c r="K581" s="8" t="s">
        <v>31</v>
      </c>
      <c r="L581" s="8" t="s">
        <v>32</v>
      </c>
      <c r="M581" s="8"/>
      <c r="N581" s="8" t="b">
        <v>0</v>
      </c>
      <c r="O581" s="10">
        <v>705142</v>
      </c>
      <c r="P581" s="8" t="s">
        <v>346</v>
      </c>
      <c r="Q581" s="8">
        <v>476600</v>
      </c>
      <c r="R581" s="9">
        <v>45274</v>
      </c>
      <c r="S581" s="8" t="s">
        <v>34</v>
      </c>
      <c r="T581" s="8" t="s">
        <v>44</v>
      </c>
      <c r="U581" s="8" t="s">
        <v>58</v>
      </c>
      <c r="V581" s="8" t="s">
        <v>46</v>
      </c>
      <c r="W581" s="8">
        <v>0</v>
      </c>
    </row>
    <row r="582" spans="1:23" x14ac:dyDescent="0.25">
      <c r="A582" s="4"/>
      <c r="B582" s="4"/>
      <c r="C582" s="4">
        <v>887347</v>
      </c>
      <c r="D582" s="22">
        <v>5166.74</v>
      </c>
      <c r="E582" s="17">
        <f t="shared" si="9"/>
        <v>0.26000000000021828</v>
      </c>
      <c r="F582" s="9">
        <v>45279</v>
      </c>
      <c r="G582" s="10">
        <v>330323997</v>
      </c>
      <c r="H582" s="9">
        <v>45274</v>
      </c>
      <c r="I582" s="9">
        <v>45289</v>
      </c>
      <c r="J582" s="8">
        <v>5167</v>
      </c>
      <c r="K582" s="8" t="s">
        <v>31</v>
      </c>
      <c r="L582" s="8" t="s">
        <v>32</v>
      </c>
      <c r="M582" s="8"/>
      <c r="N582" s="8" t="b">
        <v>0</v>
      </c>
      <c r="O582" s="10">
        <v>702414</v>
      </c>
      <c r="P582" s="8" t="s">
        <v>347</v>
      </c>
      <c r="Q582" s="8">
        <v>476581</v>
      </c>
      <c r="R582" s="9">
        <v>45274</v>
      </c>
      <c r="S582" s="8" t="s">
        <v>180</v>
      </c>
      <c r="T582" s="8" t="s">
        <v>44</v>
      </c>
      <c r="U582" s="8" t="s">
        <v>45</v>
      </c>
      <c r="V582" s="8" t="s">
        <v>46</v>
      </c>
      <c r="W582" s="8">
        <v>0</v>
      </c>
    </row>
    <row r="583" spans="1:23" x14ac:dyDescent="0.25">
      <c r="A583" s="4"/>
      <c r="B583" s="4"/>
      <c r="C583" s="4">
        <v>887640</v>
      </c>
      <c r="D583" s="22">
        <v>5164.29</v>
      </c>
      <c r="E583" s="5">
        <f t="shared" si="9"/>
        <v>-0.28999999999996362</v>
      </c>
      <c r="F583" s="9">
        <v>45279</v>
      </c>
      <c r="G583" s="10">
        <v>330324228</v>
      </c>
      <c r="H583" s="9">
        <v>45274</v>
      </c>
      <c r="I583" s="9">
        <v>45289</v>
      </c>
      <c r="J583" s="8">
        <v>5164</v>
      </c>
      <c r="K583" s="8" t="s">
        <v>31</v>
      </c>
      <c r="L583" s="8" t="s">
        <v>32</v>
      </c>
      <c r="M583" s="8"/>
      <c r="N583" s="8" t="b">
        <v>0</v>
      </c>
      <c r="O583" s="10">
        <v>706743</v>
      </c>
      <c r="P583" s="8" t="s">
        <v>348</v>
      </c>
      <c r="Q583" s="8">
        <v>476628</v>
      </c>
      <c r="R583" s="9">
        <v>45274</v>
      </c>
      <c r="S583" s="8" t="s">
        <v>34</v>
      </c>
      <c r="T583" s="8" t="s">
        <v>44</v>
      </c>
      <c r="U583" s="8" t="s">
        <v>58</v>
      </c>
      <c r="V583" s="8" t="s">
        <v>46</v>
      </c>
      <c r="W583" s="8">
        <v>0</v>
      </c>
    </row>
    <row r="584" spans="1:23" x14ac:dyDescent="0.25">
      <c r="A584" s="4"/>
      <c r="B584" s="4"/>
      <c r="C584" s="4">
        <v>887641</v>
      </c>
      <c r="D584" s="22">
        <v>5164.29</v>
      </c>
      <c r="E584" s="5">
        <f t="shared" si="9"/>
        <v>-0.28999999999996362</v>
      </c>
      <c r="F584" s="9">
        <v>45279</v>
      </c>
      <c r="G584" s="10">
        <v>330324262</v>
      </c>
      <c r="H584" s="9">
        <v>45274</v>
      </c>
      <c r="I584" s="9">
        <v>45289</v>
      </c>
      <c r="J584" s="8">
        <v>5164</v>
      </c>
      <c r="K584" s="8" t="s">
        <v>31</v>
      </c>
      <c r="L584" s="8" t="s">
        <v>32</v>
      </c>
      <c r="M584" s="8"/>
      <c r="N584" s="8" t="b">
        <v>0</v>
      </c>
      <c r="O584" s="10">
        <v>706744</v>
      </c>
      <c r="P584" s="8" t="s">
        <v>349</v>
      </c>
      <c r="Q584" s="8">
        <v>476633</v>
      </c>
      <c r="R584" s="9">
        <v>45274</v>
      </c>
      <c r="S584" s="8" t="s">
        <v>34</v>
      </c>
      <c r="T584" s="8" t="s">
        <v>44</v>
      </c>
      <c r="U584" s="8" t="s">
        <v>58</v>
      </c>
      <c r="V584" s="8" t="s">
        <v>46</v>
      </c>
      <c r="W584" s="8">
        <v>0</v>
      </c>
    </row>
    <row r="585" spans="1:23" x14ac:dyDescent="0.25">
      <c r="A585" s="4"/>
      <c r="B585" s="4"/>
      <c r="C585" s="4">
        <v>887642</v>
      </c>
      <c r="D585" s="22">
        <v>6405.27</v>
      </c>
      <c r="E585" s="5">
        <f t="shared" si="9"/>
        <v>-0.27000000000043656</v>
      </c>
      <c r="F585" s="9">
        <v>45279</v>
      </c>
      <c r="G585" s="10">
        <v>330324997</v>
      </c>
      <c r="H585" s="9">
        <v>45275</v>
      </c>
      <c r="I585" s="9">
        <v>45290</v>
      </c>
      <c r="J585" s="8">
        <v>6405</v>
      </c>
      <c r="K585" s="8" t="s">
        <v>31</v>
      </c>
      <c r="L585" s="8" t="s">
        <v>32</v>
      </c>
      <c r="M585" s="8"/>
      <c r="N585" s="8" t="b">
        <v>0</v>
      </c>
      <c r="O585" s="10">
        <v>709302</v>
      </c>
      <c r="P585" s="8" t="s">
        <v>190</v>
      </c>
      <c r="Q585" s="8">
        <v>477116</v>
      </c>
      <c r="R585" s="9">
        <v>45274</v>
      </c>
      <c r="S585" s="8" t="s">
        <v>48</v>
      </c>
      <c r="T585" s="8" t="s">
        <v>40</v>
      </c>
      <c r="U585" s="8" t="s">
        <v>50</v>
      </c>
      <c r="V585" s="8" t="s">
        <v>37</v>
      </c>
      <c r="W585" s="8">
        <v>0</v>
      </c>
    </row>
    <row r="586" spans="1:23" x14ac:dyDescent="0.25">
      <c r="A586" s="4"/>
      <c r="B586" s="4"/>
      <c r="C586" s="4">
        <v>887643</v>
      </c>
      <c r="D586" s="22">
        <v>6405.27</v>
      </c>
      <c r="E586" s="5">
        <f t="shared" si="9"/>
        <v>-0.27000000000043656</v>
      </c>
      <c r="F586" s="9">
        <v>45279</v>
      </c>
      <c r="G586" s="10">
        <v>330325381</v>
      </c>
      <c r="H586" s="9">
        <v>45275</v>
      </c>
      <c r="I586" s="9">
        <v>45290</v>
      </c>
      <c r="J586" s="8">
        <v>6405</v>
      </c>
      <c r="K586" s="8" t="s">
        <v>31</v>
      </c>
      <c r="L586" s="8" t="s">
        <v>32</v>
      </c>
      <c r="M586" s="8"/>
      <c r="N586" s="8" t="b">
        <v>0</v>
      </c>
      <c r="O586" s="10">
        <v>709303</v>
      </c>
      <c r="P586" s="8" t="s">
        <v>52</v>
      </c>
      <c r="Q586" s="8">
        <v>477446</v>
      </c>
      <c r="R586" s="9">
        <v>45274</v>
      </c>
      <c r="S586" s="8" t="s">
        <v>48</v>
      </c>
      <c r="T586" s="8" t="s">
        <v>40</v>
      </c>
      <c r="U586" s="8" t="s">
        <v>50</v>
      </c>
      <c r="V586" s="8" t="s">
        <v>37</v>
      </c>
      <c r="W586" s="8">
        <v>0</v>
      </c>
    </row>
    <row r="587" spans="1:23" x14ac:dyDescent="0.25">
      <c r="A587" s="4"/>
      <c r="B587" s="4"/>
      <c r="C587" s="4">
        <v>887644</v>
      </c>
      <c r="D587" s="22">
        <v>6405.27</v>
      </c>
      <c r="E587" s="5">
        <f t="shared" si="9"/>
        <v>-0.27000000000043656</v>
      </c>
      <c r="F587" s="9">
        <v>45279</v>
      </c>
      <c r="G587" s="10">
        <v>330326377</v>
      </c>
      <c r="H587" s="9">
        <v>45275</v>
      </c>
      <c r="I587" s="9">
        <v>45290</v>
      </c>
      <c r="J587" s="8">
        <v>6405</v>
      </c>
      <c r="K587" s="8" t="s">
        <v>31</v>
      </c>
      <c r="L587" s="8" t="s">
        <v>32</v>
      </c>
      <c r="M587" s="8"/>
      <c r="N587" s="8" t="b">
        <v>0</v>
      </c>
      <c r="O587" s="10">
        <v>709304</v>
      </c>
      <c r="P587" s="8" t="s">
        <v>91</v>
      </c>
      <c r="Q587" s="8">
        <v>478151</v>
      </c>
      <c r="R587" s="9">
        <v>45274</v>
      </c>
      <c r="S587" s="8" t="s">
        <v>48</v>
      </c>
      <c r="T587" s="8" t="s">
        <v>40</v>
      </c>
      <c r="U587" s="8" t="s">
        <v>50</v>
      </c>
      <c r="V587" s="8" t="s">
        <v>37</v>
      </c>
      <c r="W587" s="8">
        <v>0</v>
      </c>
    </row>
    <row r="588" spans="1:23" x14ac:dyDescent="0.25">
      <c r="A588" s="4"/>
      <c r="B588" s="4"/>
      <c r="C588" s="4">
        <v>885581</v>
      </c>
      <c r="D588" s="22">
        <v>6338.48</v>
      </c>
      <c r="E588" s="5">
        <f t="shared" si="9"/>
        <v>-0.47999999999956344</v>
      </c>
      <c r="F588" s="9">
        <v>45279</v>
      </c>
      <c r="G588" s="10">
        <v>330331159</v>
      </c>
      <c r="H588" s="9">
        <v>45275</v>
      </c>
      <c r="I588" s="9">
        <v>45290</v>
      </c>
      <c r="J588" s="8">
        <v>6338</v>
      </c>
      <c r="K588" s="8" t="s">
        <v>31</v>
      </c>
      <c r="L588" s="8" t="s">
        <v>32</v>
      </c>
      <c r="M588" s="8"/>
      <c r="N588" s="8" t="b">
        <v>0</v>
      </c>
      <c r="O588" s="10">
        <v>708242</v>
      </c>
      <c r="P588" s="8" t="s">
        <v>208</v>
      </c>
      <c r="Q588" s="8">
        <v>456920</v>
      </c>
      <c r="R588" s="9">
        <v>45273</v>
      </c>
      <c r="S588" s="8" t="s">
        <v>34</v>
      </c>
      <c r="T588" s="8" t="s">
        <v>209</v>
      </c>
      <c r="U588" s="8" t="s">
        <v>58</v>
      </c>
      <c r="V588" s="8" t="s">
        <v>46</v>
      </c>
      <c r="W588" s="8">
        <v>0</v>
      </c>
    </row>
    <row r="589" spans="1:23" x14ac:dyDescent="0.25">
      <c r="A589" s="4"/>
      <c r="B589" s="4"/>
      <c r="C589" s="18" t="s">
        <v>350</v>
      </c>
      <c r="D589" s="22">
        <f>7911.37+7911.37+7911.37</f>
        <v>23734.11</v>
      </c>
      <c r="E589" s="19">
        <f t="shared" si="9"/>
        <v>-1.1100000000005821</v>
      </c>
      <c r="F589" s="9">
        <v>45288</v>
      </c>
      <c r="G589" s="10">
        <v>330361280</v>
      </c>
      <c r="H589" s="9">
        <v>45278</v>
      </c>
      <c r="I589" s="9">
        <v>45293</v>
      </c>
      <c r="J589" s="8">
        <v>23733</v>
      </c>
      <c r="K589" s="8" t="s">
        <v>31</v>
      </c>
      <c r="L589" s="8" t="s">
        <v>32</v>
      </c>
      <c r="M589" s="8"/>
      <c r="N589" s="8" t="b">
        <v>0</v>
      </c>
      <c r="O589" s="10"/>
      <c r="P589" s="8" t="s">
        <v>290</v>
      </c>
      <c r="Q589" s="8">
        <v>472504</v>
      </c>
      <c r="R589" s="9">
        <v>45274</v>
      </c>
      <c r="S589" s="8" t="s">
        <v>148</v>
      </c>
      <c r="T589" s="8" t="s">
        <v>49</v>
      </c>
      <c r="U589" s="8" t="s">
        <v>351</v>
      </c>
      <c r="V589" s="8" t="s">
        <v>150</v>
      </c>
      <c r="W589" s="8">
        <v>0</v>
      </c>
    </row>
    <row r="590" spans="1:23" x14ac:dyDescent="0.25">
      <c r="A590" s="4"/>
      <c r="B590" s="4"/>
      <c r="C590" s="4">
        <v>887739</v>
      </c>
      <c r="D590" s="22">
        <v>5193.6899999999996</v>
      </c>
      <c r="E590" s="5">
        <f t="shared" si="9"/>
        <v>0.31000000000040018</v>
      </c>
      <c r="F590" s="9">
        <v>45288</v>
      </c>
      <c r="G590" s="10">
        <v>330364880</v>
      </c>
      <c r="H590" s="9">
        <v>45278</v>
      </c>
      <c r="I590" s="9">
        <v>45293</v>
      </c>
      <c r="J590" s="8">
        <v>5194</v>
      </c>
      <c r="K590" s="8" t="s">
        <v>31</v>
      </c>
      <c r="L590" s="8" t="s">
        <v>32</v>
      </c>
      <c r="M590" s="8"/>
      <c r="N590" s="8" t="b">
        <v>0</v>
      </c>
      <c r="O590" s="10">
        <v>709047</v>
      </c>
      <c r="P590" s="8" t="s">
        <v>86</v>
      </c>
      <c r="Q590" s="8">
        <v>502147</v>
      </c>
      <c r="R590" s="9">
        <v>45277</v>
      </c>
      <c r="S590" s="8" t="s">
        <v>34</v>
      </c>
      <c r="T590" s="8" t="s">
        <v>40</v>
      </c>
      <c r="U590" s="8" t="s">
        <v>58</v>
      </c>
      <c r="V590" s="8" t="s">
        <v>46</v>
      </c>
      <c r="W590" s="8">
        <v>0</v>
      </c>
    </row>
    <row r="591" spans="1:23" x14ac:dyDescent="0.25">
      <c r="A591" s="4"/>
      <c r="B591" s="4"/>
      <c r="C591" s="4">
        <v>887740</v>
      </c>
      <c r="D591" s="22">
        <v>5193.6899999999996</v>
      </c>
      <c r="E591" s="5">
        <f t="shared" si="9"/>
        <v>0.31000000000040018</v>
      </c>
      <c r="F591" s="9">
        <v>45288</v>
      </c>
      <c r="G591" s="10">
        <v>330364881</v>
      </c>
      <c r="H591" s="9">
        <v>45278</v>
      </c>
      <c r="I591" s="9">
        <v>45293</v>
      </c>
      <c r="J591" s="8">
        <v>5194</v>
      </c>
      <c r="K591" s="8" t="s">
        <v>31</v>
      </c>
      <c r="L591" s="8" t="s">
        <v>32</v>
      </c>
      <c r="M591" s="8"/>
      <c r="N591" s="8" t="b">
        <v>0</v>
      </c>
      <c r="O591" s="10">
        <v>709045</v>
      </c>
      <c r="P591" s="8" t="s">
        <v>270</v>
      </c>
      <c r="Q591" s="8">
        <v>502130</v>
      </c>
      <c r="R591" s="9">
        <v>45277</v>
      </c>
      <c r="S591" s="8" t="s">
        <v>34</v>
      </c>
      <c r="T591" s="8" t="s">
        <v>40</v>
      </c>
      <c r="U591" s="8" t="s">
        <v>58</v>
      </c>
      <c r="V591" s="8" t="s">
        <v>46</v>
      </c>
      <c r="W591" s="8">
        <v>0</v>
      </c>
    </row>
    <row r="592" spans="1:23" x14ac:dyDescent="0.25">
      <c r="A592" s="4"/>
      <c r="B592" s="4"/>
      <c r="C592" s="4">
        <v>887741</v>
      </c>
      <c r="D592" s="22">
        <v>6405.27</v>
      </c>
      <c r="E592" s="5">
        <f t="shared" si="9"/>
        <v>-0.27000000000043656</v>
      </c>
      <c r="F592" s="9">
        <v>45288</v>
      </c>
      <c r="G592" s="10">
        <v>330364883</v>
      </c>
      <c r="H592" s="9">
        <v>45278</v>
      </c>
      <c r="I592" s="9">
        <v>45293</v>
      </c>
      <c r="J592" s="8">
        <v>6405</v>
      </c>
      <c r="K592" s="8" t="s">
        <v>31</v>
      </c>
      <c r="L592" s="8" t="s">
        <v>32</v>
      </c>
      <c r="M592" s="8"/>
      <c r="N592" s="8" t="b">
        <v>0</v>
      </c>
      <c r="O592" s="10">
        <v>709306</v>
      </c>
      <c r="P592" s="8" t="s">
        <v>62</v>
      </c>
      <c r="Q592" s="8">
        <v>502157</v>
      </c>
      <c r="R592" s="9">
        <v>45277</v>
      </c>
      <c r="S592" s="8" t="s">
        <v>48</v>
      </c>
      <c r="T592" s="8" t="s">
        <v>40</v>
      </c>
      <c r="U592" s="8" t="s">
        <v>50</v>
      </c>
      <c r="V592" s="8" t="s">
        <v>37</v>
      </c>
      <c r="W592" s="8">
        <v>0</v>
      </c>
    </row>
    <row r="593" spans="1:23" x14ac:dyDescent="0.25">
      <c r="A593" s="4"/>
      <c r="B593" s="4"/>
      <c r="C593" s="4">
        <v>887742</v>
      </c>
      <c r="D593" s="22">
        <v>5193.6899999999996</v>
      </c>
      <c r="E593" s="5">
        <f t="shared" si="9"/>
        <v>0.31000000000040018</v>
      </c>
      <c r="F593" s="9">
        <v>45288</v>
      </c>
      <c r="G593" s="10">
        <v>330364885</v>
      </c>
      <c r="H593" s="9">
        <v>45278</v>
      </c>
      <c r="I593" s="9">
        <v>45293</v>
      </c>
      <c r="J593" s="8">
        <v>5194</v>
      </c>
      <c r="K593" s="8" t="s">
        <v>31</v>
      </c>
      <c r="L593" s="8" t="s">
        <v>32</v>
      </c>
      <c r="M593" s="8"/>
      <c r="N593" s="8" t="b">
        <v>0</v>
      </c>
      <c r="O593" s="10">
        <v>709809</v>
      </c>
      <c r="P593" s="8" t="s">
        <v>231</v>
      </c>
      <c r="Q593" s="8">
        <v>502164</v>
      </c>
      <c r="R593" s="9">
        <v>45277</v>
      </c>
      <c r="S593" s="8" t="s">
        <v>34</v>
      </c>
      <c r="T593" s="8" t="s">
        <v>40</v>
      </c>
      <c r="U593" s="8" t="s">
        <v>58</v>
      </c>
      <c r="V593" s="8" t="s">
        <v>46</v>
      </c>
      <c r="W593" s="8">
        <v>0</v>
      </c>
    </row>
    <row r="594" spans="1:23" x14ac:dyDescent="0.25">
      <c r="A594" s="4"/>
      <c r="B594" s="4"/>
      <c r="C594" s="4">
        <v>887743</v>
      </c>
      <c r="D594" s="22">
        <v>5193.6899999999996</v>
      </c>
      <c r="E594" s="5">
        <f t="shared" si="9"/>
        <v>0.31000000000040018</v>
      </c>
      <c r="F594" s="9">
        <v>45288</v>
      </c>
      <c r="G594" s="10">
        <v>330364891</v>
      </c>
      <c r="H594" s="9">
        <v>45278</v>
      </c>
      <c r="I594" s="9">
        <v>45293</v>
      </c>
      <c r="J594" s="8">
        <v>5194</v>
      </c>
      <c r="K594" s="8" t="s">
        <v>31</v>
      </c>
      <c r="L594" s="8" t="s">
        <v>32</v>
      </c>
      <c r="M594" s="8"/>
      <c r="N594" s="8" t="b">
        <v>0</v>
      </c>
      <c r="O594" s="10">
        <v>709046</v>
      </c>
      <c r="P594" s="8" t="s">
        <v>114</v>
      </c>
      <c r="Q594" s="8">
        <v>502146</v>
      </c>
      <c r="R594" s="9">
        <v>45277</v>
      </c>
      <c r="S594" s="8" t="s">
        <v>34</v>
      </c>
      <c r="T594" s="8" t="s">
        <v>40</v>
      </c>
      <c r="U594" s="8" t="s">
        <v>58</v>
      </c>
      <c r="V594" s="8" t="s">
        <v>46</v>
      </c>
      <c r="W594" s="8">
        <v>0</v>
      </c>
    </row>
    <row r="595" spans="1:23" x14ac:dyDescent="0.25">
      <c r="A595" s="4"/>
      <c r="B595" s="4"/>
      <c r="C595" s="4">
        <v>887744</v>
      </c>
      <c r="D595" s="22">
        <v>5193.6899999999996</v>
      </c>
      <c r="E595" s="5">
        <f t="shared" si="9"/>
        <v>0.31000000000040018</v>
      </c>
      <c r="F595" s="9">
        <v>45288</v>
      </c>
      <c r="G595" s="10">
        <v>330364892</v>
      </c>
      <c r="H595" s="9">
        <v>45278</v>
      </c>
      <c r="I595" s="9">
        <v>45293</v>
      </c>
      <c r="J595" s="8">
        <v>5194</v>
      </c>
      <c r="K595" s="8" t="s">
        <v>31</v>
      </c>
      <c r="L595" s="8" t="s">
        <v>32</v>
      </c>
      <c r="M595" s="8"/>
      <c r="N595" s="8" t="b">
        <v>0</v>
      </c>
      <c r="O595" s="10">
        <v>709808</v>
      </c>
      <c r="P595" s="8" t="s">
        <v>103</v>
      </c>
      <c r="Q595" s="8">
        <v>502161</v>
      </c>
      <c r="R595" s="9">
        <v>45277</v>
      </c>
      <c r="S595" s="8" t="s">
        <v>34</v>
      </c>
      <c r="T595" s="8" t="s">
        <v>40</v>
      </c>
      <c r="U595" s="8" t="s">
        <v>58</v>
      </c>
      <c r="V595" s="8" t="s">
        <v>46</v>
      </c>
      <c r="W595" s="8">
        <v>0</v>
      </c>
    </row>
    <row r="596" spans="1:23" x14ac:dyDescent="0.25">
      <c r="A596" s="4"/>
      <c r="B596" s="4"/>
      <c r="C596" s="4">
        <v>887745</v>
      </c>
      <c r="D596" s="22">
        <v>6405.27</v>
      </c>
      <c r="E596" s="5">
        <f t="shared" si="9"/>
        <v>-0.27000000000043656</v>
      </c>
      <c r="F596" s="9">
        <v>45288</v>
      </c>
      <c r="G596" s="10">
        <v>330364905</v>
      </c>
      <c r="H596" s="9">
        <v>45278</v>
      </c>
      <c r="I596" s="9">
        <v>45293</v>
      </c>
      <c r="J596" s="8">
        <v>6405</v>
      </c>
      <c r="K596" s="8" t="s">
        <v>31</v>
      </c>
      <c r="L596" s="8" t="s">
        <v>32</v>
      </c>
      <c r="M596" s="8"/>
      <c r="N596" s="8" t="b">
        <v>0</v>
      </c>
      <c r="O596" s="10">
        <v>709305</v>
      </c>
      <c r="P596" s="8" t="s">
        <v>133</v>
      </c>
      <c r="Q596" s="8">
        <v>502152</v>
      </c>
      <c r="R596" s="9">
        <v>45277</v>
      </c>
      <c r="S596" s="8" t="s">
        <v>48</v>
      </c>
      <c r="T596" s="8" t="s">
        <v>40</v>
      </c>
      <c r="U596" s="8" t="s">
        <v>50</v>
      </c>
      <c r="V596" s="8" t="s">
        <v>37</v>
      </c>
      <c r="W596" s="8">
        <v>0</v>
      </c>
    </row>
    <row r="597" spans="1:23" x14ac:dyDescent="0.25">
      <c r="A597" s="4"/>
      <c r="B597" s="4"/>
      <c r="C597" s="4">
        <v>887746</v>
      </c>
      <c r="D597" s="22">
        <v>5164.29</v>
      </c>
      <c r="E597" s="5">
        <f t="shared" si="9"/>
        <v>-0.28999999999996362</v>
      </c>
      <c r="F597" s="9">
        <v>45288</v>
      </c>
      <c r="G597" s="10">
        <v>330365086</v>
      </c>
      <c r="H597" s="9">
        <v>45278</v>
      </c>
      <c r="I597" s="9">
        <v>45293</v>
      </c>
      <c r="J597" s="8">
        <v>5164</v>
      </c>
      <c r="K597" s="8" t="s">
        <v>31</v>
      </c>
      <c r="L597" s="8" t="s">
        <v>32</v>
      </c>
      <c r="M597" s="8"/>
      <c r="N597" s="8" t="b">
        <v>0</v>
      </c>
      <c r="O597" s="10">
        <v>708415</v>
      </c>
      <c r="P597" s="8" t="s">
        <v>281</v>
      </c>
      <c r="Q597" s="8">
        <v>502184</v>
      </c>
      <c r="R597" s="9">
        <v>45277</v>
      </c>
      <c r="S597" s="8" t="s">
        <v>34</v>
      </c>
      <c r="T597" s="8" t="s">
        <v>44</v>
      </c>
      <c r="U597" s="8" t="s">
        <v>58</v>
      </c>
      <c r="V597" s="8" t="s">
        <v>46</v>
      </c>
      <c r="W597" s="8">
        <v>0</v>
      </c>
    </row>
    <row r="598" spans="1:23" x14ac:dyDescent="0.25">
      <c r="A598" s="4"/>
      <c r="B598" s="4"/>
      <c r="C598" s="4">
        <v>887747</v>
      </c>
      <c r="D598" s="22">
        <v>5164.29</v>
      </c>
      <c r="E598" s="5">
        <f t="shared" si="9"/>
        <v>-0.28999999999996362</v>
      </c>
      <c r="F598" s="9">
        <v>45288</v>
      </c>
      <c r="G598" s="10">
        <v>330365094</v>
      </c>
      <c r="H598" s="9">
        <v>45278</v>
      </c>
      <c r="I598" s="9">
        <v>45293</v>
      </c>
      <c r="J598" s="8">
        <v>5164</v>
      </c>
      <c r="K598" s="8" t="s">
        <v>31</v>
      </c>
      <c r="L598" s="8" t="s">
        <v>32</v>
      </c>
      <c r="M598" s="8"/>
      <c r="N598" s="8" t="b">
        <v>0</v>
      </c>
      <c r="O598" s="10">
        <v>708416</v>
      </c>
      <c r="P598" s="8" t="s">
        <v>282</v>
      </c>
      <c r="Q598" s="8">
        <v>502188</v>
      </c>
      <c r="R598" s="9">
        <v>45277</v>
      </c>
      <c r="S598" s="8" t="s">
        <v>34</v>
      </c>
      <c r="T598" s="8" t="s">
        <v>44</v>
      </c>
      <c r="U598" s="8" t="s">
        <v>58</v>
      </c>
      <c r="V598" s="8" t="s">
        <v>46</v>
      </c>
      <c r="W598" s="8">
        <v>0</v>
      </c>
    </row>
    <row r="599" spans="1:23" x14ac:dyDescent="0.25">
      <c r="A599" s="4"/>
      <c r="B599" s="4"/>
      <c r="C599" s="4">
        <v>887748</v>
      </c>
      <c r="D599" s="22">
        <v>5193.6899999999996</v>
      </c>
      <c r="E599" s="5">
        <f t="shared" si="9"/>
        <v>0.31000000000040018</v>
      </c>
      <c r="F599" s="9">
        <v>45288</v>
      </c>
      <c r="G599" s="10">
        <v>330365101</v>
      </c>
      <c r="H599" s="9">
        <v>45278</v>
      </c>
      <c r="I599" s="9">
        <v>45293</v>
      </c>
      <c r="J599" s="8">
        <v>5194</v>
      </c>
      <c r="K599" s="8" t="s">
        <v>31</v>
      </c>
      <c r="L599" s="8" t="s">
        <v>32</v>
      </c>
      <c r="M599" s="8"/>
      <c r="N599" s="8" t="b">
        <v>0</v>
      </c>
      <c r="O599" s="10">
        <v>708414</v>
      </c>
      <c r="P599" s="8" t="s">
        <v>113</v>
      </c>
      <c r="Q599" s="8">
        <v>502181</v>
      </c>
      <c r="R599" s="9">
        <v>45277</v>
      </c>
      <c r="S599" s="8" t="s">
        <v>34</v>
      </c>
      <c r="T599" s="8" t="s">
        <v>40</v>
      </c>
      <c r="U599" s="8" t="s">
        <v>58</v>
      </c>
      <c r="V599" s="8" t="s">
        <v>46</v>
      </c>
      <c r="W599" s="8">
        <v>0</v>
      </c>
    </row>
    <row r="600" spans="1:23" x14ac:dyDescent="0.25">
      <c r="A600" s="4"/>
      <c r="B600" s="4"/>
      <c r="C600" s="4">
        <v>887598</v>
      </c>
      <c r="D600" s="22">
        <v>61465.599999999999</v>
      </c>
      <c r="E600" s="5">
        <f t="shared" si="9"/>
        <v>-5.5999999999985448</v>
      </c>
      <c r="F600" s="9">
        <v>45288</v>
      </c>
      <c r="G600" s="10">
        <v>330375133</v>
      </c>
      <c r="H600" s="9">
        <v>45278</v>
      </c>
      <c r="I600" s="9">
        <v>45293</v>
      </c>
      <c r="J600" s="8">
        <v>61460</v>
      </c>
      <c r="K600" s="8" t="s">
        <v>31</v>
      </c>
      <c r="L600" s="8" t="s">
        <v>32</v>
      </c>
      <c r="M600" s="8"/>
      <c r="N600" s="8" t="b">
        <v>0</v>
      </c>
      <c r="O600" s="10"/>
      <c r="P600" s="8" t="s">
        <v>352</v>
      </c>
      <c r="Q600" s="8">
        <v>508367</v>
      </c>
      <c r="R600" s="9">
        <v>45278</v>
      </c>
      <c r="S600" s="8" t="s">
        <v>34</v>
      </c>
      <c r="T600" s="8" t="s">
        <v>49</v>
      </c>
      <c r="U600" s="8" t="s">
        <v>75</v>
      </c>
      <c r="V600" s="8" t="s">
        <v>46</v>
      </c>
      <c r="W600" s="8">
        <v>0</v>
      </c>
    </row>
    <row r="601" spans="1:23" x14ac:dyDescent="0.25">
      <c r="A601" s="4"/>
      <c r="B601" s="4"/>
      <c r="C601" s="4">
        <v>887731</v>
      </c>
      <c r="D601" s="22">
        <v>7028</v>
      </c>
      <c r="E601" s="5">
        <f t="shared" si="9"/>
        <v>0</v>
      </c>
      <c r="F601" s="9">
        <v>45288</v>
      </c>
      <c r="G601" s="10">
        <v>330402157</v>
      </c>
      <c r="H601" s="9">
        <v>45279</v>
      </c>
      <c r="I601" s="9">
        <v>45294</v>
      </c>
      <c r="J601" s="8">
        <v>7028</v>
      </c>
      <c r="K601" s="8" t="s">
        <v>31</v>
      </c>
      <c r="L601" s="8" t="s">
        <v>32</v>
      </c>
      <c r="M601" s="8"/>
      <c r="N601" s="8" t="b">
        <v>0</v>
      </c>
      <c r="O601" s="10">
        <v>21162</v>
      </c>
      <c r="P601" s="8" t="s">
        <v>140</v>
      </c>
      <c r="Q601" s="8">
        <v>530809</v>
      </c>
      <c r="R601" s="9">
        <v>45279</v>
      </c>
      <c r="S601" s="8" t="s">
        <v>39</v>
      </c>
      <c r="T601" s="8" t="s">
        <v>40</v>
      </c>
      <c r="U601" s="8" t="s">
        <v>41</v>
      </c>
      <c r="V601" s="8" t="s">
        <v>42</v>
      </c>
      <c r="W601" s="8">
        <v>0</v>
      </c>
    </row>
    <row r="602" spans="1:23" x14ac:dyDescent="0.25">
      <c r="A602" s="4"/>
      <c r="B602" s="4"/>
      <c r="C602" s="4">
        <v>887732</v>
      </c>
      <c r="D602" s="22">
        <v>7028</v>
      </c>
      <c r="E602" s="5">
        <f t="shared" si="9"/>
        <v>0</v>
      </c>
      <c r="F602" s="9">
        <v>45288</v>
      </c>
      <c r="G602" s="10">
        <v>330402166</v>
      </c>
      <c r="H602" s="9">
        <v>45279</v>
      </c>
      <c r="I602" s="9">
        <v>45294</v>
      </c>
      <c r="J602" s="8">
        <v>7028</v>
      </c>
      <c r="K602" s="8" t="s">
        <v>31</v>
      </c>
      <c r="L602" s="8" t="s">
        <v>32</v>
      </c>
      <c r="M602" s="8"/>
      <c r="N602" s="8" t="b">
        <v>0</v>
      </c>
      <c r="O602" s="10">
        <v>21163</v>
      </c>
      <c r="P602" s="8" t="s">
        <v>217</v>
      </c>
      <c r="Q602" s="8">
        <v>530815</v>
      </c>
      <c r="R602" s="9">
        <v>45279</v>
      </c>
      <c r="S602" s="8" t="s">
        <v>39</v>
      </c>
      <c r="T602" s="8" t="s">
        <v>40</v>
      </c>
      <c r="U602" s="8" t="s">
        <v>41</v>
      </c>
      <c r="V602" s="8" t="s">
        <v>42</v>
      </c>
      <c r="W602" s="8">
        <v>0</v>
      </c>
    </row>
    <row r="603" spans="1:23" x14ac:dyDescent="0.25">
      <c r="A603" s="4"/>
      <c r="B603" s="4"/>
      <c r="C603" s="4">
        <v>887808</v>
      </c>
      <c r="D603" s="22">
        <v>5193.6899999999996</v>
      </c>
      <c r="E603" s="5">
        <f t="shared" si="9"/>
        <v>0.31000000000040018</v>
      </c>
      <c r="F603" s="9">
        <v>45288</v>
      </c>
      <c r="G603" s="10">
        <v>330402174</v>
      </c>
      <c r="H603" s="9">
        <v>45279</v>
      </c>
      <c r="I603" s="9">
        <v>45294</v>
      </c>
      <c r="J603" s="8">
        <v>5194</v>
      </c>
      <c r="K603" s="8" t="s">
        <v>31</v>
      </c>
      <c r="L603" s="8" t="s">
        <v>32</v>
      </c>
      <c r="M603" s="8"/>
      <c r="N603" s="8" t="b">
        <v>0</v>
      </c>
      <c r="O603" s="10">
        <v>709925</v>
      </c>
      <c r="P603" s="8" t="s">
        <v>77</v>
      </c>
      <c r="Q603" s="8">
        <v>530826</v>
      </c>
      <c r="R603" s="9">
        <v>45279</v>
      </c>
      <c r="S603" s="8" t="s">
        <v>34</v>
      </c>
      <c r="T603" s="8" t="s">
        <v>40</v>
      </c>
      <c r="U603" s="8" t="s">
        <v>58</v>
      </c>
      <c r="V603" s="8" t="s">
        <v>46</v>
      </c>
      <c r="W603" s="8">
        <v>0</v>
      </c>
    </row>
    <row r="604" spans="1:23" x14ac:dyDescent="0.25">
      <c r="A604" s="4"/>
      <c r="B604" s="4"/>
      <c r="C604" s="4">
        <v>887733</v>
      </c>
      <c r="D604" s="22">
        <v>7028</v>
      </c>
      <c r="E604" s="5">
        <f t="shared" si="9"/>
        <v>0</v>
      </c>
      <c r="F604" s="9">
        <v>45288</v>
      </c>
      <c r="G604" s="10">
        <v>330402856</v>
      </c>
      <c r="H604" s="9">
        <v>45279</v>
      </c>
      <c r="I604" s="9">
        <v>45294</v>
      </c>
      <c r="J604" s="8">
        <v>7028</v>
      </c>
      <c r="K604" s="8" t="s">
        <v>31</v>
      </c>
      <c r="L604" s="8" t="s">
        <v>32</v>
      </c>
      <c r="M604" s="8"/>
      <c r="N604" s="8" t="b">
        <v>0</v>
      </c>
      <c r="O604" s="10">
        <v>21164</v>
      </c>
      <c r="P604" s="8" t="s">
        <v>230</v>
      </c>
      <c r="Q604" s="8">
        <v>531393</v>
      </c>
      <c r="R604" s="9">
        <v>45279</v>
      </c>
      <c r="S604" s="8" t="s">
        <v>39</v>
      </c>
      <c r="T604" s="8" t="s">
        <v>40</v>
      </c>
      <c r="U604" s="8" t="s">
        <v>41</v>
      </c>
      <c r="V604" s="8" t="s">
        <v>42</v>
      </c>
      <c r="W604" s="8">
        <v>0</v>
      </c>
    </row>
    <row r="605" spans="1:23" x14ac:dyDescent="0.25">
      <c r="A605" s="4"/>
      <c r="B605" s="4"/>
      <c r="C605" s="4">
        <v>887758</v>
      </c>
      <c r="D605" s="22">
        <v>7028</v>
      </c>
      <c r="E605" s="5">
        <f t="shared" si="9"/>
        <v>0</v>
      </c>
      <c r="F605" s="9">
        <v>45288</v>
      </c>
      <c r="G605" s="10">
        <v>330406711</v>
      </c>
      <c r="H605" s="9">
        <v>45279</v>
      </c>
      <c r="I605" s="9">
        <v>45294</v>
      </c>
      <c r="J605" s="8">
        <v>7028</v>
      </c>
      <c r="K605" s="8" t="s">
        <v>31</v>
      </c>
      <c r="L605" s="8" t="s">
        <v>32</v>
      </c>
      <c r="M605" s="8"/>
      <c r="N605" s="8" t="b">
        <v>0</v>
      </c>
      <c r="O605" s="10">
        <v>21171</v>
      </c>
      <c r="P605" s="8" t="s">
        <v>173</v>
      </c>
      <c r="Q605" s="8">
        <v>534336</v>
      </c>
      <c r="R605" s="9">
        <v>45279</v>
      </c>
      <c r="S605" s="8" t="s">
        <v>39</v>
      </c>
      <c r="T605" s="8" t="s">
        <v>40</v>
      </c>
      <c r="U605" s="8" t="s">
        <v>41</v>
      </c>
      <c r="V605" s="8" t="s">
        <v>42</v>
      </c>
      <c r="W605" s="8">
        <v>0</v>
      </c>
    </row>
    <row r="606" spans="1:23" x14ac:dyDescent="0.25">
      <c r="A606" s="4"/>
      <c r="B606" s="4"/>
      <c r="C606" s="4">
        <v>887826</v>
      </c>
      <c r="D606" s="22">
        <v>5195.6499999999996</v>
      </c>
      <c r="E606" s="5">
        <f t="shared" si="9"/>
        <v>0.3500000000003638</v>
      </c>
      <c r="F606" s="9">
        <v>45288</v>
      </c>
      <c r="G606" s="10">
        <v>330406991</v>
      </c>
      <c r="H606" s="9">
        <v>45279</v>
      </c>
      <c r="I606" s="9">
        <v>45294</v>
      </c>
      <c r="J606" s="8">
        <v>5196</v>
      </c>
      <c r="K606" s="8" t="s">
        <v>31</v>
      </c>
      <c r="L606" s="8" t="s">
        <v>32</v>
      </c>
      <c r="M606" s="8"/>
      <c r="N606" s="8" t="b">
        <v>0</v>
      </c>
      <c r="O606" s="10">
        <v>709916</v>
      </c>
      <c r="P606" s="8" t="s">
        <v>321</v>
      </c>
      <c r="Q606" s="8">
        <v>534401</v>
      </c>
      <c r="R606" s="9">
        <v>45279</v>
      </c>
      <c r="S606" s="8" t="s">
        <v>48</v>
      </c>
      <c r="T606" s="8" t="s">
        <v>40</v>
      </c>
      <c r="U606" s="8" t="s">
        <v>45</v>
      </c>
      <c r="V606" s="8" t="s">
        <v>46</v>
      </c>
      <c r="W606" s="8">
        <v>0</v>
      </c>
    </row>
    <row r="607" spans="1:23" x14ac:dyDescent="0.25">
      <c r="A607" s="4"/>
      <c r="B607" s="4"/>
      <c r="C607" s="4">
        <v>887798</v>
      </c>
      <c r="D607" s="22">
        <v>65856</v>
      </c>
      <c r="E607" s="5">
        <f t="shared" si="9"/>
        <v>-6</v>
      </c>
      <c r="F607" s="9">
        <v>45288</v>
      </c>
      <c r="G607" s="10">
        <v>330418114</v>
      </c>
      <c r="H607" s="9">
        <v>45280</v>
      </c>
      <c r="I607" s="9">
        <v>45295</v>
      </c>
      <c r="J607" s="8">
        <v>65850</v>
      </c>
      <c r="K607" s="8" t="s">
        <v>31</v>
      </c>
      <c r="L607" s="8" t="s">
        <v>32</v>
      </c>
      <c r="M607" s="8"/>
      <c r="N607" s="8" t="b">
        <v>0</v>
      </c>
      <c r="O607" s="10"/>
      <c r="P607" s="8" t="s">
        <v>324</v>
      </c>
      <c r="Q607" s="8">
        <v>542602</v>
      </c>
      <c r="R607" s="9">
        <v>45280</v>
      </c>
      <c r="S607" s="8" t="s">
        <v>34</v>
      </c>
      <c r="T607" s="8" t="s">
        <v>49</v>
      </c>
      <c r="U607" s="8" t="s">
        <v>75</v>
      </c>
      <c r="V607" s="8" t="s">
        <v>46</v>
      </c>
      <c r="W607" s="8">
        <v>0</v>
      </c>
    </row>
    <row r="608" spans="1:23" x14ac:dyDescent="0.25">
      <c r="A608" s="4"/>
      <c r="B608" s="4"/>
      <c r="C608" s="4">
        <v>888143</v>
      </c>
      <c r="D608" s="22">
        <v>31607.95</v>
      </c>
      <c r="E608" s="5">
        <f t="shared" si="9"/>
        <v>2.0499999999992724</v>
      </c>
      <c r="F608" s="9">
        <v>45288</v>
      </c>
      <c r="G608" s="10">
        <v>330418126</v>
      </c>
      <c r="H608" s="9">
        <v>45280</v>
      </c>
      <c r="I608" s="9">
        <v>45295</v>
      </c>
      <c r="J608" s="8">
        <v>31610</v>
      </c>
      <c r="K608" s="8" t="s">
        <v>31</v>
      </c>
      <c r="L608" s="8" t="s">
        <v>32</v>
      </c>
      <c r="M608" s="8"/>
      <c r="N608" s="8" t="b">
        <v>0</v>
      </c>
      <c r="O608" s="10">
        <v>710295</v>
      </c>
      <c r="P608" s="8" t="s">
        <v>353</v>
      </c>
      <c r="Q608" s="8">
        <v>542532</v>
      </c>
      <c r="R608" s="9">
        <v>45280</v>
      </c>
      <c r="S608" s="8" t="s">
        <v>48</v>
      </c>
      <c r="T608" s="8" t="s">
        <v>49</v>
      </c>
      <c r="U608" s="8" t="s">
        <v>50</v>
      </c>
      <c r="V608" s="8" t="s">
        <v>37</v>
      </c>
      <c r="W608" s="8">
        <v>0</v>
      </c>
    </row>
    <row r="609" spans="1:23" x14ac:dyDescent="0.25">
      <c r="A609" s="4"/>
      <c r="B609" s="4"/>
      <c r="C609" s="4">
        <v>888097</v>
      </c>
      <c r="D609" s="22">
        <v>5195.6499999999996</v>
      </c>
      <c r="E609" s="5">
        <f t="shared" si="9"/>
        <v>0.3500000000003638</v>
      </c>
      <c r="F609" s="9">
        <v>45288</v>
      </c>
      <c r="G609" s="10">
        <v>330418971</v>
      </c>
      <c r="H609" s="9">
        <v>45280</v>
      </c>
      <c r="I609" s="9">
        <v>45295</v>
      </c>
      <c r="J609" s="8">
        <v>5196</v>
      </c>
      <c r="K609" s="8" t="s">
        <v>31</v>
      </c>
      <c r="L609" s="8" t="s">
        <v>32</v>
      </c>
      <c r="M609" s="8"/>
      <c r="N609" s="8" t="b">
        <v>0</v>
      </c>
      <c r="O609" s="10">
        <v>709917</v>
      </c>
      <c r="P609" s="8" t="s">
        <v>51</v>
      </c>
      <c r="Q609" s="8">
        <v>543705</v>
      </c>
      <c r="R609" s="9">
        <v>45280</v>
      </c>
      <c r="S609" s="8" t="s">
        <v>48</v>
      </c>
      <c r="T609" s="8" t="s">
        <v>40</v>
      </c>
      <c r="U609" s="8" t="s">
        <v>45</v>
      </c>
      <c r="V609" s="8" t="s">
        <v>46</v>
      </c>
      <c r="W609" s="8">
        <v>0</v>
      </c>
    </row>
    <row r="610" spans="1:23" x14ac:dyDescent="0.25">
      <c r="A610" s="4"/>
      <c r="B610" s="4"/>
      <c r="C610" s="4">
        <v>888098</v>
      </c>
      <c r="D610" s="22">
        <v>5195.6499999999996</v>
      </c>
      <c r="E610" s="5">
        <f t="shared" si="9"/>
        <v>0.3500000000003638</v>
      </c>
      <c r="F610" s="9">
        <v>45288</v>
      </c>
      <c r="G610" s="10">
        <v>330420109</v>
      </c>
      <c r="H610" s="9">
        <v>45280</v>
      </c>
      <c r="I610" s="9">
        <v>45295</v>
      </c>
      <c r="J610" s="8">
        <v>5196</v>
      </c>
      <c r="K610" s="8" t="s">
        <v>31</v>
      </c>
      <c r="L610" s="8" t="s">
        <v>32</v>
      </c>
      <c r="M610" s="8"/>
      <c r="N610" s="8" t="b">
        <v>0</v>
      </c>
      <c r="O610" s="10">
        <v>709918</v>
      </c>
      <c r="P610" s="8" t="s">
        <v>322</v>
      </c>
      <c r="Q610" s="8">
        <v>544800</v>
      </c>
      <c r="R610" s="9">
        <v>45280</v>
      </c>
      <c r="S610" s="8" t="s">
        <v>48</v>
      </c>
      <c r="T610" s="8" t="s">
        <v>40</v>
      </c>
      <c r="U610" s="8" t="s">
        <v>45</v>
      </c>
      <c r="V610" s="8" t="s">
        <v>46</v>
      </c>
      <c r="W610" s="8">
        <v>0</v>
      </c>
    </row>
    <row r="611" spans="1:23" x14ac:dyDescent="0.25">
      <c r="A611" s="4"/>
      <c r="B611" s="4"/>
      <c r="C611" s="4">
        <v>887847</v>
      </c>
      <c r="D611" s="22">
        <v>5224.96</v>
      </c>
      <c r="E611" s="5">
        <f t="shared" si="9"/>
        <v>-1.9600000000000364</v>
      </c>
      <c r="F611" s="9">
        <v>45288</v>
      </c>
      <c r="G611" s="10">
        <v>330422265</v>
      </c>
      <c r="H611" s="9">
        <v>45280</v>
      </c>
      <c r="I611" s="9">
        <v>45295</v>
      </c>
      <c r="J611" s="8">
        <v>5223</v>
      </c>
      <c r="K611" s="8" t="s">
        <v>31</v>
      </c>
      <c r="L611" s="8" t="s">
        <v>32</v>
      </c>
      <c r="M611" s="8"/>
      <c r="N611" s="8" t="b">
        <v>0</v>
      </c>
      <c r="O611" s="10">
        <v>21165</v>
      </c>
      <c r="P611" s="8" t="s">
        <v>92</v>
      </c>
      <c r="Q611" s="8">
        <v>546638</v>
      </c>
      <c r="R611" s="9">
        <v>45280</v>
      </c>
      <c r="S611" s="8" t="s">
        <v>48</v>
      </c>
      <c r="T611" s="8" t="s">
        <v>40</v>
      </c>
      <c r="U611" s="8" t="s">
        <v>163</v>
      </c>
      <c r="V611" s="8" t="s">
        <v>46</v>
      </c>
      <c r="W611" s="8">
        <v>0</v>
      </c>
    </row>
    <row r="612" spans="1:23" x14ac:dyDescent="0.25">
      <c r="A612" s="4"/>
      <c r="B612" s="4"/>
      <c r="C612" s="4">
        <v>888111</v>
      </c>
      <c r="D612" s="22">
        <v>5195.6499999999996</v>
      </c>
      <c r="E612" s="5">
        <f t="shared" si="9"/>
        <v>0.3500000000003638</v>
      </c>
      <c r="F612" s="9">
        <v>45288</v>
      </c>
      <c r="G612" s="10">
        <v>330423803</v>
      </c>
      <c r="H612" s="9">
        <v>45280</v>
      </c>
      <c r="I612" s="9">
        <v>45295</v>
      </c>
      <c r="J612" s="8">
        <v>5196</v>
      </c>
      <c r="K612" s="8" t="s">
        <v>31</v>
      </c>
      <c r="L612" s="8" t="s">
        <v>32</v>
      </c>
      <c r="M612" s="8"/>
      <c r="N612" s="8" t="b">
        <v>0</v>
      </c>
      <c r="O612" s="10">
        <v>709919</v>
      </c>
      <c r="P612" s="8" t="s">
        <v>252</v>
      </c>
      <c r="Q612" s="8">
        <v>547791</v>
      </c>
      <c r="R612" s="9">
        <v>45280</v>
      </c>
      <c r="S612" s="8" t="s">
        <v>48</v>
      </c>
      <c r="T612" s="8" t="s">
        <v>40</v>
      </c>
      <c r="U612" s="8" t="s">
        <v>45</v>
      </c>
      <c r="V612" s="8" t="s">
        <v>46</v>
      </c>
      <c r="W612" s="8">
        <v>0</v>
      </c>
    </row>
    <row r="613" spans="1:23" x14ac:dyDescent="0.25">
      <c r="A613" s="4"/>
      <c r="B613" s="4"/>
      <c r="C613" s="4">
        <v>888114</v>
      </c>
      <c r="D613" s="22">
        <v>5195.6499999999996</v>
      </c>
      <c r="E613" s="5">
        <f t="shared" si="9"/>
        <v>0.3500000000003638</v>
      </c>
      <c r="F613" s="9">
        <v>45288</v>
      </c>
      <c r="G613" s="10">
        <v>330424793</v>
      </c>
      <c r="H613" s="9">
        <v>45280</v>
      </c>
      <c r="I613" s="9">
        <v>45295</v>
      </c>
      <c r="J613" s="8">
        <v>5196</v>
      </c>
      <c r="K613" s="8" t="s">
        <v>31</v>
      </c>
      <c r="L613" s="8" t="s">
        <v>32</v>
      </c>
      <c r="M613" s="8"/>
      <c r="N613" s="8" t="b">
        <v>0</v>
      </c>
      <c r="O613" s="10">
        <v>709920</v>
      </c>
      <c r="P613" s="8" t="s">
        <v>116</v>
      </c>
      <c r="Q613" s="8">
        <v>548643</v>
      </c>
      <c r="R613" s="9">
        <v>45280</v>
      </c>
      <c r="S613" s="8" t="s">
        <v>48</v>
      </c>
      <c r="T613" s="8" t="s">
        <v>40</v>
      </c>
      <c r="U613" s="8" t="s">
        <v>45</v>
      </c>
      <c r="V613" s="8" t="s">
        <v>46</v>
      </c>
      <c r="W613" s="8">
        <v>0</v>
      </c>
    </row>
    <row r="614" spans="1:23" x14ac:dyDescent="0.25">
      <c r="A614" s="4"/>
      <c r="B614" s="4"/>
      <c r="C614" s="4">
        <v>888115</v>
      </c>
      <c r="D614" s="22">
        <v>5193.6899999999996</v>
      </c>
      <c r="E614" s="5">
        <f t="shared" si="9"/>
        <v>0.31000000000040018</v>
      </c>
      <c r="F614" s="9">
        <v>45288</v>
      </c>
      <c r="G614" s="10">
        <v>330428071</v>
      </c>
      <c r="H614" s="9">
        <v>45280</v>
      </c>
      <c r="I614" s="9">
        <v>45295</v>
      </c>
      <c r="J614" s="8">
        <v>5194</v>
      </c>
      <c r="K614" s="8" t="s">
        <v>31</v>
      </c>
      <c r="L614" s="8" t="s">
        <v>32</v>
      </c>
      <c r="M614" s="8"/>
      <c r="N614" s="8" t="b">
        <v>0</v>
      </c>
      <c r="O614" s="10">
        <v>709926</v>
      </c>
      <c r="P614" s="8" t="s">
        <v>176</v>
      </c>
      <c r="Q614" s="8">
        <v>552208</v>
      </c>
      <c r="R614" s="9">
        <v>45280</v>
      </c>
      <c r="S614" s="8" t="s">
        <v>34</v>
      </c>
      <c r="T614" s="8" t="s">
        <v>40</v>
      </c>
      <c r="U614" s="8" t="s">
        <v>58</v>
      </c>
      <c r="V614" s="8" t="s">
        <v>46</v>
      </c>
      <c r="W614" s="8">
        <v>0</v>
      </c>
    </row>
    <row r="615" spans="1:23" x14ac:dyDescent="0.25">
      <c r="A615" s="4"/>
      <c r="B615" s="4"/>
      <c r="C615" s="4">
        <v>888116</v>
      </c>
      <c r="D615" s="22">
        <v>5193.6899999999996</v>
      </c>
      <c r="E615" s="5">
        <f t="shared" si="9"/>
        <v>0.31000000000040018</v>
      </c>
      <c r="F615" s="9">
        <v>45288</v>
      </c>
      <c r="G615" s="10">
        <v>330428435</v>
      </c>
      <c r="H615" s="9">
        <v>45280</v>
      </c>
      <c r="I615" s="9">
        <v>45295</v>
      </c>
      <c r="J615" s="8">
        <v>5194</v>
      </c>
      <c r="K615" s="8" t="s">
        <v>31</v>
      </c>
      <c r="L615" s="8" t="s">
        <v>32</v>
      </c>
      <c r="M615" s="8"/>
      <c r="N615" s="8" t="b">
        <v>0</v>
      </c>
      <c r="O615" s="10">
        <v>709927</v>
      </c>
      <c r="P615" s="8" t="s">
        <v>271</v>
      </c>
      <c r="Q615" s="8">
        <v>552605</v>
      </c>
      <c r="R615" s="9">
        <v>45280</v>
      </c>
      <c r="S615" s="8" t="s">
        <v>34</v>
      </c>
      <c r="T615" s="8" t="s">
        <v>40</v>
      </c>
      <c r="U615" s="8" t="s">
        <v>58</v>
      </c>
      <c r="V615" s="8" t="s">
        <v>46</v>
      </c>
      <c r="W615" s="8">
        <v>0</v>
      </c>
    </row>
    <row r="616" spans="1:23" x14ac:dyDescent="0.25">
      <c r="A616" s="4"/>
      <c r="B616" s="4"/>
      <c r="C616" s="4">
        <v>888117</v>
      </c>
      <c r="D616" s="22">
        <v>5193.6899999999996</v>
      </c>
      <c r="E616" s="5">
        <f t="shared" si="9"/>
        <v>0.31000000000040018</v>
      </c>
      <c r="F616" s="9">
        <v>45288</v>
      </c>
      <c r="G616" s="10">
        <v>330429842</v>
      </c>
      <c r="H616" s="9">
        <v>45280</v>
      </c>
      <c r="I616" s="9">
        <v>45295</v>
      </c>
      <c r="J616" s="8">
        <v>5194</v>
      </c>
      <c r="K616" s="8" t="s">
        <v>31</v>
      </c>
      <c r="L616" s="8" t="s">
        <v>32</v>
      </c>
      <c r="M616" s="8"/>
      <c r="N616" s="8" t="b">
        <v>0</v>
      </c>
      <c r="O616" s="10">
        <v>709928</v>
      </c>
      <c r="P616" s="8" t="s">
        <v>172</v>
      </c>
      <c r="Q616" s="8">
        <v>553376</v>
      </c>
      <c r="R616" s="9">
        <v>45280</v>
      </c>
      <c r="S616" s="8" t="s">
        <v>34</v>
      </c>
      <c r="T616" s="8" t="s">
        <v>40</v>
      </c>
      <c r="U616" s="8" t="s">
        <v>58</v>
      </c>
      <c r="V616" s="8" t="s">
        <v>46</v>
      </c>
      <c r="W616" s="8">
        <v>0</v>
      </c>
    </row>
    <row r="617" spans="1:23" x14ac:dyDescent="0.25">
      <c r="A617" s="4"/>
      <c r="B617" s="4"/>
      <c r="C617" s="4">
        <v>888085</v>
      </c>
      <c r="D617" s="22">
        <v>5200.5</v>
      </c>
      <c r="E617" s="5">
        <f t="shared" si="9"/>
        <v>-6.5</v>
      </c>
      <c r="F617" s="9">
        <v>45288</v>
      </c>
      <c r="G617" s="10">
        <v>330440021</v>
      </c>
      <c r="H617" s="9">
        <v>45281</v>
      </c>
      <c r="I617" s="9">
        <v>45296</v>
      </c>
      <c r="J617" s="8">
        <v>5194</v>
      </c>
      <c r="K617" s="8" t="s">
        <v>31</v>
      </c>
      <c r="L617" s="8" t="s">
        <v>32</v>
      </c>
      <c r="M617" s="8"/>
      <c r="N617" s="8" t="b">
        <v>0</v>
      </c>
      <c r="O617" s="16">
        <v>21174</v>
      </c>
      <c r="P617" s="8" t="s">
        <v>82</v>
      </c>
      <c r="Q617" s="8">
        <v>559447</v>
      </c>
      <c r="R617" s="9">
        <v>45281</v>
      </c>
      <c r="S617" s="8" t="s">
        <v>34</v>
      </c>
      <c r="T617" s="8" t="s">
        <v>40</v>
      </c>
      <c r="U617" s="8" t="s">
        <v>58</v>
      </c>
      <c r="V617" s="8" t="s">
        <v>46</v>
      </c>
      <c r="W617" s="8">
        <v>0</v>
      </c>
    </row>
    <row r="618" spans="1:23" x14ac:dyDescent="0.25">
      <c r="A618" s="4"/>
      <c r="B618" s="4"/>
      <c r="C618" s="4">
        <v>888344</v>
      </c>
      <c r="D618" s="22">
        <v>5193.6899999999996</v>
      </c>
      <c r="E618" s="5">
        <f t="shared" si="9"/>
        <v>0.31000000000040018</v>
      </c>
      <c r="F618" s="9">
        <v>45288</v>
      </c>
      <c r="G618" s="10">
        <v>330440313</v>
      </c>
      <c r="H618" s="9">
        <v>45281</v>
      </c>
      <c r="I618" s="9">
        <v>45296</v>
      </c>
      <c r="J618" s="8">
        <v>5194</v>
      </c>
      <c r="K618" s="8" t="s">
        <v>31</v>
      </c>
      <c r="L618" s="8" t="s">
        <v>32</v>
      </c>
      <c r="M618" s="8"/>
      <c r="N618" s="8" t="b">
        <v>0</v>
      </c>
      <c r="O618" s="10">
        <v>709930</v>
      </c>
      <c r="P618" s="8" t="s">
        <v>95</v>
      </c>
      <c r="Q618" s="8">
        <v>559480</v>
      </c>
      <c r="R618" s="9">
        <v>45281</v>
      </c>
      <c r="S618" s="8" t="s">
        <v>34</v>
      </c>
      <c r="T618" s="8" t="s">
        <v>40</v>
      </c>
      <c r="U618" s="8" t="s">
        <v>58</v>
      </c>
      <c r="V618" s="8" t="s">
        <v>46</v>
      </c>
      <c r="W618" s="8">
        <v>0</v>
      </c>
    </row>
    <row r="619" spans="1:23" x14ac:dyDescent="0.25">
      <c r="A619" s="4"/>
      <c r="B619" s="4"/>
      <c r="C619" s="4">
        <v>888346</v>
      </c>
      <c r="D619" s="22">
        <v>5193.6899999999996</v>
      </c>
      <c r="E619" s="5">
        <f t="shared" si="9"/>
        <v>0.31000000000040018</v>
      </c>
      <c r="F619" s="9">
        <v>45288</v>
      </c>
      <c r="G619" s="10">
        <v>330441488</v>
      </c>
      <c r="H619" s="9">
        <v>45281</v>
      </c>
      <c r="I619" s="9">
        <v>45296</v>
      </c>
      <c r="J619" s="8">
        <v>5194</v>
      </c>
      <c r="K619" s="8" t="s">
        <v>31</v>
      </c>
      <c r="L619" s="8" t="s">
        <v>32</v>
      </c>
      <c r="M619" s="8"/>
      <c r="N619" s="8" t="b">
        <v>0</v>
      </c>
      <c r="O619" s="10">
        <v>709931</v>
      </c>
      <c r="P619" s="8" t="s">
        <v>89</v>
      </c>
      <c r="Q619" s="8">
        <v>560441</v>
      </c>
      <c r="R619" s="9">
        <v>45281</v>
      </c>
      <c r="S619" s="8" t="s">
        <v>34</v>
      </c>
      <c r="T619" s="8" t="s">
        <v>40</v>
      </c>
      <c r="U619" s="8" t="s">
        <v>58</v>
      </c>
      <c r="V619" s="8" t="s">
        <v>46</v>
      </c>
      <c r="W619" s="8">
        <v>0</v>
      </c>
    </row>
    <row r="620" spans="1:23" x14ac:dyDescent="0.25">
      <c r="A620" s="4"/>
      <c r="B620" s="4"/>
      <c r="C620" s="4">
        <v>888348</v>
      </c>
      <c r="D620" s="22">
        <v>5193.6899999999996</v>
      </c>
      <c r="E620" s="5">
        <f t="shared" si="9"/>
        <v>0.31000000000040018</v>
      </c>
      <c r="F620" s="9">
        <v>45288</v>
      </c>
      <c r="G620" s="10">
        <v>330441632</v>
      </c>
      <c r="H620" s="9">
        <v>45281</v>
      </c>
      <c r="I620" s="9">
        <v>45296</v>
      </c>
      <c r="J620" s="8">
        <v>5194</v>
      </c>
      <c r="K620" s="8" t="s">
        <v>31</v>
      </c>
      <c r="L620" s="8" t="s">
        <v>32</v>
      </c>
      <c r="M620" s="8"/>
      <c r="N620" s="8" t="b">
        <v>0</v>
      </c>
      <c r="O620" s="10">
        <v>709929</v>
      </c>
      <c r="P620" s="8" t="s">
        <v>197</v>
      </c>
      <c r="Q620" s="8">
        <v>560248</v>
      </c>
      <c r="R620" s="9">
        <v>45281</v>
      </c>
      <c r="S620" s="8" t="s">
        <v>34</v>
      </c>
      <c r="T620" s="8" t="s">
        <v>40</v>
      </c>
      <c r="U620" s="8" t="s">
        <v>58</v>
      </c>
      <c r="V620" s="8" t="s">
        <v>46</v>
      </c>
      <c r="W620" s="8">
        <v>0</v>
      </c>
    </row>
    <row r="621" spans="1:23" x14ac:dyDescent="0.25">
      <c r="A621" s="4"/>
      <c r="B621" s="4"/>
      <c r="C621" s="4">
        <v>888351</v>
      </c>
      <c r="D621" s="22">
        <v>9320.2199999999993</v>
      </c>
      <c r="E621" s="5">
        <f t="shared" si="9"/>
        <v>0.78000000000065484</v>
      </c>
      <c r="F621" s="9">
        <v>45288</v>
      </c>
      <c r="G621" s="10">
        <v>330443102</v>
      </c>
      <c r="H621" s="9">
        <v>45281</v>
      </c>
      <c r="I621" s="9">
        <v>45296</v>
      </c>
      <c r="J621" s="8">
        <v>9321</v>
      </c>
      <c r="K621" s="8" t="s">
        <v>31</v>
      </c>
      <c r="L621" s="8" t="s">
        <v>32</v>
      </c>
      <c r="M621" s="8"/>
      <c r="N621" s="8" t="b">
        <v>0</v>
      </c>
      <c r="O621" s="10">
        <v>705918</v>
      </c>
      <c r="P621" s="8" t="s">
        <v>189</v>
      </c>
      <c r="Q621" s="8">
        <v>561428</v>
      </c>
      <c r="R621" s="9">
        <v>45281</v>
      </c>
      <c r="S621" s="8" t="s">
        <v>130</v>
      </c>
      <c r="T621" s="8" t="s">
        <v>40</v>
      </c>
      <c r="U621" s="8" t="s">
        <v>131</v>
      </c>
      <c r="V621" s="8" t="s">
        <v>132</v>
      </c>
      <c r="W621" s="8">
        <v>0</v>
      </c>
    </row>
    <row r="622" spans="1:23" x14ac:dyDescent="0.25">
      <c r="A622" s="4"/>
      <c r="B622" s="4"/>
      <c r="C622" s="4">
        <v>888352</v>
      </c>
      <c r="D622" s="22">
        <v>5193.6899999999996</v>
      </c>
      <c r="E622" s="5">
        <f t="shared" si="9"/>
        <v>0.31000000000040018</v>
      </c>
      <c r="F622" s="9">
        <v>45288</v>
      </c>
      <c r="G622" s="10">
        <v>330450733</v>
      </c>
      <c r="H622" s="9">
        <v>45281</v>
      </c>
      <c r="I622" s="9">
        <v>45296</v>
      </c>
      <c r="J622" s="8">
        <v>5194</v>
      </c>
      <c r="K622" s="8" t="s">
        <v>31</v>
      </c>
      <c r="L622" s="8" t="s">
        <v>32</v>
      </c>
      <c r="M622" s="8"/>
      <c r="N622" s="8" t="b">
        <v>0</v>
      </c>
      <c r="O622" s="10">
        <v>709932</v>
      </c>
      <c r="P622" s="8" t="s">
        <v>237</v>
      </c>
      <c r="Q622" s="8">
        <v>569301</v>
      </c>
      <c r="R622" s="9">
        <v>45281</v>
      </c>
      <c r="S622" s="8" t="s">
        <v>34</v>
      </c>
      <c r="T622" s="8" t="s">
        <v>40</v>
      </c>
      <c r="U622" s="8" t="s">
        <v>58</v>
      </c>
      <c r="V622" s="8" t="s">
        <v>46</v>
      </c>
      <c r="W622" s="8">
        <v>0</v>
      </c>
    </row>
    <row r="623" spans="1:23" x14ac:dyDescent="0.25">
      <c r="A623" s="4"/>
      <c r="B623" s="4"/>
      <c r="C623" s="4">
        <v>888355</v>
      </c>
      <c r="D623" s="22">
        <v>5193.6899999999996</v>
      </c>
      <c r="E623" s="5">
        <f t="shared" si="9"/>
        <v>0.31000000000040018</v>
      </c>
      <c r="F623" s="9">
        <v>45288</v>
      </c>
      <c r="G623" s="10">
        <v>330450748</v>
      </c>
      <c r="H623" s="9">
        <v>45281</v>
      </c>
      <c r="I623" s="9">
        <v>45296</v>
      </c>
      <c r="J623" s="8">
        <v>5194</v>
      </c>
      <c r="K623" s="8" t="s">
        <v>31</v>
      </c>
      <c r="L623" s="8" t="s">
        <v>32</v>
      </c>
      <c r="M623" s="8"/>
      <c r="N623" s="8" t="b">
        <v>0</v>
      </c>
      <c r="O623" s="10">
        <v>709934</v>
      </c>
      <c r="P623" s="8" t="s">
        <v>233</v>
      </c>
      <c r="Q623" s="8">
        <v>569331</v>
      </c>
      <c r="R623" s="9">
        <v>45281</v>
      </c>
      <c r="S623" s="8" t="s">
        <v>34</v>
      </c>
      <c r="T623" s="8" t="s">
        <v>40</v>
      </c>
      <c r="U623" s="8" t="s">
        <v>58</v>
      </c>
      <c r="V623" s="8" t="s">
        <v>46</v>
      </c>
      <c r="W623" s="8">
        <v>0</v>
      </c>
    </row>
    <row r="624" spans="1:23" x14ac:dyDescent="0.25">
      <c r="A624" s="4"/>
      <c r="B624" s="4"/>
      <c r="C624" s="4">
        <v>888357</v>
      </c>
      <c r="D624" s="22">
        <v>5193.6899999999996</v>
      </c>
      <c r="E624" s="5">
        <f t="shared" si="9"/>
        <v>0.31000000000040018</v>
      </c>
      <c r="F624" s="9">
        <v>45288</v>
      </c>
      <c r="G624" s="10">
        <v>330450776</v>
      </c>
      <c r="H624" s="9">
        <v>45281</v>
      </c>
      <c r="I624" s="9">
        <v>45296</v>
      </c>
      <c r="J624" s="8">
        <v>5194</v>
      </c>
      <c r="K624" s="8" t="s">
        <v>31</v>
      </c>
      <c r="L624" s="8" t="s">
        <v>32</v>
      </c>
      <c r="M624" s="8"/>
      <c r="N624" s="8" t="b">
        <v>0</v>
      </c>
      <c r="O624" s="10">
        <v>709933</v>
      </c>
      <c r="P624" s="8" t="s">
        <v>119</v>
      </c>
      <c r="Q624" s="8">
        <v>569310</v>
      </c>
      <c r="R624" s="9">
        <v>45281</v>
      </c>
      <c r="S624" s="8" t="s">
        <v>34</v>
      </c>
      <c r="T624" s="8" t="s">
        <v>40</v>
      </c>
      <c r="U624" s="8" t="s">
        <v>58</v>
      </c>
      <c r="V624" s="8" t="s">
        <v>46</v>
      </c>
      <c r="W624" s="8">
        <v>0</v>
      </c>
    </row>
    <row r="625" spans="1:23" x14ac:dyDescent="0.25">
      <c r="A625" s="4"/>
      <c r="B625" s="4"/>
      <c r="C625" s="4">
        <v>888360</v>
      </c>
      <c r="D625" s="22">
        <v>5193.6899999999996</v>
      </c>
      <c r="E625" s="5">
        <f t="shared" si="9"/>
        <v>0.31000000000040018</v>
      </c>
      <c r="F625" s="9">
        <v>45288</v>
      </c>
      <c r="G625" s="10">
        <v>330450801</v>
      </c>
      <c r="H625" s="9">
        <v>45281</v>
      </c>
      <c r="I625" s="9">
        <v>45296</v>
      </c>
      <c r="J625" s="8">
        <v>5194</v>
      </c>
      <c r="K625" s="8" t="s">
        <v>31</v>
      </c>
      <c r="L625" s="8" t="s">
        <v>32</v>
      </c>
      <c r="M625" s="8"/>
      <c r="N625" s="8" t="b">
        <v>0</v>
      </c>
      <c r="O625" s="10">
        <v>709935</v>
      </c>
      <c r="P625" s="8" t="s">
        <v>216</v>
      </c>
      <c r="Q625" s="8">
        <v>569386</v>
      </c>
      <c r="R625" s="9">
        <v>45281</v>
      </c>
      <c r="S625" s="8" t="s">
        <v>34</v>
      </c>
      <c r="T625" s="8" t="s">
        <v>40</v>
      </c>
      <c r="U625" s="8" t="s">
        <v>58</v>
      </c>
      <c r="V625" s="8" t="s">
        <v>46</v>
      </c>
      <c r="W625" s="8">
        <v>0</v>
      </c>
    </row>
    <row r="626" spans="1:23" x14ac:dyDescent="0.25">
      <c r="A626" s="4"/>
      <c r="B626" s="4"/>
      <c r="C626" s="4">
        <v>888189</v>
      </c>
      <c r="D626" s="22">
        <v>5224.96</v>
      </c>
      <c r="E626" s="5">
        <f t="shared" si="9"/>
        <v>-1.9600000000000364</v>
      </c>
      <c r="F626" s="9">
        <v>45288</v>
      </c>
      <c r="G626" s="10">
        <v>330450813</v>
      </c>
      <c r="H626" s="9">
        <v>45281</v>
      </c>
      <c r="I626" s="9">
        <v>45296</v>
      </c>
      <c r="J626" s="8">
        <v>5223</v>
      </c>
      <c r="K626" s="8" t="s">
        <v>31</v>
      </c>
      <c r="L626" s="8" t="s">
        <v>32</v>
      </c>
      <c r="M626" s="8"/>
      <c r="N626" s="8" t="b">
        <v>0</v>
      </c>
      <c r="O626" s="10">
        <v>21166</v>
      </c>
      <c r="P626" s="8" t="s">
        <v>57</v>
      </c>
      <c r="Q626" s="8">
        <v>569295</v>
      </c>
      <c r="R626" s="9">
        <v>45281</v>
      </c>
      <c r="S626" s="8" t="s">
        <v>48</v>
      </c>
      <c r="T626" s="8" t="s">
        <v>40</v>
      </c>
      <c r="U626" s="8" t="s">
        <v>163</v>
      </c>
      <c r="V626" s="8" t="s">
        <v>46</v>
      </c>
      <c r="W626" s="8">
        <v>0</v>
      </c>
    </row>
    <row r="627" spans="1:23" x14ac:dyDescent="0.25">
      <c r="A627" s="4"/>
      <c r="B627" s="4"/>
      <c r="C627" s="4">
        <v>888362</v>
      </c>
      <c r="D627" s="22">
        <v>5193.6899999999996</v>
      </c>
      <c r="E627" s="5">
        <f t="shared" si="9"/>
        <v>0.31000000000040018</v>
      </c>
      <c r="F627" s="9">
        <v>45288</v>
      </c>
      <c r="G627" s="10">
        <v>330452502</v>
      </c>
      <c r="H627" s="9">
        <v>45281</v>
      </c>
      <c r="I627" s="9">
        <v>45296</v>
      </c>
      <c r="J627" s="8">
        <v>5194</v>
      </c>
      <c r="K627" s="8" t="s">
        <v>31</v>
      </c>
      <c r="L627" s="8" t="s">
        <v>32</v>
      </c>
      <c r="M627" s="8"/>
      <c r="N627" s="8" t="b">
        <v>0</v>
      </c>
      <c r="O627" s="10">
        <v>709936</v>
      </c>
      <c r="P627" s="8" t="s">
        <v>38</v>
      </c>
      <c r="Q627" s="8">
        <v>571202</v>
      </c>
      <c r="R627" s="9">
        <v>45281</v>
      </c>
      <c r="S627" s="8" t="s">
        <v>34</v>
      </c>
      <c r="T627" s="8" t="s">
        <v>40</v>
      </c>
      <c r="U627" s="8" t="s">
        <v>58</v>
      </c>
      <c r="V627" s="8" t="s">
        <v>46</v>
      </c>
      <c r="W627" s="8">
        <v>0</v>
      </c>
    </row>
    <row r="628" spans="1:23" x14ac:dyDescent="0.25">
      <c r="A628" s="4"/>
      <c r="B628" s="4"/>
      <c r="C628" s="4">
        <v>888402</v>
      </c>
      <c r="D628" s="22">
        <v>6997.68</v>
      </c>
      <c r="E628" s="5">
        <f t="shared" si="9"/>
        <v>1.319999999999709</v>
      </c>
      <c r="F628" s="9">
        <v>45288</v>
      </c>
      <c r="G628" s="10">
        <v>330462187</v>
      </c>
      <c r="H628" s="9">
        <v>45282</v>
      </c>
      <c r="I628" s="9">
        <v>45297</v>
      </c>
      <c r="J628" s="8">
        <v>6999</v>
      </c>
      <c r="K628" s="8" t="s">
        <v>31</v>
      </c>
      <c r="L628" s="8" t="s">
        <v>32</v>
      </c>
      <c r="M628" s="8"/>
      <c r="N628" s="8" t="b">
        <v>0</v>
      </c>
      <c r="O628" s="16">
        <v>21159</v>
      </c>
      <c r="P628" s="8" t="s">
        <v>295</v>
      </c>
      <c r="Q628" s="8">
        <v>576876</v>
      </c>
      <c r="R628" s="9">
        <v>45282</v>
      </c>
      <c r="S628" s="8" t="s">
        <v>39</v>
      </c>
      <c r="T628" s="8" t="s">
        <v>44</v>
      </c>
      <c r="U628" s="8" t="s">
        <v>41</v>
      </c>
      <c r="V628" s="8" t="s">
        <v>42</v>
      </c>
      <c r="W628" s="8">
        <v>0</v>
      </c>
    </row>
    <row r="629" spans="1:23" x14ac:dyDescent="0.25">
      <c r="A629" s="4"/>
      <c r="B629" s="4"/>
      <c r="C629" s="4">
        <v>888364</v>
      </c>
      <c r="D629" s="22">
        <v>5193.6899999999996</v>
      </c>
      <c r="E629" s="5">
        <f t="shared" si="9"/>
        <v>0.31000000000040018</v>
      </c>
      <c r="F629" s="9">
        <v>45288</v>
      </c>
      <c r="G629" s="10">
        <v>330462195</v>
      </c>
      <c r="H629" s="9">
        <v>45282</v>
      </c>
      <c r="I629" s="9">
        <v>45297</v>
      </c>
      <c r="J629" s="8">
        <v>5194</v>
      </c>
      <c r="K629" s="8" t="s">
        <v>31</v>
      </c>
      <c r="L629" s="8" t="s">
        <v>32</v>
      </c>
      <c r="M629" s="8"/>
      <c r="N629" s="8" t="b">
        <v>0</v>
      </c>
      <c r="O629" s="10">
        <v>709937</v>
      </c>
      <c r="P629" s="8" t="s">
        <v>219</v>
      </c>
      <c r="Q629" s="8">
        <v>576663</v>
      </c>
      <c r="R629" s="9">
        <v>45282</v>
      </c>
      <c r="S629" s="8" t="s">
        <v>34</v>
      </c>
      <c r="T629" s="8" t="s">
        <v>40</v>
      </c>
      <c r="U629" s="8" t="s">
        <v>58</v>
      </c>
      <c r="V629" s="8" t="s">
        <v>46</v>
      </c>
      <c r="W629" s="8">
        <v>0</v>
      </c>
    </row>
    <row r="630" spans="1:23" x14ac:dyDescent="0.25">
      <c r="A630" s="4"/>
      <c r="B630" s="4"/>
      <c r="C630" s="4">
        <v>888403</v>
      </c>
      <c r="D630" s="22">
        <v>6997.68</v>
      </c>
      <c r="E630" s="5">
        <f t="shared" si="9"/>
        <v>1.319999999999709</v>
      </c>
      <c r="F630" s="9">
        <v>45288</v>
      </c>
      <c r="G630" s="10">
        <v>330462197</v>
      </c>
      <c r="H630" s="9">
        <v>45282</v>
      </c>
      <c r="I630" s="9">
        <v>45297</v>
      </c>
      <c r="J630" s="8">
        <v>6999</v>
      </c>
      <c r="K630" s="8" t="s">
        <v>31</v>
      </c>
      <c r="L630" s="8" t="s">
        <v>32</v>
      </c>
      <c r="M630" s="8"/>
      <c r="N630" s="8" t="b">
        <v>0</v>
      </c>
      <c r="O630" s="16">
        <v>21158</v>
      </c>
      <c r="P630" s="8" t="s">
        <v>265</v>
      </c>
      <c r="Q630" s="8">
        <v>576861</v>
      </c>
      <c r="R630" s="9">
        <v>45282</v>
      </c>
      <c r="S630" s="8" t="s">
        <v>39</v>
      </c>
      <c r="T630" s="8" t="s">
        <v>44</v>
      </c>
      <c r="U630" s="8" t="s">
        <v>41</v>
      </c>
      <c r="V630" s="8" t="s">
        <v>42</v>
      </c>
      <c r="W630" s="8">
        <v>0</v>
      </c>
    </row>
    <row r="631" spans="1:23" x14ac:dyDescent="0.25">
      <c r="A631" s="4"/>
      <c r="B631" s="4"/>
      <c r="C631" s="4">
        <v>888367</v>
      </c>
      <c r="D631" s="22">
        <v>5164.29</v>
      </c>
      <c r="E631" s="5">
        <f t="shared" si="9"/>
        <v>-0.28999999999996362</v>
      </c>
      <c r="F631" s="9">
        <v>45288</v>
      </c>
      <c r="G631" s="10">
        <v>330462211</v>
      </c>
      <c r="H631" s="9">
        <v>45282</v>
      </c>
      <c r="I631" s="9">
        <v>45297</v>
      </c>
      <c r="J631" s="8">
        <v>5164</v>
      </c>
      <c r="K631" s="8" t="s">
        <v>31</v>
      </c>
      <c r="L631" s="8" t="s">
        <v>32</v>
      </c>
      <c r="M631" s="8"/>
      <c r="N631" s="8" t="b">
        <v>0</v>
      </c>
      <c r="O631" s="10">
        <v>709316</v>
      </c>
      <c r="P631" s="8" t="s">
        <v>332</v>
      </c>
      <c r="Q631" s="8">
        <v>576835</v>
      </c>
      <c r="R631" s="9">
        <v>45282</v>
      </c>
      <c r="S631" s="8" t="s">
        <v>34</v>
      </c>
      <c r="T631" s="8" t="s">
        <v>44</v>
      </c>
      <c r="U631" s="8" t="s">
        <v>58</v>
      </c>
      <c r="V631" s="8" t="s">
        <v>46</v>
      </c>
      <c r="W631" s="8">
        <v>0</v>
      </c>
    </row>
    <row r="632" spans="1:23" x14ac:dyDescent="0.25">
      <c r="A632" s="4"/>
      <c r="B632" s="4"/>
      <c r="C632" s="4">
        <v>888369</v>
      </c>
      <c r="D632" s="22">
        <v>5164.29</v>
      </c>
      <c r="E632" s="5">
        <f t="shared" si="9"/>
        <v>-0.28999999999996362</v>
      </c>
      <c r="F632" s="9">
        <v>45288</v>
      </c>
      <c r="G632" s="10">
        <v>330462219</v>
      </c>
      <c r="H632" s="9">
        <v>45282</v>
      </c>
      <c r="I632" s="9">
        <v>45297</v>
      </c>
      <c r="J632" s="8">
        <v>5164</v>
      </c>
      <c r="K632" s="8" t="s">
        <v>31</v>
      </c>
      <c r="L632" s="8" t="s">
        <v>32</v>
      </c>
      <c r="M632" s="8"/>
      <c r="N632" s="8" t="b">
        <v>0</v>
      </c>
      <c r="O632" s="10">
        <v>709317</v>
      </c>
      <c r="P632" s="8" t="s">
        <v>333</v>
      </c>
      <c r="Q632" s="8">
        <v>576850</v>
      </c>
      <c r="R632" s="9">
        <v>45282</v>
      </c>
      <c r="S632" s="8" t="s">
        <v>34</v>
      </c>
      <c r="T632" s="8" t="s">
        <v>44</v>
      </c>
      <c r="U632" s="8" t="s">
        <v>58</v>
      </c>
      <c r="V632" s="8" t="s">
        <v>46</v>
      </c>
      <c r="W632" s="8">
        <v>0</v>
      </c>
    </row>
    <row r="633" spans="1:23" x14ac:dyDescent="0.25">
      <c r="A633" s="4"/>
      <c r="B633" s="4"/>
      <c r="C633" s="4">
        <v>888405</v>
      </c>
      <c r="D633" s="22">
        <v>5224.96</v>
      </c>
      <c r="E633" s="5">
        <f t="shared" si="9"/>
        <v>-1.9600000000000364</v>
      </c>
      <c r="F633" s="9">
        <v>45288</v>
      </c>
      <c r="G633" s="10">
        <v>330462228</v>
      </c>
      <c r="H633" s="9">
        <v>45282</v>
      </c>
      <c r="I633" s="9">
        <v>45297</v>
      </c>
      <c r="J633" s="8">
        <v>5223</v>
      </c>
      <c r="K633" s="8" t="s">
        <v>31</v>
      </c>
      <c r="L633" s="8" t="s">
        <v>32</v>
      </c>
      <c r="M633" s="8"/>
      <c r="N633" s="8" t="b">
        <v>0</v>
      </c>
      <c r="O633" s="16">
        <v>21167</v>
      </c>
      <c r="P633" s="8" t="s">
        <v>97</v>
      </c>
      <c r="Q633" s="8">
        <v>576657</v>
      </c>
      <c r="R633" s="9">
        <v>45282</v>
      </c>
      <c r="S633" s="8" t="s">
        <v>48</v>
      </c>
      <c r="T633" s="8" t="s">
        <v>40</v>
      </c>
      <c r="U633" s="8" t="s">
        <v>163</v>
      </c>
      <c r="V633" s="8" t="s">
        <v>46</v>
      </c>
      <c r="W633" s="8">
        <v>0</v>
      </c>
    </row>
    <row r="634" spans="1:23" x14ac:dyDescent="0.25">
      <c r="A634" s="4"/>
      <c r="B634" s="4"/>
      <c r="C634" s="4">
        <v>888371</v>
      </c>
      <c r="D634" s="22">
        <v>5164.29</v>
      </c>
      <c r="E634" s="5">
        <f t="shared" si="9"/>
        <v>-0.28999999999996362</v>
      </c>
      <c r="F634" s="9">
        <v>45288</v>
      </c>
      <c r="G634" s="10">
        <v>330462249</v>
      </c>
      <c r="H634" s="9">
        <v>45282</v>
      </c>
      <c r="I634" s="9">
        <v>45297</v>
      </c>
      <c r="J634" s="8">
        <v>5164</v>
      </c>
      <c r="K634" s="8" t="s">
        <v>31</v>
      </c>
      <c r="L634" s="8" t="s">
        <v>32</v>
      </c>
      <c r="M634" s="8"/>
      <c r="N634" s="8" t="b">
        <v>0</v>
      </c>
      <c r="O634" s="10">
        <v>709315</v>
      </c>
      <c r="P634" s="8" t="s">
        <v>255</v>
      </c>
      <c r="Q634" s="8">
        <v>576820</v>
      </c>
      <c r="R634" s="9">
        <v>45282</v>
      </c>
      <c r="S634" s="8" t="s">
        <v>34</v>
      </c>
      <c r="T634" s="8" t="s">
        <v>44</v>
      </c>
      <c r="U634" s="8" t="s">
        <v>58</v>
      </c>
      <c r="V634" s="8" t="s">
        <v>46</v>
      </c>
      <c r="W634" s="8">
        <v>0</v>
      </c>
    </row>
    <row r="635" spans="1:23" x14ac:dyDescent="0.25">
      <c r="A635" s="4"/>
      <c r="B635" s="4"/>
      <c r="C635" s="4">
        <v>888751</v>
      </c>
      <c r="D635" s="22">
        <v>5053</v>
      </c>
      <c r="E635" s="5">
        <f t="shared" si="9"/>
        <v>0</v>
      </c>
      <c r="F635" s="9">
        <v>45288</v>
      </c>
      <c r="G635" s="10">
        <v>330486782</v>
      </c>
      <c r="H635" s="9">
        <v>45287</v>
      </c>
      <c r="I635" s="9">
        <v>45302</v>
      </c>
      <c r="J635" s="8">
        <v>5053</v>
      </c>
      <c r="K635" s="8" t="s">
        <v>31</v>
      </c>
      <c r="L635" s="8" t="s">
        <v>32</v>
      </c>
      <c r="M635" s="8"/>
      <c r="N635" s="8" t="b">
        <v>0</v>
      </c>
      <c r="O635" s="10">
        <v>709922</v>
      </c>
      <c r="P635" s="8" t="s">
        <v>153</v>
      </c>
      <c r="Q635" s="8">
        <v>592521</v>
      </c>
      <c r="R635" s="9">
        <v>45283</v>
      </c>
      <c r="S635" s="8" t="s">
        <v>34</v>
      </c>
      <c r="T635" s="8" t="s">
        <v>40</v>
      </c>
      <c r="U635" s="8" t="s">
        <v>84</v>
      </c>
      <c r="V635" s="8" t="s">
        <v>46</v>
      </c>
      <c r="W635" s="8">
        <v>0</v>
      </c>
    </row>
    <row r="636" spans="1:23" x14ac:dyDescent="0.25">
      <c r="A636" s="4"/>
      <c r="B636" s="4"/>
      <c r="C636" s="4">
        <v>888757</v>
      </c>
      <c r="D636" s="22">
        <v>5193.6899999999996</v>
      </c>
      <c r="E636" s="5">
        <f t="shared" si="9"/>
        <v>0.31000000000040018</v>
      </c>
      <c r="F636" s="9">
        <v>45288</v>
      </c>
      <c r="G636" s="10">
        <v>330486784</v>
      </c>
      <c r="H636" s="9">
        <v>45287</v>
      </c>
      <c r="I636" s="9">
        <v>45302</v>
      </c>
      <c r="J636" s="8">
        <v>5194</v>
      </c>
      <c r="K636" s="8" t="s">
        <v>31</v>
      </c>
      <c r="L636" s="8" t="s">
        <v>32</v>
      </c>
      <c r="M636" s="8"/>
      <c r="N636" s="8" t="b">
        <v>0</v>
      </c>
      <c r="O636" s="10">
        <v>709941</v>
      </c>
      <c r="P636" s="8" t="s">
        <v>218</v>
      </c>
      <c r="Q636" s="8">
        <v>592529</v>
      </c>
      <c r="R636" s="9">
        <v>45283</v>
      </c>
      <c r="S636" s="8" t="s">
        <v>34</v>
      </c>
      <c r="T636" s="8" t="s">
        <v>40</v>
      </c>
      <c r="U636" s="8" t="s">
        <v>58</v>
      </c>
      <c r="V636" s="8" t="s">
        <v>46</v>
      </c>
      <c r="W636" s="8">
        <v>0</v>
      </c>
    </row>
    <row r="637" spans="1:23" x14ac:dyDescent="0.25">
      <c r="A637" s="4"/>
      <c r="B637" s="4"/>
      <c r="C637" s="4">
        <v>888760</v>
      </c>
      <c r="D637" s="22">
        <v>5193.6899999999996</v>
      </c>
      <c r="E637" s="5">
        <f t="shared" si="9"/>
        <v>0.31000000000040018</v>
      </c>
      <c r="F637" s="9">
        <v>45288</v>
      </c>
      <c r="G637" s="10">
        <v>330486785</v>
      </c>
      <c r="H637" s="9">
        <v>45287</v>
      </c>
      <c r="I637" s="9">
        <v>45302</v>
      </c>
      <c r="J637" s="8">
        <v>5194</v>
      </c>
      <c r="K637" s="8" t="s">
        <v>31</v>
      </c>
      <c r="L637" s="8" t="s">
        <v>32</v>
      </c>
      <c r="M637" s="8"/>
      <c r="N637" s="8" t="b">
        <v>0</v>
      </c>
      <c r="O637" s="10">
        <v>709940</v>
      </c>
      <c r="P637" s="8" t="s">
        <v>128</v>
      </c>
      <c r="Q637" s="8">
        <v>592528</v>
      </c>
      <c r="R637" s="9">
        <v>45283</v>
      </c>
      <c r="S637" s="8" t="s">
        <v>34</v>
      </c>
      <c r="T637" s="8" t="s">
        <v>40</v>
      </c>
      <c r="U637" s="8" t="s">
        <v>58</v>
      </c>
      <c r="V637" s="8" t="s">
        <v>46</v>
      </c>
      <c r="W637" s="8">
        <v>0</v>
      </c>
    </row>
    <row r="638" spans="1:23" x14ac:dyDescent="0.25">
      <c r="A638" s="4"/>
      <c r="B638" s="4"/>
      <c r="C638" s="4">
        <v>888764</v>
      </c>
      <c r="D638" s="22">
        <v>5193.6899999999996</v>
      </c>
      <c r="E638" s="5">
        <f t="shared" si="9"/>
        <v>0.31000000000040018</v>
      </c>
      <c r="F638" s="9">
        <v>45288</v>
      </c>
      <c r="G638" s="10">
        <v>330486788</v>
      </c>
      <c r="H638" s="9">
        <v>45287</v>
      </c>
      <c r="I638" s="9">
        <v>45302</v>
      </c>
      <c r="J638" s="8">
        <v>5194</v>
      </c>
      <c r="K638" s="8" t="s">
        <v>31</v>
      </c>
      <c r="L638" s="8" t="s">
        <v>32</v>
      </c>
      <c r="M638" s="8"/>
      <c r="N638" s="8" t="b">
        <v>0</v>
      </c>
      <c r="O638" s="10">
        <v>709943</v>
      </c>
      <c r="P638" s="8" t="s">
        <v>55</v>
      </c>
      <c r="Q638" s="8">
        <v>592531</v>
      </c>
      <c r="R638" s="9">
        <v>45283</v>
      </c>
      <c r="S638" s="8" t="s">
        <v>34</v>
      </c>
      <c r="T638" s="8" t="s">
        <v>40</v>
      </c>
      <c r="U638" s="8" t="s">
        <v>58</v>
      </c>
      <c r="V638" s="8" t="s">
        <v>46</v>
      </c>
      <c r="W638" s="8">
        <v>0</v>
      </c>
    </row>
    <row r="639" spans="1:23" x14ac:dyDescent="0.25">
      <c r="A639" s="4"/>
      <c r="B639" s="4"/>
      <c r="C639" s="4">
        <v>888817</v>
      </c>
      <c r="D639" s="22">
        <v>5193.6899999999996</v>
      </c>
      <c r="E639" s="5">
        <f t="shared" si="9"/>
        <v>0.31000000000040018</v>
      </c>
      <c r="F639" s="9">
        <v>45288</v>
      </c>
      <c r="G639" s="10">
        <v>330486792</v>
      </c>
      <c r="H639" s="9">
        <v>45287</v>
      </c>
      <c r="I639" s="9">
        <v>45302</v>
      </c>
      <c r="J639" s="8">
        <v>5194</v>
      </c>
      <c r="K639" s="8" t="s">
        <v>31</v>
      </c>
      <c r="L639" s="8" t="s">
        <v>32</v>
      </c>
      <c r="M639" s="8"/>
      <c r="N639" s="8" t="b">
        <v>0</v>
      </c>
      <c r="O639" s="10">
        <v>709938</v>
      </c>
      <c r="P639" s="8" t="s">
        <v>63</v>
      </c>
      <c r="Q639" s="8">
        <v>592526</v>
      </c>
      <c r="R639" s="9">
        <v>45283</v>
      </c>
      <c r="S639" s="8" t="s">
        <v>34</v>
      </c>
      <c r="T639" s="8" t="s">
        <v>40</v>
      </c>
      <c r="U639" s="8" t="s">
        <v>58</v>
      </c>
      <c r="V639" s="8" t="s">
        <v>46</v>
      </c>
      <c r="W639" s="8">
        <v>0</v>
      </c>
    </row>
    <row r="640" spans="1:23" x14ac:dyDescent="0.25">
      <c r="A640" s="4"/>
      <c r="B640" s="4"/>
      <c r="C640" s="4">
        <v>888825</v>
      </c>
      <c r="D640" s="22">
        <v>5053</v>
      </c>
      <c r="E640" s="5">
        <f t="shared" si="9"/>
        <v>0</v>
      </c>
      <c r="F640" s="9">
        <v>45288</v>
      </c>
      <c r="G640" s="10">
        <v>330486793</v>
      </c>
      <c r="H640" s="9">
        <v>45287</v>
      </c>
      <c r="I640" s="9">
        <v>45302</v>
      </c>
      <c r="J640" s="8">
        <v>5053</v>
      </c>
      <c r="K640" s="8" t="s">
        <v>31</v>
      </c>
      <c r="L640" s="8" t="s">
        <v>32</v>
      </c>
      <c r="M640" s="8"/>
      <c r="N640" s="8" t="b">
        <v>0</v>
      </c>
      <c r="O640" s="10">
        <v>709924</v>
      </c>
      <c r="P640" s="8" t="s">
        <v>336</v>
      </c>
      <c r="Q640" s="8">
        <v>592525</v>
      </c>
      <c r="R640" s="9">
        <v>45283</v>
      </c>
      <c r="S640" s="8" t="s">
        <v>34</v>
      </c>
      <c r="T640" s="8" t="s">
        <v>40</v>
      </c>
      <c r="U640" s="8" t="s">
        <v>84</v>
      </c>
      <c r="V640" s="8" t="s">
        <v>46</v>
      </c>
      <c r="W640" s="8">
        <v>0</v>
      </c>
    </row>
    <row r="641" spans="1:23" x14ac:dyDescent="0.25">
      <c r="A641" s="4"/>
      <c r="B641" s="4"/>
      <c r="C641" s="4">
        <v>888826</v>
      </c>
      <c r="D641" s="22">
        <v>5053</v>
      </c>
      <c r="E641" s="5">
        <f t="shared" si="9"/>
        <v>0</v>
      </c>
      <c r="F641" s="9">
        <v>45288</v>
      </c>
      <c r="G641" s="10">
        <v>330486794</v>
      </c>
      <c r="H641" s="9">
        <v>45287</v>
      </c>
      <c r="I641" s="9">
        <v>45302</v>
      </c>
      <c r="J641" s="8">
        <v>5053</v>
      </c>
      <c r="K641" s="8" t="s">
        <v>31</v>
      </c>
      <c r="L641" s="8" t="s">
        <v>32</v>
      </c>
      <c r="M641" s="8"/>
      <c r="N641" s="8" t="b">
        <v>0</v>
      </c>
      <c r="O641" s="10">
        <v>709921</v>
      </c>
      <c r="P641" s="8" t="s">
        <v>141</v>
      </c>
      <c r="Q641" s="8">
        <v>592519</v>
      </c>
      <c r="R641" s="9">
        <v>45283</v>
      </c>
      <c r="S641" s="8" t="s">
        <v>34</v>
      </c>
      <c r="T641" s="8" t="s">
        <v>40</v>
      </c>
      <c r="U641" s="8" t="s">
        <v>84</v>
      </c>
      <c r="V641" s="8" t="s">
        <v>46</v>
      </c>
      <c r="W641" s="8">
        <v>0</v>
      </c>
    </row>
    <row r="642" spans="1:23" x14ac:dyDescent="0.25">
      <c r="A642" s="4"/>
      <c r="B642" s="4"/>
      <c r="C642" s="4">
        <v>888827</v>
      </c>
      <c r="D642" s="22">
        <v>5193.6899999999996</v>
      </c>
      <c r="E642" s="5">
        <f t="shared" si="9"/>
        <v>0.31000000000040018</v>
      </c>
      <c r="F642" s="9">
        <v>45288</v>
      </c>
      <c r="G642" s="10">
        <v>330486796</v>
      </c>
      <c r="H642" s="9">
        <v>45287</v>
      </c>
      <c r="I642" s="9">
        <v>45302</v>
      </c>
      <c r="J642" s="8">
        <v>5194</v>
      </c>
      <c r="K642" s="8" t="s">
        <v>31</v>
      </c>
      <c r="L642" s="8" t="s">
        <v>32</v>
      </c>
      <c r="M642" s="8"/>
      <c r="N642" s="8" t="b">
        <v>0</v>
      </c>
      <c r="O642" s="10">
        <v>709939</v>
      </c>
      <c r="P642" s="8" t="s">
        <v>59</v>
      </c>
      <c r="Q642" s="8">
        <v>592527</v>
      </c>
      <c r="R642" s="9">
        <v>45283</v>
      </c>
      <c r="S642" s="8" t="s">
        <v>34</v>
      </c>
      <c r="T642" s="8" t="s">
        <v>40</v>
      </c>
      <c r="U642" s="8" t="s">
        <v>58</v>
      </c>
      <c r="V642" s="8" t="s">
        <v>46</v>
      </c>
      <c r="W642" s="8">
        <v>0</v>
      </c>
    </row>
    <row r="643" spans="1:23" x14ac:dyDescent="0.25">
      <c r="A643" s="4"/>
      <c r="B643" s="4"/>
      <c r="C643" s="4">
        <v>888829</v>
      </c>
      <c r="D643" s="22">
        <v>5193.6899999999996</v>
      </c>
      <c r="E643" s="5">
        <f t="shared" si="9"/>
        <v>0.31000000000040018</v>
      </c>
      <c r="F643" s="9">
        <v>45288</v>
      </c>
      <c r="G643" s="10">
        <v>330486799</v>
      </c>
      <c r="H643" s="9">
        <v>45287</v>
      </c>
      <c r="I643" s="9">
        <v>45302</v>
      </c>
      <c r="J643" s="8">
        <v>5194</v>
      </c>
      <c r="K643" s="8" t="s">
        <v>31</v>
      </c>
      <c r="L643" s="8" t="s">
        <v>32</v>
      </c>
      <c r="M643" s="8"/>
      <c r="N643" s="8" t="b">
        <v>0</v>
      </c>
      <c r="O643" s="10">
        <v>709942</v>
      </c>
      <c r="P643" s="8" t="s">
        <v>78</v>
      </c>
      <c r="Q643" s="8">
        <v>592530</v>
      </c>
      <c r="R643" s="9">
        <v>45283</v>
      </c>
      <c r="S643" s="8" t="s">
        <v>34</v>
      </c>
      <c r="T643" s="8" t="s">
        <v>40</v>
      </c>
      <c r="U643" s="8" t="s">
        <v>58</v>
      </c>
      <c r="V643" s="8" t="s">
        <v>46</v>
      </c>
      <c r="W643" s="8">
        <v>0</v>
      </c>
    </row>
    <row r="644" spans="1:23" x14ac:dyDescent="0.25">
      <c r="A644" s="4"/>
      <c r="B644" s="4"/>
      <c r="C644" s="4">
        <v>888833</v>
      </c>
      <c r="D644" s="22">
        <v>5053</v>
      </c>
      <c r="E644" s="5">
        <f t="shared" si="9"/>
        <v>0</v>
      </c>
      <c r="F644" s="9">
        <v>45288</v>
      </c>
      <c r="G644" s="10">
        <v>330486803</v>
      </c>
      <c r="H644" s="9">
        <v>45287</v>
      </c>
      <c r="I644" s="9">
        <v>45302</v>
      </c>
      <c r="J644" s="8">
        <v>5053</v>
      </c>
      <c r="K644" s="8" t="s">
        <v>31</v>
      </c>
      <c r="L644" s="8" t="s">
        <v>32</v>
      </c>
      <c r="M644" s="8"/>
      <c r="N644" s="8" t="b">
        <v>0</v>
      </c>
      <c r="O644" s="10">
        <v>709923</v>
      </c>
      <c r="P644" s="8" t="s">
        <v>335</v>
      </c>
      <c r="Q644" s="8">
        <v>592523</v>
      </c>
      <c r="R644" s="9">
        <v>45283</v>
      </c>
      <c r="S644" s="8" t="s">
        <v>34</v>
      </c>
      <c r="T644" s="8" t="s">
        <v>40</v>
      </c>
      <c r="U644" s="8" t="s">
        <v>84</v>
      </c>
      <c r="V644" s="8" t="s">
        <v>46</v>
      </c>
      <c r="W644" s="8">
        <v>0</v>
      </c>
    </row>
    <row r="645" spans="1:23" x14ac:dyDescent="0.25">
      <c r="A645" s="4">
        <v>1</v>
      </c>
      <c r="B645" s="4"/>
      <c r="C645" s="4">
        <v>888718</v>
      </c>
      <c r="D645" s="22">
        <v>8573.1200000000008</v>
      </c>
      <c r="E645" s="5">
        <f t="shared" ref="E645:E673" si="10">J645-D645</f>
        <v>0</v>
      </c>
      <c r="F645" s="9">
        <v>45288</v>
      </c>
      <c r="G645" s="10">
        <v>330489387</v>
      </c>
      <c r="H645" s="9">
        <v>45287</v>
      </c>
      <c r="I645" s="9">
        <v>45302</v>
      </c>
      <c r="J645" s="8">
        <v>8573.1200000000008</v>
      </c>
      <c r="K645" s="8" t="s">
        <v>31</v>
      </c>
      <c r="L645" s="8" t="s">
        <v>32</v>
      </c>
      <c r="M645" s="8"/>
      <c r="N645" s="8" t="b">
        <v>0</v>
      </c>
      <c r="O645" s="10" t="s">
        <v>284</v>
      </c>
      <c r="P645" s="8" t="s">
        <v>354</v>
      </c>
      <c r="Q645" s="8">
        <v>592871</v>
      </c>
      <c r="R645" s="9">
        <v>45284</v>
      </c>
      <c r="S645" s="8" t="s">
        <v>286</v>
      </c>
      <c r="T645" s="8" t="s">
        <v>355</v>
      </c>
      <c r="U645" s="8" t="s">
        <v>287</v>
      </c>
      <c r="V645" s="8" t="s">
        <v>46</v>
      </c>
      <c r="W645" s="8">
        <v>0</v>
      </c>
    </row>
    <row r="646" spans="1:23" x14ac:dyDescent="0.25">
      <c r="A646" s="4"/>
      <c r="B646" s="4"/>
      <c r="C646" s="4">
        <v>888834</v>
      </c>
      <c r="D646" s="22">
        <v>5164.29</v>
      </c>
      <c r="E646" s="5">
        <f t="shared" si="10"/>
        <v>-0.28999999999996362</v>
      </c>
      <c r="F646" s="9">
        <v>45288</v>
      </c>
      <c r="G646" s="10">
        <v>330503784</v>
      </c>
      <c r="H646" s="9">
        <v>45287</v>
      </c>
      <c r="I646" s="9">
        <v>45302</v>
      </c>
      <c r="J646" s="8">
        <v>5164</v>
      </c>
      <c r="K646" s="8" t="s">
        <v>31</v>
      </c>
      <c r="L646" s="8" t="s">
        <v>32</v>
      </c>
      <c r="M646" s="8"/>
      <c r="N646" s="8" t="b">
        <v>0</v>
      </c>
      <c r="O646" s="10">
        <v>708417</v>
      </c>
      <c r="P646" s="8" t="s">
        <v>267</v>
      </c>
      <c r="Q646" s="8">
        <v>601635</v>
      </c>
      <c r="R646" s="9">
        <v>45286</v>
      </c>
      <c r="S646" s="8" t="s">
        <v>34</v>
      </c>
      <c r="T646" s="8" t="s">
        <v>44</v>
      </c>
      <c r="U646" s="8" t="s">
        <v>58</v>
      </c>
      <c r="V646" s="8" t="s">
        <v>46</v>
      </c>
      <c r="W646" s="8">
        <v>0</v>
      </c>
    </row>
    <row r="647" spans="1:23" x14ac:dyDescent="0.25">
      <c r="A647" s="4"/>
      <c r="B647" s="4"/>
      <c r="C647" s="4">
        <v>888424</v>
      </c>
      <c r="D647" s="22">
        <v>5166.74</v>
      </c>
      <c r="E647" s="17">
        <f t="shared" si="10"/>
        <v>0.26000000000021828</v>
      </c>
      <c r="F647" s="9">
        <v>45288</v>
      </c>
      <c r="G647" s="10">
        <v>330503788</v>
      </c>
      <c r="H647" s="9">
        <v>45287</v>
      </c>
      <c r="I647" s="9">
        <v>45302</v>
      </c>
      <c r="J647" s="8">
        <v>5167</v>
      </c>
      <c r="K647" s="8" t="s">
        <v>31</v>
      </c>
      <c r="L647" s="8" t="s">
        <v>32</v>
      </c>
      <c r="M647" s="8"/>
      <c r="N647" s="8" t="b">
        <v>0</v>
      </c>
      <c r="O647" s="10">
        <v>702415</v>
      </c>
      <c r="P647" s="8" t="s">
        <v>183</v>
      </c>
      <c r="Q647" s="8">
        <v>601620</v>
      </c>
      <c r="R647" s="9">
        <v>45286</v>
      </c>
      <c r="S647" s="8" t="s">
        <v>180</v>
      </c>
      <c r="T647" s="8" t="s">
        <v>44</v>
      </c>
      <c r="U647" s="8" t="s">
        <v>45</v>
      </c>
      <c r="V647" s="8" t="s">
        <v>46</v>
      </c>
      <c r="W647" s="8">
        <v>0</v>
      </c>
    </row>
    <row r="648" spans="1:23" x14ac:dyDescent="0.25">
      <c r="A648" s="4"/>
      <c r="B648" s="4"/>
      <c r="C648" s="4">
        <v>888843</v>
      </c>
      <c r="D648" s="22">
        <v>5164.29</v>
      </c>
      <c r="E648" s="5">
        <f t="shared" si="10"/>
        <v>-0.28999999999996362</v>
      </c>
      <c r="F648" s="9">
        <v>45288</v>
      </c>
      <c r="G648" s="10">
        <v>330503835</v>
      </c>
      <c r="H648" s="9">
        <v>45287</v>
      </c>
      <c r="I648" s="9">
        <v>45302</v>
      </c>
      <c r="J648" s="8">
        <v>5164</v>
      </c>
      <c r="K648" s="8" t="s">
        <v>31</v>
      </c>
      <c r="L648" s="8" t="s">
        <v>32</v>
      </c>
      <c r="M648" s="8"/>
      <c r="N648" s="8" t="b">
        <v>0</v>
      </c>
      <c r="O648" s="10">
        <v>709319</v>
      </c>
      <c r="P648" s="8" t="s">
        <v>179</v>
      </c>
      <c r="Q648" s="8">
        <v>601602</v>
      </c>
      <c r="R648" s="9">
        <v>45286</v>
      </c>
      <c r="S648" s="8" t="s">
        <v>34</v>
      </c>
      <c r="T648" s="8" t="s">
        <v>44</v>
      </c>
      <c r="U648" s="8" t="s">
        <v>58</v>
      </c>
      <c r="V648" s="8" t="s">
        <v>46</v>
      </c>
      <c r="W648" s="8">
        <v>0</v>
      </c>
    </row>
    <row r="649" spans="1:23" x14ac:dyDescent="0.25">
      <c r="A649" s="4"/>
      <c r="B649" s="4"/>
      <c r="C649" s="4">
        <v>888845</v>
      </c>
      <c r="D649" s="22">
        <v>5164.29</v>
      </c>
      <c r="E649" s="5">
        <f t="shared" si="10"/>
        <v>-0.28999999999996362</v>
      </c>
      <c r="F649" s="9">
        <v>45288</v>
      </c>
      <c r="G649" s="10">
        <v>330503904</v>
      </c>
      <c r="H649" s="9">
        <v>45287</v>
      </c>
      <c r="I649" s="9">
        <v>45302</v>
      </c>
      <c r="J649" s="8">
        <v>5164</v>
      </c>
      <c r="K649" s="8" t="s">
        <v>31</v>
      </c>
      <c r="L649" s="8" t="s">
        <v>32</v>
      </c>
      <c r="M649" s="8"/>
      <c r="N649" s="8" t="b">
        <v>0</v>
      </c>
      <c r="O649" s="10">
        <v>709320</v>
      </c>
      <c r="P649" s="8" t="s">
        <v>182</v>
      </c>
      <c r="Q649" s="8">
        <v>601613</v>
      </c>
      <c r="R649" s="9">
        <v>45286</v>
      </c>
      <c r="S649" s="8" t="s">
        <v>34</v>
      </c>
      <c r="T649" s="8" t="s">
        <v>44</v>
      </c>
      <c r="U649" s="8" t="s">
        <v>58</v>
      </c>
      <c r="V649" s="8" t="s">
        <v>46</v>
      </c>
      <c r="W649" s="8">
        <v>0</v>
      </c>
    </row>
    <row r="650" spans="1:23" x14ac:dyDescent="0.25">
      <c r="A650" s="4"/>
      <c r="B650" s="4"/>
      <c r="C650" s="4">
        <v>888846</v>
      </c>
      <c r="D650" s="22">
        <v>5164.29</v>
      </c>
      <c r="E650" s="5">
        <f t="shared" si="10"/>
        <v>-0.28999999999996362</v>
      </c>
      <c r="F650" s="9">
        <v>45288</v>
      </c>
      <c r="G650" s="10">
        <v>330503918</v>
      </c>
      <c r="H650" s="9">
        <v>45287</v>
      </c>
      <c r="I650" s="9">
        <v>45302</v>
      </c>
      <c r="J650" s="8">
        <v>5164</v>
      </c>
      <c r="K650" s="8" t="s">
        <v>31</v>
      </c>
      <c r="L650" s="8" t="s">
        <v>32</v>
      </c>
      <c r="M650" s="8"/>
      <c r="N650" s="8" t="b">
        <v>0</v>
      </c>
      <c r="O650" s="10">
        <v>706741</v>
      </c>
      <c r="P650" s="8" t="s">
        <v>204</v>
      </c>
      <c r="Q650" s="8">
        <v>601630</v>
      </c>
      <c r="R650" s="9">
        <v>45286</v>
      </c>
      <c r="S650" s="8" t="s">
        <v>34</v>
      </c>
      <c r="T650" s="8" t="s">
        <v>44</v>
      </c>
      <c r="U650" s="8" t="s">
        <v>58</v>
      </c>
      <c r="V650" s="8" t="s">
        <v>46</v>
      </c>
      <c r="W650" s="8">
        <v>0</v>
      </c>
    </row>
    <row r="651" spans="1:23" x14ac:dyDescent="0.25">
      <c r="A651" s="4"/>
      <c r="B651" s="4"/>
      <c r="C651" s="4">
        <v>888583</v>
      </c>
      <c r="D651" s="22">
        <v>87808</v>
      </c>
      <c r="E651" s="5">
        <f t="shared" si="10"/>
        <v>-8</v>
      </c>
      <c r="F651" s="9">
        <v>45288</v>
      </c>
      <c r="G651" s="10">
        <v>330519649</v>
      </c>
      <c r="H651" s="9">
        <v>45287</v>
      </c>
      <c r="I651" s="9">
        <v>45302</v>
      </c>
      <c r="J651" s="8">
        <v>87800</v>
      </c>
      <c r="K651" s="8" t="s">
        <v>31</v>
      </c>
      <c r="L651" s="8" t="s">
        <v>32</v>
      </c>
      <c r="M651" s="8"/>
      <c r="N651" s="8" t="b">
        <v>0</v>
      </c>
      <c r="O651" s="10"/>
      <c r="P651" s="8" t="s">
        <v>356</v>
      </c>
      <c r="Q651" s="8">
        <v>615679</v>
      </c>
      <c r="R651" s="9">
        <v>45287</v>
      </c>
      <c r="S651" s="8" t="s">
        <v>34</v>
      </c>
      <c r="T651" s="8" t="s">
        <v>49</v>
      </c>
      <c r="U651" s="8" t="s">
        <v>75</v>
      </c>
      <c r="V651" s="8" t="s">
        <v>46</v>
      </c>
      <c r="W651" s="8">
        <v>0</v>
      </c>
    </row>
    <row r="652" spans="1:23" x14ac:dyDescent="0.25">
      <c r="A652" s="4"/>
      <c r="B652" s="4"/>
      <c r="C652" s="4">
        <v>888740</v>
      </c>
      <c r="D652" s="22">
        <v>7837.52</v>
      </c>
      <c r="E652" s="5">
        <f t="shared" si="10"/>
        <v>0.47999999999956344</v>
      </c>
      <c r="F652" s="9">
        <v>45288</v>
      </c>
      <c r="G652" s="10">
        <v>330523507</v>
      </c>
      <c r="H652" s="9">
        <v>45287</v>
      </c>
      <c r="I652" s="9">
        <v>45302</v>
      </c>
      <c r="J652" s="8">
        <v>7838</v>
      </c>
      <c r="K652" s="8" t="s">
        <v>31</v>
      </c>
      <c r="L652" s="8" t="s">
        <v>32</v>
      </c>
      <c r="M652" s="8"/>
      <c r="N652" s="8" t="b">
        <v>0</v>
      </c>
      <c r="O652" s="10">
        <v>21179</v>
      </c>
      <c r="P652" s="8" t="s">
        <v>283</v>
      </c>
      <c r="Q652" s="8">
        <v>619981</v>
      </c>
      <c r="R652" s="9">
        <v>45287</v>
      </c>
      <c r="S652" s="8" t="s">
        <v>318</v>
      </c>
      <c r="T652" s="8" t="s">
        <v>40</v>
      </c>
      <c r="U652" s="8" t="s">
        <v>319</v>
      </c>
      <c r="V652" s="8" t="s">
        <v>320</v>
      </c>
      <c r="W652" s="8">
        <v>0</v>
      </c>
    </row>
    <row r="653" spans="1:23" x14ac:dyDescent="0.25">
      <c r="A653" s="4"/>
      <c r="B653" s="4"/>
      <c r="C653" s="4">
        <v>888858</v>
      </c>
      <c r="D653" s="22">
        <v>5193.6899999999996</v>
      </c>
      <c r="E653" s="5">
        <f t="shared" si="10"/>
        <v>0.31000000000040018</v>
      </c>
      <c r="F653" s="9">
        <v>45288</v>
      </c>
      <c r="G653" s="10">
        <v>330523553</v>
      </c>
      <c r="H653" s="9">
        <v>45287</v>
      </c>
      <c r="I653" s="9">
        <v>45302</v>
      </c>
      <c r="J653" s="8">
        <v>5194</v>
      </c>
      <c r="K653" s="8" t="s">
        <v>31</v>
      </c>
      <c r="L653" s="8" t="s">
        <v>32</v>
      </c>
      <c r="M653" s="8"/>
      <c r="N653" s="8" t="b">
        <v>0</v>
      </c>
      <c r="O653" s="10">
        <v>710642</v>
      </c>
      <c r="P653" s="8" t="s">
        <v>102</v>
      </c>
      <c r="Q653" s="8">
        <v>619985</v>
      </c>
      <c r="R653" s="9">
        <v>45287</v>
      </c>
      <c r="S653" s="8" t="s">
        <v>34</v>
      </c>
      <c r="T653" s="8" t="s">
        <v>40</v>
      </c>
      <c r="U653" s="8" t="s">
        <v>58</v>
      </c>
      <c r="V653" s="8" t="s">
        <v>46</v>
      </c>
      <c r="W653" s="8">
        <v>0</v>
      </c>
    </row>
    <row r="654" spans="1:23" x14ac:dyDescent="0.25">
      <c r="A654" s="4"/>
      <c r="B654" s="4"/>
      <c r="C654" s="4">
        <v>888859</v>
      </c>
      <c r="D654" s="22">
        <v>5193.6899999999996</v>
      </c>
      <c r="E654" s="5">
        <f t="shared" si="10"/>
        <v>0.31000000000040018</v>
      </c>
      <c r="F654" s="9">
        <v>45288</v>
      </c>
      <c r="G654" s="10">
        <v>330525705</v>
      </c>
      <c r="H654" s="9">
        <v>45287</v>
      </c>
      <c r="I654" s="9">
        <v>45302</v>
      </c>
      <c r="J654" s="8">
        <v>5194</v>
      </c>
      <c r="K654" s="8" t="s">
        <v>31</v>
      </c>
      <c r="L654" s="8" t="s">
        <v>32</v>
      </c>
      <c r="M654" s="8"/>
      <c r="N654" s="8" t="b">
        <v>0</v>
      </c>
      <c r="O654" s="10">
        <v>710643</v>
      </c>
      <c r="P654" s="8" t="s">
        <v>96</v>
      </c>
      <c r="Q654" s="8">
        <v>621908</v>
      </c>
      <c r="R654" s="9">
        <v>45287</v>
      </c>
      <c r="S654" s="8" t="s">
        <v>34</v>
      </c>
      <c r="T654" s="8" t="s">
        <v>40</v>
      </c>
      <c r="U654" s="8" t="s">
        <v>58</v>
      </c>
      <c r="V654" s="8" t="s">
        <v>46</v>
      </c>
      <c r="W654" s="8">
        <v>0</v>
      </c>
    </row>
    <row r="655" spans="1:23" x14ac:dyDescent="0.25">
      <c r="A655" s="4"/>
      <c r="B655" s="4"/>
      <c r="C655" s="4">
        <v>888860</v>
      </c>
      <c r="D655" s="22">
        <v>5193.6899999999996</v>
      </c>
      <c r="E655" s="5">
        <f t="shared" si="10"/>
        <v>0.31000000000040018</v>
      </c>
      <c r="F655" s="9">
        <v>45288</v>
      </c>
      <c r="G655" s="10">
        <v>330526287</v>
      </c>
      <c r="H655" s="9">
        <v>45287</v>
      </c>
      <c r="I655" s="9">
        <v>45302</v>
      </c>
      <c r="J655" s="8">
        <v>5194</v>
      </c>
      <c r="K655" s="8" t="s">
        <v>31</v>
      </c>
      <c r="L655" s="8" t="s">
        <v>32</v>
      </c>
      <c r="M655" s="8"/>
      <c r="N655" s="8" t="b">
        <v>0</v>
      </c>
      <c r="O655" s="10">
        <v>710644</v>
      </c>
      <c r="P655" s="8" t="s">
        <v>266</v>
      </c>
      <c r="Q655" s="8">
        <v>622572</v>
      </c>
      <c r="R655" s="9">
        <v>45287</v>
      </c>
      <c r="S655" s="8" t="s">
        <v>34</v>
      </c>
      <c r="T655" s="8" t="s">
        <v>40</v>
      </c>
      <c r="U655" s="8" t="s">
        <v>58</v>
      </c>
      <c r="V655" s="8" t="s">
        <v>46</v>
      </c>
      <c r="W655" s="8">
        <v>0</v>
      </c>
    </row>
    <row r="656" spans="1:23" x14ac:dyDescent="0.25">
      <c r="A656" s="4"/>
      <c r="B656" s="4"/>
      <c r="C656" s="4">
        <v>888868</v>
      </c>
      <c r="D656" s="22">
        <v>9320.2199999999993</v>
      </c>
      <c r="E656" s="5">
        <f t="shared" si="10"/>
        <v>0.78000000000065484</v>
      </c>
      <c r="F656" s="9">
        <v>45288</v>
      </c>
      <c r="G656" s="10">
        <v>330527926</v>
      </c>
      <c r="H656" s="9">
        <v>45287</v>
      </c>
      <c r="I656" s="9">
        <v>45302</v>
      </c>
      <c r="J656" s="8">
        <v>9321</v>
      </c>
      <c r="K656" s="8" t="s">
        <v>31</v>
      </c>
      <c r="L656" s="8" t="s">
        <v>32</v>
      </c>
      <c r="M656" s="8"/>
      <c r="N656" s="8" t="b">
        <v>0</v>
      </c>
      <c r="O656" s="10">
        <v>705919</v>
      </c>
      <c r="P656" s="8" t="s">
        <v>93</v>
      </c>
      <c r="Q656" s="8">
        <v>623351</v>
      </c>
      <c r="R656" s="9">
        <v>45287</v>
      </c>
      <c r="S656" s="8" t="s">
        <v>130</v>
      </c>
      <c r="T656" s="8" t="s">
        <v>40</v>
      </c>
      <c r="U656" s="8" t="s">
        <v>131</v>
      </c>
      <c r="V656" s="8" t="s">
        <v>132</v>
      </c>
      <c r="W656" s="8">
        <v>0</v>
      </c>
    </row>
    <row r="657" spans="1:23" x14ac:dyDescent="0.25">
      <c r="A657" s="4"/>
      <c r="B657" s="4"/>
      <c r="C657" s="4">
        <v>888738</v>
      </c>
      <c r="D657" s="22">
        <v>5224.96</v>
      </c>
      <c r="E657" s="5">
        <f t="shared" si="10"/>
        <v>-1.9600000000000364</v>
      </c>
      <c r="F657" s="9">
        <v>45296</v>
      </c>
      <c r="G657" s="10">
        <v>330539711</v>
      </c>
      <c r="H657" s="9">
        <v>45288</v>
      </c>
      <c r="I657" s="9">
        <v>45303</v>
      </c>
      <c r="J657" s="8">
        <v>5223</v>
      </c>
      <c r="K657" s="8" t="s">
        <v>31</v>
      </c>
      <c r="L657" s="8" t="s">
        <v>32</v>
      </c>
      <c r="M657" s="8"/>
      <c r="N657" s="8" t="b">
        <v>0</v>
      </c>
      <c r="O657" s="10">
        <v>21168</v>
      </c>
      <c r="P657" s="8" t="s">
        <v>206</v>
      </c>
      <c r="Q657" s="8">
        <v>631303</v>
      </c>
      <c r="R657" s="9">
        <v>45288</v>
      </c>
      <c r="S657" s="8" t="s">
        <v>48</v>
      </c>
      <c r="T657" s="8" t="s">
        <v>40</v>
      </c>
      <c r="U657" s="8" t="s">
        <v>163</v>
      </c>
      <c r="V657" s="8" t="s">
        <v>46</v>
      </c>
      <c r="W657" s="8">
        <v>0</v>
      </c>
    </row>
    <row r="658" spans="1:23" x14ac:dyDescent="0.25">
      <c r="A658" s="4"/>
      <c r="B658" s="4"/>
      <c r="C658" s="4">
        <v>889072</v>
      </c>
      <c r="D658" s="22">
        <v>5193.6899999999996</v>
      </c>
      <c r="E658" s="5">
        <f t="shared" si="10"/>
        <v>0.31000000000040018</v>
      </c>
      <c r="F658" s="9">
        <v>45296</v>
      </c>
      <c r="G658" s="10">
        <v>330539844</v>
      </c>
      <c r="H658" s="9">
        <v>45288</v>
      </c>
      <c r="I658" s="9">
        <v>45303</v>
      </c>
      <c r="J658" s="8">
        <v>5194</v>
      </c>
      <c r="K658" s="8" t="s">
        <v>31</v>
      </c>
      <c r="L658" s="8" t="s">
        <v>32</v>
      </c>
      <c r="M658" s="8"/>
      <c r="N658" s="8" t="b">
        <v>0</v>
      </c>
      <c r="O658" s="10">
        <v>710645</v>
      </c>
      <c r="P658" s="8" t="s">
        <v>98</v>
      </c>
      <c r="Q658" s="8">
        <v>631328</v>
      </c>
      <c r="R658" s="9">
        <v>45288</v>
      </c>
      <c r="S658" s="8" t="s">
        <v>34</v>
      </c>
      <c r="T658" s="8" t="s">
        <v>40</v>
      </c>
      <c r="U658" s="8" t="s">
        <v>58</v>
      </c>
      <c r="V658" s="8" t="s">
        <v>46</v>
      </c>
      <c r="W658" s="8">
        <v>0</v>
      </c>
    </row>
    <row r="659" spans="1:23" x14ac:dyDescent="0.25">
      <c r="A659" s="4"/>
      <c r="B659" s="4"/>
      <c r="C659" s="4">
        <v>888737</v>
      </c>
      <c r="D659" s="22">
        <v>5224.96</v>
      </c>
      <c r="E659" s="5">
        <f t="shared" si="10"/>
        <v>-1.9600000000000364</v>
      </c>
      <c r="F659" s="9">
        <v>45296</v>
      </c>
      <c r="G659" s="10">
        <v>330539868</v>
      </c>
      <c r="H659" s="9">
        <v>45288</v>
      </c>
      <c r="I659" s="9">
        <v>45303</v>
      </c>
      <c r="J659" s="8">
        <v>5223</v>
      </c>
      <c r="K659" s="8" t="s">
        <v>31</v>
      </c>
      <c r="L659" s="8" t="s">
        <v>32</v>
      </c>
      <c r="M659" s="8"/>
      <c r="N659" s="8" t="b">
        <v>0</v>
      </c>
      <c r="O659" s="10">
        <v>21169</v>
      </c>
      <c r="P659" s="8" t="s">
        <v>60</v>
      </c>
      <c r="Q659" s="8">
        <v>631305</v>
      </c>
      <c r="R659" s="9">
        <v>45288</v>
      </c>
      <c r="S659" s="8" t="s">
        <v>48</v>
      </c>
      <c r="T659" s="8" t="s">
        <v>40</v>
      </c>
      <c r="U659" s="8" t="s">
        <v>163</v>
      </c>
      <c r="V659" s="8" t="s">
        <v>46</v>
      </c>
      <c r="W659" s="8">
        <v>0</v>
      </c>
    </row>
    <row r="660" spans="1:23" x14ac:dyDescent="0.25">
      <c r="A660" s="4"/>
      <c r="B660" s="4"/>
      <c r="C660" s="4">
        <v>889077</v>
      </c>
      <c r="D660" s="22">
        <v>5193.6899999999996</v>
      </c>
      <c r="E660" s="5">
        <f t="shared" si="10"/>
        <v>0.31000000000040018</v>
      </c>
      <c r="F660" s="9">
        <v>45296</v>
      </c>
      <c r="G660" s="10">
        <v>330540219</v>
      </c>
      <c r="H660" s="9">
        <v>45288</v>
      </c>
      <c r="I660" s="9">
        <v>45303</v>
      </c>
      <c r="J660" s="8">
        <v>5194</v>
      </c>
      <c r="K660" s="8" t="s">
        <v>31</v>
      </c>
      <c r="L660" s="8" t="s">
        <v>32</v>
      </c>
      <c r="M660" s="8"/>
      <c r="N660" s="8" t="b">
        <v>0</v>
      </c>
      <c r="O660" s="10">
        <v>710646</v>
      </c>
      <c r="P660" s="8" t="s">
        <v>129</v>
      </c>
      <c r="Q660" s="8">
        <v>631710</v>
      </c>
      <c r="R660" s="9">
        <v>45288</v>
      </c>
      <c r="S660" s="8" t="s">
        <v>34</v>
      </c>
      <c r="T660" s="8" t="s">
        <v>40</v>
      </c>
      <c r="U660" s="8" t="s">
        <v>58</v>
      </c>
      <c r="V660" s="8" t="s">
        <v>46</v>
      </c>
      <c r="W660" s="8">
        <v>0</v>
      </c>
    </row>
    <row r="661" spans="1:23" x14ac:dyDescent="0.25">
      <c r="A661" s="4"/>
      <c r="B661" s="4"/>
      <c r="C661" s="4">
        <v>889078</v>
      </c>
      <c r="D661" s="22">
        <v>5193.6899999999996</v>
      </c>
      <c r="E661" s="5">
        <f t="shared" si="10"/>
        <v>0.31000000000040018</v>
      </c>
      <c r="F661" s="9">
        <v>45296</v>
      </c>
      <c r="G661" s="10">
        <v>330541707</v>
      </c>
      <c r="H661" s="9">
        <v>45288</v>
      </c>
      <c r="I661" s="9">
        <v>45303</v>
      </c>
      <c r="J661" s="8">
        <v>5194</v>
      </c>
      <c r="K661" s="8" t="s">
        <v>31</v>
      </c>
      <c r="L661" s="8" t="s">
        <v>32</v>
      </c>
      <c r="M661" s="8"/>
      <c r="N661" s="8" t="b">
        <v>0</v>
      </c>
      <c r="O661" s="10">
        <v>710647</v>
      </c>
      <c r="P661" s="8" t="s">
        <v>79</v>
      </c>
      <c r="Q661" s="8">
        <v>633380</v>
      </c>
      <c r="R661" s="9">
        <v>45288</v>
      </c>
      <c r="S661" s="8" t="s">
        <v>34</v>
      </c>
      <c r="T661" s="8" t="s">
        <v>40</v>
      </c>
      <c r="U661" s="8" t="s">
        <v>58</v>
      </c>
      <c r="V661" s="8" t="s">
        <v>46</v>
      </c>
      <c r="W661" s="8">
        <v>0</v>
      </c>
    </row>
    <row r="662" spans="1:23" x14ac:dyDescent="0.25">
      <c r="A662" s="4"/>
      <c r="B662" s="4"/>
      <c r="C662" s="4">
        <v>889082</v>
      </c>
      <c r="D662" s="22">
        <v>5193.6899999999996</v>
      </c>
      <c r="E662" s="5">
        <f t="shared" si="10"/>
        <v>0.31000000000040018</v>
      </c>
      <c r="F662" s="9">
        <v>45296</v>
      </c>
      <c r="G662" s="10">
        <v>330543187</v>
      </c>
      <c r="H662" s="9">
        <v>45288</v>
      </c>
      <c r="I662" s="9">
        <v>45303</v>
      </c>
      <c r="J662" s="8">
        <v>5194</v>
      </c>
      <c r="K662" s="8" t="s">
        <v>31</v>
      </c>
      <c r="L662" s="8" t="s">
        <v>32</v>
      </c>
      <c r="M662" s="8"/>
      <c r="N662" s="8" t="b">
        <v>0</v>
      </c>
      <c r="O662" s="10">
        <v>710648</v>
      </c>
      <c r="P662" s="8" t="s">
        <v>224</v>
      </c>
      <c r="Q662" s="8">
        <v>635041</v>
      </c>
      <c r="R662" s="9">
        <v>45288</v>
      </c>
      <c r="S662" s="8" t="s">
        <v>34</v>
      </c>
      <c r="T662" s="8" t="s">
        <v>40</v>
      </c>
      <c r="U662" s="8" t="s">
        <v>58</v>
      </c>
      <c r="V662" s="8" t="s">
        <v>46</v>
      </c>
      <c r="W662" s="8">
        <v>0</v>
      </c>
    </row>
    <row r="663" spans="1:23" x14ac:dyDescent="0.25">
      <c r="A663" s="4"/>
      <c r="B663" s="4"/>
      <c r="C663" s="4">
        <v>889083</v>
      </c>
      <c r="D663" s="22">
        <v>5193.6899999999996</v>
      </c>
      <c r="E663" s="5">
        <f t="shared" si="10"/>
        <v>0.31000000000040018</v>
      </c>
      <c r="F663" s="9">
        <v>45296</v>
      </c>
      <c r="G663" s="10">
        <v>330544515</v>
      </c>
      <c r="H663" s="9">
        <v>45288</v>
      </c>
      <c r="I663" s="9">
        <v>45303</v>
      </c>
      <c r="J663" s="8">
        <v>5194</v>
      </c>
      <c r="K663" s="8" t="s">
        <v>31</v>
      </c>
      <c r="L663" s="8" t="s">
        <v>32</v>
      </c>
      <c r="M663" s="8"/>
      <c r="N663" s="8" t="b">
        <v>0</v>
      </c>
      <c r="O663" s="10">
        <v>710649</v>
      </c>
      <c r="P663" s="8" t="s">
        <v>67</v>
      </c>
      <c r="Q663" s="8">
        <v>637021</v>
      </c>
      <c r="R663" s="9">
        <v>45288</v>
      </c>
      <c r="S663" s="8" t="s">
        <v>34</v>
      </c>
      <c r="T663" s="8" t="s">
        <v>40</v>
      </c>
      <c r="U663" s="8" t="s">
        <v>58</v>
      </c>
      <c r="V663" s="8" t="s">
        <v>46</v>
      </c>
      <c r="W663" s="8">
        <v>0</v>
      </c>
    </row>
    <row r="664" spans="1:23" x14ac:dyDescent="0.25">
      <c r="A664" s="4"/>
      <c r="B664" s="4"/>
      <c r="C664" s="4">
        <v>889131</v>
      </c>
      <c r="D664" s="22">
        <v>65856</v>
      </c>
      <c r="E664" s="5">
        <f t="shared" si="10"/>
        <v>-6</v>
      </c>
      <c r="F664" s="9">
        <v>45296</v>
      </c>
      <c r="G664" s="10">
        <v>330544787</v>
      </c>
      <c r="H664" s="9">
        <v>45288</v>
      </c>
      <c r="I664" s="9">
        <v>45303</v>
      </c>
      <c r="J664" s="8">
        <v>65850</v>
      </c>
      <c r="K664" s="8" t="s">
        <v>31</v>
      </c>
      <c r="L664" s="8" t="s">
        <v>32</v>
      </c>
      <c r="M664" s="8"/>
      <c r="N664" s="8" t="b">
        <v>0</v>
      </c>
      <c r="O664" s="10"/>
      <c r="P664" s="8" t="s">
        <v>357</v>
      </c>
      <c r="Q664" s="8">
        <v>637396</v>
      </c>
      <c r="R664" s="9">
        <v>45288</v>
      </c>
      <c r="S664" s="8" t="s">
        <v>34</v>
      </c>
      <c r="T664" s="8" t="s">
        <v>49</v>
      </c>
      <c r="U664" s="8" t="s">
        <v>75</v>
      </c>
      <c r="V664" s="8" t="s">
        <v>46</v>
      </c>
      <c r="W664" s="8">
        <v>0</v>
      </c>
    </row>
    <row r="665" spans="1:23" x14ac:dyDescent="0.25">
      <c r="A665" s="4"/>
      <c r="B665" s="4"/>
      <c r="C665" s="4">
        <v>889094</v>
      </c>
      <c r="D665" s="22">
        <v>5193.6899999999996</v>
      </c>
      <c r="E665" s="5">
        <f t="shared" si="10"/>
        <v>0.31000000000040018</v>
      </c>
      <c r="F665" s="9">
        <v>45296</v>
      </c>
      <c r="G665" s="10">
        <v>330545504</v>
      </c>
      <c r="H665" s="9">
        <v>45288</v>
      </c>
      <c r="I665" s="9">
        <v>45303</v>
      </c>
      <c r="J665" s="8">
        <v>5194</v>
      </c>
      <c r="K665" s="8" t="s">
        <v>31</v>
      </c>
      <c r="L665" s="8" t="s">
        <v>32</v>
      </c>
      <c r="M665" s="8"/>
      <c r="N665" s="8" t="b">
        <v>0</v>
      </c>
      <c r="O665" s="10">
        <v>710650</v>
      </c>
      <c r="P665" s="8" t="s">
        <v>66</v>
      </c>
      <c r="Q665" s="8">
        <v>638196</v>
      </c>
      <c r="R665" s="9">
        <v>45288</v>
      </c>
      <c r="S665" s="8" t="s">
        <v>34</v>
      </c>
      <c r="T665" s="8" t="s">
        <v>40</v>
      </c>
      <c r="U665" s="8" t="s">
        <v>58</v>
      </c>
      <c r="V665" s="8" t="s">
        <v>46</v>
      </c>
      <c r="W665" s="8">
        <v>0</v>
      </c>
    </row>
    <row r="666" spans="1:23" x14ac:dyDescent="0.25">
      <c r="A666" s="4"/>
      <c r="B666" s="4"/>
      <c r="C666" s="4">
        <v>889381</v>
      </c>
      <c r="D666" s="22">
        <v>5164.29</v>
      </c>
      <c r="E666" s="5">
        <f t="shared" si="10"/>
        <v>-0.28999999999996362</v>
      </c>
      <c r="F666" s="9">
        <v>45296</v>
      </c>
      <c r="G666" s="10">
        <v>330557399</v>
      </c>
      <c r="H666" s="9">
        <v>45289</v>
      </c>
      <c r="I666" s="9">
        <v>45304</v>
      </c>
      <c r="J666" s="8">
        <v>5164</v>
      </c>
      <c r="K666" s="8" t="s">
        <v>31</v>
      </c>
      <c r="L666" s="8" t="s">
        <v>32</v>
      </c>
      <c r="M666" s="8"/>
      <c r="N666" s="8" t="b">
        <v>0</v>
      </c>
      <c r="O666" s="10">
        <v>709323</v>
      </c>
      <c r="P666" s="8" t="s">
        <v>159</v>
      </c>
      <c r="Q666" s="8">
        <v>645876</v>
      </c>
      <c r="R666" s="9">
        <v>45289</v>
      </c>
      <c r="S666" s="8" t="s">
        <v>34</v>
      </c>
      <c r="T666" s="8" t="s">
        <v>44</v>
      </c>
      <c r="U666" s="8" t="s">
        <v>58</v>
      </c>
      <c r="V666" s="8" t="s">
        <v>46</v>
      </c>
      <c r="W666" s="8">
        <v>0</v>
      </c>
    </row>
    <row r="667" spans="1:23" x14ac:dyDescent="0.25">
      <c r="A667" s="4"/>
      <c r="B667" s="4"/>
      <c r="C667" s="4">
        <v>889382</v>
      </c>
      <c r="D667" s="22">
        <v>5164.29</v>
      </c>
      <c r="E667" s="5">
        <f t="shared" si="10"/>
        <v>-0.28999999999996362</v>
      </c>
      <c r="F667" s="9">
        <v>45296</v>
      </c>
      <c r="G667" s="10">
        <v>330557395</v>
      </c>
      <c r="H667" s="9">
        <v>45289</v>
      </c>
      <c r="I667" s="9">
        <v>45304</v>
      </c>
      <c r="J667" s="8">
        <v>5164</v>
      </c>
      <c r="K667" s="8" t="s">
        <v>31</v>
      </c>
      <c r="L667" s="8" t="s">
        <v>32</v>
      </c>
      <c r="M667" s="8"/>
      <c r="N667" s="8" t="b">
        <v>0</v>
      </c>
      <c r="O667" s="10">
        <v>709321</v>
      </c>
      <c r="P667" s="8" t="s">
        <v>303</v>
      </c>
      <c r="Q667" s="8">
        <v>645869</v>
      </c>
      <c r="R667" s="9">
        <v>45289</v>
      </c>
      <c r="S667" s="8" t="s">
        <v>34</v>
      </c>
      <c r="T667" s="8" t="s">
        <v>44</v>
      </c>
      <c r="U667" s="8" t="s">
        <v>58</v>
      </c>
      <c r="V667" s="8" t="s">
        <v>46</v>
      </c>
      <c r="W667" s="8">
        <v>0</v>
      </c>
    </row>
    <row r="668" spans="1:23" x14ac:dyDescent="0.25">
      <c r="A668" s="4"/>
      <c r="B668" s="4"/>
      <c r="C668" s="4">
        <v>889383</v>
      </c>
      <c r="D668" s="22">
        <v>5164.29</v>
      </c>
      <c r="E668" s="5">
        <f t="shared" si="10"/>
        <v>-0.28999999999996362</v>
      </c>
      <c r="F668" s="9">
        <v>45296</v>
      </c>
      <c r="G668" s="10">
        <v>330557394</v>
      </c>
      <c r="H668" s="9">
        <v>45289</v>
      </c>
      <c r="I668" s="9">
        <v>45304</v>
      </c>
      <c r="J668" s="8">
        <v>5164</v>
      </c>
      <c r="K668" s="8" t="s">
        <v>31</v>
      </c>
      <c r="L668" s="8" t="s">
        <v>32</v>
      </c>
      <c r="M668" s="8"/>
      <c r="N668" s="8" t="b">
        <v>0</v>
      </c>
      <c r="O668" s="10">
        <v>709322</v>
      </c>
      <c r="P668" s="8" t="s">
        <v>120</v>
      </c>
      <c r="Q668" s="8">
        <v>645872</v>
      </c>
      <c r="R668" s="9">
        <v>45289</v>
      </c>
      <c r="S668" s="8" t="s">
        <v>34</v>
      </c>
      <c r="T668" s="8" t="s">
        <v>44</v>
      </c>
      <c r="U668" s="8" t="s">
        <v>58</v>
      </c>
      <c r="V668" s="8" t="s">
        <v>46</v>
      </c>
      <c r="W668" s="8">
        <v>0</v>
      </c>
    </row>
    <row r="669" spans="1:23" x14ac:dyDescent="0.25">
      <c r="A669" s="4"/>
      <c r="B669" s="4"/>
      <c r="C669" s="4">
        <v>889384</v>
      </c>
      <c r="D669" s="22">
        <v>5164.29</v>
      </c>
      <c r="E669" s="5">
        <f t="shared" si="10"/>
        <v>-0.28999999999996362</v>
      </c>
      <c r="F669" s="9">
        <v>45296</v>
      </c>
      <c r="G669" s="10">
        <v>330557393</v>
      </c>
      <c r="H669" s="9">
        <v>45289</v>
      </c>
      <c r="I669" s="9">
        <v>45304</v>
      </c>
      <c r="J669" s="8">
        <v>5164</v>
      </c>
      <c r="K669" s="8" t="s">
        <v>31</v>
      </c>
      <c r="L669" s="8" t="s">
        <v>32</v>
      </c>
      <c r="M669" s="8"/>
      <c r="N669" s="8" t="b">
        <v>0</v>
      </c>
      <c r="O669" s="10">
        <v>709325</v>
      </c>
      <c r="P669" s="8" t="s">
        <v>222</v>
      </c>
      <c r="Q669" s="8">
        <v>645880</v>
      </c>
      <c r="R669" s="9">
        <v>45289</v>
      </c>
      <c r="S669" s="8" t="s">
        <v>34</v>
      </c>
      <c r="T669" s="8" t="s">
        <v>44</v>
      </c>
      <c r="U669" s="8" t="s">
        <v>58</v>
      </c>
      <c r="V669" s="8" t="s">
        <v>46</v>
      </c>
      <c r="W669" s="8">
        <v>0</v>
      </c>
    </row>
    <row r="670" spans="1:23" x14ac:dyDescent="0.25">
      <c r="A670" s="4"/>
      <c r="B670" s="4"/>
      <c r="C670" s="4">
        <v>889385</v>
      </c>
      <c r="D670" s="22">
        <v>5164.29</v>
      </c>
      <c r="E670" s="5">
        <f t="shared" si="10"/>
        <v>-0.28999999999996362</v>
      </c>
      <c r="F670" s="9">
        <v>45296</v>
      </c>
      <c r="G670" s="10">
        <v>330557392</v>
      </c>
      <c r="H670" s="9">
        <v>45289</v>
      </c>
      <c r="I670" s="9">
        <v>45304</v>
      </c>
      <c r="J670" s="8">
        <v>5164</v>
      </c>
      <c r="K670" s="8" t="s">
        <v>31</v>
      </c>
      <c r="L670" s="8" t="s">
        <v>32</v>
      </c>
      <c r="M670" s="8"/>
      <c r="N670" s="8" t="b">
        <v>0</v>
      </c>
      <c r="O670" s="10">
        <v>709327</v>
      </c>
      <c r="P670" s="8" t="s">
        <v>298</v>
      </c>
      <c r="Q670" s="8">
        <v>645884</v>
      </c>
      <c r="R670" s="9">
        <v>45289</v>
      </c>
      <c r="S670" s="8" t="s">
        <v>34</v>
      </c>
      <c r="T670" s="8" t="s">
        <v>44</v>
      </c>
      <c r="U670" s="8" t="s">
        <v>58</v>
      </c>
      <c r="V670" s="8" t="s">
        <v>46</v>
      </c>
      <c r="W670" s="8">
        <v>0</v>
      </c>
    </row>
    <row r="671" spans="1:23" x14ac:dyDescent="0.25">
      <c r="A671" s="4"/>
      <c r="B671" s="4"/>
      <c r="C671" s="4">
        <v>889386</v>
      </c>
      <c r="D671" s="22">
        <v>5164.29</v>
      </c>
      <c r="E671" s="5">
        <f t="shared" si="10"/>
        <v>-0.28999999999996362</v>
      </c>
      <c r="F671" s="9">
        <v>45296</v>
      </c>
      <c r="G671" s="10">
        <v>330557389</v>
      </c>
      <c r="H671" s="9">
        <v>45289</v>
      </c>
      <c r="I671" s="9">
        <v>45304</v>
      </c>
      <c r="J671" s="8">
        <v>5164</v>
      </c>
      <c r="K671" s="8" t="s">
        <v>31</v>
      </c>
      <c r="L671" s="8" t="s">
        <v>32</v>
      </c>
      <c r="M671" s="8"/>
      <c r="N671" s="8" t="b">
        <v>0</v>
      </c>
      <c r="O671" s="10">
        <v>709326</v>
      </c>
      <c r="P671" s="8" t="s">
        <v>54</v>
      </c>
      <c r="Q671" s="8">
        <v>645882</v>
      </c>
      <c r="R671" s="9">
        <v>45289</v>
      </c>
      <c r="S671" s="8" t="s">
        <v>34</v>
      </c>
      <c r="T671" s="8" t="s">
        <v>44</v>
      </c>
      <c r="U671" s="8" t="s">
        <v>58</v>
      </c>
      <c r="V671" s="8" t="s">
        <v>46</v>
      </c>
      <c r="W671" s="8">
        <v>0</v>
      </c>
    </row>
    <row r="672" spans="1:23" x14ac:dyDescent="0.25">
      <c r="A672" s="4"/>
      <c r="B672" s="4"/>
      <c r="C672" s="4">
        <v>889493</v>
      </c>
      <c r="D672" s="22">
        <v>6190.56</v>
      </c>
      <c r="E672" s="5">
        <f t="shared" si="10"/>
        <v>0</v>
      </c>
      <c r="F672" s="9">
        <v>45296</v>
      </c>
      <c r="G672" s="10">
        <v>330603360</v>
      </c>
      <c r="H672" s="9">
        <v>45294</v>
      </c>
      <c r="I672" s="9">
        <v>45309</v>
      </c>
      <c r="J672" s="8">
        <v>6190.56</v>
      </c>
      <c r="K672" s="8" t="s">
        <v>31</v>
      </c>
      <c r="L672" s="8" t="s">
        <v>32</v>
      </c>
      <c r="M672" s="8"/>
      <c r="N672" s="8" t="b">
        <v>0</v>
      </c>
      <c r="O672" s="10" t="s">
        <v>358</v>
      </c>
      <c r="P672" s="8" t="s">
        <v>161</v>
      </c>
      <c r="Q672" s="8">
        <v>200081</v>
      </c>
      <c r="R672" s="9">
        <v>45112</v>
      </c>
      <c r="S672" s="8" t="s">
        <v>359</v>
      </c>
      <c r="T672" s="8" t="s">
        <v>360</v>
      </c>
      <c r="U672" s="8" t="s">
        <v>40</v>
      </c>
      <c r="V672" s="8" t="s">
        <v>261</v>
      </c>
      <c r="W672" s="8">
        <v>0</v>
      </c>
    </row>
    <row r="673" spans="1:23" x14ac:dyDescent="0.25">
      <c r="A673" s="4"/>
      <c r="B673" s="4"/>
      <c r="C673" s="4">
        <v>889556</v>
      </c>
      <c r="D673" s="22">
        <v>6890.12</v>
      </c>
      <c r="E673" s="5">
        <f t="shared" si="10"/>
        <v>0</v>
      </c>
      <c r="F673" s="9">
        <v>45296</v>
      </c>
      <c r="G673" s="10">
        <v>330628480</v>
      </c>
      <c r="H673" s="9">
        <v>45294</v>
      </c>
      <c r="I673" s="9">
        <v>45309</v>
      </c>
      <c r="J673" s="8">
        <v>6890.12</v>
      </c>
      <c r="K673" s="8" t="s">
        <v>31</v>
      </c>
      <c r="L673" s="8" t="s">
        <v>32</v>
      </c>
      <c r="M673" s="8"/>
      <c r="N673" s="8" t="b">
        <v>0</v>
      </c>
      <c r="O673" s="10" t="s">
        <v>361</v>
      </c>
      <c r="P673" s="8" t="s">
        <v>338</v>
      </c>
      <c r="Q673" s="8">
        <v>699791</v>
      </c>
      <c r="R673" s="9">
        <v>45294</v>
      </c>
      <c r="S673" s="8" t="s">
        <v>362</v>
      </c>
      <c r="T673" s="8" t="s">
        <v>340</v>
      </c>
      <c r="U673" s="8" t="s">
        <v>260</v>
      </c>
      <c r="V673" s="8" t="s">
        <v>261</v>
      </c>
      <c r="W673" s="8">
        <v>0</v>
      </c>
    </row>
    <row r="674" spans="1:23" x14ac:dyDescent="0.25">
      <c r="A674" s="4"/>
      <c r="B674" s="4"/>
      <c r="C674" s="4">
        <v>889707</v>
      </c>
      <c r="D674" s="22">
        <v>5159.6400000000003</v>
      </c>
      <c r="E674" s="17">
        <f t="shared" ref="E674:E705" si="11">J674-D674</f>
        <v>0.35999999999967258</v>
      </c>
      <c r="F674" s="9">
        <v>45296</v>
      </c>
      <c r="G674" s="10">
        <v>330628436</v>
      </c>
      <c r="H674" s="9">
        <v>45294</v>
      </c>
      <c r="I674" s="9">
        <v>45309</v>
      </c>
      <c r="J674" s="8">
        <v>5160</v>
      </c>
      <c r="K674" s="8" t="s">
        <v>31</v>
      </c>
      <c r="L674" s="8" t="s">
        <v>32</v>
      </c>
      <c r="M674" s="8"/>
      <c r="N674" s="8" t="b">
        <v>0</v>
      </c>
      <c r="O674" s="10">
        <v>710986</v>
      </c>
      <c r="P674" s="8" t="s">
        <v>233</v>
      </c>
      <c r="Q674" s="8">
        <v>699799</v>
      </c>
      <c r="R674" s="9">
        <v>45294</v>
      </c>
      <c r="S674" s="8" t="s">
        <v>34</v>
      </c>
      <c r="T674" s="8" t="s">
        <v>40</v>
      </c>
      <c r="U674" s="8" t="s">
        <v>58</v>
      </c>
      <c r="V674" s="8" t="s">
        <v>46</v>
      </c>
      <c r="W674" s="8">
        <v>0</v>
      </c>
    </row>
    <row r="675" spans="1:23" x14ac:dyDescent="0.25">
      <c r="A675" s="4"/>
      <c r="B675" s="4"/>
      <c r="C675" s="28">
        <v>889504</v>
      </c>
      <c r="D675" s="22">
        <v>5183.4399999999996</v>
      </c>
      <c r="E675" s="17">
        <f t="shared" si="11"/>
        <v>-0.43999999999959982</v>
      </c>
      <c r="F675" s="9">
        <v>45301</v>
      </c>
      <c r="G675" s="29">
        <v>330628103</v>
      </c>
      <c r="H675" s="9">
        <v>45294</v>
      </c>
      <c r="I675" s="9">
        <v>45309</v>
      </c>
      <c r="J675" s="8">
        <v>5183</v>
      </c>
      <c r="K675" s="8" t="s">
        <v>31</v>
      </c>
      <c r="L675" s="8" t="s">
        <v>32</v>
      </c>
      <c r="M675" s="8"/>
      <c r="N675" s="8" t="b">
        <v>0</v>
      </c>
      <c r="O675" s="29">
        <v>21098</v>
      </c>
      <c r="P675" s="30" t="s">
        <v>61</v>
      </c>
      <c r="Q675" s="8">
        <v>699498</v>
      </c>
      <c r="R675" s="9">
        <v>45294</v>
      </c>
      <c r="S675" s="8" t="s">
        <v>48</v>
      </c>
      <c r="T675" s="8" t="s">
        <v>40</v>
      </c>
      <c r="U675" s="8" t="s">
        <v>163</v>
      </c>
      <c r="V675" s="8" t="s">
        <v>46</v>
      </c>
      <c r="W675" s="8">
        <v>0</v>
      </c>
    </row>
    <row r="676" spans="1:23" x14ac:dyDescent="0.25">
      <c r="A676" s="4"/>
      <c r="B676" s="4"/>
      <c r="C676" s="4">
        <v>889708</v>
      </c>
      <c r="D676" s="22">
        <v>5159.6400000000003</v>
      </c>
      <c r="E676" s="17">
        <f t="shared" si="11"/>
        <v>0.35999999999967258</v>
      </c>
      <c r="F676" s="9">
        <v>45296</v>
      </c>
      <c r="G676" s="10">
        <v>330627564</v>
      </c>
      <c r="H676" s="9">
        <v>45294</v>
      </c>
      <c r="I676" s="9">
        <v>45309</v>
      </c>
      <c r="J676" s="8">
        <v>5160</v>
      </c>
      <c r="K676" s="8" t="s">
        <v>31</v>
      </c>
      <c r="L676" s="8" t="s">
        <v>32</v>
      </c>
      <c r="M676" s="8"/>
      <c r="N676" s="8" t="b">
        <v>0</v>
      </c>
      <c r="O676" s="10">
        <v>710985</v>
      </c>
      <c r="P676" s="8" t="s">
        <v>119</v>
      </c>
      <c r="Q676" s="8">
        <v>698161</v>
      </c>
      <c r="R676" s="9">
        <v>45294</v>
      </c>
      <c r="S676" s="8" t="s">
        <v>34</v>
      </c>
      <c r="T676" s="8" t="s">
        <v>40</v>
      </c>
      <c r="U676" s="8" t="s">
        <v>58</v>
      </c>
      <c r="V676" s="8" t="s">
        <v>46</v>
      </c>
      <c r="W676" s="8">
        <v>0</v>
      </c>
    </row>
    <row r="677" spans="1:23" x14ac:dyDescent="0.25">
      <c r="A677" s="4"/>
      <c r="B677" s="4"/>
      <c r="C677" s="4">
        <v>889711</v>
      </c>
      <c r="D677" s="22">
        <v>5159.6400000000003</v>
      </c>
      <c r="E677" s="5">
        <f t="shared" si="11"/>
        <v>0.35999999999967258</v>
      </c>
      <c r="F677" s="9">
        <v>45296</v>
      </c>
      <c r="G677" s="10">
        <v>330626932</v>
      </c>
      <c r="H677" s="9">
        <v>45294</v>
      </c>
      <c r="I677" s="9">
        <v>45309</v>
      </c>
      <c r="J677" s="8">
        <v>5160</v>
      </c>
      <c r="K677" s="8" t="s">
        <v>31</v>
      </c>
      <c r="L677" s="8" t="s">
        <v>32</v>
      </c>
      <c r="M677" s="8"/>
      <c r="N677" s="8" t="b">
        <v>0</v>
      </c>
      <c r="O677" s="10">
        <v>710984</v>
      </c>
      <c r="P677" s="8" t="s">
        <v>237</v>
      </c>
      <c r="Q677" s="8">
        <v>697764</v>
      </c>
      <c r="R677" s="9">
        <v>45294</v>
      </c>
      <c r="S677" s="8" t="s">
        <v>34</v>
      </c>
      <c r="T677" s="8" t="s">
        <v>40</v>
      </c>
      <c r="U677" s="8" t="s">
        <v>58</v>
      </c>
      <c r="V677" s="8" t="s">
        <v>46</v>
      </c>
      <c r="W677" s="8">
        <v>0</v>
      </c>
    </row>
    <row r="678" spans="1:23" x14ac:dyDescent="0.25">
      <c r="A678" s="4"/>
      <c r="B678" s="4"/>
      <c r="C678" s="4">
        <v>889712</v>
      </c>
      <c r="D678" s="22">
        <v>5159.6400000000003</v>
      </c>
      <c r="E678" s="5">
        <f t="shared" si="11"/>
        <v>0.35999999999967258</v>
      </c>
      <c r="F678" s="9">
        <v>45296</v>
      </c>
      <c r="G678" s="10">
        <v>330625083</v>
      </c>
      <c r="H678" s="9">
        <v>45294</v>
      </c>
      <c r="I678" s="9">
        <v>45309</v>
      </c>
      <c r="J678" s="8">
        <v>5160</v>
      </c>
      <c r="K678" s="8" t="s">
        <v>31</v>
      </c>
      <c r="L678" s="8" t="s">
        <v>32</v>
      </c>
      <c r="M678" s="8"/>
      <c r="N678" s="8" t="b">
        <v>0</v>
      </c>
      <c r="O678" s="10">
        <v>710983</v>
      </c>
      <c r="P678" s="8" t="s">
        <v>89</v>
      </c>
      <c r="Q678" s="8">
        <v>694911</v>
      </c>
      <c r="R678" s="9">
        <v>45294</v>
      </c>
      <c r="S678" s="8" t="s">
        <v>34</v>
      </c>
      <c r="T678" s="8" t="s">
        <v>40</v>
      </c>
      <c r="U678" s="8" t="s">
        <v>58</v>
      </c>
      <c r="V678" s="8" t="s">
        <v>46</v>
      </c>
      <c r="W678" s="8">
        <v>0</v>
      </c>
    </row>
    <row r="679" spans="1:23" x14ac:dyDescent="0.25">
      <c r="A679" s="4"/>
      <c r="B679" s="4"/>
      <c r="C679" s="4">
        <v>889715</v>
      </c>
      <c r="D679" s="22">
        <v>5159.6400000000003</v>
      </c>
      <c r="E679" s="5">
        <f t="shared" si="11"/>
        <v>0.35999999999967258</v>
      </c>
      <c r="F679" s="9">
        <v>45296</v>
      </c>
      <c r="G679" s="10">
        <v>330624103</v>
      </c>
      <c r="H679" s="9">
        <v>45294</v>
      </c>
      <c r="I679" s="9">
        <v>45309</v>
      </c>
      <c r="J679" s="8">
        <v>5160</v>
      </c>
      <c r="K679" s="8" t="s">
        <v>31</v>
      </c>
      <c r="L679" s="8" t="s">
        <v>32</v>
      </c>
      <c r="M679" s="8"/>
      <c r="N679" s="8" t="b">
        <v>0</v>
      </c>
      <c r="O679" s="10">
        <v>710982</v>
      </c>
      <c r="P679" s="8" t="s">
        <v>95</v>
      </c>
      <c r="Q679" s="8">
        <v>693990</v>
      </c>
      <c r="R679" s="9">
        <v>45294</v>
      </c>
      <c r="S679" s="8" t="s">
        <v>34</v>
      </c>
      <c r="T679" s="8" t="s">
        <v>40</v>
      </c>
      <c r="U679" s="8" t="s">
        <v>58</v>
      </c>
      <c r="V679" s="8" t="s">
        <v>46</v>
      </c>
      <c r="W679" s="8">
        <v>0</v>
      </c>
    </row>
    <row r="680" spans="1:23" x14ac:dyDescent="0.25">
      <c r="A680" s="4"/>
      <c r="B680" s="4"/>
      <c r="C680" s="4">
        <v>889726</v>
      </c>
      <c r="D680" s="22">
        <v>5159.6400000000003</v>
      </c>
      <c r="E680" s="5">
        <f t="shared" si="11"/>
        <v>0.35999999999967258</v>
      </c>
      <c r="F680" s="9">
        <v>45296</v>
      </c>
      <c r="G680" s="10">
        <v>330623308</v>
      </c>
      <c r="H680" s="9">
        <v>45294</v>
      </c>
      <c r="I680" s="9">
        <v>45309</v>
      </c>
      <c r="J680" s="8">
        <v>5160</v>
      </c>
      <c r="K680" s="8" t="s">
        <v>31</v>
      </c>
      <c r="L680" s="8" t="s">
        <v>32</v>
      </c>
      <c r="M680" s="8"/>
      <c r="N680" s="8" t="b">
        <v>0</v>
      </c>
      <c r="O680" s="10">
        <v>710981</v>
      </c>
      <c r="P680" s="8" t="s">
        <v>197</v>
      </c>
      <c r="Q680" s="8">
        <v>693058</v>
      </c>
      <c r="R680" s="9">
        <v>45294</v>
      </c>
      <c r="S680" s="8" t="s">
        <v>34</v>
      </c>
      <c r="T680" s="8" t="s">
        <v>40</v>
      </c>
      <c r="U680" s="8" t="s">
        <v>58</v>
      </c>
      <c r="V680" s="8" t="s">
        <v>46</v>
      </c>
      <c r="W680" s="8">
        <v>0</v>
      </c>
    </row>
    <row r="681" spans="1:23" x14ac:dyDescent="0.25">
      <c r="A681" s="4"/>
      <c r="B681" s="4"/>
      <c r="C681" s="4">
        <v>889727</v>
      </c>
      <c r="D681" s="22">
        <v>5133.24</v>
      </c>
      <c r="E681" s="17">
        <f t="shared" si="11"/>
        <v>-0.23999999999978172</v>
      </c>
      <c r="F681" s="9">
        <v>45296</v>
      </c>
      <c r="G681" s="10">
        <v>330622663</v>
      </c>
      <c r="H681" s="9">
        <v>45294</v>
      </c>
      <c r="I681" s="9">
        <v>45309</v>
      </c>
      <c r="J681" s="8">
        <v>5133</v>
      </c>
      <c r="K681" s="8" t="s">
        <v>31</v>
      </c>
      <c r="L681" s="8" t="s">
        <v>32</v>
      </c>
      <c r="M681" s="8"/>
      <c r="N681" s="8" t="b">
        <v>0</v>
      </c>
      <c r="O681" s="10">
        <v>710527</v>
      </c>
      <c r="P681" s="8" t="s">
        <v>181</v>
      </c>
      <c r="Q681" s="8">
        <v>692688</v>
      </c>
      <c r="R681" s="9">
        <v>45294</v>
      </c>
      <c r="S681" s="8" t="s">
        <v>34</v>
      </c>
      <c r="T681" s="8" t="s">
        <v>44</v>
      </c>
      <c r="U681" s="8" t="s">
        <v>58</v>
      </c>
      <c r="V681" s="8" t="s">
        <v>46</v>
      </c>
      <c r="W681" s="8">
        <v>0</v>
      </c>
    </row>
    <row r="682" spans="1:23" x14ac:dyDescent="0.25">
      <c r="A682" s="4"/>
      <c r="B682" s="4"/>
      <c r="C682" s="4">
        <v>889728</v>
      </c>
      <c r="D682" s="22">
        <v>5133.24</v>
      </c>
      <c r="E682" s="17">
        <f t="shared" si="11"/>
        <v>-0.23999999999978172</v>
      </c>
      <c r="F682" s="9">
        <v>45296</v>
      </c>
      <c r="G682" s="10">
        <v>330622661</v>
      </c>
      <c r="H682" s="9">
        <v>45294</v>
      </c>
      <c r="I682" s="9">
        <v>45309</v>
      </c>
      <c r="J682" s="8">
        <v>5133</v>
      </c>
      <c r="K682" s="8" t="s">
        <v>31</v>
      </c>
      <c r="L682" s="8" t="s">
        <v>32</v>
      </c>
      <c r="M682" s="8"/>
      <c r="N682" s="8" t="b">
        <v>0</v>
      </c>
      <c r="O682" s="10">
        <v>710528</v>
      </c>
      <c r="P682" s="8" t="s">
        <v>165</v>
      </c>
      <c r="Q682" s="8">
        <v>692699</v>
      </c>
      <c r="R682" s="9">
        <v>45294</v>
      </c>
      <c r="S682" s="8" t="s">
        <v>34</v>
      </c>
      <c r="T682" s="8" t="s">
        <v>44</v>
      </c>
      <c r="U682" s="8" t="s">
        <v>58</v>
      </c>
      <c r="V682" s="8" t="s">
        <v>46</v>
      </c>
      <c r="W682" s="8">
        <v>0</v>
      </c>
    </row>
    <row r="683" spans="1:23" x14ac:dyDescent="0.25">
      <c r="A683" s="4"/>
      <c r="B683" s="4"/>
      <c r="C683" s="4">
        <v>889729</v>
      </c>
      <c r="D683" s="22">
        <v>5133.24</v>
      </c>
      <c r="E683" s="5">
        <f t="shared" si="11"/>
        <v>-0.23999999999978172</v>
      </c>
      <c r="F683" s="9">
        <v>45296</v>
      </c>
      <c r="G683" s="10">
        <v>330622542</v>
      </c>
      <c r="H683" s="9">
        <v>45294</v>
      </c>
      <c r="I683" s="9">
        <v>45309</v>
      </c>
      <c r="J683" s="8">
        <v>5133</v>
      </c>
      <c r="K683" s="8" t="s">
        <v>31</v>
      </c>
      <c r="L683" s="8" t="s">
        <v>32</v>
      </c>
      <c r="M683" s="8"/>
      <c r="N683" s="8" t="b">
        <v>0</v>
      </c>
      <c r="O683" s="10">
        <v>710522</v>
      </c>
      <c r="P683" s="8" t="s">
        <v>108</v>
      </c>
      <c r="Q683" s="8">
        <v>692677</v>
      </c>
      <c r="R683" s="9">
        <v>45294</v>
      </c>
      <c r="S683" s="8" t="s">
        <v>34</v>
      </c>
      <c r="T683" s="8" t="s">
        <v>44</v>
      </c>
      <c r="U683" s="8" t="s">
        <v>58</v>
      </c>
      <c r="V683" s="8" t="s">
        <v>46</v>
      </c>
      <c r="W683" s="8">
        <v>0</v>
      </c>
    </row>
    <row r="684" spans="1:23" x14ac:dyDescent="0.25">
      <c r="A684" s="4"/>
      <c r="B684" s="4"/>
      <c r="C684" s="4">
        <v>889730</v>
      </c>
      <c r="D684" s="22">
        <v>7951.32</v>
      </c>
      <c r="E684" s="17">
        <f t="shared" si="11"/>
        <v>-0.31999999999970896</v>
      </c>
      <c r="F684" s="9">
        <v>45296</v>
      </c>
      <c r="G684" s="10">
        <v>330622282</v>
      </c>
      <c r="H684" s="9">
        <v>45294</v>
      </c>
      <c r="I684" s="9">
        <v>45309</v>
      </c>
      <c r="J684" s="8">
        <v>7951</v>
      </c>
      <c r="K684" s="8" t="s">
        <v>31</v>
      </c>
      <c r="L684" s="8" t="s">
        <v>32</v>
      </c>
      <c r="M684" s="8"/>
      <c r="N684" s="8" t="b">
        <v>0</v>
      </c>
      <c r="O684" s="10">
        <v>710969</v>
      </c>
      <c r="P684" s="8" t="s">
        <v>168</v>
      </c>
      <c r="Q684" s="8">
        <v>692375</v>
      </c>
      <c r="R684" s="9">
        <v>45294</v>
      </c>
      <c r="S684" s="8" t="s">
        <v>34</v>
      </c>
      <c r="T684" s="8" t="s">
        <v>40</v>
      </c>
      <c r="U684" s="8" t="s">
        <v>88</v>
      </c>
      <c r="V684" s="8" t="s">
        <v>72</v>
      </c>
      <c r="W684" s="8">
        <v>0</v>
      </c>
    </row>
    <row r="685" spans="1:23" x14ac:dyDescent="0.25">
      <c r="A685" s="4"/>
      <c r="B685" s="4"/>
      <c r="C685" s="26">
        <v>889731</v>
      </c>
      <c r="D685" s="22">
        <v>5159.6400000000003</v>
      </c>
      <c r="E685" s="5">
        <f t="shared" si="11"/>
        <v>0.35999999999967258</v>
      </c>
      <c r="F685" s="9">
        <v>45301</v>
      </c>
      <c r="G685" s="42">
        <v>330621241</v>
      </c>
      <c r="H685" s="9">
        <v>45294</v>
      </c>
      <c r="I685" s="9">
        <v>45309</v>
      </c>
      <c r="J685" s="8">
        <v>5160</v>
      </c>
      <c r="K685" s="8" t="s">
        <v>31</v>
      </c>
      <c r="L685" s="8" t="s">
        <v>32</v>
      </c>
      <c r="M685" s="8"/>
      <c r="N685" s="8" t="b">
        <v>0</v>
      </c>
      <c r="O685" s="10">
        <v>710980</v>
      </c>
      <c r="P685" s="8" t="s">
        <v>90</v>
      </c>
      <c r="Q685" s="8">
        <v>691264</v>
      </c>
      <c r="R685" s="9">
        <v>45294</v>
      </c>
      <c r="S685" s="8" t="s">
        <v>34</v>
      </c>
      <c r="T685" s="8" t="s">
        <v>40</v>
      </c>
      <c r="U685" s="8" t="s">
        <v>58</v>
      </c>
      <c r="V685" s="8" t="s">
        <v>46</v>
      </c>
      <c r="W685" s="8">
        <v>0</v>
      </c>
    </row>
    <row r="686" spans="1:23" x14ac:dyDescent="0.25">
      <c r="A686" s="4"/>
      <c r="B686" s="4"/>
      <c r="C686" s="4">
        <v>889752</v>
      </c>
      <c r="D686" s="22">
        <v>7951.32</v>
      </c>
      <c r="E686" s="5">
        <f t="shared" si="11"/>
        <v>-0.31999999999970896</v>
      </c>
      <c r="F686" s="9">
        <v>45296</v>
      </c>
      <c r="G686" s="10">
        <v>330621183</v>
      </c>
      <c r="H686" s="9">
        <v>45294</v>
      </c>
      <c r="I686" s="9">
        <v>45309</v>
      </c>
      <c r="J686" s="8">
        <v>7951</v>
      </c>
      <c r="K686" s="8" t="s">
        <v>31</v>
      </c>
      <c r="L686" s="8" t="s">
        <v>32</v>
      </c>
      <c r="M686" s="8"/>
      <c r="N686" s="8" t="b">
        <v>0</v>
      </c>
      <c r="O686" s="10">
        <v>710968</v>
      </c>
      <c r="P686" s="8" t="s">
        <v>177</v>
      </c>
      <c r="Q686" s="8">
        <v>691280</v>
      </c>
      <c r="R686" s="9">
        <v>45294</v>
      </c>
      <c r="S686" s="8" t="s">
        <v>34</v>
      </c>
      <c r="T686" s="8" t="s">
        <v>40</v>
      </c>
      <c r="U686" s="8" t="s">
        <v>88</v>
      </c>
      <c r="V686" s="8" t="s">
        <v>72</v>
      </c>
      <c r="W686" s="8">
        <v>0</v>
      </c>
    </row>
    <row r="687" spans="1:23" x14ac:dyDescent="0.25">
      <c r="A687" s="4"/>
      <c r="B687" s="4"/>
      <c r="C687" s="4">
        <v>889753</v>
      </c>
      <c r="D687" s="22">
        <v>7951.32</v>
      </c>
      <c r="E687" s="5">
        <f t="shared" si="11"/>
        <v>-0.31999999999970896</v>
      </c>
      <c r="F687" s="9">
        <v>45296</v>
      </c>
      <c r="G687" s="10">
        <v>330621150</v>
      </c>
      <c r="H687" s="9">
        <v>45294</v>
      </c>
      <c r="I687" s="9">
        <v>45309</v>
      </c>
      <c r="J687" s="8">
        <v>7951</v>
      </c>
      <c r="K687" s="8" t="s">
        <v>31</v>
      </c>
      <c r="L687" s="8" t="s">
        <v>32</v>
      </c>
      <c r="M687" s="8"/>
      <c r="N687" s="8" t="b">
        <v>0</v>
      </c>
      <c r="O687" s="10">
        <v>710967</v>
      </c>
      <c r="P687" s="8" t="s">
        <v>170</v>
      </c>
      <c r="Q687" s="8">
        <v>691275</v>
      </c>
      <c r="R687" s="9">
        <v>45294</v>
      </c>
      <c r="S687" s="8" t="s">
        <v>34</v>
      </c>
      <c r="T687" s="8" t="s">
        <v>40</v>
      </c>
      <c r="U687" s="8" t="s">
        <v>88</v>
      </c>
      <c r="V687" s="8" t="s">
        <v>72</v>
      </c>
      <c r="W687" s="8">
        <v>0</v>
      </c>
    </row>
    <row r="688" spans="1:23" x14ac:dyDescent="0.25">
      <c r="A688" s="4"/>
      <c r="B688" s="4"/>
      <c r="C688" s="4">
        <v>889764</v>
      </c>
      <c r="D688" s="22">
        <v>7951.32</v>
      </c>
      <c r="E688" s="5">
        <f t="shared" si="11"/>
        <v>-0.31999999999970896</v>
      </c>
      <c r="F688" s="9">
        <v>45296</v>
      </c>
      <c r="G688" s="10">
        <v>330620891</v>
      </c>
      <c r="H688" s="9">
        <v>45294</v>
      </c>
      <c r="I688" s="9">
        <v>45309</v>
      </c>
      <c r="J688" s="8">
        <v>7951</v>
      </c>
      <c r="K688" s="8" t="s">
        <v>31</v>
      </c>
      <c r="L688" s="8" t="s">
        <v>32</v>
      </c>
      <c r="M688" s="8"/>
      <c r="N688" s="8" t="b">
        <v>0</v>
      </c>
      <c r="O688" s="10">
        <v>710964</v>
      </c>
      <c r="P688" s="8" t="s">
        <v>99</v>
      </c>
      <c r="Q688" s="8">
        <v>690977</v>
      </c>
      <c r="R688" s="9">
        <v>45294</v>
      </c>
      <c r="S688" s="8" t="s">
        <v>34</v>
      </c>
      <c r="T688" s="8" t="s">
        <v>40</v>
      </c>
      <c r="U688" s="8" t="s">
        <v>88</v>
      </c>
      <c r="V688" s="8" t="s">
        <v>72</v>
      </c>
      <c r="W688" s="8">
        <v>0</v>
      </c>
    </row>
    <row r="689" spans="1:23" x14ac:dyDescent="0.25">
      <c r="A689" s="4"/>
      <c r="B689" s="4"/>
      <c r="C689" s="4">
        <v>889755</v>
      </c>
      <c r="D689" s="22">
        <v>7951.32</v>
      </c>
      <c r="E689" s="5">
        <f t="shared" si="11"/>
        <v>-0.31999999999970896</v>
      </c>
      <c r="F689" s="9">
        <v>45296</v>
      </c>
      <c r="G689" s="10">
        <v>330620877</v>
      </c>
      <c r="H689" s="9">
        <v>45294</v>
      </c>
      <c r="I689" s="9">
        <v>45309</v>
      </c>
      <c r="J689" s="8">
        <v>7951</v>
      </c>
      <c r="K689" s="8" t="s">
        <v>31</v>
      </c>
      <c r="L689" s="8" t="s">
        <v>32</v>
      </c>
      <c r="M689" s="8"/>
      <c r="N689" s="8" t="b">
        <v>0</v>
      </c>
      <c r="O689" s="10">
        <v>710966</v>
      </c>
      <c r="P689" s="8" t="s">
        <v>68</v>
      </c>
      <c r="Q689" s="8">
        <v>691002</v>
      </c>
      <c r="R689" s="9">
        <v>45294</v>
      </c>
      <c r="S689" s="8" t="s">
        <v>34</v>
      </c>
      <c r="T689" s="8" t="s">
        <v>40</v>
      </c>
      <c r="U689" s="8" t="s">
        <v>88</v>
      </c>
      <c r="V689" s="8" t="s">
        <v>72</v>
      </c>
      <c r="W689" s="8">
        <v>0</v>
      </c>
    </row>
    <row r="690" spans="1:23" x14ac:dyDescent="0.25">
      <c r="A690" s="4"/>
      <c r="B690" s="4"/>
      <c r="C690" s="4">
        <v>889756</v>
      </c>
      <c r="D690" s="22">
        <v>7951.32</v>
      </c>
      <c r="E690" s="5">
        <f t="shared" si="11"/>
        <v>-0.31999999999970896</v>
      </c>
      <c r="F690" s="9">
        <v>45296</v>
      </c>
      <c r="G690" s="10">
        <v>330620854</v>
      </c>
      <c r="H690" s="9">
        <v>45294</v>
      </c>
      <c r="I690" s="9">
        <v>45309</v>
      </c>
      <c r="J690" s="8">
        <v>7951</v>
      </c>
      <c r="K690" s="8" t="s">
        <v>31</v>
      </c>
      <c r="L690" s="8" t="s">
        <v>32</v>
      </c>
      <c r="M690" s="8"/>
      <c r="N690" s="8" t="b">
        <v>0</v>
      </c>
      <c r="O690" s="10">
        <v>710963</v>
      </c>
      <c r="P690" s="8" t="s">
        <v>213</v>
      </c>
      <c r="Q690" s="8">
        <v>690968</v>
      </c>
      <c r="R690" s="9">
        <v>45294</v>
      </c>
      <c r="S690" s="8" t="s">
        <v>34</v>
      </c>
      <c r="T690" s="8" t="s">
        <v>40</v>
      </c>
      <c r="U690" s="8" t="s">
        <v>88</v>
      </c>
      <c r="V690" s="8" t="s">
        <v>72</v>
      </c>
      <c r="W690" s="8">
        <v>0</v>
      </c>
    </row>
    <row r="691" spans="1:23" x14ac:dyDescent="0.25">
      <c r="A691" s="4"/>
      <c r="B691" s="4"/>
      <c r="C691" s="4">
        <v>889757</v>
      </c>
      <c r="D691" s="22">
        <v>7951.32</v>
      </c>
      <c r="E691" s="5">
        <f t="shared" si="11"/>
        <v>-0.31999999999970896</v>
      </c>
      <c r="F691" s="9">
        <v>45296</v>
      </c>
      <c r="G691" s="10">
        <v>330620815</v>
      </c>
      <c r="H691" s="9">
        <v>45294</v>
      </c>
      <c r="I691" s="9">
        <v>45309</v>
      </c>
      <c r="J691" s="8">
        <v>7951</v>
      </c>
      <c r="K691" s="8" t="s">
        <v>31</v>
      </c>
      <c r="L691" s="8" t="s">
        <v>32</v>
      </c>
      <c r="M691" s="8"/>
      <c r="N691" s="8" t="b">
        <v>0</v>
      </c>
      <c r="O691" s="10">
        <v>710965</v>
      </c>
      <c r="P691" s="8" t="s">
        <v>185</v>
      </c>
      <c r="Q691" s="8">
        <v>690988</v>
      </c>
      <c r="R691" s="9">
        <v>45294</v>
      </c>
      <c r="S691" s="8" t="s">
        <v>34</v>
      </c>
      <c r="T691" s="8" t="s">
        <v>40</v>
      </c>
      <c r="U691" s="8" t="s">
        <v>88</v>
      </c>
      <c r="V691" s="8" t="s">
        <v>72</v>
      </c>
      <c r="W691" s="8">
        <v>0</v>
      </c>
    </row>
    <row r="692" spans="1:23" x14ac:dyDescent="0.25">
      <c r="A692" s="4"/>
      <c r="B692" s="4"/>
      <c r="C692" s="4">
        <v>889402</v>
      </c>
      <c r="D692" s="22">
        <v>91610.4</v>
      </c>
      <c r="E692" s="5">
        <f t="shared" si="11"/>
        <v>-8.3999999999941792</v>
      </c>
      <c r="F692" s="9">
        <v>45296</v>
      </c>
      <c r="G692" s="10">
        <v>330620252</v>
      </c>
      <c r="H692" s="9">
        <v>45294</v>
      </c>
      <c r="I692" s="9">
        <v>45309</v>
      </c>
      <c r="J692" s="8">
        <v>91602</v>
      </c>
      <c r="K692" s="8" t="s">
        <v>31</v>
      </c>
      <c r="L692" s="8" t="s">
        <v>32</v>
      </c>
      <c r="M692" s="8"/>
      <c r="N692" s="8" t="b">
        <v>0</v>
      </c>
      <c r="O692" s="10">
        <v>711161</v>
      </c>
      <c r="P692" s="8" t="s">
        <v>47</v>
      </c>
      <c r="Q692" s="8">
        <v>690319</v>
      </c>
      <c r="R692" s="9">
        <v>45294</v>
      </c>
      <c r="S692" s="8" t="s">
        <v>34</v>
      </c>
      <c r="T692" s="8" t="s">
        <v>49</v>
      </c>
      <c r="U692" s="8" t="s">
        <v>75</v>
      </c>
      <c r="V692" s="8" t="s">
        <v>46</v>
      </c>
      <c r="W692" s="8">
        <v>0</v>
      </c>
    </row>
    <row r="693" spans="1:23" x14ac:dyDescent="0.25">
      <c r="A693" s="4"/>
      <c r="B693" s="4"/>
      <c r="C693" s="4">
        <v>889758</v>
      </c>
      <c r="D693" s="22">
        <v>7951.32</v>
      </c>
      <c r="E693" s="5">
        <f t="shared" si="11"/>
        <v>-0.31999999999970896</v>
      </c>
      <c r="F693" s="9">
        <v>45296</v>
      </c>
      <c r="G693" s="10">
        <v>330610761</v>
      </c>
      <c r="H693" s="9">
        <v>45294</v>
      </c>
      <c r="I693" s="9">
        <v>45309</v>
      </c>
      <c r="J693" s="8">
        <v>7951</v>
      </c>
      <c r="K693" s="8" t="s">
        <v>31</v>
      </c>
      <c r="L693" s="8" t="s">
        <v>32</v>
      </c>
      <c r="M693" s="8"/>
      <c r="N693" s="8" t="b">
        <v>0</v>
      </c>
      <c r="O693" s="10">
        <v>710962</v>
      </c>
      <c r="P693" s="8" t="s">
        <v>228</v>
      </c>
      <c r="Q693" s="8">
        <v>681085</v>
      </c>
      <c r="R693" s="9">
        <v>45293</v>
      </c>
      <c r="S693" s="8" t="s">
        <v>34</v>
      </c>
      <c r="T693" s="8" t="s">
        <v>40</v>
      </c>
      <c r="U693" s="8" t="s">
        <v>88</v>
      </c>
      <c r="V693" s="8" t="s">
        <v>72</v>
      </c>
      <c r="W693" s="8">
        <v>0</v>
      </c>
    </row>
    <row r="694" spans="1:23" x14ac:dyDescent="0.25">
      <c r="A694" s="4"/>
      <c r="B694" s="4"/>
      <c r="C694" s="4">
        <v>889759</v>
      </c>
      <c r="D694" s="22">
        <v>7951.32</v>
      </c>
      <c r="E694" s="5">
        <f t="shared" si="11"/>
        <v>-0.31999999999970896</v>
      </c>
      <c r="F694" s="9">
        <v>45296</v>
      </c>
      <c r="G694" s="10">
        <v>330609754</v>
      </c>
      <c r="H694" s="9">
        <v>45294</v>
      </c>
      <c r="I694" s="9">
        <v>45309</v>
      </c>
      <c r="J694" s="8">
        <v>7951</v>
      </c>
      <c r="K694" s="8" t="s">
        <v>31</v>
      </c>
      <c r="L694" s="8" t="s">
        <v>32</v>
      </c>
      <c r="M694" s="8"/>
      <c r="N694" s="8" t="b">
        <v>0</v>
      </c>
      <c r="O694" s="10">
        <v>710961</v>
      </c>
      <c r="P694" s="8" t="s">
        <v>272</v>
      </c>
      <c r="Q694" s="8">
        <v>679860</v>
      </c>
      <c r="R694" s="9">
        <v>45293</v>
      </c>
      <c r="S694" s="8" t="s">
        <v>34</v>
      </c>
      <c r="T694" s="8" t="s">
        <v>40</v>
      </c>
      <c r="U694" s="8" t="s">
        <v>88</v>
      </c>
      <c r="V694" s="8" t="s">
        <v>72</v>
      </c>
      <c r="W694" s="8">
        <v>0</v>
      </c>
    </row>
    <row r="695" spans="1:23" x14ac:dyDescent="0.25">
      <c r="A695" s="4"/>
      <c r="B695" s="4"/>
      <c r="C695" s="4">
        <v>889761</v>
      </c>
      <c r="D695" s="22">
        <v>7951.32</v>
      </c>
      <c r="E695" s="5">
        <f t="shared" si="11"/>
        <v>-0.31999999999970896</v>
      </c>
      <c r="F695" s="9">
        <v>45296</v>
      </c>
      <c r="G695" s="10">
        <v>330609701</v>
      </c>
      <c r="H695" s="9">
        <v>45294</v>
      </c>
      <c r="I695" s="9">
        <v>45309</v>
      </c>
      <c r="J695" s="8">
        <v>7951</v>
      </c>
      <c r="K695" s="8" t="s">
        <v>31</v>
      </c>
      <c r="L695" s="8" t="s">
        <v>32</v>
      </c>
      <c r="M695" s="8"/>
      <c r="N695" s="8" t="b">
        <v>0</v>
      </c>
      <c r="O695" s="10">
        <v>710960</v>
      </c>
      <c r="P695" s="8" t="s">
        <v>161</v>
      </c>
      <c r="Q695" s="8">
        <v>679855</v>
      </c>
      <c r="R695" s="9">
        <v>45293</v>
      </c>
      <c r="S695" s="8" t="s">
        <v>34</v>
      </c>
      <c r="T695" s="8" t="s">
        <v>40</v>
      </c>
      <c r="U695" s="8" t="s">
        <v>88</v>
      </c>
      <c r="V695" s="8" t="s">
        <v>72</v>
      </c>
      <c r="W695" s="8">
        <v>0</v>
      </c>
    </row>
    <row r="696" spans="1:23" x14ac:dyDescent="0.25">
      <c r="A696" s="4"/>
      <c r="B696" s="4"/>
      <c r="C696" s="4">
        <v>889762</v>
      </c>
      <c r="D696" s="22">
        <v>5133.24</v>
      </c>
      <c r="E696" s="5">
        <f t="shared" si="11"/>
        <v>-0.23999999999978172</v>
      </c>
      <c r="F696" s="9">
        <v>45296</v>
      </c>
      <c r="G696" s="10">
        <v>330608405</v>
      </c>
      <c r="H696" s="9">
        <v>45294</v>
      </c>
      <c r="I696" s="9">
        <v>45309</v>
      </c>
      <c r="J696" s="8">
        <v>5133</v>
      </c>
      <c r="K696" s="8" t="s">
        <v>31</v>
      </c>
      <c r="L696" s="8" t="s">
        <v>32</v>
      </c>
      <c r="M696" s="8"/>
      <c r="N696" s="8" t="b">
        <v>0</v>
      </c>
      <c r="O696" s="10">
        <v>710525</v>
      </c>
      <c r="P696" s="8" t="s">
        <v>193</v>
      </c>
      <c r="Q696" s="8">
        <v>678088</v>
      </c>
      <c r="R696" s="9">
        <v>45293</v>
      </c>
      <c r="S696" s="8" t="s">
        <v>34</v>
      </c>
      <c r="T696" s="8" t="s">
        <v>44</v>
      </c>
      <c r="U696" s="8" t="s">
        <v>58</v>
      </c>
      <c r="V696" s="8" t="s">
        <v>46</v>
      </c>
      <c r="W696" s="8">
        <v>0</v>
      </c>
    </row>
    <row r="697" spans="1:23" x14ac:dyDescent="0.25">
      <c r="A697" s="4"/>
      <c r="B697" s="4"/>
      <c r="C697" s="4">
        <v>889410</v>
      </c>
      <c r="D697" s="22">
        <v>9226.32</v>
      </c>
      <c r="E697" s="5">
        <f t="shared" si="11"/>
        <v>0.68000000000029104</v>
      </c>
      <c r="F697" s="9">
        <v>45296</v>
      </c>
      <c r="G697" s="10">
        <v>330602109</v>
      </c>
      <c r="H697" s="9">
        <v>45294</v>
      </c>
      <c r="I697" s="9">
        <v>45309</v>
      </c>
      <c r="J697" s="8">
        <v>9227</v>
      </c>
      <c r="K697" s="8" t="s">
        <v>31</v>
      </c>
      <c r="L697" s="8" t="s">
        <v>32</v>
      </c>
      <c r="M697" s="8"/>
      <c r="N697" s="8" t="b">
        <v>0</v>
      </c>
      <c r="O697" s="10">
        <v>705920</v>
      </c>
      <c r="P697" s="8" t="s">
        <v>94</v>
      </c>
      <c r="Q697" s="8">
        <v>671272</v>
      </c>
      <c r="R697" s="9">
        <v>45293</v>
      </c>
      <c r="S697" s="8" t="s">
        <v>130</v>
      </c>
      <c r="T697" s="8" t="s">
        <v>40</v>
      </c>
      <c r="U697" s="8" t="s">
        <v>131</v>
      </c>
      <c r="V697" s="8" t="s">
        <v>132</v>
      </c>
      <c r="W697" s="8">
        <v>0</v>
      </c>
    </row>
    <row r="698" spans="1:23" x14ac:dyDescent="0.25">
      <c r="A698" s="4"/>
      <c r="B698" s="4"/>
      <c r="C698" s="4">
        <v>889768</v>
      </c>
      <c r="D698" s="22">
        <v>5133.24</v>
      </c>
      <c r="E698" s="17">
        <f t="shared" si="11"/>
        <v>-0.23999999999978172</v>
      </c>
      <c r="F698" s="9">
        <v>45296</v>
      </c>
      <c r="G698" s="10">
        <v>330601184</v>
      </c>
      <c r="H698" s="9">
        <v>45294</v>
      </c>
      <c r="I698" s="9">
        <v>45309</v>
      </c>
      <c r="J698" s="8">
        <v>5133</v>
      </c>
      <c r="K698" s="8" t="s">
        <v>31</v>
      </c>
      <c r="L698" s="8" t="s">
        <v>32</v>
      </c>
      <c r="M698" s="8"/>
      <c r="N698" s="8" t="b">
        <v>0</v>
      </c>
      <c r="O698" s="10">
        <v>710523</v>
      </c>
      <c r="P698" s="8" t="s">
        <v>244</v>
      </c>
      <c r="Q698" s="8">
        <v>669790</v>
      </c>
      <c r="R698" s="9">
        <v>45293</v>
      </c>
      <c r="S698" s="8" t="s">
        <v>34</v>
      </c>
      <c r="T698" s="8" t="s">
        <v>44</v>
      </c>
      <c r="U698" s="8" t="s">
        <v>58</v>
      </c>
      <c r="V698" s="8" t="s">
        <v>46</v>
      </c>
      <c r="W698" s="8">
        <v>0</v>
      </c>
    </row>
    <row r="699" spans="1:23" x14ac:dyDescent="0.25">
      <c r="A699" s="4"/>
      <c r="B699" s="4"/>
      <c r="C699" s="4">
        <v>889769</v>
      </c>
      <c r="D699" s="22">
        <v>5135.4399999999996</v>
      </c>
      <c r="E699" s="5">
        <f t="shared" si="11"/>
        <v>-0.43999999999959982</v>
      </c>
      <c r="F699" s="9">
        <v>45296</v>
      </c>
      <c r="G699" s="10">
        <v>330601183</v>
      </c>
      <c r="H699" s="9">
        <v>45294</v>
      </c>
      <c r="I699" s="9">
        <v>45309</v>
      </c>
      <c r="J699" s="8">
        <v>5135</v>
      </c>
      <c r="K699" s="8" t="s">
        <v>31</v>
      </c>
      <c r="L699" s="8" t="s">
        <v>32</v>
      </c>
      <c r="M699" s="8"/>
      <c r="N699" s="8" t="b">
        <v>0</v>
      </c>
      <c r="O699" s="10">
        <v>702416</v>
      </c>
      <c r="P699" s="8" t="s">
        <v>274</v>
      </c>
      <c r="Q699" s="8">
        <v>669834</v>
      </c>
      <c r="R699" s="9">
        <v>45293</v>
      </c>
      <c r="S699" s="8" t="s">
        <v>180</v>
      </c>
      <c r="T699" s="8" t="s">
        <v>44</v>
      </c>
      <c r="U699" s="8" t="s">
        <v>45</v>
      </c>
      <c r="V699" s="8" t="s">
        <v>46</v>
      </c>
      <c r="W699" s="8">
        <v>0</v>
      </c>
    </row>
    <row r="700" spans="1:23" x14ac:dyDescent="0.25">
      <c r="A700" s="4"/>
      <c r="B700" s="4"/>
      <c r="C700" s="4">
        <v>889770</v>
      </c>
      <c r="D700" s="22">
        <v>5133.24</v>
      </c>
      <c r="E700" s="5">
        <f t="shared" si="11"/>
        <v>-0.23999999999978172</v>
      </c>
      <c r="F700" s="9">
        <v>45296</v>
      </c>
      <c r="G700" s="10">
        <v>330601135</v>
      </c>
      <c r="H700" s="9">
        <v>45294</v>
      </c>
      <c r="I700" s="9">
        <v>45309</v>
      </c>
      <c r="J700" s="8">
        <v>5133</v>
      </c>
      <c r="K700" s="8" t="s">
        <v>31</v>
      </c>
      <c r="L700" s="8" t="s">
        <v>32</v>
      </c>
      <c r="M700" s="8"/>
      <c r="N700" s="8" t="b">
        <v>0</v>
      </c>
      <c r="O700" s="10">
        <v>709333</v>
      </c>
      <c r="P700" s="8" t="s">
        <v>263</v>
      </c>
      <c r="Q700" s="8">
        <v>669799</v>
      </c>
      <c r="R700" s="9">
        <v>45293</v>
      </c>
      <c r="S700" s="8" t="s">
        <v>34</v>
      </c>
      <c r="T700" s="8" t="s">
        <v>44</v>
      </c>
      <c r="U700" s="8" t="s">
        <v>58</v>
      </c>
      <c r="V700" s="8" t="s">
        <v>46</v>
      </c>
      <c r="W700" s="8">
        <v>0</v>
      </c>
    </row>
    <row r="701" spans="1:23" x14ac:dyDescent="0.25">
      <c r="A701" s="4"/>
      <c r="B701" s="4"/>
      <c r="C701" s="4">
        <v>889379</v>
      </c>
      <c r="D701" s="22">
        <v>87248</v>
      </c>
      <c r="E701" s="5">
        <f t="shared" si="11"/>
        <v>-8</v>
      </c>
      <c r="F701" s="9">
        <v>45296</v>
      </c>
      <c r="G701" s="10">
        <v>330601114</v>
      </c>
      <c r="H701" s="9">
        <v>45294</v>
      </c>
      <c r="I701" s="9">
        <v>45309</v>
      </c>
      <c r="J701" s="8">
        <v>87240</v>
      </c>
      <c r="K701" s="8" t="s">
        <v>31</v>
      </c>
      <c r="L701" s="8" t="s">
        <v>32</v>
      </c>
      <c r="M701" s="8"/>
      <c r="N701" s="8" t="b">
        <v>0</v>
      </c>
      <c r="O701" s="10">
        <v>711123</v>
      </c>
      <c r="P701" s="8" t="s">
        <v>363</v>
      </c>
      <c r="Q701" s="8">
        <v>669888</v>
      </c>
      <c r="R701" s="9">
        <v>45293</v>
      </c>
      <c r="S701" s="8" t="s">
        <v>34</v>
      </c>
      <c r="T701" s="8" t="s">
        <v>49</v>
      </c>
      <c r="U701" s="8" t="s">
        <v>75</v>
      </c>
      <c r="V701" s="8" t="s">
        <v>46</v>
      </c>
      <c r="W701" s="8">
        <v>0</v>
      </c>
    </row>
    <row r="702" spans="1:23" x14ac:dyDescent="0.25">
      <c r="A702" s="4"/>
      <c r="B702" s="4"/>
      <c r="C702" s="4">
        <v>889706</v>
      </c>
      <c r="D702" s="22">
        <v>5133.24</v>
      </c>
      <c r="E702" s="5">
        <f t="shared" si="11"/>
        <v>-0.23999999999978172</v>
      </c>
      <c r="F702" s="9">
        <v>45296</v>
      </c>
      <c r="G702" s="10">
        <v>330601043</v>
      </c>
      <c r="H702" s="9">
        <v>45294</v>
      </c>
      <c r="I702" s="9">
        <v>45309</v>
      </c>
      <c r="J702" s="8">
        <v>5133</v>
      </c>
      <c r="K702" s="8" t="s">
        <v>31</v>
      </c>
      <c r="L702" s="8" t="s">
        <v>32</v>
      </c>
      <c r="M702" s="8"/>
      <c r="N702" s="8" t="b">
        <v>0</v>
      </c>
      <c r="O702" s="10">
        <v>709328</v>
      </c>
      <c r="P702" s="8" t="s">
        <v>299</v>
      </c>
      <c r="Q702" s="8">
        <v>669793</v>
      </c>
      <c r="R702" s="9">
        <v>45293</v>
      </c>
      <c r="S702" s="8" t="s">
        <v>34</v>
      </c>
      <c r="T702" s="8" t="s">
        <v>44</v>
      </c>
      <c r="U702" s="8" t="s">
        <v>58</v>
      </c>
      <c r="V702" s="8" t="s">
        <v>46</v>
      </c>
      <c r="W702" s="8">
        <v>0</v>
      </c>
    </row>
    <row r="703" spans="1:23" ht="30" x14ac:dyDescent="0.25">
      <c r="A703" s="4"/>
      <c r="B703" s="4"/>
      <c r="C703" s="18" t="s">
        <v>364</v>
      </c>
      <c r="D703" s="27">
        <v>41408.199999999997</v>
      </c>
      <c r="E703" s="5">
        <f t="shared" si="11"/>
        <v>-3.1999999999970896</v>
      </c>
      <c r="F703" s="9">
        <v>45296</v>
      </c>
      <c r="G703" s="10">
        <v>330593493</v>
      </c>
      <c r="H703" s="9">
        <v>45294</v>
      </c>
      <c r="I703" s="9">
        <v>45309</v>
      </c>
      <c r="J703" s="8">
        <v>41405</v>
      </c>
      <c r="K703" s="8" t="s">
        <v>31</v>
      </c>
      <c r="L703" s="8" t="s">
        <v>32</v>
      </c>
      <c r="M703" s="8"/>
      <c r="N703" s="8" t="b">
        <v>0</v>
      </c>
      <c r="O703" s="43" t="s">
        <v>365</v>
      </c>
      <c r="P703" s="8" t="s">
        <v>366</v>
      </c>
      <c r="Q703" s="8">
        <v>637474</v>
      </c>
      <c r="R703" s="9">
        <v>45288</v>
      </c>
      <c r="S703" s="8" t="s">
        <v>148</v>
      </c>
      <c r="T703" s="8" t="s">
        <v>49</v>
      </c>
      <c r="U703" s="8" t="s">
        <v>149</v>
      </c>
      <c r="V703" s="8" t="s">
        <v>150</v>
      </c>
      <c r="W703" s="8">
        <v>0</v>
      </c>
    </row>
    <row r="704" spans="1:23" x14ac:dyDescent="0.25">
      <c r="A704" s="4"/>
      <c r="B704" s="4"/>
      <c r="C704" s="4">
        <v>889698</v>
      </c>
      <c r="D704" s="22">
        <v>5193.6899999999996</v>
      </c>
      <c r="E704" s="5">
        <f t="shared" si="11"/>
        <v>0.31000000000040018</v>
      </c>
      <c r="F704" s="9">
        <v>45296</v>
      </c>
      <c r="G704" s="10">
        <v>330587153</v>
      </c>
      <c r="H704" s="9">
        <v>45294</v>
      </c>
      <c r="I704" s="9">
        <v>45309</v>
      </c>
      <c r="J704" s="8">
        <v>5194</v>
      </c>
      <c r="K704" s="8" t="s">
        <v>31</v>
      </c>
      <c r="L704" s="8" t="s">
        <v>32</v>
      </c>
      <c r="M704" s="8"/>
      <c r="N704" s="8" t="b">
        <v>0</v>
      </c>
      <c r="O704" s="10">
        <v>710651</v>
      </c>
      <c r="P704" s="8" t="s">
        <v>87</v>
      </c>
      <c r="Q704" s="8">
        <v>663595</v>
      </c>
      <c r="R704" s="9">
        <v>45291</v>
      </c>
      <c r="S704" s="8" t="s">
        <v>34</v>
      </c>
      <c r="T704" s="8" t="s">
        <v>40</v>
      </c>
      <c r="U704" s="8" t="s">
        <v>58</v>
      </c>
      <c r="V704" s="8" t="s">
        <v>46</v>
      </c>
      <c r="W704" s="8">
        <v>0</v>
      </c>
    </row>
    <row r="705" spans="1:23" x14ac:dyDescent="0.25">
      <c r="A705" s="4"/>
      <c r="B705" s="4"/>
      <c r="C705" s="4">
        <v>889699</v>
      </c>
      <c r="D705" s="22">
        <v>5193.6899999999996</v>
      </c>
      <c r="E705" s="5">
        <f t="shared" si="11"/>
        <v>0.31000000000040018</v>
      </c>
      <c r="F705" s="9">
        <v>45296</v>
      </c>
      <c r="G705" s="10">
        <v>330587152</v>
      </c>
      <c r="H705" s="9">
        <v>45294</v>
      </c>
      <c r="I705" s="9">
        <v>45309</v>
      </c>
      <c r="J705" s="8">
        <v>5194</v>
      </c>
      <c r="K705" s="8" t="s">
        <v>31</v>
      </c>
      <c r="L705" s="8" t="s">
        <v>32</v>
      </c>
      <c r="M705" s="8"/>
      <c r="N705" s="8" t="b">
        <v>0</v>
      </c>
      <c r="O705" s="10">
        <v>710794</v>
      </c>
      <c r="P705" s="8" t="s">
        <v>164</v>
      </c>
      <c r="Q705" s="8">
        <v>663599</v>
      </c>
      <c r="R705" s="9">
        <v>45291</v>
      </c>
      <c r="S705" s="8" t="s">
        <v>34</v>
      </c>
      <c r="T705" s="8" t="s">
        <v>40</v>
      </c>
      <c r="U705" s="8" t="s">
        <v>58</v>
      </c>
      <c r="V705" s="8" t="s">
        <v>46</v>
      </c>
      <c r="W705" s="8">
        <v>0</v>
      </c>
    </row>
    <row r="706" spans="1:23" x14ac:dyDescent="0.25">
      <c r="A706" s="4"/>
      <c r="B706" s="4"/>
      <c r="C706" s="4">
        <v>889700</v>
      </c>
      <c r="D706" s="22">
        <v>5193.6899999999996</v>
      </c>
      <c r="E706" s="5">
        <f t="shared" ref="E706:E737" si="12">J706-D706</f>
        <v>0.31000000000040018</v>
      </c>
      <c r="F706" s="9">
        <v>45296</v>
      </c>
      <c r="G706" s="10">
        <v>330587151</v>
      </c>
      <c r="H706" s="9">
        <v>45294</v>
      </c>
      <c r="I706" s="9">
        <v>45309</v>
      </c>
      <c r="J706" s="8">
        <v>5194</v>
      </c>
      <c r="K706" s="8" t="s">
        <v>31</v>
      </c>
      <c r="L706" s="8" t="s">
        <v>32</v>
      </c>
      <c r="M706" s="8"/>
      <c r="N706" s="8" t="b">
        <v>0</v>
      </c>
      <c r="O706" s="10">
        <v>710795</v>
      </c>
      <c r="P706" s="8" t="s">
        <v>171</v>
      </c>
      <c r="Q706" s="8">
        <v>663600</v>
      </c>
      <c r="R706" s="9">
        <v>45291</v>
      </c>
      <c r="S706" s="8" t="s">
        <v>34</v>
      </c>
      <c r="T706" s="8" t="s">
        <v>40</v>
      </c>
      <c r="U706" s="8" t="s">
        <v>58</v>
      </c>
      <c r="V706" s="8" t="s">
        <v>46</v>
      </c>
      <c r="W706" s="8">
        <v>0</v>
      </c>
    </row>
    <row r="707" spans="1:23" x14ac:dyDescent="0.25">
      <c r="A707" s="4"/>
      <c r="B707" s="4"/>
      <c r="C707" s="4">
        <v>889701</v>
      </c>
      <c r="D707" s="22">
        <v>5193.6899999999996</v>
      </c>
      <c r="E707" s="5">
        <f t="shared" si="12"/>
        <v>0.31000000000040018</v>
      </c>
      <c r="F707" s="9">
        <v>45296</v>
      </c>
      <c r="G707" s="10">
        <v>330587148</v>
      </c>
      <c r="H707" s="9">
        <v>45294</v>
      </c>
      <c r="I707" s="9">
        <v>45309</v>
      </c>
      <c r="J707" s="8">
        <v>5194</v>
      </c>
      <c r="K707" s="8" t="s">
        <v>31</v>
      </c>
      <c r="L707" s="8" t="s">
        <v>32</v>
      </c>
      <c r="M707" s="8"/>
      <c r="N707" s="8" t="b">
        <v>0</v>
      </c>
      <c r="O707" s="10">
        <v>710797</v>
      </c>
      <c r="P707" s="8" t="s">
        <v>136</v>
      </c>
      <c r="Q707" s="8">
        <v>663602</v>
      </c>
      <c r="R707" s="9">
        <v>45291</v>
      </c>
      <c r="S707" s="8" t="s">
        <v>34</v>
      </c>
      <c r="T707" s="8" t="s">
        <v>40</v>
      </c>
      <c r="U707" s="8" t="s">
        <v>58</v>
      </c>
      <c r="V707" s="8" t="s">
        <v>46</v>
      </c>
      <c r="W707" s="8">
        <v>0</v>
      </c>
    </row>
    <row r="708" spans="1:23" x14ac:dyDescent="0.25">
      <c r="A708" s="4"/>
      <c r="B708" s="4"/>
      <c r="C708" s="4">
        <v>889702</v>
      </c>
      <c r="D708" s="22">
        <v>5193.6899999999996</v>
      </c>
      <c r="E708" s="5">
        <f t="shared" si="12"/>
        <v>0.31000000000040018</v>
      </c>
      <c r="F708" s="9">
        <v>45296</v>
      </c>
      <c r="G708" s="10">
        <v>330587147</v>
      </c>
      <c r="H708" s="9">
        <v>45294</v>
      </c>
      <c r="I708" s="9">
        <v>45309</v>
      </c>
      <c r="J708" s="8">
        <v>5194</v>
      </c>
      <c r="K708" s="8" t="s">
        <v>31</v>
      </c>
      <c r="L708" s="8" t="s">
        <v>32</v>
      </c>
      <c r="M708" s="8"/>
      <c r="N708" s="8" t="b">
        <v>0</v>
      </c>
      <c r="O708" s="10">
        <v>710796</v>
      </c>
      <c r="P708" s="8" t="s">
        <v>137</v>
      </c>
      <c r="Q708" s="8">
        <v>663601</v>
      </c>
      <c r="R708" s="9">
        <v>45291</v>
      </c>
      <c r="S708" s="8" t="s">
        <v>34</v>
      </c>
      <c r="T708" s="8" t="s">
        <v>40</v>
      </c>
      <c r="U708" s="8" t="s">
        <v>58</v>
      </c>
      <c r="V708" s="8" t="s">
        <v>46</v>
      </c>
      <c r="W708" s="8">
        <v>0</v>
      </c>
    </row>
    <row r="709" spans="1:23" x14ac:dyDescent="0.25">
      <c r="A709" s="4"/>
      <c r="B709" s="4"/>
      <c r="C709" s="4">
        <v>889704</v>
      </c>
      <c r="D709" s="22">
        <v>5193.6899999999996</v>
      </c>
      <c r="E709" s="5">
        <f t="shared" si="12"/>
        <v>0.31000000000040018</v>
      </c>
      <c r="F709" s="9">
        <v>45296</v>
      </c>
      <c r="G709" s="10">
        <v>330587140</v>
      </c>
      <c r="H709" s="9">
        <v>45294</v>
      </c>
      <c r="I709" s="9">
        <v>45309</v>
      </c>
      <c r="J709" s="8">
        <v>5194</v>
      </c>
      <c r="K709" s="8" t="s">
        <v>31</v>
      </c>
      <c r="L709" s="8" t="s">
        <v>32</v>
      </c>
      <c r="M709" s="8"/>
      <c r="N709" s="8" t="b">
        <v>0</v>
      </c>
      <c r="O709" s="10">
        <v>710792</v>
      </c>
      <c r="P709" s="8" t="s">
        <v>202</v>
      </c>
      <c r="Q709" s="8">
        <v>663596</v>
      </c>
      <c r="R709" s="9">
        <v>45291</v>
      </c>
      <c r="S709" s="8" t="s">
        <v>34</v>
      </c>
      <c r="T709" s="8" t="s">
        <v>40</v>
      </c>
      <c r="U709" s="8" t="s">
        <v>58</v>
      </c>
      <c r="V709" s="8" t="s">
        <v>46</v>
      </c>
      <c r="W709" s="8">
        <v>0</v>
      </c>
    </row>
    <row r="710" spans="1:23" x14ac:dyDescent="0.25">
      <c r="A710" s="4"/>
      <c r="B710" s="4"/>
      <c r="C710" s="4">
        <v>889705</v>
      </c>
      <c r="D710" s="22">
        <v>5193.6899999999996</v>
      </c>
      <c r="E710" s="5">
        <f t="shared" si="12"/>
        <v>0.31000000000040018</v>
      </c>
      <c r="F710" s="9">
        <v>45296</v>
      </c>
      <c r="G710" s="10">
        <v>330587139</v>
      </c>
      <c r="H710" s="9">
        <v>45294</v>
      </c>
      <c r="I710" s="9">
        <v>45309</v>
      </c>
      <c r="J710" s="8">
        <v>5194</v>
      </c>
      <c r="K710" s="8" t="s">
        <v>31</v>
      </c>
      <c r="L710" s="8" t="s">
        <v>32</v>
      </c>
      <c r="M710" s="8"/>
      <c r="N710" s="8" t="b">
        <v>0</v>
      </c>
      <c r="O710" s="10">
        <v>710793</v>
      </c>
      <c r="P710" s="8" t="s">
        <v>83</v>
      </c>
      <c r="Q710" s="8">
        <v>663597</v>
      </c>
      <c r="R710" s="9">
        <v>45291</v>
      </c>
      <c r="S710" s="8" t="s">
        <v>34</v>
      </c>
      <c r="T710" s="8" t="s">
        <v>40</v>
      </c>
      <c r="U710" s="8" t="s">
        <v>58</v>
      </c>
      <c r="V710" s="8" t="s">
        <v>46</v>
      </c>
      <c r="W710" s="8">
        <v>0</v>
      </c>
    </row>
    <row r="711" spans="1:23" x14ac:dyDescent="0.25">
      <c r="A711" s="4"/>
      <c r="B711" s="4"/>
      <c r="C711" s="4">
        <v>889693</v>
      </c>
      <c r="D711" s="22">
        <v>56711.199999999997</v>
      </c>
      <c r="E711" s="5">
        <f t="shared" si="12"/>
        <v>-5.1999999999970896</v>
      </c>
      <c r="F711" s="9">
        <v>45296</v>
      </c>
      <c r="G711" s="10">
        <v>330647861</v>
      </c>
      <c r="H711" s="9">
        <v>45295</v>
      </c>
      <c r="I711" s="9">
        <v>45310</v>
      </c>
      <c r="J711" s="8">
        <v>56706</v>
      </c>
      <c r="K711" s="8" t="s">
        <v>31</v>
      </c>
      <c r="L711" s="8" t="s">
        <v>32</v>
      </c>
      <c r="M711" s="8"/>
      <c r="N711" s="8" t="b">
        <v>0</v>
      </c>
      <c r="O711" s="10">
        <v>711485</v>
      </c>
      <c r="P711" s="8" t="s">
        <v>367</v>
      </c>
      <c r="Q711" s="8">
        <v>116698</v>
      </c>
      <c r="R711" s="9">
        <v>45295</v>
      </c>
      <c r="S711" s="8" t="s">
        <v>34</v>
      </c>
      <c r="T711" s="8" t="s">
        <v>49</v>
      </c>
      <c r="U711" s="8" t="s">
        <v>75</v>
      </c>
      <c r="V711" s="8" t="s">
        <v>46</v>
      </c>
      <c r="W711" s="8">
        <v>0</v>
      </c>
    </row>
    <row r="712" spans="1:23" x14ac:dyDescent="0.25">
      <c r="A712" s="4"/>
      <c r="B712" s="4"/>
      <c r="C712" s="4">
        <v>889678</v>
      </c>
      <c r="D712" s="22">
        <v>9226.32</v>
      </c>
      <c r="E712" s="5">
        <f t="shared" si="12"/>
        <v>0.68000000000029104</v>
      </c>
      <c r="F712" s="9">
        <v>45296</v>
      </c>
      <c r="G712" s="10">
        <v>330642746</v>
      </c>
      <c r="H712" s="9">
        <v>45295</v>
      </c>
      <c r="I712" s="9">
        <v>45310</v>
      </c>
      <c r="J712" s="8">
        <v>9227</v>
      </c>
      <c r="K712" s="8" t="s">
        <v>31</v>
      </c>
      <c r="L712" s="8" t="s">
        <v>32</v>
      </c>
      <c r="M712" s="8"/>
      <c r="N712" s="8" t="b">
        <v>0</v>
      </c>
      <c r="O712" s="10">
        <v>709988</v>
      </c>
      <c r="P712" s="8" t="s">
        <v>82</v>
      </c>
      <c r="Q712" s="8">
        <v>112188</v>
      </c>
      <c r="R712" s="9">
        <v>45295</v>
      </c>
      <c r="S712" s="8" t="s">
        <v>130</v>
      </c>
      <c r="T712" s="8" t="s">
        <v>40</v>
      </c>
      <c r="U712" s="8" t="s">
        <v>131</v>
      </c>
      <c r="V712" s="8" t="s">
        <v>132</v>
      </c>
      <c r="W712" s="8">
        <v>0</v>
      </c>
    </row>
    <row r="713" spans="1:23" x14ac:dyDescent="0.25">
      <c r="A713" s="4"/>
      <c r="B713" s="4"/>
      <c r="C713" s="4">
        <v>889771</v>
      </c>
      <c r="D713" s="22">
        <v>5159.6400000000003</v>
      </c>
      <c r="E713" s="5">
        <f t="shared" si="12"/>
        <v>0.35999999999967258</v>
      </c>
      <c r="F713" s="9">
        <v>45296</v>
      </c>
      <c r="G713" s="10">
        <v>330642705</v>
      </c>
      <c r="H713" s="9">
        <v>45295</v>
      </c>
      <c r="I713" s="9">
        <v>45310</v>
      </c>
      <c r="J713" s="8">
        <v>5160</v>
      </c>
      <c r="K713" s="8" t="s">
        <v>31</v>
      </c>
      <c r="L713" s="8" t="s">
        <v>32</v>
      </c>
      <c r="M713" s="8"/>
      <c r="N713" s="8" t="b">
        <v>0</v>
      </c>
      <c r="O713" s="10">
        <v>710992</v>
      </c>
      <c r="P713" s="8" t="s">
        <v>270</v>
      </c>
      <c r="Q713" s="8">
        <v>112195</v>
      </c>
      <c r="R713" s="9">
        <v>45295</v>
      </c>
      <c r="S713" s="8" t="s">
        <v>34</v>
      </c>
      <c r="T713" s="8" t="s">
        <v>40</v>
      </c>
      <c r="U713" s="8" t="s">
        <v>58</v>
      </c>
      <c r="V713" s="8" t="s">
        <v>46</v>
      </c>
      <c r="W713" s="8">
        <v>0</v>
      </c>
    </row>
    <row r="714" spans="1:23" x14ac:dyDescent="0.25">
      <c r="A714" s="4"/>
      <c r="B714" s="4"/>
      <c r="C714" s="4">
        <v>889772</v>
      </c>
      <c r="D714" s="22">
        <v>5133.24</v>
      </c>
      <c r="E714" s="5">
        <f t="shared" si="12"/>
        <v>-0.23999999999978172</v>
      </c>
      <c r="F714" s="9">
        <v>45296</v>
      </c>
      <c r="G714" s="10">
        <v>330640376</v>
      </c>
      <c r="H714" s="9">
        <v>45295</v>
      </c>
      <c r="I714" s="9">
        <v>45310</v>
      </c>
      <c r="J714" s="8">
        <v>5133</v>
      </c>
      <c r="K714" s="8" t="s">
        <v>31</v>
      </c>
      <c r="L714" s="8" t="s">
        <v>32</v>
      </c>
      <c r="M714" s="8"/>
      <c r="N714" s="8" t="b">
        <v>0</v>
      </c>
      <c r="O714" s="10">
        <v>709329</v>
      </c>
      <c r="P714" s="8" t="s">
        <v>273</v>
      </c>
      <c r="Q714" s="8">
        <v>109543</v>
      </c>
      <c r="R714" s="9">
        <v>45295</v>
      </c>
      <c r="S714" s="8" t="s">
        <v>34</v>
      </c>
      <c r="T714" s="8" t="s">
        <v>44</v>
      </c>
      <c r="U714" s="8" t="s">
        <v>58</v>
      </c>
      <c r="V714" s="8" t="s">
        <v>46</v>
      </c>
      <c r="W714" s="8">
        <v>0</v>
      </c>
    </row>
    <row r="715" spans="1:23" x14ac:dyDescent="0.25">
      <c r="A715" s="4">
        <v>2</v>
      </c>
      <c r="B715" s="4" t="s">
        <v>343</v>
      </c>
      <c r="C715" s="4"/>
      <c r="D715" s="22"/>
      <c r="E715" s="5">
        <f t="shared" si="12"/>
        <v>5133</v>
      </c>
      <c r="F715" s="44" t="s">
        <v>251</v>
      </c>
      <c r="G715" s="10">
        <v>330640197</v>
      </c>
      <c r="H715" s="9">
        <v>45295</v>
      </c>
      <c r="I715" s="9">
        <v>45310</v>
      </c>
      <c r="J715" s="8">
        <v>5133</v>
      </c>
      <c r="K715" s="8" t="s">
        <v>31</v>
      </c>
      <c r="L715" s="8" t="s">
        <v>32</v>
      </c>
      <c r="M715" s="8"/>
      <c r="N715" s="8" t="b">
        <v>0</v>
      </c>
      <c r="O715" s="10">
        <v>709329</v>
      </c>
      <c r="P715" s="8" t="s">
        <v>303</v>
      </c>
      <c r="Q715" s="8">
        <v>109203</v>
      </c>
      <c r="R715" s="9">
        <v>45295</v>
      </c>
      <c r="S715" s="8" t="s">
        <v>34</v>
      </c>
      <c r="T715" s="8" t="s">
        <v>44</v>
      </c>
      <c r="U715" s="8" t="s">
        <v>58</v>
      </c>
      <c r="V715" s="8" t="s">
        <v>46</v>
      </c>
      <c r="W715" s="8">
        <v>0</v>
      </c>
    </row>
    <row r="716" spans="1:23" x14ac:dyDescent="0.25">
      <c r="A716" s="4"/>
      <c r="B716" s="4"/>
      <c r="C716" s="4">
        <v>889774</v>
      </c>
      <c r="D716" s="22">
        <v>5159.6400000000003</v>
      </c>
      <c r="E716" s="5">
        <f t="shared" si="12"/>
        <v>0.35999999999967258</v>
      </c>
      <c r="F716" s="9">
        <v>45296</v>
      </c>
      <c r="G716" s="10">
        <v>330640156</v>
      </c>
      <c r="H716" s="9">
        <v>45295</v>
      </c>
      <c r="I716" s="9">
        <v>45310</v>
      </c>
      <c r="J716" s="8">
        <v>5160</v>
      </c>
      <c r="K716" s="8" t="s">
        <v>31</v>
      </c>
      <c r="L716" s="8" t="s">
        <v>32</v>
      </c>
      <c r="M716" s="8"/>
      <c r="N716" s="8" t="b">
        <v>0</v>
      </c>
      <c r="O716" s="10">
        <v>710991</v>
      </c>
      <c r="P716" s="8" t="s">
        <v>114</v>
      </c>
      <c r="Q716" s="8">
        <v>109187</v>
      </c>
      <c r="R716" s="9">
        <v>45295</v>
      </c>
      <c r="S716" s="8" t="s">
        <v>34</v>
      </c>
      <c r="T716" s="8" t="s">
        <v>40</v>
      </c>
      <c r="U716" s="8" t="s">
        <v>58</v>
      </c>
      <c r="V716" s="8" t="s">
        <v>46</v>
      </c>
      <c r="W716" s="8">
        <v>0</v>
      </c>
    </row>
    <row r="717" spans="1:23" x14ac:dyDescent="0.25">
      <c r="A717" s="4"/>
      <c r="B717" s="4"/>
      <c r="C717" s="4">
        <v>889775</v>
      </c>
      <c r="D717" s="22">
        <v>5133.24</v>
      </c>
      <c r="E717" s="5">
        <f t="shared" si="12"/>
        <v>-0.23999999999978172</v>
      </c>
      <c r="F717" s="9">
        <v>45296</v>
      </c>
      <c r="G717" s="10">
        <v>330639935</v>
      </c>
      <c r="H717" s="9">
        <v>45295</v>
      </c>
      <c r="I717" s="9">
        <v>45310</v>
      </c>
      <c r="J717" s="8">
        <v>5133</v>
      </c>
      <c r="K717" s="8" t="s">
        <v>31</v>
      </c>
      <c r="L717" s="8" t="s">
        <v>32</v>
      </c>
      <c r="M717" s="8"/>
      <c r="N717" s="8" t="b">
        <v>0</v>
      </c>
      <c r="O717" s="10">
        <v>711333</v>
      </c>
      <c r="P717" s="8" t="s">
        <v>264</v>
      </c>
      <c r="Q717" s="8">
        <v>108603</v>
      </c>
      <c r="R717" s="9">
        <v>45295</v>
      </c>
      <c r="S717" s="8" t="s">
        <v>34</v>
      </c>
      <c r="T717" s="8" t="s">
        <v>44</v>
      </c>
      <c r="U717" s="8" t="s">
        <v>58</v>
      </c>
      <c r="V717" s="8" t="s">
        <v>46</v>
      </c>
      <c r="W717" s="8">
        <v>0</v>
      </c>
    </row>
    <row r="718" spans="1:23" x14ac:dyDescent="0.25">
      <c r="A718" s="4"/>
      <c r="B718" s="4"/>
      <c r="C718" s="4">
        <v>889566</v>
      </c>
      <c r="D718" s="22">
        <v>5135.4399999999996</v>
      </c>
      <c r="E718" s="5">
        <f t="shared" si="12"/>
        <v>-0.43999999999959982</v>
      </c>
      <c r="F718" s="9">
        <v>45296</v>
      </c>
      <c r="G718" s="10">
        <v>330639911</v>
      </c>
      <c r="H718" s="9">
        <v>45295</v>
      </c>
      <c r="I718" s="9">
        <v>45310</v>
      </c>
      <c r="J718" s="8">
        <v>5135</v>
      </c>
      <c r="K718" s="8" t="s">
        <v>31</v>
      </c>
      <c r="L718" s="8" t="s">
        <v>32</v>
      </c>
      <c r="M718" s="8"/>
      <c r="N718" s="8" t="b">
        <v>0</v>
      </c>
      <c r="O718" s="10">
        <v>702417</v>
      </c>
      <c r="P718" s="8" t="s">
        <v>275</v>
      </c>
      <c r="Q718" s="8">
        <v>108527</v>
      </c>
      <c r="R718" s="9">
        <v>45295</v>
      </c>
      <c r="S718" s="8" t="s">
        <v>180</v>
      </c>
      <c r="T718" s="8" t="s">
        <v>44</v>
      </c>
      <c r="U718" s="8" t="s">
        <v>45</v>
      </c>
      <c r="V718" s="8" t="s">
        <v>46</v>
      </c>
      <c r="W718" s="8">
        <v>0</v>
      </c>
    </row>
    <row r="719" spans="1:23" x14ac:dyDescent="0.25">
      <c r="A719" s="4"/>
      <c r="B719" s="4"/>
      <c r="C719" s="4">
        <v>889776</v>
      </c>
      <c r="D719" s="22">
        <v>5133.24</v>
      </c>
      <c r="E719" s="5">
        <f t="shared" si="12"/>
        <v>-0.23999999999978172</v>
      </c>
      <c r="F719" s="9">
        <v>45296</v>
      </c>
      <c r="G719" s="10">
        <v>330639910</v>
      </c>
      <c r="H719" s="9">
        <v>45295</v>
      </c>
      <c r="I719" s="9">
        <v>45310</v>
      </c>
      <c r="J719" s="8">
        <v>5133</v>
      </c>
      <c r="K719" s="8" t="s">
        <v>31</v>
      </c>
      <c r="L719" s="8" t="s">
        <v>32</v>
      </c>
      <c r="M719" s="8"/>
      <c r="N719" s="8" t="b">
        <v>0</v>
      </c>
      <c r="O719" s="10">
        <v>710524</v>
      </c>
      <c r="P719" s="8" t="s">
        <v>43</v>
      </c>
      <c r="Q719" s="8">
        <v>108496</v>
      </c>
      <c r="R719" s="9">
        <v>45295</v>
      </c>
      <c r="S719" s="8" t="s">
        <v>34</v>
      </c>
      <c r="T719" s="8" t="s">
        <v>44</v>
      </c>
      <c r="U719" s="8" t="s">
        <v>58</v>
      </c>
      <c r="V719" s="8" t="s">
        <v>46</v>
      </c>
      <c r="W719" s="8">
        <v>0</v>
      </c>
    </row>
    <row r="720" spans="1:23" x14ac:dyDescent="0.25">
      <c r="A720" s="4"/>
      <c r="B720" s="4"/>
      <c r="C720" s="4">
        <v>889563</v>
      </c>
      <c r="D720" s="22">
        <v>65436</v>
      </c>
      <c r="E720" s="5">
        <f t="shared" si="12"/>
        <v>-6</v>
      </c>
      <c r="F720" s="9">
        <v>45296</v>
      </c>
      <c r="G720" s="10">
        <v>330639665</v>
      </c>
      <c r="H720" s="9">
        <v>45295</v>
      </c>
      <c r="I720" s="9">
        <v>45310</v>
      </c>
      <c r="J720" s="8">
        <v>65430</v>
      </c>
      <c r="K720" s="8" t="s">
        <v>31</v>
      </c>
      <c r="L720" s="8" t="s">
        <v>32</v>
      </c>
      <c r="M720" s="8"/>
      <c r="N720" s="8" t="b">
        <v>0</v>
      </c>
      <c r="O720" s="10">
        <v>711316</v>
      </c>
      <c r="P720" s="8" t="s">
        <v>205</v>
      </c>
      <c r="Q720" s="8">
        <v>107398</v>
      </c>
      <c r="R720" s="9">
        <v>45295</v>
      </c>
      <c r="S720" s="8" t="s">
        <v>34</v>
      </c>
      <c r="T720" s="8" t="s">
        <v>49</v>
      </c>
      <c r="U720" s="8" t="s">
        <v>75</v>
      </c>
      <c r="V720" s="8" t="s">
        <v>46</v>
      </c>
      <c r="W720" s="8">
        <v>0</v>
      </c>
    </row>
    <row r="721" spans="1:23" x14ac:dyDescent="0.25">
      <c r="A721" s="4"/>
      <c r="B721" s="4"/>
      <c r="C721" s="4">
        <v>889777</v>
      </c>
      <c r="D721" s="22">
        <v>5159.6400000000003</v>
      </c>
      <c r="E721" s="5">
        <f t="shared" si="12"/>
        <v>0.35999999999967258</v>
      </c>
      <c r="F721" s="9">
        <v>45296</v>
      </c>
      <c r="G721" s="10">
        <v>330639110</v>
      </c>
      <c r="H721" s="9">
        <v>45295</v>
      </c>
      <c r="I721" s="9">
        <v>45310</v>
      </c>
      <c r="J721" s="8">
        <v>5160</v>
      </c>
      <c r="K721" s="8" t="s">
        <v>31</v>
      </c>
      <c r="L721" s="8" t="s">
        <v>32</v>
      </c>
      <c r="M721" s="8"/>
      <c r="N721" s="8" t="b">
        <v>0</v>
      </c>
      <c r="O721" s="10">
        <v>710988</v>
      </c>
      <c r="P721" s="8" t="s">
        <v>38</v>
      </c>
      <c r="Q721" s="8">
        <v>106837</v>
      </c>
      <c r="R721" s="9">
        <v>45295</v>
      </c>
      <c r="S721" s="8" t="s">
        <v>34</v>
      </c>
      <c r="T721" s="8" t="s">
        <v>40</v>
      </c>
      <c r="U721" s="8" t="s">
        <v>58</v>
      </c>
      <c r="V721" s="8" t="s">
        <v>46</v>
      </c>
      <c r="W721" s="8">
        <v>0</v>
      </c>
    </row>
    <row r="722" spans="1:23" x14ac:dyDescent="0.25">
      <c r="A722" s="4"/>
      <c r="B722" s="4"/>
      <c r="C722" s="4">
        <v>889778</v>
      </c>
      <c r="D722" s="22">
        <v>5159.6400000000003</v>
      </c>
      <c r="E722" s="5">
        <f t="shared" si="12"/>
        <v>0.35999999999967258</v>
      </c>
      <c r="F722" s="9">
        <v>45296</v>
      </c>
      <c r="G722" s="10">
        <v>330639088</v>
      </c>
      <c r="H722" s="9">
        <v>45295</v>
      </c>
      <c r="I722" s="9">
        <v>45310</v>
      </c>
      <c r="J722" s="8">
        <v>5160</v>
      </c>
      <c r="K722" s="8" t="s">
        <v>31</v>
      </c>
      <c r="L722" s="8" t="s">
        <v>32</v>
      </c>
      <c r="M722" s="8"/>
      <c r="N722" s="8" t="b">
        <v>0</v>
      </c>
      <c r="O722" s="10">
        <v>710989</v>
      </c>
      <c r="P722" s="8" t="s">
        <v>219</v>
      </c>
      <c r="Q722" s="8">
        <v>106846</v>
      </c>
      <c r="R722" s="9">
        <v>45295</v>
      </c>
      <c r="S722" s="8" t="s">
        <v>34</v>
      </c>
      <c r="T722" s="8" t="s">
        <v>40</v>
      </c>
      <c r="U722" s="8" t="s">
        <v>58</v>
      </c>
      <c r="V722" s="8" t="s">
        <v>46</v>
      </c>
      <c r="W722" s="8">
        <v>0</v>
      </c>
    </row>
    <row r="723" spans="1:23" x14ac:dyDescent="0.25">
      <c r="A723" s="4"/>
      <c r="B723" s="4"/>
      <c r="C723" s="4">
        <v>889779</v>
      </c>
      <c r="D723" s="22">
        <v>5159.6400000000003</v>
      </c>
      <c r="E723" s="5">
        <f t="shared" si="12"/>
        <v>0.35999999999967258</v>
      </c>
      <c r="F723" s="9">
        <v>45296</v>
      </c>
      <c r="G723" s="10">
        <v>330639065</v>
      </c>
      <c r="H723" s="9">
        <v>45295</v>
      </c>
      <c r="I723" s="9">
        <v>45310</v>
      </c>
      <c r="J723" s="8">
        <v>5160</v>
      </c>
      <c r="K723" s="8" t="s">
        <v>31</v>
      </c>
      <c r="L723" s="8" t="s">
        <v>32</v>
      </c>
      <c r="M723" s="8"/>
      <c r="N723" s="8" t="b">
        <v>0</v>
      </c>
      <c r="O723" s="10">
        <v>710987</v>
      </c>
      <c r="P723" s="8" t="s">
        <v>216</v>
      </c>
      <c r="Q723" s="8">
        <v>106829</v>
      </c>
      <c r="R723" s="9">
        <v>45295</v>
      </c>
      <c r="S723" s="8" t="s">
        <v>34</v>
      </c>
      <c r="T723" s="8" t="s">
        <v>40</v>
      </c>
      <c r="U723" s="8" t="s">
        <v>58</v>
      </c>
      <c r="V723" s="8" t="s">
        <v>46</v>
      </c>
      <c r="W723" s="8">
        <v>0</v>
      </c>
    </row>
    <row r="724" spans="1:23" x14ac:dyDescent="0.25">
      <c r="A724" s="4"/>
      <c r="B724" s="4"/>
      <c r="C724" s="4">
        <v>889780</v>
      </c>
      <c r="D724" s="22">
        <v>5159.6400000000003</v>
      </c>
      <c r="E724" s="5">
        <f t="shared" si="12"/>
        <v>0.35999999999967258</v>
      </c>
      <c r="F724" s="9">
        <v>45296</v>
      </c>
      <c r="G724" s="10">
        <v>330639062</v>
      </c>
      <c r="H724" s="9">
        <v>45295</v>
      </c>
      <c r="I724" s="9">
        <v>45310</v>
      </c>
      <c r="J724" s="8">
        <v>5160</v>
      </c>
      <c r="K724" s="8" t="s">
        <v>31</v>
      </c>
      <c r="L724" s="8" t="s">
        <v>32</v>
      </c>
      <c r="M724" s="8"/>
      <c r="N724" s="8" t="b">
        <v>0</v>
      </c>
      <c r="O724" s="10">
        <v>710990</v>
      </c>
      <c r="P724" s="8" t="s">
        <v>86</v>
      </c>
      <c r="Q724" s="8">
        <v>106852</v>
      </c>
      <c r="R724" s="9">
        <v>45295</v>
      </c>
      <c r="S724" s="8" t="s">
        <v>34</v>
      </c>
      <c r="T724" s="8" t="s">
        <v>40</v>
      </c>
      <c r="U724" s="8" t="s">
        <v>58</v>
      </c>
      <c r="V724" s="8" t="s">
        <v>46</v>
      </c>
      <c r="W724" s="8">
        <v>0</v>
      </c>
    </row>
    <row r="725" spans="1:23" x14ac:dyDescent="0.25">
      <c r="A725" s="4"/>
      <c r="B725" s="4"/>
      <c r="C725" s="4">
        <v>890430</v>
      </c>
      <c r="D725" s="22">
        <v>7951.32</v>
      </c>
      <c r="E725" s="5">
        <f t="shared" si="12"/>
        <v>-0.31999999999970896</v>
      </c>
      <c r="F725" s="9">
        <v>45308</v>
      </c>
      <c r="G725" s="10">
        <v>330665357</v>
      </c>
      <c r="H725" s="9">
        <v>45296</v>
      </c>
      <c r="I725" s="9">
        <v>45311</v>
      </c>
      <c r="J725" s="8">
        <v>7951</v>
      </c>
      <c r="K725" s="8" t="s">
        <v>31</v>
      </c>
      <c r="L725" s="8" t="s">
        <v>32</v>
      </c>
      <c r="M725" s="8"/>
      <c r="N725" s="8" t="b">
        <v>0</v>
      </c>
      <c r="O725" s="10">
        <v>710975</v>
      </c>
      <c r="P725" s="8" t="s">
        <v>221</v>
      </c>
      <c r="Q725" s="8">
        <v>128422</v>
      </c>
      <c r="R725" s="9">
        <v>45296</v>
      </c>
      <c r="S725" s="8" t="s">
        <v>34</v>
      </c>
      <c r="T725" s="8" t="s">
        <v>40</v>
      </c>
      <c r="U725" s="8" t="s">
        <v>88</v>
      </c>
      <c r="V725" s="8" t="s">
        <v>72</v>
      </c>
      <c r="W725" s="8">
        <v>0</v>
      </c>
    </row>
    <row r="726" spans="1:23" x14ac:dyDescent="0.25">
      <c r="A726" s="4"/>
      <c r="B726" s="4"/>
      <c r="C726" s="4">
        <v>890433</v>
      </c>
      <c r="D726" s="22">
        <v>7951.32</v>
      </c>
      <c r="E726" s="5">
        <f t="shared" si="12"/>
        <v>-0.31999999999970896</v>
      </c>
      <c r="F726" s="9">
        <v>45308</v>
      </c>
      <c r="G726" s="10">
        <v>330665307</v>
      </c>
      <c r="H726" s="9">
        <v>45296</v>
      </c>
      <c r="I726" s="9">
        <v>45311</v>
      </c>
      <c r="J726" s="8">
        <v>7951</v>
      </c>
      <c r="K726" s="8" t="s">
        <v>31</v>
      </c>
      <c r="L726" s="8" t="s">
        <v>32</v>
      </c>
      <c r="M726" s="8"/>
      <c r="N726" s="8" t="b">
        <v>0</v>
      </c>
      <c r="O726" s="10">
        <v>710976</v>
      </c>
      <c r="P726" s="8" t="s">
        <v>196</v>
      </c>
      <c r="Q726" s="8">
        <v>128428</v>
      </c>
      <c r="R726" s="9">
        <v>45296</v>
      </c>
      <c r="S726" s="8" t="s">
        <v>34</v>
      </c>
      <c r="T726" s="8" t="s">
        <v>40</v>
      </c>
      <c r="U726" s="8" t="s">
        <v>88</v>
      </c>
      <c r="V726" s="8" t="s">
        <v>72</v>
      </c>
      <c r="W726" s="8">
        <v>0</v>
      </c>
    </row>
    <row r="727" spans="1:23" x14ac:dyDescent="0.25">
      <c r="A727" s="4"/>
      <c r="B727" s="4"/>
      <c r="C727" s="4">
        <v>890436</v>
      </c>
      <c r="D727" s="22">
        <v>7951.32</v>
      </c>
      <c r="E727" s="5">
        <f t="shared" si="12"/>
        <v>-0.31999999999970896</v>
      </c>
      <c r="F727" s="9">
        <v>45308</v>
      </c>
      <c r="G727" s="10">
        <v>330665287</v>
      </c>
      <c r="H727" s="9">
        <v>45296</v>
      </c>
      <c r="I727" s="9">
        <v>45311</v>
      </c>
      <c r="J727" s="8">
        <v>7951</v>
      </c>
      <c r="K727" s="8" t="s">
        <v>31</v>
      </c>
      <c r="L727" s="8" t="s">
        <v>32</v>
      </c>
      <c r="M727" s="8"/>
      <c r="N727" s="8" t="b">
        <v>0</v>
      </c>
      <c r="O727" s="10">
        <v>710977</v>
      </c>
      <c r="P727" s="8" t="s">
        <v>211</v>
      </c>
      <c r="Q727" s="8">
        <v>128435</v>
      </c>
      <c r="R727" s="9">
        <v>45296</v>
      </c>
      <c r="S727" s="8" t="s">
        <v>34</v>
      </c>
      <c r="T727" s="8" t="s">
        <v>40</v>
      </c>
      <c r="U727" s="8" t="s">
        <v>88</v>
      </c>
      <c r="V727" s="8" t="s">
        <v>72</v>
      </c>
      <c r="W727" s="8">
        <v>0</v>
      </c>
    </row>
    <row r="728" spans="1:23" x14ac:dyDescent="0.25">
      <c r="A728" s="4"/>
      <c r="B728" s="4"/>
      <c r="C728" s="4">
        <v>890438</v>
      </c>
      <c r="D728" s="22">
        <v>7951.32</v>
      </c>
      <c r="E728" s="5">
        <f t="shared" si="12"/>
        <v>-0.31999999999970896</v>
      </c>
      <c r="F728" s="9">
        <v>45308</v>
      </c>
      <c r="G728" s="10">
        <v>330662032</v>
      </c>
      <c r="H728" s="9">
        <v>45296</v>
      </c>
      <c r="I728" s="9">
        <v>45311</v>
      </c>
      <c r="J728" s="8">
        <v>7951</v>
      </c>
      <c r="K728" s="8" t="s">
        <v>31</v>
      </c>
      <c r="L728" s="8" t="s">
        <v>32</v>
      </c>
      <c r="M728" s="8"/>
      <c r="N728" s="8" t="b">
        <v>0</v>
      </c>
      <c r="O728" s="10">
        <v>710974</v>
      </c>
      <c r="P728" s="8" t="s">
        <v>101</v>
      </c>
      <c r="Q728" s="8">
        <v>125763</v>
      </c>
      <c r="R728" s="9">
        <v>45296</v>
      </c>
      <c r="S728" s="8" t="s">
        <v>34</v>
      </c>
      <c r="T728" s="8" t="s">
        <v>40</v>
      </c>
      <c r="U728" s="8" t="s">
        <v>88</v>
      </c>
      <c r="V728" s="8" t="s">
        <v>72</v>
      </c>
      <c r="W728" s="8">
        <v>0</v>
      </c>
    </row>
    <row r="729" spans="1:23" x14ac:dyDescent="0.25">
      <c r="A729" s="4"/>
      <c r="B729" s="4"/>
      <c r="C729" s="4">
        <v>890440</v>
      </c>
      <c r="D729" s="22">
        <v>5133.24</v>
      </c>
      <c r="E729" s="5">
        <f t="shared" si="12"/>
        <v>-0.23999999999978172</v>
      </c>
      <c r="F729" s="9">
        <v>45308</v>
      </c>
      <c r="G729" s="10">
        <v>330662017</v>
      </c>
      <c r="H729" s="9">
        <v>45296</v>
      </c>
      <c r="I729" s="9">
        <v>45311</v>
      </c>
      <c r="J729" s="8">
        <v>5133</v>
      </c>
      <c r="K729" s="8" t="s">
        <v>31</v>
      </c>
      <c r="L729" s="8" t="s">
        <v>32</v>
      </c>
      <c r="M729" s="8"/>
      <c r="N729" s="8" t="b">
        <v>0</v>
      </c>
      <c r="O729" s="10">
        <v>709330</v>
      </c>
      <c r="P729" s="8" t="s">
        <v>166</v>
      </c>
      <c r="Q729" s="8">
        <v>125743</v>
      </c>
      <c r="R729" s="9">
        <v>45296</v>
      </c>
      <c r="S729" s="8" t="s">
        <v>34</v>
      </c>
      <c r="T729" s="8" t="s">
        <v>44</v>
      </c>
      <c r="U729" s="8" t="s">
        <v>58</v>
      </c>
      <c r="V729" s="8" t="s">
        <v>46</v>
      </c>
      <c r="W729" s="8">
        <v>0</v>
      </c>
    </row>
    <row r="730" spans="1:23" x14ac:dyDescent="0.25">
      <c r="A730" s="4"/>
      <c r="B730" s="4"/>
      <c r="C730" s="4">
        <v>890442</v>
      </c>
      <c r="D730" s="22">
        <v>7951.32</v>
      </c>
      <c r="E730" s="5">
        <f t="shared" si="12"/>
        <v>-0.31999999999970896</v>
      </c>
      <c r="F730" s="9">
        <v>45308</v>
      </c>
      <c r="G730" s="10">
        <v>330651055</v>
      </c>
      <c r="H730" s="9">
        <v>45296</v>
      </c>
      <c r="I730" s="9">
        <v>45311</v>
      </c>
      <c r="J730" s="8">
        <v>7951</v>
      </c>
      <c r="K730" s="8" t="s">
        <v>31</v>
      </c>
      <c r="L730" s="8" t="s">
        <v>32</v>
      </c>
      <c r="M730" s="8"/>
      <c r="N730" s="8" t="b">
        <v>0</v>
      </c>
      <c r="O730" s="10">
        <v>710970</v>
      </c>
      <c r="P730" s="8" t="s">
        <v>77</v>
      </c>
      <c r="Q730" s="8">
        <v>118795</v>
      </c>
      <c r="R730" s="9">
        <v>45295</v>
      </c>
      <c r="S730" s="8" t="s">
        <v>34</v>
      </c>
      <c r="T730" s="8" t="s">
        <v>40</v>
      </c>
      <c r="U730" s="8" t="s">
        <v>88</v>
      </c>
      <c r="V730" s="8" t="s">
        <v>72</v>
      </c>
      <c r="W730" s="8">
        <v>0</v>
      </c>
    </row>
    <row r="731" spans="1:23" x14ac:dyDescent="0.25">
      <c r="A731" s="4"/>
      <c r="B731" s="4"/>
      <c r="C731" s="4">
        <v>890445</v>
      </c>
      <c r="D731" s="22">
        <v>7951.32</v>
      </c>
      <c r="E731" s="5">
        <f t="shared" si="12"/>
        <v>-0.31999999999970896</v>
      </c>
      <c r="F731" s="9">
        <v>45308</v>
      </c>
      <c r="G731" s="10">
        <v>330651054</v>
      </c>
      <c r="H731" s="9">
        <v>45296</v>
      </c>
      <c r="I731" s="9">
        <v>45311</v>
      </c>
      <c r="J731" s="8">
        <v>7951</v>
      </c>
      <c r="K731" s="8" t="s">
        <v>31</v>
      </c>
      <c r="L731" s="8" t="s">
        <v>32</v>
      </c>
      <c r="M731" s="8"/>
      <c r="N731" s="8" t="b">
        <v>0</v>
      </c>
      <c r="O731" s="10">
        <v>710972</v>
      </c>
      <c r="P731" s="8" t="s">
        <v>271</v>
      </c>
      <c r="Q731" s="8">
        <v>118809</v>
      </c>
      <c r="R731" s="9">
        <v>45295</v>
      </c>
      <c r="S731" s="8" t="s">
        <v>34</v>
      </c>
      <c r="T731" s="8" t="s">
        <v>40</v>
      </c>
      <c r="U731" s="8" t="s">
        <v>88</v>
      </c>
      <c r="V731" s="8" t="s">
        <v>72</v>
      </c>
      <c r="W731" s="8">
        <v>0</v>
      </c>
    </row>
    <row r="732" spans="1:23" x14ac:dyDescent="0.25">
      <c r="A732" s="4"/>
      <c r="B732" s="4"/>
      <c r="C732" s="4">
        <v>890447</v>
      </c>
      <c r="D732" s="22">
        <v>7951.32</v>
      </c>
      <c r="E732" s="5">
        <f t="shared" si="12"/>
        <v>-0.31999999999970896</v>
      </c>
      <c r="F732" s="9">
        <v>45308</v>
      </c>
      <c r="G732" s="10">
        <v>330651029</v>
      </c>
      <c r="H732" s="9">
        <v>45296</v>
      </c>
      <c r="I732" s="9">
        <v>45311</v>
      </c>
      <c r="J732" s="8">
        <v>7951</v>
      </c>
      <c r="K732" s="8" t="s">
        <v>31</v>
      </c>
      <c r="L732" s="8" t="s">
        <v>32</v>
      </c>
      <c r="M732" s="8"/>
      <c r="N732" s="8" t="b">
        <v>0</v>
      </c>
      <c r="O732" s="10">
        <v>710973</v>
      </c>
      <c r="P732" s="8" t="s">
        <v>172</v>
      </c>
      <c r="Q732" s="8">
        <v>118822</v>
      </c>
      <c r="R732" s="9">
        <v>45295</v>
      </c>
      <c r="S732" s="8" t="s">
        <v>34</v>
      </c>
      <c r="T732" s="8" t="s">
        <v>40</v>
      </c>
      <c r="U732" s="8" t="s">
        <v>88</v>
      </c>
      <c r="V732" s="8" t="s">
        <v>72</v>
      </c>
      <c r="W732" s="8">
        <v>0</v>
      </c>
    </row>
    <row r="733" spans="1:23" x14ac:dyDescent="0.25">
      <c r="A733" s="4"/>
      <c r="B733" s="4"/>
      <c r="C733" s="4">
        <v>890449</v>
      </c>
      <c r="D733" s="22">
        <v>7951.32</v>
      </c>
      <c r="E733" s="5">
        <f t="shared" si="12"/>
        <v>-0.31999999999970896</v>
      </c>
      <c r="F733" s="9">
        <v>45308</v>
      </c>
      <c r="G733" s="10">
        <v>330651028</v>
      </c>
      <c r="H733" s="9">
        <v>45296</v>
      </c>
      <c r="I733" s="9">
        <v>45311</v>
      </c>
      <c r="J733" s="8">
        <v>7951</v>
      </c>
      <c r="K733" s="8" t="s">
        <v>31</v>
      </c>
      <c r="L733" s="8" t="s">
        <v>32</v>
      </c>
      <c r="M733" s="8"/>
      <c r="N733" s="8" t="b">
        <v>0</v>
      </c>
      <c r="O733" s="10">
        <v>710971</v>
      </c>
      <c r="P733" s="8" t="s">
        <v>176</v>
      </c>
      <c r="Q733" s="8">
        <v>118797</v>
      </c>
      <c r="R733" s="9">
        <v>45295</v>
      </c>
      <c r="S733" s="8" t="s">
        <v>34</v>
      </c>
      <c r="T733" s="8" t="s">
        <v>40</v>
      </c>
      <c r="U733" s="8" t="s">
        <v>88</v>
      </c>
      <c r="V733" s="8" t="s">
        <v>72</v>
      </c>
      <c r="W733" s="8">
        <v>0</v>
      </c>
    </row>
    <row r="734" spans="1:23" x14ac:dyDescent="0.25">
      <c r="A734" s="4"/>
      <c r="B734" s="4"/>
      <c r="C734" s="4">
        <v>889978</v>
      </c>
      <c r="D734" s="22">
        <v>7951.32</v>
      </c>
      <c r="E734" s="5">
        <f t="shared" si="12"/>
        <v>-0.31999999999970896</v>
      </c>
      <c r="F734" s="9">
        <v>45308</v>
      </c>
      <c r="G734" s="10">
        <v>330706719</v>
      </c>
      <c r="H734" s="9">
        <v>45299</v>
      </c>
      <c r="I734" s="9">
        <v>45314</v>
      </c>
      <c r="J734" s="8">
        <v>7951</v>
      </c>
      <c r="K734" s="8" t="s">
        <v>31</v>
      </c>
      <c r="L734" s="8" t="s">
        <v>32</v>
      </c>
      <c r="M734" s="8"/>
      <c r="N734" s="8" t="b">
        <v>0</v>
      </c>
      <c r="O734" s="10">
        <v>711889</v>
      </c>
      <c r="P734" s="8" t="s">
        <v>217</v>
      </c>
      <c r="Q734" s="8">
        <v>132598</v>
      </c>
      <c r="R734" s="9">
        <v>45299</v>
      </c>
      <c r="S734" s="8" t="s">
        <v>34</v>
      </c>
      <c r="T734" s="8" t="s">
        <v>40</v>
      </c>
      <c r="U734" s="8" t="s">
        <v>88</v>
      </c>
      <c r="V734" s="8" t="s">
        <v>72</v>
      </c>
      <c r="W734" s="8">
        <v>0</v>
      </c>
    </row>
    <row r="735" spans="1:23" x14ac:dyDescent="0.25">
      <c r="A735" s="4"/>
      <c r="B735" s="4"/>
      <c r="C735" s="4">
        <v>889976</v>
      </c>
      <c r="D735" s="22">
        <v>5028</v>
      </c>
      <c r="E735" s="5">
        <f t="shared" si="12"/>
        <v>0</v>
      </c>
      <c r="F735" s="9">
        <v>45308</v>
      </c>
      <c r="G735" s="10">
        <v>330704568</v>
      </c>
      <c r="H735" s="9">
        <v>45299</v>
      </c>
      <c r="I735" s="9">
        <v>45314</v>
      </c>
      <c r="J735" s="8">
        <v>5028</v>
      </c>
      <c r="K735" s="8" t="s">
        <v>31</v>
      </c>
      <c r="L735" s="8" t="s">
        <v>32</v>
      </c>
      <c r="M735" s="8"/>
      <c r="N735" s="8" t="b">
        <v>0</v>
      </c>
      <c r="O735" s="10">
        <v>711888</v>
      </c>
      <c r="P735" s="8" t="s">
        <v>230</v>
      </c>
      <c r="Q735" s="8">
        <v>129859</v>
      </c>
      <c r="R735" s="9">
        <v>45299</v>
      </c>
      <c r="S735" s="8" t="s">
        <v>34</v>
      </c>
      <c r="T735" s="8" t="s">
        <v>40</v>
      </c>
      <c r="U735" s="8" t="s">
        <v>84</v>
      </c>
      <c r="V735" s="8" t="s">
        <v>46</v>
      </c>
      <c r="W735" s="8">
        <v>0</v>
      </c>
    </row>
    <row r="736" spans="1:23" x14ac:dyDescent="0.25">
      <c r="A736" s="4"/>
      <c r="B736" s="4"/>
      <c r="C736" s="4">
        <v>889972</v>
      </c>
      <c r="D736" s="22">
        <v>5028</v>
      </c>
      <c r="E736" s="5">
        <f t="shared" si="12"/>
        <v>0</v>
      </c>
      <c r="F736" s="9">
        <v>45308</v>
      </c>
      <c r="G736" s="10">
        <v>330703277</v>
      </c>
      <c r="H736" s="9">
        <v>45299</v>
      </c>
      <c r="I736" s="9">
        <v>45314</v>
      </c>
      <c r="J736" s="8">
        <v>5028</v>
      </c>
      <c r="K736" s="8" t="s">
        <v>31</v>
      </c>
      <c r="L736" s="8" t="s">
        <v>32</v>
      </c>
      <c r="M736" s="8"/>
      <c r="N736" s="8" t="b">
        <v>0</v>
      </c>
      <c r="O736" s="10">
        <v>711886</v>
      </c>
      <c r="P736" s="8" t="s">
        <v>140</v>
      </c>
      <c r="Q736" s="8">
        <v>128707</v>
      </c>
      <c r="R736" s="9">
        <v>45299</v>
      </c>
      <c r="S736" s="8" t="s">
        <v>34</v>
      </c>
      <c r="T736" s="8" t="s">
        <v>40</v>
      </c>
      <c r="U736" s="8" t="s">
        <v>84</v>
      </c>
      <c r="V736" s="8" t="s">
        <v>46</v>
      </c>
      <c r="W736" s="8">
        <v>0</v>
      </c>
    </row>
    <row r="737" spans="1:24" x14ac:dyDescent="0.25">
      <c r="A737" s="4"/>
      <c r="B737" s="4"/>
      <c r="C737" s="4">
        <v>889974</v>
      </c>
      <c r="D737" s="22">
        <v>5028</v>
      </c>
      <c r="E737" s="5">
        <f t="shared" si="12"/>
        <v>0</v>
      </c>
      <c r="F737" s="9">
        <v>45308</v>
      </c>
      <c r="G737" s="10">
        <v>330703218</v>
      </c>
      <c r="H737" s="9">
        <v>45299</v>
      </c>
      <c r="I737" s="9">
        <v>45314</v>
      </c>
      <c r="J737" s="8">
        <v>5028</v>
      </c>
      <c r="K737" s="8" t="s">
        <v>31</v>
      </c>
      <c r="L737" s="8" t="s">
        <v>32</v>
      </c>
      <c r="M737" s="8"/>
      <c r="N737" s="8" t="b">
        <v>0</v>
      </c>
      <c r="O737" s="10">
        <v>711887</v>
      </c>
      <c r="P737" s="8" t="s">
        <v>173</v>
      </c>
      <c r="Q737" s="8">
        <v>128712</v>
      </c>
      <c r="R737" s="9">
        <v>45299</v>
      </c>
      <c r="S737" s="8" t="s">
        <v>34</v>
      </c>
      <c r="T737" s="8" t="s">
        <v>40</v>
      </c>
      <c r="U737" s="8" t="s">
        <v>84</v>
      </c>
      <c r="V737" s="8" t="s">
        <v>46</v>
      </c>
      <c r="W737" s="8">
        <v>0</v>
      </c>
    </row>
    <row r="738" spans="1:24" x14ac:dyDescent="0.25">
      <c r="A738" s="4"/>
      <c r="B738" s="4"/>
      <c r="C738" s="4">
        <v>889969</v>
      </c>
      <c r="D738" s="22">
        <v>5133.24</v>
      </c>
      <c r="E738" s="5">
        <f t="shared" ref="E738:E769" si="13">J738-D738</f>
        <v>-0.23999999999978172</v>
      </c>
      <c r="F738" s="9">
        <v>45308</v>
      </c>
      <c r="G738" s="10">
        <v>330699724</v>
      </c>
      <c r="H738" s="9">
        <v>45299</v>
      </c>
      <c r="I738" s="9">
        <v>45314</v>
      </c>
      <c r="J738" s="8">
        <v>5133</v>
      </c>
      <c r="K738" s="8" t="s">
        <v>31</v>
      </c>
      <c r="L738" s="8" t="s">
        <v>32</v>
      </c>
      <c r="M738" s="8"/>
      <c r="N738" s="8" t="b">
        <v>0</v>
      </c>
      <c r="O738" s="10">
        <v>710535</v>
      </c>
      <c r="P738" s="8" t="s">
        <v>109</v>
      </c>
      <c r="Q738" s="8">
        <v>123595</v>
      </c>
      <c r="R738" s="9">
        <v>45299</v>
      </c>
      <c r="S738" s="8" t="s">
        <v>34</v>
      </c>
      <c r="T738" s="8" t="s">
        <v>44</v>
      </c>
      <c r="U738" s="8" t="s">
        <v>58</v>
      </c>
      <c r="V738" s="8" t="s">
        <v>46</v>
      </c>
      <c r="W738" s="8">
        <v>0</v>
      </c>
    </row>
    <row r="739" spans="1:24" x14ac:dyDescent="0.25">
      <c r="A739" s="4"/>
      <c r="B739" s="4"/>
      <c r="C739" s="4">
        <v>889967</v>
      </c>
      <c r="D739" s="22">
        <v>5133.24</v>
      </c>
      <c r="E739" s="5">
        <f t="shared" si="13"/>
        <v>-0.23999999999978172</v>
      </c>
      <c r="F739" s="9">
        <v>45308</v>
      </c>
      <c r="G739" s="10">
        <v>330699509</v>
      </c>
      <c r="H739" s="9">
        <v>45299</v>
      </c>
      <c r="I739" s="9">
        <v>45314</v>
      </c>
      <c r="J739" s="8">
        <v>5133</v>
      </c>
      <c r="K739" s="8" t="s">
        <v>31</v>
      </c>
      <c r="L739" s="8" t="s">
        <v>32</v>
      </c>
      <c r="M739" s="8"/>
      <c r="N739" s="8" t="b">
        <v>0</v>
      </c>
      <c r="O739" s="10">
        <v>710534</v>
      </c>
      <c r="P739" s="8" t="s">
        <v>346</v>
      </c>
      <c r="Q739" s="8">
        <v>123567</v>
      </c>
      <c r="R739" s="9">
        <v>45299</v>
      </c>
      <c r="S739" s="8" t="s">
        <v>34</v>
      </c>
      <c r="T739" s="8" t="s">
        <v>44</v>
      </c>
      <c r="U739" s="8" t="s">
        <v>58</v>
      </c>
      <c r="V739" s="8" t="s">
        <v>46</v>
      </c>
      <c r="W739" s="8">
        <v>0</v>
      </c>
    </row>
    <row r="740" spans="1:24" x14ac:dyDescent="0.25">
      <c r="A740" s="4"/>
      <c r="B740" s="4"/>
      <c r="C740" s="4">
        <v>890454</v>
      </c>
      <c r="D740" s="22">
        <v>7951.32</v>
      </c>
      <c r="E740" s="5">
        <f t="shared" si="13"/>
        <v>-0.31999999999970896</v>
      </c>
      <c r="F740" s="9">
        <v>45308</v>
      </c>
      <c r="G740" s="10">
        <v>330724544</v>
      </c>
      <c r="H740" s="9">
        <v>45300</v>
      </c>
      <c r="I740" s="9">
        <v>45315</v>
      </c>
      <c r="J740" s="8">
        <v>7951</v>
      </c>
      <c r="K740" s="8" t="s">
        <v>31</v>
      </c>
      <c r="L740" s="8" t="s">
        <v>32</v>
      </c>
      <c r="M740" s="8"/>
      <c r="N740" s="8" t="b">
        <v>0</v>
      </c>
      <c r="O740" s="10">
        <v>711892</v>
      </c>
      <c r="P740" s="8" t="s">
        <v>128</v>
      </c>
      <c r="Q740" s="8">
        <v>158756</v>
      </c>
      <c r="R740" s="9">
        <v>45300</v>
      </c>
      <c r="S740" s="8" t="s">
        <v>34</v>
      </c>
      <c r="T740" s="8" t="s">
        <v>40</v>
      </c>
      <c r="U740" s="8" t="s">
        <v>88</v>
      </c>
      <c r="V740" s="8" t="s">
        <v>72</v>
      </c>
      <c r="W740" s="8">
        <v>0</v>
      </c>
    </row>
    <row r="741" spans="1:24" x14ac:dyDescent="0.25">
      <c r="A741" s="4"/>
      <c r="B741" s="4"/>
      <c r="C741" s="4">
        <v>890523</v>
      </c>
      <c r="D741" s="22">
        <v>6983.36</v>
      </c>
      <c r="E741" s="17">
        <f t="shared" si="13"/>
        <v>-0.35999999999967258</v>
      </c>
      <c r="F741" s="9">
        <v>45308</v>
      </c>
      <c r="G741" s="10">
        <v>330724424</v>
      </c>
      <c r="H741" s="9">
        <v>45300</v>
      </c>
      <c r="I741" s="9">
        <v>45315</v>
      </c>
      <c r="J741" s="8">
        <v>6983</v>
      </c>
      <c r="K741" s="8" t="s">
        <v>31</v>
      </c>
      <c r="L741" s="8" t="s">
        <v>32</v>
      </c>
      <c r="M741" s="8"/>
      <c r="N741" s="8" t="b">
        <v>0</v>
      </c>
      <c r="O741" s="10">
        <v>21197</v>
      </c>
      <c r="P741" s="8" t="s">
        <v>276</v>
      </c>
      <c r="Q741" s="8">
        <v>158780</v>
      </c>
      <c r="R741" s="9">
        <v>45300</v>
      </c>
      <c r="S741" s="8" t="s">
        <v>39</v>
      </c>
      <c r="T741" s="8" t="s">
        <v>40</v>
      </c>
      <c r="U741" s="8" t="s">
        <v>41</v>
      </c>
      <c r="V741" s="8" t="s">
        <v>42</v>
      </c>
      <c r="W741" s="8">
        <v>0</v>
      </c>
      <c r="X741" t="s">
        <v>368</v>
      </c>
    </row>
    <row r="742" spans="1:24" x14ac:dyDescent="0.25">
      <c r="A742" s="4"/>
      <c r="B742" s="4"/>
      <c r="C742" s="4">
        <v>890456</v>
      </c>
      <c r="D742" s="22">
        <v>7951.32</v>
      </c>
      <c r="E742" s="5">
        <f t="shared" si="13"/>
        <v>-0.31999999999970896</v>
      </c>
      <c r="F742" s="9">
        <v>45308</v>
      </c>
      <c r="G742" s="10">
        <v>330724396</v>
      </c>
      <c r="H742" s="9">
        <v>45300</v>
      </c>
      <c r="I742" s="9">
        <v>45315</v>
      </c>
      <c r="J742" s="8">
        <v>7951</v>
      </c>
      <c r="K742" s="8" t="s">
        <v>31</v>
      </c>
      <c r="L742" s="8" t="s">
        <v>32</v>
      </c>
      <c r="M742" s="8"/>
      <c r="N742" s="8" t="b">
        <v>0</v>
      </c>
      <c r="O742" s="10">
        <v>711891</v>
      </c>
      <c r="P742" s="8" t="s">
        <v>103</v>
      </c>
      <c r="Q742" s="8">
        <v>158743</v>
      </c>
      <c r="R742" s="9">
        <v>45300</v>
      </c>
      <c r="S742" s="8" t="s">
        <v>34</v>
      </c>
      <c r="T742" s="8" t="s">
        <v>40</v>
      </c>
      <c r="U742" s="8" t="s">
        <v>88</v>
      </c>
      <c r="V742" s="8" t="s">
        <v>72</v>
      </c>
      <c r="W742" s="8">
        <v>0</v>
      </c>
    </row>
    <row r="743" spans="1:24" x14ac:dyDescent="0.25">
      <c r="A743" s="4"/>
      <c r="B743" s="4"/>
      <c r="C743" s="4">
        <v>890458</v>
      </c>
      <c r="D743" s="22">
        <v>7951.32</v>
      </c>
      <c r="E743" s="5">
        <f t="shared" si="13"/>
        <v>-0.31999999999970896</v>
      </c>
      <c r="F743" s="9">
        <v>45308</v>
      </c>
      <c r="G743" s="10">
        <v>330720313</v>
      </c>
      <c r="H743" s="9">
        <v>45300</v>
      </c>
      <c r="I743" s="9">
        <v>45315</v>
      </c>
      <c r="J743" s="8">
        <v>7951</v>
      </c>
      <c r="K743" s="8" t="s">
        <v>31</v>
      </c>
      <c r="L743" s="8" t="s">
        <v>32</v>
      </c>
      <c r="M743" s="8"/>
      <c r="N743" s="8" t="b">
        <v>0</v>
      </c>
      <c r="O743" s="10">
        <v>711890</v>
      </c>
      <c r="P743" s="8" t="s">
        <v>231</v>
      </c>
      <c r="Q743" s="8">
        <v>151984</v>
      </c>
      <c r="R743" s="9">
        <v>45300</v>
      </c>
      <c r="S743" s="8" t="s">
        <v>34</v>
      </c>
      <c r="T743" s="8" t="s">
        <v>40</v>
      </c>
      <c r="U743" s="8" t="s">
        <v>88</v>
      </c>
      <c r="V743" s="8" t="s">
        <v>72</v>
      </c>
      <c r="W743" s="8">
        <v>0</v>
      </c>
    </row>
    <row r="744" spans="1:24" x14ac:dyDescent="0.25">
      <c r="A744" s="4"/>
      <c r="B744" s="4"/>
      <c r="C744" s="4">
        <v>891221</v>
      </c>
      <c r="D744" s="22">
        <v>7951.32</v>
      </c>
      <c r="E744" s="5">
        <f t="shared" si="13"/>
        <v>-0.31999999999970896</v>
      </c>
      <c r="F744" s="9">
        <v>45308</v>
      </c>
      <c r="G744" s="10">
        <v>330768400</v>
      </c>
      <c r="H744" s="9">
        <v>45302</v>
      </c>
      <c r="I744" s="9">
        <v>45317</v>
      </c>
      <c r="J744" s="8">
        <v>7951</v>
      </c>
      <c r="K744" s="8" t="s">
        <v>31</v>
      </c>
      <c r="L744" s="8" t="s">
        <v>32</v>
      </c>
      <c r="M744" s="8"/>
      <c r="N744" s="8" t="b">
        <v>0</v>
      </c>
      <c r="O744" s="10">
        <v>711894</v>
      </c>
      <c r="P744" s="8" t="s">
        <v>129</v>
      </c>
      <c r="Q744" s="8">
        <v>224272</v>
      </c>
      <c r="R744" s="9">
        <v>45302</v>
      </c>
      <c r="S744" s="8" t="s">
        <v>34</v>
      </c>
      <c r="T744" s="8" t="s">
        <v>40</v>
      </c>
      <c r="U744" s="8" t="s">
        <v>88</v>
      </c>
      <c r="V744" s="8" t="s">
        <v>72</v>
      </c>
      <c r="W744" s="8">
        <v>0</v>
      </c>
      <c r="X744" t="s">
        <v>368</v>
      </c>
    </row>
    <row r="745" spans="1:24" x14ac:dyDescent="0.25">
      <c r="A745" s="4"/>
      <c r="B745" s="4"/>
      <c r="C745" s="4">
        <v>891223</v>
      </c>
      <c r="D745" s="22">
        <v>7951.32</v>
      </c>
      <c r="E745" s="5">
        <f t="shared" si="13"/>
        <v>-0.31999999999970896</v>
      </c>
      <c r="F745" s="9">
        <v>45308</v>
      </c>
      <c r="G745" s="10">
        <v>330768403</v>
      </c>
      <c r="H745" s="9">
        <v>45302</v>
      </c>
      <c r="I745" s="9">
        <v>45317</v>
      </c>
      <c r="J745" s="8">
        <v>7951</v>
      </c>
      <c r="K745" s="8" t="s">
        <v>31</v>
      </c>
      <c r="L745" s="8" t="s">
        <v>32</v>
      </c>
      <c r="M745" s="8"/>
      <c r="N745" s="8" t="b">
        <v>0</v>
      </c>
      <c r="O745" s="10">
        <v>711896</v>
      </c>
      <c r="P745" s="8" t="s">
        <v>67</v>
      </c>
      <c r="Q745" s="8">
        <v>224393</v>
      </c>
      <c r="R745" s="9">
        <v>45302</v>
      </c>
      <c r="S745" s="8" t="s">
        <v>34</v>
      </c>
      <c r="T745" s="8" t="s">
        <v>40</v>
      </c>
      <c r="U745" s="8" t="s">
        <v>88</v>
      </c>
      <c r="V745" s="8" t="s">
        <v>72</v>
      </c>
      <c r="W745" s="8">
        <v>0</v>
      </c>
      <c r="X745" t="s">
        <v>368</v>
      </c>
    </row>
    <row r="746" spans="1:24" x14ac:dyDescent="0.25">
      <c r="A746" s="4"/>
      <c r="B746" s="4"/>
      <c r="C746" s="4">
        <v>891224</v>
      </c>
      <c r="D746" s="22">
        <v>7951.32</v>
      </c>
      <c r="E746" s="5">
        <f t="shared" si="13"/>
        <v>-0.31999999999970896</v>
      </c>
      <c r="F746" s="9">
        <v>45308</v>
      </c>
      <c r="G746" s="10">
        <v>330768454</v>
      </c>
      <c r="H746" s="9">
        <v>45302</v>
      </c>
      <c r="I746" s="9">
        <v>45317</v>
      </c>
      <c r="J746" s="8">
        <v>7951</v>
      </c>
      <c r="K746" s="8" t="s">
        <v>31</v>
      </c>
      <c r="L746" s="8" t="s">
        <v>32</v>
      </c>
      <c r="M746" s="8"/>
      <c r="N746" s="8" t="b">
        <v>0</v>
      </c>
      <c r="O746" s="10">
        <v>711895</v>
      </c>
      <c r="P746" s="8" t="s">
        <v>224</v>
      </c>
      <c r="Q746" s="8">
        <v>224307</v>
      </c>
      <c r="R746" s="9">
        <v>45302</v>
      </c>
      <c r="S746" s="8" t="s">
        <v>34</v>
      </c>
      <c r="T746" s="8" t="s">
        <v>40</v>
      </c>
      <c r="U746" s="8" t="s">
        <v>88</v>
      </c>
      <c r="V746" s="8" t="s">
        <v>72</v>
      </c>
      <c r="W746" s="8">
        <v>0</v>
      </c>
      <c r="X746" t="s">
        <v>368</v>
      </c>
    </row>
    <row r="747" spans="1:24" x14ac:dyDescent="0.25">
      <c r="A747" s="4"/>
      <c r="B747" s="4"/>
      <c r="C747" s="4">
        <v>891225</v>
      </c>
      <c r="D747" s="22">
        <v>7951.32</v>
      </c>
      <c r="E747" s="5">
        <f t="shared" si="13"/>
        <v>-0.31999999999970896</v>
      </c>
      <c r="F747" s="9">
        <v>45308</v>
      </c>
      <c r="G747" s="10">
        <v>330768464</v>
      </c>
      <c r="H747" s="9">
        <v>45302</v>
      </c>
      <c r="I747" s="9">
        <v>45317</v>
      </c>
      <c r="J747" s="8">
        <v>7951</v>
      </c>
      <c r="K747" s="8" t="s">
        <v>31</v>
      </c>
      <c r="L747" s="8" t="s">
        <v>32</v>
      </c>
      <c r="M747" s="8"/>
      <c r="N747" s="8" t="b">
        <v>0</v>
      </c>
      <c r="O747" s="10">
        <v>711893</v>
      </c>
      <c r="P747" s="8" t="s">
        <v>113</v>
      </c>
      <c r="Q747" s="8">
        <v>224251</v>
      </c>
      <c r="R747" s="9">
        <v>45302</v>
      </c>
      <c r="S747" s="8" t="s">
        <v>34</v>
      </c>
      <c r="T747" s="8" t="s">
        <v>40</v>
      </c>
      <c r="U747" s="8" t="s">
        <v>88</v>
      </c>
      <c r="V747" s="8" t="s">
        <v>72</v>
      </c>
      <c r="W747" s="8">
        <v>0</v>
      </c>
      <c r="X747" t="s">
        <v>368</v>
      </c>
    </row>
    <row r="748" spans="1:24" x14ac:dyDescent="0.25">
      <c r="A748" s="4"/>
      <c r="B748" s="4"/>
      <c r="C748" s="4">
        <v>891226</v>
      </c>
      <c r="D748" s="22">
        <v>7951.32</v>
      </c>
      <c r="E748" s="5">
        <f t="shared" si="13"/>
        <v>-0.31999999999970896</v>
      </c>
      <c r="F748" s="9">
        <v>45308</v>
      </c>
      <c r="G748" s="10">
        <v>330770303</v>
      </c>
      <c r="H748" s="9">
        <v>45302</v>
      </c>
      <c r="I748" s="9">
        <v>45317</v>
      </c>
      <c r="J748" s="8">
        <v>7951</v>
      </c>
      <c r="K748" s="8" t="s">
        <v>31</v>
      </c>
      <c r="L748" s="8" t="s">
        <v>32</v>
      </c>
      <c r="M748" s="8"/>
      <c r="N748" s="8" t="b">
        <v>0</v>
      </c>
      <c r="O748" s="10">
        <v>711897</v>
      </c>
      <c r="P748" s="8" t="s">
        <v>66</v>
      </c>
      <c r="Q748" s="8">
        <v>227489</v>
      </c>
      <c r="R748" s="9">
        <v>45302</v>
      </c>
      <c r="S748" s="8" t="s">
        <v>34</v>
      </c>
      <c r="T748" s="8" t="s">
        <v>40</v>
      </c>
      <c r="U748" s="8" t="s">
        <v>88</v>
      </c>
      <c r="V748" s="8" t="s">
        <v>72</v>
      </c>
      <c r="W748" s="8">
        <v>0</v>
      </c>
      <c r="X748" t="s">
        <v>368</v>
      </c>
    </row>
    <row r="749" spans="1:24" x14ac:dyDescent="0.25">
      <c r="A749" s="4"/>
      <c r="B749" s="4"/>
      <c r="C749" s="4">
        <v>891227</v>
      </c>
      <c r="D749" s="22">
        <v>7951.32</v>
      </c>
      <c r="E749" s="5">
        <f t="shared" si="13"/>
        <v>-0.31999999999970896</v>
      </c>
      <c r="F749" s="9">
        <v>45308</v>
      </c>
      <c r="G749" s="10">
        <v>330771102</v>
      </c>
      <c r="H749" s="9">
        <v>45302</v>
      </c>
      <c r="I749" s="9">
        <v>45317</v>
      </c>
      <c r="J749" s="8">
        <v>7951</v>
      </c>
      <c r="K749" s="8" t="s">
        <v>31</v>
      </c>
      <c r="L749" s="8" t="s">
        <v>32</v>
      </c>
      <c r="M749" s="8"/>
      <c r="N749" s="8" t="b">
        <v>0</v>
      </c>
      <c r="O749" s="10">
        <v>711898</v>
      </c>
      <c r="P749" s="8" t="s">
        <v>102</v>
      </c>
      <c r="Q749" s="8">
        <v>227951</v>
      </c>
      <c r="R749" s="9">
        <v>45302</v>
      </c>
      <c r="S749" s="8" t="s">
        <v>34</v>
      </c>
      <c r="T749" s="8" t="s">
        <v>40</v>
      </c>
      <c r="U749" s="8" t="s">
        <v>88</v>
      </c>
      <c r="V749" s="8" t="s">
        <v>72</v>
      </c>
      <c r="W749" s="8">
        <v>0</v>
      </c>
      <c r="X749" t="s">
        <v>368</v>
      </c>
    </row>
    <row r="750" spans="1:24" x14ac:dyDescent="0.25">
      <c r="A750" s="4"/>
      <c r="B750" s="4"/>
      <c r="C750" s="4">
        <v>891229</v>
      </c>
      <c r="D750" s="22">
        <v>7951.32</v>
      </c>
      <c r="E750" s="5">
        <f t="shared" si="13"/>
        <v>-0.31999999999970896</v>
      </c>
      <c r="F750" s="9">
        <v>45308</v>
      </c>
      <c r="G750" s="10">
        <v>330773078</v>
      </c>
      <c r="H750" s="9">
        <v>45302</v>
      </c>
      <c r="I750" s="9">
        <v>45317</v>
      </c>
      <c r="J750" s="8">
        <v>7951</v>
      </c>
      <c r="K750" s="8" t="s">
        <v>31</v>
      </c>
      <c r="L750" s="8" t="s">
        <v>32</v>
      </c>
      <c r="M750" s="8"/>
      <c r="N750" s="8" t="b">
        <v>0</v>
      </c>
      <c r="O750" s="10">
        <v>711899</v>
      </c>
      <c r="P750" s="8" t="s">
        <v>96</v>
      </c>
      <c r="Q750" s="8">
        <v>231135</v>
      </c>
      <c r="R750" s="9">
        <v>45302</v>
      </c>
      <c r="S750" s="8" t="s">
        <v>34</v>
      </c>
      <c r="T750" s="8" t="s">
        <v>40</v>
      </c>
      <c r="U750" s="8" t="s">
        <v>88</v>
      </c>
      <c r="V750" s="8" t="s">
        <v>72</v>
      </c>
      <c r="W750" s="8">
        <v>0</v>
      </c>
      <c r="X750" t="s">
        <v>368</v>
      </c>
    </row>
    <row r="751" spans="1:24" x14ac:dyDescent="0.25">
      <c r="A751" s="4"/>
      <c r="B751" s="4"/>
      <c r="C751" s="4">
        <v>891231</v>
      </c>
      <c r="D751" s="22">
        <v>7951.32</v>
      </c>
      <c r="E751" s="5">
        <f t="shared" si="13"/>
        <v>-0.31999999999970896</v>
      </c>
      <c r="F751" s="9">
        <v>45308</v>
      </c>
      <c r="G751" s="10">
        <v>330773635</v>
      </c>
      <c r="H751" s="9">
        <v>45302</v>
      </c>
      <c r="I751" s="9">
        <v>45317</v>
      </c>
      <c r="J751" s="8">
        <v>7951</v>
      </c>
      <c r="K751" s="8" t="s">
        <v>31</v>
      </c>
      <c r="L751" s="8" t="s">
        <v>32</v>
      </c>
      <c r="M751" s="8"/>
      <c r="N751" s="8" t="b">
        <v>0</v>
      </c>
      <c r="O751" s="10">
        <v>711900</v>
      </c>
      <c r="P751" s="8" t="s">
        <v>98</v>
      </c>
      <c r="Q751" s="8">
        <v>233299</v>
      </c>
      <c r="R751" s="9">
        <v>45302</v>
      </c>
      <c r="S751" s="8" t="s">
        <v>34</v>
      </c>
      <c r="T751" s="8" t="s">
        <v>40</v>
      </c>
      <c r="U751" s="8" t="s">
        <v>88</v>
      </c>
      <c r="V751" s="8" t="s">
        <v>72</v>
      </c>
      <c r="W751" s="8">
        <v>0</v>
      </c>
      <c r="X751" t="s">
        <v>368</v>
      </c>
    </row>
    <row r="752" spans="1:24" x14ac:dyDescent="0.25">
      <c r="A752" s="4"/>
      <c r="B752" s="4"/>
      <c r="C752" s="4">
        <v>890879</v>
      </c>
      <c r="D752" s="22">
        <v>87248</v>
      </c>
      <c r="E752" s="5">
        <f t="shared" si="13"/>
        <v>-8</v>
      </c>
      <c r="F752" s="9">
        <v>45308</v>
      </c>
      <c r="G752" s="10">
        <v>330774092</v>
      </c>
      <c r="H752" s="9">
        <v>45302</v>
      </c>
      <c r="I752" s="9">
        <v>45317</v>
      </c>
      <c r="J752" s="8">
        <v>87240</v>
      </c>
      <c r="K752" s="8" t="s">
        <v>31</v>
      </c>
      <c r="L752" s="8" t="s">
        <v>32</v>
      </c>
      <c r="M752" s="8"/>
      <c r="N752" s="8" t="b">
        <v>0</v>
      </c>
      <c r="O752" s="10">
        <v>712715</v>
      </c>
      <c r="P752" s="8" t="s">
        <v>201</v>
      </c>
      <c r="Q752" s="8">
        <v>234295</v>
      </c>
      <c r="R752" s="9">
        <v>45302</v>
      </c>
      <c r="S752" s="8" t="s">
        <v>34</v>
      </c>
      <c r="T752" s="8" t="s">
        <v>49</v>
      </c>
      <c r="U752" s="8" t="s">
        <v>75</v>
      </c>
      <c r="V752" s="8" t="s">
        <v>46</v>
      </c>
      <c r="W752" s="8">
        <v>0</v>
      </c>
      <c r="X752" t="s">
        <v>368</v>
      </c>
    </row>
    <row r="753" spans="1:24" x14ac:dyDescent="0.25">
      <c r="A753" s="4"/>
      <c r="B753" s="4"/>
      <c r="C753" s="4">
        <v>890977</v>
      </c>
      <c r="D753" s="22">
        <v>6956.08</v>
      </c>
      <c r="E753" s="5">
        <f t="shared" si="13"/>
        <v>0.92000000000007276</v>
      </c>
      <c r="F753" s="9">
        <v>45308</v>
      </c>
      <c r="G753" s="10">
        <v>330789836</v>
      </c>
      <c r="H753" s="9">
        <v>45303</v>
      </c>
      <c r="I753" s="9">
        <v>45318</v>
      </c>
      <c r="J753" s="8">
        <v>6957</v>
      </c>
      <c r="K753" s="8" t="s">
        <v>31</v>
      </c>
      <c r="L753" s="8" t="s">
        <v>32</v>
      </c>
      <c r="M753" s="8"/>
      <c r="N753" s="8" t="b">
        <v>0</v>
      </c>
      <c r="O753" s="10">
        <v>21206</v>
      </c>
      <c r="P753" s="8" t="s">
        <v>63</v>
      </c>
      <c r="Q753" s="8">
        <v>259469</v>
      </c>
      <c r="R753" s="9">
        <v>45303</v>
      </c>
      <c r="S753" s="8" t="s">
        <v>39</v>
      </c>
      <c r="T753" s="8" t="s">
        <v>44</v>
      </c>
      <c r="U753" s="8" t="s">
        <v>41</v>
      </c>
      <c r="V753" s="8" t="s">
        <v>42</v>
      </c>
      <c r="W753" s="8">
        <v>0</v>
      </c>
      <c r="X753" t="s">
        <v>368</v>
      </c>
    </row>
    <row r="754" spans="1:24" x14ac:dyDescent="0.25">
      <c r="A754" s="4"/>
      <c r="B754" s="4"/>
      <c r="C754" s="4">
        <v>891233</v>
      </c>
      <c r="D754" s="22">
        <v>5133.24</v>
      </c>
      <c r="E754" s="5">
        <f t="shared" si="13"/>
        <v>-0.23999999999978172</v>
      </c>
      <c r="F754" s="9">
        <v>45308</v>
      </c>
      <c r="G754" s="10">
        <v>330789833</v>
      </c>
      <c r="H754" s="9">
        <v>45303</v>
      </c>
      <c r="I754" s="9">
        <v>45318</v>
      </c>
      <c r="J754" s="8">
        <v>5133</v>
      </c>
      <c r="K754" s="8" t="s">
        <v>31</v>
      </c>
      <c r="L754" s="8" t="s">
        <v>32</v>
      </c>
      <c r="M754" s="8"/>
      <c r="N754" s="8" t="b">
        <v>0</v>
      </c>
      <c r="O754" s="10">
        <v>709318</v>
      </c>
      <c r="P754" s="8" t="s">
        <v>78</v>
      </c>
      <c r="Q754" s="8">
        <v>259389</v>
      </c>
      <c r="R754" s="9">
        <v>45303</v>
      </c>
      <c r="S754" s="8" t="s">
        <v>34</v>
      </c>
      <c r="T754" s="8" t="s">
        <v>44</v>
      </c>
      <c r="U754" s="8" t="s">
        <v>58</v>
      </c>
      <c r="V754" s="8" t="s">
        <v>46</v>
      </c>
      <c r="W754" s="8">
        <v>0</v>
      </c>
      <c r="X754" t="s">
        <v>368</v>
      </c>
    </row>
    <row r="755" spans="1:24" x14ac:dyDescent="0.25">
      <c r="A755" s="4"/>
      <c r="B755" s="4"/>
      <c r="C755" s="4">
        <v>891234</v>
      </c>
      <c r="D755" s="22">
        <v>5133.24</v>
      </c>
      <c r="E755" s="5">
        <f t="shared" si="13"/>
        <v>-0.23999999999978172</v>
      </c>
      <c r="F755" s="9">
        <v>45308</v>
      </c>
      <c r="G755" s="10">
        <v>330789796</v>
      </c>
      <c r="H755" s="9">
        <v>45303</v>
      </c>
      <c r="I755" s="9">
        <v>45318</v>
      </c>
      <c r="J755" s="8">
        <v>5133</v>
      </c>
      <c r="K755" s="8" t="s">
        <v>31</v>
      </c>
      <c r="L755" s="8" t="s">
        <v>32</v>
      </c>
      <c r="M755" s="8"/>
      <c r="N755" s="8" t="b">
        <v>0</v>
      </c>
      <c r="O755" s="10">
        <v>710526</v>
      </c>
      <c r="P755" s="8" t="s">
        <v>59</v>
      </c>
      <c r="Q755" s="8">
        <v>259340</v>
      </c>
      <c r="R755" s="9">
        <v>45303</v>
      </c>
      <c r="S755" s="8" t="s">
        <v>34</v>
      </c>
      <c r="T755" s="8" t="s">
        <v>44</v>
      </c>
      <c r="U755" s="8" t="s">
        <v>58</v>
      </c>
      <c r="V755" s="8" t="s">
        <v>46</v>
      </c>
      <c r="W755" s="8">
        <v>0</v>
      </c>
      <c r="X755" t="s">
        <v>368</v>
      </c>
    </row>
    <row r="756" spans="1:24" x14ac:dyDescent="0.25">
      <c r="A756" s="4"/>
      <c r="B756" s="4"/>
      <c r="C756" s="4">
        <v>890982</v>
      </c>
      <c r="D756" s="22">
        <v>7749.16</v>
      </c>
      <c r="E756" s="5">
        <f t="shared" si="13"/>
        <v>-0.15999999999985448</v>
      </c>
      <c r="F756" s="9">
        <v>45308</v>
      </c>
      <c r="G756" s="10">
        <v>330789787</v>
      </c>
      <c r="H756" s="9">
        <v>45303</v>
      </c>
      <c r="I756" s="9">
        <v>45318</v>
      </c>
      <c r="J756" s="8">
        <v>7749</v>
      </c>
      <c r="K756" s="8" t="s">
        <v>31</v>
      </c>
      <c r="L756" s="8" t="s">
        <v>32</v>
      </c>
      <c r="M756" s="8"/>
      <c r="N756" s="8" t="b">
        <v>0</v>
      </c>
      <c r="O756" s="10">
        <v>21207</v>
      </c>
      <c r="P756" s="8" t="s">
        <v>55</v>
      </c>
      <c r="Q756" s="8">
        <v>259545</v>
      </c>
      <c r="R756" s="9">
        <v>45303</v>
      </c>
      <c r="S756" s="8" t="s">
        <v>318</v>
      </c>
      <c r="T756" s="8" t="s">
        <v>44</v>
      </c>
      <c r="U756" s="8" t="s">
        <v>319</v>
      </c>
      <c r="V756" s="8" t="s">
        <v>320</v>
      </c>
      <c r="W756" s="8">
        <v>0</v>
      </c>
      <c r="X756" t="s">
        <v>368</v>
      </c>
    </row>
    <row r="757" spans="1:24" x14ac:dyDescent="0.25">
      <c r="A757" s="4"/>
      <c r="B757" s="4"/>
      <c r="C757" s="4">
        <v>891235</v>
      </c>
      <c r="D757" s="22">
        <v>5133.24</v>
      </c>
      <c r="E757" s="5">
        <f t="shared" si="13"/>
        <v>-0.23999999999978172</v>
      </c>
      <c r="F757" s="9">
        <v>45308</v>
      </c>
      <c r="G757" s="10">
        <v>330789786</v>
      </c>
      <c r="H757" s="9">
        <v>45303</v>
      </c>
      <c r="I757" s="9">
        <v>45318</v>
      </c>
      <c r="J757" s="8">
        <v>5133</v>
      </c>
      <c r="K757" s="8" t="s">
        <v>31</v>
      </c>
      <c r="L757" s="8" t="s">
        <v>32</v>
      </c>
      <c r="M757" s="8"/>
      <c r="N757" s="8" t="b">
        <v>0</v>
      </c>
      <c r="O757" s="10">
        <v>710533</v>
      </c>
      <c r="P757" s="8" t="s">
        <v>282</v>
      </c>
      <c r="Q757" s="8">
        <v>259365</v>
      </c>
      <c r="R757" s="9">
        <v>45303</v>
      </c>
      <c r="S757" s="8" t="s">
        <v>34</v>
      </c>
      <c r="T757" s="8" t="s">
        <v>44</v>
      </c>
      <c r="U757" s="8" t="s">
        <v>58</v>
      </c>
      <c r="V757" s="8" t="s">
        <v>46</v>
      </c>
      <c r="W757" s="8">
        <v>0</v>
      </c>
      <c r="X757" t="s">
        <v>368</v>
      </c>
    </row>
    <row r="758" spans="1:24" x14ac:dyDescent="0.25">
      <c r="A758" s="4"/>
      <c r="B758" s="4"/>
      <c r="C758" s="4">
        <v>891236</v>
      </c>
      <c r="D758" s="22">
        <v>5133.24</v>
      </c>
      <c r="E758" s="5">
        <f t="shared" si="13"/>
        <v>-0.23999999999978172</v>
      </c>
      <c r="F758" s="9">
        <v>45308</v>
      </c>
      <c r="G758" s="10">
        <v>330789747</v>
      </c>
      <c r="H758" s="9">
        <v>45303</v>
      </c>
      <c r="I758" s="9">
        <v>45318</v>
      </c>
      <c r="J758" s="8">
        <v>5133</v>
      </c>
      <c r="K758" s="8" t="s">
        <v>31</v>
      </c>
      <c r="L758" s="8" t="s">
        <v>32</v>
      </c>
      <c r="M758" s="8"/>
      <c r="N758" s="8" t="b">
        <v>0</v>
      </c>
      <c r="O758" s="10">
        <v>709334</v>
      </c>
      <c r="P758" s="8" t="s">
        <v>302</v>
      </c>
      <c r="Q758" s="8">
        <v>259422</v>
      </c>
      <c r="R758" s="9">
        <v>45303</v>
      </c>
      <c r="S758" s="8" t="s">
        <v>34</v>
      </c>
      <c r="T758" s="8" t="s">
        <v>44</v>
      </c>
      <c r="U758" s="8" t="s">
        <v>58</v>
      </c>
      <c r="V758" s="8" t="s">
        <v>46</v>
      </c>
      <c r="W758" s="8">
        <v>0</v>
      </c>
      <c r="X758" t="s">
        <v>368</v>
      </c>
    </row>
    <row r="759" spans="1:24" x14ac:dyDescent="0.25">
      <c r="A759" s="4"/>
      <c r="B759" s="4"/>
      <c r="C759" s="4">
        <v>891237</v>
      </c>
      <c r="D759" s="22">
        <v>5133.24</v>
      </c>
      <c r="E759" s="5">
        <f t="shared" si="13"/>
        <v>-0.23999999999978172</v>
      </c>
      <c r="F759" s="9">
        <v>45308</v>
      </c>
      <c r="G759" s="10">
        <v>330789437</v>
      </c>
      <c r="H759" s="9">
        <v>45303</v>
      </c>
      <c r="I759" s="9">
        <v>45318</v>
      </c>
      <c r="J759" s="8">
        <v>5133</v>
      </c>
      <c r="K759" s="8" t="s">
        <v>31</v>
      </c>
      <c r="L759" s="8" t="s">
        <v>32</v>
      </c>
      <c r="M759" s="8"/>
      <c r="N759" s="8" t="b">
        <v>0</v>
      </c>
      <c r="O759" s="10">
        <v>710531</v>
      </c>
      <c r="P759" s="8" t="s">
        <v>348</v>
      </c>
      <c r="Q759" s="8">
        <v>258929</v>
      </c>
      <c r="R759" s="9">
        <v>45303</v>
      </c>
      <c r="S759" s="8" t="s">
        <v>34</v>
      </c>
      <c r="T759" s="8" t="s">
        <v>44</v>
      </c>
      <c r="U759" s="8" t="s">
        <v>58</v>
      </c>
      <c r="V759" s="8" t="s">
        <v>46</v>
      </c>
      <c r="W759" s="8">
        <v>0</v>
      </c>
      <c r="X759" t="s">
        <v>368</v>
      </c>
    </row>
    <row r="760" spans="1:24" x14ac:dyDescent="0.25">
      <c r="A760" s="4"/>
      <c r="B760" s="4"/>
      <c r="C760" s="4">
        <v>891238</v>
      </c>
      <c r="D760" s="22">
        <v>5133.24</v>
      </c>
      <c r="E760" s="5">
        <f t="shared" si="13"/>
        <v>-0.23999999999978172</v>
      </c>
      <c r="F760" s="9">
        <v>45308</v>
      </c>
      <c r="G760" s="10">
        <v>330789431</v>
      </c>
      <c r="H760" s="9">
        <v>45303</v>
      </c>
      <c r="I760" s="9">
        <v>45318</v>
      </c>
      <c r="J760" s="8">
        <v>5133</v>
      </c>
      <c r="K760" s="8" t="s">
        <v>31</v>
      </c>
      <c r="L760" s="8" t="s">
        <v>32</v>
      </c>
      <c r="M760" s="8"/>
      <c r="N760" s="8" t="b">
        <v>0</v>
      </c>
      <c r="O760" s="10">
        <v>710530</v>
      </c>
      <c r="P760" s="8" t="s">
        <v>349</v>
      </c>
      <c r="Q760" s="8">
        <v>258916</v>
      </c>
      <c r="R760" s="9">
        <v>45303</v>
      </c>
      <c r="S760" s="8" t="s">
        <v>34</v>
      </c>
      <c r="T760" s="8" t="s">
        <v>44</v>
      </c>
      <c r="U760" s="8" t="s">
        <v>58</v>
      </c>
      <c r="V760" s="8" t="s">
        <v>46</v>
      </c>
      <c r="W760" s="8">
        <v>0</v>
      </c>
      <c r="X760" t="s">
        <v>368</v>
      </c>
    </row>
    <row r="761" spans="1:24" x14ac:dyDescent="0.25">
      <c r="A761" s="4"/>
      <c r="B761" s="4"/>
      <c r="C761" s="4">
        <v>891056</v>
      </c>
      <c r="D761" s="22">
        <v>5135.4399999999996</v>
      </c>
      <c r="E761" s="5">
        <f t="shared" si="13"/>
        <v>-0.43999999999959982</v>
      </c>
      <c r="F761" s="9">
        <v>45308</v>
      </c>
      <c r="G761" s="10">
        <v>330789399</v>
      </c>
      <c r="H761" s="9">
        <v>45303</v>
      </c>
      <c r="I761" s="9">
        <v>45318</v>
      </c>
      <c r="J761" s="8">
        <v>5135</v>
      </c>
      <c r="K761" s="8" t="s">
        <v>31</v>
      </c>
      <c r="L761" s="8" t="s">
        <v>32</v>
      </c>
      <c r="M761" s="8"/>
      <c r="N761" s="8" t="b">
        <v>0</v>
      </c>
      <c r="O761" s="10">
        <v>702418</v>
      </c>
      <c r="P761" s="8" t="s">
        <v>152</v>
      </c>
      <c r="Q761" s="8">
        <v>258934</v>
      </c>
      <c r="R761" s="9">
        <v>45303</v>
      </c>
      <c r="S761" s="8" t="s">
        <v>180</v>
      </c>
      <c r="T761" s="8" t="s">
        <v>44</v>
      </c>
      <c r="U761" s="8" t="s">
        <v>45</v>
      </c>
      <c r="V761" s="8" t="s">
        <v>46</v>
      </c>
      <c r="W761" s="8">
        <v>0</v>
      </c>
      <c r="X761" t="s">
        <v>368</v>
      </c>
    </row>
    <row r="762" spans="1:24" x14ac:dyDescent="0.25">
      <c r="A762" s="4"/>
      <c r="B762" s="4"/>
      <c r="C762" s="4">
        <v>891517</v>
      </c>
      <c r="D762" s="22">
        <v>39261</v>
      </c>
      <c r="E762" s="5">
        <f t="shared" si="13"/>
        <v>-3</v>
      </c>
      <c r="F762" s="9">
        <v>45308</v>
      </c>
      <c r="G762" s="10">
        <v>330842372</v>
      </c>
      <c r="H762" s="9">
        <v>45307</v>
      </c>
      <c r="I762" s="9">
        <v>45322</v>
      </c>
      <c r="J762" s="8">
        <v>39258</v>
      </c>
      <c r="K762" s="8" t="s">
        <v>31</v>
      </c>
      <c r="L762" s="8" t="s">
        <v>32</v>
      </c>
      <c r="M762" s="8"/>
      <c r="N762" s="8" t="b">
        <v>0</v>
      </c>
      <c r="O762" s="10">
        <v>713697</v>
      </c>
      <c r="P762" s="8" t="s">
        <v>232</v>
      </c>
      <c r="Q762" s="8">
        <v>346665</v>
      </c>
      <c r="R762" s="9">
        <v>45307</v>
      </c>
      <c r="S762" s="8" t="s">
        <v>34</v>
      </c>
      <c r="T762" s="8" t="s">
        <v>49</v>
      </c>
      <c r="U762" s="8" t="s">
        <v>75</v>
      </c>
      <c r="V762" s="8" t="s">
        <v>46</v>
      </c>
      <c r="W762" s="8">
        <v>0</v>
      </c>
    </row>
    <row r="763" spans="1:24" ht="30" x14ac:dyDescent="0.25">
      <c r="A763" s="4"/>
      <c r="B763" s="18" t="s">
        <v>369</v>
      </c>
      <c r="C763" s="18" t="s">
        <v>370</v>
      </c>
      <c r="D763" s="45">
        <f>8204.84+8204.84+8204.84+8204.84+8204.84</f>
        <v>41024.199999999997</v>
      </c>
      <c r="E763" s="5">
        <f t="shared" si="13"/>
        <v>-4.1999999999970896</v>
      </c>
      <c r="F763" s="9">
        <v>45308</v>
      </c>
      <c r="G763" s="10">
        <v>330842186</v>
      </c>
      <c r="H763" s="9">
        <v>45307</v>
      </c>
      <c r="I763" s="9">
        <v>45322</v>
      </c>
      <c r="J763" s="8">
        <v>41020</v>
      </c>
      <c r="K763" s="8" t="s">
        <v>31</v>
      </c>
      <c r="L763" s="8" t="s">
        <v>32</v>
      </c>
      <c r="M763" s="8"/>
      <c r="N763" s="8" t="b">
        <v>0</v>
      </c>
      <c r="O763" s="43" t="s">
        <v>371</v>
      </c>
      <c r="P763" s="8" t="s">
        <v>74</v>
      </c>
      <c r="Q763" s="8">
        <v>346580</v>
      </c>
      <c r="R763" s="9">
        <v>45307</v>
      </c>
      <c r="S763" s="8" t="s">
        <v>148</v>
      </c>
      <c r="T763" s="8" t="s">
        <v>49</v>
      </c>
      <c r="U763" s="8" t="s">
        <v>149</v>
      </c>
      <c r="V763" s="8" t="s">
        <v>150</v>
      </c>
      <c r="W763" s="8">
        <v>0</v>
      </c>
    </row>
    <row r="764" spans="1:24" x14ac:dyDescent="0.25">
      <c r="A764" s="4"/>
      <c r="B764" s="4"/>
      <c r="C764" s="4">
        <v>891561</v>
      </c>
      <c r="D764" s="22">
        <v>5144.24</v>
      </c>
      <c r="E764" s="5">
        <f t="shared" si="13"/>
        <v>0.76000000000021828</v>
      </c>
      <c r="F764" s="9">
        <v>45308</v>
      </c>
      <c r="G764" s="10">
        <v>330832906</v>
      </c>
      <c r="H764" s="9">
        <v>45307</v>
      </c>
      <c r="I764" s="9">
        <v>45322</v>
      </c>
      <c r="J764" s="8">
        <v>5145</v>
      </c>
      <c r="K764" s="8" t="s">
        <v>31</v>
      </c>
      <c r="L764" s="8" t="s">
        <v>32</v>
      </c>
      <c r="M764" s="8"/>
      <c r="N764" s="8" t="b">
        <v>0</v>
      </c>
      <c r="O764" s="10">
        <v>712535</v>
      </c>
      <c r="P764" s="8" t="s">
        <v>124</v>
      </c>
      <c r="Q764" s="8">
        <v>332756</v>
      </c>
      <c r="R764" s="9">
        <v>45307</v>
      </c>
      <c r="S764" s="8" t="s">
        <v>308</v>
      </c>
      <c r="T764" s="8" t="s">
        <v>44</v>
      </c>
      <c r="U764" s="8" t="s">
        <v>309</v>
      </c>
      <c r="V764" s="8" t="s">
        <v>46</v>
      </c>
      <c r="W764" s="8">
        <v>0</v>
      </c>
    </row>
    <row r="765" spans="1:24" x14ac:dyDescent="0.25">
      <c r="A765" s="4"/>
      <c r="B765" s="4"/>
      <c r="C765" s="4">
        <v>891369</v>
      </c>
      <c r="D765" s="22">
        <v>5144.24</v>
      </c>
      <c r="E765" s="5">
        <f t="shared" si="13"/>
        <v>0.76000000000021828</v>
      </c>
      <c r="F765" s="9">
        <v>45308</v>
      </c>
      <c r="G765" s="10">
        <v>330832895</v>
      </c>
      <c r="H765" s="9">
        <v>45307</v>
      </c>
      <c r="I765" s="9">
        <v>45322</v>
      </c>
      <c r="J765" s="8">
        <v>5145</v>
      </c>
      <c r="K765" s="8" t="s">
        <v>31</v>
      </c>
      <c r="L765" s="8" t="s">
        <v>32</v>
      </c>
      <c r="M765" s="8"/>
      <c r="N765" s="8" t="b">
        <v>0</v>
      </c>
      <c r="O765" s="10">
        <v>712532</v>
      </c>
      <c r="P765" s="8" t="s">
        <v>121</v>
      </c>
      <c r="Q765" s="8">
        <v>332722</v>
      </c>
      <c r="R765" s="9">
        <v>45307</v>
      </c>
      <c r="S765" s="8" t="s">
        <v>308</v>
      </c>
      <c r="T765" s="8" t="s">
        <v>44</v>
      </c>
      <c r="U765" s="8" t="s">
        <v>309</v>
      </c>
      <c r="V765" s="8" t="s">
        <v>46</v>
      </c>
      <c r="W765" s="8">
        <v>0</v>
      </c>
    </row>
    <row r="766" spans="1:24" x14ac:dyDescent="0.25">
      <c r="A766" s="4"/>
      <c r="B766" s="4"/>
      <c r="C766" s="4">
        <v>891562</v>
      </c>
      <c r="D766" s="22">
        <v>5144.24</v>
      </c>
      <c r="E766" s="5">
        <f t="shared" si="13"/>
        <v>0.76000000000021828</v>
      </c>
      <c r="F766" s="9">
        <v>45308</v>
      </c>
      <c r="G766" s="10">
        <v>330832883</v>
      </c>
      <c r="H766" s="9">
        <v>45307</v>
      </c>
      <c r="I766" s="9">
        <v>45322</v>
      </c>
      <c r="J766" s="8">
        <v>5145</v>
      </c>
      <c r="K766" s="8" t="s">
        <v>31</v>
      </c>
      <c r="L766" s="8" t="s">
        <v>32</v>
      </c>
      <c r="M766" s="8"/>
      <c r="N766" s="8" t="b">
        <v>0</v>
      </c>
      <c r="O766" s="10">
        <v>712534</v>
      </c>
      <c r="P766" s="8" t="s">
        <v>191</v>
      </c>
      <c r="Q766" s="8">
        <v>332747</v>
      </c>
      <c r="R766" s="9">
        <v>45307</v>
      </c>
      <c r="S766" s="8" t="s">
        <v>308</v>
      </c>
      <c r="T766" s="8" t="s">
        <v>44</v>
      </c>
      <c r="U766" s="8" t="s">
        <v>309</v>
      </c>
      <c r="V766" s="8" t="s">
        <v>46</v>
      </c>
      <c r="W766" s="8">
        <v>0</v>
      </c>
    </row>
    <row r="767" spans="1:24" x14ac:dyDescent="0.25">
      <c r="A767" s="4"/>
      <c r="B767" s="4"/>
      <c r="C767" s="4">
        <v>891563</v>
      </c>
      <c r="D767" s="22">
        <v>5144.24</v>
      </c>
      <c r="E767" s="5">
        <f t="shared" si="13"/>
        <v>0.76000000000021828</v>
      </c>
      <c r="F767" s="9">
        <v>45308</v>
      </c>
      <c r="G767" s="10">
        <v>330832874</v>
      </c>
      <c r="H767" s="9">
        <v>45307</v>
      </c>
      <c r="I767" s="9">
        <v>45322</v>
      </c>
      <c r="J767" s="8">
        <v>5145</v>
      </c>
      <c r="K767" s="8" t="s">
        <v>31</v>
      </c>
      <c r="L767" s="8" t="s">
        <v>32</v>
      </c>
      <c r="M767" s="8"/>
      <c r="N767" s="8" t="b">
        <v>0</v>
      </c>
      <c r="O767" s="10">
        <v>712533</v>
      </c>
      <c r="P767" s="8" t="s">
        <v>194</v>
      </c>
      <c r="Q767" s="8">
        <v>332731</v>
      </c>
      <c r="R767" s="9">
        <v>45307</v>
      </c>
      <c r="S767" s="8" t="s">
        <v>308</v>
      </c>
      <c r="T767" s="8" t="s">
        <v>44</v>
      </c>
      <c r="U767" s="8" t="s">
        <v>309</v>
      </c>
      <c r="V767" s="8" t="s">
        <v>46</v>
      </c>
      <c r="W767" s="8">
        <v>0</v>
      </c>
    </row>
    <row r="768" spans="1:24" x14ac:dyDescent="0.25">
      <c r="A768" s="4"/>
      <c r="B768" s="4"/>
      <c r="C768" s="4">
        <v>891365</v>
      </c>
      <c r="D768" s="22">
        <v>5135.4399999999996</v>
      </c>
      <c r="E768" s="5">
        <f t="shared" si="13"/>
        <v>-0.43999999999959982</v>
      </c>
      <c r="F768" s="9">
        <v>45308</v>
      </c>
      <c r="G768" s="10">
        <v>330832745</v>
      </c>
      <c r="H768" s="9">
        <v>45307</v>
      </c>
      <c r="I768" s="9">
        <v>45322</v>
      </c>
      <c r="J768" s="8">
        <v>5135</v>
      </c>
      <c r="K768" s="8" t="s">
        <v>31</v>
      </c>
      <c r="L768" s="8" t="s">
        <v>32</v>
      </c>
      <c r="M768" s="8"/>
      <c r="N768" s="8" t="b">
        <v>0</v>
      </c>
      <c r="O768" s="10">
        <v>710350</v>
      </c>
      <c r="P768" s="8" t="s">
        <v>212</v>
      </c>
      <c r="Q768" s="8">
        <v>332717</v>
      </c>
      <c r="R768" s="9">
        <v>45307</v>
      </c>
      <c r="S768" s="8" t="s">
        <v>180</v>
      </c>
      <c r="T768" s="8" t="s">
        <v>44</v>
      </c>
      <c r="U768" s="8" t="s">
        <v>45</v>
      </c>
      <c r="V768" s="8" t="s">
        <v>46</v>
      </c>
      <c r="W768" s="8">
        <v>0</v>
      </c>
    </row>
    <row r="769" spans="1:23" x14ac:dyDescent="0.25">
      <c r="A769" s="4"/>
      <c r="B769" s="4"/>
      <c r="C769" s="4">
        <v>891564</v>
      </c>
      <c r="D769" s="22">
        <v>5133.24</v>
      </c>
      <c r="E769" s="5">
        <f t="shared" si="13"/>
        <v>-0.23999999999978172</v>
      </c>
      <c r="F769" s="9">
        <v>45308</v>
      </c>
      <c r="G769" s="10">
        <v>330832681</v>
      </c>
      <c r="H769" s="9">
        <v>45307</v>
      </c>
      <c r="I769" s="9">
        <v>45322</v>
      </c>
      <c r="J769" s="8">
        <v>5133</v>
      </c>
      <c r="K769" s="8" t="s">
        <v>31</v>
      </c>
      <c r="L769" s="8" t="s">
        <v>32</v>
      </c>
      <c r="M769" s="8"/>
      <c r="N769" s="8" t="b">
        <v>0</v>
      </c>
      <c r="O769" s="10">
        <v>709324</v>
      </c>
      <c r="P769" s="8" t="s">
        <v>321</v>
      </c>
      <c r="Q769" s="8">
        <v>332712</v>
      </c>
      <c r="R769" s="9">
        <v>45307</v>
      </c>
      <c r="S769" s="8" t="s">
        <v>34</v>
      </c>
      <c r="T769" s="8" t="s">
        <v>44</v>
      </c>
      <c r="U769" s="8" t="s">
        <v>58</v>
      </c>
      <c r="V769" s="8" t="s">
        <v>46</v>
      </c>
      <c r="W769" s="8">
        <v>0</v>
      </c>
    </row>
    <row r="770" spans="1:23" x14ac:dyDescent="0.25">
      <c r="A770" s="4">
        <v>2</v>
      </c>
      <c r="B770" s="4" t="s">
        <v>343</v>
      </c>
      <c r="C770" s="4"/>
      <c r="D770" s="4"/>
      <c r="E770" s="5">
        <f t="shared" ref="E770:E799" si="14">J770-D770</f>
        <v>4362</v>
      </c>
      <c r="F770" s="44" t="s">
        <v>251</v>
      </c>
      <c r="G770" s="10">
        <v>330830841</v>
      </c>
      <c r="H770" s="9">
        <v>45307</v>
      </c>
      <c r="I770" s="9">
        <v>45322</v>
      </c>
      <c r="J770" s="8">
        <v>4362</v>
      </c>
      <c r="K770" s="8" t="s">
        <v>31</v>
      </c>
      <c r="L770" s="8" t="s">
        <v>32</v>
      </c>
      <c r="M770" s="8"/>
      <c r="N770" s="8" t="b">
        <v>0</v>
      </c>
      <c r="O770" s="10"/>
      <c r="P770" s="8" t="s">
        <v>372</v>
      </c>
      <c r="Q770" s="8">
        <v>327925</v>
      </c>
      <c r="R770" s="9">
        <v>45307</v>
      </c>
      <c r="S770" s="8" t="s">
        <v>34</v>
      </c>
      <c r="T770" s="8" t="s">
        <v>49</v>
      </c>
      <c r="U770" s="8" t="s">
        <v>75</v>
      </c>
      <c r="V770" s="8" t="s">
        <v>46</v>
      </c>
      <c r="W770" s="8">
        <v>0</v>
      </c>
    </row>
    <row r="771" spans="1:23" x14ac:dyDescent="0.25">
      <c r="A771" s="4"/>
      <c r="B771" s="4"/>
      <c r="C771" s="4">
        <v>891305</v>
      </c>
      <c r="D771" s="22">
        <v>9226.32</v>
      </c>
      <c r="E771" s="5">
        <f t="shared" si="14"/>
        <v>0.68000000000029104</v>
      </c>
      <c r="F771" s="9">
        <v>45308</v>
      </c>
      <c r="G771" s="10">
        <v>330821438</v>
      </c>
      <c r="H771" s="9">
        <v>45307</v>
      </c>
      <c r="I771" s="9">
        <v>45322</v>
      </c>
      <c r="J771" s="8">
        <v>9227</v>
      </c>
      <c r="K771" s="8" t="s">
        <v>31</v>
      </c>
      <c r="L771" s="8" t="s">
        <v>32</v>
      </c>
      <c r="M771" s="8"/>
      <c r="N771" s="8" t="b">
        <v>0</v>
      </c>
      <c r="O771" s="10">
        <v>709990</v>
      </c>
      <c r="P771" s="8" t="s">
        <v>202</v>
      </c>
      <c r="Q771" s="8">
        <v>312384</v>
      </c>
      <c r="R771" s="9">
        <v>45306</v>
      </c>
      <c r="S771" s="8" t="s">
        <v>130</v>
      </c>
      <c r="T771" s="8" t="s">
        <v>40</v>
      </c>
      <c r="U771" s="8" t="s">
        <v>131</v>
      </c>
      <c r="V771" s="8" t="s">
        <v>132</v>
      </c>
      <c r="W771" s="8">
        <v>0</v>
      </c>
    </row>
    <row r="772" spans="1:23" x14ac:dyDescent="0.25">
      <c r="A772" s="4"/>
      <c r="B772" s="4"/>
      <c r="C772" s="4">
        <v>891290</v>
      </c>
      <c r="D772" s="22">
        <v>7775.12</v>
      </c>
      <c r="E772" s="5">
        <f t="shared" si="14"/>
        <v>-0.11999999999989086</v>
      </c>
      <c r="F772" s="9">
        <v>45308</v>
      </c>
      <c r="G772" s="10">
        <v>330821166</v>
      </c>
      <c r="H772" s="9">
        <v>45307</v>
      </c>
      <c r="I772" s="9">
        <v>45322</v>
      </c>
      <c r="J772" s="8">
        <v>7775</v>
      </c>
      <c r="K772" s="8" t="s">
        <v>31</v>
      </c>
      <c r="L772" s="8" t="s">
        <v>32</v>
      </c>
      <c r="M772" s="8"/>
      <c r="N772" s="8" t="b">
        <v>0</v>
      </c>
      <c r="O772" s="10">
        <v>21211</v>
      </c>
      <c r="P772" s="8" t="s">
        <v>83</v>
      </c>
      <c r="Q772" s="8">
        <v>312279</v>
      </c>
      <c r="R772" s="9">
        <v>45306</v>
      </c>
      <c r="S772" s="8" t="s">
        <v>318</v>
      </c>
      <c r="T772" s="8" t="s">
        <v>40</v>
      </c>
      <c r="U772" s="8" t="s">
        <v>319</v>
      </c>
      <c r="V772" s="8" t="s">
        <v>320</v>
      </c>
      <c r="W772" s="8">
        <v>0</v>
      </c>
    </row>
    <row r="773" spans="1:23" x14ac:dyDescent="0.25">
      <c r="A773" s="4"/>
      <c r="B773" s="4"/>
      <c r="C773" s="4">
        <v>891565</v>
      </c>
      <c r="D773" s="22">
        <v>8029.88</v>
      </c>
      <c r="E773" s="5">
        <f t="shared" si="14"/>
        <v>0.11999999999989086</v>
      </c>
      <c r="F773" s="9">
        <v>45308</v>
      </c>
      <c r="G773" s="10">
        <v>330819664</v>
      </c>
      <c r="H773" s="9">
        <v>45307</v>
      </c>
      <c r="I773" s="9">
        <v>45322</v>
      </c>
      <c r="J773" s="8">
        <v>8030</v>
      </c>
      <c r="K773" s="8" t="s">
        <v>31</v>
      </c>
      <c r="L773" s="8" t="s">
        <v>32</v>
      </c>
      <c r="M773" s="8"/>
      <c r="N773" s="8" t="b">
        <v>0</v>
      </c>
      <c r="O773" s="10">
        <v>713110</v>
      </c>
      <c r="P773" s="8" t="s">
        <v>164</v>
      </c>
      <c r="Q773" s="8">
        <v>310019</v>
      </c>
      <c r="R773" s="9">
        <v>45306</v>
      </c>
      <c r="S773" s="8" t="s">
        <v>34</v>
      </c>
      <c r="T773" s="8" t="s">
        <v>40</v>
      </c>
      <c r="U773" s="8" t="s">
        <v>157</v>
      </c>
      <c r="V773" s="8" t="s">
        <v>158</v>
      </c>
      <c r="W773" s="8">
        <v>0</v>
      </c>
    </row>
    <row r="774" spans="1:23" x14ac:dyDescent="0.25">
      <c r="A774" s="4"/>
      <c r="B774" s="4"/>
      <c r="C774" s="4">
        <v>891241</v>
      </c>
      <c r="D774" s="22">
        <v>9226.32</v>
      </c>
      <c r="E774" s="5">
        <f t="shared" si="14"/>
        <v>0.68000000000029104</v>
      </c>
      <c r="F774" s="9">
        <v>45308</v>
      </c>
      <c r="G774" s="10">
        <v>330818834</v>
      </c>
      <c r="H774" s="9">
        <v>45307</v>
      </c>
      <c r="I774" s="9">
        <v>45322</v>
      </c>
      <c r="J774" s="8">
        <v>9227</v>
      </c>
      <c r="K774" s="8" t="s">
        <v>31</v>
      </c>
      <c r="L774" s="8" t="s">
        <v>32</v>
      </c>
      <c r="M774" s="8"/>
      <c r="N774" s="8" t="b">
        <v>0</v>
      </c>
      <c r="O774" s="10">
        <v>709989</v>
      </c>
      <c r="P774" s="8" t="s">
        <v>218</v>
      </c>
      <c r="Q774" s="8">
        <v>308211</v>
      </c>
      <c r="R774" s="9">
        <v>45306</v>
      </c>
      <c r="S774" s="8" t="s">
        <v>130</v>
      </c>
      <c r="T774" s="8" t="s">
        <v>40</v>
      </c>
      <c r="U774" s="8" t="s">
        <v>131</v>
      </c>
      <c r="V774" s="8" t="s">
        <v>132</v>
      </c>
      <c r="W774" s="8">
        <v>0</v>
      </c>
    </row>
    <row r="775" spans="1:23" x14ac:dyDescent="0.25">
      <c r="A775" s="4"/>
      <c r="B775" s="4"/>
      <c r="C775" s="4">
        <v>891566</v>
      </c>
      <c r="D775" s="22">
        <v>7951.32</v>
      </c>
      <c r="E775" s="5">
        <f t="shared" si="14"/>
        <v>-0.31999999999970896</v>
      </c>
      <c r="F775" s="9">
        <v>45308</v>
      </c>
      <c r="G775" s="10">
        <v>330808363</v>
      </c>
      <c r="H775" s="9">
        <v>45307</v>
      </c>
      <c r="I775" s="9">
        <v>45322</v>
      </c>
      <c r="J775" s="8">
        <v>7951</v>
      </c>
      <c r="K775" s="8" t="s">
        <v>31</v>
      </c>
      <c r="L775" s="8" t="s">
        <v>32</v>
      </c>
      <c r="M775" s="8"/>
      <c r="N775" s="8" t="b">
        <v>0</v>
      </c>
      <c r="O775" s="10">
        <v>711906</v>
      </c>
      <c r="P775" s="8" t="s">
        <v>117</v>
      </c>
      <c r="Q775" s="8">
        <v>288466</v>
      </c>
      <c r="R775" s="9">
        <v>45305</v>
      </c>
      <c r="S775" s="8" t="s">
        <v>34</v>
      </c>
      <c r="T775" s="8" t="s">
        <v>40</v>
      </c>
      <c r="U775" s="8" t="s">
        <v>88</v>
      </c>
      <c r="V775" s="8" t="s">
        <v>72</v>
      </c>
      <c r="W775" s="8">
        <v>0</v>
      </c>
    </row>
    <row r="776" spans="1:23" x14ac:dyDescent="0.25">
      <c r="A776" s="4"/>
      <c r="B776" s="4"/>
      <c r="C776" s="4">
        <v>891567</v>
      </c>
      <c r="D776" s="22">
        <v>7951.32</v>
      </c>
      <c r="E776" s="5">
        <f t="shared" si="14"/>
        <v>-0.31999999999970896</v>
      </c>
      <c r="F776" s="9">
        <v>45308</v>
      </c>
      <c r="G776" s="10">
        <v>330808360</v>
      </c>
      <c r="H776" s="9">
        <v>45307</v>
      </c>
      <c r="I776" s="9">
        <v>45322</v>
      </c>
      <c r="J776" s="8">
        <v>7951</v>
      </c>
      <c r="K776" s="8" t="s">
        <v>31</v>
      </c>
      <c r="L776" s="8" t="s">
        <v>32</v>
      </c>
      <c r="M776" s="8"/>
      <c r="N776" s="8" t="b">
        <v>0</v>
      </c>
      <c r="O776" s="10">
        <v>711904</v>
      </c>
      <c r="P776" s="8" t="s">
        <v>167</v>
      </c>
      <c r="Q776" s="8">
        <v>288463</v>
      </c>
      <c r="R776" s="9">
        <v>45305</v>
      </c>
      <c r="S776" s="8" t="s">
        <v>34</v>
      </c>
      <c r="T776" s="8" t="s">
        <v>40</v>
      </c>
      <c r="U776" s="8" t="s">
        <v>88</v>
      </c>
      <c r="V776" s="8" t="s">
        <v>72</v>
      </c>
      <c r="W776" s="8">
        <v>0</v>
      </c>
    </row>
    <row r="777" spans="1:23" x14ac:dyDescent="0.25">
      <c r="A777" s="4"/>
      <c r="B777" s="4"/>
      <c r="C777" s="4">
        <v>891568</v>
      </c>
      <c r="D777" s="22">
        <v>7951.32</v>
      </c>
      <c r="E777" s="5">
        <f t="shared" si="14"/>
        <v>-0.31999999999970896</v>
      </c>
      <c r="F777" s="9">
        <v>45308</v>
      </c>
      <c r="G777" s="10">
        <v>330808356</v>
      </c>
      <c r="H777" s="9">
        <v>45307</v>
      </c>
      <c r="I777" s="9">
        <v>45322</v>
      </c>
      <c r="J777" s="8">
        <v>7951</v>
      </c>
      <c r="K777" s="8" t="s">
        <v>31</v>
      </c>
      <c r="L777" s="8" t="s">
        <v>32</v>
      </c>
      <c r="M777" s="8"/>
      <c r="N777" s="8" t="b">
        <v>0</v>
      </c>
      <c r="O777" s="10">
        <v>711902</v>
      </c>
      <c r="P777" s="8" t="s">
        <v>80</v>
      </c>
      <c r="Q777" s="8">
        <v>288424</v>
      </c>
      <c r="R777" s="9">
        <v>45304</v>
      </c>
      <c r="S777" s="8" t="s">
        <v>34</v>
      </c>
      <c r="T777" s="8" t="s">
        <v>40</v>
      </c>
      <c r="U777" s="8" t="s">
        <v>88</v>
      </c>
      <c r="V777" s="8" t="s">
        <v>72</v>
      </c>
      <c r="W777" s="8">
        <v>0</v>
      </c>
    </row>
    <row r="778" spans="1:23" x14ac:dyDescent="0.25">
      <c r="A778" s="4"/>
      <c r="B778" s="4"/>
      <c r="C778" s="4">
        <v>891569</v>
      </c>
      <c r="D778" s="22">
        <v>7951.32</v>
      </c>
      <c r="E778" s="5">
        <f t="shared" si="14"/>
        <v>-0.31999999999970896</v>
      </c>
      <c r="F778" s="9">
        <v>45308</v>
      </c>
      <c r="G778" s="10">
        <v>330808353</v>
      </c>
      <c r="H778" s="9">
        <v>45307</v>
      </c>
      <c r="I778" s="9">
        <v>45322</v>
      </c>
      <c r="J778" s="8">
        <v>7951</v>
      </c>
      <c r="K778" s="8" t="s">
        <v>31</v>
      </c>
      <c r="L778" s="8" t="s">
        <v>32</v>
      </c>
      <c r="M778" s="8"/>
      <c r="N778" s="8" t="b">
        <v>0</v>
      </c>
      <c r="O778" s="10">
        <v>711903</v>
      </c>
      <c r="P778" s="8" t="s">
        <v>135</v>
      </c>
      <c r="Q778" s="8">
        <v>288427</v>
      </c>
      <c r="R778" s="9">
        <v>45304</v>
      </c>
      <c r="S778" s="8" t="s">
        <v>34</v>
      </c>
      <c r="T778" s="8" t="s">
        <v>40</v>
      </c>
      <c r="U778" s="8" t="s">
        <v>88</v>
      </c>
      <c r="V778" s="8" t="s">
        <v>72</v>
      </c>
      <c r="W778" s="8">
        <v>0</v>
      </c>
    </row>
    <row r="779" spans="1:23" x14ac:dyDescent="0.25">
      <c r="A779" s="4"/>
      <c r="B779" s="4"/>
      <c r="C779" s="4">
        <v>891570</v>
      </c>
      <c r="D779" s="22">
        <v>7951.32</v>
      </c>
      <c r="E779" s="5">
        <f t="shared" si="14"/>
        <v>-0.31999999999970896</v>
      </c>
      <c r="F779" s="9">
        <v>45308</v>
      </c>
      <c r="G779" s="10">
        <v>330808349</v>
      </c>
      <c r="H779" s="9">
        <v>45307</v>
      </c>
      <c r="I779" s="9">
        <v>45322</v>
      </c>
      <c r="J779" s="8">
        <v>7951</v>
      </c>
      <c r="K779" s="8" t="s">
        <v>31</v>
      </c>
      <c r="L779" s="8" t="s">
        <v>32</v>
      </c>
      <c r="M779" s="8"/>
      <c r="N779" s="8" t="b">
        <v>0</v>
      </c>
      <c r="O779" s="10">
        <v>711901</v>
      </c>
      <c r="P779" s="8" t="s">
        <v>323</v>
      </c>
      <c r="Q779" s="8">
        <v>288422</v>
      </c>
      <c r="R779" s="9">
        <v>45304</v>
      </c>
      <c r="S779" s="8" t="s">
        <v>34</v>
      </c>
      <c r="T779" s="8" t="s">
        <v>40</v>
      </c>
      <c r="U779" s="8" t="s">
        <v>88</v>
      </c>
      <c r="V779" s="8" t="s">
        <v>72</v>
      </c>
      <c r="W779" s="8">
        <v>0</v>
      </c>
    </row>
    <row r="780" spans="1:23" x14ac:dyDescent="0.25">
      <c r="A780" s="4"/>
      <c r="B780" s="4"/>
      <c r="C780" s="4">
        <v>891571</v>
      </c>
      <c r="D780" s="22">
        <v>7951.32</v>
      </c>
      <c r="E780" s="5">
        <f t="shared" si="14"/>
        <v>-0.31999999999970896</v>
      </c>
      <c r="F780" s="9">
        <v>45308</v>
      </c>
      <c r="G780" s="10">
        <v>330808331</v>
      </c>
      <c r="H780" s="9">
        <v>45307</v>
      </c>
      <c r="I780" s="9">
        <v>45322</v>
      </c>
      <c r="J780" s="8">
        <v>7951</v>
      </c>
      <c r="K780" s="8" t="s">
        <v>31</v>
      </c>
      <c r="L780" s="8" t="s">
        <v>32</v>
      </c>
      <c r="M780" s="8"/>
      <c r="N780" s="8" t="b">
        <v>0</v>
      </c>
      <c r="O780" s="10">
        <v>711905</v>
      </c>
      <c r="P780" s="8" t="s">
        <v>156</v>
      </c>
      <c r="Q780" s="8">
        <v>288464</v>
      </c>
      <c r="R780" s="9">
        <v>45305</v>
      </c>
      <c r="S780" s="8" t="s">
        <v>34</v>
      </c>
      <c r="T780" s="8" t="s">
        <v>40</v>
      </c>
      <c r="U780" s="8" t="s">
        <v>88</v>
      </c>
      <c r="V780" s="8" t="s">
        <v>72</v>
      </c>
      <c r="W780" s="8">
        <v>0</v>
      </c>
    </row>
    <row r="781" spans="1:23" x14ac:dyDescent="0.25">
      <c r="A781" s="4"/>
      <c r="B781" s="4"/>
      <c r="C781" s="4">
        <v>891927</v>
      </c>
      <c r="D781" s="22">
        <v>5133.24</v>
      </c>
      <c r="E781" s="5">
        <f t="shared" si="14"/>
        <v>-0.23999999999978172</v>
      </c>
      <c r="F781" s="9">
        <v>45321</v>
      </c>
      <c r="G781" s="10">
        <v>330851169</v>
      </c>
      <c r="H781" s="9">
        <v>45308</v>
      </c>
      <c r="I781" s="9">
        <v>45323</v>
      </c>
      <c r="J781" s="8">
        <v>5133</v>
      </c>
      <c r="K781" s="8" t="s">
        <v>31</v>
      </c>
      <c r="L781" s="8" t="s">
        <v>32</v>
      </c>
      <c r="M781" s="8"/>
      <c r="N781" s="8" t="b">
        <v>0</v>
      </c>
      <c r="O781" s="10">
        <v>712598</v>
      </c>
      <c r="P781" s="8" t="s">
        <v>54</v>
      </c>
      <c r="Q781" s="8">
        <v>359872</v>
      </c>
      <c r="R781" s="9">
        <v>45308</v>
      </c>
      <c r="S781" s="8" t="s">
        <v>34</v>
      </c>
      <c r="T781" s="8" t="s">
        <v>44</v>
      </c>
      <c r="U781" s="8" t="s">
        <v>58</v>
      </c>
      <c r="V781" s="8" t="s">
        <v>46</v>
      </c>
      <c r="W781" s="8">
        <v>0</v>
      </c>
    </row>
    <row r="782" spans="1:23" x14ac:dyDescent="0.25">
      <c r="A782" s="4"/>
      <c r="B782" s="4"/>
      <c r="C782" s="4">
        <v>891928</v>
      </c>
      <c r="D782" s="22">
        <v>5133.24</v>
      </c>
      <c r="E782" s="5">
        <f t="shared" si="14"/>
        <v>-0.23999999999978172</v>
      </c>
      <c r="F782" s="9">
        <v>45321</v>
      </c>
      <c r="G782" s="10">
        <v>330851108</v>
      </c>
      <c r="H782" s="9">
        <v>45308</v>
      </c>
      <c r="I782" s="9">
        <v>45323</v>
      </c>
      <c r="J782" s="8">
        <v>5133</v>
      </c>
      <c r="K782" s="8" t="s">
        <v>31</v>
      </c>
      <c r="L782" s="8" t="s">
        <v>32</v>
      </c>
      <c r="M782" s="8"/>
      <c r="N782" s="8" t="b">
        <v>0</v>
      </c>
      <c r="O782" s="10">
        <v>710536</v>
      </c>
      <c r="P782" s="8" t="s">
        <v>298</v>
      </c>
      <c r="Q782" s="8">
        <v>359842</v>
      </c>
      <c r="R782" s="9">
        <v>45308</v>
      </c>
      <c r="S782" s="8" t="s">
        <v>34</v>
      </c>
      <c r="T782" s="8" t="s">
        <v>44</v>
      </c>
      <c r="U782" s="8" t="s">
        <v>58</v>
      </c>
      <c r="V782" s="8" t="s">
        <v>46</v>
      </c>
      <c r="W782" s="8">
        <v>0</v>
      </c>
    </row>
    <row r="783" spans="1:23" x14ac:dyDescent="0.25">
      <c r="A783" s="4"/>
      <c r="B783" s="4"/>
      <c r="C783" s="4">
        <v>891930</v>
      </c>
      <c r="D783" s="22">
        <v>5133.24</v>
      </c>
      <c r="E783" s="5">
        <f t="shared" si="14"/>
        <v>-0.23999999999978172</v>
      </c>
      <c r="F783" s="9">
        <v>45321</v>
      </c>
      <c r="G783" s="10">
        <v>330851105</v>
      </c>
      <c r="H783" s="9">
        <v>45308</v>
      </c>
      <c r="I783" s="9">
        <v>45323</v>
      </c>
      <c r="J783" s="8">
        <v>5133</v>
      </c>
      <c r="K783" s="8" t="s">
        <v>31</v>
      </c>
      <c r="L783" s="8" t="s">
        <v>32</v>
      </c>
      <c r="M783" s="8"/>
      <c r="N783" s="8" t="b">
        <v>0</v>
      </c>
      <c r="O783" s="10">
        <v>709332</v>
      </c>
      <c r="P783" s="8" t="s">
        <v>179</v>
      </c>
      <c r="Q783" s="8">
        <v>359863</v>
      </c>
      <c r="R783" s="9">
        <v>45308</v>
      </c>
      <c r="S783" s="8" t="s">
        <v>34</v>
      </c>
      <c r="T783" s="8" t="s">
        <v>44</v>
      </c>
      <c r="U783" s="8" t="s">
        <v>58</v>
      </c>
      <c r="V783" s="8" t="s">
        <v>46</v>
      </c>
      <c r="W783" s="8">
        <v>0</v>
      </c>
    </row>
    <row r="784" spans="1:23" x14ac:dyDescent="0.25">
      <c r="A784" s="4"/>
      <c r="B784" s="4"/>
      <c r="C784" s="4">
        <v>891931</v>
      </c>
      <c r="D784" s="22">
        <v>5133.24</v>
      </c>
      <c r="E784" s="5">
        <f t="shared" si="14"/>
        <v>-0.23999999999978172</v>
      </c>
      <c r="F784" s="9">
        <v>45321</v>
      </c>
      <c r="G784" s="10">
        <v>330851098</v>
      </c>
      <c r="H784" s="9">
        <v>45308</v>
      </c>
      <c r="I784" s="9">
        <v>45323</v>
      </c>
      <c r="J784" s="8">
        <v>5133</v>
      </c>
      <c r="K784" s="8" t="s">
        <v>31</v>
      </c>
      <c r="L784" s="8" t="s">
        <v>32</v>
      </c>
      <c r="M784" s="8"/>
      <c r="N784" s="8" t="b">
        <v>0</v>
      </c>
      <c r="O784" s="10">
        <v>709331</v>
      </c>
      <c r="P784" s="8" t="s">
        <v>222</v>
      </c>
      <c r="Q784" s="8">
        <v>359846</v>
      </c>
      <c r="R784" s="9">
        <v>45308</v>
      </c>
      <c r="S784" s="8" t="s">
        <v>34</v>
      </c>
      <c r="T784" s="8" t="s">
        <v>44</v>
      </c>
      <c r="U784" s="8" t="s">
        <v>58</v>
      </c>
      <c r="V784" s="8" t="s">
        <v>46</v>
      </c>
      <c r="W784" s="8">
        <v>0</v>
      </c>
    </row>
    <row r="785" spans="1:23" x14ac:dyDescent="0.25">
      <c r="A785" s="4"/>
      <c r="B785" s="4"/>
      <c r="C785" s="4">
        <v>891933</v>
      </c>
      <c r="D785" s="22">
        <v>5133.24</v>
      </c>
      <c r="E785" s="5">
        <f t="shared" si="14"/>
        <v>-0.23999999999978172</v>
      </c>
      <c r="F785" s="9">
        <v>45321</v>
      </c>
      <c r="G785" s="10">
        <v>330851082</v>
      </c>
      <c r="H785" s="9">
        <v>45308</v>
      </c>
      <c r="I785" s="9">
        <v>45323</v>
      </c>
      <c r="J785" s="8">
        <v>5133</v>
      </c>
      <c r="K785" s="8" t="s">
        <v>31</v>
      </c>
      <c r="L785" s="8" t="s">
        <v>32</v>
      </c>
      <c r="M785" s="8"/>
      <c r="N785" s="8" t="b">
        <v>0</v>
      </c>
      <c r="O785" s="10">
        <v>710532</v>
      </c>
      <c r="P785" s="8" t="s">
        <v>204</v>
      </c>
      <c r="Q785" s="8">
        <v>359832</v>
      </c>
      <c r="R785" s="9">
        <v>45308</v>
      </c>
      <c r="S785" s="8" t="s">
        <v>34</v>
      </c>
      <c r="T785" s="8" t="s">
        <v>44</v>
      </c>
      <c r="U785" s="8" t="s">
        <v>58</v>
      </c>
      <c r="V785" s="8" t="s">
        <v>46</v>
      </c>
      <c r="W785" s="8">
        <v>0</v>
      </c>
    </row>
    <row r="786" spans="1:23" x14ac:dyDescent="0.25">
      <c r="A786" s="4"/>
      <c r="B786" s="4"/>
      <c r="C786" s="4">
        <v>891934</v>
      </c>
      <c r="D786" s="22">
        <v>5133.24</v>
      </c>
      <c r="E786" s="5">
        <f t="shared" si="14"/>
        <v>-0.23999999999978172</v>
      </c>
      <c r="F786" s="9">
        <v>45321</v>
      </c>
      <c r="G786" s="10">
        <v>330851074</v>
      </c>
      <c r="H786" s="9">
        <v>45308</v>
      </c>
      <c r="I786" s="9">
        <v>45323</v>
      </c>
      <c r="J786" s="8">
        <v>5133</v>
      </c>
      <c r="K786" s="8" t="s">
        <v>31</v>
      </c>
      <c r="L786" s="8" t="s">
        <v>32</v>
      </c>
      <c r="M786" s="8"/>
      <c r="N786" s="8" t="b">
        <v>0</v>
      </c>
      <c r="O786" s="10">
        <v>712599</v>
      </c>
      <c r="P786" s="8" t="s">
        <v>267</v>
      </c>
      <c r="Q786" s="8">
        <v>359901</v>
      </c>
      <c r="R786" s="9">
        <v>45308</v>
      </c>
      <c r="S786" s="8" t="s">
        <v>34</v>
      </c>
      <c r="T786" s="8" t="s">
        <v>44</v>
      </c>
      <c r="U786" s="8" t="s">
        <v>58</v>
      </c>
      <c r="V786" s="8" t="s">
        <v>46</v>
      </c>
      <c r="W786" s="8">
        <v>0</v>
      </c>
    </row>
    <row r="787" spans="1:23" x14ac:dyDescent="0.25">
      <c r="A787" s="4"/>
      <c r="B787" s="4"/>
      <c r="C787" s="4">
        <v>891869</v>
      </c>
      <c r="D787" s="22">
        <v>91610.4</v>
      </c>
      <c r="E787" s="5">
        <f t="shared" si="14"/>
        <v>-8.3999999999941792</v>
      </c>
      <c r="F787" s="9">
        <v>45321</v>
      </c>
      <c r="G787" s="10">
        <v>330870794</v>
      </c>
      <c r="H787" s="9">
        <v>45309</v>
      </c>
      <c r="I787" s="9">
        <v>45324</v>
      </c>
      <c r="J787" s="8">
        <v>91602</v>
      </c>
      <c r="K787" s="8" t="s">
        <v>31</v>
      </c>
      <c r="L787" s="8" t="s">
        <v>32</v>
      </c>
      <c r="M787" s="8"/>
      <c r="N787" s="8" t="b">
        <v>0</v>
      </c>
      <c r="O787" s="10"/>
      <c r="P787" s="8" t="s">
        <v>373</v>
      </c>
      <c r="Q787" s="8">
        <v>387428</v>
      </c>
      <c r="R787" s="9">
        <v>45309</v>
      </c>
      <c r="S787" s="8" t="s">
        <v>34</v>
      </c>
      <c r="T787" s="8" t="s">
        <v>49</v>
      </c>
      <c r="U787" s="8" t="s">
        <v>75</v>
      </c>
      <c r="V787" s="8" t="s">
        <v>46</v>
      </c>
      <c r="W787" s="8">
        <v>0</v>
      </c>
    </row>
    <row r="788" spans="1:23" x14ac:dyDescent="0.25">
      <c r="A788" s="4"/>
      <c r="B788" s="4"/>
      <c r="C788" s="4">
        <v>892092</v>
      </c>
      <c r="D788" s="22">
        <v>5133.24</v>
      </c>
      <c r="E788" s="5">
        <f t="shared" si="14"/>
        <v>-0.23999999999978172</v>
      </c>
      <c r="F788" s="9">
        <v>45321</v>
      </c>
      <c r="G788" s="10">
        <v>330870171</v>
      </c>
      <c r="H788" s="9">
        <v>45309</v>
      </c>
      <c r="I788" s="9">
        <v>45324</v>
      </c>
      <c r="J788" s="8">
        <v>5133</v>
      </c>
      <c r="K788" s="8" t="s">
        <v>31</v>
      </c>
      <c r="L788" s="8" t="s">
        <v>32</v>
      </c>
      <c r="M788" s="8"/>
      <c r="N788" s="8" t="b">
        <v>0</v>
      </c>
      <c r="O788" s="10">
        <v>712601</v>
      </c>
      <c r="P788" s="8" t="s">
        <v>79</v>
      </c>
      <c r="Q788" s="8">
        <v>386048</v>
      </c>
      <c r="R788" s="9">
        <v>45309</v>
      </c>
      <c r="S788" s="8" t="s">
        <v>34</v>
      </c>
      <c r="T788" s="8" t="s">
        <v>44</v>
      </c>
      <c r="U788" s="8" t="s">
        <v>58</v>
      </c>
      <c r="V788" s="8" t="s">
        <v>46</v>
      </c>
      <c r="W788" s="8">
        <v>0</v>
      </c>
    </row>
    <row r="789" spans="1:23" x14ac:dyDescent="0.25">
      <c r="A789" s="4"/>
      <c r="B789" s="4"/>
      <c r="C789" s="4">
        <v>891863</v>
      </c>
      <c r="D789" s="22">
        <v>5144.24</v>
      </c>
      <c r="E789" s="5">
        <f t="shared" si="14"/>
        <v>0.76000000000021828</v>
      </c>
      <c r="F789" s="9">
        <v>45321</v>
      </c>
      <c r="G789" s="10">
        <v>330870137</v>
      </c>
      <c r="H789" s="9">
        <v>45309</v>
      </c>
      <c r="I789" s="9">
        <v>45324</v>
      </c>
      <c r="J789" s="8">
        <v>5145</v>
      </c>
      <c r="K789" s="8" t="s">
        <v>31</v>
      </c>
      <c r="L789" s="8" t="s">
        <v>32</v>
      </c>
      <c r="M789" s="8"/>
      <c r="N789" s="8" t="b">
        <v>0</v>
      </c>
      <c r="O789" s="10">
        <v>713506</v>
      </c>
      <c r="P789" s="8" t="s">
        <v>159</v>
      </c>
      <c r="Q789" s="8">
        <v>386063</v>
      </c>
      <c r="R789" s="9">
        <v>45309</v>
      </c>
      <c r="S789" s="8" t="s">
        <v>308</v>
      </c>
      <c r="T789" s="8" t="s">
        <v>44</v>
      </c>
      <c r="U789" s="8" t="s">
        <v>309</v>
      </c>
      <c r="V789" s="8" t="s">
        <v>46</v>
      </c>
      <c r="W789" s="8">
        <v>0</v>
      </c>
    </row>
    <row r="790" spans="1:23" x14ac:dyDescent="0.25">
      <c r="A790" s="4"/>
      <c r="B790" s="4"/>
      <c r="C790" s="4">
        <v>891865</v>
      </c>
      <c r="D790" s="22">
        <v>5144.24</v>
      </c>
      <c r="E790" s="5">
        <f t="shared" si="14"/>
        <v>0.76000000000021828</v>
      </c>
      <c r="F790" s="9">
        <v>45321</v>
      </c>
      <c r="G790" s="10">
        <v>330870135</v>
      </c>
      <c r="H790" s="9">
        <v>45309</v>
      </c>
      <c r="I790" s="9">
        <v>45324</v>
      </c>
      <c r="J790" s="8">
        <v>5145</v>
      </c>
      <c r="K790" s="8" t="s">
        <v>31</v>
      </c>
      <c r="L790" s="8" t="s">
        <v>32</v>
      </c>
      <c r="M790" s="8"/>
      <c r="N790" s="8" t="b">
        <v>0</v>
      </c>
      <c r="O790" s="10">
        <v>713507</v>
      </c>
      <c r="P790" s="8" t="s">
        <v>303</v>
      </c>
      <c r="Q790" s="8">
        <v>386085</v>
      </c>
      <c r="R790" s="9">
        <v>45309</v>
      </c>
      <c r="S790" s="8" t="s">
        <v>308</v>
      </c>
      <c r="T790" s="8" t="s">
        <v>44</v>
      </c>
      <c r="U790" s="8" t="s">
        <v>309</v>
      </c>
      <c r="V790" s="8" t="s">
        <v>46</v>
      </c>
      <c r="W790" s="8">
        <v>0</v>
      </c>
    </row>
    <row r="791" spans="1:23" x14ac:dyDescent="0.25">
      <c r="A791" s="4"/>
      <c r="B791" s="4"/>
      <c r="C791" s="4">
        <v>892106</v>
      </c>
      <c r="D791" s="22">
        <v>5133.24</v>
      </c>
      <c r="E791" s="5">
        <f t="shared" si="14"/>
        <v>-0.23999999999978172</v>
      </c>
      <c r="F791" s="9">
        <v>45321</v>
      </c>
      <c r="G791" s="10">
        <v>330870134</v>
      </c>
      <c r="H791" s="9">
        <v>45309</v>
      </c>
      <c r="I791" s="9">
        <v>45324</v>
      </c>
      <c r="J791" s="8">
        <v>5133</v>
      </c>
      <c r="K791" s="8" t="s">
        <v>31</v>
      </c>
      <c r="L791" s="8" t="s">
        <v>32</v>
      </c>
      <c r="M791" s="8"/>
      <c r="N791" s="8" t="b">
        <v>0</v>
      </c>
      <c r="O791" s="10">
        <v>712600</v>
      </c>
      <c r="P791" s="8" t="s">
        <v>281</v>
      </c>
      <c r="Q791" s="8">
        <v>386028</v>
      </c>
      <c r="R791" s="9">
        <v>45309</v>
      </c>
      <c r="S791" s="8" t="s">
        <v>34</v>
      </c>
      <c r="T791" s="8" t="s">
        <v>44</v>
      </c>
      <c r="U791" s="8" t="s">
        <v>58</v>
      </c>
      <c r="V791" s="8" t="s">
        <v>46</v>
      </c>
      <c r="W791" s="8">
        <v>0</v>
      </c>
    </row>
    <row r="792" spans="1:23" x14ac:dyDescent="0.25">
      <c r="A792" s="4"/>
      <c r="B792" s="4"/>
      <c r="C792" s="4">
        <v>892626</v>
      </c>
      <c r="D792" s="22">
        <v>5133.24</v>
      </c>
      <c r="E792" s="5">
        <f t="shared" si="14"/>
        <v>-0.23999999999978172</v>
      </c>
      <c r="F792" s="9">
        <v>45321</v>
      </c>
      <c r="G792" s="10">
        <v>330892387</v>
      </c>
      <c r="H792" s="9">
        <v>45310</v>
      </c>
      <c r="I792" s="9">
        <v>45325</v>
      </c>
      <c r="J792" s="8">
        <v>5133</v>
      </c>
      <c r="K792" s="8" t="s">
        <v>31</v>
      </c>
      <c r="L792" s="8" t="s">
        <v>32</v>
      </c>
      <c r="M792" s="8"/>
      <c r="N792" s="8" t="b">
        <v>0</v>
      </c>
      <c r="O792" s="10">
        <v>712604</v>
      </c>
      <c r="P792" s="8" t="s">
        <v>182</v>
      </c>
      <c r="Q792" s="8">
        <v>419136</v>
      </c>
      <c r="R792" s="9">
        <v>45310</v>
      </c>
      <c r="S792" s="8" t="s">
        <v>34</v>
      </c>
      <c r="T792" s="8" t="s">
        <v>44</v>
      </c>
      <c r="U792" s="8" t="s">
        <v>58</v>
      </c>
      <c r="V792" s="8" t="s">
        <v>46</v>
      </c>
      <c r="W792" s="8">
        <v>0</v>
      </c>
    </row>
    <row r="793" spans="1:23" x14ac:dyDescent="0.25">
      <c r="A793" s="4"/>
      <c r="B793" s="4"/>
      <c r="C793" s="4">
        <v>892627</v>
      </c>
      <c r="D793" s="22">
        <v>5133.24</v>
      </c>
      <c r="E793" s="5">
        <f t="shared" si="14"/>
        <v>-0.23999999999978172</v>
      </c>
      <c r="F793" s="9">
        <v>45321</v>
      </c>
      <c r="G793" s="10">
        <v>330892365</v>
      </c>
      <c r="H793" s="9">
        <v>45310</v>
      </c>
      <c r="I793" s="9">
        <v>45325</v>
      </c>
      <c r="J793" s="8">
        <v>5133</v>
      </c>
      <c r="K793" s="8" t="s">
        <v>31</v>
      </c>
      <c r="L793" s="8" t="s">
        <v>32</v>
      </c>
      <c r="M793" s="8"/>
      <c r="N793" s="8" t="b">
        <v>0</v>
      </c>
      <c r="O793" s="10">
        <v>712605</v>
      </c>
      <c r="P793" s="8" t="s">
        <v>263</v>
      </c>
      <c r="Q793" s="8">
        <v>419146</v>
      </c>
      <c r="R793" s="9">
        <v>45310</v>
      </c>
      <c r="S793" s="8" t="s">
        <v>34</v>
      </c>
      <c r="T793" s="8" t="s">
        <v>44</v>
      </c>
      <c r="U793" s="8" t="s">
        <v>58</v>
      </c>
      <c r="V793" s="8" t="s">
        <v>46</v>
      </c>
      <c r="W793" s="8">
        <v>0</v>
      </c>
    </row>
    <row r="794" spans="1:23" x14ac:dyDescent="0.25">
      <c r="A794" s="4"/>
      <c r="B794" s="4"/>
      <c r="C794" s="4">
        <v>892629</v>
      </c>
      <c r="D794" s="22">
        <v>5133.24</v>
      </c>
      <c r="E794" s="5">
        <f t="shared" si="14"/>
        <v>-0.23999999999978172</v>
      </c>
      <c r="F794" s="9">
        <v>45321</v>
      </c>
      <c r="G794" s="10">
        <v>330892345</v>
      </c>
      <c r="H794" s="9">
        <v>45310</v>
      </c>
      <c r="I794" s="9">
        <v>45325</v>
      </c>
      <c r="J794" s="8">
        <v>5133</v>
      </c>
      <c r="K794" s="8" t="s">
        <v>31</v>
      </c>
      <c r="L794" s="8" t="s">
        <v>32</v>
      </c>
      <c r="M794" s="8"/>
      <c r="N794" s="8" t="b">
        <v>0</v>
      </c>
      <c r="O794" s="10">
        <v>712603</v>
      </c>
      <c r="P794" s="8" t="s">
        <v>244</v>
      </c>
      <c r="Q794" s="8">
        <v>419116</v>
      </c>
      <c r="R794" s="9">
        <v>45310</v>
      </c>
      <c r="S794" s="8" t="s">
        <v>34</v>
      </c>
      <c r="T794" s="8" t="s">
        <v>44</v>
      </c>
      <c r="U794" s="8" t="s">
        <v>58</v>
      </c>
      <c r="V794" s="8" t="s">
        <v>46</v>
      </c>
      <c r="W794" s="8">
        <v>0</v>
      </c>
    </row>
    <row r="795" spans="1:23" x14ac:dyDescent="0.25">
      <c r="A795" s="4"/>
      <c r="B795" s="4"/>
      <c r="C795" s="4">
        <v>892009</v>
      </c>
      <c r="D795" s="22">
        <v>7884.68</v>
      </c>
      <c r="E795" s="5">
        <f>J795-D795</f>
        <v>0.31999999999970896</v>
      </c>
      <c r="F795" s="9">
        <v>45321</v>
      </c>
      <c r="G795" s="10">
        <v>330891079</v>
      </c>
      <c r="H795" s="9">
        <v>45310</v>
      </c>
      <c r="I795" s="9">
        <v>45325</v>
      </c>
      <c r="J795" s="8">
        <v>7885</v>
      </c>
      <c r="K795" s="8" t="s">
        <v>31</v>
      </c>
      <c r="L795" s="8" t="s">
        <v>32</v>
      </c>
      <c r="M795" s="8"/>
      <c r="N795" s="8" t="b">
        <v>0</v>
      </c>
      <c r="O795" s="16">
        <v>21198</v>
      </c>
      <c r="P795" s="8" t="s">
        <v>136</v>
      </c>
      <c r="Q795" s="8">
        <v>416382</v>
      </c>
      <c r="R795" s="9">
        <v>45310</v>
      </c>
      <c r="S795" s="8" t="s">
        <v>374</v>
      </c>
      <c r="T795" s="8" t="s">
        <v>40</v>
      </c>
      <c r="U795" s="8" t="s">
        <v>375</v>
      </c>
      <c r="V795" s="8" t="s">
        <v>376</v>
      </c>
      <c r="W795" s="8">
        <v>0</v>
      </c>
    </row>
    <row r="796" spans="1:23" x14ac:dyDescent="0.25">
      <c r="A796" s="4"/>
      <c r="B796" s="4"/>
      <c r="C796" s="4">
        <v>892631</v>
      </c>
      <c r="D796" s="22">
        <v>7951.32</v>
      </c>
      <c r="E796" s="5">
        <f t="shared" si="14"/>
        <v>-0.31999999999970896</v>
      </c>
      <c r="F796" s="9">
        <v>45321</v>
      </c>
      <c r="G796" s="10">
        <v>330890899</v>
      </c>
      <c r="H796" s="9">
        <v>45310</v>
      </c>
      <c r="I796" s="9">
        <v>45325</v>
      </c>
      <c r="J796" s="8">
        <v>7951</v>
      </c>
      <c r="K796" s="8" t="s">
        <v>31</v>
      </c>
      <c r="L796" s="8" t="s">
        <v>32</v>
      </c>
      <c r="M796" s="8"/>
      <c r="N796" s="8" t="b">
        <v>0</v>
      </c>
      <c r="O796" s="10">
        <v>714184</v>
      </c>
      <c r="P796" s="8" t="s">
        <v>87</v>
      </c>
      <c r="Q796" s="8">
        <v>416290</v>
      </c>
      <c r="R796" s="9">
        <v>45310</v>
      </c>
      <c r="S796" s="8" t="s">
        <v>34</v>
      </c>
      <c r="T796" s="8" t="s">
        <v>40</v>
      </c>
      <c r="U796" s="8" t="s">
        <v>88</v>
      </c>
      <c r="V796" s="8" t="s">
        <v>72</v>
      </c>
      <c r="W796" s="8">
        <v>0</v>
      </c>
    </row>
    <row r="797" spans="1:23" x14ac:dyDescent="0.25">
      <c r="A797" s="4"/>
      <c r="B797" s="4"/>
      <c r="C797" s="4">
        <v>892633</v>
      </c>
      <c r="D797" s="22">
        <v>7951.32</v>
      </c>
      <c r="E797" s="5">
        <f t="shared" si="14"/>
        <v>-0.31999999999970896</v>
      </c>
      <c r="F797" s="9">
        <v>45321</v>
      </c>
      <c r="G797" s="10">
        <v>330890874</v>
      </c>
      <c r="H797" s="9">
        <v>45310</v>
      </c>
      <c r="I797" s="9">
        <v>45325</v>
      </c>
      <c r="J797" s="8">
        <v>7951</v>
      </c>
      <c r="K797" s="8" t="s">
        <v>31</v>
      </c>
      <c r="L797" s="8" t="s">
        <v>32</v>
      </c>
      <c r="M797" s="8"/>
      <c r="N797" s="8" t="b">
        <v>0</v>
      </c>
      <c r="O797" s="10">
        <v>714182</v>
      </c>
      <c r="P797" s="8" t="s">
        <v>137</v>
      </c>
      <c r="Q797" s="8">
        <v>416270</v>
      </c>
      <c r="R797" s="9">
        <v>45310</v>
      </c>
      <c r="S797" s="8" t="s">
        <v>34</v>
      </c>
      <c r="T797" s="8" t="s">
        <v>40</v>
      </c>
      <c r="U797" s="8" t="s">
        <v>88</v>
      </c>
      <c r="V797" s="8" t="s">
        <v>72</v>
      </c>
      <c r="W797" s="8">
        <v>0</v>
      </c>
    </row>
    <row r="798" spans="1:23" x14ac:dyDescent="0.25">
      <c r="A798" s="4"/>
      <c r="B798" s="4"/>
      <c r="C798" s="4">
        <v>892635</v>
      </c>
      <c r="D798" s="22">
        <v>7951.32</v>
      </c>
      <c r="E798" s="5">
        <f t="shared" si="14"/>
        <v>-0.31999999999970896</v>
      </c>
      <c r="F798" s="9">
        <v>45321</v>
      </c>
      <c r="G798" s="10">
        <v>330890865</v>
      </c>
      <c r="H798" s="9">
        <v>45310</v>
      </c>
      <c r="I798" s="9">
        <v>45325</v>
      </c>
      <c r="J798" s="8">
        <v>7951</v>
      </c>
      <c r="K798" s="8" t="s">
        <v>31</v>
      </c>
      <c r="L798" s="8" t="s">
        <v>32</v>
      </c>
      <c r="M798" s="8"/>
      <c r="N798" s="8" t="b">
        <v>0</v>
      </c>
      <c r="O798" s="10">
        <v>714185</v>
      </c>
      <c r="P798" s="8" t="s">
        <v>266</v>
      </c>
      <c r="Q798" s="8">
        <v>416294</v>
      </c>
      <c r="R798" s="9">
        <v>45310</v>
      </c>
      <c r="S798" s="8" t="s">
        <v>34</v>
      </c>
      <c r="T798" s="8" t="s">
        <v>40</v>
      </c>
      <c r="U798" s="8" t="s">
        <v>88</v>
      </c>
      <c r="V798" s="8" t="s">
        <v>72</v>
      </c>
      <c r="W798" s="8">
        <v>0</v>
      </c>
    </row>
    <row r="799" spans="1:23" x14ac:dyDescent="0.25">
      <c r="A799" s="4"/>
      <c r="B799" s="4"/>
      <c r="C799" s="4">
        <v>892637</v>
      </c>
      <c r="D799" s="22">
        <v>7951.32</v>
      </c>
      <c r="E799" s="5">
        <f t="shared" si="14"/>
        <v>-0.31999999999970896</v>
      </c>
      <c r="F799" s="9">
        <v>45321</v>
      </c>
      <c r="G799" s="10">
        <v>330890860</v>
      </c>
      <c r="H799" s="9">
        <v>45310</v>
      </c>
      <c r="I799" s="9">
        <v>45325</v>
      </c>
      <c r="J799" s="8">
        <v>7951</v>
      </c>
      <c r="K799" s="8" t="s">
        <v>31</v>
      </c>
      <c r="L799" s="8" t="s">
        <v>32</v>
      </c>
      <c r="M799" s="8"/>
      <c r="N799" s="8" t="b">
        <v>0</v>
      </c>
      <c r="O799" s="10">
        <v>714183</v>
      </c>
      <c r="P799" s="8" t="s">
        <v>171</v>
      </c>
      <c r="Q799" s="8">
        <v>416281</v>
      </c>
      <c r="R799" s="9">
        <v>45310</v>
      </c>
      <c r="S799" s="8" t="s">
        <v>34</v>
      </c>
      <c r="T799" s="8" t="s">
        <v>40</v>
      </c>
      <c r="U799" s="8" t="s">
        <v>88</v>
      </c>
      <c r="V799" s="8" t="s">
        <v>72</v>
      </c>
      <c r="W799" s="8">
        <v>0</v>
      </c>
    </row>
    <row r="800" spans="1:23" x14ac:dyDescent="0.25">
      <c r="A800" s="4"/>
      <c r="B800" s="4"/>
      <c r="C800" s="4">
        <v>892623</v>
      </c>
      <c r="D800" s="22">
        <v>87248</v>
      </c>
      <c r="E800" s="5">
        <f t="shared" ref="E800:E804" si="15">J800-D800</f>
        <v>-8</v>
      </c>
      <c r="F800" s="9">
        <v>45321</v>
      </c>
      <c r="G800" s="10">
        <v>330930799</v>
      </c>
      <c r="H800" s="9">
        <v>45313</v>
      </c>
      <c r="I800" s="9">
        <v>45328</v>
      </c>
      <c r="J800" s="8">
        <v>87240</v>
      </c>
      <c r="K800" s="8" t="s">
        <v>31</v>
      </c>
      <c r="L800" s="8" t="s">
        <v>32</v>
      </c>
      <c r="M800" s="8"/>
      <c r="N800" s="8" t="b">
        <v>0</v>
      </c>
      <c r="O800" s="10"/>
      <c r="P800" s="8" t="s">
        <v>377</v>
      </c>
      <c r="Q800" s="8">
        <v>466272</v>
      </c>
      <c r="R800" s="9">
        <v>45313</v>
      </c>
      <c r="S800" s="8" t="s">
        <v>34</v>
      </c>
      <c r="T800" s="8" t="s">
        <v>49</v>
      </c>
      <c r="U800" s="8" t="s">
        <v>75</v>
      </c>
      <c r="V800" s="8" t="s">
        <v>46</v>
      </c>
      <c r="W800" s="8">
        <v>0</v>
      </c>
    </row>
    <row r="801" spans="1:23" x14ac:dyDescent="0.25">
      <c r="A801" s="4"/>
      <c r="B801" s="4"/>
      <c r="C801" s="4">
        <v>892993</v>
      </c>
      <c r="D801" s="22">
        <v>5133.24</v>
      </c>
      <c r="E801" s="5">
        <f t="shared" si="15"/>
        <v>-0.23999999999978172</v>
      </c>
      <c r="F801" s="9">
        <v>45321</v>
      </c>
      <c r="G801" s="10">
        <v>330958953</v>
      </c>
      <c r="H801" s="9">
        <v>45314</v>
      </c>
      <c r="I801" s="9">
        <v>45329</v>
      </c>
      <c r="J801" s="8">
        <v>5133</v>
      </c>
      <c r="K801" s="8" t="s">
        <v>31</v>
      </c>
      <c r="L801" s="8" t="s">
        <v>32</v>
      </c>
      <c r="M801" s="8"/>
      <c r="N801" s="8" t="b">
        <v>0</v>
      </c>
      <c r="O801" s="10">
        <v>710538</v>
      </c>
      <c r="P801" s="8" t="s">
        <v>181</v>
      </c>
      <c r="Q801" s="8">
        <v>503440</v>
      </c>
      <c r="R801" s="9">
        <v>45314</v>
      </c>
      <c r="S801" s="8" t="s">
        <v>34</v>
      </c>
      <c r="T801" s="8" t="s">
        <v>44</v>
      </c>
      <c r="U801" s="8" t="s">
        <v>58</v>
      </c>
      <c r="V801" s="8" t="s">
        <v>46</v>
      </c>
      <c r="W801" s="8">
        <v>0</v>
      </c>
    </row>
    <row r="802" spans="1:23" x14ac:dyDescent="0.25">
      <c r="A802" s="4"/>
      <c r="B802" s="4"/>
      <c r="C802" s="4">
        <v>892995</v>
      </c>
      <c r="D802" s="22">
        <v>5133.24</v>
      </c>
      <c r="E802" s="5">
        <f t="shared" si="15"/>
        <v>-0.23999999999978172</v>
      </c>
      <c r="F802" s="9">
        <v>45321</v>
      </c>
      <c r="G802" s="10">
        <v>330958946</v>
      </c>
      <c r="H802" s="9">
        <v>45314</v>
      </c>
      <c r="I802" s="9">
        <v>45329</v>
      </c>
      <c r="J802" s="8">
        <v>5133</v>
      </c>
      <c r="K802" s="8" t="s">
        <v>31</v>
      </c>
      <c r="L802" s="8" t="s">
        <v>32</v>
      </c>
      <c r="M802" s="8"/>
      <c r="N802" s="8" t="b">
        <v>0</v>
      </c>
      <c r="O802" s="10">
        <v>712597</v>
      </c>
      <c r="P802" s="8" t="s">
        <v>108</v>
      </c>
      <c r="Q802" s="8">
        <v>503523</v>
      </c>
      <c r="R802" s="9">
        <v>45314</v>
      </c>
      <c r="S802" s="8" t="s">
        <v>34</v>
      </c>
      <c r="T802" s="8" t="s">
        <v>44</v>
      </c>
      <c r="U802" s="8" t="s">
        <v>58</v>
      </c>
      <c r="V802" s="8" t="s">
        <v>46</v>
      </c>
      <c r="W802" s="8">
        <v>0</v>
      </c>
    </row>
    <row r="803" spans="1:23" x14ac:dyDescent="0.25">
      <c r="A803" s="4"/>
      <c r="B803" s="4"/>
      <c r="C803" s="4">
        <v>892951</v>
      </c>
      <c r="D803" s="22">
        <v>5135.4399999999996</v>
      </c>
      <c r="E803" s="5">
        <f t="shared" si="15"/>
        <v>-0.43999999999959982</v>
      </c>
      <c r="F803" s="9">
        <v>45321</v>
      </c>
      <c r="G803" s="10">
        <v>330958913</v>
      </c>
      <c r="H803" s="9">
        <v>45314</v>
      </c>
      <c r="I803" s="9">
        <v>45329</v>
      </c>
      <c r="J803" s="8">
        <v>5135</v>
      </c>
      <c r="K803" s="8" t="s">
        <v>31</v>
      </c>
      <c r="L803" s="8" t="s">
        <v>32</v>
      </c>
      <c r="M803" s="8"/>
      <c r="N803" s="8" t="b">
        <v>0</v>
      </c>
      <c r="O803" s="10">
        <v>710351</v>
      </c>
      <c r="P803" s="8" t="s">
        <v>56</v>
      </c>
      <c r="Q803" s="8">
        <v>503489</v>
      </c>
      <c r="R803" s="9">
        <v>45314</v>
      </c>
      <c r="S803" s="8" t="s">
        <v>180</v>
      </c>
      <c r="T803" s="8" t="s">
        <v>44</v>
      </c>
      <c r="U803" s="8" t="s">
        <v>45</v>
      </c>
      <c r="V803" s="8" t="s">
        <v>46</v>
      </c>
      <c r="W803" s="8">
        <v>0</v>
      </c>
    </row>
    <row r="804" spans="1:23" x14ac:dyDescent="0.25">
      <c r="A804" s="4"/>
      <c r="B804" s="4"/>
      <c r="C804" s="4">
        <v>892982</v>
      </c>
      <c r="D804" s="22">
        <v>9226.32</v>
      </c>
      <c r="E804" s="5">
        <f t="shared" si="15"/>
        <v>0.68000000000029104</v>
      </c>
      <c r="F804" s="9">
        <v>45321</v>
      </c>
      <c r="G804" s="10">
        <v>330957524</v>
      </c>
      <c r="H804" s="9">
        <v>45314</v>
      </c>
      <c r="I804" s="9">
        <v>45329</v>
      </c>
      <c r="J804" s="8">
        <v>9227</v>
      </c>
      <c r="K804" s="8" t="s">
        <v>31</v>
      </c>
      <c r="L804" s="8" t="s">
        <v>32</v>
      </c>
      <c r="M804" s="8"/>
      <c r="N804" s="8" t="b">
        <v>0</v>
      </c>
      <c r="O804" s="10">
        <v>709991</v>
      </c>
      <c r="P804" s="8" t="s">
        <v>223</v>
      </c>
      <c r="Q804" s="8">
        <v>501145</v>
      </c>
      <c r="R804" s="9">
        <v>45314</v>
      </c>
      <c r="S804" s="8" t="s">
        <v>130</v>
      </c>
      <c r="T804" s="8" t="s">
        <v>40</v>
      </c>
      <c r="U804" s="8" t="s">
        <v>131</v>
      </c>
      <c r="V804" s="8" t="s">
        <v>132</v>
      </c>
      <c r="W804" s="8">
        <v>0</v>
      </c>
    </row>
    <row r="805" spans="1:23" x14ac:dyDescent="0.25">
      <c r="A805" s="4"/>
      <c r="B805" s="4"/>
      <c r="C805" s="4">
        <v>893327</v>
      </c>
      <c r="D805" s="22">
        <v>5133.24</v>
      </c>
      <c r="E805" s="5">
        <f t="shared" ref="E805:E807" si="16">J805-D805</f>
        <v>-0.23999999999978172</v>
      </c>
      <c r="F805" s="9">
        <v>45321</v>
      </c>
      <c r="G805" s="10">
        <v>330969228</v>
      </c>
      <c r="H805" s="9">
        <v>45315</v>
      </c>
      <c r="I805" s="9">
        <v>45330</v>
      </c>
      <c r="J805" s="8">
        <v>5133</v>
      </c>
      <c r="K805" s="8" t="s">
        <v>31</v>
      </c>
      <c r="L805" s="8" t="s">
        <v>32</v>
      </c>
      <c r="M805" s="8"/>
      <c r="N805" s="8" t="b">
        <v>0</v>
      </c>
      <c r="O805" s="10">
        <v>710529</v>
      </c>
      <c r="P805" s="8" t="s">
        <v>165</v>
      </c>
      <c r="Q805" s="8">
        <v>516283</v>
      </c>
      <c r="R805" s="9">
        <v>45315</v>
      </c>
      <c r="S805" s="8" t="s">
        <v>34</v>
      </c>
      <c r="T805" s="8" t="s">
        <v>44</v>
      </c>
      <c r="U805" s="8" t="s">
        <v>58</v>
      </c>
      <c r="V805" s="8" t="s">
        <v>46</v>
      </c>
      <c r="W805" s="8">
        <v>0</v>
      </c>
    </row>
    <row r="806" spans="1:23" x14ac:dyDescent="0.25">
      <c r="A806" s="4"/>
      <c r="B806" s="4"/>
      <c r="C806" s="4">
        <v>893330</v>
      </c>
      <c r="D806" s="22">
        <v>5133.24</v>
      </c>
      <c r="E806" s="5">
        <f t="shared" si="16"/>
        <v>-0.23999999999978172</v>
      </c>
      <c r="F806" s="9">
        <v>45321</v>
      </c>
      <c r="G806" s="10">
        <v>330969224</v>
      </c>
      <c r="H806" s="9">
        <v>45315</v>
      </c>
      <c r="I806" s="9">
        <v>45330</v>
      </c>
      <c r="J806" s="8">
        <v>5133</v>
      </c>
      <c r="K806" s="8" t="s">
        <v>31</v>
      </c>
      <c r="L806" s="8" t="s">
        <v>32</v>
      </c>
      <c r="M806" s="8"/>
      <c r="N806" s="8" t="b">
        <v>0</v>
      </c>
      <c r="O806" s="10">
        <v>710537</v>
      </c>
      <c r="P806" s="8" t="s">
        <v>193</v>
      </c>
      <c r="Q806" s="8">
        <v>516322</v>
      </c>
      <c r="R806" s="9">
        <v>45315</v>
      </c>
      <c r="S806" s="8" t="s">
        <v>34</v>
      </c>
      <c r="T806" s="8" t="s">
        <v>44</v>
      </c>
      <c r="U806" s="8" t="s">
        <v>58</v>
      </c>
      <c r="V806" s="8" t="s">
        <v>46</v>
      </c>
      <c r="W806" s="8">
        <v>0</v>
      </c>
    </row>
    <row r="807" spans="1:23" x14ac:dyDescent="0.25">
      <c r="A807" s="4"/>
      <c r="B807" s="4"/>
      <c r="C807" s="4">
        <v>893339</v>
      </c>
      <c r="D807" s="22">
        <v>5164.29</v>
      </c>
      <c r="E807" s="5">
        <f t="shared" si="16"/>
        <v>-0.28999999999996362</v>
      </c>
      <c r="F807" s="9">
        <v>45321</v>
      </c>
      <c r="G807" s="10">
        <v>330281468</v>
      </c>
      <c r="H807" s="9">
        <v>45272</v>
      </c>
      <c r="I807" s="9">
        <v>45287</v>
      </c>
      <c r="J807" s="8">
        <v>5164</v>
      </c>
      <c r="K807" s="8" t="s">
        <v>31</v>
      </c>
      <c r="L807" s="8" t="s">
        <v>32</v>
      </c>
      <c r="M807" s="8"/>
      <c r="N807" s="8" t="b">
        <v>0</v>
      </c>
      <c r="O807" s="10">
        <v>706745</v>
      </c>
      <c r="P807" s="8" t="s">
        <v>125</v>
      </c>
      <c r="Q807" s="8">
        <v>444763</v>
      </c>
      <c r="R807" s="9">
        <v>45272</v>
      </c>
      <c r="S807" s="8" t="s">
        <v>34</v>
      </c>
      <c r="T807" s="8" t="s">
        <v>44</v>
      </c>
      <c r="U807" s="8" t="s">
        <v>58</v>
      </c>
      <c r="V807" s="8" t="s">
        <v>46</v>
      </c>
      <c r="W807" s="8">
        <v>0</v>
      </c>
    </row>
    <row r="808" spans="1:23" x14ac:dyDescent="0.25">
      <c r="A808" s="4"/>
      <c r="B808" s="4"/>
      <c r="C808" s="4">
        <v>893766</v>
      </c>
      <c r="D808" s="22">
        <v>5133.24</v>
      </c>
      <c r="E808" s="5">
        <f t="shared" ref="E808:E815" si="17">J808-D808</f>
        <v>-0.23999999999978172</v>
      </c>
      <c r="F808" s="9">
        <v>45321</v>
      </c>
      <c r="G808" s="10">
        <v>331000402</v>
      </c>
      <c r="H808" s="9">
        <v>45316</v>
      </c>
      <c r="I808" s="9">
        <v>45331</v>
      </c>
      <c r="J808" s="8">
        <v>5133</v>
      </c>
      <c r="K808" s="8" t="s">
        <v>31</v>
      </c>
      <c r="L808" s="8" t="s">
        <v>32</v>
      </c>
      <c r="M808" s="8"/>
      <c r="N808" s="8" t="b">
        <v>0</v>
      </c>
      <c r="O808" s="10">
        <v>715172</v>
      </c>
      <c r="P808" s="8" t="s">
        <v>33</v>
      </c>
      <c r="Q808" s="8">
        <v>557851</v>
      </c>
      <c r="R808" s="9">
        <v>45316</v>
      </c>
      <c r="S808" s="8" t="s">
        <v>34</v>
      </c>
      <c r="T808" s="8" t="s">
        <v>44</v>
      </c>
      <c r="U808" s="8" t="s">
        <v>58</v>
      </c>
      <c r="V808" s="8" t="s">
        <v>46</v>
      </c>
      <c r="W808" s="8">
        <v>0</v>
      </c>
    </row>
    <row r="809" spans="1:23" x14ac:dyDescent="0.25">
      <c r="A809" s="4"/>
      <c r="B809" s="4"/>
      <c r="C809" s="4">
        <v>893417</v>
      </c>
      <c r="D809" s="22">
        <v>5133.24</v>
      </c>
      <c r="E809" s="5">
        <f t="shared" si="17"/>
        <v>-0.23999999999978172</v>
      </c>
      <c r="F809" s="9">
        <v>45321</v>
      </c>
      <c r="G809" s="10">
        <v>331000401</v>
      </c>
      <c r="H809" s="9">
        <v>45316</v>
      </c>
      <c r="I809" s="9">
        <v>45331</v>
      </c>
      <c r="J809" s="8">
        <v>5133</v>
      </c>
      <c r="K809" s="8" t="s">
        <v>31</v>
      </c>
      <c r="L809" s="8" t="s">
        <v>32</v>
      </c>
      <c r="M809" s="8"/>
      <c r="N809" s="8" t="b">
        <v>0</v>
      </c>
      <c r="O809" s="10">
        <v>710540</v>
      </c>
      <c r="P809" s="8" t="s">
        <v>65</v>
      </c>
      <c r="Q809" s="8">
        <v>557744</v>
      </c>
      <c r="R809" s="9">
        <v>45316</v>
      </c>
      <c r="S809" s="8" t="s">
        <v>34</v>
      </c>
      <c r="T809" s="8" t="s">
        <v>44</v>
      </c>
      <c r="U809" s="8" t="s">
        <v>58</v>
      </c>
      <c r="V809" s="8" t="s">
        <v>46</v>
      </c>
      <c r="W809" s="8">
        <v>0</v>
      </c>
    </row>
    <row r="810" spans="1:23" x14ac:dyDescent="0.25">
      <c r="A810" s="4"/>
      <c r="B810" s="4"/>
      <c r="C810" s="4">
        <v>893432</v>
      </c>
      <c r="D810" s="22">
        <v>5133.24</v>
      </c>
      <c r="E810" s="5">
        <f t="shared" si="17"/>
        <v>-0.23999999999978172</v>
      </c>
      <c r="F810" s="9">
        <v>45321</v>
      </c>
      <c r="G810" s="10">
        <v>331000399</v>
      </c>
      <c r="H810" s="9">
        <v>45316</v>
      </c>
      <c r="I810" s="9">
        <v>45331</v>
      </c>
      <c r="J810" s="8">
        <v>5133</v>
      </c>
      <c r="K810" s="8" t="s">
        <v>31</v>
      </c>
      <c r="L810" s="8" t="s">
        <v>32</v>
      </c>
      <c r="M810" s="8"/>
      <c r="N810" s="8" t="b">
        <v>0</v>
      </c>
      <c r="O810" s="10">
        <v>712602</v>
      </c>
      <c r="P810" s="8" t="s">
        <v>214</v>
      </c>
      <c r="Q810" s="8">
        <v>557777</v>
      </c>
      <c r="R810" s="9">
        <v>45316</v>
      </c>
      <c r="S810" s="8" t="s">
        <v>34</v>
      </c>
      <c r="T810" s="8" t="s">
        <v>44</v>
      </c>
      <c r="U810" s="8" t="s">
        <v>58</v>
      </c>
      <c r="V810" s="8" t="s">
        <v>46</v>
      </c>
      <c r="W810" s="8">
        <v>0</v>
      </c>
    </row>
    <row r="811" spans="1:23" x14ac:dyDescent="0.25">
      <c r="A811" s="4"/>
      <c r="B811" s="4"/>
      <c r="C811" s="4">
        <v>893441</v>
      </c>
      <c r="D811" s="22">
        <v>5133.24</v>
      </c>
      <c r="E811" s="5">
        <f t="shared" si="17"/>
        <v>-0.23999999999978172</v>
      </c>
      <c r="F811" s="9">
        <v>45321</v>
      </c>
      <c r="G811" s="10">
        <v>331000389</v>
      </c>
      <c r="H811" s="9">
        <v>45316</v>
      </c>
      <c r="I811" s="9">
        <v>45331</v>
      </c>
      <c r="J811" s="8">
        <v>5133</v>
      </c>
      <c r="K811" s="8" t="s">
        <v>31</v>
      </c>
      <c r="L811" s="8" t="s">
        <v>32</v>
      </c>
      <c r="M811" s="8"/>
      <c r="N811" s="8" t="b">
        <v>0</v>
      </c>
      <c r="O811" s="10">
        <v>712606</v>
      </c>
      <c r="P811" s="8" t="s">
        <v>62</v>
      </c>
      <c r="Q811" s="8">
        <v>557832</v>
      </c>
      <c r="R811" s="9">
        <v>45316</v>
      </c>
      <c r="S811" s="8" t="s">
        <v>34</v>
      </c>
      <c r="T811" s="8" t="s">
        <v>44</v>
      </c>
      <c r="U811" s="8" t="s">
        <v>58</v>
      </c>
      <c r="V811" s="8" t="s">
        <v>46</v>
      </c>
      <c r="W811" s="8">
        <v>0</v>
      </c>
    </row>
    <row r="812" spans="1:23" x14ac:dyDescent="0.25">
      <c r="A812" s="4"/>
      <c r="B812" s="4"/>
      <c r="C812" s="4">
        <v>893414</v>
      </c>
      <c r="D812" s="22">
        <v>5133.24</v>
      </c>
      <c r="E812" s="5">
        <f t="shared" si="17"/>
        <v>-0.23999999999978172</v>
      </c>
      <c r="F812" s="9">
        <v>45321</v>
      </c>
      <c r="G812" s="10">
        <v>331000383</v>
      </c>
      <c r="H812" s="9">
        <v>45316</v>
      </c>
      <c r="I812" s="9">
        <v>45331</v>
      </c>
      <c r="J812" s="8">
        <v>5133</v>
      </c>
      <c r="K812" s="8" t="s">
        <v>31</v>
      </c>
      <c r="L812" s="8" t="s">
        <v>32</v>
      </c>
      <c r="M812" s="8"/>
      <c r="N812" s="8" t="b">
        <v>0</v>
      </c>
      <c r="O812" s="10">
        <v>710539</v>
      </c>
      <c r="P812" s="8" t="s">
        <v>110</v>
      </c>
      <c r="Q812" s="8">
        <v>557721</v>
      </c>
      <c r="R812" s="9">
        <v>45316</v>
      </c>
      <c r="S812" s="8" t="s">
        <v>34</v>
      </c>
      <c r="T812" s="8" t="s">
        <v>44</v>
      </c>
      <c r="U812" s="8" t="s">
        <v>58</v>
      </c>
      <c r="V812" s="8" t="s">
        <v>46</v>
      </c>
      <c r="W812" s="8">
        <v>0</v>
      </c>
    </row>
    <row r="813" spans="1:23" x14ac:dyDescent="0.25">
      <c r="A813" s="4"/>
      <c r="B813" s="4"/>
      <c r="C813" s="4">
        <v>893423</v>
      </c>
      <c r="D813" s="22">
        <v>5133.24</v>
      </c>
      <c r="E813" s="5">
        <f t="shared" si="17"/>
        <v>-0.23999999999978172</v>
      </c>
      <c r="F813" s="9">
        <v>45321</v>
      </c>
      <c r="G813" s="10">
        <v>331000381</v>
      </c>
      <c r="H813" s="9">
        <v>45316</v>
      </c>
      <c r="I813" s="9">
        <v>45331</v>
      </c>
      <c r="J813" s="8">
        <v>5133</v>
      </c>
      <c r="K813" s="8" t="s">
        <v>31</v>
      </c>
      <c r="L813" s="8" t="s">
        <v>32</v>
      </c>
      <c r="M813" s="8"/>
      <c r="N813" s="8" t="b">
        <v>0</v>
      </c>
      <c r="O813" s="10">
        <v>710541</v>
      </c>
      <c r="P813" s="8" t="s">
        <v>190</v>
      </c>
      <c r="Q813" s="8">
        <v>557749</v>
      </c>
      <c r="R813" s="9">
        <v>45316</v>
      </c>
      <c r="S813" s="8" t="s">
        <v>34</v>
      </c>
      <c r="T813" s="8" t="s">
        <v>44</v>
      </c>
      <c r="U813" s="8" t="s">
        <v>58</v>
      </c>
      <c r="V813" s="8" t="s">
        <v>46</v>
      </c>
      <c r="W813" s="8">
        <v>0</v>
      </c>
    </row>
    <row r="814" spans="1:23" x14ac:dyDescent="0.25">
      <c r="A814" s="4"/>
      <c r="B814" s="4"/>
      <c r="C814" s="4">
        <v>893333</v>
      </c>
      <c r="D814" s="22">
        <v>87248</v>
      </c>
      <c r="E814" s="5">
        <f t="shared" si="17"/>
        <v>-8</v>
      </c>
      <c r="F814" s="9">
        <v>45321</v>
      </c>
      <c r="G814" s="10">
        <v>330989951</v>
      </c>
      <c r="H814" s="9">
        <v>45316</v>
      </c>
      <c r="I814" s="9">
        <v>45331</v>
      </c>
      <c r="J814" s="8">
        <v>87240</v>
      </c>
      <c r="K814" s="8" t="s">
        <v>31</v>
      </c>
      <c r="L814" s="8" t="s">
        <v>32</v>
      </c>
      <c r="M814" s="8"/>
      <c r="N814" s="8" t="b">
        <v>0</v>
      </c>
      <c r="O814" s="10"/>
      <c r="P814" s="8" t="s">
        <v>378</v>
      </c>
      <c r="Q814" s="8">
        <v>543615</v>
      </c>
      <c r="R814" s="9">
        <v>45316</v>
      </c>
      <c r="S814" s="8" t="s">
        <v>34</v>
      </c>
      <c r="T814" s="8" t="s">
        <v>49</v>
      </c>
      <c r="U814" s="8" t="s">
        <v>75</v>
      </c>
      <c r="V814" s="8" t="s">
        <v>46</v>
      </c>
      <c r="W814" s="8">
        <v>0</v>
      </c>
    </row>
    <row r="815" spans="1:23" x14ac:dyDescent="0.25">
      <c r="A815" s="4"/>
      <c r="B815" s="4"/>
      <c r="C815" s="4">
        <v>893951</v>
      </c>
      <c r="D815" s="22">
        <v>100335.2</v>
      </c>
      <c r="E815" s="5">
        <f t="shared" si="17"/>
        <v>-9.1999999999970896</v>
      </c>
      <c r="F815" s="9">
        <v>45321</v>
      </c>
      <c r="G815" s="10">
        <v>331058122</v>
      </c>
      <c r="H815" s="9">
        <v>45320</v>
      </c>
      <c r="I815" s="9">
        <v>45335</v>
      </c>
      <c r="J815" s="8">
        <v>100326</v>
      </c>
      <c r="K815" s="8" t="s">
        <v>31</v>
      </c>
      <c r="L815" s="8" t="s">
        <v>32</v>
      </c>
      <c r="M815" s="8"/>
      <c r="N815" s="8" t="b">
        <v>0</v>
      </c>
      <c r="O815" s="10"/>
      <c r="P815" s="8" t="s">
        <v>379</v>
      </c>
      <c r="Q815" s="8">
        <v>635144</v>
      </c>
      <c r="R815" s="9">
        <v>45320</v>
      </c>
      <c r="S815" s="8" t="s">
        <v>34</v>
      </c>
      <c r="T815" s="8" t="s">
        <v>49</v>
      </c>
      <c r="U815" s="8" t="s">
        <v>75</v>
      </c>
      <c r="V815" s="8" t="s">
        <v>46</v>
      </c>
      <c r="W815" s="8">
        <v>0</v>
      </c>
    </row>
    <row r="816" spans="1:23" x14ac:dyDescent="0.25">
      <c r="A816" s="4"/>
      <c r="B816" s="4"/>
      <c r="C816" s="4">
        <v>894299</v>
      </c>
      <c r="D816" s="22">
        <v>12544.08</v>
      </c>
      <c r="E816" s="5">
        <f t="shared" ref="E816:E826" si="18">J816-D816</f>
        <v>-7.999999999992724E-2</v>
      </c>
      <c r="F816" s="9">
        <v>45328</v>
      </c>
      <c r="G816" s="10">
        <v>331058118</v>
      </c>
      <c r="H816" s="9">
        <v>45320</v>
      </c>
      <c r="I816" s="9">
        <v>45335</v>
      </c>
      <c r="J816" s="8">
        <v>12544</v>
      </c>
      <c r="K816" s="8" t="s">
        <v>31</v>
      </c>
      <c r="L816" s="8" t="s">
        <v>32</v>
      </c>
      <c r="M816" s="8"/>
      <c r="N816" s="8" t="b">
        <v>0</v>
      </c>
      <c r="O816" s="10">
        <v>715958</v>
      </c>
      <c r="P816" s="8" t="s">
        <v>329</v>
      </c>
      <c r="Q816" s="8">
        <v>635078</v>
      </c>
      <c r="R816" s="9">
        <v>45320</v>
      </c>
      <c r="S816" s="8" t="s">
        <v>48</v>
      </c>
      <c r="T816" s="8" t="s">
        <v>49</v>
      </c>
      <c r="U816" s="8" t="s">
        <v>50</v>
      </c>
      <c r="V816" s="8" t="s">
        <v>37</v>
      </c>
      <c r="W816" s="8">
        <v>0</v>
      </c>
    </row>
    <row r="817" spans="1:23" x14ac:dyDescent="0.25">
      <c r="A817" s="4"/>
      <c r="B817" s="4"/>
      <c r="C817" s="4">
        <v>894493</v>
      </c>
      <c r="D817" s="22">
        <v>52348.800000000003</v>
      </c>
      <c r="E817" s="5">
        <f t="shared" si="18"/>
        <v>-4.8000000000029104</v>
      </c>
      <c r="F817" s="9">
        <v>45328</v>
      </c>
      <c r="G817" s="10">
        <v>331089552</v>
      </c>
      <c r="H817" s="9">
        <v>45321</v>
      </c>
      <c r="I817" s="9">
        <v>45336</v>
      </c>
      <c r="J817" s="8">
        <v>52344</v>
      </c>
      <c r="K817" s="8" t="s">
        <v>31</v>
      </c>
      <c r="L817" s="8" t="s">
        <v>32</v>
      </c>
      <c r="M817" s="8"/>
      <c r="N817" s="8" t="b">
        <v>0</v>
      </c>
      <c r="O817" s="10">
        <v>716020</v>
      </c>
      <c r="P817" s="8" t="s">
        <v>380</v>
      </c>
      <c r="Q817" s="8">
        <v>676024</v>
      </c>
      <c r="R817" s="9">
        <v>45321</v>
      </c>
      <c r="S817" s="8" t="s">
        <v>34</v>
      </c>
      <c r="T817" s="8" t="s">
        <v>49</v>
      </c>
      <c r="U817" s="8" t="s">
        <v>75</v>
      </c>
      <c r="V817" s="8" t="s">
        <v>46</v>
      </c>
      <c r="W817" s="8">
        <v>0</v>
      </c>
    </row>
    <row r="818" spans="1:23" x14ac:dyDescent="0.25">
      <c r="A818" s="4"/>
      <c r="B818" s="4"/>
      <c r="C818" s="34">
        <v>894643</v>
      </c>
      <c r="D818" s="35">
        <v>8204.84</v>
      </c>
      <c r="E818" s="5">
        <f t="shared" si="18"/>
        <v>-0.84000000000014552</v>
      </c>
      <c r="F818" s="9">
        <v>45328</v>
      </c>
      <c r="G818" s="10">
        <v>331088901</v>
      </c>
      <c r="H818" s="9">
        <v>45321</v>
      </c>
      <c r="I818" s="9">
        <v>45336</v>
      </c>
      <c r="J818" s="8">
        <v>8204</v>
      </c>
      <c r="K818" s="8" t="s">
        <v>31</v>
      </c>
      <c r="L818" s="8" t="s">
        <v>32</v>
      </c>
      <c r="M818" s="8"/>
      <c r="N818" s="8" t="b">
        <v>0</v>
      </c>
      <c r="O818" s="10">
        <v>715097</v>
      </c>
      <c r="P818" s="8" t="s">
        <v>258</v>
      </c>
      <c r="Q818" s="8">
        <v>674947</v>
      </c>
      <c r="R818" s="9">
        <v>45321</v>
      </c>
      <c r="S818" s="8" t="s">
        <v>148</v>
      </c>
      <c r="T818" s="8" t="s">
        <v>49</v>
      </c>
      <c r="U818" s="8" t="s">
        <v>149</v>
      </c>
      <c r="V818" s="8" t="s">
        <v>150</v>
      </c>
      <c r="W818" s="8">
        <v>0</v>
      </c>
    </row>
    <row r="819" spans="1:23" ht="30" x14ac:dyDescent="0.25">
      <c r="A819" s="4"/>
      <c r="B819" s="4"/>
      <c r="C819" s="36" t="s">
        <v>381</v>
      </c>
      <c r="D819" s="35">
        <f>8204.84+8204.84+8204.84+8204.84+8204.84</f>
        <v>41024.199999999997</v>
      </c>
      <c r="E819" s="5">
        <f t="shared" si="18"/>
        <v>-4.1999999999970896</v>
      </c>
      <c r="F819" s="9">
        <v>45328</v>
      </c>
      <c r="G819" s="10">
        <v>331081741</v>
      </c>
      <c r="H819" s="9">
        <v>45321</v>
      </c>
      <c r="I819" s="9">
        <v>45336</v>
      </c>
      <c r="J819" s="8">
        <v>41020</v>
      </c>
      <c r="K819" s="8" t="s">
        <v>31</v>
      </c>
      <c r="L819" s="8" t="s">
        <v>32</v>
      </c>
      <c r="M819" s="8"/>
      <c r="N819" s="8" t="b">
        <v>0</v>
      </c>
      <c r="O819" s="10"/>
      <c r="P819" s="8" t="s">
        <v>382</v>
      </c>
      <c r="Q819" s="8">
        <v>665764</v>
      </c>
      <c r="R819" s="9">
        <v>45321</v>
      </c>
      <c r="S819" s="8" t="s">
        <v>148</v>
      </c>
      <c r="T819" s="8" t="s">
        <v>49</v>
      </c>
      <c r="U819" s="8" t="s">
        <v>149</v>
      </c>
      <c r="V819" s="8" t="s">
        <v>150</v>
      </c>
      <c r="W819" s="8">
        <v>0</v>
      </c>
    </row>
    <row r="820" spans="1:23" x14ac:dyDescent="0.25">
      <c r="A820" s="4"/>
      <c r="B820" s="4"/>
      <c r="C820" s="4">
        <v>894301</v>
      </c>
      <c r="D820" s="22">
        <v>56711.199999999997</v>
      </c>
      <c r="E820" s="5">
        <f t="shared" si="18"/>
        <v>-5.1999999999970896</v>
      </c>
      <c r="F820" s="9">
        <v>45328</v>
      </c>
      <c r="G820" s="10">
        <v>331081065</v>
      </c>
      <c r="H820" s="9">
        <v>45321</v>
      </c>
      <c r="I820" s="9">
        <v>45336</v>
      </c>
      <c r="J820" s="8">
        <v>56706</v>
      </c>
      <c r="K820" s="8" t="s">
        <v>31</v>
      </c>
      <c r="L820" s="8" t="s">
        <v>32</v>
      </c>
      <c r="M820" s="8"/>
      <c r="N820" s="8" t="b">
        <v>0</v>
      </c>
      <c r="O820" s="10"/>
      <c r="P820" s="8" t="s">
        <v>383</v>
      </c>
      <c r="Q820" s="8">
        <v>664551</v>
      </c>
      <c r="R820" s="9">
        <v>45321</v>
      </c>
      <c r="S820" s="8" t="s">
        <v>34</v>
      </c>
      <c r="T820" s="8" t="s">
        <v>49</v>
      </c>
      <c r="U820" s="8" t="s">
        <v>75</v>
      </c>
      <c r="V820" s="8" t="s">
        <v>46</v>
      </c>
      <c r="W820" s="8">
        <v>0</v>
      </c>
    </row>
    <row r="821" spans="1:23" x14ac:dyDescent="0.25">
      <c r="A821" s="4"/>
      <c r="B821" s="4"/>
      <c r="C821" s="4">
        <v>894789</v>
      </c>
      <c r="D821" s="22">
        <v>8029.88</v>
      </c>
      <c r="E821" s="5">
        <f t="shared" si="18"/>
        <v>0.11999999999989086</v>
      </c>
      <c r="F821" s="9">
        <v>45328</v>
      </c>
      <c r="G821" s="10">
        <v>331110493</v>
      </c>
      <c r="H821" s="9">
        <v>45322</v>
      </c>
      <c r="I821" s="9">
        <v>45337</v>
      </c>
      <c r="J821" s="8">
        <v>8030</v>
      </c>
      <c r="K821" s="8" t="s">
        <v>31</v>
      </c>
      <c r="L821" s="8" t="s">
        <v>32</v>
      </c>
      <c r="M821" s="8"/>
      <c r="N821" s="8" t="b">
        <v>0</v>
      </c>
      <c r="O821" s="10">
        <v>716119</v>
      </c>
      <c r="P821" s="8" t="s">
        <v>321</v>
      </c>
      <c r="Q821" s="8">
        <v>704341</v>
      </c>
      <c r="R821" s="9">
        <v>45322</v>
      </c>
      <c r="S821" s="8" t="s">
        <v>34</v>
      </c>
      <c r="T821" s="8" t="s">
        <v>40</v>
      </c>
      <c r="U821" s="8" t="s">
        <v>157</v>
      </c>
      <c r="V821" s="8" t="s">
        <v>158</v>
      </c>
      <c r="W821" s="8">
        <v>0</v>
      </c>
    </row>
    <row r="822" spans="1:23" x14ac:dyDescent="0.25">
      <c r="A822" s="4"/>
      <c r="B822" s="4"/>
      <c r="C822" s="4">
        <v>894790</v>
      </c>
      <c r="D822" s="22">
        <v>8029.88</v>
      </c>
      <c r="E822" s="5">
        <f t="shared" si="18"/>
        <v>0.11999999999989086</v>
      </c>
      <c r="F822" s="9">
        <v>45328</v>
      </c>
      <c r="G822" s="10">
        <v>331110474</v>
      </c>
      <c r="H822" s="9">
        <v>45322</v>
      </c>
      <c r="I822" s="9">
        <v>45337</v>
      </c>
      <c r="J822" s="8">
        <v>8030</v>
      </c>
      <c r="K822" s="8" t="s">
        <v>31</v>
      </c>
      <c r="L822" s="8" t="s">
        <v>32</v>
      </c>
      <c r="M822" s="8"/>
      <c r="N822" s="8" t="b">
        <v>0</v>
      </c>
      <c r="O822" s="10">
        <v>716118</v>
      </c>
      <c r="P822" s="8" t="s">
        <v>222</v>
      </c>
      <c r="Q822" s="8">
        <v>704250</v>
      </c>
      <c r="R822" s="9">
        <v>45322</v>
      </c>
      <c r="S822" s="8" t="s">
        <v>34</v>
      </c>
      <c r="T822" s="8" t="s">
        <v>40</v>
      </c>
      <c r="U822" s="8" t="s">
        <v>157</v>
      </c>
      <c r="V822" s="8" t="s">
        <v>158</v>
      </c>
      <c r="W822" s="8">
        <v>0</v>
      </c>
    </row>
    <row r="823" spans="1:23" x14ac:dyDescent="0.25">
      <c r="A823" s="4"/>
      <c r="B823" s="34"/>
      <c r="C823" s="4">
        <v>894905</v>
      </c>
      <c r="D823" s="22">
        <v>5028</v>
      </c>
      <c r="E823" s="5">
        <f t="shared" si="18"/>
        <v>0</v>
      </c>
      <c r="F823" s="9">
        <v>45328</v>
      </c>
      <c r="G823" s="10">
        <v>331110444</v>
      </c>
      <c r="H823" s="9">
        <v>45322</v>
      </c>
      <c r="I823" s="9">
        <v>45337</v>
      </c>
      <c r="J823" s="8">
        <v>5028</v>
      </c>
      <c r="K823" s="8" t="s">
        <v>31</v>
      </c>
      <c r="L823" s="8" t="s">
        <v>32</v>
      </c>
      <c r="M823" s="8"/>
      <c r="N823" s="8" t="b">
        <v>0</v>
      </c>
      <c r="O823" s="10">
        <v>21253</v>
      </c>
      <c r="P823" s="8" t="s">
        <v>179</v>
      </c>
      <c r="Q823" s="8">
        <v>704416</v>
      </c>
      <c r="R823" s="9">
        <v>45322</v>
      </c>
      <c r="S823" s="8" t="s">
        <v>34</v>
      </c>
      <c r="T823" s="8" t="s">
        <v>40</v>
      </c>
      <c r="U823" s="8" t="s">
        <v>84</v>
      </c>
      <c r="V823" s="8" t="s">
        <v>46</v>
      </c>
      <c r="W823" s="8">
        <v>0</v>
      </c>
    </row>
    <row r="824" spans="1:23" x14ac:dyDescent="0.25">
      <c r="A824" s="4"/>
      <c r="B824" s="4"/>
      <c r="C824" s="4">
        <v>894791</v>
      </c>
      <c r="D824" s="22">
        <v>9226.32</v>
      </c>
      <c r="E824" s="5">
        <f t="shared" si="18"/>
        <v>0.68000000000029104</v>
      </c>
      <c r="F824" s="9">
        <v>45328</v>
      </c>
      <c r="G824" s="10">
        <v>331110427</v>
      </c>
      <c r="H824" s="9">
        <v>45322</v>
      </c>
      <c r="I824" s="9">
        <v>45337</v>
      </c>
      <c r="J824" s="8">
        <v>9227</v>
      </c>
      <c r="K824" s="8" t="s">
        <v>31</v>
      </c>
      <c r="L824" s="8" t="s">
        <v>32</v>
      </c>
      <c r="M824" s="8"/>
      <c r="N824" s="8" t="b">
        <v>0</v>
      </c>
      <c r="O824" s="10">
        <v>709992</v>
      </c>
      <c r="P824" s="8" t="s">
        <v>275</v>
      </c>
      <c r="Q824" s="8">
        <v>704500</v>
      </c>
      <c r="R824" s="9">
        <v>45322</v>
      </c>
      <c r="S824" s="8" t="s">
        <v>130</v>
      </c>
      <c r="T824" s="8" t="s">
        <v>40</v>
      </c>
      <c r="U824" s="8" t="s">
        <v>131</v>
      </c>
      <c r="V824" s="8" t="s">
        <v>132</v>
      </c>
      <c r="W824" s="8">
        <v>0</v>
      </c>
    </row>
    <row r="825" spans="1:23" ht="19.5" customHeight="1" x14ac:dyDescent="0.25">
      <c r="A825" s="4"/>
      <c r="B825" s="4"/>
      <c r="C825" s="4">
        <v>894792</v>
      </c>
      <c r="D825" s="22">
        <v>8029.88</v>
      </c>
      <c r="E825" s="5">
        <f t="shared" si="18"/>
        <v>0.11999999999989086</v>
      </c>
      <c r="F825" s="9">
        <v>45328</v>
      </c>
      <c r="G825" s="10">
        <v>331110203</v>
      </c>
      <c r="H825" s="9">
        <v>45322</v>
      </c>
      <c r="I825" s="9">
        <v>45337</v>
      </c>
      <c r="J825" s="8">
        <v>8030</v>
      </c>
      <c r="K825" s="8" t="s">
        <v>31</v>
      </c>
      <c r="L825" s="8" t="s">
        <v>32</v>
      </c>
      <c r="M825" s="8"/>
      <c r="N825" s="8" t="b">
        <v>0</v>
      </c>
      <c r="O825" s="10">
        <v>716116</v>
      </c>
      <c r="P825" s="8" t="s">
        <v>204</v>
      </c>
      <c r="Q825" s="8">
        <v>703929</v>
      </c>
      <c r="R825" s="9">
        <v>45322</v>
      </c>
      <c r="S825" s="8" t="s">
        <v>34</v>
      </c>
      <c r="T825" s="8" t="s">
        <v>40</v>
      </c>
      <c r="U825" s="8" t="s">
        <v>157</v>
      </c>
      <c r="V825" s="8" t="s">
        <v>158</v>
      </c>
      <c r="W825" s="8">
        <v>0</v>
      </c>
    </row>
    <row r="826" spans="1:23" x14ac:dyDescent="0.25">
      <c r="A826" s="4"/>
      <c r="B826" s="4"/>
      <c r="C826" s="4">
        <v>894793</v>
      </c>
      <c r="D826" s="22">
        <v>8029.88</v>
      </c>
      <c r="E826" s="5">
        <f t="shared" si="18"/>
        <v>0.11999999999989086</v>
      </c>
      <c r="F826" s="9">
        <v>45328</v>
      </c>
      <c r="G826" s="10">
        <v>331110175</v>
      </c>
      <c r="H826" s="9">
        <v>45322</v>
      </c>
      <c r="I826" s="9">
        <v>45337</v>
      </c>
      <c r="J826" s="8">
        <v>8030</v>
      </c>
      <c r="K826" s="8" t="s">
        <v>31</v>
      </c>
      <c r="L826" s="8" t="s">
        <v>32</v>
      </c>
      <c r="M826" s="8"/>
      <c r="N826" s="8" t="b">
        <v>0</v>
      </c>
      <c r="O826" s="10">
        <v>716117</v>
      </c>
      <c r="P826" s="8" t="s">
        <v>267</v>
      </c>
      <c r="Q826" s="8">
        <v>704208</v>
      </c>
      <c r="R826" s="9">
        <v>45322</v>
      </c>
      <c r="S826" s="8" t="s">
        <v>34</v>
      </c>
      <c r="T826" s="8" t="s">
        <v>40</v>
      </c>
      <c r="U826" s="8" t="s">
        <v>157</v>
      </c>
      <c r="V826" s="8" t="s">
        <v>158</v>
      </c>
      <c r="W826" s="8">
        <v>0</v>
      </c>
    </row>
    <row r="827" spans="1:23" x14ac:dyDescent="0.25">
      <c r="A827" s="4"/>
      <c r="B827" s="4"/>
      <c r="C827" s="4">
        <v>894554</v>
      </c>
      <c r="D827" s="22">
        <v>7775.12</v>
      </c>
      <c r="E827" s="17">
        <v>-0.12</v>
      </c>
      <c r="F827" s="9">
        <v>45328</v>
      </c>
      <c r="G827" s="10">
        <v>331100229</v>
      </c>
      <c r="H827" s="9">
        <v>45322</v>
      </c>
      <c r="I827" s="9">
        <v>45337</v>
      </c>
      <c r="J827" s="8">
        <v>7775</v>
      </c>
      <c r="K827" s="8" t="s">
        <v>31</v>
      </c>
      <c r="L827" s="8" t="s">
        <v>32</v>
      </c>
      <c r="M827" s="8"/>
      <c r="N827" s="8" t="b">
        <v>0</v>
      </c>
      <c r="O827" s="10">
        <v>21251</v>
      </c>
      <c r="P827" s="8" t="s">
        <v>213</v>
      </c>
      <c r="Q827" s="8">
        <v>689217</v>
      </c>
      <c r="R827" s="9">
        <v>45322</v>
      </c>
      <c r="S827" s="8" t="s">
        <v>318</v>
      </c>
      <c r="T827" s="8" t="s">
        <v>40</v>
      </c>
      <c r="U827" s="8" t="s">
        <v>319</v>
      </c>
      <c r="V827" s="8" t="s">
        <v>320</v>
      </c>
      <c r="W827" s="8">
        <v>0</v>
      </c>
    </row>
    <row r="828" spans="1:23" x14ac:dyDescent="0.25">
      <c r="A828" s="4"/>
      <c r="B828" s="4"/>
      <c r="C828" s="4">
        <v>894556</v>
      </c>
      <c r="D828" s="22">
        <v>7775.12</v>
      </c>
      <c r="E828" s="17">
        <f t="shared" ref="E828" si="19">J828-D828</f>
        <v>-0.11999999999989086</v>
      </c>
      <c r="F828" s="9">
        <v>45328</v>
      </c>
      <c r="G828" s="10">
        <v>331100199</v>
      </c>
      <c r="H828" s="9">
        <v>45322</v>
      </c>
      <c r="I828" s="9">
        <v>45337</v>
      </c>
      <c r="J828" s="8">
        <v>7775</v>
      </c>
      <c r="K828" s="8" t="s">
        <v>31</v>
      </c>
      <c r="L828" s="8" t="s">
        <v>32</v>
      </c>
      <c r="M828" s="8"/>
      <c r="N828" s="8" t="b">
        <v>0</v>
      </c>
      <c r="O828" s="10">
        <v>21252</v>
      </c>
      <c r="P828" s="8" t="s">
        <v>211</v>
      </c>
      <c r="Q828" s="8">
        <v>689220</v>
      </c>
      <c r="R828" s="9">
        <v>45322</v>
      </c>
      <c r="S828" s="8" t="s">
        <v>318</v>
      </c>
      <c r="T828" s="8" t="s">
        <v>40</v>
      </c>
      <c r="U828" s="8" t="s">
        <v>319</v>
      </c>
      <c r="V828" s="8" t="s">
        <v>320</v>
      </c>
      <c r="W828" s="8">
        <v>0</v>
      </c>
    </row>
    <row r="829" spans="1:23" x14ac:dyDescent="0.25">
      <c r="A829" s="4"/>
      <c r="B829" s="4"/>
      <c r="C829" s="4">
        <v>895468</v>
      </c>
      <c r="D829" s="35">
        <v>7965.26</v>
      </c>
      <c r="E829" s="17">
        <f t="shared" ref="E829:E847" si="20">J829-D829</f>
        <v>-0.26000000000021828</v>
      </c>
      <c r="F829" s="9">
        <v>45328</v>
      </c>
      <c r="G829" s="10">
        <v>331126917</v>
      </c>
      <c r="H829" s="9">
        <v>45323</v>
      </c>
      <c r="I829" s="9">
        <v>45338</v>
      </c>
      <c r="J829" s="8">
        <v>7965</v>
      </c>
      <c r="K829" s="8" t="s">
        <v>31</v>
      </c>
      <c r="L829" s="8" t="s">
        <v>32</v>
      </c>
      <c r="M829" s="8"/>
      <c r="N829" s="8" t="b">
        <v>0</v>
      </c>
      <c r="O829" s="10">
        <v>716177</v>
      </c>
      <c r="P829" s="8" t="s">
        <v>140</v>
      </c>
      <c r="Q829" s="8">
        <v>725588</v>
      </c>
      <c r="R829" s="9">
        <v>45323</v>
      </c>
      <c r="S829" s="8" t="s">
        <v>34</v>
      </c>
      <c r="T829" s="8" t="s">
        <v>40</v>
      </c>
      <c r="U829" s="8" t="s">
        <v>157</v>
      </c>
      <c r="V829" s="8" t="s">
        <v>158</v>
      </c>
      <c r="W829" s="8">
        <v>0</v>
      </c>
    </row>
    <row r="830" spans="1:23" x14ac:dyDescent="0.25">
      <c r="A830" s="4"/>
      <c r="B830" s="4"/>
      <c r="C830" s="4">
        <v>895438</v>
      </c>
      <c r="D830" s="22">
        <v>7965.26</v>
      </c>
      <c r="E830" s="17">
        <f t="shared" si="20"/>
        <v>-0.26000000000021828</v>
      </c>
      <c r="F830" s="9">
        <v>45328</v>
      </c>
      <c r="G830" s="10">
        <v>331126589</v>
      </c>
      <c r="H830" s="9">
        <v>45323</v>
      </c>
      <c r="I830" s="9">
        <v>45338</v>
      </c>
      <c r="J830" s="8">
        <v>7965</v>
      </c>
      <c r="K830" s="8" t="s">
        <v>31</v>
      </c>
      <c r="L830" s="8" t="s">
        <v>32</v>
      </c>
      <c r="M830" s="8"/>
      <c r="N830" s="8" t="b">
        <v>0</v>
      </c>
      <c r="O830" s="10">
        <v>716176</v>
      </c>
      <c r="P830" s="8" t="s">
        <v>99</v>
      </c>
      <c r="Q830" s="8">
        <v>725046</v>
      </c>
      <c r="R830" s="9">
        <v>45323</v>
      </c>
      <c r="S830" s="8" t="s">
        <v>34</v>
      </c>
      <c r="T830" s="8" t="s">
        <v>40</v>
      </c>
      <c r="U830" s="8" t="s">
        <v>157</v>
      </c>
      <c r="V830" s="8" t="s">
        <v>158</v>
      </c>
      <c r="W830" s="8">
        <v>0</v>
      </c>
    </row>
    <row r="831" spans="1:23" x14ac:dyDescent="0.25">
      <c r="A831" s="4"/>
      <c r="B831" s="4"/>
      <c r="C831" s="4">
        <v>895445</v>
      </c>
      <c r="D831" s="22">
        <v>7965.26</v>
      </c>
      <c r="E831" s="17">
        <f t="shared" si="20"/>
        <v>-0.26000000000021828</v>
      </c>
      <c r="F831" s="9">
        <v>45328</v>
      </c>
      <c r="G831" s="10">
        <v>331124671</v>
      </c>
      <c r="H831" s="9">
        <v>45323</v>
      </c>
      <c r="I831" s="9">
        <v>45338</v>
      </c>
      <c r="J831" s="8">
        <v>7965</v>
      </c>
      <c r="K831" s="8" t="s">
        <v>31</v>
      </c>
      <c r="L831" s="8" t="s">
        <v>32</v>
      </c>
      <c r="M831" s="8"/>
      <c r="N831" s="8" t="b">
        <v>0</v>
      </c>
      <c r="O831" s="10">
        <v>716175</v>
      </c>
      <c r="P831" s="8" t="s">
        <v>185</v>
      </c>
      <c r="Q831" s="8">
        <v>721963</v>
      </c>
      <c r="R831" s="9">
        <v>45323</v>
      </c>
      <c r="S831" s="8" t="s">
        <v>34</v>
      </c>
      <c r="T831" s="8" t="s">
        <v>40</v>
      </c>
      <c r="U831" s="8" t="s">
        <v>157</v>
      </c>
      <c r="V831" s="8" t="s">
        <v>158</v>
      </c>
      <c r="W831" s="8">
        <v>0</v>
      </c>
    </row>
    <row r="832" spans="1:23" x14ac:dyDescent="0.25">
      <c r="A832" s="4"/>
      <c r="B832" s="4"/>
      <c r="C832" s="4">
        <v>895447</v>
      </c>
      <c r="D832" s="22">
        <v>7965.26</v>
      </c>
      <c r="E832" s="17">
        <f t="shared" si="20"/>
        <v>-0.26000000000021828</v>
      </c>
      <c r="F832" s="9">
        <v>45328</v>
      </c>
      <c r="G832" s="10">
        <v>331124167</v>
      </c>
      <c r="H832" s="9">
        <v>45323</v>
      </c>
      <c r="I832" s="9">
        <v>45338</v>
      </c>
      <c r="J832" s="8">
        <v>7965</v>
      </c>
      <c r="K832" s="8" t="s">
        <v>31</v>
      </c>
      <c r="L832" s="8" t="s">
        <v>32</v>
      </c>
      <c r="M832" s="8"/>
      <c r="N832" s="8" t="b">
        <v>0</v>
      </c>
      <c r="O832" s="10">
        <v>716174</v>
      </c>
      <c r="P832" s="8" t="s">
        <v>68</v>
      </c>
      <c r="Q832" s="8">
        <v>720878</v>
      </c>
      <c r="R832" s="9">
        <v>45323</v>
      </c>
      <c r="S832" s="8" t="s">
        <v>34</v>
      </c>
      <c r="T832" s="8" t="s">
        <v>40</v>
      </c>
      <c r="U832" s="8" t="s">
        <v>157</v>
      </c>
      <c r="V832" s="8" t="s">
        <v>158</v>
      </c>
      <c r="W832" s="8">
        <v>0</v>
      </c>
    </row>
    <row r="833" spans="1:23" x14ac:dyDescent="0.25">
      <c r="A833" s="4"/>
      <c r="B833" s="4"/>
      <c r="C833" s="4">
        <v>895455</v>
      </c>
      <c r="D833" s="22">
        <v>7965.26</v>
      </c>
      <c r="E833" s="17">
        <f t="shared" si="20"/>
        <v>-0.26000000000021828</v>
      </c>
      <c r="F833" s="9">
        <v>45328</v>
      </c>
      <c r="G833" s="10">
        <v>331123841</v>
      </c>
      <c r="H833" s="9">
        <v>45323</v>
      </c>
      <c r="I833" s="9">
        <v>45338</v>
      </c>
      <c r="J833" s="8">
        <v>7965</v>
      </c>
      <c r="K833" s="8" t="s">
        <v>31</v>
      </c>
      <c r="L833" s="8" t="s">
        <v>32</v>
      </c>
      <c r="M833" s="8"/>
      <c r="N833" s="8" t="b">
        <v>0</v>
      </c>
      <c r="O833" s="10">
        <v>716173</v>
      </c>
      <c r="P833" s="8" t="s">
        <v>177</v>
      </c>
      <c r="Q833" s="8">
        <v>720303</v>
      </c>
      <c r="R833" s="9">
        <v>45323</v>
      </c>
      <c r="S833" s="8" t="s">
        <v>34</v>
      </c>
      <c r="T833" s="8" t="s">
        <v>40</v>
      </c>
      <c r="U833" s="8" t="s">
        <v>157</v>
      </c>
      <c r="V833" s="8" t="s">
        <v>158</v>
      </c>
      <c r="W833" s="8">
        <v>0</v>
      </c>
    </row>
    <row r="834" spans="1:23" x14ac:dyDescent="0.25">
      <c r="A834" s="4"/>
      <c r="B834" s="4"/>
      <c r="C834" s="4">
        <v>895458</v>
      </c>
      <c r="D834" s="22">
        <v>7965.26</v>
      </c>
      <c r="E834" s="17">
        <f t="shared" si="20"/>
        <v>-0.26000000000021828</v>
      </c>
      <c r="F834" s="9">
        <v>45328</v>
      </c>
      <c r="G834" s="10">
        <v>331123460</v>
      </c>
      <c r="H834" s="9">
        <v>45323</v>
      </c>
      <c r="I834" s="9">
        <v>45338</v>
      </c>
      <c r="J834" s="8">
        <v>7965</v>
      </c>
      <c r="K834" s="8" t="s">
        <v>31</v>
      </c>
      <c r="L834" s="8" t="s">
        <v>32</v>
      </c>
      <c r="M834" s="8"/>
      <c r="N834" s="8" t="b">
        <v>0</v>
      </c>
      <c r="O834" s="10">
        <v>716171</v>
      </c>
      <c r="P834" s="8" t="s">
        <v>161</v>
      </c>
      <c r="Q834" s="8">
        <v>719932</v>
      </c>
      <c r="R834" s="9">
        <v>45323</v>
      </c>
      <c r="S834" s="8" t="s">
        <v>34</v>
      </c>
      <c r="T834" s="8" t="s">
        <v>40</v>
      </c>
      <c r="U834" s="8" t="s">
        <v>157</v>
      </c>
      <c r="V834" s="8" t="s">
        <v>158</v>
      </c>
      <c r="W834" s="8">
        <v>0</v>
      </c>
    </row>
    <row r="835" spans="1:23" x14ac:dyDescent="0.25">
      <c r="A835" s="4"/>
      <c r="B835" s="4"/>
      <c r="C835" s="4">
        <v>895461</v>
      </c>
      <c r="D835" s="22">
        <v>7965.26</v>
      </c>
      <c r="E835" s="17">
        <f t="shared" si="20"/>
        <v>-0.26000000000021828</v>
      </c>
      <c r="F835" s="9">
        <v>45328</v>
      </c>
      <c r="G835" s="10">
        <v>331123451</v>
      </c>
      <c r="H835" s="9">
        <v>45323</v>
      </c>
      <c r="I835" s="9">
        <v>45338</v>
      </c>
      <c r="J835" s="8">
        <v>7965</v>
      </c>
      <c r="K835" s="8" t="s">
        <v>31</v>
      </c>
      <c r="L835" s="8" t="s">
        <v>32</v>
      </c>
      <c r="M835" s="8"/>
      <c r="N835" s="8" t="b">
        <v>0</v>
      </c>
      <c r="O835" s="10">
        <v>716170</v>
      </c>
      <c r="P835" s="8" t="s">
        <v>272</v>
      </c>
      <c r="Q835" s="8">
        <v>719780</v>
      </c>
      <c r="R835" s="9">
        <v>45323</v>
      </c>
      <c r="S835" s="8" t="s">
        <v>34</v>
      </c>
      <c r="T835" s="8" t="s">
        <v>40</v>
      </c>
      <c r="U835" s="8" t="s">
        <v>157</v>
      </c>
      <c r="V835" s="8" t="s">
        <v>158</v>
      </c>
      <c r="W835" s="8">
        <v>0</v>
      </c>
    </row>
    <row r="836" spans="1:23" x14ac:dyDescent="0.25">
      <c r="A836" s="4"/>
      <c r="B836" s="4"/>
      <c r="C836" s="4">
        <v>895465</v>
      </c>
      <c r="D836" s="22">
        <v>7965.26</v>
      </c>
      <c r="E836" s="17">
        <f t="shared" si="20"/>
        <v>-0.26000000000021828</v>
      </c>
      <c r="F836" s="9">
        <v>45328</v>
      </c>
      <c r="G836" s="10">
        <v>331123437</v>
      </c>
      <c r="H836" s="9">
        <v>45323</v>
      </c>
      <c r="I836" s="9">
        <v>45338</v>
      </c>
      <c r="J836" s="8">
        <v>7965</v>
      </c>
      <c r="K836" s="8" t="s">
        <v>31</v>
      </c>
      <c r="L836" s="8" t="s">
        <v>32</v>
      </c>
      <c r="M836" s="8"/>
      <c r="N836" s="8" t="b">
        <v>0</v>
      </c>
      <c r="O836" s="10">
        <v>716172</v>
      </c>
      <c r="P836" s="8" t="s">
        <v>168</v>
      </c>
      <c r="Q836" s="8">
        <v>720037</v>
      </c>
      <c r="R836" s="9">
        <v>45323</v>
      </c>
      <c r="S836" s="8" t="s">
        <v>34</v>
      </c>
      <c r="T836" s="8" t="s">
        <v>40</v>
      </c>
      <c r="U836" s="8" t="s">
        <v>157</v>
      </c>
      <c r="V836" s="8" t="s">
        <v>158</v>
      </c>
      <c r="W836" s="8">
        <v>0</v>
      </c>
    </row>
    <row r="837" spans="1:23" x14ac:dyDescent="0.25">
      <c r="A837" s="4"/>
      <c r="B837" s="4"/>
      <c r="C837" s="4">
        <v>895466</v>
      </c>
      <c r="D837" s="22">
        <v>7965.26</v>
      </c>
      <c r="E837" s="17">
        <f t="shared" si="20"/>
        <v>-0.26000000000021828</v>
      </c>
      <c r="F837" s="9">
        <v>45328</v>
      </c>
      <c r="G837" s="10">
        <v>331122871</v>
      </c>
      <c r="H837" s="9">
        <v>45323</v>
      </c>
      <c r="I837" s="9">
        <v>45338</v>
      </c>
      <c r="J837" s="8">
        <v>7965</v>
      </c>
      <c r="K837" s="8" t="s">
        <v>31</v>
      </c>
      <c r="L837" s="8" t="s">
        <v>32</v>
      </c>
      <c r="M837" s="8"/>
      <c r="N837" s="8" t="b">
        <v>0</v>
      </c>
      <c r="O837" s="10">
        <v>716169</v>
      </c>
      <c r="P837" s="8" t="s">
        <v>228</v>
      </c>
      <c r="Q837" s="8">
        <v>719156</v>
      </c>
      <c r="R837" s="9">
        <v>45323</v>
      </c>
      <c r="S837" s="8" t="s">
        <v>34</v>
      </c>
      <c r="T837" s="8" t="s">
        <v>40</v>
      </c>
      <c r="U837" s="8" t="s">
        <v>157</v>
      </c>
      <c r="V837" s="8" t="s">
        <v>158</v>
      </c>
      <c r="W837" s="8">
        <v>0</v>
      </c>
    </row>
    <row r="838" spans="1:23" x14ac:dyDescent="0.25">
      <c r="A838" s="4"/>
      <c r="B838" s="4"/>
      <c r="C838" s="4">
        <v>894991</v>
      </c>
      <c r="D838" s="22">
        <v>69260.800000000003</v>
      </c>
      <c r="E838" s="17">
        <f t="shared" si="20"/>
        <v>3.1999999999970896</v>
      </c>
      <c r="F838" s="9">
        <v>45328</v>
      </c>
      <c r="G838" s="10">
        <v>331146100</v>
      </c>
      <c r="H838" s="9">
        <v>45324</v>
      </c>
      <c r="I838" s="9">
        <v>45339</v>
      </c>
      <c r="J838" s="8">
        <v>69264</v>
      </c>
      <c r="K838" s="8" t="s">
        <v>31</v>
      </c>
      <c r="L838" s="8" t="s">
        <v>32</v>
      </c>
      <c r="M838" s="8"/>
      <c r="N838" s="8" t="b">
        <v>0</v>
      </c>
      <c r="O838" s="10">
        <v>716402</v>
      </c>
      <c r="P838" s="8" t="s">
        <v>316</v>
      </c>
      <c r="Q838" s="8">
        <v>753168</v>
      </c>
      <c r="R838" s="9">
        <v>45324</v>
      </c>
      <c r="S838" s="8" t="s">
        <v>34</v>
      </c>
      <c r="T838" s="8" t="s">
        <v>49</v>
      </c>
      <c r="U838" s="8" t="s">
        <v>75</v>
      </c>
      <c r="V838" s="8" t="s">
        <v>46</v>
      </c>
      <c r="W838" s="8">
        <v>0</v>
      </c>
    </row>
    <row r="839" spans="1:23" x14ac:dyDescent="0.25">
      <c r="A839" s="4"/>
      <c r="B839" s="4"/>
      <c r="C839" s="4" t="s">
        <v>384</v>
      </c>
      <c r="D839" s="22">
        <v>4993</v>
      </c>
      <c r="E839" s="17">
        <f>J839-D839</f>
        <v>0</v>
      </c>
      <c r="F839" s="9">
        <v>45342</v>
      </c>
      <c r="G839" s="10">
        <v>331206386</v>
      </c>
      <c r="H839" s="9">
        <v>45328</v>
      </c>
      <c r="I839" s="9">
        <v>45343</v>
      </c>
      <c r="J839" s="8">
        <v>4993</v>
      </c>
      <c r="K839" s="8" t="s">
        <v>31</v>
      </c>
      <c r="L839" s="8" t="s">
        <v>32</v>
      </c>
      <c r="M839" s="8"/>
      <c r="N839" s="8" t="b">
        <v>0</v>
      </c>
      <c r="O839" s="10" t="s">
        <v>385</v>
      </c>
      <c r="P839" s="8" t="s">
        <v>386</v>
      </c>
      <c r="Q839" s="8">
        <v>142452</v>
      </c>
      <c r="R839" s="9">
        <v>45321</v>
      </c>
      <c r="S839" s="8" t="s">
        <v>362</v>
      </c>
      <c r="T839" s="8" t="s">
        <v>387</v>
      </c>
      <c r="U839" s="8" t="s">
        <v>260</v>
      </c>
      <c r="V839" s="8" t="s">
        <v>261</v>
      </c>
      <c r="W839" s="8">
        <v>0</v>
      </c>
    </row>
    <row r="840" spans="1:23" x14ac:dyDescent="0.25">
      <c r="A840" s="4"/>
      <c r="B840" s="4"/>
      <c r="C840" s="4" t="s">
        <v>388</v>
      </c>
      <c r="D840" s="22">
        <v>4993</v>
      </c>
      <c r="E840" s="17">
        <f>J840-D840</f>
        <v>0</v>
      </c>
      <c r="F840" s="9">
        <v>45342</v>
      </c>
      <c r="G840" s="10">
        <v>331206385</v>
      </c>
      <c r="H840" s="9">
        <v>45328</v>
      </c>
      <c r="I840" s="9">
        <v>45343</v>
      </c>
      <c r="J840" s="8">
        <v>4993</v>
      </c>
      <c r="K840" s="8" t="s">
        <v>31</v>
      </c>
      <c r="L840" s="8" t="s">
        <v>32</v>
      </c>
      <c r="M840" s="8"/>
      <c r="N840" s="8" t="b">
        <v>0</v>
      </c>
      <c r="O840" s="10" t="s">
        <v>385</v>
      </c>
      <c r="P840" s="8" t="s">
        <v>389</v>
      </c>
      <c r="Q840" s="8">
        <v>142454</v>
      </c>
      <c r="R840" s="9">
        <v>45321</v>
      </c>
      <c r="S840" s="8" t="s">
        <v>362</v>
      </c>
      <c r="T840" s="8" t="s">
        <v>387</v>
      </c>
      <c r="U840" s="8" t="s">
        <v>260</v>
      </c>
      <c r="V840" s="8" t="s">
        <v>261</v>
      </c>
      <c r="W840" s="8">
        <v>0</v>
      </c>
    </row>
    <row r="841" spans="1:23" x14ac:dyDescent="0.25">
      <c r="A841" s="4"/>
      <c r="B841" s="4"/>
      <c r="C841" s="4">
        <v>895531</v>
      </c>
      <c r="D841" s="22">
        <v>6929.72</v>
      </c>
      <c r="E841" s="17">
        <f t="shared" si="20"/>
        <v>-0.72000000000025466</v>
      </c>
      <c r="F841" s="9">
        <v>45342</v>
      </c>
      <c r="G841" s="10">
        <v>331217550</v>
      </c>
      <c r="H841" s="9">
        <v>45328</v>
      </c>
      <c r="I841" s="9">
        <v>45343</v>
      </c>
      <c r="J841" s="8">
        <v>6929</v>
      </c>
      <c r="K841" s="8" t="s">
        <v>31</v>
      </c>
      <c r="L841" s="8" t="s">
        <v>32</v>
      </c>
      <c r="M841" s="8"/>
      <c r="N841" s="8" t="b">
        <v>0</v>
      </c>
      <c r="O841" s="10">
        <v>21271</v>
      </c>
      <c r="P841" s="8" t="s">
        <v>173</v>
      </c>
      <c r="Q841" s="8">
        <v>850531</v>
      </c>
      <c r="R841" s="9">
        <v>45328</v>
      </c>
      <c r="S841" s="8" t="s">
        <v>39</v>
      </c>
      <c r="T841" s="8" t="s">
        <v>40</v>
      </c>
      <c r="U841" s="8" t="s">
        <v>41</v>
      </c>
      <c r="V841" s="8" t="s">
        <v>42</v>
      </c>
      <c r="W841" s="8">
        <v>0</v>
      </c>
    </row>
    <row r="842" spans="1:23" x14ac:dyDescent="0.25">
      <c r="A842" s="4"/>
      <c r="B842" s="4"/>
      <c r="C842" s="4">
        <v>896469</v>
      </c>
      <c r="D842" s="22">
        <v>6906.92</v>
      </c>
      <c r="E842" s="17">
        <f>J842-D842</f>
        <v>7.999999999992724E-2</v>
      </c>
      <c r="F842" s="9">
        <v>45342</v>
      </c>
      <c r="G842" s="10">
        <v>331206880</v>
      </c>
      <c r="H842" s="9">
        <v>45328</v>
      </c>
      <c r="I842" s="9">
        <v>45343</v>
      </c>
      <c r="J842" s="8">
        <v>6907</v>
      </c>
      <c r="K842" s="8" t="s">
        <v>31</v>
      </c>
      <c r="L842" s="8" t="s">
        <v>32</v>
      </c>
      <c r="M842" s="8"/>
      <c r="N842" s="8" t="b">
        <v>0</v>
      </c>
      <c r="O842" s="10">
        <v>21264</v>
      </c>
      <c r="P842" s="8" t="s">
        <v>302</v>
      </c>
      <c r="Q842" s="8">
        <v>836926</v>
      </c>
      <c r="R842" s="9">
        <v>45328</v>
      </c>
      <c r="S842" s="8" t="s">
        <v>39</v>
      </c>
      <c r="T842" s="8" t="s">
        <v>44</v>
      </c>
      <c r="U842" s="8" t="s">
        <v>41</v>
      </c>
      <c r="V842" s="8" t="s">
        <v>42</v>
      </c>
      <c r="W842" s="8">
        <v>0</v>
      </c>
    </row>
    <row r="843" spans="1:23" x14ac:dyDescent="0.25">
      <c r="A843" s="4"/>
      <c r="B843" s="4"/>
      <c r="C843" s="4">
        <v>896470</v>
      </c>
      <c r="D843" s="22">
        <v>6906.92</v>
      </c>
      <c r="E843" s="17">
        <f>J843-D843</f>
        <v>7.999999999992724E-2</v>
      </c>
      <c r="F843" s="9">
        <v>45342</v>
      </c>
      <c r="G843" s="10">
        <v>331206879</v>
      </c>
      <c r="H843" s="9">
        <v>45328</v>
      </c>
      <c r="I843" s="9">
        <v>45343</v>
      </c>
      <c r="J843" s="8">
        <v>6907</v>
      </c>
      <c r="K843" s="8" t="s">
        <v>31</v>
      </c>
      <c r="L843" s="8" t="s">
        <v>32</v>
      </c>
      <c r="M843" s="8"/>
      <c r="N843" s="8" t="b">
        <v>0</v>
      </c>
      <c r="O843" s="10">
        <v>21265</v>
      </c>
      <c r="P843" s="8" t="s">
        <v>282</v>
      </c>
      <c r="Q843" s="8">
        <v>836902</v>
      </c>
      <c r="R843" s="9">
        <v>45328</v>
      </c>
      <c r="S843" s="8" t="s">
        <v>39</v>
      </c>
      <c r="T843" s="8" t="s">
        <v>44</v>
      </c>
      <c r="U843" s="8" t="s">
        <v>41</v>
      </c>
      <c r="V843" s="8" t="s">
        <v>42</v>
      </c>
      <c r="W843" s="8">
        <v>0</v>
      </c>
    </row>
    <row r="844" spans="1:23" s="38" customFormat="1" x14ac:dyDescent="0.25">
      <c r="A844" s="34"/>
      <c r="B844" s="34"/>
      <c r="C844" s="34">
        <v>895494</v>
      </c>
      <c r="D844" s="35">
        <v>6929.72</v>
      </c>
      <c r="E844" s="37">
        <f t="shared" si="20"/>
        <v>-0.72000000000025466</v>
      </c>
      <c r="F844" s="9">
        <v>45342</v>
      </c>
      <c r="G844" s="16">
        <v>331217939</v>
      </c>
      <c r="H844" s="46">
        <v>45328</v>
      </c>
      <c r="I844" s="46">
        <v>45343</v>
      </c>
      <c r="J844" s="47">
        <v>6929</v>
      </c>
      <c r="K844" s="47" t="s">
        <v>31</v>
      </c>
      <c r="L844" s="47" t="s">
        <v>32</v>
      </c>
      <c r="M844" s="47"/>
      <c r="N844" s="47" t="b">
        <v>0</v>
      </c>
      <c r="O844" s="16">
        <v>21269</v>
      </c>
      <c r="P844" s="47" t="s">
        <v>141</v>
      </c>
      <c r="Q844" s="47">
        <v>850744</v>
      </c>
      <c r="R844" s="46">
        <v>45328</v>
      </c>
      <c r="S844" s="47" t="s">
        <v>39</v>
      </c>
      <c r="T844" s="47" t="s">
        <v>40</v>
      </c>
      <c r="U844" s="47" t="s">
        <v>41</v>
      </c>
      <c r="V844" s="47" t="s">
        <v>42</v>
      </c>
      <c r="W844" s="47">
        <v>0</v>
      </c>
    </row>
    <row r="845" spans="1:23" x14ac:dyDescent="0.25">
      <c r="A845" s="4"/>
      <c r="B845" s="4"/>
      <c r="C845" s="4">
        <v>895526</v>
      </c>
      <c r="D845" s="22">
        <v>6929.72</v>
      </c>
      <c r="E845" s="17">
        <f t="shared" si="20"/>
        <v>-0.72000000000025466</v>
      </c>
      <c r="F845" s="9">
        <v>45342</v>
      </c>
      <c r="G845" s="10">
        <v>331217525</v>
      </c>
      <c r="H845" s="9">
        <v>45328</v>
      </c>
      <c r="I845" s="9">
        <v>45343</v>
      </c>
      <c r="J845" s="8">
        <v>6929</v>
      </c>
      <c r="K845" s="8" t="s">
        <v>31</v>
      </c>
      <c r="L845" s="8" t="s">
        <v>32</v>
      </c>
      <c r="M845" s="8"/>
      <c r="N845" s="8" t="b">
        <v>0</v>
      </c>
      <c r="O845" s="10">
        <v>21270</v>
      </c>
      <c r="P845" s="8" t="s">
        <v>230</v>
      </c>
      <c r="Q845" s="8">
        <v>850593</v>
      </c>
      <c r="R845" s="9">
        <v>45328</v>
      </c>
      <c r="S845" s="8" t="s">
        <v>39</v>
      </c>
      <c r="T845" s="8" t="s">
        <v>40</v>
      </c>
      <c r="U845" s="8" t="s">
        <v>41</v>
      </c>
      <c r="V845" s="8" t="s">
        <v>42</v>
      </c>
      <c r="W845" s="8">
        <v>0</v>
      </c>
    </row>
    <row r="846" spans="1:23" x14ac:dyDescent="0.25">
      <c r="A846" s="4"/>
      <c r="B846" s="4"/>
      <c r="C846" s="4">
        <v>895651</v>
      </c>
      <c r="D846" s="22">
        <v>9113.64</v>
      </c>
      <c r="E846" s="17">
        <f t="shared" si="20"/>
        <v>0.36000000000058208</v>
      </c>
      <c r="F846" s="9">
        <v>45342</v>
      </c>
      <c r="G846" s="10">
        <v>331217492</v>
      </c>
      <c r="H846" s="9">
        <v>45328</v>
      </c>
      <c r="I846" s="9">
        <v>45343</v>
      </c>
      <c r="J846" s="8">
        <v>9114</v>
      </c>
      <c r="K846" s="8" t="s">
        <v>31</v>
      </c>
      <c r="L846" s="8" t="s">
        <v>32</v>
      </c>
      <c r="M846" s="8"/>
      <c r="N846" s="8" t="b">
        <v>0</v>
      </c>
      <c r="O846" s="10">
        <v>709993</v>
      </c>
      <c r="P846" s="8" t="s">
        <v>170</v>
      </c>
      <c r="Q846" s="8">
        <v>850439</v>
      </c>
      <c r="R846" s="9">
        <v>45328</v>
      </c>
      <c r="S846" s="8" t="s">
        <v>130</v>
      </c>
      <c r="T846" s="8" t="s">
        <v>40</v>
      </c>
      <c r="U846" s="8" t="s">
        <v>131</v>
      </c>
      <c r="V846" s="8" t="s">
        <v>132</v>
      </c>
      <c r="W846" s="8">
        <v>0</v>
      </c>
    </row>
    <row r="847" spans="1:23" x14ac:dyDescent="0.25">
      <c r="A847" s="4"/>
      <c r="B847" s="4"/>
      <c r="C847" s="4">
        <v>895304</v>
      </c>
      <c r="D847" s="22">
        <v>86576</v>
      </c>
      <c r="E847" s="17">
        <f t="shared" si="20"/>
        <v>4</v>
      </c>
      <c r="F847" s="9">
        <v>45342</v>
      </c>
      <c r="G847" s="10">
        <v>331200540</v>
      </c>
      <c r="H847" s="9">
        <v>45328</v>
      </c>
      <c r="I847" s="9">
        <v>45343</v>
      </c>
      <c r="J847" s="8">
        <v>86580</v>
      </c>
      <c r="K847" s="8" t="s">
        <v>31</v>
      </c>
      <c r="L847" s="8" t="s">
        <v>32</v>
      </c>
      <c r="M847" s="8"/>
      <c r="N847" s="8" t="b">
        <v>0</v>
      </c>
      <c r="O847" s="10"/>
      <c r="P847" s="8" t="s">
        <v>390</v>
      </c>
      <c r="Q847" s="8">
        <v>827392</v>
      </c>
      <c r="R847" s="9">
        <v>45327</v>
      </c>
      <c r="S847" s="8" t="s">
        <v>34</v>
      </c>
      <c r="T847" s="8" t="s">
        <v>49</v>
      </c>
      <c r="U847" s="8" t="s">
        <v>75</v>
      </c>
      <c r="V847" s="8" t="s">
        <v>46</v>
      </c>
      <c r="W847" s="8">
        <v>0</v>
      </c>
    </row>
    <row r="848" spans="1:23" x14ac:dyDescent="0.25">
      <c r="A848" s="4"/>
      <c r="B848" s="4"/>
      <c r="C848" s="4" t="s">
        <v>391</v>
      </c>
      <c r="D848" s="22">
        <v>2870</v>
      </c>
      <c r="E848" s="17">
        <f t="shared" ref="E848" si="21">J848-D848</f>
        <v>0</v>
      </c>
      <c r="F848" s="9">
        <v>45342</v>
      </c>
      <c r="G848" s="10">
        <v>331238760</v>
      </c>
      <c r="H848" s="9">
        <v>45329</v>
      </c>
      <c r="I848" s="9">
        <v>45344</v>
      </c>
      <c r="J848" s="8">
        <v>2870</v>
      </c>
      <c r="K848" s="8" t="s">
        <v>31</v>
      </c>
      <c r="L848" s="8" t="s">
        <v>32</v>
      </c>
      <c r="M848" s="8"/>
      <c r="N848" s="8" t="b">
        <v>0</v>
      </c>
      <c r="O848" s="10" t="s">
        <v>392</v>
      </c>
      <c r="P848" s="8" t="s">
        <v>393</v>
      </c>
      <c r="Q848" s="8">
        <v>878441</v>
      </c>
      <c r="R848" s="9">
        <v>45329</v>
      </c>
      <c r="S848" s="8" t="s">
        <v>362</v>
      </c>
      <c r="T848" s="8" t="s">
        <v>394</v>
      </c>
      <c r="U848" s="8" t="s">
        <v>260</v>
      </c>
      <c r="V848" s="8" t="s">
        <v>261</v>
      </c>
      <c r="W848" s="8">
        <v>0</v>
      </c>
    </row>
    <row r="849" spans="1:23" x14ac:dyDescent="0.25">
      <c r="A849" s="4"/>
      <c r="B849" s="4"/>
      <c r="C849" s="4">
        <v>895683</v>
      </c>
      <c r="D849" s="22">
        <v>5097.88</v>
      </c>
      <c r="E849" s="17">
        <f t="shared" ref="E849:E888" si="22">J849-D849</f>
        <v>0.11999999999989086</v>
      </c>
      <c r="F849" s="9">
        <v>45342</v>
      </c>
      <c r="G849" s="10">
        <v>331230498</v>
      </c>
      <c r="H849" s="9">
        <v>45329</v>
      </c>
      <c r="I849" s="9">
        <v>45344</v>
      </c>
      <c r="J849" s="8">
        <v>5098</v>
      </c>
      <c r="K849" s="8" t="s">
        <v>31</v>
      </c>
      <c r="L849" s="8" t="s">
        <v>32</v>
      </c>
      <c r="M849" s="8"/>
      <c r="N849" s="8" t="b">
        <v>0</v>
      </c>
      <c r="O849" s="10">
        <v>710352</v>
      </c>
      <c r="P849" s="8" t="s">
        <v>100</v>
      </c>
      <c r="Q849" s="8">
        <v>865482</v>
      </c>
      <c r="R849" s="9">
        <v>45329</v>
      </c>
      <c r="S849" s="8" t="s">
        <v>180</v>
      </c>
      <c r="T849" s="8" t="s">
        <v>44</v>
      </c>
      <c r="U849" s="8" t="s">
        <v>45</v>
      </c>
      <c r="V849" s="8" t="s">
        <v>46</v>
      </c>
      <c r="W849" s="8">
        <v>0</v>
      </c>
    </row>
    <row r="850" spans="1:23" x14ac:dyDescent="0.25">
      <c r="A850" s="4"/>
      <c r="B850" s="4"/>
      <c r="C850" s="4">
        <v>896468</v>
      </c>
      <c r="D850" s="22">
        <v>6906.92</v>
      </c>
      <c r="E850" s="17">
        <f t="shared" si="22"/>
        <v>7.999999999992724E-2</v>
      </c>
      <c r="F850" s="9">
        <v>45342</v>
      </c>
      <c r="G850" s="10">
        <v>331230462</v>
      </c>
      <c r="H850" s="9">
        <v>45329</v>
      </c>
      <c r="I850" s="9">
        <v>45344</v>
      </c>
      <c r="J850" s="8">
        <v>6907</v>
      </c>
      <c r="K850" s="8" t="s">
        <v>31</v>
      </c>
      <c r="L850" s="8" t="s">
        <v>32</v>
      </c>
      <c r="M850" s="8"/>
      <c r="N850" s="8" t="b">
        <v>0</v>
      </c>
      <c r="O850" s="10">
        <v>21266</v>
      </c>
      <c r="P850" s="8" t="s">
        <v>144</v>
      </c>
      <c r="Q850" s="8">
        <v>865391</v>
      </c>
      <c r="R850" s="9">
        <v>45329</v>
      </c>
      <c r="S850" s="8" t="s">
        <v>39</v>
      </c>
      <c r="T850" s="8" t="s">
        <v>44</v>
      </c>
      <c r="U850" s="8" t="s">
        <v>41</v>
      </c>
      <c r="V850" s="8" t="s">
        <v>42</v>
      </c>
      <c r="W850" s="8">
        <v>0</v>
      </c>
    </row>
    <row r="851" spans="1:23" x14ac:dyDescent="0.25">
      <c r="A851" s="4"/>
      <c r="B851" s="4"/>
      <c r="C851" s="4">
        <v>895914</v>
      </c>
      <c r="D851" s="22">
        <v>5095.9799999999996</v>
      </c>
      <c r="E851" s="17">
        <f t="shared" si="22"/>
        <v>2.0000000000436557E-2</v>
      </c>
      <c r="F851" s="9">
        <v>45342</v>
      </c>
      <c r="G851" s="10">
        <v>331230403</v>
      </c>
      <c r="H851" s="9">
        <v>45329</v>
      </c>
      <c r="I851" s="9">
        <v>45344</v>
      </c>
      <c r="J851" s="8">
        <v>5096</v>
      </c>
      <c r="K851" s="8" t="s">
        <v>31</v>
      </c>
      <c r="L851" s="8" t="s">
        <v>32</v>
      </c>
      <c r="M851" s="8"/>
      <c r="N851" s="8" t="b">
        <v>0</v>
      </c>
      <c r="O851" s="10">
        <v>715181</v>
      </c>
      <c r="P851" s="8" t="s">
        <v>349</v>
      </c>
      <c r="Q851" s="8">
        <v>865591</v>
      </c>
      <c r="R851" s="9">
        <v>45329</v>
      </c>
      <c r="S851" s="8" t="s">
        <v>34</v>
      </c>
      <c r="T851" s="8" t="s">
        <v>44</v>
      </c>
      <c r="U851" s="8" t="s">
        <v>58</v>
      </c>
      <c r="V851" s="8" t="s">
        <v>46</v>
      </c>
      <c r="W851" s="8">
        <v>0</v>
      </c>
    </row>
    <row r="852" spans="1:23" x14ac:dyDescent="0.25">
      <c r="A852" s="4"/>
      <c r="B852" s="4"/>
      <c r="C852" s="4">
        <v>895655</v>
      </c>
      <c r="D852" s="22">
        <v>7677.82</v>
      </c>
      <c r="E852" s="17">
        <f t="shared" si="22"/>
        <v>0.18000000000029104</v>
      </c>
      <c r="F852" s="9">
        <v>45342</v>
      </c>
      <c r="G852" s="10">
        <v>331230170</v>
      </c>
      <c r="H852" s="9">
        <v>45329</v>
      </c>
      <c r="I852" s="9">
        <v>45344</v>
      </c>
      <c r="J852" s="8">
        <v>7678</v>
      </c>
      <c r="K852" s="8" t="s">
        <v>31</v>
      </c>
      <c r="L852" s="8" t="s">
        <v>32</v>
      </c>
      <c r="M852" s="8"/>
      <c r="N852" s="8" t="b">
        <v>0</v>
      </c>
      <c r="O852" s="10">
        <v>21268</v>
      </c>
      <c r="P852" s="8" t="s">
        <v>78</v>
      </c>
      <c r="Q852" s="8">
        <v>865223</v>
      </c>
      <c r="R852" s="9">
        <v>45329</v>
      </c>
      <c r="S852" s="8" t="s">
        <v>318</v>
      </c>
      <c r="T852" s="8" t="s">
        <v>44</v>
      </c>
      <c r="U852" s="8" t="s">
        <v>319</v>
      </c>
      <c r="V852" s="8" t="s">
        <v>320</v>
      </c>
      <c r="W852" s="8">
        <v>0</v>
      </c>
    </row>
    <row r="853" spans="1:23" x14ac:dyDescent="0.25">
      <c r="A853" s="4"/>
      <c r="B853" s="4"/>
      <c r="C853" s="4">
        <v>895663</v>
      </c>
      <c r="D853" s="22">
        <v>7677.82</v>
      </c>
      <c r="E853" s="17">
        <f t="shared" si="22"/>
        <v>0.18000000000029104</v>
      </c>
      <c r="F853" s="9">
        <v>45342</v>
      </c>
      <c r="G853" s="10">
        <v>331230148</v>
      </c>
      <c r="H853" s="9">
        <v>45329</v>
      </c>
      <c r="I853" s="9">
        <v>45344</v>
      </c>
      <c r="J853" s="8">
        <v>7678</v>
      </c>
      <c r="K853" s="8" t="s">
        <v>31</v>
      </c>
      <c r="L853" s="8" t="s">
        <v>32</v>
      </c>
      <c r="M853" s="8"/>
      <c r="N853" s="8" t="b">
        <v>0</v>
      </c>
      <c r="O853" s="10">
        <v>21267</v>
      </c>
      <c r="P853" s="8" t="s">
        <v>59</v>
      </c>
      <c r="Q853" s="8">
        <v>865294</v>
      </c>
      <c r="R853" s="9">
        <v>45329</v>
      </c>
      <c r="S853" s="8" t="s">
        <v>318</v>
      </c>
      <c r="T853" s="8" t="s">
        <v>44</v>
      </c>
      <c r="U853" s="8" t="s">
        <v>319</v>
      </c>
      <c r="V853" s="8" t="s">
        <v>320</v>
      </c>
      <c r="W853" s="8">
        <v>0</v>
      </c>
    </row>
    <row r="854" spans="1:23" x14ac:dyDescent="0.25">
      <c r="A854" s="4"/>
      <c r="B854" s="4"/>
      <c r="C854" s="4">
        <v>896240</v>
      </c>
      <c r="D854" s="22">
        <v>5120.3</v>
      </c>
      <c r="E854" s="17">
        <f t="shared" si="22"/>
        <v>-0.3000000000001819</v>
      </c>
      <c r="F854" s="9">
        <v>45342</v>
      </c>
      <c r="G854" s="10">
        <v>331255897</v>
      </c>
      <c r="H854" s="9">
        <v>45330</v>
      </c>
      <c r="I854" s="9">
        <v>45345</v>
      </c>
      <c r="J854" s="8">
        <v>5120</v>
      </c>
      <c r="K854" s="8" t="s">
        <v>31</v>
      </c>
      <c r="L854" s="8" t="s">
        <v>32</v>
      </c>
      <c r="M854" s="8"/>
      <c r="N854" s="8" t="b">
        <v>0</v>
      </c>
      <c r="O854" s="10">
        <v>717051</v>
      </c>
      <c r="P854" s="8" t="s">
        <v>94</v>
      </c>
      <c r="Q854" s="8">
        <v>100353</v>
      </c>
      <c r="R854" s="9">
        <v>45330</v>
      </c>
      <c r="S854" s="8" t="s">
        <v>48</v>
      </c>
      <c r="T854" s="8" t="s">
        <v>40</v>
      </c>
      <c r="U854" s="8" t="s">
        <v>45</v>
      </c>
      <c r="V854" s="8" t="s">
        <v>46</v>
      </c>
      <c r="W854" s="8">
        <v>0</v>
      </c>
    </row>
    <row r="855" spans="1:23" x14ac:dyDescent="0.25">
      <c r="A855" s="4"/>
      <c r="B855" s="4"/>
      <c r="C855" s="4">
        <v>896243</v>
      </c>
      <c r="D855" s="22">
        <v>7934.48</v>
      </c>
      <c r="E855" s="17">
        <f t="shared" si="22"/>
        <v>-0.47999999999956344</v>
      </c>
      <c r="F855" s="9">
        <v>45342</v>
      </c>
      <c r="G855" s="10">
        <v>331253212</v>
      </c>
      <c r="H855" s="9">
        <v>45330</v>
      </c>
      <c r="I855" s="9">
        <v>45345</v>
      </c>
      <c r="J855" s="8">
        <v>7934</v>
      </c>
      <c r="K855" s="8" t="s">
        <v>31</v>
      </c>
      <c r="L855" s="8" t="s">
        <v>32</v>
      </c>
      <c r="M855" s="8"/>
      <c r="N855" s="8" t="b">
        <v>0</v>
      </c>
      <c r="O855" s="10">
        <v>716994</v>
      </c>
      <c r="P855" s="8" t="s">
        <v>91</v>
      </c>
      <c r="Q855" s="8">
        <v>896969</v>
      </c>
      <c r="R855" s="9">
        <v>45330</v>
      </c>
      <c r="S855" s="8" t="s">
        <v>34</v>
      </c>
      <c r="T855" s="8" t="s">
        <v>44</v>
      </c>
      <c r="U855" s="8" t="s">
        <v>157</v>
      </c>
      <c r="V855" s="8" t="s">
        <v>158</v>
      </c>
      <c r="W855" s="8">
        <v>0</v>
      </c>
    </row>
    <row r="856" spans="1:23" x14ac:dyDescent="0.25">
      <c r="A856" s="4"/>
      <c r="B856" s="4"/>
      <c r="C856" s="4">
        <v>897536</v>
      </c>
      <c r="D856" s="22">
        <v>4975.2</v>
      </c>
      <c r="E856" s="17">
        <f t="shared" si="22"/>
        <v>-0.1999999999998181</v>
      </c>
      <c r="F856" s="9">
        <v>45342</v>
      </c>
      <c r="G856" s="10">
        <v>331275491</v>
      </c>
      <c r="H856" s="9">
        <v>45331</v>
      </c>
      <c r="I856" s="9">
        <v>45346</v>
      </c>
      <c r="J856" s="8">
        <v>4975</v>
      </c>
      <c r="K856" s="8" t="s">
        <v>31</v>
      </c>
      <c r="L856" s="8" t="s">
        <v>32</v>
      </c>
      <c r="M856" s="8"/>
      <c r="N856" s="8" t="b">
        <v>0</v>
      </c>
      <c r="O856" s="10">
        <v>717094</v>
      </c>
      <c r="P856" s="8" t="s">
        <v>183</v>
      </c>
      <c r="Q856" s="8">
        <v>126260</v>
      </c>
      <c r="R856" s="9">
        <v>45331</v>
      </c>
      <c r="S856" s="8" t="s">
        <v>34</v>
      </c>
      <c r="T856" s="8" t="s">
        <v>44</v>
      </c>
      <c r="U856" s="8" t="s">
        <v>84</v>
      </c>
      <c r="V856" s="8" t="s">
        <v>46</v>
      </c>
      <c r="W856" s="8">
        <v>0</v>
      </c>
    </row>
    <row r="857" spans="1:23" x14ac:dyDescent="0.25">
      <c r="A857" s="4"/>
      <c r="B857" s="4"/>
      <c r="C857" s="4">
        <v>897534</v>
      </c>
      <c r="D857" s="22">
        <v>4975.2</v>
      </c>
      <c r="E857" s="17">
        <f t="shared" si="22"/>
        <v>-0.1999999999998181</v>
      </c>
      <c r="F857" s="9">
        <v>45342</v>
      </c>
      <c r="G857" s="10">
        <v>331275245</v>
      </c>
      <c r="H857" s="9">
        <v>45331</v>
      </c>
      <c r="I857" s="9">
        <v>45346</v>
      </c>
      <c r="J857" s="8">
        <v>4975</v>
      </c>
      <c r="K857" s="8" t="s">
        <v>31</v>
      </c>
      <c r="L857" s="8" t="s">
        <v>32</v>
      </c>
      <c r="M857" s="8"/>
      <c r="N857" s="8" t="b">
        <v>0</v>
      </c>
      <c r="O857" s="10">
        <v>717093</v>
      </c>
      <c r="P857" s="8" t="s">
        <v>203</v>
      </c>
      <c r="Q857" s="8">
        <v>126202</v>
      </c>
      <c r="R857" s="9">
        <v>45331</v>
      </c>
      <c r="S857" s="8" t="s">
        <v>34</v>
      </c>
      <c r="T857" s="8" t="s">
        <v>44</v>
      </c>
      <c r="U857" s="8" t="s">
        <v>84</v>
      </c>
      <c r="V857" s="8" t="s">
        <v>46</v>
      </c>
      <c r="W857" s="8">
        <v>0</v>
      </c>
    </row>
    <row r="858" spans="1:23" x14ac:dyDescent="0.25">
      <c r="A858" s="4"/>
      <c r="B858" s="4"/>
      <c r="C858" s="4">
        <v>897538</v>
      </c>
      <c r="D858" s="22">
        <v>4975.2</v>
      </c>
      <c r="E858" s="17">
        <f t="shared" si="22"/>
        <v>-0.1999999999998181</v>
      </c>
      <c r="F858" s="9">
        <v>45342</v>
      </c>
      <c r="G858" s="10">
        <v>331275218</v>
      </c>
      <c r="H858" s="9">
        <v>45331</v>
      </c>
      <c r="I858" s="9">
        <v>45346</v>
      </c>
      <c r="J858" s="8">
        <v>4975</v>
      </c>
      <c r="K858" s="8" t="s">
        <v>31</v>
      </c>
      <c r="L858" s="8" t="s">
        <v>32</v>
      </c>
      <c r="M858" s="8"/>
      <c r="N858" s="8" t="b">
        <v>0</v>
      </c>
      <c r="O858" s="10">
        <v>717095</v>
      </c>
      <c r="P858" s="8" t="s">
        <v>133</v>
      </c>
      <c r="Q858" s="8">
        <v>126091</v>
      </c>
      <c r="R858" s="9">
        <v>45331</v>
      </c>
      <c r="S858" s="8" t="s">
        <v>34</v>
      </c>
      <c r="T858" s="8" t="s">
        <v>44</v>
      </c>
      <c r="U858" s="8" t="s">
        <v>84</v>
      </c>
      <c r="V858" s="8" t="s">
        <v>46</v>
      </c>
      <c r="W858" s="8">
        <v>0</v>
      </c>
    </row>
    <row r="859" spans="1:23" x14ac:dyDescent="0.25">
      <c r="A859" s="4"/>
      <c r="B859" s="4"/>
      <c r="C859" s="4">
        <v>897712</v>
      </c>
      <c r="D859" s="22">
        <v>7934.48</v>
      </c>
      <c r="E859" s="17">
        <f t="shared" si="22"/>
        <v>-0.47999999999956344</v>
      </c>
      <c r="F859" s="9">
        <v>45342</v>
      </c>
      <c r="G859" s="10">
        <v>331275203</v>
      </c>
      <c r="H859" s="9">
        <v>45331</v>
      </c>
      <c r="I859" s="9">
        <v>45346</v>
      </c>
      <c r="J859" s="8">
        <v>7934</v>
      </c>
      <c r="K859" s="8" t="s">
        <v>31</v>
      </c>
      <c r="L859" s="8" t="s">
        <v>32</v>
      </c>
      <c r="M859" s="8"/>
      <c r="N859" s="8" t="b">
        <v>0</v>
      </c>
      <c r="O859" s="10">
        <v>716995</v>
      </c>
      <c r="P859" s="8" t="s">
        <v>52</v>
      </c>
      <c r="Q859" s="8">
        <v>126015</v>
      </c>
      <c r="R859" s="9">
        <v>45331</v>
      </c>
      <c r="S859" s="8" t="s">
        <v>34</v>
      </c>
      <c r="T859" s="8" t="s">
        <v>44</v>
      </c>
      <c r="U859" s="8" t="s">
        <v>157</v>
      </c>
      <c r="V859" s="8" t="s">
        <v>158</v>
      </c>
      <c r="W859" s="8">
        <v>0</v>
      </c>
    </row>
    <row r="860" spans="1:23" x14ac:dyDescent="0.25">
      <c r="A860" s="4"/>
      <c r="B860" s="4"/>
      <c r="C860" s="34">
        <v>896355</v>
      </c>
      <c r="D860" s="35">
        <v>86576</v>
      </c>
      <c r="E860" s="17">
        <f t="shared" si="22"/>
        <v>4</v>
      </c>
      <c r="F860" s="9">
        <v>45342</v>
      </c>
      <c r="G860" s="10">
        <v>331315740</v>
      </c>
      <c r="H860" s="9">
        <v>45334</v>
      </c>
      <c r="I860" s="9">
        <v>45349</v>
      </c>
      <c r="J860" s="8">
        <v>86580</v>
      </c>
      <c r="K860" s="8" t="s">
        <v>31</v>
      </c>
      <c r="L860" s="8" t="s">
        <v>32</v>
      </c>
      <c r="M860" s="8"/>
      <c r="N860" s="8" t="b">
        <v>0</v>
      </c>
      <c r="O860" s="10"/>
      <c r="P860" s="8" t="s">
        <v>395</v>
      </c>
      <c r="Q860" s="8">
        <v>177083</v>
      </c>
      <c r="R860" s="9">
        <v>45334</v>
      </c>
      <c r="S860" s="8" t="s">
        <v>34</v>
      </c>
      <c r="T860" s="8" t="s">
        <v>49</v>
      </c>
      <c r="U860" s="8" t="s">
        <v>75</v>
      </c>
      <c r="V860" s="8" t="s">
        <v>46</v>
      </c>
      <c r="W860" s="8">
        <v>0</v>
      </c>
    </row>
    <row r="861" spans="1:23" x14ac:dyDescent="0.25">
      <c r="A861" s="4"/>
      <c r="B861" s="4"/>
      <c r="C861" s="4">
        <v>897714</v>
      </c>
      <c r="D861" s="22">
        <v>4975.2</v>
      </c>
      <c r="E861" s="17">
        <f t="shared" si="22"/>
        <v>-0.1999999999998181</v>
      </c>
      <c r="F861" s="9">
        <v>45342</v>
      </c>
      <c r="G861" s="10">
        <v>331315270</v>
      </c>
      <c r="H861" s="9">
        <v>45334</v>
      </c>
      <c r="I861" s="9">
        <v>45349</v>
      </c>
      <c r="J861" s="8">
        <v>4975</v>
      </c>
      <c r="K861" s="8" t="s">
        <v>31</v>
      </c>
      <c r="L861" s="8" t="s">
        <v>32</v>
      </c>
      <c r="M861" s="8"/>
      <c r="N861" s="8" t="b">
        <v>0</v>
      </c>
      <c r="O861" s="10">
        <v>717096</v>
      </c>
      <c r="P861" s="8" t="s">
        <v>322</v>
      </c>
      <c r="Q861" s="8">
        <v>175890</v>
      </c>
      <c r="R861" s="9">
        <v>45334</v>
      </c>
      <c r="S861" s="8" t="s">
        <v>34</v>
      </c>
      <c r="T861" s="8" t="s">
        <v>44</v>
      </c>
      <c r="U861" s="8" t="s">
        <v>84</v>
      </c>
      <c r="V861" s="8" t="s">
        <v>46</v>
      </c>
      <c r="W861" s="8">
        <v>0</v>
      </c>
    </row>
    <row r="862" spans="1:23" x14ac:dyDescent="0.25">
      <c r="A862" s="4"/>
      <c r="B862" s="4"/>
      <c r="C862" s="4">
        <v>897528</v>
      </c>
      <c r="D862" s="22">
        <v>5095.9799999999996</v>
      </c>
      <c r="E862" s="17">
        <f t="shared" si="22"/>
        <v>2.0000000000436557E-2</v>
      </c>
      <c r="F862" s="9">
        <v>45342</v>
      </c>
      <c r="G862" s="10">
        <v>331315244</v>
      </c>
      <c r="H862" s="9">
        <v>45334</v>
      </c>
      <c r="I862" s="9">
        <v>45349</v>
      </c>
      <c r="J862" s="8">
        <v>5096</v>
      </c>
      <c r="K862" s="8" t="s">
        <v>31</v>
      </c>
      <c r="L862" s="8" t="s">
        <v>32</v>
      </c>
      <c r="M862" s="8"/>
      <c r="N862" s="8" t="b">
        <v>0</v>
      </c>
      <c r="O862" s="10">
        <v>715180</v>
      </c>
      <c r="P862" s="8" t="s">
        <v>336</v>
      </c>
      <c r="Q862" s="8">
        <v>176088</v>
      </c>
      <c r="R862" s="9">
        <v>45334</v>
      </c>
      <c r="S862" s="8" t="s">
        <v>34</v>
      </c>
      <c r="T862" s="8" t="s">
        <v>44</v>
      </c>
      <c r="U862" s="8" t="s">
        <v>58</v>
      </c>
      <c r="V862" s="8" t="s">
        <v>46</v>
      </c>
      <c r="W862" s="8">
        <v>0</v>
      </c>
    </row>
    <row r="863" spans="1:23" x14ac:dyDescent="0.25">
      <c r="A863" s="4"/>
      <c r="B863" s="4"/>
      <c r="C863" s="4">
        <v>897715</v>
      </c>
      <c r="D863" s="22">
        <v>4975.2</v>
      </c>
      <c r="E863" s="17">
        <f t="shared" si="22"/>
        <v>-0.1999999999998181</v>
      </c>
      <c r="F863" s="9">
        <v>45342</v>
      </c>
      <c r="G863" s="10">
        <v>331314917</v>
      </c>
      <c r="H863" s="9">
        <v>45334</v>
      </c>
      <c r="I863" s="9">
        <v>45349</v>
      </c>
      <c r="J863" s="8">
        <v>4975</v>
      </c>
      <c r="K863" s="8" t="s">
        <v>31</v>
      </c>
      <c r="L863" s="8" t="s">
        <v>32</v>
      </c>
      <c r="M863" s="8"/>
      <c r="N863" s="8" t="b">
        <v>0</v>
      </c>
      <c r="O863" s="10">
        <v>717098</v>
      </c>
      <c r="P863" s="8" t="s">
        <v>53</v>
      </c>
      <c r="Q863" s="8">
        <v>175715</v>
      </c>
      <c r="R863" s="9">
        <v>45334</v>
      </c>
      <c r="S863" s="8" t="s">
        <v>34</v>
      </c>
      <c r="T863" s="8" t="s">
        <v>44</v>
      </c>
      <c r="U863" s="8" t="s">
        <v>84</v>
      </c>
      <c r="V863" s="8" t="s">
        <v>46</v>
      </c>
      <c r="W863" s="8">
        <v>0</v>
      </c>
    </row>
    <row r="864" spans="1:23" x14ac:dyDescent="0.25">
      <c r="A864" s="4"/>
      <c r="B864" s="4"/>
      <c r="C864" s="4" t="s">
        <v>396</v>
      </c>
      <c r="D864" s="22">
        <v>2499</v>
      </c>
      <c r="E864" s="17">
        <f t="shared" si="22"/>
        <v>0</v>
      </c>
      <c r="F864" s="9">
        <v>45342</v>
      </c>
      <c r="G864" s="10">
        <v>331342446</v>
      </c>
      <c r="H864" s="9">
        <v>45335</v>
      </c>
      <c r="I864" s="9">
        <v>45350</v>
      </c>
      <c r="J864" s="8">
        <v>2499</v>
      </c>
      <c r="K864" s="8" t="s">
        <v>31</v>
      </c>
      <c r="L864" s="8" t="s">
        <v>32</v>
      </c>
      <c r="M864" s="8"/>
      <c r="N864" s="8" t="b">
        <v>0</v>
      </c>
      <c r="O864" s="10" t="s">
        <v>397</v>
      </c>
      <c r="P864" s="8" t="s">
        <v>246</v>
      </c>
      <c r="Q864" s="8">
        <v>213879</v>
      </c>
      <c r="R864" s="9">
        <v>45335</v>
      </c>
      <c r="S864" s="8" t="s">
        <v>286</v>
      </c>
      <c r="T864" s="8" t="s">
        <v>75</v>
      </c>
      <c r="U864" s="8" t="s">
        <v>287</v>
      </c>
      <c r="V864" s="8" t="s">
        <v>46</v>
      </c>
      <c r="W864" s="8">
        <v>0</v>
      </c>
    </row>
    <row r="865" spans="1:23" x14ac:dyDescent="0.25">
      <c r="A865" s="4"/>
      <c r="B865" s="4"/>
      <c r="C865" s="4" t="s">
        <v>398</v>
      </c>
      <c r="D865" s="22">
        <v>2499</v>
      </c>
      <c r="E865" s="17">
        <f t="shared" si="22"/>
        <v>0</v>
      </c>
      <c r="F865" s="9">
        <v>45342</v>
      </c>
      <c r="G865" s="10">
        <v>331342376</v>
      </c>
      <c r="H865" s="9">
        <v>45335</v>
      </c>
      <c r="I865" s="9">
        <v>45350</v>
      </c>
      <c r="J865" s="8">
        <v>2499</v>
      </c>
      <c r="K865" s="8" t="s">
        <v>31</v>
      </c>
      <c r="L865" s="8" t="s">
        <v>32</v>
      </c>
      <c r="M865" s="8"/>
      <c r="N865" s="8" t="b">
        <v>0</v>
      </c>
      <c r="O865" s="10" t="s">
        <v>397</v>
      </c>
      <c r="P865" s="8" t="s">
        <v>352</v>
      </c>
      <c r="Q865" s="8">
        <v>213881</v>
      </c>
      <c r="R865" s="9">
        <v>45335</v>
      </c>
      <c r="S865" s="8" t="s">
        <v>286</v>
      </c>
      <c r="T865" s="8" t="s">
        <v>75</v>
      </c>
      <c r="U865" s="8" t="s">
        <v>287</v>
      </c>
      <c r="V865" s="8" t="s">
        <v>46</v>
      </c>
      <c r="W865" s="8">
        <v>0</v>
      </c>
    </row>
    <row r="866" spans="1:23" x14ac:dyDescent="0.25">
      <c r="A866" s="4"/>
      <c r="B866" s="4"/>
      <c r="C866" s="4">
        <v>896614</v>
      </c>
      <c r="D866" s="22">
        <v>9113.64</v>
      </c>
      <c r="E866" s="17">
        <f t="shared" si="22"/>
        <v>0.36000000000058208</v>
      </c>
      <c r="F866" s="9">
        <v>45342</v>
      </c>
      <c r="G866" s="10">
        <v>331341682</v>
      </c>
      <c r="H866" s="9">
        <v>45335</v>
      </c>
      <c r="I866" s="9">
        <v>45350</v>
      </c>
      <c r="J866" s="8">
        <v>9114</v>
      </c>
      <c r="K866" s="8" t="s">
        <v>31</v>
      </c>
      <c r="L866" s="8" t="s">
        <v>32</v>
      </c>
      <c r="M866" s="8"/>
      <c r="N866" s="8" t="b">
        <v>0</v>
      </c>
      <c r="O866" s="10">
        <v>709994</v>
      </c>
      <c r="P866" s="8" t="s">
        <v>172</v>
      </c>
      <c r="Q866" s="8">
        <v>212692</v>
      </c>
      <c r="R866" s="9">
        <v>45335</v>
      </c>
      <c r="S866" s="8" t="s">
        <v>130</v>
      </c>
      <c r="T866" s="8" t="s">
        <v>40</v>
      </c>
      <c r="U866" s="8" t="s">
        <v>131</v>
      </c>
      <c r="V866" s="8" t="s">
        <v>132</v>
      </c>
      <c r="W866" s="8">
        <v>0</v>
      </c>
    </row>
    <row r="867" spans="1:23" x14ac:dyDescent="0.25">
      <c r="A867" s="4"/>
      <c r="B867" s="4"/>
      <c r="C867" s="4">
        <v>896473</v>
      </c>
      <c r="D867" s="22">
        <v>73583.600000000006</v>
      </c>
      <c r="E867" s="17">
        <f t="shared" si="22"/>
        <v>9.3999999999941792</v>
      </c>
      <c r="F867" s="9">
        <v>45342</v>
      </c>
      <c r="G867" s="10">
        <v>331336332</v>
      </c>
      <c r="H867" s="9">
        <v>45335</v>
      </c>
      <c r="I867" s="9">
        <v>45350</v>
      </c>
      <c r="J867" s="8">
        <v>73593</v>
      </c>
      <c r="K867" s="8" t="s">
        <v>31</v>
      </c>
      <c r="L867" s="8" t="s">
        <v>32</v>
      </c>
      <c r="M867" s="8"/>
      <c r="N867" s="8" t="b">
        <v>0</v>
      </c>
      <c r="O867" s="10"/>
      <c r="P867" s="8" t="s">
        <v>47</v>
      </c>
      <c r="Q867" s="8">
        <v>205838</v>
      </c>
      <c r="R867" s="9">
        <v>45335</v>
      </c>
      <c r="S867" s="8" t="s">
        <v>34</v>
      </c>
      <c r="T867" s="8" t="s">
        <v>49</v>
      </c>
      <c r="U867" s="8" t="s">
        <v>75</v>
      </c>
      <c r="V867" s="8" t="s">
        <v>46</v>
      </c>
      <c r="W867" s="8">
        <v>0</v>
      </c>
    </row>
    <row r="868" spans="1:23" x14ac:dyDescent="0.25">
      <c r="A868" s="4"/>
      <c r="B868" s="4"/>
      <c r="C868" s="4">
        <v>897530</v>
      </c>
      <c r="D868" s="22">
        <v>5095.9799999999996</v>
      </c>
      <c r="E868" s="17">
        <f t="shared" si="22"/>
        <v>2.0000000000436557E-2</v>
      </c>
      <c r="F868" s="9">
        <v>45342</v>
      </c>
      <c r="G868" s="10">
        <v>331335637</v>
      </c>
      <c r="H868" s="9">
        <v>45335</v>
      </c>
      <c r="I868" s="9">
        <v>45350</v>
      </c>
      <c r="J868" s="8">
        <v>5096</v>
      </c>
      <c r="K868" s="8" t="s">
        <v>31</v>
      </c>
      <c r="L868" s="8" t="s">
        <v>32</v>
      </c>
      <c r="M868" s="8"/>
      <c r="N868" s="8" t="b">
        <v>0</v>
      </c>
      <c r="O868" s="10">
        <v>715179</v>
      </c>
      <c r="P868" s="8" t="s">
        <v>276</v>
      </c>
      <c r="Q868" s="8">
        <v>204502</v>
      </c>
      <c r="R868" s="9">
        <v>45335</v>
      </c>
      <c r="S868" s="8" t="s">
        <v>34</v>
      </c>
      <c r="T868" s="8" t="s">
        <v>44</v>
      </c>
      <c r="U868" s="8" t="s">
        <v>58</v>
      </c>
      <c r="V868" s="8" t="s">
        <v>46</v>
      </c>
      <c r="W868" s="8">
        <v>0</v>
      </c>
    </row>
    <row r="869" spans="1:23" x14ac:dyDescent="0.25">
      <c r="A869" s="4"/>
      <c r="B869" s="4"/>
      <c r="C869" s="4">
        <v>897720</v>
      </c>
      <c r="D869" s="22">
        <v>4975.2</v>
      </c>
      <c r="E869" s="17">
        <f t="shared" si="22"/>
        <v>-0.1999999999998181</v>
      </c>
      <c r="F869" s="9">
        <v>45342</v>
      </c>
      <c r="G869" s="10">
        <v>331335615</v>
      </c>
      <c r="H869" s="9">
        <v>45335</v>
      </c>
      <c r="I869" s="9">
        <v>45350</v>
      </c>
      <c r="J869" s="8">
        <v>4975</v>
      </c>
      <c r="K869" s="8" t="s">
        <v>31</v>
      </c>
      <c r="L869" s="8" t="s">
        <v>32</v>
      </c>
      <c r="M869" s="8"/>
      <c r="N869" s="8" t="b">
        <v>0</v>
      </c>
      <c r="O869" s="10">
        <v>717097</v>
      </c>
      <c r="P869" s="8" t="s">
        <v>51</v>
      </c>
      <c r="Q869" s="8">
        <v>204607</v>
      </c>
      <c r="R869" s="9">
        <v>45335</v>
      </c>
      <c r="S869" s="8" t="s">
        <v>34</v>
      </c>
      <c r="T869" s="8" t="s">
        <v>44</v>
      </c>
      <c r="U869" s="8" t="s">
        <v>84</v>
      </c>
      <c r="V869" s="8" t="s">
        <v>46</v>
      </c>
      <c r="W869" s="8">
        <v>0</v>
      </c>
    </row>
    <row r="870" spans="1:23" x14ac:dyDescent="0.25">
      <c r="A870" s="4"/>
      <c r="B870" s="4"/>
      <c r="C870" s="4">
        <v>897086</v>
      </c>
      <c r="D870" s="22">
        <v>2870</v>
      </c>
      <c r="E870" s="17">
        <f t="shared" si="22"/>
        <v>0</v>
      </c>
      <c r="F870" s="9">
        <v>45342</v>
      </c>
      <c r="G870" s="10">
        <v>331366173</v>
      </c>
      <c r="H870" s="9">
        <v>45336</v>
      </c>
      <c r="I870" s="9">
        <v>45351</v>
      </c>
      <c r="J870" s="8">
        <v>2870</v>
      </c>
      <c r="K870" s="8" t="s">
        <v>31</v>
      </c>
      <c r="L870" s="8" t="s">
        <v>32</v>
      </c>
      <c r="M870" s="8"/>
      <c r="N870" s="8" t="b">
        <v>0</v>
      </c>
      <c r="O870" s="10" t="s">
        <v>392</v>
      </c>
      <c r="P870" s="8" t="s">
        <v>399</v>
      </c>
      <c r="Q870" s="8">
        <v>248207</v>
      </c>
      <c r="R870" s="9">
        <v>45336</v>
      </c>
      <c r="S870" s="8" t="s">
        <v>362</v>
      </c>
      <c r="T870" s="8" t="s">
        <v>394</v>
      </c>
      <c r="U870" s="8" t="s">
        <v>260</v>
      </c>
      <c r="V870" s="8" t="s">
        <v>261</v>
      </c>
      <c r="W870" s="8">
        <v>0</v>
      </c>
    </row>
    <row r="871" spans="1:23" x14ac:dyDescent="0.25">
      <c r="A871" s="4"/>
      <c r="B871" s="4"/>
      <c r="C871" s="4">
        <v>897721</v>
      </c>
      <c r="D871" s="22">
        <v>4975.2</v>
      </c>
      <c r="E871" s="17">
        <f t="shared" si="22"/>
        <v>-0.1999999999998181</v>
      </c>
      <c r="F871" s="9">
        <v>45342</v>
      </c>
      <c r="G871" s="10">
        <v>331358702</v>
      </c>
      <c r="H871" s="9">
        <v>45336</v>
      </c>
      <c r="I871" s="9">
        <v>45351</v>
      </c>
      <c r="J871" s="8">
        <v>4975</v>
      </c>
      <c r="K871" s="8" t="s">
        <v>31</v>
      </c>
      <c r="L871" s="8" t="s">
        <v>32</v>
      </c>
      <c r="M871" s="8"/>
      <c r="N871" s="8" t="b">
        <v>0</v>
      </c>
      <c r="O871" s="10">
        <v>717100</v>
      </c>
      <c r="P871" s="8" t="s">
        <v>304</v>
      </c>
      <c r="Q871" s="8">
        <v>238173</v>
      </c>
      <c r="R871" s="9">
        <v>45336</v>
      </c>
      <c r="S871" s="8" t="s">
        <v>34</v>
      </c>
      <c r="T871" s="8" t="s">
        <v>44</v>
      </c>
      <c r="U871" s="8" t="s">
        <v>84</v>
      </c>
      <c r="V871" s="8" t="s">
        <v>46</v>
      </c>
      <c r="W871" s="8">
        <v>0</v>
      </c>
    </row>
    <row r="872" spans="1:23" x14ac:dyDescent="0.25">
      <c r="A872" s="4"/>
      <c r="B872" s="4"/>
      <c r="C872" s="4">
        <v>897097</v>
      </c>
      <c r="D872" s="22">
        <v>5097.88</v>
      </c>
      <c r="E872" s="17">
        <f t="shared" si="22"/>
        <v>0.11999999999989086</v>
      </c>
      <c r="F872" s="9">
        <v>45342</v>
      </c>
      <c r="G872" s="10">
        <v>331358699</v>
      </c>
      <c r="H872" s="9">
        <v>45336</v>
      </c>
      <c r="I872" s="9">
        <v>45351</v>
      </c>
      <c r="J872" s="8">
        <v>5098</v>
      </c>
      <c r="K872" s="8" t="s">
        <v>31</v>
      </c>
      <c r="L872" s="8" t="s">
        <v>32</v>
      </c>
      <c r="M872" s="8"/>
      <c r="N872" s="8" t="b">
        <v>0</v>
      </c>
      <c r="O872" s="10">
        <v>710353</v>
      </c>
      <c r="P872" s="8" t="s">
        <v>125</v>
      </c>
      <c r="Q872" s="8">
        <v>238124</v>
      </c>
      <c r="R872" s="9">
        <v>45336</v>
      </c>
      <c r="S872" s="8" t="s">
        <v>180</v>
      </c>
      <c r="T872" s="8" t="s">
        <v>44</v>
      </c>
      <c r="U872" s="8" t="s">
        <v>45</v>
      </c>
      <c r="V872" s="8" t="s">
        <v>46</v>
      </c>
      <c r="W872" s="8">
        <v>0</v>
      </c>
    </row>
    <row r="873" spans="1:23" x14ac:dyDescent="0.25">
      <c r="A873" s="4"/>
      <c r="B873" s="4"/>
      <c r="C873" s="4">
        <v>897532</v>
      </c>
      <c r="D873" s="22">
        <v>5095.9799999999996</v>
      </c>
      <c r="E873" s="17">
        <f t="shared" si="22"/>
        <v>2.0000000000436557E-2</v>
      </c>
      <c r="F873" s="9">
        <v>45342</v>
      </c>
      <c r="G873" s="10">
        <v>331358432</v>
      </c>
      <c r="H873" s="9">
        <v>45336</v>
      </c>
      <c r="I873" s="9">
        <v>45351</v>
      </c>
      <c r="J873" s="8">
        <v>5096</v>
      </c>
      <c r="K873" s="8" t="s">
        <v>31</v>
      </c>
      <c r="L873" s="8" t="s">
        <v>32</v>
      </c>
      <c r="M873" s="8"/>
      <c r="N873" s="8" t="b">
        <v>0</v>
      </c>
      <c r="O873" s="10">
        <v>715190</v>
      </c>
      <c r="P873" s="8" t="s">
        <v>255</v>
      </c>
      <c r="Q873" s="8">
        <v>237928</v>
      </c>
      <c r="R873" s="9">
        <v>45336</v>
      </c>
      <c r="S873" s="8" t="s">
        <v>34</v>
      </c>
      <c r="T873" s="8" t="s">
        <v>44</v>
      </c>
      <c r="U873" s="8" t="s">
        <v>58</v>
      </c>
      <c r="V873" s="8" t="s">
        <v>46</v>
      </c>
      <c r="W873" s="8">
        <v>0</v>
      </c>
    </row>
    <row r="874" spans="1:23" x14ac:dyDescent="0.25">
      <c r="A874" s="4"/>
      <c r="B874" s="4"/>
      <c r="C874" s="4">
        <v>897087</v>
      </c>
      <c r="D874" s="22">
        <v>1100</v>
      </c>
      <c r="E874" s="17">
        <f t="shared" si="22"/>
        <v>0</v>
      </c>
      <c r="F874" s="9">
        <v>45342</v>
      </c>
      <c r="G874" s="10">
        <v>331364846</v>
      </c>
      <c r="H874" s="9">
        <v>45337</v>
      </c>
      <c r="I874" s="9">
        <v>45352</v>
      </c>
      <c r="J874" s="8">
        <v>1100</v>
      </c>
      <c r="K874" s="8" t="s">
        <v>215</v>
      </c>
      <c r="L874" s="8" t="s">
        <v>32</v>
      </c>
      <c r="M874" s="8"/>
      <c r="N874" s="8" t="b">
        <v>0</v>
      </c>
      <c r="O874" s="10"/>
      <c r="P874" s="8"/>
      <c r="Q874" s="8"/>
      <c r="R874" s="9"/>
      <c r="S874" s="8" t="s">
        <v>48</v>
      </c>
      <c r="T874" s="8"/>
      <c r="U874" s="8"/>
      <c r="V874" s="8"/>
      <c r="W874" s="8">
        <v>0</v>
      </c>
    </row>
    <row r="875" spans="1:23" x14ac:dyDescent="0.25">
      <c r="A875" s="4"/>
      <c r="B875" s="4"/>
      <c r="C875" s="4" t="s">
        <v>400</v>
      </c>
      <c r="D875" s="22">
        <v>2310</v>
      </c>
      <c r="E875" s="17">
        <f t="shared" si="22"/>
        <v>0</v>
      </c>
      <c r="F875" s="9">
        <v>45342</v>
      </c>
      <c r="G875" s="10">
        <v>331391287</v>
      </c>
      <c r="H875" s="9">
        <v>45337</v>
      </c>
      <c r="I875" s="9">
        <v>45352</v>
      </c>
      <c r="J875" s="8">
        <v>2310</v>
      </c>
      <c r="K875" s="8" t="s">
        <v>31</v>
      </c>
      <c r="L875" s="8" t="s">
        <v>32</v>
      </c>
      <c r="M875" s="8"/>
      <c r="N875" s="8" t="b">
        <v>0</v>
      </c>
      <c r="O875" s="10" t="s">
        <v>284</v>
      </c>
      <c r="P875" s="8" t="s">
        <v>262</v>
      </c>
      <c r="Q875" s="8">
        <v>896356</v>
      </c>
      <c r="R875" s="9">
        <v>45240</v>
      </c>
      <c r="S875" s="8" t="s">
        <v>286</v>
      </c>
      <c r="T875" s="8" t="s">
        <v>58</v>
      </c>
      <c r="U875" s="8" t="s">
        <v>287</v>
      </c>
      <c r="V875" s="8" t="s">
        <v>46</v>
      </c>
      <c r="W875" s="8">
        <v>0</v>
      </c>
    </row>
    <row r="876" spans="1:23" x14ac:dyDescent="0.25">
      <c r="A876" s="4"/>
      <c r="B876" s="4"/>
      <c r="C876" s="4">
        <v>897392</v>
      </c>
      <c r="D876" s="22">
        <v>86576</v>
      </c>
      <c r="E876" s="17">
        <f t="shared" si="22"/>
        <v>4</v>
      </c>
      <c r="F876" s="9">
        <v>45342</v>
      </c>
      <c r="G876" s="10">
        <v>331384046</v>
      </c>
      <c r="H876" s="9">
        <v>45337</v>
      </c>
      <c r="I876" s="9">
        <v>45352</v>
      </c>
      <c r="J876" s="8">
        <v>86580</v>
      </c>
      <c r="K876" s="8" t="s">
        <v>31</v>
      </c>
      <c r="L876" s="8" t="s">
        <v>32</v>
      </c>
      <c r="M876" s="8"/>
      <c r="N876" s="8" t="b">
        <v>0</v>
      </c>
      <c r="O876" s="10"/>
      <c r="P876" s="8" t="s">
        <v>300</v>
      </c>
      <c r="Q876" s="8">
        <v>269935</v>
      </c>
      <c r="R876" s="9">
        <v>45337</v>
      </c>
      <c r="S876" s="8" t="s">
        <v>34</v>
      </c>
      <c r="T876" s="8" t="s">
        <v>49</v>
      </c>
      <c r="U876" s="8" t="s">
        <v>75</v>
      </c>
      <c r="V876" s="8" t="s">
        <v>46</v>
      </c>
      <c r="W876" s="8">
        <v>0</v>
      </c>
    </row>
    <row r="877" spans="1:23" x14ac:dyDescent="0.25">
      <c r="A877" s="4"/>
      <c r="B877" s="4"/>
      <c r="C877" s="4">
        <v>897722</v>
      </c>
      <c r="D877" s="22">
        <v>4975.2</v>
      </c>
      <c r="E877" s="17">
        <f t="shared" si="22"/>
        <v>-0.1999999999998181</v>
      </c>
      <c r="F877" s="9">
        <v>45342</v>
      </c>
      <c r="G877" s="10">
        <v>331380600</v>
      </c>
      <c r="H877" s="9">
        <v>45337</v>
      </c>
      <c r="I877" s="9">
        <v>45352</v>
      </c>
      <c r="J877" s="8">
        <v>4975</v>
      </c>
      <c r="K877" s="8" t="s">
        <v>31</v>
      </c>
      <c r="L877" s="8" t="s">
        <v>32</v>
      </c>
      <c r="M877" s="8"/>
      <c r="N877" s="8" t="b">
        <v>0</v>
      </c>
      <c r="O877" s="10">
        <v>717102</v>
      </c>
      <c r="P877" s="8" t="s">
        <v>298</v>
      </c>
      <c r="Q877" s="8">
        <v>266142</v>
      </c>
      <c r="R877" s="9">
        <v>45337</v>
      </c>
      <c r="S877" s="8" t="s">
        <v>34</v>
      </c>
      <c r="T877" s="8" t="s">
        <v>44</v>
      </c>
      <c r="U877" s="8" t="s">
        <v>84</v>
      </c>
      <c r="V877" s="8" t="s">
        <v>46</v>
      </c>
      <c r="W877" s="8">
        <v>0</v>
      </c>
    </row>
    <row r="878" spans="1:23" x14ac:dyDescent="0.25">
      <c r="A878" s="4"/>
      <c r="B878" s="4"/>
      <c r="C878" s="4" t="s">
        <v>401</v>
      </c>
      <c r="D878" s="22">
        <v>2310</v>
      </c>
      <c r="E878" s="17">
        <f t="shared" si="22"/>
        <v>0</v>
      </c>
      <c r="F878" s="9">
        <v>45342</v>
      </c>
      <c r="G878" s="10">
        <v>331390756</v>
      </c>
      <c r="H878" s="9">
        <v>45337</v>
      </c>
      <c r="I878" s="9">
        <v>45352</v>
      </c>
      <c r="J878" s="8">
        <v>2310</v>
      </c>
      <c r="K878" s="8" t="s">
        <v>31</v>
      </c>
      <c r="L878" s="8" t="s">
        <v>32</v>
      </c>
      <c r="M878" s="8"/>
      <c r="N878" s="8" t="b">
        <v>0</v>
      </c>
      <c r="O878" s="10" t="s">
        <v>284</v>
      </c>
      <c r="P878" s="8" t="s">
        <v>64</v>
      </c>
      <c r="Q878" s="8">
        <v>896355</v>
      </c>
      <c r="R878" s="9">
        <v>45240</v>
      </c>
      <c r="S878" s="8" t="s">
        <v>286</v>
      </c>
      <c r="T878" s="8" t="s">
        <v>58</v>
      </c>
      <c r="U878" s="8" t="s">
        <v>287</v>
      </c>
      <c r="V878" s="8" t="s">
        <v>46</v>
      </c>
      <c r="W878" s="8">
        <v>0</v>
      </c>
    </row>
    <row r="879" spans="1:23" x14ac:dyDescent="0.25">
      <c r="A879" s="4"/>
      <c r="B879" s="4"/>
      <c r="C879" s="4">
        <v>897723</v>
      </c>
      <c r="D879" s="22">
        <v>4975.2</v>
      </c>
      <c r="E879" s="17">
        <f t="shared" si="22"/>
        <v>-0.1999999999998181</v>
      </c>
      <c r="F879" s="9">
        <v>45342</v>
      </c>
      <c r="G879" s="10">
        <v>331380641</v>
      </c>
      <c r="H879" s="9">
        <v>45337</v>
      </c>
      <c r="I879" s="9">
        <v>45352</v>
      </c>
      <c r="J879" s="8">
        <v>4975</v>
      </c>
      <c r="K879" s="8" t="s">
        <v>31</v>
      </c>
      <c r="L879" s="8" t="s">
        <v>32</v>
      </c>
      <c r="M879" s="8"/>
      <c r="N879" s="8" t="b">
        <v>0</v>
      </c>
      <c r="O879" s="10">
        <v>717101</v>
      </c>
      <c r="P879" s="8" t="s">
        <v>54</v>
      </c>
      <c r="Q879" s="8">
        <v>266056</v>
      </c>
      <c r="R879" s="9">
        <v>45337</v>
      </c>
      <c r="S879" s="8" t="s">
        <v>34</v>
      </c>
      <c r="T879" s="8" t="s">
        <v>44</v>
      </c>
      <c r="U879" s="8" t="s">
        <v>84</v>
      </c>
      <c r="V879" s="8" t="s">
        <v>46</v>
      </c>
      <c r="W879" s="8">
        <v>0</v>
      </c>
    </row>
    <row r="880" spans="1:23" x14ac:dyDescent="0.25">
      <c r="A880" s="4"/>
      <c r="B880" s="4"/>
      <c r="C880" s="4">
        <v>897724</v>
      </c>
      <c r="D880" s="22">
        <v>4975.2</v>
      </c>
      <c r="E880" s="17">
        <f t="shared" si="22"/>
        <v>-0.1999999999998181</v>
      </c>
      <c r="F880" s="9">
        <v>45342</v>
      </c>
      <c r="G880" s="10">
        <v>331380605</v>
      </c>
      <c r="H880" s="9">
        <v>45337</v>
      </c>
      <c r="I880" s="9">
        <v>45352</v>
      </c>
      <c r="J880" s="8">
        <v>4975</v>
      </c>
      <c r="K880" s="8" t="s">
        <v>31</v>
      </c>
      <c r="L880" s="8" t="s">
        <v>32</v>
      </c>
      <c r="M880" s="8"/>
      <c r="N880" s="8" t="b">
        <v>0</v>
      </c>
      <c r="O880" s="10">
        <v>717099</v>
      </c>
      <c r="P880" s="8" t="s">
        <v>283</v>
      </c>
      <c r="Q880" s="8">
        <v>266168</v>
      </c>
      <c r="R880" s="9">
        <v>45337</v>
      </c>
      <c r="S880" s="8" t="s">
        <v>34</v>
      </c>
      <c r="T880" s="8" t="s">
        <v>44</v>
      </c>
      <c r="U880" s="8" t="s">
        <v>84</v>
      </c>
      <c r="V880" s="8" t="s">
        <v>46</v>
      </c>
      <c r="W880" s="8">
        <v>0</v>
      </c>
    </row>
    <row r="881" spans="1:23" x14ac:dyDescent="0.25">
      <c r="A881" s="4"/>
      <c r="B881" s="4"/>
      <c r="C881" s="4">
        <v>897725</v>
      </c>
      <c r="D881" s="22">
        <v>5097.88</v>
      </c>
      <c r="E881" s="17">
        <f t="shared" si="22"/>
        <v>0.11999999999989086</v>
      </c>
      <c r="F881" s="9">
        <v>45342</v>
      </c>
      <c r="G881" s="10">
        <v>331446786</v>
      </c>
      <c r="H881" s="9">
        <v>45341</v>
      </c>
      <c r="I881" s="9">
        <v>45356</v>
      </c>
      <c r="J881" s="8">
        <v>5098</v>
      </c>
      <c r="K881" s="8" t="s">
        <v>31</v>
      </c>
      <c r="L881" s="8" t="s">
        <v>32</v>
      </c>
      <c r="M881" s="8"/>
      <c r="N881" s="8" t="b">
        <v>0</v>
      </c>
      <c r="O881" s="10">
        <v>716991</v>
      </c>
      <c r="P881" s="8" t="s">
        <v>263</v>
      </c>
      <c r="Q881" s="8">
        <v>351929</v>
      </c>
      <c r="R881" s="9">
        <v>45341</v>
      </c>
      <c r="S881" s="8" t="s">
        <v>34</v>
      </c>
      <c r="T881" s="8" t="s">
        <v>44</v>
      </c>
      <c r="U881" s="8" t="s">
        <v>45</v>
      </c>
      <c r="V881" s="8" t="s">
        <v>46</v>
      </c>
      <c r="W881" s="8">
        <v>0</v>
      </c>
    </row>
    <row r="882" spans="1:23" x14ac:dyDescent="0.25">
      <c r="A882" s="4"/>
      <c r="B882" s="4"/>
      <c r="C882" s="4">
        <v>897726</v>
      </c>
      <c r="D882" s="22">
        <v>5097.88</v>
      </c>
      <c r="E882" s="17">
        <f t="shared" si="22"/>
        <v>0.11999999999989086</v>
      </c>
      <c r="F882" s="9">
        <v>45342</v>
      </c>
      <c r="G882" s="10">
        <v>331446762</v>
      </c>
      <c r="H882" s="9">
        <v>45341</v>
      </c>
      <c r="I882" s="9">
        <v>45356</v>
      </c>
      <c r="J882" s="8">
        <v>5098</v>
      </c>
      <c r="K882" s="8" t="s">
        <v>31</v>
      </c>
      <c r="L882" s="8" t="s">
        <v>32</v>
      </c>
      <c r="M882" s="8"/>
      <c r="N882" s="8" t="b">
        <v>0</v>
      </c>
      <c r="O882" s="10">
        <v>716993</v>
      </c>
      <c r="P882" s="8" t="s">
        <v>165</v>
      </c>
      <c r="Q882" s="8">
        <v>351920</v>
      </c>
      <c r="R882" s="9">
        <v>45341</v>
      </c>
      <c r="S882" s="8" t="s">
        <v>34</v>
      </c>
      <c r="T882" s="8" t="s">
        <v>44</v>
      </c>
      <c r="U882" s="8" t="s">
        <v>45</v>
      </c>
      <c r="V882" s="8" t="s">
        <v>46</v>
      </c>
      <c r="W882" s="8">
        <v>0</v>
      </c>
    </row>
    <row r="883" spans="1:23" x14ac:dyDescent="0.25">
      <c r="A883" s="4"/>
      <c r="B883" s="4"/>
      <c r="C883" s="4">
        <v>897527</v>
      </c>
      <c r="D883" s="22">
        <v>2870</v>
      </c>
      <c r="E883" s="17">
        <f t="shared" si="22"/>
        <v>0</v>
      </c>
      <c r="F883" s="9">
        <v>45342</v>
      </c>
      <c r="G883" s="10">
        <v>331447848</v>
      </c>
      <c r="H883" s="9">
        <v>45341</v>
      </c>
      <c r="I883" s="9">
        <v>45356</v>
      </c>
      <c r="J883" s="8">
        <v>2870</v>
      </c>
      <c r="K883" s="8" t="s">
        <v>31</v>
      </c>
      <c r="L883" s="8" t="s">
        <v>32</v>
      </c>
      <c r="M883" s="8"/>
      <c r="N883" s="8" t="b">
        <v>0</v>
      </c>
      <c r="O883" s="10" t="s">
        <v>392</v>
      </c>
      <c r="P883" s="8" t="s">
        <v>402</v>
      </c>
      <c r="Q883" s="8">
        <v>351450</v>
      </c>
      <c r="R883" s="9">
        <v>45341</v>
      </c>
      <c r="S883" s="8" t="s">
        <v>362</v>
      </c>
      <c r="T883" s="8" t="s">
        <v>394</v>
      </c>
      <c r="U883" s="8" t="s">
        <v>260</v>
      </c>
      <c r="V883" s="8" t="s">
        <v>261</v>
      </c>
      <c r="W883" s="8">
        <v>0</v>
      </c>
    </row>
    <row r="884" spans="1:23" x14ac:dyDescent="0.25">
      <c r="A884" s="4"/>
      <c r="B884" s="4"/>
      <c r="C884" s="4">
        <v>897731</v>
      </c>
      <c r="D884" s="22">
        <v>5097.88</v>
      </c>
      <c r="E884" s="17">
        <f t="shared" si="22"/>
        <v>0.11999999999989086</v>
      </c>
      <c r="F884" s="9">
        <v>45342</v>
      </c>
      <c r="G884" s="10">
        <v>331446718</v>
      </c>
      <c r="H884" s="9">
        <v>45341</v>
      </c>
      <c r="I884" s="9">
        <v>45356</v>
      </c>
      <c r="J884" s="8">
        <v>5098</v>
      </c>
      <c r="K884" s="8" t="s">
        <v>31</v>
      </c>
      <c r="L884" s="8" t="s">
        <v>32</v>
      </c>
      <c r="M884" s="8"/>
      <c r="N884" s="8" t="b">
        <v>0</v>
      </c>
      <c r="O884" s="10">
        <v>716992</v>
      </c>
      <c r="P884" s="8" t="s">
        <v>182</v>
      </c>
      <c r="Q884" s="8">
        <v>351944</v>
      </c>
      <c r="R884" s="9">
        <v>45341</v>
      </c>
      <c r="S884" s="8" t="s">
        <v>34</v>
      </c>
      <c r="T884" s="8" t="s">
        <v>44</v>
      </c>
      <c r="U884" s="8" t="s">
        <v>45</v>
      </c>
      <c r="V884" s="8" t="s">
        <v>46</v>
      </c>
      <c r="W884" s="8">
        <v>0</v>
      </c>
    </row>
    <row r="885" spans="1:23" x14ac:dyDescent="0.25">
      <c r="A885" s="4"/>
      <c r="B885" s="4"/>
      <c r="C885" s="4">
        <v>897561</v>
      </c>
      <c r="D885" s="22">
        <v>86576</v>
      </c>
      <c r="E885" s="17">
        <f t="shared" si="22"/>
        <v>4</v>
      </c>
      <c r="F885" s="9">
        <v>45342</v>
      </c>
      <c r="G885" s="10">
        <v>331445522</v>
      </c>
      <c r="H885" s="9">
        <v>45341</v>
      </c>
      <c r="I885" s="9">
        <v>45356</v>
      </c>
      <c r="J885" s="8">
        <v>86580</v>
      </c>
      <c r="K885" s="8" t="s">
        <v>31</v>
      </c>
      <c r="L885" s="8" t="s">
        <v>32</v>
      </c>
      <c r="M885" s="8"/>
      <c r="N885" s="8" t="b">
        <v>0</v>
      </c>
      <c r="O885" s="10"/>
      <c r="P885" s="8" t="s">
        <v>338</v>
      </c>
      <c r="Q885" s="8">
        <v>349411</v>
      </c>
      <c r="R885" s="9">
        <v>45341</v>
      </c>
      <c r="S885" s="8" t="s">
        <v>34</v>
      </c>
      <c r="T885" s="8" t="s">
        <v>49</v>
      </c>
      <c r="U885" s="8" t="s">
        <v>75</v>
      </c>
      <c r="V885" s="8" t="s">
        <v>46</v>
      </c>
      <c r="W885" s="8">
        <v>0</v>
      </c>
    </row>
    <row r="886" spans="1:23" x14ac:dyDescent="0.25">
      <c r="A886" s="4"/>
      <c r="B886" s="4"/>
      <c r="C886" s="4">
        <v>896681</v>
      </c>
      <c r="D886" s="22">
        <v>8657.6</v>
      </c>
      <c r="E886" s="17">
        <f t="shared" si="22"/>
        <v>0.3999999999996362</v>
      </c>
      <c r="F886" s="9">
        <v>45342</v>
      </c>
      <c r="G886" s="10">
        <v>331422176</v>
      </c>
      <c r="H886" s="9">
        <v>45341</v>
      </c>
      <c r="I886" s="9">
        <v>45356</v>
      </c>
      <c r="J886" s="8">
        <v>8658</v>
      </c>
      <c r="K886" s="8" t="s">
        <v>31</v>
      </c>
      <c r="L886" s="8" t="s">
        <v>32</v>
      </c>
      <c r="M886" s="8"/>
      <c r="N886" s="8" t="b">
        <v>0</v>
      </c>
      <c r="O886" s="10"/>
      <c r="P886" s="8" t="s">
        <v>403</v>
      </c>
      <c r="Q886" s="8">
        <v>211695</v>
      </c>
      <c r="R886" s="9">
        <v>45335</v>
      </c>
      <c r="S886" s="8" t="s">
        <v>34</v>
      </c>
      <c r="T886" s="8" t="s">
        <v>49</v>
      </c>
      <c r="U886" s="8" t="s">
        <v>75</v>
      </c>
      <c r="V886" s="8" t="s">
        <v>46</v>
      </c>
      <c r="W886" s="8">
        <v>0</v>
      </c>
    </row>
    <row r="887" spans="1:23" x14ac:dyDescent="0.25">
      <c r="A887" s="4"/>
      <c r="B887" s="4"/>
      <c r="C887" s="4">
        <v>897890</v>
      </c>
      <c r="D887" s="22">
        <v>9113.64</v>
      </c>
      <c r="E887" s="17">
        <f t="shared" si="22"/>
        <v>0.36000000000058208</v>
      </c>
      <c r="F887" s="9">
        <v>45350</v>
      </c>
      <c r="G887" s="10">
        <v>331473522</v>
      </c>
      <c r="H887" s="9">
        <v>45342</v>
      </c>
      <c r="I887" s="9">
        <v>45357</v>
      </c>
      <c r="J887" s="8">
        <v>9114</v>
      </c>
      <c r="K887" s="8" t="s">
        <v>31</v>
      </c>
      <c r="L887" s="8" t="s">
        <v>32</v>
      </c>
      <c r="M887" s="8"/>
      <c r="N887" s="8" t="b">
        <v>0</v>
      </c>
      <c r="O887" s="10">
        <v>709995</v>
      </c>
      <c r="P887" s="8" t="s">
        <v>173</v>
      </c>
      <c r="Q887" s="8">
        <v>390190</v>
      </c>
      <c r="R887" s="9">
        <v>45342</v>
      </c>
      <c r="S887" s="8" t="s">
        <v>130</v>
      </c>
      <c r="T887" s="8" t="s">
        <v>40</v>
      </c>
      <c r="U887" s="8" t="s">
        <v>131</v>
      </c>
      <c r="V887" s="8" t="s">
        <v>132</v>
      </c>
      <c r="W887" s="8">
        <v>0</v>
      </c>
    </row>
    <row r="888" spans="1:23" x14ac:dyDescent="0.25">
      <c r="A888" s="4"/>
      <c r="B888" s="4"/>
      <c r="C888" s="4">
        <v>897563</v>
      </c>
      <c r="D888" s="22">
        <v>86576</v>
      </c>
      <c r="E888" s="17">
        <f t="shared" si="22"/>
        <v>4</v>
      </c>
      <c r="F888" s="9">
        <v>45350</v>
      </c>
      <c r="G888" s="10">
        <v>331463468</v>
      </c>
      <c r="H888" s="9">
        <v>45342</v>
      </c>
      <c r="I888" s="9">
        <v>45357</v>
      </c>
      <c r="J888" s="8">
        <v>86580</v>
      </c>
      <c r="K888" s="8" t="s">
        <v>31</v>
      </c>
      <c r="L888" s="8" t="s">
        <v>32</v>
      </c>
      <c r="M888" s="8"/>
      <c r="N888" s="8" t="b">
        <v>0</v>
      </c>
      <c r="O888" s="10"/>
      <c r="P888" s="8" t="s">
        <v>155</v>
      </c>
      <c r="Q888" s="8">
        <v>371963</v>
      </c>
      <c r="R888" s="9">
        <v>45342</v>
      </c>
      <c r="S888" s="8" t="s">
        <v>34</v>
      </c>
      <c r="T888" s="8" t="s">
        <v>49</v>
      </c>
      <c r="U888" s="8" t="s">
        <v>75</v>
      </c>
      <c r="V888" s="8" t="s">
        <v>46</v>
      </c>
      <c r="W888" s="8">
        <v>0</v>
      </c>
    </row>
    <row r="889" spans="1:23" x14ac:dyDescent="0.25">
      <c r="A889" s="4"/>
      <c r="B889" s="4"/>
      <c r="C889" s="4">
        <v>898444</v>
      </c>
      <c r="D889" s="22">
        <v>5095.9799999999996</v>
      </c>
      <c r="E889" s="17">
        <f>J889-D889</f>
        <v>2.0000000000436557E-2</v>
      </c>
      <c r="F889" s="39">
        <v>45350</v>
      </c>
      <c r="G889" s="40">
        <v>331512197</v>
      </c>
      <c r="H889" s="39">
        <v>45344</v>
      </c>
      <c r="I889" s="39">
        <v>45359</v>
      </c>
      <c r="J889" s="41">
        <v>5096</v>
      </c>
      <c r="K889" s="41" t="s">
        <v>31</v>
      </c>
      <c r="L889" s="41" t="s">
        <v>32</v>
      </c>
      <c r="M889" s="41"/>
      <c r="N889" s="41" t="b">
        <v>0</v>
      </c>
      <c r="O889" s="40">
        <v>715187</v>
      </c>
      <c r="P889" s="41" t="s">
        <v>169</v>
      </c>
      <c r="Q889" s="41">
        <v>438083</v>
      </c>
      <c r="R889" s="39">
        <v>45344</v>
      </c>
      <c r="S889" s="41" t="s">
        <v>34</v>
      </c>
      <c r="T889" s="41" t="s">
        <v>44</v>
      </c>
      <c r="U889" s="41" t="s">
        <v>58</v>
      </c>
      <c r="V889" s="41" t="s">
        <v>46</v>
      </c>
      <c r="W889" s="41">
        <v>0</v>
      </c>
    </row>
    <row r="890" spans="1:23" x14ac:dyDescent="0.25">
      <c r="A890" s="4"/>
      <c r="B890" s="4" t="s">
        <v>404</v>
      </c>
      <c r="C890" s="4"/>
      <c r="D890" s="22"/>
      <c r="E890" s="17">
        <f>J890-D890</f>
        <v>5098</v>
      </c>
      <c r="F890" s="39" t="s">
        <v>251</v>
      </c>
      <c r="G890" s="40">
        <v>331512114</v>
      </c>
      <c r="H890" s="39">
        <v>45344</v>
      </c>
      <c r="I890" s="39">
        <v>45359</v>
      </c>
      <c r="J890" s="41">
        <v>5098</v>
      </c>
      <c r="K890" s="41" t="s">
        <v>31</v>
      </c>
      <c r="L890" s="41" t="s">
        <v>32</v>
      </c>
      <c r="M890" s="41"/>
      <c r="N890" s="41" t="b">
        <v>0</v>
      </c>
      <c r="O890" s="40">
        <v>710354</v>
      </c>
      <c r="P890" s="41" t="s">
        <v>288</v>
      </c>
      <c r="Q890" s="41">
        <v>437903</v>
      </c>
      <c r="R890" s="39">
        <v>45344</v>
      </c>
      <c r="S890" s="41" t="s">
        <v>34</v>
      </c>
      <c r="T890" s="41" t="s">
        <v>44</v>
      </c>
      <c r="U890" s="41" t="s">
        <v>45</v>
      </c>
      <c r="V890" s="41" t="s">
        <v>46</v>
      </c>
      <c r="W890" s="41">
        <v>0</v>
      </c>
    </row>
    <row r="891" spans="1:23" x14ac:dyDescent="0.25">
      <c r="A891" s="4"/>
      <c r="B891" s="4"/>
      <c r="C891" s="4">
        <v>898009</v>
      </c>
      <c r="D891" s="22">
        <v>86576</v>
      </c>
      <c r="E891" s="17">
        <f>J891-D891</f>
        <v>4</v>
      </c>
      <c r="F891" s="39">
        <v>45350</v>
      </c>
      <c r="G891" s="40">
        <v>331510602</v>
      </c>
      <c r="H891" s="39">
        <v>45344</v>
      </c>
      <c r="I891" s="39">
        <v>45359</v>
      </c>
      <c r="J891" s="41">
        <v>86580</v>
      </c>
      <c r="K891" s="41" t="s">
        <v>31</v>
      </c>
      <c r="L891" s="41" t="s">
        <v>32</v>
      </c>
      <c r="M891" s="41"/>
      <c r="N891" s="41" t="b">
        <v>0</v>
      </c>
      <c r="O891" s="40"/>
      <c r="P891" s="41" t="s">
        <v>297</v>
      </c>
      <c r="Q891" s="41">
        <v>435317</v>
      </c>
      <c r="R891" s="39">
        <v>45344</v>
      </c>
      <c r="S891" s="41" t="s">
        <v>34</v>
      </c>
      <c r="T891" s="41" t="s">
        <v>49</v>
      </c>
      <c r="U891" s="41" t="s">
        <v>75</v>
      </c>
      <c r="V891" s="41" t="s">
        <v>46</v>
      </c>
      <c r="W891" s="41">
        <v>0</v>
      </c>
    </row>
    <row r="892" spans="1:23" x14ac:dyDescent="0.25">
      <c r="A892" s="4"/>
      <c r="B892" s="4"/>
      <c r="C892" s="4">
        <v>898610</v>
      </c>
      <c r="D892" s="22">
        <v>5095.9799999999996</v>
      </c>
      <c r="E892" s="17">
        <f t="shared" ref="E892:E905" si="23">J892-D892</f>
        <v>2.0000000000436557E-2</v>
      </c>
      <c r="F892" s="39">
        <v>45350</v>
      </c>
      <c r="G892" s="40">
        <v>331585363</v>
      </c>
      <c r="H892" s="39">
        <v>45348</v>
      </c>
      <c r="I892" s="39">
        <v>45363</v>
      </c>
      <c r="J892" s="41">
        <v>5096</v>
      </c>
      <c r="K892" s="41" t="s">
        <v>31</v>
      </c>
      <c r="L892" s="41" t="s">
        <v>32</v>
      </c>
      <c r="M892" s="41"/>
      <c r="N892" s="41" t="b">
        <v>0</v>
      </c>
      <c r="O892" s="40">
        <v>715186</v>
      </c>
      <c r="P892" s="41" t="s">
        <v>224</v>
      </c>
      <c r="Q892" s="41">
        <v>535358</v>
      </c>
      <c r="R892" s="39">
        <v>45348</v>
      </c>
      <c r="S892" s="41" t="s">
        <v>34</v>
      </c>
      <c r="T892" s="41" t="s">
        <v>44</v>
      </c>
      <c r="U892" s="41" t="s">
        <v>58</v>
      </c>
      <c r="V892" s="41" t="s">
        <v>46</v>
      </c>
      <c r="W892" s="41">
        <v>0</v>
      </c>
    </row>
    <row r="893" spans="1:23" x14ac:dyDescent="0.25">
      <c r="A893" s="4"/>
      <c r="B893" s="4"/>
      <c r="C893" s="4">
        <v>898611</v>
      </c>
      <c r="D893" s="22">
        <v>5095.9799999999996</v>
      </c>
      <c r="E893" s="17">
        <f t="shared" si="23"/>
        <v>2.0000000000436557E-2</v>
      </c>
      <c r="F893" s="39">
        <v>45350</v>
      </c>
      <c r="G893" s="40">
        <v>331585358</v>
      </c>
      <c r="H893" s="39">
        <v>45348</v>
      </c>
      <c r="I893" s="39">
        <v>45363</v>
      </c>
      <c r="J893" s="41">
        <v>5096</v>
      </c>
      <c r="K893" s="41" t="s">
        <v>31</v>
      </c>
      <c r="L893" s="41" t="s">
        <v>32</v>
      </c>
      <c r="M893" s="41"/>
      <c r="N893" s="41" t="b">
        <v>0</v>
      </c>
      <c r="O893" s="40">
        <v>715194</v>
      </c>
      <c r="P893" s="41" t="s">
        <v>66</v>
      </c>
      <c r="Q893" s="41">
        <v>535261</v>
      </c>
      <c r="R893" s="39">
        <v>45348</v>
      </c>
      <c r="S893" s="41" t="s">
        <v>34</v>
      </c>
      <c r="T893" s="41" t="s">
        <v>44</v>
      </c>
      <c r="U893" s="41" t="s">
        <v>58</v>
      </c>
      <c r="V893" s="41" t="s">
        <v>46</v>
      </c>
      <c r="W893" s="41">
        <v>0</v>
      </c>
    </row>
    <row r="894" spans="1:23" x14ac:dyDescent="0.25">
      <c r="A894" s="4"/>
      <c r="B894" s="4"/>
      <c r="C894" s="4">
        <v>898540</v>
      </c>
      <c r="D894" s="22">
        <v>4993</v>
      </c>
      <c r="E894" s="17">
        <f t="shared" si="23"/>
        <v>0</v>
      </c>
      <c r="F894" s="39">
        <v>45350</v>
      </c>
      <c r="G894" s="40">
        <v>331580292</v>
      </c>
      <c r="H894" s="39">
        <v>45348</v>
      </c>
      <c r="I894" s="39">
        <v>45363</v>
      </c>
      <c r="J894" s="41">
        <v>4993</v>
      </c>
      <c r="K894" s="41" t="s">
        <v>31</v>
      </c>
      <c r="L894" s="41" t="s">
        <v>32</v>
      </c>
      <c r="M894" s="41"/>
      <c r="N894" s="41" t="b">
        <v>0</v>
      </c>
      <c r="O894" s="40" t="s">
        <v>385</v>
      </c>
      <c r="P894" s="41" t="s">
        <v>405</v>
      </c>
      <c r="Q894" s="41">
        <v>142455</v>
      </c>
      <c r="R894" s="39">
        <v>45310</v>
      </c>
      <c r="S894" s="41" t="s">
        <v>362</v>
      </c>
      <c r="T894" s="41" t="s">
        <v>387</v>
      </c>
      <c r="U894" s="41" t="s">
        <v>260</v>
      </c>
      <c r="V894" s="41" t="s">
        <v>261</v>
      </c>
      <c r="W894" s="41">
        <v>0</v>
      </c>
    </row>
    <row r="895" spans="1:23" x14ac:dyDescent="0.25">
      <c r="A895" s="4"/>
      <c r="B895" s="4"/>
      <c r="C895" s="4">
        <v>898469</v>
      </c>
      <c r="D895" s="22">
        <v>9113.64</v>
      </c>
      <c r="E895" s="17">
        <f t="shared" si="23"/>
        <v>0.36000000000058208</v>
      </c>
      <c r="F895" s="39">
        <v>45350</v>
      </c>
      <c r="G895" s="40">
        <v>331574446</v>
      </c>
      <c r="H895" s="39">
        <v>45348</v>
      </c>
      <c r="I895" s="39">
        <v>45363</v>
      </c>
      <c r="J895" s="41">
        <v>9114</v>
      </c>
      <c r="K895" s="41" t="s">
        <v>31</v>
      </c>
      <c r="L895" s="41" t="s">
        <v>32</v>
      </c>
      <c r="M895" s="41"/>
      <c r="N895" s="41" t="b">
        <v>0</v>
      </c>
      <c r="O895" s="40">
        <v>709997</v>
      </c>
      <c r="P895" s="41" t="s">
        <v>136</v>
      </c>
      <c r="Q895" s="41">
        <v>520985</v>
      </c>
      <c r="R895" s="39">
        <v>45348</v>
      </c>
      <c r="S895" s="41" t="s">
        <v>130</v>
      </c>
      <c r="T895" s="41" t="s">
        <v>40</v>
      </c>
      <c r="U895" s="41" t="s">
        <v>131</v>
      </c>
      <c r="V895" s="41" t="s">
        <v>132</v>
      </c>
      <c r="W895" s="41">
        <v>0</v>
      </c>
    </row>
    <row r="896" spans="1:23" x14ac:dyDescent="0.25">
      <c r="A896" s="4"/>
      <c r="B896" s="4"/>
      <c r="C896" s="4">
        <v>898612</v>
      </c>
      <c r="D896" s="22">
        <v>5095.9799999999996</v>
      </c>
      <c r="E896" s="17">
        <f t="shared" si="23"/>
        <v>2.0000000000436557E-2</v>
      </c>
      <c r="F896" s="39">
        <v>45350</v>
      </c>
      <c r="G896" s="40">
        <v>331573792</v>
      </c>
      <c r="H896" s="39">
        <v>45348</v>
      </c>
      <c r="I896" s="39">
        <v>45363</v>
      </c>
      <c r="J896" s="41">
        <v>5096</v>
      </c>
      <c r="K896" s="41" t="s">
        <v>31</v>
      </c>
      <c r="L896" s="41" t="s">
        <v>32</v>
      </c>
      <c r="M896" s="41"/>
      <c r="N896" s="41" t="b">
        <v>0</v>
      </c>
      <c r="O896" s="40">
        <v>715191</v>
      </c>
      <c r="P896" s="41" t="s">
        <v>153</v>
      </c>
      <c r="Q896" s="41">
        <v>519810</v>
      </c>
      <c r="R896" s="39">
        <v>45348</v>
      </c>
      <c r="S896" s="41" t="s">
        <v>34</v>
      </c>
      <c r="T896" s="41" t="s">
        <v>44</v>
      </c>
      <c r="U896" s="41" t="s">
        <v>58</v>
      </c>
      <c r="V896" s="41" t="s">
        <v>46</v>
      </c>
      <c r="W896" s="41">
        <v>0</v>
      </c>
    </row>
    <row r="897" spans="1:23" x14ac:dyDescent="0.25">
      <c r="A897" s="4"/>
      <c r="B897" s="4"/>
      <c r="C897" s="4">
        <v>898613</v>
      </c>
      <c r="D897" s="22">
        <v>5095.9799999999996</v>
      </c>
      <c r="E897" s="17">
        <f t="shared" si="23"/>
        <v>2.0000000000436557E-2</v>
      </c>
      <c r="F897" s="39">
        <v>45350</v>
      </c>
      <c r="G897" s="40">
        <v>331573750</v>
      </c>
      <c r="H897" s="39">
        <v>45348</v>
      </c>
      <c r="I897" s="39">
        <v>45363</v>
      </c>
      <c r="J897" s="41">
        <v>5096</v>
      </c>
      <c r="K897" s="41" t="s">
        <v>31</v>
      </c>
      <c r="L897" s="41" t="s">
        <v>32</v>
      </c>
      <c r="M897" s="41"/>
      <c r="N897" s="41" t="b">
        <v>0</v>
      </c>
      <c r="O897" s="40">
        <v>715192</v>
      </c>
      <c r="P897" s="41" t="s">
        <v>167</v>
      </c>
      <c r="Q897" s="41">
        <v>519875</v>
      </c>
      <c r="R897" s="39">
        <v>45348</v>
      </c>
      <c r="S897" s="41" t="s">
        <v>34</v>
      </c>
      <c r="T897" s="41" t="s">
        <v>44</v>
      </c>
      <c r="U897" s="41" t="s">
        <v>58</v>
      </c>
      <c r="V897" s="41" t="s">
        <v>46</v>
      </c>
      <c r="W897" s="41">
        <v>0</v>
      </c>
    </row>
    <row r="898" spans="1:23" x14ac:dyDescent="0.25">
      <c r="A898" s="4"/>
      <c r="B898" s="4"/>
      <c r="C898" s="4">
        <v>898614</v>
      </c>
      <c r="D898" s="22">
        <v>5095.9799999999996</v>
      </c>
      <c r="E898" s="17">
        <f t="shared" si="23"/>
        <v>2.0000000000436557E-2</v>
      </c>
      <c r="F898" s="39">
        <v>45350</v>
      </c>
      <c r="G898" s="40">
        <v>331573734</v>
      </c>
      <c r="H898" s="39">
        <v>45348</v>
      </c>
      <c r="I898" s="39">
        <v>45363</v>
      </c>
      <c r="J898" s="41">
        <v>5096</v>
      </c>
      <c r="K898" s="41" t="s">
        <v>31</v>
      </c>
      <c r="L898" s="41" t="s">
        <v>32</v>
      </c>
      <c r="M898" s="41"/>
      <c r="N898" s="41" t="b">
        <v>0</v>
      </c>
      <c r="O898" s="40">
        <v>715185</v>
      </c>
      <c r="P898" s="41" t="s">
        <v>103</v>
      </c>
      <c r="Q898" s="41">
        <v>519758</v>
      </c>
      <c r="R898" s="39">
        <v>45348</v>
      </c>
      <c r="S898" s="41" t="s">
        <v>34</v>
      </c>
      <c r="T898" s="41" t="s">
        <v>44</v>
      </c>
      <c r="U898" s="41" t="s">
        <v>58</v>
      </c>
      <c r="V898" s="41" t="s">
        <v>46</v>
      </c>
      <c r="W898" s="41">
        <v>0</v>
      </c>
    </row>
    <row r="899" spans="1:23" x14ac:dyDescent="0.25">
      <c r="A899" s="4"/>
      <c r="B899" s="4"/>
      <c r="C899" s="4">
        <v>898615</v>
      </c>
      <c r="D899" s="22">
        <v>5095.9799999999996</v>
      </c>
      <c r="E899" s="17">
        <f t="shared" si="23"/>
        <v>2.0000000000436557E-2</v>
      </c>
      <c r="F899" s="39">
        <v>45350</v>
      </c>
      <c r="G899" s="40">
        <v>331573254</v>
      </c>
      <c r="H899" s="39">
        <v>45348</v>
      </c>
      <c r="I899" s="39">
        <v>45363</v>
      </c>
      <c r="J899" s="41">
        <v>5096</v>
      </c>
      <c r="K899" s="41" t="s">
        <v>31</v>
      </c>
      <c r="L899" s="41" t="s">
        <v>32</v>
      </c>
      <c r="M899" s="41"/>
      <c r="N899" s="41" t="b">
        <v>0</v>
      </c>
      <c r="O899" s="40">
        <v>715184</v>
      </c>
      <c r="P899" s="41" t="s">
        <v>156</v>
      </c>
      <c r="Q899" s="41">
        <v>519606</v>
      </c>
      <c r="R899" s="39">
        <v>45348</v>
      </c>
      <c r="S899" s="41" t="s">
        <v>34</v>
      </c>
      <c r="T899" s="41" t="s">
        <v>44</v>
      </c>
      <c r="U899" s="41" t="s">
        <v>58</v>
      </c>
      <c r="V899" s="41" t="s">
        <v>46</v>
      </c>
      <c r="W899" s="41">
        <v>0</v>
      </c>
    </row>
    <row r="900" spans="1:23" x14ac:dyDescent="0.25">
      <c r="A900" s="4"/>
      <c r="B900" s="4"/>
      <c r="C900" s="4">
        <v>898446</v>
      </c>
      <c r="D900" s="22">
        <v>5097.88</v>
      </c>
      <c r="E900" s="17">
        <f t="shared" si="23"/>
        <v>0.11999999999989086</v>
      </c>
      <c r="F900" s="39">
        <v>45350</v>
      </c>
      <c r="G900" s="40">
        <v>331551265</v>
      </c>
      <c r="H900" s="39">
        <v>45348</v>
      </c>
      <c r="I900" s="39">
        <v>45363</v>
      </c>
      <c r="J900" s="41">
        <v>5098</v>
      </c>
      <c r="K900" s="41" t="s">
        <v>31</v>
      </c>
      <c r="L900" s="41" t="s">
        <v>32</v>
      </c>
      <c r="M900" s="41"/>
      <c r="N900" s="41" t="b">
        <v>0</v>
      </c>
      <c r="O900" s="40">
        <v>710354</v>
      </c>
      <c r="P900" s="41" t="s">
        <v>288</v>
      </c>
      <c r="Q900" s="41">
        <v>440414</v>
      </c>
      <c r="R900" s="39">
        <v>45344</v>
      </c>
      <c r="S900" s="41" t="s">
        <v>180</v>
      </c>
      <c r="T900" s="41" t="s">
        <v>44</v>
      </c>
      <c r="U900" s="41" t="s">
        <v>45</v>
      </c>
      <c r="V900" s="41" t="s">
        <v>46</v>
      </c>
      <c r="W900" s="41">
        <v>0</v>
      </c>
    </row>
    <row r="901" spans="1:23" x14ac:dyDescent="0.25">
      <c r="A901" s="4"/>
      <c r="B901" s="4"/>
      <c r="C901" s="4">
        <v>898620</v>
      </c>
      <c r="D901" s="22">
        <v>5097.88</v>
      </c>
      <c r="E901" s="17">
        <f t="shared" si="23"/>
        <v>0.11999999999989086</v>
      </c>
      <c r="F901" s="39">
        <v>45350</v>
      </c>
      <c r="G901" s="7">
        <v>331606168</v>
      </c>
      <c r="H901" s="21">
        <v>45349</v>
      </c>
      <c r="I901" s="49">
        <v>45364</v>
      </c>
      <c r="J901" s="48">
        <v>5098</v>
      </c>
      <c r="K901" s="48" t="s">
        <v>31</v>
      </c>
      <c r="L901" s="48" t="s">
        <v>32</v>
      </c>
      <c r="N901" s="48" t="b">
        <v>0</v>
      </c>
      <c r="O901" s="50">
        <v>710355</v>
      </c>
      <c r="P901" s="48" t="s">
        <v>113</v>
      </c>
      <c r="Q901" s="48">
        <v>564762</v>
      </c>
      <c r="R901" s="49">
        <v>45349</v>
      </c>
      <c r="S901" s="48" t="s">
        <v>180</v>
      </c>
      <c r="T901" s="48" t="s">
        <v>44</v>
      </c>
      <c r="U901" s="48" t="s">
        <v>45</v>
      </c>
      <c r="V901" s="48" t="s">
        <v>46</v>
      </c>
      <c r="W901" s="48">
        <v>0</v>
      </c>
    </row>
    <row r="902" spans="1:23" x14ac:dyDescent="0.25">
      <c r="A902" s="4"/>
      <c r="B902" s="4"/>
      <c r="C902" s="4">
        <v>898618</v>
      </c>
      <c r="D902" s="22">
        <v>86576</v>
      </c>
      <c r="E902" s="17">
        <f t="shared" si="23"/>
        <v>4</v>
      </c>
      <c r="F902" s="39">
        <v>45350</v>
      </c>
      <c r="G902" s="7">
        <v>331599561</v>
      </c>
      <c r="H902" s="21">
        <v>45349</v>
      </c>
      <c r="I902" s="49">
        <v>45364</v>
      </c>
      <c r="J902" s="48">
        <v>86580</v>
      </c>
      <c r="K902" s="48" t="s">
        <v>31</v>
      </c>
      <c r="L902" s="48" t="s">
        <v>32</v>
      </c>
      <c r="N902" s="48" t="b">
        <v>0</v>
      </c>
      <c r="O902" s="50"/>
      <c r="P902" s="48" t="s">
        <v>406</v>
      </c>
      <c r="Q902" s="48">
        <v>556073</v>
      </c>
      <c r="R902" s="49">
        <v>45349</v>
      </c>
      <c r="S902" s="48" t="s">
        <v>34</v>
      </c>
      <c r="T902" s="48" t="s">
        <v>49</v>
      </c>
      <c r="U902" s="48" t="s">
        <v>75</v>
      </c>
      <c r="V902" s="48" t="s">
        <v>46</v>
      </c>
      <c r="W902" s="48">
        <v>0</v>
      </c>
    </row>
    <row r="903" spans="1:23" x14ac:dyDescent="0.25">
      <c r="A903" s="4"/>
      <c r="B903" s="4"/>
      <c r="C903" s="4">
        <v>898709</v>
      </c>
      <c r="D903" s="22">
        <v>5097.88</v>
      </c>
      <c r="E903" s="17">
        <f t="shared" si="23"/>
        <v>0.11999999999989086</v>
      </c>
      <c r="F903" s="39">
        <v>45350</v>
      </c>
      <c r="G903" s="7">
        <v>331593343</v>
      </c>
      <c r="H903" s="21">
        <v>45349</v>
      </c>
      <c r="I903" s="49">
        <v>45364</v>
      </c>
      <c r="J903" s="48">
        <v>5098</v>
      </c>
      <c r="K903" s="48" t="s">
        <v>31</v>
      </c>
      <c r="L903" s="48" t="s">
        <v>32</v>
      </c>
      <c r="N903" s="48" t="b">
        <v>0</v>
      </c>
      <c r="O903" s="50">
        <v>716989</v>
      </c>
      <c r="P903" s="48" t="s">
        <v>79</v>
      </c>
      <c r="Q903" s="48">
        <v>412861</v>
      </c>
      <c r="R903" s="49">
        <v>45343</v>
      </c>
      <c r="S903" s="48" t="s">
        <v>34</v>
      </c>
      <c r="T903" s="48" t="s">
        <v>44</v>
      </c>
      <c r="U903" s="48" t="s">
        <v>45</v>
      </c>
      <c r="V903" s="48" t="s">
        <v>46</v>
      </c>
      <c r="W903" s="48">
        <v>0</v>
      </c>
    </row>
    <row r="904" spans="1:23" x14ac:dyDescent="0.25">
      <c r="A904" s="4"/>
      <c r="B904" s="4"/>
      <c r="C904" s="4">
        <v>898710</v>
      </c>
      <c r="D904" s="22">
        <v>5097.88</v>
      </c>
      <c r="E904" s="17">
        <f t="shared" si="23"/>
        <v>0.11999999999989086</v>
      </c>
      <c r="F904" s="39">
        <v>45350</v>
      </c>
      <c r="G904" s="7">
        <v>331593340</v>
      </c>
      <c r="H904" s="21">
        <v>45349</v>
      </c>
      <c r="I904" s="49">
        <v>45364</v>
      </c>
      <c r="J904" s="48">
        <v>5098</v>
      </c>
      <c r="K904" s="48" t="s">
        <v>31</v>
      </c>
      <c r="L904" s="48" t="s">
        <v>32</v>
      </c>
      <c r="N904" s="48" t="b">
        <v>0</v>
      </c>
      <c r="O904" s="50">
        <v>716990</v>
      </c>
      <c r="P904" s="48" t="s">
        <v>281</v>
      </c>
      <c r="Q904" s="48">
        <v>412880</v>
      </c>
      <c r="R904" s="49">
        <v>45343</v>
      </c>
      <c r="S904" s="48" t="s">
        <v>34</v>
      </c>
      <c r="T904" s="48" t="s">
        <v>44</v>
      </c>
      <c r="U904" s="48" t="s">
        <v>45</v>
      </c>
      <c r="V904" s="48" t="s">
        <v>46</v>
      </c>
      <c r="W904" s="48">
        <v>0</v>
      </c>
    </row>
    <row r="905" spans="1:23" x14ac:dyDescent="0.25">
      <c r="A905" s="4"/>
      <c r="B905" s="4"/>
      <c r="C905" s="4">
        <v>898711</v>
      </c>
      <c r="D905" s="22">
        <v>5097.88</v>
      </c>
      <c r="E905" s="17">
        <f t="shared" si="23"/>
        <v>0.11999999999989086</v>
      </c>
      <c r="F905" s="39">
        <v>45350</v>
      </c>
      <c r="G905" s="7">
        <v>331593250</v>
      </c>
      <c r="H905" s="21">
        <v>45349</v>
      </c>
      <c r="I905" s="49">
        <v>45364</v>
      </c>
      <c r="J905" s="48">
        <v>5098</v>
      </c>
      <c r="K905" s="48" t="s">
        <v>31</v>
      </c>
      <c r="L905" s="48" t="s">
        <v>32</v>
      </c>
      <c r="N905" s="48" t="b">
        <v>0</v>
      </c>
      <c r="O905" s="50">
        <v>716988</v>
      </c>
      <c r="P905" s="48" t="s">
        <v>244</v>
      </c>
      <c r="Q905" s="48">
        <v>412835</v>
      </c>
      <c r="R905" s="49">
        <v>45343</v>
      </c>
      <c r="S905" s="48" t="s">
        <v>34</v>
      </c>
      <c r="T905" s="48" t="s">
        <v>44</v>
      </c>
      <c r="U905" s="48" t="s">
        <v>45</v>
      </c>
      <c r="V905" s="48" t="s">
        <v>46</v>
      </c>
      <c r="W905" s="48">
        <v>0</v>
      </c>
    </row>
  </sheetData>
  <autoFilter ref="A5:W905" xr:uid="{EF2E558C-96E6-4AB3-BD99-858E3BE0AC95}">
    <sortState xmlns:xlrd2="http://schemas.microsoft.com/office/spreadsheetml/2017/richdata2" ref="A6:W673">
      <sortCondition ref="H5:H206"/>
    </sortState>
  </autoFilter>
  <sortState xmlns:xlrd2="http://schemas.microsoft.com/office/spreadsheetml/2017/richdata2" ref="G143:W165">
    <sortCondition ref="G143:G165"/>
  </sortState>
  <conditionalFormatting sqref="C1:C674 C676:C1048576">
    <cfRule type="duplicateValues" dxfId="32" priority="2"/>
  </conditionalFormatting>
  <conditionalFormatting sqref="C5">
    <cfRule type="duplicateValues" dxfId="31" priority="10"/>
  </conditionalFormatting>
  <conditionalFormatting sqref="G1:G1048576">
    <cfRule type="duplicateValues" dxfId="3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9B790-7048-4C47-9408-3F720CEE9DE3}">
  <dimension ref="A1:V5009"/>
  <sheetViews>
    <sheetView topLeftCell="A13" workbookViewId="0">
      <selection activeCell="G2705" sqref="G2705"/>
    </sheetView>
  </sheetViews>
  <sheetFormatPr defaultRowHeight="15" x14ac:dyDescent="0.25"/>
  <cols>
    <col min="1" max="1" width="16.28515625" bestFit="1" customWidth="1"/>
    <col min="2" max="2" width="19.42578125" customWidth="1"/>
    <col min="3" max="3" width="20.85546875" bestFit="1" customWidth="1"/>
    <col min="4" max="4" width="13.85546875" customWidth="1"/>
    <col min="5" max="5" width="10.85546875" customWidth="1"/>
    <col min="6" max="6" width="17.85546875" customWidth="1"/>
    <col min="7" max="7" width="16.85546875" customWidth="1"/>
    <col min="8" max="8" width="14.140625" style="21" customWidth="1"/>
    <col min="9" max="9" width="11.28515625" style="21" customWidth="1"/>
    <col min="10" max="10" width="14.28515625" style="21" customWidth="1"/>
    <col min="11" max="11" width="14" style="21" customWidth="1"/>
    <col min="12" max="12" width="13" customWidth="1"/>
    <col min="13" max="13" width="21.85546875" customWidth="1"/>
    <col min="14" max="14" width="15" customWidth="1"/>
    <col min="15" max="15" width="11.42578125" customWidth="1"/>
    <col min="16" max="16" width="14.5703125" style="21" customWidth="1"/>
    <col min="17" max="17" width="28.42578125" bestFit="1" customWidth="1"/>
    <col min="18" max="18" width="22.7109375" customWidth="1"/>
    <col min="19" max="19" width="27.5703125" customWidth="1"/>
    <col min="20" max="20" width="28.7109375" style="21" customWidth="1"/>
    <col min="21" max="21" width="26.28515625" customWidth="1"/>
    <col min="22" max="22" width="20" style="33" customWidth="1"/>
  </cols>
  <sheetData>
    <row r="1" spans="1:22" s="1" customFormat="1" x14ac:dyDescent="0.25">
      <c r="A1" s="1" t="s">
        <v>0</v>
      </c>
      <c r="C1" s="1" t="s">
        <v>1</v>
      </c>
      <c r="H1" s="24"/>
      <c r="I1" s="24"/>
      <c r="P1" s="21"/>
      <c r="V1" s="31"/>
    </row>
    <row r="2" spans="1:22" s="1" customFormat="1" x14ac:dyDescent="0.25">
      <c r="A2" s="1">
        <v>1</v>
      </c>
      <c r="B2" s="1" t="s">
        <v>2</v>
      </c>
      <c r="C2" s="1" t="s">
        <v>3</v>
      </c>
      <c r="H2" s="24"/>
      <c r="I2" s="24"/>
      <c r="P2" s="21"/>
      <c r="V2" s="31"/>
    </row>
    <row r="3" spans="1:22" s="1" customFormat="1" x14ac:dyDescent="0.25">
      <c r="A3" s="1">
        <v>2</v>
      </c>
      <c r="B3" s="1" t="s">
        <v>4</v>
      </c>
      <c r="C3" s="1" t="s">
        <v>5</v>
      </c>
      <c r="H3" s="24"/>
      <c r="I3" s="24"/>
      <c r="P3" s="21"/>
      <c r="V3" s="31"/>
    </row>
    <row r="6" spans="1:22" x14ac:dyDescent="0.25">
      <c r="A6" s="11" t="s">
        <v>7</v>
      </c>
      <c r="B6" s="11" t="s">
        <v>8</v>
      </c>
      <c r="C6" s="11" t="s">
        <v>9</v>
      </c>
      <c r="D6" s="11" t="s">
        <v>10</v>
      </c>
      <c r="E6" s="12" t="s">
        <v>11</v>
      </c>
      <c r="F6" s="11" t="s">
        <v>12</v>
      </c>
      <c r="G6" s="7" t="s">
        <v>13</v>
      </c>
      <c r="H6" s="25" t="s">
        <v>14</v>
      </c>
      <c r="I6" s="25" t="s">
        <v>15</v>
      </c>
      <c r="J6" s="7" t="s">
        <v>16</v>
      </c>
      <c r="K6" s="7" t="s">
        <v>17</v>
      </c>
      <c r="L6" s="7" t="s">
        <v>407</v>
      </c>
      <c r="M6" s="7" t="s">
        <v>21</v>
      </c>
      <c r="N6" s="7" t="s">
        <v>408</v>
      </c>
      <c r="O6" s="7" t="s">
        <v>23</v>
      </c>
      <c r="P6" s="25" t="s">
        <v>409</v>
      </c>
      <c r="Q6" s="7" t="s">
        <v>410</v>
      </c>
      <c r="R6" s="7" t="s">
        <v>26</v>
      </c>
      <c r="S6" s="7" t="s">
        <v>27</v>
      </c>
      <c r="T6" s="7" t="s">
        <v>28</v>
      </c>
      <c r="U6" s="7" t="s">
        <v>29</v>
      </c>
      <c r="V6" s="32" t="s">
        <v>411</v>
      </c>
    </row>
    <row r="7" spans="1:22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 t="str" cm="1">
        <f t="array" aca="1" ref="G7" ca="1">INDIRECT("Data!A" &amp; 2)</f>
        <v>331206880</v>
      </c>
      <c r="H7" s="21" cm="1">
        <f t="array" aca="1" ref="H7" ca="1">INDIRECT("Data!B" &amp; 2)</f>
        <v>45328</v>
      </c>
      <c r="I7" s="21" cm="1">
        <f t="array" aca="1" ref="I7" ca="1">INDIRECT("Data!C" &amp; 2)</f>
        <v>45343</v>
      </c>
      <c r="J7" cm="1">
        <f t="array" aca="1" ref="J7" ca="1">INDIRECT("Data!D" &amp; 2)</f>
        <v>0</v>
      </c>
      <c r="K7" t="str" cm="1">
        <f t="array" aca="1" ref="K7" ca="1">INDIRECT("Data!E" &amp; 2)</f>
        <v>FREIGHT</v>
      </c>
      <c r="L7" t="str" cm="1">
        <f t="array" aca="1" ref="L7" ca="1">INDIRECT("Data!F" &amp; 2)</f>
        <v>FALSE</v>
      </c>
      <c r="M7" t="str" cm="1">
        <f t="array" aca="1" ref="M7" ca="1">INDIRECT("Data!G" &amp; 2)</f>
        <v>21264</v>
      </c>
      <c r="N7" t="str" cm="1">
        <f t="array" aca="1" ref="N7" ca="1">INDIRECT("Data!H" &amp; 2)</f>
        <v>CRDX200750</v>
      </c>
      <c r="O7" t="str" cm="1">
        <f t="array" aca="1" ref="O7" ca="1">INDIRECT("Data!I" &amp; 2)</f>
        <v>836926</v>
      </c>
      <c r="P7" s="21" cm="1">
        <f t="array" aca="1" ref="P7" ca="1">INDIRECT("Data!J" &amp; 2)</f>
        <v>45328</v>
      </c>
      <c r="Q7" t="str" cm="1">
        <f t="array" aca="1" ref="Q7" ca="1">INDIRECT("Data!K" &amp; 2)</f>
        <v>NEBRASKA SALT GRAIN</v>
      </c>
      <c r="R7" t="str" cm="1">
        <f t="array" aca="1" ref="R7" ca="1">INDIRECT("Data!L" &amp; 2)</f>
        <v>ROWLEY</v>
      </c>
      <c r="S7" t="str" cm="1">
        <f t="array" aca="1" ref="S7" ca="1">INDIRECT("Data!M" &amp; 2)</f>
        <v>GOTHENBURG</v>
      </c>
      <c r="T7" t="str" cm="1">
        <f t="array" aca="1" ref="T7" ca="1">INDIRECT("Data!N" &amp; 2)</f>
        <v>NE</v>
      </c>
      <c r="U7" cm="1">
        <f t="array" aca="1" ref="U7" ca="1">INDIRECT("Data!O" &amp; 2)</f>
        <v>6907</v>
      </c>
      <c r="V7" s="33" cm="1">
        <f t="array" aca="1" ref="V7" ca="1">INDIRECT("Data!P" &amp; 2)</f>
        <v>45350.444885914352</v>
      </c>
    </row>
    <row r="8" spans="1:22" x14ac:dyDescent="0.25">
      <c r="A8">
        <v>2</v>
      </c>
      <c r="B8">
        <v>2</v>
      </c>
      <c r="C8">
        <v>2</v>
      </c>
      <c r="D8">
        <v>2</v>
      </c>
      <c r="E8">
        <v>2</v>
      </c>
      <c r="F8">
        <v>2</v>
      </c>
      <c r="G8" t="str" cm="1">
        <f t="array" aca="1" ref="G8" ca="1">INDIRECT("Data!A" &amp; 3)</f>
        <v>331206880v2</v>
      </c>
      <c r="H8" s="21" cm="1">
        <f t="array" aca="1" ref="H8" ca="1">INDIRECT("Data!B" &amp; 3)</f>
        <v>45328</v>
      </c>
      <c r="I8" s="21" cm="1">
        <f t="array" aca="1" ref="I8" ca="1">INDIRECT("Data!C" &amp; 3)</f>
        <v>45343</v>
      </c>
      <c r="J8" cm="1">
        <f t="array" aca="1" ref="J8" ca="1">INDIRECT("Data!D" &amp; 3)</f>
        <v>0</v>
      </c>
      <c r="K8" t="str" cm="1">
        <f t="array" aca="1" ref="K8" ca="1">INDIRECT("Data!E" &amp; 3)</f>
        <v>FREIGHT</v>
      </c>
      <c r="L8" t="str" cm="1">
        <f t="array" aca="1" ref="L8" ca="1">INDIRECT("Data!F" &amp; 3)</f>
        <v>FALSE</v>
      </c>
      <c r="M8" t="str" cm="1">
        <f t="array" aca="1" ref="M8" ca="1">INDIRECT("Data!G" &amp; 3)</f>
        <v>21264</v>
      </c>
      <c r="N8" t="str" cm="1">
        <f t="array" aca="1" ref="N8" ca="1">INDIRECT("Data!H" &amp; 3)</f>
        <v>CRDX200750</v>
      </c>
      <c r="O8" t="str" cm="1">
        <f t="array" aca="1" ref="O8" ca="1">INDIRECT("Data!I" &amp; 3)</f>
        <v>836926</v>
      </c>
      <c r="P8" s="21" cm="1">
        <f t="array" aca="1" ref="P8" ca="1">INDIRECT("Data!J" &amp; 3)</f>
        <v>45328</v>
      </c>
      <c r="Q8" t="str" cm="1">
        <f t="array" aca="1" ref="Q8" ca="1">INDIRECT("Data!K" &amp; 3)</f>
        <v>NEBRASKA SALT GRAIN</v>
      </c>
      <c r="R8" t="str" cm="1">
        <f t="array" aca="1" ref="R8" ca="1">INDIRECT("Data!L" &amp; 3)</f>
        <v>ROWLEY</v>
      </c>
      <c r="S8" t="str" cm="1">
        <f t="array" aca="1" ref="S8" ca="1">INDIRECT("Data!M" &amp; 3)</f>
        <v>GOTHENBURG</v>
      </c>
      <c r="T8" t="str" cm="1">
        <f t="array" aca="1" ref="T8" ca="1">INDIRECT("Data!N" &amp; 3)</f>
        <v>NE</v>
      </c>
      <c r="U8" cm="1">
        <f t="array" aca="1" ref="U8" ca="1">INDIRECT("Data!O" &amp; 3)</f>
        <v>6907</v>
      </c>
      <c r="V8" s="33" cm="1">
        <f t="array" aca="1" ref="V8" ca="1">INDIRECT("Data!P" &amp; 3)</f>
        <v>45350.44634008102</v>
      </c>
    </row>
    <row r="9" spans="1:22" x14ac:dyDescent="0.25">
      <c r="A9">
        <v>3</v>
      </c>
      <c r="B9">
        <v>3</v>
      </c>
      <c r="C9">
        <v>3</v>
      </c>
      <c r="D9">
        <v>3</v>
      </c>
      <c r="E9">
        <v>3</v>
      </c>
      <c r="F9">
        <v>3</v>
      </c>
      <c r="G9" t="str" cm="1">
        <f t="array" aca="1" ref="G9" ca="1">INDIRECT("Data!A" &amp; 4)</f>
        <v>331314917</v>
      </c>
      <c r="H9" s="21" cm="1">
        <f t="array" aca="1" ref="H9" ca="1">INDIRECT("Data!B" &amp; 4)</f>
        <v>45334</v>
      </c>
      <c r="I9" s="21" cm="1">
        <f t="array" aca="1" ref="I9" ca="1">INDIRECT("Data!C" &amp; 4)</f>
        <v>45349</v>
      </c>
      <c r="J9" cm="1">
        <f t="array" aca="1" ref="J9" ca="1">INDIRECT("Data!D" &amp; 4)</f>
        <v>0</v>
      </c>
      <c r="K9" t="str" cm="1">
        <f t="array" aca="1" ref="K9" ca="1">INDIRECT("Data!E" &amp; 4)</f>
        <v>FREIGHT</v>
      </c>
      <c r="L9" t="str" cm="1">
        <f t="array" aca="1" ref="L9" ca="1">INDIRECT("Data!F" &amp; 4)</f>
        <v>FALSE</v>
      </c>
      <c r="M9" t="str" cm="1">
        <f t="array" aca="1" ref="M9" ca="1">INDIRECT("Data!G" &amp; 4)</f>
        <v>717098</v>
      </c>
      <c r="N9" t="str" cm="1">
        <f t="array" aca="1" ref="N9" ca="1">INDIRECT("Data!H" &amp; 4)</f>
        <v>GBRX711537</v>
      </c>
      <c r="O9" t="str" cm="1">
        <f t="array" aca="1" ref="O9" ca="1">INDIRECT("Data!I" &amp; 4)</f>
        <v>175715</v>
      </c>
      <c r="P9" s="21" cm="1">
        <f t="array" aca="1" ref="P9" ca="1">INDIRECT("Data!J" &amp; 4)</f>
        <v>45334</v>
      </c>
      <c r="Q9" t="str" cm="1">
        <f t="array" aca="1" ref="Q9" ca="1">INDIRECT("Data!K" &amp; 4)</f>
        <v>ENVIROTECH SERVICES</v>
      </c>
      <c r="R9" t="str" cm="1">
        <f t="array" aca="1" ref="R9" ca="1">INDIRECT("Data!L" &amp; 4)</f>
        <v>ROWLEY</v>
      </c>
      <c r="S9" t="str" cm="1">
        <f t="array" aca="1" ref="S9" ca="1">INDIRECT("Data!M" &amp; 4)</f>
        <v>GLENWOOD SPRINGS</v>
      </c>
      <c r="T9" t="str" cm="1">
        <f t="array" aca="1" ref="T9" ca="1">INDIRECT("Data!N" &amp; 4)</f>
        <v>CO</v>
      </c>
      <c r="U9" cm="1">
        <f t="array" aca="1" ref="U9" ca="1">INDIRECT("Data!O" &amp; 4)</f>
        <v>4975</v>
      </c>
      <c r="V9" s="33" cm="1">
        <f t="array" aca="1" ref="V9" ca="1">INDIRECT("Data!P" &amp; 4)</f>
        <v>45350.478439317129</v>
      </c>
    </row>
    <row r="10" spans="1:22" x14ac:dyDescent="0.25">
      <c r="A10">
        <v>4</v>
      </c>
      <c r="B10">
        <v>4</v>
      </c>
      <c r="C10">
        <v>4</v>
      </c>
      <c r="D10">
        <v>4</v>
      </c>
      <c r="E10">
        <v>4</v>
      </c>
      <c r="F10">
        <v>4</v>
      </c>
      <c r="G10" t="str" cm="1">
        <f t="array" aca="1" ref="G10" ca="1">INDIRECT("Data!A" &amp; 5)</f>
        <v>331314917v2</v>
      </c>
      <c r="H10" s="21" cm="1">
        <f t="array" aca="1" ref="H10" ca="1">INDIRECT("Data!B" &amp; 5)</f>
        <v>45334</v>
      </c>
      <c r="I10" s="21" cm="1">
        <f t="array" aca="1" ref="I10" ca="1">INDIRECT("Data!C" &amp; 5)</f>
        <v>45349</v>
      </c>
      <c r="J10" cm="1">
        <f t="array" aca="1" ref="J10" ca="1">INDIRECT("Data!D" &amp; 5)</f>
        <v>0</v>
      </c>
      <c r="K10" t="str" cm="1">
        <f t="array" aca="1" ref="K10" ca="1">INDIRECT("Data!E" &amp; 5)</f>
        <v>FREIGHT</v>
      </c>
      <c r="L10" t="str" cm="1">
        <f t="array" aca="1" ref="L10" ca="1">INDIRECT("Data!F" &amp; 5)</f>
        <v>FALSE</v>
      </c>
      <c r="M10" t="str" cm="1">
        <f t="array" aca="1" ref="M10" ca="1">INDIRECT("Data!G" &amp; 5)</f>
        <v>717098</v>
      </c>
      <c r="N10" t="str" cm="1">
        <f t="array" aca="1" ref="N10" ca="1">INDIRECT("Data!H" &amp; 5)</f>
        <v>GBRX711537</v>
      </c>
      <c r="O10" t="str" cm="1">
        <f t="array" aca="1" ref="O10" ca="1">INDIRECT("Data!I" &amp; 5)</f>
        <v>175715</v>
      </c>
      <c r="P10" s="21" cm="1">
        <f t="array" aca="1" ref="P10" ca="1">INDIRECT("Data!J" &amp; 5)</f>
        <v>45334</v>
      </c>
      <c r="Q10" t="str" cm="1">
        <f t="array" aca="1" ref="Q10" ca="1">INDIRECT("Data!K" &amp; 5)</f>
        <v>ENVIROTECH SERVICES</v>
      </c>
      <c r="R10" t="str" cm="1">
        <f t="array" aca="1" ref="R10" ca="1">INDIRECT("Data!L" &amp; 5)</f>
        <v>ROWLEY</v>
      </c>
      <c r="S10" t="str" cm="1">
        <f t="array" aca="1" ref="S10" ca="1">INDIRECT("Data!M" &amp; 5)</f>
        <v>GLENWOOD SPRINGS</v>
      </c>
      <c r="T10" t="str" cm="1">
        <f t="array" aca="1" ref="T10" ca="1">INDIRECT("Data!N" &amp; 5)</f>
        <v>CO</v>
      </c>
      <c r="U10" cm="1">
        <f t="array" aca="1" ref="U10" ca="1">INDIRECT("Data!O" &amp; 5)</f>
        <v>4975</v>
      </c>
      <c r="V10" s="33" cm="1">
        <f t="array" aca="1" ref="V10" ca="1">INDIRECT("Data!P" &amp; 5)</f>
        <v>45350.478486423614</v>
      </c>
    </row>
    <row r="11" spans="1:22" x14ac:dyDescent="0.25">
      <c r="A11">
        <v>5</v>
      </c>
      <c r="B11">
        <v>5</v>
      </c>
      <c r="C11">
        <v>5</v>
      </c>
      <c r="D11">
        <v>5</v>
      </c>
      <c r="E11">
        <v>5</v>
      </c>
      <c r="F11">
        <v>5</v>
      </c>
      <c r="G11" t="str" cm="1">
        <f t="array" aca="1" ref="G11" ca="1">INDIRECT("Data!A" &amp; 6)</f>
        <v>330851082</v>
      </c>
      <c r="H11" s="21" cm="1">
        <f t="array" aca="1" ref="H11" ca="1">INDIRECT("Data!B" &amp; 6)</f>
        <v>45308</v>
      </c>
      <c r="I11" s="21" cm="1">
        <f t="array" aca="1" ref="I11" ca="1">INDIRECT("Data!C" &amp; 6)</f>
        <v>45323</v>
      </c>
      <c r="J11" cm="1">
        <f t="array" aca="1" ref="J11" ca="1">INDIRECT("Data!D" &amp; 6)</f>
        <v>0</v>
      </c>
      <c r="K11" t="str" cm="1">
        <f t="array" aca="1" ref="K11" ca="1">INDIRECT("Data!E" &amp; 6)</f>
        <v>FREIGHT</v>
      </c>
      <c r="L11" t="str" cm="1">
        <f t="array" aca="1" ref="L11" ca="1">INDIRECT("Data!F" &amp; 6)</f>
        <v>FALSE</v>
      </c>
      <c r="M11" t="str" cm="1">
        <f t="array" aca="1" ref="M11" ca="1">INDIRECT("Data!G" &amp; 6)</f>
        <v>710532</v>
      </c>
      <c r="N11" t="str" cm="1">
        <f t="array" aca="1" ref="N11" ca="1">INDIRECT("Data!H" &amp; 6)</f>
        <v>CRDX200180</v>
      </c>
      <c r="O11" t="str" cm="1">
        <f t="array" aca="1" ref="O11" ca="1">INDIRECT("Data!I" &amp; 6)</f>
        <v>359832</v>
      </c>
      <c r="P11" s="21" cm="1">
        <f t="array" aca="1" ref="P11" ca="1">INDIRECT("Data!J" &amp; 6)</f>
        <v>45308</v>
      </c>
      <c r="Q11" t="str" cm="1">
        <f t="array" aca="1" ref="Q11" ca="1">INDIRECT("Data!K" &amp; 6)</f>
        <v>ENVIROTECH SERVICES</v>
      </c>
      <c r="R11" t="str" cm="1">
        <f t="array" aca="1" ref="R11" ca="1">INDIRECT("Data!L" &amp; 6)</f>
        <v>ROWLEY</v>
      </c>
      <c r="S11" t="str" cm="1">
        <f t="array" aca="1" ref="S11" ca="1">INDIRECT("Data!M" &amp; 6)</f>
        <v>LA SALLE</v>
      </c>
      <c r="T11" t="str" cm="1">
        <f t="array" aca="1" ref="T11" ca="1">INDIRECT("Data!N" &amp; 6)</f>
        <v>CO</v>
      </c>
      <c r="U11" cm="1">
        <f t="array" aca="1" ref="U11" ca="1">INDIRECT("Data!O" &amp; 6)</f>
        <v>5133</v>
      </c>
      <c r="V11" s="33" cm="1">
        <f t="array" aca="1" ref="V11" ca="1">INDIRECT("Data!P" &amp; 6)</f>
        <v>45350.480711539349</v>
      </c>
    </row>
    <row r="12" spans="1:22" x14ac:dyDescent="0.25">
      <c r="A12">
        <v>6</v>
      </c>
      <c r="B12">
        <v>6</v>
      </c>
      <c r="C12">
        <v>6</v>
      </c>
      <c r="D12">
        <v>6</v>
      </c>
      <c r="E12">
        <v>6</v>
      </c>
      <c r="F12">
        <v>6</v>
      </c>
      <c r="G12" t="str" cm="1">
        <f t="array" aca="1" ref="G12" ca="1">INDIRECT("Data!A" &amp; 7)</f>
        <v>330851085</v>
      </c>
      <c r="H12" s="21" cm="1">
        <f t="array" aca="1" ref="H12" ca="1">INDIRECT("Data!B" &amp; 7)</f>
        <v>45308</v>
      </c>
      <c r="I12" s="21" cm="1">
        <f t="array" aca="1" ref="I12" ca="1">INDIRECT("Data!C" &amp; 7)</f>
        <v>45323</v>
      </c>
      <c r="J12" cm="1">
        <f t="array" aca="1" ref="J12" ca="1">INDIRECT("Data!D" &amp; 7)</f>
        <v>0</v>
      </c>
      <c r="K12" t="str" cm="1">
        <f t="array" aca="1" ref="K12" ca="1">INDIRECT("Data!E" &amp; 7)</f>
        <v>FREIGHT</v>
      </c>
      <c r="L12" t="str" cm="1">
        <f t="array" aca="1" ref="L12" ca="1">INDIRECT("Data!F" &amp; 7)</f>
        <v>FALSE</v>
      </c>
      <c r="M12" t="str" cm="1">
        <f t="array" aca="1" ref="M12" ca="1">INDIRECT("Data!G" &amp; 7)</f>
        <v>710532</v>
      </c>
      <c r="N12" t="str" cm="1">
        <f t="array" aca="1" ref="N12" ca="1">INDIRECT("Data!H" &amp; 7)</f>
        <v>CRDX200180</v>
      </c>
      <c r="O12" t="str" cm="1">
        <f t="array" aca="1" ref="O12" ca="1">INDIRECT("Data!I" &amp; 7)</f>
        <v>359832</v>
      </c>
      <c r="P12" s="21" cm="1">
        <f t="array" aca="1" ref="P12" ca="1">INDIRECT("Data!J" &amp; 7)</f>
        <v>45308</v>
      </c>
      <c r="Q12" t="str" cm="1">
        <f t="array" aca="1" ref="Q12" ca="1">INDIRECT("Data!K" &amp; 7)</f>
        <v>ENVIROTECH SERVICES</v>
      </c>
      <c r="R12" t="str" cm="1">
        <f t="array" aca="1" ref="R12" ca="1">INDIRECT("Data!L" &amp; 7)</f>
        <v>ROWLEY</v>
      </c>
      <c r="S12" t="str" cm="1">
        <f t="array" aca="1" ref="S12" ca="1">INDIRECT("Data!M" &amp; 7)</f>
        <v>LA SALLE</v>
      </c>
      <c r="T12" t="str" cm="1">
        <f t="array" aca="1" ref="T12" ca="1">INDIRECT("Data!N" &amp; 7)</f>
        <v>CO</v>
      </c>
      <c r="U12" cm="1">
        <f t="array" aca="1" ref="U12" ca="1">INDIRECT("Data!O" &amp; 7)</f>
        <v>5133</v>
      </c>
      <c r="V12" s="33" cm="1">
        <f t="array" aca="1" ref="V12" ca="1">INDIRECT("Data!P" &amp; 7)</f>
        <v>45350.481383993058</v>
      </c>
    </row>
    <row r="13" spans="1:22" x14ac:dyDescent="0.25">
      <c r="A13">
        <v>7</v>
      </c>
      <c r="B13">
        <v>7</v>
      </c>
      <c r="C13">
        <v>7</v>
      </c>
      <c r="D13">
        <v>7</v>
      </c>
      <c r="E13">
        <v>7</v>
      </c>
      <c r="F13">
        <v>7</v>
      </c>
      <c r="G13" t="str" cm="1">
        <f t="array" aca="1" ref="G13" ca="1">INDIRECT("Data!A" &amp; 8)</f>
        <v>331206880v3</v>
      </c>
      <c r="H13" s="21" cm="1">
        <f t="array" aca="1" ref="H13" ca="1">INDIRECT("Data!B" &amp; 8)</f>
        <v>45328</v>
      </c>
      <c r="I13" s="21" cm="1">
        <f t="array" aca="1" ref="I13" ca="1">INDIRECT("Data!C" &amp; 8)</f>
        <v>45343</v>
      </c>
      <c r="J13" cm="1">
        <f t="array" aca="1" ref="J13" ca="1">INDIRECT("Data!D" &amp; 8)</f>
        <v>500</v>
      </c>
      <c r="K13" t="str" cm="1">
        <f t="array" aca="1" ref="K13" ca="1">INDIRECT("Data!E" &amp; 8)</f>
        <v>FREIGHT</v>
      </c>
      <c r="L13" t="str" cm="1">
        <f t="array" aca="1" ref="L13" ca="1">INDIRECT("Data!F" &amp; 8)</f>
        <v>FALSE</v>
      </c>
      <c r="M13" t="str" cm="1">
        <f t="array" aca="1" ref="M13" ca="1">INDIRECT("Data!G" &amp; 8)</f>
        <v>21264</v>
      </c>
      <c r="N13" t="str" cm="1">
        <f t="array" aca="1" ref="N13" ca="1">INDIRECT("Data!H" &amp; 8)</f>
        <v>CRDX200750</v>
      </c>
      <c r="O13" t="str" cm="1">
        <f t="array" aca="1" ref="O13" ca="1">INDIRECT("Data!I" &amp; 8)</f>
        <v>836926</v>
      </c>
      <c r="P13" s="21" cm="1">
        <f t="array" aca="1" ref="P13" ca="1">INDIRECT("Data!J" &amp; 8)</f>
        <v>45328</v>
      </c>
      <c r="Q13" t="str" cm="1">
        <f t="array" aca="1" ref="Q13" ca="1">INDIRECT("Data!K" &amp; 8)</f>
        <v>NEBRASKA SALT GRAIN</v>
      </c>
      <c r="R13" t="str" cm="1">
        <f t="array" aca="1" ref="R13" ca="1">INDIRECT("Data!L" &amp; 8)</f>
        <v>ROWLEY</v>
      </c>
      <c r="S13" t="str" cm="1">
        <f t="array" aca="1" ref="S13" ca="1">INDIRECT("Data!M" &amp; 8)</f>
        <v>GOTHENBURG</v>
      </c>
      <c r="T13" t="str" cm="1">
        <f t="array" aca="1" ref="T13" ca="1">INDIRECT("Data!N" &amp; 8)</f>
        <v>NE</v>
      </c>
      <c r="U13" cm="1">
        <f t="array" aca="1" ref="U13" ca="1">INDIRECT("Data!O" &amp; 8)</f>
        <v>6907</v>
      </c>
      <c r="V13" s="33" cm="1">
        <f t="array" aca="1" ref="V13" ca="1">INDIRECT("Data!P" &amp; 8)</f>
        <v>45350.483999687502</v>
      </c>
    </row>
    <row r="14" spans="1:22" x14ac:dyDescent="0.25">
      <c r="A14">
        <v>8</v>
      </c>
      <c r="B14">
        <v>8</v>
      </c>
      <c r="C14">
        <v>8</v>
      </c>
      <c r="D14">
        <v>8</v>
      </c>
      <c r="E14">
        <v>8</v>
      </c>
      <c r="F14">
        <v>8</v>
      </c>
      <c r="G14" t="str" cm="1">
        <f t="array" aca="1" ref="G14" ca="1">INDIRECT("Data!A" &amp; 9)</f>
        <v>331200540</v>
      </c>
      <c r="H14" s="21" cm="1">
        <f t="array" aca="1" ref="H14" ca="1">INDIRECT("Data!B" &amp; 9)</f>
        <v>45328</v>
      </c>
      <c r="I14" s="21" cm="1">
        <f t="array" aca="1" ref="I14" ca="1">INDIRECT("Data!C" &amp; 9)</f>
        <v>45343</v>
      </c>
      <c r="J14" cm="1">
        <f t="array" aca="1" ref="J14" ca="1">INDIRECT("Data!D" &amp; 9)</f>
        <v>0</v>
      </c>
      <c r="K14" t="str" cm="1">
        <f t="array" aca="1" ref="K14" ca="1">INDIRECT("Data!E" &amp; 9)</f>
        <v>FREIGHT</v>
      </c>
      <c r="L14" t="str" cm="1">
        <f t="array" aca="1" ref="L14" ca="1">INDIRECT("Data!F" &amp; 9)</f>
        <v>FALSE</v>
      </c>
      <c r="M14" cm="1">
        <f t="array" aca="1" ref="M14" ca="1">INDIRECT("Data!G" &amp; 9)</f>
        <v>0</v>
      </c>
      <c r="N14" t="str" cm="1">
        <f t="array" aca="1" ref="N14" ca="1">INDIRECT("Data!H" &amp; 9)</f>
        <v>CMHX800735</v>
      </c>
      <c r="O14" t="str" cm="1">
        <f t="array" aca="1" ref="O14" ca="1">INDIRECT("Data!I" &amp; 9)</f>
        <v>827392</v>
      </c>
      <c r="P14" s="21" cm="1">
        <f t="array" aca="1" ref="P14" ca="1">INDIRECT("Data!J" &amp; 9)</f>
        <v>45327</v>
      </c>
      <c r="Q14" t="str" cm="1">
        <f t="array" aca="1" ref="Q14" ca="1">INDIRECT("Data!K" &amp; 9)</f>
        <v>ENVIROTECH SERVICES</v>
      </c>
      <c r="R14" t="str" cm="1">
        <f t="array" aca="1" ref="R14" ca="1">INDIRECT("Data!L" &amp; 9)</f>
        <v>NEPHI</v>
      </c>
      <c r="S14" t="str" cm="1">
        <f t="array" aca="1" ref="S14" ca="1">INDIRECT("Data!M" &amp; 9)</f>
        <v>ROLLA</v>
      </c>
      <c r="T14" t="str" cm="1">
        <f t="array" aca="1" ref="T14" ca="1">INDIRECT("Data!N" &amp; 9)</f>
        <v>CO</v>
      </c>
      <c r="U14" cm="1">
        <f t="array" aca="1" ref="U14" ca="1">INDIRECT("Data!O" &amp; 9)</f>
        <v>86580</v>
      </c>
      <c r="V14" s="33" cm="1">
        <f t="array" aca="1" ref="V14" ca="1">INDIRECT("Data!P" &amp; 9)</f>
        <v>45351.58401875</v>
      </c>
    </row>
    <row r="15" spans="1:22" x14ac:dyDescent="0.25">
      <c r="A15">
        <v>9</v>
      </c>
      <c r="B15">
        <v>9</v>
      </c>
      <c r="C15">
        <v>9</v>
      </c>
      <c r="D15">
        <v>9</v>
      </c>
      <c r="E15">
        <v>9</v>
      </c>
      <c r="F15">
        <v>9</v>
      </c>
      <c r="G15" t="str" cm="1">
        <f t="array" aca="1" ref="G15" ca="1">INDIRECT("Data!A" &amp; 10)</f>
        <v>331201111</v>
      </c>
      <c r="H15" s="21" cm="1">
        <f t="array" aca="1" ref="H15" ca="1">INDIRECT("Data!B" &amp; 10)</f>
        <v>45328</v>
      </c>
      <c r="I15" s="21" cm="1">
        <f t="array" aca="1" ref="I15" ca="1">INDIRECT("Data!C" &amp; 10)</f>
        <v>45343</v>
      </c>
      <c r="J15" cm="1">
        <f t="array" aca="1" ref="J15" ca="1">INDIRECT("Data!D" &amp; 10)</f>
        <v>0</v>
      </c>
      <c r="K15" t="str" cm="1">
        <f t="array" aca="1" ref="K15" ca="1">INDIRECT("Data!E" &amp; 10)</f>
        <v>FREIGHT</v>
      </c>
      <c r="L15" t="str" cm="1">
        <f t="array" aca="1" ref="L15" ca="1">INDIRECT("Data!F" &amp; 10)</f>
        <v>FALSE</v>
      </c>
      <c r="M15" cm="1">
        <f t="array" aca="1" ref="M15" ca="1">INDIRECT("Data!G" &amp; 10)</f>
        <v>0</v>
      </c>
      <c r="N15" t="str" cm="1">
        <f t="array" aca="1" ref="N15" ca="1">INDIRECT("Data!H" &amp; 10)</f>
        <v>CMHX800735</v>
      </c>
      <c r="O15" t="str" cm="1">
        <f t="array" aca="1" ref="O15" ca="1">INDIRECT("Data!I" &amp; 10)</f>
        <v>827392</v>
      </c>
      <c r="P15" s="21" cm="1">
        <f t="array" aca="1" ref="P15" ca="1">INDIRECT("Data!J" &amp; 10)</f>
        <v>45327</v>
      </c>
      <c r="Q15" t="str" cm="1">
        <f t="array" aca="1" ref="Q15" ca="1">INDIRECT("Data!K" &amp; 10)</f>
        <v>ENVIROTECH SERVICES</v>
      </c>
      <c r="R15" t="str" cm="1">
        <f t="array" aca="1" ref="R15" ca="1">INDIRECT("Data!L" &amp; 10)</f>
        <v>NEPHI</v>
      </c>
      <c r="S15" t="str" cm="1">
        <f t="array" aca="1" ref="S15" ca="1">INDIRECT("Data!M" &amp; 10)</f>
        <v>ROLLA</v>
      </c>
      <c r="T15" t="str" cm="1">
        <f t="array" aca="1" ref="T15" ca="1">INDIRECT("Data!N" &amp; 10)</f>
        <v>CO</v>
      </c>
      <c r="U15" cm="1">
        <f t="array" aca="1" ref="U15" ca="1">INDIRECT("Data!O" &amp; 10)</f>
        <v>86580</v>
      </c>
      <c r="V15" s="33" cm="1">
        <f t="array" aca="1" ref="V15" ca="1">INDIRECT("Data!P" &amp; 10)</f>
        <v>45351.584329826386</v>
      </c>
    </row>
    <row r="16" spans="1:22" x14ac:dyDescent="0.25">
      <c r="A16">
        <v>10</v>
      </c>
      <c r="B16">
        <v>10</v>
      </c>
      <c r="C16">
        <v>10</v>
      </c>
      <c r="D16">
        <v>10</v>
      </c>
      <c r="E16">
        <v>10</v>
      </c>
      <c r="F16">
        <v>10</v>
      </c>
      <c r="G16" t="str" cm="1">
        <f t="array" aca="1" ref="G16" ca="1">INDIRECT("Data!A" &amp; 11)</f>
        <v>331315740</v>
      </c>
      <c r="H16" s="21" cm="1">
        <f t="array" aca="1" ref="H16" ca="1">INDIRECT("Data!B" &amp; 11)</f>
        <v>45334</v>
      </c>
      <c r="I16" s="21" cm="1">
        <f t="array" aca="1" ref="I16" ca="1">INDIRECT("Data!C" &amp; 11)</f>
        <v>45349</v>
      </c>
      <c r="J16" cm="1">
        <f t="array" aca="1" ref="J16" ca="1">INDIRECT("Data!D" &amp; 11)</f>
        <v>0</v>
      </c>
      <c r="K16" t="str" cm="1">
        <f t="array" aca="1" ref="K16" ca="1">INDIRECT("Data!E" &amp; 11)</f>
        <v>FREIGHT</v>
      </c>
      <c r="L16" t="str" cm="1">
        <f t="array" aca="1" ref="L16" ca="1">INDIRECT("Data!F" &amp; 11)</f>
        <v>FALSE</v>
      </c>
      <c r="M16" cm="1">
        <f t="array" aca="1" ref="M16" ca="1">INDIRECT("Data!G" &amp; 11)</f>
        <v>0</v>
      </c>
      <c r="N16" t="str" cm="1">
        <f t="array" aca="1" ref="N16" ca="1">INDIRECT("Data!H" &amp; 11)</f>
        <v>EVRX120114</v>
      </c>
      <c r="O16" t="str" cm="1">
        <f t="array" aca="1" ref="O16" ca="1">INDIRECT("Data!I" &amp; 11)</f>
        <v>177083</v>
      </c>
      <c r="P16" s="21" cm="1">
        <f t="array" aca="1" ref="P16" ca="1">INDIRECT("Data!J" &amp; 11)</f>
        <v>45334</v>
      </c>
      <c r="Q16" t="str" cm="1">
        <f t="array" aca="1" ref="Q16" ca="1">INDIRECT("Data!K" &amp; 11)</f>
        <v>ENVIROTECH SERVICES</v>
      </c>
      <c r="R16" t="str" cm="1">
        <f t="array" aca="1" ref="R16" ca="1">INDIRECT("Data!L" &amp; 11)</f>
        <v>NEPHI</v>
      </c>
      <c r="S16" t="str" cm="1">
        <f t="array" aca="1" ref="S16" ca="1">INDIRECT("Data!M" &amp; 11)</f>
        <v>ROLLA</v>
      </c>
      <c r="T16" t="str" cm="1">
        <f t="array" aca="1" ref="T16" ca="1">INDIRECT("Data!N" &amp; 11)</f>
        <v>CO</v>
      </c>
      <c r="U16" cm="1">
        <f t="array" aca="1" ref="U16" ca="1">INDIRECT("Data!O" &amp; 11)</f>
        <v>86580</v>
      </c>
      <c r="V16" s="33" cm="1">
        <f t="array" aca="1" ref="V16" ca="1">INDIRECT("Data!P" &amp; 11)</f>
        <v>45351.584644328701</v>
      </c>
    </row>
    <row r="17" spans="1:22" x14ac:dyDescent="0.25">
      <c r="A17">
        <v>11</v>
      </c>
      <c r="B17">
        <v>11</v>
      </c>
      <c r="C17">
        <v>11</v>
      </c>
      <c r="D17">
        <v>11</v>
      </c>
      <c r="E17">
        <v>11</v>
      </c>
      <c r="F17">
        <v>11</v>
      </c>
      <c r="G17" t="str" cm="1">
        <f t="array" aca="1" ref="G17" ca="1">INDIRECT("Data!A" &amp; 12)</f>
        <v>331315740v2</v>
      </c>
      <c r="H17" s="21" cm="1">
        <f t="array" aca="1" ref="H17" ca="1">INDIRECT("Data!B" &amp; 12)</f>
        <v>45334</v>
      </c>
      <c r="I17" s="21" cm="1">
        <f t="array" aca="1" ref="I17" ca="1">INDIRECT("Data!C" &amp; 12)</f>
        <v>45349</v>
      </c>
      <c r="J17" cm="1">
        <f t="array" aca="1" ref="J17" ca="1">INDIRECT("Data!D" &amp; 12)</f>
        <v>0</v>
      </c>
      <c r="K17" t="str" cm="1">
        <f t="array" aca="1" ref="K17" ca="1">INDIRECT("Data!E" &amp; 12)</f>
        <v>FREIGHT</v>
      </c>
      <c r="L17" t="str" cm="1">
        <f t="array" aca="1" ref="L17" ca="1">INDIRECT("Data!F" &amp; 12)</f>
        <v>FALSE</v>
      </c>
      <c r="M17" cm="1">
        <f t="array" aca="1" ref="M17" ca="1">INDIRECT("Data!G" &amp; 12)</f>
        <v>0</v>
      </c>
      <c r="N17" t="str" cm="1">
        <f t="array" aca="1" ref="N17" ca="1">INDIRECT("Data!H" &amp; 12)</f>
        <v>EVRX120114</v>
      </c>
      <c r="O17" t="str" cm="1">
        <f t="array" aca="1" ref="O17" ca="1">INDIRECT("Data!I" &amp; 12)</f>
        <v>177083</v>
      </c>
      <c r="P17" s="21" cm="1">
        <f t="array" aca="1" ref="P17" ca="1">INDIRECT("Data!J" &amp; 12)</f>
        <v>45334</v>
      </c>
      <c r="Q17" t="str" cm="1">
        <f t="array" aca="1" ref="Q17" ca="1">INDIRECT("Data!K" &amp; 12)</f>
        <v>ENVIROTECH SERVICES</v>
      </c>
      <c r="R17" t="str" cm="1">
        <f t="array" aca="1" ref="R17" ca="1">INDIRECT("Data!L" &amp; 12)</f>
        <v>NEPHI</v>
      </c>
      <c r="S17" t="str" cm="1">
        <f t="array" aca="1" ref="S17" ca="1">INDIRECT("Data!M" &amp; 12)</f>
        <v>ROLLA</v>
      </c>
      <c r="T17" t="str" cm="1">
        <f t="array" aca="1" ref="T17" ca="1">INDIRECT("Data!N" &amp; 12)</f>
        <v>CO</v>
      </c>
      <c r="U17" cm="1">
        <f t="array" aca="1" ref="U17" ca="1">INDIRECT("Data!O" &amp; 12)</f>
        <v>86580</v>
      </c>
      <c r="V17" s="33" cm="1">
        <f t="array" aca="1" ref="V17" ca="1">INDIRECT("Data!P" &amp; 12)</f>
        <v>45351.602858564816</v>
      </c>
    </row>
    <row r="18" spans="1:22" x14ac:dyDescent="0.25">
      <c r="A18">
        <v>12</v>
      </c>
      <c r="B18">
        <v>12</v>
      </c>
      <c r="C18">
        <v>12</v>
      </c>
      <c r="D18">
        <v>12</v>
      </c>
      <c r="E18">
        <v>12</v>
      </c>
      <c r="F18">
        <v>12</v>
      </c>
      <c r="G18" t="str" cm="1">
        <f t="array" aca="1" ref="G18" ca="1">INDIRECT("Data!A" &amp; 13)</f>
        <v>320944446</v>
      </c>
      <c r="H18" s="21" cm="1">
        <f t="array" aca="1" ref="H18" ca="1">INDIRECT("Data!B" &amp; 13)</f>
        <v>44750</v>
      </c>
      <c r="I18" s="21" cm="1">
        <f t="array" aca="1" ref="I18" ca="1">INDIRECT("Data!C" &amp; 13)</f>
        <v>44750</v>
      </c>
      <c r="J18" cm="1">
        <f t="array" aca="1" ref="J18" ca="1">INDIRECT("Data!D" &amp; 13)</f>
        <v>0</v>
      </c>
      <c r="K18" t="str" cm="1">
        <f t="array" aca="1" ref="K18" ca="1">INDIRECT("Data!E" &amp; 13)</f>
        <v>FREIGHT</v>
      </c>
      <c r="L18" t="str" cm="1">
        <f t="array" aca="1" ref="L18" ca="1">INDIRECT("Data!F" &amp; 13)</f>
        <v>FALSE</v>
      </c>
      <c r="M18" cm="1">
        <f t="array" aca="1" ref="M18" ca="1">INDIRECT("Data!G" &amp; 13)</f>
        <v>0</v>
      </c>
      <c r="N18" cm="1">
        <f t="array" aca="1" ref="N18" ca="1">INDIRECT("Data!H" &amp; 13)</f>
        <v>0</v>
      </c>
      <c r="O18" cm="1">
        <f t="array" aca="1" ref="O18" ca="1">INDIRECT("Data!I" &amp; 13)</f>
        <v>0</v>
      </c>
      <c r="P18" s="21" cm="1">
        <f t="array" aca="1" ref="P18" ca="1">INDIRECT("Data!J" &amp; 13)</f>
        <v>0</v>
      </c>
      <c r="Q18" cm="1">
        <f t="array" aca="1" ref="Q18" ca="1">INDIRECT("Data!K" &amp; 13)</f>
        <v>0</v>
      </c>
      <c r="R18" cm="1">
        <f t="array" aca="1" ref="R18" ca="1">INDIRECT("Data!L" &amp; 13)</f>
        <v>0</v>
      </c>
      <c r="S18" cm="1">
        <f t="array" aca="1" ref="S18" ca="1">INDIRECT("Data!M" &amp; 13)</f>
        <v>0</v>
      </c>
      <c r="T18" cm="1">
        <f t="array" aca="1" ref="T18" ca="1">INDIRECT("Data!N" &amp; 13)</f>
        <v>0</v>
      </c>
      <c r="U18" cm="1">
        <f t="array" aca="1" ref="U18" ca="1">INDIRECT("Data!O" &amp; 13)</f>
        <v>1728.01</v>
      </c>
      <c r="V18" s="33" cm="1">
        <f t="array" aca="1" ref="V18" ca="1">INDIRECT("Data!P" &amp; 13)</f>
        <v>45351.603099687498</v>
      </c>
    </row>
    <row r="19" spans="1:22" x14ac:dyDescent="0.25">
      <c r="A19">
        <v>13</v>
      </c>
      <c r="B19">
        <v>13</v>
      </c>
      <c r="C19">
        <v>13</v>
      </c>
      <c r="D19">
        <v>13</v>
      </c>
      <c r="E19">
        <v>13</v>
      </c>
      <c r="F19">
        <v>13</v>
      </c>
      <c r="G19" t="str" cm="1">
        <f t="array" aca="1" ref="G19" ca="1">INDIRECT("Data!A" &amp; 14)</f>
        <v>331364846</v>
      </c>
      <c r="H19" s="21" cm="1">
        <f t="array" aca="1" ref="H19" ca="1">INDIRECT("Data!B" &amp; 14)</f>
        <v>45337</v>
      </c>
      <c r="I19" s="21" cm="1">
        <f t="array" aca="1" ref="I19" ca="1">INDIRECT("Data!C" &amp; 14)</f>
        <v>45352</v>
      </c>
      <c r="J19" cm="1">
        <f t="array" aca="1" ref="J19" ca="1">INDIRECT("Data!D" &amp; 14)</f>
        <v>1100</v>
      </c>
      <c r="K19" t="str" cm="1">
        <f t="array" aca="1" ref="K19" ca="1">INDIRECT("Data!E" &amp; 14)</f>
        <v>DEMURRAGE</v>
      </c>
      <c r="L19" t="str" cm="1">
        <f t="array" aca="1" ref="L19" ca="1">INDIRECT("Data!F" &amp; 14)</f>
        <v>FALSE</v>
      </c>
      <c r="M19" cm="1">
        <f t="array" aca="1" ref="M19" ca="1">INDIRECT("Data!G" &amp; 14)</f>
        <v>0</v>
      </c>
      <c r="N19" cm="1">
        <f t="array" aca="1" ref="N19" ca="1">INDIRECT("Data!H" &amp; 14)</f>
        <v>0</v>
      </c>
      <c r="O19" t="str" cm="1">
        <f t="array" aca="1" ref="O19" ca="1">INDIRECT("Data!I" &amp; 14)</f>
        <v>602187</v>
      </c>
      <c r="P19" s="21" cm="1">
        <f t="array" aca="1" ref="P19" ca="1">INDIRECT("Data!J" &amp; 14)</f>
        <v>0</v>
      </c>
      <c r="Q19" t="str" cm="1">
        <f t="array" aca="1" ref="Q19" ca="1">INDIRECT("Data!K" &amp; 14)</f>
        <v>ENVIROTECH SERVICES INC</v>
      </c>
      <c r="R19" cm="1">
        <f t="array" aca="1" ref="R19" ca="1">INDIRECT("Data!L" &amp; 14)</f>
        <v>0</v>
      </c>
      <c r="S19" cm="1">
        <f t="array" aca="1" ref="S19" ca="1">INDIRECT("Data!M" &amp; 14)</f>
        <v>0</v>
      </c>
      <c r="T19" cm="1">
        <f t="array" aca="1" ref="T19" ca="1">INDIRECT("Data!N" &amp; 14)</f>
        <v>0</v>
      </c>
      <c r="U19" cm="1">
        <f t="array" aca="1" ref="U19" ca="1">INDIRECT("Data!O" &amp; 14)</f>
        <v>0</v>
      </c>
      <c r="V19" s="33" cm="1">
        <f t="array" aca="1" ref="V19" ca="1">INDIRECT("Data!P" &amp; 14)</f>
        <v>45351.617604976855</v>
      </c>
    </row>
    <row r="20" spans="1:22" x14ac:dyDescent="0.25">
      <c r="A20">
        <v>14</v>
      </c>
      <c r="B20">
        <v>14</v>
      </c>
      <c r="C20">
        <v>14</v>
      </c>
      <c r="D20">
        <v>14</v>
      </c>
      <c r="E20">
        <v>14</v>
      </c>
      <c r="F20">
        <v>14</v>
      </c>
      <c r="G20" t="str" cm="1">
        <f t="array" aca="1" ref="G20" ca="1">INDIRECT("Data!A" &amp; 15)</f>
        <v>331364846v2</v>
      </c>
      <c r="H20" s="21" cm="1">
        <f t="array" aca="1" ref="H20" ca="1">INDIRECT("Data!B" &amp; 15)</f>
        <v>45337</v>
      </c>
      <c r="I20" s="21" cm="1">
        <f t="array" aca="1" ref="I20" ca="1">INDIRECT("Data!C" &amp; 15)</f>
        <v>45352</v>
      </c>
      <c r="J20" cm="1">
        <f t="array" aca="1" ref="J20" ca="1">INDIRECT("Data!D" &amp; 15)</f>
        <v>1100</v>
      </c>
      <c r="K20" t="str" cm="1">
        <f t="array" aca="1" ref="K20" ca="1">INDIRECT("Data!E" &amp; 15)</f>
        <v>DEMURRAGE</v>
      </c>
      <c r="L20" t="str" cm="1">
        <f t="array" aca="1" ref="L20" ca="1">INDIRECT("Data!F" &amp; 15)</f>
        <v>FALSE</v>
      </c>
      <c r="M20" cm="1">
        <f t="array" aca="1" ref="M20" ca="1">INDIRECT("Data!G" &amp; 15)</f>
        <v>0</v>
      </c>
      <c r="N20" cm="1">
        <f t="array" aca="1" ref="N20" ca="1">INDIRECT("Data!H" &amp; 15)</f>
        <v>0</v>
      </c>
      <c r="O20" t="str" cm="1">
        <f t="array" aca="1" ref="O20" ca="1">INDIRECT("Data!I" &amp; 15)</f>
        <v>602187</v>
      </c>
      <c r="P20" s="21" cm="1">
        <f t="array" aca="1" ref="P20" ca="1">INDIRECT("Data!J" &amp; 15)</f>
        <v>0</v>
      </c>
      <c r="Q20" t="str" cm="1">
        <f t="array" aca="1" ref="Q20" ca="1">INDIRECT("Data!K" &amp; 15)</f>
        <v>ENVIROTECH SERVICES INC</v>
      </c>
      <c r="R20" cm="1">
        <f t="array" aca="1" ref="R20" ca="1">INDIRECT("Data!L" &amp; 15)</f>
        <v>0</v>
      </c>
      <c r="S20" cm="1">
        <f t="array" aca="1" ref="S20" ca="1">INDIRECT("Data!M" &amp; 15)</f>
        <v>0</v>
      </c>
      <c r="T20" cm="1">
        <f t="array" aca="1" ref="T20" ca="1">INDIRECT("Data!N" &amp; 15)</f>
        <v>0</v>
      </c>
      <c r="U20" cm="1">
        <f t="array" aca="1" ref="U20" ca="1">INDIRECT("Data!O" &amp; 15)</f>
        <v>0</v>
      </c>
      <c r="V20" s="33" cm="1">
        <f t="array" aca="1" ref="V20" ca="1">INDIRECT("Data!P" &amp; 15)</f>
        <v>45351.61766585648</v>
      </c>
    </row>
    <row r="21" spans="1:22" x14ac:dyDescent="0.25">
      <c r="A21">
        <v>15</v>
      </c>
      <c r="B21">
        <v>15</v>
      </c>
      <c r="C21">
        <v>15</v>
      </c>
      <c r="D21">
        <v>15</v>
      </c>
      <c r="E21">
        <v>15</v>
      </c>
      <c r="F21">
        <v>15</v>
      </c>
      <c r="G21" t="str" cm="1">
        <f t="array" aca="1" ref="G21" ca="1">INDIRECT("Data!A" &amp; 16)</f>
        <v>331639958</v>
      </c>
      <c r="H21" s="21" cm="1">
        <f t="array" aca="1" ref="H21" ca="1">INDIRECT("Data!B" &amp; 16)</f>
        <v>45351</v>
      </c>
      <c r="I21" s="21" cm="1">
        <f t="array" aca="1" ref="I21" ca="1">INDIRECT("Data!C" &amp; 16)</f>
        <v>45366</v>
      </c>
      <c r="J21" cm="1">
        <f t="array" aca="1" ref="J21" ca="1">INDIRECT("Data!D" &amp; 16)</f>
        <v>86580</v>
      </c>
      <c r="K21" t="str" cm="1">
        <f t="array" aca="1" ref="K21" ca="1">INDIRECT("Data!E" &amp; 16)</f>
        <v>FREIGHT</v>
      </c>
      <c r="L21" t="str" cm="1">
        <f t="array" aca="1" ref="L21" ca="1">INDIRECT("Data!F" &amp; 16)</f>
        <v>FALSE</v>
      </c>
      <c r="M21" cm="1">
        <f t="array" aca="1" ref="M21" ca="1">INDIRECT("Data!G" &amp; 16)</f>
        <v>0</v>
      </c>
      <c r="N21" t="str" cm="1">
        <f t="array" aca="1" ref="N21" ca="1">INDIRECT("Data!H" &amp; 16)</f>
        <v>INTX74689</v>
      </c>
      <c r="O21" t="str" cm="1">
        <f t="array" aca="1" ref="O21" ca="1">INDIRECT("Data!I" &amp; 16)</f>
        <v>605392</v>
      </c>
      <c r="P21" s="21" cm="1">
        <f t="array" aca="1" ref="P21" ca="1">INDIRECT("Data!J" &amp; 16)</f>
        <v>45351</v>
      </c>
      <c r="Q21" t="str" cm="1">
        <f t="array" aca="1" ref="Q21" ca="1">INDIRECT("Data!K" &amp; 16)</f>
        <v>ENVIROTECH SERVICES</v>
      </c>
      <c r="R21" t="str" cm="1">
        <f t="array" aca="1" ref="R21" ca="1">INDIRECT("Data!L" &amp; 16)</f>
        <v>NEPHI</v>
      </c>
      <c r="S21" t="str" cm="1">
        <f t="array" aca="1" ref="S21" ca="1">INDIRECT("Data!M" &amp; 16)</f>
        <v>ROLLA</v>
      </c>
      <c r="T21" t="str" cm="1">
        <f t="array" aca="1" ref="T21" ca="1">INDIRECT("Data!N" &amp; 16)</f>
        <v>CO</v>
      </c>
      <c r="U21" cm="1">
        <f t="array" aca="1" ref="U21" ca="1">INDIRECT("Data!O" &amp; 16)</f>
        <v>0</v>
      </c>
      <c r="V21" s="33" cm="1">
        <f t="array" aca="1" ref="V21" ca="1">INDIRECT("Data!P" &amp; 16)</f>
        <v>45351.748991550929</v>
      </c>
    </row>
    <row r="22" spans="1:22" x14ac:dyDescent="0.25">
      <c r="A22">
        <v>16</v>
      </c>
      <c r="B22">
        <v>16</v>
      </c>
      <c r="C22">
        <v>16</v>
      </c>
      <c r="D22">
        <v>16</v>
      </c>
      <c r="E22">
        <v>16</v>
      </c>
      <c r="F22">
        <v>16</v>
      </c>
      <c r="G22" t="str" cm="1">
        <f t="array" aca="1" ref="G22" ca="1">INDIRECT("Data!A" &amp; 17)</f>
        <v>331662753</v>
      </c>
      <c r="H22" s="21" cm="1">
        <f t="array" aca="1" ref="H22" ca="1">INDIRECT("Data!B" &amp; 17)</f>
        <v>45352</v>
      </c>
      <c r="I22" s="21" cm="1">
        <f t="array" aca="1" ref="I22" ca="1">INDIRECT("Data!C" &amp; 17)</f>
        <v>45367</v>
      </c>
      <c r="J22" cm="1">
        <f t="array" aca="1" ref="J22" ca="1">INDIRECT("Data!D" &amp; 17)</f>
        <v>7791</v>
      </c>
      <c r="K22" t="str" cm="1">
        <f t="array" aca="1" ref="K22" ca="1">INDIRECT("Data!E" &amp; 17)</f>
        <v>FREIGHT</v>
      </c>
      <c r="L22" t="str" cm="1">
        <f t="array" aca="1" ref="L22" ca="1">INDIRECT("Data!F" &amp; 17)</f>
        <v>FALSE</v>
      </c>
      <c r="M22" t="str" cm="1">
        <f t="array" aca="1" ref="M22" ca="1">INDIRECT("Data!G" &amp; 17)</f>
        <v>719113</v>
      </c>
      <c r="N22" t="str" cm="1">
        <f t="array" aca="1" ref="N22" ca="1">INDIRECT("Data!H" &amp; 17)</f>
        <v>GBRX711530</v>
      </c>
      <c r="O22" t="str" cm="1">
        <f t="array" aca="1" ref="O22" ca="1">INDIRECT("Data!I" &amp; 17)</f>
        <v>564722</v>
      </c>
      <c r="P22" s="21" cm="1">
        <f t="array" aca="1" ref="P22" ca="1">INDIRECT("Data!J" &amp; 17)</f>
        <v>45349</v>
      </c>
      <c r="Q22" t="str" cm="1">
        <f t="array" aca="1" ref="Q22" ca="1">INDIRECT("Data!K" &amp; 17)</f>
        <v>NSG LOGISTICS LLC</v>
      </c>
      <c r="R22" t="str" cm="1">
        <f t="array" aca="1" ref="R22" ca="1">INDIRECT("Data!L" &amp; 17)</f>
        <v>ROWLEY</v>
      </c>
      <c r="S22" t="str" cm="1">
        <f t="array" aca="1" ref="S22" ca="1">INDIRECT("Data!M" &amp; 17)</f>
        <v>CLEBURNE</v>
      </c>
      <c r="T22" t="str" cm="1">
        <f t="array" aca="1" ref="T22" ca="1">INDIRECT("Data!N" &amp; 17)</f>
        <v>TX</v>
      </c>
      <c r="U22" cm="1">
        <f t="array" aca="1" ref="U22" ca="1">INDIRECT("Data!O" &amp; 17)</f>
        <v>0</v>
      </c>
      <c r="V22" s="33" cm="1">
        <f t="array" aca="1" ref="V22" ca="1">INDIRECT("Data!P" &amp; 17)</f>
        <v>45352.745133761571</v>
      </c>
    </row>
    <row r="23" spans="1:22" x14ac:dyDescent="0.25">
      <c r="A23">
        <v>17</v>
      </c>
      <c r="B23">
        <v>17</v>
      </c>
      <c r="C23">
        <v>17</v>
      </c>
      <c r="D23">
        <v>17</v>
      </c>
      <c r="E23">
        <v>17</v>
      </c>
      <c r="F23">
        <v>17</v>
      </c>
      <c r="G23" t="str" cm="1">
        <f t="array" aca="1" ref="G23" ca="1">INDIRECT("Data!A" &amp; 18)</f>
        <v>331662754</v>
      </c>
      <c r="H23" s="21" cm="1">
        <f t="array" aca="1" ref="H23" ca="1">INDIRECT("Data!B" &amp; 18)</f>
        <v>45352</v>
      </c>
      <c r="I23" s="21" cm="1">
        <f t="array" aca="1" ref="I23" ca="1">INDIRECT("Data!C" &amp; 18)</f>
        <v>45367</v>
      </c>
      <c r="J23" cm="1">
        <f t="array" aca="1" ref="J23" ca="1">INDIRECT("Data!D" &amp; 18)</f>
        <v>7791</v>
      </c>
      <c r="K23" t="str" cm="1">
        <f t="array" aca="1" ref="K23" ca="1">INDIRECT("Data!E" &amp; 18)</f>
        <v>FREIGHT</v>
      </c>
      <c r="L23" t="str" cm="1">
        <f t="array" aca="1" ref="L23" ca="1">INDIRECT("Data!F" &amp; 18)</f>
        <v>FALSE</v>
      </c>
      <c r="M23" t="str" cm="1">
        <f t="array" aca="1" ref="M23" ca="1">INDIRECT("Data!G" &amp; 18)</f>
        <v>718824</v>
      </c>
      <c r="N23" t="str" cm="1">
        <f t="array" aca="1" ref="N23" ca="1">INDIRECT("Data!H" &amp; 18)</f>
        <v>GLNX21123</v>
      </c>
      <c r="O23" t="str" cm="1">
        <f t="array" aca="1" ref="O23" ca="1">INDIRECT("Data!I" &amp; 18)</f>
        <v>564676</v>
      </c>
      <c r="P23" s="21" cm="1">
        <f t="array" aca="1" ref="P23" ca="1">INDIRECT("Data!J" &amp; 18)</f>
        <v>45349</v>
      </c>
      <c r="Q23" t="str" cm="1">
        <f t="array" aca="1" ref="Q23" ca="1">INDIRECT("Data!K" &amp; 18)</f>
        <v>NSG LOGISTICS LLC</v>
      </c>
      <c r="R23" t="str" cm="1">
        <f t="array" aca="1" ref="R23" ca="1">INDIRECT("Data!L" &amp; 18)</f>
        <v>ROWLEY</v>
      </c>
      <c r="S23" t="str" cm="1">
        <f t="array" aca="1" ref="S23" ca="1">INDIRECT("Data!M" &amp; 18)</f>
        <v>CLEBURNE</v>
      </c>
      <c r="T23" t="str" cm="1">
        <f t="array" aca="1" ref="T23" ca="1">INDIRECT("Data!N" &amp; 18)</f>
        <v>TX</v>
      </c>
      <c r="U23" cm="1">
        <f t="array" aca="1" ref="U23" ca="1">INDIRECT("Data!O" &amp; 18)</f>
        <v>0</v>
      </c>
      <c r="V23" s="33" cm="1">
        <f t="array" aca="1" ref="V23" ca="1">INDIRECT("Data!P" &amp; 18)</f>
        <v>45352.745157060184</v>
      </c>
    </row>
    <row r="24" spans="1:22" x14ac:dyDescent="0.25">
      <c r="A24">
        <v>18</v>
      </c>
      <c r="B24">
        <v>18</v>
      </c>
      <c r="C24">
        <v>18</v>
      </c>
      <c r="D24">
        <v>18</v>
      </c>
      <c r="E24">
        <v>18</v>
      </c>
      <c r="F24">
        <v>18</v>
      </c>
      <c r="G24" t="str" cm="1">
        <f t="array" aca="1" ref="G24" ca="1">INDIRECT("Data!A" &amp; 19)</f>
        <v>331662762</v>
      </c>
      <c r="H24" s="21" cm="1">
        <f t="array" aca="1" ref="H24" ca="1">INDIRECT("Data!B" &amp; 19)</f>
        <v>45352</v>
      </c>
      <c r="I24" s="21" cm="1">
        <f t="array" aca="1" ref="I24" ca="1">INDIRECT("Data!C" &amp; 19)</f>
        <v>45367</v>
      </c>
      <c r="J24" cm="1">
        <f t="array" aca="1" ref="J24" ca="1">INDIRECT("Data!D" &amp; 19)</f>
        <v>7791</v>
      </c>
      <c r="K24" t="str" cm="1">
        <f t="array" aca="1" ref="K24" ca="1">INDIRECT("Data!E" &amp; 19)</f>
        <v>FREIGHT</v>
      </c>
      <c r="L24" t="str" cm="1">
        <f t="array" aca="1" ref="L24" ca="1">INDIRECT("Data!F" &amp; 19)</f>
        <v>FALSE</v>
      </c>
      <c r="M24" t="str" cm="1">
        <f t="array" aca="1" ref="M24" ca="1">INDIRECT("Data!G" &amp; 19)</f>
        <v>719114</v>
      </c>
      <c r="N24" t="str" cm="1">
        <f t="array" aca="1" ref="N24" ca="1">INDIRECT("Data!H" &amp; 19)</f>
        <v>GBRX716054</v>
      </c>
      <c r="O24" t="str" cm="1">
        <f t="array" aca="1" ref="O24" ca="1">INDIRECT("Data!I" &amp; 19)</f>
        <v>564834</v>
      </c>
      <c r="P24" s="21" cm="1">
        <f t="array" aca="1" ref="P24" ca="1">INDIRECT("Data!J" &amp; 19)</f>
        <v>45349</v>
      </c>
      <c r="Q24" t="str" cm="1">
        <f t="array" aca="1" ref="Q24" ca="1">INDIRECT("Data!K" &amp; 19)</f>
        <v>NSG LOGISTICS LLC</v>
      </c>
      <c r="R24" t="str" cm="1">
        <f t="array" aca="1" ref="R24" ca="1">INDIRECT("Data!L" &amp; 19)</f>
        <v>ROWLEY</v>
      </c>
      <c r="S24" t="str" cm="1">
        <f t="array" aca="1" ref="S24" ca="1">INDIRECT("Data!M" &amp; 19)</f>
        <v>CLEBURNE</v>
      </c>
      <c r="T24" t="str" cm="1">
        <f t="array" aca="1" ref="T24" ca="1">INDIRECT("Data!N" &amp; 19)</f>
        <v>TX</v>
      </c>
      <c r="U24" cm="1">
        <f t="array" aca="1" ref="U24" ca="1">INDIRECT("Data!O" &amp; 19)</f>
        <v>0</v>
      </c>
      <c r="V24" s="33" cm="1">
        <f t="array" aca="1" ref="V24" ca="1">INDIRECT("Data!P" &amp; 19)</f>
        <v>45352.745188425928</v>
      </c>
    </row>
    <row r="25" spans="1:22" x14ac:dyDescent="0.25">
      <c r="A25">
        <v>19</v>
      </c>
      <c r="B25">
        <v>19</v>
      </c>
      <c r="C25">
        <v>19</v>
      </c>
      <c r="D25">
        <v>19</v>
      </c>
      <c r="E25">
        <v>19</v>
      </c>
      <c r="F25">
        <v>19</v>
      </c>
      <c r="G25" t="str" cm="1">
        <f t="array" aca="1" ref="G25" ca="1">INDIRECT("Data!A" &amp; 20)</f>
        <v>331662748</v>
      </c>
      <c r="H25" s="21" cm="1">
        <f t="array" aca="1" ref="H25" ca="1">INDIRECT("Data!B" &amp; 20)</f>
        <v>45352</v>
      </c>
      <c r="I25" s="21" cm="1">
        <f t="array" aca="1" ref="I25" ca="1">INDIRECT("Data!C" &amp; 20)</f>
        <v>45367</v>
      </c>
      <c r="J25" cm="1">
        <f t="array" aca="1" ref="J25" ca="1">INDIRECT("Data!D" &amp; 20)</f>
        <v>7791</v>
      </c>
      <c r="K25" t="str" cm="1">
        <f t="array" aca="1" ref="K25" ca="1">INDIRECT("Data!E" &amp; 20)</f>
        <v>FREIGHT</v>
      </c>
      <c r="L25" t="str" cm="1">
        <f t="array" aca="1" ref="L25" ca="1">INDIRECT("Data!F" &amp; 20)</f>
        <v>FALSE</v>
      </c>
      <c r="M25" t="str" cm="1">
        <f t="array" aca="1" ref="M25" ca="1">INDIRECT("Data!G" &amp; 20)</f>
        <v>718816</v>
      </c>
      <c r="N25" t="str" cm="1">
        <f t="array" aca="1" ref="N25" ca="1">INDIRECT("Data!H" &amp; 20)</f>
        <v>CRDX200736</v>
      </c>
      <c r="O25" t="str" cm="1">
        <f t="array" aca="1" ref="O25" ca="1">INDIRECT("Data!I" &amp; 20)</f>
        <v>413063</v>
      </c>
      <c r="P25" s="21" cm="1">
        <f t="array" aca="1" ref="P25" ca="1">INDIRECT("Data!J" &amp; 20)</f>
        <v>45343</v>
      </c>
      <c r="Q25" t="str" cm="1">
        <f t="array" aca="1" ref="Q25" ca="1">INDIRECT("Data!K" &amp; 20)</f>
        <v>NSG LOGISTICS LLC</v>
      </c>
      <c r="R25" t="str" cm="1">
        <f t="array" aca="1" ref="R25" ca="1">INDIRECT("Data!L" &amp; 20)</f>
        <v>ROWLEY</v>
      </c>
      <c r="S25" t="str" cm="1">
        <f t="array" aca="1" ref="S25" ca="1">INDIRECT("Data!M" &amp; 20)</f>
        <v>CLEBURNE</v>
      </c>
      <c r="T25" t="str" cm="1">
        <f t="array" aca="1" ref="T25" ca="1">INDIRECT("Data!N" &amp; 20)</f>
        <v>TX</v>
      </c>
      <c r="U25" cm="1">
        <f t="array" aca="1" ref="U25" ca="1">INDIRECT("Data!O" &amp; 20)</f>
        <v>0</v>
      </c>
      <c r="V25" s="33" cm="1">
        <f t="array" aca="1" ref="V25" ca="1">INDIRECT("Data!P" &amp; 20)</f>
        <v>45352.745204826388</v>
      </c>
    </row>
    <row r="26" spans="1:22" x14ac:dyDescent="0.25">
      <c r="A26">
        <v>20</v>
      </c>
      <c r="B26">
        <v>20</v>
      </c>
      <c r="C26">
        <v>20</v>
      </c>
      <c r="D26">
        <v>20</v>
      </c>
      <c r="E26">
        <v>20</v>
      </c>
      <c r="F26">
        <v>20</v>
      </c>
      <c r="G26" t="str" cm="1">
        <f t="array" aca="1" ref="G26" ca="1">INDIRECT("Data!A" &amp; 21)</f>
        <v>331662745</v>
      </c>
      <c r="H26" s="21" cm="1">
        <f t="array" aca="1" ref="H26" ca="1">INDIRECT("Data!B" &amp; 21)</f>
        <v>45352</v>
      </c>
      <c r="I26" s="21" cm="1">
        <f t="array" aca="1" ref="I26" ca="1">INDIRECT("Data!C" &amp; 21)</f>
        <v>45367</v>
      </c>
      <c r="J26" cm="1">
        <f t="array" aca="1" ref="J26" ca="1">INDIRECT("Data!D" &amp; 21)</f>
        <v>7791</v>
      </c>
      <c r="K26" t="str" cm="1">
        <f t="array" aca="1" ref="K26" ca="1">INDIRECT("Data!E" &amp; 21)</f>
        <v>FREIGHT</v>
      </c>
      <c r="L26" t="str" cm="1">
        <f t="array" aca="1" ref="L26" ca="1">INDIRECT("Data!F" &amp; 21)</f>
        <v>FALSE</v>
      </c>
      <c r="M26" t="str" cm="1">
        <f t="array" aca="1" ref="M26" ca="1">INDIRECT("Data!G" &amp; 21)</f>
        <v>718817</v>
      </c>
      <c r="N26" t="str" cm="1">
        <f t="array" aca="1" ref="N26" ca="1">INDIRECT("Data!H" &amp; 21)</f>
        <v>CRDX200172</v>
      </c>
      <c r="O26" t="str" cm="1">
        <f t="array" aca="1" ref="O26" ca="1">INDIRECT("Data!I" &amp; 21)</f>
        <v>413018</v>
      </c>
      <c r="P26" s="21" cm="1">
        <f t="array" aca="1" ref="P26" ca="1">INDIRECT("Data!J" &amp; 21)</f>
        <v>45343</v>
      </c>
      <c r="Q26" t="str" cm="1">
        <f t="array" aca="1" ref="Q26" ca="1">INDIRECT("Data!K" &amp; 21)</f>
        <v>NSG LOGISTICS LLC</v>
      </c>
      <c r="R26" t="str" cm="1">
        <f t="array" aca="1" ref="R26" ca="1">INDIRECT("Data!L" &amp; 21)</f>
        <v>ROWLEY</v>
      </c>
      <c r="S26" t="str" cm="1">
        <f t="array" aca="1" ref="S26" ca="1">INDIRECT("Data!M" &amp; 21)</f>
        <v>CLEBURNE</v>
      </c>
      <c r="T26" t="str" cm="1">
        <f t="array" aca="1" ref="T26" ca="1">INDIRECT("Data!N" &amp; 21)</f>
        <v>TX</v>
      </c>
      <c r="U26" cm="1">
        <f t="array" aca="1" ref="U26" ca="1">INDIRECT("Data!O" &amp; 21)</f>
        <v>0</v>
      </c>
      <c r="V26" s="33" cm="1">
        <f t="array" aca="1" ref="V26" ca="1">INDIRECT("Data!P" &amp; 21)</f>
        <v>45352.745207094908</v>
      </c>
    </row>
    <row r="27" spans="1:22" x14ac:dyDescent="0.25">
      <c r="A27">
        <v>21</v>
      </c>
      <c r="B27">
        <v>21</v>
      </c>
      <c r="C27">
        <v>21</v>
      </c>
      <c r="D27">
        <v>21</v>
      </c>
      <c r="E27">
        <v>21</v>
      </c>
      <c r="F27">
        <v>21</v>
      </c>
      <c r="G27" t="str" cm="1">
        <f t="array" aca="1" ref="G27" ca="1">INDIRECT("Data!A" &amp; 22)</f>
        <v>331662755</v>
      </c>
      <c r="H27" s="21" cm="1">
        <f t="array" aca="1" ref="H27" ca="1">INDIRECT("Data!B" &amp; 22)</f>
        <v>45352</v>
      </c>
      <c r="I27" s="21" cm="1">
        <f t="array" aca="1" ref="I27" ca="1">INDIRECT("Data!C" &amp; 22)</f>
        <v>45367</v>
      </c>
      <c r="J27" cm="1">
        <f t="array" aca="1" ref="J27" ca="1">INDIRECT("Data!D" &amp; 22)</f>
        <v>7791</v>
      </c>
      <c r="K27" t="str" cm="1">
        <f t="array" aca="1" ref="K27" ca="1">INDIRECT("Data!E" &amp; 22)</f>
        <v>FREIGHT</v>
      </c>
      <c r="L27" t="str" cm="1">
        <f t="array" aca="1" ref="L27" ca="1">INDIRECT("Data!F" &amp; 22)</f>
        <v>FALSE</v>
      </c>
      <c r="M27" t="str" cm="1">
        <f t="array" aca="1" ref="M27" ca="1">INDIRECT("Data!G" &amp; 22)</f>
        <v>719112</v>
      </c>
      <c r="N27" t="str" cm="1">
        <f t="array" aca="1" ref="N27" ca="1">INDIRECT("Data!H" &amp; 22)</f>
        <v>CRDX200166</v>
      </c>
      <c r="O27" t="str" cm="1">
        <f t="array" aca="1" ref="O27" ca="1">INDIRECT("Data!I" &amp; 22)</f>
        <v>564788</v>
      </c>
      <c r="P27" s="21" cm="1">
        <f t="array" aca="1" ref="P27" ca="1">INDIRECT("Data!J" &amp; 22)</f>
        <v>45349</v>
      </c>
      <c r="Q27" t="str" cm="1">
        <f t="array" aca="1" ref="Q27" ca="1">INDIRECT("Data!K" &amp; 22)</f>
        <v>NSG LOGISTICS LLC</v>
      </c>
      <c r="R27" t="str" cm="1">
        <f t="array" aca="1" ref="R27" ca="1">INDIRECT("Data!L" &amp; 22)</f>
        <v>ROWLEY</v>
      </c>
      <c r="S27" t="str" cm="1">
        <f t="array" aca="1" ref="S27" ca="1">INDIRECT("Data!M" &amp; 22)</f>
        <v>CLEBURNE</v>
      </c>
      <c r="T27" t="str" cm="1">
        <f t="array" aca="1" ref="T27" ca="1">INDIRECT("Data!N" &amp; 22)</f>
        <v>TX</v>
      </c>
      <c r="U27" cm="1">
        <f t="array" aca="1" ref="U27" ca="1">INDIRECT("Data!O" &amp; 22)</f>
        <v>0</v>
      </c>
      <c r="V27" s="33" cm="1">
        <f t="array" aca="1" ref="V27" ca="1">INDIRECT("Data!P" &amp; 22)</f>
        <v>45352.745228784719</v>
      </c>
    </row>
    <row r="28" spans="1:22" x14ac:dyDescent="0.25">
      <c r="G28" t="str" cm="1">
        <f t="array" aca="1" ref="G28" ca="1">INDIRECT("Data!A" &amp; 23)</f>
        <v>331662752</v>
      </c>
      <c r="H28" s="21" cm="1">
        <f t="array" aca="1" ref="H28" ca="1">INDIRECT("Data!B" &amp; 23)</f>
        <v>45352</v>
      </c>
      <c r="I28" s="21" cm="1">
        <f t="array" aca="1" ref="I28" ca="1">INDIRECT("Data!C" &amp; 23)</f>
        <v>45367</v>
      </c>
      <c r="J28" cm="1">
        <f t="array" aca="1" ref="J28" ca="1">INDIRECT("Data!D" &amp; 23)</f>
        <v>7791</v>
      </c>
      <c r="K28" t="str" cm="1">
        <f t="array" aca="1" ref="K28" ca="1">INDIRECT("Data!E" &amp; 23)</f>
        <v>FREIGHT</v>
      </c>
      <c r="L28" t="str" cm="1">
        <f t="array" aca="1" ref="L28" ca="1">INDIRECT("Data!F" &amp; 23)</f>
        <v>FALSE</v>
      </c>
      <c r="M28" t="str" cm="1">
        <f t="array" aca="1" ref="M28" ca="1">INDIRECT("Data!G" &amp; 23)</f>
        <v>718821</v>
      </c>
      <c r="N28" t="str" cm="1">
        <f t="array" aca="1" ref="N28" ca="1">INDIRECT("Data!H" &amp; 23)</f>
        <v>CRDX200749</v>
      </c>
      <c r="O28" t="str" cm="1">
        <f t="array" aca="1" ref="O28" ca="1">INDIRECT("Data!I" &amp; 23)</f>
        <v>548453</v>
      </c>
      <c r="P28" s="21" cm="1">
        <f t="array" aca="1" ref="P28" ca="1">INDIRECT("Data!J" &amp; 23)</f>
        <v>45349</v>
      </c>
      <c r="Q28" t="str" cm="1">
        <f t="array" aca="1" ref="Q28" ca="1">INDIRECT("Data!K" &amp; 23)</f>
        <v>NSG LOGISTICS LLC</v>
      </c>
      <c r="R28" t="str" cm="1">
        <f t="array" aca="1" ref="R28" ca="1">INDIRECT("Data!L" &amp; 23)</f>
        <v>ROWLEY</v>
      </c>
      <c r="S28" t="str" cm="1">
        <f t="array" aca="1" ref="S28" ca="1">INDIRECT("Data!M" &amp; 23)</f>
        <v>CLEBURNE</v>
      </c>
      <c r="T28" t="str" cm="1">
        <f t="array" aca="1" ref="T28" ca="1">INDIRECT("Data!N" &amp; 23)</f>
        <v>TX</v>
      </c>
      <c r="U28" cm="1">
        <f t="array" aca="1" ref="U28" ca="1">INDIRECT("Data!O" &amp; 23)</f>
        <v>0</v>
      </c>
      <c r="V28" s="33" cm="1">
        <f t="array" aca="1" ref="V28" ca="1">INDIRECT("Data!P" &amp; 23)</f>
        <v>45352.74531165509</v>
      </c>
    </row>
    <row r="29" spans="1:22" x14ac:dyDescent="0.25">
      <c r="A29">
        <v>23</v>
      </c>
      <c r="B29">
        <v>23</v>
      </c>
      <c r="C29">
        <v>23</v>
      </c>
      <c r="D29">
        <v>23</v>
      </c>
      <c r="E29">
        <v>23</v>
      </c>
      <c r="F29">
        <v>23</v>
      </c>
      <c r="G29" t="str" cm="1">
        <f t="array" aca="1" ref="G29" ca="1">INDIRECT("Data!A" &amp; 24)</f>
        <v>331662747</v>
      </c>
      <c r="H29" s="21" cm="1">
        <f t="array" aca="1" ref="H29" ca="1">INDIRECT("Data!B" &amp; 24)</f>
        <v>45352</v>
      </c>
      <c r="I29" s="21" cm="1">
        <f t="array" aca="1" ref="I29" ca="1">INDIRECT("Data!C" &amp; 24)</f>
        <v>45367</v>
      </c>
      <c r="J29" cm="1">
        <f t="array" aca="1" ref="J29" ca="1">INDIRECT("Data!D" &amp; 24)</f>
        <v>7791</v>
      </c>
      <c r="K29" t="str" cm="1">
        <f t="array" aca="1" ref="K29" ca="1">INDIRECT("Data!E" &amp; 24)</f>
        <v>FREIGHT</v>
      </c>
      <c r="L29" t="str" cm="1">
        <f t="array" aca="1" ref="L29" ca="1">INDIRECT("Data!F" &amp; 24)</f>
        <v>FALSE</v>
      </c>
      <c r="M29" t="str" cm="1">
        <f t="array" aca="1" ref="M29" ca="1">INDIRECT("Data!G" &amp; 24)</f>
        <v>718815</v>
      </c>
      <c r="N29" t="str" cm="1">
        <f t="array" aca="1" ref="N29" ca="1">INDIRECT("Data!H" &amp; 24)</f>
        <v>CRDX200168</v>
      </c>
      <c r="O29" t="str" cm="1">
        <f t="array" aca="1" ref="O29" ca="1">INDIRECT("Data!I" &amp; 24)</f>
        <v>438005</v>
      </c>
      <c r="P29" s="21" cm="1">
        <f t="array" aca="1" ref="P29" ca="1">INDIRECT("Data!J" &amp; 24)</f>
        <v>45344</v>
      </c>
      <c r="Q29" t="str" cm="1">
        <f t="array" aca="1" ref="Q29" ca="1">INDIRECT("Data!K" &amp; 24)</f>
        <v>NSG LOGISTICS LLC</v>
      </c>
      <c r="R29" t="str" cm="1">
        <f t="array" aca="1" ref="R29" ca="1">INDIRECT("Data!L" &amp; 24)</f>
        <v>ROWLEY</v>
      </c>
      <c r="S29" t="str" cm="1">
        <f t="array" aca="1" ref="S29" ca="1">INDIRECT("Data!M" &amp; 24)</f>
        <v>CLEBURNE</v>
      </c>
      <c r="T29" t="str" cm="1">
        <f t="array" aca="1" ref="T29" ca="1">INDIRECT("Data!N" &amp; 24)</f>
        <v>TX</v>
      </c>
      <c r="U29" cm="1">
        <f t="array" aca="1" ref="U29" ca="1">INDIRECT("Data!O" &amp; 24)</f>
        <v>0</v>
      </c>
      <c r="V29" s="33" cm="1">
        <f t="array" aca="1" ref="V29" ca="1">INDIRECT("Data!P" &amp; 24)</f>
        <v>45352.745318090281</v>
      </c>
    </row>
    <row r="30" spans="1:22" x14ac:dyDescent="0.25">
      <c r="A30">
        <v>24</v>
      </c>
      <c r="B30">
        <v>24</v>
      </c>
      <c r="C30">
        <v>24</v>
      </c>
      <c r="D30">
        <v>24</v>
      </c>
      <c r="E30">
        <v>24</v>
      </c>
      <c r="F30">
        <v>24</v>
      </c>
      <c r="G30" t="str" cm="1">
        <f t="array" aca="1" ref="G30" ca="1">INDIRECT("Data!A" &amp; 25)</f>
        <v>331662756</v>
      </c>
      <c r="H30" s="21" cm="1">
        <f t="array" aca="1" ref="H30" ca="1">INDIRECT("Data!B" &amp; 25)</f>
        <v>45352</v>
      </c>
      <c r="I30" s="21" cm="1">
        <f t="array" aca="1" ref="I30" ca="1">INDIRECT("Data!C" &amp; 25)</f>
        <v>45367</v>
      </c>
      <c r="J30" cm="1">
        <f t="array" aca="1" ref="J30" ca="1">INDIRECT("Data!D" &amp; 25)</f>
        <v>7791</v>
      </c>
      <c r="K30" t="str" cm="1">
        <f t="array" aca="1" ref="K30" ca="1">INDIRECT("Data!E" &amp; 25)</f>
        <v>FREIGHT</v>
      </c>
      <c r="L30" t="str" cm="1">
        <f t="array" aca="1" ref="L30" ca="1">INDIRECT("Data!F" &amp; 25)</f>
        <v>FALSE</v>
      </c>
      <c r="M30" t="str" cm="1">
        <f t="array" aca="1" ref="M30" ca="1">INDIRECT("Data!G" &amp; 25)</f>
        <v>719111</v>
      </c>
      <c r="N30" t="str" cm="1">
        <f t="array" aca="1" ref="N30" ca="1">INDIRECT("Data!H" &amp; 25)</f>
        <v>GBRX711528</v>
      </c>
      <c r="O30" t="str" cm="1">
        <f t="array" aca="1" ref="O30" ca="1">INDIRECT("Data!I" &amp; 25)</f>
        <v>564705</v>
      </c>
      <c r="P30" s="21" cm="1">
        <f t="array" aca="1" ref="P30" ca="1">INDIRECT("Data!J" &amp; 25)</f>
        <v>45349</v>
      </c>
      <c r="Q30" t="str" cm="1">
        <f t="array" aca="1" ref="Q30" ca="1">INDIRECT("Data!K" &amp; 25)</f>
        <v>NSG LOGISTICS LLC</v>
      </c>
      <c r="R30" t="str" cm="1">
        <f t="array" aca="1" ref="R30" ca="1">INDIRECT("Data!L" &amp; 25)</f>
        <v>ROWLEY</v>
      </c>
      <c r="S30" t="str" cm="1">
        <f t="array" aca="1" ref="S30" ca="1">INDIRECT("Data!M" &amp; 25)</f>
        <v>CLEBURNE</v>
      </c>
      <c r="T30" t="str" cm="1">
        <f t="array" aca="1" ref="T30" ca="1">INDIRECT("Data!N" &amp; 25)</f>
        <v>TX</v>
      </c>
      <c r="U30" cm="1">
        <f t="array" aca="1" ref="U30" ca="1">INDIRECT("Data!O" &amp; 25)</f>
        <v>0</v>
      </c>
      <c r="V30" s="33" cm="1">
        <f t="array" aca="1" ref="V30" ca="1">INDIRECT("Data!P" &amp; 25)</f>
        <v>45352.746154664354</v>
      </c>
    </row>
    <row r="31" spans="1:22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 t="str" cm="1">
        <f t="array" aca="1" ref="G31" ca="1">INDIRECT("Data!A" &amp; 26)</f>
        <v>331663910</v>
      </c>
      <c r="H31" s="21" cm="1">
        <f t="array" aca="1" ref="H31" ca="1">INDIRECT("Data!B" &amp; 26)</f>
        <v>45352</v>
      </c>
      <c r="I31" s="21" cm="1">
        <f t="array" aca="1" ref="I31" ca="1">INDIRECT("Data!C" &amp; 26)</f>
        <v>45367</v>
      </c>
      <c r="J31" cm="1">
        <f t="array" aca="1" ref="J31" ca="1">INDIRECT("Data!D" &amp; 26)</f>
        <v>5473</v>
      </c>
      <c r="K31" t="str" cm="1">
        <f t="array" aca="1" ref="K31" ca="1">INDIRECT("Data!E" &amp; 26)</f>
        <v>FREIGHT</v>
      </c>
      <c r="L31" t="str" cm="1">
        <f t="array" aca="1" ref="L31" ca="1">INDIRECT("Data!F" &amp; 26)</f>
        <v>FALSE</v>
      </c>
      <c r="M31" t="str" cm="1">
        <f t="array" aca="1" ref="M31" ca="1">INDIRECT("Data!G" &amp; 26)</f>
        <v>715193</v>
      </c>
      <c r="N31" t="str" cm="1">
        <f t="array" aca="1" ref="N31" ca="1">INDIRECT("Data!H" &amp; 26)</f>
        <v>CRDX200751</v>
      </c>
      <c r="O31" t="str" cm="1">
        <f t="array" aca="1" ref="O31" ca="1">INDIRECT("Data!I" &amp; 26)</f>
        <v>639523</v>
      </c>
      <c r="P31" s="21" cm="1">
        <f t="array" aca="1" ref="P31" ca="1">INDIRECT("Data!J" &amp; 26)</f>
        <v>45352</v>
      </c>
      <c r="Q31" t="str" cm="1">
        <f t="array" aca="1" ref="Q31" ca="1">INDIRECT("Data!K" &amp; 26)</f>
        <v>ENVIROTECH SERVICES</v>
      </c>
      <c r="R31" t="str" cm="1">
        <f t="array" aca="1" ref="R31" ca="1">INDIRECT("Data!L" &amp; 26)</f>
        <v>ROWLEY</v>
      </c>
      <c r="S31" t="str" cm="1">
        <f t="array" aca="1" ref="S31" ca="1">INDIRECT("Data!M" &amp; 26)</f>
        <v>LA SALLE</v>
      </c>
      <c r="T31" t="str" cm="1">
        <f t="array" aca="1" ref="T31" ca="1">INDIRECT("Data!N" &amp; 26)</f>
        <v>CO</v>
      </c>
      <c r="U31" cm="1">
        <f t="array" aca="1" ref="U31" ca="1">INDIRECT("Data!O" &amp; 26)</f>
        <v>0</v>
      </c>
      <c r="V31" s="33" cm="1">
        <f t="array" aca="1" ref="V31" ca="1">INDIRECT("Data!P" &amp; 26)</f>
        <v>45352.746185682867</v>
      </c>
    </row>
    <row r="32" spans="1:22" x14ac:dyDescent="0.25">
      <c r="A32">
        <v>26</v>
      </c>
      <c r="B32">
        <v>26</v>
      </c>
      <c r="C32">
        <v>26</v>
      </c>
      <c r="D32">
        <v>26</v>
      </c>
      <c r="E32">
        <v>26</v>
      </c>
      <c r="F32">
        <v>26</v>
      </c>
      <c r="G32" t="str" cm="1">
        <f t="array" aca="1" ref="G32" ca="1">INDIRECT("Data!A" &amp; 27)</f>
        <v>331662749</v>
      </c>
      <c r="H32" s="21" cm="1">
        <f t="array" aca="1" ref="H32" ca="1">INDIRECT("Data!B" &amp; 27)</f>
        <v>45352</v>
      </c>
      <c r="I32" s="21" cm="1">
        <f t="array" aca="1" ref="I32" ca="1">INDIRECT("Data!C" &amp; 27)</f>
        <v>45367</v>
      </c>
      <c r="J32" cm="1">
        <f t="array" aca="1" ref="J32" ca="1">INDIRECT("Data!D" &amp; 27)</f>
        <v>7791</v>
      </c>
      <c r="K32" t="str" cm="1">
        <f t="array" aca="1" ref="K32" ca="1">INDIRECT("Data!E" &amp; 27)</f>
        <v>FREIGHT</v>
      </c>
      <c r="L32" t="str" cm="1">
        <f t="array" aca="1" ref="L32" ca="1">INDIRECT("Data!F" &amp; 27)</f>
        <v>FALSE</v>
      </c>
      <c r="M32" t="str" cm="1">
        <f t="array" aca="1" ref="M32" ca="1">INDIRECT("Data!G" &amp; 27)</f>
        <v>718819</v>
      </c>
      <c r="N32" t="str" cm="1">
        <f t="array" aca="1" ref="N32" ca="1">INDIRECT("Data!H" &amp; 27)</f>
        <v>CRDX200728</v>
      </c>
      <c r="O32" t="str" cm="1">
        <f t="array" aca="1" ref="O32" ca="1">INDIRECT("Data!I" &amp; 27)</f>
        <v>519962</v>
      </c>
      <c r="P32" s="21" cm="1">
        <f t="array" aca="1" ref="P32" ca="1">INDIRECT("Data!J" &amp; 27)</f>
        <v>45348</v>
      </c>
      <c r="Q32" t="str" cm="1">
        <f t="array" aca="1" ref="Q32" ca="1">INDIRECT("Data!K" &amp; 27)</f>
        <v>NSG LOGISTICS LLC</v>
      </c>
      <c r="R32" t="str" cm="1">
        <f t="array" aca="1" ref="R32" ca="1">INDIRECT("Data!L" &amp; 27)</f>
        <v>ROWLEY</v>
      </c>
      <c r="S32" t="str" cm="1">
        <f t="array" aca="1" ref="S32" ca="1">INDIRECT("Data!M" &amp; 27)</f>
        <v>CLEBURNE</v>
      </c>
      <c r="T32" t="str" cm="1">
        <f t="array" aca="1" ref="T32" ca="1">INDIRECT("Data!N" &amp; 27)</f>
        <v>TX</v>
      </c>
      <c r="U32" cm="1">
        <f t="array" aca="1" ref="U32" ca="1">INDIRECT("Data!O" &amp; 27)</f>
        <v>0</v>
      </c>
      <c r="V32" s="33" cm="1">
        <f t="array" aca="1" ref="V32" ca="1">INDIRECT("Data!P" &amp; 27)</f>
        <v>45352.746198842593</v>
      </c>
    </row>
    <row r="33" spans="1:22" x14ac:dyDescent="0.25">
      <c r="A33">
        <v>27</v>
      </c>
      <c r="B33">
        <v>27</v>
      </c>
      <c r="C33">
        <v>27</v>
      </c>
      <c r="D33">
        <v>27</v>
      </c>
      <c r="E33">
        <v>27</v>
      </c>
      <c r="F33">
        <v>27</v>
      </c>
      <c r="G33" t="str" cm="1">
        <f t="array" aca="1" ref="G33" ca="1">INDIRECT("Data!A" &amp; 28)</f>
        <v>331662751</v>
      </c>
      <c r="H33" s="21" cm="1">
        <f t="array" aca="1" ref="H33" ca="1">INDIRECT("Data!B" &amp; 28)</f>
        <v>45352</v>
      </c>
      <c r="I33" s="21" cm="1">
        <f t="array" aca="1" ref="I33" ca="1">INDIRECT("Data!C" &amp; 28)</f>
        <v>45367</v>
      </c>
      <c r="J33" cm="1">
        <f t="array" aca="1" ref="J33" ca="1">INDIRECT("Data!D" &amp; 28)</f>
        <v>7791</v>
      </c>
      <c r="K33" t="str" cm="1">
        <f t="array" aca="1" ref="K33" ca="1">INDIRECT("Data!E" &amp; 28)</f>
        <v>FREIGHT</v>
      </c>
      <c r="L33" t="str" cm="1">
        <f t="array" aca="1" ref="L33" ca="1">INDIRECT("Data!F" &amp; 28)</f>
        <v>FALSE</v>
      </c>
      <c r="M33" t="str" cm="1">
        <f t="array" aca="1" ref="M33" ca="1">INDIRECT("Data!G" &amp; 28)</f>
        <v>718820</v>
      </c>
      <c r="N33" t="str" cm="1">
        <f t="array" aca="1" ref="N33" ca="1">INDIRECT("Data!H" &amp; 28)</f>
        <v>CRDX200186</v>
      </c>
      <c r="O33" t="str" cm="1">
        <f t="array" aca="1" ref="O33" ca="1">INDIRECT("Data!I" &amp; 28)</f>
        <v>535380</v>
      </c>
      <c r="P33" s="21" cm="1">
        <f t="array" aca="1" ref="P33" ca="1">INDIRECT("Data!J" &amp; 28)</f>
        <v>45348</v>
      </c>
      <c r="Q33" t="str" cm="1">
        <f t="array" aca="1" ref="Q33" ca="1">INDIRECT("Data!K" &amp; 28)</f>
        <v>NSG LOGISTICS LLC</v>
      </c>
      <c r="R33" t="str" cm="1">
        <f t="array" aca="1" ref="R33" ca="1">INDIRECT("Data!L" &amp; 28)</f>
        <v>ROWLEY</v>
      </c>
      <c r="S33" t="str" cm="1">
        <f t="array" aca="1" ref="S33" ca="1">INDIRECT("Data!M" &amp; 28)</f>
        <v>CLEBURNE</v>
      </c>
      <c r="T33" t="str" cm="1">
        <f t="array" aca="1" ref="T33" ca="1">INDIRECT("Data!N" &amp; 28)</f>
        <v>TX</v>
      </c>
      <c r="U33" cm="1">
        <f t="array" aca="1" ref="U33" ca="1">INDIRECT("Data!O" &amp; 28)</f>
        <v>0</v>
      </c>
      <c r="V33" s="33" cm="1">
        <f t="array" aca="1" ref="V33" ca="1">INDIRECT("Data!P" &amp; 28)</f>
        <v>45352.746204594907</v>
      </c>
    </row>
    <row r="34" spans="1:22" x14ac:dyDescent="0.25">
      <c r="G34" t="str" cm="1">
        <f t="array" aca="1" ref="G34" ca="1">INDIRECT("Data!A" &amp; 29)</f>
        <v>331663927</v>
      </c>
      <c r="H34" s="21" cm="1">
        <f t="array" aca="1" ref="H34" ca="1">INDIRECT("Data!B" &amp; 29)</f>
        <v>45352</v>
      </c>
      <c r="I34" s="21" cm="1">
        <f t="array" aca="1" ref="I34" ca="1">INDIRECT("Data!C" &amp; 29)</f>
        <v>45367</v>
      </c>
      <c r="J34" cm="1">
        <f t="array" aca="1" ref="J34" ca="1">INDIRECT("Data!D" &amp; 29)</f>
        <v>5473</v>
      </c>
      <c r="K34" t="str" cm="1">
        <f t="array" aca="1" ref="K34" ca="1">INDIRECT("Data!E" &amp; 29)</f>
        <v>FREIGHT</v>
      </c>
      <c r="L34" t="str" cm="1">
        <f t="array" aca="1" ref="L34" ca="1">INDIRECT("Data!F" &amp; 29)</f>
        <v>FALSE</v>
      </c>
      <c r="M34" t="str" cm="1">
        <f t="array" aca="1" ref="M34" ca="1">INDIRECT("Data!G" &amp; 29)</f>
        <v>715183</v>
      </c>
      <c r="N34" t="str" cm="1">
        <f t="array" aca="1" ref="N34" ca="1">INDIRECT("Data!H" &amp; 29)</f>
        <v>CRDX200076</v>
      </c>
      <c r="O34" t="str" cm="1">
        <f t="array" aca="1" ref="O34" ca="1">INDIRECT("Data!I" &amp; 29)</f>
        <v>639579</v>
      </c>
      <c r="P34" s="21" cm="1">
        <f t="array" aca="1" ref="P34" ca="1">INDIRECT("Data!J" &amp; 29)</f>
        <v>45352</v>
      </c>
      <c r="Q34" t="str" cm="1">
        <f t="array" aca="1" ref="Q34" ca="1">INDIRECT("Data!K" &amp; 29)</f>
        <v>ENVIROTECH SERVICES</v>
      </c>
      <c r="R34" t="str" cm="1">
        <f t="array" aca="1" ref="R34" ca="1">INDIRECT("Data!L" &amp; 29)</f>
        <v>ROWLEY</v>
      </c>
      <c r="S34" t="str" cm="1">
        <f t="array" aca="1" ref="S34" ca="1">INDIRECT("Data!M" &amp; 29)</f>
        <v>LA SALLE</v>
      </c>
      <c r="T34" t="str" cm="1">
        <f t="array" aca="1" ref="T34" ca="1">INDIRECT("Data!N" &amp; 29)</f>
        <v>CO</v>
      </c>
      <c r="U34" cm="1">
        <f t="array" aca="1" ref="U34" ca="1">INDIRECT("Data!O" &amp; 29)</f>
        <v>0</v>
      </c>
      <c r="V34" s="33" cm="1">
        <f t="array" aca="1" ref="V34" ca="1">INDIRECT("Data!P" &amp; 29)</f>
        <v>45352.746224270835</v>
      </c>
    </row>
    <row r="35" spans="1:22" x14ac:dyDescent="0.25">
      <c r="G35" t="str" cm="1">
        <f t="array" aca="1" ref="G35" ca="1">INDIRECT("Data!A" &amp; 30)</f>
        <v>331662750</v>
      </c>
      <c r="H35" s="21" cm="1">
        <f t="array" aca="1" ref="H35" ca="1">INDIRECT("Data!B" &amp; 30)</f>
        <v>45352</v>
      </c>
      <c r="I35" s="21" cm="1">
        <f t="array" aca="1" ref="I35" ca="1">INDIRECT("Data!C" &amp; 30)</f>
        <v>45367</v>
      </c>
      <c r="J35" cm="1">
        <f t="array" aca="1" ref="J35" ca="1">INDIRECT("Data!D" &amp; 30)</f>
        <v>7791</v>
      </c>
      <c r="K35" t="str" cm="1">
        <f t="array" aca="1" ref="K35" ca="1">INDIRECT("Data!E" &amp; 30)</f>
        <v>FREIGHT</v>
      </c>
      <c r="L35" t="str" cm="1">
        <f t="array" aca="1" ref="L35" ca="1">INDIRECT("Data!F" &amp; 30)</f>
        <v>FALSE</v>
      </c>
      <c r="M35" t="str" cm="1">
        <f t="array" aca="1" ref="M35" ca="1">INDIRECT("Data!G" &amp; 30)</f>
        <v>718818</v>
      </c>
      <c r="N35" t="str" cm="1">
        <f t="array" aca="1" ref="N35" ca="1">INDIRECT("Data!H" &amp; 30)</f>
        <v>CRDX200189</v>
      </c>
      <c r="O35" t="str" cm="1">
        <f t="array" aca="1" ref="O35" ca="1">INDIRECT("Data!I" &amp; 30)</f>
        <v>519926</v>
      </c>
      <c r="P35" s="21" cm="1">
        <f t="array" aca="1" ref="P35" ca="1">INDIRECT("Data!J" &amp; 30)</f>
        <v>45348</v>
      </c>
      <c r="Q35" t="str" cm="1">
        <f t="array" aca="1" ref="Q35" ca="1">INDIRECT("Data!K" &amp; 30)</f>
        <v>NSG LOGISTICS LLC</v>
      </c>
      <c r="R35" t="str" cm="1">
        <f t="array" aca="1" ref="R35" ca="1">INDIRECT("Data!L" &amp; 30)</f>
        <v>ROWLEY</v>
      </c>
      <c r="S35" t="str" cm="1">
        <f t="array" aca="1" ref="S35" ca="1">INDIRECT("Data!M" &amp; 30)</f>
        <v>CLEBURNE</v>
      </c>
      <c r="T35" t="str" cm="1">
        <f t="array" aca="1" ref="T35" ca="1">INDIRECT("Data!N" &amp; 30)</f>
        <v>TX</v>
      </c>
      <c r="U35" cm="1">
        <f t="array" aca="1" ref="U35" ca="1">INDIRECT("Data!O" &amp; 30)</f>
        <v>0</v>
      </c>
      <c r="V35" s="33" cm="1">
        <f t="array" aca="1" ref="V35" ca="1">INDIRECT("Data!P" &amp; 30)</f>
        <v>45352.746231400466</v>
      </c>
    </row>
    <row r="36" spans="1:22" x14ac:dyDescent="0.25">
      <c r="G36" t="str" cm="1">
        <f t="array" aca="1" ref="G36" ca="1">INDIRECT("Data!A" &amp; 31)</f>
        <v>331663587</v>
      </c>
      <c r="H36" s="21" cm="1">
        <f t="array" aca="1" ref="H36" ca="1">INDIRECT("Data!B" &amp; 31)</f>
        <v>45352</v>
      </c>
      <c r="I36" s="21" cm="1">
        <f t="array" aca="1" ref="I36" ca="1">INDIRECT("Data!C" &amp; 31)</f>
        <v>45367</v>
      </c>
      <c r="J36" cm="1">
        <f t="array" aca="1" ref="J36" ca="1">INDIRECT("Data!D" &amp; 31)</f>
        <v>7759</v>
      </c>
      <c r="K36" t="str" cm="1">
        <f t="array" aca="1" ref="K36" ca="1">INDIRECT("Data!E" &amp; 31)</f>
        <v>FREIGHT</v>
      </c>
      <c r="L36" t="str" cm="1">
        <f t="array" aca="1" ref="L36" ca="1">INDIRECT("Data!F" &amp; 31)</f>
        <v>FALSE</v>
      </c>
      <c r="M36" t="str" cm="1">
        <f t="array" aca="1" ref="M36" ca="1">INDIRECT("Data!G" &amp; 31)</f>
        <v>719118</v>
      </c>
      <c r="N36" t="str" cm="1">
        <f t="array" aca="1" ref="N36" ca="1">INDIRECT("Data!H" &amp; 31)</f>
        <v>GBRX711539</v>
      </c>
      <c r="O36" t="str" cm="1">
        <f t="array" aca="1" ref="O36" ca="1">INDIRECT("Data!I" &amp; 31)</f>
        <v>639381</v>
      </c>
      <c r="P36" s="21" cm="1">
        <f t="array" aca="1" ref="P36" ca="1">INDIRECT("Data!J" &amp; 31)</f>
        <v>45352</v>
      </c>
      <c r="Q36" t="str" cm="1">
        <f t="array" aca="1" ref="Q36" ca="1">INDIRECT("Data!K" &amp; 31)</f>
        <v>NSG LOGISTICS LLC</v>
      </c>
      <c r="R36" t="str" cm="1">
        <f t="array" aca="1" ref="R36" ca="1">INDIRECT("Data!L" &amp; 31)</f>
        <v>ROWLEY</v>
      </c>
      <c r="S36" t="str" cm="1">
        <f t="array" aca="1" ref="S36" ca="1">INDIRECT("Data!M" &amp; 31)</f>
        <v>CLEBURNE</v>
      </c>
      <c r="T36" t="str" cm="1">
        <f t="array" aca="1" ref="T36" ca="1">INDIRECT("Data!N" &amp; 31)</f>
        <v>TX</v>
      </c>
      <c r="U36" cm="1">
        <f t="array" aca="1" ref="U36" ca="1">INDIRECT("Data!O" &amp; 31)</f>
        <v>0</v>
      </c>
      <c r="V36" s="33" cm="1">
        <f t="array" aca="1" ref="V36" ca="1">INDIRECT("Data!P" &amp; 31)</f>
        <v>45352.746237928244</v>
      </c>
    </row>
    <row r="37" spans="1:22" x14ac:dyDescent="0.25">
      <c r="G37" t="str" cm="1">
        <f t="array" aca="1" ref="G37" ca="1">INDIRECT("Data!A" &amp; 32)</f>
        <v>331663627</v>
      </c>
      <c r="H37" s="21" cm="1">
        <f t="array" aca="1" ref="H37" ca="1">INDIRECT("Data!B" &amp; 32)</f>
        <v>45352</v>
      </c>
      <c r="I37" s="21" cm="1">
        <f t="array" aca="1" ref="I37" ca="1">INDIRECT("Data!C" &amp; 32)</f>
        <v>45367</v>
      </c>
      <c r="J37" cm="1">
        <f t="array" aca="1" ref="J37" ca="1">INDIRECT("Data!D" &amp; 32)</f>
        <v>7759</v>
      </c>
      <c r="K37" t="str" cm="1">
        <f t="array" aca="1" ref="K37" ca="1">INDIRECT("Data!E" &amp; 32)</f>
        <v>FREIGHT</v>
      </c>
      <c r="L37" t="str" cm="1">
        <f t="array" aca="1" ref="L37" ca="1">INDIRECT("Data!F" &amp; 32)</f>
        <v>FALSE</v>
      </c>
      <c r="M37" t="str" cm="1">
        <f t="array" aca="1" ref="M37" ca="1">INDIRECT("Data!G" &amp; 32)</f>
        <v>719115</v>
      </c>
      <c r="N37" t="str" cm="1">
        <f t="array" aca="1" ref="N37" ca="1">INDIRECT("Data!H" &amp; 32)</f>
        <v>CRDX200163</v>
      </c>
      <c r="O37" t="str" cm="1">
        <f t="array" aca="1" ref="O37" ca="1">INDIRECT("Data!I" &amp; 32)</f>
        <v>639466</v>
      </c>
      <c r="P37" s="21" cm="1">
        <f t="array" aca="1" ref="P37" ca="1">INDIRECT("Data!J" &amp; 32)</f>
        <v>45352</v>
      </c>
      <c r="Q37" t="str" cm="1">
        <f t="array" aca="1" ref="Q37" ca="1">INDIRECT("Data!K" &amp; 32)</f>
        <v>NSG LOGISTICS LLC</v>
      </c>
      <c r="R37" t="str" cm="1">
        <f t="array" aca="1" ref="R37" ca="1">INDIRECT("Data!L" &amp; 32)</f>
        <v>ROWLEY</v>
      </c>
      <c r="S37" t="str" cm="1">
        <f t="array" aca="1" ref="S37" ca="1">INDIRECT("Data!M" &amp; 32)</f>
        <v>CLEBURNE</v>
      </c>
      <c r="T37" t="str" cm="1">
        <f t="array" aca="1" ref="T37" ca="1">INDIRECT("Data!N" &amp; 32)</f>
        <v>TX</v>
      </c>
      <c r="U37" cm="1">
        <f t="array" aca="1" ref="U37" ca="1">INDIRECT("Data!O" &amp; 32)</f>
        <v>0</v>
      </c>
      <c r="V37" s="33" cm="1">
        <f t="array" aca="1" ref="V37" ca="1">INDIRECT("Data!P" &amp; 32)</f>
        <v>45352.746247187497</v>
      </c>
    </row>
    <row r="38" spans="1:22" x14ac:dyDescent="0.25">
      <c r="G38" t="str" cm="1">
        <f t="array" aca="1" ref="G38" ca="1">INDIRECT("Data!A" &amp; 33)</f>
        <v>331663652</v>
      </c>
      <c r="H38" s="21" cm="1">
        <f t="array" aca="1" ref="H38" ca="1">INDIRECT("Data!B" &amp; 33)</f>
        <v>45352</v>
      </c>
      <c r="I38" s="21" cm="1">
        <f t="array" aca="1" ref="I38" ca="1">INDIRECT("Data!C" &amp; 33)</f>
        <v>45367</v>
      </c>
      <c r="J38" cm="1">
        <f t="array" aca="1" ref="J38" ca="1">INDIRECT("Data!D" &amp; 33)</f>
        <v>7759</v>
      </c>
      <c r="K38" t="str" cm="1">
        <f t="array" aca="1" ref="K38" ca="1">INDIRECT("Data!E" &amp; 33)</f>
        <v>FREIGHT</v>
      </c>
      <c r="L38" t="str" cm="1">
        <f t="array" aca="1" ref="L38" ca="1">INDIRECT("Data!F" &amp; 33)</f>
        <v>FALSE</v>
      </c>
      <c r="M38" t="str" cm="1">
        <f t="array" aca="1" ref="M38" ca="1">INDIRECT("Data!G" &amp; 33)</f>
        <v>719117</v>
      </c>
      <c r="N38" t="str" cm="1">
        <f t="array" aca="1" ref="N38" ca="1">INDIRECT("Data!H" &amp; 33)</f>
        <v>GBRX716055</v>
      </c>
      <c r="O38" t="str" cm="1">
        <f t="array" aca="1" ref="O38" ca="1">INDIRECT("Data!I" &amp; 33)</f>
        <v>639424</v>
      </c>
      <c r="P38" s="21" cm="1">
        <f t="array" aca="1" ref="P38" ca="1">INDIRECT("Data!J" &amp; 33)</f>
        <v>45352</v>
      </c>
      <c r="Q38" t="str" cm="1">
        <f t="array" aca="1" ref="Q38" ca="1">INDIRECT("Data!K" &amp; 33)</f>
        <v>NSG LOGISTICS LLC</v>
      </c>
      <c r="R38" t="str" cm="1">
        <f t="array" aca="1" ref="R38" ca="1">INDIRECT("Data!L" &amp; 33)</f>
        <v>ROWLEY</v>
      </c>
      <c r="S38" t="str" cm="1">
        <f t="array" aca="1" ref="S38" ca="1">INDIRECT("Data!M" &amp; 33)</f>
        <v>CLEBURNE</v>
      </c>
      <c r="T38" t="str" cm="1">
        <f t="array" aca="1" ref="T38" ca="1">INDIRECT("Data!N" &amp; 33)</f>
        <v>TX</v>
      </c>
      <c r="U38" cm="1">
        <f t="array" aca="1" ref="U38" ca="1">INDIRECT("Data!O" &amp; 33)</f>
        <v>0</v>
      </c>
      <c r="V38" s="33" cm="1">
        <f t="array" aca="1" ref="V38" ca="1">INDIRECT("Data!P" &amp; 33)</f>
        <v>45352.746271099539</v>
      </c>
    </row>
    <row r="39" spans="1:22" x14ac:dyDescent="0.25">
      <c r="G39" t="str" cm="1">
        <f t="array" aca="1" ref="G39" ca="1">INDIRECT("Data!A" &amp; 34)</f>
        <v>331663668</v>
      </c>
      <c r="H39" s="21" cm="1">
        <f t="array" aca="1" ref="H39" ca="1">INDIRECT("Data!B" &amp; 34)</f>
        <v>45352</v>
      </c>
      <c r="I39" s="21" cm="1">
        <f t="array" aca="1" ref="I39" ca="1">INDIRECT("Data!C" &amp; 34)</f>
        <v>45367</v>
      </c>
      <c r="J39" cm="1">
        <f t="array" aca="1" ref="J39" ca="1">INDIRECT("Data!D" &amp; 34)</f>
        <v>7759</v>
      </c>
      <c r="K39" t="str" cm="1">
        <f t="array" aca="1" ref="K39" ca="1">INDIRECT("Data!E" &amp; 34)</f>
        <v>FREIGHT</v>
      </c>
      <c r="L39" t="str" cm="1">
        <f t="array" aca="1" ref="L39" ca="1">INDIRECT("Data!F" &amp; 34)</f>
        <v>FALSE</v>
      </c>
      <c r="M39" t="str" cm="1">
        <f t="array" aca="1" ref="M39" ca="1">INDIRECT("Data!G" &amp; 34)</f>
        <v>719116</v>
      </c>
      <c r="N39" t="str" cm="1">
        <f t="array" aca="1" ref="N39" ca="1">INDIRECT("Data!H" &amp; 34)</f>
        <v>TCIX50776</v>
      </c>
      <c r="O39" t="str" cm="1">
        <f t="array" aca="1" ref="O39" ca="1">INDIRECT("Data!I" &amp; 34)</f>
        <v>639065</v>
      </c>
      <c r="P39" s="21" cm="1">
        <f t="array" aca="1" ref="P39" ca="1">INDIRECT("Data!J" &amp; 34)</f>
        <v>45352</v>
      </c>
      <c r="Q39" t="str" cm="1">
        <f t="array" aca="1" ref="Q39" ca="1">INDIRECT("Data!K" &amp; 34)</f>
        <v>NSG LOGISTICS LLC</v>
      </c>
      <c r="R39" t="str" cm="1">
        <f t="array" aca="1" ref="R39" ca="1">INDIRECT("Data!L" &amp; 34)</f>
        <v>ROWLEY</v>
      </c>
      <c r="S39" t="str" cm="1">
        <f t="array" aca="1" ref="S39" ca="1">INDIRECT("Data!M" &amp; 34)</f>
        <v>CLEBURNE</v>
      </c>
      <c r="T39" t="str" cm="1">
        <f t="array" aca="1" ref="T39" ca="1">INDIRECT("Data!N" &amp; 34)</f>
        <v>TX</v>
      </c>
      <c r="U39" cm="1">
        <f t="array" aca="1" ref="U39" ca="1">INDIRECT("Data!O" &amp; 34)</f>
        <v>0</v>
      </c>
      <c r="V39" s="33" cm="1">
        <f t="array" aca="1" ref="V39" ca="1">INDIRECT("Data!P" &amp; 34)</f>
        <v>45352.746313773147</v>
      </c>
    </row>
    <row r="40" spans="1:22" x14ac:dyDescent="0.25">
      <c r="G40" t="str" cm="1">
        <f t="array" aca="1" ref="G40" ca="1">INDIRECT("Data!A" &amp; 35)</f>
        <v>331663672</v>
      </c>
      <c r="H40" s="21" cm="1">
        <f t="array" aca="1" ref="H40" ca="1">INDIRECT("Data!B" &amp; 35)</f>
        <v>45352</v>
      </c>
      <c r="I40" s="21" cm="1">
        <f t="array" aca="1" ref="I40" ca="1">INDIRECT("Data!C" &amp; 35)</f>
        <v>45367</v>
      </c>
      <c r="J40" cm="1">
        <f t="array" aca="1" ref="J40" ca="1">INDIRECT("Data!D" &amp; 35)</f>
        <v>7759</v>
      </c>
      <c r="K40" t="str" cm="1">
        <f t="array" aca="1" ref="K40" ca="1">INDIRECT("Data!E" &amp; 35)</f>
        <v>FREIGHT</v>
      </c>
      <c r="L40" t="str" cm="1">
        <f t="array" aca="1" ref="L40" ca="1">INDIRECT("Data!F" &amp; 35)</f>
        <v>FALSE</v>
      </c>
      <c r="M40" t="str" cm="1">
        <f t="array" aca="1" ref="M40" ca="1">INDIRECT("Data!G" &amp; 35)</f>
        <v>719468</v>
      </c>
      <c r="N40" t="str" cm="1">
        <f t="array" aca="1" ref="N40" ca="1">INDIRECT("Data!H" &amp; 35)</f>
        <v>GBRX711536</v>
      </c>
      <c r="O40" t="str" cm="1">
        <f t="array" aca="1" ref="O40" ca="1">INDIRECT("Data!I" &amp; 35)</f>
        <v>639197</v>
      </c>
      <c r="P40" s="21" cm="1">
        <f t="array" aca="1" ref="P40" ca="1">INDIRECT("Data!J" &amp; 35)</f>
        <v>45352</v>
      </c>
      <c r="Q40" t="str" cm="1">
        <f t="array" aca="1" ref="Q40" ca="1">INDIRECT("Data!K" &amp; 35)</f>
        <v>NSG LOGISTICS LLC</v>
      </c>
      <c r="R40" t="str" cm="1">
        <f t="array" aca="1" ref="R40" ca="1">INDIRECT("Data!L" &amp; 35)</f>
        <v>ROWLEY</v>
      </c>
      <c r="S40" t="str" cm="1">
        <f t="array" aca="1" ref="S40" ca="1">INDIRECT("Data!M" &amp; 35)</f>
        <v>CLEBURNE</v>
      </c>
      <c r="T40" t="str" cm="1">
        <f t="array" aca="1" ref="T40" ca="1">INDIRECT("Data!N" &amp; 35)</f>
        <v>TX</v>
      </c>
      <c r="U40" cm="1">
        <f t="array" aca="1" ref="U40" ca="1">INDIRECT("Data!O" &amp; 35)</f>
        <v>0</v>
      </c>
      <c r="V40" s="33" cm="1">
        <f t="array" aca="1" ref="V40" ca="1">INDIRECT("Data!P" &amp; 35)</f>
        <v>45352.746329317131</v>
      </c>
    </row>
    <row r="41" spans="1:22" x14ac:dyDescent="0.25">
      <c r="G41" t="str" cm="1">
        <f t="array" aca="1" ref="G41" ca="1">INDIRECT("Data!A" &amp; 36)</f>
        <v>331663671</v>
      </c>
      <c r="H41" s="21" cm="1">
        <f t="array" aca="1" ref="H41" ca="1">INDIRECT("Data!B" &amp; 36)</f>
        <v>45352</v>
      </c>
      <c r="I41" s="21" cm="1">
        <f t="array" aca="1" ref="I41" ca="1">INDIRECT("Data!C" &amp; 36)</f>
        <v>45367</v>
      </c>
      <c r="J41" cm="1">
        <f t="array" aca="1" ref="J41" ca="1">INDIRECT("Data!D" &amp; 36)</f>
        <v>7759</v>
      </c>
      <c r="K41" t="str" cm="1">
        <f t="array" aca="1" ref="K41" ca="1">INDIRECT("Data!E" &amp; 36)</f>
        <v>FREIGHT</v>
      </c>
      <c r="L41" t="str" cm="1">
        <f t="array" aca="1" ref="L41" ca="1">INDIRECT("Data!F" &amp; 36)</f>
        <v>FALSE</v>
      </c>
      <c r="M41" t="str" cm="1">
        <f t="array" aca="1" ref="M41" ca="1">INDIRECT("Data!G" &amp; 36)</f>
        <v>719119</v>
      </c>
      <c r="N41" t="str" cm="1">
        <f t="array" aca="1" ref="N41" ca="1">INDIRECT("Data!H" &amp; 36)</f>
        <v>TAEX211</v>
      </c>
      <c r="O41" t="str" cm="1">
        <f t="array" aca="1" ref="O41" ca="1">INDIRECT("Data!I" &amp; 36)</f>
        <v>639149</v>
      </c>
      <c r="P41" s="21" cm="1">
        <f t="array" aca="1" ref="P41" ca="1">INDIRECT("Data!J" &amp; 36)</f>
        <v>45352</v>
      </c>
      <c r="Q41" t="str" cm="1">
        <f t="array" aca="1" ref="Q41" ca="1">INDIRECT("Data!K" &amp; 36)</f>
        <v>NSG LOGISTICS LLC</v>
      </c>
      <c r="R41" t="str" cm="1">
        <f t="array" aca="1" ref="R41" ca="1">INDIRECT("Data!L" &amp; 36)</f>
        <v>ROWLEY</v>
      </c>
      <c r="S41" t="str" cm="1">
        <f t="array" aca="1" ref="S41" ca="1">INDIRECT("Data!M" &amp; 36)</f>
        <v>CLEBURNE</v>
      </c>
      <c r="T41" t="str" cm="1">
        <f t="array" aca="1" ref="T41" ca="1">INDIRECT("Data!N" &amp; 36)</f>
        <v>TX</v>
      </c>
      <c r="U41" cm="1">
        <f t="array" aca="1" ref="U41" ca="1">INDIRECT("Data!O" &amp; 36)</f>
        <v>0</v>
      </c>
      <c r="V41" s="33" cm="1">
        <f t="array" aca="1" ref="V41" ca="1">INDIRECT("Data!P" &amp; 36)</f>
        <v>45352.746348842593</v>
      </c>
    </row>
    <row r="42" spans="1:22" x14ac:dyDescent="0.25">
      <c r="G42" t="str" cm="1">
        <f t="array" aca="1" ref="G42" ca="1">INDIRECT("Data!A" &amp; 37)</f>
        <v>331663893</v>
      </c>
      <c r="H42" s="21" cm="1">
        <f t="array" aca="1" ref="H42" ca="1">INDIRECT("Data!B" &amp; 37)</f>
        <v>45352</v>
      </c>
      <c r="I42" s="21" cm="1">
        <f t="array" aca="1" ref="I42" ca="1">INDIRECT("Data!C" &amp; 37)</f>
        <v>45367</v>
      </c>
      <c r="J42" cm="1">
        <f t="array" aca="1" ref="J42" ca="1">INDIRECT("Data!D" &amp; 37)</f>
        <v>5473</v>
      </c>
      <c r="K42" t="str" cm="1">
        <f t="array" aca="1" ref="K42" ca="1">INDIRECT("Data!E" &amp; 37)</f>
        <v>FREIGHT</v>
      </c>
      <c r="L42" t="str" cm="1">
        <f t="array" aca="1" ref="L42" ca="1">INDIRECT("Data!F" &amp; 37)</f>
        <v>FALSE</v>
      </c>
      <c r="M42" t="str" cm="1">
        <f t="array" aca="1" ref="M42" ca="1">INDIRECT("Data!G" &amp; 37)</f>
        <v>715196</v>
      </c>
      <c r="N42" t="str" cm="1">
        <f t="array" aca="1" ref="N42" ca="1">INDIRECT("Data!H" &amp; 37)</f>
        <v>CRDX200160</v>
      </c>
      <c r="O42" t="str" cm="1">
        <f t="array" aca="1" ref="O42" ca="1">INDIRECT("Data!I" &amp; 37)</f>
        <v>639633</v>
      </c>
      <c r="P42" s="21" cm="1">
        <f t="array" aca="1" ref="P42" ca="1">INDIRECT("Data!J" &amp; 37)</f>
        <v>45352</v>
      </c>
      <c r="Q42" t="str" cm="1">
        <f t="array" aca="1" ref="Q42" ca="1">INDIRECT("Data!K" &amp; 37)</f>
        <v>ENVIROTECH SERVICES</v>
      </c>
      <c r="R42" t="str" cm="1">
        <f t="array" aca="1" ref="R42" ca="1">INDIRECT("Data!L" &amp; 37)</f>
        <v>ROWLEY</v>
      </c>
      <c r="S42" t="str" cm="1">
        <f t="array" aca="1" ref="S42" ca="1">INDIRECT("Data!M" &amp; 37)</f>
        <v>LA SALLE</v>
      </c>
      <c r="T42" t="str" cm="1">
        <f t="array" aca="1" ref="T42" ca="1">INDIRECT("Data!N" &amp; 37)</f>
        <v>CO</v>
      </c>
      <c r="U42" cm="1">
        <f t="array" aca="1" ref="U42" ca="1">INDIRECT("Data!O" &amp; 37)</f>
        <v>0</v>
      </c>
      <c r="V42" s="33" cm="1">
        <f t="array" aca="1" ref="V42" ca="1">INDIRECT("Data!P" &amp; 37)</f>
        <v>45352.746384953702</v>
      </c>
    </row>
    <row r="43" spans="1:22" x14ac:dyDescent="0.25">
      <c r="G43" t="str" cm="1">
        <f t="array" aca="1" ref="G43" ca="1">INDIRECT("Data!A" &amp; 38)</f>
        <v>331663894</v>
      </c>
      <c r="H43" s="21" cm="1">
        <f t="array" aca="1" ref="H43" ca="1">INDIRECT("Data!B" &amp; 38)</f>
        <v>45352</v>
      </c>
      <c r="I43" s="21" cm="1">
        <f t="array" aca="1" ref="I43" ca="1">INDIRECT("Data!C" &amp; 38)</f>
        <v>45367</v>
      </c>
      <c r="J43" cm="1">
        <f t="array" aca="1" ref="J43" ca="1">INDIRECT("Data!D" &amp; 38)</f>
        <v>5473</v>
      </c>
      <c r="K43" t="str" cm="1">
        <f t="array" aca="1" ref="K43" ca="1">INDIRECT("Data!E" &amp; 38)</f>
        <v>FREIGHT</v>
      </c>
      <c r="L43" t="str" cm="1">
        <f t="array" aca="1" ref="L43" ca="1">INDIRECT("Data!F" &amp; 38)</f>
        <v>FALSE</v>
      </c>
      <c r="M43" t="str" cm="1">
        <f t="array" aca="1" ref="M43" ca="1">INDIRECT("Data!G" &amp; 38)</f>
        <v>715182</v>
      </c>
      <c r="N43" t="str" cm="1">
        <f t="array" aca="1" ref="N43" ca="1">INDIRECT("Data!H" &amp; 38)</f>
        <v>CRDX200025</v>
      </c>
      <c r="O43" t="str" cm="1">
        <f t="array" aca="1" ref="O43" ca="1">INDIRECT("Data!I" &amp; 38)</f>
        <v>639614</v>
      </c>
      <c r="P43" s="21" cm="1">
        <f t="array" aca="1" ref="P43" ca="1">INDIRECT("Data!J" &amp; 38)</f>
        <v>45352</v>
      </c>
      <c r="Q43" t="str" cm="1">
        <f t="array" aca="1" ref="Q43" ca="1">INDIRECT("Data!K" &amp; 38)</f>
        <v>ENVIROTECH SERVICES</v>
      </c>
      <c r="R43" t="str" cm="1">
        <f t="array" aca="1" ref="R43" ca="1">INDIRECT("Data!L" &amp; 38)</f>
        <v>ROWLEY</v>
      </c>
      <c r="S43" t="str" cm="1">
        <f t="array" aca="1" ref="S43" ca="1">INDIRECT("Data!M" &amp; 38)</f>
        <v>LA SALLE</v>
      </c>
      <c r="T43" t="str" cm="1">
        <f t="array" aca="1" ref="T43" ca="1">INDIRECT("Data!N" &amp; 38)</f>
        <v>CO</v>
      </c>
      <c r="U43" cm="1">
        <f t="array" aca="1" ref="U43" ca="1">INDIRECT("Data!O" &amp; 38)</f>
        <v>0</v>
      </c>
      <c r="V43" s="33" cm="1">
        <f t="array" aca="1" ref="V43" ca="1">INDIRECT("Data!P" &amp; 38)</f>
        <v>45352.746414699075</v>
      </c>
    </row>
    <row r="44" spans="1:22" x14ac:dyDescent="0.25">
      <c r="G44" cm="1">
        <f t="array" aca="1" ref="G44" ca="1">INDIRECT("Data!A" &amp; 39)</f>
        <v>0</v>
      </c>
      <c r="H44" s="21" cm="1">
        <f t="array" aca="1" ref="H44" ca="1">INDIRECT("Data!B" &amp; 39)</f>
        <v>0</v>
      </c>
      <c r="I44" s="21" cm="1">
        <f t="array" aca="1" ref="I44" ca="1">INDIRECT("Data!C" &amp; 39)</f>
        <v>0</v>
      </c>
      <c r="J44" cm="1">
        <f t="array" aca="1" ref="J44" ca="1">INDIRECT("Data!D" &amp; 39)</f>
        <v>0</v>
      </c>
      <c r="K44" cm="1">
        <f t="array" aca="1" ref="K44" ca="1">INDIRECT("Data!E" &amp; 39)</f>
        <v>0</v>
      </c>
      <c r="L44" cm="1">
        <f t="array" aca="1" ref="L44" ca="1">INDIRECT("Data!F" &amp; 39)</f>
        <v>0</v>
      </c>
      <c r="M44" cm="1">
        <f t="array" aca="1" ref="M44" ca="1">INDIRECT("Data!G" &amp; 39)</f>
        <v>0</v>
      </c>
      <c r="N44" cm="1">
        <f t="array" aca="1" ref="N44" ca="1">INDIRECT("Data!H" &amp; 39)</f>
        <v>0</v>
      </c>
      <c r="O44" cm="1">
        <f t="array" aca="1" ref="O44" ca="1">INDIRECT("Data!I" &amp; 39)</f>
        <v>0</v>
      </c>
      <c r="P44" s="21" cm="1">
        <f t="array" aca="1" ref="P44" ca="1">INDIRECT("Data!J" &amp; 39)</f>
        <v>0</v>
      </c>
      <c r="Q44" cm="1">
        <f t="array" aca="1" ref="Q44" ca="1">INDIRECT("Data!K" &amp; 39)</f>
        <v>0</v>
      </c>
      <c r="R44" cm="1">
        <f t="array" aca="1" ref="R44" ca="1">INDIRECT("Data!L" &amp; 39)</f>
        <v>0</v>
      </c>
      <c r="S44" cm="1">
        <f t="array" aca="1" ref="S44" ca="1">INDIRECT("Data!M" &amp; 39)</f>
        <v>0</v>
      </c>
      <c r="T44" cm="1">
        <f t="array" aca="1" ref="T44" ca="1">INDIRECT("Data!N" &amp; 39)</f>
        <v>0</v>
      </c>
      <c r="U44" cm="1">
        <f t="array" aca="1" ref="U44" ca="1">INDIRECT("Data!O" &amp; 39)</f>
        <v>0</v>
      </c>
      <c r="V44" s="33" cm="1">
        <f t="array" aca="1" ref="V44" ca="1">INDIRECT("Data!P" &amp; 39)</f>
        <v>0</v>
      </c>
    </row>
    <row r="45" spans="1:22" x14ac:dyDescent="0.25">
      <c r="G45" cm="1">
        <f t="array" aca="1" ref="G45" ca="1">INDIRECT("Data!A" &amp; 40)</f>
        <v>0</v>
      </c>
      <c r="H45" s="21" cm="1">
        <f t="array" aca="1" ref="H45" ca="1">INDIRECT("Data!B" &amp; 40)</f>
        <v>0</v>
      </c>
      <c r="I45" s="21" cm="1">
        <f t="array" aca="1" ref="I45" ca="1">INDIRECT("Data!C" &amp; 40)</f>
        <v>0</v>
      </c>
      <c r="J45" cm="1">
        <f t="array" aca="1" ref="J45" ca="1">INDIRECT("Data!D" &amp; 40)</f>
        <v>0</v>
      </c>
      <c r="K45" cm="1">
        <f t="array" aca="1" ref="K45" ca="1">INDIRECT("Data!E" &amp; 40)</f>
        <v>0</v>
      </c>
      <c r="L45" cm="1">
        <f t="array" aca="1" ref="L45" ca="1">INDIRECT("Data!F" &amp; 40)</f>
        <v>0</v>
      </c>
      <c r="M45" cm="1">
        <f t="array" aca="1" ref="M45" ca="1">INDIRECT("Data!G" &amp; 40)</f>
        <v>0</v>
      </c>
      <c r="N45" cm="1">
        <f t="array" aca="1" ref="N45" ca="1">INDIRECT("Data!H" &amp; 40)</f>
        <v>0</v>
      </c>
      <c r="O45" cm="1">
        <f t="array" aca="1" ref="O45" ca="1">INDIRECT("Data!I" &amp; 40)</f>
        <v>0</v>
      </c>
      <c r="P45" s="21" cm="1">
        <f t="array" aca="1" ref="P45" ca="1">INDIRECT("Data!J" &amp; 40)</f>
        <v>0</v>
      </c>
      <c r="Q45" cm="1">
        <f t="array" aca="1" ref="Q45" ca="1">INDIRECT("Data!K" &amp; 40)</f>
        <v>0</v>
      </c>
      <c r="R45" cm="1">
        <f t="array" aca="1" ref="R45" ca="1">INDIRECT("Data!L" &amp; 40)</f>
        <v>0</v>
      </c>
      <c r="S45" cm="1">
        <f t="array" aca="1" ref="S45" ca="1">INDIRECT("Data!M" &amp; 40)</f>
        <v>0</v>
      </c>
      <c r="T45" cm="1">
        <f t="array" aca="1" ref="T45" ca="1">INDIRECT("Data!N" &amp; 40)</f>
        <v>0</v>
      </c>
      <c r="U45" cm="1">
        <f t="array" aca="1" ref="U45" ca="1">INDIRECT("Data!O" &amp; 40)</f>
        <v>0</v>
      </c>
      <c r="V45" s="33" cm="1">
        <f t="array" aca="1" ref="V45" ca="1">INDIRECT("Data!P" &amp; 40)</f>
        <v>0</v>
      </c>
    </row>
    <row r="46" spans="1:22" x14ac:dyDescent="0.25">
      <c r="G46" cm="1">
        <f t="array" aca="1" ref="G46" ca="1">INDIRECT("Data!A" &amp; 41)</f>
        <v>0</v>
      </c>
      <c r="H46" s="21" cm="1">
        <f t="array" aca="1" ref="H46" ca="1">INDIRECT("Data!B" &amp; 41)</f>
        <v>0</v>
      </c>
      <c r="I46" s="21" cm="1">
        <f t="array" aca="1" ref="I46" ca="1">INDIRECT("Data!C" &amp; 41)</f>
        <v>0</v>
      </c>
      <c r="J46" cm="1">
        <f t="array" aca="1" ref="J46" ca="1">INDIRECT("Data!D" &amp; 41)</f>
        <v>0</v>
      </c>
      <c r="K46" cm="1">
        <f t="array" aca="1" ref="K46" ca="1">INDIRECT("Data!E" &amp; 41)</f>
        <v>0</v>
      </c>
      <c r="L46" cm="1">
        <f t="array" aca="1" ref="L46" ca="1">INDIRECT("Data!F" &amp; 41)</f>
        <v>0</v>
      </c>
      <c r="M46" cm="1">
        <f t="array" aca="1" ref="M46" ca="1">INDIRECT("Data!G" &amp; 41)</f>
        <v>0</v>
      </c>
      <c r="N46" cm="1">
        <f t="array" aca="1" ref="N46" ca="1">INDIRECT("Data!H" &amp; 41)</f>
        <v>0</v>
      </c>
      <c r="O46" cm="1">
        <f t="array" aca="1" ref="O46" ca="1">INDIRECT("Data!I" &amp; 41)</f>
        <v>0</v>
      </c>
      <c r="P46" s="21" cm="1">
        <f t="array" aca="1" ref="P46" ca="1">INDIRECT("Data!J" &amp; 41)</f>
        <v>0</v>
      </c>
      <c r="Q46" cm="1">
        <f t="array" aca="1" ref="Q46" ca="1">INDIRECT("Data!K" &amp; 41)</f>
        <v>0</v>
      </c>
      <c r="R46" cm="1">
        <f t="array" aca="1" ref="R46" ca="1">INDIRECT("Data!L" &amp; 41)</f>
        <v>0</v>
      </c>
      <c r="S46" cm="1">
        <f t="array" aca="1" ref="S46" ca="1">INDIRECT("Data!M" &amp; 41)</f>
        <v>0</v>
      </c>
      <c r="T46" cm="1">
        <f t="array" aca="1" ref="T46" ca="1">INDIRECT("Data!N" &amp; 41)</f>
        <v>0</v>
      </c>
      <c r="U46" cm="1">
        <f t="array" aca="1" ref="U46" ca="1">INDIRECT("Data!O" &amp; 41)</f>
        <v>0</v>
      </c>
      <c r="V46" s="33" cm="1">
        <f t="array" aca="1" ref="V46" ca="1">INDIRECT("Data!P" &amp; 41)</f>
        <v>0</v>
      </c>
    </row>
    <row r="47" spans="1:22" x14ac:dyDescent="0.25">
      <c r="G47" cm="1">
        <f t="array" aca="1" ref="G47" ca="1">INDIRECT("Data!A" &amp; 42)</f>
        <v>0</v>
      </c>
      <c r="H47" s="21" cm="1">
        <f t="array" aca="1" ref="H47" ca="1">INDIRECT("Data!B" &amp; 42)</f>
        <v>0</v>
      </c>
      <c r="I47" s="21" cm="1">
        <f t="array" aca="1" ref="I47" ca="1">INDIRECT("Data!C" &amp; 42)</f>
        <v>0</v>
      </c>
      <c r="J47" cm="1">
        <f t="array" aca="1" ref="J47" ca="1">INDIRECT("Data!D" &amp; 42)</f>
        <v>0</v>
      </c>
      <c r="K47" cm="1">
        <f t="array" aca="1" ref="K47" ca="1">INDIRECT("Data!E" &amp; 42)</f>
        <v>0</v>
      </c>
      <c r="L47" cm="1">
        <f t="array" aca="1" ref="L47" ca="1">INDIRECT("Data!F" &amp; 42)</f>
        <v>0</v>
      </c>
      <c r="M47" cm="1">
        <f t="array" aca="1" ref="M47" ca="1">INDIRECT("Data!G" &amp; 42)</f>
        <v>0</v>
      </c>
      <c r="N47" cm="1">
        <f t="array" aca="1" ref="N47" ca="1">INDIRECT("Data!H" &amp; 42)</f>
        <v>0</v>
      </c>
      <c r="O47" cm="1">
        <f t="array" aca="1" ref="O47" ca="1">INDIRECT("Data!I" &amp; 42)</f>
        <v>0</v>
      </c>
      <c r="P47" s="21" cm="1">
        <f t="array" aca="1" ref="P47" ca="1">INDIRECT("Data!J" &amp; 42)</f>
        <v>0</v>
      </c>
      <c r="Q47" cm="1">
        <f t="array" aca="1" ref="Q47" ca="1">INDIRECT("Data!K" &amp; 42)</f>
        <v>0</v>
      </c>
      <c r="R47" cm="1">
        <f t="array" aca="1" ref="R47" ca="1">INDIRECT("Data!L" &amp; 42)</f>
        <v>0</v>
      </c>
      <c r="S47" cm="1">
        <f t="array" aca="1" ref="S47" ca="1">INDIRECT("Data!M" &amp; 42)</f>
        <v>0</v>
      </c>
      <c r="T47" cm="1">
        <f t="array" aca="1" ref="T47" ca="1">INDIRECT("Data!N" &amp; 42)</f>
        <v>0</v>
      </c>
      <c r="U47" cm="1">
        <f t="array" aca="1" ref="U47" ca="1">INDIRECT("Data!O" &amp; 42)</f>
        <v>0</v>
      </c>
      <c r="V47" s="33" cm="1">
        <f t="array" aca="1" ref="V47" ca="1">INDIRECT("Data!P" &amp; 42)</f>
        <v>0</v>
      </c>
    </row>
    <row r="48" spans="1:22" x14ac:dyDescent="0.25">
      <c r="G48" cm="1">
        <f t="array" aca="1" ref="G48" ca="1">INDIRECT("Data!A" &amp; 43)</f>
        <v>0</v>
      </c>
      <c r="H48" s="21" cm="1">
        <f t="array" aca="1" ref="H48" ca="1">INDIRECT("Data!B" &amp; 43)</f>
        <v>0</v>
      </c>
      <c r="I48" s="21" cm="1">
        <f t="array" aca="1" ref="I48" ca="1">INDIRECT("Data!C" &amp; 43)</f>
        <v>0</v>
      </c>
      <c r="J48" cm="1">
        <f t="array" aca="1" ref="J48" ca="1">INDIRECT("Data!D" &amp; 43)</f>
        <v>0</v>
      </c>
      <c r="K48" cm="1">
        <f t="array" aca="1" ref="K48" ca="1">INDIRECT("Data!E" &amp; 43)</f>
        <v>0</v>
      </c>
      <c r="L48" cm="1">
        <f t="array" aca="1" ref="L48" ca="1">INDIRECT("Data!F" &amp; 43)</f>
        <v>0</v>
      </c>
      <c r="M48" cm="1">
        <f t="array" aca="1" ref="M48" ca="1">INDIRECT("Data!G" &amp; 43)</f>
        <v>0</v>
      </c>
      <c r="N48" cm="1">
        <f t="array" aca="1" ref="N48" ca="1">INDIRECT("Data!H" &amp; 43)</f>
        <v>0</v>
      </c>
      <c r="O48" cm="1">
        <f t="array" aca="1" ref="O48" ca="1">INDIRECT("Data!I" &amp; 43)</f>
        <v>0</v>
      </c>
      <c r="P48" s="21" cm="1">
        <f t="array" aca="1" ref="P48" ca="1">INDIRECT("Data!J" &amp; 43)</f>
        <v>0</v>
      </c>
      <c r="Q48" cm="1">
        <f t="array" aca="1" ref="Q48" ca="1">INDIRECT("Data!K" &amp; 43)</f>
        <v>0</v>
      </c>
      <c r="R48" cm="1">
        <f t="array" aca="1" ref="R48" ca="1">INDIRECT("Data!L" &amp; 43)</f>
        <v>0</v>
      </c>
      <c r="S48" cm="1">
        <f t="array" aca="1" ref="S48" ca="1">INDIRECT("Data!M" &amp; 43)</f>
        <v>0</v>
      </c>
      <c r="T48" cm="1">
        <f t="array" aca="1" ref="T48" ca="1">INDIRECT("Data!N" &amp; 43)</f>
        <v>0</v>
      </c>
      <c r="U48" cm="1">
        <f t="array" aca="1" ref="U48" ca="1">INDIRECT("Data!O" &amp; 43)</f>
        <v>0</v>
      </c>
      <c r="V48" s="33" cm="1">
        <f t="array" aca="1" ref="V48" ca="1">INDIRECT("Data!P" &amp; 43)</f>
        <v>0</v>
      </c>
    </row>
    <row r="49" spans="7:22" x14ac:dyDescent="0.25">
      <c r="G49" cm="1">
        <f t="array" aca="1" ref="G49" ca="1">INDIRECT("Data!A" &amp; 44)</f>
        <v>0</v>
      </c>
      <c r="H49" s="21" cm="1">
        <f t="array" aca="1" ref="H49" ca="1">INDIRECT("Data!B" &amp; 44)</f>
        <v>0</v>
      </c>
      <c r="I49" s="21" cm="1">
        <f t="array" aca="1" ref="I49" ca="1">INDIRECT("Data!C" &amp; 44)</f>
        <v>0</v>
      </c>
      <c r="J49" cm="1">
        <f t="array" aca="1" ref="J49" ca="1">INDIRECT("Data!D" &amp; 44)</f>
        <v>0</v>
      </c>
      <c r="K49" cm="1">
        <f t="array" aca="1" ref="K49" ca="1">INDIRECT("Data!E" &amp; 44)</f>
        <v>0</v>
      </c>
      <c r="L49" cm="1">
        <f t="array" aca="1" ref="L49" ca="1">INDIRECT("Data!F" &amp; 44)</f>
        <v>0</v>
      </c>
      <c r="M49" cm="1">
        <f t="array" aca="1" ref="M49" ca="1">INDIRECT("Data!G" &amp; 44)</f>
        <v>0</v>
      </c>
      <c r="N49" cm="1">
        <f t="array" aca="1" ref="N49" ca="1">INDIRECT("Data!H" &amp; 44)</f>
        <v>0</v>
      </c>
      <c r="O49" cm="1">
        <f t="array" aca="1" ref="O49" ca="1">INDIRECT("Data!I" &amp; 44)</f>
        <v>0</v>
      </c>
      <c r="P49" s="21" cm="1">
        <f t="array" aca="1" ref="P49" ca="1">INDIRECT("Data!J" &amp; 44)</f>
        <v>0</v>
      </c>
      <c r="Q49" cm="1">
        <f t="array" aca="1" ref="Q49" ca="1">INDIRECT("Data!K" &amp; 44)</f>
        <v>0</v>
      </c>
      <c r="R49" cm="1">
        <f t="array" aca="1" ref="R49" ca="1">INDIRECT("Data!L" &amp; 44)</f>
        <v>0</v>
      </c>
      <c r="S49" cm="1">
        <f t="array" aca="1" ref="S49" ca="1">INDIRECT("Data!M" &amp; 44)</f>
        <v>0</v>
      </c>
      <c r="T49" cm="1">
        <f t="array" aca="1" ref="T49" ca="1">INDIRECT("Data!N" &amp; 44)</f>
        <v>0</v>
      </c>
      <c r="U49" cm="1">
        <f t="array" aca="1" ref="U49" ca="1">INDIRECT("Data!O" &amp; 44)</f>
        <v>0</v>
      </c>
      <c r="V49" s="33" cm="1">
        <f t="array" aca="1" ref="V49" ca="1">INDIRECT("Data!P" &amp; 44)</f>
        <v>0</v>
      </c>
    </row>
    <row r="50" spans="7:22" x14ac:dyDescent="0.25">
      <c r="G50" cm="1">
        <f t="array" aca="1" ref="G50" ca="1">INDIRECT("Data!A" &amp; 45)</f>
        <v>0</v>
      </c>
      <c r="H50" s="21" cm="1">
        <f t="array" aca="1" ref="H50" ca="1">INDIRECT("Data!B" &amp; 45)</f>
        <v>0</v>
      </c>
      <c r="I50" s="21" cm="1">
        <f t="array" aca="1" ref="I50" ca="1">INDIRECT("Data!C" &amp; 45)</f>
        <v>0</v>
      </c>
      <c r="J50" cm="1">
        <f t="array" aca="1" ref="J50" ca="1">INDIRECT("Data!D" &amp; 45)</f>
        <v>0</v>
      </c>
      <c r="K50" cm="1">
        <f t="array" aca="1" ref="K50" ca="1">INDIRECT("Data!E" &amp; 45)</f>
        <v>0</v>
      </c>
      <c r="L50" cm="1">
        <f t="array" aca="1" ref="L50" ca="1">INDIRECT("Data!F" &amp; 45)</f>
        <v>0</v>
      </c>
      <c r="M50" cm="1">
        <f t="array" aca="1" ref="M50" ca="1">INDIRECT("Data!G" &amp; 45)</f>
        <v>0</v>
      </c>
      <c r="N50" cm="1">
        <f t="array" aca="1" ref="N50" ca="1">INDIRECT("Data!H" &amp; 45)</f>
        <v>0</v>
      </c>
      <c r="O50" cm="1">
        <f t="array" aca="1" ref="O50" ca="1">INDIRECT("Data!I" &amp; 45)</f>
        <v>0</v>
      </c>
      <c r="P50" s="21" cm="1">
        <f t="array" aca="1" ref="P50" ca="1">INDIRECT("Data!J" &amp; 45)</f>
        <v>0</v>
      </c>
      <c r="Q50" cm="1">
        <f t="array" aca="1" ref="Q50" ca="1">INDIRECT("Data!K" &amp; 45)</f>
        <v>0</v>
      </c>
      <c r="R50" cm="1">
        <f t="array" aca="1" ref="R50" ca="1">INDIRECT("Data!L" &amp; 45)</f>
        <v>0</v>
      </c>
      <c r="S50" cm="1">
        <f t="array" aca="1" ref="S50" ca="1">INDIRECT("Data!M" &amp; 45)</f>
        <v>0</v>
      </c>
      <c r="T50" cm="1">
        <f t="array" aca="1" ref="T50" ca="1">INDIRECT("Data!N" &amp; 45)</f>
        <v>0</v>
      </c>
      <c r="U50" cm="1">
        <f t="array" aca="1" ref="U50" ca="1">INDIRECT("Data!O" &amp; 45)</f>
        <v>0</v>
      </c>
      <c r="V50" s="33" cm="1">
        <f t="array" aca="1" ref="V50" ca="1">INDIRECT("Data!P" &amp; 45)</f>
        <v>0</v>
      </c>
    </row>
    <row r="51" spans="7:22" x14ac:dyDescent="0.25">
      <c r="G51" cm="1">
        <f t="array" aca="1" ref="G51" ca="1">INDIRECT("Data!A" &amp; 46)</f>
        <v>0</v>
      </c>
      <c r="H51" s="21" cm="1">
        <f t="array" aca="1" ref="H51" ca="1">INDIRECT("Data!B" &amp; 46)</f>
        <v>0</v>
      </c>
      <c r="I51" s="21" cm="1">
        <f t="array" aca="1" ref="I51" ca="1">INDIRECT("Data!C" &amp; 46)</f>
        <v>0</v>
      </c>
      <c r="J51" cm="1">
        <f t="array" aca="1" ref="J51" ca="1">INDIRECT("Data!D" &amp; 46)</f>
        <v>0</v>
      </c>
      <c r="K51" cm="1">
        <f t="array" aca="1" ref="K51" ca="1">INDIRECT("Data!E" &amp; 46)</f>
        <v>0</v>
      </c>
      <c r="L51" cm="1">
        <f t="array" aca="1" ref="L51" ca="1">INDIRECT("Data!F" &amp; 46)</f>
        <v>0</v>
      </c>
      <c r="M51" cm="1">
        <f t="array" aca="1" ref="M51" ca="1">INDIRECT("Data!G" &amp; 46)</f>
        <v>0</v>
      </c>
      <c r="N51" cm="1">
        <f t="array" aca="1" ref="N51" ca="1">INDIRECT("Data!H" &amp; 46)</f>
        <v>0</v>
      </c>
      <c r="O51" cm="1">
        <f t="array" aca="1" ref="O51" ca="1">INDIRECT("Data!I" &amp; 46)</f>
        <v>0</v>
      </c>
      <c r="P51" s="21" cm="1">
        <f t="array" aca="1" ref="P51" ca="1">INDIRECT("Data!J" &amp; 46)</f>
        <v>0</v>
      </c>
      <c r="Q51" cm="1">
        <f t="array" aca="1" ref="Q51" ca="1">INDIRECT("Data!K" &amp; 46)</f>
        <v>0</v>
      </c>
      <c r="R51" cm="1">
        <f t="array" aca="1" ref="R51" ca="1">INDIRECT("Data!L" &amp; 46)</f>
        <v>0</v>
      </c>
      <c r="S51" cm="1">
        <f t="array" aca="1" ref="S51" ca="1">INDIRECT("Data!M" &amp; 46)</f>
        <v>0</v>
      </c>
      <c r="T51" cm="1">
        <f t="array" aca="1" ref="T51" ca="1">INDIRECT("Data!N" &amp; 46)</f>
        <v>0</v>
      </c>
      <c r="U51" cm="1">
        <f t="array" aca="1" ref="U51" ca="1">INDIRECT("Data!O" &amp; 46)</f>
        <v>0</v>
      </c>
      <c r="V51" cm="1">
        <f t="array" aca="1" ref="V51" ca="1">INDIRECT("Data!P" &amp; 46)</f>
        <v>0</v>
      </c>
    </row>
    <row r="52" spans="7:22" x14ac:dyDescent="0.25">
      <c r="G52" cm="1">
        <f t="array" aca="1" ref="G52" ca="1">INDIRECT("Data!A" &amp; 47)</f>
        <v>0</v>
      </c>
      <c r="H52" s="21" cm="1">
        <f t="array" aca="1" ref="H52" ca="1">INDIRECT("Data!B" &amp; 47)</f>
        <v>0</v>
      </c>
      <c r="I52" s="21" cm="1">
        <f t="array" aca="1" ref="I52" ca="1">INDIRECT("Data!C" &amp; 47)</f>
        <v>0</v>
      </c>
      <c r="J52" cm="1">
        <f t="array" aca="1" ref="J52" ca="1">INDIRECT("Data!D" &amp; 47)</f>
        <v>0</v>
      </c>
      <c r="K52" cm="1">
        <f t="array" aca="1" ref="K52" ca="1">INDIRECT("Data!E" &amp; 47)</f>
        <v>0</v>
      </c>
      <c r="L52" cm="1">
        <f t="array" aca="1" ref="L52" ca="1">INDIRECT("Data!F" &amp; 47)</f>
        <v>0</v>
      </c>
      <c r="M52" cm="1">
        <f t="array" aca="1" ref="M52" ca="1">INDIRECT("Data!G" &amp; 47)</f>
        <v>0</v>
      </c>
      <c r="N52" cm="1">
        <f t="array" aca="1" ref="N52" ca="1">INDIRECT("Data!H" &amp; 47)</f>
        <v>0</v>
      </c>
      <c r="O52" cm="1">
        <f t="array" aca="1" ref="O52" ca="1">INDIRECT("Data!I" &amp; 47)</f>
        <v>0</v>
      </c>
      <c r="P52" s="21" cm="1">
        <f t="array" aca="1" ref="P52" ca="1">INDIRECT("Data!J" &amp; 47)</f>
        <v>0</v>
      </c>
      <c r="Q52" cm="1">
        <f t="array" aca="1" ref="Q52" ca="1">INDIRECT("Data!K" &amp; 47)</f>
        <v>0</v>
      </c>
      <c r="R52" cm="1">
        <f t="array" aca="1" ref="R52" ca="1">INDIRECT("Data!L" &amp; 47)</f>
        <v>0</v>
      </c>
      <c r="S52" cm="1">
        <f t="array" aca="1" ref="S52" ca="1">INDIRECT("Data!M" &amp; 47)</f>
        <v>0</v>
      </c>
      <c r="T52" cm="1">
        <f t="array" aca="1" ref="T52" ca="1">INDIRECT("Data!N" &amp; 47)</f>
        <v>0</v>
      </c>
      <c r="U52" cm="1">
        <f t="array" aca="1" ref="U52" ca="1">INDIRECT("Data!O" &amp; 47)</f>
        <v>0</v>
      </c>
      <c r="V52" cm="1">
        <f t="array" aca="1" ref="V52" ca="1">INDIRECT("Data!P" &amp; 47)</f>
        <v>0</v>
      </c>
    </row>
    <row r="53" spans="7:22" x14ac:dyDescent="0.25">
      <c r="G53" cm="1">
        <f t="array" aca="1" ref="G53" ca="1">INDIRECT("Data!A" &amp; 48)</f>
        <v>0</v>
      </c>
      <c r="H53" s="21" cm="1">
        <f t="array" aca="1" ref="H53" ca="1">INDIRECT("Data!B" &amp; 48)</f>
        <v>0</v>
      </c>
      <c r="I53" s="21" cm="1">
        <f t="array" aca="1" ref="I53" ca="1">INDIRECT("Data!C" &amp; 48)</f>
        <v>0</v>
      </c>
      <c r="J53" cm="1">
        <f t="array" aca="1" ref="J53" ca="1">INDIRECT("Data!D" &amp; 48)</f>
        <v>0</v>
      </c>
      <c r="K53" cm="1">
        <f t="array" aca="1" ref="K53" ca="1">INDIRECT("Data!E" &amp; 48)</f>
        <v>0</v>
      </c>
      <c r="L53" cm="1">
        <f t="array" aca="1" ref="L53" ca="1">INDIRECT("Data!F" &amp; 48)</f>
        <v>0</v>
      </c>
      <c r="M53" cm="1">
        <f t="array" aca="1" ref="M53" ca="1">INDIRECT("Data!G" &amp; 48)</f>
        <v>0</v>
      </c>
      <c r="N53" cm="1">
        <f t="array" aca="1" ref="N53" ca="1">INDIRECT("Data!H" &amp; 48)</f>
        <v>0</v>
      </c>
      <c r="O53" cm="1">
        <f t="array" aca="1" ref="O53" ca="1">INDIRECT("Data!I" &amp; 48)</f>
        <v>0</v>
      </c>
      <c r="P53" s="21" cm="1">
        <f t="array" aca="1" ref="P53" ca="1">INDIRECT("Data!J" &amp; 48)</f>
        <v>0</v>
      </c>
      <c r="Q53" cm="1">
        <f t="array" aca="1" ref="Q53" ca="1">INDIRECT("Data!K" &amp; 48)</f>
        <v>0</v>
      </c>
      <c r="R53" cm="1">
        <f t="array" aca="1" ref="R53" ca="1">INDIRECT("Data!L" &amp; 48)</f>
        <v>0</v>
      </c>
      <c r="S53" cm="1">
        <f t="array" aca="1" ref="S53" ca="1">INDIRECT("Data!M" &amp; 48)</f>
        <v>0</v>
      </c>
      <c r="T53" cm="1">
        <f t="array" aca="1" ref="T53" ca="1">INDIRECT("Data!N" &amp; 48)</f>
        <v>0</v>
      </c>
      <c r="U53" cm="1">
        <f t="array" aca="1" ref="U53" ca="1">INDIRECT("Data!O" &amp; 48)</f>
        <v>0</v>
      </c>
      <c r="V53" cm="1">
        <f t="array" aca="1" ref="V53" ca="1">INDIRECT("Data!P" &amp; 48)</f>
        <v>0</v>
      </c>
    </row>
    <row r="54" spans="7:22" x14ac:dyDescent="0.25">
      <c r="G54" cm="1">
        <f t="array" aca="1" ref="G54" ca="1">INDIRECT("Data!A" &amp; 49)</f>
        <v>0</v>
      </c>
      <c r="H54" s="21" cm="1">
        <f t="array" aca="1" ref="H54" ca="1">INDIRECT("Data!B" &amp; 49)</f>
        <v>0</v>
      </c>
      <c r="I54" s="21" cm="1">
        <f t="array" aca="1" ref="I54" ca="1">INDIRECT("Data!C" &amp; 49)</f>
        <v>0</v>
      </c>
      <c r="J54" cm="1">
        <f t="array" aca="1" ref="J54" ca="1">INDIRECT("Data!D" &amp; 49)</f>
        <v>0</v>
      </c>
      <c r="K54" cm="1">
        <f t="array" aca="1" ref="K54" ca="1">INDIRECT("Data!E" &amp; 49)</f>
        <v>0</v>
      </c>
      <c r="L54" cm="1">
        <f t="array" aca="1" ref="L54" ca="1">INDIRECT("Data!F" &amp; 49)</f>
        <v>0</v>
      </c>
      <c r="M54" cm="1">
        <f t="array" aca="1" ref="M54" ca="1">INDIRECT("Data!G" &amp; 49)</f>
        <v>0</v>
      </c>
      <c r="N54" cm="1">
        <f t="array" aca="1" ref="N54" ca="1">INDIRECT("Data!H" &amp; 49)</f>
        <v>0</v>
      </c>
      <c r="O54" cm="1">
        <f t="array" aca="1" ref="O54" ca="1">INDIRECT("Data!I" &amp; 49)</f>
        <v>0</v>
      </c>
      <c r="P54" s="21" cm="1">
        <f t="array" aca="1" ref="P54" ca="1">INDIRECT("Data!J" &amp; 49)</f>
        <v>0</v>
      </c>
      <c r="Q54" cm="1">
        <f t="array" aca="1" ref="Q54" ca="1">INDIRECT("Data!K" &amp; 49)</f>
        <v>0</v>
      </c>
      <c r="R54" cm="1">
        <f t="array" aca="1" ref="R54" ca="1">INDIRECT("Data!L" &amp; 49)</f>
        <v>0</v>
      </c>
      <c r="S54" cm="1">
        <f t="array" aca="1" ref="S54" ca="1">INDIRECT("Data!M" &amp; 49)</f>
        <v>0</v>
      </c>
      <c r="T54" cm="1">
        <f t="array" aca="1" ref="T54" ca="1">INDIRECT("Data!N" &amp; 49)</f>
        <v>0</v>
      </c>
      <c r="U54" cm="1">
        <f t="array" aca="1" ref="U54" ca="1">INDIRECT("Data!O" &amp; 49)</f>
        <v>0</v>
      </c>
      <c r="V54" cm="1">
        <f t="array" aca="1" ref="V54" ca="1">INDIRECT("Data!P" &amp; 49)</f>
        <v>0</v>
      </c>
    </row>
    <row r="55" spans="7:22" x14ac:dyDescent="0.25">
      <c r="G55" cm="1">
        <f t="array" aca="1" ref="G55" ca="1">INDIRECT("Data!A" &amp; 50)</f>
        <v>0</v>
      </c>
      <c r="H55" s="21" cm="1">
        <f t="array" aca="1" ref="H55" ca="1">INDIRECT("Data!B" &amp; 50)</f>
        <v>0</v>
      </c>
      <c r="I55" s="21" cm="1">
        <f t="array" aca="1" ref="I55" ca="1">INDIRECT("Data!C" &amp; 50)</f>
        <v>0</v>
      </c>
      <c r="J55" cm="1">
        <f t="array" aca="1" ref="J55" ca="1">INDIRECT("Data!D" &amp; 50)</f>
        <v>0</v>
      </c>
      <c r="K55" cm="1">
        <f t="array" aca="1" ref="K55" ca="1">INDIRECT("Data!E" &amp; 50)</f>
        <v>0</v>
      </c>
      <c r="L55" cm="1">
        <f t="array" aca="1" ref="L55" ca="1">INDIRECT("Data!F" &amp; 50)</f>
        <v>0</v>
      </c>
      <c r="M55" cm="1">
        <f t="array" aca="1" ref="M55" ca="1">INDIRECT("Data!G" &amp; 50)</f>
        <v>0</v>
      </c>
      <c r="N55" cm="1">
        <f t="array" aca="1" ref="N55" ca="1">INDIRECT("Data!H" &amp; 50)</f>
        <v>0</v>
      </c>
      <c r="O55" cm="1">
        <f t="array" aca="1" ref="O55" ca="1">INDIRECT("Data!I" &amp; 50)</f>
        <v>0</v>
      </c>
      <c r="P55" s="21" cm="1">
        <f t="array" aca="1" ref="P55" ca="1">INDIRECT("Data!J" &amp; 50)</f>
        <v>0</v>
      </c>
      <c r="Q55" cm="1">
        <f t="array" aca="1" ref="Q55" ca="1">INDIRECT("Data!K" &amp; 50)</f>
        <v>0</v>
      </c>
      <c r="R55" cm="1">
        <f t="array" aca="1" ref="R55" ca="1">INDIRECT("Data!L" &amp; 50)</f>
        <v>0</v>
      </c>
      <c r="S55" cm="1">
        <f t="array" aca="1" ref="S55" ca="1">INDIRECT("Data!M" &amp; 50)</f>
        <v>0</v>
      </c>
      <c r="T55" cm="1">
        <f t="array" aca="1" ref="T55" ca="1">INDIRECT("Data!N" &amp; 50)</f>
        <v>0</v>
      </c>
      <c r="U55" cm="1">
        <f t="array" aca="1" ref="U55" ca="1">INDIRECT("Data!O" &amp; 50)</f>
        <v>0</v>
      </c>
      <c r="V55" cm="1">
        <f t="array" aca="1" ref="V55" ca="1">INDIRECT("Data!P" &amp; 50)</f>
        <v>0</v>
      </c>
    </row>
    <row r="56" spans="7:22" x14ac:dyDescent="0.25">
      <c r="G56" cm="1">
        <f t="array" aca="1" ref="G56" ca="1">INDIRECT("Data!A" &amp; 51)</f>
        <v>0</v>
      </c>
      <c r="H56" s="21" cm="1">
        <f t="array" aca="1" ref="H56" ca="1">INDIRECT("Data!B" &amp; 51)</f>
        <v>0</v>
      </c>
      <c r="I56" s="21" cm="1">
        <f t="array" aca="1" ref="I56" ca="1">INDIRECT("Data!C" &amp; 51)</f>
        <v>0</v>
      </c>
      <c r="J56" cm="1">
        <f t="array" aca="1" ref="J56" ca="1">INDIRECT("Data!D" &amp; 51)</f>
        <v>0</v>
      </c>
      <c r="K56" cm="1">
        <f t="array" aca="1" ref="K56" ca="1">INDIRECT("Data!E" &amp; 51)</f>
        <v>0</v>
      </c>
      <c r="L56" cm="1">
        <f t="array" aca="1" ref="L56" ca="1">INDIRECT("Data!F" &amp; 51)</f>
        <v>0</v>
      </c>
      <c r="M56" cm="1">
        <f t="array" aca="1" ref="M56" ca="1">INDIRECT("Data!G" &amp; 51)</f>
        <v>0</v>
      </c>
      <c r="N56" cm="1">
        <f t="array" aca="1" ref="N56" ca="1">INDIRECT("Data!H" &amp; 51)</f>
        <v>0</v>
      </c>
      <c r="O56" cm="1">
        <f t="array" aca="1" ref="O56" ca="1">INDIRECT("Data!I" &amp; 51)</f>
        <v>0</v>
      </c>
      <c r="P56" s="21" cm="1">
        <f t="array" aca="1" ref="P56" ca="1">INDIRECT("Data!J" &amp; 51)</f>
        <v>0</v>
      </c>
      <c r="Q56" cm="1">
        <f t="array" aca="1" ref="Q56" ca="1">INDIRECT("Data!K" &amp; 51)</f>
        <v>0</v>
      </c>
      <c r="R56" cm="1">
        <f t="array" aca="1" ref="R56" ca="1">INDIRECT("Data!L" &amp; 51)</f>
        <v>0</v>
      </c>
      <c r="S56" cm="1">
        <f t="array" aca="1" ref="S56" ca="1">INDIRECT("Data!M" &amp; 51)</f>
        <v>0</v>
      </c>
      <c r="T56" cm="1">
        <f t="array" aca="1" ref="T56" ca="1">INDIRECT("Data!N" &amp; 51)</f>
        <v>0</v>
      </c>
      <c r="U56" cm="1">
        <f t="array" aca="1" ref="U56" ca="1">INDIRECT("Data!O" &amp; 51)</f>
        <v>0</v>
      </c>
      <c r="V56" cm="1">
        <f t="array" aca="1" ref="V56" ca="1">INDIRECT("Data!P" &amp; 51)</f>
        <v>0</v>
      </c>
    </row>
    <row r="57" spans="7:22" x14ac:dyDescent="0.25">
      <c r="G57" cm="1">
        <f t="array" aca="1" ref="G57" ca="1">INDIRECT("Data!A" &amp; 52)</f>
        <v>0</v>
      </c>
      <c r="H57" s="21" cm="1">
        <f t="array" aca="1" ref="H57" ca="1">INDIRECT("Data!B" &amp; 52)</f>
        <v>0</v>
      </c>
      <c r="I57" s="21" cm="1">
        <f t="array" aca="1" ref="I57" ca="1">INDIRECT("Data!C" &amp; 52)</f>
        <v>0</v>
      </c>
      <c r="J57" cm="1">
        <f t="array" aca="1" ref="J57" ca="1">INDIRECT("Data!D" &amp; 52)</f>
        <v>0</v>
      </c>
      <c r="K57" cm="1">
        <f t="array" aca="1" ref="K57" ca="1">INDIRECT("Data!E" &amp; 52)</f>
        <v>0</v>
      </c>
      <c r="L57" cm="1">
        <f t="array" aca="1" ref="L57" ca="1">INDIRECT("Data!F" &amp; 52)</f>
        <v>0</v>
      </c>
      <c r="M57" cm="1">
        <f t="array" aca="1" ref="M57" ca="1">INDIRECT("Data!G" &amp; 52)</f>
        <v>0</v>
      </c>
      <c r="N57" cm="1">
        <f t="array" aca="1" ref="N57" ca="1">INDIRECT("Data!H" &amp; 52)</f>
        <v>0</v>
      </c>
      <c r="O57" cm="1">
        <f t="array" aca="1" ref="O57" ca="1">INDIRECT("Data!I" &amp; 52)</f>
        <v>0</v>
      </c>
      <c r="P57" s="21" cm="1">
        <f t="array" aca="1" ref="P57" ca="1">INDIRECT("Data!J" &amp; 52)</f>
        <v>0</v>
      </c>
      <c r="Q57" cm="1">
        <f t="array" aca="1" ref="Q57" ca="1">INDIRECT("Data!K" &amp; 52)</f>
        <v>0</v>
      </c>
      <c r="R57" cm="1">
        <f t="array" aca="1" ref="R57" ca="1">INDIRECT("Data!L" &amp; 52)</f>
        <v>0</v>
      </c>
      <c r="S57" cm="1">
        <f t="array" aca="1" ref="S57" ca="1">INDIRECT("Data!M" &amp; 52)</f>
        <v>0</v>
      </c>
      <c r="T57" cm="1">
        <f t="array" aca="1" ref="T57" ca="1">INDIRECT("Data!N" &amp; 52)</f>
        <v>0</v>
      </c>
      <c r="U57" cm="1">
        <f t="array" aca="1" ref="U57" ca="1">INDIRECT("Data!O" &amp; 52)</f>
        <v>0</v>
      </c>
      <c r="V57" cm="1">
        <f t="array" aca="1" ref="V57" ca="1">INDIRECT("Data!P" &amp; 52)</f>
        <v>0</v>
      </c>
    </row>
    <row r="58" spans="7:22" x14ac:dyDescent="0.25">
      <c r="G58" cm="1">
        <f t="array" aca="1" ref="G58" ca="1">INDIRECT("Data!A" &amp; 53)</f>
        <v>0</v>
      </c>
      <c r="H58" s="21" cm="1">
        <f t="array" aca="1" ref="H58" ca="1">INDIRECT("Data!B" &amp; 53)</f>
        <v>0</v>
      </c>
      <c r="I58" s="21" cm="1">
        <f t="array" aca="1" ref="I58" ca="1">INDIRECT("Data!C" &amp; 53)</f>
        <v>0</v>
      </c>
      <c r="J58" cm="1">
        <f t="array" aca="1" ref="J58" ca="1">INDIRECT("Data!D" &amp; 53)</f>
        <v>0</v>
      </c>
      <c r="K58" cm="1">
        <f t="array" aca="1" ref="K58" ca="1">INDIRECT("Data!E" &amp; 53)</f>
        <v>0</v>
      </c>
      <c r="L58" cm="1">
        <f t="array" aca="1" ref="L58" ca="1">INDIRECT("Data!F" &amp; 53)</f>
        <v>0</v>
      </c>
      <c r="M58" cm="1">
        <f t="array" aca="1" ref="M58" ca="1">INDIRECT("Data!G" &amp; 53)</f>
        <v>0</v>
      </c>
      <c r="N58" cm="1">
        <f t="array" aca="1" ref="N58" ca="1">INDIRECT("Data!H" &amp; 53)</f>
        <v>0</v>
      </c>
      <c r="O58" cm="1">
        <f t="array" aca="1" ref="O58" ca="1">INDIRECT("Data!I" &amp; 53)</f>
        <v>0</v>
      </c>
      <c r="P58" s="21" cm="1">
        <f t="array" aca="1" ref="P58" ca="1">INDIRECT("Data!J" &amp; 53)</f>
        <v>0</v>
      </c>
      <c r="Q58" cm="1">
        <f t="array" aca="1" ref="Q58" ca="1">INDIRECT("Data!K" &amp; 53)</f>
        <v>0</v>
      </c>
      <c r="R58" cm="1">
        <f t="array" aca="1" ref="R58" ca="1">INDIRECT("Data!L" &amp; 53)</f>
        <v>0</v>
      </c>
      <c r="S58" cm="1">
        <f t="array" aca="1" ref="S58" ca="1">INDIRECT("Data!M" &amp; 53)</f>
        <v>0</v>
      </c>
      <c r="T58" cm="1">
        <f t="array" aca="1" ref="T58" ca="1">INDIRECT("Data!N" &amp; 53)</f>
        <v>0</v>
      </c>
      <c r="U58" cm="1">
        <f t="array" aca="1" ref="U58" ca="1">INDIRECT("Data!O" &amp; 53)</f>
        <v>0</v>
      </c>
      <c r="V58" cm="1">
        <f t="array" aca="1" ref="V58" ca="1">INDIRECT("Data!P" &amp; 53)</f>
        <v>0</v>
      </c>
    </row>
    <row r="59" spans="7:22" x14ac:dyDescent="0.25">
      <c r="G59" cm="1">
        <f t="array" aca="1" ref="G59" ca="1">INDIRECT("Data!A" &amp; 54)</f>
        <v>0</v>
      </c>
      <c r="H59" s="21" cm="1">
        <f t="array" aca="1" ref="H59" ca="1">INDIRECT("Data!B" &amp; 54)</f>
        <v>0</v>
      </c>
      <c r="I59" s="21" cm="1">
        <f t="array" aca="1" ref="I59" ca="1">INDIRECT("Data!C" &amp; 54)</f>
        <v>0</v>
      </c>
      <c r="J59" cm="1">
        <f t="array" aca="1" ref="J59" ca="1">INDIRECT("Data!D" &amp; 54)</f>
        <v>0</v>
      </c>
      <c r="K59" cm="1">
        <f t="array" aca="1" ref="K59" ca="1">INDIRECT("Data!E" &amp; 54)</f>
        <v>0</v>
      </c>
      <c r="L59" cm="1">
        <f t="array" aca="1" ref="L59" ca="1">INDIRECT("Data!F" &amp; 54)</f>
        <v>0</v>
      </c>
      <c r="M59" cm="1">
        <f t="array" aca="1" ref="M59" ca="1">INDIRECT("Data!G" &amp; 54)</f>
        <v>0</v>
      </c>
      <c r="N59" cm="1">
        <f t="array" aca="1" ref="N59" ca="1">INDIRECT("Data!H" &amp; 54)</f>
        <v>0</v>
      </c>
      <c r="O59" cm="1">
        <f t="array" aca="1" ref="O59" ca="1">INDIRECT("Data!I" &amp; 54)</f>
        <v>0</v>
      </c>
      <c r="P59" s="21" cm="1">
        <f t="array" aca="1" ref="P59" ca="1">INDIRECT("Data!J" &amp; 54)</f>
        <v>0</v>
      </c>
      <c r="Q59" cm="1">
        <f t="array" aca="1" ref="Q59" ca="1">INDIRECT("Data!K" &amp; 54)</f>
        <v>0</v>
      </c>
      <c r="R59" cm="1">
        <f t="array" aca="1" ref="R59" ca="1">INDIRECT("Data!L" &amp; 54)</f>
        <v>0</v>
      </c>
      <c r="S59" cm="1">
        <f t="array" aca="1" ref="S59" ca="1">INDIRECT("Data!M" &amp; 54)</f>
        <v>0</v>
      </c>
      <c r="T59" cm="1">
        <f t="array" aca="1" ref="T59" ca="1">INDIRECT("Data!N" &amp; 54)</f>
        <v>0</v>
      </c>
      <c r="U59" cm="1">
        <f t="array" aca="1" ref="U59" ca="1">INDIRECT("Data!O" &amp; 54)</f>
        <v>0</v>
      </c>
      <c r="V59" cm="1">
        <f t="array" aca="1" ref="V59" ca="1">INDIRECT("Data!P" &amp; 54)</f>
        <v>0</v>
      </c>
    </row>
    <row r="60" spans="7:22" x14ac:dyDescent="0.25">
      <c r="G60" cm="1">
        <f t="array" aca="1" ref="G60" ca="1">INDIRECT("Data!A" &amp; 55)</f>
        <v>0</v>
      </c>
      <c r="H60" s="21" cm="1">
        <f t="array" aca="1" ref="H60" ca="1">INDIRECT("Data!B" &amp; 55)</f>
        <v>0</v>
      </c>
      <c r="I60" s="21" cm="1">
        <f t="array" aca="1" ref="I60" ca="1">INDIRECT("Data!C" &amp; 55)</f>
        <v>0</v>
      </c>
      <c r="J60" cm="1">
        <f t="array" aca="1" ref="J60" ca="1">INDIRECT("Data!D" &amp; 55)</f>
        <v>0</v>
      </c>
      <c r="K60" cm="1">
        <f t="array" aca="1" ref="K60" ca="1">INDIRECT("Data!E" &amp; 55)</f>
        <v>0</v>
      </c>
      <c r="L60" cm="1">
        <f t="array" aca="1" ref="L60" ca="1">INDIRECT("Data!F" &amp; 55)</f>
        <v>0</v>
      </c>
      <c r="M60" cm="1">
        <f t="array" aca="1" ref="M60" ca="1">INDIRECT("Data!G" &amp; 55)</f>
        <v>0</v>
      </c>
      <c r="N60" cm="1">
        <f t="array" aca="1" ref="N60" ca="1">INDIRECT("Data!H" &amp; 55)</f>
        <v>0</v>
      </c>
      <c r="O60" cm="1">
        <f t="array" aca="1" ref="O60" ca="1">INDIRECT("Data!I" &amp; 55)</f>
        <v>0</v>
      </c>
      <c r="P60" s="21" cm="1">
        <f t="array" aca="1" ref="P60" ca="1">INDIRECT("Data!J" &amp; 55)</f>
        <v>0</v>
      </c>
      <c r="Q60" cm="1">
        <f t="array" aca="1" ref="Q60" ca="1">INDIRECT("Data!K" &amp; 55)</f>
        <v>0</v>
      </c>
      <c r="R60" cm="1">
        <f t="array" aca="1" ref="R60" ca="1">INDIRECT("Data!L" &amp; 55)</f>
        <v>0</v>
      </c>
      <c r="S60" cm="1">
        <f t="array" aca="1" ref="S60" ca="1">INDIRECT("Data!M" &amp; 55)</f>
        <v>0</v>
      </c>
      <c r="T60" cm="1">
        <f t="array" aca="1" ref="T60" ca="1">INDIRECT("Data!N" &amp; 55)</f>
        <v>0</v>
      </c>
      <c r="U60" cm="1">
        <f t="array" aca="1" ref="U60" ca="1">INDIRECT("Data!O" &amp; 55)</f>
        <v>0</v>
      </c>
      <c r="V60" cm="1">
        <f t="array" aca="1" ref="V60" ca="1">INDIRECT("Data!P" &amp; 55)</f>
        <v>0</v>
      </c>
    </row>
    <row r="61" spans="7:22" x14ac:dyDescent="0.25">
      <c r="G61" cm="1">
        <f t="array" aca="1" ref="G61" ca="1">INDIRECT("Data!A" &amp; 56)</f>
        <v>0</v>
      </c>
      <c r="H61" s="21" cm="1">
        <f t="array" aca="1" ref="H61" ca="1">INDIRECT("Data!B" &amp; 56)</f>
        <v>0</v>
      </c>
      <c r="I61" s="21" cm="1">
        <f t="array" aca="1" ref="I61" ca="1">INDIRECT("Data!C" &amp; 56)</f>
        <v>0</v>
      </c>
      <c r="J61" cm="1">
        <f t="array" aca="1" ref="J61" ca="1">INDIRECT("Data!D" &amp; 56)</f>
        <v>0</v>
      </c>
      <c r="K61" cm="1">
        <f t="array" aca="1" ref="K61" ca="1">INDIRECT("Data!E" &amp; 56)</f>
        <v>0</v>
      </c>
      <c r="L61" cm="1">
        <f t="array" aca="1" ref="L61" ca="1">INDIRECT("Data!F" &amp; 56)</f>
        <v>0</v>
      </c>
      <c r="M61" cm="1">
        <f t="array" aca="1" ref="M61" ca="1">INDIRECT("Data!G" &amp; 56)</f>
        <v>0</v>
      </c>
      <c r="N61" cm="1">
        <f t="array" aca="1" ref="N61" ca="1">INDIRECT("Data!H" &amp; 56)</f>
        <v>0</v>
      </c>
      <c r="O61" cm="1">
        <f t="array" aca="1" ref="O61" ca="1">INDIRECT("Data!I" &amp; 56)</f>
        <v>0</v>
      </c>
      <c r="P61" s="21" cm="1">
        <f t="array" aca="1" ref="P61" ca="1">INDIRECT("Data!J" &amp; 56)</f>
        <v>0</v>
      </c>
      <c r="Q61" cm="1">
        <f t="array" aca="1" ref="Q61" ca="1">INDIRECT("Data!K" &amp; 56)</f>
        <v>0</v>
      </c>
      <c r="R61" cm="1">
        <f t="array" aca="1" ref="R61" ca="1">INDIRECT("Data!L" &amp; 56)</f>
        <v>0</v>
      </c>
      <c r="S61" cm="1">
        <f t="array" aca="1" ref="S61" ca="1">INDIRECT("Data!M" &amp; 56)</f>
        <v>0</v>
      </c>
      <c r="T61" cm="1">
        <f t="array" aca="1" ref="T61" ca="1">INDIRECT("Data!N" &amp; 56)</f>
        <v>0</v>
      </c>
      <c r="U61" cm="1">
        <f t="array" aca="1" ref="U61" ca="1">INDIRECT("Data!O" &amp; 56)</f>
        <v>0</v>
      </c>
      <c r="V61" cm="1">
        <f t="array" aca="1" ref="V61" ca="1">INDIRECT("Data!P" &amp; 56)</f>
        <v>0</v>
      </c>
    </row>
    <row r="62" spans="7:22" x14ac:dyDescent="0.25">
      <c r="G62" cm="1">
        <f t="array" aca="1" ref="G62" ca="1">INDIRECT("Data!A" &amp; 57)</f>
        <v>0</v>
      </c>
      <c r="H62" s="21" cm="1">
        <f t="array" aca="1" ref="H62" ca="1">INDIRECT("Data!B" &amp; 57)</f>
        <v>0</v>
      </c>
      <c r="I62" s="21" cm="1">
        <f t="array" aca="1" ref="I62" ca="1">INDIRECT("Data!C" &amp; 57)</f>
        <v>0</v>
      </c>
      <c r="J62" cm="1">
        <f t="array" aca="1" ref="J62" ca="1">INDIRECT("Data!D" &amp; 57)</f>
        <v>0</v>
      </c>
      <c r="K62" cm="1">
        <f t="array" aca="1" ref="K62" ca="1">INDIRECT("Data!E" &amp; 57)</f>
        <v>0</v>
      </c>
      <c r="L62" cm="1">
        <f t="array" aca="1" ref="L62" ca="1">INDIRECT("Data!F" &amp; 57)</f>
        <v>0</v>
      </c>
      <c r="M62" cm="1">
        <f t="array" aca="1" ref="M62" ca="1">INDIRECT("Data!G" &amp; 57)</f>
        <v>0</v>
      </c>
      <c r="N62" cm="1">
        <f t="array" aca="1" ref="N62" ca="1">INDIRECT("Data!H" &amp; 57)</f>
        <v>0</v>
      </c>
      <c r="O62" cm="1">
        <f t="array" aca="1" ref="O62" ca="1">INDIRECT("Data!I" &amp; 57)</f>
        <v>0</v>
      </c>
      <c r="P62" s="21" cm="1">
        <f t="array" aca="1" ref="P62" ca="1">INDIRECT("Data!J" &amp; 57)</f>
        <v>0</v>
      </c>
      <c r="Q62" cm="1">
        <f t="array" aca="1" ref="Q62" ca="1">INDIRECT("Data!K" &amp; 57)</f>
        <v>0</v>
      </c>
      <c r="R62" cm="1">
        <f t="array" aca="1" ref="R62" ca="1">INDIRECT("Data!L" &amp; 57)</f>
        <v>0</v>
      </c>
      <c r="S62" cm="1">
        <f t="array" aca="1" ref="S62" ca="1">INDIRECT("Data!M" &amp; 57)</f>
        <v>0</v>
      </c>
      <c r="T62" cm="1">
        <f t="array" aca="1" ref="T62" ca="1">INDIRECT("Data!N" &amp; 57)</f>
        <v>0</v>
      </c>
      <c r="U62" cm="1">
        <f t="array" aca="1" ref="U62" ca="1">INDIRECT("Data!O" &amp; 57)</f>
        <v>0</v>
      </c>
      <c r="V62" cm="1">
        <f t="array" aca="1" ref="V62" ca="1">INDIRECT("Data!P" &amp; 57)</f>
        <v>0</v>
      </c>
    </row>
    <row r="63" spans="7:22" x14ac:dyDescent="0.25">
      <c r="G63" cm="1">
        <f t="array" aca="1" ref="G63" ca="1">INDIRECT("Data!A" &amp; 58)</f>
        <v>0</v>
      </c>
      <c r="H63" s="21" cm="1">
        <f t="array" aca="1" ref="H63" ca="1">INDIRECT("Data!B" &amp; 58)</f>
        <v>0</v>
      </c>
      <c r="I63" s="21" cm="1">
        <f t="array" aca="1" ref="I63" ca="1">INDIRECT("Data!C" &amp; 58)</f>
        <v>0</v>
      </c>
      <c r="J63" cm="1">
        <f t="array" aca="1" ref="J63" ca="1">INDIRECT("Data!D" &amp; 58)</f>
        <v>0</v>
      </c>
      <c r="K63" cm="1">
        <f t="array" aca="1" ref="K63" ca="1">INDIRECT("Data!E" &amp; 58)</f>
        <v>0</v>
      </c>
      <c r="L63" cm="1">
        <f t="array" aca="1" ref="L63" ca="1">INDIRECT("Data!F" &amp; 58)</f>
        <v>0</v>
      </c>
      <c r="M63" cm="1">
        <f t="array" aca="1" ref="M63" ca="1">INDIRECT("Data!G" &amp; 58)</f>
        <v>0</v>
      </c>
      <c r="N63" cm="1">
        <f t="array" aca="1" ref="N63" ca="1">INDIRECT("Data!H" &amp; 58)</f>
        <v>0</v>
      </c>
      <c r="O63" cm="1">
        <f t="array" aca="1" ref="O63" ca="1">INDIRECT("Data!I" &amp; 58)</f>
        <v>0</v>
      </c>
      <c r="P63" s="21" cm="1">
        <f t="array" aca="1" ref="P63" ca="1">INDIRECT("Data!J" &amp; 58)</f>
        <v>0</v>
      </c>
      <c r="Q63" cm="1">
        <f t="array" aca="1" ref="Q63" ca="1">INDIRECT("Data!K" &amp; 58)</f>
        <v>0</v>
      </c>
      <c r="R63" cm="1">
        <f t="array" aca="1" ref="R63" ca="1">INDIRECT("Data!L" &amp; 58)</f>
        <v>0</v>
      </c>
      <c r="S63" cm="1">
        <f t="array" aca="1" ref="S63" ca="1">INDIRECT("Data!M" &amp; 58)</f>
        <v>0</v>
      </c>
      <c r="T63" cm="1">
        <f t="array" aca="1" ref="T63" ca="1">INDIRECT("Data!N" &amp; 58)</f>
        <v>0</v>
      </c>
      <c r="U63" cm="1">
        <f t="array" aca="1" ref="U63" ca="1">INDIRECT("Data!O" &amp; 58)</f>
        <v>0</v>
      </c>
      <c r="V63" cm="1">
        <f t="array" aca="1" ref="V63" ca="1">INDIRECT("Data!P" &amp; 58)</f>
        <v>0</v>
      </c>
    </row>
    <row r="64" spans="7:22" x14ac:dyDescent="0.25">
      <c r="G64" cm="1">
        <f t="array" aca="1" ref="G64" ca="1">INDIRECT("Data!A" &amp; 59)</f>
        <v>0</v>
      </c>
      <c r="H64" s="21" cm="1">
        <f t="array" aca="1" ref="H64" ca="1">INDIRECT("Data!B" &amp; 59)</f>
        <v>0</v>
      </c>
      <c r="I64" s="21" cm="1">
        <f t="array" aca="1" ref="I64" ca="1">INDIRECT("Data!C" &amp; 59)</f>
        <v>0</v>
      </c>
      <c r="J64" cm="1">
        <f t="array" aca="1" ref="J64" ca="1">INDIRECT("Data!D" &amp; 59)</f>
        <v>0</v>
      </c>
      <c r="K64" cm="1">
        <f t="array" aca="1" ref="K64" ca="1">INDIRECT("Data!E" &amp; 59)</f>
        <v>0</v>
      </c>
      <c r="L64" cm="1">
        <f t="array" aca="1" ref="L64" ca="1">INDIRECT("Data!F" &amp; 59)</f>
        <v>0</v>
      </c>
      <c r="M64" cm="1">
        <f t="array" aca="1" ref="M64" ca="1">INDIRECT("Data!G" &amp; 59)</f>
        <v>0</v>
      </c>
      <c r="N64" cm="1">
        <f t="array" aca="1" ref="N64" ca="1">INDIRECT("Data!H" &amp; 59)</f>
        <v>0</v>
      </c>
      <c r="O64" cm="1">
        <f t="array" aca="1" ref="O64" ca="1">INDIRECT("Data!I" &amp; 59)</f>
        <v>0</v>
      </c>
      <c r="P64" s="21" cm="1">
        <f t="array" aca="1" ref="P64" ca="1">INDIRECT("Data!J" &amp; 59)</f>
        <v>0</v>
      </c>
      <c r="Q64" cm="1">
        <f t="array" aca="1" ref="Q64" ca="1">INDIRECT("Data!K" &amp; 59)</f>
        <v>0</v>
      </c>
      <c r="R64" cm="1">
        <f t="array" aca="1" ref="R64" ca="1">INDIRECT("Data!L" &amp; 59)</f>
        <v>0</v>
      </c>
      <c r="S64" cm="1">
        <f t="array" aca="1" ref="S64" ca="1">INDIRECT("Data!M" &amp; 59)</f>
        <v>0</v>
      </c>
      <c r="T64" cm="1">
        <f t="array" aca="1" ref="T64" ca="1">INDIRECT("Data!N" &amp; 59)</f>
        <v>0</v>
      </c>
      <c r="U64" cm="1">
        <f t="array" aca="1" ref="U64" ca="1">INDIRECT("Data!O" &amp; 59)</f>
        <v>0</v>
      </c>
      <c r="V64" cm="1">
        <f t="array" aca="1" ref="V64" ca="1">INDIRECT("Data!P" &amp; 59)</f>
        <v>0</v>
      </c>
    </row>
    <row r="65" spans="7:22" x14ac:dyDescent="0.25">
      <c r="G65" cm="1">
        <f t="array" aca="1" ref="G65" ca="1">INDIRECT("Data!A" &amp; 60)</f>
        <v>0</v>
      </c>
      <c r="H65" s="21" cm="1">
        <f t="array" aca="1" ref="H65" ca="1">INDIRECT("Data!B" &amp; 60)</f>
        <v>0</v>
      </c>
      <c r="I65" s="21" cm="1">
        <f t="array" aca="1" ref="I65" ca="1">INDIRECT("Data!C" &amp; 60)</f>
        <v>0</v>
      </c>
      <c r="J65" cm="1">
        <f t="array" aca="1" ref="J65" ca="1">INDIRECT("Data!D" &amp; 60)</f>
        <v>0</v>
      </c>
      <c r="K65" cm="1">
        <f t="array" aca="1" ref="K65" ca="1">INDIRECT("Data!E" &amp; 60)</f>
        <v>0</v>
      </c>
      <c r="L65" cm="1">
        <f t="array" aca="1" ref="L65" ca="1">INDIRECT("Data!F" &amp; 60)</f>
        <v>0</v>
      </c>
      <c r="M65" cm="1">
        <f t="array" aca="1" ref="M65" ca="1">INDIRECT("Data!G" &amp; 60)</f>
        <v>0</v>
      </c>
      <c r="N65" cm="1">
        <f t="array" aca="1" ref="N65" ca="1">INDIRECT("Data!H" &amp; 60)</f>
        <v>0</v>
      </c>
      <c r="O65" cm="1">
        <f t="array" aca="1" ref="O65" ca="1">INDIRECT("Data!I" &amp; 60)</f>
        <v>0</v>
      </c>
      <c r="P65" s="21" cm="1">
        <f t="array" aca="1" ref="P65" ca="1">INDIRECT("Data!J" &amp; 60)</f>
        <v>0</v>
      </c>
      <c r="Q65" cm="1">
        <f t="array" aca="1" ref="Q65" ca="1">INDIRECT("Data!K" &amp; 60)</f>
        <v>0</v>
      </c>
      <c r="R65" cm="1">
        <f t="array" aca="1" ref="R65" ca="1">INDIRECT("Data!L" &amp; 60)</f>
        <v>0</v>
      </c>
      <c r="S65" cm="1">
        <f t="array" aca="1" ref="S65" ca="1">INDIRECT("Data!M" &amp; 60)</f>
        <v>0</v>
      </c>
      <c r="T65" cm="1">
        <f t="array" aca="1" ref="T65" ca="1">INDIRECT("Data!N" &amp; 60)</f>
        <v>0</v>
      </c>
      <c r="U65" cm="1">
        <f t="array" aca="1" ref="U65" ca="1">INDIRECT("Data!O" &amp; 60)</f>
        <v>0</v>
      </c>
      <c r="V65" cm="1">
        <f t="array" aca="1" ref="V65" ca="1">INDIRECT("Data!P" &amp; 60)</f>
        <v>0</v>
      </c>
    </row>
    <row r="66" spans="7:22" x14ac:dyDescent="0.25">
      <c r="G66" cm="1">
        <f t="array" aca="1" ref="G66" ca="1">INDIRECT("Data!A" &amp; 61)</f>
        <v>0</v>
      </c>
      <c r="H66" s="21" cm="1">
        <f t="array" aca="1" ref="H66" ca="1">INDIRECT("Data!B" &amp; 61)</f>
        <v>0</v>
      </c>
      <c r="I66" s="21" cm="1">
        <f t="array" aca="1" ref="I66" ca="1">INDIRECT("Data!C" &amp; 61)</f>
        <v>0</v>
      </c>
      <c r="J66" cm="1">
        <f t="array" aca="1" ref="J66" ca="1">INDIRECT("Data!D" &amp; 61)</f>
        <v>0</v>
      </c>
      <c r="K66" cm="1">
        <f t="array" aca="1" ref="K66" ca="1">INDIRECT("Data!E" &amp; 61)</f>
        <v>0</v>
      </c>
      <c r="L66" cm="1">
        <f t="array" aca="1" ref="L66" ca="1">INDIRECT("Data!F" &amp; 61)</f>
        <v>0</v>
      </c>
      <c r="M66" cm="1">
        <f t="array" aca="1" ref="M66" ca="1">INDIRECT("Data!G" &amp; 61)</f>
        <v>0</v>
      </c>
      <c r="N66" cm="1">
        <f t="array" aca="1" ref="N66" ca="1">INDIRECT("Data!H" &amp; 61)</f>
        <v>0</v>
      </c>
      <c r="O66" cm="1">
        <f t="array" aca="1" ref="O66" ca="1">INDIRECT("Data!I" &amp; 61)</f>
        <v>0</v>
      </c>
      <c r="P66" s="21" cm="1">
        <f t="array" aca="1" ref="P66" ca="1">INDIRECT("Data!J" &amp; 61)</f>
        <v>0</v>
      </c>
      <c r="Q66" cm="1">
        <f t="array" aca="1" ref="Q66" ca="1">INDIRECT("Data!K" &amp; 61)</f>
        <v>0</v>
      </c>
      <c r="R66" cm="1">
        <f t="array" aca="1" ref="R66" ca="1">INDIRECT("Data!L" &amp; 61)</f>
        <v>0</v>
      </c>
      <c r="S66" cm="1">
        <f t="array" aca="1" ref="S66" ca="1">INDIRECT("Data!M" &amp; 61)</f>
        <v>0</v>
      </c>
      <c r="T66" cm="1">
        <f t="array" aca="1" ref="T66" ca="1">INDIRECT("Data!N" &amp; 61)</f>
        <v>0</v>
      </c>
      <c r="U66" cm="1">
        <f t="array" aca="1" ref="U66" ca="1">INDIRECT("Data!O" &amp; 61)</f>
        <v>0</v>
      </c>
      <c r="V66" cm="1">
        <f t="array" aca="1" ref="V66" ca="1">INDIRECT("Data!P" &amp; 61)</f>
        <v>0</v>
      </c>
    </row>
    <row r="67" spans="7:22" x14ac:dyDescent="0.25">
      <c r="G67" cm="1">
        <f t="array" aca="1" ref="G67" ca="1">INDIRECT("Data!A" &amp; 62)</f>
        <v>0</v>
      </c>
      <c r="H67" s="21" cm="1">
        <f t="array" aca="1" ref="H67" ca="1">INDIRECT("Data!B" &amp; 62)</f>
        <v>0</v>
      </c>
      <c r="I67" s="21" cm="1">
        <f t="array" aca="1" ref="I67" ca="1">INDIRECT("Data!C" &amp; 62)</f>
        <v>0</v>
      </c>
      <c r="J67" cm="1">
        <f t="array" aca="1" ref="J67" ca="1">INDIRECT("Data!D" &amp; 62)</f>
        <v>0</v>
      </c>
      <c r="K67" cm="1">
        <f t="array" aca="1" ref="K67" ca="1">INDIRECT("Data!E" &amp; 62)</f>
        <v>0</v>
      </c>
      <c r="L67" cm="1">
        <f t="array" aca="1" ref="L67" ca="1">INDIRECT("Data!F" &amp; 62)</f>
        <v>0</v>
      </c>
      <c r="M67" cm="1">
        <f t="array" aca="1" ref="M67" ca="1">INDIRECT("Data!G" &amp; 62)</f>
        <v>0</v>
      </c>
      <c r="N67" cm="1">
        <f t="array" aca="1" ref="N67" ca="1">INDIRECT("Data!H" &amp; 62)</f>
        <v>0</v>
      </c>
      <c r="O67" cm="1">
        <f t="array" aca="1" ref="O67" ca="1">INDIRECT("Data!I" &amp; 62)</f>
        <v>0</v>
      </c>
      <c r="P67" s="21" cm="1">
        <f t="array" aca="1" ref="P67" ca="1">INDIRECT("Data!J" &amp; 62)</f>
        <v>0</v>
      </c>
      <c r="Q67" cm="1">
        <f t="array" aca="1" ref="Q67" ca="1">INDIRECT("Data!K" &amp; 62)</f>
        <v>0</v>
      </c>
      <c r="R67" cm="1">
        <f t="array" aca="1" ref="R67" ca="1">INDIRECT("Data!L" &amp; 62)</f>
        <v>0</v>
      </c>
      <c r="S67" cm="1">
        <f t="array" aca="1" ref="S67" ca="1">INDIRECT("Data!M" &amp; 62)</f>
        <v>0</v>
      </c>
      <c r="T67" cm="1">
        <f t="array" aca="1" ref="T67" ca="1">INDIRECT("Data!N" &amp; 62)</f>
        <v>0</v>
      </c>
      <c r="U67" cm="1">
        <f t="array" aca="1" ref="U67" ca="1">INDIRECT("Data!O" &amp; 62)</f>
        <v>0</v>
      </c>
      <c r="V67" cm="1">
        <f t="array" aca="1" ref="V67" ca="1">INDIRECT("Data!P" &amp; 62)</f>
        <v>0</v>
      </c>
    </row>
    <row r="68" spans="7:22" x14ac:dyDescent="0.25">
      <c r="G68" cm="1">
        <f t="array" aca="1" ref="G68" ca="1">INDIRECT("Data!A" &amp; 63)</f>
        <v>0</v>
      </c>
      <c r="H68" s="21" cm="1">
        <f t="array" aca="1" ref="H68" ca="1">INDIRECT("Data!B" &amp; 63)</f>
        <v>0</v>
      </c>
      <c r="I68" s="21" cm="1">
        <f t="array" aca="1" ref="I68" ca="1">INDIRECT("Data!C" &amp; 63)</f>
        <v>0</v>
      </c>
      <c r="J68" cm="1">
        <f t="array" aca="1" ref="J68" ca="1">INDIRECT("Data!D" &amp; 63)</f>
        <v>0</v>
      </c>
      <c r="K68" cm="1">
        <f t="array" aca="1" ref="K68" ca="1">INDIRECT("Data!E" &amp; 63)</f>
        <v>0</v>
      </c>
      <c r="L68" cm="1">
        <f t="array" aca="1" ref="L68" ca="1">INDIRECT("Data!F" &amp; 63)</f>
        <v>0</v>
      </c>
      <c r="M68" cm="1">
        <f t="array" aca="1" ref="M68" ca="1">INDIRECT("Data!G" &amp; 63)</f>
        <v>0</v>
      </c>
      <c r="N68" cm="1">
        <f t="array" aca="1" ref="N68" ca="1">INDIRECT("Data!H" &amp; 63)</f>
        <v>0</v>
      </c>
      <c r="O68" cm="1">
        <f t="array" aca="1" ref="O68" ca="1">INDIRECT("Data!I" &amp; 63)</f>
        <v>0</v>
      </c>
      <c r="P68" s="21" cm="1">
        <f t="array" aca="1" ref="P68" ca="1">INDIRECT("Data!J" &amp; 63)</f>
        <v>0</v>
      </c>
      <c r="Q68" cm="1">
        <f t="array" aca="1" ref="Q68" ca="1">INDIRECT("Data!K" &amp; 63)</f>
        <v>0</v>
      </c>
      <c r="R68" cm="1">
        <f t="array" aca="1" ref="R68" ca="1">INDIRECT("Data!L" &amp; 63)</f>
        <v>0</v>
      </c>
      <c r="S68" cm="1">
        <f t="array" aca="1" ref="S68" ca="1">INDIRECT("Data!M" &amp; 63)</f>
        <v>0</v>
      </c>
      <c r="T68" cm="1">
        <f t="array" aca="1" ref="T68" ca="1">INDIRECT("Data!N" &amp; 63)</f>
        <v>0</v>
      </c>
      <c r="U68" cm="1">
        <f t="array" aca="1" ref="U68" ca="1">INDIRECT("Data!O" &amp; 63)</f>
        <v>0</v>
      </c>
      <c r="V68" cm="1">
        <f t="array" aca="1" ref="V68" ca="1">INDIRECT("Data!P" &amp; 63)</f>
        <v>0</v>
      </c>
    </row>
    <row r="69" spans="7:22" x14ac:dyDescent="0.25">
      <c r="G69" cm="1">
        <f t="array" aca="1" ref="G69" ca="1">INDIRECT("Data!A" &amp; 64)</f>
        <v>0</v>
      </c>
      <c r="H69" s="21" cm="1">
        <f t="array" aca="1" ref="H69" ca="1">INDIRECT("Data!B" &amp; 64)</f>
        <v>0</v>
      </c>
      <c r="I69" s="21" cm="1">
        <f t="array" aca="1" ref="I69" ca="1">INDIRECT("Data!C" &amp; 64)</f>
        <v>0</v>
      </c>
      <c r="J69" cm="1">
        <f t="array" aca="1" ref="J69" ca="1">INDIRECT("Data!D" &amp; 64)</f>
        <v>0</v>
      </c>
      <c r="K69" cm="1">
        <f t="array" aca="1" ref="K69" ca="1">INDIRECT("Data!E" &amp; 64)</f>
        <v>0</v>
      </c>
      <c r="L69" cm="1">
        <f t="array" aca="1" ref="L69" ca="1">INDIRECT("Data!F" &amp; 64)</f>
        <v>0</v>
      </c>
      <c r="M69" cm="1">
        <f t="array" aca="1" ref="M69" ca="1">INDIRECT("Data!G" &amp; 64)</f>
        <v>0</v>
      </c>
      <c r="N69" cm="1">
        <f t="array" aca="1" ref="N69" ca="1">INDIRECT("Data!H" &amp; 64)</f>
        <v>0</v>
      </c>
      <c r="O69" cm="1">
        <f t="array" aca="1" ref="O69" ca="1">INDIRECT("Data!I" &amp; 64)</f>
        <v>0</v>
      </c>
      <c r="P69" s="21" cm="1">
        <f t="array" aca="1" ref="P69" ca="1">INDIRECT("Data!J" &amp; 64)</f>
        <v>0</v>
      </c>
      <c r="Q69" cm="1">
        <f t="array" aca="1" ref="Q69" ca="1">INDIRECT("Data!K" &amp; 64)</f>
        <v>0</v>
      </c>
      <c r="R69" cm="1">
        <f t="array" aca="1" ref="R69" ca="1">INDIRECT("Data!L" &amp; 64)</f>
        <v>0</v>
      </c>
      <c r="S69" cm="1">
        <f t="array" aca="1" ref="S69" ca="1">INDIRECT("Data!M" &amp; 64)</f>
        <v>0</v>
      </c>
      <c r="T69" cm="1">
        <f t="array" aca="1" ref="T69" ca="1">INDIRECT("Data!N" &amp; 64)</f>
        <v>0</v>
      </c>
      <c r="U69" cm="1">
        <f t="array" aca="1" ref="U69" ca="1">INDIRECT("Data!O" &amp; 64)</f>
        <v>0</v>
      </c>
      <c r="V69" cm="1">
        <f t="array" aca="1" ref="V69" ca="1">INDIRECT("Data!P" &amp; 64)</f>
        <v>0</v>
      </c>
    </row>
    <row r="70" spans="7:22" x14ac:dyDescent="0.25">
      <c r="G70" cm="1">
        <f t="array" aca="1" ref="G70" ca="1">INDIRECT("Data!A" &amp; 65)</f>
        <v>0</v>
      </c>
      <c r="H70" s="21" cm="1">
        <f t="array" aca="1" ref="H70" ca="1">INDIRECT("Data!B" &amp; 65)</f>
        <v>0</v>
      </c>
      <c r="I70" s="21" cm="1">
        <f t="array" aca="1" ref="I70" ca="1">INDIRECT("Data!C" &amp; 65)</f>
        <v>0</v>
      </c>
      <c r="J70" cm="1">
        <f t="array" aca="1" ref="J70" ca="1">INDIRECT("Data!D" &amp; 65)</f>
        <v>0</v>
      </c>
      <c r="K70" cm="1">
        <f t="array" aca="1" ref="K70" ca="1">INDIRECT("Data!E" &amp; 65)</f>
        <v>0</v>
      </c>
      <c r="L70" cm="1">
        <f t="array" aca="1" ref="L70" ca="1">INDIRECT("Data!F" &amp; 65)</f>
        <v>0</v>
      </c>
      <c r="M70" cm="1">
        <f t="array" aca="1" ref="M70" ca="1">INDIRECT("Data!G" &amp; 65)</f>
        <v>0</v>
      </c>
      <c r="N70" cm="1">
        <f t="array" aca="1" ref="N70" ca="1">INDIRECT("Data!H" &amp; 65)</f>
        <v>0</v>
      </c>
      <c r="O70" cm="1">
        <f t="array" aca="1" ref="O70" ca="1">INDIRECT("Data!I" &amp; 65)</f>
        <v>0</v>
      </c>
      <c r="P70" s="21" cm="1">
        <f t="array" aca="1" ref="P70" ca="1">INDIRECT("Data!J" &amp; 65)</f>
        <v>0</v>
      </c>
      <c r="Q70" cm="1">
        <f t="array" aca="1" ref="Q70" ca="1">INDIRECT("Data!K" &amp; 65)</f>
        <v>0</v>
      </c>
      <c r="R70" cm="1">
        <f t="array" aca="1" ref="R70" ca="1">INDIRECT("Data!L" &amp; 65)</f>
        <v>0</v>
      </c>
      <c r="S70" cm="1">
        <f t="array" aca="1" ref="S70" ca="1">INDIRECT("Data!M" &amp; 65)</f>
        <v>0</v>
      </c>
      <c r="T70" cm="1">
        <f t="array" aca="1" ref="T70" ca="1">INDIRECT("Data!N" &amp; 65)</f>
        <v>0</v>
      </c>
      <c r="U70" cm="1">
        <f t="array" aca="1" ref="U70" ca="1">INDIRECT("Data!O" &amp; 65)</f>
        <v>0</v>
      </c>
      <c r="V70" cm="1">
        <f t="array" aca="1" ref="V70" ca="1">INDIRECT("Data!P" &amp; 65)</f>
        <v>0</v>
      </c>
    </row>
    <row r="71" spans="7:22" x14ac:dyDescent="0.25">
      <c r="G71" cm="1">
        <f t="array" aca="1" ref="G71" ca="1">INDIRECT("Data!A" &amp; 66)</f>
        <v>0</v>
      </c>
      <c r="H71" s="21" cm="1">
        <f t="array" aca="1" ref="H71" ca="1">INDIRECT("Data!B" &amp; 66)</f>
        <v>0</v>
      </c>
      <c r="I71" s="21" cm="1">
        <f t="array" aca="1" ref="I71" ca="1">INDIRECT("Data!C" &amp; 66)</f>
        <v>0</v>
      </c>
      <c r="J71" cm="1">
        <f t="array" aca="1" ref="J71" ca="1">INDIRECT("Data!D" &amp; 66)</f>
        <v>0</v>
      </c>
      <c r="K71" cm="1">
        <f t="array" aca="1" ref="K71" ca="1">INDIRECT("Data!E" &amp; 66)</f>
        <v>0</v>
      </c>
      <c r="L71" cm="1">
        <f t="array" aca="1" ref="L71" ca="1">INDIRECT("Data!F" &amp; 66)</f>
        <v>0</v>
      </c>
      <c r="M71" cm="1">
        <f t="array" aca="1" ref="M71" ca="1">INDIRECT("Data!G" &amp; 66)</f>
        <v>0</v>
      </c>
      <c r="N71" cm="1">
        <f t="array" aca="1" ref="N71" ca="1">INDIRECT("Data!H" &amp; 66)</f>
        <v>0</v>
      </c>
      <c r="O71" cm="1">
        <f t="array" aca="1" ref="O71" ca="1">INDIRECT("Data!I" &amp; 66)</f>
        <v>0</v>
      </c>
      <c r="P71" s="21" cm="1">
        <f t="array" aca="1" ref="P71" ca="1">INDIRECT("Data!J" &amp; 66)</f>
        <v>0</v>
      </c>
      <c r="Q71" cm="1">
        <f t="array" aca="1" ref="Q71" ca="1">INDIRECT("Data!K" &amp; 66)</f>
        <v>0</v>
      </c>
      <c r="R71" cm="1">
        <f t="array" aca="1" ref="R71" ca="1">INDIRECT("Data!L" &amp; 66)</f>
        <v>0</v>
      </c>
      <c r="S71" cm="1">
        <f t="array" aca="1" ref="S71" ca="1">INDIRECT("Data!M" &amp; 66)</f>
        <v>0</v>
      </c>
      <c r="T71" cm="1">
        <f t="array" aca="1" ref="T71" ca="1">INDIRECT("Data!N" &amp; 66)</f>
        <v>0</v>
      </c>
      <c r="U71" cm="1">
        <f t="array" aca="1" ref="U71" ca="1">INDIRECT("Data!O" &amp; 66)</f>
        <v>0</v>
      </c>
      <c r="V71" cm="1">
        <f t="array" aca="1" ref="V71" ca="1">INDIRECT("Data!P" &amp; 66)</f>
        <v>0</v>
      </c>
    </row>
    <row r="72" spans="7:22" x14ac:dyDescent="0.25">
      <c r="G72" cm="1">
        <f t="array" aca="1" ref="G72" ca="1">INDIRECT("Data!A" &amp; 67)</f>
        <v>0</v>
      </c>
      <c r="H72" s="21" cm="1">
        <f t="array" aca="1" ref="H72" ca="1">INDIRECT("Data!B" &amp; 67)</f>
        <v>0</v>
      </c>
      <c r="I72" s="21" cm="1">
        <f t="array" aca="1" ref="I72" ca="1">INDIRECT("Data!C" &amp; 67)</f>
        <v>0</v>
      </c>
      <c r="J72" cm="1">
        <f t="array" aca="1" ref="J72" ca="1">INDIRECT("Data!D" &amp; 67)</f>
        <v>0</v>
      </c>
      <c r="K72" cm="1">
        <f t="array" aca="1" ref="K72" ca="1">INDIRECT("Data!E" &amp; 67)</f>
        <v>0</v>
      </c>
      <c r="L72" cm="1">
        <f t="array" aca="1" ref="L72" ca="1">INDIRECT("Data!F" &amp; 67)</f>
        <v>0</v>
      </c>
      <c r="M72" cm="1">
        <f t="array" aca="1" ref="M72" ca="1">INDIRECT("Data!G" &amp; 67)</f>
        <v>0</v>
      </c>
      <c r="N72" cm="1">
        <f t="array" aca="1" ref="N72" ca="1">INDIRECT("Data!H" &amp; 67)</f>
        <v>0</v>
      </c>
      <c r="O72" cm="1">
        <f t="array" aca="1" ref="O72" ca="1">INDIRECT("Data!I" &amp; 67)</f>
        <v>0</v>
      </c>
      <c r="P72" s="21" cm="1">
        <f t="array" aca="1" ref="P72" ca="1">INDIRECT("Data!J" &amp; 67)</f>
        <v>0</v>
      </c>
      <c r="Q72" cm="1">
        <f t="array" aca="1" ref="Q72" ca="1">INDIRECT("Data!K" &amp; 67)</f>
        <v>0</v>
      </c>
      <c r="R72" cm="1">
        <f t="array" aca="1" ref="R72" ca="1">INDIRECT("Data!L" &amp; 67)</f>
        <v>0</v>
      </c>
      <c r="S72" cm="1">
        <f t="array" aca="1" ref="S72" ca="1">INDIRECT("Data!M" &amp; 67)</f>
        <v>0</v>
      </c>
      <c r="T72" cm="1">
        <f t="array" aca="1" ref="T72" ca="1">INDIRECT("Data!N" &amp; 67)</f>
        <v>0</v>
      </c>
      <c r="U72" cm="1">
        <f t="array" aca="1" ref="U72" ca="1">INDIRECT("Data!O" &amp; 67)</f>
        <v>0</v>
      </c>
      <c r="V72" cm="1">
        <f t="array" aca="1" ref="V72" ca="1">INDIRECT("Data!P" &amp; 67)</f>
        <v>0</v>
      </c>
    </row>
    <row r="73" spans="7:22" x14ac:dyDescent="0.25">
      <c r="G73" cm="1">
        <f t="array" aca="1" ref="G73" ca="1">INDIRECT("Data!A" &amp; 68)</f>
        <v>0</v>
      </c>
      <c r="H73" s="21" cm="1">
        <f t="array" aca="1" ref="H73" ca="1">INDIRECT("Data!B" &amp; 68)</f>
        <v>0</v>
      </c>
      <c r="I73" s="21" cm="1">
        <f t="array" aca="1" ref="I73" ca="1">INDIRECT("Data!C" &amp; 68)</f>
        <v>0</v>
      </c>
      <c r="J73" cm="1">
        <f t="array" aca="1" ref="J73" ca="1">INDIRECT("Data!D" &amp; 68)</f>
        <v>0</v>
      </c>
      <c r="K73" cm="1">
        <f t="array" aca="1" ref="K73" ca="1">INDIRECT("Data!E" &amp; 68)</f>
        <v>0</v>
      </c>
      <c r="L73" cm="1">
        <f t="array" aca="1" ref="L73" ca="1">INDIRECT("Data!F" &amp; 68)</f>
        <v>0</v>
      </c>
      <c r="M73" cm="1">
        <f t="array" aca="1" ref="M73" ca="1">INDIRECT("Data!G" &amp; 68)</f>
        <v>0</v>
      </c>
      <c r="N73" cm="1">
        <f t="array" aca="1" ref="N73" ca="1">INDIRECT("Data!H" &amp; 68)</f>
        <v>0</v>
      </c>
      <c r="O73" cm="1">
        <f t="array" aca="1" ref="O73" ca="1">INDIRECT("Data!I" &amp; 68)</f>
        <v>0</v>
      </c>
      <c r="P73" s="21" cm="1">
        <f t="array" aca="1" ref="P73" ca="1">INDIRECT("Data!J" &amp; 68)</f>
        <v>0</v>
      </c>
      <c r="Q73" cm="1">
        <f t="array" aca="1" ref="Q73" ca="1">INDIRECT("Data!K" &amp; 68)</f>
        <v>0</v>
      </c>
      <c r="R73" cm="1">
        <f t="array" aca="1" ref="R73" ca="1">INDIRECT("Data!L" &amp; 68)</f>
        <v>0</v>
      </c>
      <c r="S73" cm="1">
        <f t="array" aca="1" ref="S73" ca="1">INDIRECT("Data!M" &amp; 68)</f>
        <v>0</v>
      </c>
      <c r="T73" cm="1">
        <f t="array" aca="1" ref="T73" ca="1">INDIRECT("Data!N" &amp; 68)</f>
        <v>0</v>
      </c>
      <c r="U73" cm="1">
        <f t="array" aca="1" ref="U73" ca="1">INDIRECT("Data!O" &amp; 68)</f>
        <v>0</v>
      </c>
      <c r="V73" cm="1">
        <f t="array" aca="1" ref="V73" ca="1">INDIRECT("Data!P" &amp; 68)</f>
        <v>0</v>
      </c>
    </row>
    <row r="74" spans="7:22" x14ac:dyDescent="0.25">
      <c r="G74" cm="1">
        <f t="array" aca="1" ref="G74" ca="1">INDIRECT("Data!A" &amp; 69)</f>
        <v>0</v>
      </c>
      <c r="H74" s="21" cm="1">
        <f t="array" aca="1" ref="H74" ca="1">INDIRECT("Data!B" &amp; 69)</f>
        <v>0</v>
      </c>
      <c r="I74" s="21" cm="1">
        <f t="array" aca="1" ref="I74" ca="1">INDIRECT("Data!C" &amp; 69)</f>
        <v>0</v>
      </c>
      <c r="J74" cm="1">
        <f t="array" aca="1" ref="J74" ca="1">INDIRECT("Data!D" &amp; 69)</f>
        <v>0</v>
      </c>
      <c r="K74" cm="1">
        <f t="array" aca="1" ref="K74" ca="1">INDIRECT("Data!E" &amp; 69)</f>
        <v>0</v>
      </c>
      <c r="L74" cm="1">
        <f t="array" aca="1" ref="L74" ca="1">INDIRECT("Data!F" &amp; 69)</f>
        <v>0</v>
      </c>
      <c r="M74" cm="1">
        <f t="array" aca="1" ref="M74" ca="1">INDIRECT("Data!G" &amp; 69)</f>
        <v>0</v>
      </c>
      <c r="N74" cm="1">
        <f t="array" aca="1" ref="N74" ca="1">INDIRECT("Data!H" &amp; 69)</f>
        <v>0</v>
      </c>
      <c r="O74" cm="1">
        <f t="array" aca="1" ref="O74" ca="1">INDIRECT("Data!I" &amp; 69)</f>
        <v>0</v>
      </c>
      <c r="P74" s="21" cm="1">
        <f t="array" aca="1" ref="P74" ca="1">INDIRECT("Data!J" &amp; 69)</f>
        <v>0</v>
      </c>
      <c r="Q74" cm="1">
        <f t="array" aca="1" ref="Q74" ca="1">INDIRECT("Data!K" &amp; 69)</f>
        <v>0</v>
      </c>
      <c r="R74" cm="1">
        <f t="array" aca="1" ref="R74" ca="1">INDIRECT("Data!L" &amp; 69)</f>
        <v>0</v>
      </c>
      <c r="S74" cm="1">
        <f t="array" aca="1" ref="S74" ca="1">INDIRECT("Data!M" &amp; 69)</f>
        <v>0</v>
      </c>
      <c r="T74" cm="1">
        <f t="array" aca="1" ref="T74" ca="1">INDIRECT("Data!N" &amp; 69)</f>
        <v>0</v>
      </c>
      <c r="U74" cm="1">
        <f t="array" aca="1" ref="U74" ca="1">INDIRECT("Data!O" &amp; 69)</f>
        <v>0</v>
      </c>
      <c r="V74" cm="1">
        <f t="array" aca="1" ref="V74" ca="1">INDIRECT("Data!P" &amp; 69)</f>
        <v>0</v>
      </c>
    </row>
    <row r="75" spans="7:22" x14ac:dyDescent="0.25">
      <c r="G75" cm="1">
        <f t="array" aca="1" ref="G75" ca="1">INDIRECT("Data!A" &amp; 70)</f>
        <v>0</v>
      </c>
      <c r="H75" s="21" cm="1">
        <f t="array" aca="1" ref="H75" ca="1">INDIRECT("Data!B" &amp; 70)</f>
        <v>0</v>
      </c>
      <c r="I75" s="21" cm="1">
        <f t="array" aca="1" ref="I75" ca="1">INDIRECT("Data!C" &amp; 70)</f>
        <v>0</v>
      </c>
      <c r="J75" cm="1">
        <f t="array" aca="1" ref="J75" ca="1">INDIRECT("Data!D" &amp; 70)</f>
        <v>0</v>
      </c>
      <c r="K75" cm="1">
        <f t="array" aca="1" ref="K75" ca="1">INDIRECT("Data!E" &amp; 70)</f>
        <v>0</v>
      </c>
      <c r="L75" cm="1">
        <f t="array" aca="1" ref="L75" ca="1">INDIRECT("Data!F" &amp; 70)</f>
        <v>0</v>
      </c>
      <c r="M75" cm="1">
        <f t="array" aca="1" ref="M75" ca="1">INDIRECT("Data!G" &amp; 70)</f>
        <v>0</v>
      </c>
      <c r="N75" cm="1">
        <f t="array" aca="1" ref="N75" ca="1">INDIRECT("Data!H" &amp; 70)</f>
        <v>0</v>
      </c>
      <c r="O75" cm="1">
        <f t="array" aca="1" ref="O75" ca="1">INDIRECT("Data!I" &amp; 70)</f>
        <v>0</v>
      </c>
      <c r="P75" s="21" cm="1">
        <f t="array" aca="1" ref="P75" ca="1">INDIRECT("Data!J" &amp; 70)</f>
        <v>0</v>
      </c>
      <c r="Q75" cm="1">
        <f t="array" aca="1" ref="Q75" ca="1">INDIRECT("Data!K" &amp; 70)</f>
        <v>0</v>
      </c>
      <c r="R75" cm="1">
        <f t="array" aca="1" ref="R75" ca="1">INDIRECT("Data!L" &amp; 70)</f>
        <v>0</v>
      </c>
      <c r="S75" cm="1">
        <f t="array" aca="1" ref="S75" ca="1">INDIRECT("Data!M" &amp; 70)</f>
        <v>0</v>
      </c>
      <c r="T75" cm="1">
        <f t="array" aca="1" ref="T75" ca="1">INDIRECT("Data!N" &amp; 70)</f>
        <v>0</v>
      </c>
      <c r="U75" cm="1">
        <f t="array" aca="1" ref="U75" ca="1">INDIRECT("Data!O" &amp; 70)</f>
        <v>0</v>
      </c>
      <c r="V75" cm="1">
        <f t="array" aca="1" ref="V75" ca="1">INDIRECT("Data!P" &amp; 70)</f>
        <v>0</v>
      </c>
    </row>
    <row r="76" spans="7:22" x14ac:dyDescent="0.25">
      <c r="G76" cm="1">
        <f t="array" aca="1" ref="G76" ca="1">INDIRECT("Data!A" &amp; 71)</f>
        <v>0</v>
      </c>
      <c r="H76" s="21" cm="1">
        <f t="array" aca="1" ref="H76" ca="1">INDIRECT("Data!B" &amp; 71)</f>
        <v>0</v>
      </c>
      <c r="I76" s="21" cm="1">
        <f t="array" aca="1" ref="I76" ca="1">INDIRECT("Data!C" &amp; 71)</f>
        <v>0</v>
      </c>
      <c r="J76" cm="1">
        <f t="array" aca="1" ref="J76" ca="1">INDIRECT("Data!D" &amp; 71)</f>
        <v>0</v>
      </c>
      <c r="K76" cm="1">
        <f t="array" aca="1" ref="K76" ca="1">INDIRECT("Data!E" &amp; 71)</f>
        <v>0</v>
      </c>
      <c r="L76" cm="1">
        <f t="array" aca="1" ref="L76" ca="1">INDIRECT("Data!F" &amp; 71)</f>
        <v>0</v>
      </c>
      <c r="M76" cm="1">
        <f t="array" aca="1" ref="M76" ca="1">INDIRECT("Data!G" &amp; 71)</f>
        <v>0</v>
      </c>
      <c r="N76" cm="1">
        <f t="array" aca="1" ref="N76" ca="1">INDIRECT("Data!H" &amp; 71)</f>
        <v>0</v>
      </c>
      <c r="O76" cm="1">
        <f t="array" aca="1" ref="O76" ca="1">INDIRECT("Data!I" &amp; 71)</f>
        <v>0</v>
      </c>
      <c r="P76" s="21" cm="1">
        <f t="array" aca="1" ref="P76" ca="1">INDIRECT("Data!J" &amp; 71)</f>
        <v>0</v>
      </c>
      <c r="Q76" cm="1">
        <f t="array" aca="1" ref="Q76" ca="1">INDIRECT("Data!K" &amp; 71)</f>
        <v>0</v>
      </c>
      <c r="R76" cm="1">
        <f t="array" aca="1" ref="R76" ca="1">INDIRECT("Data!L" &amp; 71)</f>
        <v>0</v>
      </c>
      <c r="S76" cm="1">
        <f t="array" aca="1" ref="S76" ca="1">INDIRECT("Data!M" &amp; 71)</f>
        <v>0</v>
      </c>
      <c r="T76" cm="1">
        <f t="array" aca="1" ref="T76" ca="1">INDIRECT("Data!N" &amp; 71)</f>
        <v>0</v>
      </c>
      <c r="U76" cm="1">
        <f t="array" aca="1" ref="U76" ca="1">INDIRECT("Data!O" &amp; 71)</f>
        <v>0</v>
      </c>
      <c r="V76" cm="1">
        <f t="array" aca="1" ref="V76" ca="1">INDIRECT("Data!P" &amp; 71)</f>
        <v>0</v>
      </c>
    </row>
    <row r="77" spans="7:22" x14ac:dyDescent="0.25">
      <c r="G77" cm="1">
        <f t="array" aca="1" ref="G77" ca="1">INDIRECT("Data!A" &amp; 72)</f>
        <v>0</v>
      </c>
      <c r="H77" s="21" cm="1">
        <f t="array" aca="1" ref="H77" ca="1">INDIRECT("Data!B" &amp; 72)</f>
        <v>0</v>
      </c>
      <c r="I77" s="21" cm="1">
        <f t="array" aca="1" ref="I77" ca="1">INDIRECT("Data!C" &amp; 72)</f>
        <v>0</v>
      </c>
      <c r="J77" cm="1">
        <f t="array" aca="1" ref="J77" ca="1">INDIRECT("Data!D" &amp; 72)</f>
        <v>0</v>
      </c>
      <c r="K77" cm="1">
        <f t="array" aca="1" ref="K77" ca="1">INDIRECT("Data!E" &amp; 72)</f>
        <v>0</v>
      </c>
      <c r="L77" cm="1">
        <f t="array" aca="1" ref="L77" ca="1">INDIRECT("Data!F" &amp; 72)</f>
        <v>0</v>
      </c>
      <c r="M77" cm="1">
        <f t="array" aca="1" ref="M77" ca="1">INDIRECT("Data!G" &amp; 72)</f>
        <v>0</v>
      </c>
      <c r="N77" cm="1">
        <f t="array" aca="1" ref="N77" ca="1">INDIRECT("Data!H" &amp; 72)</f>
        <v>0</v>
      </c>
      <c r="O77" cm="1">
        <f t="array" aca="1" ref="O77" ca="1">INDIRECT("Data!I" &amp; 72)</f>
        <v>0</v>
      </c>
      <c r="P77" s="21" cm="1">
        <f t="array" aca="1" ref="P77" ca="1">INDIRECT("Data!J" &amp; 72)</f>
        <v>0</v>
      </c>
      <c r="Q77" cm="1">
        <f t="array" aca="1" ref="Q77" ca="1">INDIRECT("Data!K" &amp; 72)</f>
        <v>0</v>
      </c>
      <c r="R77" cm="1">
        <f t="array" aca="1" ref="R77" ca="1">INDIRECT("Data!L" &amp; 72)</f>
        <v>0</v>
      </c>
      <c r="S77" cm="1">
        <f t="array" aca="1" ref="S77" ca="1">INDIRECT("Data!M" &amp; 72)</f>
        <v>0</v>
      </c>
      <c r="T77" cm="1">
        <f t="array" aca="1" ref="T77" ca="1">INDIRECT("Data!N" &amp; 72)</f>
        <v>0</v>
      </c>
      <c r="U77" cm="1">
        <f t="array" aca="1" ref="U77" ca="1">INDIRECT("Data!O" &amp; 72)</f>
        <v>0</v>
      </c>
      <c r="V77" cm="1">
        <f t="array" aca="1" ref="V77" ca="1">INDIRECT("Data!P" &amp; 72)</f>
        <v>0</v>
      </c>
    </row>
    <row r="78" spans="7:22" x14ac:dyDescent="0.25">
      <c r="G78" cm="1">
        <f t="array" aca="1" ref="G78" ca="1">INDIRECT("Data!A" &amp; 73)</f>
        <v>0</v>
      </c>
      <c r="H78" s="21" cm="1">
        <f t="array" aca="1" ref="H78" ca="1">INDIRECT("Data!B" &amp; 73)</f>
        <v>0</v>
      </c>
      <c r="I78" s="21" cm="1">
        <f t="array" aca="1" ref="I78" ca="1">INDIRECT("Data!C" &amp; 73)</f>
        <v>0</v>
      </c>
      <c r="J78" cm="1">
        <f t="array" aca="1" ref="J78" ca="1">INDIRECT("Data!D" &amp; 73)</f>
        <v>0</v>
      </c>
      <c r="K78" cm="1">
        <f t="array" aca="1" ref="K78" ca="1">INDIRECT("Data!E" &amp; 73)</f>
        <v>0</v>
      </c>
      <c r="L78" cm="1">
        <f t="array" aca="1" ref="L78" ca="1">INDIRECT("Data!F" &amp; 73)</f>
        <v>0</v>
      </c>
      <c r="M78" cm="1">
        <f t="array" aca="1" ref="M78" ca="1">INDIRECT("Data!G" &amp; 73)</f>
        <v>0</v>
      </c>
      <c r="N78" cm="1">
        <f t="array" aca="1" ref="N78" ca="1">INDIRECT("Data!H" &amp; 73)</f>
        <v>0</v>
      </c>
      <c r="O78" cm="1">
        <f t="array" aca="1" ref="O78" ca="1">INDIRECT("Data!I" &amp; 73)</f>
        <v>0</v>
      </c>
      <c r="P78" s="21" cm="1">
        <f t="array" aca="1" ref="P78" ca="1">INDIRECT("Data!J" &amp; 73)</f>
        <v>0</v>
      </c>
      <c r="Q78" cm="1">
        <f t="array" aca="1" ref="Q78" ca="1">INDIRECT("Data!K" &amp; 73)</f>
        <v>0</v>
      </c>
      <c r="R78" cm="1">
        <f t="array" aca="1" ref="R78" ca="1">INDIRECT("Data!L" &amp; 73)</f>
        <v>0</v>
      </c>
      <c r="S78" cm="1">
        <f t="array" aca="1" ref="S78" ca="1">INDIRECT("Data!M" &amp; 73)</f>
        <v>0</v>
      </c>
      <c r="T78" cm="1">
        <f t="array" aca="1" ref="T78" ca="1">INDIRECT("Data!N" &amp; 73)</f>
        <v>0</v>
      </c>
      <c r="U78" cm="1">
        <f t="array" aca="1" ref="U78" ca="1">INDIRECT("Data!O" &amp; 73)</f>
        <v>0</v>
      </c>
      <c r="V78" cm="1">
        <f t="array" aca="1" ref="V78" ca="1">INDIRECT("Data!P" &amp; 73)</f>
        <v>0</v>
      </c>
    </row>
    <row r="79" spans="7:22" x14ac:dyDescent="0.25">
      <c r="G79" cm="1">
        <f t="array" aca="1" ref="G79" ca="1">INDIRECT("Data!A" &amp; 74)</f>
        <v>0</v>
      </c>
      <c r="H79" s="21" cm="1">
        <f t="array" aca="1" ref="H79" ca="1">INDIRECT("Data!B" &amp; 74)</f>
        <v>0</v>
      </c>
      <c r="I79" s="21" cm="1">
        <f t="array" aca="1" ref="I79" ca="1">INDIRECT("Data!C" &amp; 74)</f>
        <v>0</v>
      </c>
      <c r="J79" cm="1">
        <f t="array" aca="1" ref="J79" ca="1">INDIRECT("Data!D" &amp; 74)</f>
        <v>0</v>
      </c>
      <c r="K79" cm="1">
        <f t="array" aca="1" ref="K79" ca="1">INDIRECT("Data!E" &amp; 74)</f>
        <v>0</v>
      </c>
      <c r="L79" cm="1">
        <f t="array" aca="1" ref="L79" ca="1">INDIRECT("Data!F" &amp; 74)</f>
        <v>0</v>
      </c>
      <c r="M79" cm="1">
        <f t="array" aca="1" ref="M79" ca="1">INDIRECT("Data!G" &amp; 74)</f>
        <v>0</v>
      </c>
      <c r="N79" cm="1">
        <f t="array" aca="1" ref="N79" ca="1">INDIRECT("Data!H" &amp; 74)</f>
        <v>0</v>
      </c>
      <c r="O79" cm="1">
        <f t="array" aca="1" ref="O79" ca="1">INDIRECT("Data!I" &amp; 74)</f>
        <v>0</v>
      </c>
      <c r="P79" s="21" cm="1">
        <f t="array" aca="1" ref="P79" ca="1">INDIRECT("Data!J" &amp; 74)</f>
        <v>0</v>
      </c>
      <c r="Q79" cm="1">
        <f t="array" aca="1" ref="Q79" ca="1">INDIRECT("Data!K" &amp; 74)</f>
        <v>0</v>
      </c>
      <c r="R79" cm="1">
        <f t="array" aca="1" ref="R79" ca="1">INDIRECT("Data!L" &amp; 74)</f>
        <v>0</v>
      </c>
      <c r="S79" cm="1">
        <f t="array" aca="1" ref="S79" ca="1">INDIRECT("Data!M" &amp; 74)</f>
        <v>0</v>
      </c>
      <c r="T79" cm="1">
        <f t="array" aca="1" ref="T79" ca="1">INDIRECT("Data!N" &amp; 74)</f>
        <v>0</v>
      </c>
      <c r="U79" cm="1">
        <f t="array" aca="1" ref="U79" ca="1">INDIRECT("Data!O" &amp; 74)</f>
        <v>0</v>
      </c>
      <c r="V79" cm="1">
        <f t="array" aca="1" ref="V79" ca="1">INDIRECT("Data!P" &amp; 74)</f>
        <v>0</v>
      </c>
    </row>
    <row r="80" spans="7:22" x14ac:dyDescent="0.25">
      <c r="G80" cm="1">
        <f t="array" aca="1" ref="G80" ca="1">INDIRECT("Data!A" &amp; 75)</f>
        <v>0</v>
      </c>
      <c r="H80" s="21" cm="1">
        <f t="array" aca="1" ref="H80" ca="1">INDIRECT("Data!B" &amp; 75)</f>
        <v>0</v>
      </c>
      <c r="I80" s="21" cm="1">
        <f t="array" aca="1" ref="I80" ca="1">INDIRECT("Data!C" &amp; 75)</f>
        <v>0</v>
      </c>
      <c r="J80" cm="1">
        <f t="array" aca="1" ref="J80" ca="1">INDIRECT("Data!D" &amp; 75)</f>
        <v>0</v>
      </c>
      <c r="K80" cm="1">
        <f t="array" aca="1" ref="K80" ca="1">INDIRECT("Data!E" &amp; 75)</f>
        <v>0</v>
      </c>
      <c r="L80" cm="1">
        <f t="array" aca="1" ref="L80" ca="1">INDIRECT("Data!F" &amp; 75)</f>
        <v>0</v>
      </c>
      <c r="M80" cm="1">
        <f t="array" aca="1" ref="M80" ca="1">INDIRECT("Data!G" &amp; 75)</f>
        <v>0</v>
      </c>
      <c r="N80" cm="1">
        <f t="array" aca="1" ref="N80" ca="1">INDIRECT("Data!H" &amp; 75)</f>
        <v>0</v>
      </c>
      <c r="O80" cm="1">
        <f t="array" aca="1" ref="O80" ca="1">INDIRECT("Data!I" &amp; 75)</f>
        <v>0</v>
      </c>
      <c r="P80" s="21" cm="1">
        <f t="array" aca="1" ref="P80" ca="1">INDIRECT("Data!J" &amp; 75)</f>
        <v>0</v>
      </c>
      <c r="Q80" cm="1">
        <f t="array" aca="1" ref="Q80" ca="1">INDIRECT("Data!K" &amp; 75)</f>
        <v>0</v>
      </c>
      <c r="R80" cm="1">
        <f t="array" aca="1" ref="R80" ca="1">INDIRECT("Data!L" &amp; 75)</f>
        <v>0</v>
      </c>
      <c r="S80" cm="1">
        <f t="array" aca="1" ref="S80" ca="1">INDIRECT("Data!M" &amp; 75)</f>
        <v>0</v>
      </c>
      <c r="T80" cm="1">
        <f t="array" aca="1" ref="T80" ca="1">INDIRECT("Data!N" &amp; 75)</f>
        <v>0</v>
      </c>
      <c r="U80" cm="1">
        <f t="array" aca="1" ref="U80" ca="1">INDIRECT("Data!O" &amp; 75)</f>
        <v>0</v>
      </c>
      <c r="V80" cm="1">
        <f t="array" aca="1" ref="V80" ca="1">INDIRECT("Data!P" &amp; 75)</f>
        <v>0</v>
      </c>
    </row>
    <row r="81" spans="7:22" x14ac:dyDescent="0.25">
      <c r="G81" cm="1">
        <f t="array" aca="1" ref="G81" ca="1">INDIRECT("Data!A" &amp; 76)</f>
        <v>0</v>
      </c>
      <c r="H81" s="21" cm="1">
        <f t="array" aca="1" ref="H81" ca="1">INDIRECT("Data!B" &amp; 76)</f>
        <v>0</v>
      </c>
      <c r="I81" s="21" cm="1">
        <f t="array" aca="1" ref="I81" ca="1">INDIRECT("Data!C" &amp; 76)</f>
        <v>0</v>
      </c>
      <c r="J81" cm="1">
        <f t="array" aca="1" ref="J81" ca="1">INDIRECT("Data!D" &amp; 76)</f>
        <v>0</v>
      </c>
      <c r="K81" cm="1">
        <f t="array" aca="1" ref="K81" ca="1">INDIRECT("Data!E" &amp; 76)</f>
        <v>0</v>
      </c>
      <c r="L81" cm="1">
        <f t="array" aca="1" ref="L81" ca="1">INDIRECT("Data!F" &amp; 76)</f>
        <v>0</v>
      </c>
      <c r="M81" cm="1">
        <f t="array" aca="1" ref="M81" ca="1">INDIRECT("Data!G" &amp; 76)</f>
        <v>0</v>
      </c>
      <c r="N81" cm="1">
        <f t="array" aca="1" ref="N81" ca="1">INDIRECT("Data!H" &amp; 76)</f>
        <v>0</v>
      </c>
      <c r="O81" cm="1">
        <f t="array" aca="1" ref="O81" ca="1">INDIRECT("Data!I" &amp; 76)</f>
        <v>0</v>
      </c>
      <c r="P81" s="21" cm="1">
        <f t="array" aca="1" ref="P81" ca="1">INDIRECT("Data!J" &amp; 76)</f>
        <v>0</v>
      </c>
      <c r="Q81" cm="1">
        <f t="array" aca="1" ref="Q81" ca="1">INDIRECT("Data!K" &amp; 76)</f>
        <v>0</v>
      </c>
      <c r="R81" cm="1">
        <f t="array" aca="1" ref="R81" ca="1">INDIRECT("Data!L" &amp; 76)</f>
        <v>0</v>
      </c>
      <c r="S81" cm="1">
        <f t="array" aca="1" ref="S81" ca="1">INDIRECT("Data!M" &amp; 76)</f>
        <v>0</v>
      </c>
      <c r="T81" cm="1">
        <f t="array" aca="1" ref="T81" ca="1">INDIRECT("Data!N" &amp; 76)</f>
        <v>0</v>
      </c>
      <c r="U81" cm="1">
        <f t="array" aca="1" ref="U81" ca="1">INDIRECT("Data!O" &amp; 76)</f>
        <v>0</v>
      </c>
      <c r="V81" cm="1">
        <f t="array" aca="1" ref="V81" ca="1">INDIRECT("Data!P" &amp; 76)</f>
        <v>0</v>
      </c>
    </row>
    <row r="82" spans="7:22" x14ac:dyDescent="0.25">
      <c r="G82" cm="1">
        <f t="array" aca="1" ref="G82" ca="1">INDIRECT("Data!A" &amp; 77)</f>
        <v>0</v>
      </c>
      <c r="H82" s="21" cm="1">
        <f t="array" aca="1" ref="H82" ca="1">INDIRECT("Data!B" &amp; 77)</f>
        <v>0</v>
      </c>
      <c r="I82" s="21" cm="1">
        <f t="array" aca="1" ref="I82" ca="1">INDIRECT("Data!C" &amp; 77)</f>
        <v>0</v>
      </c>
      <c r="J82" cm="1">
        <f t="array" aca="1" ref="J82" ca="1">INDIRECT("Data!D" &amp; 77)</f>
        <v>0</v>
      </c>
      <c r="K82" cm="1">
        <f t="array" aca="1" ref="K82" ca="1">INDIRECT("Data!E" &amp; 77)</f>
        <v>0</v>
      </c>
      <c r="L82" cm="1">
        <f t="array" aca="1" ref="L82" ca="1">INDIRECT("Data!F" &amp; 77)</f>
        <v>0</v>
      </c>
      <c r="M82" cm="1">
        <f t="array" aca="1" ref="M82" ca="1">INDIRECT("Data!G" &amp; 77)</f>
        <v>0</v>
      </c>
      <c r="N82" cm="1">
        <f t="array" aca="1" ref="N82" ca="1">INDIRECT("Data!H" &amp; 77)</f>
        <v>0</v>
      </c>
      <c r="O82" cm="1">
        <f t="array" aca="1" ref="O82" ca="1">INDIRECT("Data!I" &amp; 77)</f>
        <v>0</v>
      </c>
      <c r="P82" s="21" cm="1">
        <f t="array" aca="1" ref="P82" ca="1">INDIRECT("Data!J" &amp; 77)</f>
        <v>0</v>
      </c>
      <c r="Q82" cm="1">
        <f t="array" aca="1" ref="Q82" ca="1">INDIRECT("Data!K" &amp; 77)</f>
        <v>0</v>
      </c>
      <c r="R82" cm="1">
        <f t="array" aca="1" ref="R82" ca="1">INDIRECT("Data!L" &amp; 77)</f>
        <v>0</v>
      </c>
      <c r="S82" cm="1">
        <f t="array" aca="1" ref="S82" ca="1">INDIRECT("Data!M" &amp; 77)</f>
        <v>0</v>
      </c>
      <c r="T82" cm="1">
        <f t="array" aca="1" ref="T82" ca="1">INDIRECT("Data!N" &amp; 77)</f>
        <v>0</v>
      </c>
      <c r="U82" cm="1">
        <f t="array" aca="1" ref="U82" ca="1">INDIRECT("Data!O" &amp; 77)</f>
        <v>0</v>
      </c>
      <c r="V82" cm="1">
        <f t="array" aca="1" ref="V82" ca="1">INDIRECT("Data!P" &amp; 77)</f>
        <v>0</v>
      </c>
    </row>
    <row r="83" spans="7:22" x14ac:dyDescent="0.25">
      <c r="G83" cm="1">
        <f t="array" aca="1" ref="G83" ca="1">INDIRECT("Data!A" &amp; 78)</f>
        <v>0</v>
      </c>
      <c r="H83" s="21" cm="1">
        <f t="array" aca="1" ref="H83" ca="1">INDIRECT("Data!B" &amp; 78)</f>
        <v>0</v>
      </c>
      <c r="I83" s="21" cm="1">
        <f t="array" aca="1" ref="I83" ca="1">INDIRECT("Data!C" &amp; 78)</f>
        <v>0</v>
      </c>
      <c r="J83" cm="1">
        <f t="array" aca="1" ref="J83" ca="1">INDIRECT("Data!D" &amp; 78)</f>
        <v>0</v>
      </c>
      <c r="K83" cm="1">
        <f t="array" aca="1" ref="K83" ca="1">INDIRECT("Data!E" &amp; 78)</f>
        <v>0</v>
      </c>
      <c r="L83" cm="1">
        <f t="array" aca="1" ref="L83" ca="1">INDIRECT("Data!F" &amp; 78)</f>
        <v>0</v>
      </c>
      <c r="M83" cm="1">
        <f t="array" aca="1" ref="M83" ca="1">INDIRECT("Data!G" &amp; 78)</f>
        <v>0</v>
      </c>
      <c r="N83" cm="1">
        <f t="array" aca="1" ref="N83" ca="1">INDIRECT("Data!H" &amp; 78)</f>
        <v>0</v>
      </c>
      <c r="O83" cm="1">
        <f t="array" aca="1" ref="O83" ca="1">INDIRECT("Data!I" &amp; 78)</f>
        <v>0</v>
      </c>
      <c r="P83" s="21" cm="1">
        <f t="array" aca="1" ref="P83" ca="1">INDIRECT("Data!J" &amp; 78)</f>
        <v>0</v>
      </c>
      <c r="Q83" cm="1">
        <f t="array" aca="1" ref="Q83" ca="1">INDIRECT("Data!K" &amp; 78)</f>
        <v>0</v>
      </c>
      <c r="R83" cm="1">
        <f t="array" aca="1" ref="R83" ca="1">INDIRECT("Data!L" &amp; 78)</f>
        <v>0</v>
      </c>
      <c r="S83" cm="1">
        <f t="array" aca="1" ref="S83" ca="1">INDIRECT("Data!M" &amp; 78)</f>
        <v>0</v>
      </c>
      <c r="T83" cm="1">
        <f t="array" aca="1" ref="T83" ca="1">INDIRECT("Data!N" &amp; 78)</f>
        <v>0</v>
      </c>
      <c r="U83" cm="1">
        <f t="array" aca="1" ref="U83" ca="1">INDIRECT("Data!O" &amp; 78)</f>
        <v>0</v>
      </c>
      <c r="V83" cm="1">
        <f t="array" aca="1" ref="V83" ca="1">INDIRECT("Data!P" &amp; 78)</f>
        <v>0</v>
      </c>
    </row>
    <row r="84" spans="7:22" x14ac:dyDescent="0.25">
      <c r="G84" cm="1">
        <f t="array" aca="1" ref="G84" ca="1">INDIRECT("Data!A" &amp; 79)</f>
        <v>0</v>
      </c>
      <c r="H84" s="21" cm="1">
        <f t="array" aca="1" ref="H84" ca="1">INDIRECT("Data!B" &amp; 79)</f>
        <v>0</v>
      </c>
      <c r="I84" s="21" cm="1">
        <f t="array" aca="1" ref="I84" ca="1">INDIRECT("Data!C" &amp; 79)</f>
        <v>0</v>
      </c>
      <c r="J84" cm="1">
        <f t="array" aca="1" ref="J84" ca="1">INDIRECT("Data!D" &amp; 79)</f>
        <v>0</v>
      </c>
      <c r="K84" cm="1">
        <f t="array" aca="1" ref="K84" ca="1">INDIRECT("Data!E" &amp; 79)</f>
        <v>0</v>
      </c>
      <c r="L84" cm="1">
        <f t="array" aca="1" ref="L84" ca="1">INDIRECT("Data!F" &amp; 79)</f>
        <v>0</v>
      </c>
      <c r="M84" cm="1">
        <f t="array" aca="1" ref="M84" ca="1">INDIRECT("Data!G" &amp; 79)</f>
        <v>0</v>
      </c>
      <c r="N84" cm="1">
        <f t="array" aca="1" ref="N84" ca="1">INDIRECT("Data!H" &amp; 79)</f>
        <v>0</v>
      </c>
      <c r="O84" cm="1">
        <f t="array" aca="1" ref="O84" ca="1">INDIRECT("Data!I" &amp; 79)</f>
        <v>0</v>
      </c>
      <c r="P84" s="21" cm="1">
        <f t="array" aca="1" ref="P84" ca="1">INDIRECT("Data!J" &amp; 79)</f>
        <v>0</v>
      </c>
      <c r="Q84" cm="1">
        <f t="array" aca="1" ref="Q84" ca="1">INDIRECT("Data!K" &amp; 79)</f>
        <v>0</v>
      </c>
      <c r="R84" cm="1">
        <f t="array" aca="1" ref="R84" ca="1">INDIRECT("Data!L" &amp; 79)</f>
        <v>0</v>
      </c>
      <c r="S84" cm="1">
        <f t="array" aca="1" ref="S84" ca="1">INDIRECT("Data!M" &amp; 79)</f>
        <v>0</v>
      </c>
      <c r="T84" cm="1">
        <f t="array" aca="1" ref="T84" ca="1">INDIRECT("Data!N" &amp; 79)</f>
        <v>0</v>
      </c>
      <c r="U84" cm="1">
        <f t="array" aca="1" ref="U84" ca="1">INDIRECT("Data!O" &amp; 79)</f>
        <v>0</v>
      </c>
      <c r="V84" cm="1">
        <f t="array" aca="1" ref="V84" ca="1">INDIRECT("Data!P" &amp; 79)</f>
        <v>0</v>
      </c>
    </row>
    <row r="85" spans="7:22" x14ac:dyDescent="0.25">
      <c r="G85" cm="1">
        <f t="array" aca="1" ref="G85" ca="1">INDIRECT("Data!A" &amp; 80)</f>
        <v>0</v>
      </c>
      <c r="H85" s="21" cm="1">
        <f t="array" aca="1" ref="H85" ca="1">INDIRECT("Data!B" &amp; 80)</f>
        <v>0</v>
      </c>
      <c r="I85" s="21" cm="1">
        <f t="array" aca="1" ref="I85" ca="1">INDIRECT("Data!C" &amp; 80)</f>
        <v>0</v>
      </c>
      <c r="J85" cm="1">
        <f t="array" aca="1" ref="J85" ca="1">INDIRECT("Data!D" &amp; 80)</f>
        <v>0</v>
      </c>
      <c r="K85" cm="1">
        <f t="array" aca="1" ref="K85" ca="1">INDIRECT("Data!E" &amp; 80)</f>
        <v>0</v>
      </c>
      <c r="L85" cm="1">
        <f t="array" aca="1" ref="L85" ca="1">INDIRECT("Data!F" &amp; 80)</f>
        <v>0</v>
      </c>
      <c r="M85" cm="1">
        <f t="array" aca="1" ref="M85" ca="1">INDIRECT("Data!G" &amp; 80)</f>
        <v>0</v>
      </c>
      <c r="N85" cm="1">
        <f t="array" aca="1" ref="N85" ca="1">INDIRECT("Data!H" &amp; 80)</f>
        <v>0</v>
      </c>
      <c r="O85" cm="1">
        <f t="array" aca="1" ref="O85" ca="1">INDIRECT("Data!I" &amp; 80)</f>
        <v>0</v>
      </c>
      <c r="P85" s="21" cm="1">
        <f t="array" aca="1" ref="P85" ca="1">INDIRECT("Data!J" &amp; 80)</f>
        <v>0</v>
      </c>
      <c r="Q85" cm="1">
        <f t="array" aca="1" ref="Q85" ca="1">INDIRECT("Data!K" &amp; 80)</f>
        <v>0</v>
      </c>
      <c r="R85" cm="1">
        <f t="array" aca="1" ref="R85" ca="1">INDIRECT("Data!L" &amp; 80)</f>
        <v>0</v>
      </c>
      <c r="S85" cm="1">
        <f t="array" aca="1" ref="S85" ca="1">INDIRECT("Data!M" &amp; 80)</f>
        <v>0</v>
      </c>
      <c r="T85" cm="1">
        <f t="array" aca="1" ref="T85" ca="1">INDIRECT("Data!N" &amp; 80)</f>
        <v>0</v>
      </c>
      <c r="U85" cm="1">
        <f t="array" aca="1" ref="U85" ca="1">INDIRECT("Data!O" &amp; 80)</f>
        <v>0</v>
      </c>
      <c r="V85" cm="1">
        <f t="array" aca="1" ref="V85" ca="1">INDIRECT("Data!P" &amp; 80)</f>
        <v>0</v>
      </c>
    </row>
    <row r="86" spans="7:22" x14ac:dyDescent="0.25">
      <c r="G86" cm="1">
        <f t="array" aca="1" ref="G86" ca="1">INDIRECT("Data!A" &amp; 81)</f>
        <v>0</v>
      </c>
      <c r="H86" s="21" cm="1">
        <f t="array" aca="1" ref="H86" ca="1">INDIRECT("Data!B" &amp; 81)</f>
        <v>0</v>
      </c>
      <c r="I86" s="21" cm="1">
        <f t="array" aca="1" ref="I86" ca="1">INDIRECT("Data!C" &amp; 81)</f>
        <v>0</v>
      </c>
      <c r="J86" cm="1">
        <f t="array" aca="1" ref="J86" ca="1">INDIRECT("Data!D" &amp; 81)</f>
        <v>0</v>
      </c>
      <c r="K86" cm="1">
        <f t="array" aca="1" ref="K86" ca="1">INDIRECT("Data!E" &amp; 81)</f>
        <v>0</v>
      </c>
      <c r="L86" cm="1">
        <f t="array" aca="1" ref="L86" ca="1">INDIRECT("Data!F" &amp; 81)</f>
        <v>0</v>
      </c>
      <c r="M86" cm="1">
        <f t="array" aca="1" ref="M86" ca="1">INDIRECT("Data!G" &amp; 81)</f>
        <v>0</v>
      </c>
      <c r="N86" cm="1">
        <f t="array" aca="1" ref="N86" ca="1">INDIRECT("Data!H" &amp; 81)</f>
        <v>0</v>
      </c>
      <c r="O86" cm="1">
        <f t="array" aca="1" ref="O86" ca="1">INDIRECT("Data!I" &amp; 81)</f>
        <v>0</v>
      </c>
      <c r="P86" s="21" cm="1">
        <f t="array" aca="1" ref="P86" ca="1">INDIRECT("Data!J" &amp; 81)</f>
        <v>0</v>
      </c>
      <c r="Q86" cm="1">
        <f t="array" aca="1" ref="Q86" ca="1">INDIRECT("Data!K" &amp; 81)</f>
        <v>0</v>
      </c>
      <c r="R86" cm="1">
        <f t="array" aca="1" ref="R86" ca="1">INDIRECT("Data!L" &amp; 81)</f>
        <v>0</v>
      </c>
      <c r="S86" cm="1">
        <f t="array" aca="1" ref="S86" ca="1">INDIRECT("Data!M" &amp; 81)</f>
        <v>0</v>
      </c>
      <c r="T86" cm="1">
        <f t="array" aca="1" ref="T86" ca="1">INDIRECT("Data!N" &amp; 81)</f>
        <v>0</v>
      </c>
      <c r="U86" cm="1">
        <f t="array" aca="1" ref="U86" ca="1">INDIRECT("Data!O" &amp; 81)</f>
        <v>0</v>
      </c>
      <c r="V86" cm="1">
        <f t="array" aca="1" ref="V86" ca="1">INDIRECT("Data!P" &amp; 81)</f>
        <v>0</v>
      </c>
    </row>
    <row r="87" spans="7:22" x14ac:dyDescent="0.25">
      <c r="G87" cm="1">
        <f t="array" aca="1" ref="G87" ca="1">INDIRECT("Data!A" &amp; 82)</f>
        <v>0</v>
      </c>
      <c r="H87" s="21" cm="1">
        <f t="array" aca="1" ref="H87" ca="1">INDIRECT("Data!B" &amp; 82)</f>
        <v>0</v>
      </c>
      <c r="I87" s="21" cm="1">
        <f t="array" aca="1" ref="I87" ca="1">INDIRECT("Data!C" &amp; 82)</f>
        <v>0</v>
      </c>
      <c r="J87" cm="1">
        <f t="array" aca="1" ref="J87" ca="1">INDIRECT("Data!D" &amp; 82)</f>
        <v>0</v>
      </c>
      <c r="K87" cm="1">
        <f t="array" aca="1" ref="K87" ca="1">INDIRECT("Data!E" &amp; 82)</f>
        <v>0</v>
      </c>
      <c r="L87" cm="1">
        <f t="array" aca="1" ref="L87" ca="1">INDIRECT("Data!F" &amp; 82)</f>
        <v>0</v>
      </c>
      <c r="M87" cm="1">
        <f t="array" aca="1" ref="M87" ca="1">INDIRECT("Data!G" &amp; 82)</f>
        <v>0</v>
      </c>
      <c r="N87" cm="1">
        <f t="array" aca="1" ref="N87" ca="1">INDIRECT("Data!H" &amp; 82)</f>
        <v>0</v>
      </c>
      <c r="O87" cm="1">
        <f t="array" aca="1" ref="O87" ca="1">INDIRECT("Data!I" &amp; 82)</f>
        <v>0</v>
      </c>
      <c r="P87" s="21" cm="1">
        <f t="array" aca="1" ref="P87" ca="1">INDIRECT("Data!J" &amp; 82)</f>
        <v>0</v>
      </c>
      <c r="Q87" cm="1">
        <f t="array" aca="1" ref="Q87" ca="1">INDIRECT("Data!K" &amp; 82)</f>
        <v>0</v>
      </c>
      <c r="R87" cm="1">
        <f t="array" aca="1" ref="R87" ca="1">INDIRECT("Data!L" &amp; 82)</f>
        <v>0</v>
      </c>
      <c r="S87" cm="1">
        <f t="array" aca="1" ref="S87" ca="1">INDIRECT("Data!M" &amp; 82)</f>
        <v>0</v>
      </c>
      <c r="T87" cm="1">
        <f t="array" aca="1" ref="T87" ca="1">INDIRECT("Data!N" &amp; 82)</f>
        <v>0</v>
      </c>
      <c r="U87" cm="1">
        <f t="array" aca="1" ref="U87" ca="1">INDIRECT("Data!O" &amp; 82)</f>
        <v>0</v>
      </c>
      <c r="V87" cm="1">
        <f t="array" aca="1" ref="V87" ca="1">INDIRECT("Data!P" &amp; 82)</f>
        <v>0</v>
      </c>
    </row>
    <row r="88" spans="7:22" x14ac:dyDescent="0.25">
      <c r="G88" cm="1">
        <f t="array" aca="1" ref="G88" ca="1">INDIRECT("Data!A" &amp; 83)</f>
        <v>0</v>
      </c>
      <c r="H88" s="21" cm="1">
        <f t="array" aca="1" ref="H88" ca="1">INDIRECT("Data!B" &amp; 83)</f>
        <v>0</v>
      </c>
      <c r="I88" s="21" cm="1">
        <f t="array" aca="1" ref="I88" ca="1">INDIRECT("Data!C" &amp; 83)</f>
        <v>0</v>
      </c>
      <c r="J88" cm="1">
        <f t="array" aca="1" ref="J88" ca="1">INDIRECT("Data!D" &amp; 83)</f>
        <v>0</v>
      </c>
      <c r="K88" cm="1">
        <f t="array" aca="1" ref="K88" ca="1">INDIRECT("Data!E" &amp; 83)</f>
        <v>0</v>
      </c>
      <c r="L88" cm="1">
        <f t="array" aca="1" ref="L88" ca="1">INDIRECT("Data!F" &amp; 83)</f>
        <v>0</v>
      </c>
      <c r="M88" cm="1">
        <f t="array" aca="1" ref="M88" ca="1">INDIRECT("Data!G" &amp; 83)</f>
        <v>0</v>
      </c>
      <c r="N88" cm="1">
        <f t="array" aca="1" ref="N88" ca="1">INDIRECT("Data!H" &amp; 83)</f>
        <v>0</v>
      </c>
      <c r="O88" cm="1">
        <f t="array" aca="1" ref="O88" ca="1">INDIRECT("Data!I" &amp; 83)</f>
        <v>0</v>
      </c>
      <c r="P88" s="21" cm="1">
        <f t="array" aca="1" ref="P88" ca="1">INDIRECT("Data!J" &amp; 83)</f>
        <v>0</v>
      </c>
      <c r="Q88" cm="1">
        <f t="array" aca="1" ref="Q88" ca="1">INDIRECT("Data!K" &amp; 83)</f>
        <v>0</v>
      </c>
      <c r="R88" cm="1">
        <f t="array" aca="1" ref="R88" ca="1">INDIRECT("Data!L" &amp; 83)</f>
        <v>0</v>
      </c>
      <c r="S88" cm="1">
        <f t="array" aca="1" ref="S88" ca="1">INDIRECT("Data!M" &amp; 83)</f>
        <v>0</v>
      </c>
      <c r="T88" cm="1">
        <f t="array" aca="1" ref="T88" ca="1">INDIRECT("Data!N" &amp; 83)</f>
        <v>0</v>
      </c>
      <c r="U88" cm="1">
        <f t="array" aca="1" ref="U88" ca="1">INDIRECT("Data!O" &amp; 83)</f>
        <v>0</v>
      </c>
      <c r="V88" cm="1">
        <f t="array" aca="1" ref="V88" ca="1">INDIRECT("Data!P" &amp; 83)</f>
        <v>0</v>
      </c>
    </row>
    <row r="89" spans="7:22" x14ac:dyDescent="0.25">
      <c r="G89" cm="1">
        <f t="array" aca="1" ref="G89" ca="1">INDIRECT("Data!A" &amp; 84)</f>
        <v>0</v>
      </c>
      <c r="H89" s="21" cm="1">
        <f t="array" aca="1" ref="H89" ca="1">INDIRECT("Data!B" &amp; 84)</f>
        <v>0</v>
      </c>
      <c r="I89" s="21" cm="1">
        <f t="array" aca="1" ref="I89" ca="1">INDIRECT("Data!C" &amp; 84)</f>
        <v>0</v>
      </c>
      <c r="J89" cm="1">
        <f t="array" aca="1" ref="J89" ca="1">INDIRECT("Data!D" &amp; 84)</f>
        <v>0</v>
      </c>
      <c r="K89" cm="1">
        <f t="array" aca="1" ref="K89" ca="1">INDIRECT("Data!E" &amp; 84)</f>
        <v>0</v>
      </c>
      <c r="L89" cm="1">
        <f t="array" aca="1" ref="L89" ca="1">INDIRECT("Data!F" &amp; 84)</f>
        <v>0</v>
      </c>
      <c r="M89" cm="1">
        <f t="array" aca="1" ref="M89" ca="1">INDIRECT("Data!G" &amp; 84)</f>
        <v>0</v>
      </c>
      <c r="N89" cm="1">
        <f t="array" aca="1" ref="N89" ca="1">INDIRECT("Data!H" &amp; 84)</f>
        <v>0</v>
      </c>
      <c r="O89" cm="1">
        <f t="array" aca="1" ref="O89" ca="1">INDIRECT("Data!I" &amp; 84)</f>
        <v>0</v>
      </c>
      <c r="P89" s="21" cm="1">
        <f t="array" aca="1" ref="P89" ca="1">INDIRECT("Data!J" &amp; 84)</f>
        <v>0</v>
      </c>
      <c r="Q89" cm="1">
        <f t="array" aca="1" ref="Q89" ca="1">INDIRECT("Data!K" &amp; 84)</f>
        <v>0</v>
      </c>
      <c r="R89" cm="1">
        <f t="array" aca="1" ref="R89" ca="1">INDIRECT("Data!L" &amp; 84)</f>
        <v>0</v>
      </c>
      <c r="S89" cm="1">
        <f t="array" aca="1" ref="S89" ca="1">INDIRECT("Data!M" &amp; 84)</f>
        <v>0</v>
      </c>
      <c r="T89" cm="1">
        <f t="array" aca="1" ref="T89" ca="1">INDIRECT("Data!N" &amp; 84)</f>
        <v>0</v>
      </c>
      <c r="U89" cm="1">
        <f t="array" aca="1" ref="U89" ca="1">INDIRECT("Data!O" &amp; 84)</f>
        <v>0</v>
      </c>
      <c r="V89" cm="1">
        <f t="array" aca="1" ref="V89" ca="1">INDIRECT("Data!P" &amp; 84)</f>
        <v>0</v>
      </c>
    </row>
    <row r="90" spans="7:22" x14ac:dyDescent="0.25">
      <c r="G90" cm="1">
        <f t="array" aca="1" ref="G90" ca="1">INDIRECT("Data!A" &amp; 85)</f>
        <v>0</v>
      </c>
      <c r="H90" s="21" cm="1">
        <f t="array" aca="1" ref="H90" ca="1">INDIRECT("Data!B" &amp; 85)</f>
        <v>0</v>
      </c>
      <c r="I90" s="21" cm="1">
        <f t="array" aca="1" ref="I90" ca="1">INDIRECT("Data!C" &amp; 85)</f>
        <v>0</v>
      </c>
      <c r="J90" cm="1">
        <f t="array" aca="1" ref="J90" ca="1">INDIRECT("Data!D" &amp; 85)</f>
        <v>0</v>
      </c>
      <c r="K90" cm="1">
        <f t="array" aca="1" ref="K90" ca="1">INDIRECT("Data!E" &amp; 85)</f>
        <v>0</v>
      </c>
      <c r="L90" cm="1">
        <f t="array" aca="1" ref="L90" ca="1">INDIRECT("Data!F" &amp; 85)</f>
        <v>0</v>
      </c>
      <c r="M90" cm="1">
        <f t="array" aca="1" ref="M90" ca="1">INDIRECT("Data!G" &amp; 85)</f>
        <v>0</v>
      </c>
      <c r="N90" cm="1">
        <f t="array" aca="1" ref="N90" ca="1">INDIRECT("Data!H" &amp; 85)</f>
        <v>0</v>
      </c>
      <c r="O90" cm="1">
        <f t="array" aca="1" ref="O90" ca="1">INDIRECT("Data!I" &amp; 85)</f>
        <v>0</v>
      </c>
      <c r="P90" s="21" cm="1">
        <f t="array" aca="1" ref="P90" ca="1">INDIRECT("Data!J" &amp; 85)</f>
        <v>0</v>
      </c>
      <c r="Q90" cm="1">
        <f t="array" aca="1" ref="Q90" ca="1">INDIRECT("Data!K" &amp; 85)</f>
        <v>0</v>
      </c>
      <c r="R90" cm="1">
        <f t="array" aca="1" ref="R90" ca="1">INDIRECT("Data!L" &amp; 85)</f>
        <v>0</v>
      </c>
      <c r="S90" cm="1">
        <f t="array" aca="1" ref="S90" ca="1">INDIRECT("Data!M" &amp; 85)</f>
        <v>0</v>
      </c>
      <c r="T90" cm="1">
        <f t="array" aca="1" ref="T90" ca="1">INDIRECT("Data!N" &amp; 85)</f>
        <v>0</v>
      </c>
      <c r="U90" cm="1">
        <f t="array" aca="1" ref="U90" ca="1">INDIRECT("Data!O" &amp; 85)</f>
        <v>0</v>
      </c>
      <c r="V90" cm="1">
        <f t="array" aca="1" ref="V90" ca="1">INDIRECT("Data!P" &amp; 85)</f>
        <v>0</v>
      </c>
    </row>
    <row r="91" spans="7:22" x14ac:dyDescent="0.25">
      <c r="G91" cm="1">
        <f t="array" aca="1" ref="G91" ca="1">INDIRECT("Data!A" &amp; 86)</f>
        <v>0</v>
      </c>
      <c r="H91" s="21" cm="1">
        <f t="array" aca="1" ref="H91" ca="1">INDIRECT("Data!B" &amp; 86)</f>
        <v>0</v>
      </c>
      <c r="I91" s="21" cm="1">
        <f t="array" aca="1" ref="I91" ca="1">INDIRECT("Data!C" &amp; 86)</f>
        <v>0</v>
      </c>
      <c r="J91" cm="1">
        <f t="array" aca="1" ref="J91" ca="1">INDIRECT("Data!D" &amp; 86)</f>
        <v>0</v>
      </c>
      <c r="K91" cm="1">
        <f t="array" aca="1" ref="K91" ca="1">INDIRECT("Data!E" &amp; 86)</f>
        <v>0</v>
      </c>
      <c r="L91" cm="1">
        <f t="array" aca="1" ref="L91" ca="1">INDIRECT("Data!F" &amp; 86)</f>
        <v>0</v>
      </c>
      <c r="M91" cm="1">
        <f t="array" aca="1" ref="M91" ca="1">INDIRECT("Data!G" &amp; 86)</f>
        <v>0</v>
      </c>
      <c r="N91" cm="1">
        <f t="array" aca="1" ref="N91" ca="1">INDIRECT("Data!H" &amp; 86)</f>
        <v>0</v>
      </c>
      <c r="O91" cm="1">
        <f t="array" aca="1" ref="O91" ca="1">INDIRECT("Data!I" &amp; 86)</f>
        <v>0</v>
      </c>
      <c r="P91" s="21" cm="1">
        <f t="array" aca="1" ref="P91" ca="1">INDIRECT("Data!J" &amp; 86)</f>
        <v>0</v>
      </c>
      <c r="Q91" cm="1">
        <f t="array" aca="1" ref="Q91" ca="1">INDIRECT("Data!K" &amp; 86)</f>
        <v>0</v>
      </c>
      <c r="R91" cm="1">
        <f t="array" aca="1" ref="R91" ca="1">INDIRECT("Data!L" &amp; 86)</f>
        <v>0</v>
      </c>
      <c r="S91" cm="1">
        <f t="array" aca="1" ref="S91" ca="1">INDIRECT("Data!M" &amp; 86)</f>
        <v>0</v>
      </c>
      <c r="T91" cm="1">
        <f t="array" aca="1" ref="T91" ca="1">INDIRECT("Data!N" &amp; 86)</f>
        <v>0</v>
      </c>
      <c r="U91" cm="1">
        <f t="array" aca="1" ref="U91" ca="1">INDIRECT("Data!O" &amp; 86)</f>
        <v>0</v>
      </c>
      <c r="V91" cm="1">
        <f t="array" aca="1" ref="V91" ca="1">INDIRECT("Data!P" &amp; 86)</f>
        <v>0</v>
      </c>
    </row>
    <row r="92" spans="7:22" x14ac:dyDescent="0.25">
      <c r="G92" cm="1">
        <f t="array" aca="1" ref="G92" ca="1">INDIRECT("Data!A" &amp; 87)</f>
        <v>0</v>
      </c>
      <c r="H92" s="21" cm="1">
        <f t="array" aca="1" ref="H92" ca="1">INDIRECT("Data!B" &amp; 87)</f>
        <v>0</v>
      </c>
      <c r="I92" s="21" cm="1">
        <f t="array" aca="1" ref="I92" ca="1">INDIRECT("Data!C" &amp; 87)</f>
        <v>0</v>
      </c>
      <c r="J92" cm="1">
        <f t="array" aca="1" ref="J92" ca="1">INDIRECT("Data!D" &amp; 87)</f>
        <v>0</v>
      </c>
      <c r="K92" cm="1">
        <f t="array" aca="1" ref="K92" ca="1">INDIRECT("Data!E" &amp; 87)</f>
        <v>0</v>
      </c>
      <c r="L92" cm="1">
        <f t="array" aca="1" ref="L92" ca="1">INDIRECT("Data!F" &amp; 87)</f>
        <v>0</v>
      </c>
      <c r="M92" cm="1">
        <f t="array" aca="1" ref="M92" ca="1">INDIRECT("Data!G" &amp; 87)</f>
        <v>0</v>
      </c>
      <c r="N92" cm="1">
        <f t="array" aca="1" ref="N92" ca="1">INDIRECT("Data!H" &amp; 87)</f>
        <v>0</v>
      </c>
      <c r="O92" cm="1">
        <f t="array" aca="1" ref="O92" ca="1">INDIRECT("Data!I" &amp; 87)</f>
        <v>0</v>
      </c>
      <c r="P92" s="21" cm="1">
        <f t="array" aca="1" ref="P92" ca="1">INDIRECT("Data!J" &amp; 87)</f>
        <v>0</v>
      </c>
      <c r="Q92" cm="1">
        <f t="array" aca="1" ref="Q92" ca="1">INDIRECT("Data!K" &amp; 87)</f>
        <v>0</v>
      </c>
      <c r="R92" cm="1">
        <f t="array" aca="1" ref="R92" ca="1">INDIRECT("Data!L" &amp; 87)</f>
        <v>0</v>
      </c>
      <c r="S92" cm="1">
        <f t="array" aca="1" ref="S92" ca="1">INDIRECT("Data!M" &amp; 87)</f>
        <v>0</v>
      </c>
      <c r="T92" cm="1">
        <f t="array" aca="1" ref="T92" ca="1">INDIRECT("Data!N" &amp; 87)</f>
        <v>0</v>
      </c>
      <c r="U92" cm="1">
        <f t="array" aca="1" ref="U92" ca="1">INDIRECT("Data!O" &amp; 87)</f>
        <v>0</v>
      </c>
      <c r="V92" cm="1">
        <f t="array" aca="1" ref="V92" ca="1">INDIRECT("Data!P" &amp; 87)</f>
        <v>0</v>
      </c>
    </row>
    <row r="93" spans="7:22" x14ac:dyDescent="0.25">
      <c r="G93" cm="1">
        <f t="array" aca="1" ref="G93" ca="1">INDIRECT("Data!A" &amp; 88)</f>
        <v>0</v>
      </c>
      <c r="H93" s="21" cm="1">
        <f t="array" aca="1" ref="H93" ca="1">INDIRECT("Data!B" &amp; 88)</f>
        <v>0</v>
      </c>
      <c r="I93" s="21" cm="1">
        <f t="array" aca="1" ref="I93" ca="1">INDIRECT("Data!C" &amp; 88)</f>
        <v>0</v>
      </c>
      <c r="J93" cm="1">
        <f t="array" aca="1" ref="J93" ca="1">INDIRECT("Data!D" &amp; 88)</f>
        <v>0</v>
      </c>
      <c r="K93" cm="1">
        <f t="array" aca="1" ref="K93" ca="1">INDIRECT("Data!E" &amp; 88)</f>
        <v>0</v>
      </c>
      <c r="L93" cm="1">
        <f t="array" aca="1" ref="L93" ca="1">INDIRECT("Data!F" &amp; 88)</f>
        <v>0</v>
      </c>
      <c r="M93" cm="1">
        <f t="array" aca="1" ref="M93" ca="1">INDIRECT("Data!G" &amp; 88)</f>
        <v>0</v>
      </c>
      <c r="N93" cm="1">
        <f t="array" aca="1" ref="N93" ca="1">INDIRECT("Data!H" &amp; 88)</f>
        <v>0</v>
      </c>
      <c r="O93" cm="1">
        <f t="array" aca="1" ref="O93" ca="1">INDIRECT("Data!I" &amp; 88)</f>
        <v>0</v>
      </c>
      <c r="P93" s="21" cm="1">
        <f t="array" aca="1" ref="P93" ca="1">INDIRECT("Data!J" &amp; 88)</f>
        <v>0</v>
      </c>
      <c r="Q93" cm="1">
        <f t="array" aca="1" ref="Q93" ca="1">INDIRECT("Data!K" &amp; 88)</f>
        <v>0</v>
      </c>
      <c r="R93" cm="1">
        <f t="array" aca="1" ref="R93" ca="1">INDIRECT("Data!L" &amp; 88)</f>
        <v>0</v>
      </c>
      <c r="S93" cm="1">
        <f t="array" aca="1" ref="S93" ca="1">INDIRECT("Data!M" &amp; 88)</f>
        <v>0</v>
      </c>
      <c r="T93" cm="1">
        <f t="array" aca="1" ref="T93" ca="1">INDIRECT("Data!N" &amp; 88)</f>
        <v>0</v>
      </c>
      <c r="U93" cm="1">
        <f t="array" aca="1" ref="U93" ca="1">INDIRECT("Data!O" &amp; 88)</f>
        <v>0</v>
      </c>
      <c r="V93" cm="1">
        <f t="array" aca="1" ref="V93" ca="1">INDIRECT("Data!P" &amp; 88)</f>
        <v>0</v>
      </c>
    </row>
    <row r="94" spans="7:22" x14ac:dyDescent="0.25">
      <c r="G94" cm="1">
        <f t="array" aca="1" ref="G94" ca="1">INDIRECT("Data!A" &amp; 89)</f>
        <v>0</v>
      </c>
      <c r="H94" s="21" cm="1">
        <f t="array" aca="1" ref="H94" ca="1">INDIRECT("Data!B" &amp; 89)</f>
        <v>0</v>
      </c>
      <c r="I94" s="21" cm="1">
        <f t="array" aca="1" ref="I94" ca="1">INDIRECT("Data!C" &amp; 89)</f>
        <v>0</v>
      </c>
      <c r="J94" cm="1">
        <f t="array" aca="1" ref="J94" ca="1">INDIRECT("Data!D" &amp; 89)</f>
        <v>0</v>
      </c>
      <c r="K94" cm="1">
        <f t="array" aca="1" ref="K94" ca="1">INDIRECT("Data!E" &amp; 89)</f>
        <v>0</v>
      </c>
      <c r="L94" cm="1">
        <f t="array" aca="1" ref="L94" ca="1">INDIRECT("Data!F" &amp; 89)</f>
        <v>0</v>
      </c>
      <c r="M94" cm="1">
        <f t="array" aca="1" ref="M94" ca="1">INDIRECT("Data!G" &amp; 89)</f>
        <v>0</v>
      </c>
      <c r="N94" cm="1">
        <f t="array" aca="1" ref="N94" ca="1">INDIRECT("Data!H" &amp; 89)</f>
        <v>0</v>
      </c>
      <c r="O94" cm="1">
        <f t="array" aca="1" ref="O94" ca="1">INDIRECT("Data!I" &amp; 89)</f>
        <v>0</v>
      </c>
      <c r="P94" s="21" cm="1">
        <f t="array" aca="1" ref="P94" ca="1">INDIRECT("Data!J" &amp; 89)</f>
        <v>0</v>
      </c>
      <c r="Q94" cm="1">
        <f t="array" aca="1" ref="Q94" ca="1">INDIRECT("Data!K" &amp; 89)</f>
        <v>0</v>
      </c>
      <c r="R94" cm="1">
        <f t="array" aca="1" ref="R94" ca="1">INDIRECT("Data!L" &amp; 89)</f>
        <v>0</v>
      </c>
      <c r="S94" cm="1">
        <f t="array" aca="1" ref="S94" ca="1">INDIRECT("Data!M" &amp; 89)</f>
        <v>0</v>
      </c>
      <c r="T94" cm="1">
        <f t="array" aca="1" ref="T94" ca="1">INDIRECT("Data!N" &amp; 89)</f>
        <v>0</v>
      </c>
      <c r="U94" cm="1">
        <f t="array" aca="1" ref="U94" ca="1">INDIRECT("Data!O" &amp; 89)</f>
        <v>0</v>
      </c>
      <c r="V94" cm="1">
        <f t="array" aca="1" ref="V94" ca="1">INDIRECT("Data!P" &amp; 89)</f>
        <v>0</v>
      </c>
    </row>
    <row r="95" spans="7:22" x14ac:dyDescent="0.25">
      <c r="G95" cm="1">
        <f t="array" aca="1" ref="G95" ca="1">INDIRECT("Data!A" &amp; 90)</f>
        <v>0</v>
      </c>
      <c r="H95" s="21" cm="1">
        <f t="array" aca="1" ref="H95" ca="1">INDIRECT("Data!B" &amp; 90)</f>
        <v>0</v>
      </c>
      <c r="I95" s="21" cm="1">
        <f t="array" aca="1" ref="I95" ca="1">INDIRECT("Data!C" &amp; 90)</f>
        <v>0</v>
      </c>
      <c r="J95" cm="1">
        <f t="array" aca="1" ref="J95" ca="1">INDIRECT("Data!D" &amp; 90)</f>
        <v>0</v>
      </c>
      <c r="K95" cm="1">
        <f t="array" aca="1" ref="K95" ca="1">INDIRECT("Data!E" &amp; 90)</f>
        <v>0</v>
      </c>
      <c r="L95" cm="1">
        <f t="array" aca="1" ref="L95" ca="1">INDIRECT("Data!F" &amp; 90)</f>
        <v>0</v>
      </c>
      <c r="M95" cm="1">
        <f t="array" aca="1" ref="M95" ca="1">INDIRECT("Data!G" &amp; 90)</f>
        <v>0</v>
      </c>
      <c r="N95" cm="1">
        <f t="array" aca="1" ref="N95" ca="1">INDIRECT("Data!H" &amp; 90)</f>
        <v>0</v>
      </c>
      <c r="O95" cm="1">
        <f t="array" aca="1" ref="O95" ca="1">INDIRECT("Data!I" &amp; 90)</f>
        <v>0</v>
      </c>
      <c r="P95" s="21" cm="1">
        <f t="array" aca="1" ref="P95" ca="1">INDIRECT("Data!J" &amp; 90)</f>
        <v>0</v>
      </c>
      <c r="Q95" cm="1">
        <f t="array" aca="1" ref="Q95" ca="1">INDIRECT("Data!K" &amp; 90)</f>
        <v>0</v>
      </c>
      <c r="R95" cm="1">
        <f t="array" aca="1" ref="R95" ca="1">INDIRECT("Data!L" &amp; 90)</f>
        <v>0</v>
      </c>
      <c r="S95" cm="1">
        <f t="array" aca="1" ref="S95" ca="1">INDIRECT("Data!M" &amp; 90)</f>
        <v>0</v>
      </c>
      <c r="T95" cm="1">
        <f t="array" aca="1" ref="T95" ca="1">INDIRECT("Data!N" &amp; 90)</f>
        <v>0</v>
      </c>
      <c r="U95" cm="1">
        <f t="array" aca="1" ref="U95" ca="1">INDIRECT("Data!O" &amp; 90)</f>
        <v>0</v>
      </c>
      <c r="V95" cm="1">
        <f t="array" aca="1" ref="V95" ca="1">INDIRECT("Data!P" &amp; 90)</f>
        <v>0</v>
      </c>
    </row>
    <row r="96" spans="7:22" x14ac:dyDescent="0.25">
      <c r="G96" cm="1">
        <f t="array" aca="1" ref="G96" ca="1">INDIRECT("Data!A" &amp; 91)</f>
        <v>0</v>
      </c>
      <c r="H96" s="21" cm="1">
        <f t="array" aca="1" ref="H96" ca="1">INDIRECT("Data!B" &amp; 91)</f>
        <v>0</v>
      </c>
      <c r="I96" s="21" cm="1">
        <f t="array" aca="1" ref="I96" ca="1">INDIRECT("Data!C" &amp; 91)</f>
        <v>0</v>
      </c>
      <c r="J96" cm="1">
        <f t="array" aca="1" ref="J96" ca="1">INDIRECT("Data!D" &amp; 91)</f>
        <v>0</v>
      </c>
      <c r="K96" cm="1">
        <f t="array" aca="1" ref="K96" ca="1">INDIRECT("Data!E" &amp; 91)</f>
        <v>0</v>
      </c>
      <c r="L96" cm="1">
        <f t="array" aca="1" ref="L96" ca="1">INDIRECT("Data!F" &amp; 91)</f>
        <v>0</v>
      </c>
      <c r="M96" cm="1">
        <f t="array" aca="1" ref="M96" ca="1">INDIRECT("Data!G" &amp; 91)</f>
        <v>0</v>
      </c>
      <c r="N96" cm="1">
        <f t="array" aca="1" ref="N96" ca="1">INDIRECT("Data!H" &amp; 91)</f>
        <v>0</v>
      </c>
      <c r="O96" cm="1">
        <f t="array" aca="1" ref="O96" ca="1">INDIRECT("Data!I" &amp; 91)</f>
        <v>0</v>
      </c>
      <c r="P96" s="21" cm="1">
        <f t="array" aca="1" ref="P96" ca="1">INDIRECT("Data!J" &amp; 91)</f>
        <v>0</v>
      </c>
      <c r="Q96" cm="1">
        <f t="array" aca="1" ref="Q96" ca="1">INDIRECT("Data!K" &amp; 91)</f>
        <v>0</v>
      </c>
      <c r="R96" cm="1">
        <f t="array" aca="1" ref="R96" ca="1">INDIRECT("Data!L" &amp; 91)</f>
        <v>0</v>
      </c>
      <c r="S96" cm="1">
        <f t="array" aca="1" ref="S96" ca="1">INDIRECT("Data!M" &amp; 91)</f>
        <v>0</v>
      </c>
      <c r="T96" cm="1">
        <f t="array" aca="1" ref="T96" ca="1">INDIRECT("Data!N" &amp; 91)</f>
        <v>0</v>
      </c>
      <c r="U96" cm="1">
        <f t="array" aca="1" ref="U96" ca="1">INDIRECT("Data!O" &amp; 91)</f>
        <v>0</v>
      </c>
      <c r="V96" cm="1">
        <f t="array" aca="1" ref="V96" ca="1">INDIRECT("Data!P" &amp; 91)</f>
        <v>0</v>
      </c>
    </row>
    <row r="97" spans="7:22" x14ac:dyDescent="0.25">
      <c r="G97" cm="1">
        <f t="array" aca="1" ref="G97" ca="1">INDIRECT("Data!A" &amp; 92)</f>
        <v>0</v>
      </c>
      <c r="H97" s="21" cm="1">
        <f t="array" aca="1" ref="H97" ca="1">INDIRECT("Data!B" &amp; 92)</f>
        <v>0</v>
      </c>
      <c r="I97" s="21" cm="1">
        <f t="array" aca="1" ref="I97" ca="1">INDIRECT("Data!C" &amp; 92)</f>
        <v>0</v>
      </c>
      <c r="J97" cm="1">
        <f t="array" aca="1" ref="J97" ca="1">INDIRECT("Data!D" &amp; 92)</f>
        <v>0</v>
      </c>
      <c r="K97" cm="1">
        <f t="array" aca="1" ref="K97" ca="1">INDIRECT("Data!E" &amp; 92)</f>
        <v>0</v>
      </c>
      <c r="L97" cm="1">
        <f t="array" aca="1" ref="L97" ca="1">INDIRECT("Data!F" &amp; 92)</f>
        <v>0</v>
      </c>
      <c r="M97" cm="1">
        <f t="array" aca="1" ref="M97" ca="1">INDIRECT("Data!G" &amp; 92)</f>
        <v>0</v>
      </c>
      <c r="N97" cm="1">
        <f t="array" aca="1" ref="N97" ca="1">INDIRECT("Data!H" &amp; 92)</f>
        <v>0</v>
      </c>
      <c r="O97" cm="1">
        <f t="array" aca="1" ref="O97" ca="1">INDIRECT("Data!I" &amp; 92)</f>
        <v>0</v>
      </c>
      <c r="P97" s="21" cm="1">
        <f t="array" aca="1" ref="P97" ca="1">INDIRECT("Data!J" &amp; 92)</f>
        <v>0</v>
      </c>
      <c r="Q97" cm="1">
        <f t="array" aca="1" ref="Q97" ca="1">INDIRECT("Data!K" &amp; 92)</f>
        <v>0</v>
      </c>
      <c r="R97" cm="1">
        <f t="array" aca="1" ref="R97" ca="1">INDIRECT("Data!L" &amp; 92)</f>
        <v>0</v>
      </c>
      <c r="S97" cm="1">
        <f t="array" aca="1" ref="S97" ca="1">INDIRECT("Data!M" &amp; 92)</f>
        <v>0</v>
      </c>
      <c r="T97" cm="1">
        <f t="array" aca="1" ref="T97" ca="1">INDIRECT("Data!N" &amp; 92)</f>
        <v>0</v>
      </c>
      <c r="U97" cm="1">
        <f t="array" aca="1" ref="U97" ca="1">INDIRECT("Data!O" &amp; 92)</f>
        <v>0</v>
      </c>
      <c r="V97" cm="1">
        <f t="array" aca="1" ref="V97" ca="1">INDIRECT("Data!P" &amp; 92)</f>
        <v>0</v>
      </c>
    </row>
    <row r="98" spans="7:22" x14ac:dyDescent="0.25">
      <c r="G98" cm="1">
        <f t="array" aca="1" ref="G98" ca="1">INDIRECT("Data!A" &amp; 93)</f>
        <v>0</v>
      </c>
      <c r="H98" s="21" cm="1">
        <f t="array" aca="1" ref="H98" ca="1">INDIRECT("Data!B" &amp; 93)</f>
        <v>0</v>
      </c>
      <c r="I98" s="21" cm="1">
        <f t="array" aca="1" ref="I98" ca="1">INDIRECT("Data!C" &amp; 93)</f>
        <v>0</v>
      </c>
      <c r="J98" cm="1">
        <f t="array" aca="1" ref="J98" ca="1">INDIRECT("Data!D" &amp; 93)</f>
        <v>0</v>
      </c>
      <c r="K98" cm="1">
        <f t="array" aca="1" ref="K98" ca="1">INDIRECT("Data!E" &amp; 93)</f>
        <v>0</v>
      </c>
      <c r="L98" cm="1">
        <f t="array" aca="1" ref="L98" ca="1">INDIRECT("Data!F" &amp; 93)</f>
        <v>0</v>
      </c>
      <c r="M98" cm="1">
        <f t="array" aca="1" ref="M98" ca="1">INDIRECT("Data!G" &amp; 93)</f>
        <v>0</v>
      </c>
      <c r="N98" cm="1">
        <f t="array" aca="1" ref="N98" ca="1">INDIRECT("Data!H" &amp; 93)</f>
        <v>0</v>
      </c>
      <c r="O98" cm="1">
        <f t="array" aca="1" ref="O98" ca="1">INDIRECT("Data!I" &amp; 93)</f>
        <v>0</v>
      </c>
      <c r="P98" s="21" cm="1">
        <f t="array" aca="1" ref="P98" ca="1">INDIRECT("Data!J" &amp; 93)</f>
        <v>0</v>
      </c>
      <c r="Q98" cm="1">
        <f t="array" aca="1" ref="Q98" ca="1">INDIRECT("Data!K" &amp; 93)</f>
        <v>0</v>
      </c>
      <c r="R98" cm="1">
        <f t="array" aca="1" ref="R98" ca="1">INDIRECT("Data!L" &amp; 93)</f>
        <v>0</v>
      </c>
      <c r="S98" cm="1">
        <f t="array" aca="1" ref="S98" ca="1">INDIRECT("Data!M" &amp; 93)</f>
        <v>0</v>
      </c>
      <c r="T98" cm="1">
        <f t="array" aca="1" ref="T98" ca="1">INDIRECT("Data!N" &amp; 93)</f>
        <v>0</v>
      </c>
      <c r="U98" cm="1">
        <f t="array" aca="1" ref="U98" ca="1">INDIRECT("Data!O" &amp; 93)</f>
        <v>0</v>
      </c>
      <c r="V98" cm="1">
        <f t="array" aca="1" ref="V98" ca="1">INDIRECT("Data!P" &amp; 93)</f>
        <v>0</v>
      </c>
    </row>
    <row r="99" spans="7:22" x14ac:dyDescent="0.25">
      <c r="G99" cm="1">
        <f t="array" aca="1" ref="G99" ca="1">INDIRECT("Data!A" &amp; 94)</f>
        <v>0</v>
      </c>
      <c r="H99" s="21" cm="1">
        <f t="array" aca="1" ref="H99" ca="1">INDIRECT("Data!B" &amp; 94)</f>
        <v>0</v>
      </c>
      <c r="I99" s="21" cm="1">
        <f t="array" aca="1" ref="I99" ca="1">INDIRECT("Data!C" &amp; 94)</f>
        <v>0</v>
      </c>
      <c r="J99" cm="1">
        <f t="array" aca="1" ref="J99" ca="1">INDIRECT("Data!D" &amp; 94)</f>
        <v>0</v>
      </c>
      <c r="K99" cm="1">
        <f t="array" aca="1" ref="K99" ca="1">INDIRECT("Data!E" &amp; 94)</f>
        <v>0</v>
      </c>
      <c r="L99" cm="1">
        <f t="array" aca="1" ref="L99" ca="1">INDIRECT("Data!F" &amp; 94)</f>
        <v>0</v>
      </c>
      <c r="M99" cm="1">
        <f t="array" aca="1" ref="M99" ca="1">INDIRECT("Data!G" &amp; 94)</f>
        <v>0</v>
      </c>
      <c r="N99" cm="1">
        <f t="array" aca="1" ref="N99" ca="1">INDIRECT("Data!H" &amp; 94)</f>
        <v>0</v>
      </c>
      <c r="O99" cm="1">
        <f t="array" aca="1" ref="O99" ca="1">INDIRECT("Data!I" &amp; 94)</f>
        <v>0</v>
      </c>
      <c r="P99" s="21" cm="1">
        <f t="array" aca="1" ref="P99" ca="1">INDIRECT("Data!J" &amp; 94)</f>
        <v>0</v>
      </c>
      <c r="Q99" cm="1">
        <f t="array" aca="1" ref="Q99" ca="1">INDIRECT("Data!K" &amp; 94)</f>
        <v>0</v>
      </c>
      <c r="R99" cm="1">
        <f t="array" aca="1" ref="R99" ca="1">INDIRECT("Data!L" &amp; 94)</f>
        <v>0</v>
      </c>
      <c r="S99" cm="1">
        <f t="array" aca="1" ref="S99" ca="1">INDIRECT("Data!M" &amp; 94)</f>
        <v>0</v>
      </c>
      <c r="T99" cm="1">
        <f t="array" aca="1" ref="T99" ca="1">INDIRECT("Data!N" &amp; 94)</f>
        <v>0</v>
      </c>
      <c r="U99" cm="1">
        <f t="array" aca="1" ref="U99" ca="1">INDIRECT("Data!O" &amp; 94)</f>
        <v>0</v>
      </c>
      <c r="V99" cm="1">
        <f t="array" aca="1" ref="V99" ca="1">INDIRECT("Data!P" &amp; 94)</f>
        <v>0</v>
      </c>
    </row>
    <row r="100" spans="7:22" x14ac:dyDescent="0.25">
      <c r="G100" cm="1">
        <f t="array" aca="1" ref="G100" ca="1">INDIRECT("Data!A" &amp; 95)</f>
        <v>0</v>
      </c>
      <c r="H100" s="21" cm="1">
        <f t="array" aca="1" ref="H100" ca="1">INDIRECT("Data!B" &amp; 95)</f>
        <v>0</v>
      </c>
      <c r="I100" s="21" cm="1">
        <f t="array" aca="1" ref="I100" ca="1">INDIRECT("Data!C" &amp; 95)</f>
        <v>0</v>
      </c>
      <c r="J100" cm="1">
        <f t="array" aca="1" ref="J100" ca="1">INDIRECT("Data!D" &amp; 95)</f>
        <v>0</v>
      </c>
      <c r="K100" cm="1">
        <f t="array" aca="1" ref="K100" ca="1">INDIRECT("Data!E" &amp; 95)</f>
        <v>0</v>
      </c>
      <c r="L100" cm="1">
        <f t="array" aca="1" ref="L100" ca="1">INDIRECT("Data!F" &amp; 95)</f>
        <v>0</v>
      </c>
      <c r="M100" cm="1">
        <f t="array" aca="1" ref="M100" ca="1">INDIRECT("Data!G" &amp; 95)</f>
        <v>0</v>
      </c>
      <c r="N100" cm="1">
        <f t="array" aca="1" ref="N100" ca="1">INDIRECT("Data!H" &amp; 95)</f>
        <v>0</v>
      </c>
      <c r="O100" cm="1">
        <f t="array" aca="1" ref="O100" ca="1">INDIRECT("Data!I" &amp; 95)</f>
        <v>0</v>
      </c>
      <c r="P100" s="21" cm="1">
        <f t="array" aca="1" ref="P100" ca="1">INDIRECT("Data!J" &amp; 95)</f>
        <v>0</v>
      </c>
      <c r="Q100" cm="1">
        <f t="array" aca="1" ref="Q100" ca="1">INDIRECT("Data!K" &amp; 95)</f>
        <v>0</v>
      </c>
      <c r="R100" cm="1">
        <f t="array" aca="1" ref="R100" ca="1">INDIRECT("Data!L" &amp; 95)</f>
        <v>0</v>
      </c>
      <c r="S100" cm="1">
        <f t="array" aca="1" ref="S100" ca="1">INDIRECT("Data!M" &amp; 95)</f>
        <v>0</v>
      </c>
      <c r="T100" cm="1">
        <f t="array" aca="1" ref="T100" ca="1">INDIRECT("Data!N" &amp; 95)</f>
        <v>0</v>
      </c>
      <c r="U100" cm="1">
        <f t="array" aca="1" ref="U100" ca="1">INDIRECT("Data!O" &amp; 95)</f>
        <v>0</v>
      </c>
      <c r="V100" cm="1">
        <f t="array" aca="1" ref="V100" ca="1">INDIRECT("Data!P" &amp; 95)</f>
        <v>0</v>
      </c>
    </row>
    <row r="101" spans="7:22" x14ac:dyDescent="0.25">
      <c r="G101" cm="1">
        <f t="array" aca="1" ref="G101" ca="1">INDIRECT("Data!A" &amp; 96)</f>
        <v>0</v>
      </c>
      <c r="H101" s="21" cm="1">
        <f t="array" aca="1" ref="H101" ca="1">INDIRECT("Data!B" &amp; 96)</f>
        <v>0</v>
      </c>
      <c r="I101" s="21" cm="1">
        <f t="array" aca="1" ref="I101" ca="1">INDIRECT("Data!C" &amp; 96)</f>
        <v>0</v>
      </c>
      <c r="J101" cm="1">
        <f t="array" aca="1" ref="J101" ca="1">INDIRECT("Data!D" &amp; 96)</f>
        <v>0</v>
      </c>
      <c r="K101" cm="1">
        <f t="array" aca="1" ref="K101" ca="1">INDIRECT("Data!E" &amp; 96)</f>
        <v>0</v>
      </c>
      <c r="L101" cm="1">
        <f t="array" aca="1" ref="L101" ca="1">INDIRECT("Data!F" &amp; 96)</f>
        <v>0</v>
      </c>
      <c r="M101" cm="1">
        <f t="array" aca="1" ref="M101" ca="1">INDIRECT("Data!G" &amp; 96)</f>
        <v>0</v>
      </c>
      <c r="N101" cm="1">
        <f t="array" aca="1" ref="N101" ca="1">INDIRECT("Data!H" &amp; 96)</f>
        <v>0</v>
      </c>
      <c r="O101" cm="1">
        <f t="array" aca="1" ref="O101" ca="1">INDIRECT("Data!I" &amp; 96)</f>
        <v>0</v>
      </c>
      <c r="P101" s="21" cm="1">
        <f t="array" aca="1" ref="P101" ca="1">INDIRECT("Data!J" &amp; 96)</f>
        <v>0</v>
      </c>
      <c r="Q101" cm="1">
        <f t="array" aca="1" ref="Q101" ca="1">INDIRECT("Data!K" &amp; 96)</f>
        <v>0</v>
      </c>
      <c r="R101" cm="1">
        <f t="array" aca="1" ref="R101" ca="1">INDIRECT("Data!L" &amp; 96)</f>
        <v>0</v>
      </c>
      <c r="S101" cm="1">
        <f t="array" aca="1" ref="S101" ca="1">INDIRECT("Data!M" &amp; 96)</f>
        <v>0</v>
      </c>
      <c r="T101" cm="1">
        <f t="array" aca="1" ref="T101" ca="1">INDIRECT("Data!N" &amp; 96)</f>
        <v>0</v>
      </c>
      <c r="U101" cm="1">
        <f t="array" aca="1" ref="U101" ca="1">INDIRECT("Data!O" &amp; 96)</f>
        <v>0</v>
      </c>
      <c r="V101" cm="1">
        <f t="array" aca="1" ref="V101" ca="1">INDIRECT("Data!P" &amp; 96)</f>
        <v>0</v>
      </c>
    </row>
    <row r="102" spans="7:22" x14ac:dyDescent="0.25">
      <c r="G102" cm="1">
        <f t="array" aca="1" ref="G102" ca="1">INDIRECT("Data!A" &amp; 97)</f>
        <v>0</v>
      </c>
      <c r="H102" s="21" cm="1">
        <f t="array" aca="1" ref="H102" ca="1">INDIRECT("Data!B" &amp; 97)</f>
        <v>0</v>
      </c>
      <c r="I102" s="21" cm="1">
        <f t="array" aca="1" ref="I102" ca="1">INDIRECT("Data!C" &amp; 97)</f>
        <v>0</v>
      </c>
      <c r="J102" cm="1">
        <f t="array" aca="1" ref="J102" ca="1">INDIRECT("Data!D" &amp; 97)</f>
        <v>0</v>
      </c>
      <c r="K102" cm="1">
        <f t="array" aca="1" ref="K102" ca="1">INDIRECT("Data!E" &amp; 97)</f>
        <v>0</v>
      </c>
      <c r="L102" cm="1">
        <f t="array" aca="1" ref="L102" ca="1">INDIRECT("Data!F" &amp; 97)</f>
        <v>0</v>
      </c>
      <c r="M102" cm="1">
        <f t="array" aca="1" ref="M102" ca="1">INDIRECT("Data!G" &amp; 97)</f>
        <v>0</v>
      </c>
      <c r="N102" cm="1">
        <f t="array" aca="1" ref="N102" ca="1">INDIRECT("Data!H" &amp; 97)</f>
        <v>0</v>
      </c>
      <c r="O102" cm="1">
        <f t="array" aca="1" ref="O102" ca="1">INDIRECT("Data!I" &amp; 97)</f>
        <v>0</v>
      </c>
      <c r="P102" s="21" cm="1">
        <f t="array" aca="1" ref="P102" ca="1">INDIRECT("Data!J" &amp; 97)</f>
        <v>0</v>
      </c>
      <c r="Q102" cm="1">
        <f t="array" aca="1" ref="Q102" ca="1">INDIRECT("Data!K" &amp; 97)</f>
        <v>0</v>
      </c>
      <c r="R102" cm="1">
        <f t="array" aca="1" ref="R102" ca="1">INDIRECT("Data!L" &amp; 97)</f>
        <v>0</v>
      </c>
      <c r="S102" cm="1">
        <f t="array" aca="1" ref="S102" ca="1">INDIRECT("Data!M" &amp; 97)</f>
        <v>0</v>
      </c>
      <c r="T102" cm="1">
        <f t="array" aca="1" ref="T102" ca="1">INDIRECT("Data!N" &amp; 97)</f>
        <v>0</v>
      </c>
      <c r="U102" cm="1">
        <f t="array" aca="1" ref="U102" ca="1">INDIRECT("Data!O" &amp; 97)</f>
        <v>0</v>
      </c>
      <c r="V102" cm="1">
        <f t="array" aca="1" ref="V102" ca="1">INDIRECT("Data!P" &amp; 97)</f>
        <v>0</v>
      </c>
    </row>
    <row r="103" spans="7:22" x14ac:dyDescent="0.25">
      <c r="G103" cm="1">
        <f t="array" aca="1" ref="G103" ca="1">INDIRECT("Data!A" &amp; 98)</f>
        <v>0</v>
      </c>
      <c r="H103" s="21" cm="1">
        <f t="array" aca="1" ref="H103" ca="1">INDIRECT("Data!B" &amp; 98)</f>
        <v>0</v>
      </c>
      <c r="I103" s="21" cm="1">
        <f t="array" aca="1" ref="I103" ca="1">INDIRECT("Data!C" &amp; 98)</f>
        <v>0</v>
      </c>
      <c r="J103" cm="1">
        <f t="array" aca="1" ref="J103" ca="1">INDIRECT("Data!D" &amp; 98)</f>
        <v>0</v>
      </c>
      <c r="K103" cm="1">
        <f t="array" aca="1" ref="K103" ca="1">INDIRECT("Data!E" &amp; 98)</f>
        <v>0</v>
      </c>
      <c r="L103" cm="1">
        <f t="array" aca="1" ref="L103" ca="1">INDIRECT("Data!F" &amp; 98)</f>
        <v>0</v>
      </c>
      <c r="M103" cm="1">
        <f t="array" aca="1" ref="M103" ca="1">INDIRECT("Data!G" &amp; 98)</f>
        <v>0</v>
      </c>
      <c r="N103" cm="1">
        <f t="array" aca="1" ref="N103" ca="1">INDIRECT("Data!H" &amp; 98)</f>
        <v>0</v>
      </c>
      <c r="O103" cm="1">
        <f t="array" aca="1" ref="O103" ca="1">INDIRECT("Data!I" &amp; 98)</f>
        <v>0</v>
      </c>
      <c r="P103" s="21" cm="1">
        <f t="array" aca="1" ref="P103" ca="1">INDIRECT("Data!J" &amp; 98)</f>
        <v>0</v>
      </c>
      <c r="Q103" cm="1">
        <f t="array" aca="1" ref="Q103" ca="1">INDIRECT("Data!K" &amp; 98)</f>
        <v>0</v>
      </c>
      <c r="R103" cm="1">
        <f t="array" aca="1" ref="R103" ca="1">INDIRECT("Data!L" &amp; 98)</f>
        <v>0</v>
      </c>
      <c r="S103" cm="1">
        <f t="array" aca="1" ref="S103" ca="1">INDIRECT("Data!M" &amp; 98)</f>
        <v>0</v>
      </c>
      <c r="T103" cm="1">
        <f t="array" aca="1" ref="T103" ca="1">INDIRECT("Data!N" &amp; 98)</f>
        <v>0</v>
      </c>
      <c r="U103" cm="1">
        <f t="array" aca="1" ref="U103" ca="1">INDIRECT("Data!O" &amp; 98)</f>
        <v>0</v>
      </c>
      <c r="V103" cm="1">
        <f t="array" aca="1" ref="V103" ca="1">INDIRECT("Data!P" &amp; 98)</f>
        <v>0</v>
      </c>
    </row>
    <row r="104" spans="7:22" x14ac:dyDescent="0.25">
      <c r="G104" cm="1">
        <f t="array" aca="1" ref="G104" ca="1">INDIRECT("Data!A" &amp; 99)</f>
        <v>0</v>
      </c>
      <c r="H104" s="21" cm="1">
        <f t="array" aca="1" ref="H104" ca="1">INDIRECT("Data!B" &amp; 99)</f>
        <v>0</v>
      </c>
      <c r="I104" s="21" cm="1">
        <f t="array" aca="1" ref="I104" ca="1">INDIRECT("Data!C" &amp; 99)</f>
        <v>0</v>
      </c>
      <c r="J104" cm="1">
        <f t="array" aca="1" ref="J104" ca="1">INDIRECT("Data!D" &amp; 99)</f>
        <v>0</v>
      </c>
      <c r="K104" cm="1">
        <f t="array" aca="1" ref="K104" ca="1">INDIRECT("Data!E" &amp; 99)</f>
        <v>0</v>
      </c>
      <c r="L104" cm="1">
        <f t="array" aca="1" ref="L104" ca="1">INDIRECT("Data!F" &amp; 99)</f>
        <v>0</v>
      </c>
      <c r="M104" cm="1">
        <f t="array" aca="1" ref="M104" ca="1">INDIRECT("Data!G" &amp; 99)</f>
        <v>0</v>
      </c>
      <c r="N104" cm="1">
        <f t="array" aca="1" ref="N104" ca="1">INDIRECT("Data!H" &amp; 99)</f>
        <v>0</v>
      </c>
      <c r="O104" cm="1">
        <f t="array" aca="1" ref="O104" ca="1">INDIRECT("Data!I" &amp; 99)</f>
        <v>0</v>
      </c>
      <c r="P104" s="21" cm="1">
        <f t="array" aca="1" ref="P104" ca="1">INDIRECT("Data!J" &amp; 99)</f>
        <v>0</v>
      </c>
      <c r="Q104" cm="1">
        <f t="array" aca="1" ref="Q104" ca="1">INDIRECT("Data!K" &amp; 99)</f>
        <v>0</v>
      </c>
      <c r="R104" cm="1">
        <f t="array" aca="1" ref="R104" ca="1">INDIRECT("Data!L" &amp; 99)</f>
        <v>0</v>
      </c>
      <c r="S104" cm="1">
        <f t="array" aca="1" ref="S104" ca="1">INDIRECT("Data!M" &amp; 99)</f>
        <v>0</v>
      </c>
      <c r="T104" cm="1">
        <f t="array" aca="1" ref="T104" ca="1">INDIRECT("Data!N" &amp; 99)</f>
        <v>0</v>
      </c>
      <c r="U104" cm="1">
        <f t="array" aca="1" ref="U104" ca="1">INDIRECT("Data!O" &amp; 99)</f>
        <v>0</v>
      </c>
      <c r="V104" cm="1">
        <f t="array" aca="1" ref="V104" ca="1">INDIRECT("Data!P" &amp; 99)</f>
        <v>0</v>
      </c>
    </row>
    <row r="105" spans="7:22" x14ac:dyDescent="0.25">
      <c r="G105" cm="1">
        <f t="array" aca="1" ref="G105" ca="1">INDIRECT("Data!A" &amp; 100)</f>
        <v>0</v>
      </c>
      <c r="H105" s="21" cm="1">
        <f t="array" aca="1" ref="H105" ca="1">INDIRECT("Data!B" &amp; 100)</f>
        <v>0</v>
      </c>
      <c r="I105" s="21" cm="1">
        <f t="array" aca="1" ref="I105" ca="1">INDIRECT("Data!C" &amp; 100)</f>
        <v>0</v>
      </c>
      <c r="J105" cm="1">
        <f t="array" aca="1" ref="J105" ca="1">INDIRECT("Data!D" &amp; 100)</f>
        <v>0</v>
      </c>
      <c r="K105" cm="1">
        <f t="array" aca="1" ref="K105" ca="1">INDIRECT("Data!E" &amp; 100)</f>
        <v>0</v>
      </c>
      <c r="L105" cm="1">
        <f t="array" aca="1" ref="L105" ca="1">INDIRECT("Data!F" &amp; 100)</f>
        <v>0</v>
      </c>
      <c r="M105" cm="1">
        <f t="array" aca="1" ref="M105" ca="1">INDIRECT("Data!G" &amp; 100)</f>
        <v>0</v>
      </c>
      <c r="N105" cm="1">
        <f t="array" aca="1" ref="N105" ca="1">INDIRECT("Data!H" &amp; 100)</f>
        <v>0</v>
      </c>
      <c r="O105" cm="1">
        <f t="array" aca="1" ref="O105" ca="1">INDIRECT("Data!I" &amp; 100)</f>
        <v>0</v>
      </c>
      <c r="P105" s="21" cm="1">
        <f t="array" aca="1" ref="P105" ca="1">INDIRECT("Data!J" &amp; 100)</f>
        <v>0</v>
      </c>
      <c r="Q105" cm="1">
        <f t="array" aca="1" ref="Q105" ca="1">INDIRECT("Data!K" &amp; 100)</f>
        <v>0</v>
      </c>
      <c r="R105" cm="1">
        <f t="array" aca="1" ref="R105" ca="1">INDIRECT("Data!L" &amp; 100)</f>
        <v>0</v>
      </c>
      <c r="S105" cm="1">
        <f t="array" aca="1" ref="S105" ca="1">INDIRECT("Data!M" &amp; 100)</f>
        <v>0</v>
      </c>
      <c r="T105" cm="1">
        <f t="array" aca="1" ref="T105" ca="1">INDIRECT("Data!N" &amp; 100)</f>
        <v>0</v>
      </c>
      <c r="U105" cm="1">
        <f t="array" aca="1" ref="U105" ca="1">INDIRECT("Data!O" &amp; 100)</f>
        <v>0</v>
      </c>
      <c r="V105" cm="1">
        <f t="array" aca="1" ref="V105" ca="1">INDIRECT("Data!P" &amp; 100)</f>
        <v>0</v>
      </c>
    </row>
    <row r="106" spans="7:22" x14ac:dyDescent="0.25">
      <c r="G106" cm="1">
        <f t="array" aca="1" ref="G106" ca="1">INDIRECT("Data!A" &amp; 101)</f>
        <v>0</v>
      </c>
      <c r="H106" s="21" cm="1">
        <f t="array" aca="1" ref="H106" ca="1">INDIRECT("Data!B" &amp; 101)</f>
        <v>0</v>
      </c>
      <c r="I106" s="21" cm="1">
        <f t="array" aca="1" ref="I106" ca="1">INDIRECT("Data!C" &amp; 101)</f>
        <v>0</v>
      </c>
      <c r="J106" cm="1">
        <f t="array" aca="1" ref="J106" ca="1">INDIRECT("Data!D" &amp; 101)</f>
        <v>0</v>
      </c>
      <c r="K106" cm="1">
        <f t="array" aca="1" ref="K106" ca="1">INDIRECT("Data!E" &amp; 101)</f>
        <v>0</v>
      </c>
      <c r="L106" cm="1">
        <f t="array" aca="1" ref="L106" ca="1">INDIRECT("Data!F" &amp; 101)</f>
        <v>0</v>
      </c>
      <c r="M106" cm="1">
        <f t="array" aca="1" ref="M106" ca="1">INDIRECT("Data!G" &amp; 101)</f>
        <v>0</v>
      </c>
      <c r="N106" cm="1">
        <f t="array" aca="1" ref="N106" ca="1">INDIRECT("Data!H" &amp; 101)</f>
        <v>0</v>
      </c>
      <c r="O106" cm="1">
        <f t="array" aca="1" ref="O106" ca="1">INDIRECT("Data!I" &amp; 101)</f>
        <v>0</v>
      </c>
      <c r="P106" s="21" cm="1">
        <f t="array" aca="1" ref="P106" ca="1">INDIRECT("Data!J" &amp; 101)</f>
        <v>0</v>
      </c>
      <c r="Q106" cm="1">
        <f t="array" aca="1" ref="Q106" ca="1">INDIRECT("Data!K" &amp; 101)</f>
        <v>0</v>
      </c>
      <c r="R106" cm="1">
        <f t="array" aca="1" ref="R106" ca="1">INDIRECT("Data!L" &amp; 101)</f>
        <v>0</v>
      </c>
      <c r="S106" cm="1">
        <f t="array" aca="1" ref="S106" ca="1">INDIRECT("Data!M" &amp; 101)</f>
        <v>0</v>
      </c>
      <c r="T106" cm="1">
        <f t="array" aca="1" ref="T106" ca="1">INDIRECT("Data!N" &amp; 101)</f>
        <v>0</v>
      </c>
      <c r="U106" cm="1">
        <f t="array" aca="1" ref="U106" ca="1">INDIRECT("Data!O" &amp; 101)</f>
        <v>0</v>
      </c>
      <c r="V106" cm="1">
        <f t="array" aca="1" ref="V106" ca="1">INDIRECT("Data!P" &amp; 101)</f>
        <v>0</v>
      </c>
    </row>
    <row r="107" spans="7:22" x14ac:dyDescent="0.25">
      <c r="G107" cm="1">
        <f t="array" aca="1" ref="G107" ca="1">INDIRECT("Data!A" &amp; 102)</f>
        <v>0</v>
      </c>
      <c r="H107" s="21" cm="1">
        <f t="array" aca="1" ref="H107" ca="1">INDIRECT("Data!B" &amp; 102)</f>
        <v>0</v>
      </c>
      <c r="I107" s="21" cm="1">
        <f t="array" aca="1" ref="I107" ca="1">INDIRECT("Data!C" &amp; 102)</f>
        <v>0</v>
      </c>
      <c r="J107" cm="1">
        <f t="array" aca="1" ref="J107" ca="1">INDIRECT("Data!D" &amp; 102)</f>
        <v>0</v>
      </c>
      <c r="K107" cm="1">
        <f t="array" aca="1" ref="K107" ca="1">INDIRECT("Data!E" &amp; 102)</f>
        <v>0</v>
      </c>
      <c r="L107" cm="1">
        <f t="array" aca="1" ref="L107" ca="1">INDIRECT("Data!F" &amp; 102)</f>
        <v>0</v>
      </c>
      <c r="M107" cm="1">
        <f t="array" aca="1" ref="M107" ca="1">INDIRECT("Data!G" &amp; 102)</f>
        <v>0</v>
      </c>
      <c r="N107" cm="1">
        <f t="array" aca="1" ref="N107" ca="1">INDIRECT("Data!H" &amp; 102)</f>
        <v>0</v>
      </c>
      <c r="O107" cm="1">
        <f t="array" aca="1" ref="O107" ca="1">INDIRECT("Data!I" &amp; 102)</f>
        <v>0</v>
      </c>
      <c r="P107" s="21" cm="1">
        <f t="array" aca="1" ref="P107" ca="1">INDIRECT("Data!J" &amp; 102)</f>
        <v>0</v>
      </c>
      <c r="Q107" cm="1">
        <f t="array" aca="1" ref="Q107" ca="1">INDIRECT("Data!K" &amp; 102)</f>
        <v>0</v>
      </c>
      <c r="R107" cm="1">
        <f t="array" aca="1" ref="R107" ca="1">INDIRECT("Data!L" &amp; 102)</f>
        <v>0</v>
      </c>
      <c r="S107" cm="1">
        <f t="array" aca="1" ref="S107" ca="1">INDIRECT("Data!M" &amp; 102)</f>
        <v>0</v>
      </c>
      <c r="T107" cm="1">
        <f t="array" aca="1" ref="T107" ca="1">INDIRECT("Data!N" &amp; 102)</f>
        <v>0</v>
      </c>
      <c r="U107" cm="1">
        <f t="array" aca="1" ref="U107" ca="1">INDIRECT("Data!O" &amp; 102)</f>
        <v>0</v>
      </c>
      <c r="V107" cm="1">
        <f t="array" aca="1" ref="V107" ca="1">INDIRECT("Data!P" &amp; 102)</f>
        <v>0</v>
      </c>
    </row>
    <row r="108" spans="7:22" x14ac:dyDescent="0.25">
      <c r="G108" cm="1">
        <f t="array" aca="1" ref="G108" ca="1">INDIRECT("Data!A" &amp; 103)</f>
        <v>0</v>
      </c>
      <c r="H108" s="21" cm="1">
        <f t="array" aca="1" ref="H108" ca="1">INDIRECT("Data!B" &amp; 103)</f>
        <v>0</v>
      </c>
      <c r="I108" s="21" cm="1">
        <f t="array" aca="1" ref="I108" ca="1">INDIRECT("Data!C" &amp; 103)</f>
        <v>0</v>
      </c>
      <c r="J108" cm="1">
        <f t="array" aca="1" ref="J108" ca="1">INDIRECT("Data!D" &amp; 103)</f>
        <v>0</v>
      </c>
      <c r="K108" cm="1">
        <f t="array" aca="1" ref="K108" ca="1">INDIRECT("Data!E" &amp; 103)</f>
        <v>0</v>
      </c>
      <c r="L108" cm="1">
        <f t="array" aca="1" ref="L108" ca="1">INDIRECT("Data!F" &amp; 103)</f>
        <v>0</v>
      </c>
      <c r="M108" cm="1">
        <f t="array" aca="1" ref="M108" ca="1">INDIRECT("Data!G" &amp; 103)</f>
        <v>0</v>
      </c>
      <c r="N108" cm="1">
        <f t="array" aca="1" ref="N108" ca="1">INDIRECT("Data!H" &amp; 103)</f>
        <v>0</v>
      </c>
      <c r="O108" cm="1">
        <f t="array" aca="1" ref="O108" ca="1">INDIRECT("Data!I" &amp; 103)</f>
        <v>0</v>
      </c>
      <c r="P108" s="21" cm="1">
        <f t="array" aca="1" ref="P108" ca="1">INDIRECT("Data!J" &amp; 103)</f>
        <v>0</v>
      </c>
      <c r="Q108" cm="1">
        <f t="array" aca="1" ref="Q108" ca="1">INDIRECT("Data!K" &amp; 103)</f>
        <v>0</v>
      </c>
      <c r="R108" cm="1">
        <f t="array" aca="1" ref="R108" ca="1">INDIRECT("Data!L" &amp; 103)</f>
        <v>0</v>
      </c>
      <c r="S108" cm="1">
        <f t="array" aca="1" ref="S108" ca="1">INDIRECT("Data!M" &amp; 103)</f>
        <v>0</v>
      </c>
      <c r="T108" cm="1">
        <f t="array" aca="1" ref="T108" ca="1">INDIRECT("Data!N" &amp; 103)</f>
        <v>0</v>
      </c>
      <c r="U108" cm="1">
        <f t="array" aca="1" ref="U108" ca="1">INDIRECT("Data!O" &amp; 103)</f>
        <v>0</v>
      </c>
      <c r="V108" cm="1">
        <f t="array" aca="1" ref="V108" ca="1">INDIRECT("Data!P" &amp; 103)</f>
        <v>0</v>
      </c>
    </row>
    <row r="109" spans="7:22" x14ac:dyDescent="0.25">
      <c r="G109" cm="1">
        <f t="array" aca="1" ref="G109" ca="1">INDIRECT("Data!A" &amp; 104)</f>
        <v>0</v>
      </c>
      <c r="H109" s="21" cm="1">
        <f t="array" aca="1" ref="H109" ca="1">INDIRECT("Data!B" &amp; 104)</f>
        <v>0</v>
      </c>
      <c r="I109" s="21" cm="1">
        <f t="array" aca="1" ref="I109" ca="1">INDIRECT("Data!C" &amp; 104)</f>
        <v>0</v>
      </c>
      <c r="J109" cm="1">
        <f t="array" aca="1" ref="J109" ca="1">INDIRECT("Data!D" &amp; 104)</f>
        <v>0</v>
      </c>
      <c r="K109" cm="1">
        <f t="array" aca="1" ref="K109" ca="1">INDIRECT("Data!E" &amp; 104)</f>
        <v>0</v>
      </c>
      <c r="L109" cm="1">
        <f t="array" aca="1" ref="L109" ca="1">INDIRECT("Data!F" &amp; 104)</f>
        <v>0</v>
      </c>
      <c r="M109" cm="1">
        <f t="array" aca="1" ref="M109" ca="1">INDIRECT("Data!G" &amp; 104)</f>
        <v>0</v>
      </c>
      <c r="N109" cm="1">
        <f t="array" aca="1" ref="N109" ca="1">INDIRECT("Data!H" &amp; 104)</f>
        <v>0</v>
      </c>
      <c r="O109" cm="1">
        <f t="array" aca="1" ref="O109" ca="1">INDIRECT("Data!I" &amp; 104)</f>
        <v>0</v>
      </c>
      <c r="P109" s="21" cm="1">
        <f t="array" aca="1" ref="P109" ca="1">INDIRECT("Data!J" &amp; 104)</f>
        <v>0</v>
      </c>
      <c r="Q109" cm="1">
        <f t="array" aca="1" ref="Q109" ca="1">INDIRECT("Data!K" &amp; 104)</f>
        <v>0</v>
      </c>
      <c r="R109" cm="1">
        <f t="array" aca="1" ref="R109" ca="1">INDIRECT("Data!L" &amp; 104)</f>
        <v>0</v>
      </c>
      <c r="S109" cm="1">
        <f t="array" aca="1" ref="S109" ca="1">INDIRECT("Data!M" &amp; 104)</f>
        <v>0</v>
      </c>
      <c r="T109" cm="1">
        <f t="array" aca="1" ref="T109" ca="1">INDIRECT("Data!N" &amp; 104)</f>
        <v>0</v>
      </c>
      <c r="U109" cm="1">
        <f t="array" aca="1" ref="U109" ca="1">INDIRECT("Data!O" &amp; 104)</f>
        <v>0</v>
      </c>
      <c r="V109" cm="1">
        <f t="array" aca="1" ref="V109" ca="1">INDIRECT("Data!P" &amp; 104)</f>
        <v>0</v>
      </c>
    </row>
    <row r="110" spans="7:22" x14ac:dyDescent="0.25">
      <c r="G110" cm="1">
        <f t="array" aca="1" ref="G110" ca="1">INDIRECT("Data!A" &amp; 105)</f>
        <v>0</v>
      </c>
      <c r="H110" s="21" cm="1">
        <f t="array" aca="1" ref="H110" ca="1">INDIRECT("Data!B" &amp; 105)</f>
        <v>0</v>
      </c>
      <c r="I110" s="21" cm="1">
        <f t="array" aca="1" ref="I110" ca="1">INDIRECT("Data!C" &amp; 105)</f>
        <v>0</v>
      </c>
      <c r="J110" cm="1">
        <f t="array" aca="1" ref="J110" ca="1">INDIRECT("Data!D" &amp; 105)</f>
        <v>0</v>
      </c>
      <c r="K110" cm="1">
        <f t="array" aca="1" ref="K110" ca="1">INDIRECT("Data!E" &amp; 105)</f>
        <v>0</v>
      </c>
      <c r="L110" cm="1">
        <f t="array" aca="1" ref="L110" ca="1">INDIRECT("Data!F" &amp; 105)</f>
        <v>0</v>
      </c>
      <c r="M110" cm="1">
        <f t="array" aca="1" ref="M110" ca="1">INDIRECT("Data!G" &amp; 105)</f>
        <v>0</v>
      </c>
      <c r="N110" cm="1">
        <f t="array" aca="1" ref="N110" ca="1">INDIRECT("Data!H" &amp; 105)</f>
        <v>0</v>
      </c>
      <c r="O110" cm="1">
        <f t="array" aca="1" ref="O110" ca="1">INDIRECT("Data!I" &amp; 105)</f>
        <v>0</v>
      </c>
      <c r="P110" s="21" cm="1">
        <f t="array" aca="1" ref="P110" ca="1">INDIRECT("Data!J" &amp; 105)</f>
        <v>0</v>
      </c>
      <c r="Q110" cm="1">
        <f t="array" aca="1" ref="Q110" ca="1">INDIRECT("Data!K" &amp; 105)</f>
        <v>0</v>
      </c>
      <c r="R110" cm="1">
        <f t="array" aca="1" ref="R110" ca="1">INDIRECT("Data!L" &amp; 105)</f>
        <v>0</v>
      </c>
      <c r="S110" cm="1">
        <f t="array" aca="1" ref="S110" ca="1">INDIRECT("Data!M" &amp; 105)</f>
        <v>0</v>
      </c>
      <c r="T110" cm="1">
        <f t="array" aca="1" ref="T110" ca="1">INDIRECT("Data!N" &amp; 105)</f>
        <v>0</v>
      </c>
      <c r="U110" cm="1">
        <f t="array" aca="1" ref="U110" ca="1">INDIRECT("Data!O" &amp; 105)</f>
        <v>0</v>
      </c>
      <c r="V110" cm="1">
        <f t="array" aca="1" ref="V110" ca="1">INDIRECT("Data!P" &amp; 105)</f>
        <v>0</v>
      </c>
    </row>
    <row r="111" spans="7:22" x14ac:dyDescent="0.25">
      <c r="G111" cm="1">
        <f t="array" aca="1" ref="G111" ca="1">INDIRECT("Data!A" &amp; 106)</f>
        <v>0</v>
      </c>
      <c r="H111" s="21" cm="1">
        <f t="array" aca="1" ref="H111" ca="1">INDIRECT("Data!B" &amp; 106)</f>
        <v>0</v>
      </c>
      <c r="I111" s="21" cm="1">
        <f t="array" aca="1" ref="I111" ca="1">INDIRECT("Data!C" &amp; 106)</f>
        <v>0</v>
      </c>
      <c r="J111" cm="1">
        <f t="array" aca="1" ref="J111" ca="1">INDIRECT("Data!D" &amp; 106)</f>
        <v>0</v>
      </c>
      <c r="K111" cm="1">
        <f t="array" aca="1" ref="K111" ca="1">INDIRECT("Data!E" &amp; 106)</f>
        <v>0</v>
      </c>
      <c r="L111" cm="1">
        <f t="array" aca="1" ref="L111" ca="1">INDIRECT("Data!F" &amp; 106)</f>
        <v>0</v>
      </c>
      <c r="M111" cm="1">
        <f t="array" aca="1" ref="M111" ca="1">INDIRECT("Data!G" &amp; 106)</f>
        <v>0</v>
      </c>
      <c r="N111" cm="1">
        <f t="array" aca="1" ref="N111" ca="1">INDIRECT("Data!H" &amp; 106)</f>
        <v>0</v>
      </c>
      <c r="O111" cm="1">
        <f t="array" aca="1" ref="O111" ca="1">INDIRECT("Data!I" &amp; 106)</f>
        <v>0</v>
      </c>
      <c r="P111" s="21" cm="1">
        <f t="array" aca="1" ref="P111" ca="1">INDIRECT("Data!J" &amp; 106)</f>
        <v>0</v>
      </c>
      <c r="Q111" cm="1">
        <f t="array" aca="1" ref="Q111" ca="1">INDIRECT("Data!K" &amp; 106)</f>
        <v>0</v>
      </c>
      <c r="R111" cm="1">
        <f t="array" aca="1" ref="R111" ca="1">INDIRECT("Data!L" &amp; 106)</f>
        <v>0</v>
      </c>
      <c r="S111" cm="1">
        <f t="array" aca="1" ref="S111" ca="1">INDIRECT("Data!M" &amp; 106)</f>
        <v>0</v>
      </c>
      <c r="T111" cm="1">
        <f t="array" aca="1" ref="T111" ca="1">INDIRECT("Data!N" &amp; 106)</f>
        <v>0</v>
      </c>
      <c r="U111" cm="1">
        <f t="array" aca="1" ref="U111" ca="1">INDIRECT("Data!O" &amp; 106)</f>
        <v>0</v>
      </c>
      <c r="V111" cm="1">
        <f t="array" aca="1" ref="V111" ca="1">INDIRECT("Data!P" &amp; 106)</f>
        <v>0</v>
      </c>
    </row>
    <row r="112" spans="7:22" x14ac:dyDescent="0.25">
      <c r="G112" cm="1">
        <f t="array" aca="1" ref="G112" ca="1">INDIRECT("Data!A" &amp; 107)</f>
        <v>0</v>
      </c>
      <c r="H112" s="21" cm="1">
        <f t="array" aca="1" ref="H112" ca="1">INDIRECT("Data!B" &amp; 107)</f>
        <v>0</v>
      </c>
      <c r="I112" s="21" cm="1">
        <f t="array" aca="1" ref="I112" ca="1">INDIRECT("Data!C" &amp; 107)</f>
        <v>0</v>
      </c>
      <c r="J112" cm="1">
        <f t="array" aca="1" ref="J112" ca="1">INDIRECT("Data!D" &amp; 107)</f>
        <v>0</v>
      </c>
      <c r="K112" cm="1">
        <f t="array" aca="1" ref="K112" ca="1">INDIRECT("Data!E" &amp; 107)</f>
        <v>0</v>
      </c>
      <c r="L112" cm="1">
        <f t="array" aca="1" ref="L112" ca="1">INDIRECT("Data!F" &amp; 107)</f>
        <v>0</v>
      </c>
      <c r="M112" cm="1">
        <f t="array" aca="1" ref="M112" ca="1">INDIRECT("Data!G" &amp; 107)</f>
        <v>0</v>
      </c>
      <c r="N112" cm="1">
        <f t="array" aca="1" ref="N112" ca="1">INDIRECT("Data!H" &amp; 107)</f>
        <v>0</v>
      </c>
      <c r="O112" cm="1">
        <f t="array" aca="1" ref="O112" ca="1">INDIRECT("Data!I" &amp; 107)</f>
        <v>0</v>
      </c>
      <c r="P112" s="21" cm="1">
        <f t="array" aca="1" ref="P112" ca="1">INDIRECT("Data!J" &amp; 107)</f>
        <v>0</v>
      </c>
      <c r="Q112" cm="1">
        <f t="array" aca="1" ref="Q112" ca="1">INDIRECT("Data!K" &amp; 107)</f>
        <v>0</v>
      </c>
      <c r="R112" cm="1">
        <f t="array" aca="1" ref="R112" ca="1">INDIRECT("Data!L" &amp; 107)</f>
        <v>0</v>
      </c>
      <c r="S112" cm="1">
        <f t="array" aca="1" ref="S112" ca="1">INDIRECT("Data!M" &amp; 107)</f>
        <v>0</v>
      </c>
      <c r="T112" cm="1">
        <f t="array" aca="1" ref="T112" ca="1">INDIRECT("Data!N" &amp; 107)</f>
        <v>0</v>
      </c>
      <c r="U112" cm="1">
        <f t="array" aca="1" ref="U112" ca="1">INDIRECT("Data!O" &amp; 107)</f>
        <v>0</v>
      </c>
      <c r="V112" cm="1">
        <f t="array" aca="1" ref="V112" ca="1">INDIRECT("Data!P" &amp; 107)</f>
        <v>0</v>
      </c>
    </row>
    <row r="113" spans="7:22" x14ac:dyDescent="0.25">
      <c r="G113" cm="1">
        <f t="array" aca="1" ref="G113" ca="1">INDIRECT("Data!A" &amp; 108)</f>
        <v>0</v>
      </c>
      <c r="H113" s="21" cm="1">
        <f t="array" aca="1" ref="H113" ca="1">INDIRECT("Data!B" &amp; 108)</f>
        <v>0</v>
      </c>
      <c r="I113" s="21" cm="1">
        <f t="array" aca="1" ref="I113" ca="1">INDIRECT("Data!C" &amp; 108)</f>
        <v>0</v>
      </c>
      <c r="J113" cm="1">
        <f t="array" aca="1" ref="J113" ca="1">INDIRECT("Data!D" &amp; 108)</f>
        <v>0</v>
      </c>
      <c r="K113" cm="1">
        <f t="array" aca="1" ref="K113" ca="1">INDIRECT("Data!E" &amp; 108)</f>
        <v>0</v>
      </c>
      <c r="L113" cm="1">
        <f t="array" aca="1" ref="L113" ca="1">INDIRECT("Data!F" &amp; 108)</f>
        <v>0</v>
      </c>
      <c r="M113" cm="1">
        <f t="array" aca="1" ref="M113" ca="1">INDIRECT("Data!G" &amp; 108)</f>
        <v>0</v>
      </c>
      <c r="N113" cm="1">
        <f t="array" aca="1" ref="N113" ca="1">INDIRECT("Data!H" &amp; 108)</f>
        <v>0</v>
      </c>
      <c r="O113" cm="1">
        <f t="array" aca="1" ref="O113" ca="1">INDIRECT("Data!I" &amp; 108)</f>
        <v>0</v>
      </c>
      <c r="P113" s="21" cm="1">
        <f t="array" aca="1" ref="P113" ca="1">INDIRECT("Data!J" &amp; 108)</f>
        <v>0</v>
      </c>
      <c r="Q113" cm="1">
        <f t="array" aca="1" ref="Q113" ca="1">INDIRECT("Data!K" &amp; 108)</f>
        <v>0</v>
      </c>
      <c r="R113" cm="1">
        <f t="array" aca="1" ref="R113" ca="1">INDIRECT("Data!L" &amp; 108)</f>
        <v>0</v>
      </c>
      <c r="S113" cm="1">
        <f t="array" aca="1" ref="S113" ca="1">INDIRECT("Data!M" &amp; 108)</f>
        <v>0</v>
      </c>
      <c r="T113" cm="1">
        <f t="array" aca="1" ref="T113" ca="1">INDIRECT("Data!N" &amp; 108)</f>
        <v>0</v>
      </c>
      <c r="U113" cm="1">
        <f t="array" aca="1" ref="U113" ca="1">INDIRECT("Data!O" &amp; 108)</f>
        <v>0</v>
      </c>
      <c r="V113" cm="1">
        <f t="array" aca="1" ref="V113" ca="1">INDIRECT("Data!P" &amp; 108)</f>
        <v>0</v>
      </c>
    </row>
    <row r="114" spans="7:22" x14ac:dyDescent="0.25">
      <c r="G114" cm="1">
        <f t="array" aca="1" ref="G114" ca="1">INDIRECT("Data!A" &amp; 109)</f>
        <v>0</v>
      </c>
      <c r="H114" s="21" cm="1">
        <f t="array" aca="1" ref="H114" ca="1">INDIRECT("Data!B" &amp; 109)</f>
        <v>0</v>
      </c>
      <c r="I114" s="21" cm="1">
        <f t="array" aca="1" ref="I114" ca="1">INDIRECT("Data!C" &amp; 109)</f>
        <v>0</v>
      </c>
      <c r="J114" cm="1">
        <f t="array" aca="1" ref="J114" ca="1">INDIRECT("Data!D" &amp; 109)</f>
        <v>0</v>
      </c>
      <c r="K114" cm="1">
        <f t="array" aca="1" ref="K114" ca="1">INDIRECT("Data!E" &amp; 109)</f>
        <v>0</v>
      </c>
      <c r="L114" cm="1">
        <f t="array" aca="1" ref="L114" ca="1">INDIRECT("Data!F" &amp; 109)</f>
        <v>0</v>
      </c>
      <c r="M114" cm="1">
        <f t="array" aca="1" ref="M114" ca="1">INDIRECT("Data!G" &amp; 109)</f>
        <v>0</v>
      </c>
      <c r="N114" cm="1">
        <f t="array" aca="1" ref="N114" ca="1">INDIRECT("Data!H" &amp; 109)</f>
        <v>0</v>
      </c>
      <c r="O114" cm="1">
        <f t="array" aca="1" ref="O114" ca="1">INDIRECT("Data!I" &amp; 109)</f>
        <v>0</v>
      </c>
      <c r="P114" s="21" cm="1">
        <f t="array" aca="1" ref="P114" ca="1">INDIRECT("Data!J" &amp; 109)</f>
        <v>0</v>
      </c>
      <c r="Q114" cm="1">
        <f t="array" aca="1" ref="Q114" ca="1">INDIRECT("Data!K" &amp; 109)</f>
        <v>0</v>
      </c>
      <c r="R114" cm="1">
        <f t="array" aca="1" ref="R114" ca="1">INDIRECT("Data!L" &amp; 109)</f>
        <v>0</v>
      </c>
      <c r="S114" cm="1">
        <f t="array" aca="1" ref="S114" ca="1">INDIRECT("Data!M" &amp; 109)</f>
        <v>0</v>
      </c>
      <c r="T114" cm="1">
        <f t="array" aca="1" ref="T114" ca="1">INDIRECT("Data!N" &amp; 109)</f>
        <v>0</v>
      </c>
      <c r="U114" cm="1">
        <f t="array" aca="1" ref="U114" ca="1">INDIRECT("Data!O" &amp; 109)</f>
        <v>0</v>
      </c>
      <c r="V114" cm="1">
        <f t="array" aca="1" ref="V114" ca="1">INDIRECT("Data!P" &amp; 109)</f>
        <v>0</v>
      </c>
    </row>
    <row r="115" spans="7:22" x14ac:dyDescent="0.25">
      <c r="G115" cm="1">
        <f t="array" aca="1" ref="G115" ca="1">INDIRECT("Data!A" &amp; 110)</f>
        <v>0</v>
      </c>
      <c r="H115" s="21" cm="1">
        <f t="array" aca="1" ref="H115" ca="1">INDIRECT("Data!B" &amp; 110)</f>
        <v>0</v>
      </c>
      <c r="I115" s="21" cm="1">
        <f t="array" aca="1" ref="I115" ca="1">INDIRECT("Data!C" &amp; 110)</f>
        <v>0</v>
      </c>
      <c r="J115" cm="1">
        <f t="array" aca="1" ref="J115" ca="1">INDIRECT("Data!D" &amp; 110)</f>
        <v>0</v>
      </c>
      <c r="K115" cm="1">
        <f t="array" aca="1" ref="K115" ca="1">INDIRECT("Data!E" &amp; 110)</f>
        <v>0</v>
      </c>
      <c r="L115" cm="1">
        <f t="array" aca="1" ref="L115" ca="1">INDIRECT("Data!F" &amp; 110)</f>
        <v>0</v>
      </c>
      <c r="M115" cm="1">
        <f t="array" aca="1" ref="M115" ca="1">INDIRECT("Data!G" &amp; 110)</f>
        <v>0</v>
      </c>
      <c r="N115" cm="1">
        <f t="array" aca="1" ref="N115" ca="1">INDIRECT("Data!H" &amp; 110)</f>
        <v>0</v>
      </c>
      <c r="O115" cm="1">
        <f t="array" aca="1" ref="O115" ca="1">INDIRECT("Data!I" &amp; 110)</f>
        <v>0</v>
      </c>
      <c r="P115" s="21" cm="1">
        <f t="array" aca="1" ref="P115" ca="1">INDIRECT("Data!J" &amp; 110)</f>
        <v>0</v>
      </c>
      <c r="Q115" cm="1">
        <f t="array" aca="1" ref="Q115" ca="1">INDIRECT("Data!K" &amp; 110)</f>
        <v>0</v>
      </c>
      <c r="R115" cm="1">
        <f t="array" aca="1" ref="R115" ca="1">INDIRECT("Data!L" &amp; 110)</f>
        <v>0</v>
      </c>
      <c r="S115" cm="1">
        <f t="array" aca="1" ref="S115" ca="1">INDIRECT("Data!M" &amp; 110)</f>
        <v>0</v>
      </c>
      <c r="T115" cm="1">
        <f t="array" aca="1" ref="T115" ca="1">INDIRECT("Data!N" &amp; 110)</f>
        <v>0</v>
      </c>
      <c r="U115" cm="1">
        <f t="array" aca="1" ref="U115" ca="1">INDIRECT("Data!O" &amp; 110)</f>
        <v>0</v>
      </c>
      <c r="V115" cm="1">
        <f t="array" aca="1" ref="V115" ca="1">INDIRECT("Data!P" &amp; 110)</f>
        <v>0</v>
      </c>
    </row>
    <row r="116" spans="7:22" x14ac:dyDescent="0.25">
      <c r="G116" cm="1">
        <f t="array" aca="1" ref="G116" ca="1">INDIRECT("Data!A" &amp; 111)</f>
        <v>0</v>
      </c>
      <c r="H116" s="21" cm="1">
        <f t="array" aca="1" ref="H116" ca="1">INDIRECT("Data!B" &amp; 111)</f>
        <v>0</v>
      </c>
      <c r="I116" s="21" cm="1">
        <f t="array" aca="1" ref="I116" ca="1">INDIRECT("Data!C" &amp; 111)</f>
        <v>0</v>
      </c>
      <c r="J116" cm="1">
        <f t="array" aca="1" ref="J116" ca="1">INDIRECT("Data!D" &amp; 111)</f>
        <v>0</v>
      </c>
      <c r="K116" cm="1">
        <f t="array" aca="1" ref="K116" ca="1">INDIRECT("Data!E" &amp; 111)</f>
        <v>0</v>
      </c>
      <c r="L116" cm="1">
        <f t="array" aca="1" ref="L116" ca="1">INDIRECT("Data!F" &amp; 111)</f>
        <v>0</v>
      </c>
      <c r="M116" cm="1">
        <f t="array" aca="1" ref="M116" ca="1">INDIRECT("Data!G" &amp; 111)</f>
        <v>0</v>
      </c>
      <c r="N116" cm="1">
        <f t="array" aca="1" ref="N116" ca="1">INDIRECT("Data!H" &amp; 111)</f>
        <v>0</v>
      </c>
      <c r="O116" cm="1">
        <f t="array" aca="1" ref="O116" ca="1">INDIRECT("Data!I" &amp; 111)</f>
        <v>0</v>
      </c>
      <c r="P116" s="21" cm="1">
        <f t="array" aca="1" ref="P116" ca="1">INDIRECT("Data!J" &amp; 111)</f>
        <v>0</v>
      </c>
      <c r="Q116" cm="1">
        <f t="array" aca="1" ref="Q116" ca="1">INDIRECT("Data!K" &amp; 111)</f>
        <v>0</v>
      </c>
      <c r="R116" cm="1">
        <f t="array" aca="1" ref="R116" ca="1">INDIRECT("Data!L" &amp; 111)</f>
        <v>0</v>
      </c>
      <c r="S116" cm="1">
        <f t="array" aca="1" ref="S116" ca="1">INDIRECT("Data!M" &amp; 111)</f>
        <v>0</v>
      </c>
      <c r="T116" cm="1">
        <f t="array" aca="1" ref="T116" ca="1">INDIRECT("Data!N" &amp; 111)</f>
        <v>0</v>
      </c>
      <c r="U116" cm="1">
        <f t="array" aca="1" ref="U116" ca="1">INDIRECT("Data!O" &amp; 111)</f>
        <v>0</v>
      </c>
      <c r="V116" cm="1">
        <f t="array" aca="1" ref="V116" ca="1">INDIRECT("Data!P" &amp; 111)</f>
        <v>0</v>
      </c>
    </row>
    <row r="117" spans="7:22" x14ac:dyDescent="0.25">
      <c r="G117" cm="1">
        <f t="array" aca="1" ref="G117" ca="1">INDIRECT("Data!A" &amp; 112)</f>
        <v>0</v>
      </c>
      <c r="H117" s="21" cm="1">
        <f t="array" aca="1" ref="H117" ca="1">INDIRECT("Data!B" &amp; 112)</f>
        <v>0</v>
      </c>
      <c r="I117" s="21" cm="1">
        <f t="array" aca="1" ref="I117" ca="1">INDIRECT("Data!C" &amp; 112)</f>
        <v>0</v>
      </c>
      <c r="J117" cm="1">
        <f t="array" aca="1" ref="J117" ca="1">INDIRECT("Data!D" &amp; 112)</f>
        <v>0</v>
      </c>
      <c r="K117" cm="1">
        <f t="array" aca="1" ref="K117" ca="1">INDIRECT("Data!E" &amp; 112)</f>
        <v>0</v>
      </c>
      <c r="L117" cm="1">
        <f t="array" aca="1" ref="L117" ca="1">INDIRECT("Data!F" &amp; 112)</f>
        <v>0</v>
      </c>
      <c r="M117" cm="1">
        <f t="array" aca="1" ref="M117" ca="1">INDIRECT("Data!G" &amp; 112)</f>
        <v>0</v>
      </c>
      <c r="N117" cm="1">
        <f t="array" aca="1" ref="N117" ca="1">INDIRECT("Data!H" &amp; 112)</f>
        <v>0</v>
      </c>
      <c r="O117" cm="1">
        <f t="array" aca="1" ref="O117" ca="1">INDIRECT("Data!I" &amp; 112)</f>
        <v>0</v>
      </c>
      <c r="P117" s="21" cm="1">
        <f t="array" aca="1" ref="P117" ca="1">INDIRECT("Data!J" &amp; 112)</f>
        <v>0</v>
      </c>
      <c r="Q117" cm="1">
        <f t="array" aca="1" ref="Q117" ca="1">INDIRECT("Data!K" &amp; 112)</f>
        <v>0</v>
      </c>
      <c r="R117" cm="1">
        <f t="array" aca="1" ref="R117" ca="1">INDIRECT("Data!L" &amp; 112)</f>
        <v>0</v>
      </c>
      <c r="S117" cm="1">
        <f t="array" aca="1" ref="S117" ca="1">INDIRECT("Data!M" &amp; 112)</f>
        <v>0</v>
      </c>
      <c r="T117" cm="1">
        <f t="array" aca="1" ref="T117" ca="1">INDIRECT("Data!N" &amp; 112)</f>
        <v>0</v>
      </c>
      <c r="U117" cm="1">
        <f t="array" aca="1" ref="U117" ca="1">INDIRECT("Data!O" &amp; 112)</f>
        <v>0</v>
      </c>
      <c r="V117" cm="1">
        <f t="array" aca="1" ref="V117" ca="1">INDIRECT("Data!P" &amp; 112)</f>
        <v>0</v>
      </c>
    </row>
    <row r="118" spans="7:22" x14ac:dyDescent="0.25">
      <c r="G118" cm="1">
        <f t="array" aca="1" ref="G118" ca="1">INDIRECT("Data!A" &amp; 113)</f>
        <v>0</v>
      </c>
      <c r="H118" s="21" cm="1">
        <f t="array" aca="1" ref="H118" ca="1">INDIRECT("Data!B" &amp; 113)</f>
        <v>0</v>
      </c>
      <c r="I118" s="21" cm="1">
        <f t="array" aca="1" ref="I118" ca="1">INDIRECT("Data!C" &amp; 113)</f>
        <v>0</v>
      </c>
      <c r="J118" cm="1">
        <f t="array" aca="1" ref="J118" ca="1">INDIRECT("Data!D" &amp; 113)</f>
        <v>0</v>
      </c>
      <c r="K118" cm="1">
        <f t="array" aca="1" ref="K118" ca="1">INDIRECT("Data!E" &amp; 113)</f>
        <v>0</v>
      </c>
      <c r="L118" cm="1">
        <f t="array" aca="1" ref="L118" ca="1">INDIRECT("Data!F" &amp; 113)</f>
        <v>0</v>
      </c>
      <c r="M118" cm="1">
        <f t="array" aca="1" ref="M118" ca="1">INDIRECT("Data!G" &amp; 113)</f>
        <v>0</v>
      </c>
      <c r="N118" cm="1">
        <f t="array" aca="1" ref="N118" ca="1">INDIRECT("Data!H" &amp; 113)</f>
        <v>0</v>
      </c>
      <c r="O118" cm="1">
        <f t="array" aca="1" ref="O118" ca="1">INDIRECT("Data!I" &amp; 113)</f>
        <v>0</v>
      </c>
      <c r="P118" s="21" cm="1">
        <f t="array" aca="1" ref="P118" ca="1">INDIRECT("Data!J" &amp; 113)</f>
        <v>0</v>
      </c>
      <c r="Q118" cm="1">
        <f t="array" aca="1" ref="Q118" ca="1">INDIRECT("Data!K" &amp; 113)</f>
        <v>0</v>
      </c>
      <c r="R118" cm="1">
        <f t="array" aca="1" ref="R118" ca="1">INDIRECT("Data!L" &amp; 113)</f>
        <v>0</v>
      </c>
      <c r="S118" cm="1">
        <f t="array" aca="1" ref="S118" ca="1">INDIRECT("Data!M" &amp; 113)</f>
        <v>0</v>
      </c>
      <c r="T118" cm="1">
        <f t="array" aca="1" ref="T118" ca="1">INDIRECT("Data!N" &amp; 113)</f>
        <v>0</v>
      </c>
      <c r="U118" cm="1">
        <f t="array" aca="1" ref="U118" ca="1">INDIRECT("Data!O" &amp; 113)</f>
        <v>0</v>
      </c>
      <c r="V118" cm="1">
        <f t="array" aca="1" ref="V118" ca="1">INDIRECT("Data!P" &amp; 113)</f>
        <v>0</v>
      </c>
    </row>
    <row r="119" spans="7:22" x14ac:dyDescent="0.25">
      <c r="G119" cm="1">
        <f t="array" aca="1" ref="G119" ca="1">INDIRECT("Data!A" &amp; 114)</f>
        <v>0</v>
      </c>
      <c r="H119" s="21" cm="1">
        <f t="array" aca="1" ref="H119" ca="1">INDIRECT("Data!B" &amp; 114)</f>
        <v>0</v>
      </c>
      <c r="I119" s="21" cm="1">
        <f t="array" aca="1" ref="I119" ca="1">INDIRECT("Data!C" &amp; 114)</f>
        <v>0</v>
      </c>
      <c r="J119" cm="1">
        <f t="array" aca="1" ref="J119" ca="1">INDIRECT("Data!D" &amp; 114)</f>
        <v>0</v>
      </c>
      <c r="K119" cm="1">
        <f t="array" aca="1" ref="K119" ca="1">INDIRECT("Data!E" &amp; 114)</f>
        <v>0</v>
      </c>
      <c r="L119" cm="1">
        <f t="array" aca="1" ref="L119" ca="1">INDIRECT("Data!F" &amp; 114)</f>
        <v>0</v>
      </c>
      <c r="M119" cm="1">
        <f t="array" aca="1" ref="M119" ca="1">INDIRECT("Data!G" &amp; 114)</f>
        <v>0</v>
      </c>
      <c r="N119" cm="1">
        <f t="array" aca="1" ref="N119" ca="1">INDIRECT("Data!H" &amp; 114)</f>
        <v>0</v>
      </c>
      <c r="O119" cm="1">
        <f t="array" aca="1" ref="O119" ca="1">INDIRECT("Data!I" &amp; 114)</f>
        <v>0</v>
      </c>
      <c r="P119" s="21" cm="1">
        <f t="array" aca="1" ref="P119" ca="1">INDIRECT("Data!J" &amp; 114)</f>
        <v>0</v>
      </c>
      <c r="Q119" cm="1">
        <f t="array" aca="1" ref="Q119" ca="1">INDIRECT("Data!K" &amp; 114)</f>
        <v>0</v>
      </c>
      <c r="R119" cm="1">
        <f t="array" aca="1" ref="R119" ca="1">INDIRECT("Data!L" &amp; 114)</f>
        <v>0</v>
      </c>
      <c r="S119" cm="1">
        <f t="array" aca="1" ref="S119" ca="1">INDIRECT("Data!M" &amp; 114)</f>
        <v>0</v>
      </c>
      <c r="T119" cm="1">
        <f t="array" aca="1" ref="T119" ca="1">INDIRECT("Data!N" &amp; 114)</f>
        <v>0</v>
      </c>
      <c r="U119" cm="1">
        <f t="array" aca="1" ref="U119" ca="1">INDIRECT("Data!O" &amp; 114)</f>
        <v>0</v>
      </c>
      <c r="V119" cm="1">
        <f t="array" aca="1" ref="V119" ca="1">INDIRECT("Data!P" &amp; 114)</f>
        <v>0</v>
      </c>
    </row>
    <row r="120" spans="7:22" x14ac:dyDescent="0.25">
      <c r="G120" cm="1">
        <f t="array" aca="1" ref="G120" ca="1">INDIRECT("Data!A" &amp; 115)</f>
        <v>0</v>
      </c>
      <c r="H120" s="21" cm="1">
        <f t="array" aca="1" ref="H120" ca="1">INDIRECT("Data!B" &amp; 115)</f>
        <v>0</v>
      </c>
      <c r="I120" s="21" cm="1">
        <f t="array" aca="1" ref="I120" ca="1">INDIRECT("Data!C" &amp; 115)</f>
        <v>0</v>
      </c>
      <c r="J120" cm="1">
        <f t="array" aca="1" ref="J120" ca="1">INDIRECT("Data!D" &amp; 115)</f>
        <v>0</v>
      </c>
      <c r="K120" cm="1">
        <f t="array" aca="1" ref="K120" ca="1">INDIRECT("Data!E" &amp; 115)</f>
        <v>0</v>
      </c>
      <c r="L120" cm="1">
        <f t="array" aca="1" ref="L120" ca="1">INDIRECT("Data!F" &amp; 115)</f>
        <v>0</v>
      </c>
      <c r="M120" cm="1">
        <f t="array" aca="1" ref="M120" ca="1">INDIRECT("Data!G" &amp; 115)</f>
        <v>0</v>
      </c>
      <c r="N120" cm="1">
        <f t="array" aca="1" ref="N120" ca="1">INDIRECT("Data!H" &amp; 115)</f>
        <v>0</v>
      </c>
      <c r="O120" cm="1">
        <f t="array" aca="1" ref="O120" ca="1">INDIRECT("Data!I" &amp; 115)</f>
        <v>0</v>
      </c>
      <c r="P120" s="21" cm="1">
        <f t="array" aca="1" ref="P120" ca="1">INDIRECT("Data!J" &amp; 115)</f>
        <v>0</v>
      </c>
      <c r="Q120" cm="1">
        <f t="array" aca="1" ref="Q120" ca="1">INDIRECT("Data!K" &amp; 115)</f>
        <v>0</v>
      </c>
      <c r="R120" cm="1">
        <f t="array" aca="1" ref="R120" ca="1">INDIRECT("Data!L" &amp; 115)</f>
        <v>0</v>
      </c>
      <c r="S120" cm="1">
        <f t="array" aca="1" ref="S120" ca="1">INDIRECT("Data!M" &amp; 115)</f>
        <v>0</v>
      </c>
      <c r="T120" cm="1">
        <f t="array" aca="1" ref="T120" ca="1">INDIRECT("Data!N" &amp; 115)</f>
        <v>0</v>
      </c>
      <c r="U120" cm="1">
        <f t="array" aca="1" ref="U120" ca="1">INDIRECT("Data!O" &amp; 115)</f>
        <v>0</v>
      </c>
      <c r="V120" cm="1">
        <f t="array" aca="1" ref="V120" ca="1">INDIRECT("Data!P" &amp; 115)</f>
        <v>0</v>
      </c>
    </row>
    <row r="121" spans="7:22" x14ac:dyDescent="0.25">
      <c r="G121" cm="1">
        <f t="array" aca="1" ref="G121" ca="1">INDIRECT("Data!A" &amp; 116)</f>
        <v>0</v>
      </c>
      <c r="H121" s="21" cm="1">
        <f t="array" aca="1" ref="H121" ca="1">INDIRECT("Data!B" &amp; 116)</f>
        <v>0</v>
      </c>
      <c r="I121" s="21" cm="1">
        <f t="array" aca="1" ref="I121" ca="1">INDIRECT("Data!C" &amp; 116)</f>
        <v>0</v>
      </c>
      <c r="J121" cm="1">
        <f t="array" aca="1" ref="J121" ca="1">INDIRECT("Data!D" &amp; 116)</f>
        <v>0</v>
      </c>
      <c r="K121" cm="1">
        <f t="array" aca="1" ref="K121" ca="1">INDIRECT("Data!E" &amp; 116)</f>
        <v>0</v>
      </c>
      <c r="L121" cm="1">
        <f t="array" aca="1" ref="L121" ca="1">INDIRECT("Data!F" &amp; 116)</f>
        <v>0</v>
      </c>
      <c r="M121" cm="1">
        <f t="array" aca="1" ref="M121" ca="1">INDIRECT("Data!G" &amp; 116)</f>
        <v>0</v>
      </c>
      <c r="N121" cm="1">
        <f t="array" aca="1" ref="N121" ca="1">INDIRECT("Data!H" &amp; 116)</f>
        <v>0</v>
      </c>
      <c r="O121" cm="1">
        <f t="array" aca="1" ref="O121" ca="1">INDIRECT("Data!I" &amp; 116)</f>
        <v>0</v>
      </c>
      <c r="P121" s="21" cm="1">
        <f t="array" aca="1" ref="P121" ca="1">INDIRECT("Data!J" &amp; 116)</f>
        <v>0</v>
      </c>
      <c r="Q121" cm="1">
        <f t="array" aca="1" ref="Q121" ca="1">INDIRECT("Data!K" &amp; 116)</f>
        <v>0</v>
      </c>
      <c r="R121" cm="1">
        <f t="array" aca="1" ref="R121" ca="1">INDIRECT("Data!L" &amp; 116)</f>
        <v>0</v>
      </c>
      <c r="S121" cm="1">
        <f t="array" aca="1" ref="S121" ca="1">INDIRECT("Data!M" &amp; 116)</f>
        <v>0</v>
      </c>
      <c r="T121" cm="1">
        <f t="array" aca="1" ref="T121" ca="1">INDIRECT("Data!N" &amp; 116)</f>
        <v>0</v>
      </c>
      <c r="U121" cm="1">
        <f t="array" aca="1" ref="U121" ca="1">INDIRECT("Data!O" &amp; 116)</f>
        <v>0</v>
      </c>
      <c r="V121" cm="1">
        <f t="array" aca="1" ref="V121" ca="1">INDIRECT("Data!P" &amp; 116)</f>
        <v>0</v>
      </c>
    </row>
    <row r="122" spans="7:22" x14ac:dyDescent="0.25">
      <c r="G122" cm="1">
        <f t="array" aca="1" ref="G122" ca="1">INDIRECT("Data!A" &amp; 117)</f>
        <v>0</v>
      </c>
      <c r="H122" s="21" cm="1">
        <f t="array" aca="1" ref="H122" ca="1">INDIRECT("Data!B" &amp; 117)</f>
        <v>0</v>
      </c>
      <c r="I122" s="21" cm="1">
        <f t="array" aca="1" ref="I122" ca="1">INDIRECT("Data!C" &amp; 117)</f>
        <v>0</v>
      </c>
      <c r="J122" cm="1">
        <f t="array" aca="1" ref="J122" ca="1">INDIRECT("Data!D" &amp; 117)</f>
        <v>0</v>
      </c>
      <c r="K122" cm="1">
        <f t="array" aca="1" ref="K122" ca="1">INDIRECT("Data!E" &amp; 117)</f>
        <v>0</v>
      </c>
      <c r="L122" cm="1">
        <f t="array" aca="1" ref="L122" ca="1">INDIRECT("Data!F" &amp; 117)</f>
        <v>0</v>
      </c>
      <c r="M122" cm="1">
        <f t="array" aca="1" ref="M122" ca="1">INDIRECT("Data!G" &amp; 117)</f>
        <v>0</v>
      </c>
      <c r="N122" cm="1">
        <f t="array" aca="1" ref="N122" ca="1">INDIRECT("Data!H" &amp; 117)</f>
        <v>0</v>
      </c>
      <c r="O122" cm="1">
        <f t="array" aca="1" ref="O122" ca="1">INDIRECT("Data!I" &amp; 117)</f>
        <v>0</v>
      </c>
      <c r="P122" s="21" cm="1">
        <f t="array" aca="1" ref="P122" ca="1">INDIRECT("Data!J" &amp; 117)</f>
        <v>0</v>
      </c>
      <c r="Q122" cm="1">
        <f t="array" aca="1" ref="Q122" ca="1">INDIRECT("Data!K" &amp; 117)</f>
        <v>0</v>
      </c>
      <c r="R122" cm="1">
        <f t="array" aca="1" ref="R122" ca="1">INDIRECT("Data!L" &amp; 117)</f>
        <v>0</v>
      </c>
      <c r="S122" cm="1">
        <f t="array" aca="1" ref="S122" ca="1">INDIRECT("Data!M" &amp; 117)</f>
        <v>0</v>
      </c>
      <c r="T122" cm="1">
        <f t="array" aca="1" ref="T122" ca="1">INDIRECT("Data!N" &amp; 117)</f>
        <v>0</v>
      </c>
      <c r="U122" cm="1">
        <f t="array" aca="1" ref="U122" ca="1">INDIRECT("Data!O" &amp; 117)</f>
        <v>0</v>
      </c>
      <c r="V122" cm="1">
        <f t="array" aca="1" ref="V122" ca="1">INDIRECT("Data!P" &amp; 117)</f>
        <v>0</v>
      </c>
    </row>
    <row r="123" spans="7:22" x14ac:dyDescent="0.25">
      <c r="G123" cm="1">
        <f t="array" aca="1" ref="G123" ca="1">INDIRECT("Data!A" &amp; 118)</f>
        <v>0</v>
      </c>
      <c r="H123" s="21" cm="1">
        <f t="array" aca="1" ref="H123" ca="1">INDIRECT("Data!B" &amp; 118)</f>
        <v>0</v>
      </c>
      <c r="I123" s="21" cm="1">
        <f t="array" aca="1" ref="I123" ca="1">INDIRECT("Data!C" &amp; 118)</f>
        <v>0</v>
      </c>
      <c r="J123" cm="1">
        <f t="array" aca="1" ref="J123" ca="1">INDIRECT("Data!D" &amp; 118)</f>
        <v>0</v>
      </c>
      <c r="K123" cm="1">
        <f t="array" aca="1" ref="K123" ca="1">INDIRECT("Data!E" &amp; 118)</f>
        <v>0</v>
      </c>
      <c r="L123" cm="1">
        <f t="array" aca="1" ref="L123" ca="1">INDIRECT("Data!F" &amp; 118)</f>
        <v>0</v>
      </c>
      <c r="M123" cm="1">
        <f t="array" aca="1" ref="M123" ca="1">INDIRECT("Data!G" &amp; 118)</f>
        <v>0</v>
      </c>
      <c r="N123" cm="1">
        <f t="array" aca="1" ref="N123" ca="1">INDIRECT("Data!H" &amp; 118)</f>
        <v>0</v>
      </c>
      <c r="O123" cm="1">
        <f t="array" aca="1" ref="O123" ca="1">INDIRECT("Data!I" &amp; 118)</f>
        <v>0</v>
      </c>
      <c r="P123" s="21" cm="1">
        <f t="array" aca="1" ref="P123" ca="1">INDIRECT("Data!J" &amp; 118)</f>
        <v>0</v>
      </c>
      <c r="Q123" cm="1">
        <f t="array" aca="1" ref="Q123" ca="1">INDIRECT("Data!K" &amp; 118)</f>
        <v>0</v>
      </c>
      <c r="R123" cm="1">
        <f t="array" aca="1" ref="R123" ca="1">INDIRECT("Data!L" &amp; 118)</f>
        <v>0</v>
      </c>
      <c r="S123" cm="1">
        <f t="array" aca="1" ref="S123" ca="1">INDIRECT("Data!M" &amp; 118)</f>
        <v>0</v>
      </c>
      <c r="T123" cm="1">
        <f t="array" aca="1" ref="T123" ca="1">INDIRECT("Data!N" &amp; 118)</f>
        <v>0</v>
      </c>
      <c r="U123" cm="1">
        <f t="array" aca="1" ref="U123" ca="1">INDIRECT("Data!O" &amp; 118)</f>
        <v>0</v>
      </c>
      <c r="V123" cm="1">
        <f t="array" aca="1" ref="V123" ca="1">INDIRECT("Data!P" &amp; 118)</f>
        <v>0</v>
      </c>
    </row>
    <row r="124" spans="7:22" x14ac:dyDescent="0.25">
      <c r="G124" cm="1">
        <f t="array" aca="1" ref="G124" ca="1">INDIRECT("Data!A" &amp; 119)</f>
        <v>0</v>
      </c>
      <c r="H124" s="21" cm="1">
        <f t="array" aca="1" ref="H124" ca="1">INDIRECT("Data!B" &amp; 119)</f>
        <v>0</v>
      </c>
      <c r="I124" s="21" cm="1">
        <f t="array" aca="1" ref="I124" ca="1">INDIRECT("Data!C" &amp; 119)</f>
        <v>0</v>
      </c>
      <c r="J124" cm="1">
        <f t="array" aca="1" ref="J124" ca="1">INDIRECT("Data!D" &amp; 119)</f>
        <v>0</v>
      </c>
      <c r="K124" cm="1">
        <f t="array" aca="1" ref="K124" ca="1">INDIRECT("Data!E" &amp; 119)</f>
        <v>0</v>
      </c>
      <c r="L124" cm="1">
        <f t="array" aca="1" ref="L124" ca="1">INDIRECT("Data!F" &amp; 119)</f>
        <v>0</v>
      </c>
      <c r="M124" cm="1">
        <f t="array" aca="1" ref="M124" ca="1">INDIRECT("Data!G" &amp; 119)</f>
        <v>0</v>
      </c>
      <c r="N124" cm="1">
        <f t="array" aca="1" ref="N124" ca="1">INDIRECT("Data!H" &amp; 119)</f>
        <v>0</v>
      </c>
      <c r="O124" cm="1">
        <f t="array" aca="1" ref="O124" ca="1">INDIRECT("Data!I" &amp; 119)</f>
        <v>0</v>
      </c>
      <c r="P124" s="21" cm="1">
        <f t="array" aca="1" ref="P124" ca="1">INDIRECT("Data!J" &amp; 119)</f>
        <v>0</v>
      </c>
      <c r="Q124" cm="1">
        <f t="array" aca="1" ref="Q124" ca="1">INDIRECT("Data!K" &amp; 119)</f>
        <v>0</v>
      </c>
      <c r="R124" cm="1">
        <f t="array" aca="1" ref="R124" ca="1">INDIRECT("Data!L" &amp; 119)</f>
        <v>0</v>
      </c>
      <c r="S124" cm="1">
        <f t="array" aca="1" ref="S124" ca="1">INDIRECT("Data!M" &amp; 119)</f>
        <v>0</v>
      </c>
      <c r="T124" cm="1">
        <f t="array" aca="1" ref="T124" ca="1">INDIRECT("Data!N" &amp; 119)</f>
        <v>0</v>
      </c>
      <c r="U124" cm="1">
        <f t="array" aca="1" ref="U124" ca="1">INDIRECT("Data!O" &amp; 119)</f>
        <v>0</v>
      </c>
      <c r="V124" cm="1">
        <f t="array" aca="1" ref="V124" ca="1">INDIRECT("Data!P" &amp; 119)</f>
        <v>0</v>
      </c>
    </row>
    <row r="125" spans="7:22" x14ac:dyDescent="0.25">
      <c r="G125" cm="1">
        <f t="array" aca="1" ref="G125" ca="1">INDIRECT("Data!A" &amp; 120)</f>
        <v>0</v>
      </c>
      <c r="H125" s="21" cm="1">
        <f t="array" aca="1" ref="H125" ca="1">INDIRECT("Data!B" &amp; 120)</f>
        <v>0</v>
      </c>
      <c r="I125" s="21" cm="1">
        <f t="array" aca="1" ref="I125" ca="1">INDIRECT("Data!C" &amp; 120)</f>
        <v>0</v>
      </c>
      <c r="J125" cm="1">
        <f t="array" aca="1" ref="J125" ca="1">INDIRECT("Data!D" &amp; 120)</f>
        <v>0</v>
      </c>
      <c r="K125" cm="1">
        <f t="array" aca="1" ref="K125" ca="1">INDIRECT("Data!E" &amp; 120)</f>
        <v>0</v>
      </c>
      <c r="L125" cm="1">
        <f t="array" aca="1" ref="L125" ca="1">INDIRECT("Data!F" &amp; 120)</f>
        <v>0</v>
      </c>
      <c r="M125" cm="1">
        <f t="array" aca="1" ref="M125" ca="1">INDIRECT("Data!G" &amp; 120)</f>
        <v>0</v>
      </c>
      <c r="N125" cm="1">
        <f t="array" aca="1" ref="N125" ca="1">INDIRECT("Data!H" &amp; 120)</f>
        <v>0</v>
      </c>
      <c r="O125" cm="1">
        <f t="array" aca="1" ref="O125" ca="1">INDIRECT("Data!I" &amp; 120)</f>
        <v>0</v>
      </c>
      <c r="P125" s="21" cm="1">
        <f t="array" aca="1" ref="P125" ca="1">INDIRECT("Data!J" &amp; 120)</f>
        <v>0</v>
      </c>
      <c r="Q125" cm="1">
        <f t="array" aca="1" ref="Q125" ca="1">INDIRECT("Data!K" &amp; 120)</f>
        <v>0</v>
      </c>
      <c r="R125" cm="1">
        <f t="array" aca="1" ref="R125" ca="1">INDIRECT("Data!L" &amp; 120)</f>
        <v>0</v>
      </c>
      <c r="S125" cm="1">
        <f t="array" aca="1" ref="S125" ca="1">INDIRECT("Data!M" &amp; 120)</f>
        <v>0</v>
      </c>
      <c r="T125" cm="1">
        <f t="array" aca="1" ref="T125" ca="1">INDIRECT("Data!N" &amp; 120)</f>
        <v>0</v>
      </c>
      <c r="U125" cm="1">
        <f t="array" aca="1" ref="U125" ca="1">INDIRECT("Data!O" &amp; 120)</f>
        <v>0</v>
      </c>
      <c r="V125" cm="1">
        <f t="array" aca="1" ref="V125" ca="1">INDIRECT("Data!P" &amp; 120)</f>
        <v>0</v>
      </c>
    </row>
    <row r="126" spans="7:22" x14ac:dyDescent="0.25">
      <c r="G126" cm="1">
        <f t="array" aca="1" ref="G126" ca="1">INDIRECT("Data!A" &amp; 121)</f>
        <v>0</v>
      </c>
      <c r="H126" s="21" cm="1">
        <f t="array" aca="1" ref="H126" ca="1">INDIRECT("Data!B" &amp; 121)</f>
        <v>0</v>
      </c>
      <c r="I126" s="21" cm="1">
        <f t="array" aca="1" ref="I126" ca="1">INDIRECT("Data!C" &amp; 121)</f>
        <v>0</v>
      </c>
      <c r="J126" cm="1">
        <f t="array" aca="1" ref="J126" ca="1">INDIRECT("Data!D" &amp; 121)</f>
        <v>0</v>
      </c>
      <c r="K126" cm="1">
        <f t="array" aca="1" ref="K126" ca="1">INDIRECT("Data!E" &amp; 121)</f>
        <v>0</v>
      </c>
      <c r="L126" cm="1">
        <f t="array" aca="1" ref="L126" ca="1">INDIRECT("Data!F" &amp; 121)</f>
        <v>0</v>
      </c>
      <c r="M126" cm="1">
        <f t="array" aca="1" ref="M126" ca="1">INDIRECT("Data!G" &amp; 121)</f>
        <v>0</v>
      </c>
      <c r="N126" cm="1">
        <f t="array" aca="1" ref="N126" ca="1">INDIRECT("Data!H" &amp; 121)</f>
        <v>0</v>
      </c>
      <c r="O126" cm="1">
        <f t="array" aca="1" ref="O126" ca="1">INDIRECT("Data!I" &amp; 121)</f>
        <v>0</v>
      </c>
      <c r="P126" s="21" cm="1">
        <f t="array" aca="1" ref="P126" ca="1">INDIRECT("Data!J" &amp; 121)</f>
        <v>0</v>
      </c>
      <c r="Q126" cm="1">
        <f t="array" aca="1" ref="Q126" ca="1">INDIRECT("Data!K" &amp; 121)</f>
        <v>0</v>
      </c>
      <c r="R126" cm="1">
        <f t="array" aca="1" ref="R126" ca="1">INDIRECT("Data!L" &amp; 121)</f>
        <v>0</v>
      </c>
      <c r="S126" cm="1">
        <f t="array" aca="1" ref="S126" ca="1">INDIRECT("Data!M" &amp; 121)</f>
        <v>0</v>
      </c>
      <c r="T126" cm="1">
        <f t="array" aca="1" ref="T126" ca="1">INDIRECT("Data!N" &amp; 121)</f>
        <v>0</v>
      </c>
      <c r="U126" cm="1">
        <f t="array" aca="1" ref="U126" ca="1">INDIRECT("Data!O" &amp; 121)</f>
        <v>0</v>
      </c>
      <c r="V126" cm="1">
        <f t="array" aca="1" ref="V126" ca="1">INDIRECT("Data!P" &amp; 121)</f>
        <v>0</v>
      </c>
    </row>
    <row r="127" spans="7:22" x14ac:dyDescent="0.25">
      <c r="G127" cm="1">
        <f t="array" aca="1" ref="G127" ca="1">INDIRECT("Data!A" &amp; 122)</f>
        <v>0</v>
      </c>
      <c r="H127" s="21" cm="1">
        <f t="array" aca="1" ref="H127" ca="1">INDIRECT("Data!B" &amp; 122)</f>
        <v>0</v>
      </c>
      <c r="I127" s="21" cm="1">
        <f t="array" aca="1" ref="I127" ca="1">INDIRECT("Data!C" &amp; 122)</f>
        <v>0</v>
      </c>
      <c r="J127" cm="1">
        <f t="array" aca="1" ref="J127" ca="1">INDIRECT("Data!D" &amp; 122)</f>
        <v>0</v>
      </c>
      <c r="K127" cm="1">
        <f t="array" aca="1" ref="K127" ca="1">INDIRECT("Data!E" &amp; 122)</f>
        <v>0</v>
      </c>
      <c r="L127" cm="1">
        <f t="array" aca="1" ref="L127" ca="1">INDIRECT("Data!F" &amp; 122)</f>
        <v>0</v>
      </c>
      <c r="M127" cm="1">
        <f t="array" aca="1" ref="M127" ca="1">INDIRECT("Data!G" &amp; 122)</f>
        <v>0</v>
      </c>
      <c r="N127" cm="1">
        <f t="array" aca="1" ref="N127" ca="1">INDIRECT("Data!H" &amp; 122)</f>
        <v>0</v>
      </c>
      <c r="O127" cm="1">
        <f t="array" aca="1" ref="O127" ca="1">INDIRECT("Data!I" &amp; 122)</f>
        <v>0</v>
      </c>
      <c r="P127" s="21" cm="1">
        <f t="array" aca="1" ref="P127" ca="1">INDIRECT("Data!J" &amp; 122)</f>
        <v>0</v>
      </c>
      <c r="Q127" cm="1">
        <f t="array" aca="1" ref="Q127" ca="1">INDIRECT("Data!K" &amp; 122)</f>
        <v>0</v>
      </c>
      <c r="R127" cm="1">
        <f t="array" aca="1" ref="R127" ca="1">INDIRECT("Data!L" &amp; 122)</f>
        <v>0</v>
      </c>
      <c r="S127" cm="1">
        <f t="array" aca="1" ref="S127" ca="1">INDIRECT("Data!M" &amp; 122)</f>
        <v>0</v>
      </c>
      <c r="T127" cm="1">
        <f t="array" aca="1" ref="T127" ca="1">INDIRECT("Data!N" &amp; 122)</f>
        <v>0</v>
      </c>
      <c r="U127" cm="1">
        <f t="array" aca="1" ref="U127" ca="1">INDIRECT("Data!O" &amp; 122)</f>
        <v>0</v>
      </c>
      <c r="V127" cm="1">
        <f t="array" aca="1" ref="V127" ca="1">INDIRECT("Data!P" &amp; 122)</f>
        <v>0</v>
      </c>
    </row>
    <row r="128" spans="7:22" x14ac:dyDescent="0.25">
      <c r="G128" cm="1">
        <f t="array" aca="1" ref="G128" ca="1">INDIRECT("Data!A" &amp; 123)</f>
        <v>0</v>
      </c>
      <c r="H128" s="21" cm="1">
        <f t="array" aca="1" ref="H128" ca="1">INDIRECT("Data!B" &amp; 123)</f>
        <v>0</v>
      </c>
      <c r="I128" s="21" cm="1">
        <f t="array" aca="1" ref="I128" ca="1">INDIRECT("Data!C" &amp; 123)</f>
        <v>0</v>
      </c>
      <c r="J128" cm="1">
        <f t="array" aca="1" ref="J128" ca="1">INDIRECT("Data!D" &amp; 123)</f>
        <v>0</v>
      </c>
      <c r="K128" cm="1">
        <f t="array" aca="1" ref="K128" ca="1">INDIRECT("Data!E" &amp; 123)</f>
        <v>0</v>
      </c>
      <c r="L128" cm="1">
        <f t="array" aca="1" ref="L128" ca="1">INDIRECT("Data!F" &amp; 123)</f>
        <v>0</v>
      </c>
      <c r="M128" cm="1">
        <f t="array" aca="1" ref="M128" ca="1">INDIRECT("Data!G" &amp; 123)</f>
        <v>0</v>
      </c>
      <c r="N128" cm="1">
        <f t="array" aca="1" ref="N128" ca="1">INDIRECT("Data!H" &amp; 123)</f>
        <v>0</v>
      </c>
      <c r="O128" cm="1">
        <f t="array" aca="1" ref="O128" ca="1">INDIRECT("Data!I" &amp; 123)</f>
        <v>0</v>
      </c>
      <c r="P128" s="21" cm="1">
        <f t="array" aca="1" ref="P128" ca="1">INDIRECT("Data!J" &amp; 123)</f>
        <v>0</v>
      </c>
      <c r="Q128" cm="1">
        <f t="array" aca="1" ref="Q128" ca="1">INDIRECT("Data!K" &amp; 123)</f>
        <v>0</v>
      </c>
      <c r="R128" cm="1">
        <f t="array" aca="1" ref="R128" ca="1">INDIRECT("Data!L" &amp; 123)</f>
        <v>0</v>
      </c>
      <c r="S128" cm="1">
        <f t="array" aca="1" ref="S128" ca="1">INDIRECT("Data!M" &amp; 123)</f>
        <v>0</v>
      </c>
      <c r="T128" cm="1">
        <f t="array" aca="1" ref="T128" ca="1">INDIRECT("Data!N" &amp; 123)</f>
        <v>0</v>
      </c>
      <c r="U128" cm="1">
        <f t="array" aca="1" ref="U128" ca="1">INDIRECT("Data!O" &amp; 123)</f>
        <v>0</v>
      </c>
      <c r="V128" cm="1">
        <f t="array" aca="1" ref="V128" ca="1">INDIRECT("Data!P" &amp; 123)</f>
        <v>0</v>
      </c>
    </row>
    <row r="129" spans="7:22" x14ac:dyDescent="0.25">
      <c r="G129" cm="1">
        <f t="array" aca="1" ref="G129" ca="1">INDIRECT("Data!A" &amp; 124)</f>
        <v>0</v>
      </c>
      <c r="H129" s="21" cm="1">
        <f t="array" aca="1" ref="H129" ca="1">INDIRECT("Data!B" &amp; 124)</f>
        <v>0</v>
      </c>
      <c r="I129" s="21" cm="1">
        <f t="array" aca="1" ref="I129" ca="1">INDIRECT("Data!C" &amp; 124)</f>
        <v>0</v>
      </c>
      <c r="J129" cm="1">
        <f t="array" aca="1" ref="J129" ca="1">INDIRECT("Data!D" &amp; 124)</f>
        <v>0</v>
      </c>
      <c r="K129" cm="1">
        <f t="array" aca="1" ref="K129" ca="1">INDIRECT("Data!E" &amp; 124)</f>
        <v>0</v>
      </c>
      <c r="L129" cm="1">
        <f t="array" aca="1" ref="L129" ca="1">INDIRECT("Data!F" &amp; 124)</f>
        <v>0</v>
      </c>
      <c r="M129" cm="1">
        <f t="array" aca="1" ref="M129" ca="1">INDIRECT("Data!G" &amp; 124)</f>
        <v>0</v>
      </c>
      <c r="N129" cm="1">
        <f t="array" aca="1" ref="N129" ca="1">INDIRECT("Data!H" &amp; 124)</f>
        <v>0</v>
      </c>
      <c r="O129" cm="1">
        <f t="array" aca="1" ref="O129" ca="1">INDIRECT("Data!I" &amp; 124)</f>
        <v>0</v>
      </c>
      <c r="P129" s="21" cm="1">
        <f t="array" aca="1" ref="P129" ca="1">INDIRECT("Data!J" &amp; 124)</f>
        <v>0</v>
      </c>
      <c r="Q129" cm="1">
        <f t="array" aca="1" ref="Q129" ca="1">INDIRECT("Data!K" &amp; 124)</f>
        <v>0</v>
      </c>
      <c r="R129" cm="1">
        <f t="array" aca="1" ref="R129" ca="1">INDIRECT("Data!L" &amp; 124)</f>
        <v>0</v>
      </c>
      <c r="S129" cm="1">
        <f t="array" aca="1" ref="S129" ca="1">INDIRECT("Data!M" &amp; 124)</f>
        <v>0</v>
      </c>
      <c r="T129" cm="1">
        <f t="array" aca="1" ref="T129" ca="1">INDIRECT("Data!N" &amp; 124)</f>
        <v>0</v>
      </c>
      <c r="U129" cm="1">
        <f t="array" aca="1" ref="U129" ca="1">INDIRECT("Data!O" &amp; 124)</f>
        <v>0</v>
      </c>
      <c r="V129" cm="1">
        <f t="array" aca="1" ref="V129" ca="1">INDIRECT("Data!P" &amp; 124)</f>
        <v>0</v>
      </c>
    </row>
    <row r="130" spans="7:22" x14ac:dyDescent="0.25">
      <c r="G130" cm="1">
        <f t="array" aca="1" ref="G130" ca="1">INDIRECT("Data!A" &amp; 125)</f>
        <v>0</v>
      </c>
      <c r="H130" s="21" cm="1">
        <f t="array" aca="1" ref="H130" ca="1">INDIRECT("Data!B" &amp; 125)</f>
        <v>0</v>
      </c>
      <c r="I130" s="21" cm="1">
        <f t="array" aca="1" ref="I130" ca="1">INDIRECT("Data!C" &amp; 125)</f>
        <v>0</v>
      </c>
      <c r="J130" cm="1">
        <f t="array" aca="1" ref="J130" ca="1">INDIRECT("Data!D" &amp; 125)</f>
        <v>0</v>
      </c>
      <c r="K130" cm="1">
        <f t="array" aca="1" ref="K130" ca="1">INDIRECT("Data!E" &amp; 125)</f>
        <v>0</v>
      </c>
      <c r="L130" cm="1">
        <f t="array" aca="1" ref="L130" ca="1">INDIRECT("Data!F" &amp; 125)</f>
        <v>0</v>
      </c>
      <c r="M130" cm="1">
        <f t="array" aca="1" ref="M130" ca="1">INDIRECT("Data!G" &amp; 125)</f>
        <v>0</v>
      </c>
      <c r="N130" cm="1">
        <f t="array" aca="1" ref="N130" ca="1">INDIRECT("Data!H" &amp; 125)</f>
        <v>0</v>
      </c>
      <c r="O130" cm="1">
        <f t="array" aca="1" ref="O130" ca="1">INDIRECT("Data!I" &amp; 125)</f>
        <v>0</v>
      </c>
      <c r="P130" s="21" cm="1">
        <f t="array" aca="1" ref="P130" ca="1">INDIRECT("Data!J" &amp; 125)</f>
        <v>0</v>
      </c>
      <c r="Q130" cm="1">
        <f t="array" aca="1" ref="Q130" ca="1">INDIRECT("Data!K" &amp; 125)</f>
        <v>0</v>
      </c>
      <c r="R130" cm="1">
        <f t="array" aca="1" ref="R130" ca="1">INDIRECT("Data!L" &amp; 125)</f>
        <v>0</v>
      </c>
      <c r="S130" cm="1">
        <f t="array" aca="1" ref="S130" ca="1">INDIRECT("Data!M" &amp; 125)</f>
        <v>0</v>
      </c>
      <c r="T130" cm="1">
        <f t="array" aca="1" ref="T130" ca="1">INDIRECT("Data!N" &amp; 125)</f>
        <v>0</v>
      </c>
      <c r="U130" cm="1">
        <f t="array" aca="1" ref="U130" ca="1">INDIRECT("Data!O" &amp; 125)</f>
        <v>0</v>
      </c>
      <c r="V130" cm="1">
        <f t="array" aca="1" ref="V130" ca="1">INDIRECT("Data!P" &amp; 125)</f>
        <v>0</v>
      </c>
    </row>
    <row r="131" spans="7:22" x14ac:dyDescent="0.25">
      <c r="G131" cm="1">
        <f t="array" aca="1" ref="G131" ca="1">INDIRECT("Data!A" &amp; 126)</f>
        <v>0</v>
      </c>
      <c r="H131" s="21" cm="1">
        <f t="array" aca="1" ref="H131" ca="1">INDIRECT("Data!B" &amp; 126)</f>
        <v>0</v>
      </c>
      <c r="I131" s="21" cm="1">
        <f t="array" aca="1" ref="I131" ca="1">INDIRECT("Data!C" &amp; 126)</f>
        <v>0</v>
      </c>
      <c r="J131" cm="1">
        <f t="array" aca="1" ref="J131" ca="1">INDIRECT("Data!D" &amp; 126)</f>
        <v>0</v>
      </c>
      <c r="K131" cm="1">
        <f t="array" aca="1" ref="K131" ca="1">INDIRECT("Data!E" &amp; 126)</f>
        <v>0</v>
      </c>
      <c r="L131" cm="1">
        <f t="array" aca="1" ref="L131" ca="1">INDIRECT("Data!F" &amp; 126)</f>
        <v>0</v>
      </c>
      <c r="M131" cm="1">
        <f t="array" aca="1" ref="M131" ca="1">INDIRECT("Data!G" &amp; 126)</f>
        <v>0</v>
      </c>
      <c r="N131" cm="1">
        <f t="array" aca="1" ref="N131" ca="1">INDIRECT("Data!H" &amp; 126)</f>
        <v>0</v>
      </c>
      <c r="O131" cm="1">
        <f t="array" aca="1" ref="O131" ca="1">INDIRECT("Data!I" &amp; 126)</f>
        <v>0</v>
      </c>
      <c r="P131" s="21" cm="1">
        <f t="array" aca="1" ref="P131" ca="1">INDIRECT("Data!J" &amp; 126)</f>
        <v>0</v>
      </c>
      <c r="Q131" cm="1">
        <f t="array" aca="1" ref="Q131" ca="1">INDIRECT("Data!K" &amp; 126)</f>
        <v>0</v>
      </c>
      <c r="R131" cm="1">
        <f t="array" aca="1" ref="R131" ca="1">INDIRECT("Data!L" &amp; 126)</f>
        <v>0</v>
      </c>
      <c r="S131" cm="1">
        <f t="array" aca="1" ref="S131" ca="1">INDIRECT("Data!M" &amp; 126)</f>
        <v>0</v>
      </c>
      <c r="T131" cm="1">
        <f t="array" aca="1" ref="T131" ca="1">INDIRECT("Data!N" &amp; 126)</f>
        <v>0</v>
      </c>
      <c r="U131" cm="1">
        <f t="array" aca="1" ref="U131" ca="1">INDIRECT("Data!O" &amp; 126)</f>
        <v>0</v>
      </c>
      <c r="V131" cm="1">
        <f t="array" aca="1" ref="V131" ca="1">INDIRECT("Data!P" &amp; 126)</f>
        <v>0</v>
      </c>
    </row>
    <row r="132" spans="7:22" x14ac:dyDescent="0.25">
      <c r="G132" cm="1">
        <f t="array" aca="1" ref="G132" ca="1">INDIRECT("Data!A" &amp; 127)</f>
        <v>0</v>
      </c>
      <c r="H132" s="21" cm="1">
        <f t="array" aca="1" ref="H132" ca="1">INDIRECT("Data!B" &amp; 127)</f>
        <v>0</v>
      </c>
      <c r="I132" s="21" cm="1">
        <f t="array" aca="1" ref="I132" ca="1">INDIRECT("Data!C" &amp; 127)</f>
        <v>0</v>
      </c>
      <c r="J132" cm="1">
        <f t="array" aca="1" ref="J132" ca="1">INDIRECT("Data!D" &amp; 127)</f>
        <v>0</v>
      </c>
      <c r="K132" cm="1">
        <f t="array" aca="1" ref="K132" ca="1">INDIRECT("Data!E" &amp; 127)</f>
        <v>0</v>
      </c>
      <c r="L132" cm="1">
        <f t="array" aca="1" ref="L132" ca="1">INDIRECT("Data!F" &amp; 127)</f>
        <v>0</v>
      </c>
      <c r="M132" cm="1">
        <f t="array" aca="1" ref="M132" ca="1">INDIRECT("Data!G" &amp; 127)</f>
        <v>0</v>
      </c>
      <c r="N132" cm="1">
        <f t="array" aca="1" ref="N132" ca="1">INDIRECT("Data!H" &amp; 127)</f>
        <v>0</v>
      </c>
      <c r="O132" cm="1">
        <f t="array" aca="1" ref="O132" ca="1">INDIRECT("Data!I" &amp; 127)</f>
        <v>0</v>
      </c>
      <c r="P132" s="21" cm="1">
        <f t="array" aca="1" ref="P132" ca="1">INDIRECT("Data!J" &amp; 127)</f>
        <v>0</v>
      </c>
      <c r="Q132" cm="1">
        <f t="array" aca="1" ref="Q132" ca="1">INDIRECT("Data!K" &amp; 127)</f>
        <v>0</v>
      </c>
      <c r="R132" cm="1">
        <f t="array" aca="1" ref="R132" ca="1">INDIRECT("Data!L" &amp; 127)</f>
        <v>0</v>
      </c>
      <c r="S132" cm="1">
        <f t="array" aca="1" ref="S132" ca="1">INDIRECT("Data!M" &amp; 127)</f>
        <v>0</v>
      </c>
      <c r="T132" cm="1">
        <f t="array" aca="1" ref="T132" ca="1">INDIRECT("Data!N" &amp; 127)</f>
        <v>0</v>
      </c>
      <c r="U132" cm="1">
        <f t="array" aca="1" ref="U132" ca="1">INDIRECT("Data!O" &amp; 127)</f>
        <v>0</v>
      </c>
      <c r="V132" cm="1">
        <f t="array" aca="1" ref="V132" ca="1">INDIRECT("Data!P" &amp; 127)</f>
        <v>0</v>
      </c>
    </row>
    <row r="133" spans="7:22" x14ac:dyDescent="0.25">
      <c r="G133" cm="1">
        <f t="array" aca="1" ref="G133" ca="1">INDIRECT("Data!A" &amp; 128)</f>
        <v>0</v>
      </c>
      <c r="H133" s="21" cm="1">
        <f t="array" aca="1" ref="H133" ca="1">INDIRECT("Data!B" &amp; 128)</f>
        <v>0</v>
      </c>
      <c r="I133" s="21" cm="1">
        <f t="array" aca="1" ref="I133" ca="1">INDIRECT("Data!C" &amp; 128)</f>
        <v>0</v>
      </c>
      <c r="J133" cm="1">
        <f t="array" aca="1" ref="J133" ca="1">INDIRECT("Data!D" &amp; 128)</f>
        <v>0</v>
      </c>
      <c r="K133" cm="1">
        <f t="array" aca="1" ref="K133" ca="1">INDIRECT("Data!E" &amp; 128)</f>
        <v>0</v>
      </c>
      <c r="L133" cm="1">
        <f t="array" aca="1" ref="L133" ca="1">INDIRECT("Data!F" &amp; 128)</f>
        <v>0</v>
      </c>
      <c r="M133" cm="1">
        <f t="array" aca="1" ref="M133" ca="1">INDIRECT("Data!G" &amp; 128)</f>
        <v>0</v>
      </c>
      <c r="N133" cm="1">
        <f t="array" aca="1" ref="N133" ca="1">INDIRECT("Data!H" &amp; 128)</f>
        <v>0</v>
      </c>
      <c r="O133" cm="1">
        <f t="array" aca="1" ref="O133" ca="1">INDIRECT("Data!I" &amp; 128)</f>
        <v>0</v>
      </c>
      <c r="P133" s="21" cm="1">
        <f t="array" aca="1" ref="P133" ca="1">INDIRECT("Data!J" &amp; 128)</f>
        <v>0</v>
      </c>
      <c r="Q133" cm="1">
        <f t="array" aca="1" ref="Q133" ca="1">INDIRECT("Data!K" &amp; 128)</f>
        <v>0</v>
      </c>
      <c r="R133" cm="1">
        <f t="array" aca="1" ref="R133" ca="1">INDIRECT("Data!L" &amp; 128)</f>
        <v>0</v>
      </c>
      <c r="S133" cm="1">
        <f t="array" aca="1" ref="S133" ca="1">INDIRECT("Data!M" &amp; 128)</f>
        <v>0</v>
      </c>
      <c r="T133" cm="1">
        <f t="array" aca="1" ref="T133" ca="1">INDIRECT("Data!N" &amp; 128)</f>
        <v>0</v>
      </c>
      <c r="U133" cm="1">
        <f t="array" aca="1" ref="U133" ca="1">INDIRECT("Data!O" &amp; 128)</f>
        <v>0</v>
      </c>
      <c r="V133" cm="1">
        <f t="array" aca="1" ref="V133" ca="1">INDIRECT("Data!P" &amp; 128)</f>
        <v>0</v>
      </c>
    </row>
    <row r="134" spans="7:22" x14ac:dyDescent="0.25">
      <c r="G134" cm="1">
        <f t="array" aca="1" ref="G134" ca="1">INDIRECT("Data!A" &amp; 129)</f>
        <v>0</v>
      </c>
      <c r="H134" s="21" cm="1">
        <f t="array" aca="1" ref="H134" ca="1">INDIRECT("Data!B" &amp; 129)</f>
        <v>0</v>
      </c>
      <c r="I134" s="21" cm="1">
        <f t="array" aca="1" ref="I134" ca="1">INDIRECT("Data!C" &amp; 129)</f>
        <v>0</v>
      </c>
      <c r="J134" cm="1">
        <f t="array" aca="1" ref="J134" ca="1">INDIRECT("Data!D" &amp; 129)</f>
        <v>0</v>
      </c>
      <c r="K134" cm="1">
        <f t="array" aca="1" ref="K134" ca="1">INDIRECT("Data!E" &amp; 129)</f>
        <v>0</v>
      </c>
      <c r="L134" cm="1">
        <f t="array" aca="1" ref="L134" ca="1">INDIRECT("Data!F" &amp; 129)</f>
        <v>0</v>
      </c>
      <c r="M134" cm="1">
        <f t="array" aca="1" ref="M134" ca="1">INDIRECT("Data!G" &amp; 129)</f>
        <v>0</v>
      </c>
      <c r="N134" cm="1">
        <f t="array" aca="1" ref="N134" ca="1">INDIRECT("Data!H" &amp; 129)</f>
        <v>0</v>
      </c>
      <c r="O134" cm="1">
        <f t="array" aca="1" ref="O134" ca="1">INDIRECT("Data!I" &amp; 129)</f>
        <v>0</v>
      </c>
      <c r="P134" s="21" cm="1">
        <f t="array" aca="1" ref="P134" ca="1">INDIRECT("Data!J" &amp; 129)</f>
        <v>0</v>
      </c>
      <c r="Q134" cm="1">
        <f t="array" aca="1" ref="Q134" ca="1">INDIRECT("Data!K" &amp; 129)</f>
        <v>0</v>
      </c>
      <c r="R134" cm="1">
        <f t="array" aca="1" ref="R134" ca="1">INDIRECT("Data!L" &amp; 129)</f>
        <v>0</v>
      </c>
      <c r="S134" cm="1">
        <f t="array" aca="1" ref="S134" ca="1">INDIRECT("Data!M" &amp; 129)</f>
        <v>0</v>
      </c>
      <c r="T134" cm="1">
        <f t="array" aca="1" ref="T134" ca="1">INDIRECT("Data!N" &amp; 129)</f>
        <v>0</v>
      </c>
      <c r="U134" cm="1">
        <f t="array" aca="1" ref="U134" ca="1">INDIRECT("Data!O" &amp; 129)</f>
        <v>0</v>
      </c>
      <c r="V134" cm="1">
        <f t="array" aca="1" ref="V134" ca="1">INDIRECT("Data!P" &amp; 129)</f>
        <v>0</v>
      </c>
    </row>
    <row r="135" spans="7:22" x14ac:dyDescent="0.25">
      <c r="G135" cm="1">
        <f t="array" aca="1" ref="G135" ca="1">INDIRECT("Data!A" &amp; 130)</f>
        <v>0</v>
      </c>
      <c r="H135" s="21" cm="1">
        <f t="array" aca="1" ref="H135" ca="1">INDIRECT("Data!B" &amp; 130)</f>
        <v>0</v>
      </c>
      <c r="I135" s="21" cm="1">
        <f t="array" aca="1" ref="I135" ca="1">INDIRECT("Data!C" &amp; 130)</f>
        <v>0</v>
      </c>
      <c r="J135" cm="1">
        <f t="array" aca="1" ref="J135" ca="1">INDIRECT("Data!D" &amp; 130)</f>
        <v>0</v>
      </c>
      <c r="K135" cm="1">
        <f t="array" aca="1" ref="K135" ca="1">INDIRECT("Data!E" &amp; 130)</f>
        <v>0</v>
      </c>
      <c r="L135" cm="1">
        <f t="array" aca="1" ref="L135" ca="1">INDIRECT("Data!F" &amp; 130)</f>
        <v>0</v>
      </c>
      <c r="M135" cm="1">
        <f t="array" aca="1" ref="M135" ca="1">INDIRECT("Data!G" &amp; 130)</f>
        <v>0</v>
      </c>
      <c r="N135" cm="1">
        <f t="array" aca="1" ref="N135" ca="1">INDIRECT("Data!H" &amp; 130)</f>
        <v>0</v>
      </c>
      <c r="O135" cm="1">
        <f t="array" aca="1" ref="O135" ca="1">INDIRECT("Data!I" &amp; 130)</f>
        <v>0</v>
      </c>
      <c r="P135" s="21" cm="1">
        <f t="array" aca="1" ref="P135" ca="1">INDIRECT("Data!J" &amp; 130)</f>
        <v>0</v>
      </c>
      <c r="Q135" cm="1">
        <f t="array" aca="1" ref="Q135" ca="1">INDIRECT("Data!K" &amp; 130)</f>
        <v>0</v>
      </c>
      <c r="R135" cm="1">
        <f t="array" aca="1" ref="R135" ca="1">INDIRECT("Data!L" &amp; 130)</f>
        <v>0</v>
      </c>
      <c r="S135" cm="1">
        <f t="array" aca="1" ref="S135" ca="1">INDIRECT("Data!M" &amp; 130)</f>
        <v>0</v>
      </c>
      <c r="T135" cm="1">
        <f t="array" aca="1" ref="T135" ca="1">INDIRECT("Data!N" &amp; 130)</f>
        <v>0</v>
      </c>
      <c r="U135" cm="1">
        <f t="array" aca="1" ref="U135" ca="1">INDIRECT("Data!O" &amp; 130)</f>
        <v>0</v>
      </c>
      <c r="V135" cm="1">
        <f t="array" aca="1" ref="V135" ca="1">INDIRECT("Data!P" &amp; 130)</f>
        <v>0</v>
      </c>
    </row>
    <row r="136" spans="7:22" x14ac:dyDescent="0.25">
      <c r="G136" cm="1">
        <f t="array" aca="1" ref="G136" ca="1">INDIRECT("Data!A" &amp; 131)</f>
        <v>0</v>
      </c>
      <c r="H136" s="21" cm="1">
        <f t="array" aca="1" ref="H136" ca="1">INDIRECT("Data!B" &amp; 131)</f>
        <v>0</v>
      </c>
      <c r="I136" s="21" cm="1">
        <f t="array" aca="1" ref="I136" ca="1">INDIRECT("Data!C" &amp; 131)</f>
        <v>0</v>
      </c>
      <c r="J136" cm="1">
        <f t="array" aca="1" ref="J136" ca="1">INDIRECT("Data!D" &amp; 131)</f>
        <v>0</v>
      </c>
      <c r="K136" cm="1">
        <f t="array" aca="1" ref="K136" ca="1">INDIRECT("Data!E" &amp; 131)</f>
        <v>0</v>
      </c>
      <c r="L136" cm="1">
        <f t="array" aca="1" ref="L136" ca="1">INDIRECT("Data!F" &amp; 131)</f>
        <v>0</v>
      </c>
      <c r="M136" cm="1">
        <f t="array" aca="1" ref="M136" ca="1">INDIRECT("Data!G" &amp; 131)</f>
        <v>0</v>
      </c>
      <c r="N136" cm="1">
        <f t="array" aca="1" ref="N136" ca="1">INDIRECT("Data!H" &amp; 131)</f>
        <v>0</v>
      </c>
      <c r="O136" cm="1">
        <f t="array" aca="1" ref="O136" ca="1">INDIRECT("Data!I" &amp; 131)</f>
        <v>0</v>
      </c>
      <c r="P136" s="21" cm="1">
        <f t="array" aca="1" ref="P136" ca="1">INDIRECT("Data!J" &amp; 131)</f>
        <v>0</v>
      </c>
      <c r="Q136" cm="1">
        <f t="array" aca="1" ref="Q136" ca="1">INDIRECT("Data!K" &amp; 131)</f>
        <v>0</v>
      </c>
      <c r="R136" cm="1">
        <f t="array" aca="1" ref="R136" ca="1">INDIRECT("Data!L" &amp; 131)</f>
        <v>0</v>
      </c>
      <c r="S136" cm="1">
        <f t="array" aca="1" ref="S136" ca="1">INDIRECT("Data!M" &amp; 131)</f>
        <v>0</v>
      </c>
      <c r="T136" cm="1">
        <f t="array" aca="1" ref="T136" ca="1">INDIRECT("Data!N" &amp; 131)</f>
        <v>0</v>
      </c>
      <c r="U136" cm="1">
        <f t="array" aca="1" ref="U136" ca="1">INDIRECT("Data!O" &amp; 131)</f>
        <v>0</v>
      </c>
      <c r="V136" cm="1">
        <f t="array" aca="1" ref="V136" ca="1">INDIRECT("Data!P" &amp; 131)</f>
        <v>0</v>
      </c>
    </row>
    <row r="137" spans="7:22" x14ac:dyDescent="0.25">
      <c r="G137" cm="1">
        <f t="array" aca="1" ref="G137" ca="1">INDIRECT("Data!A" &amp; 132)</f>
        <v>0</v>
      </c>
      <c r="H137" s="21" cm="1">
        <f t="array" aca="1" ref="H137" ca="1">INDIRECT("Data!B" &amp; 132)</f>
        <v>0</v>
      </c>
      <c r="I137" s="21" cm="1">
        <f t="array" aca="1" ref="I137" ca="1">INDIRECT("Data!C" &amp; 132)</f>
        <v>0</v>
      </c>
      <c r="J137" cm="1">
        <f t="array" aca="1" ref="J137" ca="1">INDIRECT("Data!D" &amp; 132)</f>
        <v>0</v>
      </c>
      <c r="K137" cm="1">
        <f t="array" aca="1" ref="K137" ca="1">INDIRECT("Data!E" &amp; 132)</f>
        <v>0</v>
      </c>
      <c r="L137" cm="1">
        <f t="array" aca="1" ref="L137" ca="1">INDIRECT("Data!F" &amp; 132)</f>
        <v>0</v>
      </c>
      <c r="M137" cm="1">
        <f t="array" aca="1" ref="M137" ca="1">INDIRECT("Data!G" &amp; 132)</f>
        <v>0</v>
      </c>
      <c r="N137" cm="1">
        <f t="array" aca="1" ref="N137" ca="1">INDIRECT("Data!H" &amp; 132)</f>
        <v>0</v>
      </c>
      <c r="O137" cm="1">
        <f t="array" aca="1" ref="O137" ca="1">INDIRECT("Data!I" &amp; 132)</f>
        <v>0</v>
      </c>
      <c r="P137" s="21" cm="1">
        <f t="array" aca="1" ref="P137" ca="1">INDIRECT("Data!J" &amp; 132)</f>
        <v>0</v>
      </c>
      <c r="Q137" cm="1">
        <f t="array" aca="1" ref="Q137" ca="1">INDIRECT("Data!K" &amp; 132)</f>
        <v>0</v>
      </c>
      <c r="R137" cm="1">
        <f t="array" aca="1" ref="R137" ca="1">INDIRECT("Data!L" &amp; 132)</f>
        <v>0</v>
      </c>
      <c r="S137" cm="1">
        <f t="array" aca="1" ref="S137" ca="1">INDIRECT("Data!M" &amp; 132)</f>
        <v>0</v>
      </c>
      <c r="T137" cm="1">
        <f t="array" aca="1" ref="T137" ca="1">INDIRECT("Data!N" &amp; 132)</f>
        <v>0</v>
      </c>
      <c r="U137" cm="1">
        <f t="array" aca="1" ref="U137" ca="1">INDIRECT("Data!O" &amp; 132)</f>
        <v>0</v>
      </c>
      <c r="V137" cm="1">
        <f t="array" aca="1" ref="V137" ca="1">INDIRECT("Data!P" &amp; 132)</f>
        <v>0</v>
      </c>
    </row>
    <row r="138" spans="7:22" x14ac:dyDescent="0.25">
      <c r="G138" cm="1">
        <f t="array" aca="1" ref="G138" ca="1">INDIRECT("Data!A" &amp; 133)</f>
        <v>0</v>
      </c>
      <c r="H138" s="21" cm="1">
        <f t="array" aca="1" ref="H138" ca="1">INDIRECT("Data!B" &amp; 133)</f>
        <v>0</v>
      </c>
      <c r="I138" s="21" cm="1">
        <f t="array" aca="1" ref="I138" ca="1">INDIRECT("Data!C" &amp; 133)</f>
        <v>0</v>
      </c>
      <c r="J138" cm="1">
        <f t="array" aca="1" ref="J138" ca="1">INDIRECT("Data!D" &amp; 133)</f>
        <v>0</v>
      </c>
      <c r="K138" cm="1">
        <f t="array" aca="1" ref="K138" ca="1">INDIRECT("Data!E" &amp; 133)</f>
        <v>0</v>
      </c>
      <c r="L138" cm="1">
        <f t="array" aca="1" ref="L138" ca="1">INDIRECT("Data!F" &amp; 133)</f>
        <v>0</v>
      </c>
      <c r="M138" cm="1">
        <f t="array" aca="1" ref="M138" ca="1">INDIRECT("Data!G" &amp; 133)</f>
        <v>0</v>
      </c>
      <c r="N138" cm="1">
        <f t="array" aca="1" ref="N138" ca="1">INDIRECT("Data!H" &amp; 133)</f>
        <v>0</v>
      </c>
      <c r="O138" cm="1">
        <f t="array" aca="1" ref="O138" ca="1">INDIRECT("Data!I" &amp; 133)</f>
        <v>0</v>
      </c>
      <c r="P138" s="21" cm="1">
        <f t="array" aca="1" ref="P138" ca="1">INDIRECT("Data!J" &amp; 133)</f>
        <v>0</v>
      </c>
      <c r="Q138" cm="1">
        <f t="array" aca="1" ref="Q138" ca="1">INDIRECT("Data!K" &amp; 133)</f>
        <v>0</v>
      </c>
      <c r="R138" cm="1">
        <f t="array" aca="1" ref="R138" ca="1">INDIRECT("Data!L" &amp; 133)</f>
        <v>0</v>
      </c>
      <c r="S138" cm="1">
        <f t="array" aca="1" ref="S138" ca="1">INDIRECT("Data!M" &amp; 133)</f>
        <v>0</v>
      </c>
      <c r="T138" cm="1">
        <f t="array" aca="1" ref="T138" ca="1">INDIRECT("Data!N" &amp; 133)</f>
        <v>0</v>
      </c>
      <c r="U138" cm="1">
        <f t="array" aca="1" ref="U138" ca="1">INDIRECT("Data!O" &amp; 133)</f>
        <v>0</v>
      </c>
      <c r="V138" cm="1">
        <f t="array" aca="1" ref="V138" ca="1">INDIRECT("Data!P" &amp; 133)</f>
        <v>0</v>
      </c>
    </row>
    <row r="139" spans="7:22" x14ac:dyDescent="0.25">
      <c r="G139" cm="1">
        <f t="array" aca="1" ref="G139" ca="1">INDIRECT("Data!A" &amp; 134)</f>
        <v>0</v>
      </c>
      <c r="H139" s="21" cm="1">
        <f t="array" aca="1" ref="H139" ca="1">INDIRECT("Data!B" &amp; 134)</f>
        <v>0</v>
      </c>
      <c r="I139" s="21" cm="1">
        <f t="array" aca="1" ref="I139" ca="1">INDIRECT("Data!C" &amp; 134)</f>
        <v>0</v>
      </c>
      <c r="J139" cm="1">
        <f t="array" aca="1" ref="J139" ca="1">INDIRECT("Data!D" &amp; 134)</f>
        <v>0</v>
      </c>
      <c r="K139" cm="1">
        <f t="array" aca="1" ref="K139" ca="1">INDIRECT("Data!E" &amp; 134)</f>
        <v>0</v>
      </c>
      <c r="L139" cm="1">
        <f t="array" aca="1" ref="L139" ca="1">INDIRECT("Data!F" &amp; 134)</f>
        <v>0</v>
      </c>
      <c r="M139" cm="1">
        <f t="array" aca="1" ref="M139" ca="1">INDIRECT("Data!G" &amp; 134)</f>
        <v>0</v>
      </c>
      <c r="N139" cm="1">
        <f t="array" aca="1" ref="N139" ca="1">INDIRECT("Data!H" &amp; 134)</f>
        <v>0</v>
      </c>
      <c r="O139" cm="1">
        <f t="array" aca="1" ref="O139" ca="1">INDIRECT("Data!I" &amp; 134)</f>
        <v>0</v>
      </c>
      <c r="P139" s="21" cm="1">
        <f t="array" aca="1" ref="P139" ca="1">INDIRECT("Data!J" &amp; 134)</f>
        <v>0</v>
      </c>
      <c r="Q139" cm="1">
        <f t="array" aca="1" ref="Q139" ca="1">INDIRECT("Data!K" &amp; 134)</f>
        <v>0</v>
      </c>
      <c r="R139" cm="1">
        <f t="array" aca="1" ref="R139" ca="1">INDIRECT("Data!L" &amp; 134)</f>
        <v>0</v>
      </c>
      <c r="S139" cm="1">
        <f t="array" aca="1" ref="S139" ca="1">INDIRECT("Data!M" &amp; 134)</f>
        <v>0</v>
      </c>
      <c r="T139" cm="1">
        <f t="array" aca="1" ref="T139" ca="1">INDIRECT("Data!N" &amp; 134)</f>
        <v>0</v>
      </c>
      <c r="U139" cm="1">
        <f t="array" aca="1" ref="U139" ca="1">INDIRECT("Data!O" &amp; 134)</f>
        <v>0</v>
      </c>
      <c r="V139" cm="1">
        <f t="array" aca="1" ref="V139" ca="1">INDIRECT("Data!P" &amp; 134)</f>
        <v>0</v>
      </c>
    </row>
    <row r="140" spans="7:22" x14ac:dyDescent="0.25">
      <c r="G140" cm="1">
        <f t="array" aca="1" ref="G140" ca="1">INDIRECT("Data!A" &amp; 135)</f>
        <v>0</v>
      </c>
      <c r="H140" s="21" cm="1">
        <f t="array" aca="1" ref="H140" ca="1">INDIRECT("Data!B" &amp; 135)</f>
        <v>0</v>
      </c>
      <c r="I140" s="21" cm="1">
        <f t="array" aca="1" ref="I140" ca="1">INDIRECT("Data!C" &amp; 135)</f>
        <v>0</v>
      </c>
      <c r="J140" cm="1">
        <f t="array" aca="1" ref="J140" ca="1">INDIRECT("Data!D" &amp; 135)</f>
        <v>0</v>
      </c>
      <c r="K140" cm="1">
        <f t="array" aca="1" ref="K140" ca="1">INDIRECT("Data!E" &amp; 135)</f>
        <v>0</v>
      </c>
      <c r="L140" cm="1">
        <f t="array" aca="1" ref="L140" ca="1">INDIRECT("Data!F" &amp; 135)</f>
        <v>0</v>
      </c>
      <c r="M140" cm="1">
        <f t="array" aca="1" ref="M140" ca="1">INDIRECT("Data!G" &amp; 135)</f>
        <v>0</v>
      </c>
      <c r="N140" cm="1">
        <f t="array" aca="1" ref="N140" ca="1">INDIRECT("Data!H" &amp; 135)</f>
        <v>0</v>
      </c>
      <c r="O140" cm="1">
        <f t="array" aca="1" ref="O140" ca="1">INDIRECT("Data!I" &amp; 135)</f>
        <v>0</v>
      </c>
      <c r="P140" s="21" cm="1">
        <f t="array" aca="1" ref="P140" ca="1">INDIRECT("Data!J" &amp; 135)</f>
        <v>0</v>
      </c>
      <c r="Q140" cm="1">
        <f t="array" aca="1" ref="Q140" ca="1">INDIRECT("Data!K" &amp; 135)</f>
        <v>0</v>
      </c>
      <c r="R140" cm="1">
        <f t="array" aca="1" ref="R140" ca="1">INDIRECT("Data!L" &amp; 135)</f>
        <v>0</v>
      </c>
      <c r="S140" cm="1">
        <f t="array" aca="1" ref="S140" ca="1">INDIRECT("Data!M" &amp; 135)</f>
        <v>0</v>
      </c>
      <c r="T140" cm="1">
        <f t="array" aca="1" ref="T140" ca="1">INDIRECT("Data!N" &amp; 135)</f>
        <v>0</v>
      </c>
      <c r="U140" cm="1">
        <f t="array" aca="1" ref="U140" ca="1">INDIRECT("Data!O" &amp; 135)</f>
        <v>0</v>
      </c>
      <c r="V140" cm="1">
        <f t="array" aca="1" ref="V140" ca="1">INDIRECT("Data!P" &amp; 135)</f>
        <v>0</v>
      </c>
    </row>
    <row r="141" spans="7:22" x14ac:dyDescent="0.25">
      <c r="G141" cm="1">
        <f t="array" aca="1" ref="G141" ca="1">INDIRECT("Data!A" &amp; 136)</f>
        <v>0</v>
      </c>
      <c r="H141" s="21" cm="1">
        <f t="array" aca="1" ref="H141" ca="1">INDIRECT("Data!B" &amp; 136)</f>
        <v>0</v>
      </c>
      <c r="I141" s="21" cm="1">
        <f t="array" aca="1" ref="I141" ca="1">INDIRECT("Data!C" &amp; 136)</f>
        <v>0</v>
      </c>
      <c r="J141" cm="1">
        <f t="array" aca="1" ref="J141" ca="1">INDIRECT("Data!D" &amp; 136)</f>
        <v>0</v>
      </c>
      <c r="K141" cm="1">
        <f t="array" aca="1" ref="K141" ca="1">INDIRECT("Data!E" &amp; 136)</f>
        <v>0</v>
      </c>
      <c r="L141" cm="1">
        <f t="array" aca="1" ref="L141" ca="1">INDIRECT("Data!F" &amp; 136)</f>
        <v>0</v>
      </c>
      <c r="M141" cm="1">
        <f t="array" aca="1" ref="M141" ca="1">INDIRECT("Data!G" &amp; 136)</f>
        <v>0</v>
      </c>
      <c r="N141" cm="1">
        <f t="array" aca="1" ref="N141" ca="1">INDIRECT("Data!H" &amp; 136)</f>
        <v>0</v>
      </c>
      <c r="O141" cm="1">
        <f t="array" aca="1" ref="O141" ca="1">INDIRECT("Data!I" &amp; 136)</f>
        <v>0</v>
      </c>
      <c r="P141" s="21" cm="1">
        <f t="array" aca="1" ref="P141" ca="1">INDIRECT("Data!J" &amp; 136)</f>
        <v>0</v>
      </c>
      <c r="Q141" cm="1">
        <f t="array" aca="1" ref="Q141" ca="1">INDIRECT("Data!K" &amp; 136)</f>
        <v>0</v>
      </c>
      <c r="R141" cm="1">
        <f t="array" aca="1" ref="R141" ca="1">INDIRECT("Data!L" &amp; 136)</f>
        <v>0</v>
      </c>
      <c r="S141" cm="1">
        <f t="array" aca="1" ref="S141" ca="1">INDIRECT("Data!M" &amp; 136)</f>
        <v>0</v>
      </c>
      <c r="T141" cm="1">
        <f t="array" aca="1" ref="T141" ca="1">INDIRECT("Data!N" &amp; 136)</f>
        <v>0</v>
      </c>
      <c r="U141" cm="1">
        <f t="array" aca="1" ref="U141" ca="1">INDIRECT("Data!O" &amp; 136)</f>
        <v>0</v>
      </c>
      <c r="V141" cm="1">
        <f t="array" aca="1" ref="V141" ca="1">INDIRECT("Data!P" &amp; 136)</f>
        <v>0</v>
      </c>
    </row>
    <row r="142" spans="7:22" x14ac:dyDescent="0.25">
      <c r="G142" cm="1">
        <f t="array" aca="1" ref="G142" ca="1">INDIRECT("Data!A" &amp; 137)</f>
        <v>0</v>
      </c>
      <c r="H142" s="21" cm="1">
        <f t="array" aca="1" ref="H142" ca="1">INDIRECT("Data!B" &amp; 137)</f>
        <v>0</v>
      </c>
      <c r="I142" s="21" cm="1">
        <f t="array" aca="1" ref="I142" ca="1">INDIRECT("Data!C" &amp; 137)</f>
        <v>0</v>
      </c>
      <c r="J142" cm="1">
        <f t="array" aca="1" ref="J142" ca="1">INDIRECT("Data!D" &amp; 137)</f>
        <v>0</v>
      </c>
      <c r="K142" cm="1">
        <f t="array" aca="1" ref="K142" ca="1">INDIRECT("Data!E" &amp; 137)</f>
        <v>0</v>
      </c>
      <c r="L142" cm="1">
        <f t="array" aca="1" ref="L142" ca="1">INDIRECT("Data!F" &amp; 137)</f>
        <v>0</v>
      </c>
      <c r="M142" cm="1">
        <f t="array" aca="1" ref="M142" ca="1">INDIRECT("Data!G" &amp; 137)</f>
        <v>0</v>
      </c>
      <c r="N142" cm="1">
        <f t="array" aca="1" ref="N142" ca="1">INDIRECT("Data!H" &amp; 137)</f>
        <v>0</v>
      </c>
      <c r="O142" cm="1">
        <f t="array" aca="1" ref="O142" ca="1">INDIRECT("Data!I" &amp; 137)</f>
        <v>0</v>
      </c>
      <c r="P142" s="21" cm="1">
        <f t="array" aca="1" ref="P142" ca="1">INDIRECT("Data!J" &amp; 137)</f>
        <v>0</v>
      </c>
      <c r="Q142" cm="1">
        <f t="array" aca="1" ref="Q142" ca="1">INDIRECT("Data!K" &amp; 137)</f>
        <v>0</v>
      </c>
      <c r="R142" cm="1">
        <f t="array" aca="1" ref="R142" ca="1">INDIRECT("Data!L" &amp; 137)</f>
        <v>0</v>
      </c>
      <c r="S142" cm="1">
        <f t="array" aca="1" ref="S142" ca="1">INDIRECT("Data!M" &amp; 137)</f>
        <v>0</v>
      </c>
      <c r="T142" cm="1">
        <f t="array" aca="1" ref="T142" ca="1">INDIRECT("Data!N" &amp; 137)</f>
        <v>0</v>
      </c>
      <c r="U142" cm="1">
        <f t="array" aca="1" ref="U142" ca="1">INDIRECT("Data!O" &amp; 137)</f>
        <v>0</v>
      </c>
      <c r="V142" cm="1">
        <f t="array" aca="1" ref="V142" ca="1">INDIRECT("Data!P" &amp; 137)</f>
        <v>0</v>
      </c>
    </row>
    <row r="143" spans="7:22" x14ac:dyDescent="0.25">
      <c r="G143" cm="1">
        <f t="array" aca="1" ref="G143" ca="1">INDIRECT("Data!A" &amp; 138)</f>
        <v>0</v>
      </c>
      <c r="H143" s="21" cm="1">
        <f t="array" aca="1" ref="H143" ca="1">INDIRECT("Data!B" &amp; 138)</f>
        <v>0</v>
      </c>
      <c r="I143" s="21" cm="1">
        <f t="array" aca="1" ref="I143" ca="1">INDIRECT("Data!C" &amp; 138)</f>
        <v>0</v>
      </c>
      <c r="J143" cm="1">
        <f t="array" aca="1" ref="J143" ca="1">INDIRECT("Data!D" &amp; 138)</f>
        <v>0</v>
      </c>
      <c r="K143" cm="1">
        <f t="array" aca="1" ref="K143" ca="1">INDIRECT("Data!E" &amp; 138)</f>
        <v>0</v>
      </c>
      <c r="L143" cm="1">
        <f t="array" aca="1" ref="L143" ca="1">INDIRECT("Data!F" &amp; 138)</f>
        <v>0</v>
      </c>
      <c r="M143" cm="1">
        <f t="array" aca="1" ref="M143" ca="1">INDIRECT("Data!G" &amp; 138)</f>
        <v>0</v>
      </c>
      <c r="N143" cm="1">
        <f t="array" aca="1" ref="N143" ca="1">INDIRECT("Data!H" &amp; 138)</f>
        <v>0</v>
      </c>
      <c r="O143" cm="1">
        <f t="array" aca="1" ref="O143" ca="1">INDIRECT("Data!I" &amp; 138)</f>
        <v>0</v>
      </c>
      <c r="P143" s="21" cm="1">
        <f t="array" aca="1" ref="P143" ca="1">INDIRECT("Data!J" &amp; 138)</f>
        <v>0</v>
      </c>
      <c r="Q143" cm="1">
        <f t="array" aca="1" ref="Q143" ca="1">INDIRECT("Data!K" &amp; 138)</f>
        <v>0</v>
      </c>
      <c r="R143" cm="1">
        <f t="array" aca="1" ref="R143" ca="1">INDIRECT("Data!L" &amp; 138)</f>
        <v>0</v>
      </c>
      <c r="S143" cm="1">
        <f t="array" aca="1" ref="S143" ca="1">INDIRECT("Data!M" &amp; 138)</f>
        <v>0</v>
      </c>
      <c r="T143" cm="1">
        <f t="array" aca="1" ref="T143" ca="1">INDIRECT("Data!N" &amp; 138)</f>
        <v>0</v>
      </c>
      <c r="U143" cm="1">
        <f t="array" aca="1" ref="U143" ca="1">INDIRECT("Data!O" &amp; 138)</f>
        <v>0</v>
      </c>
      <c r="V143" cm="1">
        <f t="array" aca="1" ref="V143" ca="1">INDIRECT("Data!P" &amp; 138)</f>
        <v>0</v>
      </c>
    </row>
    <row r="144" spans="7:22" x14ac:dyDescent="0.25">
      <c r="G144" cm="1">
        <f t="array" aca="1" ref="G144" ca="1">INDIRECT("Data!A" &amp; 139)</f>
        <v>0</v>
      </c>
      <c r="H144" s="21" cm="1">
        <f t="array" aca="1" ref="H144" ca="1">INDIRECT("Data!B" &amp; 139)</f>
        <v>0</v>
      </c>
      <c r="I144" s="21" cm="1">
        <f t="array" aca="1" ref="I144" ca="1">INDIRECT("Data!C" &amp; 139)</f>
        <v>0</v>
      </c>
      <c r="J144" cm="1">
        <f t="array" aca="1" ref="J144" ca="1">INDIRECT("Data!D" &amp; 139)</f>
        <v>0</v>
      </c>
      <c r="K144" cm="1">
        <f t="array" aca="1" ref="K144" ca="1">INDIRECT("Data!E" &amp; 139)</f>
        <v>0</v>
      </c>
      <c r="L144" cm="1">
        <f t="array" aca="1" ref="L144" ca="1">INDIRECT("Data!F" &amp; 139)</f>
        <v>0</v>
      </c>
      <c r="M144" cm="1">
        <f t="array" aca="1" ref="M144" ca="1">INDIRECT("Data!G" &amp; 139)</f>
        <v>0</v>
      </c>
      <c r="N144" cm="1">
        <f t="array" aca="1" ref="N144" ca="1">INDIRECT("Data!H" &amp; 139)</f>
        <v>0</v>
      </c>
      <c r="O144" cm="1">
        <f t="array" aca="1" ref="O144" ca="1">INDIRECT("Data!I" &amp; 139)</f>
        <v>0</v>
      </c>
      <c r="P144" s="21" cm="1">
        <f t="array" aca="1" ref="P144" ca="1">INDIRECT("Data!J" &amp; 139)</f>
        <v>0</v>
      </c>
      <c r="Q144" cm="1">
        <f t="array" aca="1" ref="Q144" ca="1">INDIRECT("Data!K" &amp; 139)</f>
        <v>0</v>
      </c>
      <c r="R144" cm="1">
        <f t="array" aca="1" ref="R144" ca="1">INDIRECT("Data!L" &amp; 139)</f>
        <v>0</v>
      </c>
      <c r="S144" cm="1">
        <f t="array" aca="1" ref="S144" ca="1">INDIRECT("Data!M" &amp; 139)</f>
        <v>0</v>
      </c>
      <c r="T144" cm="1">
        <f t="array" aca="1" ref="T144" ca="1">INDIRECT("Data!N" &amp; 139)</f>
        <v>0</v>
      </c>
      <c r="U144" cm="1">
        <f t="array" aca="1" ref="U144" ca="1">INDIRECT("Data!O" &amp; 139)</f>
        <v>0</v>
      </c>
      <c r="V144" cm="1">
        <f t="array" aca="1" ref="V144" ca="1">INDIRECT("Data!P" &amp; 139)</f>
        <v>0</v>
      </c>
    </row>
    <row r="145" spans="7:22" x14ac:dyDescent="0.25">
      <c r="G145" cm="1">
        <f t="array" aca="1" ref="G145" ca="1">INDIRECT("Data!A" &amp; 140)</f>
        <v>0</v>
      </c>
      <c r="H145" s="21" cm="1">
        <f t="array" aca="1" ref="H145" ca="1">INDIRECT("Data!B" &amp; 140)</f>
        <v>0</v>
      </c>
      <c r="I145" s="21" cm="1">
        <f t="array" aca="1" ref="I145" ca="1">INDIRECT("Data!C" &amp; 140)</f>
        <v>0</v>
      </c>
      <c r="J145" cm="1">
        <f t="array" aca="1" ref="J145" ca="1">INDIRECT("Data!D" &amp; 140)</f>
        <v>0</v>
      </c>
      <c r="K145" cm="1">
        <f t="array" aca="1" ref="K145" ca="1">INDIRECT("Data!E" &amp; 140)</f>
        <v>0</v>
      </c>
      <c r="L145" cm="1">
        <f t="array" aca="1" ref="L145" ca="1">INDIRECT("Data!F" &amp; 140)</f>
        <v>0</v>
      </c>
      <c r="M145" cm="1">
        <f t="array" aca="1" ref="M145" ca="1">INDIRECT("Data!G" &amp; 140)</f>
        <v>0</v>
      </c>
      <c r="N145" cm="1">
        <f t="array" aca="1" ref="N145" ca="1">INDIRECT("Data!H" &amp; 140)</f>
        <v>0</v>
      </c>
      <c r="O145" cm="1">
        <f t="array" aca="1" ref="O145" ca="1">INDIRECT("Data!I" &amp; 140)</f>
        <v>0</v>
      </c>
      <c r="P145" s="21" cm="1">
        <f t="array" aca="1" ref="P145" ca="1">INDIRECT("Data!J" &amp; 140)</f>
        <v>0</v>
      </c>
      <c r="Q145" cm="1">
        <f t="array" aca="1" ref="Q145" ca="1">INDIRECT("Data!K" &amp; 140)</f>
        <v>0</v>
      </c>
      <c r="R145" cm="1">
        <f t="array" aca="1" ref="R145" ca="1">INDIRECT("Data!L" &amp; 140)</f>
        <v>0</v>
      </c>
      <c r="S145" cm="1">
        <f t="array" aca="1" ref="S145" ca="1">INDIRECT("Data!M" &amp; 140)</f>
        <v>0</v>
      </c>
      <c r="T145" cm="1">
        <f t="array" aca="1" ref="T145" ca="1">INDIRECT("Data!N" &amp; 140)</f>
        <v>0</v>
      </c>
      <c r="U145" cm="1">
        <f t="array" aca="1" ref="U145" ca="1">INDIRECT("Data!O" &amp; 140)</f>
        <v>0</v>
      </c>
      <c r="V145" cm="1">
        <f t="array" aca="1" ref="V145" ca="1">INDIRECT("Data!P" &amp; 140)</f>
        <v>0</v>
      </c>
    </row>
    <row r="146" spans="7:22" x14ac:dyDescent="0.25">
      <c r="G146" cm="1">
        <f t="array" aca="1" ref="G146" ca="1">INDIRECT("Data!A" &amp; 141)</f>
        <v>0</v>
      </c>
      <c r="H146" s="21" cm="1">
        <f t="array" aca="1" ref="H146" ca="1">INDIRECT("Data!B" &amp; 141)</f>
        <v>0</v>
      </c>
      <c r="I146" s="21" cm="1">
        <f t="array" aca="1" ref="I146" ca="1">INDIRECT("Data!C" &amp; 141)</f>
        <v>0</v>
      </c>
      <c r="J146" cm="1">
        <f t="array" aca="1" ref="J146" ca="1">INDIRECT("Data!D" &amp; 141)</f>
        <v>0</v>
      </c>
      <c r="K146" cm="1">
        <f t="array" aca="1" ref="K146" ca="1">INDIRECT("Data!E" &amp; 141)</f>
        <v>0</v>
      </c>
      <c r="L146" cm="1">
        <f t="array" aca="1" ref="L146" ca="1">INDIRECT("Data!F" &amp; 141)</f>
        <v>0</v>
      </c>
      <c r="M146" cm="1">
        <f t="array" aca="1" ref="M146" ca="1">INDIRECT("Data!G" &amp; 141)</f>
        <v>0</v>
      </c>
      <c r="N146" cm="1">
        <f t="array" aca="1" ref="N146" ca="1">INDIRECT("Data!H" &amp; 141)</f>
        <v>0</v>
      </c>
      <c r="O146" cm="1">
        <f t="array" aca="1" ref="O146" ca="1">INDIRECT("Data!I" &amp; 141)</f>
        <v>0</v>
      </c>
      <c r="P146" s="21" cm="1">
        <f t="array" aca="1" ref="P146" ca="1">INDIRECT("Data!J" &amp; 141)</f>
        <v>0</v>
      </c>
      <c r="Q146" cm="1">
        <f t="array" aca="1" ref="Q146" ca="1">INDIRECT("Data!K" &amp; 141)</f>
        <v>0</v>
      </c>
      <c r="R146" cm="1">
        <f t="array" aca="1" ref="R146" ca="1">INDIRECT("Data!L" &amp; 141)</f>
        <v>0</v>
      </c>
      <c r="S146" cm="1">
        <f t="array" aca="1" ref="S146" ca="1">INDIRECT("Data!M" &amp; 141)</f>
        <v>0</v>
      </c>
      <c r="T146" cm="1">
        <f t="array" aca="1" ref="T146" ca="1">INDIRECT("Data!N" &amp; 141)</f>
        <v>0</v>
      </c>
      <c r="U146" cm="1">
        <f t="array" aca="1" ref="U146" ca="1">INDIRECT("Data!O" &amp; 141)</f>
        <v>0</v>
      </c>
      <c r="V146" cm="1">
        <f t="array" aca="1" ref="V146" ca="1">INDIRECT("Data!P" &amp; 141)</f>
        <v>0</v>
      </c>
    </row>
    <row r="147" spans="7:22" x14ac:dyDescent="0.25">
      <c r="G147" cm="1">
        <f t="array" aca="1" ref="G147" ca="1">INDIRECT("Data!A" &amp; 142)</f>
        <v>0</v>
      </c>
      <c r="H147" s="21" cm="1">
        <f t="array" aca="1" ref="H147" ca="1">INDIRECT("Data!B" &amp; 142)</f>
        <v>0</v>
      </c>
      <c r="I147" s="21" cm="1">
        <f t="array" aca="1" ref="I147" ca="1">INDIRECT("Data!C" &amp; 142)</f>
        <v>0</v>
      </c>
      <c r="J147" cm="1">
        <f t="array" aca="1" ref="J147" ca="1">INDIRECT("Data!D" &amp; 142)</f>
        <v>0</v>
      </c>
      <c r="K147" cm="1">
        <f t="array" aca="1" ref="K147" ca="1">INDIRECT("Data!E" &amp; 142)</f>
        <v>0</v>
      </c>
      <c r="L147" cm="1">
        <f t="array" aca="1" ref="L147" ca="1">INDIRECT("Data!F" &amp; 142)</f>
        <v>0</v>
      </c>
      <c r="M147" cm="1">
        <f t="array" aca="1" ref="M147" ca="1">INDIRECT("Data!G" &amp; 142)</f>
        <v>0</v>
      </c>
      <c r="N147" cm="1">
        <f t="array" aca="1" ref="N147" ca="1">INDIRECT("Data!H" &amp; 142)</f>
        <v>0</v>
      </c>
      <c r="O147" cm="1">
        <f t="array" aca="1" ref="O147" ca="1">INDIRECT("Data!I" &amp; 142)</f>
        <v>0</v>
      </c>
      <c r="P147" s="21" cm="1">
        <f t="array" aca="1" ref="P147" ca="1">INDIRECT("Data!J" &amp; 142)</f>
        <v>0</v>
      </c>
      <c r="Q147" cm="1">
        <f t="array" aca="1" ref="Q147" ca="1">INDIRECT("Data!K" &amp; 142)</f>
        <v>0</v>
      </c>
      <c r="R147" cm="1">
        <f t="array" aca="1" ref="R147" ca="1">INDIRECT("Data!L" &amp; 142)</f>
        <v>0</v>
      </c>
      <c r="S147" cm="1">
        <f t="array" aca="1" ref="S147" ca="1">INDIRECT("Data!M" &amp; 142)</f>
        <v>0</v>
      </c>
      <c r="T147" cm="1">
        <f t="array" aca="1" ref="T147" ca="1">INDIRECT("Data!N" &amp; 142)</f>
        <v>0</v>
      </c>
      <c r="U147" cm="1">
        <f t="array" aca="1" ref="U147" ca="1">INDIRECT("Data!O" &amp; 142)</f>
        <v>0</v>
      </c>
      <c r="V147" cm="1">
        <f t="array" aca="1" ref="V147" ca="1">INDIRECT("Data!P" &amp; 142)</f>
        <v>0</v>
      </c>
    </row>
    <row r="148" spans="7:22" x14ac:dyDescent="0.25">
      <c r="G148" cm="1">
        <f t="array" aca="1" ref="G148" ca="1">INDIRECT("Data!A" &amp; 143)</f>
        <v>0</v>
      </c>
      <c r="H148" s="21" cm="1">
        <f t="array" aca="1" ref="H148" ca="1">INDIRECT("Data!B" &amp; 143)</f>
        <v>0</v>
      </c>
      <c r="I148" s="21" cm="1">
        <f t="array" aca="1" ref="I148" ca="1">INDIRECT("Data!C" &amp; 143)</f>
        <v>0</v>
      </c>
      <c r="J148" cm="1">
        <f t="array" aca="1" ref="J148" ca="1">INDIRECT("Data!D" &amp; 143)</f>
        <v>0</v>
      </c>
      <c r="K148" cm="1">
        <f t="array" aca="1" ref="K148" ca="1">INDIRECT("Data!E" &amp; 143)</f>
        <v>0</v>
      </c>
      <c r="L148" cm="1">
        <f t="array" aca="1" ref="L148" ca="1">INDIRECT("Data!F" &amp; 143)</f>
        <v>0</v>
      </c>
      <c r="M148" cm="1">
        <f t="array" aca="1" ref="M148" ca="1">INDIRECT("Data!G" &amp; 143)</f>
        <v>0</v>
      </c>
      <c r="N148" cm="1">
        <f t="array" aca="1" ref="N148" ca="1">INDIRECT("Data!H" &amp; 143)</f>
        <v>0</v>
      </c>
      <c r="O148" cm="1">
        <f t="array" aca="1" ref="O148" ca="1">INDIRECT("Data!I" &amp; 143)</f>
        <v>0</v>
      </c>
      <c r="P148" s="21" cm="1">
        <f t="array" aca="1" ref="P148" ca="1">INDIRECT("Data!J" &amp; 143)</f>
        <v>0</v>
      </c>
      <c r="Q148" cm="1">
        <f t="array" aca="1" ref="Q148" ca="1">INDIRECT("Data!K" &amp; 143)</f>
        <v>0</v>
      </c>
      <c r="R148" cm="1">
        <f t="array" aca="1" ref="R148" ca="1">INDIRECT("Data!L" &amp; 143)</f>
        <v>0</v>
      </c>
      <c r="S148" cm="1">
        <f t="array" aca="1" ref="S148" ca="1">INDIRECT("Data!M" &amp; 143)</f>
        <v>0</v>
      </c>
      <c r="T148" cm="1">
        <f t="array" aca="1" ref="T148" ca="1">INDIRECT("Data!N" &amp; 143)</f>
        <v>0</v>
      </c>
      <c r="U148" cm="1">
        <f t="array" aca="1" ref="U148" ca="1">INDIRECT("Data!O" &amp; 143)</f>
        <v>0</v>
      </c>
      <c r="V148" cm="1">
        <f t="array" aca="1" ref="V148" ca="1">INDIRECT("Data!P" &amp; 143)</f>
        <v>0</v>
      </c>
    </row>
    <row r="149" spans="7:22" x14ac:dyDescent="0.25">
      <c r="G149" cm="1">
        <f t="array" aca="1" ref="G149" ca="1">INDIRECT("Data!A" &amp; 144)</f>
        <v>0</v>
      </c>
      <c r="H149" s="21" cm="1">
        <f t="array" aca="1" ref="H149" ca="1">INDIRECT("Data!B" &amp; 144)</f>
        <v>0</v>
      </c>
      <c r="I149" s="21" cm="1">
        <f t="array" aca="1" ref="I149" ca="1">INDIRECT("Data!C" &amp; 144)</f>
        <v>0</v>
      </c>
      <c r="J149" cm="1">
        <f t="array" aca="1" ref="J149" ca="1">INDIRECT("Data!D" &amp; 144)</f>
        <v>0</v>
      </c>
      <c r="K149" cm="1">
        <f t="array" aca="1" ref="K149" ca="1">INDIRECT("Data!E" &amp; 144)</f>
        <v>0</v>
      </c>
      <c r="L149" cm="1">
        <f t="array" aca="1" ref="L149" ca="1">INDIRECT("Data!F" &amp; 144)</f>
        <v>0</v>
      </c>
      <c r="M149" cm="1">
        <f t="array" aca="1" ref="M149" ca="1">INDIRECT("Data!G" &amp; 144)</f>
        <v>0</v>
      </c>
      <c r="N149" cm="1">
        <f t="array" aca="1" ref="N149" ca="1">INDIRECT("Data!H" &amp; 144)</f>
        <v>0</v>
      </c>
      <c r="O149" cm="1">
        <f t="array" aca="1" ref="O149" ca="1">INDIRECT("Data!I" &amp; 144)</f>
        <v>0</v>
      </c>
      <c r="P149" s="21" cm="1">
        <f t="array" aca="1" ref="P149" ca="1">INDIRECT("Data!J" &amp; 144)</f>
        <v>0</v>
      </c>
      <c r="Q149" cm="1">
        <f t="array" aca="1" ref="Q149" ca="1">INDIRECT("Data!K" &amp; 144)</f>
        <v>0</v>
      </c>
      <c r="R149" cm="1">
        <f t="array" aca="1" ref="R149" ca="1">INDIRECT("Data!L" &amp; 144)</f>
        <v>0</v>
      </c>
      <c r="S149" cm="1">
        <f t="array" aca="1" ref="S149" ca="1">INDIRECT("Data!M" &amp; 144)</f>
        <v>0</v>
      </c>
      <c r="T149" cm="1">
        <f t="array" aca="1" ref="T149" ca="1">INDIRECT("Data!N" &amp; 144)</f>
        <v>0</v>
      </c>
      <c r="U149" cm="1">
        <f t="array" aca="1" ref="U149" ca="1">INDIRECT("Data!O" &amp; 144)</f>
        <v>0</v>
      </c>
      <c r="V149" cm="1">
        <f t="array" aca="1" ref="V149" ca="1">INDIRECT("Data!P" &amp; 144)</f>
        <v>0</v>
      </c>
    </row>
    <row r="150" spans="7:22" x14ac:dyDescent="0.25">
      <c r="G150" cm="1">
        <f t="array" aca="1" ref="G150" ca="1">INDIRECT("Data!A" &amp; 145)</f>
        <v>0</v>
      </c>
      <c r="H150" s="21" cm="1">
        <f t="array" aca="1" ref="H150" ca="1">INDIRECT("Data!B" &amp; 145)</f>
        <v>0</v>
      </c>
      <c r="I150" s="21" cm="1">
        <f t="array" aca="1" ref="I150" ca="1">INDIRECT("Data!C" &amp; 145)</f>
        <v>0</v>
      </c>
      <c r="J150" cm="1">
        <f t="array" aca="1" ref="J150" ca="1">INDIRECT("Data!D" &amp; 145)</f>
        <v>0</v>
      </c>
      <c r="K150" cm="1">
        <f t="array" aca="1" ref="K150" ca="1">INDIRECT("Data!E" &amp; 145)</f>
        <v>0</v>
      </c>
      <c r="L150" cm="1">
        <f t="array" aca="1" ref="L150" ca="1">INDIRECT("Data!F" &amp; 145)</f>
        <v>0</v>
      </c>
      <c r="M150" cm="1">
        <f t="array" aca="1" ref="M150" ca="1">INDIRECT("Data!G" &amp; 145)</f>
        <v>0</v>
      </c>
      <c r="N150" cm="1">
        <f t="array" aca="1" ref="N150" ca="1">INDIRECT("Data!H" &amp; 145)</f>
        <v>0</v>
      </c>
      <c r="O150" cm="1">
        <f t="array" aca="1" ref="O150" ca="1">INDIRECT("Data!I" &amp; 145)</f>
        <v>0</v>
      </c>
      <c r="P150" s="21" cm="1">
        <f t="array" aca="1" ref="P150" ca="1">INDIRECT("Data!J" &amp; 145)</f>
        <v>0</v>
      </c>
      <c r="Q150" cm="1">
        <f t="array" aca="1" ref="Q150" ca="1">INDIRECT("Data!K" &amp; 145)</f>
        <v>0</v>
      </c>
      <c r="R150" cm="1">
        <f t="array" aca="1" ref="R150" ca="1">INDIRECT("Data!L" &amp; 145)</f>
        <v>0</v>
      </c>
      <c r="S150" cm="1">
        <f t="array" aca="1" ref="S150" ca="1">INDIRECT("Data!M" &amp; 145)</f>
        <v>0</v>
      </c>
      <c r="T150" cm="1">
        <f t="array" aca="1" ref="T150" ca="1">INDIRECT("Data!N" &amp; 145)</f>
        <v>0</v>
      </c>
      <c r="U150" cm="1">
        <f t="array" aca="1" ref="U150" ca="1">INDIRECT("Data!O" &amp; 145)</f>
        <v>0</v>
      </c>
      <c r="V150" cm="1">
        <f t="array" aca="1" ref="V150" ca="1">INDIRECT("Data!P" &amp; 145)</f>
        <v>0</v>
      </c>
    </row>
    <row r="151" spans="7:22" x14ac:dyDescent="0.25">
      <c r="G151" cm="1">
        <f t="array" aca="1" ref="G151" ca="1">INDIRECT("Data!A" &amp; 146)</f>
        <v>0</v>
      </c>
      <c r="H151" s="21" cm="1">
        <f t="array" aca="1" ref="H151" ca="1">INDIRECT("Data!B" &amp; 146)</f>
        <v>0</v>
      </c>
      <c r="I151" s="21" cm="1">
        <f t="array" aca="1" ref="I151" ca="1">INDIRECT("Data!C" &amp; 146)</f>
        <v>0</v>
      </c>
      <c r="J151" cm="1">
        <f t="array" aca="1" ref="J151" ca="1">INDIRECT("Data!D" &amp; 146)</f>
        <v>0</v>
      </c>
      <c r="K151" cm="1">
        <f t="array" aca="1" ref="K151" ca="1">INDIRECT("Data!E" &amp; 146)</f>
        <v>0</v>
      </c>
      <c r="L151" cm="1">
        <f t="array" aca="1" ref="L151" ca="1">INDIRECT("Data!F" &amp; 146)</f>
        <v>0</v>
      </c>
      <c r="M151" cm="1">
        <f t="array" aca="1" ref="M151" ca="1">INDIRECT("Data!G" &amp; 146)</f>
        <v>0</v>
      </c>
      <c r="N151" cm="1">
        <f t="array" aca="1" ref="N151" ca="1">INDIRECT("Data!H" &amp; 146)</f>
        <v>0</v>
      </c>
      <c r="O151" cm="1">
        <f t="array" aca="1" ref="O151" ca="1">INDIRECT("Data!I" &amp; 146)</f>
        <v>0</v>
      </c>
      <c r="P151" s="21" cm="1">
        <f t="array" aca="1" ref="P151" ca="1">INDIRECT("Data!J" &amp; 146)</f>
        <v>0</v>
      </c>
      <c r="Q151" cm="1">
        <f t="array" aca="1" ref="Q151" ca="1">INDIRECT("Data!K" &amp; 146)</f>
        <v>0</v>
      </c>
      <c r="R151" cm="1">
        <f t="array" aca="1" ref="R151" ca="1">INDIRECT("Data!L" &amp; 146)</f>
        <v>0</v>
      </c>
      <c r="S151" cm="1">
        <f t="array" aca="1" ref="S151" ca="1">INDIRECT("Data!M" &amp; 146)</f>
        <v>0</v>
      </c>
      <c r="T151" cm="1">
        <f t="array" aca="1" ref="T151" ca="1">INDIRECT("Data!N" &amp; 146)</f>
        <v>0</v>
      </c>
      <c r="U151" cm="1">
        <f t="array" aca="1" ref="U151" ca="1">INDIRECT("Data!O" &amp; 146)</f>
        <v>0</v>
      </c>
      <c r="V151" cm="1">
        <f t="array" aca="1" ref="V151" ca="1">INDIRECT("Data!P" &amp; 146)</f>
        <v>0</v>
      </c>
    </row>
    <row r="152" spans="7:22" x14ac:dyDescent="0.25">
      <c r="G152" cm="1">
        <f t="array" aca="1" ref="G152" ca="1">INDIRECT("Data!A" &amp; 147)</f>
        <v>0</v>
      </c>
      <c r="H152" s="21" cm="1">
        <f t="array" aca="1" ref="H152" ca="1">INDIRECT("Data!B" &amp; 147)</f>
        <v>0</v>
      </c>
      <c r="I152" s="21" cm="1">
        <f t="array" aca="1" ref="I152" ca="1">INDIRECT("Data!C" &amp; 147)</f>
        <v>0</v>
      </c>
      <c r="J152" cm="1">
        <f t="array" aca="1" ref="J152" ca="1">INDIRECT("Data!D" &amp; 147)</f>
        <v>0</v>
      </c>
      <c r="K152" cm="1">
        <f t="array" aca="1" ref="K152" ca="1">INDIRECT("Data!E" &amp; 147)</f>
        <v>0</v>
      </c>
      <c r="L152" cm="1">
        <f t="array" aca="1" ref="L152" ca="1">INDIRECT("Data!F" &amp; 147)</f>
        <v>0</v>
      </c>
      <c r="M152" cm="1">
        <f t="array" aca="1" ref="M152" ca="1">INDIRECT("Data!G" &amp; 147)</f>
        <v>0</v>
      </c>
      <c r="N152" cm="1">
        <f t="array" aca="1" ref="N152" ca="1">INDIRECT("Data!H" &amp; 147)</f>
        <v>0</v>
      </c>
      <c r="O152" cm="1">
        <f t="array" aca="1" ref="O152" ca="1">INDIRECT("Data!I" &amp; 147)</f>
        <v>0</v>
      </c>
      <c r="P152" s="21" cm="1">
        <f t="array" aca="1" ref="P152" ca="1">INDIRECT("Data!J" &amp; 147)</f>
        <v>0</v>
      </c>
      <c r="Q152" cm="1">
        <f t="array" aca="1" ref="Q152" ca="1">INDIRECT("Data!K" &amp; 147)</f>
        <v>0</v>
      </c>
      <c r="R152" cm="1">
        <f t="array" aca="1" ref="R152" ca="1">INDIRECT("Data!L" &amp; 147)</f>
        <v>0</v>
      </c>
      <c r="S152" cm="1">
        <f t="array" aca="1" ref="S152" ca="1">INDIRECT("Data!M" &amp; 147)</f>
        <v>0</v>
      </c>
      <c r="T152" cm="1">
        <f t="array" aca="1" ref="T152" ca="1">INDIRECT("Data!N" &amp; 147)</f>
        <v>0</v>
      </c>
      <c r="U152" cm="1">
        <f t="array" aca="1" ref="U152" ca="1">INDIRECT("Data!O" &amp; 147)</f>
        <v>0</v>
      </c>
      <c r="V152" cm="1">
        <f t="array" aca="1" ref="V152" ca="1">INDIRECT("Data!P" &amp; 147)</f>
        <v>0</v>
      </c>
    </row>
    <row r="153" spans="7:22" x14ac:dyDescent="0.25">
      <c r="G153" cm="1">
        <f t="array" aca="1" ref="G153" ca="1">INDIRECT("Data!A" &amp; 148)</f>
        <v>0</v>
      </c>
      <c r="H153" s="21" cm="1">
        <f t="array" aca="1" ref="H153" ca="1">INDIRECT("Data!B" &amp; 148)</f>
        <v>0</v>
      </c>
      <c r="I153" s="21" cm="1">
        <f t="array" aca="1" ref="I153" ca="1">INDIRECT("Data!C" &amp; 148)</f>
        <v>0</v>
      </c>
      <c r="J153" cm="1">
        <f t="array" aca="1" ref="J153" ca="1">INDIRECT("Data!D" &amp; 148)</f>
        <v>0</v>
      </c>
      <c r="K153" cm="1">
        <f t="array" aca="1" ref="K153" ca="1">INDIRECT("Data!E" &amp; 148)</f>
        <v>0</v>
      </c>
      <c r="L153" cm="1">
        <f t="array" aca="1" ref="L153" ca="1">INDIRECT("Data!F" &amp; 148)</f>
        <v>0</v>
      </c>
      <c r="M153" cm="1">
        <f t="array" aca="1" ref="M153" ca="1">INDIRECT("Data!G" &amp; 148)</f>
        <v>0</v>
      </c>
      <c r="N153" cm="1">
        <f t="array" aca="1" ref="N153" ca="1">INDIRECT("Data!H" &amp; 148)</f>
        <v>0</v>
      </c>
      <c r="O153" cm="1">
        <f t="array" aca="1" ref="O153" ca="1">INDIRECT("Data!I" &amp; 148)</f>
        <v>0</v>
      </c>
      <c r="P153" s="21" cm="1">
        <f t="array" aca="1" ref="P153" ca="1">INDIRECT("Data!J" &amp; 148)</f>
        <v>0</v>
      </c>
      <c r="Q153" cm="1">
        <f t="array" aca="1" ref="Q153" ca="1">INDIRECT("Data!K" &amp; 148)</f>
        <v>0</v>
      </c>
      <c r="R153" cm="1">
        <f t="array" aca="1" ref="R153" ca="1">INDIRECT("Data!L" &amp; 148)</f>
        <v>0</v>
      </c>
      <c r="S153" cm="1">
        <f t="array" aca="1" ref="S153" ca="1">INDIRECT("Data!M" &amp; 148)</f>
        <v>0</v>
      </c>
      <c r="T153" cm="1">
        <f t="array" aca="1" ref="T153" ca="1">INDIRECT("Data!N" &amp; 148)</f>
        <v>0</v>
      </c>
      <c r="U153" cm="1">
        <f t="array" aca="1" ref="U153" ca="1">INDIRECT("Data!O" &amp; 148)</f>
        <v>0</v>
      </c>
      <c r="V153" cm="1">
        <f t="array" aca="1" ref="V153" ca="1">INDIRECT("Data!P" &amp; 148)</f>
        <v>0</v>
      </c>
    </row>
    <row r="154" spans="7:22" x14ac:dyDescent="0.25">
      <c r="G154" cm="1">
        <f t="array" aca="1" ref="G154" ca="1">INDIRECT("Data!A" &amp; 149)</f>
        <v>0</v>
      </c>
      <c r="H154" s="21" cm="1">
        <f t="array" aca="1" ref="H154" ca="1">INDIRECT("Data!B" &amp; 149)</f>
        <v>0</v>
      </c>
      <c r="I154" s="21" cm="1">
        <f t="array" aca="1" ref="I154" ca="1">INDIRECT("Data!C" &amp; 149)</f>
        <v>0</v>
      </c>
      <c r="J154" cm="1">
        <f t="array" aca="1" ref="J154" ca="1">INDIRECT("Data!D" &amp; 149)</f>
        <v>0</v>
      </c>
      <c r="K154" cm="1">
        <f t="array" aca="1" ref="K154" ca="1">INDIRECT("Data!E" &amp; 149)</f>
        <v>0</v>
      </c>
      <c r="L154" cm="1">
        <f t="array" aca="1" ref="L154" ca="1">INDIRECT("Data!F" &amp; 149)</f>
        <v>0</v>
      </c>
      <c r="M154" cm="1">
        <f t="array" aca="1" ref="M154" ca="1">INDIRECT("Data!G" &amp; 149)</f>
        <v>0</v>
      </c>
      <c r="N154" cm="1">
        <f t="array" aca="1" ref="N154" ca="1">INDIRECT("Data!H" &amp; 149)</f>
        <v>0</v>
      </c>
      <c r="O154" cm="1">
        <f t="array" aca="1" ref="O154" ca="1">INDIRECT("Data!I" &amp; 149)</f>
        <v>0</v>
      </c>
      <c r="P154" s="21" cm="1">
        <f t="array" aca="1" ref="P154" ca="1">INDIRECT("Data!J" &amp; 149)</f>
        <v>0</v>
      </c>
      <c r="Q154" cm="1">
        <f t="array" aca="1" ref="Q154" ca="1">INDIRECT("Data!K" &amp; 149)</f>
        <v>0</v>
      </c>
      <c r="R154" cm="1">
        <f t="array" aca="1" ref="R154" ca="1">INDIRECT("Data!L" &amp; 149)</f>
        <v>0</v>
      </c>
      <c r="S154" cm="1">
        <f t="array" aca="1" ref="S154" ca="1">INDIRECT("Data!M" &amp; 149)</f>
        <v>0</v>
      </c>
      <c r="T154" cm="1">
        <f t="array" aca="1" ref="T154" ca="1">INDIRECT("Data!N" &amp; 149)</f>
        <v>0</v>
      </c>
      <c r="U154" cm="1">
        <f t="array" aca="1" ref="U154" ca="1">INDIRECT("Data!O" &amp; 149)</f>
        <v>0</v>
      </c>
      <c r="V154" cm="1">
        <f t="array" aca="1" ref="V154" ca="1">INDIRECT("Data!P" &amp; 149)</f>
        <v>0</v>
      </c>
    </row>
    <row r="155" spans="7:22" x14ac:dyDescent="0.25">
      <c r="G155" cm="1">
        <f t="array" aca="1" ref="G155" ca="1">INDIRECT("Data!A" &amp; 150)</f>
        <v>0</v>
      </c>
      <c r="H155" s="21" cm="1">
        <f t="array" aca="1" ref="H155" ca="1">INDIRECT("Data!B" &amp; 150)</f>
        <v>0</v>
      </c>
      <c r="I155" s="21" cm="1">
        <f t="array" aca="1" ref="I155" ca="1">INDIRECT("Data!C" &amp; 150)</f>
        <v>0</v>
      </c>
      <c r="J155" cm="1">
        <f t="array" aca="1" ref="J155" ca="1">INDIRECT("Data!D" &amp; 150)</f>
        <v>0</v>
      </c>
      <c r="K155" cm="1">
        <f t="array" aca="1" ref="K155" ca="1">INDIRECT("Data!E" &amp; 150)</f>
        <v>0</v>
      </c>
      <c r="L155" cm="1">
        <f t="array" aca="1" ref="L155" ca="1">INDIRECT("Data!F" &amp; 150)</f>
        <v>0</v>
      </c>
      <c r="M155" cm="1">
        <f t="array" aca="1" ref="M155" ca="1">INDIRECT("Data!G" &amp; 150)</f>
        <v>0</v>
      </c>
      <c r="N155" cm="1">
        <f t="array" aca="1" ref="N155" ca="1">INDIRECT("Data!H" &amp; 150)</f>
        <v>0</v>
      </c>
      <c r="O155" cm="1">
        <f t="array" aca="1" ref="O155" ca="1">INDIRECT("Data!I" &amp; 150)</f>
        <v>0</v>
      </c>
      <c r="P155" s="21" cm="1">
        <f t="array" aca="1" ref="P155" ca="1">INDIRECT("Data!J" &amp; 150)</f>
        <v>0</v>
      </c>
      <c r="Q155" cm="1">
        <f t="array" aca="1" ref="Q155" ca="1">INDIRECT("Data!K" &amp; 150)</f>
        <v>0</v>
      </c>
      <c r="R155" cm="1">
        <f t="array" aca="1" ref="R155" ca="1">INDIRECT("Data!L" &amp; 150)</f>
        <v>0</v>
      </c>
      <c r="S155" cm="1">
        <f t="array" aca="1" ref="S155" ca="1">INDIRECT("Data!M" &amp; 150)</f>
        <v>0</v>
      </c>
      <c r="T155" cm="1">
        <f t="array" aca="1" ref="T155" ca="1">INDIRECT("Data!N" &amp; 150)</f>
        <v>0</v>
      </c>
      <c r="U155" cm="1">
        <f t="array" aca="1" ref="U155" ca="1">INDIRECT("Data!O" &amp; 150)</f>
        <v>0</v>
      </c>
      <c r="V155" cm="1">
        <f t="array" aca="1" ref="V155" ca="1">INDIRECT("Data!P" &amp; 150)</f>
        <v>0</v>
      </c>
    </row>
    <row r="156" spans="7:22" x14ac:dyDescent="0.25">
      <c r="G156" cm="1">
        <f t="array" aca="1" ref="G156" ca="1">INDIRECT("Data!A" &amp; 151)</f>
        <v>0</v>
      </c>
      <c r="H156" s="21" cm="1">
        <f t="array" aca="1" ref="H156" ca="1">INDIRECT("Data!B" &amp; 151)</f>
        <v>0</v>
      </c>
      <c r="I156" s="21" cm="1">
        <f t="array" aca="1" ref="I156" ca="1">INDIRECT("Data!C" &amp; 151)</f>
        <v>0</v>
      </c>
      <c r="J156" cm="1">
        <f t="array" aca="1" ref="J156" ca="1">INDIRECT("Data!D" &amp; 151)</f>
        <v>0</v>
      </c>
      <c r="K156" cm="1">
        <f t="array" aca="1" ref="K156" ca="1">INDIRECT("Data!E" &amp; 151)</f>
        <v>0</v>
      </c>
      <c r="L156" cm="1">
        <f t="array" aca="1" ref="L156" ca="1">INDIRECT("Data!F" &amp; 151)</f>
        <v>0</v>
      </c>
      <c r="M156" cm="1">
        <f t="array" aca="1" ref="M156" ca="1">INDIRECT("Data!G" &amp; 151)</f>
        <v>0</v>
      </c>
      <c r="N156" cm="1">
        <f t="array" aca="1" ref="N156" ca="1">INDIRECT("Data!H" &amp; 151)</f>
        <v>0</v>
      </c>
      <c r="O156" cm="1">
        <f t="array" aca="1" ref="O156" ca="1">INDIRECT("Data!I" &amp; 151)</f>
        <v>0</v>
      </c>
      <c r="P156" s="21" cm="1">
        <f t="array" aca="1" ref="P156" ca="1">INDIRECT("Data!J" &amp; 151)</f>
        <v>0</v>
      </c>
      <c r="Q156" cm="1">
        <f t="array" aca="1" ref="Q156" ca="1">INDIRECT("Data!K" &amp; 151)</f>
        <v>0</v>
      </c>
      <c r="R156" cm="1">
        <f t="array" aca="1" ref="R156" ca="1">INDIRECT("Data!L" &amp; 151)</f>
        <v>0</v>
      </c>
      <c r="S156" cm="1">
        <f t="array" aca="1" ref="S156" ca="1">INDIRECT("Data!M" &amp; 151)</f>
        <v>0</v>
      </c>
      <c r="T156" cm="1">
        <f t="array" aca="1" ref="T156" ca="1">INDIRECT("Data!N" &amp; 151)</f>
        <v>0</v>
      </c>
      <c r="U156" cm="1">
        <f t="array" aca="1" ref="U156" ca="1">INDIRECT("Data!O" &amp; 151)</f>
        <v>0</v>
      </c>
      <c r="V156" cm="1">
        <f t="array" aca="1" ref="V156" ca="1">INDIRECT("Data!P" &amp; 151)</f>
        <v>0</v>
      </c>
    </row>
    <row r="157" spans="7:22" x14ac:dyDescent="0.25">
      <c r="G157" cm="1">
        <f t="array" aca="1" ref="G157" ca="1">INDIRECT("Data!A" &amp; 152)</f>
        <v>0</v>
      </c>
      <c r="H157" s="21" cm="1">
        <f t="array" aca="1" ref="H157" ca="1">INDIRECT("Data!B" &amp; 152)</f>
        <v>0</v>
      </c>
      <c r="I157" s="21" cm="1">
        <f t="array" aca="1" ref="I157" ca="1">INDIRECT("Data!C" &amp; 152)</f>
        <v>0</v>
      </c>
      <c r="J157" cm="1">
        <f t="array" aca="1" ref="J157" ca="1">INDIRECT("Data!D" &amp; 152)</f>
        <v>0</v>
      </c>
      <c r="K157" cm="1">
        <f t="array" aca="1" ref="K157" ca="1">INDIRECT("Data!E" &amp; 152)</f>
        <v>0</v>
      </c>
      <c r="L157" cm="1">
        <f t="array" aca="1" ref="L157" ca="1">INDIRECT("Data!F" &amp; 152)</f>
        <v>0</v>
      </c>
      <c r="M157" cm="1">
        <f t="array" aca="1" ref="M157" ca="1">INDIRECT("Data!G" &amp; 152)</f>
        <v>0</v>
      </c>
      <c r="N157" cm="1">
        <f t="array" aca="1" ref="N157" ca="1">INDIRECT("Data!H" &amp; 152)</f>
        <v>0</v>
      </c>
      <c r="O157" cm="1">
        <f t="array" aca="1" ref="O157" ca="1">INDIRECT("Data!I" &amp; 152)</f>
        <v>0</v>
      </c>
      <c r="P157" s="21" cm="1">
        <f t="array" aca="1" ref="P157" ca="1">INDIRECT("Data!J" &amp; 152)</f>
        <v>0</v>
      </c>
      <c r="Q157" cm="1">
        <f t="array" aca="1" ref="Q157" ca="1">INDIRECT("Data!K" &amp; 152)</f>
        <v>0</v>
      </c>
      <c r="R157" cm="1">
        <f t="array" aca="1" ref="R157" ca="1">INDIRECT("Data!L" &amp; 152)</f>
        <v>0</v>
      </c>
      <c r="S157" cm="1">
        <f t="array" aca="1" ref="S157" ca="1">INDIRECT("Data!M" &amp; 152)</f>
        <v>0</v>
      </c>
      <c r="T157" cm="1">
        <f t="array" aca="1" ref="T157" ca="1">INDIRECT("Data!N" &amp; 152)</f>
        <v>0</v>
      </c>
      <c r="U157" cm="1">
        <f t="array" aca="1" ref="U157" ca="1">INDIRECT("Data!O" &amp; 152)</f>
        <v>0</v>
      </c>
      <c r="V157" cm="1">
        <f t="array" aca="1" ref="V157" ca="1">INDIRECT("Data!P" &amp; 152)</f>
        <v>0</v>
      </c>
    </row>
    <row r="158" spans="7:22" x14ac:dyDescent="0.25">
      <c r="G158" cm="1">
        <f t="array" aca="1" ref="G158" ca="1">INDIRECT("Data!A" &amp; 153)</f>
        <v>0</v>
      </c>
      <c r="H158" s="21" cm="1">
        <f t="array" aca="1" ref="H158" ca="1">INDIRECT("Data!B" &amp; 153)</f>
        <v>0</v>
      </c>
      <c r="I158" s="21" cm="1">
        <f t="array" aca="1" ref="I158" ca="1">INDIRECT("Data!C" &amp; 153)</f>
        <v>0</v>
      </c>
      <c r="J158" cm="1">
        <f t="array" aca="1" ref="J158" ca="1">INDIRECT("Data!D" &amp; 153)</f>
        <v>0</v>
      </c>
      <c r="K158" cm="1">
        <f t="array" aca="1" ref="K158" ca="1">INDIRECT("Data!E" &amp; 153)</f>
        <v>0</v>
      </c>
      <c r="L158" cm="1">
        <f t="array" aca="1" ref="L158" ca="1">INDIRECT("Data!F" &amp; 153)</f>
        <v>0</v>
      </c>
      <c r="M158" cm="1">
        <f t="array" aca="1" ref="M158" ca="1">INDIRECT("Data!G" &amp; 153)</f>
        <v>0</v>
      </c>
      <c r="N158" cm="1">
        <f t="array" aca="1" ref="N158" ca="1">INDIRECT("Data!H" &amp; 153)</f>
        <v>0</v>
      </c>
      <c r="O158" cm="1">
        <f t="array" aca="1" ref="O158" ca="1">INDIRECT("Data!I" &amp; 153)</f>
        <v>0</v>
      </c>
      <c r="P158" s="21" cm="1">
        <f t="array" aca="1" ref="P158" ca="1">INDIRECT("Data!J" &amp; 153)</f>
        <v>0</v>
      </c>
      <c r="Q158" cm="1">
        <f t="array" aca="1" ref="Q158" ca="1">INDIRECT("Data!K" &amp; 153)</f>
        <v>0</v>
      </c>
      <c r="R158" cm="1">
        <f t="array" aca="1" ref="R158" ca="1">INDIRECT("Data!L" &amp; 153)</f>
        <v>0</v>
      </c>
      <c r="S158" cm="1">
        <f t="array" aca="1" ref="S158" ca="1">INDIRECT("Data!M" &amp; 153)</f>
        <v>0</v>
      </c>
      <c r="T158" cm="1">
        <f t="array" aca="1" ref="T158" ca="1">INDIRECT("Data!N" &amp; 153)</f>
        <v>0</v>
      </c>
      <c r="U158" cm="1">
        <f t="array" aca="1" ref="U158" ca="1">INDIRECT("Data!O" &amp; 153)</f>
        <v>0</v>
      </c>
      <c r="V158" cm="1">
        <f t="array" aca="1" ref="V158" ca="1">INDIRECT("Data!P" &amp; 153)</f>
        <v>0</v>
      </c>
    </row>
    <row r="159" spans="7:22" x14ac:dyDescent="0.25">
      <c r="G159" cm="1">
        <f t="array" aca="1" ref="G159" ca="1">INDIRECT("Data!A" &amp; 154)</f>
        <v>0</v>
      </c>
      <c r="H159" s="21" cm="1">
        <f t="array" aca="1" ref="H159" ca="1">INDIRECT("Data!B" &amp; 154)</f>
        <v>0</v>
      </c>
      <c r="I159" s="21" cm="1">
        <f t="array" aca="1" ref="I159" ca="1">INDIRECT("Data!C" &amp; 154)</f>
        <v>0</v>
      </c>
      <c r="J159" cm="1">
        <f t="array" aca="1" ref="J159" ca="1">INDIRECT("Data!D" &amp; 154)</f>
        <v>0</v>
      </c>
      <c r="K159" cm="1">
        <f t="array" aca="1" ref="K159" ca="1">INDIRECT("Data!E" &amp; 154)</f>
        <v>0</v>
      </c>
      <c r="L159" cm="1">
        <f t="array" aca="1" ref="L159" ca="1">INDIRECT("Data!F" &amp; 154)</f>
        <v>0</v>
      </c>
      <c r="M159" cm="1">
        <f t="array" aca="1" ref="M159" ca="1">INDIRECT("Data!G" &amp; 154)</f>
        <v>0</v>
      </c>
      <c r="N159" cm="1">
        <f t="array" aca="1" ref="N159" ca="1">INDIRECT("Data!H" &amp; 154)</f>
        <v>0</v>
      </c>
      <c r="O159" cm="1">
        <f t="array" aca="1" ref="O159" ca="1">INDIRECT("Data!I" &amp; 154)</f>
        <v>0</v>
      </c>
      <c r="P159" s="21" cm="1">
        <f t="array" aca="1" ref="P159" ca="1">INDIRECT("Data!J" &amp; 154)</f>
        <v>0</v>
      </c>
      <c r="Q159" cm="1">
        <f t="array" aca="1" ref="Q159" ca="1">INDIRECT("Data!K" &amp; 154)</f>
        <v>0</v>
      </c>
      <c r="R159" cm="1">
        <f t="array" aca="1" ref="R159" ca="1">INDIRECT("Data!L" &amp; 154)</f>
        <v>0</v>
      </c>
      <c r="S159" cm="1">
        <f t="array" aca="1" ref="S159" ca="1">INDIRECT("Data!M" &amp; 154)</f>
        <v>0</v>
      </c>
      <c r="T159" cm="1">
        <f t="array" aca="1" ref="T159" ca="1">INDIRECT("Data!N" &amp; 154)</f>
        <v>0</v>
      </c>
      <c r="U159" cm="1">
        <f t="array" aca="1" ref="U159" ca="1">INDIRECT("Data!O" &amp; 154)</f>
        <v>0</v>
      </c>
      <c r="V159" cm="1">
        <f t="array" aca="1" ref="V159" ca="1">INDIRECT("Data!P" &amp; 154)</f>
        <v>0</v>
      </c>
    </row>
    <row r="160" spans="7:22" x14ac:dyDescent="0.25">
      <c r="G160" cm="1">
        <f t="array" aca="1" ref="G160" ca="1">INDIRECT("Data!A" &amp; 155)</f>
        <v>0</v>
      </c>
      <c r="H160" s="21" cm="1">
        <f t="array" aca="1" ref="H160" ca="1">INDIRECT("Data!B" &amp; 155)</f>
        <v>0</v>
      </c>
      <c r="I160" s="21" cm="1">
        <f t="array" aca="1" ref="I160" ca="1">INDIRECT("Data!C" &amp; 155)</f>
        <v>0</v>
      </c>
      <c r="J160" cm="1">
        <f t="array" aca="1" ref="J160" ca="1">INDIRECT("Data!D" &amp; 155)</f>
        <v>0</v>
      </c>
      <c r="K160" cm="1">
        <f t="array" aca="1" ref="K160" ca="1">INDIRECT("Data!E" &amp; 155)</f>
        <v>0</v>
      </c>
      <c r="L160" cm="1">
        <f t="array" aca="1" ref="L160" ca="1">INDIRECT("Data!F" &amp; 155)</f>
        <v>0</v>
      </c>
      <c r="M160" cm="1">
        <f t="array" aca="1" ref="M160" ca="1">INDIRECT("Data!G" &amp; 155)</f>
        <v>0</v>
      </c>
      <c r="N160" cm="1">
        <f t="array" aca="1" ref="N160" ca="1">INDIRECT("Data!H" &amp; 155)</f>
        <v>0</v>
      </c>
      <c r="O160" cm="1">
        <f t="array" aca="1" ref="O160" ca="1">INDIRECT("Data!I" &amp; 155)</f>
        <v>0</v>
      </c>
      <c r="P160" s="21" cm="1">
        <f t="array" aca="1" ref="P160" ca="1">INDIRECT("Data!J" &amp; 155)</f>
        <v>0</v>
      </c>
      <c r="Q160" cm="1">
        <f t="array" aca="1" ref="Q160" ca="1">INDIRECT("Data!K" &amp; 155)</f>
        <v>0</v>
      </c>
      <c r="R160" cm="1">
        <f t="array" aca="1" ref="R160" ca="1">INDIRECT("Data!L" &amp; 155)</f>
        <v>0</v>
      </c>
      <c r="S160" cm="1">
        <f t="array" aca="1" ref="S160" ca="1">INDIRECT("Data!M" &amp; 155)</f>
        <v>0</v>
      </c>
      <c r="T160" cm="1">
        <f t="array" aca="1" ref="T160" ca="1">INDIRECT("Data!N" &amp; 155)</f>
        <v>0</v>
      </c>
      <c r="U160" cm="1">
        <f t="array" aca="1" ref="U160" ca="1">INDIRECT("Data!O" &amp; 155)</f>
        <v>0</v>
      </c>
      <c r="V160" cm="1">
        <f t="array" aca="1" ref="V160" ca="1">INDIRECT("Data!P" &amp; 155)</f>
        <v>0</v>
      </c>
    </row>
    <row r="161" spans="7:22" x14ac:dyDescent="0.25">
      <c r="G161" cm="1">
        <f t="array" aca="1" ref="G161" ca="1">INDIRECT("Data!A" &amp; 156)</f>
        <v>0</v>
      </c>
      <c r="H161" s="21" cm="1">
        <f t="array" aca="1" ref="H161" ca="1">INDIRECT("Data!B" &amp; 156)</f>
        <v>0</v>
      </c>
      <c r="I161" s="21" cm="1">
        <f t="array" aca="1" ref="I161" ca="1">INDIRECT("Data!C" &amp; 156)</f>
        <v>0</v>
      </c>
      <c r="J161" cm="1">
        <f t="array" aca="1" ref="J161" ca="1">INDIRECT("Data!D" &amp; 156)</f>
        <v>0</v>
      </c>
      <c r="K161" cm="1">
        <f t="array" aca="1" ref="K161" ca="1">INDIRECT("Data!E" &amp; 156)</f>
        <v>0</v>
      </c>
      <c r="L161" cm="1">
        <f t="array" aca="1" ref="L161" ca="1">INDIRECT("Data!F" &amp; 156)</f>
        <v>0</v>
      </c>
      <c r="M161" cm="1">
        <f t="array" aca="1" ref="M161" ca="1">INDIRECT("Data!G" &amp; 156)</f>
        <v>0</v>
      </c>
      <c r="N161" cm="1">
        <f t="array" aca="1" ref="N161" ca="1">INDIRECT("Data!H" &amp; 156)</f>
        <v>0</v>
      </c>
      <c r="O161" cm="1">
        <f t="array" aca="1" ref="O161" ca="1">INDIRECT("Data!I" &amp; 156)</f>
        <v>0</v>
      </c>
      <c r="P161" s="21" cm="1">
        <f t="array" aca="1" ref="P161" ca="1">INDIRECT("Data!J" &amp; 156)</f>
        <v>0</v>
      </c>
      <c r="Q161" cm="1">
        <f t="array" aca="1" ref="Q161" ca="1">INDIRECT("Data!K" &amp; 156)</f>
        <v>0</v>
      </c>
      <c r="R161" cm="1">
        <f t="array" aca="1" ref="R161" ca="1">INDIRECT("Data!L" &amp; 156)</f>
        <v>0</v>
      </c>
      <c r="S161" cm="1">
        <f t="array" aca="1" ref="S161" ca="1">INDIRECT("Data!M" &amp; 156)</f>
        <v>0</v>
      </c>
      <c r="T161" cm="1">
        <f t="array" aca="1" ref="T161" ca="1">INDIRECT("Data!N" &amp; 156)</f>
        <v>0</v>
      </c>
      <c r="U161" cm="1">
        <f t="array" aca="1" ref="U161" ca="1">INDIRECT("Data!O" &amp; 156)</f>
        <v>0</v>
      </c>
      <c r="V161" cm="1">
        <f t="array" aca="1" ref="V161" ca="1">INDIRECT("Data!P" &amp; 156)</f>
        <v>0</v>
      </c>
    </row>
    <row r="162" spans="7:22" x14ac:dyDescent="0.25">
      <c r="G162" cm="1">
        <f t="array" aca="1" ref="G162" ca="1">INDIRECT("Data!A" &amp; 157)</f>
        <v>0</v>
      </c>
      <c r="H162" s="21" cm="1">
        <f t="array" aca="1" ref="H162" ca="1">INDIRECT("Data!B" &amp; 157)</f>
        <v>0</v>
      </c>
      <c r="I162" s="21" cm="1">
        <f t="array" aca="1" ref="I162" ca="1">INDIRECT("Data!C" &amp; 157)</f>
        <v>0</v>
      </c>
      <c r="J162" cm="1">
        <f t="array" aca="1" ref="J162" ca="1">INDIRECT("Data!D" &amp; 157)</f>
        <v>0</v>
      </c>
      <c r="K162" cm="1">
        <f t="array" aca="1" ref="K162" ca="1">INDIRECT("Data!E" &amp; 157)</f>
        <v>0</v>
      </c>
      <c r="L162" cm="1">
        <f t="array" aca="1" ref="L162" ca="1">INDIRECT("Data!F" &amp; 157)</f>
        <v>0</v>
      </c>
      <c r="M162" cm="1">
        <f t="array" aca="1" ref="M162" ca="1">INDIRECT("Data!G" &amp; 157)</f>
        <v>0</v>
      </c>
      <c r="N162" cm="1">
        <f t="array" aca="1" ref="N162" ca="1">INDIRECT("Data!H" &amp; 157)</f>
        <v>0</v>
      </c>
      <c r="O162" cm="1">
        <f t="array" aca="1" ref="O162" ca="1">INDIRECT("Data!I" &amp; 157)</f>
        <v>0</v>
      </c>
      <c r="P162" s="21" cm="1">
        <f t="array" aca="1" ref="P162" ca="1">INDIRECT("Data!J" &amp; 157)</f>
        <v>0</v>
      </c>
      <c r="Q162" cm="1">
        <f t="array" aca="1" ref="Q162" ca="1">INDIRECT("Data!K" &amp; 157)</f>
        <v>0</v>
      </c>
      <c r="R162" cm="1">
        <f t="array" aca="1" ref="R162" ca="1">INDIRECT("Data!L" &amp; 157)</f>
        <v>0</v>
      </c>
      <c r="S162" cm="1">
        <f t="array" aca="1" ref="S162" ca="1">INDIRECT("Data!M" &amp; 157)</f>
        <v>0</v>
      </c>
      <c r="T162" cm="1">
        <f t="array" aca="1" ref="T162" ca="1">INDIRECT("Data!N" &amp; 157)</f>
        <v>0</v>
      </c>
      <c r="U162" cm="1">
        <f t="array" aca="1" ref="U162" ca="1">INDIRECT("Data!O" &amp; 157)</f>
        <v>0</v>
      </c>
      <c r="V162" cm="1">
        <f t="array" aca="1" ref="V162" ca="1">INDIRECT("Data!P" &amp; 157)</f>
        <v>0</v>
      </c>
    </row>
    <row r="163" spans="7:22" x14ac:dyDescent="0.25">
      <c r="G163" cm="1">
        <f t="array" aca="1" ref="G163" ca="1">INDIRECT("Data!A" &amp; 158)</f>
        <v>0</v>
      </c>
      <c r="H163" s="21" cm="1">
        <f t="array" aca="1" ref="H163" ca="1">INDIRECT("Data!B" &amp; 158)</f>
        <v>0</v>
      </c>
      <c r="I163" s="21" cm="1">
        <f t="array" aca="1" ref="I163" ca="1">INDIRECT("Data!C" &amp; 158)</f>
        <v>0</v>
      </c>
      <c r="J163" cm="1">
        <f t="array" aca="1" ref="J163" ca="1">INDIRECT("Data!D" &amp; 158)</f>
        <v>0</v>
      </c>
      <c r="K163" cm="1">
        <f t="array" aca="1" ref="K163" ca="1">INDIRECT("Data!E" &amp; 158)</f>
        <v>0</v>
      </c>
      <c r="L163" cm="1">
        <f t="array" aca="1" ref="L163" ca="1">INDIRECT("Data!F" &amp; 158)</f>
        <v>0</v>
      </c>
      <c r="M163" cm="1">
        <f t="array" aca="1" ref="M163" ca="1">INDIRECT("Data!G" &amp; 158)</f>
        <v>0</v>
      </c>
      <c r="N163" cm="1">
        <f t="array" aca="1" ref="N163" ca="1">INDIRECT("Data!H" &amp; 158)</f>
        <v>0</v>
      </c>
      <c r="O163" cm="1">
        <f t="array" aca="1" ref="O163" ca="1">INDIRECT("Data!I" &amp; 158)</f>
        <v>0</v>
      </c>
      <c r="P163" s="21" cm="1">
        <f t="array" aca="1" ref="P163" ca="1">INDIRECT("Data!J" &amp; 158)</f>
        <v>0</v>
      </c>
      <c r="Q163" cm="1">
        <f t="array" aca="1" ref="Q163" ca="1">INDIRECT("Data!K" &amp; 158)</f>
        <v>0</v>
      </c>
      <c r="R163" cm="1">
        <f t="array" aca="1" ref="R163" ca="1">INDIRECT("Data!L" &amp; 158)</f>
        <v>0</v>
      </c>
      <c r="S163" cm="1">
        <f t="array" aca="1" ref="S163" ca="1">INDIRECT("Data!M" &amp; 158)</f>
        <v>0</v>
      </c>
      <c r="T163" cm="1">
        <f t="array" aca="1" ref="T163" ca="1">INDIRECT("Data!N" &amp; 158)</f>
        <v>0</v>
      </c>
      <c r="U163" cm="1">
        <f t="array" aca="1" ref="U163" ca="1">INDIRECT("Data!O" &amp; 158)</f>
        <v>0</v>
      </c>
      <c r="V163" cm="1">
        <f t="array" aca="1" ref="V163" ca="1">INDIRECT("Data!P" &amp; 158)</f>
        <v>0</v>
      </c>
    </row>
    <row r="164" spans="7:22" x14ac:dyDescent="0.25">
      <c r="G164" cm="1">
        <f t="array" aca="1" ref="G164" ca="1">INDIRECT("Data!A" &amp; 159)</f>
        <v>0</v>
      </c>
      <c r="H164" s="21" cm="1">
        <f t="array" aca="1" ref="H164" ca="1">INDIRECT("Data!B" &amp; 159)</f>
        <v>0</v>
      </c>
      <c r="I164" s="21" cm="1">
        <f t="array" aca="1" ref="I164" ca="1">INDIRECT("Data!C" &amp; 159)</f>
        <v>0</v>
      </c>
      <c r="J164" cm="1">
        <f t="array" aca="1" ref="J164" ca="1">INDIRECT("Data!D" &amp; 159)</f>
        <v>0</v>
      </c>
      <c r="K164" cm="1">
        <f t="array" aca="1" ref="K164" ca="1">INDIRECT("Data!E" &amp; 159)</f>
        <v>0</v>
      </c>
      <c r="L164" cm="1">
        <f t="array" aca="1" ref="L164" ca="1">INDIRECT("Data!F" &amp; 159)</f>
        <v>0</v>
      </c>
      <c r="M164" cm="1">
        <f t="array" aca="1" ref="M164" ca="1">INDIRECT("Data!G" &amp; 159)</f>
        <v>0</v>
      </c>
      <c r="N164" cm="1">
        <f t="array" aca="1" ref="N164" ca="1">INDIRECT("Data!H" &amp; 159)</f>
        <v>0</v>
      </c>
      <c r="O164" cm="1">
        <f t="array" aca="1" ref="O164" ca="1">INDIRECT("Data!I" &amp; 159)</f>
        <v>0</v>
      </c>
      <c r="P164" s="21" cm="1">
        <f t="array" aca="1" ref="P164" ca="1">INDIRECT("Data!J" &amp; 159)</f>
        <v>0</v>
      </c>
      <c r="Q164" cm="1">
        <f t="array" aca="1" ref="Q164" ca="1">INDIRECT("Data!K" &amp; 159)</f>
        <v>0</v>
      </c>
      <c r="R164" cm="1">
        <f t="array" aca="1" ref="R164" ca="1">INDIRECT("Data!L" &amp; 159)</f>
        <v>0</v>
      </c>
      <c r="S164" cm="1">
        <f t="array" aca="1" ref="S164" ca="1">INDIRECT("Data!M" &amp; 159)</f>
        <v>0</v>
      </c>
      <c r="T164" cm="1">
        <f t="array" aca="1" ref="T164" ca="1">INDIRECT("Data!N" &amp; 159)</f>
        <v>0</v>
      </c>
      <c r="U164" cm="1">
        <f t="array" aca="1" ref="U164" ca="1">INDIRECT("Data!O" &amp; 159)</f>
        <v>0</v>
      </c>
      <c r="V164" cm="1">
        <f t="array" aca="1" ref="V164" ca="1">INDIRECT("Data!P" &amp; 159)</f>
        <v>0</v>
      </c>
    </row>
    <row r="165" spans="7:22" x14ac:dyDescent="0.25">
      <c r="G165" cm="1">
        <f t="array" aca="1" ref="G165" ca="1">INDIRECT("Data!A" &amp; 160)</f>
        <v>0</v>
      </c>
      <c r="H165" s="21" cm="1">
        <f t="array" aca="1" ref="H165" ca="1">INDIRECT("Data!B" &amp; 160)</f>
        <v>0</v>
      </c>
      <c r="I165" s="21" cm="1">
        <f t="array" aca="1" ref="I165" ca="1">INDIRECT("Data!C" &amp; 160)</f>
        <v>0</v>
      </c>
      <c r="J165" cm="1">
        <f t="array" aca="1" ref="J165" ca="1">INDIRECT("Data!D" &amp; 160)</f>
        <v>0</v>
      </c>
      <c r="K165" cm="1">
        <f t="array" aca="1" ref="K165" ca="1">INDIRECT("Data!E" &amp; 160)</f>
        <v>0</v>
      </c>
      <c r="L165" cm="1">
        <f t="array" aca="1" ref="L165" ca="1">INDIRECT("Data!F" &amp; 160)</f>
        <v>0</v>
      </c>
      <c r="M165" cm="1">
        <f t="array" aca="1" ref="M165" ca="1">INDIRECT("Data!G" &amp; 160)</f>
        <v>0</v>
      </c>
      <c r="N165" cm="1">
        <f t="array" aca="1" ref="N165" ca="1">INDIRECT("Data!H" &amp; 160)</f>
        <v>0</v>
      </c>
      <c r="O165" cm="1">
        <f t="array" aca="1" ref="O165" ca="1">INDIRECT("Data!I" &amp; 160)</f>
        <v>0</v>
      </c>
      <c r="P165" s="21" cm="1">
        <f t="array" aca="1" ref="P165" ca="1">INDIRECT("Data!J" &amp; 160)</f>
        <v>0</v>
      </c>
      <c r="Q165" cm="1">
        <f t="array" aca="1" ref="Q165" ca="1">INDIRECT("Data!K" &amp; 160)</f>
        <v>0</v>
      </c>
      <c r="R165" cm="1">
        <f t="array" aca="1" ref="R165" ca="1">INDIRECT("Data!L" &amp; 160)</f>
        <v>0</v>
      </c>
      <c r="S165" cm="1">
        <f t="array" aca="1" ref="S165" ca="1">INDIRECT("Data!M" &amp; 160)</f>
        <v>0</v>
      </c>
      <c r="T165" cm="1">
        <f t="array" aca="1" ref="T165" ca="1">INDIRECT("Data!N" &amp; 160)</f>
        <v>0</v>
      </c>
      <c r="U165" cm="1">
        <f t="array" aca="1" ref="U165" ca="1">INDIRECT("Data!O" &amp; 160)</f>
        <v>0</v>
      </c>
      <c r="V165" cm="1">
        <f t="array" aca="1" ref="V165" ca="1">INDIRECT("Data!P" &amp; 160)</f>
        <v>0</v>
      </c>
    </row>
    <row r="166" spans="7:22" x14ac:dyDescent="0.25">
      <c r="G166" cm="1">
        <f t="array" aca="1" ref="G166" ca="1">INDIRECT("Data!A" &amp; 161)</f>
        <v>0</v>
      </c>
      <c r="H166" s="21" cm="1">
        <f t="array" aca="1" ref="H166" ca="1">INDIRECT("Data!B" &amp; 161)</f>
        <v>0</v>
      </c>
      <c r="I166" s="21" cm="1">
        <f t="array" aca="1" ref="I166" ca="1">INDIRECT("Data!C" &amp; 161)</f>
        <v>0</v>
      </c>
      <c r="J166" cm="1">
        <f t="array" aca="1" ref="J166" ca="1">INDIRECT("Data!D" &amp; 161)</f>
        <v>0</v>
      </c>
      <c r="K166" cm="1">
        <f t="array" aca="1" ref="K166" ca="1">INDIRECT("Data!E" &amp; 161)</f>
        <v>0</v>
      </c>
      <c r="L166" cm="1">
        <f t="array" aca="1" ref="L166" ca="1">INDIRECT("Data!F" &amp; 161)</f>
        <v>0</v>
      </c>
      <c r="M166" cm="1">
        <f t="array" aca="1" ref="M166" ca="1">INDIRECT("Data!G" &amp; 161)</f>
        <v>0</v>
      </c>
      <c r="N166" cm="1">
        <f t="array" aca="1" ref="N166" ca="1">INDIRECT("Data!H" &amp; 161)</f>
        <v>0</v>
      </c>
      <c r="O166" cm="1">
        <f t="array" aca="1" ref="O166" ca="1">INDIRECT("Data!I" &amp; 161)</f>
        <v>0</v>
      </c>
      <c r="P166" s="21" cm="1">
        <f t="array" aca="1" ref="P166" ca="1">INDIRECT("Data!J" &amp; 161)</f>
        <v>0</v>
      </c>
      <c r="Q166" cm="1">
        <f t="array" aca="1" ref="Q166" ca="1">INDIRECT("Data!K" &amp; 161)</f>
        <v>0</v>
      </c>
      <c r="R166" cm="1">
        <f t="array" aca="1" ref="R166" ca="1">INDIRECT("Data!L" &amp; 161)</f>
        <v>0</v>
      </c>
      <c r="S166" cm="1">
        <f t="array" aca="1" ref="S166" ca="1">INDIRECT("Data!M" &amp; 161)</f>
        <v>0</v>
      </c>
      <c r="T166" cm="1">
        <f t="array" aca="1" ref="T166" ca="1">INDIRECT("Data!N" &amp; 161)</f>
        <v>0</v>
      </c>
      <c r="U166" cm="1">
        <f t="array" aca="1" ref="U166" ca="1">INDIRECT("Data!O" &amp; 161)</f>
        <v>0</v>
      </c>
      <c r="V166" cm="1">
        <f t="array" aca="1" ref="V166" ca="1">INDIRECT("Data!P" &amp; 161)</f>
        <v>0</v>
      </c>
    </row>
    <row r="167" spans="7:22" x14ac:dyDescent="0.25">
      <c r="G167" cm="1">
        <f t="array" aca="1" ref="G167" ca="1">INDIRECT("Data!A" &amp; 162)</f>
        <v>0</v>
      </c>
      <c r="H167" s="21" cm="1">
        <f t="array" aca="1" ref="H167" ca="1">INDIRECT("Data!B" &amp; 162)</f>
        <v>0</v>
      </c>
      <c r="I167" s="21" cm="1">
        <f t="array" aca="1" ref="I167" ca="1">INDIRECT("Data!C" &amp; 162)</f>
        <v>0</v>
      </c>
      <c r="J167" cm="1">
        <f t="array" aca="1" ref="J167" ca="1">INDIRECT("Data!D" &amp; 162)</f>
        <v>0</v>
      </c>
      <c r="K167" cm="1">
        <f t="array" aca="1" ref="K167" ca="1">INDIRECT("Data!E" &amp; 162)</f>
        <v>0</v>
      </c>
      <c r="L167" cm="1">
        <f t="array" aca="1" ref="L167" ca="1">INDIRECT("Data!F" &amp; 162)</f>
        <v>0</v>
      </c>
      <c r="M167" cm="1">
        <f t="array" aca="1" ref="M167" ca="1">INDIRECT("Data!G" &amp; 162)</f>
        <v>0</v>
      </c>
      <c r="N167" cm="1">
        <f t="array" aca="1" ref="N167" ca="1">INDIRECT("Data!H" &amp; 162)</f>
        <v>0</v>
      </c>
      <c r="O167" cm="1">
        <f t="array" aca="1" ref="O167" ca="1">INDIRECT("Data!I" &amp; 162)</f>
        <v>0</v>
      </c>
      <c r="P167" s="21" cm="1">
        <f t="array" aca="1" ref="P167" ca="1">INDIRECT("Data!J" &amp; 162)</f>
        <v>0</v>
      </c>
      <c r="Q167" cm="1">
        <f t="array" aca="1" ref="Q167" ca="1">INDIRECT("Data!K" &amp; 162)</f>
        <v>0</v>
      </c>
      <c r="R167" cm="1">
        <f t="array" aca="1" ref="R167" ca="1">INDIRECT("Data!L" &amp; 162)</f>
        <v>0</v>
      </c>
      <c r="S167" cm="1">
        <f t="array" aca="1" ref="S167" ca="1">INDIRECT("Data!M" &amp; 162)</f>
        <v>0</v>
      </c>
      <c r="T167" cm="1">
        <f t="array" aca="1" ref="T167" ca="1">INDIRECT("Data!N" &amp; 162)</f>
        <v>0</v>
      </c>
      <c r="U167" cm="1">
        <f t="array" aca="1" ref="U167" ca="1">INDIRECT("Data!O" &amp; 162)</f>
        <v>0</v>
      </c>
      <c r="V167" cm="1">
        <f t="array" aca="1" ref="V167" ca="1">INDIRECT("Data!P" &amp; 162)</f>
        <v>0</v>
      </c>
    </row>
    <row r="168" spans="7:22" x14ac:dyDescent="0.25">
      <c r="G168" cm="1">
        <f t="array" aca="1" ref="G168" ca="1">INDIRECT("Data!A" &amp; 163)</f>
        <v>0</v>
      </c>
      <c r="H168" s="21" cm="1">
        <f t="array" aca="1" ref="H168" ca="1">INDIRECT("Data!B" &amp; 163)</f>
        <v>0</v>
      </c>
      <c r="I168" s="21" cm="1">
        <f t="array" aca="1" ref="I168" ca="1">INDIRECT("Data!C" &amp; 163)</f>
        <v>0</v>
      </c>
      <c r="J168" cm="1">
        <f t="array" aca="1" ref="J168" ca="1">INDIRECT("Data!D" &amp; 163)</f>
        <v>0</v>
      </c>
      <c r="K168" cm="1">
        <f t="array" aca="1" ref="K168" ca="1">INDIRECT("Data!E" &amp; 163)</f>
        <v>0</v>
      </c>
      <c r="L168" cm="1">
        <f t="array" aca="1" ref="L168" ca="1">INDIRECT("Data!F" &amp; 163)</f>
        <v>0</v>
      </c>
      <c r="M168" cm="1">
        <f t="array" aca="1" ref="M168" ca="1">INDIRECT("Data!G" &amp; 163)</f>
        <v>0</v>
      </c>
      <c r="N168" cm="1">
        <f t="array" aca="1" ref="N168" ca="1">INDIRECT("Data!H" &amp; 163)</f>
        <v>0</v>
      </c>
      <c r="O168" cm="1">
        <f t="array" aca="1" ref="O168" ca="1">INDIRECT("Data!I" &amp; 163)</f>
        <v>0</v>
      </c>
      <c r="P168" s="21" cm="1">
        <f t="array" aca="1" ref="P168" ca="1">INDIRECT("Data!J" &amp; 163)</f>
        <v>0</v>
      </c>
      <c r="Q168" cm="1">
        <f t="array" aca="1" ref="Q168" ca="1">INDIRECT("Data!K" &amp; 163)</f>
        <v>0</v>
      </c>
      <c r="R168" cm="1">
        <f t="array" aca="1" ref="R168" ca="1">INDIRECT("Data!L" &amp; 163)</f>
        <v>0</v>
      </c>
      <c r="S168" cm="1">
        <f t="array" aca="1" ref="S168" ca="1">INDIRECT("Data!M" &amp; 163)</f>
        <v>0</v>
      </c>
      <c r="T168" cm="1">
        <f t="array" aca="1" ref="T168" ca="1">INDIRECT("Data!N" &amp; 163)</f>
        <v>0</v>
      </c>
      <c r="U168" cm="1">
        <f t="array" aca="1" ref="U168" ca="1">INDIRECT("Data!O" &amp; 163)</f>
        <v>0</v>
      </c>
      <c r="V168" cm="1">
        <f t="array" aca="1" ref="V168" ca="1">INDIRECT("Data!P" &amp; 163)</f>
        <v>0</v>
      </c>
    </row>
    <row r="169" spans="7:22" x14ac:dyDescent="0.25">
      <c r="G169" cm="1">
        <f t="array" aca="1" ref="G169" ca="1">INDIRECT("Data!A" &amp; 164)</f>
        <v>0</v>
      </c>
      <c r="H169" s="21" cm="1">
        <f t="array" aca="1" ref="H169" ca="1">INDIRECT("Data!B" &amp; 164)</f>
        <v>0</v>
      </c>
      <c r="I169" s="21" cm="1">
        <f t="array" aca="1" ref="I169" ca="1">INDIRECT("Data!C" &amp; 164)</f>
        <v>0</v>
      </c>
      <c r="J169" cm="1">
        <f t="array" aca="1" ref="J169" ca="1">INDIRECT("Data!D" &amp; 164)</f>
        <v>0</v>
      </c>
      <c r="K169" cm="1">
        <f t="array" aca="1" ref="K169" ca="1">INDIRECT("Data!E" &amp; 164)</f>
        <v>0</v>
      </c>
      <c r="L169" cm="1">
        <f t="array" aca="1" ref="L169" ca="1">INDIRECT("Data!F" &amp; 164)</f>
        <v>0</v>
      </c>
      <c r="M169" cm="1">
        <f t="array" aca="1" ref="M169" ca="1">INDIRECT("Data!G" &amp; 164)</f>
        <v>0</v>
      </c>
      <c r="N169" cm="1">
        <f t="array" aca="1" ref="N169" ca="1">INDIRECT("Data!H" &amp; 164)</f>
        <v>0</v>
      </c>
      <c r="O169" cm="1">
        <f t="array" aca="1" ref="O169" ca="1">INDIRECT("Data!I" &amp; 164)</f>
        <v>0</v>
      </c>
      <c r="P169" s="21" cm="1">
        <f t="array" aca="1" ref="P169" ca="1">INDIRECT("Data!J" &amp; 164)</f>
        <v>0</v>
      </c>
      <c r="Q169" cm="1">
        <f t="array" aca="1" ref="Q169" ca="1">INDIRECT("Data!K" &amp; 164)</f>
        <v>0</v>
      </c>
      <c r="R169" cm="1">
        <f t="array" aca="1" ref="R169" ca="1">INDIRECT("Data!L" &amp; 164)</f>
        <v>0</v>
      </c>
      <c r="S169" cm="1">
        <f t="array" aca="1" ref="S169" ca="1">INDIRECT("Data!M" &amp; 164)</f>
        <v>0</v>
      </c>
      <c r="T169" cm="1">
        <f t="array" aca="1" ref="T169" ca="1">INDIRECT("Data!N" &amp; 164)</f>
        <v>0</v>
      </c>
      <c r="U169" cm="1">
        <f t="array" aca="1" ref="U169" ca="1">INDIRECT("Data!O" &amp; 164)</f>
        <v>0</v>
      </c>
      <c r="V169" cm="1">
        <f t="array" aca="1" ref="V169" ca="1">INDIRECT("Data!P" &amp; 164)</f>
        <v>0</v>
      </c>
    </row>
    <row r="170" spans="7:22" x14ac:dyDescent="0.25">
      <c r="G170" cm="1">
        <f t="array" aca="1" ref="G170" ca="1">INDIRECT("Data!A" &amp; 165)</f>
        <v>0</v>
      </c>
      <c r="H170" s="21" cm="1">
        <f t="array" aca="1" ref="H170" ca="1">INDIRECT("Data!B" &amp; 165)</f>
        <v>0</v>
      </c>
      <c r="I170" s="21" cm="1">
        <f t="array" aca="1" ref="I170" ca="1">INDIRECT("Data!C" &amp; 165)</f>
        <v>0</v>
      </c>
      <c r="J170" cm="1">
        <f t="array" aca="1" ref="J170" ca="1">INDIRECT("Data!D" &amp; 165)</f>
        <v>0</v>
      </c>
      <c r="K170" cm="1">
        <f t="array" aca="1" ref="K170" ca="1">INDIRECT("Data!E" &amp; 165)</f>
        <v>0</v>
      </c>
      <c r="L170" cm="1">
        <f t="array" aca="1" ref="L170" ca="1">INDIRECT("Data!F" &amp; 165)</f>
        <v>0</v>
      </c>
      <c r="M170" cm="1">
        <f t="array" aca="1" ref="M170" ca="1">INDIRECT("Data!G" &amp; 165)</f>
        <v>0</v>
      </c>
      <c r="N170" cm="1">
        <f t="array" aca="1" ref="N170" ca="1">INDIRECT("Data!H" &amp; 165)</f>
        <v>0</v>
      </c>
      <c r="O170" cm="1">
        <f t="array" aca="1" ref="O170" ca="1">INDIRECT("Data!I" &amp; 165)</f>
        <v>0</v>
      </c>
      <c r="P170" s="21" cm="1">
        <f t="array" aca="1" ref="P170" ca="1">INDIRECT("Data!J" &amp; 165)</f>
        <v>0</v>
      </c>
      <c r="Q170" cm="1">
        <f t="array" aca="1" ref="Q170" ca="1">INDIRECT("Data!K" &amp; 165)</f>
        <v>0</v>
      </c>
      <c r="R170" cm="1">
        <f t="array" aca="1" ref="R170" ca="1">INDIRECT("Data!L" &amp; 165)</f>
        <v>0</v>
      </c>
      <c r="S170" cm="1">
        <f t="array" aca="1" ref="S170" ca="1">INDIRECT("Data!M" &amp; 165)</f>
        <v>0</v>
      </c>
      <c r="T170" cm="1">
        <f t="array" aca="1" ref="T170" ca="1">INDIRECT("Data!N" &amp; 165)</f>
        <v>0</v>
      </c>
      <c r="U170" cm="1">
        <f t="array" aca="1" ref="U170" ca="1">INDIRECT("Data!O" &amp; 165)</f>
        <v>0</v>
      </c>
      <c r="V170" cm="1">
        <f t="array" aca="1" ref="V170" ca="1">INDIRECT("Data!P" &amp; 165)</f>
        <v>0</v>
      </c>
    </row>
    <row r="171" spans="7:22" x14ac:dyDescent="0.25">
      <c r="G171" cm="1">
        <f t="array" aca="1" ref="G171" ca="1">INDIRECT("Data!A" &amp; 166)</f>
        <v>0</v>
      </c>
      <c r="H171" s="21" cm="1">
        <f t="array" aca="1" ref="H171" ca="1">INDIRECT("Data!B" &amp; 166)</f>
        <v>0</v>
      </c>
      <c r="I171" s="21" cm="1">
        <f t="array" aca="1" ref="I171" ca="1">INDIRECT("Data!C" &amp; 166)</f>
        <v>0</v>
      </c>
      <c r="J171" cm="1">
        <f t="array" aca="1" ref="J171" ca="1">INDIRECT("Data!D" &amp; 166)</f>
        <v>0</v>
      </c>
      <c r="K171" cm="1">
        <f t="array" aca="1" ref="K171" ca="1">INDIRECT("Data!E" &amp; 166)</f>
        <v>0</v>
      </c>
      <c r="L171" cm="1">
        <f t="array" aca="1" ref="L171" ca="1">INDIRECT("Data!F" &amp; 166)</f>
        <v>0</v>
      </c>
      <c r="M171" cm="1">
        <f t="array" aca="1" ref="M171" ca="1">INDIRECT("Data!G" &amp; 166)</f>
        <v>0</v>
      </c>
      <c r="N171" cm="1">
        <f t="array" aca="1" ref="N171" ca="1">INDIRECT("Data!H" &amp; 166)</f>
        <v>0</v>
      </c>
      <c r="O171" cm="1">
        <f t="array" aca="1" ref="O171" ca="1">INDIRECT("Data!I" &amp; 166)</f>
        <v>0</v>
      </c>
      <c r="P171" s="21" cm="1">
        <f t="array" aca="1" ref="P171" ca="1">INDIRECT("Data!J" &amp; 166)</f>
        <v>0</v>
      </c>
      <c r="Q171" cm="1">
        <f t="array" aca="1" ref="Q171" ca="1">INDIRECT("Data!K" &amp; 166)</f>
        <v>0</v>
      </c>
      <c r="R171" cm="1">
        <f t="array" aca="1" ref="R171" ca="1">INDIRECT("Data!L" &amp; 166)</f>
        <v>0</v>
      </c>
      <c r="S171" cm="1">
        <f t="array" aca="1" ref="S171" ca="1">INDIRECT("Data!M" &amp; 166)</f>
        <v>0</v>
      </c>
      <c r="T171" cm="1">
        <f t="array" aca="1" ref="T171" ca="1">INDIRECT("Data!N" &amp; 166)</f>
        <v>0</v>
      </c>
      <c r="U171" cm="1">
        <f t="array" aca="1" ref="U171" ca="1">INDIRECT("Data!O" &amp; 166)</f>
        <v>0</v>
      </c>
      <c r="V171" cm="1">
        <f t="array" aca="1" ref="V171" ca="1">INDIRECT("Data!P" &amp; 166)</f>
        <v>0</v>
      </c>
    </row>
    <row r="172" spans="7:22" x14ac:dyDescent="0.25">
      <c r="G172" cm="1">
        <f t="array" aca="1" ref="G172" ca="1">INDIRECT("Data!A" &amp; 167)</f>
        <v>0</v>
      </c>
      <c r="H172" s="21" cm="1">
        <f t="array" aca="1" ref="H172" ca="1">INDIRECT("Data!B" &amp; 167)</f>
        <v>0</v>
      </c>
      <c r="I172" s="21" cm="1">
        <f t="array" aca="1" ref="I172" ca="1">INDIRECT("Data!C" &amp; 167)</f>
        <v>0</v>
      </c>
      <c r="J172" cm="1">
        <f t="array" aca="1" ref="J172" ca="1">INDIRECT("Data!D" &amp; 167)</f>
        <v>0</v>
      </c>
      <c r="K172" cm="1">
        <f t="array" aca="1" ref="K172" ca="1">INDIRECT("Data!E" &amp; 167)</f>
        <v>0</v>
      </c>
      <c r="L172" cm="1">
        <f t="array" aca="1" ref="L172" ca="1">INDIRECT("Data!F" &amp; 167)</f>
        <v>0</v>
      </c>
      <c r="M172" cm="1">
        <f t="array" aca="1" ref="M172" ca="1">INDIRECT("Data!G" &amp; 167)</f>
        <v>0</v>
      </c>
      <c r="N172" cm="1">
        <f t="array" aca="1" ref="N172" ca="1">INDIRECT("Data!H" &amp; 167)</f>
        <v>0</v>
      </c>
      <c r="O172" cm="1">
        <f t="array" aca="1" ref="O172" ca="1">INDIRECT("Data!I" &amp; 167)</f>
        <v>0</v>
      </c>
      <c r="P172" s="21" cm="1">
        <f t="array" aca="1" ref="P172" ca="1">INDIRECT("Data!J" &amp; 167)</f>
        <v>0</v>
      </c>
      <c r="Q172" cm="1">
        <f t="array" aca="1" ref="Q172" ca="1">INDIRECT("Data!K" &amp; 167)</f>
        <v>0</v>
      </c>
      <c r="R172" cm="1">
        <f t="array" aca="1" ref="R172" ca="1">INDIRECT("Data!L" &amp; 167)</f>
        <v>0</v>
      </c>
      <c r="S172" cm="1">
        <f t="array" aca="1" ref="S172" ca="1">INDIRECT("Data!M" &amp; 167)</f>
        <v>0</v>
      </c>
      <c r="T172" cm="1">
        <f t="array" aca="1" ref="T172" ca="1">INDIRECT("Data!N" &amp; 167)</f>
        <v>0</v>
      </c>
      <c r="U172" cm="1">
        <f t="array" aca="1" ref="U172" ca="1">INDIRECT("Data!O" &amp; 167)</f>
        <v>0</v>
      </c>
      <c r="V172" cm="1">
        <f t="array" aca="1" ref="V172" ca="1">INDIRECT("Data!P" &amp; 167)</f>
        <v>0</v>
      </c>
    </row>
    <row r="173" spans="7:22" x14ac:dyDescent="0.25">
      <c r="G173" cm="1">
        <f t="array" aca="1" ref="G173" ca="1">INDIRECT("Data!A" &amp; 168)</f>
        <v>0</v>
      </c>
      <c r="H173" s="21" cm="1">
        <f t="array" aca="1" ref="H173" ca="1">INDIRECT("Data!B" &amp; 168)</f>
        <v>0</v>
      </c>
      <c r="I173" s="21" cm="1">
        <f t="array" aca="1" ref="I173" ca="1">INDIRECT("Data!C" &amp; 168)</f>
        <v>0</v>
      </c>
      <c r="J173" cm="1">
        <f t="array" aca="1" ref="J173" ca="1">INDIRECT("Data!D" &amp; 168)</f>
        <v>0</v>
      </c>
      <c r="K173" cm="1">
        <f t="array" aca="1" ref="K173" ca="1">INDIRECT("Data!E" &amp; 168)</f>
        <v>0</v>
      </c>
      <c r="L173" cm="1">
        <f t="array" aca="1" ref="L173" ca="1">INDIRECT("Data!F" &amp; 168)</f>
        <v>0</v>
      </c>
      <c r="M173" cm="1">
        <f t="array" aca="1" ref="M173" ca="1">INDIRECT("Data!G" &amp; 168)</f>
        <v>0</v>
      </c>
      <c r="N173" cm="1">
        <f t="array" aca="1" ref="N173" ca="1">INDIRECT("Data!H" &amp; 168)</f>
        <v>0</v>
      </c>
      <c r="O173" cm="1">
        <f t="array" aca="1" ref="O173" ca="1">INDIRECT("Data!I" &amp; 168)</f>
        <v>0</v>
      </c>
      <c r="P173" s="21" cm="1">
        <f t="array" aca="1" ref="P173" ca="1">INDIRECT("Data!J" &amp; 168)</f>
        <v>0</v>
      </c>
      <c r="Q173" cm="1">
        <f t="array" aca="1" ref="Q173" ca="1">INDIRECT("Data!K" &amp; 168)</f>
        <v>0</v>
      </c>
      <c r="R173" cm="1">
        <f t="array" aca="1" ref="R173" ca="1">INDIRECT("Data!L" &amp; 168)</f>
        <v>0</v>
      </c>
      <c r="S173" cm="1">
        <f t="array" aca="1" ref="S173" ca="1">INDIRECT("Data!M" &amp; 168)</f>
        <v>0</v>
      </c>
      <c r="T173" cm="1">
        <f t="array" aca="1" ref="T173" ca="1">INDIRECT("Data!N" &amp; 168)</f>
        <v>0</v>
      </c>
      <c r="U173" cm="1">
        <f t="array" aca="1" ref="U173" ca="1">INDIRECT("Data!O" &amp; 168)</f>
        <v>0</v>
      </c>
      <c r="V173" cm="1">
        <f t="array" aca="1" ref="V173" ca="1">INDIRECT("Data!P" &amp; 168)</f>
        <v>0</v>
      </c>
    </row>
    <row r="174" spans="7:22" x14ac:dyDescent="0.25">
      <c r="G174" cm="1">
        <f t="array" aca="1" ref="G174" ca="1">INDIRECT("Data!A" &amp; 169)</f>
        <v>0</v>
      </c>
      <c r="H174" s="21" cm="1">
        <f t="array" aca="1" ref="H174" ca="1">INDIRECT("Data!B" &amp; 169)</f>
        <v>0</v>
      </c>
      <c r="I174" s="21" cm="1">
        <f t="array" aca="1" ref="I174" ca="1">INDIRECT("Data!C" &amp; 169)</f>
        <v>0</v>
      </c>
      <c r="J174" cm="1">
        <f t="array" aca="1" ref="J174" ca="1">INDIRECT("Data!D" &amp; 169)</f>
        <v>0</v>
      </c>
      <c r="K174" cm="1">
        <f t="array" aca="1" ref="K174" ca="1">INDIRECT("Data!E" &amp; 169)</f>
        <v>0</v>
      </c>
      <c r="L174" cm="1">
        <f t="array" aca="1" ref="L174" ca="1">INDIRECT("Data!F" &amp; 169)</f>
        <v>0</v>
      </c>
      <c r="M174" cm="1">
        <f t="array" aca="1" ref="M174" ca="1">INDIRECT("Data!G" &amp; 169)</f>
        <v>0</v>
      </c>
      <c r="N174" cm="1">
        <f t="array" aca="1" ref="N174" ca="1">INDIRECT("Data!H" &amp; 169)</f>
        <v>0</v>
      </c>
      <c r="O174" cm="1">
        <f t="array" aca="1" ref="O174" ca="1">INDIRECT("Data!I" &amp; 169)</f>
        <v>0</v>
      </c>
      <c r="P174" s="21" cm="1">
        <f t="array" aca="1" ref="P174" ca="1">INDIRECT("Data!J" &amp; 169)</f>
        <v>0</v>
      </c>
      <c r="Q174" cm="1">
        <f t="array" aca="1" ref="Q174" ca="1">INDIRECT("Data!K" &amp; 169)</f>
        <v>0</v>
      </c>
      <c r="R174" cm="1">
        <f t="array" aca="1" ref="R174" ca="1">INDIRECT("Data!L" &amp; 169)</f>
        <v>0</v>
      </c>
      <c r="S174" cm="1">
        <f t="array" aca="1" ref="S174" ca="1">INDIRECT("Data!M" &amp; 169)</f>
        <v>0</v>
      </c>
      <c r="T174" cm="1">
        <f t="array" aca="1" ref="T174" ca="1">INDIRECT("Data!N" &amp; 169)</f>
        <v>0</v>
      </c>
      <c r="U174" cm="1">
        <f t="array" aca="1" ref="U174" ca="1">INDIRECT("Data!O" &amp; 169)</f>
        <v>0</v>
      </c>
      <c r="V174" cm="1">
        <f t="array" aca="1" ref="V174" ca="1">INDIRECT("Data!P" &amp; 169)</f>
        <v>0</v>
      </c>
    </row>
    <row r="175" spans="7:22" x14ac:dyDescent="0.25">
      <c r="G175" cm="1">
        <f t="array" aca="1" ref="G175" ca="1">INDIRECT("Data!A" &amp; 170)</f>
        <v>0</v>
      </c>
      <c r="H175" s="21" cm="1">
        <f t="array" aca="1" ref="H175" ca="1">INDIRECT("Data!B" &amp; 170)</f>
        <v>0</v>
      </c>
      <c r="I175" s="21" cm="1">
        <f t="array" aca="1" ref="I175" ca="1">INDIRECT("Data!C" &amp; 170)</f>
        <v>0</v>
      </c>
      <c r="J175" cm="1">
        <f t="array" aca="1" ref="J175" ca="1">INDIRECT("Data!D" &amp; 170)</f>
        <v>0</v>
      </c>
      <c r="K175" cm="1">
        <f t="array" aca="1" ref="K175" ca="1">INDIRECT("Data!E" &amp; 170)</f>
        <v>0</v>
      </c>
      <c r="L175" cm="1">
        <f t="array" aca="1" ref="L175" ca="1">INDIRECT("Data!F" &amp; 170)</f>
        <v>0</v>
      </c>
      <c r="M175" cm="1">
        <f t="array" aca="1" ref="M175" ca="1">INDIRECT("Data!G" &amp; 170)</f>
        <v>0</v>
      </c>
      <c r="N175" cm="1">
        <f t="array" aca="1" ref="N175" ca="1">INDIRECT("Data!H" &amp; 170)</f>
        <v>0</v>
      </c>
      <c r="O175" cm="1">
        <f t="array" aca="1" ref="O175" ca="1">INDIRECT("Data!I" &amp; 170)</f>
        <v>0</v>
      </c>
      <c r="P175" s="21" cm="1">
        <f t="array" aca="1" ref="P175" ca="1">INDIRECT("Data!J" &amp; 170)</f>
        <v>0</v>
      </c>
      <c r="Q175" cm="1">
        <f t="array" aca="1" ref="Q175" ca="1">INDIRECT("Data!K" &amp; 170)</f>
        <v>0</v>
      </c>
      <c r="R175" cm="1">
        <f t="array" aca="1" ref="R175" ca="1">INDIRECT("Data!L" &amp; 170)</f>
        <v>0</v>
      </c>
      <c r="S175" cm="1">
        <f t="array" aca="1" ref="S175" ca="1">INDIRECT("Data!M" &amp; 170)</f>
        <v>0</v>
      </c>
      <c r="T175" cm="1">
        <f t="array" aca="1" ref="T175" ca="1">INDIRECT("Data!N" &amp; 170)</f>
        <v>0</v>
      </c>
      <c r="U175" cm="1">
        <f t="array" aca="1" ref="U175" ca="1">INDIRECT("Data!O" &amp; 170)</f>
        <v>0</v>
      </c>
      <c r="V175" cm="1">
        <f t="array" aca="1" ref="V175" ca="1">INDIRECT("Data!P" &amp; 170)</f>
        <v>0</v>
      </c>
    </row>
    <row r="176" spans="7:22" x14ac:dyDescent="0.25">
      <c r="G176" cm="1">
        <f t="array" aca="1" ref="G176" ca="1">INDIRECT("Data!A" &amp; 171)</f>
        <v>0</v>
      </c>
      <c r="H176" s="21" cm="1">
        <f t="array" aca="1" ref="H176" ca="1">INDIRECT("Data!B" &amp; 171)</f>
        <v>0</v>
      </c>
      <c r="I176" s="21" cm="1">
        <f t="array" aca="1" ref="I176" ca="1">INDIRECT("Data!C" &amp; 171)</f>
        <v>0</v>
      </c>
      <c r="J176" cm="1">
        <f t="array" aca="1" ref="J176" ca="1">INDIRECT("Data!D" &amp; 171)</f>
        <v>0</v>
      </c>
      <c r="K176" cm="1">
        <f t="array" aca="1" ref="K176" ca="1">INDIRECT("Data!E" &amp; 171)</f>
        <v>0</v>
      </c>
      <c r="L176" cm="1">
        <f t="array" aca="1" ref="L176" ca="1">INDIRECT("Data!F" &amp; 171)</f>
        <v>0</v>
      </c>
      <c r="M176" cm="1">
        <f t="array" aca="1" ref="M176" ca="1">INDIRECT("Data!G" &amp; 171)</f>
        <v>0</v>
      </c>
      <c r="N176" cm="1">
        <f t="array" aca="1" ref="N176" ca="1">INDIRECT("Data!H" &amp; 171)</f>
        <v>0</v>
      </c>
      <c r="O176" cm="1">
        <f t="array" aca="1" ref="O176" ca="1">INDIRECT("Data!I" &amp; 171)</f>
        <v>0</v>
      </c>
      <c r="P176" s="21" cm="1">
        <f t="array" aca="1" ref="P176" ca="1">INDIRECT("Data!J" &amp; 171)</f>
        <v>0</v>
      </c>
      <c r="Q176" cm="1">
        <f t="array" aca="1" ref="Q176" ca="1">INDIRECT("Data!K" &amp; 171)</f>
        <v>0</v>
      </c>
      <c r="R176" cm="1">
        <f t="array" aca="1" ref="R176" ca="1">INDIRECT("Data!L" &amp; 171)</f>
        <v>0</v>
      </c>
      <c r="S176" cm="1">
        <f t="array" aca="1" ref="S176" ca="1">INDIRECT("Data!M" &amp; 171)</f>
        <v>0</v>
      </c>
      <c r="T176" cm="1">
        <f t="array" aca="1" ref="T176" ca="1">INDIRECT("Data!N" &amp; 171)</f>
        <v>0</v>
      </c>
      <c r="U176" cm="1">
        <f t="array" aca="1" ref="U176" ca="1">INDIRECT("Data!O" &amp; 171)</f>
        <v>0</v>
      </c>
      <c r="V176" cm="1">
        <f t="array" aca="1" ref="V176" ca="1">INDIRECT("Data!P" &amp; 171)</f>
        <v>0</v>
      </c>
    </row>
    <row r="177" spans="7:22" x14ac:dyDescent="0.25">
      <c r="G177" cm="1">
        <f t="array" aca="1" ref="G177" ca="1">INDIRECT("Data!A" &amp; 172)</f>
        <v>0</v>
      </c>
      <c r="H177" s="21" cm="1">
        <f t="array" aca="1" ref="H177" ca="1">INDIRECT("Data!B" &amp; 172)</f>
        <v>0</v>
      </c>
      <c r="I177" s="21" cm="1">
        <f t="array" aca="1" ref="I177" ca="1">INDIRECT("Data!C" &amp; 172)</f>
        <v>0</v>
      </c>
      <c r="J177" cm="1">
        <f t="array" aca="1" ref="J177" ca="1">INDIRECT("Data!D" &amp; 172)</f>
        <v>0</v>
      </c>
      <c r="K177" cm="1">
        <f t="array" aca="1" ref="K177" ca="1">INDIRECT("Data!E" &amp; 172)</f>
        <v>0</v>
      </c>
      <c r="L177" cm="1">
        <f t="array" aca="1" ref="L177" ca="1">INDIRECT("Data!F" &amp; 172)</f>
        <v>0</v>
      </c>
      <c r="M177" cm="1">
        <f t="array" aca="1" ref="M177" ca="1">INDIRECT("Data!G" &amp; 172)</f>
        <v>0</v>
      </c>
      <c r="N177" cm="1">
        <f t="array" aca="1" ref="N177" ca="1">INDIRECT("Data!H" &amp; 172)</f>
        <v>0</v>
      </c>
      <c r="O177" cm="1">
        <f t="array" aca="1" ref="O177" ca="1">INDIRECT("Data!I" &amp; 172)</f>
        <v>0</v>
      </c>
      <c r="P177" s="21" cm="1">
        <f t="array" aca="1" ref="P177" ca="1">INDIRECT("Data!J" &amp; 172)</f>
        <v>0</v>
      </c>
      <c r="Q177" cm="1">
        <f t="array" aca="1" ref="Q177" ca="1">INDIRECT("Data!K" &amp; 172)</f>
        <v>0</v>
      </c>
      <c r="R177" cm="1">
        <f t="array" aca="1" ref="R177" ca="1">INDIRECT("Data!L" &amp; 172)</f>
        <v>0</v>
      </c>
      <c r="S177" cm="1">
        <f t="array" aca="1" ref="S177" ca="1">INDIRECT("Data!M" &amp; 172)</f>
        <v>0</v>
      </c>
      <c r="T177" cm="1">
        <f t="array" aca="1" ref="T177" ca="1">INDIRECT("Data!N" &amp; 172)</f>
        <v>0</v>
      </c>
      <c r="U177" cm="1">
        <f t="array" aca="1" ref="U177" ca="1">INDIRECT("Data!O" &amp; 172)</f>
        <v>0</v>
      </c>
      <c r="V177" cm="1">
        <f t="array" aca="1" ref="V177" ca="1">INDIRECT("Data!P" &amp; 172)</f>
        <v>0</v>
      </c>
    </row>
    <row r="178" spans="7:22" x14ac:dyDescent="0.25">
      <c r="G178" cm="1">
        <f t="array" aca="1" ref="G178" ca="1">INDIRECT("Data!A" &amp; 173)</f>
        <v>0</v>
      </c>
      <c r="H178" s="21" cm="1">
        <f t="array" aca="1" ref="H178" ca="1">INDIRECT("Data!B" &amp; 173)</f>
        <v>0</v>
      </c>
      <c r="I178" s="21" cm="1">
        <f t="array" aca="1" ref="I178" ca="1">INDIRECT("Data!C" &amp; 173)</f>
        <v>0</v>
      </c>
      <c r="J178" cm="1">
        <f t="array" aca="1" ref="J178" ca="1">INDIRECT("Data!D" &amp; 173)</f>
        <v>0</v>
      </c>
      <c r="K178" cm="1">
        <f t="array" aca="1" ref="K178" ca="1">INDIRECT("Data!E" &amp; 173)</f>
        <v>0</v>
      </c>
      <c r="L178" cm="1">
        <f t="array" aca="1" ref="L178" ca="1">INDIRECT("Data!F" &amp; 173)</f>
        <v>0</v>
      </c>
      <c r="M178" cm="1">
        <f t="array" aca="1" ref="M178" ca="1">INDIRECT("Data!G" &amp; 173)</f>
        <v>0</v>
      </c>
      <c r="N178" cm="1">
        <f t="array" aca="1" ref="N178" ca="1">INDIRECT("Data!H" &amp; 173)</f>
        <v>0</v>
      </c>
      <c r="O178" cm="1">
        <f t="array" aca="1" ref="O178" ca="1">INDIRECT("Data!I" &amp; 173)</f>
        <v>0</v>
      </c>
      <c r="P178" s="21" cm="1">
        <f t="array" aca="1" ref="P178" ca="1">INDIRECT("Data!J" &amp; 173)</f>
        <v>0</v>
      </c>
      <c r="Q178" cm="1">
        <f t="array" aca="1" ref="Q178" ca="1">INDIRECT("Data!K" &amp; 173)</f>
        <v>0</v>
      </c>
      <c r="R178" cm="1">
        <f t="array" aca="1" ref="R178" ca="1">INDIRECT("Data!L" &amp; 173)</f>
        <v>0</v>
      </c>
      <c r="S178" cm="1">
        <f t="array" aca="1" ref="S178" ca="1">INDIRECT("Data!M" &amp; 173)</f>
        <v>0</v>
      </c>
      <c r="T178" cm="1">
        <f t="array" aca="1" ref="T178" ca="1">INDIRECT("Data!N" &amp; 173)</f>
        <v>0</v>
      </c>
      <c r="U178" cm="1">
        <f t="array" aca="1" ref="U178" ca="1">INDIRECT("Data!O" &amp; 173)</f>
        <v>0</v>
      </c>
      <c r="V178" cm="1">
        <f t="array" aca="1" ref="V178" ca="1">INDIRECT("Data!P" &amp; 173)</f>
        <v>0</v>
      </c>
    </row>
    <row r="179" spans="7:22" x14ac:dyDescent="0.25">
      <c r="G179" cm="1">
        <f t="array" aca="1" ref="G179" ca="1">INDIRECT("Data!A" &amp; 174)</f>
        <v>0</v>
      </c>
      <c r="H179" s="21" cm="1">
        <f t="array" aca="1" ref="H179" ca="1">INDIRECT("Data!B" &amp; 174)</f>
        <v>0</v>
      </c>
      <c r="I179" s="21" cm="1">
        <f t="array" aca="1" ref="I179" ca="1">INDIRECT("Data!C" &amp; 174)</f>
        <v>0</v>
      </c>
      <c r="J179" cm="1">
        <f t="array" aca="1" ref="J179" ca="1">INDIRECT("Data!D" &amp; 174)</f>
        <v>0</v>
      </c>
      <c r="K179" cm="1">
        <f t="array" aca="1" ref="K179" ca="1">INDIRECT("Data!E" &amp; 174)</f>
        <v>0</v>
      </c>
      <c r="L179" cm="1">
        <f t="array" aca="1" ref="L179" ca="1">INDIRECT("Data!F" &amp; 174)</f>
        <v>0</v>
      </c>
      <c r="M179" cm="1">
        <f t="array" aca="1" ref="M179" ca="1">INDIRECT("Data!G" &amp; 174)</f>
        <v>0</v>
      </c>
      <c r="N179" cm="1">
        <f t="array" aca="1" ref="N179" ca="1">INDIRECT("Data!H" &amp; 174)</f>
        <v>0</v>
      </c>
      <c r="O179" cm="1">
        <f t="array" aca="1" ref="O179" ca="1">INDIRECT("Data!I" &amp; 174)</f>
        <v>0</v>
      </c>
      <c r="P179" s="21" cm="1">
        <f t="array" aca="1" ref="P179" ca="1">INDIRECT("Data!J" &amp; 174)</f>
        <v>0</v>
      </c>
      <c r="Q179" cm="1">
        <f t="array" aca="1" ref="Q179" ca="1">INDIRECT("Data!K" &amp; 174)</f>
        <v>0</v>
      </c>
      <c r="R179" cm="1">
        <f t="array" aca="1" ref="R179" ca="1">INDIRECT("Data!L" &amp; 174)</f>
        <v>0</v>
      </c>
      <c r="S179" cm="1">
        <f t="array" aca="1" ref="S179" ca="1">INDIRECT("Data!M" &amp; 174)</f>
        <v>0</v>
      </c>
      <c r="T179" cm="1">
        <f t="array" aca="1" ref="T179" ca="1">INDIRECT("Data!N" &amp; 174)</f>
        <v>0</v>
      </c>
      <c r="U179" cm="1">
        <f t="array" aca="1" ref="U179" ca="1">INDIRECT("Data!O" &amp; 174)</f>
        <v>0</v>
      </c>
      <c r="V179" cm="1">
        <f t="array" aca="1" ref="V179" ca="1">INDIRECT("Data!P" &amp; 174)</f>
        <v>0</v>
      </c>
    </row>
    <row r="180" spans="7:22" x14ac:dyDescent="0.25">
      <c r="G180" cm="1">
        <f t="array" aca="1" ref="G180" ca="1">INDIRECT("Data!A" &amp; 175)</f>
        <v>0</v>
      </c>
      <c r="H180" s="21" cm="1">
        <f t="array" aca="1" ref="H180" ca="1">INDIRECT("Data!B" &amp; 175)</f>
        <v>0</v>
      </c>
      <c r="I180" s="21" cm="1">
        <f t="array" aca="1" ref="I180" ca="1">INDIRECT("Data!C" &amp; 175)</f>
        <v>0</v>
      </c>
      <c r="J180" cm="1">
        <f t="array" aca="1" ref="J180" ca="1">INDIRECT("Data!D" &amp; 175)</f>
        <v>0</v>
      </c>
      <c r="K180" cm="1">
        <f t="array" aca="1" ref="K180" ca="1">INDIRECT("Data!E" &amp; 175)</f>
        <v>0</v>
      </c>
      <c r="L180" cm="1">
        <f t="array" aca="1" ref="L180" ca="1">INDIRECT("Data!F" &amp; 175)</f>
        <v>0</v>
      </c>
      <c r="M180" cm="1">
        <f t="array" aca="1" ref="M180" ca="1">INDIRECT("Data!G" &amp; 175)</f>
        <v>0</v>
      </c>
      <c r="N180" cm="1">
        <f t="array" aca="1" ref="N180" ca="1">INDIRECT("Data!H" &amp; 175)</f>
        <v>0</v>
      </c>
      <c r="O180" cm="1">
        <f t="array" aca="1" ref="O180" ca="1">INDIRECT("Data!I" &amp; 175)</f>
        <v>0</v>
      </c>
      <c r="P180" s="21" cm="1">
        <f t="array" aca="1" ref="P180" ca="1">INDIRECT("Data!J" &amp; 175)</f>
        <v>0</v>
      </c>
      <c r="Q180" cm="1">
        <f t="array" aca="1" ref="Q180" ca="1">INDIRECT("Data!K" &amp; 175)</f>
        <v>0</v>
      </c>
      <c r="R180" cm="1">
        <f t="array" aca="1" ref="R180" ca="1">INDIRECT("Data!L" &amp; 175)</f>
        <v>0</v>
      </c>
      <c r="S180" cm="1">
        <f t="array" aca="1" ref="S180" ca="1">INDIRECT("Data!M" &amp; 175)</f>
        <v>0</v>
      </c>
      <c r="T180" cm="1">
        <f t="array" aca="1" ref="T180" ca="1">INDIRECT("Data!N" &amp; 175)</f>
        <v>0</v>
      </c>
      <c r="U180" cm="1">
        <f t="array" aca="1" ref="U180" ca="1">INDIRECT("Data!O" &amp; 175)</f>
        <v>0</v>
      </c>
      <c r="V180" cm="1">
        <f t="array" aca="1" ref="V180" ca="1">INDIRECT("Data!P" &amp; 175)</f>
        <v>0</v>
      </c>
    </row>
    <row r="181" spans="7:22" x14ac:dyDescent="0.25">
      <c r="G181" cm="1">
        <f t="array" aca="1" ref="G181" ca="1">INDIRECT("Data!A" &amp; 176)</f>
        <v>0</v>
      </c>
      <c r="H181" s="21" cm="1">
        <f t="array" aca="1" ref="H181" ca="1">INDIRECT("Data!B" &amp; 176)</f>
        <v>0</v>
      </c>
      <c r="I181" s="21" cm="1">
        <f t="array" aca="1" ref="I181" ca="1">INDIRECT("Data!C" &amp; 176)</f>
        <v>0</v>
      </c>
      <c r="J181" cm="1">
        <f t="array" aca="1" ref="J181" ca="1">INDIRECT("Data!D" &amp; 176)</f>
        <v>0</v>
      </c>
      <c r="K181" cm="1">
        <f t="array" aca="1" ref="K181" ca="1">INDIRECT("Data!E" &amp; 176)</f>
        <v>0</v>
      </c>
      <c r="L181" cm="1">
        <f t="array" aca="1" ref="L181" ca="1">INDIRECT("Data!F" &amp; 176)</f>
        <v>0</v>
      </c>
      <c r="M181" cm="1">
        <f t="array" aca="1" ref="M181" ca="1">INDIRECT("Data!G" &amp; 176)</f>
        <v>0</v>
      </c>
      <c r="N181" cm="1">
        <f t="array" aca="1" ref="N181" ca="1">INDIRECT("Data!H" &amp; 176)</f>
        <v>0</v>
      </c>
      <c r="O181" cm="1">
        <f t="array" aca="1" ref="O181" ca="1">INDIRECT("Data!I" &amp; 176)</f>
        <v>0</v>
      </c>
      <c r="P181" s="21" cm="1">
        <f t="array" aca="1" ref="P181" ca="1">INDIRECT("Data!J" &amp; 176)</f>
        <v>0</v>
      </c>
      <c r="Q181" cm="1">
        <f t="array" aca="1" ref="Q181" ca="1">INDIRECT("Data!K" &amp; 176)</f>
        <v>0</v>
      </c>
      <c r="R181" cm="1">
        <f t="array" aca="1" ref="R181" ca="1">INDIRECT("Data!L" &amp; 176)</f>
        <v>0</v>
      </c>
      <c r="S181" cm="1">
        <f t="array" aca="1" ref="S181" ca="1">INDIRECT("Data!M" &amp; 176)</f>
        <v>0</v>
      </c>
      <c r="T181" cm="1">
        <f t="array" aca="1" ref="T181" ca="1">INDIRECT("Data!N" &amp; 176)</f>
        <v>0</v>
      </c>
      <c r="U181" cm="1">
        <f t="array" aca="1" ref="U181" ca="1">INDIRECT("Data!O" &amp; 176)</f>
        <v>0</v>
      </c>
      <c r="V181" cm="1">
        <f t="array" aca="1" ref="V181" ca="1">INDIRECT("Data!P" &amp; 176)</f>
        <v>0</v>
      </c>
    </row>
    <row r="182" spans="7:22" x14ac:dyDescent="0.25">
      <c r="G182" cm="1">
        <f t="array" aca="1" ref="G182" ca="1">INDIRECT("Data!A" &amp; 177)</f>
        <v>0</v>
      </c>
      <c r="H182" s="21" cm="1">
        <f t="array" aca="1" ref="H182" ca="1">INDIRECT("Data!B" &amp; 177)</f>
        <v>0</v>
      </c>
      <c r="I182" s="21" cm="1">
        <f t="array" aca="1" ref="I182" ca="1">INDIRECT("Data!C" &amp; 177)</f>
        <v>0</v>
      </c>
      <c r="J182" cm="1">
        <f t="array" aca="1" ref="J182" ca="1">INDIRECT("Data!D" &amp; 177)</f>
        <v>0</v>
      </c>
      <c r="K182" cm="1">
        <f t="array" aca="1" ref="K182" ca="1">INDIRECT("Data!E" &amp; 177)</f>
        <v>0</v>
      </c>
      <c r="L182" cm="1">
        <f t="array" aca="1" ref="L182" ca="1">INDIRECT("Data!F" &amp; 177)</f>
        <v>0</v>
      </c>
      <c r="M182" cm="1">
        <f t="array" aca="1" ref="M182" ca="1">INDIRECT("Data!G" &amp; 177)</f>
        <v>0</v>
      </c>
      <c r="N182" cm="1">
        <f t="array" aca="1" ref="N182" ca="1">INDIRECT("Data!H" &amp; 177)</f>
        <v>0</v>
      </c>
      <c r="O182" cm="1">
        <f t="array" aca="1" ref="O182" ca="1">INDIRECT("Data!I" &amp; 177)</f>
        <v>0</v>
      </c>
      <c r="P182" s="21" cm="1">
        <f t="array" aca="1" ref="P182" ca="1">INDIRECT("Data!J" &amp; 177)</f>
        <v>0</v>
      </c>
      <c r="Q182" cm="1">
        <f t="array" aca="1" ref="Q182" ca="1">INDIRECT("Data!K" &amp; 177)</f>
        <v>0</v>
      </c>
      <c r="R182" cm="1">
        <f t="array" aca="1" ref="R182" ca="1">INDIRECT("Data!L" &amp; 177)</f>
        <v>0</v>
      </c>
      <c r="S182" cm="1">
        <f t="array" aca="1" ref="S182" ca="1">INDIRECT("Data!M" &amp; 177)</f>
        <v>0</v>
      </c>
      <c r="T182" cm="1">
        <f t="array" aca="1" ref="T182" ca="1">INDIRECT("Data!N" &amp; 177)</f>
        <v>0</v>
      </c>
      <c r="U182" cm="1">
        <f t="array" aca="1" ref="U182" ca="1">INDIRECT("Data!O" &amp; 177)</f>
        <v>0</v>
      </c>
      <c r="V182" cm="1">
        <f t="array" aca="1" ref="V182" ca="1">INDIRECT("Data!P" &amp; 177)</f>
        <v>0</v>
      </c>
    </row>
    <row r="183" spans="7:22" x14ac:dyDescent="0.25">
      <c r="G183" cm="1">
        <f t="array" aca="1" ref="G183" ca="1">INDIRECT("Data!A" &amp; 178)</f>
        <v>0</v>
      </c>
      <c r="H183" s="21" cm="1">
        <f t="array" aca="1" ref="H183" ca="1">INDIRECT("Data!B" &amp; 178)</f>
        <v>0</v>
      </c>
      <c r="I183" s="21" cm="1">
        <f t="array" aca="1" ref="I183" ca="1">INDIRECT("Data!C" &amp; 178)</f>
        <v>0</v>
      </c>
      <c r="J183" cm="1">
        <f t="array" aca="1" ref="J183" ca="1">INDIRECT("Data!D" &amp; 178)</f>
        <v>0</v>
      </c>
      <c r="K183" cm="1">
        <f t="array" aca="1" ref="K183" ca="1">INDIRECT("Data!E" &amp; 178)</f>
        <v>0</v>
      </c>
      <c r="L183" cm="1">
        <f t="array" aca="1" ref="L183" ca="1">INDIRECT("Data!F" &amp; 178)</f>
        <v>0</v>
      </c>
      <c r="M183" cm="1">
        <f t="array" aca="1" ref="M183" ca="1">INDIRECT("Data!G" &amp; 178)</f>
        <v>0</v>
      </c>
      <c r="N183" cm="1">
        <f t="array" aca="1" ref="N183" ca="1">INDIRECT("Data!H" &amp; 178)</f>
        <v>0</v>
      </c>
      <c r="O183" cm="1">
        <f t="array" aca="1" ref="O183" ca="1">INDIRECT("Data!I" &amp; 178)</f>
        <v>0</v>
      </c>
      <c r="P183" s="21" cm="1">
        <f t="array" aca="1" ref="P183" ca="1">INDIRECT("Data!J" &amp; 178)</f>
        <v>0</v>
      </c>
      <c r="Q183" cm="1">
        <f t="array" aca="1" ref="Q183" ca="1">INDIRECT("Data!K" &amp; 178)</f>
        <v>0</v>
      </c>
      <c r="R183" cm="1">
        <f t="array" aca="1" ref="R183" ca="1">INDIRECT("Data!L" &amp; 178)</f>
        <v>0</v>
      </c>
      <c r="S183" cm="1">
        <f t="array" aca="1" ref="S183" ca="1">INDIRECT("Data!M" &amp; 178)</f>
        <v>0</v>
      </c>
      <c r="T183" cm="1">
        <f t="array" aca="1" ref="T183" ca="1">INDIRECT("Data!N" &amp; 178)</f>
        <v>0</v>
      </c>
      <c r="U183" cm="1">
        <f t="array" aca="1" ref="U183" ca="1">INDIRECT("Data!O" &amp; 178)</f>
        <v>0</v>
      </c>
      <c r="V183" cm="1">
        <f t="array" aca="1" ref="V183" ca="1">INDIRECT("Data!P" &amp; 178)</f>
        <v>0</v>
      </c>
    </row>
    <row r="184" spans="7:22" x14ac:dyDescent="0.25">
      <c r="G184" cm="1">
        <f t="array" aca="1" ref="G184" ca="1">INDIRECT("Data!A" &amp; 179)</f>
        <v>0</v>
      </c>
      <c r="H184" s="21" cm="1">
        <f t="array" aca="1" ref="H184" ca="1">INDIRECT("Data!B" &amp; 179)</f>
        <v>0</v>
      </c>
      <c r="I184" s="21" cm="1">
        <f t="array" aca="1" ref="I184" ca="1">INDIRECT("Data!C" &amp; 179)</f>
        <v>0</v>
      </c>
      <c r="J184" cm="1">
        <f t="array" aca="1" ref="J184" ca="1">INDIRECT("Data!D" &amp; 179)</f>
        <v>0</v>
      </c>
      <c r="K184" cm="1">
        <f t="array" aca="1" ref="K184" ca="1">INDIRECT("Data!E" &amp; 179)</f>
        <v>0</v>
      </c>
      <c r="L184" cm="1">
        <f t="array" aca="1" ref="L184" ca="1">INDIRECT("Data!F" &amp; 179)</f>
        <v>0</v>
      </c>
      <c r="M184" cm="1">
        <f t="array" aca="1" ref="M184" ca="1">INDIRECT("Data!G" &amp; 179)</f>
        <v>0</v>
      </c>
      <c r="N184" cm="1">
        <f t="array" aca="1" ref="N184" ca="1">INDIRECT("Data!H" &amp; 179)</f>
        <v>0</v>
      </c>
      <c r="O184" cm="1">
        <f t="array" aca="1" ref="O184" ca="1">INDIRECT("Data!I" &amp; 179)</f>
        <v>0</v>
      </c>
      <c r="P184" s="21" cm="1">
        <f t="array" aca="1" ref="P184" ca="1">INDIRECT("Data!J" &amp; 179)</f>
        <v>0</v>
      </c>
      <c r="Q184" cm="1">
        <f t="array" aca="1" ref="Q184" ca="1">INDIRECT("Data!K" &amp; 179)</f>
        <v>0</v>
      </c>
      <c r="R184" cm="1">
        <f t="array" aca="1" ref="R184" ca="1">INDIRECT("Data!L" &amp; 179)</f>
        <v>0</v>
      </c>
      <c r="S184" cm="1">
        <f t="array" aca="1" ref="S184" ca="1">INDIRECT("Data!M" &amp; 179)</f>
        <v>0</v>
      </c>
      <c r="T184" cm="1">
        <f t="array" aca="1" ref="T184" ca="1">INDIRECT("Data!N" &amp; 179)</f>
        <v>0</v>
      </c>
      <c r="U184" cm="1">
        <f t="array" aca="1" ref="U184" ca="1">INDIRECT("Data!O" &amp; 179)</f>
        <v>0</v>
      </c>
      <c r="V184" cm="1">
        <f t="array" aca="1" ref="V184" ca="1">INDIRECT("Data!P" &amp; 179)</f>
        <v>0</v>
      </c>
    </row>
    <row r="185" spans="7:22" x14ac:dyDescent="0.25">
      <c r="G185" cm="1">
        <f t="array" aca="1" ref="G185" ca="1">INDIRECT("Data!A" &amp; 180)</f>
        <v>0</v>
      </c>
      <c r="H185" s="21" cm="1">
        <f t="array" aca="1" ref="H185" ca="1">INDIRECT("Data!B" &amp; 180)</f>
        <v>0</v>
      </c>
      <c r="I185" s="21" cm="1">
        <f t="array" aca="1" ref="I185" ca="1">INDIRECT("Data!C" &amp; 180)</f>
        <v>0</v>
      </c>
      <c r="J185" cm="1">
        <f t="array" aca="1" ref="J185" ca="1">INDIRECT("Data!D" &amp; 180)</f>
        <v>0</v>
      </c>
      <c r="K185" cm="1">
        <f t="array" aca="1" ref="K185" ca="1">INDIRECT("Data!E" &amp; 180)</f>
        <v>0</v>
      </c>
      <c r="L185" cm="1">
        <f t="array" aca="1" ref="L185" ca="1">INDIRECT("Data!F" &amp; 180)</f>
        <v>0</v>
      </c>
      <c r="M185" cm="1">
        <f t="array" aca="1" ref="M185" ca="1">INDIRECT("Data!G" &amp; 180)</f>
        <v>0</v>
      </c>
      <c r="N185" cm="1">
        <f t="array" aca="1" ref="N185" ca="1">INDIRECT("Data!H" &amp; 180)</f>
        <v>0</v>
      </c>
      <c r="O185" cm="1">
        <f t="array" aca="1" ref="O185" ca="1">INDIRECT("Data!I" &amp; 180)</f>
        <v>0</v>
      </c>
      <c r="P185" s="21" cm="1">
        <f t="array" aca="1" ref="P185" ca="1">INDIRECT("Data!J" &amp; 180)</f>
        <v>0</v>
      </c>
      <c r="Q185" cm="1">
        <f t="array" aca="1" ref="Q185" ca="1">INDIRECT("Data!K" &amp; 180)</f>
        <v>0</v>
      </c>
      <c r="R185" cm="1">
        <f t="array" aca="1" ref="R185" ca="1">INDIRECT("Data!L" &amp; 180)</f>
        <v>0</v>
      </c>
      <c r="S185" cm="1">
        <f t="array" aca="1" ref="S185" ca="1">INDIRECT("Data!M" &amp; 180)</f>
        <v>0</v>
      </c>
      <c r="T185" cm="1">
        <f t="array" aca="1" ref="T185" ca="1">INDIRECT("Data!N" &amp; 180)</f>
        <v>0</v>
      </c>
      <c r="U185" cm="1">
        <f t="array" aca="1" ref="U185" ca="1">INDIRECT("Data!O" &amp; 180)</f>
        <v>0</v>
      </c>
      <c r="V185" cm="1">
        <f t="array" aca="1" ref="V185" ca="1">INDIRECT("Data!P" &amp; 180)</f>
        <v>0</v>
      </c>
    </row>
    <row r="186" spans="7:22" x14ac:dyDescent="0.25">
      <c r="G186" cm="1">
        <f t="array" aca="1" ref="G186" ca="1">INDIRECT("Data!A" &amp; 181)</f>
        <v>0</v>
      </c>
      <c r="H186" s="21" cm="1">
        <f t="array" aca="1" ref="H186" ca="1">INDIRECT("Data!B" &amp; 181)</f>
        <v>0</v>
      </c>
      <c r="I186" s="21" cm="1">
        <f t="array" aca="1" ref="I186" ca="1">INDIRECT("Data!C" &amp; 181)</f>
        <v>0</v>
      </c>
      <c r="J186" cm="1">
        <f t="array" aca="1" ref="J186" ca="1">INDIRECT("Data!D" &amp; 181)</f>
        <v>0</v>
      </c>
      <c r="K186" cm="1">
        <f t="array" aca="1" ref="K186" ca="1">INDIRECT("Data!E" &amp; 181)</f>
        <v>0</v>
      </c>
      <c r="L186" cm="1">
        <f t="array" aca="1" ref="L186" ca="1">INDIRECT("Data!F" &amp; 181)</f>
        <v>0</v>
      </c>
      <c r="M186" cm="1">
        <f t="array" aca="1" ref="M186" ca="1">INDIRECT("Data!G" &amp; 181)</f>
        <v>0</v>
      </c>
      <c r="N186" cm="1">
        <f t="array" aca="1" ref="N186" ca="1">INDIRECT("Data!H" &amp; 181)</f>
        <v>0</v>
      </c>
      <c r="O186" cm="1">
        <f t="array" aca="1" ref="O186" ca="1">INDIRECT("Data!I" &amp; 181)</f>
        <v>0</v>
      </c>
      <c r="P186" s="21" cm="1">
        <f t="array" aca="1" ref="P186" ca="1">INDIRECT("Data!J" &amp; 181)</f>
        <v>0</v>
      </c>
      <c r="Q186" cm="1">
        <f t="array" aca="1" ref="Q186" ca="1">INDIRECT("Data!K" &amp; 181)</f>
        <v>0</v>
      </c>
      <c r="R186" cm="1">
        <f t="array" aca="1" ref="R186" ca="1">INDIRECT("Data!L" &amp; 181)</f>
        <v>0</v>
      </c>
      <c r="S186" cm="1">
        <f t="array" aca="1" ref="S186" ca="1">INDIRECT("Data!M" &amp; 181)</f>
        <v>0</v>
      </c>
      <c r="T186" cm="1">
        <f t="array" aca="1" ref="T186" ca="1">INDIRECT("Data!N" &amp; 181)</f>
        <v>0</v>
      </c>
      <c r="U186" cm="1">
        <f t="array" aca="1" ref="U186" ca="1">INDIRECT("Data!O" &amp; 181)</f>
        <v>0</v>
      </c>
      <c r="V186" cm="1">
        <f t="array" aca="1" ref="V186" ca="1">INDIRECT("Data!P" &amp; 181)</f>
        <v>0</v>
      </c>
    </row>
    <row r="187" spans="7:22" x14ac:dyDescent="0.25">
      <c r="G187" cm="1">
        <f t="array" aca="1" ref="G187" ca="1">INDIRECT("Data!A" &amp; 182)</f>
        <v>0</v>
      </c>
      <c r="H187" s="21" cm="1">
        <f t="array" aca="1" ref="H187" ca="1">INDIRECT("Data!B" &amp; 182)</f>
        <v>0</v>
      </c>
      <c r="I187" s="21" cm="1">
        <f t="array" aca="1" ref="I187" ca="1">INDIRECT("Data!C" &amp; 182)</f>
        <v>0</v>
      </c>
      <c r="J187" cm="1">
        <f t="array" aca="1" ref="J187" ca="1">INDIRECT("Data!D" &amp; 182)</f>
        <v>0</v>
      </c>
      <c r="K187" cm="1">
        <f t="array" aca="1" ref="K187" ca="1">INDIRECT("Data!E" &amp; 182)</f>
        <v>0</v>
      </c>
      <c r="L187" cm="1">
        <f t="array" aca="1" ref="L187" ca="1">INDIRECT("Data!F" &amp; 182)</f>
        <v>0</v>
      </c>
      <c r="M187" cm="1">
        <f t="array" aca="1" ref="M187" ca="1">INDIRECT("Data!G" &amp; 182)</f>
        <v>0</v>
      </c>
      <c r="N187" cm="1">
        <f t="array" aca="1" ref="N187" ca="1">INDIRECT("Data!H" &amp; 182)</f>
        <v>0</v>
      </c>
      <c r="O187" cm="1">
        <f t="array" aca="1" ref="O187" ca="1">INDIRECT("Data!I" &amp; 182)</f>
        <v>0</v>
      </c>
      <c r="P187" s="21" cm="1">
        <f t="array" aca="1" ref="P187" ca="1">INDIRECT("Data!J" &amp; 182)</f>
        <v>0</v>
      </c>
      <c r="Q187" cm="1">
        <f t="array" aca="1" ref="Q187" ca="1">INDIRECT("Data!K" &amp; 182)</f>
        <v>0</v>
      </c>
      <c r="R187" cm="1">
        <f t="array" aca="1" ref="R187" ca="1">INDIRECT("Data!L" &amp; 182)</f>
        <v>0</v>
      </c>
      <c r="S187" cm="1">
        <f t="array" aca="1" ref="S187" ca="1">INDIRECT("Data!M" &amp; 182)</f>
        <v>0</v>
      </c>
      <c r="T187" cm="1">
        <f t="array" aca="1" ref="T187" ca="1">INDIRECT("Data!N" &amp; 182)</f>
        <v>0</v>
      </c>
      <c r="U187" cm="1">
        <f t="array" aca="1" ref="U187" ca="1">INDIRECT("Data!O" &amp; 182)</f>
        <v>0</v>
      </c>
      <c r="V187" cm="1">
        <f t="array" aca="1" ref="V187" ca="1">INDIRECT("Data!P" &amp; 182)</f>
        <v>0</v>
      </c>
    </row>
    <row r="188" spans="7:22" x14ac:dyDescent="0.25">
      <c r="G188" cm="1">
        <f t="array" aca="1" ref="G188" ca="1">INDIRECT("Data!A" &amp; 183)</f>
        <v>0</v>
      </c>
      <c r="H188" s="21" cm="1">
        <f t="array" aca="1" ref="H188" ca="1">INDIRECT("Data!B" &amp; 183)</f>
        <v>0</v>
      </c>
      <c r="I188" s="21" cm="1">
        <f t="array" aca="1" ref="I188" ca="1">INDIRECT("Data!C" &amp; 183)</f>
        <v>0</v>
      </c>
      <c r="J188" cm="1">
        <f t="array" aca="1" ref="J188" ca="1">INDIRECT("Data!D" &amp; 183)</f>
        <v>0</v>
      </c>
      <c r="K188" cm="1">
        <f t="array" aca="1" ref="K188" ca="1">INDIRECT("Data!E" &amp; 183)</f>
        <v>0</v>
      </c>
      <c r="L188" cm="1">
        <f t="array" aca="1" ref="L188" ca="1">INDIRECT("Data!F" &amp; 183)</f>
        <v>0</v>
      </c>
      <c r="M188" cm="1">
        <f t="array" aca="1" ref="M188" ca="1">INDIRECT("Data!G" &amp; 183)</f>
        <v>0</v>
      </c>
      <c r="N188" cm="1">
        <f t="array" aca="1" ref="N188" ca="1">INDIRECT("Data!H" &amp; 183)</f>
        <v>0</v>
      </c>
      <c r="O188" cm="1">
        <f t="array" aca="1" ref="O188" ca="1">INDIRECT("Data!I" &amp; 183)</f>
        <v>0</v>
      </c>
      <c r="P188" s="21" cm="1">
        <f t="array" aca="1" ref="P188" ca="1">INDIRECT("Data!J" &amp; 183)</f>
        <v>0</v>
      </c>
      <c r="Q188" cm="1">
        <f t="array" aca="1" ref="Q188" ca="1">INDIRECT("Data!K" &amp; 183)</f>
        <v>0</v>
      </c>
      <c r="R188" cm="1">
        <f t="array" aca="1" ref="R188" ca="1">INDIRECT("Data!L" &amp; 183)</f>
        <v>0</v>
      </c>
      <c r="S188" cm="1">
        <f t="array" aca="1" ref="S188" ca="1">INDIRECT("Data!M" &amp; 183)</f>
        <v>0</v>
      </c>
      <c r="T188" cm="1">
        <f t="array" aca="1" ref="T188" ca="1">INDIRECT("Data!N" &amp; 183)</f>
        <v>0</v>
      </c>
      <c r="U188" cm="1">
        <f t="array" aca="1" ref="U188" ca="1">INDIRECT("Data!O" &amp; 183)</f>
        <v>0</v>
      </c>
      <c r="V188" cm="1">
        <f t="array" aca="1" ref="V188" ca="1">INDIRECT("Data!P" &amp; 183)</f>
        <v>0</v>
      </c>
    </row>
    <row r="189" spans="7:22" x14ac:dyDescent="0.25">
      <c r="G189" cm="1">
        <f t="array" aca="1" ref="G189" ca="1">INDIRECT("Data!A" &amp; 184)</f>
        <v>0</v>
      </c>
      <c r="H189" s="21" cm="1">
        <f t="array" aca="1" ref="H189" ca="1">INDIRECT("Data!B" &amp; 184)</f>
        <v>0</v>
      </c>
      <c r="I189" s="21" cm="1">
        <f t="array" aca="1" ref="I189" ca="1">INDIRECT("Data!C" &amp; 184)</f>
        <v>0</v>
      </c>
      <c r="J189" cm="1">
        <f t="array" aca="1" ref="J189" ca="1">INDIRECT("Data!D" &amp; 184)</f>
        <v>0</v>
      </c>
      <c r="K189" cm="1">
        <f t="array" aca="1" ref="K189" ca="1">INDIRECT("Data!E" &amp; 184)</f>
        <v>0</v>
      </c>
      <c r="L189" cm="1">
        <f t="array" aca="1" ref="L189" ca="1">INDIRECT("Data!F" &amp; 184)</f>
        <v>0</v>
      </c>
      <c r="M189" cm="1">
        <f t="array" aca="1" ref="M189" ca="1">INDIRECT("Data!G" &amp; 184)</f>
        <v>0</v>
      </c>
      <c r="N189" cm="1">
        <f t="array" aca="1" ref="N189" ca="1">INDIRECT("Data!H" &amp; 184)</f>
        <v>0</v>
      </c>
      <c r="O189" cm="1">
        <f t="array" aca="1" ref="O189" ca="1">INDIRECT("Data!I" &amp; 184)</f>
        <v>0</v>
      </c>
      <c r="P189" s="21" cm="1">
        <f t="array" aca="1" ref="P189" ca="1">INDIRECT("Data!J" &amp; 184)</f>
        <v>0</v>
      </c>
      <c r="Q189" cm="1">
        <f t="array" aca="1" ref="Q189" ca="1">INDIRECT("Data!K" &amp; 184)</f>
        <v>0</v>
      </c>
      <c r="R189" cm="1">
        <f t="array" aca="1" ref="R189" ca="1">INDIRECT("Data!L" &amp; 184)</f>
        <v>0</v>
      </c>
      <c r="S189" cm="1">
        <f t="array" aca="1" ref="S189" ca="1">INDIRECT("Data!M" &amp; 184)</f>
        <v>0</v>
      </c>
      <c r="T189" cm="1">
        <f t="array" aca="1" ref="T189" ca="1">INDIRECT("Data!N" &amp; 184)</f>
        <v>0</v>
      </c>
      <c r="U189" cm="1">
        <f t="array" aca="1" ref="U189" ca="1">INDIRECT("Data!O" &amp; 184)</f>
        <v>0</v>
      </c>
      <c r="V189" cm="1">
        <f t="array" aca="1" ref="V189" ca="1">INDIRECT("Data!P" &amp; 184)</f>
        <v>0</v>
      </c>
    </row>
    <row r="190" spans="7:22" x14ac:dyDescent="0.25">
      <c r="G190" cm="1">
        <f t="array" aca="1" ref="G190" ca="1">INDIRECT("Data!A" &amp; 185)</f>
        <v>0</v>
      </c>
      <c r="H190" s="21" cm="1">
        <f t="array" aca="1" ref="H190" ca="1">INDIRECT("Data!B" &amp; 185)</f>
        <v>0</v>
      </c>
      <c r="I190" s="21" cm="1">
        <f t="array" aca="1" ref="I190" ca="1">INDIRECT("Data!C" &amp; 185)</f>
        <v>0</v>
      </c>
      <c r="J190" cm="1">
        <f t="array" aca="1" ref="J190" ca="1">INDIRECT("Data!D" &amp; 185)</f>
        <v>0</v>
      </c>
      <c r="K190" cm="1">
        <f t="array" aca="1" ref="K190" ca="1">INDIRECT("Data!E" &amp; 185)</f>
        <v>0</v>
      </c>
      <c r="L190" cm="1">
        <f t="array" aca="1" ref="L190" ca="1">INDIRECT("Data!F" &amp; 185)</f>
        <v>0</v>
      </c>
      <c r="M190" cm="1">
        <f t="array" aca="1" ref="M190" ca="1">INDIRECT("Data!G" &amp; 185)</f>
        <v>0</v>
      </c>
      <c r="N190" cm="1">
        <f t="array" aca="1" ref="N190" ca="1">INDIRECT("Data!H" &amp; 185)</f>
        <v>0</v>
      </c>
      <c r="O190" cm="1">
        <f t="array" aca="1" ref="O190" ca="1">INDIRECT("Data!I" &amp; 185)</f>
        <v>0</v>
      </c>
      <c r="P190" s="21" cm="1">
        <f t="array" aca="1" ref="P190" ca="1">INDIRECT("Data!J" &amp; 185)</f>
        <v>0</v>
      </c>
      <c r="Q190" cm="1">
        <f t="array" aca="1" ref="Q190" ca="1">INDIRECT("Data!K" &amp; 185)</f>
        <v>0</v>
      </c>
      <c r="R190" cm="1">
        <f t="array" aca="1" ref="R190" ca="1">INDIRECT("Data!L" &amp; 185)</f>
        <v>0</v>
      </c>
      <c r="S190" cm="1">
        <f t="array" aca="1" ref="S190" ca="1">INDIRECT("Data!M" &amp; 185)</f>
        <v>0</v>
      </c>
      <c r="T190" cm="1">
        <f t="array" aca="1" ref="T190" ca="1">INDIRECT("Data!N" &amp; 185)</f>
        <v>0</v>
      </c>
      <c r="U190" cm="1">
        <f t="array" aca="1" ref="U190" ca="1">INDIRECT("Data!O" &amp; 185)</f>
        <v>0</v>
      </c>
      <c r="V190" cm="1">
        <f t="array" aca="1" ref="V190" ca="1">INDIRECT("Data!P" &amp; 185)</f>
        <v>0</v>
      </c>
    </row>
    <row r="191" spans="7:22" x14ac:dyDescent="0.25">
      <c r="G191" cm="1">
        <f t="array" aca="1" ref="G191" ca="1">INDIRECT("Data!A" &amp; 186)</f>
        <v>0</v>
      </c>
      <c r="H191" s="21" cm="1">
        <f t="array" aca="1" ref="H191" ca="1">INDIRECT("Data!B" &amp; 186)</f>
        <v>0</v>
      </c>
      <c r="I191" s="21" cm="1">
        <f t="array" aca="1" ref="I191" ca="1">INDIRECT("Data!C" &amp; 186)</f>
        <v>0</v>
      </c>
      <c r="J191" cm="1">
        <f t="array" aca="1" ref="J191" ca="1">INDIRECT("Data!D" &amp; 186)</f>
        <v>0</v>
      </c>
      <c r="K191" cm="1">
        <f t="array" aca="1" ref="K191" ca="1">INDIRECT("Data!E" &amp; 186)</f>
        <v>0</v>
      </c>
      <c r="L191" cm="1">
        <f t="array" aca="1" ref="L191" ca="1">INDIRECT("Data!F" &amp; 186)</f>
        <v>0</v>
      </c>
      <c r="M191" cm="1">
        <f t="array" aca="1" ref="M191" ca="1">INDIRECT("Data!G" &amp; 186)</f>
        <v>0</v>
      </c>
      <c r="N191" cm="1">
        <f t="array" aca="1" ref="N191" ca="1">INDIRECT("Data!H" &amp; 186)</f>
        <v>0</v>
      </c>
      <c r="O191" cm="1">
        <f t="array" aca="1" ref="O191" ca="1">INDIRECT("Data!I" &amp; 186)</f>
        <v>0</v>
      </c>
      <c r="P191" s="21" cm="1">
        <f t="array" aca="1" ref="P191" ca="1">INDIRECT("Data!J" &amp; 186)</f>
        <v>0</v>
      </c>
      <c r="Q191" cm="1">
        <f t="array" aca="1" ref="Q191" ca="1">INDIRECT("Data!K" &amp; 186)</f>
        <v>0</v>
      </c>
      <c r="R191" cm="1">
        <f t="array" aca="1" ref="R191" ca="1">INDIRECT("Data!L" &amp; 186)</f>
        <v>0</v>
      </c>
      <c r="S191" cm="1">
        <f t="array" aca="1" ref="S191" ca="1">INDIRECT("Data!M" &amp; 186)</f>
        <v>0</v>
      </c>
      <c r="T191" cm="1">
        <f t="array" aca="1" ref="T191" ca="1">INDIRECT("Data!N" &amp; 186)</f>
        <v>0</v>
      </c>
      <c r="U191" cm="1">
        <f t="array" aca="1" ref="U191" ca="1">INDIRECT("Data!O" &amp; 186)</f>
        <v>0</v>
      </c>
      <c r="V191" cm="1">
        <f t="array" aca="1" ref="V191" ca="1">INDIRECT("Data!P" &amp; 186)</f>
        <v>0</v>
      </c>
    </row>
    <row r="192" spans="7:22" x14ac:dyDescent="0.25">
      <c r="G192" cm="1">
        <f t="array" aca="1" ref="G192" ca="1">INDIRECT("Data!A" &amp; 187)</f>
        <v>0</v>
      </c>
      <c r="H192" s="21" cm="1">
        <f t="array" aca="1" ref="H192" ca="1">INDIRECT("Data!B" &amp; 187)</f>
        <v>0</v>
      </c>
      <c r="I192" s="21" cm="1">
        <f t="array" aca="1" ref="I192" ca="1">INDIRECT("Data!C" &amp; 187)</f>
        <v>0</v>
      </c>
      <c r="J192" cm="1">
        <f t="array" aca="1" ref="J192" ca="1">INDIRECT("Data!D" &amp; 187)</f>
        <v>0</v>
      </c>
      <c r="K192" cm="1">
        <f t="array" aca="1" ref="K192" ca="1">INDIRECT("Data!E" &amp; 187)</f>
        <v>0</v>
      </c>
      <c r="L192" cm="1">
        <f t="array" aca="1" ref="L192" ca="1">INDIRECT("Data!F" &amp; 187)</f>
        <v>0</v>
      </c>
      <c r="M192" cm="1">
        <f t="array" aca="1" ref="M192" ca="1">INDIRECT("Data!G" &amp; 187)</f>
        <v>0</v>
      </c>
      <c r="N192" cm="1">
        <f t="array" aca="1" ref="N192" ca="1">INDIRECT("Data!H" &amp; 187)</f>
        <v>0</v>
      </c>
      <c r="O192" cm="1">
        <f t="array" aca="1" ref="O192" ca="1">INDIRECT("Data!I" &amp; 187)</f>
        <v>0</v>
      </c>
      <c r="P192" s="21" cm="1">
        <f t="array" aca="1" ref="P192" ca="1">INDIRECT("Data!J" &amp; 187)</f>
        <v>0</v>
      </c>
      <c r="Q192" cm="1">
        <f t="array" aca="1" ref="Q192" ca="1">INDIRECT("Data!K" &amp; 187)</f>
        <v>0</v>
      </c>
      <c r="R192" cm="1">
        <f t="array" aca="1" ref="R192" ca="1">INDIRECT("Data!L" &amp; 187)</f>
        <v>0</v>
      </c>
      <c r="S192" cm="1">
        <f t="array" aca="1" ref="S192" ca="1">INDIRECT("Data!M" &amp; 187)</f>
        <v>0</v>
      </c>
      <c r="T192" cm="1">
        <f t="array" aca="1" ref="T192" ca="1">INDIRECT("Data!N" &amp; 187)</f>
        <v>0</v>
      </c>
      <c r="U192" cm="1">
        <f t="array" aca="1" ref="U192" ca="1">INDIRECT("Data!O" &amp; 187)</f>
        <v>0</v>
      </c>
      <c r="V192" cm="1">
        <f t="array" aca="1" ref="V192" ca="1">INDIRECT("Data!P" &amp; 187)</f>
        <v>0</v>
      </c>
    </row>
    <row r="193" spans="7:22" x14ac:dyDescent="0.25">
      <c r="G193" cm="1">
        <f t="array" aca="1" ref="G193" ca="1">INDIRECT("Data!A" &amp; 188)</f>
        <v>0</v>
      </c>
      <c r="H193" s="21" cm="1">
        <f t="array" aca="1" ref="H193" ca="1">INDIRECT("Data!B" &amp; 188)</f>
        <v>0</v>
      </c>
      <c r="I193" s="21" cm="1">
        <f t="array" aca="1" ref="I193" ca="1">INDIRECT("Data!C" &amp; 188)</f>
        <v>0</v>
      </c>
      <c r="J193" cm="1">
        <f t="array" aca="1" ref="J193" ca="1">INDIRECT("Data!D" &amp; 188)</f>
        <v>0</v>
      </c>
      <c r="K193" cm="1">
        <f t="array" aca="1" ref="K193" ca="1">INDIRECT("Data!E" &amp; 188)</f>
        <v>0</v>
      </c>
      <c r="L193" cm="1">
        <f t="array" aca="1" ref="L193" ca="1">INDIRECT("Data!F" &amp; 188)</f>
        <v>0</v>
      </c>
      <c r="M193" cm="1">
        <f t="array" aca="1" ref="M193" ca="1">INDIRECT("Data!G" &amp; 188)</f>
        <v>0</v>
      </c>
      <c r="N193" cm="1">
        <f t="array" aca="1" ref="N193" ca="1">INDIRECT("Data!H" &amp; 188)</f>
        <v>0</v>
      </c>
      <c r="O193" cm="1">
        <f t="array" aca="1" ref="O193" ca="1">INDIRECT("Data!I" &amp; 188)</f>
        <v>0</v>
      </c>
      <c r="P193" s="21" cm="1">
        <f t="array" aca="1" ref="P193" ca="1">INDIRECT("Data!J" &amp; 188)</f>
        <v>0</v>
      </c>
      <c r="Q193" cm="1">
        <f t="array" aca="1" ref="Q193" ca="1">INDIRECT("Data!K" &amp; 188)</f>
        <v>0</v>
      </c>
      <c r="R193" cm="1">
        <f t="array" aca="1" ref="R193" ca="1">INDIRECT("Data!L" &amp; 188)</f>
        <v>0</v>
      </c>
      <c r="S193" cm="1">
        <f t="array" aca="1" ref="S193" ca="1">INDIRECT("Data!M" &amp; 188)</f>
        <v>0</v>
      </c>
      <c r="T193" cm="1">
        <f t="array" aca="1" ref="T193" ca="1">INDIRECT("Data!N" &amp; 188)</f>
        <v>0</v>
      </c>
      <c r="U193" cm="1">
        <f t="array" aca="1" ref="U193" ca="1">INDIRECT("Data!O" &amp; 188)</f>
        <v>0</v>
      </c>
      <c r="V193" cm="1">
        <f t="array" aca="1" ref="V193" ca="1">INDIRECT("Data!P" &amp; 188)</f>
        <v>0</v>
      </c>
    </row>
    <row r="194" spans="7:22" x14ac:dyDescent="0.25">
      <c r="G194" cm="1">
        <f t="array" aca="1" ref="G194" ca="1">INDIRECT("Data!A" &amp; 189)</f>
        <v>0</v>
      </c>
      <c r="H194" s="21" cm="1">
        <f t="array" aca="1" ref="H194" ca="1">INDIRECT("Data!B" &amp; 189)</f>
        <v>0</v>
      </c>
      <c r="I194" s="21" cm="1">
        <f t="array" aca="1" ref="I194" ca="1">INDIRECT("Data!C" &amp; 189)</f>
        <v>0</v>
      </c>
      <c r="J194" cm="1">
        <f t="array" aca="1" ref="J194" ca="1">INDIRECT("Data!D" &amp; 189)</f>
        <v>0</v>
      </c>
      <c r="K194" cm="1">
        <f t="array" aca="1" ref="K194" ca="1">INDIRECT("Data!E" &amp; 189)</f>
        <v>0</v>
      </c>
      <c r="L194" cm="1">
        <f t="array" aca="1" ref="L194" ca="1">INDIRECT("Data!F" &amp; 189)</f>
        <v>0</v>
      </c>
      <c r="M194" cm="1">
        <f t="array" aca="1" ref="M194" ca="1">INDIRECT("Data!G" &amp; 189)</f>
        <v>0</v>
      </c>
      <c r="N194" cm="1">
        <f t="array" aca="1" ref="N194" ca="1">INDIRECT("Data!H" &amp; 189)</f>
        <v>0</v>
      </c>
      <c r="O194" cm="1">
        <f t="array" aca="1" ref="O194" ca="1">INDIRECT("Data!I" &amp; 189)</f>
        <v>0</v>
      </c>
      <c r="P194" s="21" cm="1">
        <f t="array" aca="1" ref="P194" ca="1">INDIRECT("Data!J" &amp; 189)</f>
        <v>0</v>
      </c>
      <c r="Q194" cm="1">
        <f t="array" aca="1" ref="Q194" ca="1">INDIRECT("Data!K" &amp; 189)</f>
        <v>0</v>
      </c>
      <c r="R194" cm="1">
        <f t="array" aca="1" ref="R194" ca="1">INDIRECT("Data!L" &amp; 189)</f>
        <v>0</v>
      </c>
      <c r="S194" cm="1">
        <f t="array" aca="1" ref="S194" ca="1">INDIRECT("Data!M" &amp; 189)</f>
        <v>0</v>
      </c>
      <c r="T194" cm="1">
        <f t="array" aca="1" ref="T194" ca="1">INDIRECT("Data!N" &amp; 189)</f>
        <v>0</v>
      </c>
      <c r="U194" cm="1">
        <f t="array" aca="1" ref="U194" ca="1">INDIRECT("Data!O" &amp; 189)</f>
        <v>0</v>
      </c>
      <c r="V194" cm="1">
        <f t="array" aca="1" ref="V194" ca="1">INDIRECT("Data!P" &amp; 189)</f>
        <v>0</v>
      </c>
    </row>
    <row r="195" spans="7:22" x14ac:dyDescent="0.25">
      <c r="G195" cm="1">
        <f t="array" aca="1" ref="G195" ca="1">INDIRECT("Data!A" &amp; 190)</f>
        <v>0</v>
      </c>
      <c r="H195" s="21" cm="1">
        <f t="array" aca="1" ref="H195" ca="1">INDIRECT("Data!B" &amp; 190)</f>
        <v>0</v>
      </c>
      <c r="I195" s="21" cm="1">
        <f t="array" aca="1" ref="I195" ca="1">INDIRECT("Data!C" &amp; 190)</f>
        <v>0</v>
      </c>
      <c r="J195" cm="1">
        <f t="array" aca="1" ref="J195" ca="1">INDIRECT("Data!D" &amp; 190)</f>
        <v>0</v>
      </c>
      <c r="K195" cm="1">
        <f t="array" aca="1" ref="K195" ca="1">INDIRECT("Data!E" &amp; 190)</f>
        <v>0</v>
      </c>
      <c r="L195" cm="1">
        <f t="array" aca="1" ref="L195" ca="1">INDIRECT("Data!F" &amp; 190)</f>
        <v>0</v>
      </c>
      <c r="M195" cm="1">
        <f t="array" aca="1" ref="M195" ca="1">INDIRECT("Data!G" &amp; 190)</f>
        <v>0</v>
      </c>
      <c r="N195" cm="1">
        <f t="array" aca="1" ref="N195" ca="1">INDIRECT("Data!H" &amp; 190)</f>
        <v>0</v>
      </c>
      <c r="O195" cm="1">
        <f t="array" aca="1" ref="O195" ca="1">INDIRECT("Data!I" &amp; 190)</f>
        <v>0</v>
      </c>
      <c r="P195" s="21" cm="1">
        <f t="array" aca="1" ref="P195" ca="1">INDIRECT("Data!J" &amp; 190)</f>
        <v>0</v>
      </c>
      <c r="Q195" cm="1">
        <f t="array" aca="1" ref="Q195" ca="1">INDIRECT("Data!K" &amp; 190)</f>
        <v>0</v>
      </c>
      <c r="R195" cm="1">
        <f t="array" aca="1" ref="R195" ca="1">INDIRECT("Data!L" &amp; 190)</f>
        <v>0</v>
      </c>
      <c r="S195" cm="1">
        <f t="array" aca="1" ref="S195" ca="1">INDIRECT("Data!M" &amp; 190)</f>
        <v>0</v>
      </c>
      <c r="T195" cm="1">
        <f t="array" aca="1" ref="T195" ca="1">INDIRECT("Data!N" &amp; 190)</f>
        <v>0</v>
      </c>
      <c r="U195" cm="1">
        <f t="array" aca="1" ref="U195" ca="1">INDIRECT("Data!O" &amp; 190)</f>
        <v>0</v>
      </c>
      <c r="V195" cm="1">
        <f t="array" aca="1" ref="V195" ca="1">INDIRECT("Data!P" &amp; 190)</f>
        <v>0</v>
      </c>
    </row>
    <row r="196" spans="7:22" x14ac:dyDescent="0.25">
      <c r="G196" cm="1">
        <f t="array" aca="1" ref="G196" ca="1">INDIRECT("Data!A" &amp; 191)</f>
        <v>0</v>
      </c>
      <c r="H196" s="21" cm="1">
        <f t="array" aca="1" ref="H196" ca="1">INDIRECT("Data!B" &amp; 191)</f>
        <v>0</v>
      </c>
      <c r="I196" s="21" cm="1">
        <f t="array" aca="1" ref="I196" ca="1">INDIRECT("Data!C" &amp; 191)</f>
        <v>0</v>
      </c>
      <c r="J196" cm="1">
        <f t="array" aca="1" ref="J196" ca="1">INDIRECT("Data!D" &amp; 191)</f>
        <v>0</v>
      </c>
      <c r="K196" cm="1">
        <f t="array" aca="1" ref="K196" ca="1">INDIRECT("Data!E" &amp; 191)</f>
        <v>0</v>
      </c>
      <c r="L196" cm="1">
        <f t="array" aca="1" ref="L196" ca="1">INDIRECT("Data!F" &amp; 191)</f>
        <v>0</v>
      </c>
      <c r="M196" cm="1">
        <f t="array" aca="1" ref="M196" ca="1">INDIRECT("Data!G" &amp; 191)</f>
        <v>0</v>
      </c>
      <c r="N196" cm="1">
        <f t="array" aca="1" ref="N196" ca="1">INDIRECT("Data!H" &amp; 191)</f>
        <v>0</v>
      </c>
      <c r="O196" cm="1">
        <f t="array" aca="1" ref="O196" ca="1">INDIRECT("Data!I" &amp; 191)</f>
        <v>0</v>
      </c>
      <c r="P196" s="21" cm="1">
        <f t="array" aca="1" ref="P196" ca="1">INDIRECT("Data!J" &amp; 191)</f>
        <v>0</v>
      </c>
      <c r="Q196" cm="1">
        <f t="array" aca="1" ref="Q196" ca="1">INDIRECT("Data!K" &amp; 191)</f>
        <v>0</v>
      </c>
      <c r="R196" cm="1">
        <f t="array" aca="1" ref="R196" ca="1">INDIRECT("Data!L" &amp; 191)</f>
        <v>0</v>
      </c>
      <c r="S196" cm="1">
        <f t="array" aca="1" ref="S196" ca="1">INDIRECT("Data!M" &amp; 191)</f>
        <v>0</v>
      </c>
      <c r="T196" cm="1">
        <f t="array" aca="1" ref="T196" ca="1">INDIRECT("Data!N" &amp; 191)</f>
        <v>0</v>
      </c>
      <c r="U196" cm="1">
        <f t="array" aca="1" ref="U196" ca="1">INDIRECT("Data!O" &amp; 191)</f>
        <v>0</v>
      </c>
      <c r="V196" cm="1">
        <f t="array" aca="1" ref="V196" ca="1">INDIRECT("Data!P" &amp; 191)</f>
        <v>0</v>
      </c>
    </row>
    <row r="197" spans="7:22" x14ac:dyDescent="0.25">
      <c r="G197" cm="1">
        <f t="array" aca="1" ref="G197" ca="1">INDIRECT("Data!A" &amp; 192)</f>
        <v>0</v>
      </c>
      <c r="H197" s="21" cm="1">
        <f t="array" aca="1" ref="H197" ca="1">INDIRECT("Data!B" &amp; 192)</f>
        <v>0</v>
      </c>
      <c r="I197" s="21" cm="1">
        <f t="array" aca="1" ref="I197" ca="1">INDIRECT("Data!C" &amp; 192)</f>
        <v>0</v>
      </c>
      <c r="J197" cm="1">
        <f t="array" aca="1" ref="J197" ca="1">INDIRECT("Data!D" &amp; 192)</f>
        <v>0</v>
      </c>
      <c r="K197" cm="1">
        <f t="array" aca="1" ref="K197" ca="1">INDIRECT("Data!E" &amp; 192)</f>
        <v>0</v>
      </c>
      <c r="L197" cm="1">
        <f t="array" aca="1" ref="L197" ca="1">INDIRECT("Data!F" &amp; 192)</f>
        <v>0</v>
      </c>
      <c r="M197" cm="1">
        <f t="array" aca="1" ref="M197" ca="1">INDIRECT("Data!G" &amp; 192)</f>
        <v>0</v>
      </c>
      <c r="N197" cm="1">
        <f t="array" aca="1" ref="N197" ca="1">INDIRECT("Data!H" &amp; 192)</f>
        <v>0</v>
      </c>
      <c r="O197" cm="1">
        <f t="array" aca="1" ref="O197" ca="1">INDIRECT("Data!I" &amp; 192)</f>
        <v>0</v>
      </c>
      <c r="P197" s="21" cm="1">
        <f t="array" aca="1" ref="P197" ca="1">INDIRECT("Data!J" &amp; 192)</f>
        <v>0</v>
      </c>
      <c r="Q197" cm="1">
        <f t="array" aca="1" ref="Q197" ca="1">INDIRECT("Data!K" &amp; 192)</f>
        <v>0</v>
      </c>
      <c r="R197" cm="1">
        <f t="array" aca="1" ref="R197" ca="1">INDIRECT("Data!L" &amp; 192)</f>
        <v>0</v>
      </c>
      <c r="S197" cm="1">
        <f t="array" aca="1" ref="S197" ca="1">INDIRECT("Data!M" &amp; 192)</f>
        <v>0</v>
      </c>
      <c r="T197" cm="1">
        <f t="array" aca="1" ref="T197" ca="1">INDIRECT("Data!N" &amp; 192)</f>
        <v>0</v>
      </c>
      <c r="U197" cm="1">
        <f t="array" aca="1" ref="U197" ca="1">INDIRECT("Data!O" &amp; 192)</f>
        <v>0</v>
      </c>
      <c r="V197" cm="1">
        <f t="array" aca="1" ref="V197" ca="1">INDIRECT("Data!P" &amp; 192)</f>
        <v>0</v>
      </c>
    </row>
    <row r="198" spans="7:22" x14ac:dyDescent="0.25">
      <c r="G198" cm="1">
        <f t="array" aca="1" ref="G198" ca="1">INDIRECT("Data!A" &amp; 193)</f>
        <v>0</v>
      </c>
      <c r="H198" s="21" cm="1">
        <f t="array" aca="1" ref="H198" ca="1">INDIRECT("Data!B" &amp; 193)</f>
        <v>0</v>
      </c>
      <c r="I198" s="21" cm="1">
        <f t="array" aca="1" ref="I198" ca="1">INDIRECT("Data!C" &amp; 193)</f>
        <v>0</v>
      </c>
      <c r="J198" cm="1">
        <f t="array" aca="1" ref="J198" ca="1">INDIRECT("Data!D" &amp; 193)</f>
        <v>0</v>
      </c>
      <c r="K198" cm="1">
        <f t="array" aca="1" ref="K198" ca="1">INDIRECT("Data!E" &amp; 193)</f>
        <v>0</v>
      </c>
      <c r="L198" cm="1">
        <f t="array" aca="1" ref="L198" ca="1">INDIRECT("Data!F" &amp; 193)</f>
        <v>0</v>
      </c>
      <c r="M198" cm="1">
        <f t="array" aca="1" ref="M198" ca="1">INDIRECT("Data!G" &amp; 193)</f>
        <v>0</v>
      </c>
      <c r="N198" cm="1">
        <f t="array" aca="1" ref="N198" ca="1">INDIRECT("Data!H" &amp; 193)</f>
        <v>0</v>
      </c>
      <c r="O198" cm="1">
        <f t="array" aca="1" ref="O198" ca="1">INDIRECT("Data!I" &amp; 193)</f>
        <v>0</v>
      </c>
      <c r="P198" s="21" cm="1">
        <f t="array" aca="1" ref="P198" ca="1">INDIRECT("Data!J" &amp; 193)</f>
        <v>0</v>
      </c>
      <c r="Q198" cm="1">
        <f t="array" aca="1" ref="Q198" ca="1">INDIRECT("Data!K" &amp; 193)</f>
        <v>0</v>
      </c>
      <c r="R198" cm="1">
        <f t="array" aca="1" ref="R198" ca="1">INDIRECT("Data!L" &amp; 193)</f>
        <v>0</v>
      </c>
      <c r="S198" cm="1">
        <f t="array" aca="1" ref="S198" ca="1">INDIRECT("Data!M" &amp; 193)</f>
        <v>0</v>
      </c>
      <c r="T198" cm="1">
        <f t="array" aca="1" ref="T198" ca="1">INDIRECT("Data!N" &amp; 193)</f>
        <v>0</v>
      </c>
      <c r="U198" cm="1">
        <f t="array" aca="1" ref="U198" ca="1">INDIRECT("Data!O" &amp; 193)</f>
        <v>0</v>
      </c>
      <c r="V198" cm="1">
        <f t="array" aca="1" ref="V198" ca="1">INDIRECT("Data!P" &amp; 193)</f>
        <v>0</v>
      </c>
    </row>
    <row r="199" spans="7:22" x14ac:dyDescent="0.25">
      <c r="G199" cm="1">
        <f t="array" aca="1" ref="G199" ca="1">INDIRECT("Data!A" &amp; 194)</f>
        <v>0</v>
      </c>
      <c r="H199" s="21" cm="1">
        <f t="array" aca="1" ref="H199" ca="1">INDIRECT("Data!B" &amp; 194)</f>
        <v>0</v>
      </c>
      <c r="I199" s="21" cm="1">
        <f t="array" aca="1" ref="I199" ca="1">INDIRECT("Data!C" &amp; 194)</f>
        <v>0</v>
      </c>
      <c r="J199" cm="1">
        <f t="array" aca="1" ref="J199" ca="1">INDIRECT("Data!D" &amp; 194)</f>
        <v>0</v>
      </c>
      <c r="K199" cm="1">
        <f t="array" aca="1" ref="K199" ca="1">INDIRECT("Data!E" &amp; 194)</f>
        <v>0</v>
      </c>
      <c r="L199" cm="1">
        <f t="array" aca="1" ref="L199" ca="1">INDIRECT("Data!F" &amp; 194)</f>
        <v>0</v>
      </c>
      <c r="M199" cm="1">
        <f t="array" aca="1" ref="M199" ca="1">INDIRECT("Data!G" &amp; 194)</f>
        <v>0</v>
      </c>
      <c r="N199" cm="1">
        <f t="array" aca="1" ref="N199" ca="1">INDIRECT("Data!H" &amp; 194)</f>
        <v>0</v>
      </c>
      <c r="O199" cm="1">
        <f t="array" aca="1" ref="O199" ca="1">INDIRECT("Data!I" &amp; 194)</f>
        <v>0</v>
      </c>
      <c r="P199" s="21" cm="1">
        <f t="array" aca="1" ref="P199" ca="1">INDIRECT("Data!J" &amp; 194)</f>
        <v>0</v>
      </c>
      <c r="Q199" cm="1">
        <f t="array" aca="1" ref="Q199" ca="1">INDIRECT("Data!K" &amp; 194)</f>
        <v>0</v>
      </c>
      <c r="R199" cm="1">
        <f t="array" aca="1" ref="R199" ca="1">INDIRECT("Data!L" &amp; 194)</f>
        <v>0</v>
      </c>
      <c r="S199" cm="1">
        <f t="array" aca="1" ref="S199" ca="1">INDIRECT("Data!M" &amp; 194)</f>
        <v>0</v>
      </c>
      <c r="T199" cm="1">
        <f t="array" aca="1" ref="T199" ca="1">INDIRECT("Data!N" &amp; 194)</f>
        <v>0</v>
      </c>
      <c r="U199" cm="1">
        <f t="array" aca="1" ref="U199" ca="1">INDIRECT("Data!O" &amp; 194)</f>
        <v>0</v>
      </c>
      <c r="V199" cm="1">
        <f t="array" aca="1" ref="V199" ca="1">INDIRECT("Data!P" &amp; 194)</f>
        <v>0</v>
      </c>
    </row>
    <row r="200" spans="7:22" x14ac:dyDescent="0.25">
      <c r="G200" cm="1">
        <f t="array" aca="1" ref="G200" ca="1">INDIRECT("Data!A" &amp; 195)</f>
        <v>0</v>
      </c>
      <c r="H200" s="21" cm="1">
        <f t="array" aca="1" ref="H200" ca="1">INDIRECT("Data!B" &amp; 195)</f>
        <v>0</v>
      </c>
      <c r="I200" s="21" cm="1">
        <f t="array" aca="1" ref="I200" ca="1">INDIRECT("Data!C" &amp; 195)</f>
        <v>0</v>
      </c>
      <c r="J200" cm="1">
        <f t="array" aca="1" ref="J200" ca="1">INDIRECT("Data!D" &amp; 195)</f>
        <v>0</v>
      </c>
      <c r="K200" cm="1">
        <f t="array" aca="1" ref="K200" ca="1">INDIRECT("Data!E" &amp; 195)</f>
        <v>0</v>
      </c>
      <c r="L200" cm="1">
        <f t="array" aca="1" ref="L200" ca="1">INDIRECT("Data!F" &amp; 195)</f>
        <v>0</v>
      </c>
      <c r="M200" cm="1">
        <f t="array" aca="1" ref="M200" ca="1">INDIRECT("Data!G" &amp; 195)</f>
        <v>0</v>
      </c>
      <c r="N200" cm="1">
        <f t="array" aca="1" ref="N200" ca="1">INDIRECT("Data!H" &amp; 195)</f>
        <v>0</v>
      </c>
      <c r="O200" cm="1">
        <f t="array" aca="1" ref="O200" ca="1">INDIRECT("Data!I" &amp; 195)</f>
        <v>0</v>
      </c>
      <c r="P200" s="21" cm="1">
        <f t="array" aca="1" ref="P200" ca="1">INDIRECT("Data!J" &amp; 195)</f>
        <v>0</v>
      </c>
      <c r="Q200" cm="1">
        <f t="array" aca="1" ref="Q200" ca="1">INDIRECT("Data!K" &amp; 195)</f>
        <v>0</v>
      </c>
      <c r="R200" cm="1">
        <f t="array" aca="1" ref="R200" ca="1">INDIRECT("Data!L" &amp; 195)</f>
        <v>0</v>
      </c>
      <c r="S200" cm="1">
        <f t="array" aca="1" ref="S200" ca="1">INDIRECT("Data!M" &amp; 195)</f>
        <v>0</v>
      </c>
      <c r="T200" cm="1">
        <f t="array" aca="1" ref="T200" ca="1">INDIRECT("Data!N" &amp; 195)</f>
        <v>0</v>
      </c>
      <c r="U200" cm="1">
        <f t="array" aca="1" ref="U200" ca="1">INDIRECT("Data!O" &amp; 195)</f>
        <v>0</v>
      </c>
      <c r="V200" cm="1">
        <f t="array" aca="1" ref="V200" ca="1">INDIRECT("Data!P" &amp; 195)</f>
        <v>0</v>
      </c>
    </row>
    <row r="201" spans="7:22" x14ac:dyDescent="0.25">
      <c r="G201" cm="1">
        <f t="array" aca="1" ref="G201" ca="1">INDIRECT("Data!A" &amp; 196)</f>
        <v>0</v>
      </c>
      <c r="H201" s="21" cm="1">
        <f t="array" aca="1" ref="H201" ca="1">INDIRECT("Data!B" &amp; 196)</f>
        <v>0</v>
      </c>
      <c r="I201" s="21" cm="1">
        <f t="array" aca="1" ref="I201" ca="1">INDIRECT("Data!C" &amp; 196)</f>
        <v>0</v>
      </c>
      <c r="J201" cm="1">
        <f t="array" aca="1" ref="J201" ca="1">INDIRECT("Data!D" &amp; 196)</f>
        <v>0</v>
      </c>
      <c r="K201" cm="1">
        <f t="array" aca="1" ref="K201" ca="1">INDIRECT("Data!E" &amp; 196)</f>
        <v>0</v>
      </c>
      <c r="L201" cm="1">
        <f t="array" aca="1" ref="L201" ca="1">INDIRECT("Data!F" &amp; 196)</f>
        <v>0</v>
      </c>
      <c r="M201" cm="1">
        <f t="array" aca="1" ref="M201" ca="1">INDIRECT("Data!G" &amp; 196)</f>
        <v>0</v>
      </c>
      <c r="N201" cm="1">
        <f t="array" aca="1" ref="N201" ca="1">INDIRECT("Data!H" &amp; 196)</f>
        <v>0</v>
      </c>
      <c r="O201" cm="1">
        <f t="array" aca="1" ref="O201" ca="1">INDIRECT("Data!I" &amp; 196)</f>
        <v>0</v>
      </c>
      <c r="P201" s="21" cm="1">
        <f t="array" aca="1" ref="P201" ca="1">INDIRECT("Data!J" &amp; 196)</f>
        <v>0</v>
      </c>
      <c r="Q201" cm="1">
        <f t="array" aca="1" ref="Q201" ca="1">INDIRECT("Data!K" &amp; 196)</f>
        <v>0</v>
      </c>
      <c r="R201" cm="1">
        <f t="array" aca="1" ref="R201" ca="1">INDIRECT("Data!L" &amp; 196)</f>
        <v>0</v>
      </c>
      <c r="S201" cm="1">
        <f t="array" aca="1" ref="S201" ca="1">INDIRECT("Data!M" &amp; 196)</f>
        <v>0</v>
      </c>
      <c r="T201" cm="1">
        <f t="array" aca="1" ref="T201" ca="1">INDIRECT("Data!N" &amp; 196)</f>
        <v>0</v>
      </c>
      <c r="U201" cm="1">
        <f t="array" aca="1" ref="U201" ca="1">INDIRECT("Data!O" &amp; 196)</f>
        <v>0</v>
      </c>
      <c r="V201" cm="1">
        <f t="array" aca="1" ref="V201" ca="1">INDIRECT("Data!P" &amp; 196)</f>
        <v>0</v>
      </c>
    </row>
    <row r="202" spans="7:22" x14ac:dyDescent="0.25">
      <c r="G202" cm="1">
        <f t="array" aca="1" ref="G202" ca="1">INDIRECT("Data!A" &amp; 197)</f>
        <v>0</v>
      </c>
      <c r="H202" s="21" cm="1">
        <f t="array" aca="1" ref="H202" ca="1">INDIRECT("Data!B" &amp; 197)</f>
        <v>0</v>
      </c>
      <c r="I202" s="21" cm="1">
        <f t="array" aca="1" ref="I202" ca="1">INDIRECT("Data!C" &amp; 197)</f>
        <v>0</v>
      </c>
      <c r="J202" cm="1">
        <f t="array" aca="1" ref="J202" ca="1">INDIRECT("Data!D" &amp; 197)</f>
        <v>0</v>
      </c>
      <c r="K202" cm="1">
        <f t="array" aca="1" ref="K202" ca="1">INDIRECT("Data!E" &amp; 197)</f>
        <v>0</v>
      </c>
      <c r="L202" cm="1">
        <f t="array" aca="1" ref="L202" ca="1">INDIRECT("Data!F" &amp; 197)</f>
        <v>0</v>
      </c>
      <c r="M202" cm="1">
        <f t="array" aca="1" ref="M202" ca="1">INDIRECT("Data!G" &amp; 197)</f>
        <v>0</v>
      </c>
      <c r="N202" cm="1">
        <f t="array" aca="1" ref="N202" ca="1">INDIRECT("Data!H" &amp; 197)</f>
        <v>0</v>
      </c>
      <c r="O202" cm="1">
        <f t="array" aca="1" ref="O202" ca="1">INDIRECT("Data!I" &amp; 197)</f>
        <v>0</v>
      </c>
      <c r="P202" s="21" cm="1">
        <f t="array" aca="1" ref="P202" ca="1">INDIRECT("Data!J" &amp; 197)</f>
        <v>0</v>
      </c>
      <c r="Q202" cm="1">
        <f t="array" aca="1" ref="Q202" ca="1">INDIRECT("Data!K" &amp; 197)</f>
        <v>0</v>
      </c>
      <c r="R202" cm="1">
        <f t="array" aca="1" ref="R202" ca="1">INDIRECT("Data!L" &amp; 197)</f>
        <v>0</v>
      </c>
      <c r="S202" cm="1">
        <f t="array" aca="1" ref="S202" ca="1">INDIRECT("Data!M" &amp; 197)</f>
        <v>0</v>
      </c>
      <c r="T202" cm="1">
        <f t="array" aca="1" ref="T202" ca="1">INDIRECT("Data!N" &amp; 197)</f>
        <v>0</v>
      </c>
      <c r="U202" cm="1">
        <f t="array" aca="1" ref="U202" ca="1">INDIRECT("Data!O" &amp; 197)</f>
        <v>0</v>
      </c>
      <c r="V202" cm="1">
        <f t="array" aca="1" ref="V202" ca="1">INDIRECT("Data!P" &amp; 197)</f>
        <v>0</v>
      </c>
    </row>
    <row r="203" spans="7:22" x14ac:dyDescent="0.25">
      <c r="G203" cm="1">
        <f t="array" aca="1" ref="G203" ca="1">INDIRECT("Data!A" &amp; 198)</f>
        <v>0</v>
      </c>
      <c r="H203" s="21" cm="1">
        <f t="array" aca="1" ref="H203" ca="1">INDIRECT("Data!B" &amp; 198)</f>
        <v>0</v>
      </c>
      <c r="I203" s="21" cm="1">
        <f t="array" aca="1" ref="I203" ca="1">INDIRECT("Data!C" &amp; 198)</f>
        <v>0</v>
      </c>
      <c r="J203" cm="1">
        <f t="array" aca="1" ref="J203" ca="1">INDIRECT("Data!D" &amp; 198)</f>
        <v>0</v>
      </c>
      <c r="K203" cm="1">
        <f t="array" aca="1" ref="K203" ca="1">INDIRECT("Data!E" &amp; 198)</f>
        <v>0</v>
      </c>
      <c r="L203" cm="1">
        <f t="array" aca="1" ref="L203" ca="1">INDIRECT("Data!F" &amp; 198)</f>
        <v>0</v>
      </c>
      <c r="M203" cm="1">
        <f t="array" aca="1" ref="M203" ca="1">INDIRECT("Data!G" &amp; 198)</f>
        <v>0</v>
      </c>
      <c r="N203" cm="1">
        <f t="array" aca="1" ref="N203" ca="1">INDIRECT("Data!H" &amp; 198)</f>
        <v>0</v>
      </c>
      <c r="O203" cm="1">
        <f t="array" aca="1" ref="O203" ca="1">INDIRECT("Data!I" &amp; 198)</f>
        <v>0</v>
      </c>
      <c r="P203" s="21" cm="1">
        <f t="array" aca="1" ref="P203" ca="1">INDIRECT("Data!J" &amp; 198)</f>
        <v>0</v>
      </c>
      <c r="Q203" cm="1">
        <f t="array" aca="1" ref="Q203" ca="1">INDIRECT("Data!K" &amp; 198)</f>
        <v>0</v>
      </c>
      <c r="R203" cm="1">
        <f t="array" aca="1" ref="R203" ca="1">INDIRECT("Data!L" &amp; 198)</f>
        <v>0</v>
      </c>
      <c r="S203" cm="1">
        <f t="array" aca="1" ref="S203" ca="1">INDIRECT("Data!M" &amp; 198)</f>
        <v>0</v>
      </c>
      <c r="T203" cm="1">
        <f t="array" aca="1" ref="T203" ca="1">INDIRECT("Data!N" &amp; 198)</f>
        <v>0</v>
      </c>
      <c r="U203" cm="1">
        <f t="array" aca="1" ref="U203" ca="1">INDIRECT("Data!O" &amp; 198)</f>
        <v>0</v>
      </c>
      <c r="V203" cm="1">
        <f t="array" aca="1" ref="V203" ca="1">INDIRECT("Data!P" &amp; 198)</f>
        <v>0</v>
      </c>
    </row>
    <row r="204" spans="7:22" x14ac:dyDescent="0.25">
      <c r="G204" cm="1">
        <f t="array" aca="1" ref="G204" ca="1">INDIRECT("Data!A" &amp; 199)</f>
        <v>0</v>
      </c>
      <c r="H204" s="21" cm="1">
        <f t="array" aca="1" ref="H204" ca="1">INDIRECT("Data!B" &amp; 199)</f>
        <v>0</v>
      </c>
      <c r="I204" s="21" cm="1">
        <f t="array" aca="1" ref="I204" ca="1">INDIRECT("Data!C" &amp; 199)</f>
        <v>0</v>
      </c>
      <c r="J204" cm="1">
        <f t="array" aca="1" ref="J204" ca="1">INDIRECT("Data!D" &amp; 199)</f>
        <v>0</v>
      </c>
      <c r="K204" cm="1">
        <f t="array" aca="1" ref="K204" ca="1">INDIRECT("Data!E" &amp; 199)</f>
        <v>0</v>
      </c>
      <c r="L204" cm="1">
        <f t="array" aca="1" ref="L204" ca="1">INDIRECT("Data!F" &amp; 199)</f>
        <v>0</v>
      </c>
      <c r="M204" cm="1">
        <f t="array" aca="1" ref="M204" ca="1">INDIRECT("Data!G" &amp; 199)</f>
        <v>0</v>
      </c>
      <c r="N204" cm="1">
        <f t="array" aca="1" ref="N204" ca="1">INDIRECT("Data!H" &amp; 199)</f>
        <v>0</v>
      </c>
      <c r="O204" cm="1">
        <f t="array" aca="1" ref="O204" ca="1">INDIRECT("Data!I" &amp; 199)</f>
        <v>0</v>
      </c>
      <c r="P204" s="21" cm="1">
        <f t="array" aca="1" ref="P204" ca="1">INDIRECT("Data!J" &amp; 199)</f>
        <v>0</v>
      </c>
      <c r="Q204" cm="1">
        <f t="array" aca="1" ref="Q204" ca="1">INDIRECT("Data!K" &amp; 199)</f>
        <v>0</v>
      </c>
      <c r="R204" cm="1">
        <f t="array" aca="1" ref="R204" ca="1">INDIRECT("Data!L" &amp; 199)</f>
        <v>0</v>
      </c>
      <c r="S204" cm="1">
        <f t="array" aca="1" ref="S204" ca="1">INDIRECT("Data!M" &amp; 199)</f>
        <v>0</v>
      </c>
      <c r="T204" cm="1">
        <f t="array" aca="1" ref="T204" ca="1">INDIRECT("Data!N" &amp; 199)</f>
        <v>0</v>
      </c>
      <c r="U204" cm="1">
        <f t="array" aca="1" ref="U204" ca="1">INDIRECT("Data!O" &amp; 199)</f>
        <v>0</v>
      </c>
      <c r="V204" cm="1">
        <f t="array" aca="1" ref="V204" ca="1">INDIRECT("Data!P" &amp; 199)</f>
        <v>0</v>
      </c>
    </row>
    <row r="205" spans="7:22" x14ac:dyDescent="0.25">
      <c r="G205" cm="1">
        <f t="array" aca="1" ref="G205" ca="1">INDIRECT("Data!A" &amp; 200)</f>
        <v>0</v>
      </c>
      <c r="H205" s="21" cm="1">
        <f t="array" aca="1" ref="H205" ca="1">INDIRECT("Data!B" &amp; 200)</f>
        <v>0</v>
      </c>
      <c r="I205" s="21" cm="1">
        <f t="array" aca="1" ref="I205" ca="1">INDIRECT("Data!C" &amp; 200)</f>
        <v>0</v>
      </c>
      <c r="J205" cm="1">
        <f t="array" aca="1" ref="J205" ca="1">INDIRECT("Data!D" &amp; 200)</f>
        <v>0</v>
      </c>
      <c r="K205" cm="1">
        <f t="array" aca="1" ref="K205" ca="1">INDIRECT("Data!E" &amp; 200)</f>
        <v>0</v>
      </c>
      <c r="L205" cm="1">
        <f t="array" aca="1" ref="L205" ca="1">INDIRECT("Data!F" &amp; 200)</f>
        <v>0</v>
      </c>
      <c r="M205" cm="1">
        <f t="array" aca="1" ref="M205" ca="1">INDIRECT("Data!G" &amp; 200)</f>
        <v>0</v>
      </c>
      <c r="N205" cm="1">
        <f t="array" aca="1" ref="N205" ca="1">INDIRECT("Data!H" &amp; 200)</f>
        <v>0</v>
      </c>
      <c r="O205" cm="1">
        <f t="array" aca="1" ref="O205" ca="1">INDIRECT("Data!I" &amp; 200)</f>
        <v>0</v>
      </c>
      <c r="P205" s="21" cm="1">
        <f t="array" aca="1" ref="P205" ca="1">INDIRECT("Data!J" &amp; 200)</f>
        <v>0</v>
      </c>
      <c r="Q205" cm="1">
        <f t="array" aca="1" ref="Q205" ca="1">INDIRECT("Data!K" &amp; 200)</f>
        <v>0</v>
      </c>
      <c r="R205" cm="1">
        <f t="array" aca="1" ref="R205" ca="1">INDIRECT("Data!L" &amp; 200)</f>
        <v>0</v>
      </c>
      <c r="S205" cm="1">
        <f t="array" aca="1" ref="S205" ca="1">INDIRECT("Data!M" &amp; 200)</f>
        <v>0</v>
      </c>
      <c r="T205" cm="1">
        <f t="array" aca="1" ref="T205" ca="1">INDIRECT("Data!N" &amp; 200)</f>
        <v>0</v>
      </c>
      <c r="U205" cm="1">
        <f t="array" aca="1" ref="U205" ca="1">INDIRECT("Data!O" &amp; 200)</f>
        <v>0</v>
      </c>
      <c r="V205" cm="1">
        <f t="array" aca="1" ref="V205" ca="1">INDIRECT("Data!P" &amp; 200)</f>
        <v>0</v>
      </c>
    </row>
    <row r="206" spans="7:22" x14ac:dyDescent="0.25">
      <c r="G206" cm="1">
        <f t="array" aca="1" ref="G206" ca="1">INDIRECT("Data!A" &amp; 201)</f>
        <v>0</v>
      </c>
      <c r="H206" s="21" cm="1">
        <f t="array" aca="1" ref="H206" ca="1">INDIRECT("Data!B" &amp; 201)</f>
        <v>0</v>
      </c>
      <c r="I206" s="21" cm="1">
        <f t="array" aca="1" ref="I206" ca="1">INDIRECT("Data!C" &amp; 201)</f>
        <v>0</v>
      </c>
      <c r="J206" cm="1">
        <f t="array" aca="1" ref="J206" ca="1">INDIRECT("Data!D" &amp; 201)</f>
        <v>0</v>
      </c>
      <c r="K206" cm="1">
        <f t="array" aca="1" ref="K206" ca="1">INDIRECT("Data!E" &amp; 201)</f>
        <v>0</v>
      </c>
      <c r="L206" cm="1">
        <f t="array" aca="1" ref="L206" ca="1">INDIRECT("Data!F" &amp; 201)</f>
        <v>0</v>
      </c>
      <c r="M206" cm="1">
        <f t="array" aca="1" ref="M206" ca="1">INDIRECT("Data!G" &amp; 201)</f>
        <v>0</v>
      </c>
      <c r="N206" cm="1">
        <f t="array" aca="1" ref="N206" ca="1">INDIRECT("Data!H" &amp; 201)</f>
        <v>0</v>
      </c>
      <c r="O206" cm="1">
        <f t="array" aca="1" ref="O206" ca="1">INDIRECT("Data!I" &amp; 201)</f>
        <v>0</v>
      </c>
      <c r="P206" s="21" cm="1">
        <f t="array" aca="1" ref="P206" ca="1">INDIRECT("Data!J" &amp; 201)</f>
        <v>0</v>
      </c>
      <c r="Q206" cm="1">
        <f t="array" aca="1" ref="Q206" ca="1">INDIRECT("Data!K" &amp; 201)</f>
        <v>0</v>
      </c>
      <c r="R206" cm="1">
        <f t="array" aca="1" ref="R206" ca="1">INDIRECT("Data!L" &amp; 201)</f>
        <v>0</v>
      </c>
      <c r="S206" cm="1">
        <f t="array" aca="1" ref="S206" ca="1">INDIRECT("Data!M" &amp; 201)</f>
        <v>0</v>
      </c>
      <c r="T206" cm="1">
        <f t="array" aca="1" ref="T206" ca="1">INDIRECT("Data!N" &amp; 201)</f>
        <v>0</v>
      </c>
      <c r="U206" cm="1">
        <f t="array" aca="1" ref="U206" ca="1">INDIRECT("Data!O" &amp; 201)</f>
        <v>0</v>
      </c>
      <c r="V206" cm="1">
        <f t="array" aca="1" ref="V206" ca="1">INDIRECT("Data!P" &amp; 201)</f>
        <v>0</v>
      </c>
    </row>
    <row r="207" spans="7:22" x14ac:dyDescent="0.25">
      <c r="G207" cm="1">
        <f t="array" aca="1" ref="G207" ca="1">INDIRECT("Data!A" &amp; 202)</f>
        <v>0</v>
      </c>
      <c r="H207" s="21" cm="1">
        <f t="array" aca="1" ref="H207" ca="1">INDIRECT("Data!B" &amp; 202)</f>
        <v>0</v>
      </c>
      <c r="I207" s="21" cm="1">
        <f t="array" aca="1" ref="I207" ca="1">INDIRECT("Data!C" &amp; 202)</f>
        <v>0</v>
      </c>
      <c r="J207" cm="1">
        <f t="array" aca="1" ref="J207" ca="1">INDIRECT("Data!D" &amp; 202)</f>
        <v>0</v>
      </c>
      <c r="K207" cm="1">
        <f t="array" aca="1" ref="K207" ca="1">INDIRECT("Data!E" &amp; 202)</f>
        <v>0</v>
      </c>
      <c r="L207" cm="1">
        <f t="array" aca="1" ref="L207" ca="1">INDIRECT("Data!F" &amp; 202)</f>
        <v>0</v>
      </c>
      <c r="M207" cm="1">
        <f t="array" aca="1" ref="M207" ca="1">INDIRECT("Data!G" &amp; 202)</f>
        <v>0</v>
      </c>
      <c r="N207" cm="1">
        <f t="array" aca="1" ref="N207" ca="1">INDIRECT("Data!H" &amp; 202)</f>
        <v>0</v>
      </c>
      <c r="O207" cm="1">
        <f t="array" aca="1" ref="O207" ca="1">INDIRECT("Data!I" &amp; 202)</f>
        <v>0</v>
      </c>
      <c r="P207" s="21" cm="1">
        <f t="array" aca="1" ref="P207" ca="1">INDIRECT("Data!J" &amp; 202)</f>
        <v>0</v>
      </c>
      <c r="Q207" cm="1">
        <f t="array" aca="1" ref="Q207" ca="1">INDIRECT("Data!K" &amp; 202)</f>
        <v>0</v>
      </c>
      <c r="R207" cm="1">
        <f t="array" aca="1" ref="R207" ca="1">INDIRECT("Data!L" &amp; 202)</f>
        <v>0</v>
      </c>
      <c r="S207" cm="1">
        <f t="array" aca="1" ref="S207" ca="1">INDIRECT("Data!M" &amp; 202)</f>
        <v>0</v>
      </c>
      <c r="T207" cm="1">
        <f t="array" aca="1" ref="T207" ca="1">INDIRECT("Data!N" &amp; 202)</f>
        <v>0</v>
      </c>
      <c r="U207" cm="1">
        <f t="array" aca="1" ref="U207" ca="1">INDIRECT("Data!O" &amp; 202)</f>
        <v>0</v>
      </c>
      <c r="V207" cm="1">
        <f t="array" aca="1" ref="V207" ca="1">INDIRECT("Data!P" &amp; 202)</f>
        <v>0</v>
      </c>
    </row>
    <row r="208" spans="7:22" x14ac:dyDescent="0.25">
      <c r="G208" cm="1">
        <f t="array" aca="1" ref="G208" ca="1">INDIRECT("Data!A" &amp; 203)</f>
        <v>0</v>
      </c>
      <c r="H208" s="21" cm="1">
        <f t="array" aca="1" ref="H208" ca="1">INDIRECT("Data!B" &amp; 203)</f>
        <v>0</v>
      </c>
      <c r="I208" s="21" cm="1">
        <f t="array" aca="1" ref="I208" ca="1">INDIRECT("Data!C" &amp; 203)</f>
        <v>0</v>
      </c>
      <c r="J208" cm="1">
        <f t="array" aca="1" ref="J208" ca="1">INDIRECT("Data!D" &amp; 203)</f>
        <v>0</v>
      </c>
      <c r="K208" cm="1">
        <f t="array" aca="1" ref="K208" ca="1">INDIRECT("Data!E" &amp; 203)</f>
        <v>0</v>
      </c>
      <c r="L208" cm="1">
        <f t="array" aca="1" ref="L208" ca="1">INDIRECT("Data!F" &amp; 203)</f>
        <v>0</v>
      </c>
      <c r="M208" cm="1">
        <f t="array" aca="1" ref="M208" ca="1">INDIRECT("Data!G" &amp; 203)</f>
        <v>0</v>
      </c>
      <c r="N208" cm="1">
        <f t="array" aca="1" ref="N208" ca="1">INDIRECT("Data!H" &amp; 203)</f>
        <v>0</v>
      </c>
      <c r="O208" cm="1">
        <f t="array" aca="1" ref="O208" ca="1">INDIRECT("Data!I" &amp; 203)</f>
        <v>0</v>
      </c>
      <c r="P208" s="21" cm="1">
        <f t="array" aca="1" ref="P208" ca="1">INDIRECT("Data!J" &amp; 203)</f>
        <v>0</v>
      </c>
      <c r="Q208" cm="1">
        <f t="array" aca="1" ref="Q208" ca="1">INDIRECT("Data!K" &amp; 203)</f>
        <v>0</v>
      </c>
      <c r="R208" cm="1">
        <f t="array" aca="1" ref="R208" ca="1">INDIRECT("Data!L" &amp; 203)</f>
        <v>0</v>
      </c>
      <c r="S208" cm="1">
        <f t="array" aca="1" ref="S208" ca="1">INDIRECT("Data!M" &amp; 203)</f>
        <v>0</v>
      </c>
      <c r="T208" cm="1">
        <f t="array" aca="1" ref="T208" ca="1">INDIRECT("Data!N" &amp; 203)</f>
        <v>0</v>
      </c>
      <c r="U208" cm="1">
        <f t="array" aca="1" ref="U208" ca="1">INDIRECT("Data!O" &amp; 203)</f>
        <v>0</v>
      </c>
      <c r="V208" cm="1">
        <f t="array" aca="1" ref="V208" ca="1">INDIRECT("Data!P" &amp; 203)</f>
        <v>0</v>
      </c>
    </row>
    <row r="209" spans="7:22" x14ac:dyDescent="0.25">
      <c r="G209" cm="1">
        <f t="array" aca="1" ref="G209" ca="1">INDIRECT("Data!A" &amp; 204)</f>
        <v>0</v>
      </c>
      <c r="H209" s="21" cm="1">
        <f t="array" aca="1" ref="H209" ca="1">INDIRECT("Data!B" &amp; 204)</f>
        <v>0</v>
      </c>
      <c r="I209" s="21" cm="1">
        <f t="array" aca="1" ref="I209" ca="1">INDIRECT("Data!C" &amp; 204)</f>
        <v>0</v>
      </c>
      <c r="J209" cm="1">
        <f t="array" aca="1" ref="J209" ca="1">INDIRECT("Data!D" &amp; 204)</f>
        <v>0</v>
      </c>
      <c r="K209" cm="1">
        <f t="array" aca="1" ref="K209" ca="1">INDIRECT("Data!E" &amp; 204)</f>
        <v>0</v>
      </c>
      <c r="L209" cm="1">
        <f t="array" aca="1" ref="L209" ca="1">INDIRECT("Data!F" &amp; 204)</f>
        <v>0</v>
      </c>
      <c r="M209" cm="1">
        <f t="array" aca="1" ref="M209" ca="1">INDIRECT("Data!G" &amp; 204)</f>
        <v>0</v>
      </c>
      <c r="N209" cm="1">
        <f t="array" aca="1" ref="N209" ca="1">INDIRECT("Data!H" &amp; 204)</f>
        <v>0</v>
      </c>
      <c r="O209" cm="1">
        <f t="array" aca="1" ref="O209" ca="1">INDIRECT("Data!I" &amp; 204)</f>
        <v>0</v>
      </c>
      <c r="P209" s="21" cm="1">
        <f t="array" aca="1" ref="P209" ca="1">INDIRECT("Data!J" &amp; 204)</f>
        <v>0</v>
      </c>
      <c r="Q209" cm="1">
        <f t="array" aca="1" ref="Q209" ca="1">INDIRECT("Data!K" &amp; 204)</f>
        <v>0</v>
      </c>
      <c r="R209" cm="1">
        <f t="array" aca="1" ref="R209" ca="1">INDIRECT("Data!L" &amp; 204)</f>
        <v>0</v>
      </c>
      <c r="S209" cm="1">
        <f t="array" aca="1" ref="S209" ca="1">INDIRECT("Data!M" &amp; 204)</f>
        <v>0</v>
      </c>
      <c r="T209" cm="1">
        <f t="array" aca="1" ref="T209" ca="1">INDIRECT("Data!N" &amp; 204)</f>
        <v>0</v>
      </c>
      <c r="U209" cm="1">
        <f t="array" aca="1" ref="U209" ca="1">INDIRECT("Data!O" &amp; 204)</f>
        <v>0</v>
      </c>
      <c r="V209" cm="1">
        <f t="array" aca="1" ref="V209" ca="1">INDIRECT("Data!P" &amp; 204)</f>
        <v>0</v>
      </c>
    </row>
    <row r="210" spans="7:22" x14ac:dyDescent="0.25">
      <c r="G210" cm="1">
        <f t="array" aca="1" ref="G210" ca="1">INDIRECT("Data!A" &amp; 205)</f>
        <v>0</v>
      </c>
      <c r="H210" s="21" cm="1">
        <f t="array" aca="1" ref="H210" ca="1">INDIRECT("Data!B" &amp; 205)</f>
        <v>0</v>
      </c>
      <c r="I210" s="21" cm="1">
        <f t="array" aca="1" ref="I210" ca="1">INDIRECT("Data!C" &amp; 205)</f>
        <v>0</v>
      </c>
      <c r="J210" cm="1">
        <f t="array" aca="1" ref="J210" ca="1">INDIRECT("Data!D" &amp; 205)</f>
        <v>0</v>
      </c>
      <c r="K210" cm="1">
        <f t="array" aca="1" ref="K210" ca="1">INDIRECT("Data!E" &amp; 205)</f>
        <v>0</v>
      </c>
      <c r="L210" cm="1">
        <f t="array" aca="1" ref="L210" ca="1">INDIRECT("Data!F" &amp; 205)</f>
        <v>0</v>
      </c>
      <c r="M210" cm="1">
        <f t="array" aca="1" ref="M210" ca="1">INDIRECT("Data!G" &amp; 205)</f>
        <v>0</v>
      </c>
      <c r="N210" cm="1">
        <f t="array" aca="1" ref="N210" ca="1">INDIRECT("Data!H" &amp; 205)</f>
        <v>0</v>
      </c>
      <c r="O210" cm="1">
        <f t="array" aca="1" ref="O210" ca="1">INDIRECT("Data!I" &amp; 205)</f>
        <v>0</v>
      </c>
      <c r="P210" s="21" cm="1">
        <f t="array" aca="1" ref="P210" ca="1">INDIRECT("Data!J" &amp; 205)</f>
        <v>0</v>
      </c>
      <c r="Q210" cm="1">
        <f t="array" aca="1" ref="Q210" ca="1">INDIRECT("Data!K" &amp; 205)</f>
        <v>0</v>
      </c>
      <c r="R210" cm="1">
        <f t="array" aca="1" ref="R210" ca="1">INDIRECT("Data!L" &amp; 205)</f>
        <v>0</v>
      </c>
      <c r="S210" cm="1">
        <f t="array" aca="1" ref="S210" ca="1">INDIRECT("Data!M" &amp; 205)</f>
        <v>0</v>
      </c>
      <c r="T210" cm="1">
        <f t="array" aca="1" ref="T210" ca="1">INDIRECT("Data!N" &amp; 205)</f>
        <v>0</v>
      </c>
      <c r="U210" cm="1">
        <f t="array" aca="1" ref="U210" ca="1">INDIRECT("Data!O" &amp; 205)</f>
        <v>0</v>
      </c>
      <c r="V210" cm="1">
        <f t="array" aca="1" ref="V210" ca="1">INDIRECT("Data!P" &amp; 205)</f>
        <v>0</v>
      </c>
    </row>
    <row r="211" spans="7:22" x14ac:dyDescent="0.25">
      <c r="G211" cm="1">
        <f t="array" aca="1" ref="G211" ca="1">INDIRECT("Data!A" &amp; 206)</f>
        <v>0</v>
      </c>
      <c r="H211" s="21" cm="1">
        <f t="array" aca="1" ref="H211" ca="1">INDIRECT("Data!B" &amp; 206)</f>
        <v>0</v>
      </c>
      <c r="I211" s="21" cm="1">
        <f t="array" aca="1" ref="I211" ca="1">INDIRECT("Data!C" &amp; 206)</f>
        <v>0</v>
      </c>
      <c r="J211" cm="1">
        <f t="array" aca="1" ref="J211" ca="1">INDIRECT("Data!D" &amp; 206)</f>
        <v>0</v>
      </c>
      <c r="K211" cm="1">
        <f t="array" aca="1" ref="K211" ca="1">INDIRECT("Data!E" &amp; 206)</f>
        <v>0</v>
      </c>
      <c r="L211" cm="1">
        <f t="array" aca="1" ref="L211" ca="1">INDIRECT("Data!F" &amp; 206)</f>
        <v>0</v>
      </c>
      <c r="M211" cm="1">
        <f t="array" aca="1" ref="M211" ca="1">INDIRECT("Data!G" &amp; 206)</f>
        <v>0</v>
      </c>
      <c r="N211" cm="1">
        <f t="array" aca="1" ref="N211" ca="1">INDIRECT("Data!H" &amp; 206)</f>
        <v>0</v>
      </c>
      <c r="O211" cm="1">
        <f t="array" aca="1" ref="O211" ca="1">INDIRECT("Data!I" &amp; 206)</f>
        <v>0</v>
      </c>
      <c r="P211" s="21" cm="1">
        <f t="array" aca="1" ref="P211" ca="1">INDIRECT("Data!J" &amp; 206)</f>
        <v>0</v>
      </c>
      <c r="Q211" cm="1">
        <f t="array" aca="1" ref="Q211" ca="1">INDIRECT("Data!K" &amp; 206)</f>
        <v>0</v>
      </c>
      <c r="R211" cm="1">
        <f t="array" aca="1" ref="R211" ca="1">INDIRECT("Data!L" &amp; 206)</f>
        <v>0</v>
      </c>
      <c r="S211" cm="1">
        <f t="array" aca="1" ref="S211" ca="1">INDIRECT("Data!M" &amp; 206)</f>
        <v>0</v>
      </c>
      <c r="T211" cm="1">
        <f t="array" aca="1" ref="T211" ca="1">INDIRECT("Data!N" &amp; 206)</f>
        <v>0</v>
      </c>
      <c r="U211" cm="1">
        <f t="array" aca="1" ref="U211" ca="1">INDIRECT("Data!O" &amp; 206)</f>
        <v>0</v>
      </c>
      <c r="V211" cm="1">
        <f t="array" aca="1" ref="V211" ca="1">INDIRECT("Data!P" &amp; 206)</f>
        <v>0</v>
      </c>
    </row>
    <row r="212" spans="7:22" x14ac:dyDescent="0.25">
      <c r="G212" cm="1">
        <f t="array" aca="1" ref="G212" ca="1">INDIRECT("Data!A" &amp; 207)</f>
        <v>0</v>
      </c>
      <c r="H212" s="21" cm="1">
        <f t="array" aca="1" ref="H212" ca="1">INDIRECT("Data!B" &amp; 207)</f>
        <v>0</v>
      </c>
      <c r="I212" s="21" cm="1">
        <f t="array" aca="1" ref="I212" ca="1">INDIRECT("Data!C" &amp; 207)</f>
        <v>0</v>
      </c>
      <c r="J212" cm="1">
        <f t="array" aca="1" ref="J212" ca="1">INDIRECT("Data!D" &amp; 207)</f>
        <v>0</v>
      </c>
      <c r="K212" cm="1">
        <f t="array" aca="1" ref="K212" ca="1">INDIRECT("Data!E" &amp; 207)</f>
        <v>0</v>
      </c>
      <c r="L212" cm="1">
        <f t="array" aca="1" ref="L212" ca="1">INDIRECT("Data!F" &amp; 207)</f>
        <v>0</v>
      </c>
      <c r="M212" cm="1">
        <f t="array" aca="1" ref="M212" ca="1">INDIRECT("Data!G" &amp; 207)</f>
        <v>0</v>
      </c>
      <c r="N212" cm="1">
        <f t="array" aca="1" ref="N212" ca="1">INDIRECT("Data!H" &amp; 207)</f>
        <v>0</v>
      </c>
      <c r="O212" cm="1">
        <f t="array" aca="1" ref="O212" ca="1">INDIRECT("Data!I" &amp; 207)</f>
        <v>0</v>
      </c>
      <c r="P212" s="21" cm="1">
        <f t="array" aca="1" ref="P212" ca="1">INDIRECT("Data!J" &amp; 207)</f>
        <v>0</v>
      </c>
      <c r="Q212" cm="1">
        <f t="array" aca="1" ref="Q212" ca="1">INDIRECT("Data!K" &amp; 207)</f>
        <v>0</v>
      </c>
      <c r="R212" cm="1">
        <f t="array" aca="1" ref="R212" ca="1">INDIRECT("Data!L" &amp; 207)</f>
        <v>0</v>
      </c>
      <c r="S212" cm="1">
        <f t="array" aca="1" ref="S212" ca="1">INDIRECT("Data!M" &amp; 207)</f>
        <v>0</v>
      </c>
      <c r="T212" cm="1">
        <f t="array" aca="1" ref="T212" ca="1">INDIRECT("Data!N" &amp; 207)</f>
        <v>0</v>
      </c>
      <c r="U212" cm="1">
        <f t="array" aca="1" ref="U212" ca="1">INDIRECT("Data!O" &amp; 207)</f>
        <v>0</v>
      </c>
      <c r="V212" cm="1">
        <f t="array" aca="1" ref="V212" ca="1">INDIRECT("Data!P" &amp; 207)</f>
        <v>0</v>
      </c>
    </row>
    <row r="213" spans="7:22" x14ac:dyDescent="0.25">
      <c r="G213" cm="1">
        <f t="array" aca="1" ref="G213" ca="1">INDIRECT("Data!A" &amp; 208)</f>
        <v>0</v>
      </c>
      <c r="H213" s="21" cm="1">
        <f t="array" aca="1" ref="H213" ca="1">INDIRECT("Data!B" &amp; 208)</f>
        <v>0</v>
      </c>
      <c r="I213" s="21" cm="1">
        <f t="array" aca="1" ref="I213" ca="1">INDIRECT("Data!C" &amp; 208)</f>
        <v>0</v>
      </c>
      <c r="J213" cm="1">
        <f t="array" aca="1" ref="J213" ca="1">INDIRECT("Data!D" &amp; 208)</f>
        <v>0</v>
      </c>
      <c r="K213" cm="1">
        <f t="array" aca="1" ref="K213" ca="1">INDIRECT("Data!E" &amp; 208)</f>
        <v>0</v>
      </c>
      <c r="L213" cm="1">
        <f t="array" aca="1" ref="L213" ca="1">INDIRECT("Data!F" &amp; 208)</f>
        <v>0</v>
      </c>
      <c r="M213" cm="1">
        <f t="array" aca="1" ref="M213" ca="1">INDIRECT("Data!G" &amp; 208)</f>
        <v>0</v>
      </c>
      <c r="N213" cm="1">
        <f t="array" aca="1" ref="N213" ca="1">INDIRECT("Data!H" &amp; 208)</f>
        <v>0</v>
      </c>
      <c r="O213" cm="1">
        <f t="array" aca="1" ref="O213" ca="1">INDIRECT("Data!I" &amp; 208)</f>
        <v>0</v>
      </c>
      <c r="P213" s="21" cm="1">
        <f t="array" aca="1" ref="P213" ca="1">INDIRECT("Data!J" &amp; 208)</f>
        <v>0</v>
      </c>
      <c r="Q213" cm="1">
        <f t="array" aca="1" ref="Q213" ca="1">INDIRECT("Data!K" &amp; 208)</f>
        <v>0</v>
      </c>
      <c r="R213" cm="1">
        <f t="array" aca="1" ref="R213" ca="1">INDIRECT("Data!L" &amp; 208)</f>
        <v>0</v>
      </c>
      <c r="S213" cm="1">
        <f t="array" aca="1" ref="S213" ca="1">INDIRECT("Data!M" &amp; 208)</f>
        <v>0</v>
      </c>
      <c r="T213" cm="1">
        <f t="array" aca="1" ref="T213" ca="1">INDIRECT("Data!N" &amp; 208)</f>
        <v>0</v>
      </c>
      <c r="U213" cm="1">
        <f t="array" aca="1" ref="U213" ca="1">INDIRECT("Data!O" &amp; 208)</f>
        <v>0</v>
      </c>
      <c r="V213" cm="1">
        <f t="array" aca="1" ref="V213" ca="1">INDIRECT("Data!P" &amp; 208)</f>
        <v>0</v>
      </c>
    </row>
    <row r="214" spans="7:22" x14ac:dyDescent="0.25">
      <c r="G214" cm="1">
        <f t="array" aca="1" ref="G214" ca="1">INDIRECT("Data!A" &amp; 209)</f>
        <v>0</v>
      </c>
      <c r="H214" s="21" cm="1">
        <f t="array" aca="1" ref="H214" ca="1">INDIRECT("Data!B" &amp; 209)</f>
        <v>0</v>
      </c>
      <c r="I214" s="21" cm="1">
        <f t="array" aca="1" ref="I214" ca="1">INDIRECT("Data!C" &amp; 209)</f>
        <v>0</v>
      </c>
      <c r="J214" cm="1">
        <f t="array" aca="1" ref="J214" ca="1">INDIRECT("Data!D" &amp; 209)</f>
        <v>0</v>
      </c>
      <c r="K214" cm="1">
        <f t="array" aca="1" ref="K214" ca="1">INDIRECT("Data!E" &amp; 209)</f>
        <v>0</v>
      </c>
      <c r="L214" cm="1">
        <f t="array" aca="1" ref="L214" ca="1">INDIRECT("Data!F" &amp; 209)</f>
        <v>0</v>
      </c>
      <c r="M214" cm="1">
        <f t="array" aca="1" ref="M214" ca="1">INDIRECT("Data!G" &amp; 209)</f>
        <v>0</v>
      </c>
      <c r="N214" cm="1">
        <f t="array" aca="1" ref="N214" ca="1">INDIRECT("Data!H" &amp; 209)</f>
        <v>0</v>
      </c>
      <c r="O214" cm="1">
        <f t="array" aca="1" ref="O214" ca="1">INDIRECT("Data!I" &amp; 209)</f>
        <v>0</v>
      </c>
      <c r="P214" s="21" cm="1">
        <f t="array" aca="1" ref="P214" ca="1">INDIRECT("Data!J" &amp; 209)</f>
        <v>0</v>
      </c>
      <c r="Q214" cm="1">
        <f t="array" aca="1" ref="Q214" ca="1">INDIRECT("Data!K" &amp; 209)</f>
        <v>0</v>
      </c>
      <c r="R214" cm="1">
        <f t="array" aca="1" ref="R214" ca="1">INDIRECT("Data!L" &amp; 209)</f>
        <v>0</v>
      </c>
      <c r="S214" cm="1">
        <f t="array" aca="1" ref="S214" ca="1">INDIRECT("Data!M" &amp; 209)</f>
        <v>0</v>
      </c>
      <c r="T214" cm="1">
        <f t="array" aca="1" ref="T214" ca="1">INDIRECT("Data!N" &amp; 209)</f>
        <v>0</v>
      </c>
      <c r="U214" cm="1">
        <f t="array" aca="1" ref="U214" ca="1">INDIRECT("Data!O" &amp; 209)</f>
        <v>0</v>
      </c>
      <c r="V214" cm="1">
        <f t="array" aca="1" ref="V214" ca="1">INDIRECT("Data!P" &amp; 209)</f>
        <v>0</v>
      </c>
    </row>
    <row r="215" spans="7:22" x14ac:dyDescent="0.25">
      <c r="G215" cm="1">
        <f t="array" aca="1" ref="G215" ca="1">INDIRECT("Data!A" &amp; 210)</f>
        <v>0</v>
      </c>
      <c r="H215" s="21" cm="1">
        <f t="array" aca="1" ref="H215" ca="1">INDIRECT("Data!B" &amp; 210)</f>
        <v>0</v>
      </c>
      <c r="I215" s="21" cm="1">
        <f t="array" aca="1" ref="I215" ca="1">INDIRECT("Data!C" &amp; 210)</f>
        <v>0</v>
      </c>
      <c r="J215" cm="1">
        <f t="array" aca="1" ref="J215" ca="1">INDIRECT("Data!D" &amp; 210)</f>
        <v>0</v>
      </c>
      <c r="K215" cm="1">
        <f t="array" aca="1" ref="K215" ca="1">INDIRECT("Data!E" &amp; 210)</f>
        <v>0</v>
      </c>
      <c r="L215" cm="1">
        <f t="array" aca="1" ref="L215" ca="1">INDIRECT("Data!F" &amp; 210)</f>
        <v>0</v>
      </c>
      <c r="M215" cm="1">
        <f t="array" aca="1" ref="M215" ca="1">INDIRECT("Data!G" &amp; 210)</f>
        <v>0</v>
      </c>
      <c r="N215" cm="1">
        <f t="array" aca="1" ref="N215" ca="1">INDIRECT("Data!H" &amp; 210)</f>
        <v>0</v>
      </c>
      <c r="O215" cm="1">
        <f t="array" aca="1" ref="O215" ca="1">INDIRECT("Data!I" &amp; 210)</f>
        <v>0</v>
      </c>
      <c r="P215" s="21" cm="1">
        <f t="array" aca="1" ref="P215" ca="1">INDIRECT("Data!J" &amp; 210)</f>
        <v>0</v>
      </c>
      <c r="Q215" cm="1">
        <f t="array" aca="1" ref="Q215" ca="1">INDIRECT("Data!K" &amp; 210)</f>
        <v>0</v>
      </c>
      <c r="R215" cm="1">
        <f t="array" aca="1" ref="R215" ca="1">INDIRECT("Data!L" &amp; 210)</f>
        <v>0</v>
      </c>
      <c r="S215" cm="1">
        <f t="array" aca="1" ref="S215" ca="1">INDIRECT("Data!M" &amp; 210)</f>
        <v>0</v>
      </c>
      <c r="T215" cm="1">
        <f t="array" aca="1" ref="T215" ca="1">INDIRECT("Data!N" &amp; 210)</f>
        <v>0</v>
      </c>
      <c r="U215" cm="1">
        <f t="array" aca="1" ref="U215" ca="1">INDIRECT("Data!O" &amp; 210)</f>
        <v>0</v>
      </c>
      <c r="V215" cm="1">
        <f t="array" aca="1" ref="V215" ca="1">INDIRECT("Data!P" &amp; 210)</f>
        <v>0</v>
      </c>
    </row>
    <row r="216" spans="7:22" x14ac:dyDescent="0.25">
      <c r="G216" cm="1">
        <f t="array" aca="1" ref="G216" ca="1">INDIRECT("Data!A" &amp; 211)</f>
        <v>0</v>
      </c>
      <c r="H216" s="21" cm="1">
        <f t="array" aca="1" ref="H216" ca="1">INDIRECT("Data!B" &amp; 211)</f>
        <v>0</v>
      </c>
      <c r="I216" s="21" cm="1">
        <f t="array" aca="1" ref="I216" ca="1">INDIRECT("Data!C" &amp; 211)</f>
        <v>0</v>
      </c>
      <c r="J216" cm="1">
        <f t="array" aca="1" ref="J216" ca="1">INDIRECT("Data!D" &amp; 211)</f>
        <v>0</v>
      </c>
      <c r="K216" cm="1">
        <f t="array" aca="1" ref="K216" ca="1">INDIRECT("Data!E" &amp; 211)</f>
        <v>0</v>
      </c>
      <c r="L216" cm="1">
        <f t="array" aca="1" ref="L216" ca="1">INDIRECT("Data!F" &amp; 211)</f>
        <v>0</v>
      </c>
      <c r="M216" cm="1">
        <f t="array" aca="1" ref="M216" ca="1">INDIRECT("Data!G" &amp; 211)</f>
        <v>0</v>
      </c>
      <c r="N216" cm="1">
        <f t="array" aca="1" ref="N216" ca="1">INDIRECT("Data!H" &amp; 211)</f>
        <v>0</v>
      </c>
      <c r="O216" cm="1">
        <f t="array" aca="1" ref="O216" ca="1">INDIRECT("Data!I" &amp; 211)</f>
        <v>0</v>
      </c>
      <c r="P216" s="21" cm="1">
        <f t="array" aca="1" ref="P216" ca="1">INDIRECT("Data!J" &amp; 211)</f>
        <v>0</v>
      </c>
      <c r="Q216" cm="1">
        <f t="array" aca="1" ref="Q216" ca="1">INDIRECT("Data!K" &amp; 211)</f>
        <v>0</v>
      </c>
      <c r="R216" cm="1">
        <f t="array" aca="1" ref="R216" ca="1">INDIRECT("Data!L" &amp; 211)</f>
        <v>0</v>
      </c>
      <c r="S216" cm="1">
        <f t="array" aca="1" ref="S216" ca="1">INDIRECT("Data!M" &amp; 211)</f>
        <v>0</v>
      </c>
      <c r="T216" cm="1">
        <f t="array" aca="1" ref="T216" ca="1">INDIRECT("Data!N" &amp; 211)</f>
        <v>0</v>
      </c>
      <c r="U216" cm="1">
        <f t="array" aca="1" ref="U216" ca="1">INDIRECT("Data!O" &amp; 211)</f>
        <v>0</v>
      </c>
      <c r="V216" cm="1">
        <f t="array" aca="1" ref="V216" ca="1">INDIRECT("Data!P" &amp; 211)</f>
        <v>0</v>
      </c>
    </row>
    <row r="217" spans="7:22" x14ac:dyDescent="0.25">
      <c r="G217" cm="1">
        <f t="array" aca="1" ref="G217" ca="1">INDIRECT("Data!A" &amp; 212)</f>
        <v>0</v>
      </c>
      <c r="H217" s="21" cm="1">
        <f t="array" aca="1" ref="H217" ca="1">INDIRECT("Data!B" &amp; 212)</f>
        <v>0</v>
      </c>
      <c r="I217" s="21" cm="1">
        <f t="array" aca="1" ref="I217" ca="1">INDIRECT("Data!C" &amp; 212)</f>
        <v>0</v>
      </c>
      <c r="J217" cm="1">
        <f t="array" aca="1" ref="J217" ca="1">INDIRECT("Data!D" &amp; 212)</f>
        <v>0</v>
      </c>
      <c r="K217" cm="1">
        <f t="array" aca="1" ref="K217" ca="1">INDIRECT("Data!E" &amp; 212)</f>
        <v>0</v>
      </c>
      <c r="L217" cm="1">
        <f t="array" aca="1" ref="L217" ca="1">INDIRECT("Data!F" &amp; 212)</f>
        <v>0</v>
      </c>
      <c r="M217" cm="1">
        <f t="array" aca="1" ref="M217" ca="1">INDIRECT("Data!G" &amp; 212)</f>
        <v>0</v>
      </c>
      <c r="N217" cm="1">
        <f t="array" aca="1" ref="N217" ca="1">INDIRECT("Data!H" &amp; 212)</f>
        <v>0</v>
      </c>
      <c r="O217" cm="1">
        <f t="array" aca="1" ref="O217" ca="1">INDIRECT("Data!I" &amp; 212)</f>
        <v>0</v>
      </c>
      <c r="P217" s="21" cm="1">
        <f t="array" aca="1" ref="P217" ca="1">INDIRECT("Data!J" &amp; 212)</f>
        <v>0</v>
      </c>
      <c r="Q217" cm="1">
        <f t="array" aca="1" ref="Q217" ca="1">INDIRECT("Data!K" &amp; 212)</f>
        <v>0</v>
      </c>
      <c r="R217" cm="1">
        <f t="array" aca="1" ref="R217" ca="1">INDIRECT("Data!L" &amp; 212)</f>
        <v>0</v>
      </c>
      <c r="S217" cm="1">
        <f t="array" aca="1" ref="S217" ca="1">INDIRECT("Data!M" &amp; 212)</f>
        <v>0</v>
      </c>
      <c r="T217" cm="1">
        <f t="array" aca="1" ref="T217" ca="1">INDIRECT("Data!N" &amp; 212)</f>
        <v>0</v>
      </c>
      <c r="U217" cm="1">
        <f t="array" aca="1" ref="U217" ca="1">INDIRECT("Data!O" &amp; 212)</f>
        <v>0</v>
      </c>
      <c r="V217" cm="1">
        <f t="array" aca="1" ref="V217" ca="1">INDIRECT("Data!P" &amp; 212)</f>
        <v>0</v>
      </c>
    </row>
    <row r="218" spans="7:22" x14ac:dyDescent="0.25">
      <c r="G218" cm="1">
        <f t="array" aca="1" ref="G218" ca="1">INDIRECT("Data!A" &amp; 213)</f>
        <v>0</v>
      </c>
      <c r="H218" s="21" cm="1">
        <f t="array" aca="1" ref="H218" ca="1">INDIRECT("Data!B" &amp; 213)</f>
        <v>0</v>
      </c>
      <c r="I218" s="21" cm="1">
        <f t="array" aca="1" ref="I218" ca="1">INDIRECT("Data!C" &amp; 213)</f>
        <v>0</v>
      </c>
      <c r="J218" cm="1">
        <f t="array" aca="1" ref="J218" ca="1">INDIRECT("Data!D" &amp; 213)</f>
        <v>0</v>
      </c>
      <c r="K218" cm="1">
        <f t="array" aca="1" ref="K218" ca="1">INDIRECT("Data!E" &amp; 213)</f>
        <v>0</v>
      </c>
      <c r="L218" cm="1">
        <f t="array" aca="1" ref="L218" ca="1">INDIRECT("Data!F" &amp; 213)</f>
        <v>0</v>
      </c>
      <c r="M218" cm="1">
        <f t="array" aca="1" ref="M218" ca="1">INDIRECT("Data!G" &amp; 213)</f>
        <v>0</v>
      </c>
      <c r="N218" cm="1">
        <f t="array" aca="1" ref="N218" ca="1">INDIRECT("Data!H" &amp; 213)</f>
        <v>0</v>
      </c>
      <c r="O218" cm="1">
        <f t="array" aca="1" ref="O218" ca="1">INDIRECT("Data!I" &amp; 213)</f>
        <v>0</v>
      </c>
      <c r="P218" s="21" cm="1">
        <f t="array" aca="1" ref="P218" ca="1">INDIRECT("Data!J" &amp; 213)</f>
        <v>0</v>
      </c>
      <c r="Q218" cm="1">
        <f t="array" aca="1" ref="Q218" ca="1">INDIRECT("Data!K" &amp; 213)</f>
        <v>0</v>
      </c>
      <c r="R218" cm="1">
        <f t="array" aca="1" ref="R218" ca="1">INDIRECT("Data!L" &amp; 213)</f>
        <v>0</v>
      </c>
      <c r="S218" cm="1">
        <f t="array" aca="1" ref="S218" ca="1">INDIRECT("Data!M" &amp; 213)</f>
        <v>0</v>
      </c>
      <c r="T218" cm="1">
        <f t="array" aca="1" ref="T218" ca="1">INDIRECT("Data!N" &amp; 213)</f>
        <v>0</v>
      </c>
      <c r="U218" cm="1">
        <f t="array" aca="1" ref="U218" ca="1">INDIRECT("Data!O" &amp; 213)</f>
        <v>0</v>
      </c>
      <c r="V218" cm="1">
        <f t="array" aca="1" ref="V218" ca="1">INDIRECT("Data!P" &amp; 213)</f>
        <v>0</v>
      </c>
    </row>
    <row r="219" spans="7:22" x14ac:dyDescent="0.25">
      <c r="G219" cm="1">
        <f t="array" aca="1" ref="G219" ca="1">INDIRECT("Data!A" &amp; 214)</f>
        <v>0</v>
      </c>
      <c r="H219" s="21" cm="1">
        <f t="array" aca="1" ref="H219" ca="1">INDIRECT("Data!B" &amp; 214)</f>
        <v>0</v>
      </c>
      <c r="I219" s="21" cm="1">
        <f t="array" aca="1" ref="I219" ca="1">INDIRECT("Data!C" &amp; 214)</f>
        <v>0</v>
      </c>
      <c r="J219" cm="1">
        <f t="array" aca="1" ref="J219" ca="1">INDIRECT("Data!D" &amp; 214)</f>
        <v>0</v>
      </c>
      <c r="K219" cm="1">
        <f t="array" aca="1" ref="K219" ca="1">INDIRECT("Data!E" &amp; 214)</f>
        <v>0</v>
      </c>
      <c r="L219" cm="1">
        <f t="array" aca="1" ref="L219" ca="1">INDIRECT("Data!F" &amp; 214)</f>
        <v>0</v>
      </c>
      <c r="M219" cm="1">
        <f t="array" aca="1" ref="M219" ca="1">INDIRECT("Data!G" &amp; 214)</f>
        <v>0</v>
      </c>
      <c r="N219" cm="1">
        <f t="array" aca="1" ref="N219" ca="1">INDIRECT("Data!H" &amp; 214)</f>
        <v>0</v>
      </c>
      <c r="O219" cm="1">
        <f t="array" aca="1" ref="O219" ca="1">INDIRECT("Data!I" &amp; 214)</f>
        <v>0</v>
      </c>
      <c r="P219" s="21" cm="1">
        <f t="array" aca="1" ref="P219" ca="1">INDIRECT("Data!J" &amp; 214)</f>
        <v>0</v>
      </c>
      <c r="Q219" cm="1">
        <f t="array" aca="1" ref="Q219" ca="1">INDIRECT("Data!K" &amp; 214)</f>
        <v>0</v>
      </c>
      <c r="R219" cm="1">
        <f t="array" aca="1" ref="R219" ca="1">INDIRECT("Data!L" &amp; 214)</f>
        <v>0</v>
      </c>
      <c r="S219" cm="1">
        <f t="array" aca="1" ref="S219" ca="1">INDIRECT("Data!M" &amp; 214)</f>
        <v>0</v>
      </c>
      <c r="T219" cm="1">
        <f t="array" aca="1" ref="T219" ca="1">INDIRECT("Data!N" &amp; 214)</f>
        <v>0</v>
      </c>
      <c r="U219" cm="1">
        <f t="array" aca="1" ref="U219" ca="1">INDIRECT("Data!O" &amp; 214)</f>
        <v>0</v>
      </c>
      <c r="V219" cm="1">
        <f t="array" aca="1" ref="V219" ca="1">INDIRECT("Data!P" &amp; 214)</f>
        <v>0</v>
      </c>
    </row>
    <row r="220" spans="7:22" x14ac:dyDescent="0.25">
      <c r="G220" cm="1">
        <f t="array" aca="1" ref="G220" ca="1">INDIRECT("Data!A" &amp; 215)</f>
        <v>0</v>
      </c>
      <c r="H220" s="21" cm="1">
        <f t="array" aca="1" ref="H220" ca="1">INDIRECT("Data!B" &amp; 215)</f>
        <v>0</v>
      </c>
      <c r="I220" s="21" cm="1">
        <f t="array" aca="1" ref="I220" ca="1">INDIRECT("Data!C" &amp; 215)</f>
        <v>0</v>
      </c>
      <c r="J220" cm="1">
        <f t="array" aca="1" ref="J220" ca="1">INDIRECT("Data!D" &amp; 215)</f>
        <v>0</v>
      </c>
      <c r="K220" cm="1">
        <f t="array" aca="1" ref="K220" ca="1">INDIRECT("Data!E" &amp; 215)</f>
        <v>0</v>
      </c>
      <c r="L220" cm="1">
        <f t="array" aca="1" ref="L220" ca="1">INDIRECT("Data!F" &amp; 215)</f>
        <v>0</v>
      </c>
      <c r="M220" cm="1">
        <f t="array" aca="1" ref="M220" ca="1">INDIRECT("Data!G" &amp; 215)</f>
        <v>0</v>
      </c>
      <c r="N220" cm="1">
        <f t="array" aca="1" ref="N220" ca="1">INDIRECT("Data!H" &amp; 215)</f>
        <v>0</v>
      </c>
      <c r="O220" cm="1">
        <f t="array" aca="1" ref="O220" ca="1">INDIRECT("Data!I" &amp; 215)</f>
        <v>0</v>
      </c>
      <c r="P220" s="21" cm="1">
        <f t="array" aca="1" ref="P220" ca="1">INDIRECT("Data!J" &amp; 215)</f>
        <v>0</v>
      </c>
      <c r="Q220" cm="1">
        <f t="array" aca="1" ref="Q220" ca="1">INDIRECT("Data!K" &amp; 215)</f>
        <v>0</v>
      </c>
      <c r="R220" cm="1">
        <f t="array" aca="1" ref="R220" ca="1">INDIRECT("Data!L" &amp; 215)</f>
        <v>0</v>
      </c>
      <c r="S220" cm="1">
        <f t="array" aca="1" ref="S220" ca="1">INDIRECT("Data!M" &amp; 215)</f>
        <v>0</v>
      </c>
      <c r="T220" cm="1">
        <f t="array" aca="1" ref="T220" ca="1">INDIRECT("Data!N" &amp; 215)</f>
        <v>0</v>
      </c>
      <c r="U220" cm="1">
        <f t="array" aca="1" ref="U220" ca="1">INDIRECT("Data!O" &amp; 215)</f>
        <v>0</v>
      </c>
      <c r="V220" cm="1">
        <f t="array" aca="1" ref="V220" ca="1">INDIRECT("Data!P" &amp; 215)</f>
        <v>0</v>
      </c>
    </row>
    <row r="221" spans="7:22" x14ac:dyDescent="0.25">
      <c r="G221" cm="1">
        <f t="array" aca="1" ref="G221" ca="1">INDIRECT("Data!A" &amp; 216)</f>
        <v>0</v>
      </c>
      <c r="H221" s="21" cm="1">
        <f t="array" aca="1" ref="H221" ca="1">INDIRECT("Data!B" &amp; 216)</f>
        <v>0</v>
      </c>
      <c r="I221" s="21" cm="1">
        <f t="array" aca="1" ref="I221" ca="1">INDIRECT("Data!C" &amp; 216)</f>
        <v>0</v>
      </c>
      <c r="J221" cm="1">
        <f t="array" aca="1" ref="J221" ca="1">INDIRECT("Data!D" &amp; 216)</f>
        <v>0</v>
      </c>
      <c r="K221" cm="1">
        <f t="array" aca="1" ref="K221" ca="1">INDIRECT("Data!E" &amp; 216)</f>
        <v>0</v>
      </c>
      <c r="L221" cm="1">
        <f t="array" aca="1" ref="L221" ca="1">INDIRECT("Data!F" &amp; 216)</f>
        <v>0</v>
      </c>
      <c r="M221" cm="1">
        <f t="array" aca="1" ref="M221" ca="1">INDIRECT("Data!G" &amp; 216)</f>
        <v>0</v>
      </c>
      <c r="N221" cm="1">
        <f t="array" aca="1" ref="N221" ca="1">INDIRECT("Data!H" &amp; 216)</f>
        <v>0</v>
      </c>
      <c r="O221" cm="1">
        <f t="array" aca="1" ref="O221" ca="1">INDIRECT("Data!I" &amp; 216)</f>
        <v>0</v>
      </c>
      <c r="P221" s="21" cm="1">
        <f t="array" aca="1" ref="P221" ca="1">INDIRECT("Data!J" &amp; 216)</f>
        <v>0</v>
      </c>
      <c r="Q221" cm="1">
        <f t="array" aca="1" ref="Q221" ca="1">INDIRECT("Data!K" &amp; 216)</f>
        <v>0</v>
      </c>
      <c r="R221" cm="1">
        <f t="array" aca="1" ref="R221" ca="1">INDIRECT("Data!L" &amp; 216)</f>
        <v>0</v>
      </c>
      <c r="S221" cm="1">
        <f t="array" aca="1" ref="S221" ca="1">INDIRECT("Data!M" &amp; 216)</f>
        <v>0</v>
      </c>
      <c r="T221" cm="1">
        <f t="array" aca="1" ref="T221" ca="1">INDIRECT("Data!N" &amp; 216)</f>
        <v>0</v>
      </c>
      <c r="U221" cm="1">
        <f t="array" aca="1" ref="U221" ca="1">INDIRECT("Data!O" &amp; 216)</f>
        <v>0</v>
      </c>
      <c r="V221" cm="1">
        <f t="array" aca="1" ref="V221" ca="1">INDIRECT("Data!P" &amp; 216)</f>
        <v>0</v>
      </c>
    </row>
    <row r="222" spans="7:22" x14ac:dyDescent="0.25">
      <c r="G222" cm="1">
        <f t="array" aca="1" ref="G222" ca="1">INDIRECT("Data!A" &amp; 217)</f>
        <v>0</v>
      </c>
      <c r="H222" s="21" cm="1">
        <f t="array" aca="1" ref="H222" ca="1">INDIRECT("Data!B" &amp; 217)</f>
        <v>0</v>
      </c>
      <c r="I222" s="21" cm="1">
        <f t="array" aca="1" ref="I222" ca="1">INDIRECT("Data!C" &amp; 217)</f>
        <v>0</v>
      </c>
      <c r="J222" cm="1">
        <f t="array" aca="1" ref="J222" ca="1">INDIRECT("Data!D" &amp; 217)</f>
        <v>0</v>
      </c>
      <c r="K222" cm="1">
        <f t="array" aca="1" ref="K222" ca="1">INDIRECT("Data!E" &amp; 217)</f>
        <v>0</v>
      </c>
      <c r="L222" cm="1">
        <f t="array" aca="1" ref="L222" ca="1">INDIRECT("Data!F" &amp; 217)</f>
        <v>0</v>
      </c>
      <c r="M222" cm="1">
        <f t="array" aca="1" ref="M222" ca="1">INDIRECT("Data!G" &amp; 217)</f>
        <v>0</v>
      </c>
      <c r="N222" cm="1">
        <f t="array" aca="1" ref="N222" ca="1">INDIRECT("Data!H" &amp; 217)</f>
        <v>0</v>
      </c>
      <c r="O222" cm="1">
        <f t="array" aca="1" ref="O222" ca="1">INDIRECT("Data!I" &amp; 217)</f>
        <v>0</v>
      </c>
      <c r="P222" s="21" cm="1">
        <f t="array" aca="1" ref="P222" ca="1">INDIRECT("Data!J" &amp; 217)</f>
        <v>0</v>
      </c>
      <c r="Q222" cm="1">
        <f t="array" aca="1" ref="Q222" ca="1">INDIRECT("Data!K" &amp; 217)</f>
        <v>0</v>
      </c>
      <c r="R222" cm="1">
        <f t="array" aca="1" ref="R222" ca="1">INDIRECT("Data!L" &amp; 217)</f>
        <v>0</v>
      </c>
      <c r="S222" cm="1">
        <f t="array" aca="1" ref="S222" ca="1">INDIRECT("Data!M" &amp; 217)</f>
        <v>0</v>
      </c>
      <c r="T222" cm="1">
        <f t="array" aca="1" ref="T222" ca="1">INDIRECT("Data!N" &amp; 217)</f>
        <v>0</v>
      </c>
      <c r="U222" cm="1">
        <f t="array" aca="1" ref="U222" ca="1">INDIRECT("Data!O" &amp; 217)</f>
        <v>0</v>
      </c>
      <c r="V222" cm="1">
        <f t="array" aca="1" ref="V222" ca="1">INDIRECT("Data!P" &amp; 217)</f>
        <v>0</v>
      </c>
    </row>
    <row r="223" spans="7:22" x14ac:dyDescent="0.25">
      <c r="G223" cm="1">
        <f t="array" aca="1" ref="G223" ca="1">INDIRECT("Data!A" &amp; 218)</f>
        <v>0</v>
      </c>
      <c r="H223" s="21" cm="1">
        <f t="array" aca="1" ref="H223" ca="1">INDIRECT("Data!B" &amp; 218)</f>
        <v>0</v>
      </c>
      <c r="I223" s="21" cm="1">
        <f t="array" aca="1" ref="I223" ca="1">INDIRECT("Data!C" &amp; 218)</f>
        <v>0</v>
      </c>
      <c r="J223" cm="1">
        <f t="array" aca="1" ref="J223" ca="1">INDIRECT("Data!D" &amp; 218)</f>
        <v>0</v>
      </c>
      <c r="K223" cm="1">
        <f t="array" aca="1" ref="K223" ca="1">INDIRECT("Data!E" &amp; 218)</f>
        <v>0</v>
      </c>
      <c r="L223" cm="1">
        <f t="array" aca="1" ref="L223" ca="1">INDIRECT("Data!F" &amp; 218)</f>
        <v>0</v>
      </c>
      <c r="M223" cm="1">
        <f t="array" aca="1" ref="M223" ca="1">INDIRECT("Data!G" &amp; 218)</f>
        <v>0</v>
      </c>
      <c r="N223" cm="1">
        <f t="array" aca="1" ref="N223" ca="1">INDIRECT("Data!H" &amp; 218)</f>
        <v>0</v>
      </c>
      <c r="O223" cm="1">
        <f t="array" aca="1" ref="O223" ca="1">INDIRECT("Data!I" &amp; 218)</f>
        <v>0</v>
      </c>
      <c r="P223" s="21" cm="1">
        <f t="array" aca="1" ref="P223" ca="1">INDIRECT("Data!J" &amp; 218)</f>
        <v>0</v>
      </c>
      <c r="Q223" cm="1">
        <f t="array" aca="1" ref="Q223" ca="1">INDIRECT("Data!K" &amp; 218)</f>
        <v>0</v>
      </c>
      <c r="R223" cm="1">
        <f t="array" aca="1" ref="R223" ca="1">INDIRECT("Data!L" &amp; 218)</f>
        <v>0</v>
      </c>
      <c r="S223" cm="1">
        <f t="array" aca="1" ref="S223" ca="1">INDIRECT("Data!M" &amp; 218)</f>
        <v>0</v>
      </c>
      <c r="T223" cm="1">
        <f t="array" aca="1" ref="T223" ca="1">INDIRECT("Data!N" &amp; 218)</f>
        <v>0</v>
      </c>
      <c r="U223" cm="1">
        <f t="array" aca="1" ref="U223" ca="1">INDIRECT("Data!O" &amp; 218)</f>
        <v>0</v>
      </c>
      <c r="V223" cm="1">
        <f t="array" aca="1" ref="V223" ca="1">INDIRECT("Data!P" &amp; 218)</f>
        <v>0</v>
      </c>
    </row>
    <row r="224" spans="7:22" x14ac:dyDescent="0.25">
      <c r="G224" cm="1">
        <f t="array" aca="1" ref="G224" ca="1">INDIRECT("Data!A" &amp; 219)</f>
        <v>0</v>
      </c>
      <c r="H224" s="21" cm="1">
        <f t="array" aca="1" ref="H224" ca="1">INDIRECT("Data!B" &amp; 219)</f>
        <v>0</v>
      </c>
      <c r="I224" s="21" cm="1">
        <f t="array" aca="1" ref="I224" ca="1">INDIRECT("Data!C" &amp; 219)</f>
        <v>0</v>
      </c>
      <c r="J224" cm="1">
        <f t="array" aca="1" ref="J224" ca="1">INDIRECT("Data!D" &amp; 219)</f>
        <v>0</v>
      </c>
      <c r="K224" cm="1">
        <f t="array" aca="1" ref="K224" ca="1">INDIRECT("Data!E" &amp; 219)</f>
        <v>0</v>
      </c>
      <c r="L224" cm="1">
        <f t="array" aca="1" ref="L224" ca="1">INDIRECT("Data!F" &amp; 219)</f>
        <v>0</v>
      </c>
      <c r="M224" cm="1">
        <f t="array" aca="1" ref="M224" ca="1">INDIRECT("Data!G" &amp; 219)</f>
        <v>0</v>
      </c>
      <c r="N224" cm="1">
        <f t="array" aca="1" ref="N224" ca="1">INDIRECT("Data!H" &amp; 219)</f>
        <v>0</v>
      </c>
      <c r="O224" cm="1">
        <f t="array" aca="1" ref="O224" ca="1">INDIRECT("Data!I" &amp; 219)</f>
        <v>0</v>
      </c>
      <c r="P224" s="21" cm="1">
        <f t="array" aca="1" ref="P224" ca="1">INDIRECT("Data!J" &amp; 219)</f>
        <v>0</v>
      </c>
      <c r="Q224" cm="1">
        <f t="array" aca="1" ref="Q224" ca="1">INDIRECT("Data!K" &amp; 219)</f>
        <v>0</v>
      </c>
      <c r="R224" cm="1">
        <f t="array" aca="1" ref="R224" ca="1">INDIRECT("Data!L" &amp; 219)</f>
        <v>0</v>
      </c>
      <c r="S224" cm="1">
        <f t="array" aca="1" ref="S224" ca="1">INDIRECT("Data!M" &amp; 219)</f>
        <v>0</v>
      </c>
      <c r="T224" cm="1">
        <f t="array" aca="1" ref="T224" ca="1">INDIRECT("Data!N" &amp; 219)</f>
        <v>0</v>
      </c>
      <c r="U224" cm="1">
        <f t="array" aca="1" ref="U224" ca="1">INDIRECT("Data!O" &amp; 219)</f>
        <v>0</v>
      </c>
      <c r="V224" cm="1">
        <f t="array" aca="1" ref="V224" ca="1">INDIRECT("Data!P" &amp; 219)</f>
        <v>0</v>
      </c>
    </row>
    <row r="225" spans="7:22" x14ac:dyDescent="0.25">
      <c r="G225" cm="1">
        <f t="array" aca="1" ref="G225" ca="1">INDIRECT("Data!A" &amp; 220)</f>
        <v>0</v>
      </c>
      <c r="H225" s="21" cm="1">
        <f t="array" aca="1" ref="H225" ca="1">INDIRECT("Data!B" &amp; 220)</f>
        <v>0</v>
      </c>
      <c r="I225" s="21" cm="1">
        <f t="array" aca="1" ref="I225" ca="1">INDIRECT("Data!C" &amp; 220)</f>
        <v>0</v>
      </c>
      <c r="J225" cm="1">
        <f t="array" aca="1" ref="J225" ca="1">INDIRECT("Data!D" &amp; 220)</f>
        <v>0</v>
      </c>
      <c r="K225" cm="1">
        <f t="array" aca="1" ref="K225" ca="1">INDIRECT("Data!E" &amp; 220)</f>
        <v>0</v>
      </c>
      <c r="L225" cm="1">
        <f t="array" aca="1" ref="L225" ca="1">INDIRECT("Data!F" &amp; 220)</f>
        <v>0</v>
      </c>
      <c r="M225" cm="1">
        <f t="array" aca="1" ref="M225" ca="1">INDIRECT("Data!G" &amp; 220)</f>
        <v>0</v>
      </c>
      <c r="N225" cm="1">
        <f t="array" aca="1" ref="N225" ca="1">INDIRECT("Data!H" &amp; 220)</f>
        <v>0</v>
      </c>
      <c r="O225" cm="1">
        <f t="array" aca="1" ref="O225" ca="1">INDIRECT("Data!I" &amp; 220)</f>
        <v>0</v>
      </c>
      <c r="P225" s="21" cm="1">
        <f t="array" aca="1" ref="P225" ca="1">INDIRECT("Data!J" &amp; 220)</f>
        <v>0</v>
      </c>
      <c r="Q225" cm="1">
        <f t="array" aca="1" ref="Q225" ca="1">INDIRECT("Data!K" &amp; 220)</f>
        <v>0</v>
      </c>
      <c r="R225" cm="1">
        <f t="array" aca="1" ref="R225" ca="1">INDIRECT("Data!L" &amp; 220)</f>
        <v>0</v>
      </c>
      <c r="S225" cm="1">
        <f t="array" aca="1" ref="S225" ca="1">INDIRECT("Data!M" &amp; 220)</f>
        <v>0</v>
      </c>
      <c r="T225" cm="1">
        <f t="array" aca="1" ref="T225" ca="1">INDIRECT("Data!N" &amp; 220)</f>
        <v>0</v>
      </c>
      <c r="U225" cm="1">
        <f t="array" aca="1" ref="U225" ca="1">INDIRECT("Data!O" &amp; 220)</f>
        <v>0</v>
      </c>
      <c r="V225" cm="1">
        <f t="array" aca="1" ref="V225" ca="1">INDIRECT("Data!P" &amp; 220)</f>
        <v>0</v>
      </c>
    </row>
    <row r="226" spans="7:22" x14ac:dyDescent="0.25">
      <c r="G226" cm="1">
        <f t="array" aca="1" ref="G226" ca="1">INDIRECT("Data!A" &amp; 221)</f>
        <v>0</v>
      </c>
      <c r="H226" s="21" cm="1">
        <f t="array" aca="1" ref="H226" ca="1">INDIRECT("Data!B" &amp; 221)</f>
        <v>0</v>
      </c>
      <c r="I226" s="21" cm="1">
        <f t="array" aca="1" ref="I226" ca="1">INDIRECT("Data!C" &amp; 221)</f>
        <v>0</v>
      </c>
      <c r="J226" cm="1">
        <f t="array" aca="1" ref="J226" ca="1">INDIRECT("Data!D" &amp; 221)</f>
        <v>0</v>
      </c>
      <c r="K226" cm="1">
        <f t="array" aca="1" ref="K226" ca="1">INDIRECT("Data!E" &amp; 221)</f>
        <v>0</v>
      </c>
      <c r="L226" cm="1">
        <f t="array" aca="1" ref="L226" ca="1">INDIRECT("Data!F" &amp; 221)</f>
        <v>0</v>
      </c>
      <c r="M226" cm="1">
        <f t="array" aca="1" ref="M226" ca="1">INDIRECT("Data!G" &amp; 221)</f>
        <v>0</v>
      </c>
      <c r="N226" cm="1">
        <f t="array" aca="1" ref="N226" ca="1">INDIRECT("Data!H" &amp; 221)</f>
        <v>0</v>
      </c>
      <c r="O226" cm="1">
        <f t="array" aca="1" ref="O226" ca="1">INDIRECT("Data!I" &amp; 221)</f>
        <v>0</v>
      </c>
      <c r="P226" s="21" cm="1">
        <f t="array" aca="1" ref="P226" ca="1">INDIRECT("Data!J" &amp; 221)</f>
        <v>0</v>
      </c>
      <c r="Q226" cm="1">
        <f t="array" aca="1" ref="Q226" ca="1">INDIRECT("Data!K" &amp; 221)</f>
        <v>0</v>
      </c>
      <c r="R226" cm="1">
        <f t="array" aca="1" ref="R226" ca="1">INDIRECT("Data!L" &amp; 221)</f>
        <v>0</v>
      </c>
      <c r="S226" cm="1">
        <f t="array" aca="1" ref="S226" ca="1">INDIRECT("Data!M" &amp; 221)</f>
        <v>0</v>
      </c>
      <c r="T226" cm="1">
        <f t="array" aca="1" ref="T226" ca="1">INDIRECT("Data!N" &amp; 221)</f>
        <v>0</v>
      </c>
      <c r="U226" cm="1">
        <f t="array" aca="1" ref="U226" ca="1">INDIRECT("Data!O" &amp; 221)</f>
        <v>0</v>
      </c>
      <c r="V226" cm="1">
        <f t="array" aca="1" ref="V226" ca="1">INDIRECT("Data!P" &amp; 221)</f>
        <v>0</v>
      </c>
    </row>
    <row r="227" spans="7:22" x14ac:dyDescent="0.25">
      <c r="G227" cm="1">
        <f t="array" aca="1" ref="G227" ca="1">INDIRECT("Data!A" &amp; 222)</f>
        <v>0</v>
      </c>
      <c r="H227" s="21" cm="1">
        <f t="array" aca="1" ref="H227" ca="1">INDIRECT("Data!B" &amp; 222)</f>
        <v>0</v>
      </c>
      <c r="I227" s="21" cm="1">
        <f t="array" aca="1" ref="I227" ca="1">INDIRECT("Data!C" &amp; 222)</f>
        <v>0</v>
      </c>
      <c r="J227" cm="1">
        <f t="array" aca="1" ref="J227" ca="1">INDIRECT("Data!D" &amp; 222)</f>
        <v>0</v>
      </c>
      <c r="K227" cm="1">
        <f t="array" aca="1" ref="K227" ca="1">INDIRECT("Data!E" &amp; 222)</f>
        <v>0</v>
      </c>
      <c r="L227" cm="1">
        <f t="array" aca="1" ref="L227" ca="1">INDIRECT("Data!F" &amp; 222)</f>
        <v>0</v>
      </c>
      <c r="M227" cm="1">
        <f t="array" aca="1" ref="M227" ca="1">INDIRECT("Data!G" &amp; 222)</f>
        <v>0</v>
      </c>
      <c r="N227" cm="1">
        <f t="array" aca="1" ref="N227" ca="1">INDIRECT("Data!H" &amp; 222)</f>
        <v>0</v>
      </c>
      <c r="O227" cm="1">
        <f t="array" aca="1" ref="O227" ca="1">INDIRECT("Data!I" &amp; 222)</f>
        <v>0</v>
      </c>
      <c r="P227" s="21" cm="1">
        <f t="array" aca="1" ref="P227" ca="1">INDIRECT("Data!J" &amp; 222)</f>
        <v>0</v>
      </c>
      <c r="Q227" cm="1">
        <f t="array" aca="1" ref="Q227" ca="1">INDIRECT("Data!K" &amp; 222)</f>
        <v>0</v>
      </c>
      <c r="R227" cm="1">
        <f t="array" aca="1" ref="R227" ca="1">INDIRECT("Data!L" &amp; 222)</f>
        <v>0</v>
      </c>
      <c r="S227" cm="1">
        <f t="array" aca="1" ref="S227" ca="1">INDIRECT("Data!M" &amp; 222)</f>
        <v>0</v>
      </c>
      <c r="T227" cm="1">
        <f t="array" aca="1" ref="T227" ca="1">INDIRECT("Data!N" &amp; 222)</f>
        <v>0</v>
      </c>
      <c r="U227" cm="1">
        <f t="array" aca="1" ref="U227" ca="1">INDIRECT("Data!O" &amp; 222)</f>
        <v>0</v>
      </c>
      <c r="V227" cm="1">
        <f t="array" aca="1" ref="V227" ca="1">INDIRECT("Data!P" &amp; 222)</f>
        <v>0</v>
      </c>
    </row>
    <row r="228" spans="7:22" x14ac:dyDescent="0.25">
      <c r="G228" cm="1">
        <f t="array" aca="1" ref="G228" ca="1">INDIRECT("Data!A" &amp; 223)</f>
        <v>0</v>
      </c>
      <c r="H228" s="21" cm="1">
        <f t="array" aca="1" ref="H228" ca="1">INDIRECT("Data!B" &amp; 223)</f>
        <v>0</v>
      </c>
      <c r="I228" s="21" cm="1">
        <f t="array" aca="1" ref="I228" ca="1">INDIRECT("Data!C" &amp; 223)</f>
        <v>0</v>
      </c>
      <c r="J228" cm="1">
        <f t="array" aca="1" ref="J228" ca="1">INDIRECT("Data!D" &amp; 223)</f>
        <v>0</v>
      </c>
      <c r="K228" cm="1">
        <f t="array" aca="1" ref="K228" ca="1">INDIRECT("Data!E" &amp; 223)</f>
        <v>0</v>
      </c>
      <c r="L228" cm="1">
        <f t="array" aca="1" ref="L228" ca="1">INDIRECT("Data!F" &amp; 223)</f>
        <v>0</v>
      </c>
      <c r="M228" cm="1">
        <f t="array" aca="1" ref="M228" ca="1">INDIRECT("Data!G" &amp; 223)</f>
        <v>0</v>
      </c>
      <c r="N228" cm="1">
        <f t="array" aca="1" ref="N228" ca="1">INDIRECT("Data!H" &amp; 223)</f>
        <v>0</v>
      </c>
      <c r="O228" cm="1">
        <f t="array" aca="1" ref="O228" ca="1">INDIRECT("Data!I" &amp; 223)</f>
        <v>0</v>
      </c>
      <c r="P228" s="21" cm="1">
        <f t="array" aca="1" ref="P228" ca="1">INDIRECT("Data!J" &amp; 223)</f>
        <v>0</v>
      </c>
      <c r="Q228" cm="1">
        <f t="array" aca="1" ref="Q228" ca="1">INDIRECT("Data!K" &amp; 223)</f>
        <v>0</v>
      </c>
      <c r="R228" cm="1">
        <f t="array" aca="1" ref="R228" ca="1">INDIRECT("Data!L" &amp; 223)</f>
        <v>0</v>
      </c>
      <c r="S228" cm="1">
        <f t="array" aca="1" ref="S228" ca="1">INDIRECT("Data!M" &amp; 223)</f>
        <v>0</v>
      </c>
      <c r="T228" cm="1">
        <f t="array" aca="1" ref="T228" ca="1">INDIRECT("Data!N" &amp; 223)</f>
        <v>0</v>
      </c>
      <c r="U228" cm="1">
        <f t="array" aca="1" ref="U228" ca="1">INDIRECT("Data!O" &amp; 223)</f>
        <v>0</v>
      </c>
      <c r="V228" cm="1">
        <f t="array" aca="1" ref="V228" ca="1">INDIRECT("Data!P" &amp; 223)</f>
        <v>0</v>
      </c>
    </row>
    <row r="229" spans="7:22" x14ac:dyDescent="0.25">
      <c r="G229" cm="1">
        <f t="array" aca="1" ref="G229" ca="1">INDIRECT("Data!A" &amp; 224)</f>
        <v>0</v>
      </c>
      <c r="H229" s="21" cm="1">
        <f t="array" aca="1" ref="H229" ca="1">INDIRECT("Data!B" &amp; 224)</f>
        <v>0</v>
      </c>
      <c r="I229" s="21" cm="1">
        <f t="array" aca="1" ref="I229" ca="1">INDIRECT("Data!C" &amp; 224)</f>
        <v>0</v>
      </c>
      <c r="J229" cm="1">
        <f t="array" aca="1" ref="J229" ca="1">INDIRECT("Data!D" &amp; 224)</f>
        <v>0</v>
      </c>
      <c r="K229" cm="1">
        <f t="array" aca="1" ref="K229" ca="1">INDIRECT("Data!E" &amp; 224)</f>
        <v>0</v>
      </c>
      <c r="L229" cm="1">
        <f t="array" aca="1" ref="L229" ca="1">INDIRECT("Data!F" &amp; 224)</f>
        <v>0</v>
      </c>
      <c r="M229" cm="1">
        <f t="array" aca="1" ref="M229" ca="1">INDIRECT("Data!G" &amp; 224)</f>
        <v>0</v>
      </c>
      <c r="N229" cm="1">
        <f t="array" aca="1" ref="N229" ca="1">INDIRECT("Data!H" &amp; 224)</f>
        <v>0</v>
      </c>
      <c r="O229" cm="1">
        <f t="array" aca="1" ref="O229" ca="1">INDIRECT("Data!I" &amp; 224)</f>
        <v>0</v>
      </c>
      <c r="P229" s="21" cm="1">
        <f t="array" aca="1" ref="P229" ca="1">INDIRECT("Data!J" &amp; 224)</f>
        <v>0</v>
      </c>
      <c r="Q229" cm="1">
        <f t="array" aca="1" ref="Q229" ca="1">INDIRECT("Data!K" &amp; 224)</f>
        <v>0</v>
      </c>
      <c r="R229" cm="1">
        <f t="array" aca="1" ref="R229" ca="1">INDIRECT("Data!L" &amp; 224)</f>
        <v>0</v>
      </c>
      <c r="S229" cm="1">
        <f t="array" aca="1" ref="S229" ca="1">INDIRECT("Data!M" &amp; 224)</f>
        <v>0</v>
      </c>
      <c r="T229" cm="1">
        <f t="array" aca="1" ref="T229" ca="1">INDIRECT("Data!N" &amp; 224)</f>
        <v>0</v>
      </c>
      <c r="U229" cm="1">
        <f t="array" aca="1" ref="U229" ca="1">INDIRECT("Data!O" &amp; 224)</f>
        <v>0</v>
      </c>
      <c r="V229" cm="1">
        <f t="array" aca="1" ref="V229" ca="1">INDIRECT("Data!P" &amp; 224)</f>
        <v>0</v>
      </c>
    </row>
    <row r="230" spans="7:22" x14ac:dyDescent="0.25">
      <c r="G230" cm="1">
        <f t="array" aca="1" ref="G230" ca="1">INDIRECT("Data!A" &amp; 225)</f>
        <v>0</v>
      </c>
      <c r="H230" s="21" cm="1">
        <f t="array" aca="1" ref="H230" ca="1">INDIRECT("Data!B" &amp; 225)</f>
        <v>0</v>
      </c>
      <c r="I230" s="21" cm="1">
        <f t="array" aca="1" ref="I230" ca="1">INDIRECT("Data!C" &amp; 225)</f>
        <v>0</v>
      </c>
      <c r="J230" cm="1">
        <f t="array" aca="1" ref="J230" ca="1">INDIRECT("Data!D" &amp; 225)</f>
        <v>0</v>
      </c>
      <c r="K230" cm="1">
        <f t="array" aca="1" ref="K230" ca="1">INDIRECT("Data!E" &amp; 225)</f>
        <v>0</v>
      </c>
      <c r="L230" cm="1">
        <f t="array" aca="1" ref="L230" ca="1">INDIRECT("Data!F" &amp; 225)</f>
        <v>0</v>
      </c>
      <c r="M230" cm="1">
        <f t="array" aca="1" ref="M230" ca="1">INDIRECT("Data!G" &amp; 225)</f>
        <v>0</v>
      </c>
      <c r="N230" cm="1">
        <f t="array" aca="1" ref="N230" ca="1">INDIRECT("Data!H" &amp; 225)</f>
        <v>0</v>
      </c>
      <c r="O230" cm="1">
        <f t="array" aca="1" ref="O230" ca="1">INDIRECT("Data!I" &amp; 225)</f>
        <v>0</v>
      </c>
      <c r="P230" s="21" cm="1">
        <f t="array" aca="1" ref="P230" ca="1">INDIRECT("Data!J" &amp; 225)</f>
        <v>0</v>
      </c>
      <c r="Q230" cm="1">
        <f t="array" aca="1" ref="Q230" ca="1">INDIRECT("Data!K" &amp; 225)</f>
        <v>0</v>
      </c>
      <c r="R230" cm="1">
        <f t="array" aca="1" ref="R230" ca="1">INDIRECT("Data!L" &amp; 225)</f>
        <v>0</v>
      </c>
      <c r="S230" cm="1">
        <f t="array" aca="1" ref="S230" ca="1">INDIRECT("Data!M" &amp; 225)</f>
        <v>0</v>
      </c>
      <c r="T230" cm="1">
        <f t="array" aca="1" ref="T230" ca="1">INDIRECT("Data!N" &amp; 225)</f>
        <v>0</v>
      </c>
      <c r="U230" cm="1">
        <f t="array" aca="1" ref="U230" ca="1">INDIRECT("Data!O" &amp; 225)</f>
        <v>0</v>
      </c>
      <c r="V230" cm="1">
        <f t="array" aca="1" ref="V230" ca="1">INDIRECT("Data!P" &amp; 225)</f>
        <v>0</v>
      </c>
    </row>
    <row r="231" spans="7:22" x14ac:dyDescent="0.25">
      <c r="G231" cm="1">
        <f t="array" aca="1" ref="G231" ca="1">INDIRECT("Data!A" &amp; 226)</f>
        <v>0</v>
      </c>
      <c r="H231" s="21" cm="1">
        <f t="array" aca="1" ref="H231" ca="1">INDIRECT("Data!B" &amp; 226)</f>
        <v>0</v>
      </c>
      <c r="I231" s="21" cm="1">
        <f t="array" aca="1" ref="I231" ca="1">INDIRECT("Data!C" &amp; 226)</f>
        <v>0</v>
      </c>
      <c r="J231" cm="1">
        <f t="array" aca="1" ref="J231" ca="1">INDIRECT("Data!D" &amp; 226)</f>
        <v>0</v>
      </c>
      <c r="K231" cm="1">
        <f t="array" aca="1" ref="K231" ca="1">INDIRECT("Data!E" &amp; 226)</f>
        <v>0</v>
      </c>
      <c r="L231" cm="1">
        <f t="array" aca="1" ref="L231" ca="1">INDIRECT("Data!F" &amp; 226)</f>
        <v>0</v>
      </c>
      <c r="M231" cm="1">
        <f t="array" aca="1" ref="M231" ca="1">INDIRECT("Data!G" &amp; 226)</f>
        <v>0</v>
      </c>
      <c r="N231" cm="1">
        <f t="array" aca="1" ref="N231" ca="1">INDIRECT("Data!H" &amp; 226)</f>
        <v>0</v>
      </c>
      <c r="O231" cm="1">
        <f t="array" aca="1" ref="O231" ca="1">INDIRECT("Data!I" &amp; 226)</f>
        <v>0</v>
      </c>
      <c r="P231" s="21" cm="1">
        <f t="array" aca="1" ref="P231" ca="1">INDIRECT("Data!J" &amp; 226)</f>
        <v>0</v>
      </c>
      <c r="Q231" cm="1">
        <f t="array" aca="1" ref="Q231" ca="1">INDIRECT("Data!K" &amp; 226)</f>
        <v>0</v>
      </c>
      <c r="R231" cm="1">
        <f t="array" aca="1" ref="R231" ca="1">INDIRECT("Data!L" &amp; 226)</f>
        <v>0</v>
      </c>
      <c r="S231" cm="1">
        <f t="array" aca="1" ref="S231" ca="1">INDIRECT("Data!M" &amp; 226)</f>
        <v>0</v>
      </c>
      <c r="T231" cm="1">
        <f t="array" aca="1" ref="T231" ca="1">INDIRECT("Data!N" &amp; 226)</f>
        <v>0</v>
      </c>
      <c r="U231" cm="1">
        <f t="array" aca="1" ref="U231" ca="1">INDIRECT("Data!O" &amp; 226)</f>
        <v>0</v>
      </c>
      <c r="V231" cm="1">
        <f t="array" aca="1" ref="V231" ca="1">INDIRECT("Data!P" &amp; 226)</f>
        <v>0</v>
      </c>
    </row>
    <row r="232" spans="7:22" x14ac:dyDescent="0.25">
      <c r="G232" cm="1">
        <f t="array" aca="1" ref="G232" ca="1">INDIRECT("Data!A" &amp; 227)</f>
        <v>0</v>
      </c>
      <c r="H232" s="21" cm="1">
        <f t="array" aca="1" ref="H232" ca="1">INDIRECT("Data!B" &amp; 227)</f>
        <v>0</v>
      </c>
      <c r="I232" s="21" cm="1">
        <f t="array" aca="1" ref="I232" ca="1">INDIRECT("Data!C" &amp; 227)</f>
        <v>0</v>
      </c>
      <c r="J232" cm="1">
        <f t="array" aca="1" ref="J232" ca="1">INDIRECT("Data!D" &amp; 227)</f>
        <v>0</v>
      </c>
      <c r="K232" cm="1">
        <f t="array" aca="1" ref="K232" ca="1">INDIRECT("Data!E" &amp; 227)</f>
        <v>0</v>
      </c>
      <c r="L232" cm="1">
        <f t="array" aca="1" ref="L232" ca="1">INDIRECT("Data!F" &amp; 227)</f>
        <v>0</v>
      </c>
      <c r="M232" cm="1">
        <f t="array" aca="1" ref="M232" ca="1">INDIRECT("Data!G" &amp; 227)</f>
        <v>0</v>
      </c>
      <c r="N232" cm="1">
        <f t="array" aca="1" ref="N232" ca="1">INDIRECT("Data!H" &amp; 227)</f>
        <v>0</v>
      </c>
      <c r="O232" cm="1">
        <f t="array" aca="1" ref="O232" ca="1">INDIRECT("Data!I" &amp; 227)</f>
        <v>0</v>
      </c>
      <c r="P232" s="21" cm="1">
        <f t="array" aca="1" ref="P232" ca="1">INDIRECT("Data!J" &amp; 227)</f>
        <v>0</v>
      </c>
      <c r="Q232" cm="1">
        <f t="array" aca="1" ref="Q232" ca="1">INDIRECT("Data!K" &amp; 227)</f>
        <v>0</v>
      </c>
      <c r="R232" cm="1">
        <f t="array" aca="1" ref="R232" ca="1">INDIRECT("Data!L" &amp; 227)</f>
        <v>0</v>
      </c>
      <c r="S232" cm="1">
        <f t="array" aca="1" ref="S232" ca="1">INDIRECT("Data!M" &amp; 227)</f>
        <v>0</v>
      </c>
      <c r="T232" cm="1">
        <f t="array" aca="1" ref="T232" ca="1">INDIRECT("Data!N" &amp; 227)</f>
        <v>0</v>
      </c>
      <c r="U232" cm="1">
        <f t="array" aca="1" ref="U232" ca="1">INDIRECT("Data!O" &amp; 227)</f>
        <v>0</v>
      </c>
      <c r="V232" cm="1">
        <f t="array" aca="1" ref="V232" ca="1">INDIRECT("Data!P" &amp; 227)</f>
        <v>0</v>
      </c>
    </row>
    <row r="233" spans="7:22" x14ac:dyDescent="0.25">
      <c r="G233" cm="1">
        <f t="array" aca="1" ref="G233" ca="1">INDIRECT("Data!A" &amp; 228)</f>
        <v>0</v>
      </c>
      <c r="H233" s="21" cm="1">
        <f t="array" aca="1" ref="H233" ca="1">INDIRECT("Data!B" &amp; 228)</f>
        <v>0</v>
      </c>
      <c r="I233" s="21" cm="1">
        <f t="array" aca="1" ref="I233" ca="1">INDIRECT("Data!C" &amp; 228)</f>
        <v>0</v>
      </c>
      <c r="J233" cm="1">
        <f t="array" aca="1" ref="J233" ca="1">INDIRECT("Data!D" &amp; 228)</f>
        <v>0</v>
      </c>
      <c r="K233" cm="1">
        <f t="array" aca="1" ref="K233" ca="1">INDIRECT("Data!E" &amp; 228)</f>
        <v>0</v>
      </c>
      <c r="L233" cm="1">
        <f t="array" aca="1" ref="L233" ca="1">INDIRECT("Data!F" &amp; 228)</f>
        <v>0</v>
      </c>
      <c r="M233" cm="1">
        <f t="array" aca="1" ref="M233" ca="1">INDIRECT("Data!G" &amp; 228)</f>
        <v>0</v>
      </c>
      <c r="N233" cm="1">
        <f t="array" aca="1" ref="N233" ca="1">INDIRECT("Data!H" &amp; 228)</f>
        <v>0</v>
      </c>
      <c r="O233" cm="1">
        <f t="array" aca="1" ref="O233" ca="1">INDIRECT("Data!I" &amp; 228)</f>
        <v>0</v>
      </c>
      <c r="P233" s="21" cm="1">
        <f t="array" aca="1" ref="P233" ca="1">INDIRECT("Data!J" &amp; 228)</f>
        <v>0</v>
      </c>
      <c r="Q233" cm="1">
        <f t="array" aca="1" ref="Q233" ca="1">INDIRECT("Data!K" &amp; 228)</f>
        <v>0</v>
      </c>
      <c r="R233" cm="1">
        <f t="array" aca="1" ref="R233" ca="1">INDIRECT("Data!L" &amp; 228)</f>
        <v>0</v>
      </c>
      <c r="S233" cm="1">
        <f t="array" aca="1" ref="S233" ca="1">INDIRECT("Data!M" &amp; 228)</f>
        <v>0</v>
      </c>
      <c r="T233" cm="1">
        <f t="array" aca="1" ref="T233" ca="1">INDIRECT("Data!N" &amp; 228)</f>
        <v>0</v>
      </c>
      <c r="U233" cm="1">
        <f t="array" aca="1" ref="U233" ca="1">INDIRECT("Data!O" &amp; 228)</f>
        <v>0</v>
      </c>
      <c r="V233" cm="1">
        <f t="array" aca="1" ref="V233" ca="1">INDIRECT("Data!P" &amp; 228)</f>
        <v>0</v>
      </c>
    </row>
    <row r="234" spans="7:22" x14ac:dyDescent="0.25">
      <c r="G234" cm="1">
        <f t="array" aca="1" ref="G234" ca="1">INDIRECT("Data!A" &amp; 229)</f>
        <v>0</v>
      </c>
      <c r="H234" s="21" cm="1">
        <f t="array" aca="1" ref="H234" ca="1">INDIRECT("Data!B" &amp; 229)</f>
        <v>0</v>
      </c>
      <c r="I234" s="21" cm="1">
        <f t="array" aca="1" ref="I234" ca="1">INDIRECT("Data!C" &amp; 229)</f>
        <v>0</v>
      </c>
      <c r="J234" cm="1">
        <f t="array" aca="1" ref="J234" ca="1">INDIRECT("Data!D" &amp; 229)</f>
        <v>0</v>
      </c>
      <c r="K234" cm="1">
        <f t="array" aca="1" ref="K234" ca="1">INDIRECT("Data!E" &amp; 229)</f>
        <v>0</v>
      </c>
      <c r="L234" cm="1">
        <f t="array" aca="1" ref="L234" ca="1">INDIRECT("Data!F" &amp; 229)</f>
        <v>0</v>
      </c>
      <c r="M234" cm="1">
        <f t="array" aca="1" ref="M234" ca="1">INDIRECT("Data!G" &amp; 229)</f>
        <v>0</v>
      </c>
      <c r="N234" cm="1">
        <f t="array" aca="1" ref="N234" ca="1">INDIRECT("Data!H" &amp; 229)</f>
        <v>0</v>
      </c>
      <c r="O234" cm="1">
        <f t="array" aca="1" ref="O234" ca="1">INDIRECT("Data!I" &amp; 229)</f>
        <v>0</v>
      </c>
      <c r="P234" s="21" cm="1">
        <f t="array" aca="1" ref="P234" ca="1">INDIRECT("Data!J" &amp; 229)</f>
        <v>0</v>
      </c>
      <c r="Q234" cm="1">
        <f t="array" aca="1" ref="Q234" ca="1">INDIRECT("Data!K" &amp; 229)</f>
        <v>0</v>
      </c>
      <c r="R234" cm="1">
        <f t="array" aca="1" ref="R234" ca="1">INDIRECT("Data!L" &amp; 229)</f>
        <v>0</v>
      </c>
      <c r="S234" cm="1">
        <f t="array" aca="1" ref="S234" ca="1">INDIRECT("Data!M" &amp; 229)</f>
        <v>0</v>
      </c>
      <c r="T234" cm="1">
        <f t="array" aca="1" ref="T234" ca="1">INDIRECT("Data!N" &amp; 229)</f>
        <v>0</v>
      </c>
      <c r="U234" cm="1">
        <f t="array" aca="1" ref="U234" ca="1">INDIRECT("Data!O" &amp; 229)</f>
        <v>0</v>
      </c>
      <c r="V234" cm="1">
        <f t="array" aca="1" ref="V234" ca="1">INDIRECT("Data!P" &amp; 229)</f>
        <v>0</v>
      </c>
    </row>
    <row r="235" spans="7:22" x14ac:dyDescent="0.25">
      <c r="G235" cm="1">
        <f t="array" aca="1" ref="G235" ca="1">INDIRECT("Data!A" &amp; 230)</f>
        <v>0</v>
      </c>
      <c r="H235" s="21" cm="1">
        <f t="array" aca="1" ref="H235" ca="1">INDIRECT("Data!B" &amp; 230)</f>
        <v>0</v>
      </c>
      <c r="I235" s="21" cm="1">
        <f t="array" aca="1" ref="I235" ca="1">INDIRECT("Data!C" &amp; 230)</f>
        <v>0</v>
      </c>
      <c r="J235" cm="1">
        <f t="array" aca="1" ref="J235" ca="1">INDIRECT("Data!D" &amp; 230)</f>
        <v>0</v>
      </c>
      <c r="K235" cm="1">
        <f t="array" aca="1" ref="K235" ca="1">INDIRECT("Data!E" &amp; 230)</f>
        <v>0</v>
      </c>
      <c r="L235" cm="1">
        <f t="array" aca="1" ref="L235" ca="1">INDIRECT("Data!F" &amp; 230)</f>
        <v>0</v>
      </c>
      <c r="M235" cm="1">
        <f t="array" aca="1" ref="M235" ca="1">INDIRECT("Data!G" &amp; 230)</f>
        <v>0</v>
      </c>
      <c r="N235" cm="1">
        <f t="array" aca="1" ref="N235" ca="1">INDIRECT("Data!H" &amp; 230)</f>
        <v>0</v>
      </c>
      <c r="O235" cm="1">
        <f t="array" aca="1" ref="O235" ca="1">INDIRECT("Data!I" &amp; 230)</f>
        <v>0</v>
      </c>
      <c r="P235" s="21" cm="1">
        <f t="array" aca="1" ref="P235" ca="1">INDIRECT("Data!J" &amp; 230)</f>
        <v>0</v>
      </c>
      <c r="Q235" cm="1">
        <f t="array" aca="1" ref="Q235" ca="1">INDIRECT("Data!K" &amp; 230)</f>
        <v>0</v>
      </c>
      <c r="R235" cm="1">
        <f t="array" aca="1" ref="R235" ca="1">INDIRECT("Data!L" &amp; 230)</f>
        <v>0</v>
      </c>
      <c r="S235" cm="1">
        <f t="array" aca="1" ref="S235" ca="1">INDIRECT("Data!M" &amp; 230)</f>
        <v>0</v>
      </c>
      <c r="T235" cm="1">
        <f t="array" aca="1" ref="T235" ca="1">INDIRECT("Data!N" &amp; 230)</f>
        <v>0</v>
      </c>
      <c r="U235" cm="1">
        <f t="array" aca="1" ref="U235" ca="1">INDIRECT("Data!O" &amp; 230)</f>
        <v>0</v>
      </c>
      <c r="V235" cm="1">
        <f t="array" aca="1" ref="V235" ca="1">INDIRECT("Data!P" &amp; 230)</f>
        <v>0</v>
      </c>
    </row>
    <row r="236" spans="7:22" x14ac:dyDescent="0.25">
      <c r="G236" cm="1">
        <f t="array" aca="1" ref="G236" ca="1">INDIRECT("Data!A" &amp; 231)</f>
        <v>0</v>
      </c>
      <c r="H236" s="21" cm="1">
        <f t="array" aca="1" ref="H236" ca="1">INDIRECT("Data!B" &amp; 231)</f>
        <v>0</v>
      </c>
      <c r="I236" s="21" cm="1">
        <f t="array" aca="1" ref="I236" ca="1">INDIRECT("Data!C" &amp; 231)</f>
        <v>0</v>
      </c>
      <c r="J236" cm="1">
        <f t="array" aca="1" ref="J236" ca="1">INDIRECT("Data!D" &amp; 231)</f>
        <v>0</v>
      </c>
      <c r="K236" cm="1">
        <f t="array" aca="1" ref="K236" ca="1">INDIRECT("Data!E" &amp; 231)</f>
        <v>0</v>
      </c>
      <c r="L236" cm="1">
        <f t="array" aca="1" ref="L236" ca="1">INDIRECT("Data!F" &amp; 231)</f>
        <v>0</v>
      </c>
      <c r="M236" cm="1">
        <f t="array" aca="1" ref="M236" ca="1">INDIRECT("Data!G" &amp; 231)</f>
        <v>0</v>
      </c>
      <c r="N236" cm="1">
        <f t="array" aca="1" ref="N236" ca="1">INDIRECT("Data!H" &amp; 231)</f>
        <v>0</v>
      </c>
      <c r="O236" cm="1">
        <f t="array" aca="1" ref="O236" ca="1">INDIRECT("Data!I" &amp; 231)</f>
        <v>0</v>
      </c>
      <c r="P236" s="21" cm="1">
        <f t="array" aca="1" ref="P236" ca="1">INDIRECT("Data!J" &amp; 231)</f>
        <v>0</v>
      </c>
      <c r="Q236" cm="1">
        <f t="array" aca="1" ref="Q236" ca="1">INDIRECT("Data!K" &amp; 231)</f>
        <v>0</v>
      </c>
      <c r="R236" cm="1">
        <f t="array" aca="1" ref="R236" ca="1">INDIRECT("Data!L" &amp; 231)</f>
        <v>0</v>
      </c>
      <c r="S236" cm="1">
        <f t="array" aca="1" ref="S236" ca="1">INDIRECT("Data!M" &amp; 231)</f>
        <v>0</v>
      </c>
      <c r="T236" cm="1">
        <f t="array" aca="1" ref="T236" ca="1">INDIRECT("Data!N" &amp; 231)</f>
        <v>0</v>
      </c>
      <c r="U236" cm="1">
        <f t="array" aca="1" ref="U236" ca="1">INDIRECT("Data!O" &amp; 231)</f>
        <v>0</v>
      </c>
      <c r="V236" cm="1">
        <f t="array" aca="1" ref="V236" ca="1">INDIRECT("Data!P" &amp; 231)</f>
        <v>0</v>
      </c>
    </row>
    <row r="237" spans="7:22" x14ac:dyDescent="0.25">
      <c r="G237" cm="1">
        <f t="array" aca="1" ref="G237" ca="1">INDIRECT("Data!A" &amp; 232)</f>
        <v>0</v>
      </c>
      <c r="H237" s="21" cm="1">
        <f t="array" aca="1" ref="H237" ca="1">INDIRECT("Data!B" &amp; 232)</f>
        <v>0</v>
      </c>
      <c r="I237" s="21" cm="1">
        <f t="array" aca="1" ref="I237" ca="1">INDIRECT("Data!C" &amp; 232)</f>
        <v>0</v>
      </c>
      <c r="J237" cm="1">
        <f t="array" aca="1" ref="J237" ca="1">INDIRECT("Data!D" &amp; 232)</f>
        <v>0</v>
      </c>
      <c r="K237" cm="1">
        <f t="array" aca="1" ref="K237" ca="1">INDIRECT("Data!E" &amp; 232)</f>
        <v>0</v>
      </c>
      <c r="L237" cm="1">
        <f t="array" aca="1" ref="L237" ca="1">INDIRECT("Data!F" &amp; 232)</f>
        <v>0</v>
      </c>
      <c r="M237" cm="1">
        <f t="array" aca="1" ref="M237" ca="1">INDIRECT("Data!G" &amp; 232)</f>
        <v>0</v>
      </c>
      <c r="N237" cm="1">
        <f t="array" aca="1" ref="N237" ca="1">INDIRECT("Data!H" &amp; 232)</f>
        <v>0</v>
      </c>
      <c r="O237" cm="1">
        <f t="array" aca="1" ref="O237" ca="1">INDIRECT("Data!I" &amp; 232)</f>
        <v>0</v>
      </c>
      <c r="P237" s="21" cm="1">
        <f t="array" aca="1" ref="P237" ca="1">INDIRECT("Data!J" &amp; 232)</f>
        <v>0</v>
      </c>
      <c r="Q237" cm="1">
        <f t="array" aca="1" ref="Q237" ca="1">INDIRECT("Data!K" &amp; 232)</f>
        <v>0</v>
      </c>
      <c r="R237" cm="1">
        <f t="array" aca="1" ref="R237" ca="1">INDIRECT("Data!L" &amp; 232)</f>
        <v>0</v>
      </c>
      <c r="S237" cm="1">
        <f t="array" aca="1" ref="S237" ca="1">INDIRECT("Data!M" &amp; 232)</f>
        <v>0</v>
      </c>
      <c r="T237" cm="1">
        <f t="array" aca="1" ref="T237" ca="1">INDIRECT("Data!N" &amp; 232)</f>
        <v>0</v>
      </c>
      <c r="U237" cm="1">
        <f t="array" aca="1" ref="U237" ca="1">INDIRECT("Data!O" &amp; 232)</f>
        <v>0</v>
      </c>
      <c r="V237" cm="1">
        <f t="array" aca="1" ref="V237" ca="1">INDIRECT("Data!P" &amp; 232)</f>
        <v>0</v>
      </c>
    </row>
    <row r="238" spans="7:22" x14ac:dyDescent="0.25">
      <c r="G238" cm="1">
        <f t="array" aca="1" ref="G238" ca="1">INDIRECT("Data!A" &amp; 233)</f>
        <v>0</v>
      </c>
      <c r="H238" s="21" cm="1">
        <f t="array" aca="1" ref="H238" ca="1">INDIRECT("Data!B" &amp; 233)</f>
        <v>0</v>
      </c>
      <c r="I238" s="21" cm="1">
        <f t="array" aca="1" ref="I238" ca="1">INDIRECT("Data!C" &amp; 233)</f>
        <v>0</v>
      </c>
      <c r="J238" cm="1">
        <f t="array" aca="1" ref="J238" ca="1">INDIRECT("Data!D" &amp; 233)</f>
        <v>0</v>
      </c>
      <c r="K238" cm="1">
        <f t="array" aca="1" ref="K238" ca="1">INDIRECT("Data!E" &amp; 233)</f>
        <v>0</v>
      </c>
      <c r="L238" cm="1">
        <f t="array" aca="1" ref="L238" ca="1">INDIRECT("Data!F" &amp; 233)</f>
        <v>0</v>
      </c>
      <c r="M238" cm="1">
        <f t="array" aca="1" ref="M238" ca="1">INDIRECT("Data!G" &amp; 233)</f>
        <v>0</v>
      </c>
      <c r="N238" cm="1">
        <f t="array" aca="1" ref="N238" ca="1">INDIRECT("Data!H" &amp; 233)</f>
        <v>0</v>
      </c>
      <c r="O238" cm="1">
        <f t="array" aca="1" ref="O238" ca="1">INDIRECT("Data!I" &amp; 233)</f>
        <v>0</v>
      </c>
      <c r="P238" s="21" cm="1">
        <f t="array" aca="1" ref="P238" ca="1">INDIRECT("Data!J" &amp; 233)</f>
        <v>0</v>
      </c>
      <c r="Q238" cm="1">
        <f t="array" aca="1" ref="Q238" ca="1">INDIRECT("Data!K" &amp; 233)</f>
        <v>0</v>
      </c>
      <c r="R238" cm="1">
        <f t="array" aca="1" ref="R238" ca="1">INDIRECT("Data!L" &amp; 233)</f>
        <v>0</v>
      </c>
      <c r="S238" cm="1">
        <f t="array" aca="1" ref="S238" ca="1">INDIRECT("Data!M" &amp; 233)</f>
        <v>0</v>
      </c>
      <c r="T238" cm="1">
        <f t="array" aca="1" ref="T238" ca="1">INDIRECT("Data!N" &amp; 233)</f>
        <v>0</v>
      </c>
      <c r="U238" cm="1">
        <f t="array" aca="1" ref="U238" ca="1">INDIRECT("Data!O" &amp; 233)</f>
        <v>0</v>
      </c>
      <c r="V238" cm="1">
        <f t="array" aca="1" ref="V238" ca="1">INDIRECT("Data!P" &amp; 233)</f>
        <v>0</v>
      </c>
    </row>
    <row r="239" spans="7:22" x14ac:dyDescent="0.25">
      <c r="G239" cm="1">
        <f t="array" aca="1" ref="G239" ca="1">INDIRECT("Data!A" &amp; 234)</f>
        <v>0</v>
      </c>
      <c r="H239" s="21" cm="1">
        <f t="array" aca="1" ref="H239" ca="1">INDIRECT("Data!B" &amp; 234)</f>
        <v>0</v>
      </c>
      <c r="I239" s="21" cm="1">
        <f t="array" aca="1" ref="I239" ca="1">INDIRECT("Data!C" &amp; 234)</f>
        <v>0</v>
      </c>
      <c r="J239" cm="1">
        <f t="array" aca="1" ref="J239" ca="1">INDIRECT("Data!D" &amp; 234)</f>
        <v>0</v>
      </c>
      <c r="K239" cm="1">
        <f t="array" aca="1" ref="K239" ca="1">INDIRECT("Data!E" &amp; 234)</f>
        <v>0</v>
      </c>
      <c r="L239" cm="1">
        <f t="array" aca="1" ref="L239" ca="1">INDIRECT("Data!F" &amp; 234)</f>
        <v>0</v>
      </c>
      <c r="M239" cm="1">
        <f t="array" aca="1" ref="M239" ca="1">INDIRECT("Data!G" &amp; 234)</f>
        <v>0</v>
      </c>
      <c r="N239" cm="1">
        <f t="array" aca="1" ref="N239" ca="1">INDIRECT("Data!H" &amp; 234)</f>
        <v>0</v>
      </c>
      <c r="O239" cm="1">
        <f t="array" aca="1" ref="O239" ca="1">INDIRECT("Data!I" &amp; 234)</f>
        <v>0</v>
      </c>
      <c r="P239" s="21" cm="1">
        <f t="array" aca="1" ref="P239" ca="1">INDIRECT("Data!J" &amp; 234)</f>
        <v>0</v>
      </c>
      <c r="Q239" cm="1">
        <f t="array" aca="1" ref="Q239" ca="1">INDIRECT("Data!K" &amp; 234)</f>
        <v>0</v>
      </c>
      <c r="R239" cm="1">
        <f t="array" aca="1" ref="R239" ca="1">INDIRECT("Data!L" &amp; 234)</f>
        <v>0</v>
      </c>
      <c r="S239" cm="1">
        <f t="array" aca="1" ref="S239" ca="1">INDIRECT("Data!M" &amp; 234)</f>
        <v>0</v>
      </c>
      <c r="T239" cm="1">
        <f t="array" aca="1" ref="T239" ca="1">INDIRECT("Data!N" &amp; 234)</f>
        <v>0</v>
      </c>
      <c r="U239" cm="1">
        <f t="array" aca="1" ref="U239" ca="1">INDIRECT("Data!O" &amp; 234)</f>
        <v>0</v>
      </c>
      <c r="V239" cm="1">
        <f t="array" aca="1" ref="V239" ca="1">INDIRECT("Data!P" &amp; 234)</f>
        <v>0</v>
      </c>
    </row>
    <row r="240" spans="7:22" x14ac:dyDescent="0.25">
      <c r="G240" cm="1">
        <f t="array" aca="1" ref="G240" ca="1">INDIRECT("Data!A" &amp; 235)</f>
        <v>0</v>
      </c>
      <c r="H240" s="21" cm="1">
        <f t="array" aca="1" ref="H240" ca="1">INDIRECT("Data!B" &amp; 235)</f>
        <v>0</v>
      </c>
      <c r="I240" s="21" cm="1">
        <f t="array" aca="1" ref="I240" ca="1">INDIRECT("Data!C" &amp; 235)</f>
        <v>0</v>
      </c>
      <c r="J240" cm="1">
        <f t="array" aca="1" ref="J240" ca="1">INDIRECT("Data!D" &amp; 235)</f>
        <v>0</v>
      </c>
      <c r="K240" cm="1">
        <f t="array" aca="1" ref="K240" ca="1">INDIRECT("Data!E" &amp; 235)</f>
        <v>0</v>
      </c>
      <c r="L240" cm="1">
        <f t="array" aca="1" ref="L240" ca="1">INDIRECT("Data!F" &amp; 235)</f>
        <v>0</v>
      </c>
      <c r="M240" cm="1">
        <f t="array" aca="1" ref="M240" ca="1">INDIRECT("Data!G" &amp; 235)</f>
        <v>0</v>
      </c>
      <c r="N240" cm="1">
        <f t="array" aca="1" ref="N240" ca="1">INDIRECT("Data!H" &amp; 235)</f>
        <v>0</v>
      </c>
      <c r="O240" cm="1">
        <f t="array" aca="1" ref="O240" ca="1">INDIRECT("Data!I" &amp; 235)</f>
        <v>0</v>
      </c>
      <c r="P240" s="21" cm="1">
        <f t="array" aca="1" ref="P240" ca="1">INDIRECT("Data!J" &amp; 235)</f>
        <v>0</v>
      </c>
      <c r="Q240" cm="1">
        <f t="array" aca="1" ref="Q240" ca="1">INDIRECT("Data!K" &amp; 235)</f>
        <v>0</v>
      </c>
      <c r="R240" cm="1">
        <f t="array" aca="1" ref="R240" ca="1">INDIRECT("Data!L" &amp; 235)</f>
        <v>0</v>
      </c>
      <c r="S240" cm="1">
        <f t="array" aca="1" ref="S240" ca="1">INDIRECT("Data!M" &amp; 235)</f>
        <v>0</v>
      </c>
      <c r="T240" cm="1">
        <f t="array" aca="1" ref="T240" ca="1">INDIRECT("Data!N" &amp; 235)</f>
        <v>0</v>
      </c>
      <c r="U240" cm="1">
        <f t="array" aca="1" ref="U240" ca="1">INDIRECT("Data!O" &amp; 235)</f>
        <v>0</v>
      </c>
      <c r="V240" cm="1">
        <f t="array" aca="1" ref="V240" ca="1">INDIRECT("Data!P" &amp; 235)</f>
        <v>0</v>
      </c>
    </row>
    <row r="241" spans="7:22" x14ac:dyDescent="0.25">
      <c r="G241" cm="1">
        <f t="array" aca="1" ref="G241" ca="1">INDIRECT("Data!A" &amp; 236)</f>
        <v>0</v>
      </c>
      <c r="H241" s="21" cm="1">
        <f t="array" aca="1" ref="H241" ca="1">INDIRECT("Data!B" &amp; 236)</f>
        <v>0</v>
      </c>
      <c r="I241" s="21" cm="1">
        <f t="array" aca="1" ref="I241" ca="1">INDIRECT("Data!C" &amp; 236)</f>
        <v>0</v>
      </c>
      <c r="J241" cm="1">
        <f t="array" aca="1" ref="J241" ca="1">INDIRECT("Data!D" &amp; 236)</f>
        <v>0</v>
      </c>
      <c r="K241" cm="1">
        <f t="array" aca="1" ref="K241" ca="1">INDIRECT("Data!E" &amp; 236)</f>
        <v>0</v>
      </c>
      <c r="L241" cm="1">
        <f t="array" aca="1" ref="L241" ca="1">INDIRECT("Data!F" &amp; 236)</f>
        <v>0</v>
      </c>
      <c r="M241" cm="1">
        <f t="array" aca="1" ref="M241" ca="1">INDIRECT("Data!G" &amp; 236)</f>
        <v>0</v>
      </c>
      <c r="N241" cm="1">
        <f t="array" aca="1" ref="N241" ca="1">INDIRECT("Data!H" &amp; 236)</f>
        <v>0</v>
      </c>
      <c r="O241" cm="1">
        <f t="array" aca="1" ref="O241" ca="1">INDIRECT("Data!I" &amp; 236)</f>
        <v>0</v>
      </c>
      <c r="P241" s="21" cm="1">
        <f t="array" aca="1" ref="P241" ca="1">INDIRECT("Data!J" &amp; 236)</f>
        <v>0</v>
      </c>
      <c r="Q241" cm="1">
        <f t="array" aca="1" ref="Q241" ca="1">INDIRECT("Data!K" &amp; 236)</f>
        <v>0</v>
      </c>
      <c r="R241" cm="1">
        <f t="array" aca="1" ref="R241" ca="1">INDIRECT("Data!L" &amp; 236)</f>
        <v>0</v>
      </c>
      <c r="S241" cm="1">
        <f t="array" aca="1" ref="S241" ca="1">INDIRECT("Data!M" &amp; 236)</f>
        <v>0</v>
      </c>
      <c r="T241" cm="1">
        <f t="array" aca="1" ref="T241" ca="1">INDIRECT("Data!N" &amp; 236)</f>
        <v>0</v>
      </c>
      <c r="U241" cm="1">
        <f t="array" aca="1" ref="U241" ca="1">INDIRECT("Data!O" &amp; 236)</f>
        <v>0</v>
      </c>
      <c r="V241" cm="1">
        <f t="array" aca="1" ref="V241" ca="1">INDIRECT("Data!P" &amp; 236)</f>
        <v>0</v>
      </c>
    </row>
    <row r="242" spans="7:22" x14ac:dyDescent="0.25">
      <c r="G242" cm="1">
        <f t="array" aca="1" ref="G242" ca="1">INDIRECT("Data!A" &amp; 237)</f>
        <v>0</v>
      </c>
      <c r="H242" s="21" cm="1">
        <f t="array" aca="1" ref="H242" ca="1">INDIRECT("Data!B" &amp; 237)</f>
        <v>0</v>
      </c>
      <c r="I242" s="21" cm="1">
        <f t="array" aca="1" ref="I242" ca="1">INDIRECT("Data!C" &amp; 237)</f>
        <v>0</v>
      </c>
      <c r="J242" cm="1">
        <f t="array" aca="1" ref="J242" ca="1">INDIRECT("Data!D" &amp; 237)</f>
        <v>0</v>
      </c>
      <c r="K242" cm="1">
        <f t="array" aca="1" ref="K242" ca="1">INDIRECT("Data!E" &amp; 237)</f>
        <v>0</v>
      </c>
      <c r="L242" cm="1">
        <f t="array" aca="1" ref="L242" ca="1">INDIRECT("Data!F" &amp; 237)</f>
        <v>0</v>
      </c>
      <c r="M242" cm="1">
        <f t="array" aca="1" ref="M242" ca="1">INDIRECT("Data!G" &amp; 237)</f>
        <v>0</v>
      </c>
      <c r="N242" cm="1">
        <f t="array" aca="1" ref="N242" ca="1">INDIRECT("Data!H" &amp; 237)</f>
        <v>0</v>
      </c>
      <c r="O242" cm="1">
        <f t="array" aca="1" ref="O242" ca="1">INDIRECT("Data!I" &amp; 237)</f>
        <v>0</v>
      </c>
      <c r="P242" s="21" cm="1">
        <f t="array" aca="1" ref="P242" ca="1">INDIRECT("Data!J" &amp; 237)</f>
        <v>0</v>
      </c>
      <c r="Q242" cm="1">
        <f t="array" aca="1" ref="Q242" ca="1">INDIRECT("Data!K" &amp; 237)</f>
        <v>0</v>
      </c>
      <c r="R242" cm="1">
        <f t="array" aca="1" ref="R242" ca="1">INDIRECT("Data!L" &amp; 237)</f>
        <v>0</v>
      </c>
      <c r="S242" cm="1">
        <f t="array" aca="1" ref="S242" ca="1">INDIRECT("Data!M" &amp; 237)</f>
        <v>0</v>
      </c>
      <c r="T242" cm="1">
        <f t="array" aca="1" ref="T242" ca="1">INDIRECT("Data!N" &amp; 237)</f>
        <v>0</v>
      </c>
      <c r="U242" cm="1">
        <f t="array" aca="1" ref="U242" ca="1">INDIRECT("Data!O" &amp; 237)</f>
        <v>0</v>
      </c>
      <c r="V242" cm="1">
        <f t="array" aca="1" ref="V242" ca="1">INDIRECT("Data!P" &amp; 237)</f>
        <v>0</v>
      </c>
    </row>
    <row r="243" spans="7:22" x14ac:dyDescent="0.25">
      <c r="G243" cm="1">
        <f t="array" aca="1" ref="G243" ca="1">INDIRECT("Data!A" &amp; 238)</f>
        <v>0</v>
      </c>
      <c r="H243" s="21" cm="1">
        <f t="array" aca="1" ref="H243" ca="1">INDIRECT("Data!B" &amp; 238)</f>
        <v>0</v>
      </c>
      <c r="I243" s="21" cm="1">
        <f t="array" aca="1" ref="I243" ca="1">INDIRECT("Data!C" &amp; 238)</f>
        <v>0</v>
      </c>
      <c r="J243" cm="1">
        <f t="array" aca="1" ref="J243" ca="1">INDIRECT("Data!D" &amp; 238)</f>
        <v>0</v>
      </c>
      <c r="K243" cm="1">
        <f t="array" aca="1" ref="K243" ca="1">INDIRECT("Data!E" &amp; 238)</f>
        <v>0</v>
      </c>
      <c r="L243" cm="1">
        <f t="array" aca="1" ref="L243" ca="1">INDIRECT("Data!F" &amp; 238)</f>
        <v>0</v>
      </c>
      <c r="M243" cm="1">
        <f t="array" aca="1" ref="M243" ca="1">INDIRECT("Data!G" &amp; 238)</f>
        <v>0</v>
      </c>
      <c r="N243" cm="1">
        <f t="array" aca="1" ref="N243" ca="1">INDIRECT("Data!H" &amp; 238)</f>
        <v>0</v>
      </c>
      <c r="O243" cm="1">
        <f t="array" aca="1" ref="O243" ca="1">INDIRECT("Data!I" &amp; 238)</f>
        <v>0</v>
      </c>
      <c r="P243" s="21" cm="1">
        <f t="array" aca="1" ref="P243" ca="1">INDIRECT("Data!J" &amp; 238)</f>
        <v>0</v>
      </c>
      <c r="Q243" cm="1">
        <f t="array" aca="1" ref="Q243" ca="1">INDIRECT("Data!K" &amp; 238)</f>
        <v>0</v>
      </c>
      <c r="R243" cm="1">
        <f t="array" aca="1" ref="R243" ca="1">INDIRECT("Data!L" &amp; 238)</f>
        <v>0</v>
      </c>
      <c r="S243" cm="1">
        <f t="array" aca="1" ref="S243" ca="1">INDIRECT("Data!M" &amp; 238)</f>
        <v>0</v>
      </c>
      <c r="T243" cm="1">
        <f t="array" aca="1" ref="T243" ca="1">INDIRECT("Data!N" &amp; 238)</f>
        <v>0</v>
      </c>
      <c r="U243" cm="1">
        <f t="array" aca="1" ref="U243" ca="1">INDIRECT("Data!O" &amp; 238)</f>
        <v>0</v>
      </c>
      <c r="V243" cm="1">
        <f t="array" aca="1" ref="V243" ca="1">INDIRECT("Data!P" &amp; 238)</f>
        <v>0</v>
      </c>
    </row>
    <row r="244" spans="7:22" x14ac:dyDescent="0.25">
      <c r="G244" cm="1">
        <f t="array" aca="1" ref="G244" ca="1">INDIRECT("Data!A" &amp; 239)</f>
        <v>0</v>
      </c>
      <c r="H244" s="21" cm="1">
        <f t="array" aca="1" ref="H244" ca="1">INDIRECT("Data!B" &amp; 239)</f>
        <v>0</v>
      </c>
      <c r="I244" s="21" cm="1">
        <f t="array" aca="1" ref="I244" ca="1">INDIRECT("Data!C" &amp; 239)</f>
        <v>0</v>
      </c>
      <c r="J244" cm="1">
        <f t="array" aca="1" ref="J244" ca="1">INDIRECT("Data!D" &amp; 239)</f>
        <v>0</v>
      </c>
      <c r="K244" cm="1">
        <f t="array" aca="1" ref="K244" ca="1">INDIRECT("Data!E" &amp; 239)</f>
        <v>0</v>
      </c>
      <c r="L244" cm="1">
        <f t="array" aca="1" ref="L244" ca="1">INDIRECT("Data!F" &amp; 239)</f>
        <v>0</v>
      </c>
      <c r="M244" cm="1">
        <f t="array" aca="1" ref="M244" ca="1">INDIRECT("Data!G" &amp; 239)</f>
        <v>0</v>
      </c>
      <c r="N244" cm="1">
        <f t="array" aca="1" ref="N244" ca="1">INDIRECT("Data!H" &amp; 239)</f>
        <v>0</v>
      </c>
      <c r="O244" cm="1">
        <f t="array" aca="1" ref="O244" ca="1">INDIRECT("Data!I" &amp; 239)</f>
        <v>0</v>
      </c>
      <c r="P244" s="21" cm="1">
        <f t="array" aca="1" ref="P244" ca="1">INDIRECT("Data!J" &amp; 239)</f>
        <v>0</v>
      </c>
      <c r="Q244" cm="1">
        <f t="array" aca="1" ref="Q244" ca="1">INDIRECT("Data!K" &amp; 239)</f>
        <v>0</v>
      </c>
      <c r="R244" cm="1">
        <f t="array" aca="1" ref="R244" ca="1">INDIRECT("Data!L" &amp; 239)</f>
        <v>0</v>
      </c>
      <c r="S244" cm="1">
        <f t="array" aca="1" ref="S244" ca="1">INDIRECT("Data!M" &amp; 239)</f>
        <v>0</v>
      </c>
      <c r="T244" cm="1">
        <f t="array" aca="1" ref="T244" ca="1">INDIRECT("Data!N" &amp; 239)</f>
        <v>0</v>
      </c>
      <c r="U244" cm="1">
        <f t="array" aca="1" ref="U244" ca="1">INDIRECT("Data!O" &amp; 239)</f>
        <v>0</v>
      </c>
      <c r="V244" cm="1">
        <f t="array" aca="1" ref="V244" ca="1">INDIRECT("Data!P" &amp; 239)</f>
        <v>0</v>
      </c>
    </row>
    <row r="245" spans="7:22" x14ac:dyDescent="0.25">
      <c r="G245" cm="1">
        <f t="array" aca="1" ref="G245" ca="1">INDIRECT("Data!A" &amp; 240)</f>
        <v>0</v>
      </c>
      <c r="H245" s="21" cm="1">
        <f t="array" aca="1" ref="H245" ca="1">INDIRECT("Data!B" &amp; 240)</f>
        <v>0</v>
      </c>
      <c r="I245" s="21" cm="1">
        <f t="array" aca="1" ref="I245" ca="1">INDIRECT("Data!C" &amp; 240)</f>
        <v>0</v>
      </c>
      <c r="J245" cm="1">
        <f t="array" aca="1" ref="J245" ca="1">INDIRECT("Data!D" &amp; 240)</f>
        <v>0</v>
      </c>
      <c r="K245" cm="1">
        <f t="array" aca="1" ref="K245" ca="1">INDIRECT("Data!E" &amp; 240)</f>
        <v>0</v>
      </c>
      <c r="L245" cm="1">
        <f t="array" aca="1" ref="L245" ca="1">INDIRECT("Data!F" &amp; 240)</f>
        <v>0</v>
      </c>
      <c r="M245" cm="1">
        <f t="array" aca="1" ref="M245" ca="1">INDIRECT("Data!G" &amp; 240)</f>
        <v>0</v>
      </c>
      <c r="N245" cm="1">
        <f t="array" aca="1" ref="N245" ca="1">INDIRECT("Data!H" &amp; 240)</f>
        <v>0</v>
      </c>
      <c r="O245" cm="1">
        <f t="array" aca="1" ref="O245" ca="1">INDIRECT("Data!I" &amp; 240)</f>
        <v>0</v>
      </c>
      <c r="P245" s="21" cm="1">
        <f t="array" aca="1" ref="P245" ca="1">INDIRECT("Data!J" &amp; 240)</f>
        <v>0</v>
      </c>
      <c r="Q245" cm="1">
        <f t="array" aca="1" ref="Q245" ca="1">INDIRECT("Data!K" &amp; 240)</f>
        <v>0</v>
      </c>
      <c r="R245" cm="1">
        <f t="array" aca="1" ref="R245" ca="1">INDIRECT("Data!L" &amp; 240)</f>
        <v>0</v>
      </c>
      <c r="S245" cm="1">
        <f t="array" aca="1" ref="S245" ca="1">INDIRECT("Data!M" &amp; 240)</f>
        <v>0</v>
      </c>
      <c r="T245" cm="1">
        <f t="array" aca="1" ref="T245" ca="1">INDIRECT("Data!N" &amp; 240)</f>
        <v>0</v>
      </c>
      <c r="U245" cm="1">
        <f t="array" aca="1" ref="U245" ca="1">INDIRECT("Data!O" &amp; 240)</f>
        <v>0</v>
      </c>
      <c r="V245" cm="1">
        <f t="array" aca="1" ref="V245" ca="1">INDIRECT("Data!P" &amp; 240)</f>
        <v>0</v>
      </c>
    </row>
    <row r="246" spans="7:22" x14ac:dyDescent="0.25">
      <c r="G246" cm="1">
        <f t="array" aca="1" ref="G246" ca="1">INDIRECT("Data!A" &amp; 241)</f>
        <v>0</v>
      </c>
      <c r="H246" s="21" cm="1">
        <f t="array" aca="1" ref="H246" ca="1">INDIRECT("Data!B" &amp; 241)</f>
        <v>0</v>
      </c>
      <c r="I246" s="21" cm="1">
        <f t="array" aca="1" ref="I246" ca="1">INDIRECT("Data!C" &amp; 241)</f>
        <v>0</v>
      </c>
      <c r="J246" cm="1">
        <f t="array" aca="1" ref="J246" ca="1">INDIRECT("Data!D" &amp; 241)</f>
        <v>0</v>
      </c>
      <c r="K246" cm="1">
        <f t="array" aca="1" ref="K246" ca="1">INDIRECT("Data!E" &amp; 241)</f>
        <v>0</v>
      </c>
      <c r="L246" cm="1">
        <f t="array" aca="1" ref="L246" ca="1">INDIRECT("Data!F" &amp; 241)</f>
        <v>0</v>
      </c>
      <c r="M246" cm="1">
        <f t="array" aca="1" ref="M246" ca="1">INDIRECT("Data!G" &amp; 241)</f>
        <v>0</v>
      </c>
      <c r="N246" cm="1">
        <f t="array" aca="1" ref="N246" ca="1">INDIRECT("Data!H" &amp; 241)</f>
        <v>0</v>
      </c>
      <c r="O246" cm="1">
        <f t="array" aca="1" ref="O246" ca="1">INDIRECT("Data!I" &amp; 241)</f>
        <v>0</v>
      </c>
      <c r="P246" s="21" cm="1">
        <f t="array" aca="1" ref="P246" ca="1">INDIRECT("Data!J" &amp; 241)</f>
        <v>0</v>
      </c>
      <c r="Q246" cm="1">
        <f t="array" aca="1" ref="Q246" ca="1">INDIRECT("Data!K" &amp; 241)</f>
        <v>0</v>
      </c>
      <c r="R246" cm="1">
        <f t="array" aca="1" ref="R246" ca="1">INDIRECT("Data!L" &amp; 241)</f>
        <v>0</v>
      </c>
      <c r="S246" cm="1">
        <f t="array" aca="1" ref="S246" ca="1">INDIRECT("Data!M" &amp; 241)</f>
        <v>0</v>
      </c>
      <c r="T246" cm="1">
        <f t="array" aca="1" ref="T246" ca="1">INDIRECT("Data!N" &amp; 241)</f>
        <v>0</v>
      </c>
      <c r="U246" cm="1">
        <f t="array" aca="1" ref="U246" ca="1">INDIRECT("Data!O" &amp; 241)</f>
        <v>0</v>
      </c>
      <c r="V246" cm="1">
        <f t="array" aca="1" ref="V246" ca="1">INDIRECT("Data!P" &amp; 241)</f>
        <v>0</v>
      </c>
    </row>
    <row r="247" spans="7:22" x14ac:dyDescent="0.25">
      <c r="G247" cm="1">
        <f t="array" aca="1" ref="G247" ca="1">INDIRECT("Data!A" &amp; 242)</f>
        <v>0</v>
      </c>
      <c r="H247" s="21" cm="1">
        <f t="array" aca="1" ref="H247" ca="1">INDIRECT("Data!B" &amp; 242)</f>
        <v>0</v>
      </c>
      <c r="I247" s="21" cm="1">
        <f t="array" aca="1" ref="I247" ca="1">INDIRECT("Data!C" &amp; 242)</f>
        <v>0</v>
      </c>
      <c r="J247" cm="1">
        <f t="array" aca="1" ref="J247" ca="1">INDIRECT("Data!D" &amp; 242)</f>
        <v>0</v>
      </c>
      <c r="K247" cm="1">
        <f t="array" aca="1" ref="K247" ca="1">INDIRECT("Data!E" &amp; 242)</f>
        <v>0</v>
      </c>
      <c r="L247" cm="1">
        <f t="array" aca="1" ref="L247" ca="1">INDIRECT("Data!F" &amp; 242)</f>
        <v>0</v>
      </c>
      <c r="M247" cm="1">
        <f t="array" aca="1" ref="M247" ca="1">INDIRECT("Data!G" &amp; 242)</f>
        <v>0</v>
      </c>
      <c r="N247" cm="1">
        <f t="array" aca="1" ref="N247" ca="1">INDIRECT("Data!H" &amp; 242)</f>
        <v>0</v>
      </c>
      <c r="O247" cm="1">
        <f t="array" aca="1" ref="O247" ca="1">INDIRECT("Data!I" &amp; 242)</f>
        <v>0</v>
      </c>
      <c r="P247" s="21" cm="1">
        <f t="array" aca="1" ref="P247" ca="1">INDIRECT("Data!J" &amp; 242)</f>
        <v>0</v>
      </c>
      <c r="Q247" cm="1">
        <f t="array" aca="1" ref="Q247" ca="1">INDIRECT("Data!K" &amp; 242)</f>
        <v>0</v>
      </c>
      <c r="R247" cm="1">
        <f t="array" aca="1" ref="R247" ca="1">INDIRECT("Data!L" &amp; 242)</f>
        <v>0</v>
      </c>
      <c r="S247" cm="1">
        <f t="array" aca="1" ref="S247" ca="1">INDIRECT("Data!M" &amp; 242)</f>
        <v>0</v>
      </c>
      <c r="T247" cm="1">
        <f t="array" aca="1" ref="T247" ca="1">INDIRECT("Data!N" &amp; 242)</f>
        <v>0</v>
      </c>
      <c r="U247" cm="1">
        <f t="array" aca="1" ref="U247" ca="1">INDIRECT("Data!O" &amp; 242)</f>
        <v>0</v>
      </c>
      <c r="V247" cm="1">
        <f t="array" aca="1" ref="V247" ca="1">INDIRECT("Data!P" &amp; 242)</f>
        <v>0</v>
      </c>
    </row>
    <row r="248" spans="7:22" x14ac:dyDescent="0.25">
      <c r="G248" cm="1">
        <f t="array" aca="1" ref="G248" ca="1">INDIRECT("Data!A" &amp; 243)</f>
        <v>0</v>
      </c>
      <c r="H248" s="21" cm="1">
        <f t="array" aca="1" ref="H248" ca="1">INDIRECT("Data!B" &amp; 243)</f>
        <v>0</v>
      </c>
      <c r="I248" s="21" cm="1">
        <f t="array" aca="1" ref="I248" ca="1">INDIRECT("Data!C" &amp; 243)</f>
        <v>0</v>
      </c>
      <c r="J248" cm="1">
        <f t="array" aca="1" ref="J248" ca="1">INDIRECT("Data!D" &amp; 243)</f>
        <v>0</v>
      </c>
      <c r="K248" cm="1">
        <f t="array" aca="1" ref="K248" ca="1">INDIRECT("Data!E" &amp; 243)</f>
        <v>0</v>
      </c>
      <c r="L248" cm="1">
        <f t="array" aca="1" ref="L248" ca="1">INDIRECT("Data!F" &amp; 243)</f>
        <v>0</v>
      </c>
      <c r="M248" cm="1">
        <f t="array" aca="1" ref="M248" ca="1">INDIRECT("Data!G" &amp; 243)</f>
        <v>0</v>
      </c>
      <c r="N248" cm="1">
        <f t="array" aca="1" ref="N248" ca="1">INDIRECT("Data!H" &amp; 243)</f>
        <v>0</v>
      </c>
      <c r="O248" cm="1">
        <f t="array" aca="1" ref="O248" ca="1">INDIRECT("Data!I" &amp; 243)</f>
        <v>0</v>
      </c>
      <c r="P248" s="21" cm="1">
        <f t="array" aca="1" ref="P248" ca="1">INDIRECT("Data!J" &amp; 243)</f>
        <v>0</v>
      </c>
      <c r="Q248" cm="1">
        <f t="array" aca="1" ref="Q248" ca="1">INDIRECT("Data!K" &amp; 243)</f>
        <v>0</v>
      </c>
      <c r="R248" cm="1">
        <f t="array" aca="1" ref="R248" ca="1">INDIRECT("Data!L" &amp; 243)</f>
        <v>0</v>
      </c>
      <c r="S248" cm="1">
        <f t="array" aca="1" ref="S248" ca="1">INDIRECT("Data!M" &amp; 243)</f>
        <v>0</v>
      </c>
      <c r="T248" cm="1">
        <f t="array" aca="1" ref="T248" ca="1">INDIRECT("Data!N" &amp; 243)</f>
        <v>0</v>
      </c>
      <c r="U248" cm="1">
        <f t="array" aca="1" ref="U248" ca="1">INDIRECT("Data!O" &amp; 243)</f>
        <v>0</v>
      </c>
      <c r="V248" cm="1">
        <f t="array" aca="1" ref="V248" ca="1">INDIRECT("Data!P" &amp; 243)</f>
        <v>0</v>
      </c>
    </row>
    <row r="249" spans="7:22" x14ac:dyDescent="0.25">
      <c r="G249" cm="1">
        <f t="array" aca="1" ref="G249" ca="1">INDIRECT("Data!A" &amp; 244)</f>
        <v>0</v>
      </c>
      <c r="H249" s="21" cm="1">
        <f t="array" aca="1" ref="H249" ca="1">INDIRECT("Data!B" &amp; 244)</f>
        <v>0</v>
      </c>
      <c r="I249" s="21" cm="1">
        <f t="array" aca="1" ref="I249" ca="1">INDIRECT("Data!C" &amp; 244)</f>
        <v>0</v>
      </c>
      <c r="J249" cm="1">
        <f t="array" aca="1" ref="J249" ca="1">INDIRECT("Data!D" &amp; 244)</f>
        <v>0</v>
      </c>
      <c r="K249" cm="1">
        <f t="array" aca="1" ref="K249" ca="1">INDIRECT("Data!E" &amp; 244)</f>
        <v>0</v>
      </c>
      <c r="L249" cm="1">
        <f t="array" aca="1" ref="L249" ca="1">INDIRECT("Data!F" &amp; 244)</f>
        <v>0</v>
      </c>
      <c r="M249" cm="1">
        <f t="array" aca="1" ref="M249" ca="1">INDIRECT("Data!G" &amp; 244)</f>
        <v>0</v>
      </c>
      <c r="N249" cm="1">
        <f t="array" aca="1" ref="N249" ca="1">INDIRECT("Data!H" &amp; 244)</f>
        <v>0</v>
      </c>
      <c r="O249" cm="1">
        <f t="array" aca="1" ref="O249" ca="1">INDIRECT("Data!I" &amp; 244)</f>
        <v>0</v>
      </c>
      <c r="P249" s="21" cm="1">
        <f t="array" aca="1" ref="P249" ca="1">INDIRECT("Data!J" &amp; 244)</f>
        <v>0</v>
      </c>
      <c r="Q249" cm="1">
        <f t="array" aca="1" ref="Q249" ca="1">INDIRECT("Data!K" &amp; 244)</f>
        <v>0</v>
      </c>
      <c r="R249" cm="1">
        <f t="array" aca="1" ref="R249" ca="1">INDIRECT("Data!L" &amp; 244)</f>
        <v>0</v>
      </c>
      <c r="S249" cm="1">
        <f t="array" aca="1" ref="S249" ca="1">INDIRECT("Data!M" &amp; 244)</f>
        <v>0</v>
      </c>
      <c r="T249" cm="1">
        <f t="array" aca="1" ref="T249" ca="1">INDIRECT("Data!N" &amp; 244)</f>
        <v>0</v>
      </c>
      <c r="U249" cm="1">
        <f t="array" aca="1" ref="U249" ca="1">INDIRECT("Data!O" &amp; 244)</f>
        <v>0</v>
      </c>
      <c r="V249" cm="1">
        <f t="array" aca="1" ref="V249" ca="1">INDIRECT("Data!P" &amp; 244)</f>
        <v>0</v>
      </c>
    </row>
    <row r="250" spans="7:22" x14ac:dyDescent="0.25">
      <c r="G250" cm="1">
        <f t="array" aca="1" ref="G250" ca="1">INDIRECT("Data!A" &amp; 245)</f>
        <v>0</v>
      </c>
      <c r="H250" s="21" cm="1">
        <f t="array" aca="1" ref="H250" ca="1">INDIRECT("Data!B" &amp; 245)</f>
        <v>0</v>
      </c>
      <c r="I250" s="21" cm="1">
        <f t="array" aca="1" ref="I250" ca="1">INDIRECT("Data!C" &amp; 245)</f>
        <v>0</v>
      </c>
      <c r="J250" cm="1">
        <f t="array" aca="1" ref="J250" ca="1">INDIRECT("Data!D" &amp; 245)</f>
        <v>0</v>
      </c>
      <c r="K250" cm="1">
        <f t="array" aca="1" ref="K250" ca="1">INDIRECT("Data!E" &amp; 245)</f>
        <v>0</v>
      </c>
      <c r="L250" cm="1">
        <f t="array" aca="1" ref="L250" ca="1">INDIRECT("Data!F" &amp; 245)</f>
        <v>0</v>
      </c>
      <c r="M250" cm="1">
        <f t="array" aca="1" ref="M250" ca="1">INDIRECT("Data!G" &amp; 245)</f>
        <v>0</v>
      </c>
      <c r="N250" cm="1">
        <f t="array" aca="1" ref="N250" ca="1">INDIRECT("Data!H" &amp; 245)</f>
        <v>0</v>
      </c>
      <c r="O250" cm="1">
        <f t="array" aca="1" ref="O250" ca="1">INDIRECT("Data!I" &amp; 245)</f>
        <v>0</v>
      </c>
      <c r="P250" s="21" cm="1">
        <f t="array" aca="1" ref="P250" ca="1">INDIRECT("Data!J" &amp; 245)</f>
        <v>0</v>
      </c>
      <c r="Q250" cm="1">
        <f t="array" aca="1" ref="Q250" ca="1">INDIRECT("Data!K" &amp; 245)</f>
        <v>0</v>
      </c>
      <c r="R250" cm="1">
        <f t="array" aca="1" ref="R250" ca="1">INDIRECT("Data!L" &amp; 245)</f>
        <v>0</v>
      </c>
      <c r="S250" cm="1">
        <f t="array" aca="1" ref="S250" ca="1">INDIRECT("Data!M" &amp; 245)</f>
        <v>0</v>
      </c>
      <c r="T250" cm="1">
        <f t="array" aca="1" ref="T250" ca="1">INDIRECT("Data!N" &amp; 245)</f>
        <v>0</v>
      </c>
      <c r="U250" cm="1">
        <f t="array" aca="1" ref="U250" ca="1">INDIRECT("Data!O" &amp; 245)</f>
        <v>0</v>
      </c>
      <c r="V250" cm="1">
        <f t="array" aca="1" ref="V250" ca="1">INDIRECT("Data!P" &amp; 245)</f>
        <v>0</v>
      </c>
    </row>
    <row r="251" spans="7:22" x14ac:dyDescent="0.25">
      <c r="G251" cm="1">
        <f t="array" aca="1" ref="G251" ca="1">INDIRECT("Data!A" &amp; 246)</f>
        <v>0</v>
      </c>
      <c r="H251" s="21" cm="1">
        <f t="array" aca="1" ref="H251" ca="1">INDIRECT("Data!B" &amp; 246)</f>
        <v>0</v>
      </c>
      <c r="I251" s="21" cm="1">
        <f t="array" aca="1" ref="I251" ca="1">INDIRECT("Data!C" &amp; 246)</f>
        <v>0</v>
      </c>
      <c r="J251" cm="1">
        <f t="array" aca="1" ref="J251" ca="1">INDIRECT("Data!D" &amp; 246)</f>
        <v>0</v>
      </c>
      <c r="K251" cm="1">
        <f t="array" aca="1" ref="K251" ca="1">INDIRECT("Data!E" &amp; 246)</f>
        <v>0</v>
      </c>
      <c r="L251" cm="1">
        <f t="array" aca="1" ref="L251" ca="1">INDIRECT("Data!F" &amp; 246)</f>
        <v>0</v>
      </c>
      <c r="M251" cm="1">
        <f t="array" aca="1" ref="M251" ca="1">INDIRECT("Data!G" &amp; 246)</f>
        <v>0</v>
      </c>
      <c r="N251" cm="1">
        <f t="array" aca="1" ref="N251" ca="1">INDIRECT("Data!H" &amp; 246)</f>
        <v>0</v>
      </c>
      <c r="O251" cm="1">
        <f t="array" aca="1" ref="O251" ca="1">INDIRECT("Data!I" &amp; 246)</f>
        <v>0</v>
      </c>
      <c r="P251" s="21" cm="1">
        <f t="array" aca="1" ref="P251" ca="1">INDIRECT("Data!J" &amp; 246)</f>
        <v>0</v>
      </c>
      <c r="Q251" cm="1">
        <f t="array" aca="1" ref="Q251" ca="1">INDIRECT("Data!K" &amp; 246)</f>
        <v>0</v>
      </c>
      <c r="R251" cm="1">
        <f t="array" aca="1" ref="R251" ca="1">INDIRECT("Data!L" &amp; 246)</f>
        <v>0</v>
      </c>
      <c r="S251" cm="1">
        <f t="array" aca="1" ref="S251" ca="1">INDIRECT("Data!M" &amp; 246)</f>
        <v>0</v>
      </c>
      <c r="T251" cm="1">
        <f t="array" aca="1" ref="T251" ca="1">INDIRECT("Data!N" &amp; 246)</f>
        <v>0</v>
      </c>
      <c r="U251" cm="1">
        <f t="array" aca="1" ref="U251" ca="1">INDIRECT("Data!O" &amp; 246)</f>
        <v>0</v>
      </c>
      <c r="V251" cm="1">
        <f t="array" aca="1" ref="V251" ca="1">INDIRECT("Data!P" &amp; 246)</f>
        <v>0</v>
      </c>
    </row>
    <row r="252" spans="7:22" x14ac:dyDescent="0.25">
      <c r="G252" cm="1">
        <f t="array" aca="1" ref="G252" ca="1">INDIRECT("Data!A" &amp; 247)</f>
        <v>0</v>
      </c>
      <c r="H252" s="21" cm="1">
        <f t="array" aca="1" ref="H252" ca="1">INDIRECT("Data!B" &amp; 247)</f>
        <v>0</v>
      </c>
      <c r="I252" s="21" cm="1">
        <f t="array" aca="1" ref="I252" ca="1">INDIRECT("Data!C" &amp; 247)</f>
        <v>0</v>
      </c>
      <c r="J252" cm="1">
        <f t="array" aca="1" ref="J252" ca="1">INDIRECT("Data!D" &amp; 247)</f>
        <v>0</v>
      </c>
      <c r="K252" cm="1">
        <f t="array" aca="1" ref="K252" ca="1">INDIRECT("Data!E" &amp; 247)</f>
        <v>0</v>
      </c>
      <c r="L252" cm="1">
        <f t="array" aca="1" ref="L252" ca="1">INDIRECT("Data!F" &amp; 247)</f>
        <v>0</v>
      </c>
      <c r="M252" cm="1">
        <f t="array" aca="1" ref="M252" ca="1">INDIRECT("Data!G" &amp; 247)</f>
        <v>0</v>
      </c>
      <c r="N252" cm="1">
        <f t="array" aca="1" ref="N252" ca="1">INDIRECT("Data!H" &amp; 247)</f>
        <v>0</v>
      </c>
      <c r="O252" cm="1">
        <f t="array" aca="1" ref="O252" ca="1">INDIRECT("Data!I" &amp; 247)</f>
        <v>0</v>
      </c>
      <c r="P252" s="21" cm="1">
        <f t="array" aca="1" ref="P252" ca="1">INDIRECT("Data!J" &amp; 247)</f>
        <v>0</v>
      </c>
      <c r="Q252" cm="1">
        <f t="array" aca="1" ref="Q252" ca="1">INDIRECT("Data!K" &amp; 247)</f>
        <v>0</v>
      </c>
      <c r="R252" cm="1">
        <f t="array" aca="1" ref="R252" ca="1">INDIRECT("Data!L" &amp; 247)</f>
        <v>0</v>
      </c>
      <c r="S252" cm="1">
        <f t="array" aca="1" ref="S252" ca="1">INDIRECT("Data!M" &amp; 247)</f>
        <v>0</v>
      </c>
      <c r="T252" cm="1">
        <f t="array" aca="1" ref="T252" ca="1">INDIRECT("Data!N" &amp; 247)</f>
        <v>0</v>
      </c>
      <c r="U252" cm="1">
        <f t="array" aca="1" ref="U252" ca="1">INDIRECT("Data!O" &amp; 247)</f>
        <v>0</v>
      </c>
      <c r="V252" cm="1">
        <f t="array" aca="1" ref="V252" ca="1">INDIRECT("Data!P" &amp; 247)</f>
        <v>0</v>
      </c>
    </row>
    <row r="253" spans="7:22" x14ac:dyDescent="0.25">
      <c r="G253" cm="1">
        <f t="array" aca="1" ref="G253" ca="1">INDIRECT("Data!A" &amp; 248)</f>
        <v>0</v>
      </c>
      <c r="H253" s="21" cm="1">
        <f t="array" aca="1" ref="H253" ca="1">INDIRECT("Data!B" &amp; 248)</f>
        <v>0</v>
      </c>
      <c r="I253" s="21" cm="1">
        <f t="array" aca="1" ref="I253" ca="1">INDIRECT("Data!C" &amp; 248)</f>
        <v>0</v>
      </c>
      <c r="J253" cm="1">
        <f t="array" aca="1" ref="J253" ca="1">INDIRECT("Data!D" &amp; 248)</f>
        <v>0</v>
      </c>
      <c r="K253" cm="1">
        <f t="array" aca="1" ref="K253" ca="1">INDIRECT("Data!E" &amp; 248)</f>
        <v>0</v>
      </c>
      <c r="L253" cm="1">
        <f t="array" aca="1" ref="L253" ca="1">INDIRECT("Data!F" &amp; 248)</f>
        <v>0</v>
      </c>
      <c r="M253" cm="1">
        <f t="array" aca="1" ref="M253" ca="1">INDIRECT("Data!G" &amp; 248)</f>
        <v>0</v>
      </c>
      <c r="N253" cm="1">
        <f t="array" aca="1" ref="N253" ca="1">INDIRECT("Data!H" &amp; 248)</f>
        <v>0</v>
      </c>
      <c r="O253" cm="1">
        <f t="array" aca="1" ref="O253" ca="1">INDIRECT("Data!I" &amp; 248)</f>
        <v>0</v>
      </c>
      <c r="P253" s="21" cm="1">
        <f t="array" aca="1" ref="P253" ca="1">INDIRECT("Data!J" &amp; 248)</f>
        <v>0</v>
      </c>
      <c r="Q253" cm="1">
        <f t="array" aca="1" ref="Q253" ca="1">INDIRECT("Data!K" &amp; 248)</f>
        <v>0</v>
      </c>
      <c r="R253" cm="1">
        <f t="array" aca="1" ref="R253" ca="1">INDIRECT("Data!L" &amp; 248)</f>
        <v>0</v>
      </c>
      <c r="S253" cm="1">
        <f t="array" aca="1" ref="S253" ca="1">INDIRECT("Data!M" &amp; 248)</f>
        <v>0</v>
      </c>
      <c r="T253" cm="1">
        <f t="array" aca="1" ref="T253" ca="1">INDIRECT("Data!N" &amp; 248)</f>
        <v>0</v>
      </c>
      <c r="U253" cm="1">
        <f t="array" aca="1" ref="U253" ca="1">INDIRECT("Data!O" &amp; 248)</f>
        <v>0</v>
      </c>
      <c r="V253" cm="1">
        <f t="array" aca="1" ref="V253" ca="1">INDIRECT("Data!P" &amp; 248)</f>
        <v>0</v>
      </c>
    </row>
    <row r="254" spans="7:22" x14ac:dyDescent="0.25">
      <c r="G254" cm="1">
        <f t="array" aca="1" ref="G254" ca="1">INDIRECT("Data!A" &amp; 249)</f>
        <v>0</v>
      </c>
      <c r="H254" s="21" cm="1">
        <f t="array" aca="1" ref="H254" ca="1">INDIRECT("Data!B" &amp; 249)</f>
        <v>0</v>
      </c>
      <c r="I254" s="21" cm="1">
        <f t="array" aca="1" ref="I254" ca="1">INDIRECT("Data!C" &amp; 249)</f>
        <v>0</v>
      </c>
      <c r="J254" cm="1">
        <f t="array" aca="1" ref="J254" ca="1">INDIRECT("Data!D" &amp; 249)</f>
        <v>0</v>
      </c>
      <c r="K254" cm="1">
        <f t="array" aca="1" ref="K254" ca="1">INDIRECT("Data!E" &amp; 249)</f>
        <v>0</v>
      </c>
      <c r="L254" cm="1">
        <f t="array" aca="1" ref="L254" ca="1">INDIRECT("Data!F" &amp; 249)</f>
        <v>0</v>
      </c>
      <c r="M254" cm="1">
        <f t="array" aca="1" ref="M254" ca="1">INDIRECT("Data!G" &amp; 249)</f>
        <v>0</v>
      </c>
      <c r="N254" cm="1">
        <f t="array" aca="1" ref="N254" ca="1">INDIRECT("Data!H" &amp; 249)</f>
        <v>0</v>
      </c>
      <c r="O254" cm="1">
        <f t="array" aca="1" ref="O254" ca="1">INDIRECT("Data!I" &amp; 249)</f>
        <v>0</v>
      </c>
      <c r="P254" s="21" cm="1">
        <f t="array" aca="1" ref="P254" ca="1">INDIRECT("Data!J" &amp; 249)</f>
        <v>0</v>
      </c>
      <c r="Q254" cm="1">
        <f t="array" aca="1" ref="Q254" ca="1">INDIRECT("Data!K" &amp; 249)</f>
        <v>0</v>
      </c>
      <c r="R254" cm="1">
        <f t="array" aca="1" ref="R254" ca="1">INDIRECT("Data!L" &amp; 249)</f>
        <v>0</v>
      </c>
      <c r="S254" cm="1">
        <f t="array" aca="1" ref="S254" ca="1">INDIRECT("Data!M" &amp; 249)</f>
        <v>0</v>
      </c>
      <c r="T254" cm="1">
        <f t="array" aca="1" ref="T254" ca="1">INDIRECT("Data!N" &amp; 249)</f>
        <v>0</v>
      </c>
      <c r="U254" cm="1">
        <f t="array" aca="1" ref="U254" ca="1">INDIRECT("Data!O" &amp; 249)</f>
        <v>0</v>
      </c>
      <c r="V254" cm="1">
        <f t="array" aca="1" ref="V254" ca="1">INDIRECT("Data!P" &amp; 249)</f>
        <v>0</v>
      </c>
    </row>
    <row r="255" spans="7:22" x14ac:dyDescent="0.25">
      <c r="G255" cm="1">
        <f t="array" aca="1" ref="G255" ca="1">INDIRECT("Data!A" &amp; 250)</f>
        <v>0</v>
      </c>
      <c r="H255" s="21" cm="1">
        <f t="array" aca="1" ref="H255" ca="1">INDIRECT("Data!B" &amp; 250)</f>
        <v>0</v>
      </c>
      <c r="I255" s="21" cm="1">
        <f t="array" aca="1" ref="I255" ca="1">INDIRECT("Data!C" &amp; 250)</f>
        <v>0</v>
      </c>
      <c r="J255" cm="1">
        <f t="array" aca="1" ref="J255" ca="1">INDIRECT("Data!D" &amp; 250)</f>
        <v>0</v>
      </c>
      <c r="K255" cm="1">
        <f t="array" aca="1" ref="K255" ca="1">INDIRECT("Data!E" &amp; 250)</f>
        <v>0</v>
      </c>
      <c r="L255" cm="1">
        <f t="array" aca="1" ref="L255" ca="1">INDIRECT("Data!F" &amp; 250)</f>
        <v>0</v>
      </c>
      <c r="M255" cm="1">
        <f t="array" aca="1" ref="M255" ca="1">INDIRECT("Data!G" &amp; 250)</f>
        <v>0</v>
      </c>
      <c r="N255" cm="1">
        <f t="array" aca="1" ref="N255" ca="1">INDIRECT("Data!H" &amp; 250)</f>
        <v>0</v>
      </c>
      <c r="O255" cm="1">
        <f t="array" aca="1" ref="O255" ca="1">INDIRECT("Data!I" &amp; 250)</f>
        <v>0</v>
      </c>
      <c r="P255" s="21" cm="1">
        <f t="array" aca="1" ref="P255" ca="1">INDIRECT("Data!J" &amp; 250)</f>
        <v>0</v>
      </c>
      <c r="Q255" cm="1">
        <f t="array" aca="1" ref="Q255" ca="1">INDIRECT("Data!K" &amp; 250)</f>
        <v>0</v>
      </c>
      <c r="R255" cm="1">
        <f t="array" aca="1" ref="R255" ca="1">INDIRECT("Data!L" &amp; 250)</f>
        <v>0</v>
      </c>
      <c r="S255" cm="1">
        <f t="array" aca="1" ref="S255" ca="1">INDIRECT("Data!M" &amp; 250)</f>
        <v>0</v>
      </c>
      <c r="T255" cm="1">
        <f t="array" aca="1" ref="T255" ca="1">INDIRECT("Data!N" &amp; 250)</f>
        <v>0</v>
      </c>
      <c r="U255" cm="1">
        <f t="array" aca="1" ref="U255" ca="1">INDIRECT("Data!O" &amp; 250)</f>
        <v>0</v>
      </c>
      <c r="V255" cm="1">
        <f t="array" aca="1" ref="V255" ca="1">INDIRECT("Data!P" &amp; 250)</f>
        <v>0</v>
      </c>
    </row>
    <row r="256" spans="7:22" x14ac:dyDescent="0.25">
      <c r="G256" cm="1">
        <f t="array" aca="1" ref="G256" ca="1">INDIRECT("Data!A" &amp; 251)</f>
        <v>0</v>
      </c>
      <c r="H256" s="21" cm="1">
        <f t="array" aca="1" ref="H256" ca="1">INDIRECT("Data!B" &amp; 251)</f>
        <v>0</v>
      </c>
      <c r="I256" s="21" cm="1">
        <f t="array" aca="1" ref="I256" ca="1">INDIRECT("Data!C" &amp; 251)</f>
        <v>0</v>
      </c>
      <c r="J256" cm="1">
        <f t="array" aca="1" ref="J256" ca="1">INDIRECT("Data!D" &amp; 251)</f>
        <v>0</v>
      </c>
      <c r="K256" cm="1">
        <f t="array" aca="1" ref="K256" ca="1">INDIRECT("Data!E" &amp; 251)</f>
        <v>0</v>
      </c>
      <c r="L256" cm="1">
        <f t="array" aca="1" ref="L256" ca="1">INDIRECT("Data!F" &amp; 251)</f>
        <v>0</v>
      </c>
      <c r="M256" cm="1">
        <f t="array" aca="1" ref="M256" ca="1">INDIRECT("Data!G" &amp; 251)</f>
        <v>0</v>
      </c>
      <c r="N256" cm="1">
        <f t="array" aca="1" ref="N256" ca="1">INDIRECT("Data!H" &amp; 251)</f>
        <v>0</v>
      </c>
      <c r="O256" cm="1">
        <f t="array" aca="1" ref="O256" ca="1">INDIRECT("Data!I" &amp; 251)</f>
        <v>0</v>
      </c>
      <c r="P256" s="21" cm="1">
        <f t="array" aca="1" ref="P256" ca="1">INDIRECT("Data!J" &amp; 251)</f>
        <v>0</v>
      </c>
      <c r="Q256" cm="1">
        <f t="array" aca="1" ref="Q256" ca="1">INDIRECT("Data!K" &amp; 251)</f>
        <v>0</v>
      </c>
      <c r="R256" cm="1">
        <f t="array" aca="1" ref="R256" ca="1">INDIRECT("Data!L" &amp; 251)</f>
        <v>0</v>
      </c>
      <c r="S256" cm="1">
        <f t="array" aca="1" ref="S256" ca="1">INDIRECT("Data!M" &amp; 251)</f>
        <v>0</v>
      </c>
      <c r="T256" cm="1">
        <f t="array" aca="1" ref="T256" ca="1">INDIRECT("Data!N" &amp; 251)</f>
        <v>0</v>
      </c>
      <c r="U256" cm="1">
        <f t="array" aca="1" ref="U256" ca="1">INDIRECT("Data!O" &amp; 251)</f>
        <v>0</v>
      </c>
      <c r="V256" cm="1">
        <f t="array" aca="1" ref="V256" ca="1">INDIRECT("Data!P" &amp; 251)</f>
        <v>0</v>
      </c>
    </row>
    <row r="257" spans="7:22" x14ac:dyDescent="0.25">
      <c r="G257" cm="1">
        <f t="array" aca="1" ref="G257" ca="1">INDIRECT("Data!A" &amp; 252)</f>
        <v>0</v>
      </c>
      <c r="H257" s="21" cm="1">
        <f t="array" aca="1" ref="H257" ca="1">INDIRECT("Data!B" &amp; 252)</f>
        <v>0</v>
      </c>
      <c r="I257" s="21" cm="1">
        <f t="array" aca="1" ref="I257" ca="1">INDIRECT("Data!C" &amp; 252)</f>
        <v>0</v>
      </c>
      <c r="J257" cm="1">
        <f t="array" aca="1" ref="J257" ca="1">INDIRECT("Data!D" &amp; 252)</f>
        <v>0</v>
      </c>
      <c r="K257" cm="1">
        <f t="array" aca="1" ref="K257" ca="1">INDIRECT("Data!E" &amp; 252)</f>
        <v>0</v>
      </c>
      <c r="L257" cm="1">
        <f t="array" aca="1" ref="L257" ca="1">INDIRECT("Data!F" &amp; 252)</f>
        <v>0</v>
      </c>
      <c r="M257" cm="1">
        <f t="array" aca="1" ref="M257" ca="1">INDIRECT("Data!G" &amp; 252)</f>
        <v>0</v>
      </c>
      <c r="N257" cm="1">
        <f t="array" aca="1" ref="N257" ca="1">INDIRECT("Data!H" &amp; 252)</f>
        <v>0</v>
      </c>
      <c r="O257" cm="1">
        <f t="array" aca="1" ref="O257" ca="1">INDIRECT("Data!I" &amp; 252)</f>
        <v>0</v>
      </c>
      <c r="P257" s="21" cm="1">
        <f t="array" aca="1" ref="P257" ca="1">INDIRECT("Data!J" &amp; 252)</f>
        <v>0</v>
      </c>
      <c r="Q257" cm="1">
        <f t="array" aca="1" ref="Q257" ca="1">INDIRECT("Data!K" &amp; 252)</f>
        <v>0</v>
      </c>
      <c r="R257" cm="1">
        <f t="array" aca="1" ref="R257" ca="1">INDIRECT("Data!L" &amp; 252)</f>
        <v>0</v>
      </c>
      <c r="S257" cm="1">
        <f t="array" aca="1" ref="S257" ca="1">INDIRECT("Data!M" &amp; 252)</f>
        <v>0</v>
      </c>
      <c r="T257" cm="1">
        <f t="array" aca="1" ref="T257" ca="1">INDIRECT("Data!N" &amp; 252)</f>
        <v>0</v>
      </c>
      <c r="U257" cm="1">
        <f t="array" aca="1" ref="U257" ca="1">INDIRECT("Data!O" &amp; 252)</f>
        <v>0</v>
      </c>
      <c r="V257" cm="1">
        <f t="array" aca="1" ref="V257" ca="1">INDIRECT("Data!P" &amp; 252)</f>
        <v>0</v>
      </c>
    </row>
    <row r="258" spans="7:22" x14ac:dyDescent="0.25">
      <c r="G258" cm="1">
        <f t="array" aca="1" ref="G258" ca="1">INDIRECT("Data!A" &amp; 253)</f>
        <v>0</v>
      </c>
      <c r="H258" s="21" cm="1">
        <f t="array" aca="1" ref="H258" ca="1">INDIRECT("Data!B" &amp; 253)</f>
        <v>0</v>
      </c>
      <c r="I258" s="21" cm="1">
        <f t="array" aca="1" ref="I258" ca="1">INDIRECT("Data!C" &amp; 253)</f>
        <v>0</v>
      </c>
      <c r="J258" cm="1">
        <f t="array" aca="1" ref="J258" ca="1">INDIRECT("Data!D" &amp; 253)</f>
        <v>0</v>
      </c>
      <c r="K258" cm="1">
        <f t="array" aca="1" ref="K258" ca="1">INDIRECT("Data!E" &amp; 253)</f>
        <v>0</v>
      </c>
      <c r="L258" cm="1">
        <f t="array" aca="1" ref="L258" ca="1">INDIRECT("Data!F" &amp; 253)</f>
        <v>0</v>
      </c>
      <c r="M258" cm="1">
        <f t="array" aca="1" ref="M258" ca="1">INDIRECT("Data!G" &amp; 253)</f>
        <v>0</v>
      </c>
      <c r="N258" cm="1">
        <f t="array" aca="1" ref="N258" ca="1">INDIRECT("Data!H" &amp; 253)</f>
        <v>0</v>
      </c>
      <c r="O258" cm="1">
        <f t="array" aca="1" ref="O258" ca="1">INDIRECT("Data!I" &amp; 253)</f>
        <v>0</v>
      </c>
      <c r="P258" s="21" cm="1">
        <f t="array" aca="1" ref="P258" ca="1">INDIRECT("Data!J" &amp; 253)</f>
        <v>0</v>
      </c>
      <c r="Q258" cm="1">
        <f t="array" aca="1" ref="Q258" ca="1">INDIRECT("Data!K" &amp; 253)</f>
        <v>0</v>
      </c>
      <c r="R258" cm="1">
        <f t="array" aca="1" ref="R258" ca="1">INDIRECT("Data!L" &amp; 253)</f>
        <v>0</v>
      </c>
      <c r="S258" cm="1">
        <f t="array" aca="1" ref="S258" ca="1">INDIRECT("Data!M" &amp; 253)</f>
        <v>0</v>
      </c>
      <c r="T258" cm="1">
        <f t="array" aca="1" ref="T258" ca="1">INDIRECT("Data!N" &amp; 253)</f>
        <v>0</v>
      </c>
      <c r="U258" cm="1">
        <f t="array" aca="1" ref="U258" ca="1">INDIRECT("Data!O" &amp; 253)</f>
        <v>0</v>
      </c>
      <c r="V258" cm="1">
        <f t="array" aca="1" ref="V258" ca="1">INDIRECT("Data!P" &amp; 253)</f>
        <v>0</v>
      </c>
    </row>
    <row r="259" spans="7:22" x14ac:dyDescent="0.25">
      <c r="G259" cm="1">
        <f t="array" aca="1" ref="G259" ca="1">INDIRECT("Data!A" &amp; 254)</f>
        <v>0</v>
      </c>
      <c r="H259" s="21" cm="1">
        <f t="array" aca="1" ref="H259" ca="1">INDIRECT("Data!B" &amp; 254)</f>
        <v>0</v>
      </c>
      <c r="I259" s="21" cm="1">
        <f t="array" aca="1" ref="I259" ca="1">INDIRECT("Data!C" &amp; 254)</f>
        <v>0</v>
      </c>
      <c r="J259" cm="1">
        <f t="array" aca="1" ref="J259" ca="1">INDIRECT("Data!D" &amp; 254)</f>
        <v>0</v>
      </c>
      <c r="K259" cm="1">
        <f t="array" aca="1" ref="K259" ca="1">INDIRECT("Data!E" &amp; 254)</f>
        <v>0</v>
      </c>
      <c r="L259" cm="1">
        <f t="array" aca="1" ref="L259" ca="1">INDIRECT("Data!F" &amp; 254)</f>
        <v>0</v>
      </c>
      <c r="M259" cm="1">
        <f t="array" aca="1" ref="M259" ca="1">INDIRECT("Data!G" &amp; 254)</f>
        <v>0</v>
      </c>
      <c r="N259" cm="1">
        <f t="array" aca="1" ref="N259" ca="1">INDIRECT("Data!H" &amp; 254)</f>
        <v>0</v>
      </c>
      <c r="O259" cm="1">
        <f t="array" aca="1" ref="O259" ca="1">INDIRECT("Data!I" &amp; 254)</f>
        <v>0</v>
      </c>
      <c r="P259" s="21" cm="1">
        <f t="array" aca="1" ref="P259" ca="1">INDIRECT("Data!J" &amp; 254)</f>
        <v>0</v>
      </c>
      <c r="Q259" cm="1">
        <f t="array" aca="1" ref="Q259" ca="1">INDIRECT("Data!K" &amp; 254)</f>
        <v>0</v>
      </c>
      <c r="R259" cm="1">
        <f t="array" aca="1" ref="R259" ca="1">INDIRECT("Data!L" &amp; 254)</f>
        <v>0</v>
      </c>
      <c r="S259" cm="1">
        <f t="array" aca="1" ref="S259" ca="1">INDIRECT("Data!M" &amp; 254)</f>
        <v>0</v>
      </c>
      <c r="T259" cm="1">
        <f t="array" aca="1" ref="T259" ca="1">INDIRECT("Data!N" &amp; 254)</f>
        <v>0</v>
      </c>
      <c r="U259" cm="1">
        <f t="array" aca="1" ref="U259" ca="1">INDIRECT("Data!O" &amp; 254)</f>
        <v>0</v>
      </c>
      <c r="V259" cm="1">
        <f t="array" aca="1" ref="V259" ca="1">INDIRECT("Data!P" &amp; 254)</f>
        <v>0</v>
      </c>
    </row>
    <row r="260" spans="7:22" x14ac:dyDescent="0.25">
      <c r="G260" cm="1">
        <f t="array" aca="1" ref="G260" ca="1">INDIRECT("Data!A" &amp; 255)</f>
        <v>0</v>
      </c>
      <c r="H260" s="21" cm="1">
        <f t="array" aca="1" ref="H260" ca="1">INDIRECT("Data!B" &amp; 255)</f>
        <v>0</v>
      </c>
      <c r="I260" s="21" cm="1">
        <f t="array" aca="1" ref="I260" ca="1">INDIRECT("Data!C" &amp; 255)</f>
        <v>0</v>
      </c>
      <c r="J260" cm="1">
        <f t="array" aca="1" ref="J260" ca="1">INDIRECT("Data!D" &amp; 255)</f>
        <v>0</v>
      </c>
      <c r="K260" cm="1">
        <f t="array" aca="1" ref="K260" ca="1">INDIRECT("Data!E" &amp; 255)</f>
        <v>0</v>
      </c>
      <c r="L260" cm="1">
        <f t="array" aca="1" ref="L260" ca="1">INDIRECT("Data!F" &amp; 255)</f>
        <v>0</v>
      </c>
      <c r="M260" cm="1">
        <f t="array" aca="1" ref="M260" ca="1">INDIRECT("Data!G" &amp; 255)</f>
        <v>0</v>
      </c>
      <c r="N260" cm="1">
        <f t="array" aca="1" ref="N260" ca="1">INDIRECT("Data!H" &amp; 255)</f>
        <v>0</v>
      </c>
      <c r="O260" cm="1">
        <f t="array" aca="1" ref="O260" ca="1">INDIRECT("Data!I" &amp; 255)</f>
        <v>0</v>
      </c>
      <c r="P260" s="21" cm="1">
        <f t="array" aca="1" ref="P260" ca="1">INDIRECT("Data!J" &amp; 255)</f>
        <v>0</v>
      </c>
      <c r="Q260" cm="1">
        <f t="array" aca="1" ref="Q260" ca="1">INDIRECT("Data!K" &amp; 255)</f>
        <v>0</v>
      </c>
      <c r="R260" cm="1">
        <f t="array" aca="1" ref="R260" ca="1">INDIRECT("Data!L" &amp; 255)</f>
        <v>0</v>
      </c>
      <c r="S260" cm="1">
        <f t="array" aca="1" ref="S260" ca="1">INDIRECT("Data!M" &amp; 255)</f>
        <v>0</v>
      </c>
      <c r="T260" cm="1">
        <f t="array" aca="1" ref="T260" ca="1">INDIRECT("Data!N" &amp; 255)</f>
        <v>0</v>
      </c>
      <c r="U260" cm="1">
        <f t="array" aca="1" ref="U260" ca="1">INDIRECT("Data!O" &amp; 255)</f>
        <v>0</v>
      </c>
      <c r="V260" cm="1">
        <f t="array" aca="1" ref="V260" ca="1">INDIRECT("Data!P" &amp; 255)</f>
        <v>0</v>
      </c>
    </row>
    <row r="261" spans="7:22" x14ac:dyDescent="0.25">
      <c r="G261" cm="1">
        <f t="array" aca="1" ref="G261" ca="1">INDIRECT("Data!A" &amp; 256)</f>
        <v>0</v>
      </c>
      <c r="H261" s="21" cm="1">
        <f t="array" aca="1" ref="H261" ca="1">INDIRECT("Data!B" &amp; 256)</f>
        <v>0</v>
      </c>
      <c r="I261" s="21" cm="1">
        <f t="array" aca="1" ref="I261" ca="1">INDIRECT("Data!C" &amp; 256)</f>
        <v>0</v>
      </c>
      <c r="J261" cm="1">
        <f t="array" aca="1" ref="J261" ca="1">INDIRECT("Data!D" &amp; 256)</f>
        <v>0</v>
      </c>
      <c r="K261" cm="1">
        <f t="array" aca="1" ref="K261" ca="1">INDIRECT("Data!E" &amp; 256)</f>
        <v>0</v>
      </c>
      <c r="L261" cm="1">
        <f t="array" aca="1" ref="L261" ca="1">INDIRECT("Data!F" &amp; 256)</f>
        <v>0</v>
      </c>
      <c r="M261" cm="1">
        <f t="array" aca="1" ref="M261" ca="1">INDIRECT("Data!G" &amp; 256)</f>
        <v>0</v>
      </c>
      <c r="N261" cm="1">
        <f t="array" aca="1" ref="N261" ca="1">INDIRECT("Data!H" &amp; 256)</f>
        <v>0</v>
      </c>
      <c r="O261" cm="1">
        <f t="array" aca="1" ref="O261" ca="1">INDIRECT("Data!I" &amp; 256)</f>
        <v>0</v>
      </c>
      <c r="P261" s="21" cm="1">
        <f t="array" aca="1" ref="P261" ca="1">INDIRECT("Data!J" &amp; 256)</f>
        <v>0</v>
      </c>
      <c r="Q261" cm="1">
        <f t="array" aca="1" ref="Q261" ca="1">INDIRECT("Data!K" &amp; 256)</f>
        <v>0</v>
      </c>
      <c r="R261" cm="1">
        <f t="array" aca="1" ref="R261" ca="1">INDIRECT("Data!L" &amp; 256)</f>
        <v>0</v>
      </c>
      <c r="S261" cm="1">
        <f t="array" aca="1" ref="S261" ca="1">INDIRECT("Data!M" &amp; 256)</f>
        <v>0</v>
      </c>
      <c r="T261" cm="1">
        <f t="array" aca="1" ref="T261" ca="1">INDIRECT("Data!N" &amp; 256)</f>
        <v>0</v>
      </c>
      <c r="U261" cm="1">
        <f t="array" aca="1" ref="U261" ca="1">INDIRECT("Data!O" &amp; 256)</f>
        <v>0</v>
      </c>
      <c r="V261" cm="1">
        <f t="array" aca="1" ref="V261" ca="1">INDIRECT("Data!P" &amp; 256)</f>
        <v>0</v>
      </c>
    </row>
    <row r="262" spans="7:22" x14ac:dyDescent="0.25">
      <c r="G262" cm="1">
        <f t="array" aca="1" ref="G262" ca="1">INDIRECT("Data!A" &amp; 257)</f>
        <v>0</v>
      </c>
      <c r="H262" s="21" cm="1">
        <f t="array" aca="1" ref="H262" ca="1">INDIRECT("Data!B" &amp; 257)</f>
        <v>0</v>
      </c>
      <c r="I262" s="21" cm="1">
        <f t="array" aca="1" ref="I262" ca="1">INDIRECT("Data!C" &amp; 257)</f>
        <v>0</v>
      </c>
      <c r="J262" cm="1">
        <f t="array" aca="1" ref="J262" ca="1">INDIRECT("Data!D" &amp; 257)</f>
        <v>0</v>
      </c>
      <c r="K262" cm="1">
        <f t="array" aca="1" ref="K262" ca="1">INDIRECT("Data!E" &amp; 257)</f>
        <v>0</v>
      </c>
      <c r="L262" cm="1">
        <f t="array" aca="1" ref="L262" ca="1">INDIRECT("Data!F" &amp; 257)</f>
        <v>0</v>
      </c>
      <c r="M262" cm="1">
        <f t="array" aca="1" ref="M262" ca="1">INDIRECT("Data!G" &amp; 257)</f>
        <v>0</v>
      </c>
      <c r="N262" cm="1">
        <f t="array" aca="1" ref="N262" ca="1">INDIRECT("Data!H" &amp; 257)</f>
        <v>0</v>
      </c>
      <c r="O262" cm="1">
        <f t="array" aca="1" ref="O262" ca="1">INDIRECT("Data!I" &amp; 257)</f>
        <v>0</v>
      </c>
      <c r="P262" s="21" cm="1">
        <f t="array" aca="1" ref="P262" ca="1">INDIRECT("Data!J" &amp; 257)</f>
        <v>0</v>
      </c>
      <c r="Q262" cm="1">
        <f t="array" aca="1" ref="Q262" ca="1">INDIRECT("Data!K" &amp; 257)</f>
        <v>0</v>
      </c>
      <c r="R262" cm="1">
        <f t="array" aca="1" ref="R262" ca="1">INDIRECT("Data!L" &amp; 257)</f>
        <v>0</v>
      </c>
      <c r="S262" cm="1">
        <f t="array" aca="1" ref="S262" ca="1">INDIRECT("Data!M" &amp; 257)</f>
        <v>0</v>
      </c>
      <c r="T262" cm="1">
        <f t="array" aca="1" ref="T262" ca="1">INDIRECT("Data!N" &amp; 257)</f>
        <v>0</v>
      </c>
      <c r="U262" cm="1">
        <f t="array" aca="1" ref="U262" ca="1">INDIRECT("Data!O" &amp; 257)</f>
        <v>0</v>
      </c>
      <c r="V262" cm="1">
        <f t="array" aca="1" ref="V262" ca="1">INDIRECT("Data!P" &amp; 257)</f>
        <v>0</v>
      </c>
    </row>
    <row r="263" spans="7:22" x14ac:dyDescent="0.25">
      <c r="G263" cm="1">
        <f t="array" aca="1" ref="G263" ca="1">INDIRECT("Data!A" &amp; 258)</f>
        <v>0</v>
      </c>
      <c r="H263" s="21" cm="1">
        <f t="array" aca="1" ref="H263" ca="1">INDIRECT("Data!B" &amp; 258)</f>
        <v>0</v>
      </c>
      <c r="I263" s="21" cm="1">
        <f t="array" aca="1" ref="I263" ca="1">INDIRECT("Data!C" &amp; 258)</f>
        <v>0</v>
      </c>
      <c r="J263" cm="1">
        <f t="array" aca="1" ref="J263" ca="1">INDIRECT("Data!D" &amp; 258)</f>
        <v>0</v>
      </c>
      <c r="K263" cm="1">
        <f t="array" aca="1" ref="K263" ca="1">INDIRECT("Data!E" &amp; 258)</f>
        <v>0</v>
      </c>
      <c r="L263" cm="1">
        <f t="array" aca="1" ref="L263" ca="1">INDIRECT("Data!F" &amp; 258)</f>
        <v>0</v>
      </c>
      <c r="M263" cm="1">
        <f t="array" aca="1" ref="M263" ca="1">INDIRECT("Data!G" &amp; 258)</f>
        <v>0</v>
      </c>
      <c r="N263" cm="1">
        <f t="array" aca="1" ref="N263" ca="1">INDIRECT("Data!H" &amp; 258)</f>
        <v>0</v>
      </c>
      <c r="O263" cm="1">
        <f t="array" aca="1" ref="O263" ca="1">INDIRECT("Data!I" &amp; 258)</f>
        <v>0</v>
      </c>
      <c r="P263" s="21" cm="1">
        <f t="array" aca="1" ref="P263" ca="1">INDIRECT("Data!J" &amp; 258)</f>
        <v>0</v>
      </c>
      <c r="Q263" cm="1">
        <f t="array" aca="1" ref="Q263" ca="1">INDIRECT("Data!K" &amp; 258)</f>
        <v>0</v>
      </c>
      <c r="R263" cm="1">
        <f t="array" aca="1" ref="R263" ca="1">INDIRECT("Data!L" &amp; 258)</f>
        <v>0</v>
      </c>
      <c r="S263" cm="1">
        <f t="array" aca="1" ref="S263" ca="1">INDIRECT("Data!M" &amp; 258)</f>
        <v>0</v>
      </c>
      <c r="T263" cm="1">
        <f t="array" aca="1" ref="T263" ca="1">INDIRECT("Data!N" &amp; 258)</f>
        <v>0</v>
      </c>
      <c r="U263" cm="1">
        <f t="array" aca="1" ref="U263" ca="1">INDIRECT("Data!O" &amp; 258)</f>
        <v>0</v>
      </c>
      <c r="V263" cm="1">
        <f t="array" aca="1" ref="V263" ca="1">INDIRECT("Data!P" &amp; 258)</f>
        <v>0</v>
      </c>
    </row>
    <row r="264" spans="7:22" x14ac:dyDescent="0.25">
      <c r="G264" cm="1">
        <f t="array" aca="1" ref="G264" ca="1">INDIRECT("Data!A" &amp; 259)</f>
        <v>0</v>
      </c>
      <c r="H264" s="21" cm="1">
        <f t="array" aca="1" ref="H264" ca="1">INDIRECT("Data!B" &amp; 259)</f>
        <v>0</v>
      </c>
      <c r="I264" s="21" cm="1">
        <f t="array" aca="1" ref="I264" ca="1">INDIRECT("Data!C" &amp; 259)</f>
        <v>0</v>
      </c>
      <c r="J264" cm="1">
        <f t="array" aca="1" ref="J264" ca="1">INDIRECT("Data!D" &amp; 259)</f>
        <v>0</v>
      </c>
      <c r="K264" cm="1">
        <f t="array" aca="1" ref="K264" ca="1">INDIRECT("Data!E" &amp; 259)</f>
        <v>0</v>
      </c>
      <c r="L264" cm="1">
        <f t="array" aca="1" ref="L264" ca="1">INDIRECT("Data!F" &amp; 259)</f>
        <v>0</v>
      </c>
      <c r="M264" cm="1">
        <f t="array" aca="1" ref="M264" ca="1">INDIRECT("Data!G" &amp; 259)</f>
        <v>0</v>
      </c>
      <c r="N264" cm="1">
        <f t="array" aca="1" ref="N264" ca="1">INDIRECT("Data!H" &amp; 259)</f>
        <v>0</v>
      </c>
      <c r="O264" cm="1">
        <f t="array" aca="1" ref="O264" ca="1">INDIRECT("Data!I" &amp; 259)</f>
        <v>0</v>
      </c>
      <c r="P264" s="21" cm="1">
        <f t="array" aca="1" ref="P264" ca="1">INDIRECT("Data!J" &amp; 259)</f>
        <v>0</v>
      </c>
      <c r="Q264" cm="1">
        <f t="array" aca="1" ref="Q264" ca="1">INDIRECT("Data!K" &amp; 259)</f>
        <v>0</v>
      </c>
      <c r="R264" cm="1">
        <f t="array" aca="1" ref="R264" ca="1">INDIRECT("Data!L" &amp; 259)</f>
        <v>0</v>
      </c>
      <c r="S264" cm="1">
        <f t="array" aca="1" ref="S264" ca="1">INDIRECT("Data!M" &amp; 259)</f>
        <v>0</v>
      </c>
      <c r="T264" cm="1">
        <f t="array" aca="1" ref="T264" ca="1">INDIRECT("Data!N" &amp; 259)</f>
        <v>0</v>
      </c>
      <c r="U264" cm="1">
        <f t="array" aca="1" ref="U264" ca="1">INDIRECT("Data!O" &amp; 259)</f>
        <v>0</v>
      </c>
      <c r="V264" cm="1">
        <f t="array" aca="1" ref="V264" ca="1">INDIRECT("Data!P" &amp; 259)</f>
        <v>0</v>
      </c>
    </row>
    <row r="265" spans="7:22" x14ac:dyDescent="0.25">
      <c r="G265" cm="1">
        <f t="array" aca="1" ref="G265" ca="1">INDIRECT("Data!A" &amp; 260)</f>
        <v>0</v>
      </c>
      <c r="H265" s="21" cm="1">
        <f t="array" aca="1" ref="H265" ca="1">INDIRECT("Data!B" &amp; 260)</f>
        <v>0</v>
      </c>
      <c r="I265" s="21" cm="1">
        <f t="array" aca="1" ref="I265" ca="1">INDIRECT("Data!C" &amp; 260)</f>
        <v>0</v>
      </c>
      <c r="J265" cm="1">
        <f t="array" aca="1" ref="J265" ca="1">INDIRECT("Data!D" &amp; 260)</f>
        <v>0</v>
      </c>
      <c r="K265" cm="1">
        <f t="array" aca="1" ref="K265" ca="1">INDIRECT("Data!E" &amp; 260)</f>
        <v>0</v>
      </c>
      <c r="L265" cm="1">
        <f t="array" aca="1" ref="L265" ca="1">INDIRECT("Data!F" &amp; 260)</f>
        <v>0</v>
      </c>
      <c r="M265" cm="1">
        <f t="array" aca="1" ref="M265" ca="1">INDIRECT("Data!G" &amp; 260)</f>
        <v>0</v>
      </c>
      <c r="N265" cm="1">
        <f t="array" aca="1" ref="N265" ca="1">INDIRECT("Data!H" &amp; 260)</f>
        <v>0</v>
      </c>
      <c r="O265" cm="1">
        <f t="array" aca="1" ref="O265" ca="1">INDIRECT("Data!I" &amp; 260)</f>
        <v>0</v>
      </c>
      <c r="P265" s="21" cm="1">
        <f t="array" aca="1" ref="P265" ca="1">INDIRECT("Data!J" &amp; 260)</f>
        <v>0</v>
      </c>
      <c r="Q265" cm="1">
        <f t="array" aca="1" ref="Q265" ca="1">INDIRECT("Data!K" &amp; 260)</f>
        <v>0</v>
      </c>
      <c r="R265" cm="1">
        <f t="array" aca="1" ref="R265" ca="1">INDIRECT("Data!L" &amp; 260)</f>
        <v>0</v>
      </c>
      <c r="S265" cm="1">
        <f t="array" aca="1" ref="S265" ca="1">INDIRECT("Data!M" &amp; 260)</f>
        <v>0</v>
      </c>
      <c r="T265" cm="1">
        <f t="array" aca="1" ref="T265" ca="1">INDIRECT("Data!N" &amp; 260)</f>
        <v>0</v>
      </c>
      <c r="U265" cm="1">
        <f t="array" aca="1" ref="U265" ca="1">INDIRECT("Data!O" &amp; 260)</f>
        <v>0</v>
      </c>
      <c r="V265" cm="1">
        <f t="array" aca="1" ref="V265" ca="1">INDIRECT("Data!P" &amp; 260)</f>
        <v>0</v>
      </c>
    </row>
    <row r="266" spans="7:22" x14ac:dyDescent="0.25">
      <c r="G266" cm="1">
        <f t="array" aca="1" ref="G266" ca="1">INDIRECT("Data!A" &amp; 261)</f>
        <v>0</v>
      </c>
      <c r="H266" s="21" cm="1">
        <f t="array" aca="1" ref="H266" ca="1">INDIRECT("Data!B" &amp; 261)</f>
        <v>0</v>
      </c>
      <c r="I266" s="21" cm="1">
        <f t="array" aca="1" ref="I266" ca="1">INDIRECT("Data!C" &amp; 261)</f>
        <v>0</v>
      </c>
      <c r="J266" cm="1">
        <f t="array" aca="1" ref="J266" ca="1">INDIRECT("Data!D" &amp; 261)</f>
        <v>0</v>
      </c>
      <c r="K266" cm="1">
        <f t="array" aca="1" ref="K266" ca="1">INDIRECT("Data!E" &amp; 261)</f>
        <v>0</v>
      </c>
      <c r="L266" cm="1">
        <f t="array" aca="1" ref="L266" ca="1">INDIRECT("Data!F" &amp; 261)</f>
        <v>0</v>
      </c>
      <c r="M266" cm="1">
        <f t="array" aca="1" ref="M266" ca="1">INDIRECT("Data!G" &amp; 261)</f>
        <v>0</v>
      </c>
      <c r="N266" cm="1">
        <f t="array" aca="1" ref="N266" ca="1">INDIRECT("Data!H" &amp; 261)</f>
        <v>0</v>
      </c>
      <c r="O266" cm="1">
        <f t="array" aca="1" ref="O266" ca="1">INDIRECT("Data!I" &amp; 261)</f>
        <v>0</v>
      </c>
      <c r="P266" s="21" cm="1">
        <f t="array" aca="1" ref="P266" ca="1">INDIRECT("Data!J" &amp; 261)</f>
        <v>0</v>
      </c>
      <c r="Q266" cm="1">
        <f t="array" aca="1" ref="Q266" ca="1">INDIRECT("Data!K" &amp; 261)</f>
        <v>0</v>
      </c>
      <c r="R266" cm="1">
        <f t="array" aca="1" ref="R266" ca="1">INDIRECT("Data!L" &amp; 261)</f>
        <v>0</v>
      </c>
      <c r="S266" cm="1">
        <f t="array" aca="1" ref="S266" ca="1">INDIRECT("Data!M" &amp; 261)</f>
        <v>0</v>
      </c>
      <c r="T266" cm="1">
        <f t="array" aca="1" ref="T266" ca="1">INDIRECT("Data!N" &amp; 261)</f>
        <v>0</v>
      </c>
      <c r="U266" cm="1">
        <f t="array" aca="1" ref="U266" ca="1">INDIRECT("Data!O" &amp; 261)</f>
        <v>0</v>
      </c>
      <c r="V266" cm="1">
        <f t="array" aca="1" ref="V266" ca="1">INDIRECT("Data!P" &amp; 261)</f>
        <v>0</v>
      </c>
    </row>
    <row r="267" spans="7:22" x14ac:dyDescent="0.25">
      <c r="G267" cm="1">
        <f t="array" aca="1" ref="G267" ca="1">INDIRECT("Data!A" &amp; 262)</f>
        <v>0</v>
      </c>
      <c r="H267" s="21" cm="1">
        <f t="array" aca="1" ref="H267" ca="1">INDIRECT("Data!B" &amp; 262)</f>
        <v>0</v>
      </c>
      <c r="I267" s="21" cm="1">
        <f t="array" aca="1" ref="I267" ca="1">INDIRECT("Data!C" &amp; 262)</f>
        <v>0</v>
      </c>
      <c r="J267" cm="1">
        <f t="array" aca="1" ref="J267" ca="1">INDIRECT("Data!D" &amp; 262)</f>
        <v>0</v>
      </c>
      <c r="K267" cm="1">
        <f t="array" aca="1" ref="K267" ca="1">INDIRECT("Data!E" &amp; 262)</f>
        <v>0</v>
      </c>
      <c r="L267" cm="1">
        <f t="array" aca="1" ref="L267" ca="1">INDIRECT("Data!F" &amp; 262)</f>
        <v>0</v>
      </c>
      <c r="M267" cm="1">
        <f t="array" aca="1" ref="M267" ca="1">INDIRECT("Data!G" &amp; 262)</f>
        <v>0</v>
      </c>
      <c r="N267" cm="1">
        <f t="array" aca="1" ref="N267" ca="1">INDIRECT("Data!H" &amp; 262)</f>
        <v>0</v>
      </c>
      <c r="O267" cm="1">
        <f t="array" aca="1" ref="O267" ca="1">INDIRECT("Data!I" &amp; 262)</f>
        <v>0</v>
      </c>
      <c r="P267" s="21" cm="1">
        <f t="array" aca="1" ref="P267" ca="1">INDIRECT("Data!J" &amp; 262)</f>
        <v>0</v>
      </c>
      <c r="Q267" cm="1">
        <f t="array" aca="1" ref="Q267" ca="1">INDIRECT("Data!K" &amp; 262)</f>
        <v>0</v>
      </c>
      <c r="R267" cm="1">
        <f t="array" aca="1" ref="R267" ca="1">INDIRECT("Data!L" &amp; 262)</f>
        <v>0</v>
      </c>
      <c r="S267" cm="1">
        <f t="array" aca="1" ref="S267" ca="1">INDIRECT("Data!M" &amp; 262)</f>
        <v>0</v>
      </c>
      <c r="T267" cm="1">
        <f t="array" aca="1" ref="T267" ca="1">INDIRECT("Data!N" &amp; 262)</f>
        <v>0</v>
      </c>
      <c r="U267" cm="1">
        <f t="array" aca="1" ref="U267" ca="1">INDIRECT("Data!O" &amp; 262)</f>
        <v>0</v>
      </c>
      <c r="V267" cm="1">
        <f t="array" aca="1" ref="V267" ca="1">INDIRECT("Data!P" &amp; 262)</f>
        <v>0</v>
      </c>
    </row>
    <row r="268" spans="7:22" x14ac:dyDescent="0.25">
      <c r="G268" cm="1">
        <f t="array" aca="1" ref="G268" ca="1">INDIRECT("Data!A" &amp; 263)</f>
        <v>0</v>
      </c>
      <c r="H268" s="21" cm="1">
        <f t="array" aca="1" ref="H268" ca="1">INDIRECT("Data!B" &amp; 263)</f>
        <v>0</v>
      </c>
      <c r="I268" s="21" cm="1">
        <f t="array" aca="1" ref="I268" ca="1">INDIRECT("Data!C" &amp; 263)</f>
        <v>0</v>
      </c>
      <c r="J268" cm="1">
        <f t="array" aca="1" ref="J268" ca="1">INDIRECT("Data!D" &amp; 263)</f>
        <v>0</v>
      </c>
      <c r="K268" cm="1">
        <f t="array" aca="1" ref="K268" ca="1">INDIRECT("Data!E" &amp; 263)</f>
        <v>0</v>
      </c>
      <c r="L268" cm="1">
        <f t="array" aca="1" ref="L268" ca="1">INDIRECT("Data!F" &amp; 263)</f>
        <v>0</v>
      </c>
      <c r="M268" cm="1">
        <f t="array" aca="1" ref="M268" ca="1">INDIRECT("Data!G" &amp; 263)</f>
        <v>0</v>
      </c>
      <c r="N268" cm="1">
        <f t="array" aca="1" ref="N268" ca="1">INDIRECT("Data!H" &amp; 263)</f>
        <v>0</v>
      </c>
      <c r="O268" cm="1">
        <f t="array" aca="1" ref="O268" ca="1">INDIRECT("Data!I" &amp; 263)</f>
        <v>0</v>
      </c>
      <c r="P268" s="21" cm="1">
        <f t="array" aca="1" ref="P268" ca="1">INDIRECT("Data!J" &amp; 263)</f>
        <v>0</v>
      </c>
      <c r="Q268" cm="1">
        <f t="array" aca="1" ref="Q268" ca="1">INDIRECT("Data!K" &amp; 263)</f>
        <v>0</v>
      </c>
      <c r="R268" cm="1">
        <f t="array" aca="1" ref="R268" ca="1">INDIRECT("Data!L" &amp; 263)</f>
        <v>0</v>
      </c>
      <c r="S268" cm="1">
        <f t="array" aca="1" ref="S268" ca="1">INDIRECT("Data!M" &amp; 263)</f>
        <v>0</v>
      </c>
      <c r="T268" cm="1">
        <f t="array" aca="1" ref="T268" ca="1">INDIRECT("Data!N" &amp; 263)</f>
        <v>0</v>
      </c>
      <c r="U268" cm="1">
        <f t="array" aca="1" ref="U268" ca="1">INDIRECT("Data!O" &amp; 263)</f>
        <v>0</v>
      </c>
      <c r="V268" cm="1">
        <f t="array" aca="1" ref="V268" ca="1">INDIRECT("Data!P" &amp; 263)</f>
        <v>0</v>
      </c>
    </row>
    <row r="269" spans="7:22" x14ac:dyDescent="0.25">
      <c r="G269" cm="1">
        <f t="array" aca="1" ref="G269" ca="1">INDIRECT("Data!A" &amp; 264)</f>
        <v>0</v>
      </c>
      <c r="H269" s="21" cm="1">
        <f t="array" aca="1" ref="H269" ca="1">INDIRECT("Data!B" &amp; 264)</f>
        <v>0</v>
      </c>
      <c r="I269" s="21" cm="1">
        <f t="array" aca="1" ref="I269" ca="1">INDIRECT("Data!C" &amp; 264)</f>
        <v>0</v>
      </c>
      <c r="J269" cm="1">
        <f t="array" aca="1" ref="J269" ca="1">INDIRECT("Data!D" &amp; 264)</f>
        <v>0</v>
      </c>
      <c r="K269" cm="1">
        <f t="array" aca="1" ref="K269" ca="1">INDIRECT("Data!E" &amp; 264)</f>
        <v>0</v>
      </c>
      <c r="L269" cm="1">
        <f t="array" aca="1" ref="L269" ca="1">INDIRECT("Data!F" &amp; 264)</f>
        <v>0</v>
      </c>
      <c r="M269" cm="1">
        <f t="array" aca="1" ref="M269" ca="1">INDIRECT("Data!G" &amp; 264)</f>
        <v>0</v>
      </c>
      <c r="N269" cm="1">
        <f t="array" aca="1" ref="N269" ca="1">INDIRECT("Data!H" &amp; 264)</f>
        <v>0</v>
      </c>
      <c r="O269" cm="1">
        <f t="array" aca="1" ref="O269" ca="1">INDIRECT("Data!I" &amp; 264)</f>
        <v>0</v>
      </c>
      <c r="P269" s="21" cm="1">
        <f t="array" aca="1" ref="P269" ca="1">INDIRECT("Data!J" &amp; 264)</f>
        <v>0</v>
      </c>
      <c r="Q269" cm="1">
        <f t="array" aca="1" ref="Q269" ca="1">INDIRECT("Data!K" &amp; 264)</f>
        <v>0</v>
      </c>
      <c r="R269" cm="1">
        <f t="array" aca="1" ref="R269" ca="1">INDIRECT("Data!L" &amp; 264)</f>
        <v>0</v>
      </c>
      <c r="S269" cm="1">
        <f t="array" aca="1" ref="S269" ca="1">INDIRECT("Data!M" &amp; 264)</f>
        <v>0</v>
      </c>
      <c r="T269" cm="1">
        <f t="array" aca="1" ref="T269" ca="1">INDIRECT("Data!N" &amp; 264)</f>
        <v>0</v>
      </c>
      <c r="U269" cm="1">
        <f t="array" aca="1" ref="U269" ca="1">INDIRECT("Data!O" &amp; 264)</f>
        <v>0</v>
      </c>
      <c r="V269" cm="1">
        <f t="array" aca="1" ref="V269" ca="1">INDIRECT("Data!P" &amp; 264)</f>
        <v>0</v>
      </c>
    </row>
    <row r="270" spans="7:22" x14ac:dyDescent="0.25">
      <c r="G270" cm="1">
        <f t="array" aca="1" ref="G270" ca="1">INDIRECT("Data!A" &amp; 265)</f>
        <v>0</v>
      </c>
      <c r="H270" s="21" cm="1">
        <f t="array" aca="1" ref="H270" ca="1">INDIRECT("Data!B" &amp; 265)</f>
        <v>0</v>
      </c>
      <c r="I270" s="21" cm="1">
        <f t="array" aca="1" ref="I270" ca="1">INDIRECT("Data!C" &amp; 265)</f>
        <v>0</v>
      </c>
      <c r="J270" cm="1">
        <f t="array" aca="1" ref="J270" ca="1">INDIRECT("Data!D" &amp; 265)</f>
        <v>0</v>
      </c>
      <c r="K270" cm="1">
        <f t="array" aca="1" ref="K270" ca="1">INDIRECT("Data!E" &amp; 265)</f>
        <v>0</v>
      </c>
      <c r="L270" cm="1">
        <f t="array" aca="1" ref="L270" ca="1">INDIRECT("Data!F" &amp; 265)</f>
        <v>0</v>
      </c>
      <c r="M270" cm="1">
        <f t="array" aca="1" ref="M270" ca="1">INDIRECT("Data!G" &amp; 265)</f>
        <v>0</v>
      </c>
      <c r="N270" cm="1">
        <f t="array" aca="1" ref="N270" ca="1">INDIRECT("Data!H" &amp; 265)</f>
        <v>0</v>
      </c>
      <c r="O270" cm="1">
        <f t="array" aca="1" ref="O270" ca="1">INDIRECT("Data!I" &amp; 265)</f>
        <v>0</v>
      </c>
      <c r="P270" s="21" cm="1">
        <f t="array" aca="1" ref="P270" ca="1">INDIRECT("Data!J" &amp; 265)</f>
        <v>0</v>
      </c>
      <c r="Q270" cm="1">
        <f t="array" aca="1" ref="Q270" ca="1">INDIRECT("Data!K" &amp; 265)</f>
        <v>0</v>
      </c>
      <c r="R270" cm="1">
        <f t="array" aca="1" ref="R270" ca="1">INDIRECT("Data!L" &amp; 265)</f>
        <v>0</v>
      </c>
      <c r="S270" cm="1">
        <f t="array" aca="1" ref="S270" ca="1">INDIRECT("Data!M" &amp; 265)</f>
        <v>0</v>
      </c>
      <c r="T270" cm="1">
        <f t="array" aca="1" ref="T270" ca="1">INDIRECT("Data!N" &amp; 265)</f>
        <v>0</v>
      </c>
      <c r="U270" cm="1">
        <f t="array" aca="1" ref="U270" ca="1">INDIRECT("Data!O" &amp; 265)</f>
        <v>0</v>
      </c>
      <c r="V270" cm="1">
        <f t="array" aca="1" ref="V270" ca="1">INDIRECT("Data!P" &amp; 265)</f>
        <v>0</v>
      </c>
    </row>
    <row r="271" spans="7:22" x14ac:dyDescent="0.25">
      <c r="G271" cm="1">
        <f t="array" aca="1" ref="G271" ca="1">INDIRECT("Data!A" &amp; 266)</f>
        <v>0</v>
      </c>
      <c r="H271" s="21" cm="1">
        <f t="array" aca="1" ref="H271" ca="1">INDIRECT("Data!B" &amp; 266)</f>
        <v>0</v>
      </c>
      <c r="I271" s="21" cm="1">
        <f t="array" aca="1" ref="I271" ca="1">INDIRECT("Data!C" &amp; 266)</f>
        <v>0</v>
      </c>
      <c r="J271" cm="1">
        <f t="array" aca="1" ref="J271" ca="1">INDIRECT("Data!D" &amp; 266)</f>
        <v>0</v>
      </c>
      <c r="K271" cm="1">
        <f t="array" aca="1" ref="K271" ca="1">INDIRECT("Data!E" &amp; 266)</f>
        <v>0</v>
      </c>
      <c r="L271" cm="1">
        <f t="array" aca="1" ref="L271" ca="1">INDIRECT("Data!F" &amp; 266)</f>
        <v>0</v>
      </c>
      <c r="M271" cm="1">
        <f t="array" aca="1" ref="M271" ca="1">INDIRECT("Data!G" &amp; 266)</f>
        <v>0</v>
      </c>
      <c r="N271" cm="1">
        <f t="array" aca="1" ref="N271" ca="1">INDIRECT("Data!H" &amp; 266)</f>
        <v>0</v>
      </c>
      <c r="O271" cm="1">
        <f t="array" aca="1" ref="O271" ca="1">INDIRECT("Data!I" &amp; 266)</f>
        <v>0</v>
      </c>
      <c r="P271" s="21" cm="1">
        <f t="array" aca="1" ref="P271" ca="1">INDIRECT("Data!J" &amp; 266)</f>
        <v>0</v>
      </c>
      <c r="Q271" cm="1">
        <f t="array" aca="1" ref="Q271" ca="1">INDIRECT("Data!K" &amp; 266)</f>
        <v>0</v>
      </c>
      <c r="R271" cm="1">
        <f t="array" aca="1" ref="R271" ca="1">INDIRECT("Data!L" &amp; 266)</f>
        <v>0</v>
      </c>
      <c r="S271" cm="1">
        <f t="array" aca="1" ref="S271" ca="1">INDIRECT("Data!M" &amp; 266)</f>
        <v>0</v>
      </c>
      <c r="T271" cm="1">
        <f t="array" aca="1" ref="T271" ca="1">INDIRECT("Data!N" &amp; 266)</f>
        <v>0</v>
      </c>
      <c r="U271" cm="1">
        <f t="array" aca="1" ref="U271" ca="1">INDIRECT("Data!O" &amp; 266)</f>
        <v>0</v>
      </c>
      <c r="V271" cm="1">
        <f t="array" aca="1" ref="V271" ca="1">INDIRECT("Data!P" &amp; 266)</f>
        <v>0</v>
      </c>
    </row>
    <row r="272" spans="7:22" x14ac:dyDescent="0.25">
      <c r="G272" cm="1">
        <f t="array" aca="1" ref="G272" ca="1">INDIRECT("Data!A" &amp; 267)</f>
        <v>0</v>
      </c>
      <c r="H272" s="21" cm="1">
        <f t="array" aca="1" ref="H272" ca="1">INDIRECT("Data!B" &amp; 267)</f>
        <v>0</v>
      </c>
      <c r="I272" s="21" cm="1">
        <f t="array" aca="1" ref="I272" ca="1">INDIRECT("Data!C" &amp; 267)</f>
        <v>0</v>
      </c>
      <c r="J272" cm="1">
        <f t="array" aca="1" ref="J272" ca="1">INDIRECT("Data!D" &amp; 267)</f>
        <v>0</v>
      </c>
      <c r="K272" cm="1">
        <f t="array" aca="1" ref="K272" ca="1">INDIRECT("Data!E" &amp; 267)</f>
        <v>0</v>
      </c>
      <c r="L272" cm="1">
        <f t="array" aca="1" ref="L272" ca="1">INDIRECT("Data!F" &amp; 267)</f>
        <v>0</v>
      </c>
      <c r="M272" cm="1">
        <f t="array" aca="1" ref="M272" ca="1">INDIRECT("Data!G" &amp; 267)</f>
        <v>0</v>
      </c>
      <c r="N272" cm="1">
        <f t="array" aca="1" ref="N272" ca="1">INDIRECT("Data!H" &amp; 267)</f>
        <v>0</v>
      </c>
      <c r="O272" cm="1">
        <f t="array" aca="1" ref="O272" ca="1">INDIRECT("Data!I" &amp; 267)</f>
        <v>0</v>
      </c>
      <c r="P272" s="21" cm="1">
        <f t="array" aca="1" ref="P272" ca="1">INDIRECT("Data!J" &amp; 267)</f>
        <v>0</v>
      </c>
      <c r="Q272" cm="1">
        <f t="array" aca="1" ref="Q272" ca="1">INDIRECT("Data!K" &amp; 267)</f>
        <v>0</v>
      </c>
      <c r="R272" cm="1">
        <f t="array" aca="1" ref="R272" ca="1">INDIRECT("Data!L" &amp; 267)</f>
        <v>0</v>
      </c>
      <c r="S272" cm="1">
        <f t="array" aca="1" ref="S272" ca="1">INDIRECT("Data!M" &amp; 267)</f>
        <v>0</v>
      </c>
      <c r="T272" cm="1">
        <f t="array" aca="1" ref="T272" ca="1">INDIRECT("Data!N" &amp; 267)</f>
        <v>0</v>
      </c>
      <c r="U272" cm="1">
        <f t="array" aca="1" ref="U272" ca="1">INDIRECT("Data!O" &amp; 267)</f>
        <v>0</v>
      </c>
      <c r="V272" cm="1">
        <f t="array" aca="1" ref="V272" ca="1">INDIRECT("Data!P" &amp; 267)</f>
        <v>0</v>
      </c>
    </row>
    <row r="273" spans="7:22" x14ac:dyDescent="0.25">
      <c r="G273" cm="1">
        <f t="array" aca="1" ref="G273" ca="1">INDIRECT("Data!A" &amp; 268)</f>
        <v>0</v>
      </c>
      <c r="H273" s="21" cm="1">
        <f t="array" aca="1" ref="H273" ca="1">INDIRECT("Data!B" &amp; 268)</f>
        <v>0</v>
      </c>
      <c r="I273" s="21" cm="1">
        <f t="array" aca="1" ref="I273" ca="1">INDIRECT("Data!C" &amp; 268)</f>
        <v>0</v>
      </c>
      <c r="J273" cm="1">
        <f t="array" aca="1" ref="J273" ca="1">INDIRECT("Data!D" &amp; 268)</f>
        <v>0</v>
      </c>
      <c r="K273" cm="1">
        <f t="array" aca="1" ref="K273" ca="1">INDIRECT("Data!E" &amp; 268)</f>
        <v>0</v>
      </c>
      <c r="L273" cm="1">
        <f t="array" aca="1" ref="L273" ca="1">INDIRECT("Data!F" &amp; 268)</f>
        <v>0</v>
      </c>
      <c r="M273" cm="1">
        <f t="array" aca="1" ref="M273" ca="1">INDIRECT("Data!G" &amp; 268)</f>
        <v>0</v>
      </c>
      <c r="N273" cm="1">
        <f t="array" aca="1" ref="N273" ca="1">INDIRECT("Data!H" &amp; 268)</f>
        <v>0</v>
      </c>
      <c r="O273" cm="1">
        <f t="array" aca="1" ref="O273" ca="1">INDIRECT("Data!I" &amp; 268)</f>
        <v>0</v>
      </c>
      <c r="P273" s="21" cm="1">
        <f t="array" aca="1" ref="P273" ca="1">INDIRECT("Data!J" &amp; 268)</f>
        <v>0</v>
      </c>
      <c r="Q273" cm="1">
        <f t="array" aca="1" ref="Q273" ca="1">INDIRECT("Data!K" &amp; 268)</f>
        <v>0</v>
      </c>
      <c r="R273" cm="1">
        <f t="array" aca="1" ref="R273" ca="1">INDIRECT("Data!L" &amp; 268)</f>
        <v>0</v>
      </c>
      <c r="S273" cm="1">
        <f t="array" aca="1" ref="S273" ca="1">INDIRECT("Data!M" &amp; 268)</f>
        <v>0</v>
      </c>
      <c r="T273" cm="1">
        <f t="array" aca="1" ref="T273" ca="1">INDIRECT("Data!N" &amp; 268)</f>
        <v>0</v>
      </c>
      <c r="U273" cm="1">
        <f t="array" aca="1" ref="U273" ca="1">INDIRECT("Data!O" &amp; 268)</f>
        <v>0</v>
      </c>
      <c r="V273" cm="1">
        <f t="array" aca="1" ref="V273" ca="1">INDIRECT("Data!P" &amp; 268)</f>
        <v>0</v>
      </c>
    </row>
    <row r="274" spans="7:22" x14ac:dyDescent="0.25">
      <c r="G274" cm="1">
        <f t="array" aca="1" ref="G274" ca="1">INDIRECT("Data!A" &amp; 269)</f>
        <v>0</v>
      </c>
      <c r="H274" s="21" cm="1">
        <f t="array" aca="1" ref="H274" ca="1">INDIRECT("Data!B" &amp; 269)</f>
        <v>0</v>
      </c>
      <c r="I274" s="21" cm="1">
        <f t="array" aca="1" ref="I274" ca="1">INDIRECT("Data!C" &amp; 269)</f>
        <v>0</v>
      </c>
      <c r="J274" cm="1">
        <f t="array" aca="1" ref="J274" ca="1">INDIRECT("Data!D" &amp; 269)</f>
        <v>0</v>
      </c>
      <c r="K274" cm="1">
        <f t="array" aca="1" ref="K274" ca="1">INDIRECT("Data!E" &amp; 269)</f>
        <v>0</v>
      </c>
      <c r="L274" cm="1">
        <f t="array" aca="1" ref="L274" ca="1">INDIRECT("Data!F" &amp; 269)</f>
        <v>0</v>
      </c>
      <c r="M274" cm="1">
        <f t="array" aca="1" ref="M274" ca="1">INDIRECT("Data!G" &amp; 269)</f>
        <v>0</v>
      </c>
      <c r="N274" cm="1">
        <f t="array" aca="1" ref="N274" ca="1">INDIRECT("Data!H" &amp; 269)</f>
        <v>0</v>
      </c>
      <c r="O274" cm="1">
        <f t="array" aca="1" ref="O274" ca="1">INDIRECT("Data!I" &amp; 269)</f>
        <v>0</v>
      </c>
      <c r="P274" s="21" cm="1">
        <f t="array" aca="1" ref="P274" ca="1">INDIRECT("Data!J" &amp; 269)</f>
        <v>0</v>
      </c>
      <c r="Q274" cm="1">
        <f t="array" aca="1" ref="Q274" ca="1">INDIRECT("Data!K" &amp; 269)</f>
        <v>0</v>
      </c>
      <c r="R274" cm="1">
        <f t="array" aca="1" ref="R274" ca="1">INDIRECT("Data!L" &amp; 269)</f>
        <v>0</v>
      </c>
      <c r="S274" cm="1">
        <f t="array" aca="1" ref="S274" ca="1">INDIRECT("Data!M" &amp; 269)</f>
        <v>0</v>
      </c>
      <c r="T274" cm="1">
        <f t="array" aca="1" ref="T274" ca="1">INDIRECT("Data!N" &amp; 269)</f>
        <v>0</v>
      </c>
      <c r="U274" cm="1">
        <f t="array" aca="1" ref="U274" ca="1">INDIRECT("Data!O" &amp; 269)</f>
        <v>0</v>
      </c>
      <c r="V274" cm="1">
        <f t="array" aca="1" ref="V274" ca="1">INDIRECT("Data!P" &amp; 269)</f>
        <v>0</v>
      </c>
    </row>
    <row r="275" spans="7:22" x14ac:dyDescent="0.25">
      <c r="G275" cm="1">
        <f t="array" aca="1" ref="G275" ca="1">INDIRECT("Data!A" &amp; 270)</f>
        <v>0</v>
      </c>
      <c r="H275" s="21" cm="1">
        <f t="array" aca="1" ref="H275" ca="1">INDIRECT("Data!B" &amp; 270)</f>
        <v>0</v>
      </c>
      <c r="I275" s="21" cm="1">
        <f t="array" aca="1" ref="I275" ca="1">INDIRECT("Data!C" &amp; 270)</f>
        <v>0</v>
      </c>
      <c r="J275" cm="1">
        <f t="array" aca="1" ref="J275" ca="1">INDIRECT("Data!D" &amp; 270)</f>
        <v>0</v>
      </c>
      <c r="K275" cm="1">
        <f t="array" aca="1" ref="K275" ca="1">INDIRECT("Data!E" &amp; 270)</f>
        <v>0</v>
      </c>
      <c r="L275" cm="1">
        <f t="array" aca="1" ref="L275" ca="1">INDIRECT("Data!F" &amp; 270)</f>
        <v>0</v>
      </c>
      <c r="M275" cm="1">
        <f t="array" aca="1" ref="M275" ca="1">INDIRECT("Data!G" &amp; 270)</f>
        <v>0</v>
      </c>
      <c r="N275" cm="1">
        <f t="array" aca="1" ref="N275" ca="1">INDIRECT("Data!H" &amp; 270)</f>
        <v>0</v>
      </c>
      <c r="O275" cm="1">
        <f t="array" aca="1" ref="O275" ca="1">INDIRECT("Data!I" &amp; 270)</f>
        <v>0</v>
      </c>
      <c r="P275" s="21" cm="1">
        <f t="array" aca="1" ref="P275" ca="1">INDIRECT("Data!J" &amp; 270)</f>
        <v>0</v>
      </c>
      <c r="Q275" cm="1">
        <f t="array" aca="1" ref="Q275" ca="1">INDIRECT("Data!K" &amp; 270)</f>
        <v>0</v>
      </c>
      <c r="R275" cm="1">
        <f t="array" aca="1" ref="R275" ca="1">INDIRECT("Data!L" &amp; 270)</f>
        <v>0</v>
      </c>
      <c r="S275" cm="1">
        <f t="array" aca="1" ref="S275" ca="1">INDIRECT("Data!M" &amp; 270)</f>
        <v>0</v>
      </c>
      <c r="T275" cm="1">
        <f t="array" aca="1" ref="T275" ca="1">INDIRECT("Data!N" &amp; 270)</f>
        <v>0</v>
      </c>
      <c r="U275" cm="1">
        <f t="array" aca="1" ref="U275" ca="1">INDIRECT("Data!O" &amp; 270)</f>
        <v>0</v>
      </c>
      <c r="V275" cm="1">
        <f t="array" aca="1" ref="V275" ca="1">INDIRECT("Data!P" &amp; 270)</f>
        <v>0</v>
      </c>
    </row>
    <row r="276" spans="7:22" x14ac:dyDescent="0.25">
      <c r="G276" cm="1">
        <f t="array" aca="1" ref="G276" ca="1">INDIRECT("Data!A" &amp; 271)</f>
        <v>0</v>
      </c>
      <c r="H276" s="21" cm="1">
        <f t="array" aca="1" ref="H276" ca="1">INDIRECT("Data!B" &amp; 271)</f>
        <v>0</v>
      </c>
      <c r="I276" s="21" cm="1">
        <f t="array" aca="1" ref="I276" ca="1">INDIRECT("Data!C" &amp; 271)</f>
        <v>0</v>
      </c>
      <c r="J276" cm="1">
        <f t="array" aca="1" ref="J276" ca="1">INDIRECT("Data!D" &amp; 271)</f>
        <v>0</v>
      </c>
      <c r="K276" cm="1">
        <f t="array" aca="1" ref="K276" ca="1">INDIRECT("Data!E" &amp; 271)</f>
        <v>0</v>
      </c>
      <c r="L276" cm="1">
        <f t="array" aca="1" ref="L276" ca="1">INDIRECT("Data!F" &amp; 271)</f>
        <v>0</v>
      </c>
      <c r="M276" cm="1">
        <f t="array" aca="1" ref="M276" ca="1">INDIRECT("Data!G" &amp; 271)</f>
        <v>0</v>
      </c>
      <c r="N276" cm="1">
        <f t="array" aca="1" ref="N276" ca="1">INDIRECT("Data!H" &amp; 271)</f>
        <v>0</v>
      </c>
      <c r="O276" cm="1">
        <f t="array" aca="1" ref="O276" ca="1">INDIRECT("Data!I" &amp; 271)</f>
        <v>0</v>
      </c>
      <c r="P276" s="21" cm="1">
        <f t="array" aca="1" ref="P276" ca="1">INDIRECT("Data!J" &amp; 271)</f>
        <v>0</v>
      </c>
      <c r="Q276" cm="1">
        <f t="array" aca="1" ref="Q276" ca="1">INDIRECT("Data!K" &amp; 271)</f>
        <v>0</v>
      </c>
      <c r="R276" cm="1">
        <f t="array" aca="1" ref="R276" ca="1">INDIRECT("Data!L" &amp; 271)</f>
        <v>0</v>
      </c>
      <c r="S276" cm="1">
        <f t="array" aca="1" ref="S276" ca="1">INDIRECT("Data!M" &amp; 271)</f>
        <v>0</v>
      </c>
      <c r="T276" cm="1">
        <f t="array" aca="1" ref="T276" ca="1">INDIRECT("Data!N" &amp; 271)</f>
        <v>0</v>
      </c>
      <c r="U276" cm="1">
        <f t="array" aca="1" ref="U276" ca="1">INDIRECT("Data!O" &amp; 271)</f>
        <v>0</v>
      </c>
      <c r="V276" cm="1">
        <f t="array" aca="1" ref="V276" ca="1">INDIRECT("Data!P" &amp; 271)</f>
        <v>0</v>
      </c>
    </row>
    <row r="277" spans="7:22" x14ac:dyDescent="0.25">
      <c r="G277" cm="1">
        <f t="array" aca="1" ref="G277" ca="1">INDIRECT("Data!A" &amp; 272)</f>
        <v>0</v>
      </c>
      <c r="H277" s="21" cm="1">
        <f t="array" aca="1" ref="H277" ca="1">INDIRECT("Data!B" &amp; 272)</f>
        <v>0</v>
      </c>
      <c r="I277" s="21" cm="1">
        <f t="array" aca="1" ref="I277" ca="1">INDIRECT("Data!C" &amp; 272)</f>
        <v>0</v>
      </c>
      <c r="J277" cm="1">
        <f t="array" aca="1" ref="J277" ca="1">INDIRECT("Data!D" &amp; 272)</f>
        <v>0</v>
      </c>
      <c r="K277" cm="1">
        <f t="array" aca="1" ref="K277" ca="1">INDIRECT("Data!E" &amp; 272)</f>
        <v>0</v>
      </c>
      <c r="L277" cm="1">
        <f t="array" aca="1" ref="L277" ca="1">INDIRECT("Data!F" &amp; 272)</f>
        <v>0</v>
      </c>
      <c r="M277" cm="1">
        <f t="array" aca="1" ref="M277" ca="1">INDIRECT("Data!G" &amp; 272)</f>
        <v>0</v>
      </c>
      <c r="N277" cm="1">
        <f t="array" aca="1" ref="N277" ca="1">INDIRECT("Data!H" &amp; 272)</f>
        <v>0</v>
      </c>
      <c r="O277" cm="1">
        <f t="array" aca="1" ref="O277" ca="1">INDIRECT("Data!I" &amp; 272)</f>
        <v>0</v>
      </c>
      <c r="P277" s="21" cm="1">
        <f t="array" aca="1" ref="P277" ca="1">INDIRECT("Data!J" &amp; 272)</f>
        <v>0</v>
      </c>
      <c r="Q277" cm="1">
        <f t="array" aca="1" ref="Q277" ca="1">INDIRECT("Data!K" &amp; 272)</f>
        <v>0</v>
      </c>
      <c r="R277" cm="1">
        <f t="array" aca="1" ref="R277" ca="1">INDIRECT("Data!L" &amp; 272)</f>
        <v>0</v>
      </c>
      <c r="S277" cm="1">
        <f t="array" aca="1" ref="S277" ca="1">INDIRECT("Data!M" &amp; 272)</f>
        <v>0</v>
      </c>
      <c r="T277" cm="1">
        <f t="array" aca="1" ref="T277" ca="1">INDIRECT("Data!N" &amp; 272)</f>
        <v>0</v>
      </c>
      <c r="U277" cm="1">
        <f t="array" aca="1" ref="U277" ca="1">INDIRECT("Data!O" &amp; 272)</f>
        <v>0</v>
      </c>
      <c r="V277" cm="1">
        <f t="array" aca="1" ref="V277" ca="1">INDIRECT("Data!P" &amp; 272)</f>
        <v>0</v>
      </c>
    </row>
    <row r="278" spans="7:22" x14ac:dyDescent="0.25">
      <c r="G278" cm="1">
        <f t="array" aca="1" ref="G278" ca="1">INDIRECT("Data!A" &amp; 273)</f>
        <v>0</v>
      </c>
      <c r="H278" s="21" cm="1">
        <f t="array" aca="1" ref="H278" ca="1">INDIRECT("Data!B" &amp; 273)</f>
        <v>0</v>
      </c>
      <c r="I278" s="21" cm="1">
        <f t="array" aca="1" ref="I278" ca="1">INDIRECT("Data!C" &amp; 273)</f>
        <v>0</v>
      </c>
      <c r="J278" cm="1">
        <f t="array" aca="1" ref="J278" ca="1">INDIRECT("Data!D" &amp; 273)</f>
        <v>0</v>
      </c>
      <c r="K278" cm="1">
        <f t="array" aca="1" ref="K278" ca="1">INDIRECT("Data!E" &amp; 273)</f>
        <v>0</v>
      </c>
      <c r="L278" cm="1">
        <f t="array" aca="1" ref="L278" ca="1">INDIRECT("Data!F" &amp; 273)</f>
        <v>0</v>
      </c>
      <c r="M278" cm="1">
        <f t="array" aca="1" ref="M278" ca="1">INDIRECT("Data!G" &amp; 273)</f>
        <v>0</v>
      </c>
      <c r="N278" cm="1">
        <f t="array" aca="1" ref="N278" ca="1">INDIRECT("Data!H" &amp; 273)</f>
        <v>0</v>
      </c>
      <c r="O278" cm="1">
        <f t="array" aca="1" ref="O278" ca="1">INDIRECT("Data!I" &amp; 273)</f>
        <v>0</v>
      </c>
      <c r="P278" s="21" cm="1">
        <f t="array" aca="1" ref="P278" ca="1">INDIRECT("Data!J" &amp; 273)</f>
        <v>0</v>
      </c>
      <c r="Q278" cm="1">
        <f t="array" aca="1" ref="Q278" ca="1">INDIRECT("Data!K" &amp; 273)</f>
        <v>0</v>
      </c>
      <c r="R278" cm="1">
        <f t="array" aca="1" ref="R278" ca="1">INDIRECT("Data!L" &amp; 273)</f>
        <v>0</v>
      </c>
      <c r="S278" cm="1">
        <f t="array" aca="1" ref="S278" ca="1">INDIRECT("Data!M" &amp; 273)</f>
        <v>0</v>
      </c>
      <c r="T278" cm="1">
        <f t="array" aca="1" ref="T278" ca="1">INDIRECT("Data!N" &amp; 273)</f>
        <v>0</v>
      </c>
      <c r="U278" cm="1">
        <f t="array" aca="1" ref="U278" ca="1">INDIRECT("Data!O" &amp; 273)</f>
        <v>0</v>
      </c>
      <c r="V278" cm="1">
        <f t="array" aca="1" ref="V278" ca="1">INDIRECT("Data!P" &amp; 273)</f>
        <v>0</v>
      </c>
    </row>
    <row r="279" spans="7:22" x14ac:dyDescent="0.25">
      <c r="G279" cm="1">
        <f t="array" aca="1" ref="G279" ca="1">INDIRECT("Data!A" &amp; 274)</f>
        <v>0</v>
      </c>
      <c r="H279" s="21" cm="1">
        <f t="array" aca="1" ref="H279" ca="1">INDIRECT("Data!B" &amp; 274)</f>
        <v>0</v>
      </c>
      <c r="I279" s="21" cm="1">
        <f t="array" aca="1" ref="I279" ca="1">INDIRECT("Data!C" &amp; 274)</f>
        <v>0</v>
      </c>
      <c r="J279" cm="1">
        <f t="array" aca="1" ref="J279" ca="1">INDIRECT("Data!D" &amp; 274)</f>
        <v>0</v>
      </c>
      <c r="K279" cm="1">
        <f t="array" aca="1" ref="K279" ca="1">INDIRECT("Data!E" &amp; 274)</f>
        <v>0</v>
      </c>
      <c r="L279" cm="1">
        <f t="array" aca="1" ref="L279" ca="1">INDIRECT("Data!F" &amp; 274)</f>
        <v>0</v>
      </c>
      <c r="M279" cm="1">
        <f t="array" aca="1" ref="M279" ca="1">INDIRECT("Data!G" &amp; 274)</f>
        <v>0</v>
      </c>
      <c r="N279" cm="1">
        <f t="array" aca="1" ref="N279" ca="1">INDIRECT("Data!H" &amp; 274)</f>
        <v>0</v>
      </c>
      <c r="O279" cm="1">
        <f t="array" aca="1" ref="O279" ca="1">INDIRECT("Data!I" &amp; 274)</f>
        <v>0</v>
      </c>
      <c r="P279" s="21" cm="1">
        <f t="array" aca="1" ref="P279" ca="1">INDIRECT("Data!J" &amp; 274)</f>
        <v>0</v>
      </c>
      <c r="Q279" cm="1">
        <f t="array" aca="1" ref="Q279" ca="1">INDIRECT("Data!K" &amp; 274)</f>
        <v>0</v>
      </c>
      <c r="R279" cm="1">
        <f t="array" aca="1" ref="R279" ca="1">INDIRECT("Data!L" &amp; 274)</f>
        <v>0</v>
      </c>
      <c r="S279" cm="1">
        <f t="array" aca="1" ref="S279" ca="1">INDIRECT("Data!M" &amp; 274)</f>
        <v>0</v>
      </c>
      <c r="T279" cm="1">
        <f t="array" aca="1" ref="T279" ca="1">INDIRECT("Data!N" &amp; 274)</f>
        <v>0</v>
      </c>
      <c r="U279" cm="1">
        <f t="array" aca="1" ref="U279" ca="1">INDIRECT("Data!O" &amp; 274)</f>
        <v>0</v>
      </c>
      <c r="V279" cm="1">
        <f t="array" aca="1" ref="V279" ca="1">INDIRECT("Data!P" &amp; 274)</f>
        <v>0</v>
      </c>
    </row>
    <row r="280" spans="7:22" x14ac:dyDescent="0.25">
      <c r="G280" cm="1">
        <f t="array" aca="1" ref="G280" ca="1">INDIRECT("Data!A" &amp; 275)</f>
        <v>0</v>
      </c>
      <c r="H280" s="21" cm="1">
        <f t="array" aca="1" ref="H280" ca="1">INDIRECT("Data!B" &amp; 275)</f>
        <v>0</v>
      </c>
      <c r="I280" s="21" cm="1">
        <f t="array" aca="1" ref="I280" ca="1">INDIRECT("Data!C" &amp; 275)</f>
        <v>0</v>
      </c>
      <c r="J280" cm="1">
        <f t="array" aca="1" ref="J280" ca="1">INDIRECT("Data!D" &amp; 275)</f>
        <v>0</v>
      </c>
      <c r="K280" cm="1">
        <f t="array" aca="1" ref="K280" ca="1">INDIRECT("Data!E" &amp; 275)</f>
        <v>0</v>
      </c>
      <c r="L280" cm="1">
        <f t="array" aca="1" ref="L280" ca="1">INDIRECT("Data!F" &amp; 275)</f>
        <v>0</v>
      </c>
      <c r="M280" cm="1">
        <f t="array" aca="1" ref="M280" ca="1">INDIRECT("Data!G" &amp; 275)</f>
        <v>0</v>
      </c>
      <c r="N280" cm="1">
        <f t="array" aca="1" ref="N280" ca="1">INDIRECT("Data!H" &amp; 275)</f>
        <v>0</v>
      </c>
      <c r="O280" cm="1">
        <f t="array" aca="1" ref="O280" ca="1">INDIRECT("Data!I" &amp; 275)</f>
        <v>0</v>
      </c>
      <c r="P280" s="21" cm="1">
        <f t="array" aca="1" ref="P280" ca="1">INDIRECT("Data!J" &amp; 275)</f>
        <v>0</v>
      </c>
      <c r="Q280" cm="1">
        <f t="array" aca="1" ref="Q280" ca="1">INDIRECT("Data!K" &amp; 275)</f>
        <v>0</v>
      </c>
      <c r="R280" cm="1">
        <f t="array" aca="1" ref="R280" ca="1">INDIRECT("Data!L" &amp; 275)</f>
        <v>0</v>
      </c>
      <c r="S280" cm="1">
        <f t="array" aca="1" ref="S280" ca="1">INDIRECT("Data!M" &amp; 275)</f>
        <v>0</v>
      </c>
      <c r="T280" cm="1">
        <f t="array" aca="1" ref="T280" ca="1">INDIRECT("Data!N" &amp; 275)</f>
        <v>0</v>
      </c>
      <c r="U280" cm="1">
        <f t="array" aca="1" ref="U280" ca="1">INDIRECT("Data!O" &amp; 275)</f>
        <v>0</v>
      </c>
      <c r="V280" cm="1">
        <f t="array" aca="1" ref="V280" ca="1">INDIRECT("Data!P" &amp; 275)</f>
        <v>0</v>
      </c>
    </row>
    <row r="281" spans="7:22" x14ac:dyDescent="0.25">
      <c r="G281" cm="1">
        <f t="array" aca="1" ref="G281" ca="1">INDIRECT("Data!A" &amp; 276)</f>
        <v>0</v>
      </c>
      <c r="H281" s="21" cm="1">
        <f t="array" aca="1" ref="H281" ca="1">INDIRECT("Data!B" &amp; 276)</f>
        <v>0</v>
      </c>
      <c r="I281" s="21" cm="1">
        <f t="array" aca="1" ref="I281" ca="1">INDIRECT("Data!C" &amp; 276)</f>
        <v>0</v>
      </c>
      <c r="J281" cm="1">
        <f t="array" aca="1" ref="J281" ca="1">INDIRECT("Data!D" &amp; 276)</f>
        <v>0</v>
      </c>
      <c r="K281" cm="1">
        <f t="array" aca="1" ref="K281" ca="1">INDIRECT("Data!E" &amp; 276)</f>
        <v>0</v>
      </c>
      <c r="L281" cm="1">
        <f t="array" aca="1" ref="L281" ca="1">INDIRECT("Data!F" &amp; 276)</f>
        <v>0</v>
      </c>
      <c r="M281" cm="1">
        <f t="array" aca="1" ref="M281" ca="1">INDIRECT("Data!G" &amp; 276)</f>
        <v>0</v>
      </c>
      <c r="N281" cm="1">
        <f t="array" aca="1" ref="N281" ca="1">INDIRECT("Data!H" &amp; 276)</f>
        <v>0</v>
      </c>
      <c r="O281" cm="1">
        <f t="array" aca="1" ref="O281" ca="1">INDIRECT("Data!I" &amp; 276)</f>
        <v>0</v>
      </c>
      <c r="P281" s="21" cm="1">
        <f t="array" aca="1" ref="P281" ca="1">INDIRECT("Data!J" &amp; 276)</f>
        <v>0</v>
      </c>
      <c r="Q281" cm="1">
        <f t="array" aca="1" ref="Q281" ca="1">INDIRECT("Data!K" &amp; 276)</f>
        <v>0</v>
      </c>
      <c r="R281" cm="1">
        <f t="array" aca="1" ref="R281" ca="1">INDIRECT("Data!L" &amp; 276)</f>
        <v>0</v>
      </c>
      <c r="S281" cm="1">
        <f t="array" aca="1" ref="S281" ca="1">INDIRECT("Data!M" &amp; 276)</f>
        <v>0</v>
      </c>
      <c r="T281" cm="1">
        <f t="array" aca="1" ref="T281" ca="1">INDIRECT("Data!N" &amp; 276)</f>
        <v>0</v>
      </c>
      <c r="U281" cm="1">
        <f t="array" aca="1" ref="U281" ca="1">INDIRECT("Data!O" &amp; 276)</f>
        <v>0</v>
      </c>
      <c r="V281" cm="1">
        <f t="array" aca="1" ref="V281" ca="1">INDIRECT("Data!P" &amp; 276)</f>
        <v>0</v>
      </c>
    </row>
    <row r="282" spans="7:22" x14ac:dyDescent="0.25">
      <c r="G282" cm="1">
        <f t="array" aca="1" ref="G282" ca="1">INDIRECT("Data!A" &amp; 277)</f>
        <v>0</v>
      </c>
      <c r="H282" s="21" cm="1">
        <f t="array" aca="1" ref="H282" ca="1">INDIRECT("Data!B" &amp; 277)</f>
        <v>0</v>
      </c>
      <c r="I282" s="21" cm="1">
        <f t="array" aca="1" ref="I282" ca="1">INDIRECT("Data!C" &amp; 277)</f>
        <v>0</v>
      </c>
      <c r="J282" cm="1">
        <f t="array" aca="1" ref="J282" ca="1">INDIRECT("Data!D" &amp; 277)</f>
        <v>0</v>
      </c>
      <c r="K282" cm="1">
        <f t="array" aca="1" ref="K282" ca="1">INDIRECT("Data!E" &amp; 277)</f>
        <v>0</v>
      </c>
      <c r="L282" cm="1">
        <f t="array" aca="1" ref="L282" ca="1">INDIRECT("Data!F" &amp; 277)</f>
        <v>0</v>
      </c>
      <c r="M282" cm="1">
        <f t="array" aca="1" ref="M282" ca="1">INDIRECT("Data!G" &amp; 277)</f>
        <v>0</v>
      </c>
      <c r="N282" cm="1">
        <f t="array" aca="1" ref="N282" ca="1">INDIRECT("Data!H" &amp; 277)</f>
        <v>0</v>
      </c>
      <c r="O282" cm="1">
        <f t="array" aca="1" ref="O282" ca="1">INDIRECT("Data!I" &amp; 277)</f>
        <v>0</v>
      </c>
      <c r="P282" s="21" cm="1">
        <f t="array" aca="1" ref="P282" ca="1">INDIRECT("Data!J" &amp; 277)</f>
        <v>0</v>
      </c>
      <c r="Q282" cm="1">
        <f t="array" aca="1" ref="Q282" ca="1">INDIRECT("Data!K" &amp; 277)</f>
        <v>0</v>
      </c>
      <c r="R282" cm="1">
        <f t="array" aca="1" ref="R282" ca="1">INDIRECT("Data!L" &amp; 277)</f>
        <v>0</v>
      </c>
      <c r="S282" cm="1">
        <f t="array" aca="1" ref="S282" ca="1">INDIRECT("Data!M" &amp; 277)</f>
        <v>0</v>
      </c>
      <c r="T282" cm="1">
        <f t="array" aca="1" ref="T282" ca="1">INDIRECT("Data!N" &amp; 277)</f>
        <v>0</v>
      </c>
      <c r="U282" cm="1">
        <f t="array" aca="1" ref="U282" ca="1">INDIRECT("Data!O" &amp; 277)</f>
        <v>0</v>
      </c>
      <c r="V282" cm="1">
        <f t="array" aca="1" ref="V282" ca="1">INDIRECT("Data!P" &amp; 277)</f>
        <v>0</v>
      </c>
    </row>
    <row r="283" spans="7:22" x14ac:dyDescent="0.25">
      <c r="G283" cm="1">
        <f t="array" aca="1" ref="G283" ca="1">INDIRECT("Data!A" &amp; 278)</f>
        <v>0</v>
      </c>
      <c r="H283" s="21" cm="1">
        <f t="array" aca="1" ref="H283" ca="1">INDIRECT("Data!B" &amp; 278)</f>
        <v>0</v>
      </c>
      <c r="I283" s="21" cm="1">
        <f t="array" aca="1" ref="I283" ca="1">INDIRECT("Data!C" &amp; 278)</f>
        <v>0</v>
      </c>
      <c r="J283" cm="1">
        <f t="array" aca="1" ref="J283" ca="1">INDIRECT("Data!D" &amp; 278)</f>
        <v>0</v>
      </c>
      <c r="K283" cm="1">
        <f t="array" aca="1" ref="K283" ca="1">INDIRECT("Data!E" &amp; 278)</f>
        <v>0</v>
      </c>
      <c r="L283" cm="1">
        <f t="array" aca="1" ref="L283" ca="1">INDIRECT("Data!F" &amp; 278)</f>
        <v>0</v>
      </c>
      <c r="M283" cm="1">
        <f t="array" aca="1" ref="M283" ca="1">INDIRECT("Data!G" &amp; 278)</f>
        <v>0</v>
      </c>
      <c r="N283" cm="1">
        <f t="array" aca="1" ref="N283" ca="1">INDIRECT("Data!H" &amp; 278)</f>
        <v>0</v>
      </c>
      <c r="O283" cm="1">
        <f t="array" aca="1" ref="O283" ca="1">INDIRECT("Data!I" &amp; 278)</f>
        <v>0</v>
      </c>
      <c r="P283" s="21" cm="1">
        <f t="array" aca="1" ref="P283" ca="1">INDIRECT("Data!J" &amp; 278)</f>
        <v>0</v>
      </c>
      <c r="Q283" cm="1">
        <f t="array" aca="1" ref="Q283" ca="1">INDIRECT("Data!K" &amp; 278)</f>
        <v>0</v>
      </c>
      <c r="R283" cm="1">
        <f t="array" aca="1" ref="R283" ca="1">INDIRECT("Data!L" &amp; 278)</f>
        <v>0</v>
      </c>
      <c r="S283" cm="1">
        <f t="array" aca="1" ref="S283" ca="1">INDIRECT("Data!M" &amp; 278)</f>
        <v>0</v>
      </c>
      <c r="T283" cm="1">
        <f t="array" aca="1" ref="T283" ca="1">INDIRECT("Data!N" &amp; 278)</f>
        <v>0</v>
      </c>
      <c r="U283" cm="1">
        <f t="array" aca="1" ref="U283" ca="1">INDIRECT("Data!O" &amp; 278)</f>
        <v>0</v>
      </c>
      <c r="V283" cm="1">
        <f t="array" aca="1" ref="V283" ca="1">INDIRECT("Data!P" &amp; 278)</f>
        <v>0</v>
      </c>
    </row>
    <row r="284" spans="7:22" x14ac:dyDescent="0.25">
      <c r="G284" cm="1">
        <f t="array" aca="1" ref="G284" ca="1">INDIRECT("Data!A" &amp; 279)</f>
        <v>0</v>
      </c>
      <c r="H284" s="21" cm="1">
        <f t="array" aca="1" ref="H284" ca="1">INDIRECT("Data!B" &amp; 279)</f>
        <v>0</v>
      </c>
      <c r="I284" s="21" cm="1">
        <f t="array" aca="1" ref="I284" ca="1">INDIRECT("Data!C" &amp; 279)</f>
        <v>0</v>
      </c>
      <c r="J284" cm="1">
        <f t="array" aca="1" ref="J284" ca="1">INDIRECT("Data!D" &amp; 279)</f>
        <v>0</v>
      </c>
      <c r="K284" cm="1">
        <f t="array" aca="1" ref="K284" ca="1">INDIRECT("Data!E" &amp; 279)</f>
        <v>0</v>
      </c>
      <c r="L284" cm="1">
        <f t="array" aca="1" ref="L284" ca="1">INDIRECT("Data!F" &amp; 279)</f>
        <v>0</v>
      </c>
      <c r="M284" cm="1">
        <f t="array" aca="1" ref="M284" ca="1">INDIRECT("Data!G" &amp; 279)</f>
        <v>0</v>
      </c>
      <c r="N284" cm="1">
        <f t="array" aca="1" ref="N284" ca="1">INDIRECT("Data!H" &amp; 279)</f>
        <v>0</v>
      </c>
      <c r="O284" cm="1">
        <f t="array" aca="1" ref="O284" ca="1">INDIRECT("Data!I" &amp; 279)</f>
        <v>0</v>
      </c>
      <c r="P284" s="21" cm="1">
        <f t="array" aca="1" ref="P284" ca="1">INDIRECT("Data!J" &amp; 279)</f>
        <v>0</v>
      </c>
      <c r="Q284" cm="1">
        <f t="array" aca="1" ref="Q284" ca="1">INDIRECT("Data!K" &amp; 279)</f>
        <v>0</v>
      </c>
      <c r="R284" cm="1">
        <f t="array" aca="1" ref="R284" ca="1">INDIRECT("Data!L" &amp; 279)</f>
        <v>0</v>
      </c>
      <c r="S284" cm="1">
        <f t="array" aca="1" ref="S284" ca="1">INDIRECT("Data!M" &amp; 279)</f>
        <v>0</v>
      </c>
      <c r="T284" cm="1">
        <f t="array" aca="1" ref="T284" ca="1">INDIRECT("Data!N" &amp; 279)</f>
        <v>0</v>
      </c>
      <c r="U284" cm="1">
        <f t="array" aca="1" ref="U284" ca="1">INDIRECT("Data!O" &amp; 279)</f>
        <v>0</v>
      </c>
      <c r="V284" cm="1">
        <f t="array" aca="1" ref="V284" ca="1">INDIRECT("Data!P" &amp; 279)</f>
        <v>0</v>
      </c>
    </row>
    <row r="285" spans="7:22" x14ac:dyDescent="0.25">
      <c r="G285" cm="1">
        <f t="array" aca="1" ref="G285" ca="1">INDIRECT("Data!A" &amp; 280)</f>
        <v>0</v>
      </c>
      <c r="H285" s="21" cm="1">
        <f t="array" aca="1" ref="H285" ca="1">INDIRECT("Data!B" &amp; 280)</f>
        <v>0</v>
      </c>
      <c r="I285" s="21" cm="1">
        <f t="array" aca="1" ref="I285" ca="1">INDIRECT("Data!C" &amp; 280)</f>
        <v>0</v>
      </c>
      <c r="J285" cm="1">
        <f t="array" aca="1" ref="J285" ca="1">INDIRECT("Data!D" &amp; 280)</f>
        <v>0</v>
      </c>
      <c r="K285" cm="1">
        <f t="array" aca="1" ref="K285" ca="1">INDIRECT("Data!E" &amp; 280)</f>
        <v>0</v>
      </c>
      <c r="L285" cm="1">
        <f t="array" aca="1" ref="L285" ca="1">INDIRECT("Data!F" &amp; 280)</f>
        <v>0</v>
      </c>
      <c r="M285" cm="1">
        <f t="array" aca="1" ref="M285" ca="1">INDIRECT("Data!G" &amp; 280)</f>
        <v>0</v>
      </c>
      <c r="N285" cm="1">
        <f t="array" aca="1" ref="N285" ca="1">INDIRECT("Data!H" &amp; 280)</f>
        <v>0</v>
      </c>
      <c r="O285" cm="1">
        <f t="array" aca="1" ref="O285" ca="1">INDIRECT("Data!I" &amp; 280)</f>
        <v>0</v>
      </c>
      <c r="P285" s="21" cm="1">
        <f t="array" aca="1" ref="P285" ca="1">INDIRECT("Data!J" &amp; 280)</f>
        <v>0</v>
      </c>
      <c r="Q285" cm="1">
        <f t="array" aca="1" ref="Q285" ca="1">INDIRECT("Data!K" &amp; 280)</f>
        <v>0</v>
      </c>
      <c r="R285" cm="1">
        <f t="array" aca="1" ref="R285" ca="1">INDIRECT("Data!L" &amp; 280)</f>
        <v>0</v>
      </c>
      <c r="S285" cm="1">
        <f t="array" aca="1" ref="S285" ca="1">INDIRECT("Data!M" &amp; 280)</f>
        <v>0</v>
      </c>
      <c r="T285" cm="1">
        <f t="array" aca="1" ref="T285" ca="1">INDIRECT("Data!N" &amp; 280)</f>
        <v>0</v>
      </c>
      <c r="U285" cm="1">
        <f t="array" aca="1" ref="U285" ca="1">INDIRECT("Data!O" &amp; 280)</f>
        <v>0</v>
      </c>
      <c r="V285" cm="1">
        <f t="array" aca="1" ref="V285" ca="1">INDIRECT("Data!P" &amp; 280)</f>
        <v>0</v>
      </c>
    </row>
    <row r="286" spans="7:22" x14ac:dyDescent="0.25">
      <c r="G286" cm="1">
        <f t="array" aca="1" ref="G286" ca="1">INDIRECT("Data!A" &amp; 281)</f>
        <v>0</v>
      </c>
      <c r="H286" s="21" cm="1">
        <f t="array" aca="1" ref="H286" ca="1">INDIRECT("Data!B" &amp; 281)</f>
        <v>0</v>
      </c>
      <c r="I286" s="21" cm="1">
        <f t="array" aca="1" ref="I286" ca="1">INDIRECT("Data!C" &amp; 281)</f>
        <v>0</v>
      </c>
      <c r="J286" cm="1">
        <f t="array" aca="1" ref="J286" ca="1">INDIRECT("Data!D" &amp; 281)</f>
        <v>0</v>
      </c>
      <c r="K286" cm="1">
        <f t="array" aca="1" ref="K286" ca="1">INDIRECT("Data!E" &amp; 281)</f>
        <v>0</v>
      </c>
      <c r="L286" cm="1">
        <f t="array" aca="1" ref="L286" ca="1">INDIRECT("Data!F" &amp; 281)</f>
        <v>0</v>
      </c>
      <c r="M286" cm="1">
        <f t="array" aca="1" ref="M286" ca="1">INDIRECT("Data!G" &amp; 281)</f>
        <v>0</v>
      </c>
      <c r="N286" cm="1">
        <f t="array" aca="1" ref="N286" ca="1">INDIRECT("Data!H" &amp; 281)</f>
        <v>0</v>
      </c>
      <c r="O286" cm="1">
        <f t="array" aca="1" ref="O286" ca="1">INDIRECT("Data!I" &amp; 281)</f>
        <v>0</v>
      </c>
      <c r="P286" s="21" cm="1">
        <f t="array" aca="1" ref="P286" ca="1">INDIRECT("Data!J" &amp; 281)</f>
        <v>0</v>
      </c>
      <c r="Q286" cm="1">
        <f t="array" aca="1" ref="Q286" ca="1">INDIRECT("Data!K" &amp; 281)</f>
        <v>0</v>
      </c>
      <c r="R286" cm="1">
        <f t="array" aca="1" ref="R286" ca="1">INDIRECT("Data!L" &amp; 281)</f>
        <v>0</v>
      </c>
      <c r="S286" cm="1">
        <f t="array" aca="1" ref="S286" ca="1">INDIRECT("Data!M" &amp; 281)</f>
        <v>0</v>
      </c>
      <c r="T286" cm="1">
        <f t="array" aca="1" ref="T286" ca="1">INDIRECT("Data!N" &amp; 281)</f>
        <v>0</v>
      </c>
      <c r="U286" cm="1">
        <f t="array" aca="1" ref="U286" ca="1">INDIRECT("Data!O" &amp; 281)</f>
        <v>0</v>
      </c>
      <c r="V286" cm="1">
        <f t="array" aca="1" ref="V286" ca="1">INDIRECT("Data!P" &amp; 281)</f>
        <v>0</v>
      </c>
    </row>
    <row r="287" spans="7:22" x14ac:dyDescent="0.25">
      <c r="G287" cm="1">
        <f t="array" aca="1" ref="G287" ca="1">INDIRECT("Data!A" &amp; 282)</f>
        <v>0</v>
      </c>
      <c r="H287" s="21" cm="1">
        <f t="array" aca="1" ref="H287" ca="1">INDIRECT("Data!B" &amp; 282)</f>
        <v>0</v>
      </c>
      <c r="I287" s="21" cm="1">
        <f t="array" aca="1" ref="I287" ca="1">INDIRECT("Data!C" &amp; 282)</f>
        <v>0</v>
      </c>
      <c r="J287" cm="1">
        <f t="array" aca="1" ref="J287" ca="1">INDIRECT("Data!D" &amp; 282)</f>
        <v>0</v>
      </c>
      <c r="K287" cm="1">
        <f t="array" aca="1" ref="K287" ca="1">INDIRECT("Data!E" &amp; 282)</f>
        <v>0</v>
      </c>
      <c r="L287" cm="1">
        <f t="array" aca="1" ref="L287" ca="1">INDIRECT("Data!F" &amp; 282)</f>
        <v>0</v>
      </c>
      <c r="M287" cm="1">
        <f t="array" aca="1" ref="M287" ca="1">INDIRECT("Data!G" &amp; 282)</f>
        <v>0</v>
      </c>
      <c r="N287" cm="1">
        <f t="array" aca="1" ref="N287" ca="1">INDIRECT("Data!H" &amp; 282)</f>
        <v>0</v>
      </c>
      <c r="O287" cm="1">
        <f t="array" aca="1" ref="O287" ca="1">INDIRECT("Data!I" &amp; 282)</f>
        <v>0</v>
      </c>
      <c r="P287" s="21" cm="1">
        <f t="array" aca="1" ref="P287" ca="1">INDIRECT("Data!J" &amp; 282)</f>
        <v>0</v>
      </c>
      <c r="Q287" cm="1">
        <f t="array" aca="1" ref="Q287" ca="1">INDIRECT("Data!K" &amp; 282)</f>
        <v>0</v>
      </c>
      <c r="R287" cm="1">
        <f t="array" aca="1" ref="R287" ca="1">INDIRECT("Data!L" &amp; 282)</f>
        <v>0</v>
      </c>
      <c r="S287" cm="1">
        <f t="array" aca="1" ref="S287" ca="1">INDIRECT("Data!M" &amp; 282)</f>
        <v>0</v>
      </c>
      <c r="T287" cm="1">
        <f t="array" aca="1" ref="T287" ca="1">INDIRECT("Data!N" &amp; 282)</f>
        <v>0</v>
      </c>
      <c r="U287" cm="1">
        <f t="array" aca="1" ref="U287" ca="1">INDIRECT("Data!O" &amp; 282)</f>
        <v>0</v>
      </c>
      <c r="V287" cm="1">
        <f t="array" aca="1" ref="V287" ca="1">INDIRECT("Data!P" &amp; 282)</f>
        <v>0</v>
      </c>
    </row>
    <row r="288" spans="7:22" x14ac:dyDescent="0.25">
      <c r="G288" cm="1">
        <f t="array" aca="1" ref="G288" ca="1">INDIRECT("Data!A" &amp; 283)</f>
        <v>0</v>
      </c>
      <c r="H288" s="21" cm="1">
        <f t="array" aca="1" ref="H288" ca="1">INDIRECT("Data!B" &amp; 283)</f>
        <v>0</v>
      </c>
      <c r="I288" s="21" cm="1">
        <f t="array" aca="1" ref="I288" ca="1">INDIRECT("Data!C" &amp; 283)</f>
        <v>0</v>
      </c>
      <c r="J288" cm="1">
        <f t="array" aca="1" ref="J288" ca="1">INDIRECT("Data!D" &amp; 283)</f>
        <v>0</v>
      </c>
      <c r="K288" cm="1">
        <f t="array" aca="1" ref="K288" ca="1">INDIRECT("Data!E" &amp; 283)</f>
        <v>0</v>
      </c>
      <c r="L288" cm="1">
        <f t="array" aca="1" ref="L288" ca="1">INDIRECT("Data!F" &amp; 283)</f>
        <v>0</v>
      </c>
      <c r="M288" cm="1">
        <f t="array" aca="1" ref="M288" ca="1">INDIRECT("Data!G" &amp; 283)</f>
        <v>0</v>
      </c>
      <c r="N288" cm="1">
        <f t="array" aca="1" ref="N288" ca="1">INDIRECT("Data!H" &amp; 283)</f>
        <v>0</v>
      </c>
      <c r="O288" cm="1">
        <f t="array" aca="1" ref="O288" ca="1">INDIRECT("Data!I" &amp; 283)</f>
        <v>0</v>
      </c>
      <c r="P288" s="21" cm="1">
        <f t="array" aca="1" ref="P288" ca="1">INDIRECT("Data!J" &amp; 283)</f>
        <v>0</v>
      </c>
      <c r="Q288" cm="1">
        <f t="array" aca="1" ref="Q288" ca="1">INDIRECT("Data!K" &amp; 283)</f>
        <v>0</v>
      </c>
      <c r="R288" cm="1">
        <f t="array" aca="1" ref="R288" ca="1">INDIRECT("Data!L" &amp; 283)</f>
        <v>0</v>
      </c>
      <c r="S288" cm="1">
        <f t="array" aca="1" ref="S288" ca="1">INDIRECT("Data!M" &amp; 283)</f>
        <v>0</v>
      </c>
      <c r="T288" cm="1">
        <f t="array" aca="1" ref="T288" ca="1">INDIRECT("Data!N" &amp; 283)</f>
        <v>0</v>
      </c>
      <c r="U288" cm="1">
        <f t="array" aca="1" ref="U288" ca="1">INDIRECT("Data!O" &amp; 283)</f>
        <v>0</v>
      </c>
      <c r="V288" cm="1">
        <f t="array" aca="1" ref="V288" ca="1">INDIRECT("Data!P" &amp; 283)</f>
        <v>0</v>
      </c>
    </row>
    <row r="289" spans="7:22" x14ac:dyDescent="0.25">
      <c r="G289" cm="1">
        <f t="array" aca="1" ref="G289" ca="1">INDIRECT("Data!A" &amp; 284)</f>
        <v>0</v>
      </c>
      <c r="H289" s="21" cm="1">
        <f t="array" aca="1" ref="H289" ca="1">INDIRECT("Data!B" &amp; 284)</f>
        <v>0</v>
      </c>
      <c r="I289" s="21" cm="1">
        <f t="array" aca="1" ref="I289" ca="1">INDIRECT("Data!C" &amp; 284)</f>
        <v>0</v>
      </c>
      <c r="J289" cm="1">
        <f t="array" aca="1" ref="J289" ca="1">INDIRECT("Data!D" &amp; 284)</f>
        <v>0</v>
      </c>
      <c r="K289" cm="1">
        <f t="array" aca="1" ref="K289" ca="1">INDIRECT("Data!E" &amp; 284)</f>
        <v>0</v>
      </c>
      <c r="L289" cm="1">
        <f t="array" aca="1" ref="L289" ca="1">INDIRECT("Data!F" &amp; 284)</f>
        <v>0</v>
      </c>
      <c r="M289" cm="1">
        <f t="array" aca="1" ref="M289" ca="1">INDIRECT("Data!G" &amp; 284)</f>
        <v>0</v>
      </c>
      <c r="N289" cm="1">
        <f t="array" aca="1" ref="N289" ca="1">INDIRECT("Data!H" &amp; 284)</f>
        <v>0</v>
      </c>
      <c r="O289" cm="1">
        <f t="array" aca="1" ref="O289" ca="1">INDIRECT("Data!I" &amp; 284)</f>
        <v>0</v>
      </c>
      <c r="P289" s="21" cm="1">
        <f t="array" aca="1" ref="P289" ca="1">INDIRECT("Data!J" &amp; 284)</f>
        <v>0</v>
      </c>
      <c r="Q289" cm="1">
        <f t="array" aca="1" ref="Q289" ca="1">INDIRECT("Data!K" &amp; 284)</f>
        <v>0</v>
      </c>
      <c r="R289" cm="1">
        <f t="array" aca="1" ref="R289" ca="1">INDIRECT("Data!L" &amp; 284)</f>
        <v>0</v>
      </c>
      <c r="S289" cm="1">
        <f t="array" aca="1" ref="S289" ca="1">INDIRECT("Data!M" &amp; 284)</f>
        <v>0</v>
      </c>
      <c r="T289" cm="1">
        <f t="array" aca="1" ref="T289" ca="1">INDIRECT("Data!N" &amp; 284)</f>
        <v>0</v>
      </c>
      <c r="U289" cm="1">
        <f t="array" aca="1" ref="U289" ca="1">INDIRECT("Data!O" &amp; 284)</f>
        <v>0</v>
      </c>
      <c r="V289" cm="1">
        <f t="array" aca="1" ref="V289" ca="1">INDIRECT("Data!P" &amp; 284)</f>
        <v>0</v>
      </c>
    </row>
    <row r="290" spans="7:22" x14ac:dyDescent="0.25">
      <c r="G290" cm="1">
        <f t="array" aca="1" ref="G290" ca="1">INDIRECT("Data!A" &amp; 285)</f>
        <v>0</v>
      </c>
      <c r="H290" s="21" cm="1">
        <f t="array" aca="1" ref="H290" ca="1">INDIRECT("Data!B" &amp; 285)</f>
        <v>0</v>
      </c>
      <c r="I290" s="21" cm="1">
        <f t="array" aca="1" ref="I290" ca="1">INDIRECT("Data!C" &amp; 285)</f>
        <v>0</v>
      </c>
      <c r="J290" cm="1">
        <f t="array" aca="1" ref="J290" ca="1">INDIRECT("Data!D" &amp; 285)</f>
        <v>0</v>
      </c>
      <c r="K290" cm="1">
        <f t="array" aca="1" ref="K290" ca="1">INDIRECT("Data!E" &amp; 285)</f>
        <v>0</v>
      </c>
      <c r="L290" cm="1">
        <f t="array" aca="1" ref="L290" ca="1">INDIRECT("Data!F" &amp; 285)</f>
        <v>0</v>
      </c>
      <c r="M290" cm="1">
        <f t="array" aca="1" ref="M290" ca="1">INDIRECT("Data!G" &amp; 285)</f>
        <v>0</v>
      </c>
      <c r="N290" cm="1">
        <f t="array" aca="1" ref="N290" ca="1">INDIRECT("Data!H" &amp; 285)</f>
        <v>0</v>
      </c>
      <c r="O290" cm="1">
        <f t="array" aca="1" ref="O290" ca="1">INDIRECT("Data!I" &amp; 285)</f>
        <v>0</v>
      </c>
      <c r="P290" s="21" cm="1">
        <f t="array" aca="1" ref="P290" ca="1">INDIRECT("Data!J" &amp; 285)</f>
        <v>0</v>
      </c>
      <c r="Q290" cm="1">
        <f t="array" aca="1" ref="Q290" ca="1">INDIRECT("Data!K" &amp; 285)</f>
        <v>0</v>
      </c>
      <c r="R290" cm="1">
        <f t="array" aca="1" ref="R290" ca="1">INDIRECT("Data!L" &amp; 285)</f>
        <v>0</v>
      </c>
      <c r="S290" cm="1">
        <f t="array" aca="1" ref="S290" ca="1">INDIRECT("Data!M" &amp; 285)</f>
        <v>0</v>
      </c>
      <c r="T290" cm="1">
        <f t="array" aca="1" ref="T290" ca="1">INDIRECT("Data!N" &amp; 285)</f>
        <v>0</v>
      </c>
      <c r="U290" cm="1">
        <f t="array" aca="1" ref="U290" ca="1">INDIRECT("Data!O" &amp; 285)</f>
        <v>0</v>
      </c>
      <c r="V290" cm="1">
        <f t="array" aca="1" ref="V290" ca="1">INDIRECT("Data!P" &amp; 285)</f>
        <v>0</v>
      </c>
    </row>
    <row r="291" spans="7:22" x14ac:dyDescent="0.25">
      <c r="G291" cm="1">
        <f t="array" aca="1" ref="G291" ca="1">INDIRECT("Data!A" &amp; 286)</f>
        <v>0</v>
      </c>
      <c r="H291" s="21" cm="1">
        <f t="array" aca="1" ref="H291" ca="1">INDIRECT("Data!B" &amp; 286)</f>
        <v>0</v>
      </c>
      <c r="I291" s="21" cm="1">
        <f t="array" aca="1" ref="I291" ca="1">INDIRECT("Data!C" &amp; 286)</f>
        <v>0</v>
      </c>
      <c r="J291" cm="1">
        <f t="array" aca="1" ref="J291" ca="1">INDIRECT("Data!D" &amp; 286)</f>
        <v>0</v>
      </c>
      <c r="K291" cm="1">
        <f t="array" aca="1" ref="K291" ca="1">INDIRECT("Data!E" &amp; 286)</f>
        <v>0</v>
      </c>
      <c r="L291" cm="1">
        <f t="array" aca="1" ref="L291" ca="1">INDIRECT("Data!F" &amp; 286)</f>
        <v>0</v>
      </c>
      <c r="M291" cm="1">
        <f t="array" aca="1" ref="M291" ca="1">INDIRECT("Data!G" &amp; 286)</f>
        <v>0</v>
      </c>
      <c r="N291" cm="1">
        <f t="array" aca="1" ref="N291" ca="1">INDIRECT("Data!H" &amp; 286)</f>
        <v>0</v>
      </c>
      <c r="O291" cm="1">
        <f t="array" aca="1" ref="O291" ca="1">INDIRECT("Data!I" &amp; 286)</f>
        <v>0</v>
      </c>
      <c r="P291" s="21" cm="1">
        <f t="array" aca="1" ref="P291" ca="1">INDIRECT("Data!J" &amp; 286)</f>
        <v>0</v>
      </c>
      <c r="Q291" cm="1">
        <f t="array" aca="1" ref="Q291" ca="1">INDIRECT("Data!K" &amp; 286)</f>
        <v>0</v>
      </c>
      <c r="R291" cm="1">
        <f t="array" aca="1" ref="R291" ca="1">INDIRECT("Data!L" &amp; 286)</f>
        <v>0</v>
      </c>
      <c r="S291" cm="1">
        <f t="array" aca="1" ref="S291" ca="1">INDIRECT("Data!M" &amp; 286)</f>
        <v>0</v>
      </c>
      <c r="T291" cm="1">
        <f t="array" aca="1" ref="T291" ca="1">INDIRECT("Data!N" &amp; 286)</f>
        <v>0</v>
      </c>
      <c r="U291" cm="1">
        <f t="array" aca="1" ref="U291" ca="1">INDIRECT("Data!O" &amp; 286)</f>
        <v>0</v>
      </c>
      <c r="V291" cm="1">
        <f t="array" aca="1" ref="V291" ca="1">INDIRECT("Data!P" &amp; 286)</f>
        <v>0</v>
      </c>
    </row>
    <row r="292" spans="7:22" x14ac:dyDescent="0.25">
      <c r="G292" cm="1">
        <f t="array" aca="1" ref="G292" ca="1">INDIRECT("Data!A" &amp; 287)</f>
        <v>0</v>
      </c>
      <c r="H292" s="21" cm="1">
        <f t="array" aca="1" ref="H292" ca="1">INDIRECT("Data!B" &amp; 287)</f>
        <v>0</v>
      </c>
      <c r="I292" s="21" cm="1">
        <f t="array" aca="1" ref="I292" ca="1">INDIRECT("Data!C" &amp; 287)</f>
        <v>0</v>
      </c>
      <c r="J292" cm="1">
        <f t="array" aca="1" ref="J292" ca="1">INDIRECT("Data!D" &amp; 287)</f>
        <v>0</v>
      </c>
      <c r="K292" cm="1">
        <f t="array" aca="1" ref="K292" ca="1">INDIRECT("Data!E" &amp; 287)</f>
        <v>0</v>
      </c>
      <c r="L292" cm="1">
        <f t="array" aca="1" ref="L292" ca="1">INDIRECT("Data!F" &amp; 287)</f>
        <v>0</v>
      </c>
      <c r="M292" cm="1">
        <f t="array" aca="1" ref="M292" ca="1">INDIRECT("Data!G" &amp; 287)</f>
        <v>0</v>
      </c>
      <c r="N292" cm="1">
        <f t="array" aca="1" ref="N292" ca="1">INDIRECT("Data!H" &amp; 287)</f>
        <v>0</v>
      </c>
      <c r="O292" cm="1">
        <f t="array" aca="1" ref="O292" ca="1">INDIRECT("Data!I" &amp; 287)</f>
        <v>0</v>
      </c>
      <c r="P292" s="21" cm="1">
        <f t="array" aca="1" ref="P292" ca="1">INDIRECT("Data!J" &amp; 287)</f>
        <v>0</v>
      </c>
      <c r="Q292" cm="1">
        <f t="array" aca="1" ref="Q292" ca="1">INDIRECT("Data!K" &amp; 287)</f>
        <v>0</v>
      </c>
      <c r="R292" cm="1">
        <f t="array" aca="1" ref="R292" ca="1">INDIRECT("Data!L" &amp; 287)</f>
        <v>0</v>
      </c>
      <c r="S292" cm="1">
        <f t="array" aca="1" ref="S292" ca="1">INDIRECT("Data!M" &amp; 287)</f>
        <v>0</v>
      </c>
      <c r="T292" cm="1">
        <f t="array" aca="1" ref="T292" ca="1">INDIRECT("Data!N" &amp; 287)</f>
        <v>0</v>
      </c>
      <c r="U292" cm="1">
        <f t="array" aca="1" ref="U292" ca="1">INDIRECT("Data!O" &amp; 287)</f>
        <v>0</v>
      </c>
      <c r="V292" cm="1">
        <f t="array" aca="1" ref="V292" ca="1">INDIRECT("Data!P" &amp; 287)</f>
        <v>0</v>
      </c>
    </row>
    <row r="293" spans="7:22" x14ac:dyDescent="0.25">
      <c r="G293" cm="1">
        <f t="array" aca="1" ref="G293" ca="1">INDIRECT("Data!A" &amp; 288)</f>
        <v>0</v>
      </c>
      <c r="H293" s="21" cm="1">
        <f t="array" aca="1" ref="H293" ca="1">INDIRECT("Data!B" &amp; 288)</f>
        <v>0</v>
      </c>
      <c r="I293" s="21" cm="1">
        <f t="array" aca="1" ref="I293" ca="1">INDIRECT("Data!C" &amp; 288)</f>
        <v>0</v>
      </c>
      <c r="J293" cm="1">
        <f t="array" aca="1" ref="J293" ca="1">INDIRECT("Data!D" &amp; 288)</f>
        <v>0</v>
      </c>
      <c r="K293" cm="1">
        <f t="array" aca="1" ref="K293" ca="1">INDIRECT("Data!E" &amp; 288)</f>
        <v>0</v>
      </c>
      <c r="L293" cm="1">
        <f t="array" aca="1" ref="L293" ca="1">INDIRECT("Data!F" &amp; 288)</f>
        <v>0</v>
      </c>
      <c r="M293" cm="1">
        <f t="array" aca="1" ref="M293" ca="1">INDIRECT("Data!G" &amp; 288)</f>
        <v>0</v>
      </c>
      <c r="N293" cm="1">
        <f t="array" aca="1" ref="N293" ca="1">INDIRECT("Data!H" &amp; 288)</f>
        <v>0</v>
      </c>
      <c r="O293" cm="1">
        <f t="array" aca="1" ref="O293" ca="1">INDIRECT("Data!I" &amp; 288)</f>
        <v>0</v>
      </c>
      <c r="P293" s="21" cm="1">
        <f t="array" aca="1" ref="P293" ca="1">INDIRECT("Data!J" &amp; 288)</f>
        <v>0</v>
      </c>
      <c r="Q293" cm="1">
        <f t="array" aca="1" ref="Q293" ca="1">INDIRECT("Data!K" &amp; 288)</f>
        <v>0</v>
      </c>
      <c r="R293" cm="1">
        <f t="array" aca="1" ref="R293" ca="1">INDIRECT("Data!L" &amp; 288)</f>
        <v>0</v>
      </c>
      <c r="S293" cm="1">
        <f t="array" aca="1" ref="S293" ca="1">INDIRECT("Data!M" &amp; 288)</f>
        <v>0</v>
      </c>
      <c r="T293" cm="1">
        <f t="array" aca="1" ref="T293" ca="1">INDIRECT("Data!N" &amp; 288)</f>
        <v>0</v>
      </c>
      <c r="U293" cm="1">
        <f t="array" aca="1" ref="U293" ca="1">INDIRECT("Data!O" &amp; 288)</f>
        <v>0</v>
      </c>
      <c r="V293" cm="1">
        <f t="array" aca="1" ref="V293" ca="1">INDIRECT("Data!P" &amp; 288)</f>
        <v>0</v>
      </c>
    </row>
    <row r="294" spans="7:22" x14ac:dyDescent="0.25">
      <c r="G294" cm="1">
        <f t="array" aca="1" ref="G294" ca="1">INDIRECT("Data!A" &amp; 289)</f>
        <v>0</v>
      </c>
      <c r="H294" s="21" cm="1">
        <f t="array" aca="1" ref="H294" ca="1">INDIRECT("Data!B" &amp; 289)</f>
        <v>0</v>
      </c>
      <c r="I294" s="21" cm="1">
        <f t="array" aca="1" ref="I294" ca="1">INDIRECT("Data!C" &amp; 289)</f>
        <v>0</v>
      </c>
      <c r="J294" cm="1">
        <f t="array" aca="1" ref="J294" ca="1">INDIRECT("Data!D" &amp; 289)</f>
        <v>0</v>
      </c>
      <c r="K294" cm="1">
        <f t="array" aca="1" ref="K294" ca="1">INDIRECT("Data!E" &amp; 289)</f>
        <v>0</v>
      </c>
      <c r="L294" cm="1">
        <f t="array" aca="1" ref="L294" ca="1">INDIRECT("Data!F" &amp; 289)</f>
        <v>0</v>
      </c>
      <c r="M294" cm="1">
        <f t="array" aca="1" ref="M294" ca="1">INDIRECT("Data!G" &amp; 289)</f>
        <v>0</v>
      </c>
      <c r="N294" cm="1">
        <f t="array" aca="1" ref="N294" ca="1">INDIRECT("Data!H" &amp; 289)</f>
        <v>0</v>
      </c>
      <c r="O294" cm="1">
        <f t="array" aca="1" ref="O294" ca="1">INDIRECT("Data!I" &amp; 289)</f>
        <v>0</v>
      </c>
      <c r="P294" s="21" cm="1">
        <f t="array" aca="1" ref="P294" ca="1">INDIRECT("Data!J" &amp; 289)</f>
        <v>0</v>
      </c>
      <c r="Q294" cm="1">
        <f t="array" aca="1" ref="Q294" ca="1">INDIRECT("Data!K" &amp; 289)</f>
        <v>0</v>
      </c>
      <c r="R294" cm="1">
        <f t="array" aca="1" ref="R294" ca="1">INDIRECT("Data!L" &amp; 289)</f>
        <v>0</v>
      </c>
      <c r="S294" cm="1">
        <f t="array" aca="1" ref="S294" ca="1">INDIRECT("Data!M" &amp; 289)</f>
        <v>0</v>
      </c>
      <c r="T294" cm="1">
        <f t="array" aca="1" ref="T294" ca="1">INDIRECT("Data!N" &amp; 289)</f>
        <v>0</v>
      </c>
      <c r="U294" cm="1">
        <f t="array" aca="1" ref="U294" ca="1">INDIRECT("Data!O" &amp; 289)</f>
        <v>0</v>
      </c>
      <c r="V294" cm="1">
        <f t="array" aca="1" ref="V294" ca="1">INDIRECT("Data!P" &amp; 289)</f>
        <v>0</v>
      </c>
    </row>
    <row r="295" spans="7:22" x14ac:dyDescent="0.25">
      <c r="G295" cm="1">
        <f t="array" aca="1" ref="G295" ca="1">INDIRECT("Data!A" &amp; 290)</f>
        <v>0</v>
      </c>
      <c r="H295" s="21" cm="1">
        <f t="array" aca="1" ref="H295" ca="1">INDIRECT("Data!B" &amp; 290)</f>
        <v>0</v>
      </c>
      <c r="I295" s="21" cm="1">
        <f t="array" aca="1" ref="I295" ca="1">INDIRECT("Data!C" &amp; 290)</f>
        <v>0</v>
      </c>
      <c r="J295" cm="1">
        <f t="array" aca="1" ref="J295" ca="1">INDIRECT("Data!D" &amp; 290)</f>
        <v>0</v>
      </c>
      <c r="K295" cm="1">
        <f t="array" aca="1" ref="K295" ca="1">INDIRECT("Data!E" &amp; 290)</f>
        <v>0</v>
      </c>
      <c r="L295" cm="1">
        <f t="array" aca="1" ref="L295" ca="1">INDIRECT("Data!F" &amp; 290)</f>
        <v>0</v>
      </c>
      <c r="M295" cm="1">
        <f t="array" aca="1" ref="M295" ca="1">INDIRECT("Data!G" &amp; 290)</f>
        <v>0</v>
      </c>
      <c r="N295" cm="1">
        <f t="array" aca="1" ref="N295" ca="1">INDIRECT("Data!H" &amp; 290)</f>
        <v>0</v>
      </c>
      <c r="O295" cm="1">
        <f t="array" aca="1" ref="O295" ca="1">INDIRECT("Data!I" &amp; 290)</f>
        <v>0</v>
      </c>
      <c r="P295" s="21" cm="1">
        <f t="array" aca="1" ref="P295" ca="1">INDIRECT("Data!J" &amp; 290)</f>
        <v>0</v>
      </c>
      <c r="Q295" cm="1">
        <f t="array" aca="1" ref="Q295" ca="1">INDIRECT("Data!K" &amp; 290)</f>
        <v>0</v>
      </c>
      <c r="R295" cm="1">
        <f t="array" aca="1" ref="R295" ca="1">INDIRECT("Data!L" &amp; 290)</f>
        <v>0</v>
      </c>
      <c r="S295" cm="1">
        <f t="array" aca="1" ref="S295" ca="1">INDIRECT("Data!M" &amp; 290)</f>
        <v>0</v>
      </c>
      <c r="T295" cm="1">
        <f t="array" aca="1" ref="T295" ca="1">INDIRECT("Data!N" &amp; 290)</f>
        <v>0</v>
      </c>
      <c r="U295" cm="1">
        <f t="array" aca="1" ref="U295" ca="1">INDIRECT("Data!O" &amp; 290)</f>
        <v>0</v>
      </c>
      <c r="V295" cm="1">
        <f t="array" aca="1" ref="V295" ca="1">INDIRECT("Data!P" &amp; 290)</f>
        <v>0</v>
      </c>
    </row>
    <row r="296" spans="7:22" x14ac:dyDescent="0.25">
      <c r="G296" cm="1">
        <f t="array" aca="1" ref="G296" ca="1">INDIRECT("Data!A" &amp; 291)</f>
        <v>0</v>
      </c>
      <c r="H296" s="21" cm="1">
        <f t="array" aca="1" ref="H296" ca="1">INDIRECT("Data!B" &amp; 291)</f>
        <v>0</v>
      </c>
      <c r="I296" s="21" cm="1">
        <f t="array" aca="1" ref="I296" ca="1">INDIRECT("Data!C" &amp; 291)</f>
        <v>0</v>
      </c>
      <c r="J296" cm="1">
        <f t="array" aca="1" ref="J296" ca="1">INDIRECT("Data!D" &amp; 291)</f>
        <v>0</v>
      </c>
      <c r="K296" cm="1">
        <f t="array" aca="1" ref="K296" ca="1">INDIRECT("Data!E" &amp; 291)</f>
        <v>0</v>
      </c>
      <c r="L296" cm="1">
        <f t="array" aca="1" ref="L296" ca="1">INDIRECT("Data!F" &amp; 291)</f>
        <v>0</v>
      </c>
      <c r="M296" cm="1">
        <f t="array" aca="1" ref="M296" ca="1">INDIRECT("Data!G" &amp; 291)</f>
        <v>0</v>
      </c>
      <c r="N296" cm="1">
        <f t="array" aca="1" ref="N296" ca="1">INDIRECT("Data!H" &amp; 291)</f>
        <v>0</v>
      </c>
      <c r="O296" cm="1">
        <f t="array" aca="1" ref="O296" ca="1">INDIRECT("Data!I" &amp; 291)</f>
        <v>0</v>
      </c>
      <c r="P296" s="21" cm="1">
        <f t="array" aca="1" ref="P296" ca="1">INDIRECT("Data!J" &amp; 291)</f>
        <v>0</v>
      </c>
      <c r="Q296" cm="1">
        <f t="array" aca="1" ref="Q296" ca="1">INDIRECT("Data!K" &amp; 291)</f>
        <v>0</v>
      </c>
      <c r="R296" cm="1">
        <f t="array" aca="1" ref="R296" ca="1">INDIRECT("Data!L" &amp; 291)</f>
        <v>0</v>
      </c>
      <c r="S296" cm="1">
        <f t="array" aca="1" ref="S296" ca="1">INDIRECT("Data!M" &amp; 291)</f>
        <v>0</v>
      </c>
      <c r="T296" cm="1">
        <f t="array" aca="1" ref="T296" ca="1">INDIRECT("Data!N" &amp; 291)</f>
        <v>0</v>
      </c>
      <c r="U296" cm="1">
        <f t="array" aca="1" ref="U296" ca="1">INDIRECT("Data!O" &amp; 291)</f>
        <v>0</v>
      </c>
      <c r="V296" cm="1">
        <f t="array" aca="1" ref="V296" ca="1">INDIRECT("Data!P" &amp; 291)</f>
        <v>0</v>
      </c>
    </row>
    <row r="297" spans="7:22" x14ac:dyDescent="0.25">
      <c r="G297" cm="1">
        <f t="array" aca="1" ref="G297" ca="1">INDIRECT("Data!A" &amp; 292)</f>
        <v>0</v>
      </c>
      <c r="H297" s="21" cm="1">
        <f t="array" aca="1" ref="H297" ca="1">INDIRECT("Data!B" &amp; 292)</f>
        <v>0</v>
      </c>
      <c r="I297" s="21" cm="1">
        <f t="array" aca="1" ref="I297" ca="1">INDIRECT("Data!C" &amp; 292)</f>
        <v>0</v>
      </c>
      <c r="J297" cm="1">
        <f t="array" aca="1" ref="J297" ca="1">INDIRECT("Data!D" &amp; 292)</f>
        <v>0</v>
      </c>
      <c r="K297" cm="1">
        <f t="array" aca="1" ref="K297" ca="1">INDIRECT("Data!E" &amp; 292)</f>
        <v>0</v>
      </c>
      <c r="L297" cm="1">
        <f t="array" aca="1" ref="L297" ca="1">INDIRECT("Data!F" &amp; 292)</f>
        <v>0</v>
      </c>
      <c r="M297" cm="1">
        <f t="array" aca="1" ref="M297" ca="1">INDIRECT("Data!G" &amp; 292)</f>
        <v>0</v>
      </c>
      <c r="N297" cm="1">
        <f t="array" aca="1" ref="N297" ca="1">INDIRECT("Data!H" &amp; 292)</f>
        <v>0</v>
      </c>
      <c r="O297" cm="1">
        <f t="array" aca="1" ref="O297" ca="1">INDIRECT("Data!I" &amp; 292)</f>
        <v>0</v>
      </c>
      <c r="P297" s="21" cm="1">
        <f t="array" aca="1" ref="P297" ca="1">INDIRECT("Data!J" &amp; 292)</f>
        <v>0</v>
      </c>
      <c r="Q297" cm="1">
        <f t="array" aca="1" ref="Q297" ca="1">INDIRECT("Data!K" &amp; 292)</f>
        <v>0</v>
      </c>
      <c r="R297" cm="1">
        <f t="array" aca="1" ref="R297" ca="1">INDIRECT("Data!L" &amp; 292)</f>
        <v>0</v>
      </c>
      <c r="S297" cm="1">
        <f t="array" aca="1" ref="S297" ca="1">INDIRECT("Data!M" &amp; 292)</f>
        <v>0</v>
      </c>
      <c r="T297" cm="1">
        <f t="array" aca="1" ref="T297" ca="1">INDIRECT("Data!N" &amp; 292)</f>
        <v>0</v>
      </c>
      <c r="U297" cm="1">
        <f t="array" aca="1" ref="U297" ca="1">INDIRECT("Data!O" &amp; 292)</f>
        <v>0</v>
      </c>
      <c r="V297" cm="1">
        <f t="array" aca="1" ref="V297" ca="1">INDIRECT("Data!P" &amp; 292)</f>
        <v>0</v>
      </c>
    </row>
    <row r="298" spans="7:22" x14ac:dyDescent="0.25">
      <c r="G298" cm="1">
        <f t="array" aca="1" ref="G298" ca="1">INDIRECT("Data!A" &amp; 293)</f>
        <v>0</v>
      </c>
      <c r="H298" s="21" cm="1">
        <f t="array" aca="1" ref="H298" ca="1">INDIRECT("Data!B" &amp; 293)</f>
        <v>0</v>
      </c>
      <c r="I298" s="21" cm="1">
        <f t="array" aca="1" ref="I298" ca="1">INDIRECT("Data!C" &amp; 293)</f>
        <v>0</v>
      </c>
      <c r="J298" cm="1">
        <f t="array" aca="1" ref="J298" ca="1">INDIRECT("Data!D" &amp; 293)</f>
        <v>0</v>
      </c>
      <c r="K298" cm="1">
        <f t="array" aca="1" ref="K298" ca="1">INDIRECT("Data!E" &amp; 293)</f>
        <v>0</v>
      </c>
      <c r="L298" cm="1">
        <f t="array" aca="1" ref="L298" ca="1">INDIRECT("Data!F" &amp; 293)</f>
        <v>0</v>
      </c>
      <c r="M298" cm="1">
        <f t="array" aca="1" ref="M298" ca="1">INDIRECT("Data!G" &amp; 293)</f>
        <v>0</v>
      </c>
      <c r="N298" cm="1">
        <f t="array" aca="1" ref="N298" ca="1">INDIRECT("Data!H" &amp; 293)</f>
        <v>0</v>
      </c>
      <c r="O298" cm="1">
        <f t="array" aca="1" ref="O298" ca="1">INDIRECT("Data!I" &amp; 293)</f>
        <v>0</v>
      </c>
      <c r="P298" s="21" cm="1">
        <f t="array" aca="1" ref="P298" ca="1">INDIRECT("Data!J" &amp; 293)</f>
        <v>0</v>
      </c>
      <c r="Q298" cm="1">
        <f t="array" aca="1" ref="Q298" ca="1">INDIRECT("Data!K" &amp; 293)</f>
        <v>0</v>
      </c>
      <c r="R298" cm="1">
        <f t="array" aca="1" ref="R298" ca="1">INDIRECT("Data!L" &amp; 293)</f>
        <v>0</v>
      </c>
      <c r="S298" cm="1">
        <f t="array" aca="1" ref="S298" ca="1">INDIRECT("Data!M" &amp; 293)</f>
        <v>0</v>
      </c>
      <c r="T298" cm="1">
        <f t="array" aca="1" ref="T298" ca="1">INDIRECT("Data!N" &amp; 293)</f>
        <v>0</v>
      </c>
      <c r="U298" cm="1">
        <f t="array" aca="1" ref="U298" ca="1">INDIRECT("Data!O" &amp; 293)</f>
        <v>0</v>
      </c>
      <c r="V298" cm="1">
        <f t="array" aca="1" ref="V298" ca="1">INDIRECT("Data!P" &amp; 293)</f>
        <v>0</v>
      </c>
    </row>
    <row r="299" spans="7:22" x14ac:dyDescent="0.25">
      <c r="G299" cm="1">
        <f t="array" aca="1" ref="G299" ca="1">INDIRECT("Data!A" &amp; 294)</f>
        <v>0</v>
      </c>
      <c r="H299" s="21" cm="1">
        <f t="array" aca="1" ref="H299" ca="1">INDIRECT("Data!B" &amp; 294)</f>
        <v>0</v>
      </c>
      <c r="I299" s="21" cm="1">
        <f t="array" aca="1" ref="I299" ca="1">INDIRECT("Data!C" &amp; 294)</f>
        <v>0</v>
      </c>
      <c r="J299" cm="1">
        <f t="array" aca="1" ref="J299" ca="1">INDIRECT("Data!D" &amp; 294)</f>
        <v>0</v>
      </c>
      <c r="K299" cm="1">
        <f t="array" aca="1" ref="K299" ca="1">INDIRECT("Data!E" &amp; 294)</f>
        <v>0</v>
      </c>
      <c r="L299" cm="1">
        <f t="array" aca="1" ref="L299" ca="1">INDIRECT("Data!F" &amp; 294)</f>
        <v>0</v>
      </c>
      <c r="M299" cm="1">
        <f t="array" aca="1" ref="M299" ca="1">INDIRECT("Data!G" &amp; 294)</f>
        <v>0</v>
      </c>
      <c r="N299" cm="1">
        <f t="array" aca="1" ref="N299" ca="1">INDIRECT("Data!H" &amp; 294)</f>
        <v>0</v>
      </c>
      <c r="O299" cm="1">
        <f t="array" aca="1" ref="O299" ca="1">INDIRECT("Data!I" &amp; 294)</f>
        <v>0</v>
      </c>
      <c r="P299" s="21" cm="1">
        <f t="array" aca="1" ref="P299" ca="1">INDIRECT("Data!J" &amp; 294)</f>
        <v>0</v>
      </c>
      <c r="Q299" cm="1">
        <f t="array" aca="1" ref="Q299" ca="1">INDIRECT("Data!K" &amp; 294)</f>
        <v>0</v>
      </c>
      <c r="R299" cm="1">
        <f t="array" aca="1" ref="R299" ca="1">INDIRECT("Data!L" &amp; 294)</f>
        <v>0</v>
      </c>
      <c r="S299" cm="1">
        <f t="array" aca="1" ref="S299" ca="1">INDIRECT("Data!M" &amp; 294)</f>
        <v>0</v>
      </c>
      <c r="T299" cm="1">
        <f t="array" aca="1" ref="T299" ca="1">INDIRECT("Data!N" &amp; 294)</f>
        <v>0</v>
      </c>
      <c r="U299" cm="1">
        <f t="array" aca="1" ref="U299" ca="1">INDIRECT("Data!O" &amp; 294)</f>
        <v>0</v>
      </c>
      <c r="V299" cm="1">
        <f t="array" aca="1" ref="V299" ca="1">INDIRECT("Data!P" &amp; 294)</f>
        <v>0</v>
      </c>
    </row>
    <row r="300" spans="7:22" x14ac:dyDescent="0.25">
      <c r="G300" cm="1">
        <f t="array" aca="1" ref="G300" ca="1">INDIRECT("Data!A" &amp; 295)</f>
        <v>0</v>
      </c>
      <c r="H300" s="21" cm="1">
        <f t="array" aca="1" ref="H300" ca="1">INDIRECT("Data!B" &amp; 295)</f>
        <v>0</v>
      </c>
      <c r="I300" s="21" cm="1">
        <f t="array" aca="1" ref="I300" ca="1">INDIRECT("Data!C" &amp; 295)</f>
        <v>0</v>
      </c>
      <c r="J300" cm="1">
        <f t="array" aca="1" ref="J300" ca="1">INDIRECT("Data!D" &amp; 295)</f>
        <v>0</v>
      </c>
      <c r="K300" cm="1">
        <f t="array" aca="1" ref="K300" ca="1">INDIRECT("Data!E" &amp; 295)</f>
        <v>0</v>
      </c>
      <c r="L300" cm="1">
        <f t="array" aca="1" ref="L300" ca="1">INDIRECT("Data!F" &amp; 295)</f>
        <v>0</v>
      </c>
      <c r="M300" cm="1">
        <f t="array" aca="1" ref="M300" ca="1">INDIRECT("Data!G" &amp; 295)</f>
        <v>0</v>
      </c>
      <c r="N300" cm="1">
        <f t="array" aca="1" ref="N300" ca="1">INDIRECT("Data!H" &amp; 295)</f>
        <v>0</v>
      </c>
      <c r="O300" cm="1">
        <f t="array" aca="1" ref="O300" ca="1">INDIRECT("Data!I" &amp; 295)</f>
        <v>0</v>
      </c>
      <c r="P300" s="21" cm="1">
        <f t="array" aca="1" ref="P300" ca="1">INDIRECT("Data!J" &amp; 295)</f>
        <v>0</v>
      </c>
      <c r="Q300" cm="1">
        <f t="array" aca="1" ref="Q300" ca="1">INDIRECT("Data!K" &amp; 295)</f>
        <v>0</v>
      </c>
      <c r="R300" cm="1">
        <f t="array" aca="1" ref="R300" ca="1">INDIRECT("Data!L" &amp; 295)</f>
        <v>0</v>
      </c>
      <c r="S300" cm="1">
        <f t="array" aca="1" ref="S300" ca="1">INDIRECT("Data!M" &amp; 295)</f>
        <v>0</v>
      </c>
      <c r="T300" cm="1">
        <f t="array" aca="1" ref="T300" ca="1">INDIRECT("Data!N" &amp; 295)</f>
        <v>0</v>
      </c>
      <c r="U300" cm="1">
        <f t="array" aca="1" ref="U300" ca="1">INDIRECT("Data!O" &amp; 295)</f>
        <v>0</v>
      </c>
      <c r="V300" cm="1">
        <f t="array" aca="1" ref="V300" ca="1">INDIRECT("Data!P" &amp; 295)</f>
        <v>0</v>
      </c>
    </row>
    <row r="301" spans="7:22" x14ac:dyDescent="0.25">
      <c r="G301" cm="1">
        <f t="array" aca="1" ref="G301" ca="1">INDIRECT("Data!A" &amp; 296)</f>
        <v>0</v>
      </c>
      <c r="H301" s="21" cm="1">
        <f t="array" aca="1" ref="H301" ca="1">INDIRECT("Data!B" &amp; 296)</f>
        <v>0</v>
      </c>
      <c r="I301" s="21" cm="1">
        <f t="array" aca="1" ref="I301" ca="1">INDIRECT("Data!C" &amp; 296)</f>
        <v>0</v>
      </c>
      <c r="J301" cm="1">
        <f t="array" aca="1" ref="J301" ca="1">INDIRECT("Data!D" &amp; 296)</f>
        <v>0</v>
      </c>
      <c r="K301" cm="1">
        <f t="array" aca="1" ref="K301" ca="1">INDIRECT("Data!E" &amp; 296)</f>
        <v>0</v>
      </c>
      <c r="L301" cm="1">
        <f t="array" aca="1" ref="L301" ca="1">INDIRECT("Data!F" &amp; 296)</f>
        <v>0</v>
      </c>
      <c r="M301" cm="1">
        <f t="array" aca="1" ref="M301" ca="1">INDIRECT("Data!G" &amp; 296)</f>
        <v>0</v>
      </c>
      <c r="N301" cm="1">
        <f t="array" aca="1" ref="N301" ca="1">INDIRECT("Data!H" &amp; 296)</f>
        <v>0</v>
      </c>
      <c r="O301" cm="1">
        <f t="array" aca="1" ref="O301" ca="1">INDIRECT("Data!I" &amp; 296)</f>
        <v>0</v>
      </c>
      <c r="P301" s="21" cm="1">
        <f t="array" aca="1" ref="P301" ca="1">INDIRECT("Data!J" &amp; 296)</f>
        <v>0</v>
      </c>
      <c r="Q301" cm="1">
        <f t="array" aca="1" ref="Q301" ca="1">INDIRECT("Data!K" &amp; 296)</f>
        <v>0</v>
      </c>
      <c r="R301" cm="1">
        <f t="array" aca="1" ref="R301" ca="1">INDIRECT("Data!L" &amp; 296)</f>
        <v>0</v>
      </c>
      <c r="S301" cm="1">
        <f t="array" aca="1" ref="S301" ca="1">INDIRECT("Data!M" &amp; 296)</f>
        <v>0</v>
      </c>
      <c r="T301" cm="1">
        <f t="array" aca="1" ref="T301" ca="1">INDIRECT("Data!N" &amp; 296)</f>
        <v>0</v>
      </c>
      <c r="U301" cm="1">
        <f t="array" aca="1" ref="U301" ca="1">INDIRECT("Data!O" &amp; 296)</f>
        <v>0</v>
      </c>
      <c r="V301" cm="1">
        <f t="array" aca="1" ref="V301" ca="1">INDIRECT("Data!P" &amp; 296)</f>
        <v>0</v>
      </c>
    </row>
    <row r="302" spans="7:22" x14ac:dyDescent="0.25">
      <c r="G302" cm="1">
        <f t="array" aca="1" ref="G302" ca="1">INDIRECT("Data!A" &amp; 297)</f>
        <v>0</v>
      </c>
      <c r="H302" s="21" cm="1">
        <f t="array" aca="1" ref="H302" ca="1">INDIRECT("Data!B" &amp; 297)</f>
        <v>0</v>
      </c>
      <c r="I302" s="21" cm="1">
        <f t="array" aca="1" ref="I302" ca="1">INDIRECT("Data!C" &amp; 297)</f>
        <v>0</v>
      </c>
      <c r="J302" cm="1">
        <f t="array" aca="1" ref="J302" ca="1">INDIRECT("Data!D" &amp; 297)</f>
        <v>0</v>
      </c>
      <c r="K302" cm="1">
        <f t="array" aca="1" ref="K302" ca="1">INDIRECT("Data!E" &amp; 297)</f>
        <v>0</v>
      </c>
      <c r="L302" cm="1">
        <f t="array" aca="1" ref="L302" ca="1">INDIRECT("Data!F" &amp; 297)</f>
        <v>0</v>
      </c>
      <c r="M302" cm="1">
        <f t="array" aca="1" ref="M302" ca="1">INDIRECT("Data!G" &amp; 297)</f>
        <v>0</v>
      </c>
      <c r="N302" cm="1">
        <f t="array" aca="1" ref="N302" ca="1">INDIRECT("Data!H" &amp; 297)</f>
        <v>0</v>
      </c>
      <c r="O302" cm="1">
        <f t="array" aca="1" ref="O302" ca="1">INDIRECT("Data!I" &amp; 297)</f>
        <v>0</v>
      </c>
      <c r="P302" s="21" cm="1">
        <f t="array" aca="1" ref="P302" ca="1">INDIRECT("Data!J" &amp; 297)</f>
        <v>0</v>
      </c>
      <c r="Q302" cm="1">
        <f t="array" aca="1" ref="Q302" ca="1">INDIRECT("Data!K" &amp; 297)</f>
        <v>0</v>
      </c>
      <c r="R302" cm="1">
        <f t="array" aca="1" ref="R302" ca="1">INDIRECT("Data!L" &amp; 297)</f>
        <v>0</v>
      </c>
      <c r="S302" cm="1">
        <f t="array" aca="1" ref="S302" ca="1">INDIRECT("Data!M" &amp; 297)</f>
        <v>0</v>
      </c>
      <c r="T302" cm="1">
        <f t="array" aca="1" ref="T302" ca="1">INDIRECT("Data!N" &amp; 297)</f>
        <v>0</v>
      </c>
      <c r="U302" cm="1">
        <f t="array" aca="1" ref="U302" ca="1">INDIRECT("Data!O" &amp; 297)</f>
        <v>0</v>
      </c>
      <c r="V302" cm="1">
        <f t="array" aca="1" ref="V302" ca="1">INDIRECT("Data!P" &amp; 297)</f>
        <v>0</v>
      </c>
    </row>
    <row r="303" spans="7:22" x14ac:dyDescent="0.25">
      <c r="G303" cm="1">
        <f t="array" aca="1" ref="G303" ca="1">INDIRECT("Data!A" &amp; 298)</f>
        <v>0</v>
      </c>
      <c r="H303" s="21" cm="1">
        <f t="array" aca="1" ref="H303" ca="1">INDIRECT("Data!B" &amp; 298)</f>
        <v>0</v>
      </c>
      <c r="I303" s="21" cm="1">
        <f t="array" aca="1" ref="I303" ca="1">INDIRECT("Data!C" &amp; 298)</f>
        <v>0</v>
      </c>
      <c r="J303" cm="1">
        <f t="array" aca="1" ref="J303" ca="1">INDIRECT("Data!D" &amp; 298)</f>
        <v>0</v>
      </c>
      <c r="K303" cm="1">
        <f t="array" aca="1" ref="K303" ca="1">INDIRECT("Data!E" &amp; 298)</f>
        <v>0</v>
      </c>
      <c r="L303" cm="1">
        <f t="array" aca="1" ref="L303" ca="1">INDIRECT("Data!F" &amp; 298)</f>
        <v>0</v>
      </c>
      <c r="M303" cm="1">
        <f t="array" aca="1" ref="M303" ca="1">INDIRECT("Data!G" &amp; 298)</f>
        <v>0</v>
      </c>
      <c r="N303" cm="1">
        <f t="array" aca="1" ref="N303" ca="1">INDIRECT("Data!H" &amp; 298)</f>
        <v>0</v>
      </c>
      <c r="O303" cm="1">
        <f t="array" aca="1" ref="O303" ca="1">INDIRECT("Data!I" &amp; 298)</f>
        <v>0</v>
      </c>
      <c r="P303" s="21" cm="1">
        <f t="array" aca="1" ref="P303" ca="1">INDIRECT("Data!J" &amp; 298)</f>
        <v>0</v>
      </c>
      <c r="Q303" cm="1">
        <f t="array" aca="1" ref="Q303" ca="1">INDIRECT("Data!K" &amp; 298)</f>
        <v>0</v>
      </c>
      <c r="R303" cm="1">
        <f t="array" aca="1" ref="R303" ca="1">INDIRECT("Data!L" &amp; 298)</f>
        <v>0</v>
      </c>
      <c r="S303" cm="1">
        <f t="array" aca="1" ref="S303" ca="1">INDIRECT("Data!M" &amp; 298)</f>
        <v>0</v>
      </c>
      <c r="T303" cm="1">
        <f t="array" aca="1" ref="T303" ca="1">INDIRECT("Data!N" &amp; 298)</f>
        <v>0</v>
      </c>
      <c r="U303" cm="1">
        <f t="array" aca="1" ref="U303" ca="1">INDIRECT("Data!O" &amp; 298)</f>
        <v>0</v>
      </c>
      <c r="V303" cm="1">
        <f t="array" aca="1" ref="V303" ca="1">INDIRECT("Data!P" &amp; 298)</f>
        <v>0</v>
      </c>
    </row>
    <row r="304" spans="7:22" x14ac:dyDescent="0.25">
      <c r="G304" cm="1">
        <f t="array" aca="1" ref="G304" ca="1">INDIRECT("Data!A" &amp; 299)</f>
        <v>0</v>
      </c>
      <c r="H304" s="21" cm="1">
        <f t="array" aca="1" ref="H304" ca="1">INDIRECT("Data!B" &amp; 299)</f>
        <v>0</v>
      </c>
      <c r="I304" s="21" cm="1">
        <f t="array" aca="1" ref="I304" ca="1">INDIRECT("Data!C" &amp; 299)</f>
        <v>0</v>
      </c>
      <c r="J304" cm="1">
        <f t="array" aca="1" ref="J304" ca="1">INDIRECT("Data!D" &amp; 299)</f>
        <v>0</v>
      </c>
      <c r="K304" cm="1">
        <f t="array" aca="1" ref="K304" ca="1">INDIRECT("Data!E" &amp; 299)</f>
        <v>0</v>
      </c>
      <c r="L304" cm="1">
        <f t="array" aca="1" ref="L304" ca="1">INDIRECT("Data!F" &amp; 299)</f>
        <v>0</v>
      </c>
      <c r="M304" cm="1">
        <f t="array" aca="1" ref="M304" ca="1">INDIRECT("Data!G" &amp; 299)</f>
        <v>0</v>
      </c>
      <c r="N304" cm="1">
        <f t="array" aca="1" ref="N304" ca="1">INDIRECT("Data!H" &amp; 299)</f>
        <v>0</v>
      </c>
      <c r="O304" cm="1">
        <f t="array" aca="1" ref="O304" ca="1">INDIRECT("Data!I" &amp; 299)</f>
        <v>0</v>
      </c>
      <c r="P304" s="21" cm="1">
        <f t="array" aca="1" ref="P304" ca="1">INDIRECT("Data!J" &amp; 299)</f>
        <v>0</v>
      </c>
      <c r="Q304" cm="1">
        <f t="array" aca="1" ref="Q304" ca="1">INDIRECT("Data!K" &amp; 299)</f>
        <v>0</v>
      </c>
      <c r="R304" cm="1">
        <f t="array" aca="1" ref="R304" ca="1">INDIRECT("Data!L" &amp; 299)</f>
        <v>0</v>
      </c>
      <c r="S304" cm="1">
        <f t="array" aca="1" ref="S304" ca="1">INDIRECT("Data!M" &amp; 299)</f>
        <v>0</v>
      </c>
      <c r="T304" cm="1">
        <f t="array" aca="1" ref="T304" ca="1">INDIRECT("Data!N" &amp; 299)</f>
        <v>0</v>
      </c>
      <c r="U304" cm="1">
        <f t="array" aca="1" ref="U304" ca="1">INDIRECT("Data!O" &amp; 299)</f>
        <v>0</v>
      </c>
      <c r="V304" cm="1">
        <f t="array" aca="1" ref="V304" ca="1">INDIRECT("Data!P" &amp; 299)</f>
        <v>0</v>
      </c>
    </row>
    <row r="305" spans="7:22" x14ac:dyDescent="0.25">
      <c r="G305" cm="1">
        <f t="array" aca="1" ref="G305" ca="1">INDIRECT("Data!A" &amp; 300)</f>
        <v>0</v>
      </c>
      <c r="H305" s="21" cm="1">
        <f t="array" aca="1" ref="H305" ca="1">INDIRECT("Data!B" &amp; 300)</f>
        <v>0</v>
      </c>
      <c r="I305" s="21" cm="1">
        <f t="array" aca="1" ref="I305" ca="1">INDIRECT("Data!C" &amp; 300)</f>
        <v>0</v>
      </c>
      <c r="J305" cm="1">
        <f t="array" aca="1" ref="J305" ca="1">INDIRECT("Data!D" &amp; 300)</f>
        <v>0</v>
      </c>
      <c r="K305" cm="1">
        <f t="array" aca="1" ref="K305" ca="1">INDIRECT("Data!E" &amp; 300)</f>
        <v>0</v>
      </c>
      <c r="L305" cm="1">
        <f t="array" aca="1" ref="L305" ca="1">INDIRECT("Data!F" &amp; 300)</f>
        <v>0</v>
      </c>
      <c r="M305" cm="1">
        <f t="array" aca="1" ref="M305" ca="1">INDIRECT("Data!G" &amp; 300)</f>
        <v>0</v>
      </c>
      <c r="N305" cm="1">
        <f t="array" aca="1" ref="N305" ca="1">INDIRECT("Data!H" &amp; 300)</f>
        <v>0</v>
      </c>
      <c r="O305" cm="1">
        <f t="array" aca="1" ref="O305" ca="1">INDIRECT("Data!I" &amp; 300)</f>
        <v>0</v>
      </c>
      <c r="P305" s="21" cm="1">
        <f t="array" aca="1" ref="P305" ca="1">INDIRECT("Data!J" &amp; 300)</f>
        <v>0</v>
      </c>
      <c r="Q305" cm="1">
        <f t="array" aca="1" ref="Q305" ca="1">INDIRECT("Data!K" &amp; 300)</f>
        <v>0</v>
      </c>
      <c r="R305" cm="1">
        <f t="array" aca="1" ref="R305" ca="1">INDIRECT("Data!L" &amp; 300)</f>
        <v>0</v>
      </c>
      <c r="S305" cm="1">
        <f t="array" aca="1" ref="S305" ca="1">INDIRECT("Data!M" &amp; 300)</f>
        <v>0</v>
      </c>
      <c r="T305" cm="1">
        <f t="array" aca="1" ref="T305" ca="1">INDIRECT("Data!N" &amp; 300)</f>
        <v>0</v>
      </c>
      <c r="U305" cm="1">
        <f t="array" aca="1" ref="U305" ca="1">INDIRECT("Data!O" &amp; 300)</f>
        <v>0</v>
      </c>
      <c r="V305" cm="1">
        <f t="array" aca="1" ref="V305" ca="1">INDIRECT("Data!P" &amp; 300)</f>
        <v>0</v>
      </c>
    </row>
    <row r="306" spans="7:22" x14ac:dyDescent="0.25">
      <c r="G306" cm="1">
        <f t="array" aca="1" ref="G306" ca="1">INDIRECT("Data!A" &amp; 301)</f>
        <v>0</v>
      </c>
      <c r="H306" s="21" cm="1">
        <f t="array" aca="1" ref="H306" ca="1">INDIRECT("Data!B" &amp; 301)</f>
        <v>0</v>
      </c>
      <c r="I306" s="21" cm="1">
        <f t="array" aca="1" ref="I306" ca="1">INDIRECT("Data!C" &amp; 301)</f>
        <v>0</v>
      </c>
      <c r="J306" cm="1">
        <f t="array" aca="1" ref="J306" ca="1">INDIRECT("Data!D" &amp; 301)</f>
        <v>0</v>
      </c>
      <c r="K306" cm="1">
        <f t="array" aca="1" ref="K306" ca="1">INDIRECT("Data!E" &amp; 301)</f>
        <v>0</v>
      </c>
      <c r="L306" cm="1">
        <f t="array" aca="1" ref="L306" ca="1">INDIRECT("Data!F" &amp; 301)</f>
        <v>0</v>
      </c>
      <c r="M306" cm="1">
        <f t="array" aca="1" ref="M306" ca="1">INDIRECT("Data!G" &amp; 301)</f>
        <v>0</v>
      </c>
      <c r="N306" cm="1">
        <f t="array" aca="1" ref="N306" ca="1">INDIRECT("Data!H" &amp; 301)</f>
        <v>0</v>
      </c>
      <c r="O306" cm="1">
        <f t="array" aca="1" ref="O306" ca="1">INDIRECT("Data!I" &amp; 301)</f>
        <v>0</v>
      </c>
      <c r="P306" s="21" cm="1">
        <f t="array" aca="1" ref="P306" ca="1">INDIRECT("Data!J" &amp; 301)</f>
        <v>0</v>
      </c>
      <c r="Q306" cm="1">
        <f t="array" aca="1" ref="Q306" ca="1">INDIRECT("Data!K" &amp; 301)</f>
        <v>0</v>
      </c>
      <c r="R306" cm="1">
        <f t="array" aca="1" ref="R306" ca="1">INDIRECT("Data!L" &amp; 301)</f>
        <v>0</v>
      </c>
      <c r="S306" cm="1">
        <f t="array" aca="1" ref="S306" ca="1">INDIRECT("Data!M" &amp; 301)</f>
        <v>0</v>
      </c>
      <c r="T306" cm="1">
        <f t="array" aca="1" ref="T306" ca="1">INDIRECT("Data!N" &amp; 301)</f>
        <v>0</v>
      </c>
      <c r="U306" cm="1">
        <f t="array" aca="1" ref="U306" ca="1">INDIRECT("Data!O" &amp; 301)</f>
        <v>0</v>
      </c>
      <c r="V306" cm="1">
        <f t="array" aca="1" ref="V306" ca="1">INDIRECT("Data!P" &amp; 301)</f>
        <v>0</v>
      </c>
    </row>
    <row r="307" spans="7:22" x14ac:dyDescent="0.25">
      <c r="G307" cm="1">
        <f t="array" aca="1" ref="G307" ca="1">INDIRECT("Data!A" &amp; 302)</f>
        <v>0</v>
      </c>
      <c r="H307" s="21" cm="1">
        <f t="array" aca="1" ref="H307" ca="1">INDIRECT("Data!B" &amp; 302)</f>
        <v>0</v>
      </c>
      <c r="I307" s="21" cm="1">
        <f t="array" aca="1" ref="I307" ca="1">INDIRECT("Data!C" &amp; 302)</f>
        <v>0</v>
      </c>
      <c r="J307" cm="1">
        <f t="array" aca="1" ref="J307" ca="1">INDIRECT("Data!D" &amp; 302)</f>
        <v>0</v>
      </c>
      <c r="K307" cm="1">
        <f t="array" aca="1" ref="K307" ca="1">INDIRECT("Data!E" &amp; 302)</f>
        <v>0</v>
      </c>
      <c r="L307" cm="1">
        <f t="array" aca="1" ref="L307" ca="1">INDIRECT("Data!F" &amp; 302)</f>
        <v>0</v>
      </c>
      <c r="M307" cm="1">
        <f t="array" aca="1" ref="M307" ca="1">INDIRECT("Data!G" &amp; 302)</f>
        <v>0</v>
      </c>
      <c r="N307" cm="1">
        <f t="array" aca="1" ref="N307" ca="1">INDIRECT("Data!H" &amp; 302)</f>
        <v>0</v>
      </c>
      <c r="O307" cm="1">
        <f t="array" aca="1" ref="O307" ca="1">INDIRECT("Data!I" &amp; 302)</f>
        <v>0</v>
      </c>
      <c r="P307" s="21" cm="1">
        <f t="array" aca="1" ref="P307" ca="1">INDIRECT("Data!J" &amp; 302)</f>
        <v>0</v>
      </c>
      <c r="Q307" cm="1">
        <f t="array" aca="1" ref="Q307" ca="1">INDIRECT("Data!K" &amp; 302)</f>
        <v>0</v>
      </c>
      <c r="R307" cm="1">
        <f t="array" aca="1" ref="R307" ca="1">INDIRECT("Data!L" &amp; 302)</f>
        <v>0</v>
      </c>
      <c r="S307" cm="1">
        <f t="array" aca="1" ref="S307" ca="1">INDIRECT("Data!M" &amp; 302)</f>
        <v>0</v>
      </c>
      <c r="T307" cm="1">
        <f t="array" aca="1" ref="T307" ca="1">INDIRECT("Data!N" &amp; 302)</f>
        <v>0</v>
      </c>
      <c r="U307" cm="1">
        <f t="array" aca="1" ref="U307" ca="1">INDIRECT("Data!O" &amp; 302)</f>
        <v>0</v>
      </c>
      <c r="V307" cm="1">
        <f t="array" aca="1" ref="V307" ca="1">INDIRECT("Data!P" &amp; 302)</f>
        <v>0</v>
      </c>
    </row>
    <row r="308" spans="7:22" x14ac:dyDescent="0.25">
      <c r="G308" cm="1">
        <f t="array" aca="1" ref="G308" ca="1">INDIRECT("Data!A" &amp; 303)</f>
        <v>0</v>
      </c>
      <c r="H308" s="21" cm="1">
        <f t="array" aca="1" ref="H308" ca="1">INDIRECT("Data!B" &amp; 303)</f>
        <v>0</v>
      </c>
      <c r="I308" s="21" cm="1">
        <f t="array" aca="1" ref="I308" ca="1">INDIRECT("Data!C" &amp; 303)</f>
        <v>0</v>
      </c>
      <c r="J308" cm="1">
        <f t="array" aca="1" ref="J308" ca="1">INDIRECT("Data!D" &amp; 303)</f>
        <v>0</v>
      </c>
      <c r="K308" cm="1">
        <f t="array" aca="1" ref="K308" ca="1">INDIRECT("Data!E" &amp; 303)</f>
        <v>0</v>
      </c>
      <c r="L308" cm="1">
        <f t="array" aca="1" ref="L308" ca="1">INDIRECT("Data!F" &amp; 303)</f>
        <v>0</v>
      </c>
      <c r="M308" cm="1">
        <f t="array" aca="1" ref="M308" ca="1">INDIRECT("Data!G" &amp; 303)</f>
        <v>0</v>
      </c>
      <c r="N308" cm="1">
        <f t="array" aca="1" ref="N308" ca="1">INDIRECT("Data!H" &amp; 303)</f>
        <v>0</v>
      </c>
      <c r="O308" cm="1">
        <f t="array" aca="1" ref="O308" ca="1">INDIRECT("Data!I" &amp; 303)</f>
        <v>0</v>
      </c>
      <c r="P308" s="21" cm="1">
        <f t="array" aca="1" ref="P308" ca="1">INDIRECT("Data!J" &amp; 303)</f>
        <v>0</v>
      </c>
      <c r="Q308" cm="1">
        <f t="array" aca="1" ref="Q308" ca="1">INDIRECT("Data!K" &amp; 303)</f>
        <v>0</v>
      </c>
      <c r="R308" cm="1">
        <f t="array" aca="1" ref="R308" ca="1">INDIRECT("Data!L" &amp; 303)</f>
        <v>0</v>
      </c>
      <c r="S308" cm="1">
        <f t="array" aca="1" ref="S308" ca="1">INDIRECT("Data!M" &amp; 303)</f>
        <v>0</v>
      </c>
      <c r="T308" cm="1">
        <f t="array" aca="1" ref="T308" ca="1">INDIRECT("Data!N" &amp; 303)</f>
        <v>0</v>
      </c>
      <c r="U308" cm="1">
        <f t="array" aca="1" ref="U308" ca="1">INDIRECT("Data!O" &amp; 303)</f>
        <v>0</v>
      </c>
      <c r="V308" cm="1">
        <f t="array" aca="1" ref="V308" ca="1">INDIRECT("Data!P" &amp; 303)</f>
        <v>0</v>
      </c>
    </row>
    <row r="309" spans="7:22" x14ac:dyDescent="0.25">
      <c r="G309" cm="1">
        <f t="array" aca="1" ref="G309" ca="1">INDIRECT("Data!A" &amp; 304)</f>
        <v>0</v>
      </c>
      <c r="H309" s="21" cm="1">
        <f t="array" aca="1" ref="H309" ca="1">INDIRECT("Data!B" &amp; 304)</f>
        <v>0</v>
      </c>
      <c r="I309" s="21" cm="1">
        <f t="array" aca="1" ref="I309" ca="1">INDIRECT("Data!C" &amp; 304)</f>
        <v>0</v>
      </c>
      <c r="J309" cm="1">
        <f t="array" aca="1" ref="J309" ca="1">INDIRECT("Data!D" &amp; 304)</f>
        <v>0</v>
      </c>
      <c r="K309" cm="1">
        <f t="array" aca="1" ref="K309" ca="1">INDIRECT("Data!E" &amp; 304)</f>
        <v>0</v>
      </c>
      <c r="L309" cm="1">
        <f t="array" aca="1" ref="L309" ca="1">INDIRECT("Data!F" &amp; 304)</f>
        <v>0</v>
      </c>
      <c r="M309" cm="1">
        <f t="array" aca="1" ref="M309" ca="1">INDIRECT("Data!G" &amp; 304)</f>
        <v>0</v>
      </c>
      <c r="N309" cm="1">
        <f t="array" aca="1" ref="N309" ca="1">INDIRECT("Data!H" &amp; 304)</f>
        <v>0</v>
      </c>
      <c r="O309" cm="1">
        <f t="array" aca="1" ref="O309" ca="1">INDIRECT("Data!I" &amp; 304)</f>
        <v>0</v>
      </c>
      <c r="P309" s="21" cm="1">
        <f t="array" aca="1" ref="P309" ca="1">INDIRECT("Data!J" &amp; 304)</f>
        <v>0</v>
      </c>
      <c r="Q309" cm="1">
        <f t="array" aca="1" ref="Q309" ca="1">INDIRECT("Data!K" &amp; 304)</f>
        <v>0</v>
      </c>
      <c r="R309" cm="1">
        <f t="array" aca="1" ref="R309" ca="1">INDIRECT("Data!L" &amp; 304)</f>
        <v>0</v>
      </c>
      <c r="S309" cm="1">
        <f t="array" aca="1" ref="S309" ca="1">INDIRECT("Data!M" &amp; 304)</f>
        <v>0</v>
      </c>
      <c r="T309" cm="1">
        <f t="array" aca="1" ref="T309" ca="1">INDIRECT("Data!N" &amp; 304)</f>
        <v>0</v>
      </c>
      <c r="U309" cm="1">
        <f t="array" aca="1" ref="U309" ca="1">INDIRECT("Data!O" &amp; 304)</f>
        <v>0</v>
      </c>
      <c r="V309" cm="1">
        <f t="array" aca="1" ref="V309" ca="1">INDIRECT("Data!P" &amp; 304)</f>
        <v>0</v>
      </c>
    </row>
    <row r="310" spans="7:22" x14ac:dyDescent="0.25">
      <c r="G310" cm="1">
        <f t="array" aca="1" ref="G310" ca="1">INDIRECT("Data!A" &amp; 305)</f>
        <v>0</v>
      </c>
      <c r="H310" s="21" cm="1">
        <f t="array" aca="1" ref="H310" ca="1">INDIRECT("Data!B" &amp; 305)</f>
        <v>0</v>
      </c>
      <c r="I310" s="21" cm="1">
        <f t="array" aca="1" ref="I310" ca="1">INDIRECT("Data!C" &amp; 305)</f>
        <v>0</v>
      </c>
      <c r="J310" cm="1">
        <f t="array" aca="1" ref="J310" ca="1">INDIRECT("Data!D" &amp; 305)</f>
        <v>0</v>
      </c>
      <c r="K310" cm="1">
        <f t="array" aca="1" ref="K310" ca="1">INDIRECT("Data!E" &amp; 305)</f>
        <v>0</v>
      </c>
      <c r="L310" cm="1">
        <f t="array" aca="1" ref="L310" ca="1">INDIRECT("Data!F" &amp; 305)</f>
        <v>0</v>
      </c>
      <c r="M310" cm="1">
        <f t="array" aca="1" ref="M310" ca="1">INDIRECT("Data!G" &amp; 305)</f>
        <v>0</v>
      </c>
      <c r="N310" cm="1">
        <f t="array" aca="1" ref="N310" ca="1">INDIRECT("Data!H" &amp; 305)</f>
        <v>0</v>
      </c>
      <c r="O310" cm="1">
        <f t="array" aca="1" ref="O310" ca="1">INDIRECT("Data!I" &amp; 305)</f>
        <v>0</v>
      </c>
      <c r="P310" s="21" cm="1">
        <f t="array" aca="1" ref="P310" ca="1">INDIRECT("Data!J" &amp; 305)</f>
        <v>0</v>
      </c>
      <c r="Q310" cm="1">
        <f t="array" aca="1" ref="Q310" ca="1">INDIRECT("Data!K" &amp; 305)</f>
        <v>0</v>
      </c>
      <c r="R310" cm="1">
        <f t="array" aca="1" ref="R310" ca="1">INDIRECT("Data!L" &amp; 305)</f>
        <v>0</v>
      </c>
      <c r="S310" cm="1">
        <f t="array" aca="1" ref="S310" ca="1">INDIRECT("Data!M" &amp; 305)</f>
        <v>0</v>
      </c>
      <c r="T310" cm="1">
        <f t="array" aca="1" ref="T310" ca="1">INDIRECT("Data!N" &amp; 305)</f>
        <v>0</v>
      </c>
      <c r="U310" cm="1">
        <f t="array" aca="1" ref="U310" ca="1">INDIRECT("Data!O" &amp; 305)</f>
        <v>0</v>
      </c>
      <c r="V310" cm="1">
        <f t="array" aca="1" ref="V310" ca="1">INDIRECT("Data!P" &amp; 305)</f>
        <v>0</v>
      </c>
    </row>
    <row r="311" spans="7:22" x14ac:dyDescent="0.25">
      <c r="G311" cm="1">
        <f t="array" aca="1" ref="G311" ca="1">INDIRECT("Data!A" &amp; 306)</f>
        <v>0</v>
      </c>
      <c r="H311" s="21" cm="1">
        <f t="array" aca="1" ref="H311" ca="1">INDIRECT("Data!B" &amp; 306)</f>
        <v>0</v>
      </c>
      <c r="I311" s="21" cm="1">
        <f t="array" aca="1" ref="I311" ca="1">INDIRECT("Data!C" &amp; 306)</f>
        <v>0</v>
      </c>
      <c r="J311" cm="1">
        <f t="array" aca="1" ref="J311" ca="1">INDIRECT("Data!D" &amp; 306)</f>
        <v>0</v>
      </c>
      <c r="K311" cm="1">
        <f t="array" aca="1" ref="K311" ca="1">INDIRECT("Data!E" &amp; 306)</f>
        <v>0</v>
      </c>
      <c r="L311" cm="1">
        <f t="array" aca="1" ref="L311" ca="1">INDIRECT("Data!F" &amp; 306)</f>
        <v>0</v>
      </c>
      <c r="M311" cm="1">
        <f t="array" aca="1" ref="M311" ca="1">INDIRECT("Data!G" &amp; 306)</f>
        <v>0</v>
      </c>
      <c r="N311" cm="1">
        <f t="array" aca="1" ref="N311" ca="1">INDIRECT("Data!H" &amp; 306)</f>
        <v>0</v>
      </c>
      <c r="O311" cm="1">
        <f t="array" aca="1" ref="O311" ca="1">INDIRECT("Data!I" &amp; 306)</f>
        <v>0</v>
      </c>
      <c r="P311" s="21" cm="1">
        <f t="array" aca="1" ref="P311" ca="1">INDIRECT("Data!J" &amp; 306)</f>
        <v>0</v>
      </c>
      <c r="Q311" cm="1">
        <f t="array" aca="1" ref="Q311" ca="1">INDIRECT("Data!K" &amp; 306)</f>
        <v>0</v>
      </c>
      <c r="R311" cm="1">
        <f t="array" aca="1" ref="R311" ca="1">INDIRECT("Data!L" &amp; 306)</f>
        <v>0</v>
      </c>
      <c r="S311" cm="1">
        <f t="array" aca="1" ref="S311" ca="1">INDIRECT("Data!M" &amp; 306)</f>
        <v>0</v>
      </c>
      <c r="T311" cm="1">
        <f t="array" aca="1" ref="T311" ca="1">INDIRECT("Data!N" &amp; 306)</f>
        <v>0</v>
      </c>
      <c r="U311" cm="1">
        <f t="array" aca="1" ref="U311" ca="1">INDIRECT("Data!O" &amp; 306)</f>
        <v>0</v>
      </c>
      <c r="V311" cm="1">
        <f t="array" aca="1" ref="V311" ca="1">INDIRECT("Data!P" &amp; 306)</f>
        <v>0</v>
      </c>
    </row>
    <row r="312" spans="7:22" x14ac:dyDescent="0.25">
      <c r="G312" cm="1">
        <f t="array" aca="1" ref="G312" ca="1">INDIRECT("Data!A" &amp; 307)</f>
        <v>0</v>
      </c>
      <c r="H312" s="21" cm="1">
        <f t="array" aca="1" ref="H312" ca="1">INDIRECT("Data!B" &amp; 307)</f>
        <v>0</v>
      </c>
      <c r="I312" s="21" cm="1">
        <f t="array" aca="1" ref="I312" ca="1">INDIRECT("Data!C" &amp; 307)</f>
        <v>0</v>
      </c>
      <c r="J312" cm="1">
        <f t="array" aca="1" ref="J312" ca="1">INDIRECT("Data!D" &amp; 307)</f>
        <v>0</v>
      </c>
      <c r="K312" cm="1">
        <f t="array" aca="1" ref="K312" ca="1">INDIRECT("Data!E" &amp; 307)</f>
        <v>0</v>
      </c>
      <c r="L312" cm="1">
        <f t="array" aca="1" ref="L312" ca="1">INDIRECT("Data!F" &amp; 307)</f>
        <v>0</v>
      </c>
      <c r="M312" cm="1">
        <f t="array" aca="1" ref="M312" ca="1">INDIRECT("Data!G" &amp; 307)</f>
        <v>0</v>
      </c>
      <c r="N312" cm="1">
        <f t="array" aca="1" ref="N312" ca="1">INDIRECT("Data!H" &amp; 307)</f>
        <v>0</v>
      </c>
      <c r="O312" cm="1">
        <f t="array" aca="1" ref="O312" ca="1">INDIRECT("Data!I" &amp; 307)</f>
        <v>0</v>
      </c>
      <c r="P312" s="21" cm="1">
        <f t="array" aca="1" ref="P312" ca="1">INDIRECT("Data!J" &amp; 307)</f>
        <v>0</v>
      </c>
      <c r="Q312" cm="1">
        <f t="array" aca="1" ref="Q312" ca="1">INDIRECT("Data!K" &amp; 307)</f>
        <v>0</v>
      </c>
      <c r="R312" cm="1">
        <f t="array" aca="1" ref="R312" ca="1">INDIRECT("Data!L" &amp; 307)</f>
        <v>0</v>
      </c>
      <c r="S312" cm="1">
        <f t="array" aca="1" ref="S312" ca="1">INDIRECT("Data!M" &amp; 307)</f>
        <v>0</v>
      </c>
      <c r="T312" cm="1">
        <f t="array" aca="1" ref="T312" ca="1">INDIRECT("Data!N" &amp; 307)</f>
        <v>0</v>
      </c>
      <c r="U312" cm="1">
        <f t="array" aca="1" ref="U312" ca="1">INDIRECT("Data!O" &amp; 307)</f>
        <v>0</v>
      </c>
      <c r="V312" cm="1">
        <f t="array" aca="1" ref="V312" ca="1">INDIRECT("Data!P" &amp; 307)</f>
        <v>0</v>
      </c>
    </row>
    <row r="313" spans="7:22" x14ac:dyDescent="0.25">
      <c r="G313" cm="1">
        <f t="array" aca="1" ref="G313" ca="1">INDIRECT("Data!A" &amp; 308)</f>
        <v>0</v>
      </c>
      <c r="H313" s="21" cm="1">
        <f t="array" aca="1" ref="H313" ca="1">INDIRECT("Data!B" &amp; 308)</f>
        <v>0</v>
      </c>
      <c r="I313" s="21" cm="1">
        <f t="array" aca="1" ref="I313" ca="1">INDIRECT("Data!C" &amp; 308)</f>
        <v>0</v>
      </c>
      <c r="J313" cm="1">
        <f t="array" aca="1" ref="J313" ca="1">INDIRECT("Data!D" &amp; 308)</f>
        <v>0</v>
      </c>
      <c r="K313" cm="1">
        <f t="array" aca="1" ref="K313" ca="1">INDIRECT("Data!E" &amp; 308)</f>
        <v>0</v>
      </c>
      <c r="L313" cm="1">
        <f t="array" aca="1" ref="L313" ca="1">INDIRECT("Data!F" &amp; 308)</f>
        <v>0</v>
      </c>
      <c r="M313" cm="1">
        <f t="array" aca="1" ref="M313" ca="1">INDIRECT("Data!G" &amp; 308)</f>
        <v>0</v>
      </c>
      <c r="N313" cm="1">
        <f t="array" aca="1" ref="N313" ca="1">INDIRECT("Data!H" &amp; 308)</f>
        <v>0</v>
      </c>
      <c r="O313" cm="1">
        <f t="array" aca="1" ref="O313" ca="1">INDIRECT("Data!I" &amp; 308)</f>
        <v>0</v>
      </c>
      <c r="P313" s="21" cm="1">
        <f t="array" aca="1" ref="P313" ca="1">INDIRECT("Data!J" &amp; 308)</f>
        <v>0</v>
      </c>
      <c r="Q313" cm="1">
        <f t="array" aca="1" ref="Q313" ca="1">INDIRECT("Data!K" &amp; 308)</f>
        <v>0</v>
      </c>
      <c r="R313" cm="1">
        <f t="array" aca="1" ref="R313" ca="1">INDIRECT("Data!L" &amp; 308)</f>
        <v>0</v>
      </c>
      <c r="S313" cm="1">
        <f t="array" aca="1" ref="S313" ca="1">INDIRECT("Data!M" &amp; 308)</f>
        <v>0</v>
      </c>
      <c r="T313" cm="1">
        <f t="array" aca="1" ref="T313" ca="1">INDIRECT("Data!N" &amp; 308)</f>
        <v>0</v>
      </c>
      <c r="U313" cm="1">
        <f t="array" aca="1" ref="U313" ca="1">INDIRECT("Data!O" &amp; 308)</f>
        <v>0</v>
      </c>
      <c r="V313" cm="1">
        <f t="array" aca="1" ref="V313" ca="1">INDIRECT("Data!P" &amp; 308)</f>
        <v>0</v>
      </c>
    </row>
    <row r="314" spans="7:22" x14ac:dyDescent="0.25">
      <c r="G314" cm="1">
        <f t="array" aca="1" ref="G314" ca="1">INDIRECT("Data!A" &amp; 309)</f>
        <v>0</v>
      </c>
      <c r="H314" s="21" cm="1">
        <f t="array" aca="1" ref="H314" ca="1">INDIRECT("Data!B" &amp; 309)</f>
        <v>0</v>
      </c>
      <c r="I314" s="21" cm="1">
        <f t="array" aca="1" ref="I314" ca="1">INDIRECT("Data!C" &amp; 309)</f>
        <v>0</v>
      </c>
      <c r="J314" cm="1">
        <f t="array" aca="1" ref="J314" ca="1">INDIRECT("Data!D" &amp; 309)</f>
        <v>0</v>
      </c>
      <c r="K314" cm="1">
        <f t="array" aca="1" ref="K314" ca="1">INDIRECT("Data!E" &amp; 309)</f>
        <v>0</v>
      </c>
      <c r="L314" cm="1">
        <f t="array" aca="1" ref="L314" ca="1">INDIRECT("Data!F" &amp; 309)</f>
        <v>0</v>
      </c>
      <c r="M314" cm="1">
        <f t="array" aca="1" ref="M314" ca="1">INDIRECT("Data!G" &amp; 309)</f>
        <v>0</v>
      </c>
      <c r="N314" cm="1">
        <f t="array" aca="1" ref="N314" ca="1">INDIRECT("Data!H" &amp; 309)</f>
        <v>0</v>
      </c>
      <c r="O314" cm="1">
        <f t="array" aca="1" ref="O314" ca="1">INDIRECT("Data!I" &amp; 309)</f>
        <v>0</v>
      </c>
      <c r="P314" s="21" cm="1">
        <f t="array" aca="1" ref="P314" ca="1">INDIRECT("Data!J" &amp; 309)</f>
        <v>0</v>
      </c>
      <c r="Q314" cm="1">
        <f t="array" aca="1" ref="Q314" ca="1">INDIRECT("Data!K" &amp; 309)</f>
        <v>0</v>
      </c>
      <c r="R314" cm="1">
        <f t="array" aca="1" ref="R314" ca="1">INDIRECT("Data!L" &amp; 309)</f>
        <v>0</v>
      </c>
      <c r="S314" cm="1">
        <f t="array" aca="1" ref="S314" ca="1">INDIRECT("Data!M" &amp; 309)</f>
        <v>0</v>
      </c>
      <c r="T314" cm="1">
        <f t="array" aca="1" ref="T314" ca="1">INDIRECT("Data!N" &amp; 309)</f>
        <v>0</v>
      </c>
      <c r="U314" cm="1">
        <f t="array" aca="1" ref="U314" ca="1">INDIRECT("Data!O" &amp; 309)</f>
        <v>0</v>
      </c>
      <c r="V314" cm="1">
        <f t="array" aca="1" ref="V314" ca="1">INDIRECT("Data!P" &amp; 309)</f>
        <v>0</v>
      </c>
    </row>
    <row r="315" spans="7:22" x14ac:dyDescent="0.25">
      <c r="G315" cm="1">
        <f t="array" aca="1" ref="G315" ca="1">INDIRECT("Data!A" &amp; 310)</f>
        <v>0</v>
      </c>
      <c r="H315" s="21" cm="1">
        <f t="array" aca="1" ref="H315" ca="1">INDIRECT("Data!B" &amp; 310)</f>
        <v>0</v>
      </c>
      <c r="I315" s="21" cm="1">
        <f t="array" aca="1" ref="I315" ca="1">INDIRECT("Data!C" &amp; 310)</f>
        <v>0</v>
      </c>
      <c r="J315" cm="1">
        <f t="array" aca="1" ref="J315" ca="1">INDIRECT("Data!D" &amp; 310)</f>
        <v>0</v>
      </c>
      <c r="K315" cm="1">
        <f t="array" aca="1" ref="K315" ca="1">INDIRECT("Data!E" &amp; 310)</f>
        <v>0</v>
      </c>
      <c r="L315" cm="1">
        <f t="array" aca="1" ref="L315" ca="1">INDIRECT("Data!F" &amp; 310)</f>
        <v>0</v>
      </c>
      <c r="M315" cm="1">
        <f t="array" aca="1" ref="M315" ca="1">INDIRECT("Data!G" &amp; 310)</f>
        <v>0</v>
      </c>
      <c r="N315" cm="1">
        <f t="array" aca="1" ref="N315" ca="1">INDIRECT("Data!H" &amp; 310)</f>
        <v>0</v>
      </c>
      <c r="O315" cm="1">
        <f t="array" aca="1" ref="O315" ca="1">INDIRECT("Data!I" &amp; 310)</f>
        <v>0</v>
      </c>
      <c r="P315" s="21" cm="1">
        <f t="array" aca="1" ref="P315" ca="1">INDIRECT("Data!J" &amp; 310)</f>
        <v>0</v>
      </c>
      <c r="Q315" cm="1">
        <f t="array" aca="1" ref="Q315" ca="1">INDIRECT("Data!K" &amp; 310)</f>
        <v>0</v>
      </c>
      <c r="R315" cm="1">
        <f t="array" aca="1" ref="R315" ca="1">INDIRECT("Data!L" &amp; 310)</f>
        <v>0</v>
      </c>
      <c r="S315" cm="1">
        <f t="array" aca="1" ref="S315" ca="1">INDIRECT("Data!M" &amp; 310)</f>
        <v>0</v>
      </c>
      <c r="T315" cm="1">
        <f t="array" aca="1" ref="T315" ca="1">INDIRECT("Data!N" &amp; 310)</f>
        <v>0</v>
      </c>
      <c r="U315" cm="1">
        <f t="array" aca="1" ref="U315" ca="1">INDIRECT("Data!O" &amp; 310)</f>
        <v>0</v>
      </c>
      <c r="V315" cm="1">
        <f t="array" aca="1" ref="V315" ca="1">INDIRECT("Data!P" &amp; 310)</f>
        <v>0</v>
      </c>
    </row>
    <row r="316" spans="7:22" x14ac:dyDescent="0.25">
      <c r="G316" cm="1">
        <f t="array" aca="1" ref="G316" ca="1">INDIRECT("Data!A" &amp; 311)</f>
        <v>0</v>
      </c>
      <c r="H316" s="21" cm="1">
        <f t="array" aca="1" ref="H316" ca="1">INDIRECT("Data!B" &amp; 311)</f>
        <v>0</v>
      </c>
      <c r="I316" s="21" cm="1">
        <f t="array" aca="1" ref="I316" ca="1">INDIRECT("Data!C" &amp; 311)</f>
        <v>0</v>
      </c>
      <c r="J316" cm="1">
        <f t="array" aca="1" ref="J316" ca="1">INDIRECT("Data!D" &amp; 311)</f>
        <v>0</v>
      </c>
      <c r="K316" cm="1">
        <f t="array" aca="1" ref="K316" ca="1">INDIRECT("Data!E" &amp; 311)</f>
        <v>0</v>
      </c>
      <c r="L316" cm="1">
        <f t="array" aca="1" ref="L316" ca="1">INDIRECT("Data!F" &amp; 311)</f>
        <v>0</v>
      </c>
      <c r="M316" cm="1">
        <f t="array" aca="1" ref="M316" ca="1">INDIRECT("Data!G" &amp; 311)</f>
        <v>0</v>
      </c>
      <c r="N316" cm="1">
        <f t="array" aca="1" ref="N316" ca="1">INDIRECT("Data!H" &amp; 311)</f>
        <v>0</v>
      </c>
      <c r="O316" cm="1">
        <f t="array" aca="1" ref="O316" ca="1">INDIRECT("Data!I" &amp; 311)</f>
        <v>0</v>
      </c>
      <c r="P316" s="21" cm="1">
        <f t="array" aca="1" ref="P316" ca="1">INDIRECT("Data!J" &amp; 311)</f>
        <v>0</v>
      </c>
      <c r="Q316" cm="1">
        <f t="array" aca="1" ref="Q316" ca="1">INDIRECT("Data!K" &amp; 311)</f>
        <v>0</v>
      </c>
      <c r="R316" cm="1">
        <f t="array" aca="1" ref="R316" ca="1">INDIRECT("Data!L" &amp; 311)</f>
        <v>0</v>
      </c>
      <c r="S316" cm="1">
        <f t="array" aca="1" ref="S316" ca="1">INDIRECT("Data!M" &amp; 311)</f>
        <v>0</v>
      </c>
      <c r="T316" cm="1">
        <f t="array" aca="1" ref="T316" ca="1">INDIRECT("Data!N" &amp; 311)</f>
        <v>0</v>
      </c>
      <c r="U316" cm="1">
        <f t="array" aca="1" ref="U316" ca="1">INDIRECT("Data!O" &amp; 311)</f>
        <v>0</v>
      </c>
      <c r="V316" cm="1">
        <f t="array" aca="1" ref="V316" ca="1">INDIRECT("Data!P" &amp; 311)</f>
        <v>0</v>
      </c>
    </row>
    <row r="317" spans="7:22" x14ac:dyDescent="0.25">
      <c r="G317" cm="1">
        <f t="array" aca="1" ref="G317" ca="1">INDIRECT("Data!A" &amp; 312)</f>
        <v>0</v>
      </c>
      <c r="H317" s="21" cm="1">
        <f t="array" aca="1" ref="H317" ca="1">INDIRECT("Data!B" &amp; 312)</f>
        <v>0</v>
      </c>
      <c r="I317" s="21" cm="1">
        <f t="array" aca="1" ref="I317" ca="1">INDIRECT("Data!C" &amp; 312)</f>
        <v>0</v>
      </c>
      <c r="J317" cm="1">
        <f t="array" aca="1" ref="J317" ca="1">INDIRECT("Data!D" &amp; 312)</f>
        <v>0</v>
      </c>
      <c r="K317" cm="1">
        <f t="array" aca="1" ref="K317" ca="1">INDIRECT("Data!E" &amp; 312)</f>
        <v>0</v>
      </c>
      <c r="L317" cm="1">
        <f t="array" aca="1" ref="L317" ca="1">INDIRECT("Data!F" &amp; 312)</f>
        <v>0</v>
      </c>
      <c r="M317" cm="1">
        <f t="array" aca="1" ref="M317" ca="1">INDIRECT("Data!G" &amp; 312)</f>
        <v>0</v>
      </c>
      <c r="N317" cm="1">
        <f t="array" aca="1" ref="N317" ca="1">INDIRECT("Data!H" &amp; 312)</f>
        <v>0</v>
      </c>
      <c r="O317" cm="1">
        <f t="array" aca="1" ref="O317" ca="1">INDIRECT("Data!I" &amp; 312)</f>
        <v>0</v>
      </c>
      <c r="P317" s="21" cm="1">
        <f t="array" aca="1" ref="P317" ca="1">INDIRECT("Data!J" &amp; 312)</f>
        <v>0</v>
      </c>
      <c r="Q317" cm="1">
        <f t="array" aca="1" ref="Q317" ca="1">INDIRECT("Data!K" &amp; 312)</f>
        <v>0</v>
      </c>
      <c r="R317" cm="1">
        <f t="array" aca="1" ref="R317" ca="1">INDIRECT("Data!L" &amp; 312)</f>
        <v>0</v>
      </c>
      <c r="S317" cm="1">
        <f t="array" aca="1" ref="S317" ca="1">INDIRECT("Data!M" &amp; 312)</f>
        <v>0</v>
      </c>
      <c r="T317" cm="1">
        <f t="array" aca="1" ref="T317" ca="1">INDIRECT("Data!N" &amp; 312)</f>
        <v>0</v>
      </c>
      <c r="U317" cm="1">
        <f t="array" aca="1" ref="U317" ca="1">INDIRECT("Data!O" &amp; 312)</f>
        <v>0</v>
      </c>
      <c r="V317" cm="1">
        <f t="array" aca="1" ref="V317" ca="1">INDIRECT("Data!P" &amp; 312)</f>
        <v>0</v>
      </c>
    </row>
    <row r="318" spans="7:22" x14ac:dyDescent="0.25">
      <c r="G318" cm="1">
        <f t="array" aca="1" ref="G318" ca="1">INDIRECT("Data!A" &amp; 313)</f>
        <v>0</v>
      </c>
      <c r="H318" s="21" cm="1">
        <f t="array" aca="1" ref="H318" ca="1">INDIRECT("Data!B" &amp; 313)</f>
        <v>0</v>
      </c>
      <c r="I318" s="21" cm="1">
        <f t="array" aca="1" ref="I318" ca="1">INDIRECT("Data!C" &amp; 313)</f>
        <v>0</v>
      </c>
      <c r="J318" cm="1">
        <f t="array" aca="1" ref="J318" ca="1">INDIRECT("Data!D" &amp; 313)</f>
        <v>0</v>
      </c>
      <c r="K318" cm="1">
        <f t="array" aca="1" ref="K318" ca="1">INDIRECT("Data!E" &amp; 313)</f>
        <v>0</v>
      </c>
      <c r="L318" cm="1">
        <f t="array" aca="1" ref="L318" ca="1">INDIRECT("Data!F" &amp; 313)</f>
        <v>0</v>
      </c>
      <c r="M318" cm="1">
        <f t="array" aca="1" ref="M318" ca="1">INDIRECT("Data!G" &amp; 313)</f>
        <v>0</v>
      </c>
      <c r="N318" cm="1">
        <f t="array" aca="1" ref="N318" ca="1">INDIRECT("Data!H" &amp; 313)</f>
        <v>0</v>
      </c>
      <c r="O318" cm="1">
        <f t="array" aca="1" ref="O318" ca="1">INDIRECT("Data!I" &amp; 313)</f>
        <v>0</v>
      </c>
      <c r="P318" s="21" cm="1">
        <f t="array" aca="1" ref="P318" ca="1">INDIRECT("Data!J" &amp; 313)</f>
        <v>0</v>
      </c>
      <c r="Q318" cm="1">
        <f t="array" aca="1" ref="Q318" ca="1">INDIRECT("Data!K" &amp; 313)</f>
        <v>0</v>
      </c>
      <c r="R318" cm="1">
        <f t="array" aca="1" ref="R318" ca="1">INDIRECT("Data!L" &amp; 313)</f>
        <v>0</v>
      </c>
      <c r="S318" cm="1">
        <f t="array" aca="1" ref="S318" ca="1">INDIRECT("Data!M" &amp; 313)</f>
        <v>0</v>
      </c>
      <c r="T318" cm="1">
        <f t="array" aca="1" ref="T318" ca="1">INDIRECT("Data!N" &amp; 313)</f>
        <v>0</v>
      </c>
      <c r="U318" cm="1">
        <f t="array" aca="1" ref="U318" ca="1">INDIRECT("Data!O" &amp; 313)</f>
        <v>0</v>
      </c>
      <c r="V318" cm="1">
        <f t="array" aca="1" ref="V318" ca="1">INDIRECT("Data!P" &amp; 313)</f>
        <v>0</v>
      </c>
    </row>
    <row r="319" spans="7:22" x14ac:dyDescent="0.25">
      <c r="G319" cm="1">
        <f t="array" aca="1" ref="G319" ca="1">INDIRECT("Data!A" &amp; 314)</f>
        <v>0</v>
      </c>
      <c r="H319" s="21" cm="1">
        <f t="array" aca="1" ref="H319" ca="1">INDIRECT("Data!B" &amp; 314)</f>
        <v>0</v>
      </c>
      <c r="I319" s="21" cm="1">
        <f t="array" aca="1" ref="I319" ca="1">INDIRECT("Data!C" &amp; 314)</f>
        <v>0</v>
      </c>
      <c r="J319" cm="1">
        <f t="array" aca="1" ref="J319" ca="1">INDIRECT("Data!D" &amp; 314)</f>
        <v>0</v>
      </c>
      <c r="K319" cm="1">
        <f t="array" aca="1" ref="K319" ca="1">INDIRECT("Data!E" &amp; 314)</f>
        <v>0</v>
      </c>
      <c r="L319" cm="1">
        <f t="array" aca="1" ref="L319" ca="1">INDIRECT("Data!F" &amp; 314)</f>
        <v>0</v>
      </c>
      <c r="M319" cm="1">
        <f t="array" aca="1" ref="M319" ca="1">INDIRECT("Data!G" &amp; 314)</f>
        <v>0</v>
      </c>
      <c r="N319" cm="1">
        <f t="array" aca="1" ref="N319" ca="1">INDIRECT("Data!H" &amp; 314)</f>
        <v>0</v>
      </c>
      <c r="O319" cm="1">
        <f t="array" aca="1" ref="O319" ca="1">INDIRECT("Data!I" &amp; 314)</f>
        <v>0</v>
      </c>
      <c r="P319" s="21" cm="1">
        <f t="array" aca="1" ref="P319" ca="1">INDIRECT("Data!J" &amp; 314)</f>
        <v>0</v>
      </c>
      <c r="Q319" cm="1">
        <f t="array" aca="1" ref="Q319" ca="1">INDIRECT("Data!K" &amp; 314)</f>
        <v>0</v>
      </c>
      <c r="R319" cm="1">
        <f t="array" aca="1" ref="R319" ca="1">INDIRECT("Data!L" &amp; 314)</f>
        <v>0</v>
      </c>
      <c r="S319" cm="1">
        <f t="array" aca="1" ref="S319" ca="1">INDIRECT("Data!M" &amp; 314)</f>
        <v>0</v>
      </c>
      <c r="T319" cm="1">
        <f t="array" aca="1" ref="T319" ca="1">INDIRECT("Data!N" &amp; 314)</f>
        <v>0</v>
      </c>
      <c r="U319" cm="1">
        <f t="array" aca="1" ref="U319" ca="1">INDIRECT("Data!O" &amp; 314)</f>
        <v>0</v>
      </c>
      <c r="V319" cm="1">
        <f t="array" aca="1" ref="V319" ca="1">INDIRECT("Data!P" &amp; 314)</f>
        <v>0</v>
      </c>
    </row>
    <row r="320" spans="7:22" x14ac:dyDescent="0.25">
      <c r="G320" cm="1">
        <f t="array" aca="1" ref="G320" ca="1">INDIRECT("Data!A" &amp; 315)</f>
        <v>0</v>
      </c>
      <c r="H320" s="21" cm="1">
        <f t="array" aca="1" ref="H320" ca="1">INDIRECT("Data!B" &amp; 315)</f>
        <v>0</v>
      </c>
      <c r="I320" s="21" cm="1">
        <f t="array" aca="1" ref="I320" ca="1">INDIRECT("Data!C" &amp; 315)</f>
        <v>0</v>
      </c>
      <c r="J320" cm="1">
        <f t="array" aca="1" ref="J320" ca="1">INDIRECT("Data!D" &amp; 315)</f>
        <v>0</v>
      </c>
      <c r="K320" cm="1">
        <f t="array" aca="1" ref="K320" ca="1">INDIRECT("Data!E" &amp; 315)</f>
        <v>0</v>
      </c>
      <c r="L320" cm="1">
        <f t="array" aca="1" ref="L320" ca="1">INDIRECT("Data!F" &amp; 315)</f>
        <v>0</v>
      </c>
      <c r="M320" cm="1">
        <f t="array" aca="1" ref="M320" ca="1">INDIRECT("Data!G" &amp; 315)</f>
        <v>0</v>
      </c>
      <c r="N320" cm="1">
        <f t="array" aca="1" ref="N320" ca="1">INDIRECT("Data!H" &amp; 315)</f>
        <v>0</v>
      </c>
      <c r="O320" cm="1">
        <f t="array" aca="1" ref="O320" ca="1">INDIRECT("Data!I" &amp; 315)</f>
        <v>0</v>
      </c>
      <c r="P320" s="21" cm="1">
        <f t="array" aca="1" ref="P320" ca="1">INDIRECT("Data!J" &amp; 315)</f>
        <v>0</v>
      </c>
      <c r="Q320" cm="1">
        <f t="array" aca="1" ref="Q320" ca="1">INDIRECT("Data!K" &amp; 315)</f>
        <v>0</v>
      </c>
      <c r="R320" cm="1">
        <f t="array" aca="1" ref="R320" ca="1">INDIRECT("Data!L" &amp; 315)</f>
        <v>0</v>
      </c>
      <c r="S320" cm="1">
        <f t="array" aca="1" ref="S320" ca="1">INDIRECT("Data!M" &amp; 315)</f>
        <v>0</v>
      </c>
      <c r="T320" cm="1">
        <f t="array" aca="1" ref="T320" ca="1">INDIRECT("Data!N" &amp; 315)</f>
        <v>0</v>
      </c>
      <c r="U320" cm="1">
        <f t="array" aca="1" ref="U320" ca="1">INDIRECT("Data!O" &amp; 315)</f>
        <v>0</v>
      </c>
      <c r="V320" cm="1">
        <f t="array" aca="1" ref="V320" ca="1">INDIRECT("Data!P" &amp; 315)</f>
        <v>0</v>
      </c>
    </row>
    <row r="321" spans="7:22" x14ac:dyDescent="0.25">
      <c r="G321" cm="1">
        <f t="array" aca="1" ref="G321" ca="1">INDIRECT("Data!A" &amp; 316)</f>
        <v>0</v>
      </c>
      <c r="H321" s="21" cm="1">
        <f t="array" aca="1" ref="H321" ca="1">INDIRECT("Data!B" &amp; 316)</f>
        <v>0</v>
      </c>
      <c r="I321" s="21" cm="1">
        <f t="array" aca="1" ref="I321" ca="1">INDIRECT("Data!C" &amp; 316)</f>
        <v>0</v>
      </c>
      <c r="J321" cm="1">
        <f t="array" aca="1" ref="J321" ca="1">INDIRECT("Data!D" &amp; 316)</f>
        <v>0</v>
      </c>
      <c r="K321" cm="1">
        <f t="array" aca="1" ref="K321" ca="1">INDIRECT("Data!E" &amp; 316)</f>
        <v>0</v>
      </c>
      <c r="L321" cm="1">
        <f t="array" aca="1" ref="L321" ca="1">INDIRECT("Data!F" &amp; 316)</f>
        <v>0</v>
      </c>
      <c r="M321" cm="1">
        <f t="array" aca="1" ref="M321" ca="1">INDIRECT("Data!G" &amp; 316)</f>
        <v>0</v>
      </c>
      <c r="N321" cm="1">
        <f t="array" aca="1" ref="N321" ca="1">INDIRECT("Data!H" &amp; 316)</f>
        <v>0</v>
      </c>
      <c r="O321" cm="1">
        <f t="array" aca="1" ref="O321" ca="1">INDIRECT("Data!I" &amp; 316)</f>
        <v>0</v>
      </c>
      <c r="P321" s="21" cm="1">
        <f t="array" aca="1" ref="P321" ca="1">INDIRECT("Data!J" &amp; 316)</f>
        <v>0</v>
      </c>
      <c r="Q321" cm="1">
        <f t="array" aca="1" ref="Q321" ca="1">INDIRECT("Data!K" &amp; 316)</f>
        <v>0</v>
      </c>
      <c r="R321" cm="1">
        <f t="array" aca="1" ref="R321" ca="1">INDIRECT("Data!L" &amp; 316)</f>
        <v>0</v>
      </c>
      <c r="S321" cm="1">
        <f t="array" aca="1" ref="S321" ca="1">INDIRECT("Data!M" &amp; 316)</f>
        <v>0</v>
      </c>
      <c r="T321" cm="1">
        <f t="array" aca="1" ref="T321" ca="1">INDIRECT("Data!N" &amp; 316)</f>
        <v>0</v>
      </c>
      <c r="U321" cm="1">
        <f t="array" aca="1" ref="U321" ca="1">INDIRECT("Data!O" &amp; 316)</f>
        <v>0</v>
      </c>
      <c r="V321" cm="1">
        <f t="array" aca="1" ref="V321" ca="1">INDIRECT("Data!P" &amp; 316)</f>
        <v>0</v>
      </c>
    </row>
    <row r="322" spans="7:22" x14ac:dyDescent="0.25">
      <c r="G322" cm="1">
        <f t="array" aca="1" ref="G322" ca="1">INDIRECT("Data!A" &amp; 317)</f>
        <v>0</v>
      </c>
      <c r="H322" s="21" cm="1">
        <f t="array" aca="1" ref="H322" ca="1">INDIRECT("Data!B" &amp; 317)</f>
        <v>0</v>
      </c>
      <c r="I322" s="21" cm="1">
        <f t="array" aca="1" ref="I322" ca="1">INDIRECT("Data!C" &amp; 317)</f>
        <v>0</v>
      </c>
      <c r="J322" cm="1">
        <f t="array" aca="1" ref="J322" ca="1">INDIRECT("Data!D" &amp; 317)</f>
        <v>0</v>
      </c>
      <c r="K322" cm="1">
        <f t="array" aca="1" ref="K322" ca="1">INDIRECT("Data!E" &amp; 317)</f>
        <v>0</v>
      </c>
      <c r="L322" cm="1">
        <f t="array" aca="1" ref="L322" ca="1">INDIRECT("Data!F" &amp; 317)</f>
        <v>0</v>
      </c>
      <c r="M322" cm="1">
        <f t="array" aca="1" ref="M322" ca="1">INDIRECT("Data!G" &amp; 317)</f>
        <v>0</v>
      </c>
      <c r="N322" cm="1">
        <f t="array" aca="1" ref="N322" ca="1">INDIRECT("Data!H" &amp; 317)</f>
        <v>0</v>
      </c>
      <c r="O322" cm="1">
        <f t="array" aca="1" ref="O322" ca="1">INDIRECT("Data!I" &amp; 317)</f>
        <v>0</v>
      </c>
      <c r="P322" s="21" cm="1">
        <f t="array" aca="1" ref="P322" ca="1">INDIRECT("Data!J" &amp; 317)</f>
        <v>0</v>
      </c>
      <c r="Q322" cm="1">
        <f t="array" aca="1" ref="Q322" ca="1">INDIRECT("Data!K" &amp; 317)</f>
        <v>0</v>
      </c>
      <c r="R322" cm="1">
        <f t="array" aca="1" ref="R322" ca="1">INDIRECT("Data!L" &amp; 317)</f>
        <v>0</v>
      </c>
      <c r="S322" cm="1">
        <f t="array" aca="1" ref="S322" ca="1">INDIRECT("Data!M" &amp; 317)</f>
        <v>0</v>
      </c>
      <c r="T322" cm="1">
        <f t="array" aca="1" ref="T322" ca="1">INDIRECT("Data!N" &amp; 317)</f>
        <v>0</v>
      </c>
      <c r="U322" cm="1">
        <f t="array" aca="1" ref="U322" ca="1">INDIRECT("Data!O" &amp; 317)</f>
        <v>0</v>
      </c>
      <c r="V322" cm="1">
        <f t="array" aca="1" ref="V322" ca="1">INDIRECT("Data!P" &amp; 317)</f>
        <v>0</v>
      </c>
    </row>
    <row r="323" spans="7:22" x14ac:dyDescent="0.25">
      <c r="G323" cm="1">
        <f t="array" aca="1" ref="G323" ca="1">INDIRECT("Data!A" &amp; 318)</f>
        <v>0</v>
      </c>
      <c r="H323" s="21" cm="1">
        <f t="array" aca="1" ref="H323" ca="1">INDIRECT("Data!B" &amp; 318)</f>
        <v>0</v>
      </c>
      <c r="I323" s="21" cm="1">
        <f t="array" aca="1" ref="I323" ca="1">INDIRECT("Data!C" &amp; 318)</f>
        <v>0</v>
      </c>
      <c r="J323" cm="1">
        <f t="array" aca="1" ref="J323" ca="1">INDIRECT("Data!D" &amp; 318)</f>
        <v>0</v>
      </c>
      <c r="K323" cm="1">
        <f t="array" aca="1" ref="K323" ca="1">INDIRECT("Data!E" &amp; 318)</f>
        <v>0</v>
      </c>
      <c r="L323" cm="1">
        <f t="array" aca="1" ref="L323" ca="1">INDIRECT("Data!F" &amp; 318)</f>
        <v>0</v>
      </c>
      <c r="M323" cm="1">
        <f t="array" aca="1" ref="M323" ca="1">INDIRECT("Data!G" &amp; 318)</f>
        <v>0</v>
      </c>
      <c r="N323" cm="1">
        <f t="array" aca="1" ref="N323" ca="1">INDIRECT("Data!H" &amp; 318)</f>
        <v>0</v>
      </c>
      <c r="O323" cm="1">
        <f t="array" aca="1" ref="O323" ca="1">INDIRECT("Data!I" &amp; 318)</f>
        <v>0</v>
      </c>
      <c r="P323" s="21" cm="1">
        <f t="array" aca="1" ref="P323" ca="1">INDIRECT("Data!J" &amp; 318)</f>
        <v>0</v>
      </c>
      <c r="Q323" cm="1">
        <f t="array" aca="1" ref="Q323" ca="1">INDIRECT("Data!K" &amp; 318)</f>
        <v>0</v>
      </c>
      <c r="R323" cm="1">
        <f t="array" aca="1" ref="R323" ca="1">INDIRECT("Data!L" &amp; 318)</f>
        <v>0</v>
      </c>
      <c r="S323" cm="1">
        <f t="array" aca="1" ref="S323" ca="1">INDIRECT("Data!M" &amp; 318)</f>
        <v>0</v>
      </c>
      <c r="T323" cm="1">
        <f t="array" aca="1" ref="T323" ca="1">INDIRECT("Data!N" &amp; 318)</f>
        <v>0</v>
      </c>
      <c r="U323" cm="1">
        <f t="array" aca="1" ref="U323" ca="1">INDIRECT("Data!O" &amp; 318)</f>
        <v>0</v>
      </c>
      <c r="V323" cm="1">
        <f t="array" aca="1" ref="V323" ca="1">INDIRECT("Data!P" &amp; 318)</f>
        <v>0</v>
      </c>
    </row>
    <row r="324" spans="7:22" x14ac:dyDescent="0.25">
      <c r="G324" cm="1">
        <f t="array" aca="1" ref="G324" ca="1">INDIRECT("Data!A" &amp; 319)</f>
        <v>0</v>
      </c>
      <c r="H324" s="21" cm="1">
        <f t="array" aca="1" ref="H324" ca="1">INDIRECT("Data!B" &amp; 319)</f>
        <v>0</v>
      </c>
      <c r="I324" s="21" cm="1">
        <f t="array" aca="1" ref="I324" ca="1">INDIRECT("Data!C" &amp; 319)</f>
        <v>0</v>
      </c>
      <c r="J324" cm="1">
        <f t="array" aca="1" ref="J324" ca="1">INDIRECT("Data!D" &amp; 319)</f>
        <v>0</v>
      </c>
      <c r="K324" cm="1">
        <f t="array" aca="1" ref="K324" ca="1">INDIRECT("Data!E" &amp; 319)</f>
        <v>0</v>
      </c>
      <c r="L324" cm="1">
        <f t="array" aca="1" ref="L324" ca="1">INDIRECT("Data!F" &amp; 319)</f>
        <v>0</v>
      </c>
      <c r="M324" cm="1">
        <f t="array" aca="1" ref="M324" ca="1">INDIRECT("Data!G" &amp; 319)</f>
        <v>0</v>
      </c>
      <c r="N324" cm="1">
        <f t="array" aca="1" ref="N324" ca="1">INDIRECT("Data!H" &amp; 319)</f>
        <v>0</v>
      </c>
      <c r="O324" cm="1">
        <f t="array" aca="1" ref="O324" ca="1">INDIRECT("Data!I" &amp; 319)</f>
        <v>0</v>
      </c>
      <c r="P324" s="21" cm="1">
        <f t="array" aca="1" ref="P324" ca="1">INDIRECT("Data!J" &amp; 319)</f>
        <v>0</v>
      </c>
      <c r="Q324" cm="1">
        <f t="array" aca="1" ref="Q324" ca="1">INDIRECT("Data!K" &amp; 319)</f>
        <v>0</v>
      </c>
      <c r="R324" cm="1">
        <f t="array" aca="1" ref="R324" ca="1">INDIRECT("Data!L" &amp; 319)</f>
        <v>0</v>
      </c>
      <c r="S324" cm="1">
        <f t="array" aca="1" ref="S324" ca="1">INDIRECT("Data!M" &amp; 319)</f>
        <v>0</v>
      </c>
      <c r="T324" cm="1">
        <f t="array" aca="1" ref="T324" ca="1">INDIRECT("Data!N" &amp; 319)</f>
        <v>0</v>
      </c>
      <c r="U324" cm="1">
        <f t="array" aca="1" ref="U324" ca="1">INDIRECT("Data!O" &amp; 319)</f>
        <v>0</v>
      </c>
      <c r="V324" cm="1">
        <f t="array" aca="1" ref="V324" ca="1">INDIRECT("Data!P" &amp; 319)</f>
        <v>0</v>
      </c>
    </row>
    <row r="325" spans="7:22" x14ac:dyDescent="0.25">
      <c r="G325" cm="1">
        <f t="array" aca="1" ref="G325" ca="1">INDIRECT("Data!A" &amp; 320)</f>
        <v>0</v>
      </c>
      <c r="H325" s="21" cm="1">
        <f t="array" aca="1" ref="H325" ca="1">INDIRECT("Data!B" &amp; 320)</f>
        <v>0</v>
      </c>
      <c r="I325" s="21" cm="1">
        <f t="array" aca="1" ref="I325" ca="1">INDIRECT("Data!C" &amp; 320)</f>
        <v>0</v>
      </c>
      <c r="J325" cm="1">
        <f t="array" aca="1" ref="J325" ca="1">INDIRECT("Data!D" &amp; 320)</f>
        <v>0</v>
      </c>
      <c r="K325" cm="1">
        <f t="array" aca="1" ref="K325" ca="1">INDIRECT("Data!E" &amp; 320)</f>
        <v>0</v>
      </c>
      <c r="L325" cm="1">
        <f t="array" aca="1" ref="L325" ca="1">INDIRECT("Data!F" &amp; 320)</f>
        <v>0</v>
      </c>
      <c r="M325" cm="1">
        <f t="array" aca="1" ref="M325" ca="1">INDIRECT("Data!G" &amp; 320)</f>
        <v>0</v>
      </c>
      <c r="N325" cm="1">
        <f t="array" aca="1" ref="N325" ca="1">INDIRECT("Data!H" &amp; 320)</f>
        <v>0</v>
      </c>
      <c r="O325" cm="1">
        <f t="array" aca="1" ref="O325" ca="1">INDIRECT("Data!I" &amp; 320)</f>
        <v>0</v>
      </c>
      <c r="P325" s="21" cm="1">
        <f t="array" aca="1" ref="P325" ca="1">INDIRECT("Data!J" &amp; 320)</f>
        <v>0</v>
      </c>
      <c r="Q325" cm="1">
        <f t="array" aca="1" ref="Q325" ca="1">INDIRECT("Data!K" &amp; 320)</f>
        <v>0</v>
      </c>
      <c r="R325" cm="1">
        <f t="array" aca="1" ref="R325" ca="1">INDIRECT("Data!L" &amp; 320)</f>
        <v>0</v>
      </c>
      <c r="S325" cm="1">
        <f t="array" aca="1" ref="S325" ca="1">INDIRECT("Data!M" &amp; 320)</f>
        <v>0</v>
      </c>
      <c r="T325" cm="1">
        <f t="array" aca="1" ref="T325" ca="1">INDIRECT("Data!N" &amp; 320)</f>
        <v>0</v>
      </c>
      <c r="U325" cm="1">
        <f t="array" aca="1" ref="U325" ca="1">INDIRECT("Data!O" &amp; 320)</f>
        <v>0</v>
      </c>
      <c r="V325" cm="1">
        <f t="array" aca="1" ref="V325" ca="1">INDIRECT("Data!P" &amp; 320)</f>
        <v>0</v>
      </c>
    </row>
    <row r="326" spans="7:22" x14ac:dyDescent="0.25">
      <c r="G326" cm="1">
        <f t="array" aca="1" ref="G326" ca="1">INDIRECT("Data!A" &amp; 321)</f>
        <v>0</v>
      </c>
      <c r="H326" s="21" cm="1">
        <f t="array" aca="1" ref="H326" ca="1">INDIRECT("Data!B" &amp; 321)</f>
        <v>0</v>
      </c>
      <c r="I326" s="21" cm="1">
        <f t="array" aca="1" ref="I326" ca="1">INDIRECT("Data!C" &amp; 321)</f>
        <v>0</v>
      </c>
      <c r="J326" cm="1">
        <f t="array" aca="1" ref="J326" ca="1">INDIRECT("Data!D" &amp; 321)</f>
        <v>0</v>
      </c>
      <c r="K326" cm="1">
        <f t="array" aca="1" ref="K326" ca="1">INDIRECT("Data!E" &amp; 321)</f>
        <v>0</v>
      </c>
      <c r="L326" cm="1">
        <f t="array" aca="1" ref="L326" ca="1">INDIRECT("Data!F" &amp; 321)</f>
        <v>0</v>
      </c>
      <c r="M326" cm="1">
        <f t="array" aca="1" ref="M326" ca="1">INDIRECT("Data!G" &amp; 321)</f>
        <v>0</v>
      </c>
      <c r="N326" cm="1">
        <f t="array" aca="1" ref="N326" ca="1">INDIRECT("Data!H" &amp; 321)</f>
        <v>0</v>
      </c>
      <c r="O326" cm="1">
        <f t="array" aca="1" ref="O326" ca="1">INDIRECT("Data!I" &amp; 321)</f>
        <v>0</v>
      </c>
      <c r="P326" s="21" cm="1">
        <f t="array" aca="1" ref="P326" ca="1">INDIRECT("Data!J" &amp; 321)</f>
        <v>0</v>
      </c>
      <c r="Q326" cm="1">
        <f t="array" aca="1" ref="Q326" ca="1">INDIRECT("Data!K" &amp; 321)</f>
        <v>0</v>
      </c>
      <c r="R326" cm="1">
        <f t="array" aca="1" ref="R326" ca="1">INDIRECT("Data!L" &amp; 321)</f>
        <v>0</v>
      </c>
      <c r="S326" cm="1">
        <f t="array" aca="1" ref="S326" ca="1">INDIRECT("Data!M" &amp; 321)</f>
        <v>0</v>
      </c>
      <c r="T326" cm="1">
        <f t="array" aca="1" ref="T326" ca="1">INDIRECT("Data!N" &amp; 321)</f>
        <v>0</v>
      </c>
      <c r="U326" cm="1">
        <f t="array" aca="1" ref="U326" ca="1">INDIRECT("Data!O" &amp; 321)</f>
        <v>0</v>
      </c>
      <c r="V326" cm="1">
        <f t="array" aca="1" ref="V326" ca="1">INDIRECT("Data!P" &amp; 321)</f>
        <v>0</v>
      </c>
    </row>
    <row r="327" spans="7:22" x14ac:dyDescent="0.25">
      <c r="G327" cm="1">
        <f t="array" aca="1" ref="G327" ca="1">INDIRECT("Data!A" &amp; 322)</f>
        <v>0</v>
      </c>
      <c r="H327" s="21" cm="1">
        <f t="array" aca="1" ref="H327" ca="1">INDIRECT("Data!B" &amp; 322)</f>
        <v>0</v>
      </c>
      <c r="I327" s="21" cm="1">
        <f t="array" aca="1" ref="I327" ca="1">INDIRECT("Data!C" &amp; 322)</f>
        <v>0</v>
      </c>
      <c r="J327" cm="1">
        <f t="array" aca="1" ref="J327" ca="1">INDIRECT("Data!D" &amp; 322)</f>
        <v>0</v>
      </c>
      <c r="K327" cm="1">
        <f t="array" aca="1" ref="K327" ca="1">INDIRECT("Data!E" &amp; 322)</f>
        <v>0</v>
      </c>
      <c r="L327" cm="1">
        <f t="array" aca="1" ref="L327" ca="1">INDIRECT("Data!F" &amp; 322)</f>
        <v>0</v>
      </c>
      <c r="M327" cm="1">
        <f t="array" aca="1" ref="M327" ca="1">INDIRECT("Data!G" &amp; 322)</f>
        <v>0</v>
      </c>
      <c r="N327" cm="1">
        <f t="array" aca="1" ref="N327" ca="1">INDIRECT("Data!H" &amp; 322)</f>
        <v>0</v>
      </c>
      <c r="O327" cm="1">
        <f t="array" aca="1" ref="O327" ca="1">INDIRECT("Data!I" &amp; 322)</f>
        <v>0</v>
      </c>
      <c r="P327" s="21" cm="1">
        <f t="array" aca="1" ref="P327" ca="1">INDIRECT("Data!J" &amp; 322)</f>
        <v>0</v>
      </c>
      <c r="Q327" cm="1">
        <f t="array" aca="1" ref="Q327" ca="1">INDIRECT("Data!K" &amp; 322)</f>
        <v>0</v>
      </c>
      <c r="R327" cm="1">
        <f t="array" aca="1" ref="R327" ca="1">INDIRECT("Data!L" &amp; 322)</f>
        <v>0</v>
      </c>
      <c r="S327" cm="1">
        <f t="array" aca="1" ref="S327" ca="1">INDIRECT("Data!M" &amp; 322)</f>
        <v>0</v>
      </c>
      <c r="T327" cm="1">
        <f t="array" aca="1" ref="T327" ca="1">INDIRECT("Data!N" &amp; 322)</f>
        <v>0</v>
      </c>
      <c r="U327" cm="1">
        <f t="array" aca="1" ref="U327" ca="1">INDIRECT("Data!O" &amp; 322)</f>
        <v>0</v>
      </c>
      <c r="V327" cm="1">
        <f t="array" aca="1" ref="V327" ca="1">INDIRECT("Data!P" &amp; 322)</f>
        <v>0</v>
      </c>
    </row>
    <row r="328" spans="7:22" x14ac:dyDescent="0.25">
      <c r="G328" cm="1">
        <f t="array" aca="1" ref="G328" ca="1">INDIRECT("Data!A" &amp; 323)</f>
        <v>0</v>
      </c>
      <c r="H328" s="21" cm="1">
        <f t="array" aca="1" ref="H328" ca="1">INDIRECT("Data!B" &amp; 323)</f>
        <v>0</v>
      </c>
      <c r="I328" s="21" cm="1">
        <f t="array" aca="1" ref="I328" ca="1">INDIRECT("Data!C" &amp; 323)</f>
        <v>0</v>
      </c>
      <c r="J328" cm="1">
        <f t="array" aca="1" ref="J328" ca="1">INDIRECT("Data!D" &amp; 323)</f>
        <v>0</v>
      </c>
      <c r="K328" cm="1">
        <f t="array" aca="1" ref="K328" ca="1">INDIRECT("Data!E" &amp; 323)</f>
        <v>0</v>
      </c>
      <c r="L328" cm="1">
        <f t="array" aca="1" ref="L328" ca="1">INDIRECT("Data!F" &amp; 323)</f>
        <v>0</v>
      </c>
      <c r="M328" cm="1">
        <f t="array" aca="1" ref="M328" ca="1">INDIRECT("Data!G" &amp; 323)</f>
        <v>0</v>
      </c>
      <c r="N328" cm="1">
        <f t="array" aca="1" ref="N328" ca="1">INDIRECT("Data!H" &amp; 323)</f>
        <v>0</v>
      </c>
      <c r="O328" cm="1">
        <f t="array" aca="1" ref="O328" ca="1">INDIRECT("Data!I" &amp; 323)</f>
        <v>0</v>
      </c>
      <c r="P328" s="21" cm="1">
        <f t="array" aca="1" ref="P328" ca="1">INDIRECT("Data!J" &amp; 323)</f>
        <v>0</v>
      </c>
      <c r="Q328" cm="1">
        <f t="array" aca="1" ref="Q328" ca="1">INDIRECT("Data!K" &amp; 323)</f>
        <v>0</v>
      </c>
      <c r="R328" cm="1">
        <f t="array" aca="1" ref="R328" ca="1">INDIRECT("Data!L" &amp; 323)</f>
        <v>0</v>
      </c>
      <c r="S328" cm="1">
        <f t="array" aca="1" ref="S328" ca="1">INDIRECT("Data!M" &amp; 323)</f>
        <v>0</v>
      </c>
      <c r="T328" cm="1">
        <f t="array" aca="1" ref="T328" ca="1">INDIRECT("Data!N" &amp; 323)</f>
        <v>0</v>
      </c>
      <c r="U328" cm="1">
        <f t="array" aca="1" ref="U328" ca="1">INDIRECT("Data!O" &amp; 323)</f>
        <v>0</v>
      </c>
      <c r="V328" cm="1">
        <f t="array" aca="1" ref="V328" ca="1">INDIRECT("Data!P" &amp; 323)</f>
        <v>0</v>
      </c>
    </row>
    <row r="329" spans="7:22" x14ac:dyDescent="0.25">
      <c r="G329" cm="1">
        <f t="array" aca="1" ref="G329" ca="1">INDIRECT("Data!A" &amp; 324)</f>
        <v>0</v>
      </c>
      <c r="H329" s="21" cm="1">
        <f t="array" aca="1" ref="H329" ca="1">INDIRECT("Data!B" &amp; 324)</f>
        <v>0</v>
      </c>
      <c r="I329" s="21" cm="1">
        <f t="array" aca="1" ref="I329" ca="1">INDIRECT("Data!C" &amp; 324)</f>
        <v>0</v>
      </c>
      <c r="J329" cm="1">
        <f t="array" aca="1" ref="J329" ca="1">INDIRECT("Data!D" &amp; 324)</f>
        <v>0</v>
      </c>
      <c r="K329" cm="1">
        <f t="array" aca="1" ref="K329" ca="1">INDIRECT("Data!E" &amp; 324)</f>
        <v>0</v>
      </c>
      <c r="L329" cm="1">
        <f t="array" aca="1" ref="L329" ca="1">INDIRECT("Data!F" &amp; 324)</f>
        <v>0</v>
      </c>
      <c r="M329" cm="1">
        <f t="array" aca="1" ref="M329" ca="1">INDIRECT("Data!G" &amp; 324)</f>
        <v>0</v>
      </c>
      <c r="N329" cm="1">
        <f t="array" aca="1" ref="N329" ca="1">INDIRECT("Data!H" &amp; 324)</f>
        <v>0</v>
      </c>
      <c r="O329" cm="1">
        <f t="array" aca="1" ref="O329" ca="1">INDIRECT("Data!I" &amp; 324)</f>
        <v>0</v>
      </c>
      <c r="P329" s="21" cm="1">
        <f t="array" aca="1" ref="P329" ca="1">INDIRECT("Data!J" &amp; 324)</f>
        <v>0</v>
      </c>
      <c r="Q329" cm="1">
        <f t="array" aca="1" ref="Q329" ca="1">INDIRECT("Data!K" &amp; 324)</f>
        <v>0</v>
      </c>
      <c r="R329" cm="1">
        <f t="array" aca="1" ref="R329" ca="1">INDIRECT("Data!L" &amp; 324)</f>
        <v>0</v>
      </c>
      <c r="S329" cm="1">
        <f t="array" aca="1" ref="S329" ca="1">INDIRECT("Data!M" &amp; 324)</f>
        <v>0</v>
      </c>
      <c r="T329" cm="1">
        <f t="array" aca="1" ref="T329" ca="1">INDIRECT("Data!N" &amp; 324)</f>
        <v>0</v>
      </c>
      <c r="U329" cm="1">
        <f t="array" aca="1" ref="U329" ca="1">INDIRECT("Data!O" &amp; 324)</f>
        <v>0</v>
      </c>
      <c r="V329" cm="1">
        <f t="array" aca="1" ref="V329" ca="1">INDIRECT("Data!P" &amp; 324)</f>
        <v>0</v>
      </c>
    </row>
    <row r="330" spans="7:22" x14ac:dyDescent="0.25">
      <c r="G330" cm="1">
        <f t="array" aca="1" ref="G330" ca="1">INDIRECT("Data!A" &amp; 325)</f>
        <v>0</v>
      </c>
      <c r="H330" s="21" cm="1">
        <f t="array" aca="1" ref="H330" ca="1">INDIRECT("Data!B" &amp; 325)</f>
        <v>0</v>
      </c>
      <c r="I330" s="21" cm="1">
        <f t="array" aca="1" ref="I330" ca="1">INDIRECT("Data!C" &amp; 325)</f>
        <v>0</v>
      </c>
      <c r="J330" cm="1">
        <f t="array" aca="1" ref="J330" ca="1">INDIRECT("Data!D" &amp; 325)</f>
        <v>0</v>
      </c>
      <c r="K330" cm="1">
        <f t="array" aca="1" ref="K330" ca="1">INDIRECT("Data!E" &amp; 325)</f>
        <v>0</v>
      </c>
      <c r="L330" cm="1">
        <f t="array" aca="1" ref="L330" ca="1">INDIRECT("Data!F" &amp; 325)</f>
        <v>0</v>
      </c>
      <c r="M330" cm="1">
        <f t="array" aca="1" ref="M330" ca="1">INDIRECT("Data!G" &amp; 325)</f>
        <v>0</v>
      </c>
      <c r="N330" cm="1">
        <f t="array" aca="1" ref="N330" ca="1">INDIRECT("Data!H" &amp; 325)</f>
        <v>0</v>
      </c>
      <c r="O330" cm="1">
        <f t="array" aca="1" ref="O330" ca="1">INDIRECT("Data!I" &amp; 325)</f>
        <v>0</v>
      </c>
      <c r="P330" s="21" cm="1">
        <f t="array" aca="1" ref="P330" ca="1">INDIRECT("Data!J" &amp; 325)</f>
        <v>0</v>
      </c>
      <c r="Q330" cm="1">
        <f t="array" aca="1" ref="Q330" ca="1">INDIRECT("Data!K" &amp; 325)</f>
        <v>0</v>
      </c>
      <c r="R330" cm="1">
        <f t="array" aca="1" ref="R330" ca="1">INDIRECT("Data!L" &amp; 325)</f>
        <v>0</v>
      </c>
      <c r="S330" cm="1">
        <f t="array" aca="1" ref="S330" ca="1">INDIRECT("Data!M" &amp; 325)</f>
        <v>0</v>
      </c>
      <c r="T330" cm="1">
        <f t="array" aca="1" ref="T330" ca="1">INDIRECT("Data!N" &amp; 325)</f>
        <v>0</v>
      </c>
      <c r="U330" cm="1">
        <f t="array" aca="1" ref="U330" ca="1">INDIRECT("Data!O" &amp; 325)</f>
        <v>0</v>
      </c>
      <c r="V330" cm="1">
        <f t="array" aca="1" ref="V330" ca="1">INDIRECT("Data!P" &amp; 325)</f>
        <v>0</v>
      </c>
    </row>
    <row r="331" spans="7:22" x14ac:dyDescent="0.25">
      <c r="G331" cm="1">
        <f t="array" aca="1" ref="G331" ca="1">INDIRECT("Data!A" &amp; 326)</f>
        <v>0</v>
      </c>
      <c r="H331" s="21" cm="1">
        <f t="array" aca="1" ref="H331" ca="1">INDIRECT("Data!B" &amp; 326)</f>
        <v>0</v>
      </c>
      <c r="I331" s="21" cm="1">
        <f t="array" aca="1" ref="I331" ca="1">INDIRECT("Data!C" &amp; 326)</f>
        <v>0</v>
      </c>
      <c r="J331" cm="1">
        <f t="array" aca="1" ref="J331" ca="1">INDIRECT("Data!D" &amp; 326)</f>
        <v>0</v>
      </c>
      <c r="K331" cm="1">
        <f t="array" aca="1" ref="K331" ca="1">INDIRECT("Data!E" &amp; 326)</f>
        <v>0</v>
      </c>
      <c r="L331" cm="1">
        <f t="array" aca="1" ref="L331" ca="1">INDIRECT("Data!F" &amp; 326)</f>
        <v>0</v>
      </c>
      <c r="M331" cm="1">
        <f t="array" aca="1" ref="M331" ca="1">INDIRECT("Data!G" &amp; 326)</f>
        <v>0</v>
      </c>
      <c r="N331" cm="1">
        <f t="array" aca="1" ref="N331" ca="1">INDIRECT("Data!H" &amp; 326)</f>
        <v>0</v>
      </c>
      <c r="O331" cm="1">
        <f t="array" aca="1" ref="O331" ca="1">INDIRECT("Data!I" &amp; 326)</f>
        <v>0</v>
      </c>
      <c r="P331" s="21" cm="1">
        <f t="array" aca="1" ref="P331" ca="1">INDIRECT("Data!J" &amp; 326)</f>
        <v>0</v>
      </c>
      <c r="Q331" cm="1">
        <f t="array" aca="1" ref="Q331" ca="1">INDIRECT("Data!K" &amp; 326)</f>
        <v>0</v>
      </c>
      <c r="R331" cm="1">
        <f t="array" aca="1" ref="R331" ca="1">INDIRECT("Data!L" &amp; 326)</f>
        <v>0</v>
      </c>
      <c r="S331" cm="1">
        <f t="array" aca="1" ref="S331" ca="1">INDIRECT("Data!M" &amp; 326)</f>
        <v>0</v>
      </c>
      <c r="T331" cm="1">
        <f t="array" aca="1" ref="T331" ca="1">INDIRECT("Data!N" &amp; 326)</f>
        <v>0</v>
      </c>
      <c r="U331" cm="1">
        <f t="array" aca="1" ref="U331" ca="1">INDIRECT("Data!O" &amp; 326)</f>
        <v>0</v>
      </c>
      <c r="V331" cm="1">
        <f t="array" aca="1" ref="V331" ca="1">INDIRECT("Data!P" &amp; 326)</f>
        <v>0</v>
      </c>
    </row>
    <row r="332" spans="7:22" x14ac:dyDescent="0.25">
      <c r="G332" cm="1">
        <f t="array" aca="1" ref="G332" ca="1">INDIRECT("Data!A" &amp; 327)</f>
        <v>0</v>
      </c>
      <c r="H332" s="21" cm="1">
        <f t="array" aca="1" ref="H332" ca="1">INDIRECT("Data!B" &amp; 327)</f>
        <v>0</v>
      </c>
      <c r="I332" s="21" cm="1">
        <f t="array" aca="1" ref="I332" ca="1">INDIRECT("Data!C" &amp; 327)</f>
        <v>0</v>
      </c>
      <c r="J332" cm="1">
        <f t="array" aca="1" ref="J332" ca="1">INDIRECT("Data!D" &amp; 327)</f>
        <v>0</v>
      </c>
      <c r="K332" cm="1">
        <f t="array" aca="1" ref="K332" ca="1">INDIRECT("Data!E" &amp; 327)</f>
        <v>0</v>
      </c>
      <c r="L332" cm="1">
        <f t="array" aca="1" ref="L332" ca="1">INDIRECT("Data!F" &amp; 327)</f>
        <v>0</v>
      </c>
      <c r="M332" cm="1">
        <f t="array" aca="1" ref="M332" ca="1">INDIRECT("Data!G" &amp; 327)</f>
        <v>0</v>
      </c>
      <c r="N332" cm="1">
        <f t="array" aca="1" ref="N332" ca="1">INDIRECT("Data!H" &amp; 327)</f>
        <v>0</v>
      </c>
      <c r="O332" cm="1">
        <f t="array" aca="1" ref="O332" ca="1">INDIRECT("Data!I" &amp; 327)</f>
        <v>0</v>
      </c>
      <c r="P332" s="21" cm="1">
        <f t="array" aca="1" ref="P332" ca="1">INDIRECT("Data!J" &amp; 327)</f>
        <v>0</v>
      </c>
      <c r="Q332" cm="1">
        <f t="array" aca="1" ref="Q332" ca="1">INDIRECT("Data!K" &amp; 327)</f>
        <v>0</v>
      </c>
      <c r="R332" cm="1">
        <f t="array" aca="1" ref="R332" ca="1">INDIRECT("Data!L" &amp; 327)</f>
        <v>0</v>
      </c>
      <c r="S332" cm="1">
        <f t="array" aca="1" ref="S332" ca="1">INDIRECT("Data!M" &amp; 327)</f>
        <v>0</v>
      </c>
      <c r="T332" cm="1">
        <f t="array" aca="1" ref="T332" ca="1">INDIRECT("Data!N" &amp; 327)</f>
        <v>0</v>
      </c>
      <c r="U332" cm="1">
        <f t="array" aca="1" ref="U332" ca="1">INDIRECT("Data!O" &amp; 327)</f>
        <v>0</v>
      </c>
      <c r="V332" cm="1">
        <f t="array" aca="1" ref="V332" ca="1">INDIRECT("Data!P" &amp; 327)</f>
        <v>0</v>
      </c>
    </row>
    <row r="333" spans="7:22" x14ac:dyDescent="0.25">
      <c r="G333" cm="1">
        <f t="array" aca="1" ref="G333" ca="1">INDIRECT("Data!A" &amp; 328)</f>
        <v>0</v>
      </c>
      <c r="H333" s="21" cm="1">
        <f t="array" aca="1" ref="H333" ca="1">INDIRECT("Data!B" &amp; 328)</f>
        <v>0</v>
      </c>
      <c r="I333" s="21" cm="1">
        <f t="array" aca="1" ref="I333" ca="1">INDIRECT("Data!C" &amp; 328)</f>
        <v>0</v>
      </c>
      <c r="J333" cm="1">
        <f t="array" aca="1" ref="J333" ca="1">INDIRECT("Data!D" &amp; 328)</f>
        <v>0</v>
      </c>
      <c r="K333" cm="1">
        <f t="array" aca="1" ref="K333" ca="1">INDIRECT("Data!E" &amp; 328)</f>
        <v>0</v>
      </c>
      <c r="L333" cm="1">
        <f t="array" aca="1" ref="L333" ca="1">INDIRECT("Data!F" &amp; 328)</f>
        <v>0</v>
      </c>
      <c r="M333" cm="1">
        <f t="array" aca="1" ref="M333" ca="1">INDIRECT("Data!G" &amp; 328)</f>
        <v>0</v>
      </c>
      <c r="N333" cm="1">
        <f t="array" aca="1" ref="N333" ca="1">INDIRECT("Data!H" &amp; 328)</f>
        <v>0</v>
      </c>
      <c r="O333" cm="1">
        <f t="array" aca="1" ref="O333" ca="1">INDIRECT("Data!I" &amp; 328)</f>
        <v>0</v>
      </c>
      <c r="P333" s="21" cm="1">
        <f t="array" aca="1" ref="P333" ca="1">INDIRECT("Data!J" &amp; 328)</f>
        <v>0</v>
      </c>
      <c r="Q333" cm="1">
        <f t="array" aca="1" ref="Q333" ca="1">INDIRECT("Data!K" &amp; 328)</f>
        <v>0</v>
      </c>
      <c r="R333" cm="1">
        <f t="array" aca="1" ref="R333" ca="1">INDIRECT("Data!L" &amp; 328)</f>
        <v>0</v>
      </c>
      <c r="S333" cm="1">
        <f t="array" aca="1" ref="S333" ca="1">INDIRECT("Data!M" &amp; 328)</f>
        <v>0</v>
      </c>
      <c r="T333" cm="1">
        <f t="array" aca="1" ref="T333" ca="1">INDIRECT("Data!N" &amp; 328)</f>
        <v>0</v>
      </c>
      <c r="U333" cm="1">
        <f t="array" aca="1" ref="U333" ca="1">INDIRECT("Data!O" &amp; 328)</f>
        <v>0</v>
      </c>
      <c r="V333" cm="1">
        <f t="array" aca="1" ref="V333" ca="1">INDIRECT("Data!P" &amp; 328)</f>
        <v>0</v>
      </c>
    </row>
    <row r="334" spans="7:22" x14ac:dyDescent="0.25">
      <c r="G334" cm="1">
        <f t="array" aca="1" ref="G334" ca="1">INDIRECT("Data!A" &amp; 329)</f>
        <v>0</v>
      </c>
      <c r="H334" s="21" cm="1">
        <f t="array" aca="1" ref="H334" ca="1">INDIRECT("Data!B" &amp; 329)</f>
        <v>0</v>
      </c>
      <c r="I334" s="21" cm="1">
        <f t="array" aca="1" ref="I334" ca="1">INDIRECT("Data!C" &amp; 329)</f>
        <v>0</v>
      </c>
      <c r="J334" cm="1">
        <f t="array" aca="1" ref="J334" ca="1">INDIRECT("Data!D" &amp; 329)</f>
        <v>0</v>
      </c>
      <c r="K334" cm="1">
        <f t="array" aca="1" ref="K334" ca="1">INDIRECT("Data!E" &amp; 329)</f>
        <v>0</v>
      </c>
      <c r="L334" cm="1">
        <f t="array" aca="1" ref="L334" ca="1">INDIRECT("Data!F" &amp; 329)</f>
        <v>0</v>
      </c>
      <c r="M334" cm="1">
        <f t="array" aca="1" ref="M334" ca="1">INDIRECT("Data!G" &amp; 329)</f>
        <v>0</v>
      </c>
      <c r="N334" cm="1">
        <f t="array" aca="1" ref="N334" ca="1">INDIRECT("Data!H" &amp; 329)</f>
        <v>0</v>
      </c>
      <c r="O334" cm="1">
        <f t="array" aca="1" ref="O334" ca="1">INDIRECT("Data!I" &amp; 329)</f>
        <v>0</v>
      </c>
      <c r="P334" s="21" cm="1">
        <f t="array" aca="1" ref="P334" ca="1">INDIRECT("Data!J" &amp; 329)</f>
        <v>0</v>
      </c>
      <c r="Q334" cm="1">
        <f t="array" aca="1" ref="Q334" ca="1">INDIRECT("Data!K" &amp; 329)</f>
        <v>0</v>
      </c>
      <c r="R334" cm="1">
        <f t="array" aca="1" ref="R334" ca="1">INDIRECT("Data!L" &amp; 329)</f>
        <v>0</v>
      </c>
      <c r="S334" cm="1">
        <f t="array" aca="1" ref="S334" ca="1">INDIRECT("Data!M" &amp; 329)</f>
        <v>0</v>
      </c>
      <c r="T334" cm="1">
        <f t="array" aca="1" ref="T334" ca="1">INDIRECT("Data!N" &amp; 329)</f>
        <v>0</v>
      </c>
      <c r="U334" cm="1">
        <f t="array" aca="1" ref="U334" ca="1">INDIRECT("Data!O" &amp; 329)</f>
        <v>0</v>
      </c>
      <c r="V334" cm="1">
        <f t="array" aca="1" ref="V334" ca="1">INDIRECT("Data!P" &amp; 329)</f>
        <v>0</v>
      </c>
    </row>
    <row r="335" spans="7:22" x14ac:dyDescent="0.25">
      <c r="G335" cm="1">
        <f t="array" aca="1" ref="G335" ca="1">INDIRECT("Data!A" &amp; 330)</f>
        <v>0</v>
      </c>
      <c r="H335" s="21" cm="1">
        <f t="array" aca="1" ref="H335" ca="1">INDIRECT("Data!B" &amp; 330)</f>
        <v>0</v>
      </c>
      <c r="I335" s="21" cm="1">
        <f t="array" aca="1" ref="I335" ca="1">INDIRECT("Data!C" &amp; 330)</f>
        <v>0</v>
      </c>
      <c r="J335" cm="1">
        <f t="array" aca="1" ref="J335" ca="1">INDIRECT("Data!D" &amp; 330)</f>
        <v>0</v>
      </c>
      <c r="K335" cm="1">
        <f t="array" aca="1" ref="K335" ca="1">INDIRECT("Data!E" &amp; 330)</f>
        <v>0</v>
      </c>
      <c r="L335" cm="1">
        <f t="array" aca="1" ref="L335" ca="1">INDIRECT("Data!F" &amp; 330)</f>
        <v>0</v>
      </c>
      <c r="M335" cm="1">
        <f t="array" aca="1" ref="M335" ca="1">INDIRECT("Data!G" &amp; 330)</f>
        <v>0</v>
      </c>
      <c r="N335" cm="1">
        <f t="array" aca="1" ref="N335" ca="1">INDIRECT("Data!H" &amp; 330)</f>
        <v>0</v>
      </c>
      <c r="O335" cm="1">
        <f t="array" aca="1" ref="O335" ca="1">INDIRECT("Data!I" &amp; 330)</f>
        <v>0</v>
      </c>
      <c r="P335" s="21" cm="1">
        <f t="array" aca="1" ref="P335" ca="1">INDIRECT("Data!J" &amp; 330)</f>
        <v>0</v>
      </c>
      <c r="Q335" cm="1">
        <f t="array" aca="1" ref="Q335" ca="1">INDIRECT("Data!K" &amp; 330)</f>
        <v>0</v>
      </c>
      <c r="R335" cm="1">
        <f t="array" aca="1" ref="R335" ca="1">INDIRECT("Data!L" &amp; 330)</f>
        <v>0</v>
      </c>
      <c r="S335" cm="1">
        <f t="array" aca="1" ref="S335" ca="1">INDIRECT("Data!M" &amp; 330)</f>
        <v>0</v>
      </c>
      <c r="T335" cm="1">
        <f t="array" aca="1" ref="T335" ca="1">INDIRECT("Data!N" &amp; 330)</f>
        <v>0</v>
      </c>
      <c r="U335" cm="1">
        <f t="array" aca="1" ref="U335" ca="1">INDIRECT("Data!O" &amp; 330)</f>
        <v>0</v>
      </c>
      <c r="V335" cm="1">
        <f t="array" aca="1" ref="V335" ca="1">INDIRECT("Data!P" &amp; 330)</f>
        <v>0</v>
      </c>
    </row>
    <row r="336" spans="7:22" x14ac:dyDescent="0.25">
      <c r="G336" cm="1">
        <f t="array" aca="1" ref="G336" ca="1">INDIRECT("Data!A" &amp; 331)</f>
        <v>0</v>
      </c>
      <c r="H336" s="21" cm="1">
        <f t="array" aca="1" ref="H336" ca="1">INDIRECT("Data!B" &amp; 331)</f>
        <v>0</v>
      </c>
      <c r="I336" s="21" cm="1">
        <f t="array" aca="1" ref="I336" ca="1">INDIRECT("Data!C" &amp; 331)</f>
        <v>0</v>
      </c>
      <c r="J336" cm="1">
        <f t="array" aca="1" ref="J336" ca="1">INDIRECT("Data!D" &amp; 331)</f>
        <v>0</v>
      </c>
      <c r="K336" cm="1">
        <f t="array" aca="1" ref="K336" ca="1">INDIRECT("Data!E" &amp; 331)</f>
        <v>0</v>
      </c>
      <c r="L336" cm="1">
        <f t="array" aca="1" ref="L336" ca="1">INDIRECT("Data!F" &amp; 331)</f>
        <v>0</v>
      </c>
      <c r="M336" cm="1">
        <f t="array" aca="1" ref="M336" ca="1">INDIRECT("Data!G" &amp; 331)</f>
        <v>0</v>
      </c>
      <c r="N336" cm="1">
        <f t="array" aca="1" ref="N336" ca="1">INDIRECT("Data!H" &amp; 331)</f>
        <v>0</v>
      </c>
      <c r="O336" cm="1">
        <f t="array" aca="1" ref="O336" ca="1">INDIRECT("Data!I" &amp; 331)</f>
        <v>0</v>
      </c>
      <c r="P336" s="21" cm="1">
        <f t="array" aca="1" ref="P336" ca="1">INDIRECT("Data!J" &amp; 331)</f>
        <v>0</v>
      </c>
      <c r="Q336" cm="1">
        <f t="array" aca="1" ref="Q336" ca="1">INDIRECT("Data!K" &amp; 331)</f>
        <v>0</v>
      </c>
      <c r="R336" cm="1">
        <f t="array" aca="1" ref="R336" ca="1">INDIRECT("Data!L" &amp; 331)</f>
        <v>0</v>
      </c>
      <c r="S336" cm="1">
        <f t="array" aca="1" ref="S336" ca="1">INDIRECT("Data!M" &amp; 331)</f>
        <v>0</v>
      </c>
      <c r="T336" cm="1">
        <f t="array" aca="1" ref="T336" ca="1">INDIRECT("Data!N" &amp; 331)</f>
        <v>0</v>
      </c>
      <c r="U336" cm="1">
        <f t="array" aca="1" ref="U336" ca="1">INDIRECT("Data!O" &amp; 331)</f>
        <v>0</v>
      </c>
      <c r="V336" cm="1">
        <f t="array" aca="1" ref="V336" ca="1">INDIRECT("Data!P" &amp; 331)</f>
        <v>0</v>
      </c>
    </row>
    <row r="337" spans="7:22" x14ac:dyDescent="0.25">
      <c r="G337" cm="1">
        <f t="array" aca="1" ref="G337" ca="1">INDIRECT("Data!A" &amp; 332)</f>
        <v>0</v>
      </c>
      <c r="H337" s="21" cm="1">
        <f t="array" aca="1" ref="H337" ca="1">INDIRECT("Data!B" &amp; 332)</f>
        <v>0</v>
      </c>
      <c r="I337" s="21" cm="1">
        <f t="array" aca="1" ref="I337" ca="1">INDIRECT("Data!C" &amp; 332)</f>
        <v>0</v>
      </c>
      <c r="J337" cm="1">
        <f t="array" aca="1" ref="J337" ca="1">INDIRECT("Data!D" &amp; 332)</f>
        <v>0</v>
      </c>
      <c r="K337" cm="1">
        <f t="array" aca="1" ref="K337" ca="1">INDIRECT("Data!E" &amp; 332)</f>
        <v>0</v>
      </c>
      <c r="L337" cm="1">
        <f t="array" aca="1" ref="L337" ca="1">INDIRECT("Data!F" &amp; 332)</f>
        <v>0</v>
      </c>
      <c r="M337" cm="1">
        <f t="array" aca="1" ref="M337" ca="1">INDIRECT("Data!G" &amp; 332)</f>
        <v>0</v>
      </c>
      <c r="N337" cm="1">
        <f t="array" aca="1" ref="N337" ca="1">INDIRECT("Data!H" &amp; 332)</f>
        <v>0</v>
      </c>
      <c r="O337" cm="1">
        <f t="array" aca="1" ref="O337" ca="1">INDIRECT("Data!I" &amp; 332)</f>
        <v>0</v>
      </c>
      <c r="P337" s="21" cm="1">
        <f t="array" aca="1" ref="P337" ca="1">INDIRECT("Data!J" &amp; 332)</f>
        <v>0</v>
      </c>
      <c r="Q337" cm="1">
        <f t="array" aca="1" ref="Q337" ca="1">INDIRECT("Data!K" &amp; 332)</f>
        <v>0</v>
      </c>
      <c r="R337" cm="1">
        <f t="array" aca="1" ref="R337" ca="1">INDIRECT("Data!L" &amp; 332)</f>
        <v>0</v>
      </c>
      <c r="S337" cm="1">
        <f t="array" aca="1" ref="S337" ca="1">INDIRECT("Data!M" &amp; 332)</f>
        <v>0</v>
      </c>
      <c r="T337" cm="1">
        <f t="array" aca="1" ref="T337" ca="1">INDIRECT("Data!N" &amp; 332)</f>
        <v>0</v>
      </c>
      <c r="U337" cm="1">
        <f t="array" aca="1" ref="U337" ca="1">INDIRECT("Data!O" &amp; 332)</f>
        <v>0</v>
      </c>
      <c r="V337" cm="1">
        <f t="array" aca="1" ref="V337" ca="1">INDIRECT("Data!P" &amp; 332)</f>
        <v>0</v>
      </c>
    </row>
    <row r="338" spans="7:22" x14ac:dyDescent="0.25">
      <c r="G338" cm="1">
        <f t="array" aca="1" ref="G338" ca="1">INDIRECT("Data!A" &amp; 333)</f>
        <v>0</v>
      </c>
      <c r="H338" s="21" cm="1">
        <f t="array" aca="1" ref="H338" ca="1">INDIRECT("Data!B" &amp; 333)</f>
        <v>0</v>
      </c>
      <c r="I338" s="21" cm="1">
        <f t="array" aca="1" ref="I338" ca="1">INDIRECT("Data!C" &amp; 333)</f>
        <v>0</v>
      </c>
      <c r="J338" cm="1">
        <f t="array" aca="1" ref="J338" ca="1">INDIRECT("Data!D" &amp; 333)</f>
        <v>0</v>
      </c>
      <c r="K338" cm="1">
        <f t="array" aca="1" ref="K338" ca="1">INDIRECT("Data!E" &amp; 333)</f>
        <v>0</v>
      </c>
      <c r="L338" cm="1">
        <f t="array" aca="1" ref="L338" ca="1">INDIRECT("Data!F" &amp; 333)</f>
        <v>0</v>
      </c>
      <c r="M338" cm="1">
        <f t="array" aca="1" ref="M338" ca="1">INDIRECT("Data!G" &amp; 333)</f>
        <v>0</v>
      </c>
      <c r="N338" cm="1">
        <f t="array" aca="1" ref="N338" ca="1">INDIRECT("Data!H" &amp; 333)</f>
        <v>0</v>
      </c>
      <c r="O338" cm="1">
        <f t="array" aca="1" ref="O338" ca="1">INDIRECT("Data!I" &amp; 333)</f>
        <v>0</v>
      </c>
      <c r="P338" s="21" cm="1">
        <f t="array" aca="1" ref="P338" ca="1">INDIRECT("Data!J" &amp; 333)</f>
        <v>0</v>
      </c>
      <c r="Q338" cm="1">
        <f t="array" aca="1" ref="Q338" ca="1">INDIRECT("Data!K" &amp; 333)</f>
        <v>0</v>
      </c>
      <c r="R338" cm="1">
        <f t="array" aca="1" ref="R338" ca="1">INDIRECT("Data!L" &amp; 333)</f>
        <v>0</v>
      </c>
      <c r="S338" cm="1">
        <f t="array" aca="1" ref="S338" ca="1">INDIRECT("Data!M" &amp; 333)</f>
        <v>0</v>
      </c>
      <c r="T338" cm="1">
        <f t="array" aca="1" ref="T338" ca="1">INDIRECT("Data!N" &amp; 333)</f>
        <v>0</v>
      </c>
      <c r="U338" cm="1">
        <f t="array" aca="1" ref="U338" ca="1">INDIRECT("Data!O" &amp; 333)</f>
        <v>0</v>
      </c>
      <c r="V338" cm="1">
        <f t="array" aca="1" ref="V338" ca="1">INDIRECT("Data!P" &amp; 333)</f>
        <v>0</v>
      </c>
    </row>
    <row r="339" spans="7:22" x14ac:dyDescent="0.25">
      <c r="G339" cm="1">
        <f t="array" aca="1" ref="G339" ca="1">INDIRECT("Data!A" &amp; 334)</f>
        <v>0</v>
      </c>
      <c r="H339" s="21" cm="1">
        <f t="array" aca="1" ref="H339" ca="1">INDIRECT("Data!B" &amp; 334)</f>
        <v>0</v>
      </c>
      <c r="I339" s="21" cm="1">
        <f t="array" aca="1" ref="I339" ca="1">INDIRECT("Data!C" &amp; 334)</f>
        <v>0</v>
      </c>
      <c r="J339" cm="1">
        <f t="array" aca="1" ref="J339" ca="1">INDIRECT("Data!D" &amp; 334)</f>
        <v>0</v>
      </c>
      <c r="K339" cm="1">
        <f t="array" aca="1" ref="K339" ca="1">INDIRECT("Data!E" &amp; 334)</f>
        <v>0</v>
      </c>
      <c r="L339" cm="1">
        <f t="array" aca="1" ref="L339" ca="1">INDIRECT("Data!F" &amp; 334)</f>
        <v>0</v>
      </c>
      <c r="M339" cm="1">
        <f t="array" aca="1" ref="M339" ca="1">INDIRECT("Data!G" &amp; 334)</f>
        <v>0</v>
      </c>
      <c r="N339" cm="1">
        <f t="array" aca="1" ref="N339" ca="1">INDIRECT("Data!H" &amp; 334)</f>
        <v>0</v>
      </c>
      <c r="O339" cm="1">
        <f t="array" aca="1" ref="O339" ca="1">INDIRECT("Data!I" &amp; 334)</f>
        <v>0</v>
      </c>
      <c r="P339" s="21" cm="1">
        <f t="array" aca="1" ref="P339" ca="1">INDIRECT("Data!J" &amp; 334)</f>
        <v>0</v>
      </c>
      <c r="Q339" cm="1">
        <f t="array" aca="1" ref="Q339" ca="1">INDIRECT("Data!K" &amp; 334)</f>
        <v>0</v>
      </c>
      <c r="R339" cm="1">
        <f t="array" aca="1" ref="R339" ca="1">INDIRECT("Data!L" &amp; 334)</f>
        <v>0</v>
      </c>
      <c r="S339" cm="1">
        <f t="array" aca="1" ref="S339" ca="1">INDIRECT("Data!M" &amp; 334)</f>
        <v>0</v>
      </c>
      <c r="T339" cm="1">
        <f t="array" aca="1" ref="T339" ca="1">INDIRECT("Data!N" &amp; 334)</f>
        <v>0</v>
      </c>
      <c r="U339" cm="1">
        <f t="array" aca="1" ref="U339" ca="1">INDIRECT("Data!O" &amp; 334)</f>
        <v>0</v>
      </c>
      <c r="V339" cm="1">
        <f t="array" aca="1" ref="V339" ca="1">INDIRECT("Data!P" &amp; 334)</f>
        <v>0</v>
      </c>
    </row>
    <row r="340" spans="7:22" x14ac:dyDescent="0.25">
      <c r="G340" cm="1">
        <f t="array" aca="1" ref="G340" ca="1">INDIRECT("Data!A" &amp; 335)</f>
        <v>0</v>
      </c>
      <c r="H340" s="21" cm="1">
        <f t="array" aca="1" ref="H340" ca="1">INDIRECT("Data!B" &amp; 335)</f>
        <v>0</v>
      </c>
      <c r="I340" s="21" cm="1">
        <f t="array" aca="1" ref="I340" ca="1">INDIRECT("Data!C" &amp; 335)</f>
        <v>0</v>
      </c>
      <c r="J340" cm="1">
        <f t="array" aca="1" ref="J340" ca="1">INDIRECT("Data!D" &amp; 335)</f>
        <v>0</v>
      </c>
      <c r="K340" cm="1">
        <f t="array" aca="1" ref="K340" ca="1">INDIRECT("Data!E" &amp; 335)</f>
        <v>0</v>
      </c>
      <c r="L340" cm="1">
        <f t="array" aca="1" ref="L340" ca="1">INDIRECT("Data!F" &amp; 335)</f>
        <v>0</v>
      </c>
      <c r="M340" cm="1">
        <f t="array" aca="1" ref="M340" ca="1">INDIRECT("Data!G" &amp; 335)</f>
        <v>0</v>
      </c>
      <c r="N340" cm="1">
        <f t="array" aca="1" ref="N340" ca="1">INDIRECT("Data!H" &amp; 335)</f>
        <v>0</v>
      </c>
      <c r="O340" cm="1">
        <f t="array" aca="1" ref="O340" ca="1">INDIRECT("Data!I" &amp; 335)</f>
        <v>0</v>
      </c>
      <c r="P340" s="21" cm="1">
        <f t="array" aca="1" ref="P340" ca="1">INDIRECT("Data!J" &amp; 335)</f>
        <v>0</v>
      </c>
      <c r="Q340" cm="1">
        <f t="array" aca="1" ref="Q340" ca="1">INDIRECT("Data!K" &amp; 335)</f>
        <v>0</v>
      </c>
      <c r="R340" cm="1">
        <f t="array" aca="1" ref="R340" ca="1">INDIRECT("Data!L" &amp; 335)</f>
        <v>0</v>
      </c>
      <c r="S340" cm="1">
        <f t="array" aca="1" ref="S340" ca="1">INDIRECT("Data!M" &amp; 335)</f>
        <v>0</v>
      </c>
      <c r="T340" cm="1">
        <f t="array" aca="1" ref="T340" ca="1">INDIRECT("Data!N" &amp; 335)</f>
        <v>0</v>
      </c>
      <c r="U340" cm="1">
        <f t="array" aca="1" ref="U340" ca="1">INDIRECT("Data!O" &amp; 335)</f>
        <v>0</v>
      </c>
      <c r="V340" cm="1">
        <f t="array" aca="1" ref="V340" ca="1">INDIRECT("Data!P" &amp; 335)</f>
        <v>0</v>
      </c>
    </row>
    <row r="341" spans="7:22" x14ac:dyDescent="0.25">
      <c r="G341" cm="1">
        <f t="array" aca="1" ref="G341" ca="1">INDIRECT("Data!A" &amp; 336)</f>
        <v>0</v>
      </c>
      <c r="H341" s="21" cm="1">
        <f t="array" aca="1" ref="H341" ca="1">INDIRECT("Data!B" &amp; 336)</f>
        <v>0</v>
      </c>
      <c r="I341" s="21" cm="1">
        <f t="array" aca="1" ref="I341" ca="1">INDIRECT("Data!C" &amp; 336)</f>
        <v>0</v>
      </c>
      <c r="J341" cm="1">
        <f t="array" aca="1" ref="J341" ca="1">INDIRECT("Data!D" &amp; 336)</f>
        <v>0</v>
      </c>
      <c r="K341" cm="1">
        <f t="array" aca="1" ref="K341" ca="1">INDIRECT("Data!E" &amp; 336)</f>
        <v>0</v>
      </c>
      <c r="L341" cm="1">
        <f t="array" aca="1" ref="L341" ca="1">INDIRECT("Data!F" &amp; 336)</f>
        <v>0</v>
      </c>
      <c r="M341" cm="1">
        <f t="array" aca="1" ref="M341" ca="1">INDIRECT("Data!G" &amp; 336)</f>
        <v>0</v>
      </c>
      <c r="N341" cm="1">
        <f t="array" aca="1" ref="N341" ca="1">INDIRECT("Data!H" &amp; 336)</f>
        <v>0</v>
      </c>
      <c r="O341" cm="1">
        <f t="array" aca="1" ref="O341" ca="1">INDIRECT("Data!I" &amp; 336)</f>
        <v>0</v>
      </c>
      <c r="P341" s="21" cm="1">
        <f t="array" aca="1" ref="P341" ca="1">INDIRECT("Data!J" &amp; 336)</f>
        <v>0</v>
      </c>
      <c r="Q341" cm="1">
        <f t="array" aca="1" ref="Q341" ca="1">INDIRECT("Data!K" &amp; 336)</f>
        <v>0</v>
      </c>
      <c r="R341" cm="1">
        <f t="array" aca="1" ref="R341" ca="1">INDIRECT("Data!L" &amp; 336)</f>
        <v>0</v>
      </c>
      <c r="S341" cm="1">
        <f t="array" aca="1" ref="S341" ca="1">INDIRECT("Data!M" &amp; 336)</f>
        <v>0</v>
      </c>
      <c r="T341" cm="1">
        <f t="array" aca="1" ref="T341" ca="1">INDIRECT("Data!N" &amp; 336)</f>
        <v>0</v>
      </c>
      <c r="U341" cm="1">
        <f t="array" aca="1" ref="U341" ca="1">INDIRECT("Data!O" &amp; 336)</f>
        <v>0</v>
      </c>
      <c r="V341" cm="1">
        <f t="array" aca="1" ref="V341" ca="1">INDIRECT("Data!P" &amp; 336)</f>
        <v>0</v>
      </c>
    </row>
    <row r="342" spans="7:22" x14ac:dyDescent="0.25">
      <c r="G342" cm="1">
        <f t="array" aca="1" ref="G342" ca="1">INDIRECT("Data!A" &amp; 337)</f>
        <v>0</v>
      </c>
      <c r="H342" s="21" cm="1">
        <f t="array" aca="1" ref="H342" ca="1">INDIRECT("Data!B" &amp; 337)</f>
        <v>0</v>
      </c>
      <c r="I342" s="21" cm="1">
        <f t="array" aca="1" ref="I342" ca="1">INDIRECT("Data!C" &amp; 337)</f>
        <v>0</v>
      </c>
      <c r="J342" cm="1">
        <f t="array" aca="1" ref="J342" ca="1">INDIRECT("Data!D" &amp; 337)</f>
        <v>0</v>
      </c>
      <c r="K342" cm="1">
        <f t="array" aca="1" ref="K342" ca="1">INDIRECT("Data!E" &amp; 337)</f>
        <v>0</v>
      </c>
      <c r="L342" cm="1">
        <f t="array" aca="1" ref="L342" ca="1">INDIRECT("Data!F" &amp; 337)</f>
        <v>0</v>
      </c>
      <c r="M342" cm="1">
        <f t="array" aca="1" ref="M342" ca="1">INDIRECT("Data!G" &amp; 337)</f>
        <v>0</v>
      </c>
      <c r="N342" cm="1">
        <f t="array" aca="1" ref="N342" ca="1">INDIRECT("Data!H" &amp; 337)</f>
        <v>0</v>
      </c>
      <c r="O342" cm="1">
        <f t="array" aca="1" ref="O342" ca="1">INDIRECT("Data!I" &amp; 337)</f>
        <v>0</v>
      </c>
      <c r="P342" s="21" cm="1">
        <f t="array" aca="1" ref="P342" ca="1">INDIRECT("Data!J" &amp; 337)</f>
        <v>0</v>
      </c>
      <c r="Q342" cm="1">
        <f t="array" aca="1" ref="Q342" ca="1">INDIRECT("Data!K" &amp; 337)</f>
        <v>0</v>
      </c>
      <c r="R342" cm="1">
        <f t="array" aca="1" ref="R342" ca="1">INDIRECT("Data!L" &amp; 337)</f>
        <v>0</v>
      </c>
      <c r="S342" cm="1">
        <f t="array" aca="1" ref="S342" ca="1">INDIRECT("Data!M" &amp; 337)</f>
        <v>0</v>
      </c>
      <c r="T342" cm="1">
        <f t="array" aca="1" ref="T342" ca="1">INDIRECT("Data!N" &amp; 337)</f>
        <v>0</v>
      </c>
      <c r="U342" cm="1">
        <f t="array" aca="1" ref="U342" ca="1">INDIRECT("Data!O" &amp; 337)</f>
        <v>0</v>
      </c>
      <c r="V342" cm="1">
        <f t="array" aca="1" ref="V342" ca="1">INDIRECT("Data!P" &amp; 337)</f>
        <v>0</v>
      </c>
    </row>
    <row r="343" spans="7:22" x14ac:dyDescent="0.25">
      <c r="G343" cm="1">
        <f t="array" aca="1" ref="G343" ca="1">INDIRECT("Data!A" &amp; 338)</f>
        <v>0</v>
      </c>
      <c r="H343" s="21" cm="1">
        <f t="array" aca="1" ref="H343" ca="1">INDIRECT("Data!B" &amp; 338)</f>
        <v>0</v>
      </c>
      <c r="I343" s="21" cm="1">
        <f t="array" aca="1" ref="I343" ca="1">INDIRECT("Data!C" &amp; 338)</f>
        <v>0</v>
      </c>
      <c r="J343" cm="1">
        <f t="array" aca="1" ref="J343" ca="1">INDIRECT("Data!D" &amp; 338)</f>
        <v>0</v>
      </c>
      <c r="K343" cm="1">
        <f t="array" aca="1" ref="K343" ca="1">INDIRECT("Data!E" &amp; 338)</f>
        <v>0</v>
      </c>
      <c r="L343" cm="1">
        <f t="array" aca="1" ref="L343" ca="1">INDIRECT("Data!F" &amp; 338)</f>
        <v>0</v>
      </c>
      <c r="M343" cm="1">
        <f t="array" aca="1" ref="M343" ca="1">INDIRECT("Data!G" &amp; 338)</f>
        <v>0</v>
      </c>
      <c r="N343" cm="1">
        <f t="array" aca="1" ref="N343" ca="1">INDIRECT("Data!H" &amp; 338)</f>
        <v>0</v>
      </c>
      <c r="O343" cm="1">
        <f t="array" aca="1" ref="O343" ca="1">INDIRECT("Data!I" &amp; 338)</f>
        <v>0</v>
      </c>
      <c r="P343" s="21" cm="1">
        <f t="array" aca="1" ref="P343" ca="1">INDIRECT("Data!J" &amp; 338)</f>
        <v>0</v>
      </c>
      <c r="Q343" cm="1">
        <f t="array" aca="1" ref="Q343" ca="1">INDIRECT("Data!K" &amp; 338)</f>
        <v>0</v>
      </c>
      <c r="R343" cm="1">
        <f t="array" aca="1" ref="R343" ca="1">INDIRECT("Data!L" &amp; 338)</f>
        <v>0</v>
      </c>
      <c r="S343" cm="1">
        <f t="array" aca="1" ref="S343" ca="1">INDIRECT("Data!M" &amp; 338)</f>
        <v>0</v>
      </c>
      <c r="T343" cm="1">
        <f t="array" aca="1" ref="T343" ca="1">INDIRECT("Data!N" &amp; 338)</f>
        <v>0</v>
      </c>
      <c r="U343" cm="1">
        <f t="array" aca="1" ref="U343" ca="1">INDIRECT("Data!O" &amp; 338)</f>
        <v>0</v>
      </c>
      <c r="V343" cm="1">
        <f t="array" aca="1" ref="V343" ca="1">INDIRECT("Data!P" &amp; 338)</f>
        <v>0</v>
      </c>
    </row>
    <row r="344" spans="7:22" x14ac:dyDescent="0.25">
      <c r="G344" cm="1">
        <f t="array" aca="1" ref="G344" ca="1">INDIRECT("Data!A" &amp; 339)</f>
        <v>0</v>
      </c>
      <c r="H344" s="21" cm="1">
        <f t="array" aca="1" ref="H344" ca="1">INDIRECT("Data!B" &amp; 339)</f>
        <v>0</v>
      </c>
      <c r="I344" s="21" cm="1">
        <f t="array" aca="1" ref="I344" ca="1">INDIRECT("Data!C" &amp; 339)</f>
        <v>0</v>
      </c>
      <c r="J344" cm="1">
        <f t="array" aca="1" ref="J344" ca="1">INDIRECT("Data!D" &amp; 339)</f>
        <v>0</v>
      </c>
      <c r="K344" cm="1">
        <f t="array" aca="1" ref="K344" ca="1">INDIRECT("Data!E" &amp; 339)</f>
        <v>0</v>
      </c>
      <c r="L344" cm="1">
        <f t="array" aca="1" ref="L344" ca="1">INDIRECT("Data!F" &amp; 339)</f>
        <v>0</v>
      </c>
      <c r="M344" cm="1">
        <f t="array" aca="1" ref="M344" ca="1">INDIRECT("Data!G" &amp; 339)</f>
        <v>0</v>
      </c>
      <c r="N344" cm="1">
        <f t="array" aca="1" ref="N344" ca="1">INDIRECT("Data!H" &amp; 339)</f>
        <v>0</v>
      </c>
      <c r="O344" cm="1">
        <f t="array" aca="1" ref="O344" ca="1">INDIRECT("Data!I" &amp; 339)</f>
        <v>0</v>
      </c>
      <c r="P344" s="21" cm="1">
        <f t="array" aca="1" ref="P344" ca="1">INDIRECT("Data!J" &amp; 339)</f>
        <v>0</v>
      </c>
      <c r="Q344" cm="1">
        <f t="array" aca="1" ref="Q344" ca="1">INDIRECT("Data!K" &amp; 339)</f>
        <v>0</v>
      </c>
      <c r="R344" cm="1">
        <f t="array" aca="1" ref="R344" ca="1">INDIRECT("Data!L" &amp; 339)</f>
        <v>0</v>
      </c>
      <c r="S344" cm="1">
        <f t="array" aca="1" ref="S344" ca="1">INDIRECT("Data!M" &amp; 339)</f>
        <v>0</v>
      </c>
      <c r="T344" cm="1">
        <f t="array" aca="1" ref="T344" ca="1">INDIRECT("Data!N" &amp; 339)</f>
        <v>0</v>
      </c>
      <c r="U344" cm="1">
        <f t="array" aca="1" ref="U344" ca="1">INDIRECT("Data!O" &amp; 339)</f>
        <v>0</v>
      </c>
      <c r="V344" cm="1">
        <f t="array" aca="1" ref="V344" ca="1">INDIRECT("Data!P" &amp; 339)</f>
        <v>0</v>
      </c>
    </row>
    <row r="345" spans="7:22" x14ac:dyDescent="0.25">
      <c r="G345" cm="1">
        <f t="array" aca="1" ref="G345" ca="1">INDIRECT("Data!A" &amp; 340)</f>
        <v>0</v>
      </c>
      <c r="H345" s="21" cm="1">
        <f t="array" aca="1" ref="H345" ca="1">INDIRECT("Data!B" &amp; 340)</f>
        <v>0</v>
      </c>
      <c r="I345" s="21" cm="1">
        <f t="array" aca="1" ref="I345" ca="1">INDIRECT("Data!C" &amp; 340)</f>
        <v>0</v>
      </c>
      <c r="J345" cm="1">
        <f t="array" aca="1" ref="J345" ca="1">INDIRECT("Data!D" &amp; 340)</f>
        <v>0</v>
      </c>
      <c r="K345" cm="1">
        <f t="array" aca="1" ref="K345" ca="1">INDIRECT("Data!E" &amp; 340)</f>
        <v>0</v>
      </c>
      <c r="L345" cm="1">
        <f t="array" aca="1" ref="L345" ca="1">INDIRECT("Data!F" &amp; 340)</f>
        <v>0</v>
      </c>
      <c r="M345" cm="1">
        <f t="array" aca="1" ref="M345" ca="1">INDIRECT("Data!G" &amp; 340)</f>
        <v>0</v>
      </c>
      <c r="N345" cm="1">
        <f t="array" aca="1" ref="N345" ca="1">INDIRECT("Data!H" &amp; 340)</f>
        <v>0</v>
      </c>
      <c r="O345" cm="1">
        <f t="array" aca="1" ref="O345" ca="1">INDIRECT("Data!I" &amp; 340)</f>
        <v>0</v>
      </c>
      <c r="P345" s="21" cm="1">
        <f t="array" aca="1" ref="P345" ca="1">INDIRECT("Data!J" &amp; 340)</f>
        <v>0</v>
      </c>
      <c r="Q345" cm="1">
        <f t="array" aca="1" ref="Q345" ca="1">INDIRECT("Data!K" &amp; 340)</f>
        <v>0</v>
      </c>
      <c r="R345" cm="1">
        <f t="array" aca="1" ref="R345" ca="1">INDIRECT("Data!L" &amp; 340)</f>
        <v>0</v>
      </c>
      <c r="S345" cm="1">
        <f t="array" aca="1" ref="S345" ca="1">INDIRECT("Data!M" &amp; 340)</f>
        <v>0</v>
      </c>
      <c r="T345" cm="1">
        <f t="array" aca="1" ref="T345" ca="1">INDIRECT("Data!N" &amp; 340)</f>
        <v>0</v>
      </c>
      <c r="U345" cm="1">
        <f t="array" aca="1" ref="U345" ca="1">INDIRECT("Data!O" &amp; 340)</f>
        <v>0</v>
      </c>
      <c r="V345" cm="1">
        <f t="array" aca="1" ref="V345" ca="1">INDIRECT("Data!P" &amp; 340)</f>
        <v>0</v>
      </c>
    </row>
    <row r="346" spans="7:22" x14ac:dyDescent="0.25">
      <c r="G346" cm="1">
        <f t="array" aca="1" ref="G346" ca="1">INDIRECT("Data!A" &amp; 341)</f>
        <v>0</v>
      </c>
      <c r="H346" s="21" cm="1">
        <f t="array" aca="1" ref="H346" ca="1">INDIRECT("Data!B" &amp; 341)</f>
        <v>0</v>
      </c>
      <c r="I346" s="21" cm="1">
        <f t="array" aca="1" ref="I346" ca="1">INDIRECT("Data!C" &amp; 341)</f>
        <v>0</v>
      </c>
      <c r="J346" cm="1">
        <f t="array" aca="1" ref="J346" ca="1">INDIRECT("Data!D" &amp; 341)</f>
        <v>0</v>
      </c>
      <c r="K346" cm="1">
        <f t="array" aca="1" ref="K346" ca="1">INDIRECT("Data!E" &amp; 341)</f>
        <v>0</v>
      </c>
      <c r="L346" cm="1">
        <f t="array" aca="1" ref="L346" ca="1">INDIRECT("Data!F" &amp; 341)</f>
        <v>0</v>
      </c>
      <c r="M346" cm="1">
        <f t="array" aca="1" ref="M346" ca="1">INDIRECT("Data!G" &amp; 341)</f>
        <v>0</v>
      </c>
      <c r="N346" cm="1">
        <f t="array" aca="1" ref="N346" ca="1">INDIRECT("Data!H" &amp; 341)</f>
        <v>0</v>
      </c>
      <c r="O346" cm="1">
        <f t="array" aca="1" ref="O346" ca="1">INDIRECT("Data!I" &amp; 341)</f>
        <v>0</v>
      </c>
      <c r="P346" s="21" cm="1">
        <f t="array" aca="1" ref="P346" ca="1">INDIRECT("Data!J" &amp; 341)</f>
        <v>0</v>
      </c>
      <c r="Q346" cm="1">
        <f t="array" aca="1" ref="Q346" ca="1">INDIRECT("Data!K" &amp; 341)</f>
        <v>0</v>
      </c>
      <c r="R346" cm="1">
        <f t="array" aca="1" ref="R346" ca="1">INDIRECT("Data!L" &amp; 341)</f>
        <v>0</v>
      </c>
      <c r="S346" cm="1">
        <f t="array" aca="1" ref="S346" ca="1">INDIRECT("Data!M" &amp; 341)</f>
        <v>0</v>
      </c>
      <c r="T346" cm="1">
        <f t="array" aca="1" ref="T346" ca="1">INDIRECT("Data!N" &amp; 341)</f>
        <v>0</v>
      </c>
      <c r="U346" cm="1">
        <f t="array" aca="1" ref="U346" ca="1">INDIRECT("Data!O" &amp; 341)</f>
        <v>0</v>
      </c>
      <c r="V346" cm="1">
        <f t="array" aca="1" ref="V346" ca="1">INDIRECT("Data!P" &amp; 341)</f>
        <v>0</v>
      </c>
    </row>
    <row r="347" spans="7:22" x14ac:dyDescent="0.25">
      <c r="G347" cm="1">
        <f t="array" aca="1" ref="G347" ca="1">INDIRECT("Data!A" &amp; 342)</f>
        <v>0</v>
      </c>
      <c r="H347" s="21" cm="1">
        <f t="array" aca="1" ref="H347" ca="1">INDIRECT("Data!B" &amp; 342)</f>
        <v>0</v>
      </c>
      <c r="I347" s="21" cm="1">
        <f t="array" aca="1" ref="I347" ca="1">INDIRECT("Data!C" &amp; 342)</f>
        <v>0</v>
      </c>
      <c r="J347" cm="1">
        <f t="array" aca="1" ref="J347" ca="1">INDIRECT("Data!D" &amp; 342)</f>
        <v>0</v>
      </c>
      <c r="K347" cm="1">
        <f t="array" aca="1" ref="K347" ca="1">INDIRECT("Data!E" &amp; 342)</f>
        <v>0</v>
      </c>
      <c r="L347" cm="1">
        <f t="array" aca="1" ref="L347" ca="1">INDIRECT("Data!F" &amp; 342)</f>
        <v>0</v>
      </c>
      <c r="M347" cm="1">
        <f t="array" aca="1" ref="M347" ca="1">INDIRECT("Data!G" &amp; 342)</f>
        <v>0</v>
      </c>
      <c r="N347" cm="1">
        <f t="array" aca="1" ref="N347" ca="1">INDIRECT("Data!H" &amp; 342)</f>
        <v>0</v>
      </c>
      <c r="O347" cm="1">
        <f t="array" aca="1" ref="O347" ca="1">INDIRECT("Data!I" &amp; 342)</f>
        <v>0</v>
      </c>
      <c r="P347" s="21" cm="1">
        <f t="array" aca="1" ref="P347" ca="1">INDIRECT("Data!J" &amp; 342)</f>
        <v>0</v>
      </c>
      <c r="Q347" cm="1">
        <f t="array" aca="1" ref="Q347" ca="1">INDIRECT("Data!K" &amp; 342)</f>
        <v>0</v>
      </c>
      <c r="R347" cm="1">
        <f t="array" aca="1" ref="R347" ca="1">INDIRECT("Data!L" &amp; 342)</f>
        <v>0</v>
      </c>
      <c r="S347" cm="1">
        <f t="array" aca="1" ref="S347" ca="1">INDIRECT("Data!M" &amp; 342)</f>
        <v>0</v>
      </c>
      <c r="T347" cm="1">
        <f t="array" aca="1" ref="T347" ca="1">INDIRECT("Data!N" &amp; 342)</f>
        <v>0</v>
      </c>
      <c r="U347" cm="1">
        <f t="array" aca="1" ref="U347" ca="1">INDIRECT("Data!O" &amp; 342)</f>
        <v>0</v>
      </c>
      <c r="V347" cm="1">
        <f t="array" aca="1" ref="V347" ca="1">INDIRECT("Data!P" &amp; 342)</f>
        <v>0</v>
      </c>
    </row>
    <row r="348" spans="7:22" x14ac:dyDescent="0.25">
      <c r="G348" cm="1">
        <f t="array" aca="1" ref="G348" ca="1">INDIRECT("Data!A" &amp; 343)</f>
        <v>0</v>
      </c>
      <c r="H348" s="21" cm="1">
        <f t="array" aca="1" ref="H348" ca="1">INDIRECT("Data!B" &amp; 343)</f>
        <v>0</v>
      </c>
      <c r="I348" s="21" cm="1">
        <f t="array" aca="1" ref="I348" ca="1">INDIRECT("Data!C" &amp; 343)</f>
        <v>0</v>
      </c>
      <c r="J348" cm="1">
        <f t="array" aca="1" ref="J348" ca="1">INDIRECT("Data!D" &amp; 343)</f>
        <v>0</v>
      </c>
      <c r="K348" cm="1">
        <f t="array" aca="1" ref="K348" ca="1">INDIRECT("Data!E" &amp; 343)</f>
        <v>0</v>
      </c>
      <c r="L348" cm="1">
        <f t="array" aca="1" ref="L348" ca="1">INDIRECT("Data!F" &amp; 343)</f>
        <v>0</v>
      </c>
      <c r="M348" cm="1">
        <f t="array" aca="1" ref="M348" ca="1">INDIRECT("Data!G" &amp; 343)</f>
        <v>0</v>
      </c>
      <c r="N348" cm="1">
        <f t="array" aca="1" ref="N348" ca="1">INDIRECT("Data!H" &amp; 343)</f>
        <v>0</v>
      </c>
      <c r="O348" cm="1">
        <f t="array" aca="1" ref="O348" ca="1">INDIRECT("Data!I" &amp; 343)</f>
        <v>0</v>
      </c>
      <c r="P348" s="21" cm="1">
        <f t="array" aca="1" ref="P348" ca="1">INDIRECT("Data!J" &amp; 343)</f>
        <v>0</v>
      </c>
      <c r="Q348" cm="1">
        <f t="array" aca="1" ref="Q348" ca="1">INDIRECT("Data!K" &amp; 343)</f>
        <v>0</v>
      </c>
      <c r="R348" cm="1">
        <f t="array" aca="1" ref="R348" ca="1">INDIRECT("Data!L" &amp; 343)</f>
        <v>0</v>
      </c>
      <c r="S348" cm="1">
        <f t="array" aca="1" ref="S348" ca="1">INDIRECT("Data!M" &amp; 343)</f>
        <v>0</v>
      </c>
      <c r="T348" cm="1">
        <f t="array" aca="1" ref="T348" ca="1">INDIRECT("Data!N" &amp; 343)</f>
        <v>0</v>
      </c>
      <c r="U348" cm="1">
        <f t="array" aca="1" ref="U348" ca="1">INDIRECT("Data!O" &amp; 343)</f>
        <v>0</v>
      </c>
      <c r="V348" cm="1">
        <f t="array" aca="1" ref="V348" ca="1">INDIRECT("Data!P" &amp; 343)</f>
        <v>0</v>
      </c>
    </row>
    <row r="349" spans="7:22" x14ac:dyDescent="0.25">
      <c r="G349" cm="1">
        <f t="array" aca="1" ref="G349" ca="1">INDIRECT("Data!A" &amp; 344)</f>
        <v>0</v>
      </c>
      <c r="H349" s="21" cm="1">
        <f t="array" aca="1" ref="H349" ca="1">INDIRECT("Data!B" &amp; 344)</f>
        <v>0</v>
      </c>
      <c r="I349" s="21" cm="1">
        <f t="array" aca="1" ref="I349" ca="1">INDIRECT("Data!C" &amp; 344)</f>
        <v>0</v>
      </c>
      <c r="J349" cm="1">
        <f t="array" aca="1" ref="J349" ca="1">INDIRECT("Data!D" &amp; 344)</f>
        <v>0</v>
      </c>
      <c r="K349" cm="1">
        <f t="array" aca="1" ref="K349" ca="1">INDIRECT("Data!E" &amp; 344)</f>
        <v>0</v>
      </c>
      <c r="L349" cm="1">
        <f t="array" aca="1" ref="L349" ca="1">INDIRECT("Data!F" &amp; 344)</f>
        <v>0</v>
      </c>
      <c r="M349" cm="1">
        <f t="array" aca="1" ref="M349" ca="1">INDIRECT("Data!G" &amp; 344)</f>
        <v>0</v>
      </c>
      <c r="N349" cm="1">
        <f t="array" aca="1" ref="N349" ca="1">INDIRECT("Data!H" &amp; 344)</f>
        <v>0</v>
      </c>
      <c r="O349" cm="1">
        <f t="array" aca="1" ref="O349" ca="1">INDIRECT("Data!I" &amp; 344)</f>
        <v>0</v>
      </c>
      <c r="P349" s="21" cm="1">
        <f t="array" aca="1" ref="P349" ca="1">INDIRECT("Data!J" &amp; 344)</f>
        <v>0</v>
      </c>
      <c r="Q349" cm="1">
        <f t="array" aca="1" ref="Q349" ca="1">INDIRECT("Data!K" &amp; 344)</f>
        <v>0</v>
      </c>
      <c r="R349" cm="1">
        <f t="array" aca="1" ref="R349" ca="1">INDIRECT("Data!L" &amp; 344)</f>
        <v>0</v>
      </c>
      <c r="S349" cm="1">
        <f t="array" aca="1" ref="S349" ca="1">INDIRECT("Data!M" &amp; 344)</f>
        <v>0</v>
      </c>
      <c r="T349" cm="1">
        <f t="array" aca="1" ref="T349" ca="1">INDIRECT("Data!N" &amp; 344)</f>
        <v>0</v>
      </c>
      <c r="U349" cm="1">
        <f t="array" aca="1" ref="U349" ca="1">INDIRECT("Data!O" &amp; 344)</f>
        <v>0</v>
      </c>
      <c r="V349" cm="1">
        <f t="array" aca="1" ref="V349" ca="1">INDIRECT("Data!P" &amp; 344)</f>
        <v>0</v>
      </c>
    </row>
    <row r="350" spans="7:22" x14ac:dyDescent="0.25">
      <c r="G350" cm="1">
        <f t="array" aca="1" ref="G350" ca="1">INDIRECT("Data!A" &amp; 345)</f>
        <v>0</v>
      </c>
      <c r="H350" s="21" cm="1">
        <f t="array" aca="1" ref="H350" ca="1">INDIRECT("Data!B" &amp; 345)</f>
        <v>0</v>
      </c>
      <c r="I350" s="21" cm="1">
        <f t="array" aca="1" ref="I350" ca="1">INDIRECT("Data!C" &amp; 345)</f>
        <v>0</v>
      </c>
      <c r="J350" cm="1">
        <f t="array" aca="1" ref="J350" ca="1">INDIRECT("Data!D" &amp; 345)</f>
        <v>0</v>
      </c>
      <c r="K350" cm="1">
        <f t="array" aca="1" ref="K350" ca="1">INDIRECT("Data!E" &amp; 345)</f>
        <v>0</v>
      </c>
      <c r="L350" cm="1">
        <f t="array" aca="1" ref="L350" ca="1">INDIRECT("Data!F" &amp; 345)</f>
        <v>0</v>
      </c>
      <c r="M350" cm="1">
        <f t="array" aca="1" ref="M350" ca="1">INDIRECT("Data!G" &amp; 345)</f>
        <v>0</v>
      </c>
      <c r="N350" cm="1">
        <f t="array" aca="1" ref="N350" ca="1">INDIRECT("Data!H" &amp; 345)</f>
        <v>0</v>
      </c>
      <c r="O350" cm="1">
        <f t="array" aca="1" ref="O350" ca="1">INDIRECT("Data!I" &amp; 345)</f>
        <v>0</v>
      </c>
      <c r="P350" s="21" cm="1">
        <f t="array" aca="1" ref="P350" ca="1">INDIRECT("Data!J" &amp; 345)</f>
        <v>0</v>
      </c>
      <c r="Q350" cm="1">
        <f t="array" aca="1" ref="Q350" ca="1">INDIRECT("Data!K" &amp; 345)</f>
        <v>0</v>
      </c>
      <c r="R350" cm="1">
        <f t="array" aca="1" ref="R350" ca="1">INDIRECT("Data!L" &amp; 345)</f>
        <v>0</v>
      </c>
      <c r="S350" cm="1">
        <f t="array" aca="1" ref="S350" ca="1">INDIRECT("Data!M" &amp; 345)</f>
        <v>0</v>
      </c>
      <c r="T350" cm="1">
        <f t="array" aca="1" ref="T350" ca="1">INDIRECT("Data!N" &amp; 345)</f>
        <v>0</v>
      </c>
      <c r="U350" cm="1">
        <f t="array" aca="1" ref="U350" ca="1">INDIRECT("Data!O" &amp; 345)</f>
        <v>0</v>
      </c>
      <c r="V350" cm="1">
        <f t="array" aca="1" ref="V350" ca="1">INDIRECT("Data!P" &amp; 345)</f>
        <v>0</v>
      </c>
    </row>
    <row r="351" spans="7:22" x14ac:dyDescent="0.25">
      <c r="G351" cm="1">
        <f t="array" aca="1" ref="G351" ca="1">INDIRECT("Data!A" &amp; 346)</f>
        <v>0</v>
      </c>
      <c r="H351" s="21" cm="1">
        <f t="array" aca="1" ref="H351" ca="1">INDIRECT("Data!B" &amp; 346)</f>
        <v>0</v>
      </c>
      <c r="I351" s="21" cm="1">
        <f t="array" aca="1" ref="I351" ca="1">INDIRECT("Data!C" &amp; 346)</f>
        <v>0</v>
      </c>
      <c r="J351" cm="1">
        <f t="array" aca="1" ref="J351" ca="1">INDIRECT("Data!D" &amp; 346)</f>
        <v>0</v>
      </c>
      <c r="K351" cm="1">
        <f t="array" aca="1" ref="K351" ca="1">INDIRECT("Data!E" &amp; 346)</f>
        <v>0</v>
      </c>
      <c r="L351" cm="1">
        <f t="array" aca="1" ref="L351" ca="1">INDIRECT("Data!F" &amp; 346)</f>
        <v>0</v>
      </c>
      <c r="M351" cm="1">
        <f t="array" aca="1" ref="M351" ca="1">INDIRECT("Data!G" &amp; 346)</f>
        <v>0</v>
      </c>
      <c r="N351" cm="1">
        <f t="array" aca="1" ref="N351" ca="1">INDIRECT("Data!H" &amp; 346)</f>
        <v>0</v>
      </c>
      <c r="O351" cm="1">
        <f t="array" aca="1" ref="O351" ca="1">INDIRECT("Data!I" &amp; 346)</f>
        <v>0</v>
      </c>
      <c r="P351" s="21" cm="1">
        <f t="array" aca="1" ref="P351" ca="1">INDIRECT("Data!J" &amp; 346)</f>
        <v>0</v>
      </c>
      <c r="Q351" cm="1">
        <f t="array" aca="1" ref="Q351" ca="1">INDIRECT("Data!K" &amp; 346)</f>
        <v>0</v>
      </c>
      <c r="R351" cm="1">
        <f t="array" aca="1" ref="R351" ca="1">INDIRECT("Data!L" &amp; 346)</f>
        <v>0</v>
      </c>
      <c r="S351" cm="1">
        <f t="array" aca="1" ref="S351" ca="1">INDIRECT("Data!M" &amp; 346)</f>
        <v>0</v>
      </c>
      <c r="T351" cm="1">
        <f t="array" aca="1" ref="T351" ca="1">INDIRECT("Data!N" &amp; 346)</f>
        <v>0</v>
      </c>
      <c r="U351" cm="1">
        <f t="array" aca="1" ref="U351" ca="1">INDIRECT("Data!O" &amp; 346)</f>
        <v>0</v>
      </c>
      <c r="V351" cm="1">
        <f t="array" aca="1" ref="V351" ca="1">INDIRECT("Data!P" &amp; 346)</f>
        <v>0</v>
      </c>
    </row>
    <row r="352" spans="7:22" x14ac:dyDescent="0.25">
      <c r="G352" cm="1">
        <f t="array" aca="1" ref="G352" ca="1">INDIRECT("Data!A" &amp; 347)</f>
        <v>0</v>
      </c>
      <c r="H352" s="21" cm="1">
        <f t="array" aca="1" ref="H352" ca="1">INDIRECT("Data!B" &amp; 347)</f>
        <v>0</v>
      </c>
      <c r="I352" s="21" cm="1">
        <f t="array" aca="1" ref="I352" ca="1">INDIRECT("Data!C" &amp; 347)</f>
        <v>0</v>
      </c>
      <c r="J352" cm="1">
        <f t="array" aca="1" ref="J352" ca="1">INDIRECT("Data!D" &amp; 347)</f>
        <v>0</v>
      </c>
      <c r="K352" cm="1">
        <f t="array" aca="1" ref="K352" ca="1">INDIRECT("Data!E" &amp; 347)</f>
        <v>0</v>
      </c>
      <c r="L352" cm="1">
        <f t="array" aca="1" ref="L352" ca="1">INDIRECT("Data!F" &amp; 347)</f>
        <v>0</v>
      </c>
      <c r="M352" cm="1">
        <f t="array" aca="1" ref="M352" ca="1">INDIRECT("Data!G" &amp; 347)</f>
        <v>0</v>
      </c>
      <c r="N352" cm="1">
        <f t="array" aca="1" ref="N352" ca="1">INDIRECT("Data!H" &amp; 347)</f>
        <v>0</v>
      </c>
      <c r="O352" cm="1">
        <f t="array" aca="1" ref="O352" ca="1">INDIRECT("Data!I" &amp; 347)</f>
        <v>0</v>
      </c>
      <c r="P352" s="21" cm="1">
        <f t="array" aca="1" ref="P352" ca="1">INDIRECT("Data!J" &amp; 347)</f>
        <v>0</v>
      </c>
      <c r="Q352" cm="1">
        <f t="array" aca="1" ref="Q352" ca="1">INDIRECT("Data!K" &amp; 347)</f>
        <v>0</v>
      </c>
      <c r="R352" cm="1">
        <f t="array" aca="1" ref="R352" ca="1">INDIRECT("Data!L" &amp; 347)</f>
        <v>0</v>
      </c>
      <c r="S352" cm="1">
        <f t="array" aca="1" ref="S352" ca="1">INDIRECT("Data!M" &amp; 347)</f>
        <v>0</v>
      </c>
      <c r="T352" cm="1">
        <f t="array" aca="1" ref="T352" ca="1">INDIRECT("Data!N" &amp; 347)</f>
        <v>0</v>
      </c>
      <c r="U352" cm="1">
        <f t="array" aca="1" ref="U352" ca="1">INDIRECT("Data!O" &amp; 347)</f>
        <v>0</v>
      </c>
      <c r="V352" cm="1">
        <f t="array" aca="1" ref="V352" ca="1">INDIRECT("Data!P" &amp; 347)</f>
        <v>0</v>
      </c>
    </row>
    <row r="353" spans="7:22" x14ac:dyDescent="0.25">
      <c r="G353" cm="1">
        <f t="array" aca="1" ref="G353" ca="1">INDIRECT("Data!A" &amp; 348)</f>
        <v>0</v>
      </c>
      <c r="H353" s="21" cm="1">
        <f t="array" aca="1" ref="H353" ca="1">INDIRECT("Data!B" &amp; 348)</f>
        <v>0</v>
      </c>
      <c r="I353" s="21" cm="1">
        <f t="array" aca="1" ref="I353" ca="1">INDIRECT("Data!C" &amp; 348)</f>
        <v>0</v>
      </c>
      <c r="J353" cm="1">
        <f t="array" aca="1" ref="J353" ca="1">INDIRECT("Data!D" &amp; 348)</f>
        <v>0</v>
      </c>
      <c r="K353" cm="1">
        <f t="array" aca="1" ref="K353" ca="1">INDIRECT("Data!E" &amp; 348)</f>
        <v>0</v>
      </c>
      <c r="L353" cm="1">
        <f t="array" aca="1" ref="L353" ca="1">INDIRECT("Data!F" &amp; 348)</f>
        <v>0</v>
      </c>
      <c r="M353" cm="1">
        <f t="array" aca="1" ref="M353" ca="1">INDIRECT("Data!G" &amp; 348)</f>
        <v>0</v>
      </c>
      <c r="N353" cm="1">
        <f t="array" aca="1" ref="N353" ca="1">INDIRECT("Data!H" &amp; 348)</f>
        <v>0</v>
      </c>
      <c r="O353" cm="1">
        <f t="array" aca="1" ref="O353" ca="1">INDIRECT("Data!I" &amp; 348)</f>
        <v>0</v>
      </c>
      <c r="P353" s="21" cm="1">
        <f t="array" aca="1" ref="P353" ca="1">INDIRECT("Data!J" &amp; 348)</f>
        <v>0</v>
      </c>
      <c r="Q353" cm="1">
        <f t="array" aca="1" ref="Q353" ca="1">INDIRECT("Data!K" &amp; 348)</f>
        <v>0</v>
      </c>
      <c r="R353" cm="1">
        <f t="array" aca="1" ref="R353" ca="1">INDIRECT("Data!L" &amp; 348)</f>
        <v>0</v>
      </c>
      <c r="S353" cm="1">
        <f t="array" aca="1" ref="S353" ca="1">INDIRECT("Data!M" &amp; 348)</f>
        <v>0</v>
      </c>
      <c r="T353" cm="1">
        <f t="array" aca="1" ref="T353" ca="1">INDIRECT("Data!N" &amp; 348)</f>
        <v>0</v>
      </c>
      <c r="U353" cm="1">
        <f t="array" aca="1" ref="U353" ca="1">INDIRECT("Data!O" &amp; 348)</f>
        <v>0</v>
      </c>
      <c r="V353" cm="1">
        <f t="array" aca="1" ref="V353" ca="1">INDIRECT("Data!P" &amp; 348)</f>
        <v>0</v>
      </c>
    </row>
    <row r="354" spans="7:22" x14ac:dyDescent="0.25">
      <c r="G354" cm="1">
        <f t="array" aca="1" ref="G354" ca="1">INDIRECT("Data!A" &amp; 349)</f>
        <v>0</v>
      </c>
      <c r="H354" s="21" cm="1">
        <f t="array" aca="1" ref="H354" ca="1">INDIRECT("Data!B" &amp; 349)</f>
        <v>0</v>
      </c>
      <c r="I354" s="21" cm="1">
        <f t="array" aca="1" ref="I354" ca="1">INDIRECT("Data!C" &amp; 349)</f>
        <v>0</v>
      </c>
      <c r="J354" cm="1">
        <f t="array" aca="1" ref="J354" ca="1">INDIRECT("Data!D" &amp; 349)</f>
        <v>0</v>
      </c>
      <c r="K354" cm="1">
        <f t="array" aca="1" ref="K354" ca="1">INDIRECT("Data!E" &amp; 349)</f>
        <v>0</v>
      </c>
      <c r="L354" cm="1">
        <f t="array" aca="1" ref="L354" ca="1">INDIRECT("Data!F" &amp; 349)</f>
        <v>0</v>
      </c>
      <c r="M354" cm="1">
        <f t="array" aca="1" ref="M354" ca="1">INDIRECT("Data!G" &amp; 349)</f>
        <v>0</v>
      </c>
      <c r="N354" cm="1">
        <f t="array" aca="1" ref="N354" ca="1">INDIRECT("Data!H" &amp; 349)</f>
        <v>0</v>
      </c>
      <c r="O354" cm="1">
        <f t="array" aca="1" ref="O354" ca="1">INDIRECT("Data!I" &amp; 349)</f>
        <v>0</v>
      </c>
      <c r="P354" s="21" cm="1">
        <f t="array" aca="1" ref="P354" ca="1">INDIRECT("Data!J" &amp; 349)</f>
        <v>0</v>
      </c>
      <c r="Q354" cm="1">
        <f t="array" aca="1" ref="Q354" ca="1">INDIRECT("Data!K" &amp; 349)</f>
        <v>0</v>
      </c>
      <c r="R354" cm="1">
        <f t="array" aca="1" ref="R354" ca="1">INDIRECT("Data!L" &amp; 349)</f>
        <v>0</v>
      </c>
      <c r="S354" cm="1">
        <f t="array" aca="1" ref="S354" ca="1">INDIRECT("Data!M" &amp; 349)</f>
        <v>0</v>
      </c>
      <c r="T354" cm="1">
        <f t="array" aca="1" ref="T354" ca="1">INDIRECT("Data!N" &amp; 349)</f>
        <v>0</v>
      </c>
      <c r="U354" cm="1">
        <f t="array" aca="1" ref="U354" ca="1">INDIRECT("Data!O" &amp; 349)</f>
        <v>0</v>
      </c>
      <c r="V354" cm="1">
        <f t="array" aca="1" ref="V354" ca="1">INDIRECT("Data!P" &amp; 349)</f>
        <v>0</v>
      </c>
    </row>
    <row r="355" spans="7:22" x14ac:dyDescent="0.25">
      <c r="G355" cm="1">
        <f t="array" aca="1" ref="G355" ca="1">INDIRECT("Data!A" &amp; 350)</f>
        <v>0</v>
      </c>
      <c r="H355" s="21" cm="1">
        <f t="array" aca="1" ref="H355" ca="1">INDIRECT("Data!B" &amp; 350)</f>
        <v>0</v>
      </c>
      <c r="I355" s="21" cm="1">
        <f t="array" aca="1" ref="I355" ca="1">INDIRECT("Data!C" &amp; 350)</f>
        <v>0</v>
      </c>
      <c r="J355" cm="1">
        <f t="array" aca="1" ref="J355" ca="1">INDIRECT("Data!D" &amp; 350)</f>
        <v>0</v>
      </c>
      <c r="K355" cm="1">
        <f t="array" aca="1" ref="K355" ca="1">INDIRECT("Data!E" &amp; 350)</f>
        <v>0</v>
      </c>
      <c r="L355" cm="1">
        <f t="array" aca="1" ref="L355" ca="1">INDIRECT("Data!F" &amp; 350)</f>
        <v>0</v>
      </c>
      <c r="M355" cm="1">
        <f t="array" aca="1" ref="M355" ca="1">INDIRECT("Data!G" &amp; 350)</f>
        <v>0</v>
      </c>
      <c r="N355" cm="1">
        <f t="array" aca="1" ref="N355" ca="1">INDIRECT("Data!H" &amp; 350)</f>
        <v>0</v>
      </c>
      <c r="O355" cm="1">
        <f t="array" aca="1" ref="O355" ca="1">INDIRECT("Data!I" &amp; 350)</f>
        <v>0</v>
      </c>
      <c r="P355" s="21" cm="1">
        <f t="array" aca="1" ref="P355" ca="1">INDIRECT("Data!J" &amp; 350)</f>
        <v>0</v>
      </c>
      <c r="Q355" cm="1">
        <f t="array" aca="1" ref="Q355" ca="1">INDIRECT("Data!K" &amp; 350)</f>
        <v>0</v>
      </c>
      <c r="R355" cm="1">
        <f t="array" aca="1" ref="R355" ca="1">INDIRECT("Data!L" &amp; 350)</f>
        <v>0</v>
      </c>
      <c r="S355" cm="1">
        <f t="array" aca="1" ref="S355" ca="1">INDIRECT("Data!M" &amp; 350)</f>
        <v>0</v>
      </c>
      <c r="T355" cm="1">
        <f t="array" aca="1" ref="T355" ca="1">INDIRECT("Data!N" &amp; 350)</f>
        <v>0</v>
      </c>
      <c r="U355" cm="1">
        <f t="array" aca="1" ref="U355" ca="1">INDIRECT("Data!O" &amp; 350)</f>
        <v>0</v>
      </c>
      <c r="V355" cm="1">
        <f t="array" aca="1" ref="V355" ca="1">INDIRECT("Data!P" &amp; 350)</f>
        <v>0</v>
      </c>
    </row>
    <row r="356" spans="7:22" x14ac:dyDescent="0.25">
      <c r="G356" cm="1">
        <f t="array" aca="1" ref="G356" ca="1">INDIRECT("Data!A" &amp; 351)</f>
        <v>0</v>
      </c>
      <c r="H356" s="21" cm="1">
        <f t="array" aca="1" ref="H356" ca="1">INDIRECT("Data!B" &amp; 351)</f>
        <v>0</v>
      </c>
      <c r="I356" s="21" cm="1">
        <f t="array" aca="1" ref="I356" ca="1">INDIRECT("Data!C" &amp; 351)</f>
        <v>0</v>
      </c>
      <c r="J356" cm="1">
        <f t="array" aca="1" ref="J356" ca="1">INDIRECT("Data!D" &amp; 351)</f>
        <v>0</v>
      </c>
      <c r="K356" cm="1">
        <f t="array" aca="1" ref="K356" ca="1">INDIRECT("Data!E" &amp; 351)</f>
        <v>0</v>
      </c>
      <c r="L356" cm="1">
        <f t="array" aca="1" ref="L356" ca="1">INDIRECT("Data!F" &amp; 351)</f>
        <v>0</v>
      </c>
      <c r="M356" cm="1">
        <f t="array" aca="1" ref="M356" ca="1">INDIRECT("Data!G" &amp; 351)</f>
        <v>0</v>
      </c>
      <c r="N356" cm="1">
        <f t="array" aca="1" ref="N356" ca="1">INDIRECT("Data!H" &amp; 351)</f>
        <v>0</v>
      </c>
      <c r="O356" cm="1">
        <f t="array" aca="1" ref="O356" ca="1">INDIRECT("Data!I" &amp; 351)</f>
        <v>0</v>
      </c>
      <c r="P356" s="21" cm="1">
        <f t="array" aca="1" ref="P356" ca="1">INDIRECT("Data!J" &amp; 351)</f>
        <v>0</v>
      </c>
      <c r="Q356" cm="1">
        <f t="array" aca="1" ref="Q356" ca="1">INDIRECT("Data!K" &amp; 351)</f>
        <v>0</v>
      </c>
      <c r="R356" cm="1">
        <f t="array" aca="1" ref="R356" ca="1">INDIRECT("Data!L" &amp; 351)</f>
        <v>0</v>
      </c>
      <c r="S356" cm="1">
        <f t="array" aca="1" ref="S356" ca="1">INDIRECT("Data!M" &amp; 351)</f>
        <v>0</v>
      </c>
      <c r="T356" cm="1">
        <f t="array" aca="1" ref="T356" ca="1">INDIRECT("Data!N" &amp; 351)</f>
        <v>0</v>
      </c>
      <c r="U356" cm="1">
        <f t="array" aca="1" ref="U356" ca="1">INDIRECT("Data!O" &amp; 351)</f>
        <v>0</v>
      </c>
      <c r="V356" cm="1">
        <f t="array" aca="1" ref="V356" ca="1">INDIRECT("Data!P" &amp; 351)</f>
        <v>0</v>
      </c>
    </row>
    <row r="357" spans="7:22" x14ac:dyDescent="0.25">
      <c r="G357" cm="1">
        <f t="array" aca="1" ref="G357" ca="1">INDIRECT("Data!A" &amp; 352)</f>
        <v>0</v>
      </c>
      <c r="H357" s="21" cm="1">
        <f t="array" aca="1" ref="H357" ca="1">INDIRECT("Data!B" &amp; 352)</f>
        <v>0</v>
      </c>
      <c r="I357" s="21" cm="1">
        <f t="array" aca="1" ref="I357" ca="1">INDIRECT("Data!C" &amp; 352)</f>
        <v>0</v>
      </c>
      <c r="J357" cm="1">
        <f t="array" aca="1" ref="J357" ca="1">INDIRECT("Data!D" &amp; 352)</f>
        <v>0</v>
      </c>
      <c r="K357" cm="1">
        <f t="array" aca="1" ref="K357" ca="1">INDIRECT("Data!E" &amp; 352)</f>
        <v>0</v>
      </c>
      <c r="L357" cm="1">
        <f t="array" aca="1" ref="L357" ca="1">INDIRECT("Data!F" &amp; 352)</f>
        <v>0</v>
      </c>
      <c r="M357" cm="1">
        <f t="array" aca="1" ref="M357" ca="1">INDIRECT("Data!G" &amp; 352)</f>
        <v>0</v>
      </c>
      <c r="N357" cm="1">
        <f t="array" aca="1" ref="N357" ca="1">INDIRECT("Data!H" &amp; 352)</f>
        <v>0</v>
      </c>
      <c r="O357" cm="1">
        <f t="array" aca="1" ref="O357" ca="1">INDIRECT("Data!I" &amp; 352)</f>
        <v>0</v>
      </c>
      <c r="P357" s="21" cm="1">
        <f t="array" aca="1" ref="P357" ca="1">INDIRECT("Data!J" &amp; 352)</f>
        <v>0</v>
      </c>
      <c r="Q357" cm="1">
        <f t="array" aca="1" ref="Q357" ca="1">INDIRECT("Data!K" &amp; 352)</f>
        <v>0</v>
      </c>
      <c r="R357" cm="1">
        <f t="array" aca="1" ref="R357" ca="1">INDIRECT("Data!L" &amp; 352)</f>
        <v>0</v>
      </c>
      <c r="S357" cm="1">
        <f t="array" aca="1" ref="S357" ca="1">INDIRECT("Data!M" &amp; 352)</f>
        <v>0</v>
      </c>
      <c r="T357" cm="1">
        <f t="array" aca="1" ref="T357" ca="1">INDIRECT("Data!N" &amp; 352)</f>
        <v>0</v>
      </c>
      <c r="U357" cm="1">
        <f t="array" aca="1" ref="U357" ca="1">INDIRECT("Data!O" &amp; 352)</f>
        <v>0</v>
      </c>
      <c r="V357" cm="1">
        <f t="array" aca="1" ref="V357" ca="1">INDIRECT("Data!P" &amp; 352)</f>
        <v>0</v>
      </c>
    </row>
    <row r="358" spans="7:22" x14ac:dyDescent="0.25">
      <c r="G358" cm="1">
        <f t="array" aca="1" ref="G358" ca="1">INDIRECT("Data!A" &amp; 353)</f>
        <v>0</v>
      </c>
      <c r="H358" s="21" cm="1">
        <f t="array" aca="1" ref="H358" ca="1">INDIRECT("Data!B" &amp; 353)</f>
        <v>0</v>
      </c>
      <c r="I358" s="21" cm="1">
        <f t="array" aca="1" ref="I358" ca="1">INDIRECT("Data!C" &amp; 353)</f>
        <v>0</v>
      </c>
      <c r="J358" cm="1">
        <f t="array" aca="1" ref="J358" ca="1">INDIRECT("Data!D" &amp; 353)</f>
        <v>0</v>
      </c>
      <c r="K358" cm="1">
        <f t="array" aca="1" ref="K358" ca="1">INDIRECT("Data!E" &amp; 353)</f>
        <v>0</v>
      </c>
      <c r="L358" cm="1">
        <f t="array" aca="1" ref="L358" ca="1">INDIRECT("Data!F" &amp; 353)</f>
        <v>0</v>
      </c>
      <c r="M358" cm="1">
        <f t="array" aca="1" ref="M358" ca="1">INDIRECT("Data!G" &amp; 353)</f>
        <v>0</v>
      </c>
      <c r="N358" cm="1">
        <f t="array" aca="1" ref="N358" ca="1">INDIRECT("Data!H" &amp; 353)</f>
        <v>0</v>
      </c>
      <c r="O358" cm="1">
        <f t="array" aca="1" ref="O358" ca="1">INDIRECT("Data!I" &amp; 353)</f>
        <v>0</v>
      </c>
      <c r="P358" s="21" cm="1">
        <f t="array" aca="1" ref="P358" ca="1">INDIRECT("Data!J" &amp; 353)</f>
        <v>0</v>
      </c>
      <c r="Q358" cm="1">
        <f t="array" aca="1" ref="Q358" ca="1">INDIRECT("Data!K" &amp; 353)</f>
        <v>0</v>
      </c>
      <c r="R358" cm="1">
        <f t="array" aca="1" ref="R358" ca="1">INDIRECT("Data!L" &amp; 353)</f>
        <v>0</v>
      </c>
      <c r="S358" cm="1">
        <f t="array" aca="1" ref="S358" ca="1">INDIRECT("Data!M" &amp; 353)</f>
        <v>0</v>
      </c>
      <c r="T358" cm="1">
        <f t="array" aca="1" ref="T358" ca="1">INDIRECT("Data!N" &amp; 353)</f>
        <v>0</v>
      </c>
      <c r="U358" cm="1">
        <f t="array" aca="1" ref="U358" ca="1">INDIRECT("Data!O" &amp; 353)</f>
        <v>0</v>
      </c>
      <c r="V358" cm="1">
        <f t="array" aca="1" ref="V358" ca="1">INDIRECT("Data!P" &amp; 353)</f>
        <v>0</v>
      </c>
    </row>
    <row r="359" spans="7:22" x14ac:dyDescent="0.25">
      <c r="G359" cm="1">
        <f t="array" aca="1" ref="G359" ca="1">INDIRECT("Data!A" &amp; 354)</f>
        <v>0</v>
      </c>
      <c r="H359" s="21" cm="1">
        <f t="array" aca="1" ref="H359" ca="1">INDIRECT("Data!B" &amp; 354)</f>
        <v>0</v>
      </c>
      <c r="I359" s="21" cm="1">
        <f t="array" aca="1" ref="I359" ca="1">INDIRECT("Data!C" &amp; 354)</f>
        <v>0</v>
      </c>
      <c r="J359" cm="1">
        <f t="array" aca="1" ref="J359" ca="1">INDIRECT("Data!D" &amp; 354)</f>
        <v>0</v>
      </c>
      <c r="K359" cm="1">
        <f t="array" aca="1" ref="K359" ca="1">INDIRECT("Data!E" &amp; 354)</f>
        <v>0</v>
      </c>
      <c r="L359" cm="1">
        <f t="array" aca="1" ref="L359" ca="1">INDIRECT("Data!F" &amp; 354)</f>
        <v>0</v>
      </c>
      <c r="M359" cm="1">
        <f t="array" aca="1" ref="M359" ca="1">INDIRECT("Data!G" &amp; 354)</f>
        <v>0</v>
      </c>
      <c r="N359" cm="1">
        <f t="array" aca="1" ref="N359" ca="1">INDIRECT("Data!H" &amp; 354)</f>
        <v>0</v>
      </c>
      <c r="O359" cm="1">
        <f t="array" aca="1" ref="O359" ca="1">INDIRECT("Data!I" &amp; 354)</f>
        <v>0</v>
      </c>
      <c r="P359" s="21" cm="1">
        <f t="array" aca="1" ref="P359" ca="1">INDIRECT("Data!J" &amp; 354)</f>
        <v>0</v>
      </c>
      <c r="Q359" cm="1">
        <f t="array" aca="1" ref="Q359" ca="1">INDIRECT("Data!K" &amp; 354)</f>
        <v>0</v>
      </c>
      <c r="R359" cm="1">
        <f t="array" aca="1" ref="R359" ca="1">INDIRECT("Data!L" &amp; 354)</f>
        <v>0</v>
      </c>
      <c r="S359" cm="1">
        <f t="array" aca="1" ref="S359" ca="1">INDIRECT("Data!M" &amp; 354)</f>
        <v>0</v>
      </c>
      <c r="T359" cm="1">
        <f t="array" aca="1" ref="T359" ca="1">INDIRECT("Data!N" &amp; 354)</f>
        <v>0</v>
      </c>
      <c r="U359" cm="1">
        <f t="array" aca="1" ref="U359" ca="1">INDIRECT("Data!O" &amp; 354)</f>
        <v>0</v>
      </c>
      <c r="V359" cm="1">
        <f t="array" aca="1" ref="V359" ca="1">INDIRECT("Data!P" &amp; 354)</f>
        <v>0</v>
      </c>
    </row>
    <row r="360" spans="7:22" x14ac:dyDescent="0.25">
      <c r="G360" cm="1">
        <f t="array" aca="1" ref="G360" ca="1">INDIRECT("Data!A" &amp; 355)</f>
        <v>0</v>
      </c>
      <c r="H360" s="21" cm="1">
        <f t="array" aca="1" ref="H360" ca="1">INDIRECT("Data!B" &amp; 355)</f>
        <v>0</v>
      </c>
      <c r="I360" s="21" cm="1">
        <f t="array" aca="1" ref="I360" ca="1">INDIRECT("Data!C" &amp; 355)</f>
        <v>0</v>
      </c>
      <c r="J360" cm="1">
        <f t="array" aca="1" ref="J360" ca="1">INDIRECT("Data!D" &amp; 355)</f>
        <v>0</v>
      </c>
      <c r="K360" cm="1">
        <f t="array" aca="1" ref="K360" ca="1">INDIRECT("Data!E" &amp; 355)</f>
        <v>0</v>
      </c>
      <c r="L360" cm="1">
        <f t="array" aca="1" ref="L360" ca="1">INDIRECT("Data!F" &amp; 355)</f>
        <v>0</v>
      </c>
      <c r="M360" cm="1">
        <f t="array" aca="1" ref="M360" ca="1">INDIRECT("Data!G" &amp; 355)</f>
        <v>0</v>
      </c>
      <c r="N360" cm="1">
        <f t="array" aca="1" ref="N360" ca="1">INDIRECT("Data!H" &amp; 355)</f>
        <v>0</v>
      </c>
      <c r="O360" cm="1">
        <f t="array" aca="1" ref="O360" ca="1">INDIRECT("Data!I" &amp; 355)</f>
        <v>0</v>
      </c>
      <c r="P360" s="21" cm="1">
        <f t="array" aca="1" ref="P360" ca="1">INDIRECT("Data!J" &amp; 355)</f>
        <v>0</v>
      </c>
      <c r="Q360" cm="1">
        <f t="array" aca="1" ref="Q360" ca="1">INDIRECT("Data!K" &amp; 355)</f>
        <v>0</v>
      </c>
      <c r="R360" cm="1">
        <f t="array" aca="1" ref="R360" ca="1">INDIRECT("Data!L" &amp; 355)</f>
        <v>0</v>
      </c>
      <c r="S360" cm="1">
        <f t="array" aca="1" ref="S360" ca="1">INDIRECT("Data!M" &amp; 355)</f>
        <v>0</v>
      </c>
      <c r="T360" cm="1">
        <f t="array" aca="1" ref="T360" ca="1">INDIRECT("Data!N" &amp; 355)</f>
        <v>0</v>
      </c>
      <c r="U360" cm="1">
        <f t="array" aca="1" ref="U360" ca="1">INDIRECT("Data!O" &amp; 355)</f>
        <v>0</v>
      </c>
      <c r="V360" cm="1">
        <f t="array" aca="1" ref="V360" ca="1">INDIRECT("Data!P" &amp; 355)</f>
        <v>0</v>
      </c>
    </row>
    <row r="361" spans="7:22" x14ac:dyDescent="0.25">
      <c r="G361" cm="1">
        <f t="array" aca="1" ref="G361" ca="1">INDIRECT("Data!A" &amp; 356)</f>
        <v>0</v>
      </c>
      <c r="H361" s="21" cm="1">
        <f t="array" aca="1" ref="H361" ca="1">INDIRECT("Data!B" &amp; 356)</f>
        <v>0</v>
      </c>
      <c r="I361" s="21" cm="1">
        <f t="array" aca="1" ref="I361" ca="1">INDIRECT("Data!C" &amp; 356)</f>
        <v>0</v>
      </c>
      <c r="J361" cm="1">
        <f t="array" aca="1" ref="J361" ca="1">INDIRECT("Data!D" &amp; 356)</f>
        <v>0</v>
      </c>
      <c r="K361" cm="1">
        <f t="array" aca="1" ref="K361" ca="1">INDIRECT("Data!E" &amp; 356)</f>
        <v>0</v>
      </c>
      <c r="L361" cm="1">
        <f t="array" aca="1" ref="L361" ca="1">INDIRECT("Data!F" &amp; 356)</f>
        <v>0</v>
      </c>
      <c r="M361" cm="1">
        <f t="array" aca="1" ref="M361" ca="1">INDIRECT("Data!G" &amp; 356)</f>
        <v>0</v>
      </c>
      <c r="N361" cm="1">
        <f t="array" aca="1" ref="N361" ca="1">INDIRECT("Data!H" &amp; 356)</f>
        <v>0</v>
      </c>
      <c r="O361" cm="1">
        <f t="array" aca="1" ref="O361" ca="1">INDIRECT("Data!I" &amp; 356)</f>
        <v>0</v>
      </c>
      <c r="P361" s="21" cm="1">
        <f t="array" aca="1" ref="P361" ca="1">INDIRECT("Data!J" &amp; 356)</f>
        <v>0</v>
      </c>
      <c r="Q361" cm="1">
        <f t="array" aca="1" ref="Q361" ca="1">INDIRECT("Data!K" &amp; 356)</f>
        <v>0</v>
      </c>
      <c r="R361" cm="1">
        <f t="array" aca="1" ref="R361" ca="1">INDIRECT("Data!L" &amp; 356)</f>
        <v>0</v>
      </c>
      <c r="S361" cm="1">
        <f t="array" aca="1" ref="S361" ca="1">INDIRECT("Data!M" &amp; 356)</f>
        <v>0</v>
      </c>
      <c r="T361" cm="1">
        <f t="array" aca="1" ref="T361" ca="1">INDIRECT("Data!N" &amp; 356)</f>
        <v>0</v>
      </c>
      <c r="U361" cm="1">
        <f t="array" aca="1" ref="U361" ca="1">INDIRECT("Data!O" &amp; 356)</f>
        <v>0</v>
      </c>
      <c r="V361" cm="1">
        <f t="array" aca="1" ref="V361" ca="1">INDIRECT("Data!P" &amp; 356)</f>
        <v>0</v>
      </c>
    </row>
    <row r="362" spans="7:22" x14ac:dyDescent="0.25">
      <c r="G362" cm="1">
        <f t="array" aca="1" ref="G362" ca="1">INDIRECT("Data!A" &amp; 357)</f>
        <v>0</v>
      </c>
      <c r="H362" s="21" cm="1">
        <f t="array" aca="1" ref="H362" ca="1">INDIRECT("Data!B" &amp; 357)</f>
        <v>0</v>
      </c>
      <c r="I362" s="21" cm="1">
        <f t="array" aca="1" ref="I362" ca="1">INDIRECT("Data!C" &amp; 357)</f>
        <v>0</v>
      </c>
      <c r="J362" cm="1">
        <f t="array" aca="1" ref="J362" ca="1">INDIRECT("Data!D" &amp; 357)</f>
        <v>0</v>
      </c>
      <c r="K362" cm="1">
        <f t="array" aca="1" ref="K362" ca="1">INDIRECT("Data!E" &amp; 357)</f>
        <v>0</v>
      </c>
      <c r="L362" cm="1">
        <f t="array" aca="1" ref="L362" ca="1">INDIRECT("Data!F" &amp; 357)</f>
        <v>0</v>
      </c>
      <c r="M362" cm="1">
        <f t="array" aca="1" ref="M362" ca="1">INDIRECT("Data!G" &amp; 357)</f>
        <v>0</v>
      </c>
      <c r="N362" cm="1">
        <f t="array" aca="1" ref="N362" ca="1">INDIRECT("Data!H" &amp; 357)</f>
        <v>0</v>
      </c>
      <c r="O362" cm="1">
        <f t="array" aca="1" ref="O362" ca="1">INDIRECT("Data!I" &amp; 357)</f>
        <v>0</v>
      </c>
      <c r="P362" s="21" cm="1">
        <f t="array" aca="1" ref="P362" ca="1">INDIRECT("Data!J" &amp; 357)</f>
        <v>0</v>
      </c>
      <c r="Q362" cm="1">
        <f t="array" aca="1" ref="Q362" ca="1">INDIRECT("Data!K" &amp; 357)</f>
        <v>0</v>
      </c>
      <c r="R362" cm="1">
        <f t="array" aca="1" ref="R362" ca="1">INDIRECT("Data!L" &amp; 357)</f>
        <v>0</v>
      </c>
      <c r="S362" cm="1">
        <f t="array" aca="1" ref="S362" ca="1">INDIRECT("Data!M" &amp; 357)</f>
        <v>0</v>
      </c>
      <c r="T362" cm="1">
        <f t="array" aca="1" ref="T362" ca="1">INDIRECT("Data!N" &amp; 357)</f>
        <v>0</v>
      </c>
      <c r="U362" cm="1">
        <f t="array" aca="1" ref="U362" ca="1">INDIRECT("Data!O" &amp; 357)</f>
        <v>0</v>
      </c>
      <c r="V362" cm="1">
        <f t="array" aca="1" ref="V362" ca="1">INDIRECT("Data!P" &amp; 357)</f>
        <v>0</v>
      </c>
    </row>
    <row r="363" spans="7:22" x14ac:dyDescent="0.25">
      <c r="G363" cm="1">
        <f t="array" aca="1" ref="G363" ca="1">INDIRECT("Data!A" &amp; 358)</f>
        <v>0</v>
      </c>
      <c r="H363" s="21" cm="1">
        <f t="array" aca="1" ref="H363" ca="1">INDIRECT("Data!B" &amp; 358)</f>
        <v>0</v>
      </c>
      <c r="I363" s="21" cm="1">
        <f t="array" aca="1" ref="I363" ca="1">INDIRECT("Data!C" &amp; 358)</f>
        <v>0</v>
      </c>
      <c r="J363" cm="1">
        <f t="array" aca="1" ref="J363" ca="1">INDIRECT("Data!D" &amp; 358)</f>
        <v>0</v>
      </c>
      <c r="K363" cm="1">
        <f t="array" aca="1" ref="K363" ca="1">INDIRECT("Data!E" &amp; 358)</f>
        <v>0</v>
      </c>
      <c r="L363" cm="1">
        <f t="array" aca="1" ref="L363" ca="1">INDIRECT("Data!F" &amp; 358)</f>
        <v>0</v>
      </c>
      <c r="M363" cm="1">
        <f t="array" aca="1" ref="M363" ca="1">INDIRECT("Data!G" &amp; 358)</f>
        <v>0</v>
      </c>
      <c r="N363" cm="1">
        <f t="array" aca="1" ref="N363" ca="1">INDIRECT("Data!H" &amp; 358)</f>
        <v>0</v>
      </c>
      <c r="O363" cm="1">
        <f t="array" aca="1" ref="O363" ca="1">INDIRECT("Data!I" &amp; 358)</f>
        <v>0</v>
      </c>
      <c r="P363" s="21" cm="1">
        <f t="array" aca="1" ref="P363" ca="1">INDIRECT("Data!J" &amp; 358)</f>
        <v>0</v>
      </c>
      <c r="Q363" cm="1">
        <f t="array" aca="1" ref="Q363" ca="1">INDIRECT("Data!K" &amp; 358)</f>
        <v>0</v>
      </c>
      <c r="R363" cm="1">
        <f t="array" aca="1" ref="R363" ca="1">INDIRECT("Data!L" &amp; 358)</f>
        <v>0</v>
      </c>
      <c r="S363" cm="1">
        <f t="array" aca="1" ref="S363" ca="1">INDIRECT("Data!M" &amp; 358)</f>
        <v>0</v>
      </c>
      <c r="T363" cm="1">
        <f t="array" aca="1" ref="T363" ca="1">INDIRECT("Data!N" &amp; 358)</f>
        <v>0</v>
      </c>
      <c r="U363" cm="1">
        <f t="array" aca="1" ref="U363" ca="1">INDIRECT("Data!O" &amp; 358)</f>
        <v>0</v>
      </c>
      <c r="V363" cm="1">
        <f t="array" aca="1" ref="V363" ca="1">INDIRECT("Data!P" &amp; 358)</f>
        <v>0</v>
      </c>
    </row>
    <row r="364" spans="7:22" x14ac:dyDescent="0.25">
      <c r="G364" cm="1">
        <f t="array" aca="1" ref="G364" ca="1">INDIRECT("Data!A" &amp; 359)</f>
        <v>0</v>
      </c>
      <c r="H364" s="21" cm="1">
        <f t="array" aca="1" ref="H364" ca="1">INDIRECT("Data!B" &amp; 359)</f>
        <v>0</v>
      </c>
      <c r="I364" s="21" cm="1">
        <f t="array" aca="1" ref="I364" ca="1">INDIRECT("Data!C" &amp; 359)</f>
        <v>0</v>
      </c>
      <c r="J364" cm="1">
        <f t="array" aca="1" ref="J364" ca="1">INDIRECT("Data!D" &amp; 359)</f>
        <v>0</v>
      </c>
      <c r="K364" cm="1">
        <f t="array" aca="1" ref="K364" ca="1">INDIRECT("Data!E" &amp; 359)</f>
        <v>0</v>
      </c>
      <c r="L364" cm="1">
        <f t="array" aca="1" ref="L364" ca="1">INDIRECT("Data!F" &amp; 359)</f>
        <v>0</v>
      </c>
      <c r="M364" cm="1">
        <f t="array" aca="1" ref="M364" ca="1">INDIRECT("Data!G" &amp; 359)</f>
        <v>0</v>
      </c>
      <c r="N364" cm="1">
        <f t="array" aca="1" ref="N364" ca="1">INDIRECT("Data!H" &amp; 359)</f>
        <v>0</v>
      </c>
      <c r="O364" cm="1">
        <f t="array" aca="1" ref="O364" ca="1">INDIRECT("Data!I" &amp; 359)</f>
        <v>0</v>
      </c>
      <c r="P364" s="21" cm="1">
        <f t="array" aca="1" ref="P364" ca="1">INDIRECT("Data!J" &amp; 359)</f>
        <v>0</v>
      </c>
      <c r="Q364" cm="1">
        <f t="array" aca="1" ref="Q364" ca="1">INDIRECT("Data!K" &amp; 359)</f>
        <v>0</v>
      </c>
      <c r="R364" cm="1">
        <f t="array" aca="1" ref="R364" ca="1">INDIRECT("Data!L" &amp; 359)</f>
        <v>0</v>
      </c>
      <c r="S364" cm="1">
        <f t="array" aca="1" ref="S364" ca="1">INDIRECT("Data!M" &amp; 359)</f>
        <v>0</v>
      </c>
      <c r="T364" cm="1">
        <f t="array" aca="1" ref="T364" ca="1">INDIRECT("Data!N" &amp; 359)</f>
        <v>0</v>
      </c>
      <c r="U364" cm="1">
        <f t="array" aca="1" ref="U364" ca="1">INDIRECT("Data!O" &amp; 359)</f>
        <v>0</v>
      </c>
      <c r="V364" cm="1">
        <f t="array" aca="1" ref="V364" ca="1">INDIRECT("Data!P" &amp; 359)</f>
        <v>0</v>
      </c>
    </row>
    <row r="365" spans="7:22" x14ac:dyDescent="0.25">
      <c r="G365" cm="1">
        <f t="array" aca="1" ref="G365" ca="1">INDIRECT("Data!A" &amp; 360)</f>
        <v>0</v>
      </c>
      <c r="H365" s="21" cm="1">
        <f t="array" aca="1" ref="H365" ca="1">INDIRECT("Data!B" &amp; 360)</f>
        <v>0</v>
      </c>
      <c r="I365" s="21" cm="1">
        <f t="array" aca="1" ref="I365" ca="1">INDIRECT("Data!C" &amp; 360)</f>
        <v>0</v>
      </c>
      <c r="J365" cm="1">
        <f t="array" aca="1" ref="J365" ca="1">INDIRECT("Data!D" &amp; 360)</f>
        <v>0</v>
      </c>
      <c r="K365" cm="1">
        <f t="array" aca="1" ref="K365" ca="1">INDIRECT("Data!E" &amp; 360)</f>
        <v>0</v>
      </c>
      <c r="L365" cm="1">
        <f t="array" aca="1" ref="L365" ca="1">INDIRECT("Data!F" &amp; 360)</f>
        <v>0</v>
      </c>
      <c r="M365" cm="1">
        <f t="array" aca="1" ref="M365" ca="1">INDIRECT("Data!G" &amp; 360)</f>
        <v>0</v>
      </c>
      <c r="N365" cm="1">
        <f t="array" aca="1" ref="N365" ca="1">INDIRECT("Data!H" &amp; 360)</f>
        <v>0</v>
      </c>
      <c r="O365" cm="1">
        <f t="array" aca="1" ref="O365" ca="1">INDIRECT("Data!I" &amp; 360)</f>
        <v>0</v>
      </c>
      <c r="P365" s="21" cm="1">
        <f t="array" aca="1" ref="P365" ca="1">INDIRECT("Data!J" &amp; 360)</f>
        <v>0</v>
      </c>
      <c r="Q365" cm="1">
        <f t="array" aca="1" ref="Q365" ca="1">INDIRECT("Data!K" &amp; 360)</f>
        <v>0</v>
      </c>
      <c r="R365" cm="1">
        <f t="array" aca="1" ref="R365" ca="1">INDIRECT("Data!L" &amp; 360)</f>
        <v>0</v>
      </c>
      <c r="S365" cm="1">
        <f t="array" aca="1" ref="S365" ca="1">INDIRECT("Data!M" &amp; 360)</f>
        <v>0</v>
      </c>
      <c r="T365" cm="1">
        <f t="array" aca="1" ref="T365" ca="1">INDIRECT("Data!N" &amp; 360)</f>
        <v>0</v>
      </c>
      <c r="U365" cm="1">
        <f t="array" aca="1" ref="U365" ca="1">INDIRECT("Data!O" &amp; 360)</f>
        <v>0</v>
      </c>
      <c r="V365" cm="1">
        <f t="array" aca="1" ref="V365" ca="1">INDIRECT("Data!P" &amp; 360)</f>
        <v>0</v>
      </c>
    </row>
    <row r="366" spans="7:22" x14ac:dyDescent="0.25">
      <c r="G366" cm="1">
        <f t="array" aca="1" ref="G366" ca="1">INDIRECT("Data!A" &amp; 361)</f>
        <v>0</v>
      </c>
      <c r="H366" s="21" cm="1">
        <f t="array" aca="1" ref="H366" ca="1">INDIRECT("Data!B" &amp; 361)</f>
        <v>0</v>
      </c>
      <c r="I366" s="21" cm="1">
        <f t="array" aca="1" ref="I366" ca="1">INDIRECT("Data!C" &amp; 361)</f>
        <v>0</v>
      </c>
      <c r="J366" cm="1">
        <f t="array" aca="1" ref="J366" ca="1">INDIRECT("Data!D" &amp; 361)</f>
        <v>0</v>
      </c>
      <c r="K366" cm="1">
        <f t="array" aca="1" ref="K366" ca="1">INDIRECT("Data!E" &amp; 361)</f>
        <v>0</v>
      </c>
      <c r="L366" cm="1">
        <f t="array" aca="1" ref="L366" ca="1">INDIRECT("Data!F" &amp; 361)</f>
        <v>0</v>
      </c>
      <c r="M366" cm="1">
        <f t="array" aca="1" ref="M366" ca="1">INDIRECT("Data!G" &amp; 361)</f>
        <v>0</v>
      </c>
      <c r="N366" cm="1">
        <f t="array" aca="1" ref="N366" ca="1">INDIRECT("Data!H" &amp; 361)</f>
        <v>0</v>
      </c>
      <c r="O366" cm="1">
        <f t="array" aca="1" ref="O366" ca="1">INDIRECT("Data!I" &amp; 361)</f>
        <v>0</v>
      </c>
      <c r="P366" s="21" cm="1">
        <f t="array" aca="1" ref="P366" ca="1">INDIRECT("Data!J" &amp; 361)</f>
        <v>0</v>
      </c>
      <c r="Q366" cm="1">
        <f t="array" aca="1" ref="Q366" ca="1">INDIRECT("Data!K" &amp; 361)</f>
        <v>0</v>
      </c>
      <c r="R366" cm="1">
        <f t="array" aca="1" ref="R366" ca="1">INDIRECT("Data!L" &amp; 361)</f>
        <v>0</v>
      </c>
      <c r="S366" cm="1">
        <f t="array" aca="1" ref="S366" ca="1">INDIRECT("Data!M" &amp; 361)</f>
        <v>0</v>
      </c>
      <c r="T366" cm="1">
        <f t="array" aca="1" ref="T366" ca="1">INDIRECT("Data!N" &amp; 361)</f>
        <v>0</v>
      </c>
      <c r="U366" cm="1">
        <f t="array" aca="1" ref="U366" ca="1">INDIRECT("Data!O" &amp; 361)</f>
        <v>0</v>
      </c>
      <c r="V366" cm="1">
        <f t="array" aca="1" ref="V366" ca="1">INDIRECT("Data!P" &amp; 361)</f>
        <v>0</v>
      </c>
    </row>
    <row r="367" spans="7:22" x14ac:dyDescent="0.25">
      <c r="G367" cm="1">
        <f t="array" aca="1" ref="G367" ca="1">INDIRECT("Data!A" &amp; 362)</f>
        <v>0</v>
      </c>
      <c r="H367" s="21" cm="1">
        <f t="array" aca="1" ref="H367" ca="1">INDIRECT("Data!B" &amp; 362)</f>
        <v>0</v>
      </c>
      <c r="I367" s="21" cm="1">
        <f t="array" aca="1" ref="I367" ca="1">INDIRECT("Data!C" &amp; 362)</f>
        <v>0</v>
      </c>
      <c r="J367" cm="1">
        <f t="array" aca="1" ref="J367" ca="1">INDIRECT("Data!D" &amp; 362)</f>
        <v>0</v>
      </c>
      <c r="K367" cm="1">
        <f t="array" aca="1" ref="K367" ca="1">INDIRECT("Data!E" &amp; 362)</f>
        <v>0</v>
      </c>
      <c r="L367" cm="1">
        <f t="array" aca="1" ref="L367" ca="1">INDIRECT("Data!F" &amp; 362)</f>
        <v>0</v>
      </c>
      <c r="M367" cm="1">
        <f t="array" aca="1" ref="M367" ca="1">INDIRECT("Data!G" &amp; 362)</f>
        <v>0</v>
      </c>
      <c r="N367" cm="1">
        <f t="array" aca="1" ref="N367" ca="1">INDIRECT("Data!H" &amp; 362)</f>
        <v>0</v>
      </c>
      <c r="O367" cm="1">
        <f t="array" aca="1" ref="O367" ca="1">INDIRECT("Data!I" &amp; 362)</f>
        <v>0</v>
      </c>
      <c r="P367" s="21" cm="1">
        <f t="array" aca="1" ref="P367" ca="1">INDIRECT("Data!J" &amp; 362)</f>
        <v>0</v>
      </c>
      <c r="Q367" cm="1">
        <f t="array" aca="1" ref="Q367" ca="1">INDIRECT("Data!K" &amp; 362)</f>
        <v>0</v>
      </c>
      <c r="R367" cm="1">
        <f t="array" aca="1" ref="R367" ca="1">INDIRECT("Data!L" &amp; 362)</f>
        <v>0</v>
      </c>
      <c r="S367" cm="1">
        <f t="array" aca="1" ref="S367" ca="1">INDIRECT("Data!M" &amp; 362)</f>
        <v>0</v>
      </c>
      <c r="T367" cm="1">
        <f t="array" aca="1" ref="T367" ca="1">INDIRECT("Data!N" &amp; 362)</f>
        <v>0</v>
      </c>
      <c r="U367" cm="1">
        <f t="array" aca="1" ref="U367" ca="1">INDIRECT("Data!O" &amp; 362)</f>
        <v>0</v>
      </c>
      <c r="V367" cm="1">
        <f t="array" aca="1" ref="V367" ca="1">INDIRECT("Data!P" &amp; 362)</f>
        <v>0</v>
      </c>
    </row>
    <row r="368" spans="7:22" x14ac:dyDescent="0.25">
      <c r="G368" cm="1">
        <f t="array" aca="1" ref="G368" ca="1">INDIRECT("Data!A" &amp; 363)</f>
        <v>0</v>
      </c>
      <c r="H368" s="21" cm="1">
        <f t="array" aca="1" ref="H368" ca="1">INDIRECT("Data!B" &amp; 363)</f>
        <v>0</v>
      </c>
      <c r="I368" s="21" cm="1">
        <f t="array" aca="1" ref="I368" ca="1">INDIRECT("Data!C" &amp; 363)</f>
        <v>0</v>
      </c>
      <c r="J368" cm="1">
        <f t="array" aca="1" ref="J368" ca="1">INDIRECT("Data!D" &amp; 363)</f>
        <v>0</v>
      </c>
      <c r="K368" cm="1">
        <f t="array" aca="1" ref="K368" ca="1">INDIRECT("Data!E" &amp; 363)</f>
        <v>0</v>
      </c>
      <c r="L368" cm="1">
        <f t="array" aca="1" ref="L368" ca="1">INDIRECT("Data!F" &amp; 363)</f>
        <v>0</v>
      </c>
      <c r="M368" cm="1">
        <f t="array" aca="1" ref="M368" ca="1">INDIRECT("Data!G" &amp; 363)</f>
        <v>0</v>
      </c>
      <c r="N368" cm="1">
        <f t="array" aca="1" ref="N368" ca="1">INDIRECT("Data!H" &amp; 363)</f>
        <v>0</v>
      </c>
      <c r="O368" cm="1">
        <f t="array" aca="1" ref="O368" ca="1">INDIRECT("Data!I" &amp; 363)</f>
        <v>0</v>
      </c>
      <c r="P368" s="21" cm="1">
        <f t="array" aca="1" ref="P368" ca="1">INDIRECT("Data!J" &amp; 363)</f>
        <v>0</v>
      </c>
      <c r="Q368" cm="1">
        <f t="array" aca="1" ref="Q368" ca="1">INDIRECT("Data!K" &amp; 363)</f>
        <v>0</v>
      </c>
      <c r="R368" cm="1">
        <f t="array" aca="1" ref="R368" ca="1">INDIRECT("Data!L" &amp; 363)</f>
        <v>0</v>
      </c>
      <c r="S368" cm="1">
        <f t="array" aca="1" ref="S368" ca="1">INDIRECT("Data!M" &amp; 363)</f>
        <v>0</v>
      </c>
      <c r="T368" cm="1">
        <f t="array" aca="1" ref="T368" ca="1">INDIRECT("Data!N" &amp; 363)</f>
        <v>0</v>
      </c>
      <c r="U368" cm="1">
        <f t="array" aca="1" ref="U368" ca="1">INDIRECT("Data!O" &amp; 363)</f>
        <v>0</v>
      </c>
      <c r="V368" cm="1">
        <f t="array" aca="1" ref="V368" ca="1">INDIRECT("Data!P" &amp; 363)</f>
        <v>0</v>
      </c>
    </row>
    <row r="369" spans="7:22" x14ac:dyDescent="0.25">
      <c r="G369" cm="1">
        <f t="array" aca="1" ref="G369" ca="1">INDIRECT("Data!A" &amp; 364)</f>
        <v>0</v>
      </c>
      <c r="H369" s="21" cm="1">
        <f t="array" aca="1" ref="H369" ca="1">INDIRECT("Data!B" &amp; 364)</f>
        <v>0</v>
      </c>
      <c r="I369" s="21" cm="1">
        <f t="array" aca="1" ref="I369" ca="1">INDIRECT("Data!C" &amp; 364)</f>
        <v>0</v>
      </c>
      <c r="J369" cm="1">
        <f t="array" aca="1" ref="J369" ca="1">INDIRECT("Data!D" &amp; 364)</f>
        <v>0</v>
      </c>
      <c r="K369" cm="1">
        <f t="array" aca="1" ref="K369" ca="1">INDIRECT("Data!E" &amp; 364)</f>
        <v>0</v>
      </c>
      <c r="L369" cm="1">
        <f t="array" aca="1" ref="L369" ca="1">INDIRECT("Data!F" &amp; 364)</f>
        <v>0</v>
      </c>
      <c r="M369" cm="1">
        <f t="array" aca="1" ref="M369" ca="1">INDIRECT("Data!G" &amp; 364)</f>
        <v>0</v>
      </c>
      <c r="N369" cm="1">
        <f t="array" aca="1" ref="N369" ca="1">INDIRECT("Data!H" &amp; 364)</f>
        <v>0</v>
      </c>
      <c r="O369" cm="1">
        <f t="array" aca="1" ref="O369" ca="1">INDIRECT("Data!I" &amp; 364)</f>
        <v>0</v>
      </c>
      <c r="P369" s="21" cm="1">
        <f t="array" aca="1" ref="P369" ca="1">INDIRECT("Data!J" &amp; 364)</f>
        <v>0</v>
      </c>
      <c r="Q369" cm="1">
        <f t="array" aca="1" ref="Q369" ca="1">INDIRECT("Data!K" &amp; 364)</f>
        <v>0</v>
      </c>
      <c r="R369" cm="1">
        <f t="array" aca="1" ref="R369" ca="1">INDIRECT("Data!L" &amp; 364)</f>
        <v>0</v>
      </c>
      <c r="S369" cm="1">
        <f t="array" aca="1" ref="S369" ca="1">INDIRECT("Data!M" &amp; 364)</f>
        <v>0</v>
      </c>
      <c r="T369" cm="1">
        <f t="array" aca="1" ref="T369" ca="1">INDIRECT("Data!N" &amp; 364)</f>
        <v>0</v>
      </c>
      <c r="U369" cm="1">
        <f t="array" aca="1" ref="U369" ca="1">INDIRECT("Data!O" &amp; 364)</f>
        <v>0</v>
      </c>
      <c r="V369" cm="1">
        <f t="array" aca="1" ref="V369" ca="1">INDIRECT("Data!P" &amp; 364)</f>
        <v>0</v>
      </c>
    </row>
    <row r="370" spans="7:22" x14ac:dyDescent="0.25">
      <c r="G370" cm="1">
        <f t="array" aca="1" ref="G370" ca="1">INDIRECT("Data!A" &amp; 365)</f>
        <v>0</v>
      </c>
      <c r="H370" s="21" cm="1">
        <f t="array" aca="1" ref="H370" ca="1">INDIRECT("Data!B" &amp; 365)</f>
        <v>0</v>
      </c>
      <c r="I370" s="21" cm="1">
        <f t="array" aca="1" ref="I370" ca="1">INDIRECT("Data!C" &amp; 365)</f>
        <v>0</v>
      </c>
      <c r="J370" cm="1">
        <f t="array" aca="1" ref="J370" ca="1">INDIRECT("Data!D" &amp; 365)</f>
        <v>0</v>
      </c>
      <c r="K370" cm="1">
        <f t="array" aca="1" ref="K370" ca="1">INDIRECT("Data!E" &amp; 365)</f>
        <v>0</v>
      </c>
      <c r="L370" cm="1">
        <f t="array" aca="1" ref="L370" ca="1">INDIRECT("Data!F" &amp; 365)</f>
        <v>0</v>
      </c>
      <c r="M370" cm="1">
        <f t="array" aca="1" ref="M370" ca="1">INDIRECT("Data!G" &amp; 365)</f>
        <v>0</v>
      </c>
      <c r="N370" cm="1">
        <f t="array" aca="1" ref="N370" ca="1">INDIRECT("Data!H" &amp; 365)</f>
        <v>0</v>
      </c>
      <c r="O370" cm="1">
        <f t="array" aca="1" ref="O370" ca="1">INDIRECT("Data!I" &amp; 365)</f>
        <v>0</v>
      </c>
      <c r="P370" s="21" cm="1">
        <f t="array" aca="1" ref="P370" ca="1">INDIRECT("Data!J" &amp; 365)</f>
        <v>0</v>
      </c>
      <c r="Q370" cm="1">
        <f t="array" aca="1" ref="Q370" ca="1">INDIRECT("Data!K" &amp; 365)</f>
        <v>0</v>
      </c>
      <c r="R370" cm="1">
        <f t="array" aca="1" ref="R370" ca="1">INDIRECT("Data!L" &amp; 365)</f>
        <v>0</v>
      </c>
      <c r="S370" cm="1">
        <f t="array" aca="1" ref="S370" ca="1">INDIRECT("Data!M" &amp; 365)</f>
        <v>0</v>
      </c>
      <c r="T370" cm="1">
        <f t="array" aca="1" ref="T370" ca="1">INDIRECT("Data!N" &amp; 365)</f>
        <v>0</v>
      </c>
      <c r="U370" cm="1">
        <f t="array" aca="1" ref="U370" ca="1">INDIRECT("Data!O" &amp; 365)</f>
        <v>0</v>
      </c>
      <c r="V370" cm="1">
        <f t="array" aca="1" ref="V370" ca="1">INDIRECT("Data!P" &amp; 365)</f>
        <v>0</v>
      </c>
    </row>
    <row r="371" spans="7:22" x14ac:dyDescent="0.25">
      <c r="G371" cm="1">
        <f t="array" aca="1" ref="G371" ca="1">INDIRECT("Data!A" &amp; 366)</f>
        <v>0</v>
      </c>
      <c r="H371" s="21" cm="1">
        <f t="array" aca="1" ref="H371" ca="1">INDIRECT("Data!B" &amp; 366)</f>
        <v>0</v>
      </c>
      <c r="I371" s="21" cm="1">
        <f t="array" aca="1" ref="I371" ca="1">INDIRECT("Data!C" &amp; 366)</f>
        <v>0</v>
      </c>
      <c r="J371" cm="1">
        <f t="array" aca="1" ref="J371" ca="1">INDIRECT("Data!D" &amp; 366)</f>
        <v>0</v>
      </c>
      <c r="K371" cm="1">
        <f t="array" aca="1" ref="K371" ca="1">INDIRECT("Data!E" &amp; 366)</f>
        <v>0</v>
      </c>
      <c r="L371" cm="1">
        <f t="array" aca="1" ref="L371" ca="1">INDIRECT("Data!F" &amp; 366)</f>
        <v>0</v>
      </c>
      <c r="M371" cm="1">
        <f t="array" aca="1" ref="M371" ca="1">INDIRECT("Data!G" &amp; 366)</f>
        <v>0</v>
      </c>
      <c r="N371" cm="1">
        <f t="array" aca="1" ref="N371" ca="1">INDIRECT("Data!H" &amp; 366)</f>
        <v>0</v>
      </c>
      <c r="O371" cm="1">
        <f t="array" aca="1" ref="O371" ca="1">INDIRECT("Data!I" &amp; 366)</f>
        <v>0</v>
      </c>
      <c r="P371" s="21" cm="1">
        <f t="array" aca="1" ref="P371" ca="1">INDIRECT("Data!J" &amp; 366)</f>
        <v>0</v>
      </c>
      <c r="Q371" cm="1">
        <f t="array" aca="1" ref="Q371" ca="1">INDIRECT("Data!K" &amp; 366)</f>
        <v>0</v>
      </c>
      <c r="R371" cm="1">
        <f t="array" aca="1" ref="R371" ca="1">INDIRECT("Data!L" &amp; 366)</f>
        <v>0</v>
      </c>
      <c r="S371" cm="1">
        <f t="array" aca="1" ref="S371" ca="1">INDIRECT("Data!M" &amp; 366)</f>
        <v>0</v>
      </c>
      <c r="T371" cm="1">
        <f t="array" aca="1" ref="T371" ca="1">INDIRECT("Data!N" &amp; 366)</f>
        <v>0</v>
      </c>
      <c r="U371" cm="1">
        <f t="array" aca="1" ref="U371" ca="1">INDIRECT("Data!O" &amp; 366)</f>
        <v>0</v>
      </c>
      <c r="V371" cm="1">
        <f t="array" aca="1" ref="V371" ca="1">INDIRECT("Data!P" &amp; 366)</f>
        <v>0</v>
      </c>
    </row>
    <row r="372" spans="7:22" x14ac:dyDescent="0.25">
      <c r="G372" cm="1">
        <f t="array" aca="1" ref="G372" ca="1">INDIRECT("Data!A" &amp; 367)</f>
        <v>0</v>
      </c>
      <c r="H372" s="21" cm="1">
        <f t="array" aca="1" ref="H372" ca="1">INDIRECT("Data!B" &amp; 367)</f>
        <v>0</v>
      </c>
      <c r="I372" s="21" cm="1">
        <f t="array" aca="1" ref="I372" ca="1">INDIRECT("Data!C" &amp; 367)</f>
        <v>0</v>
      </c>
      <c r="J372" cm="1">
        <f t="array" aca="1" ref="J372" ca="1">INDIRECT("Data!D" &amp; 367)</f>
        <v>0</v>
      </c>
      <c r="K372" cm="1">
        <f t="array" aca="1" ref="K372" ca="1">INDIRECT("Data!E" &amp; 367)</f>
        <v>0</v>
      </c>
      <c r="L372" cm="1">
        <f t="array" aca="1" ref="L372" ca="1">INDIRECT("Data!F" &amp; 367)</f>
        <v>0</v>
      </c>
      <c r="M372" cm="1">
        <f t="array" aca="1" ref="M372" ca="1">INDIRECT("Data!G" &amp; 367)</f>
        <v>0</v>
      </c>
      <c r="N372" cm="1">
        <f t="array" aca="1" ref="N372" ca="1">INDIRECT("Data!H" &amp; 367)</f>
        <v>0</v>
      </c>
      <c r="O372" cm="1">
        <f t="array" aca="1" ref="O372" ca="1">INDIRECT("Data!I" &amp; 367)</f>
        <v>0</v>
      </c>
      <c r="P372" s="21" cm="1">
        <f t="array" aca="1" ref="P372" ca="1">INDIRECT("Data!J" &amp; 367)</f>
        <v>0</v>
      </c>
      <c r="Q372" cm="1">
        <f t="array" aca="1" ref="Q372" ca="1">INDIRECT("Data!K" &amp; 367)</f>
        <v>0</v>
      </c>
      <c r="R372" cm="1">
        <f t="array" aca="1" ref="R372" ca="1">INDIRECT("Data!L" &amp; 367)</f>
        <v>0</v>
      </c>
      <c r="S372" cm="1">
        <f t="array" aca="1" ref="S372" ca="1">INDIRECT("Data!M" &amp; 367)</f>
        <v>0</v>
      </c>
      <c r="T372" cm="1">
        <f t="array" aca="1" ref="T372" ca="1">INDIRECT("Data!N" &amp; 367)</f>
        <v>0</v>
      </c>
      <c r="U372" cm="1">
        <f t="array" aca="1" ref="U372" ca="1">INDIRECT("Data!O" &amp; 367)</f>
        <v>0</v>
      </c>
      <c r="V372" cm="1">
        <f t="array" aca="1" ref="V372" ca="1">INDIRECT("Data!P" &amp; 367)</f>
        <v>0</v>
      </c>
    </row>
    <row r="373" spans="7:22" x14ac:dyDescent="0.25">
      <c r="G373" cm="1">
        <f t="array" aca="1" ref="G373" ca="1">INDIRECT("Data!A" &amp; 368)</f>
        <v>0</v>
      </c>
      <c r="H373" s="21" cm="1">
        <f t="array" aca="1" ref="H373" ca="1">INDIRECT("Data!B" &amp; 368)</f>
        <v>0</v>
      </c>
      <c r="I373" s="21" cm="1">
        <f t="array" aca="1" ref="I373" ca="1">INDIRECT("Data!C" &amp; 368)</f>
        <v>0</v>
      </c>
      <c r="J373" cm="1">
        <f t="array" aca="1" ref="J373" ca="1">INDIRECT("Data!D" &amp; 368)</f>
        <v>0</v>
      </c>
      <c r="K373" cm="1">
        <f t="array" aca="1" ref="K373" ca="1">INDIRECT("Data!E" &amp; 368)</f>
        <v>0</v>
      </c>
      <c r="L373" cm="1">
        <f t="array" aca="1" ref="L373" ca="1">INDIRECT("Data!F" &amp; 368)</f>
        <v>0</v>
      </c>
      <c r="M373" cm="1">
        <f t="array" aca="1" ref="M373" ca="1">INDIRECT("Data!G" &amp; 368)</f>
        <v>0</v>
      </c>
      <c r="N373" cm="1">
        <f t="array" aca="1" ref="N373" ca="1">INDIRECT("Data!H" &amp; 368)</f>
        <v>0</v>
      </c>
      <c r="O373" cm="1">
        <f t="array" aca="1" ref="O373" ca="1">INDIRECT("Data!I" &amp; 368)</f>
        <v>0</v>
      </c>
      <c r="P373" s="21" cm="1">
        <f t="array" aca="1" ref="P373" ca="1">INDIRECT("Data!J" &amp; 368)</f>
        <v>0</v>
      </c>
      <c r="Q373" cm="1">
        <f t="array" aca="1" ref="Q373" ca="1">INDIRECT("Data!K" &amp; 368)</f>
        <v>0</v>
      </c>
      <c r="R373" cm="1">
        <f t="array" aca="1" ref="R373" ca="1">INDIRECT("Data!L" &amp; 368)</f>
        <v>0</v>
      </c>
      <c r="S373" cm="1">
        <f t="array" aca="1" ref="S373" ca="1">INDIRECT("Data!M" &amp; 368)</f>
        <v>0</v>
      </c>
      <c r="T373" cm="1">
        <f t="array" aca="1" ref="T373" ca="1">INDIRECT("Data!N" &amp; 368)</f>
        <v>0</v>
      </c>
      <c r="U373" cm="1">
        <f t="array" aca="1" ref="U373" ca="1">INDIRECT("Data!O" &amp; 368)</f>
        <v>0</v>
      </c>
      <c r="V373" cm="1">
        <f t="array" aca="1" ref="V373" ca="1">INDIRECT("Data!P" &amp; 368)</f>
        <v>0</v>
      </c>
    </row>
    <row r="374" spans="7:22" x14ac:dyDescent="0.25">
      <c r="G374" cm="1">
        <f t="array" aca="1" ref="G374" ca="1">INDIRECT("Data!A" &amp; 369)</f>
        <v>0</v>
      </c>
      <c r="H374" s="21" cm="1">
        <f t="array" aca="1" ref="H374" ca="1">INDIRECT("Data!B" &amp; 369)</f>
        <v>0</v>
      </c>
      <c r="I374" s="21" cm="1">
        <f t="array" aca="1" ref="I374" ca="1">INDIRECT("Data!C" &amp; 369)</f>
        <v>0</v>
      </c>
      <c r="J374" cm="1">
        <f t="array" aca="1" ref="J374" ca="1">INDIRECT("Data!D" &amp; 369)</f>
        <v>0</v>
      </c>
      <c r="K374" cm="1">
        <f t="array" aca="1" ref="K374" ca="1">INDIRECT("Data!E" &amp; 369)</f>
        <v>0</v>
      </c>
      <c r="L374" cm="1">
        <f t="array" aca="1" ref="L374" ca="1">INDIRECT("Data!F" &amp; 369)</f>
        <v>0</v>
      </c>
      <c r="M374" cm="1">
        <f t="array" aca="1" ref="M374" ca="1">INDIRECT("Data!G" &amp; 369)</f>
        <v>0</v>
      </c>
      <c r="N374" cm="1">
        <f t="array" aca="1" ref="N374" ca="1">INDIRECT("Data!H" &amp; 369)</f>
        <v>0</v>
      </c>
      <c r="O374" cm="1">
        <f t="array" aca="1" ref="O374" ca="1">INDIRECT("Data!I" &amp; 369)</f>
        <v>0</v>
      </c>
      <c r="P374" s="21" cm="1">
        <f t="array" aca="1" ref="P374" ca="1">INDIRECT("Data!J" &amp; 369)</f>
        <v>0</v>
      </c>
      <c r="Q374" cm="1">
        <f t="array" aca="1" ref="Q374" ca="1">INDIRECT("Data!K" &amp; 369)</f>
        <v>0</v>
      </c>
      <c r="R374" cm="1">
        <f t="array" aca="1" ref="R374" ca="1">INDIRECT("Data!L" &amp; 369)</f>
        <v>0</v>
      </c>
      <c r="S374" cm="1">
        <f t="array" aca="1" ref="S374" ca="1">INDIRECT("Data!M" &amp; 369)</f>
        <v>0</v>
      </c>
      <c r="T374" cm="1">
        <f t="array" aca="1" ref="T374" ca="1">INDIRECT("Data!N" &amp; 369)</f>
        <v>0</v>
      </c>
      <c r="U374" cm="1">
        <f t="array" aca="1" ref="U374" ca="1">INDIRECT("Data!O" &amp; 369)</f>
        <v>0</v>
      </c>
      <c r="V374" cm="1">
        <f t="array" aca="1" ref="V374" ca="1">INDIRECT("Data!P" &amp; 369)</f>
        <v>0</v>
      </c>
    </row>
    <row r="375" spans="7:22" x14ac:dyDescent="0.25">
      <c r="G375" cm="1">
        <f t="array" aca="1" ref="G375" ca="1">INDIRECT("Data!A" &amp; 370)</f>
        <v>0</v>
      </c>
      <c r="H375" s="21" cm="1">
        <f t="array" aca="1" ref="H375" ca="1">INDIRECT("Data!B" &amp; 370)</f>
        <v>0</v>
      </c>
      <c r="I375" s="21" cm="1">
        <f t="array" aca="1" ref="I375" ca="1">INDIRECT("Data!C" &amp; 370)</f>
        <v>0</v>
      </c>
      <c r="J375" cm="1">
        <f t="array" aca="1" ref="J375" ca="1">INDIRECT("Data!D" &amp; 370)</f>
        <v>0</v>
      </c>
      <c r="K375" cm="1">
        <f t="array" aca="1" ref="K375" ca="1">INDIRECT("Data!E" &amp; 370)</f>
        <v>0</v>
      </c>
      <c r="L375" cm="1">
        <f t="array" aca="1" ref="L375" ca="1">INDIRECT("Data!F" &amp; 370)</f>
        <v>0</v>
      </c>
      <c r="M375" cm="1">
        <f t="array" aca="1" ref="M375" ca="1">INDIRECT("Data!G" &amp; 370)</f>
        <v>0</v>
      </c>
      <c r="N375" cm="1">
        <f t="array" aca="1" ref="N375" ca="1">INDIRECT("Data!H" &amp; 370)</f>
        <v>0</v>
      </c>
      <c r="O375" cm="1">
        <f t="array" aca="1" ref="O375" ca="1">INDIRECT("Data!I" &amp; 370)</f>
        <v>0</v>
      </c>
      <c r="P375" s="21" cm="1">
        <f t="array" aca="1" ref="P375" ca="1">INDIRECT("Data!J" &amp; 370)</f>
        <v>0</v>
      </c>
      <c r="Q375" cm="1">
        <f t="array" aca="1" ref="Q375" ca="1">INDIRECT("Data!K" &amp; 370)</f>
        <v>0</v>
      </c>
      <c r="R375" cm="1">
        <f t="array" aca="1" ref="R375" ca="1">INDIRECT("Data!L" &amp; 370)</f>
        <v>0</v>
      </c>
      <c r="S375" cm="1">
        <f t="array" aca="1" ref="S375" ca="1">INDIRECT("Data!M" &amp; 370)</f>
        <v>0</v>
      </c>
      <c r="T375" cm="1">
        <f t="array" aca="1" ref="T375" ca="1">INDIRECT("Data!N" &amp; 370)</f>
        <v>0</v>
      </c>
      <c r="U375" cm="1">
        <f t="array" aca="1" ref="U375" ca="1">INDIRECT("Data!O" &amp; 370)</f>
        <v>0</v>
      </c>
      <c r="V375" cm="1">
        <f t="array" aca="1" ref="V375" ca="1">INDIRECT("Data!P" &amp; 370)</f>
        <v>0</v>
      </c>
    </row>
    <row r="376" spans="7:22" x14ac:dyDescent="0.25">
      <c r="G376" cm="1">
        <f t="array" aca="1" ref="G376" ca="1">INDIRECT("Data!A" &amp; 371)</f>
        <v>0</v>
      </c>
      <c r="H376" s="21" cm="1">
        <f t="array" aca="1" ref="H376" ca="1">INDIRECT("Data!B" &amp; 371)</f>
        <v>0</v>
      </c>
      <c r="I376" s="21" cm="1">
        <f t="array" aca="1" ref="I376" ca="1">INDIRECT("Data!C" &amp; 371)</f>
        <v>0</v>
      </c>
      <c r="J376" cm="1">
        <f t="array" aca="1" ref="J376" ca="1">INDIRECT("Data!D" &amp; 371)</f>
        <v>0</v>
      </c>
      <c r="K376" cm="1">
        <f t="array" aca="1" ref="K376" ca="1">INDIRECT("Data!E" &amp; 371)</f>
        <v>0</v>
      </c>
      <c r="L376" cm="1">
        <f t="array" aca="1" ref="L376" ca="1">INDIRECT("Data!F" &amp; 371)</f>
        <v>0</v>
      </c>
      <c r="M376" cm="1">
        <f t="array" aca="1" ref="M376" ca="1">INDIRECT("Data!G" &amp; 371)</f>
        <v>0</v>
      </c>
      <c r="N376" cm="1">
        <f t="array" aca="1" ref="N376" ca="1">INDIRECT("Data!H" &amp; 371)</f>
        <v>0</v>
      </c>
      <c r="O376" cm="1">
        <f t="array" aca="1" ref="O376" ca="1">INDIRECT("Data!I" &amp; 371)</f>
        <v>0</v>
      </c>
      <c r="P376" s="21" cm="1">
        <f t="array" aca="1" ref="P376" ca="1">INDIRECT("Data!J" &amp; 371)</f>
        <v>0</v>
      </c>
      <c r="Q376" cm="1">
        <f t="array" aca="1" ref="Q376" ca="1">INDIRECT("Data!K" &amp; 371)</f>
        <v>0</v>
      </c>
      <c r="R376" cm="1">
        <f t="array" aca="1" ref="R376" ca="1">INDIRECT("Data!L" &amp; 371)</f>
        <v>0</v>
      </c>
      <c r="S376" cm="1">
        <f t="array" aca="1" ref="S376" ca="1">INDIRECT("Data!M" &amp; 371)</f>
        <v>0</v>
      </c>
      <c r="T376" cm="1">
        <f t="array" aca="1" ref="T376" ca="1">INDIRECT("Data!N" &amp; 371)</f>
        <v>0</v>
      </c>
      <c r="U376" cm="1">
        <f t="array" aca="1" ref="U376" ca="1">INDIRECT("Data!O" &amp; 371)</f>
        <v>0</v>
      </c>
      <c r="V376" cm="1">
        <f t="array" aca="1" ref="V376" ca="1">INDIRECT("Data!P" &amp; 371)</f>
        <v>0</v>
      </c>
    </row>
    <row r="377" spans="7:22" x14ac:dyDescent="0.25">
      <c r="G377" cm="1">
        <f t="array" aca="1" ref="G377" ca="1">INDIRECT("Data!A" &amp; 372)</f>
        <v>0</v>
      </c>
      <c r="H377" s="21" cm="1">
        <f t="array" aca="1" ref="H377" ca="1">INDIRECT("Data!B" &amp; 372)</f>
        <v>0</v>
      </c>
      <c r="I377" s="21" cm="1">
        <f t="array" aca="1" ref="I377" ca="1">INDIRECT("Data!C" &amp; 372)</f>
        <v>0</v>
      </c>
      <c r="J377" cm="1">
        <f t="array" aca="1" ref="J377" ca="1">INDIRECT("Data!D" &amp; 372)</f>
        <v>0</v>
      </c>
      <c r="K377" cm="1">
        <f t="array" aca="1" ref="K377" ca="1">INDIRECT("Data!E" &amp; 372)</f>
        <v>0</v>
      </c>
      <c r="L377" cm="1">
        <f t="array" aca="1" ref="L377" ca="1">INDIRECT("Data!F" &amp; 372)</f>
        <v>0</v>
      </c>
      <c r="M377" cm="1">
        <f t="array" aca="1" ref="M377" ca="1">INDIRECT("Data!G" &amp; 372)</f>
        <v>0</v>
      </c>
      <c r="N377" cm="1">
        <f t="array" aca="1" ref="N377" ca="1">INDIRECT("Data!H" &amp; 372)</f>
        <v>0</v>
      </c>
      <c r="O377" cm="1">
        <f t="array" aca="1" ref="O377" ca="1">INDIRECT("Data!I" &amp; 372)</f>
        <v>0</v>
      </c>
      <c r="P377" s="21" cm="1">
        <f t="array" aca="1" ref="P377" ca="1">INDIRECT("Data!J" &amp; 372)</f>
        <v>0</v>
      </c>
      <c r="Q377" cm="1">
        <f t="array" aca="1" ref="Q377" ca="1">INDIRECT("Data!K" &amp; 372)</f>
        <v>0</v>
      </c>
      <c r="R377" cm="1">
        <f t="array" aca="1" ref="R377" ca="1">INDIRECT("Data!L" &amp; 372)</f>
        <v>0</v>
      </c>
      <c r="S377" cm="1">
        <f t="array" aca="1" ref="S377" ca="1">INDIRECT("Data!M" &amp; 372)</f>
        <v>0</v>
      </c>
      <c r="T377" cm="1">
        <f t="array" aca="1" ref="T377" ca="1">INDIRECT("Data!N" &amp; 372)</f>
        <v>0</v>
      </c>
      <c r="U377" cm="1">
        <f t="array" aca="1" ref="U377" ca="1">INDIRECT("Data!O" &amp; 372)</f>
        <v>0</v>
      </c>
      <c r="V377" cm="1">
        <f t="array" aca="1" ref="V377" ca="1">INDIRECT("Data!P" &amp; 372)</f>
        <v>0</v>
      </c>
    </row>
    <row r="378" spans="7:22" x14ac:dyDescent="0.25">
      <c r="G378" cm="1">
        <f t="array" aca="1" ref="G378" ca="1">INDIRECT("Data!A" &amp; 373)</f>
        <v>0</v>
      </c>
      <c r="H378" s="21" cm="1">
        <f t="array" aca="1" ref="H378" ca="1">INDIRECT("Data!B" &amp; 373)</f>
        <v>0</v>
      </c>
      <c r="I378" s="21" cm="1">
        <f t="array" aca="1" ref="I378" ca="1">INDIRECT("Data!C" &amp; 373)</f>
        <v>0</v>
      </c>
      <c r="J378" cm="1">
        <f t="array" aca="1" ref="J378" ca="1">INDIRECT("Data!D" &amp; 373)</f>
        <v>0</v>
      </c>
      <c r="K378" cm="1">
        <f t="array" aca="1" ref="K378" ca="1">INDIRECT("Data!E" &amp; 373)</f>
        <v>0</v>
      </c>
      <c r="L378" cm="1">
        <f t="array" aca="1" ref="L378" ca="1">INDIRECT("Data!F" &amp; 373)</f>
        <v>0</v>
      </c>
      <c r="M378" cm="1">
        <f t="array" aca="1" ref="M378" ca="1">INDIRECT("Data!G" &amp; 373)</f>
        <v>0</v>
      </c>
      <c r="N378" cm="1">
        <f t="array" aca="1" ref="N378" ca="1">INDIRECT("Data!H" &amp; 373)</f>
        <v>0</v>
      </c>
      <c r="O378" cm="1">
        <f t="array" aca="1" ref="O378" ca="1">INDIRECT("Data!I" &amp; 373)</f>
        <v>0</v>
      </c>
      <c r="P378" s="21" cm="1">
        <f t="array" aca="1" ref="P378" ca="1">INDIRECT("Data!J" &amp; 373)</f>
        <v>0</v>
      </c>
      <c r="Q378" cm="1">
        <f t="array" aca="1" ref="Q378" ca="1">INDIRECT("Data!K" &amp; 373)</f>
        <v>0</v>
      </c>
      <c r="R378" cm="1">
        <f t="array" aca="1" ref="R378" ca="1">INDIRECT("Data!L" &amp; 373)</f>
        <v>0</v>
      </c>
      <c r="S378" cm="1">
        <f t="array" aca="1" ref="S378" ca="1">INDIRECT("Data!M" &amp; 373)</f>
        <v>0</v>
      </c>
      <c r="T378" cm="1">
        <f t="array" aca="1" ref="T378" ca="1">INDIRECT("Data!N" &amp; 373)</f>
        <v>0</v>
      </c>
      <c r="U378" cm="1">
        <f t="array" aca="1" ref="U378" ca="1">INDIRECT("Data!O" &amp; 373)</f>
        <v>0</v>
      </c>
      <c r="V378" cm="1">
        <f t="array" aca="1" ref="V378" ca="1">INDIRECT("Data!P" &amp; 373)</f>
        <v>0</v>
      </c>
    </row>
    <row r="379" spans="7:22" x14ac:dyDescent="0.25">
      <c r="G379" cm="1">
        <f t="array" aca="1" ref="G379" ca="1">INDIRECT("Data!A" &amp; 374)</f>
        <v>0</v>
      </c>
      <c r="H379" s="21" cm="1">
        <f t="array" aca="1" ref="H379" ca="1">INDIRECT("Data!B" &amp; 374)</f>
        <v>0</v>
      </c>
      <c r="I379" s="21" cm="1">
        <f t="array" aca="1" ref="I379" ca="1">INDIRECT("Data!C" &amp; 374)</f>
        <v>0</v>
      </c>
      <c r="J379" cm="1">
        <f t="array" aca="1" ref="J379" ca="1">INDIRECT("Data!D" &amp; 374)</f>
        <v>0</v>
      </c>
      <c r="K379" cm="1">
        <f t="array" aca="1" ref="K379" ca="1">INDIRECT("Data!E" &amp; 374)</f>
        <v>0</v>
      </c>
      <c r="L379" cm="1">
        <f t="array" aca="1" ref="L379" ca="1">INDIRECT("Data!F" &amp; 374)</f>
        <v>0</v>
      </c>
      <c r="M379" cm="1">
        <f t="array" aca="1" ref="M379" ca="1">INDIRECT("Data!G" &amp; 374)</f>
        <v>0</v>
      </c>
      <c r="N379" cm="1">
        <f t="array" aca="1" ref="N379" ca="1">INDIRECT("Data!H" &amp; 374)</f>
        <v>0</v>
      </c>
      <c r="O379" cm="1">
        <f t="array" aca="1" ref="O379" ca="1">INDIRECT("Data!I" &amp; 374)</f>
        <v>0</v>
      </c>
      <c r="P379" s="21" cm="1">
        <f t="array" aca="1" ref="P379" ca="1">INDIRECT("Data!J" &amp; 374)</f>
        <v>0</v>
      </c>
      <c r="Q379" cm="1">
        <f t="array" aca="1" ref="Q379" ca="1">INDIRECT("Data!K" &amp; 374)</f>
        <v>0</v>
      </c>
      <c r="R379" cm="1">
        <f t="array" aca="1" ref="R379" ca="1">INDIRECT("Data!L" &amp; 374)</f>
        <v>0</v>
      </c>
      <c r="S379" cm="1">
        <f t="array" aca="1" ref="S379" ca="1">INDIRECT("Data!M" &amp; 374)</f>
        <v>0</v>
      </c>
      <c r="T379" cm="1">
        <f t="array" aca="1" ref="T379" ca="1">INDIRECT("Data!N" &amp; 374)</f>
        <v>0</v>
      </c>
      <c r="U379" cm="1">
        <f t="array" aca="1" ref="U379" ca="1">INDIRECT("Data!O" &amp; 374)</f>
        <v>0</v>
      </c>
      <c r="V379" cm="1">
        <f t="array" aca="1" ref="V379" ca="1">INDIRECT("Data!P" &amp; 374)</f>
        <v>0</v>
      </c>
    </row>
    <row r="380" spans="7:22" x14ac:dyDescent="0.25">
      <c r="G380" cm="1">
        <f t="array" aca="1" ref="G380" ca="1">INDIRECT("Data!A" &amp; 375)</f>
        <v>0</v>
      </c>
      <c r="H380" s="21" cm="1">
        <f t="array" aca="1" ref="H380" ca="1">INDIRECT("Data!B" &amp; 375)</f>
        <v>0</v>
      </c>
      <c r="I380" s="21" cm="1">
        <f t="array" aca="1" ref="I380" ca="1">INDIRECT("Data!C" &amp; 375)</f>
        <v>0</v>
      </c>
      <c r="J380" cm="1">
        <f t="array" aca="1" ref="J380" ca="1">INDIRECT("Data!D" &amp; 375)</f>
        <v>0</v>
      </c>
      <c r="K380" cm="1">
        <f t="array" aca="1" ref="K380" ca="1">INDIRECT("Data!E" &amp; 375)</f>
        <v>0</v>
      </c>
      <c r="L380" cm="1">
        <f t="array" aca="1" ref="L380" ca="1">INDIRECT("Data!F" &amp; 375)</f>
        <v>0</v>
      </c>
      <c r="M380" cm="1">
        <f t="array" aca="1" ref="M380" ca="1">INDIRECT("Data!G" &amp; 375)</f>
        <v>0</v>
      </c>
      <c r="N380" cm="1">
        <f t="array" aca="1" ref="N380" ca="1">INDIRECT("Data!H" &amp; 375)</f>
        <v>0</v>
      </c>
      <c r="O380" cm="1">
        <f t="array" aca="1" ref="O380" ca="1">INDIRECT("Data!I" &amp; 375)</f>
        <v>0</v>
      </c>
      <c r="P380" s="21" cm="1">
        <f t="array" aca="1" ref="P380" ca="1">INDIRECT("Data!J" &amp; 375)</f>
        <v>0</v>
      </c>
      <c r="Q380" cm="1">
        <f t="array" aca="1" ref="Q380" ca="1">INDIRECT("Data!K" &amp; 375)</f>
        <v>0</v>
      </c>
      <c r="R380" cm="1">
        <f t="array" aca="1" ref="R380" ca="1">INDIRECT("Data!L" &amp; 375)</f>
        <v>0</v>
      </c>
      <c r="S380" cm="1">
        <f t="array" aca="1" ref="S380" ca="1">INDIRECT("Data!M" &amp; 375)</f>
        <v>0</v>
      </c>
      <c r="T380" cm="1">
        <f t="array" aca="1" ref="T380" ca="1">INDIRECT("Data!N" &amp; 375)</f>
        <v>0</v>
      </c>
      <c r="U380" cm="1">
        <f t="array" aca="1" ref="U380" ca="1">INDIRECT("Data!O" &amp; 375)</f>
        <v>0</v>
      </c>
      <c r="V380" cm="1">
        <f t="array" aca="1" ref="V380" ca="1">INDIRECT("Data!P" &amp; 375)</f>
        <v>0</v>
      </c>
    </row>
    <row r="381" spans="7:22" x14ac:dyDescent="0.25">
      <c r="G381" cm="1">
        <f t="array" aca="1" ref="G381" ca="1">INDIRECT("Data!A" &amp; 376)</f>
        <v>0</v>
      </c>
      <c r="H381" s="21" cm="1">
        <f t="array" aca="1" ref="H381" ca="1">INDIRECT("Data!B" &amp; 376)</f>
        <v>0</v>
      </c>
      <c r="I381" s="21" cm="1">
        <f t="array" aca="1" ref="I381" ca="1">INDIRECT("Data!C" &amp; 376)</f>
        <v>0</v>
      </c>
      <c r="J381" cm="1">
        <f t="array" aca="1" ref="J381" ca="1">INDIRECT("Data!D" &amp; 376)</f>
        <v>0</v>
      </c>
      <c r="K381" cm="1">
        <f t="array" aca="1" ref="K381" ca="1">INDIRECT("Data!E" &amp; 376)</f>
        <v>0</v>
      </c>
      <c r="L381" cm="1">
        <f t="array" aca="1" ref="L381" ca="1">INDIRECT("Data!F" &amp; 376)</f>
        <v>0</v>
      </c>
      <c r="M381" cm="1">
        <f t="array" aca="1" ref="M381" ca="1">INDIRECT("Data!G" &amp; 376)</f>
        <v>0</v>
      </c>
      <c r="N381" cm="1">
        <f t="array" aca="1" ref="N381" ca="1">INDIRECT("Data!H" &amp; 376)</f>
        <v>0</v>
      </c>
      <c r="O381" cm="1">
        <f t="array" aca="1" ref="O381" ca="1">INDIRECT("Data!I" &amp; 376)</f>
        <v>0</v>
      </c>
      <c r="P381" s="21" cm="1">
        <f t="array" aca="1" ref="P381" ca="1">INDIRECT("Data!J" &amp; 376)</f>
        <v>0</v>
      </c>
      <c r="Q381" cm="1">
        <f t="array" aca="1" ref="Q381" ca="1">INDIRECT("Data!K" &amp; 376)</f>
        <v>0</v>
      </c>
      <c r="R381" cm="1">
        <f t="array" aca="1" ref="R381" ca="1">INDIRECT("Data!L" &amp; 376)</f>
        <v>0</v>
      </c>
      <c r="S381" cm="1">
        <f t="array" aca="1" ref="S381" ca="1">INDIRECT("Data!M" &amp; 376)</f>
        <v>0</v>
      </c>
      <c r="T381" cm="1">
        <f t="array" aca="1" ref="T381" ca="1">INDIRECT("Data!N" &amp; 376)</f>
        <v>0</v>
      </c>
      <c r="U381" cm="1">
        <f t="array" aca="1" ref="U381" ca="1">INDIRECT("Data!O" &amp; 376)</f>
        <v>0</v>
      </c>
      <c r="V381" cm="1">
        <f t="array" aca="1" ref="V381" ca="1">INDIRECT("Data!P" &amp; 376)</f>
        <v>0</v>
      </c>
    </row>
    <row r="382" spans="7:22" x14ac:dyDescent="0.25">
      <c r="G382" cm="1">
        <f t="array" aca="1" ref="G382" ca="1">INDIRECT("Data!A" &amp; 377)</f>
        <v>0</v>
      </c>
      <c r="H382" s="21" cm="1">
        <f t="array" aca="1" ref="H382" ca="1">INDIRECT("Data!B" &amp; 377)</f>
        <v>0</v>
      </c>
      <c r="I382" s="21" cm="1">
        <f t="array" aca="1" ref="I382" ca="1">INDIRECT("Data!C" &amp; 377)</f>
        <v>0</v>
      </c>
      <c r="J382" cm="1">
        <f t="array" aca="1" ref="J382" ca="1">INDIRECT("Data!D" &amp; 377)</f>
        <v>0</v>
      </c>
      <c r="K382" cm="1">
        <f t="array" aca="1" ref="K382" ca="1">INDIRECT("Data!E" &amp; 377)</f>
        <v>0</v>
      </c>
      <c r="L382" cm="1">
        <f t="array" aca="1" ref="L382" ca="1">INDIRECT("Data!F" &amp; 377)</f>
        <v>0</v>
      </c>
      <c r="M382" cm="1">
        <f t="array" aca="1" ref="M382" ca="1">INDIRECT("Data!G" &amp; 377)</f>
        <v>0</v>
      </c>
      <c r="N382" cm="1">
        <f t="array" aca="1" ref="N382" ca="1">INDIRECT("Data!H" &amp; 377)</f>
        <v>0</v>
      </c>
      <c r="O382" cm="1">
        <f t="array" aca="1" ref="O382" ca="1">INDIRECT("Data!I" &amp; 377)</f>
        <v>0</v>
      </c>
      <c r="P382" s="21" cm="1">
        <f t="array" aca="1" ref="P382" ca="1">INDIRECT("Data!J" &amp; 377)</f>
        <v>0</v>
      </c>
      <c r="Q382" cm="1">
        <f t="array" aca="1" ref="Q382" ca="1">INDIRECT("Data!K" &amp; 377)</f>
        <v>0</v>
      </c>
      <c r="R382" cm="1">
        <f t="array" aca="1" ref="R382" ca="1">INDIRECT("Data!L" &amp; 377)</f>
        <v>0</v>
      </c>
      <c r="S382" cm="1">
        <f t="array" aca="1" ref="S382" ca="1">INDIRECT("Data!M" &amp; 377)</f>
        <v>0</v>
      </c>
      <c r="T382" cm="1">
        <f t="array" aca="1" ref="T382" ca="1">INDIRECT("Data!N" &amp; 377)</f>
        <v>0</v>
      </c>
      <c r="U382" cm="1">
        <f t="array" aca="1" ref="U382" ca="1">INDIRECT("Data!O" &amp; 377)</f>
        <v>0</v>
      </c>
      <c r="V382" cm="1">
        <f t="array" aca="1" ref="V382" ca="1">INDIRECT("Data!P" &amp; 377)</f>
        <v>0</v>
      </c>
    </row>
    <row r="383" spans="7:22" x14ac:dyDescent="0.25">
      <c r="G383" cm="1">
        <f t="array" aca="1" ref="G383" ca="1">INDIRECT("Data!A" &amp; 378)</f>
        <v>0</v>
      </c>
      <c r="H383" s="21" cm="1">
        <f t="array" aca="1" ref="H383" ca="1">INDIRECT("Data!B" &amp; 378)</f>
        <v>0</v>
      </c>
      <c r="I383" s="21" cm="1">
        <f t="array" aca="1" ref="I383" ca="1">INDIRECT("Data!C" &amp; 378)</f>
        <v>0</v>
      </c>
      <c r="J383" cm="1">
        <f t="array" aca="1" ref="J383" ca="1">INDIRECT("Data!D" &amp; 378)</f>
        <v>0</v>
      </c>
      <c r="K383" cm="1">
        <f t="array" aca="1" ref="K383" ca="1">INDIRECT("Data!E" &amp; 378)</f>
        <v>0</v>
      </c>
      <c r="L383" cm="1">
        <f t="array" aca="1" ref="L383" ca="1">INDIRECT("Data!F" &amp; 378)</f>
        <v>0</v>
      </c>
      <c r="M383" cm="1">
        <f t="array" aca="1" ref="M383" ca="1">INDIRECT("Data!G" &amp; 378)</f>
        <v>0</v>
      </c>
      <c r="N383" cm="1">
        <f t="array" aca="1" ref="N383" ca="1">INDIRECT("Data!H" &amp; 378)</f>
        <v>0</v>
      </c>
      <c r="O383" cm="1">
        <f t="array" aca="1" ref="O383" ca="1">INDIRECT("Data!I" &amp; 378)</f>
        <v>0</v>
      </c>
      <c r="P383" s="21" cm="1">
        <f t="array" aca="1" ref="P383" ca="1">INDIRECT("Data!J" &amp; 378)</f>
        <v>0</v>
      </c>
      <c r="Q383" cm="1">
        <f t="array" aca="1" ref="Q383" ca="1">INDIRECT("Data!K" &amp; 378)</f>
        <v>0</v>
      </c>
      <c r="R383" cm="1">
        <f t="array" aca="1" ref="R383" ca="1">INDIRECT("Data!L" &amp; 378)</f>
        <v>0</v>
      </c>
      <c r="S383" cm="1">
        <f t="array" aca="1" ref="S383" ca="1">INDIRECT("Data!M" &amp; 378)</f>
        <v>0</v>
      </c>
      <c r="T383" cm="1">
        <f t="array" aca="1" ref="T383" ca="1">INDIRECT("Data!N" &amp; 378)</f>
        <v>0</v>
      </c>
      <c r="U383" cm="1">
        <f t="array" aca="1" ref="U383" ca="1">INDIRECT("Data!O" &amp; 378)</f>
        <v>0</v>
      </c>
      <c r="V383" cm="1">
        <f t="array" aca="1" ref="V383" ca="1">INDIRECT("Data!P" &amp; 378)</f>
        <v>0</v>
      </c>
    </row>
    <row r="384" spans="7:22" x14ac:dyDescent="0.25">
      <c r="G384" cm="1">
        <f t="array" aca="1" ref="G384" ca="1">INDIRECT("Data!A" &amp; 379)</f>
        <v>0</v>
      </c>
      <c r="H384" s="21" cm="1">
        <f t="array" aca="1" ref="H384" ca="1">INDIRECT("Data!B" &amp; 379)</f>
        <v>0</v>
      </c>
      <c r="I384" s="21" cm="1">
        <f t="array" aca="1" ref="I384" ca="1">INDIRECT("Data!C" &amp; 379)</f>
        <v>0</v>
      </c>
      <c r="J384" cm="1">
        <f t="array" aca="1" ref="J384" ca="1">INDIRECT("Data!D" &amp; 379)</f>
        <v>0</v>
      </c>
      <c r="K384" cm="1">
        <f t="array" aca="1" ref="K384" ca="1">INDIRECT("Data!E" &amp; 379)</f>
        <v>0</v>
      </c>
      <c r="L384" cm="1">
        <f t="array" aca="1" ref="L384" ca="1">INDIRECT("Data!F" &amp; 379)</f>
        <v>0</v>
      </c>
      <c r="M384" cm="1">
        <f t="array" aca="1" ref="M384" ca="1">INDIRECT("Data!G" &amp; 379)</f>
        <v>0</v>
      </c>
      <c r="N384" cm="1">
        <f t="array" aca="1" ref="N384" ca="1">INDIRECT("Data!H" &amp; 379)</f>
        <v>0</v>
      </c>
      <c r="O384" cm="1">
        <f t="array" aca="1" ref="O384" ca="1">INDIRECT("Data!I" &amp; 379)</f>
        <v>0</v>
      </c>
      <c r="P384" s="21" cm="1">
        <f t="array" aca="1" ref="P384" ca="1">INDIRECT("Data!J" &amp; 379)</f>
        <v>0</v>
      </c>
      <c r="Q384" cm="1">
        <f t="array" aca="1" ref="Q384" ca="1">INDIRECT("Data!K" &amp; 379)</f>
        <v>0</v>
      </c>
      <c r="R384" cm="1">
        <f t="array" aca="1" ref="R384" ca="1">INDIRECT("Data!L" &amp; 379)</f>
        <v>0</v>
      </c>
      <c r="S384" cm="1">
        <f t="array" aca="1" ref="S384" ca="1">INDIRECT("Data!M" &amp; 379)</f>
        <v>0</v>
      </c>
      <c r="T384" cm="1">
        <f t="array" aca="1" ref="T384" ca="1">INDIRECT("Data!N" &amp; 379)</f>
        <v>0</v>
      </c>
      <c r="U384" cm="1">
        <f t="array" aca="1" ref="U384" ca="1">INDIRECT("Data!O" &amp; 379)</f>
        <v>0</v>
      </c>
      <c r="V384" cm="1">
        <f t="array" aca="1" ref="V384" ca="1">INDIRECT("Data!P" &amp; 379)</f>
        <v>0</v>
      </c>
    </row>
    <row r="385" spans="7:22" x14ac:dyDescent="0.25">
      <c r="G385" cm="1">
        <f t="array" aca="1" ref="G385" ca="1">INDIRECT("Data!A" &amp; 380)</f>
        <v>0</v>
      </c>
      <c r="H385" s="21" cm="1">
        <f t="array" aca="1" ref="H385" ca="1">INDIRECT("Data!B" &amp; 380)</f>
        <v>0</v>
      </c>
      <c r="I385" s="21" cm="1">
        <f t="array" aca="1" ref="I385" ca="1">INDIRECT("Data!C" &amp; 380)</f>
        <v>0</v>
      </c>
      <c r="J385" cm="1">
        <f t="array" aca="1" ref="J385" ca="1">INDIRECT("Data!D" &amp; 380)</f>
        <v>0</v>
      </c>
      <c r="K385" cm="1">
        <f t="array" aca="1" ref="K385" ca="1">INDIRECT("Data!E" &amp; 380)</f>
        <v>0</v>
      </c>
      <c r="L385" cm="1">
        <f t="array" aca="1" ref="L385" ca="1">INDIRECT("Data!F" &amp; 380)</f>
        <v>0</v>
      </c>
      <c r="M385" cm="1">
        <f t="array" aca="1" ref="M385" ca="1">INDIRECT("Data!G" &amp; 380)</f>
        <v>0</v>
      </c>
      <c r="N385" cm="1">
        <f t="array" aca="1" ref="N385" ca="1">INDIRECT("Data!H" &amp; 380)</f>
        <v>0</v>
      </c>
      <c r="O385" cm="1">
        <f t="array" aca="1" ref="O385" ca="1">INDIRECT("Data!I" &amp; 380)</f>
        <v>0</v>
      </c>
      <c r="P385" s="21" cm="1">
        <f t="array" aca="1" ref="P385" ca="1">INDIRECT("Data!J" &amp; 380)</f>
        <v>0</v>
      </c>
      <c r="Q385" cm="1">
        <f t="array" aca="1" ref="Q385" ca="1">INDIRECT("Data!K" &amp; 380)</f>
        <v>0</v>
      </c>
      <c r="R385" cm="1">
        <f t="array" aca="1" ref="R385" ca="1">INDIRECT("Data!L" &amp; 380)</f>
        <v>0</v>
      </c>
      <c r="S385" cm="1">
        <f t="array" aca="1" ref="S385" ca="1">INDIRECT("Data!M" &amp; 380)</f>
        <v>0</v>
      </c>
      <c r="T385" cm="1">
        <f t="array" aca="1" ref="T385" ca="1">INDIRECT("Data!N" &amp; 380)</f>
        <v>0</v>
      </c>
      <c r="U385" cm="1">
        <f t="array" aca="1" ref="U385" ca="1">INDIRECT("Data!O" &amp; 380)</f>
        <v>0</v>
      </c>
      <c r="V385" cm="1">
        <f t="array" aca="1" ref="V385" ca="1">INDIRECT("Data!P" &amp; 380)</f>
        <v>0</v>
      </c>
    </row>
    <row r="386" spans="7:22" x14ac:dyDescent="0.25">
      <c r="G386" cm="1">
        <f t="array" aca="1" ref="G386" ca="1">INDIRECT("Data!A" &amp; 381)</f>
        <v>0</v>
      </c>
      <c r="H386" s="21" cm="1">
        <f t="array" aca="1" ref="H386" ca="1">INDIRECT("Data!B" &amp; 381)</f>
        <v>0</v>
      </c>
      <c r="I386" s="21" cm="1">
        <f t="array" aca="1" ref="I386" ca="1">INDIRECT("Data!C" &amp; 381)</f>
        <v>0</v>
      </c>
      <c r="J386" cm="1">
        <f t="array" aca="1" ref="J386" ca="1">INDIRECT("Data!D" &amp; 381)</f>
        <v>0</v>
      </c>
      <c r="K386" cm="1">
        <f t="array" aca="1" ref="K386" ca="1">INDIRECT("Data!E" &amp; 381)</f>
        <v>0</v>
      </c>
      <c r="L386" cm="1">
        <f t="array" aca="1" ref="L386" ca="1">INDIRECT("Data!F" &amp; 381)</f>
        <v>0</v>
      </c>
      <c r="M386" cm="1">
        <f t="array" aca="1" ref="M386" ca="1">INDIRECT("Data!G" &amp; 381)</f>
        <v>0</v>
      </c>
      <c r="N386" cm="1">
        <f t="array" aca="1" ref="N386" ca="1">INDIRECT("Data!H" &amp; 381)</f>
        <v>0</v>
      </c>
      <c r="O386" cm="1">
        <f t="array" aca="1" ref="O386" ca="1">INDIRECT("Data!I" &amp; 381)</f>
        <v>0</v>
      </c>
      <c r="P386" s="21" cm="1">
        <f t="array" aca="1" ref="P386" ca="1">INDIRECT("Data!J" &amp; 381)</f>
        <v>0</v>
      </c>
      <c r="Q386" cm="1">
        <f t="array" aca="1" ref="Q386" ca="1">INDIRECT("Data!K" &amp; 381)</f>
        <v>0</v>
      </c>
      <c r="R386" cm="1">
        <f t="array" aca="1" ref="R386" ca="1">INDIRECT("Data!L" &amp; 381)</f>
        <v>0</v>
      </c>
      <c r="S386" cm="1">
        <f t="array" aca="1" ref="S386" ca="1">INDIRECT("Data!M" &amp; 381)</f>
        <v>0</v>
      </c>
      <c r="T386" cm="1">
        <f t="array" aca="1" ref="T386" ca="1">INDIRECT("Data!N" &amp; 381)</f>
        <v>0</v>
      </c>
      <c r="U386" cm="1">
        <f t="array" aca="1" ref="U386" ca="1">INDIRECT("Data!O" &amp; 381)</f>
        <v>0</v>
      </c>
      <c r="V386" cm="1">
        <f t="array" aca="1" ref="V386" ca="1">INDIRECT("Data!P" &amp; 381)</f>
        <v>0</v>
      </c>
    </row>
    <row r="387" spans="7:22" x14ac:dyDescent="0.25">
      <c r="G387" cm="1">
        <f t="array" aca="1" ref="G387" ca="1">INDIRECT("Data!A" &amp; 382)</f>
        <v>0</v>
      </c>
      <c r="H387" s="21" cm="1">
        <f t="array" aca="1" ref="H387" ca="1">INDIRECT("Data!B" &amp; 382)</f>
        <v>0</v>
      </c>
      <c r="I387" s="21" cm="1">
        <f t="array" aca="1" ref="I387" ca="1">INDIRECT("Data!C" &amp; 382)</f>
        <v>0</v>
      </c>
      <c r="J387" cm="1">
        <f t="array" aca="1" ref="J387" ca="1">INDIRECT("Data!D" &amp; 382)</f>
        <v>0</v>
      </c>
      <c r="K387" cm="1">
        <f t="array" aca="1" ref="K387" ca="1">INDIRECT("Data!E" &amp; 382)</f>
        <v>0</v>
      </c>
      <c r="L387" cm="1">
        <f t="array" aca="1" ref="L387" ca="1">INDIRECT("Data!F" &amp; 382)</f>
        <v>0</v>
      </c>
      <c r="M387" cm="1">
        <f t="array" aca="1" ref="M387" ca="1">INDIRECT("Data!G" &amp; 382)</f>
        <v>0</v>
      </c>
      <c r="N387" cm="1">
        <f t="array" aca="1" ref="N387" ca="1">INDIRECT("Data!H" &amp; 382)</f>
        <v>0</v>
      </c>
      <c r="O387" cm="1">
        <f t="array" aca="1" ref="O387" ca="1">INDIRECT("Data!I" &amp; 382)</f>
        <v>0</v>
      </c>
      <c r="P387" s="21" cm="1">
        <f t="array" aca="1" ref="P387" ca="1">INDIRECT("Data!J" &amp; 382)</f>
        <v>0</v>
      </c>
      <c r="Q387" cm="1">
        <f t="array" aca="1" ref="Q387" ca="1">INDIRECT("Data!K" &amp; 382)</f>
        <v>0</v>
      </c>
      <c r="R387" cm="1">
        <f t="array" aca="1" ref="R387" ca="1">INDIRECT("Data!L" &amp; 382)</f>
        <v>0</v>
      </c>
      <c r="S387" cm="1">
        <f t="array" aca="1" ref="S387" ca="1">INDIRECT("Data!M" &amp; 382)</f>
        <v>0</v>
      </c>
      <c r="T387" cm="1">
        <f t="array" aca="1" ref="T387" ca="1">INDIRECT("Data!N" &amp; 382)</f>
        <v>0</v>
      </c>
      <c r="U387" cm="1">
        <f t="array" aca="1" ref="U387" ca="1">INDIRECT("Data!O" &amp; 382)</f>
        <v>0</v>
      </c>
      <c r="V387" cm="1">
        <f t="array" aca="1" ref="V387" ca="1">INDIRECT("Data!P" &amp; 382)</f>
        <v>0</v>
      </c>
    </row>
    <row r="388" spans="7:22" x14ac:dyDescent="0.25">
      <c r="G388" cm="1">
        <f t="array" aca="1" ref="G388" ca="1">INDIRECT("Data!A" &amp; 383)</f>
        <v>0</v>
      </c>
      <c r="H388" s="21" cm="1">
        <f t="array" aca="1" ref="H388" ca="1">INDIRECT("Data!B" &amp; 383)</f>
        <v>0</v>
      </c>
      <c r="I388" s="21" cm="1">
        <f t="array" aca="1" ref="I388" ca="1">INDIRECT("Data!C" &amp; 383)</f>
        <v>0</v>
      </c>
      <c r="J388" cm="1">
        <f t="array" aca="1" ref="J388" ca="1">INDIRECT("Data!D" &amp; 383)</f>
        <v>0</v>
      </c>
      <c r="K388" cm="1">
        <f t="array" aca="1" ref="K388" ca="1">INDIRECT("Data!E" &amp; 383)</f>
        <v>0</v>
      </c>
      <c r="L388" cm="1">
        <f t="array" aca="1" ref="L388" ca="1">INDIRECT("Data!F" &amp; 383)</f>
        <v>0</v>
      </c>
      <c r="M388" cm="1">
        <f t="array" aca="1" ref="M388" ca="1">INDIRECT("Data!G" &amp; 383)</f>
        <v>0</v>
      </c>
      <c r="N388" cm="1">
        <f t="array" aca="1" ref="N388" ca="1">INDIRECT("Data!H" &amp; 383)</f>
        <v>0</v>
      </c>
      <c r="O388" cm="1">
        <f t="array" aca="1" ref="O388" ca="1">INDIRECT("Data!I" &amp; 383)</f>
        <v>0</v>
      </c>
      <c r="P388" s="21" cm="1">
        <f t="array" aca="1" ref="P388" ca="1">INDIRECT("Data!J" &amp; 383)</f>
        <v>0</v>
      </c>
      <c r="Q388" cm="1">
        <f t="array" aca="1" ref="Q388" ca="1">INDIRECT("Data!K" &amp; 383)</f>
        <v>0</v>
      </c>
      <c r="R388" cm="1">
        <f t="array" aca="1" ref="R388" ca="1">INDIRECT("Data!L" &amp; 383)</f>
        <v>0</v>
      </c>
      <c r="S388" cm="1">
        <f t="array" aca="1" ref="S388" ca="1">INDIRECT("Data!M" &amp; 383)</f>
        <v>0</v>
      </c>
      <c r="T388" cm="1">
        <f t="array" aca="1" ref="T388" ca="1">INDIRECT("Data!N" &amp; 383)</f>
        <v>0</v>
      </c>
      <c r="U388" cm="1">
        <f t="array" aca="1" ref="U388" ca="1">INDIRECT("Data!O" &amp; 383)</f>
        <v>0</v>
      </c>
      <c r="V388" cm="1">
        <f t="array" aca="1" ref="V388" ca="1">INDIRECT("Data!P" &amp; 383)</f>
        <v>0</v>
      </c>
    </row>
    <row r="389" spans="7:22" x14ac:dyDescent="0.25">
      <c r="G389" cm="1">
        <f t="array" aca="1" ref="G389" ca="1">INDIRECT("Data!A" &amp; 384)</f>
        <v>0</v>
      </c>
      <c r="H389" s="21" cm="1">
        <f t="array" aca="1" ref="H389" ca="1">INDIRECT("Data!B" &amp; 384)</f>
        <v>0</v>
      </c>
      <c r="I389" s="21" cm="1">
        <f t="array" aca="1" ref="I389" ca="1">INDIRECT("Data!C" &amp; 384)</f>
        <v>0</v>
      </c>
      <c r="J389" cm="1">
        <f t="array" aca="1" ref="J389" ca="1">INDIRECT("Data!D" &amp; 384)</f>
        <v>0</v>
      </c>
      <c r="K389" cm="1">
        <f t="array" aca="1" ref="K389" ca="1">INDIRECT("Data!E" &amp; 384)</f>
        <v>0</v>
      </c>
      <c r="L389" cm="1">
        <f t="array" aca="1" ref="L389" ca="1">INDIRECT("Data!F" &amp; 384)</f>
        <v>0</v>
      </c>
      <c r="M389" cm="1">
        <f t="array" aca="1" ref="M389" ca="1">INDIRECT("Data!G" &amp; 384)</f>
        <v>0</v>
      </c>
      <c r="N389" cm="1">
        <f t="array" aca="1" ref="N389" ca="1">INDIRECT("Data!H" &amp; 384)</f>
        <v>0</v>
      </c>
      <c r="O389" cm="1">
        <f t="array" aca="1" ref="O389" ca="1">INDIRECT("Data!I" &amp; 384)</f>
        <v>0</v>
      </c>
      <c r="P389" s="21" cm="1">
        <f t="array" aca="1" ref="P389" ca="1">INDIRECT("Data!J" &amp; 384)</f>
        <v>0</v>
      </c>
      <c r="Q389" cm="1">
        <f t="array" aca="1" ref="Q389" ca="1">INDIRECT("Data!K" &amp; 384)</f>
        <v>0</v>
      </c>
      <c r="R389" cm="1">
        <f t="array" aca="1" ref="R389" ca="1">INDIRECT("Data!L" &amp; 384)</f>
        <v>0</v>
      </c>
      <c r="S389" cm="1">
        <f t="array" aca="1" ref="S389" ca="1">INDIRECT("Data!M" &amp; 384)</f>
        <v>0</v>
      </c>
      <c r="T389" cm="1">
        <f t="array" aca="1" ref="T389" ca="1">INDIRECT("Data!N" &amp; 384)</f>
        <v>0</v>
      </c>
      <c r="U389" cm="1">
        <f t="array" aca="1" ref="U389" ca="1">INDIRECT("Data!O" &amp; 384)</f>
        <v>0</v>
      </c>
      <c r="V389" cm="1">
        <f t="array" aca="1" ref="V389" ca="1">INDIRECT("Data!P" &amp; 384)</f>
        <v>0</v>
      </c>
    </row>
    <row r="390" spans="7:22" x14ac:dyDescent="0.25">
      <c r="G390" cm="1">
        <f t="array" aca="1" ref="G390" ca="1">INDIRECT("Data!A" &amp; 385)</f>
        <v>0</v>
      </c>
      <c r="H390" s="21" cm="1">
        <f t="array" aca="1" ref="H390" ca="1">INDIRECT("Data!B" &amp; 385)</f>
        <v>0</v>
      </c>
      <c r="I390" s="21" cm="1">
        <f t="array" aca="1" ref="I390" ca="1">INDIRECT("Data!C" &amp; 385)</f>
        <v>0</v>
      </c>
      <c r="J390" cm="1">
        <f t="array" aca="1" ref="J390" ca="1">INDIRECT("Data!D" &amp; 385)</f>
        <v>0</v>
      </c>
      <c r="K390" cm="1">
        <f t="array" aca="1" ref="K390" ca="1">INDIRECT("Data!E" &amp; 385)</f>
        <v>0</v>
      </c>
      <c r="L390" cm="1">
        <f t="array" aca="1" ref="L390" ca="1">INDIRECT("Data!F" &amp; 385)</f>
        <v>0</v>
      </c>
      <c r="M390" cm="1">
        <f t="array" aca="1" ref="M390" ca="1">INDIRECT("Data!G" &amp; 385)</f>
        <v>0</v>
      </c>
      <c r="N390" cm="1">
        <f t="array" aca="1" ref="N390" ca="1">INDIRECT("Data!H" &amp; 385)</f>
        <v>0</v>
      </c>
      <c r="O390" cm="1">
        <f t="array" aca="1" ref="O390" ca="1">INDIRECT("Data!I" &amp; 385)</f>
        <v>0</v>
      </c>
      <c r="P390" s="21" cm="1">
        <f t="array" aca="1" ref="P390" ca="1">INDIRECT("Data!J" &amp; 385)</f>
        <v>0</v>
      </c>
      <c r="Q390" cm="1">
        <f t="array" aca="1" ref="Q390" ca="1">INDIRECT("Data!K" &amp; 385)</f>
        <v>0</v>
      </c>
      <c r="R390" cm="1">
        <f t="array" aca="1" ref="R390" ca="1">INDIRECT("Data!L" &amp; 385)</f>
        <v>0</v>
      </c>
      <c r="S390" cm="1">
        <f t="array" aca="1" ref="S390" ca="1">INDIRECT("Data!M" &amp; 385)</f>
        <v>0</v>
      </c>
      <c r="T390" cm="1">
        <f t="array" aca="1" ref="T390" ca="1">INDIRECT("Data!N" &amp; 385)</f>
        <v>0</v>
      </c>
      <c r="U390" cm="1">
        <f t="array" aca="1" ref="U390" ca="1">INDIRECT("Data!O" &amp; 385)</f>
        <v>0</v>
      </c>
      <c r="V390" cm="1">
        <f t="array" aca="1" ref="V390" ca="1">INDIRECT("Data!P" &amp; 385)</f>
        <v>0</v>
      </c>
    </row>
    <row r="391" spans="7:22" x14ac:dyDescent="0.25">
      <c r="G391" cm="1">
        <f t="array" aca="1" ref="G391" ca="1">INDIRECT("Data!A" &amp; 386)</f>
        <v>0</v>
      </c>
      <c r="H391" s="21" cm="1">
        <f t="array" aca="1" ref="H391" ca="1">INDIRECT("Data!B" &amp; 386)</f>
        <v>0</v>
      </c>
      <c r="I391" s="21" cm="1">
        <f t="array" aca="1" ref="I391" ca="1">INDIRECT("Data!C" &amp; 386)</f>
        <v>0</v>
      </c>
      <c r="J391" cm="1">
        <f t="array" aca="1" ref="J391" ca="1">INDIRECT("Data!D" &amp; 386)</f>
        <v>0</v>
      </c>
      <c r="K391" cm="1">
        <f t="array" aca="1" ref="K391" ca="1">INDIRECT("Data!E" &amp; 386)</f>
        <v>0</v>
      </c>
      <c r="L391" cm="1">
        <f t="array" aca="1" ref="L391" ca="1">INDIRECT("Data!F" &amp; 386)</f>
        <v>0</v>
      </c>
      <c r="M391" cm="1">
        <f t="array" aca="1" ref="M391" ca="1">INDIRECT("Data!G" &amp; 386)</f>
        <v>0</v>
      </c>
      <c r="N391" cm="1">
        <f t="array" aca="1" ref="N391" ca="1">INDIRECT("Data!H" &amp; 386)</f>
        <v>0</v>
      </c>
      <c r="O391" cm="1">
        <f t="array" aca="1" ref="O391" ca="1">INDIRECT("Data!I" &amp; 386)</f>
        <v>0</v>
      </c>
      <c r="P391" s="21" cm="1">
        <f t="array" aca="1" ref="P391" ca="1">INDIRECT("Data!J" &amp; 386)</f>
        <v>0</v>
      </c>
      <c r="Q391" cm="1">
        <f t="array" aca="1" ref="Q391" ca="1">INDIRECT("Data!K" &amp; 386)</f>
        <v>0</v>
      </c>
      <c r="R391" cm="1">
        <f t="array" aca="1" ref="R391" ca="1">INDIRECT("Data!L" &amp; 386)</f>
        <v>0</v>
      </c>
      <c r="S391" cm="1">
        <f t="array" aca="1" ref="S391" ca="1">INDIRECT("Data!M" &amp; 386)</f>
        <v>0</v>
      </c>
      <c r="T391" cm="1">
        <f t="array" aca="1" ref="T391" ca="1">INDIRECT("Data!N" &amp; 386)</f>
        <v>0</v>
      </c>
      <c r="U391" cm="1">
        <f t="array" aca="1" ref="U391" ca="1">INDIRECT("Data!O" &amp; 386)</f>
        <v>0</v>
      </c>
      <c r="V391" cm="1">
        <f t="array" aca="1" ref="V391" ca="1">INDIRECT("Data!P" &amp; 386)</f>
        <v>0</v>
      </c>
    </row>
    <row r="392" spans="7:22" x14ac:dyDescent="0.25">
      <c r="G392" cm="1">
        <f t="array" aca="1" ref="G392" ca="1">INDIRECT("Data!A" &amp; 387)</f>
        <v>0</v>
      </c>
      <c r="H392" s="21" cm="1">
        <f t="array" aca="1" ref="H392" ca="1">INDIRECT("Data!B" &amp; 387)</f>
        <v>0</v>
      </c>
      <c r="I392" s="21" cm="1">
        <f t="array" aca="1" ref="I392" ca="1">INDIRECT("Data!C" &amp; 387)</f>
        <v>0</v>
      </c>
      <c r="J392" cm="1">
        <f t="array" aca="1" ref="J392" ca="1">INDIRECT("Data!D" &amp; 387)</f>
        <v>0</v>
      </c>
      <c r="K392" cm="1">
        <f t="array" aca="1" ref="K392" ca="1">INDIRECT("Data!E" &amp; 387)</f>
        <v>0</v>
      </c>
      <c r="L392" cm="1">
        <f t="array" aca="1" ref="L392" ca="1">INDIRECT("Data!F" &amp; 387)</f>
        <v>0</v>
      </c>
      <c r="M392" cm="1">
        <f t="array" aca="1" ref="M392" ca="1">INDIRECT("Data!G" &amp; 387)</f>
        <v>0</v>
      </c>
      <c r="N392" cm="1">
        <f t="array" aca="1" ref="N392" ca="1">INDIRECT("Data!H" &amp; 387)</f>
        <v>0</v>
      </c>
      <c r="O392" cm="1">
        <f t="array" aca="1" ref="O392" ca="1">INDIRECT("Data!I" &amp; 387)</f>
        <v>0</v>
      </c>
      <c r="P392" s="21" cm="1">
        <f t="array" aca="1" ref="P392" ca="1">INDIRECT("Data!J" &amp; 387)</f>
        <v>0</v>
      </c>
      <c r="Q392" cm="1">
        <f t="array" aca="1" ref="Q392" ca="1">INDIRECT("Data!K" &amp; 387)</f>
        <v>0</v>
      </c>
      <c r="R392" cm="1">
        <f t="array" aca="1" ref="R392" ca="1">INDIRECT("Data!L" &amp; 387)</f>
        <v>0</v>
      </c>
      <c r="S392" cm="1">
        <f t="array" aca="1" ref="S392" ca="1">INDIRECT("Data!M" &amp; 387)</f>
        <v>0</v>
      </c>
      <c r="T392" cm="1">
        <f t="array" aca="1" ref="T392" ca="1">INDIRECT("Data!N" &amp; 387)</f>
        <v>0</v>
      </c>
      <c r="U392" cm="1">
        <f t="array" aca="1" ref="U392" ca="1">INDIRECT("Data!O" &amp; 387)</f>
        <v>0</v>
      </c>
      <c r="V392" cm="1">
        <f t="array" aca="1" ref="V392" ca="1">INDIRECT("Data!P" &amp; 387)</f>
        <v>0</v>
      </c>
    </row>
    <row r="393" spans="7:22" x14ac:dyDescent="0.25">
      <c r="G393" cm="1">
        <f t="array" aca="1" ref="G393" ca="1">INDIRECT("Data!A" &amp; 388)</f>
        <v>0</v>
      </c>
      <c r="H393" s="21" cm="1">
        <f t="array" aca="1" ref="H393" ca="1">INDIRECT("Data!B" &amp; 388)</f>
        <v>0</v>
      </c>
      <c r="I393" s="21" cm="1">
        <f t="array" aca="1" ref="I393" ca="1">INDIRECT("Data!C" &amp; 388)</f>
        <v>0</v>
      </c>
      <c r="J393" cm="1">
        <f t="array" aca="1" ref="J393" ca="1">INDIRECT("Data!D" &amp; 388)</f>
        <v>0</v>
      </c>
      <c r="K393" cm="1">
        <f t="array" aca="1" ref="K393" ca="1">INDIRECT("Data!E" &amp; 388)</f>
        <v>0</v>
      </c>
      <c r="L393" cm="1">
        <f t="array" aca="1" ref="L393" ca="1">INDIRECT("Data!F" &amp; 388)</f>
        <v>0</v>
      </c>
      <c r="M393" cm="1">
        <f t="array" aca="1" ref="M393" ca="1">INDIRECT("Data!G" &amp; 388)</f>
        <v>0</v>
      </c>
      <c r="N393" cm="1">
        <f t="array" aca="1" ref="N393" ca="1">INDIRECT("Data!H" &amp; 388)</f>
        <v>0</v>
      </c>
      <c r="O393" cm="1">
        <f t="array" aca="1" ref="O393" ca="1">INDIRECT("Data!I" &amp; 388)</f>
        <v>0</v>
      </c>
      <c r="P393" s="21" cm="1">
        <f t="array" aca="1" ref="P393" ca="1">INDIRECT("Data!J" &amp; 388)</f>
        <v>0</v>
      </c>
      <c r="Q393" cm="1">
        <f t="array" aca="1" ref="Q393" ca="1">INDIRECT("Data!K" &amp; 388)</f>
        <v>0</v>
      </c>
      <c r="R393" cm="1">
        <f t="array" aca="1" ref="R393" ca="1">INDIRECT("Data!L" &amp; 388)</f>
        <v>0</v>
      </c>
      <c r="S393" cm="1">
        <f t="array" aca="1" ref="S393" ca="1">INDIRECT("Data!M" &amp; 388)</f>
        <v>0</v>
      </c>
      <c r="T393" cm="1">
        <f t="array" aca="1" ref="T393" ca="1">INDIRECT("Data!N" &amp; 388)</f>
        <v>0</v>
      </c>
      <c r="U393" cm="1">
        <f t="array" aca="1" ref="U393" ca="1">INDIRECT("Data!O" &amp; 388)</f>
        <v>0</v>
      </c>
      <c r="V393" cm="1">
        <f t="array" aca="1" ref="V393" ca="1">INDIRECT("Data!P" &amp; 388)</f>
        <v>0</v>
      </c>
    </row>
    <row r="394" spans="7:22" x14ac:dyDescent="0.25">
      <c r="G394" cm="1">
        <f t="array" aca="1" ref="G394" ca="1">INDIRECT("Data!A" &amp; 389)</f>
        <v>0</v>
      </c>
      <c r="H394" s="21" cm="1">
        <f t="array" aca="1" ref="H394" ca="1">INDIRECT("Data!B" &amp; 389)</f>
        <v>0</v>
      </c>
      <c r="I394" s="21" cm="1">
        <f t="array" aca="1" ref="I394" ca="1">INDIRECT("Data!C" &amp; 389)</f>
        <v>0</v>
      </c>
      <c r="J394" cm="1">
        <f t="array" aca="1" ref="J394" ca="1">INDIRECT("Data!D" &amp; 389)</f>
        <v>0</v>
      </c>
      <c r="K394" cm="1">
        <f t="array" aca="1" ref="K394" ca="1">INDIRECT("Data!E" &amp; 389)</f>
        <v>0</v>
      </c>
      <c r="L394" cm="1">
        <f t="array" aca="1" ref="L394" ca="1">INDIRECT("Data!F" &amp; 389)</f>
        <v>0</v>
      </c>
      <c r="M394" cm="1">
        <f t="array" aca="1" ref="M394" ca="1">INDIRECT("Data!G" &amp; 389)</f>
        <v>0</v>
      </c>
      <c r="N394" cm="1">
        <f t="array" aca="1" ref="N394" ca="1">INDIRECT("Data!H" &amp; 389)</f>
        <v>0</v>
      </c>
      <c r="O394" cm="1">
        <f t="array" aca="1" ref="O394" ca="1">INDIRECT("Data!I" &amp; 389)</f>
        <v>0</v>
      </c>
      <c r="P394" s="21" cm="1">
        <f t="array" aca="1" ref="P394" ca="1">INDIRECT("Data!J" &amp; 389)</f>
        <v>0</v>
      </c>
      <c r="Q394" cm="1">
        <f t="array" aca="1" ref="Q394" ca="1">INDIRECT("Data!K" &amp; 389)</f>
        <v>0</v>
      </c>
      <c r="R394" cm="1">
        <f t="array" aca="1" ref="R394" ca="1">INDIRECT("Data!L" &amp; 389)</f>
        <v>0</v>
      </c>
      <c r="S394" cm="1">
        <f t="array" aca="1" ref="S394" ca="1">INDIRECT("Data!M" &amp; 389)</f>
        <v>0</v>
      </c>
      <c r="T394" cm="1">
        <f t="array" aca="1" ref="T394" ca="1">INDIRECT("Data!N" &amp; 389)</f>
        <v>0</v>
      </c>
      <c r="U394" cm="1">
        <f t="array" aca="1" ref="U394" ca="1">INDIRECT("Data!O" &amp; 389)</f>
        <v>0</v>
      </c>
      <c r="V394" cm="1">
        <f t="array" aca="1" ref="V394" ca="1">INDIRECT("Data!P" &amp; 389)</f>
        <v>0</v>
      </c>
    </row>
    <row r="395" spans="7:22" x14ac:dyDescent="0.25">
      <c r="G395" cm="1">
        <f t="array" aca="1" ref="G395" ca="1">INDIRECT("Data!A" &amp; 390)</f>
        <v>0</v>
      </c>
      <c r="H395" s="21" cm="1">
        <f t="array" aca="1" ref="H395" ca="1">INDIRECT("Data!B" &amp; 390)</f>
        <v>0</v>
      </c>
      <c r="I395" s="21" cm="1">
        <f t="array" aca="1" ref="I395" ca="1">INDIRECT("Data!C" &amp; 390)</f>
        <v>0</v>
      </c>
      <c r="J395" cm="1">
        <f t="array" aca="1" ref="J395" ca="1">INDIRECT("Data!D" &amp; 390)</f>
        <v>0</v>
      </c>
      <c r="K395" cm="1">
        <f t="array" aca="1" ref="K395" ca="1">INDIRECT("Data!E" &amp; 390)</f>
        <v>0</v>
      </c>
      <c r="L395" cm="1">
        <f t="array" aca="1" ref="L395" ca="1">INDIRECT("Data!F" &amp; 390)</f>
        <v>0</v>
      </c>
      <c r="M395" cm="1">
        <f t="array" aca="1" ref="M395" ca="1">INDIRECT("Data!G" &amp; 390)</f>
        <v>0</v>
      </c>
      <c r="N395" cm="1">
        <f t="array" aca="1" ref="N395" ca="1">INDIRECT("Data!H" &amp; 390)</f>
        <v>0</v>
      </c>
      <c r="O395" cm="1">
        <f t="array" aca="1" ref="O395" ca="1">INDIRECT("Data!I" &amp; 390)</f>
        <v>0</v>
      </c>
      <c r="P395" s="21" cm="1">
        <f t="array" aca="1" ref="P395" ca="1">INDIRECT("Data!J" &amp; 390)</f>
        <v>0</v>
      </c>
      <c r="Q395" cm="1">
        <f t="array" aca="1" ref="Q395" ca="1">INDIRECT("Data!K" &amp; 390)</f>
        <v>0</v>
      </c>
      <c r="R395" cm="1">
        <f t="array" aca="1" ref="R395" ca="1">INDIRECT("Data!L" &amp; 390)</f>
        <v>0</v>
      </c>
      <c r="S395" cm="1">
        <f t="array" aca="1" ref="S395" ca="1">INDIRECT("Data!M" &amp; 390)</f>
        <v>0</v>
      </c>
      <c r="T395" cm="1">
        <f t="array" aca="1" ref="T395" ca="1">INDIRECT("Data!N" &amp; 390)</f>
        <v>0</v>
      </c>
      <c r="U395" cm="1">
        <f t="array" aca="1" ref="U395" ca="1">INDIRECT("Data!O" &amp; 390)</f>
        <v>0</v>
      </c>
      <c r="V395" cm="1">
        <f t="array" aca="1" ref="V395" ca="1">INDIRECT("Data!P" &amp; 390)</f>
        <v>0</v>
      </c>
    </row>
    <row r="396" spans="7:22" x14ac:dyDescent="0.25">
      <c r="G396" cm="1">
        <f t="array" aca="1" ref="G396" ca="1">INDIRECT("Data!A" &amp; 391)</f>
        <v>0</v>
      </c>
      <c r="H396" s="21" cm="1">
        <f t="array" aca="1" ref="H396" ca="1">INDIRECT("Data!B" &amp; 391)</f>
        <v>0</v>
      </c>
      <c r="I396" s="21" cm="1">
        <f t="array" aca="1" ref="I396" ca="1">INDIRECT("Data!C" &amp; 391)</f>
        <v>0</v>
      </c>
      <c r="J396" cm="1">
        <f t="array" aca="1" ref="J396" ca="1">INDIRECT("Data!D" &amp; 391)</f>
        <v>0</v>
      </c>
      <c r="K396" cm="1">
        <f t="array" aca="1" ref="K396" ca="1">INDIRECT("Data!E" &amp; 391)</f>
        <v>0</v>
      </c>
      <c r="L396" cm="1">
        <f t="array" aca="1" ref="L396" ca="1">INDIRECT("Data!F" &amp; 391)</f>
        <v>0</v>
      </c>
      <c r="M396" cm="1">
        <f t="array" aca="1" ref="M396" ca="1">INDIRECT("Data!G" &amp; 391)</f>
        <v>0</v>
      </c>
      <c r="N396" cm="1">
        <f t="array" aca="1" ref="N396" ca="1">INDIRECT("Data!H" &amp; 391)</f>
        <v>0</v>
      </c>
      <c r="O396" cm="1">
        <f t="array" aca="1" ref="O396" ca="1">INDIRECT("Data!I" &amp; 391)</f>
        <v>0</v>
      </c>
      <c r="P396" s="21" cm="1">
        <f t="array" aca="1" ref="P396" ca="1">INDIRECT("Data!J" &amp; 391)</f>
        <v>0</v>
      </c>
      <c r="Q396" cm="1">
        <f t="array" aca="1" ref="Q396" ca="1">INDIRECT("Data!K" &amp; 391)</f>
        <v>0</v>
      </c>
      <c r="R396" cm="1">
        <f t="array" aca="1" ref="R396" ca="1">INDIRECT("Data!L" &amp; 391)</f>
        <v>0</v>
      </c>
      <c r="S396" cm="1">
        <f t="array" aca="1" ref="S396" ca="1">INDIRECT("Data!M" &amp; 391)</f>
        <v>0</v>
      </c>
      <c r="T396" cm="1">
        <f t="array" aca="1" ref="T396" ca="1">INDIRECT("Data!N" &amp; 391)</f>
        <v>0</v>
      </c>
      <c r="U396" cm="1">
        <f t="array" aca="1" ref="U396" ca="1">INDIRECT("Data!O" &amp; 391)</f>
        <v>0</v>
      </c>
      <c r="V396" cm="1">
        <f t="array" aca="1" ref="V396" ca="1">INDIRECT("Data!P" &amp; 391)</f>
        <v>0</v>
      </c>
    </row>
    <row r="397" spans="7:22" x14ac:dyDescent="0.25">
      <c r="G397" cm="1">
        <f t="array" aca="1" ref="G397" ca="1">INDIRECT("Data!A" &amp; 392)</f>
        <v>0</v>
      </c>
      <c r="H397" s="21" cm="1">
        <f t="array" aca="1" ref="H397" ca="1">INDIRECT("Data!B" &amp; 392)</f>
        <v>0</v>
      </c>
      <c r="I397" s="21" cm="1">
        <f t="array" aca="1" ref="I397" ca="1">INDIRECT("Data!C" &amp; 392)</f>
        <v>0</v>
      </c>
      <c r="J397" cm="1">
        <f t="array" aca="1" ref="J397" ca="1">INDIRECT("Data!D" &amp; 392)</f>
        <v>0</v>
      </c>
      <c r="K397" cm="1">
        <f t="array" aca="1" ref="K397" ca="1">INDIRECT("Data!E" &amp; 392)</f>
        <v>0</v>
      </c>
      <c r="L397" cm="1">
        <f t="array" aca="1" ref="L397" ca="1">INDIRECT("Data!F" &amp; 392)</f>
        <v>0</v>
      </c>
      <c r="M397" cm="1">
        <f t="array" aca="1" ref="M397" ca="1">INDIRECT("Data!G" &amp; 392)</f>
        <v>0</v>
      </c>
      <c r="N397" cm="1">
        <f t="array" aca="1" ref="N397" ca="1">INDIRECT("Data!H" &amp; 392)</f>
        <v>0</v>
      </c>
      <c r="O397" cm="1">
        <f t="array" aca="1" ref="O397" ca="1">INDIRECT("Data!I" &amp; 392)</f>
        <v>0</v>
      </c>
      <c r="P397" s="21" cm="1">
        <f t="array" aca="1" ref="P397" ca="1">INDIRECT("Data!J" &amp; 392)</f>
        <v>0</v>
      </c>
      <c r="Q397" cm="1">
        <f t="array" aca="1" ref="Q397" ca="1">INDIRECT("Data!K" &amp; 392)</f>
        <v>0</v>
      </c>
      <c r="R397" cm="1">
        <f t="array" aca="1" ref="R397" ca="1">INDIRECT("Data!L" &amp; 392)</f>
        <v>0</v>
      </c>
      <c r="S397" cm="1">
        <f t="array" aca="1" ref="S397" ca="1">INDIRECT("Data!M" &amp; 392)</f>
        <v>0</v>
      </c>
      <c r="T397" cm="1">
        <f t="array" aca="1" ref="T397" ca="1">INDIRECT("Data!N" &amp; 392)</f>
        <v>0</v>
      </c>
      <c r="U397" cm="1">
        <f t="array" aca="1" ref="U397" ca="1">INDIRECT("Data!O" &amp; 392)</f>
        <v>0</v>
      </c>
      <c r="V397" cm="1">
        <f t="array" aca="1" ref="V397" ca="1">INDIRECT("Data!P" &amp; 392)</f>
        <v>0</v>
      </c>
    </row>
    <row r="398" spans="7:22" x14ac:dyDescent="0.25">
      <c r="G398" cm="1">
        <f t="array" aca="1" ref="G398" ca="1">INDIRECT("Data!A" &amp; 393)</f>
        <v>0</v>
      </c>
      <c r="H398" s="21" cm="1">
        <f t="array" aca="1" ref="H398" ca="1">INDIRECT("Data!B" &amp; 393)</f>
        <v>0</v>
      </c>
      <c r="I398" s="21" cm="1">
        <f t="array" aca="1" ref="I398" ca="1">INDIRECT("Data!C" &amp; 393)</f>
        <v>0</v>
      </c>
      <c r="J398" cm="1">
        <f t="array" aca="1" ref="J398" ca="1">INDIRECT("Data!D" &amp; 393)</f>
        <v>0</v>
      </c>
      <c r="K398" cm="1">
        <f t="array" aca="1" ref="K398" ca="1">INDIRECT("Data!E" &amp; 393)</f>
        <v>0</v>
      </c>
      <c r="L398" cm="1">
        <f t="array" aca="1" ref="L398" ca="1">INDIRECT("Data!F" &amp; 393)</f>
        <v>0</v>
      </c>
      <c r="M398" cm="1">
        <f t="array" aca="1" ref="M398" ca="1">INDIRECT("Data!G" &amp; 393)</f>
        <v>0</v>
      </c>
      <c r="N398" cm="1">
        <f t="array" aca="1" ref="N398" ca="1">INDIRECT("Data!H" &amp; 393)</f>
        <v>0</v>
      </c>
      <c r="O398" cm="1">
        <f t="array" aca="1" ref="O398" ca="1">INDIRECT("Data!I" &amp; 393)</f>
        <v>0</v>
      </c>
      <c r="P398" s="21" cm="1">
        <f t="array" aca="1" ref="P398" ca="1">INDIRECT("Data!J" &amp; 393)</f>
        <v>0</v>
      </c>
      <c r="Q398" cm="1">
        <f t="array" aca="1" ref="Q398" ca="1">INDIRECT("Data!K" &amp; 393)</f>
        <v>0</v>
      </c>
      <c r="R398" cm="1">
        <f t="array" aca="1" ref="R398" ca="1">INDIRECT("Data!L" &amp; 393)</f>
        <v>0</v>
      </c>
      <c r="S398" cm="1">
        <f t="array" aca="1" ref="S398" ca="1">INDIRECT("Data!M" &amp; 393)</f>
        <v>0</v>
      </c>
      <c r="T398" cm="1">
        <f t="array" aca="1" ref="T398" ca="1">INDIRECT("Data!N" &amp; 393)</f>
        <v>0</v>
      </c>
      <c r="U398" cm="1">
        <f t="array" aca="1" ref="U398" ca="1">INDIRECT("Data!O" &amp; 393)</f>
        <v>0</v>
      </c>
      <c r="V398" cm="1">
        <f t="array" aca="1" ref="V398" ca="1">INDIRECT("Data!P" &amp; 393)</f>
        <v>0</v>
      </c>
    </row>
    <row r="399" spans="7:22" x14ac:dyDescent="0.25">
      <c r="G399" cm="1">
        <f t="array" aca="1" ref="G399" ca="1">INDIRECT("Data!A" &amp; 394)</f>
        <v>0</v>
      </c>
      <c r="H399" s="21" cm="1">
        <f t="array" aca="1" ref="H399" ca="1">INDIRECT("Data!B" &amp; 394)</f>
        <v>0</v>
      </c>
      <c r="I399" s="21" cm="1">
        <f t="array" aca="1" ref="I399" ca="1">INDIRECT("Data!C" &amp; 394)</f>
        <v>0</v>
      </c>
      <c r="J399" cm="1">
        <f t="array" aca="1" ref="J399" ca="1">INDIRECT("Data!D" &amp; 394)</f>
        <v>0</v>
      </c>
      <c r="K399" cm="1">
        <f t="array" aca="1" ref="K399" ca="1">INDIRECT("Data!E" &amp; 394)</f>
        <v>0</v>
      </c>
      <c r="L399" cm="1">
        <f t="array" aca="1" ref="L399" ca="1">INDIRECT("Data!F" &amp; 394)</f>
        <v>0</v>
      </c>
      <c r="M399" cm="1">
        <f t="array" aca="1" ref="M399" ca="1">INDIRECT("Data!G" &amp; 394)</f>
        <v>0</v>
      </c>
      <c r="N399" cm="1">
        <f t="array" aca="1" ref="N399" ca="1">INDIRECT("Data!H" &amp; 394)</f>
        <v>0</v>
      </c>
      <c r="O399" cm="1">
        <f t="array" aca="1" ref="O399" ca="1">INDIRECT("Data!I" &amp; 394)</f>
        <v>0</v>
      </c>
      <c r="P399" s="21" cm="1">
        <f t="array" aca="1" ref="P399" ca="1">INDIRECT("Data!J" &amp; 394)</f>
        <v>0</v>
      </c>
      <c r="Q399" cm="1">
        <f t="array" aca="1" ref="Q399" ca="1">INDIRECT("Data!K" &amp; 394)</f>
        <v>0</v>
      </c>
      <c r="R399" cm="1">
        <f t="array" aca="1" ref="R399" ca="1">INDIRECT("Data!L" &amp; 394)</f>
        <v>0</v>
      </c>
      <c r="S399" cm="1">
        <f t="array" aca="1" ref="S399" ca="1">INDIRECT("Data!M" &amp; 394)</f>
        <v>0</v>
      </c>
      <c r="T399" cm="1">
        <f t="array" aca="1" ref="T399" ca="1">INDIRECT("Data!N" &amp; 394)</f>
        <v>0</v>
      </c>
      <c r="U399" cm="1">
        <f t="array" aca="1" ref="U399" ca="1">INDIRECT("Data!O" &amp; 394)</f>
        <v>0</v>
      </c>
      <c r="V399" cm="1">
        <f t="array" aca="1" ref="V399" ca="1">INDIRECT("Data!P" &amp; 394)</f>
        <v>0</v>
      </c>
    </row>
    <row r="400" spans="7:22" x14ac:dyDescent="0.25">
      <c r="G400" cm="1">
        <f t="array" aca="1" ref="G400" ca="1">INDIRECT("Data!A" &amp; 395)</f>
        <v>0</v>
      </c>
      <c r="H400" s="21" cm="1">
        <f t="array" aca="1" ref="H400" ca="1">INDIRECT("Data!B" &amp; 395)</f>
        <v>0</v>
      </c>
      <c r="I400" s="21" cm="1">
        <f t="array" aca="1" ref="I400" ca="1">INDIRECT("Data!C" &amp; 395)</f>
        <v>0</v>
      </c>
      <c r="J400" cm="1">
        <f t="array" aca="1" ref="J400" ca="1">INDIRECT("Data!D" &amp; 395)</f>
        <v>0</v>
      </c>
      <c r="K400" cm="1">
        <f t="array" aca="1" ref="K400" ca="1">INDIRECT("Data!E" &amp; 395)</f>
        <v>0</v>
      </c>
      <c r="L400" cm="1">
        <f t="array" aca="1" ref="L400" ca="1">INDIRECT("Data!F" &amp; 395)</f>
        <v>0</v>
      </c>
      <c r="M400" cm="1">
        <f t="array" aca="1" ref="M400" ca="1">INDIRECT("Data!G" &amp; 395)</f>
        <v>0</v>
      </c>
      <c r="N400" cm="1">
        <f t="array" aca="1" ref="N400" ca="1">INDIRECT("Data!H" &amp; 395)</f>
        <v>0</v>
      </c>
      <c r="O400" cm="1">
        <f t="array" aca="1" ref="O400" ca="1">INDIRECT("Data!I" &amp; 395)</f>
        <v>0</v>
      </c>
      <c r="P400" s="21" cm="1">
        <f t="array" aca="1" ref="P400" ca="1">INDIRECT("Data!J" &amp; 395)</f>
        <v>0</v>
      </c>
      <c r="Q400" cm="1">
        <f t="array" aca="1" ref="Q400" ca="1">INDIRECT("Data!K" &amp; 395)</f>
        <v>0</v>
      </c>
      <c r="R400" cm="1">
        <f t="array" aca="1" ref="R400" ca="1">INDIRECT("Data!L" &amp; 395)</f>
        <v>0</v>
      </c>
      <c r="S400" cm="1">
        <f t="array" aca="1" ref="S400" ca="1">INDIRECT("Data!M" &amp; 395)</f>
        <v>0</v>
      </c>
      <c r="T400" cm="1">
        <f t="array" aca="1" ref="T400" ca="1">INDIRECT("Data!N" &amp; 395)</f>
        <v>0</v>
      </c>
      <c r="U400" cm="1">
        <f t="array" aca="1" ref="U400" ca="1">INDIRECT("Data!O" &amp; 395)</f>
        <v>0</v>
      </c>
      <c r="V400" cm="1">
        <f t="array" aca="1" ref="V400" ca="1">INDIRECT("Data!P" &amp; 395)</f>
        <v>0</v>
      </c>
    </row>
    <row r="401" spans="7:22" x14ac:dyDescent="0.25">
      <c r="G401" cm="1">
        <f t="array" aca="1" ref="G401" ca="1">INDIRECT("Data!A" &amp; 396)</f>
        <v>0</v>
      </c>
      <c r="H401" s="21" cm="1">
        <f t="array" aca="1" ref="H401" ca="1">INDIRECT("Data!B" &amp; 396)</f>
        <v>0</v>
      </c>
      <c r="I401" s="21" cm="1">
        <f t="array" aca="1" ref="I401" ca="1">INDIRECT("Data!C" &amp; 396)</f>
        <v>0</v>
      </c>
      <c r="J401" cm="1">
        <f t="array" aca="1" ref="J401" ca="1">INDIRECT("Data!D" &amp; 396)</f>
        <v>0</v>
      </c>
      <c r="K401" cm="1">
        <f t="array" aca="1" ref="K401" ca="1">INDIRECT("Data!E" &amp; 396)</f>
        <v>0</v>
      </c>
      <c r="L401" cm="1">
        <f t="array" aca="1" ref="L401" ca="1">INDIRECT("Data!F" &amp; 396)</f>
        <v>0</v>
      </c>
      <c r="M401" cm="1">
        <f t="array" aca="1" ref="M401" ca="1">INDIRECT("Data!G" &amp; 396)</f>
        <v>0</v>
      </c>
      <c r="N401" cm="1">
        <f t="array" aca="1" ref="N401" ca="1">INDIRECT("Data!H" &amp; 396)</f>
        <v>0</v>
      </c>
      <c r="O401" cm="1">
        <f t="array" aca="1" ref="O401" ca="1">INDIRECT("Data!I" &amp; 396)</f>
        <v>0</v>
      </c>
      <c r="P401" s="21" cm="1">
        <f t="array" aca="1" ref="P401" ca="1">INDIRECT("Data!J" &amp; 396)</f>
        <v>0</v>
      </c>
      <c r="Q401" cm="1">
        <f t="array" aca="1" ref="Q401" ca="1">INDIRECT("Data!K" &amp; 396)</f>
        <v>0</v>
      </c>
      <c r="R401" cm="1">
        <f t="array" aca="1" ref="R401" ca="1">INDIRECT("Data!L" &amp; 396)</f>
        <v>0</v>
      </c>
      <c r="S401" cm="1">
        <f t="array" aca="1" ref="S401" ca="1">INDIRECT("Data!M" &amp; 396)</f>
        <v>0</v>
      </c>
      <c r="T401" cm="1">
        <f t="array" aca="1" ref="T401" ca="1">INDIRECT("Data!N" &amp; 396)</f>
        <v>0</v>
      </c>
      <c r="U401" cm="1">
        <f t="array" aca="1" ref="U401" ca="1">INDIRECT("Data!O" &amp; 396)</f>
        <v>0</v>
      </c>
      <c r="V401" cm="1">
        <f t="array" aca="1" ref="V401" ca="1">INDIRECT("Data!P" &amp; 396)</f>
        <v>0</v>
      </c>
    </row>
    <row r="402" spans="7:22" x14ac:dyDescent="0.25">
      <c r="G402" cm="1">
        <f t="array" aca="1" ref="G402" ca="1">INDIRECT("Data!A" &amp; 397)</f>
        <v>0</v>
      </c>
      <c r="H402" s="21" cm="1">
        <f t="array" aca="1" ref="H402" ca="1">INDIRECT("Data!B" &amp; 397)</f>
        <v>0</v>
      </c>
      <c r="I402" s="21" cm="1">
        <f t="array" aca="1" ref="I402" ca="1">INDIRECT("Data!C" &amp; 397)</f>
        <v>0</v>
      </c>
      <c r="J402" cm="1">
        <f t="array" aca="1" ref="J402" ca="1">INDIRECT("Data!D" &amp; 397)</f>
        <v>0</v>
      </c>
      <c r="K402" cm="1">
        <f t="array" aca="1" ref="K402" ca="1">INDIRECT("Data!E" &amp; 397)</f>
        <v>0</v>
      </c>
      <c r="L402" cm="1">
        <f t="array" aca="1" ref="L402" ca="1">INDIRECT("Data!F" &amp; 397)</f>
        <v>0</v>
      </c>
      <c r="M402" cm="1">
        <f t="array" aca="1" ref="M402" ca="1">INDIRECT("Data!G" &amp; 397)</f>
        <v>0</v>
      </c>
      <c r="N402" cm="1">
        <f t="array" aca="1" ref="N402" ca="1">INDIRECT("Data!H" &amp; 397)</f>
        <v>0</v>
      </c>
      <c r="O402" cm="1">
        <f t="array" aca="1" ref="O402" ca="1">INDIRECT("Data!I" &amp; 397)</f>
        <v>0</v>
      </c>
      <c r="P402" s="21" cm="1">
        <f t="array" aca="1" ref="P402" ca="1">INDIRECT("Data!J" &amp; 397)</f>
        <v>0</v>
      </c>
      <c r="Q402" cm="1">
        <f t="array" aca="1" ref="Q402" ca="1">INDIRECT("Data!K" &amp; 397)</f>
        <v>0</v>
      </c>
      <c r="R402" cm="1">
        <f t="array" aca="1" ref="R402" ca="1">INDIRECT("Data!L" &amp; 397)</f>
        <v>0</v>
      </c>
      <c r="S402" cm="1">
        <f t="array" aca="1" ref="S402" ca="1">INDIRECT("Data!M" &amp; 397)</f>
        <v>0</v>
      </c>
      <c r="T402" cm="1">
        <f t="array" aca="1" ref="T402" ca="1">INDIRECT("Data!N" &amp; 397)</f>
        <v>0</v>
      </c>
      <c r="U402" cm="1">
        <f t="array" aca="1" ref="U402" ca="1">INDIRECT("Data!O" &amp; 397)</f>
        <v>0</v>
      </c>
      <c r="V402" cm="1">
        <f t="array" aca="1" ref="V402" ca="1">INDIRECT("Data!P" &amp; 397)</f>
        <v>0</v>
      </c>
    </row>
    <row r="403" spans="7:22" x14ac:dyDescent="0.25">
      <c r="G403" cm="1">
        <f t="array" aca="1" ref="G403" ca="1">INDIRECT("Data!A" &amp; 398)</f>
        <v>0</v>
      </c>
      <c r="H403" s="21" cm="1">
        <f t="array" aca="1" ref="H403" ca="1">INDIRECT("Data!B" &amp; 398)</f>
        <v>0</v>
      </c>
      <c r="I403" s="21" cm="1">
        <f t="array" aca="1" ref="I403" ca="1">INDIRECT("Data!C" &amp; 398)</f>
        <v>0</v>
      </c>
      <c r="J403" cm="1">
        <f t="array" aca="1" ref="J403" ca="1">INDIRECT("Data!D" &amp; 398)</f>
        <v>0</v>
      </c>
      <c r="K403" cm="1">
        <f t="array" aca="1" ref="K403" ca="1">INDIRECT("Data!E" &amp; 398)</f>
        <v>0</v>
      </c>
      <c r="L403" cm="1">
        <f t="array" aca="1" ref="L403" ca="1">INDIRECT("Data!F" &amp; 398)</f>
        <v>0</v>
      </c>
      <c r="M403" cm="1">
        <f t="array" aca="1" ref="M403" ca="1">INDIRECT("Data!G" &amp; 398)</f>
        <v>0</v>
      </c>
      <c r="N403" cm="1">
        <f t="array" aca="1" ref="N403" ca="1">INDIRECT("Data!H" &amp; 398)</f>
        <v>0</v>
      </c>
      <c r="O403" cm="1">
        <f t="array" aca="1" ref="O403" ca="1">INDIRECT("Data!I" &amp; 398)</f>
        <v>0</v>
      </c>
      <c r="P403" s="21" cm="1">
        <f t="array" aca="1" ref="P403" ca="1">INDIRECT("Data!J" &amp; 398)</f>
        <v>0</v>
      </c>
      <c r="Q403" cm="1">
        <f t="array" aca="1" ref="Q403" ca="1">INDIRECT("Data!K" &amp; 398)</f>
        <v>0</v>
      </c>
      <c r="R403" cm="1">
        <f t="array" aca="1" ref="R403" ca="1">INDIRECT("Data!L" &amp; 398)</f>
        <v>0</v>
      </c>
      <c r="S403" cm="1">
        <f t="array" aca="1" ref="S403" ca="1">INDIRECT("Data!M" &amp; 398)</f>
        <v>0</v>
      </c>
      <c r="T403" cm="1">
        <f t="array" aca="1" ref="T403" ca="1">INDIRECT("Data!N" &amp; 398)</f>
        <v>0</v>
      </c>
      <c r="U403" cm="1">
        <f t="array" aca="1" ref="U403" ca="1">INDIRECT("Data!O" &amp; 398)</f>
        <v>0</v>
      </c>
      <c r="V403" cm="1">
        <f t="array" aca="1" ref="V403" ca="1">INDIRECT("Data!P" &amp; 398)</f>
        <v>0</v>
      </c>
    </row>
    <row r="404" spans="7:22" x14ac:dyDescent="0.25">
      <c r="G404" cm="1">
        <f t="array" aca="1" ref="G404" ca="1">INDIRECT("Data!A" &amp; 399)</f>
        <v>0</v>
      </c>
      <c r="H404" s="21" cm="1">
        <f t="array" aca="1" ref="H404" ca="1">INDIRECT("Data!B" &amp; 399)</f>
        <v>0</v>
      </c>
      <c r="I404" s="21" cm="1">
        <f t="array" aca="1" ref="I404" ca="1">INDIRECT("Data!C" &amp; 399)</f>
        <v>0</v>
      </c>
      <c r="J404" cm="1">
        <f t="array" aca="1" ref="J404" ca="1">INDIRECT("Data!D" &amp; 399)</f>
        <v>0</v>
      </c>
      <c r="K404" cm="1">
        <f t="array" aca="1" ref="K404" ca="1">INDIRECT("Data!E" &amp; 399)</f>
        <v>0</v>
      </c>
      <c r="L404" cm="1">
        <f t="array" aca="1" ref="L404" ca="1">INDIRECT("Data!F" &amp; 399)</f>
        <v>0</v>
      </c>
      <c r="M404" cm="1">
        <f t="array" aca="1" ref="M404" ca="1">INDIRECT("Data!G" &amp; 399)</f>
        <v>0</v>
      </c>
      <c r="N404" cm="1">
        <f t="array" aca="1" ref="N404" ca="1">INDIRECT("Data!H" &amp; 399)</f>
        <v>0</v>
      </c>
      <c r="O404" cm="1">
        <f t="array" aca="1" ref="O404" ca="1">INDIRECT("Data!I" &amp; 399)</f>
        <v>0</v>
      </c>
      <c r="P404" s="21" cm="1">
        <f t="array" aca="1" ref="P404" ca="1">INDIRECT("Data!J" &amp; 399)</f>
        <v>0</v>
      </c>
      <c r="Q404" cm="1">
        <f t="array" aca="1" ref="Q404" ca="1">INDIRECT("Data!K" &amp; 399)</f>
        <v>0</v>
      </c>
      <c r="R404" cm="1">
        <f t="array" aca="1" ref="R404" ca="1">INDIRECT("Data!L" &amp; 399)</f>
        <v>0</v>
      </c>
      <c r="S404" cm="1">
        <f t="array" aca="1" ref="S404" ca="1">INDIRECT("Data!M" &amp; 399)</f>
        <v>0</v>
      </c>
      <c r="T404" cm="1">
        <f t="array" aca="1" ref="T404" ca="1">INDIRECT("Data!N" &amp; 399)</f>
        <v>0</v>
      </c>
      <c r="U404" cm="1">
        <f t="array" aca="1" ref="U404" ca="1">INDIRECT("Data!O" &amp; 399)</f>
        <v>0</v>
      </c>
      <c r="V404" cm="1">
        <f t="array" aca="1" ref="V404" ca="1">INDIRECT("Data!P" &amp; 399)</f>
        <v>0</v>
      </c>
    </row>
    <row r="405" spans="7:22" x14ac:dyDescent="0.25">
      <c r="G405" cm="1">
        <f t="array" aca="1" ref="G405" ca="1">INDIRECT("Data!A" &amp; 400)</f>
        <v>0</v>
      </c>
      <c r="H405" s="21" cm="1">
        <f t="array" aca="1" ref="H405" ca="1">INDIRECT("Data!B" &amp; 400)</f>
        <v>0</v>
      </c>
      <c r="I405" s="21" cm="1">
        <f t="array" aca="1" ref="I405" ca="1">INDIRECT("Data!C" &amp; 400)</f>
        <v>0</v>
      </c>
      <c r="J405" cm="1">
        <f t="array" aca="1" ref="J405" ca="1">INDIRECT("Data!D" &amp; 400)</f>
        <v>0</v>
      </c>
      <c r="K405" cm="1">
        <f t="array" aca="1" ref="K405" ca="1">INDIRECT("Data!E" &amp; 400)</f>
        <v>0</v>
      </c>
      <c r="L405" cm="1">
        <f t="array" aca="1" ref="L405" ca="1">INDIRECT("Data!F" &amp; 400)</f>
        <v>0</v>
      </c>
      <c r="M405" cm="1">
        <f t="array" aca="1" ref="M405" ca="1">INDIRECT("Data!G" &amp; 400)</f>
        <v>0</v>
      </c>
      <c r="N405" cm="1">
        <f t="array" aca="1" ref="N405" ca="1">INDIRECT("Data!H" &amp; 400)</f>
        <v>0</v>
      </c>
      <c r="O405" cm="1">
        <f t="array" aca="1" ref="O405" ca="1">INDIRECT("Data!I" &amp; 400)</f>
        <v>0</v>
      </c>
      <c r="P405" s="21" cm="1">
        <f t="array" aca="1" ref="P405" ca="1">INDIRECT("Data!J" &amp; 400)</f>
        <v>0</v>
      </c>
      <c r="Q405" cm="1">
        <f t="array" aca="1" ref="Q405" ca="1">INDIRECT("Data!K" &amp; 400)</f>
        <v>0</v>
      </c>
      <c r="R405" cm="1">
        <f t="array" aca="1" ref="R405" ca="1">INDIRECT("Data!L" &amp; 400)</f>
        <v>0</v>
      </c>
      <c r="S405" cm="1">
        <f t="array" aca="1" ref="S405" ca="1">INDIRECT("Data!M" &amp; 400)</f>
        <v>0</v>
      </c>
      <c r="T405" cm="1">
        <f t="array" aca="1" ref="T405" ca="1">INDIRECT("Data!N" &amp; 400)</f>
        <v>0</v>
      </c>
      <c r="U405" cm="1">
        <f t="array" aca="1" ref="U405" ca="1">INDIRECT("Data!O" &amp; 400)</f>
        <v>0</v>
      </c>
      <c r="V405" cm="1">
        <f t="array" aca="1" ref="V405" ca="1">INDIRECT("Data!P" &amp; 400)</f>
        <v>0</v>
      </c>
    </row>
    <row r="406" spans="7:22" x14ac:dyDescent="0.25">
      <c r="G406" cm="1">
        <f t="array" aca="1" ref="G406" ca="1">INDIRECT("Data!A" &amp; 401)</f>
        <v>0</v>
      </c>
      <c r="H406" s="21" cm="1">
        <f t="array" aca="1" ref="H406" ca="1">INDIRECT("Data!B" &amp; 401)</f>
        <v>0</v>
      </c>
      <c r="I406" s="21" cm="1">
        <f t="array" aca="1" ref="I406" ca="1">INDIRECT("Data!C" &amp; 401)</f>
        <v>0</v>
      </c>
      <c r="J406" cm="1">
        <f t="array" aca="1" ref="J406" ca="1">INDIRECT("Data!D" &amp; 401)</f>
        <v>0</v>
      </c>
      <c r="K406" cm="1">
        <f t="array" aca="1" ref="K406" ca="1">INDIRECT("Data!E" &amp; 401)</f>
        <v>0</v>
      </c>
      <c r="L406" cm="1">
        <f t="array" aca="1" ref="L406" ca="1">INDIRECT("Data!F" &amp; 401)</f>
        <v>0</v>
      </c>
      <c r="M406" cm="1">
        <f t="array" aca="1" ref="M406" ca="1">INDIRECT("Data!G" &amp; 401)</f>
        <v>0</v>
      </c>
      <c r="N406" cm="1">
        <f t="array" aca="1" ref="N406" ca="1">INDIRECT("Data!H" &amp; 401)</f>
        <v>0</v>
      </c>
      <c r="O406" cm="1">
        <f t="array" aca="1" ref="O406" ca="1">INDIRECT("Data!I" &amp; 401)</f>
        <v>0</v>
      </c>
      <c r="P406" s="21" cm="1">
        <f t="array" aca="1" ref="P406" ca="1">INDIRECT("Data!J" &amp; 401)</f>
        <v>0</v>
      </c>
      <c r="Q406" cm="1">
        <f t="array" aca="1" ref="Q406" ca="1">INDIRECT("Data!K" &amp; 401)</f>
        <v>0</v>
      </c>
      <c r="R406" cm="1">
        <f t="array" aca="1" ref="R406" ca="1">INDIRECT("Data!L" &amp; 401)</f>
        <v>0</v>
      </c>
      <c r="S406" cm="1">
        <f t="array" aca="1" ref="S406" ca="1">INDIRECT("Data!M" &amp; 401)</f>
        <v>0</v>
      </c>
      <c r="T406" cm="1">
        <f t="array" aca="1" ref="T406" ca="1">INDIRECT("Data!N" &amp; 401)</f>
        <v>0</v>
      </c>
      <c r="U406" cm="1">
        <f t="array" aca="1" ref="U406" ca="1">INDIRECT("Data!O" &amp; 401)</f>
        <v>0</v>
      </c>
      <c r="V406" cm="1">
        <f t="array" aca="1" ref="V406" ca="1">INDIRECT("Data!P" &amp; 401)</f>
        <v>0</v>
      </c>
    </row>
    <row r="407" spans="7:22" x14ac:dyDescent="0.25">
      <c r="G407" cm="1">
        <f t="array" aca="1" ref="G407" ca="1">INDIRECT("Data!A" &amp; 402)</f>
        <v>0</v>
      </c>
      <c r="H407" s="21" cm="1">
        <f t="array" aca="1" ref="H407" ca="1">INDIRECT("Data!B" &amp; 402)</f>
        <v>0</v>
      </c>
      <c r="I407" s="21" cm="1">
        <f t="array" aca="1" ref="I407" ca="1">INDIRECT("Data!C" &amp; 402)</f>
        <v>0</v>
      </c>
      <c r="J407" cm="1">
        <f t="array" aca="1" ref="J407" ca="1">INDIRECT("Data!D" &amp; 402)</f>
        <v>0</v>
      </c>
      <c r="K407" cm="1">
        <f t="array" aca="1" ref="K407" ca="1">INDIRECT("Data!E" &amp; 402)</f>
        <v>0</v>
      </c>
      <c r="L407" cm="1">
        <f t="array" aca="1" ref="L407" ca="1">INDIRECT("Data!F" &amp; 402)</f>
        <v>0</v>
      </c>
      <c r="M407" cm="1">
        <f t="array" aca="1" ref="M407" ca="1">INDIRECT("Data!G" &amp; 402)</f>
        <v>0</v>
      </c>
      <c r="N407" cm="1">
        <f t="array" aca="1" ref="N407" ca="1">INDIRECT("Data!H" &amp; 402)</f>
        <v>0</v>
      </c>
      <c r="O407" cm="1">
        <f t="array" aca="1" ref="O407" ca="1">INDIRECT("Data!I" &amp; 402)</f>
        <v>0</v>
      </c>
      <c r="P407" s="21" cm="1">
        <f t="array" aca="1" ref="P407" ca="1">INDIRECT("Data!J" &amp; 402)</f>
        <v>0</v>
      </c>
      <c r="Q407" cm="1">
        <f t="array" aca="1" ref="Q407" ca="1">INDIRECT("Data!K" &amp; 402)</f>
        <v>0</v>
      </c>
      <c r="R407" cm="1">
        <f t="array" aca="1" ref="R407" ca="1">INDIRECT("Data!L" &amp; 402)</f>
        <v>0</v>
      </c>
      <c r="S407" cm="1">
        <f t="array" aca="1" ref="S407" ca="1">INDIRECT("Data!M" &amp; 402)</f>
        <v>0</v>
      </c>
      <c r="T407" cm="1">
        <f t="array" aca="1" ref="T407" ca="1">INDIRECT("Data!N" &amp; 402)</f>
        <v>0</v>
      </c>
      <c r="U407" cm="1">
        <f t="array" aca="1" ref="U407" ca="1">INDIRECT("Data!O" &amp; 402)</f>
        <v>0</v>
      </c>
      <c r="V407" cm="1">
        <f t="array" aca="1" ref="V407" ca="1">INDIRECT("Data!P" &amp; 402)</f>
        <v>0</v>
      </c>
    </row>
    <row r="408" spans="7:22" x14ac:dyDescent="0.25">
      <c r="G408" cm="1">
        <f t="array" aca="1" ref="G408" ca="1">INDIRECT("Data!A" &amp; 403)</f>
        <v>0</v>
      </c>
      <c r="H408" s="21" cm="1">
        <f t="array" aca="1" ref="H408" ca="1">INDIRECT("Data!B" &amp; 403)</f>
        <v>0</v>
      </c>
      <c r="I408" s="21" cm="1">
        <f t="array" aca="1" ref="I408" ca="1">INDIRECT("Data!C" &amp; 403)</f>
        <v>0</v>
      </c>
      <c r="J408" cm="1">
        <f t="array" aca="1" ref="J408" ca="1">INDIRECT("Data!D" &amp; 403)</f>
        <v>0</v>
      </c>
      <c r="K408" cm="1">
        <f t="array" aca="1" ref="K408" ca="1">INDIRECT("Data!E" &amp; 403)</f>
        <v>0</v>
      </c>
      <c r="L408" cm="1">
        <f t="array" aca="1" ref="L408" ca="1">INDIRECT("Data!F" &amp; 403)</f>
        <v>0</v>
      </c>
      <c r="M408" cm="1">
        <f t="array" aca="1" ref="M408" ca="1">INDIRECT("Data!G" &amp; 403)</f>
        <v>0</v>
      </c>
      <c r="N408" cm="1">
        <f t="array" aca="1" ref="N408" ca="1">INDIRECT("Data!H" &amp; 403)</f>
        <v>0</v>
      </c>
      <c r="O408" cm="1">
        <f t="array" aca="1" ref="O408" ca="1">INDIRECT("Data!I" &amp; 403)</f>
        <v>0</v>
      </c>
      <c r="P408" s="21" cm="1">
        <f t="array" aca="1" ref="P408" ca="1">INDIRECT("Data!J" &amp; 403)</f>
        <v>0</v>
      </c>
      <c r="Q408" cm="1">
        <f t="array" aca="1" ref="Q408" ca="1">INDIRECT("Data!K" &amp; 403)</f>
        <v>0</v>
      </c>
      <c r="R408" cm="1">
        <f t="array" aca="1" ref="R408" ca="1">INDIRECT("Data!L" &amp; 403)</f>
        <v>0</v>
      </c>
      <c r="S408" cm="1">
        <f t="array" aca="1" ref="S408" ca="1">INDIRECT("Data!M" &amp; 403)</f>
        <v>0</v>
      </c>
      <c r="T408" cm="1">
        <f t="array" aca="1" ref="T408" ca="1">INDIRECT("Data!N" &amp; 403)</f>
        <v>0</v>
      </c>
      <c r="U408" cm="1">
        <f t="array" aca="1" ref="U408" ca="1">INDIRECT("Data!O" &amp; 403)</f>
        <v>0</v>
      </c>
      <c r="V408" cm="1">
        <f t="array" aca="1" ref="V408" ca="1">INDIRECT("Data!P" &amp; 403)</f>
        <v>0</v>
      </c>
    </row>
    <row r="409" spans="7:22" x14ac:dyDescent="0.25">
      <c r="G409" cm="1">
        <f t="array" aca="1" ref="G409" ca="1">INDIRECT("Data!A" &amp; 404)</f>
        <v>0</v>
      </c>
      <c r="H409" s="21" cm="1">
        <f t="array" aca="1" ref="H409" ca="1">INDIRECT("Data!B" &amp; 404)</f>
        <v>0</v>
      </c>
      <c r="I409" s="21" cm="1">
        <f t="array" aca="1" ref="I409" ca="1">INDIRECT("Data!C" &amp; 404)</f>
        <v>0</v>
      </c>
      <c r="J409" cm="1">
        <f t="array" aca="1" ref="J409" ca="1">INDIRECT("Data!D" &amp; 404)</f>
        <v>0</v>
      </c>
      <c r="K409" cm="1">
        <f t="array" aca="1" ref="K409" ca="1">INDIRECT("Data!E" &amp; 404)</f>
        <v>0</v>
      </c>
      <c r="L409" cm="1">
        <f t="array" aca="1" ref="L409" ca="1">INDIRECT("Data!F" &amp; 404)</f>
        <v>0</v>
      </c>
      <c r="M409" cm="1">
        <f t="array" aca="1" ref="M409" ca="1">INDIRECT("Data!G" &amp; 404)</f>
        <v>0</v>
      </c>
      <c r="N409" cm="1">
        <f t="array" aca="1" ref="N409" ca="1">INDIRECT("Data!H" &amp; 404)</f>
        <v>0</v>
      </c>
      <c r="O409" cm="1">
        <f t="array" aca="1" ref="O409" ca="1">INDIRECT("Data!I" &amp; 404)</f>
        <v>0</v>
      </c>
      <c r="P409" s="21" cm="1">
        <f t="array" aca="1" ref="P409" ca="1">INDIRECT("Data!J" &amp; 404)</f>
        <v>0</v>
      </c>
      <c r="Q409" cm="1">
        <f t="array" aca="1" ref="Q409" ca="1">INDIRECT("Data!K" &amp; 404)</f>
        <v>0</v>
      </c>
      <c r="R409" cm="1">
        <f t="array" aca="1" ref="R409" ca="1">INDIRECT("Data!L" &amp; 404)</f>
        <v>0</v>
      </c>
      <c r="S409" cm="1">
        <f t="array" aca="1" ref="S409" ca="1">INDIRECT("Data!M" &amp; 404)</f>
        <v>0</v>
      </c>
      <c r="T409" cm="1">
        <f t="array" aca="1" ref="T409" ca="1">INDIRECT("Data!N" &amp; 404)</f>
        <v>0</v>
      </c>
      <c r="U409" cm="1">
        <f t="array" aca="1" ref="U409" ca="1">INDIRECT("Data!O" &amp; 404)</f>
        <v>0</v>
      </c>
      <c r="V409" cm="1">
        <f t="array" aca="1" ref="V409" ca="1">INDIRECT("Data!P" &amp; 404)</f>
        <v>0</v>
      </c>
    </row>
    <row r="410" spans="7:22" x14ac:dyDescent="0.25">
      <c r="G410" cm="1">
        <f t="array" aca="1" ref="G410" ca="1">INDIRECT("Data!A" &amp; 405)</f>
        <v>0</v>
      </c>
      <c r="H410" s="21" cm="1">
        <f t="array" aca="1" ref="H410" ca="1">INDIRECT("Data!B" &amp; 405)</f>
        <v>0</v>
      </c>
      <c r="I410" s="21" cm="1">
        <f t="array" aca="1" ref="I410" ca="1">INDIRECT("Data!C" &amp; 405)</f>
        <v>0</v>
      </c>
      <c r="J410" cm="1">
        <f t="array" aca="1" ref="J410" ca="1">INDIRECT("Data!D" &amp; 405)</f>
        <v>0</v>
      </c>
      <c r="K410" cm="1">
        <f t="array" aca="1" ref="K410" ca="1">INDIRECT("Data!E" &amp; 405)</f>
        <v>0</v>
      </c>
      <c r="L410" cm="1">
        <f t="array" aca="1" ref="L410" ca="1">INDIRECT("Data!F" &amp; 405)</f>
        <v>0</v>
      </c>
      <c r="M410" cm="1">
        <f t="array" aca="1" ref="M410" ca="1">INDIRECT("Data!G" &amp; 405)</f>
        <v>0</v>
      </c>
      <c r="N410" cm="1">
        <f t="array" aca="1" ref="N410" ca="1">INDIRECT("Data!H" &amp; 405)</f>
        <v>0</v>
      </c>
      <c r="O410" cm="1">
        <f t="array" aca="1" ref="O410" ca="1">INDIRECT("Data!I" &amp; 405)</f>
        <v>0</v>
      </c>
      <c r="P410" s="21" cm="1">
        <f t="array" aca="1" ref="P410" ca="1">INDIRECT("Data!J" &amp; 405)</f>
        <v>0</v>
      </c>
      <c r="Q410" cm="1">
        <f t="array" aca="1" ref="Q410" ca="1">INDIRECT("Data!K" &amp; 405)</f>
        <v>0</v>
      </c>
      <c r="R410" cm="1">
        <f t="array" aca="1" ref="R410" ca="1">INDIRECT("Data!L" &amp; 405)</f>
        <v>0</v>
      </c>
      <c r="S410" cm="1">
        <f t="array" aca="1" ref="S410" ca="1">INDIRECT("Data!M" &amp; 405)</f>
        <v>0</v>
      </c>
      <c r="T410" cm="1">
        <f t="array" aca="1" ref="T410" ca="1">INDIRECT("Data!N" &amp; 405)</f>
        <v>0</v>
      </c>
      <c r="U410" cm="1">
        <f t="array" aca="1" ref="U410" ca="1">INDIRECT("Data!O" &amp; 405)</f>
        <v>0</v>
      </c>
      <c r="V410" cm="1">
        <f t="array" aca="1" ref="V410" ca="1">INDIRECT("Data!P" &amp; 405)</f>
        <v>0</v>
      </c>
    </row>
    <row r="411" spans="7:22" x14ac:dyDescent="0.25">
      <c r="G411" cm="1">
        <f t="array" aca="1" ref="G411" ca="1">INDIRECT("Data!A" &amp; 406)</f>
        <v>0</v>
      </c>
      <c r="H411" s="21" cm="1">
        <f t="array" aca="1" ref="H411" ca="1">INDIRECT("Data!B" &amp; 406)</f>
        <v>0</v>
      </c>
      <c r="I411" s="21" cm="1">
        <f t="array" aca="1" ref="I411" ca="1">INDIRECT("Data!C" &amp; 406)</f>
        <v>0</v>
      </c>
      <c r="J411" cm="1">
        <f t="array" aca="1" ref="J411" ca="1">INDIRECT("Data!D" &amp; 406)</f>
        <v>0</v>
      </c>
      <c r="K411" cm="1">
        <f t="array" aca="1" ref="K411" ca="1">INDIRECT("Data!E" &amp; 406)</f>
        <v>0</v>
      </c>
      <c r="L411" cm="1">
        <f t="array" aca="1" ref="L411" ca="1">INDIRECT("Data!F" &amp; 406)</f>
        <v>0</v>
      </c>
      <c r="M411" cm="1">
        <f t="array" aca="1" ref="M411" ca="1">INDIRECT("Data!G" &amp; 406)</f>
        <v>0</v>
      </c>
      <c r="N411" cm="1">
        <f t="array" aca="1" ref="N411" ca="1">INDIRECT("Data!H" &amp; 406)</f>
        <v>0</v>
      </c>
      <c r="O411" cm="1">
        <f t="array" aca="1" ref="O411" ca="1">INDIRECT("Data!I" &amp; 406)</f>
        <v>0</v>
      </c>
      <c r="P411" s="21" cm="1">
        <f t="array" aca="1" ref="P411" ca="1">INDIRECT("Data!J" &amp; 406)</f>
        <v>0</v>
      </c>
      <c r="Q411" cm="1">
        <f t="array" aca="1" ref="Q411" ca="1">INDIRECT("Data!K" &amp; 406)</f>
        <v>0</v>
      </c>
      <c r="R411" cm="1">
        <f t="array" aca="1" ref="R411" ca="1">INDIRECT("Data!L" &amp; 406)</f>
        <v>0</v>
      </c>
      <c r="S411" cm="1">
        <f t="array" aca="1" ref="S411" ca="1">INDIRECT("Data!M" &amp; 406)</f>
        <v>0</v>
      </c>
      <c r="T411" cm="1">
        <f t="array" aca="1" ref="T411" ca="1">INDIRECT("Data!N" &amp; 406)</f>
        <v>0</v>
      </c>
      <c r="U411" cm="1">
        <f t="array" aca="1" ref="U411" ca="1">INDIRECT("Data!O" &amp; 406)</f>
        <v>0</v>
      </c>
      <c r="V411" cm="1">
        <f t="array" aca="1" ref="V411" ca="1">INDIRECT("Data!P" &amp; 406)</f>
        <v>0</v>
      </c>
    </row>
    <row r="412" spans="7:22" x14ac:dyDescent="0.25">
      <c r="G412" cm="1">
        <f t="array" aca="1" ref="G412" ca="1">INDIRECT("Data!A" &amp; 407)</f>
        <v>0</v>
      </c>
      <c r="H412" s="21" cm="1">
        <f t="array" aca="1" ref="H412" ca="1">INDIRECT("Data!B" &amp; 407)</f>
        <v>0</v>
      </c>
      <c r="I412" s="21" cm="1">
        <f t="array" aca="1" ref="I412" ca="1">INDIRECT("Data!C" &amp; 407)</f>
        <v>0</v>
      </c>
      <c r="J412" cm="1">
        <f t="array" aca="1" ref="J412" ca="1">INDIRECT("Data!D" &amp; 407)</f>
        <v>0</v>
      </c>
      <c r="K412" cm="1">
        <f t="array" aca="1" ref="K412" ca="1">INDIRECT("Data!E" &amp; 407)</f>
        <v>0</v>
      </c>
      <c r="L412" cm="1">
        <f t="array" aca="1" ref="L412" ca="1">INDIRECT("Data!F" &amp; 407)</f>
        <v>0</v>
      </c>
      <c r="M412" cm="1">
        <f t="array" aca="1" ref="M412" ca="1">INDIRECT("Data!G" &amp; 407)</f>
        <v>0</v>
      </c>
      <c r="N412" cm="1">
        <f t="array" aca="1" ref="N412" ca="1">INDIRECT("Data!H" &amp; 407)</f>
        <v>0</v>
      </c>
      <c r="O412" cm="1">
        <f t="array" aca="1" ref="O412" ca="1">INDIRECT("Data!I" &amp; 407)</f>
        <v>0</v>
      </c>
      <c r="P412" s="21" cm="1">
        <f t="array" aca="1" ref="P412" ca="1">INDIRECT("Data!J" &amp; 407)</f>
        <v>0</v>
      </c>
      <c r="Q412" cm="1">
        <f t="array" aca="1" ref="Q412" ca="1">INDIRECT("Data!K" &amp; 407)</f>
        <v>0</v>
      </c>
      <c r="R412" cm="1">
        <f t="array" aca="1" ref="R412" ca="1">INDIRECT("Data!L" &amp; 407)</f>
        <v>0</v>
      </c>
      <c r="S412" cm="1">
        <f t="array" aca="1" ref="S412" ca="1">INDIRECT("Data!M" &amp; 407)</f>
        <v>0</v>
      </c>
      <c r="T412" cm="1">
        <f t="array" aca="1" ref="T412" ca="1">INDIRECT("Data!N" &amp; 407)</f>
        <v>0</v>
      </c>
      <c r="U412" cm="1">
        <f t="array" aca="1" ref="U412" ca="1">INDIRECT("Data!O" &amp; 407)</f>
        <v>0</v>
      </c>
      <c r="V412" cm="1">
        <f t="array" aca="1" ref="V412" ca="1">INDIRECT("Data!P" &amp; 407)</f>
        <v>0</v>
      </c>
    </row>
    <row r="413" spans="7:22" x14ac:dyDescent="0.25">
      <c r="G413" cm="1">
        <f t="array" aca="1" ref="G413" ca="1">INDIRECT("Data!A" &amp; 408)</f>
        <v>0</v>
      </c>
      <c r="H413" s="21" cm="1">
        <f t="array" aca="1" ref="H413" ca="1">INDIRECT("Data!B" &amp; 408)</f>
        <v>0</v>
      </c>
      <c r="I413" s="21" cm="1">
        <f t="array" aca="1" ref="I413" ca="1">INDIRECT("Data!C" &amp; 408)</f>
        <v>0</v>
      </c>
      <c r="J413" cm="1">
        <f t="array" aca="1" ref="J413" ca="1">INDIRECT("Data!D" &amp; 408)</f>
        <v>0</v>
      </c>
      <c r="K413" cm="1">
        <f t="array" aca="1" ref="K413" ca="1">INDIRECT("Data!E" &amp; 408)</f>
        <v>0</v>
      </c>
      <c r="L413" cm="1">
        <f t="array" aca="1" ref="L413" ca="1">INDIRECT("Data!F" &amp; 408)</f>
        <v>0</v>
      </c>
      <c r="M413" cm="1">
        <f t="array" aca="1" ref="M413" ca="1">INDIRECT("Data!G" &amp; 408)</f>
        <v>0</v>
      </c>
      <c r="N413" cm="1">
        <f t="array" aca="1" ref="N413" ca="1">INDIRECT("Data!H" &amp; 408)</f>
        <v>0</v>
      </c>
      <c r="O413" cm="1">
        <f t="array" aca="1" ref="O413" ca="1">INDIRECT("Data!I" &amp; 408)</f>
        <v>0</v>
      </c>
      <c r="P413" s="21" cm="1">
        <f t="array" aca="1" ref="P413" ca="1">INDIRECT("Data!J" &amp; 408)</f>
        <v>0</v>
      </c>
      <c r="Q413" cm="1">
        <f t="array" aca="1" ref="Q413" ca="1">INDIRECT("Data!K" &amp; 408)</f>
        <v>0</v>
      </c>
      <c r="R413" cm="1">
        <f t="array" aca="1" ref="R413" ca="1">INDIRECT("Data!L" &amp; 408)</f>
        <v>0</v>
      </c>
      <c r="S413" cm="1">
        <f t="array" aca="1" ref="S413" ca="1">INDIRECT("Data!M" &amp; 408)</f>
        <v>0</v>
      </c>
      <c r="T413" cm="1">
        <f t="array" aca="1" ref="T413" ca="1">INDIRECT("Data!N" &amp; 408)</f>
        <v>0</v>
      </c>
      <c r="U413" cm="1">
        <f t="array" aca="1" ref="U413" ca="1">INDIRECT("Data!O" &amp; 408)</f>
        <v>0</v>
      </c>
      <c r="V413" cm="1">
        <f t="array" aca="1" ref="V413" ca="1">INDIRECT("Data!P" &amp; 408)</f>
        <v>0</v>
      </c>
    </row>
    <row r="414" spans="7:22" x14ac:dyDescent="0.25">
      <c r="G414" cm="1">
        <f t="array" aca="1" ref="G414" ca="1">INDIRECT("Data!A" &amp; 409)</f>
        <v>0</v>
      </c>
      <c r="H414" s="21" cm="1">
        <f t="array" aca="1" ref="H414" ca="1">INDIRECT("Data!B" &amp; 409)</f>
        <v>0</v>
      </c>
      <c r="I414" s="21" cm="1">
        <f t="array" aca="1" ref="I414" ca="1">INDIRECT("Data!C" &amp; 409)</f>
        <v>0</v>
      </c>
      <c r="J414" cm="1">
        <f t="array" aca="1" ref="J414" ca="1">INDIRECT("Data!D" &amp; 409)</f>
        <v>0</v>
      </c>
      <c r="K414" cm="1">
        <f t="array" aca="1" ref="K414" ca="1">INDIRECT("Data!E" &amp; 409)</f>
        <v>0</v>
      </c>
      <c r="L414" cm="1">
        <f t="array" aca="1" ref="L414" ca="1">INDIRECT("Data!F" &amp; 409)</f>
        <v>0</v>
      </c>
      <c r="M414" cm="1">
        <f t="array" aca="1" ref="M414" ca="1">INDIRECT("Data!G" &amp; 409)</f>
        <v>0</v>
      </c>
      <c r="N414" cm="1">
        <f t="array" aca="1" ref="N414" ca="1">INDIRECT("Data!H" &amp; 409)</f>
        <v>0</v>
      </c>
      <c r="O414" cm="1">
        <f t="array" aca="1" ref="O414" ca="1">INDIRECT("Data!I" &amp; 409)</f>
        <v>0</v>
      </c>
      <c r="P414" s="21" cm="1">
        <f t="array" aca="1" ref="P414" ca="1">INDIRECT("Data!J" &amp; 409)</f>
        <v>0</v>
      </c>
      <c r="Q414" cm="1">
        <f t="array" aca="1" ref="Q414" ca="1">INDIRECT("Data!K" &amp; 409)</f>
        <v>0</v>
      </c>
      <c r="R414" cm="1">
        <f t="array" aca="1" ref="R414" ca="1">INDIRECT("Data!L" &amp; 409)</f>
        <v>0</v>
      </c>
      <c r="S414" cm="1">
        <f t="array" aca="1" ref="S414" ca="1">INDIRECT("Data!M" &amp; 409)</f>
        <v>0</v>
      </c>
      <c r="T414" cm="1">
        <f t="array" aca="1" ref="T414" ca="1">INDIRECT("Data!N" &amp; 409)</f>
        <v>0</v>
      </c>
      <c r="U414" cm="1">
        <f t="array" aca="1" ref="U414" ca="1">INDIRECT("Data!O" &amp; 409)</f>
        <v>0</v>
      </c>
      <c r="V414" cm="1">
        <f t="array" aca="1" ref="V414" ca="1">INDIRECT("Data!P" &amp; 409)</f>
        <v>0</v>
      </c>
    </row>
    <row r="415" spans="7:22" x14ac:dyDescent="0.25">
      <c r="G415" cm="1">
        <f t="array" aca="1" ref="G415" ca="1">INDIRECT("Data!A" &amp; 410)</f>
        <v>0</v>
      </c>
      <c r="H415" s="21" cm="1">
        <f t="array" aca="1" ref="H415" ca="1">INDIRECT("Data!B" &amp; 410)</f>
        <v>0</v>
      </c>
      <c r="I415" s="21" cm="1">
        <f t="array" aca="1" ref="I415" ca="1">INDIRECT("Data!C" &amp; 410)</f>
        <v>0</v>
      </c>
      <c r="J415" cm="1">
        <f t="array" aca="1" ref="J415" ca="1">INDIRECT("Data!D" &amp; 410)</f>
        <v>0</v>
      </c>
      <c r="K415" cm="1">
        <f t="array" aca="1" ref="K415" ca="1">INDIRECT("Data!E" &amp; 410)</f>
        <v>0</v>
      </c>
      <c r="L415" cm="1">
        <f t="array" aca="1" ref="L415" ca="1">INDIRECT("Data!F" &amp; 410)</f>
        <v>0</v>
      </c>
      <c r="M415" cm="1">
        <f t="array" aca="1" ref="M415" ca="1">INDIRECT("Data!G" &amp; 410)</f>
        <v>0</v>
      </c>
      <c r="N415" cm="1">
        <f t="array" aca="1" ref="N415" ca="1">INDIRECT("Data!H" &amp; 410)</f>
        <v>0</v>
      </c>
      <c r="O415" cm="1">
        <f t="array" aca="1" ref="O415" ca="1">INDIRECT("Data!I" &amp; 410)</f>
        <v>0</v>
      </c>
      <c r="P415" s="21" cm="1">
        <f t="array" aca="1" ref="P415" ca="1">INDIRECT("Data!J" &amp; 410)</f>
        <v>0</v>
      </c>
      <c r="Q415" cm="1">
        <f t="array" aca="1" ref="Q415" ca="1">INDIRECT("Data!K" &amp; 410)</f>
        <v>0</v>
      </c>
      <c r="R415" cm="1">
        <f t="array" aca="1" ref="R415" ca="1">INDIRECT("Data!L" &amp; 410)</f>
        <v>0</v>
      </c>
      <c r="S415" cm="1">
        <f t="array" aca="1" ref="S415" ca="1">INDIRECT("Data!M" &amp; 410)</f>
        <v>0</v>
      </c>
      <c r="T415" cm="1">
        <f t="array" aca="1" ref="T415" ca="1">INDIRECT("Data!N" &amp; 410)</f>
        <v>0</v>
      </c>
      <c r="U415" cm="1">
        <f t="array" aca="1" ref="U415" ca="1">INDIRECT("Data!O" &amp; 410)</f>
        <v>0</v>
      </c>
      <c r="V415" cm="1">
        <f t="array" aca="1" ref="V415" ca="1">INDIRECT("Data!P" &amp; 410)</f>
        <v>0</v>
      </c>
    </row>
    <row r="416" spans="7:22" x14ac:dyDescent="0.25">
      <c r="G416" cm="1">
        <f t="array" aca="1" ref="G416" ca="1">INDIRECT("Data!A" &amp; 411)</f>
        <v>0</v>
      </c>
      <c r="H416" s="21" cm="1">
        <f t="array" aca="1" ref="H416" ca="1">INDIRECT("Data!B" &amp; 411)</f>
        <v>0</v>
      </c>
      <c r="I416" s="21" cm="1">
        <f t="array" aca="1" ref="I416" ca="1">INDIRECT("Data!C" &amp; 411)</f>
        <v>0</v>
      </c>
      <c r="J416" cm="1">
        <f t="array" aca="1" ref="J416" ca="1">INDIRECT("Data!D" &amp; 411)</f>
        <v>0</v>
      </c>
      <c r="K416" cm="1">
        <f t="array" aca="1" ref="K416" ca="1">INDIRECT("Data!E" &amp; 411)</f>
        <v>0</v>
      </c>
      <c r="L416" cm="1">
        <f t="array" aca="1" ref="L416" ca="1">INDIRECT("Data!F" &amp; 411)</f>
        <v>0</v>
      </c>
      <c r="M416" cm="1">
        <f t="array" aca="1" ref="M416" ca="1">INDIRECT("Data!G" &amp; 411)</f>
        <v>0</v>
      </c>
      <c r="N416" cm="1">
        <f t="array" aca="1" ref="N416" ca="1">INDIRECT("Data!H" &amp; 411)</f>
        <v>0</v>
      </c>
      <c r="O416" cm="1">
        <f t="array" aca="1" ref="O416" ca="1">INDIRECT("Data!I" &amp; 411)</f>
        <v>0</v>
      </c>
      <c r="P416" s="21" cm="1">
        <f t="array" aca="1" ref="P416" ca="1">INDIRECT("Data!J" &amp; 411)</f>
        <v>0</v>
      </c>
      <c r="Q416" cm="1">
        <f t="array" aca="1" ref="Q416" ca="1">INDIRECT("Data!K" &amp; 411)</f>
        <v>0</v>
      </c>
      <c r="R416" cm="1">
        <f t="array" aca="1" ref="R416" ca="1">INDIRECT("Data!L" &amp; 411)</f>
        <v>0</v>
      </c>
      <c r="S416" cm="1">
        <f t="array" aca="1" ref="S416" ca="1">INDIRECT("Data!M" &amp; 411)</f>
        <v>0</v>
      </c>
      <c r="T416" cm="1">
        <f t="array" aca="1" ref="T416" ca="1">INDIRECT("Data!N" &amp; 411)</f>
        <v>0</v>
      </c>
      <c r="U416" cm="1">
        <f t="array" aca="1" ref="U416" ca="1">INDIRECT("Data!O" &amp; 411)</f>
        <v>0</v>
      </c>
      <c r="V416" cm="1">
        <f t="array" aca="1" ref="V416" ca="1">INDIRECT("Data!P" &amp; 411)</f>
        <v>0</v>
      </c>
    </row>
    <row r="417" spans="7:22" x14ac:dyDescent="0.25">
      <c r="G417" cm="1">
        <f t="array" aca="1" ref="G417" ca="1">INDIRECT("Data!A" &amp; 412)</f>
        <v>0</v>
      </c>
      <c r="H417" s="21" cm="1">
        <f t="array" aca="1" ref="H417" ca="1">INDIRECT("Data!B" &amp; 412)</f>
        <v>0</v>
      </c>
      <c r="I417" s="21" cm="1">
        <f t="array" aca="1" ref="I417" ca="1">INDIRECT("Data!C" &amp; 412)</f>
        <v>0</v>
      </c>
      <c r="J417" cm="1">
        <f t="array" aca="1" ref="J417" ca="1">INDIRECT("Data!D" &amp; 412)</f>
        <v>0</v>
      </c>
      <c r="K417" cm="1">
        <f t="array" aca="1" ref="K417" ca="1">INDIRECT("Data!E" &amp; 412)</f>
        <v>0</v>
      </c>
      <c r="L417" cm="1">
        <f t="array" aca="1" ref="L417" ca="1">INDIRECT("Data!F" &amp; 412)</f>
        <v>0</v>
      </c>
      <c r="M417" cm="1">
        <f t="array" aca="1" ref="M417" ca="1">INDIRECT("Data!G" &amp; 412)</f>
        <v>0</v>
      </c>
      <c r="N417" cm="1">
        <f t="array" aca="1" ref="N417" ca="1">INDIRECT("Data!H" &amp; 412)</f>
        <v>0</v>
      </c>
      <c r="O417" cm="1">
        <f t="array" aca="1" ref="O417" ca="1">INDIRECT("Data!I" &amp; 412)</f>
        <v>0</v>
      </c>
      <c r="P417" s="21" cm="1">
        <f t="array" aca="1" ref="P417" ca="1">INDIRECT("Data!J" &amp; 412)</f>
        <v>0</v>
      </c>
      <c r="Q417" cm="1">
        <f t="array" aca="1" ref="Q417" ca="1">INDIRECT("Data!K" &amp; 412)</f>
        <v>0</v>
      </c>
      <c r="R417" cm="1">
        <f t="array" aca="1" ref="R417" ca="1">INDIRECT("Data!L" &amp; 412)</f>
        <v>0</v>
      </c>
      <c r="S417" cm="1">
        <f t="array" aca="1" ref="S417" ca="1">INDIRECT("Data!M" &amp; 412)</f>
        <v>0</v>
      </c>
      <c r="T417" cm="1">
        <f t="array" aca="1" ref="T417" ca="1">INDIRECT("Data!N" &amp; 412)</f>
        <v>0</v>
      </c>
      <c r="U417" cm="1">
        <f t="array" aca="1" ref="U417" ca="1">INDIRECT("Data!O" &amp; 412)</f>
        <v>0</v>
      </c>
      <c r="V417" cm="1">
        <f t="array" aca="1" ref="V417" ca="1">INDIRECT("Data!P" &amp; 412)</f>
        <v>0</v>
      </c>
    </row>
    <row r="418" spans="7:22" x14ac:dyDescent="0.25">
      <c r="G418" cm="1">
        <f t="array" aca="1" ref="G418" ca="1">INDIRECT("Data!A" &amp; 413)</f>
        <v>0</v>
      </c>
      <c r="H418" s="21" cm="1">
        <f t="array" aca="1" ref="H418" ca="1">INDIRECT("Data!B" &amp; 413)</f>
        <v>0</v>
      </c>
      <c r="I418" s="21" cm="1">
        <f t="array" aca="1" ref="I418" ca="1">INDIRECT("Data!C" &amp; 413)</f>
        <v>0</v>
      </c>
      <c r="J418" cm="1">
        <f t="array" aca="1" ref="J418" ca="1">INDIRECT("Data!D" &amp; 413)</f>
        <v>0</v>
      </c>
      <c r="K418" cm="1">
        <f t="array" aca="1" ref="K418" ca="1">INDIRECT("Data!E" &amp; 413)</f>
        <v>0</v>
      </c>
      <c r="L418" cm="1">
        <f t="array" aca="1" ref="L418" ca="1">INDIRECT("Data!F" &amp; 413)</f>
        <v>0</v>
      </c>
      <c r="M418" cm="1">
        <f t="array" aca="1" ref="M418" ca="1">INDIRECT("Data!G" &amp; 413)</f>
        <v>0</v>
      </c>
      <c r="N418" cm="1">
        <f t="array" aca="1" ref="N418" ca="1">INDIRECT("Data!H" &amp; 413)</f>
        <v>0</v>
      </c>
      <c r="O418" cm="1">
        <f t="array" aca="1" ref="O418" ca="1">INDIRECT("Data!I" &amp; 413)</f>
        <v>0</v>
      </c>
      <c r="P418" s="21" cm="1">
        <f t="array" aca="1" ref="P418" ca="1">INDIRECT("Data!J" &amp; 413)</f>
        <v>0</v>
      </c>
      <c r="Q418" cm="1">
        <f t="array" aca="1" ref="Q418" ca="1">INDIRECT("Data!K" &amp; 413)</f>
        <v>0</v>
      </c>
      <c r="R418" cm="1">
        <f t="array" aca="1" ref="R418" ca="1">INDIRECT("Data!L" &amp; 413)</f>
        <v>0</v>
      </c>
      <c r="S418" cm="1">
        <f t="array" aca="1" ref="S418" ca="1">INDIRECT("Data!M" &amp; 413)</f>
        <v>0</v>
      </c>
      <c r="T418" cm="1">
        <f t="array" aca="1" ref="T418" ca="1">INDIRECT("Data!N" &amp; 413)</f>
        <v>0</v>
      </c>
      <c r="U418" cm="1">
        <f t="array" aca="1" ref="U418" ca="1">INDIRECT("Data!O" &amp; 413)</f>
        <v>0</v>
      </c>
      <c r="V418" cm="1">
        <f t="array" aca="1" ref="V418" ca="1">INDIRECT("Data!P" &amp; 413)</f>
        <v>0</v>
      </c>
    </row>
    <row r="419" spans="7:22" x14ac:dyDescent="0.25">
      <c r="G419" cm="1">
        <f t="array" aca="1" ref="G419" ca="1">INDIRECT("Data!A" &amp; 414)</f>
        <v>0</v>
      </c>
      <c r="H419" s="21" cm="1">
        <f t="array" aca="1" ref="H419" ca="1">INDIRECT("Data!B" &amp; 414)</f>
        <v>0</v>
      </c>
      <c r="I419" s="21" cm="1">
        <f t="array" aca="1" ref="I419" ca="1">INDIRECT("Data!C" &amp; 414)</f>
        <v>0</v>
      </c>
      <c r="J419" cm="1">
        <f t="array" aca="1" ref="J419" ca="1">INDIRECT("Data!D" &amp; 414)</f>
        <v>0</v>
      </c>
      <c r="K419" cm="1">
        <f t="array" aca="1" ref="K419" ca="1">INDIRECT("Data!E" &amp; 414)</f>
        <v>0</v>
      </c>
      <c r="L419" cm="1">
        <f t="array" aca="1" ref="L419" ca="1">INDIRECT("Data!F" &amp; 414)</f>
        <v>0</v>
      </c>
      <c r="M419" cm="1">
        <f t="array" aca="1" ref="M419" ca="1">INDIRECT("Data!G" &amp; 414)</f>
        <v>0</v>
      </c>
      <c r="N419" cm="1">
        <f t="array" aca="1" ref="N419" ca="1">INDIRECT("Data!H" &amp; 414)</f>
        <v>0</v>
      </c>
      <c r="O419" cm="1">
        <f t="array" aca="1" ref="O419" ca="1">INDIRECT("Data!I" &amp; 414)</f>
        <v>0</v>
      </c>
      <c r="P419" s="21" cm="1">
        <f t="array" aca="1" ref="P419" ca="1">INDIRECT("Data!J" &amp; 414)</f>
        <v>0</v>
      </c>
      <c r="Q419" cm="1">
        <f t="array" aca="1" ref="Q419" ca="1">INDIRECT("Data!K" &amp; 414)</f>
        <v>0</v>
      </c>
      <c r="R419" cm="1">
        <f t="array" aca="1" ref="R419" ca="1">INDIRECT("Data!L" &amp; 414)</f>
        <v>0</v>
      </c>
      <c r="S419" cm="1">
        <f t="array" aca="1" ref="S419" ca="1">INDIRECT("Data!M" &amp; 414)</f>
        <v>0</v>
      </c>
      <c r="T419" cm="1">
        <f t="array" aca="1" ref="T419" ca="1">INDIRECT("Data!N" &amp; 414)</f>
        <v>0</v>
      </c>
      <c r="U419" cm="1">
        <f t="array" aca="1" ref="U419" ca="1">INDIRECT("Data!O" &amp; 414)</f>
        <v>0</v>
      </c>
      <c r="V419" cm="1">
        <f t="array" aca="1" ref="V419" ca="1">INDIRECT("Data!P" &amp; 414)</f>
        <v>0</v>
      </c>
    </row>
    <row r="420" spans="7:22" x14ac:dyDescent="0.25">
      <c r="G420" cm="1">
        <f t="array" aca="1" ref="G420" ca="1">INDIRECT("Data!A" &amp; 415)</f>
        <v>0</v>
      </c>
      <c r="H420" s="21" cm="1">
        <f t="array" aca="1" ref="H420" ca="1">INDIRECT("Data!B" &amp; 415)</f>
        <v>0</v>
      </c>
      <c r="I420" s="21" cm="1">
        <f t="array" aca="1" ref="I420" ca="1">INDIRECT("Data!C" &amp; 415)</f>
        <v>0</v>
      </c>
      <c r="J420" cm="1">
        <f t="array" aca="1" ref="J420" ca="1">INDIRECT("Data!D" &amp; 415)</f>
        <v>0</v>
      </c>
      <c r="K420" cm="1">
        <f t="array" aca="1" ref="K420" ca="1">INDIRECT("Data!E" &amp; 415)</f>
        <v>0</v>
      </c>
      <c r="L420" cm="1">
        <f t="array" aca="1" ref="L420" ca="1">INDIRECT("Data!F" &amp; 415)</f>
        <v>0</v>
      </c>
      <c r="M420" cm="1">
        <f t="array" aca="1" ref="M420" ca="1">INDIRECT("Data!G" &amp; 415)</f>
        <v>0</v>
      </c>
      <c r="N420" cm="1">
        <f t="array" aca="1" ref="N420" ca="1">INDIRECT("Data!H" &amp; 415)</f>
        <v>0</v>
      </c>
      <c r="O420" cm="1">
        <f t="array" aca="1" ref="O420" ca="1">INDIRECT("Data!I" &amp; 415)</f>
        <v>0</v>
      </c>
      <c r="P420" s="21" cm="1">
        <f t="array" aca="1" ref="P420" ca="1">INDIRECT("Data!J" &amp; 415)</f>
        <v>0</v>
      </c>
      <c r="Q420" cm="1">
        <f t="array" aca="1" ref="Q420" ca="1">INDIRECT("Data!K" &amp; 415)</f>
        <v>0</v>
      </c>
      <c r="R420" cm="1">
        <f t="array" aca="1" ref="R420" ca="1">INDIRECT("Data!L" &amp; 415)</f>
        <v>0</v>
      </c>
      <c r="S420" cm="1">
        <f t="array" aca="1" ref="S420" ca="1">INDIRECT("Data!M" &amp; 415)</f>
        <v>0</v>
      </c>
      <c r="T420" cm="1">
        <f t="array" aca="1" ref="T420" ca="1">INDIRECT("Data!N" &amp; 415)</f>
        <v>0</v>
      </c>
      <c r="U420" cm="1">
        <f t="array" aca="1" ref="U420" ca="1">INDIRECT("Data!O" &amp; 415)</f>
        <v>0</v>
      </c>
      <c r="V420" cm="1">
        <f t="array" aca="1" ref="V420" ca="1">INDIRECT("Data!P" &amp; 415)</f>
        <v>0</v>
      </c>
    </row>
    <row r="421" spans="7:22" x14ac:dyDescent="0.25">
      <c r="G421" cm="1">
        <f t="array" aca="1" ref="G421" ca="1">INDIRECT("Data!A" &amp; 416)</f>
        <v>0</v>
      </c>
      <c r="H421" s="21" cm="1">
        <f t="array" aca="1" ref="H421" ca="1">INDIRECT("Data!B" &amp; 416)</f>
        <v>0</v>
      </c>
      <c r="I421" s="21" cm="1">
        <f t="array" aca="1" ref="I421" ca="1">INDIRECT("Data!C" &amp; 416)</f>
        <v>0</v>
      </c>
      <c r="J421" cm="1">
        <f t="array" aca="1" ref="J421" ca="1">INDIRECT("Data!D" &amp; 416)</f>
        <v>0</v>
      </c>
      <c r="K421" cm="1">
        <f t="array" aca="1" ref="K421" ca="1">INDIRECT("Data!E" &amp; 416)</f>
        <v>0</v>
      </c>
      <c r="L421" cm="1">
        <f t="array" aca="1" ref="L421" ca="1">INDIRECT("Data!F" &amp; 416)</f>
        <v>0</v>
      </c>
      <c r="M421" cm="1">
        <f t="array" aca="1" ref="M421" ca="1">INDIRECT("Data!G" &amp; 416)</f>
        <v>0</v>
      </c>
      <c r="N421" cm="1">
        <f t="array" aca="1" ref="N421" ca="1">INDIRECT("Data!H" &amp; 416)</f>
        <v>0</v>
      </c>
      <c r="O421" cm="1">
        <f t="array" aca="1" ref="O421" ca="1">INDIRECT("Data!I" &amp; 416)</f>
        <v>0</v>
      </c>
      <c r="P421" s="21" cm="1">
        <f t="array" aca="1" ref="P421" ca="1">INDIRECT("Data!J" &amp; 416)</f>
        <v>0</v>
      </c>
      <c r="Q421" cm="1">
        <f t="array" aca="1" ref="Q421" ca="1">INDIRECT("Data!K" &amp; 416)</f>
        <v>0</v>
      </c>
      <c r="R421" cm="1">
        <f t="array" aca="1" ref="R421" ca="1">INDIRECT("Data!L" &amp; 416)</f>
        <v>0</v>
      </c>
      <c r="S421" cm="1">
        <f t="array" aca="1" ref="S421" ca="1">INDIRECT("Data!M" &amp; 416)</f>
        <v>0</v>
      </c>
      <c r="T421" cm="1">
        <f t="array" aca="1" ref="T421" ca="1">INDIRECT("Data!N" &amp; 416)</f>
        <v>0</v>
      </c>
      <c r="U421" cm="1">
        <f t="array" aca="1" ref="U421" ca="1">INDIRECT("Data!O" &amp; 416)</f>
        <v>0</v>
      </c>
      <c r="V421" cm="1">
        <f t="array" aca="1" ref="V421" ca="1">INDIRECT("Data!P" &amp; 416)</f>
        <v>0</v>
      </c>
    </row>
    <row r="422" spans="7:22" x14ac:dyDescent="0.25">
      <c r="G422" cm="1">
        <f t="array" aca="1" ref="G422" ca="1">INDIRECT("Data!A" &amp; 417)</f>
        <v>0</v>
      </c>
      <c r="H422" s="21" cm="1">
        <f t="array" aca="1" ref="H422" ca="1">INDIRECT("Data!B" &amp; 417)</f>
        <v>0</v>
      </c>
      <c r="I422" s="21" cm="1">
        <f t="array" aca="1" ref="I422" ca="1">INDIRECT("Data!C" &amp; 417)</f>
        <v>0</v>
      </c>
      <c r="J422" cm="1">
        <f t="array" aca="1" ref="J422" ca="1">INDIRECT("Data!D" &amp; 417)</f>
        <v>0</v>
      </c>
      <c r="K422" cm="1">
        <f t="array" aca="1" ref="K422" ca="1">INDIRECT("Data!E" &amp; 417)</f>
        <v>0</v>
      </c>
      <c r="L422" cm="1">
        <f t="array" aca="1" ref="L422" ca="1">INDIRECT("Data!F" &amp; 417)</f>
        <v>0</v>
      </c>
      <c r="M422" cm="1">
        <f t="array" aca="1" ref="M422" ca="1">INDIRECT("Data!G" &amp; 417)</f>
        <v>0</v>
      </c>
      <c r="N422" cm="1">
        <f t="array" aca="1" ref="N422" ca="1">INDIRECT("Data!H" &amp; 417)</f>
        <v>0</v>
      </c>
      <c r="O422" cm="1">
        <f t="array" aca="1" ref="O422" ca="1">INDIRECT("Data!I" &amp; 417)</f>
        <v>0</v>
      </c>
      <c r="P422" s="21" cm="1">
        <f t="array" aca="1" ref="P422" ca="1">INDIRECT("Data!J" &amp; 417)</f>
        <v>0</v>
      </c>
      <c r="Q422" cm="1">
        <f t="array" aca="1" ref="Q422" ca="1">INDIRECT("Data!K" &amp; 417)</f>
        <v>0</v>
      </c>
      <c r="R422" cm="1">
        <f t="array" aca="1" ref="R422" ca="1">INDIRECT("Data!L" &amp; 417)</f>
        <v>0</v>
      </c>
      <c r="S422" cm="1">
        <f t="array" aca="1" ref="S422" ca="1">INDIRECT("Data!M" &amp; 417)</f>
        <v>0</v>
      </c>
      <c r="T422" cm="1">
        <f t="array" aca="1" ref="T422" ca="1">INDIRECT("Data!N" &amp; 417)</f>
        <v>0</v>
      </c>
      <c r="U422" cm="1">
        <f t="array" aca="1" ref="U422" ca="1">INDIRECT("Data!O" &amp; 417)</f>
        <v>0</v>
      </c>
      <c r="V422" cm="1">
        <f t="array" aca="1" ref="V422" ca="1">INDIRECT("Data!P" &amp; 417)</f>
        <v>0</v>
      </c>
    </row>
    <row r="423" spans="7:22" x14ac:dyDescent="0.25">
      <c r="G423" cm="1">
        <f t="array" aca="1" ref="G423" ca="1">INDIRECT("Data!A" &amp; 418)</f>
        <v>0</v>
      </c>
      <c r="H423" s="21" cm="1">
        <f t="array" aca="1" ref="H423" ca="1">INDIRECT("Data!B" &amp; 418)</f>
        <v>0</v>
      </c>
      <c r="I423" s="21" cm="1">
        <f t="array" aca="1" ref="I423" ca="1">INDIRECT("Data!C" &amp; 418)</f>
        <v>0</v>
      </c>
      <c r="J423" cm="1">
        <f t="array" aca="1" ref="J423" ca="1">INDIRECT("Data!D" &amp; 418)</f>
        <v>0</v>
      </c>
      <c r="K423" cm="1">
        <f t="array" aca="1" ref="K423" ca="1">INDIRECT("Data!E" &amp; 418)</f>
        <v>0</v>
      </c>
      <c r="L423" cm="1">
        <f t="array" aca="1" ref="L423" ca="1">INDIRECT("Data!F" &amp; 418)</f>
        <v>0</v>
      </c>
      <c r="M423" cm="1">
        <f t="array" aca="1" ref="M423" ca="1">INDIRECT("Data!G" &amp; 418)</f>
        <v>0</v>
      </c>
      <c r="N423" cm="1">
        <f t="array" aca="1" ref="N423" ca="1">INDIRECT("Data!H" &amp; 418)</f>
        <v>0</v>
      </c>
      <c r="O423" cm="1">
        <f t="array" aca="1" ref="O423" ca="1">INDIRECT("Data!I" &amp; 418)</f>
        <v>0</v>
      </c>
      <c r="P423" s="21" cm="1">
        <f t="array" aca="1" ref="P423" ca="1">INDIRECT("Data!J" &amp; 418)</f>
        <v>0</v>
      </c>
      <c r="Q423" cm="1">
        <f t="array" aca="1" ref="Q423" ca="1">INDIRECT("Data!K" &amp; 418)</f>
        <v>0</v>
      </c>
      <c r="R423" cm="1">
        <f t="array" aca="1" ref="R423" ca="1">INDIRECT("Data!L" &amp; 418)</f>
        <v>0</v>
      </c>
      <c r="S423" cm="1">
        <f t="array" aca="1" ref="S423" ca="1">INDIRECT("Data!M" &amp; 418)</f>
        <v>0</v>
      </c>
      <c r="T423" cm="1">
        <f t="array" aca="1" ref="T423" ca="1">INDIRECT("Data!N" &amp; 418)</f>
        <v>0</v>
      </c>
      <c r="U423" cm="1">
        <f t="array" aca="1" ref="U423" ca="1">INDIRECT("Data!O" &amp; 418)</f>
        <v>0</v>
      </c>
      <c r="V423" cm="1">
        <f t="array" aca="1" ref="V423" ca="1">INDIRECT("Data!P" &amp; 418)</f>
        <v>0</v>
      </c>
    </row>
    <row r="424" spans="7:22" x14ac:dyDescent="0.25">
      <c r="G424" cm="1">
        <f t="array" aca="1" ref="G424" ca="1">INDIRECT("Data!A" &amp; 419)</f>
        <v>0</v>
      </c>
      <c r="H424" s="21" cm="1">
        <f t="array" aca="1" ref="H424" ca="1">INDIRECT("Data!B" &amp; 419)</f>
        <v>0</v>
      </c>
      <c r="I424" s="21" cm="1">
        <f t="array" aca="1" ref="I424" ca="1">INDIRECT("Data!C" &amp; 419)</f>
        <v>0</v>
      </c>
      <c r="J424" cm="1">
        <f t="array" aca="1" ref="J424" ca="1">INDIRECT("Data!D" &amp; 419)</f>
        <v>0</v>
      </c>
      <c r="K424" cm="1">
        <f t="array" aca="1" ref="K424" ca="1">INDIRECT("Data!E" &amp; 419)</f>
        <v>0</v>
      </c>
      <c r="L424" cm="1">
        <f t="array" aca="1" ref="L424" ca="1">INDIRECT("Data!F" &amp; 419)</f>
        <v>0</v>
      </c>
      <c r="M424" cm="1">
        <f t="array" aca="1" ref="M424" ca="1">INDIRECT("Data!G" &amp; 419)</f>
        <v>0</v>
      </c>
      <c r="N424" cm="1">
        <f t="array" aca="1" ref="N424" ca="1">INDIRECT("Data!H" &amp; 419)</f>
        <v>0</v>
      </c>
      <c r="O424" cm="1">
        <f t="array" aca="1" ref="O424" ca="1">INDIRECT("Data!I" &amp; 419)</f>
        <v>0</v>
      </c>
      <c r="P424" s="21" cm="1">
        <f t="array" aca="1" ref="P424" ca="1">INDIRECT("Data!J" &amp; 419)</f>
        <v>0</v>
      </c>
      <c r="Q424" cm="1">
        <f t="array" aca="1" ref="Q424" ca="1">INDIRECT("Data!K" &amp; 419)</f>
        <v>0</v>
      </c>
      <c r="R424" cm="1">
        <f t="array" aca="1" ref="R424" ca="1">INDIRECT("Data!L" &amp; 419)</f>
        <v>0</v>
      </c>
      <c r="S424" cm="1">
        <f t="array" aca="1" ref="S424" ca="1">INDIRECT("Data!M" &amp; 419)</f>
        <v>0</v>
      </c>
      <c r="T424" cm="1">
        <f t="array" aca="1" ref="T424" ca="1">INDIRECT("Data!N" &amp; 419)</f>
        <v>0</v>
      </c>
      <c r="U424" cm="1">
        <f t="array" aca="1" ref="U424" ca="1">INDIRECT("Data!O" &amp; 419)</f>
        <v>0</v>
      </c>
      <c r="V424" cm="1">
        <f t="array" aca="1" ref="V424" ca="1">INDIRECT("Data!P" &amp; 419)</f>
        <v>0</v>
      </c>
    </row>
    <row r="425" spans="7:22" x14ac:dyDescent="0.25">
      <c r="G425" cm="1">
        <f t="array" aca="1" ref="G425" ca="1">INDIRECT("Data!A" &amp; 420)</f>
        <v>0</v>
      </c>
      <c r="H425" s="21" cm="1">
        <f t="array" aca="1" ref="H425" ca="1">INDIRECT("Data!B" &amp; 420)</f>
        <v>0</v>
      </c>
      <c r="I425" s="21" cm="1">
        <f t="array" aca="1" ref="I425" ca="1">INDIRECT("Data!C" &amp; 420)</f>
        <v>0</v>
      </c>
      <c r="J425" cm="1">
        <f t="array" aca="1" ref="J425" ca="1">INDIRECT("Data!D" &amp; 420)</f>
        <v>0</v>
      </c>
      <c r="K425" cm="1">
        <f t="array" aca="1" ref="K425" ca="1">INDIRECT("Data!E" &amp; 420)</f>
        <v>0</v>
      </c>
      <c r="L425" cm="1">
        <f t="array" aca="1" ref="L425" ca="1">INDIRECT("Data!F" &amp; 420)</f>
        <v>0</v>
      </c>
      <c r="M425" cm="1">
        <f t="array" aca="1" ref="M425" ca="1">INDIRECT("Data!G" &amp; 420)</f>
        <v>0</v>
      </c>
      <c r="N425" cm="1">
        <f t="array" aca="1" ref="N425" ca="1">INDIRECT("Data!H" &amp; 420)</f>
        <v>0</v>
      </c>
      <c r="O425" cm="1">
        <f t="array" aca="1" ref="O425" ca="1">INDIRECT("Data!I" &amp; 420)</f>
        <v>0</v>
      </c>
      <c r="P425" s="21" cm="1">
        <f t="array" aca="1" ref="P425" ca="1">INDIRECT("Data!J" &amp; 420)</f>
        <v>0</v>
      </c>
      <c r="Q425" cm="1">
        <f t="array" aca="1" ref="Q425" ca="1">INDIRECT("Data!K" &amp; 420)</f>
        <v>0</v>
      </c>
      <c r="R425" cm="1">
        <f t="array" aca="1" ref="R425" ca="1">INDIRECT("Data!L" &amp; 420)</f>
        <v>0</v>
      </c>
      <c r="S425" cm="1">
        <f t="array" aca="1" ref="S425" ca="1">INDIRECT("Data!M" &amp; 420)</f>
        <v>0</v>
      </c>
      <c r="T425" cm="1">
        <f t="array" aca="1" ref="T425" ca="1">INDIRECT("Data!N" &amp; 420)</f>
        <v>0</v>
      </c>
      <c r="U425" cm="1">
        <f t="array" aca="1" ref="U425" ca="1">INDIRECT("Data!O" &amp; 420)</f>
        <v>0</v>
      </c>
      <c r="V425" cm="1">
        <f t="array" aca="1" ref="V425" ca="1">INDIRECT("Data!P" &amp; 420)</f>
        <v>0</v>
      </c>
    </row>
    <row r="426" spans="7:22" x14ac:dyDescent="0.25">
      <c r="G426" cm="1">
        <f t="array" aca="1" ref="G426" ca="1">INDIRECT("Data!A" &amp; 421)</f>
        <v>0</v>
      </c>
      <c r="H426" s="21" cm="1">
        <f t="array" aca="1" ref="H426" ca="1">INDIRECT("Data!B" &amp; 421)</f>
        <v>0</v>
      </c>
      <c r="I426" s="21" cm="1">
        <f t="array" aca="1" ref="I426" ca="1">INDIRECT("Data!C" &amp; 421)</f>
        <v>0</v>
      </c>
      <c r="J426" cm="1">
        <f t="array" aca="1" ref="J426" ca="1">INDIRECT("Data!D" &amp; 421)</f>
        <v>0</v>
      </c>
      <c r="K426" cm="1">
        <f t="array" aca="1" ref="K426" ca="1">INDIRECT("Data!E" &amp; 421)</f>
        <v>0</v>
      </c>
      <c r="L426" cm="1">
        <f t="array" aca="1" ref="L426" ca="1">INDIRECT("Data!F" &amp; 421)</f>
        <v>0</v>
      </c>
      <c r="M426" cm="1">
        <f t="array" aca="1" ref="M426" ca="1">INDIRECT("Data!G" &amp; 421)</f>
        <v>0</v>
      </c>
      <c r="N426" cm="1">
        <f t="array" aca="1" ref="N426" ca="1">INDIRECT("Data!H" &amp; 421)</f>
        <v>0</v>
      </c>
      <c r="O426" cm="1">
        <f t="array" aca="1" ref="O426" ca="1">INDIRECT("Data!I" &amp; 421)</f>
        <v>0</v>
      </c>
      <c r="P426" s="21" cm="1">
        <f t="array" aca="1" ref="P426" ca="1">INDIRECT("Data!J" &amp; 421)</f>
        <v>0</v>
      </c>
      <c r="Q426" cm="1">
        <f t="array" aca="1" ref="Q426" ca="1">INDIRECT("Data!K" &amp; 421)</f>
        <v>0</v>
      </c>
      <c r="R426" cm="1">
        <f t="array" aca="1" ref="R426" ca="1">INDIRECT("Data!L" &amp; 421)</f>
        <v>0</v>
      </c>
      <c r="S426" cm="1">
        <f t="array" aca="1" ref="S426" ca="1">INDIRECT("Data!M" &amp; 421)</f>
        <v>0</v>
      </c>
      <c r="T426" cm="1">
        <f t="array" aca="1" ref="T426" ca="1">INDIRECT("Data!N" &amp; 421)</f>
        <v>0</v>
      </c>
      <c r="U426" cm="1">
        <f t="array" aca="1" ref="U426" ca="1">INDIRECT("Data!O" &amp; 421)</f>
        <v>0</v>
      </c>
      <c r="V426" cm="1">
        <f t="array" aca="1" ref="V426" ca="1">INDIRECT("Data!P" &amp; 421)</f>
        <v>0</v>
      </c>
    </row>
    <row r="427" spans="7:22" x14ac:dyDescent="0.25">
      <c r="G427" cm="1">
        <f t="array" aca="1" ref="G427" ca="1">INDIRECT("Data!A" &amp; 422)</f>
        <v>0</v>
      </c>
      <c r="H427" s="21" cm="1">
        <f t="array" aca="1" ref="H427" ca="1">INDIRECT("Data!B" &amp; 422)</f>
        <v>0</v>
      </c>
      <c r="I427" s="21" cm="1">
        <f t="array" aca="1" ref="I427" ca="1">INDIRECT("Data!C" &amp; 422)</f>
        <v>0</v>
      </c>
      <c r="J427" cm="1">
        <f t="array" aca="1" ref="J427" ca="1">INDIRECT("Data!D" &amp; 422)</f>
        <v>0</v>
      </c>
      <c r="K427" cm="1">
        <f t="array" aca="1" ref="K427" ca="1">INDIRECT("Data!E" &amp; 422)</f>
        <v>0</v>
      </c>
      <c r="L427" cm="1">
        <f t="array" aca="1" ref="L427" ca="1">INDIRECT("Data!F" &amp; 422)</f>
        <v>0</v>
      </c>
      <c r="M427" cm="1">
        <f t="array" aca="1" ref="M427" ca="1">INDIRECT("Data!G" &amp; 422)</f>
        <v>0</v>
      </c>
      <c r="N427" cm="1">
        <f t="array" aca="1" ref="N427" ca="1">INDIRECT("Data!H" &amp; 422)</f>
        <v>0</v>
      </c>
      <c r="O427" cm="1">
        <f t="array" aca="1" ref="O427" ca="1">INDIRECT("Data!I" &amp; 422)</f>
        <v>0</v>
      </c>
      <c r="P427" s="21" cm="1">
        <f t="array" aca="1" ref="P427" ca="1">INDIRECT("Data!J" &amp; 422)</f>
        <v>0</v>
      </c>
      <c r="Q427" cm="1">
        <f t="array" aca="1" ref="Q427" ca="1">INDIRECT("Data!K" &amp; 422)</f>
        <v>0</v>
      </c>
      <c r="R427" cm="1">
        <f t="array" aca="1" ref="R427" ca="1">INDIRECT("Data!L" &amp; 422)</f>
        <v>0</v>
      </c>
      <c r="S427" cm="1">
        <f t="array" aca="1" ref="S427" ca="1">INDIRECT("Data!M" &amp; 422)</f>
        <v>0</v>
      </c>
      <c r="T427" cm="1">
        <f t="array" aca="1" ref="T427" ca="1">INDIRECT("Data!N" &amp; 422)</f>
        <v>0</v>
      </c>
      <c r="U427" cm="1">
        <f t="array" aca="1" ref="U427" ca="1">INDIRECT("Data!O" &amp; 422)</f>
        <v>0</v>
      </c>
      <c r="V427" cm="1">
        <f t="array" aca="1" ref="V427" ca="1">INDIRECT("Data!P" &amp; 422)</f>
        <v>0</v>
      </c>
    </row>
    <row r="428" spans="7:22" x14ac:dyDescent="0.25">
      <c r="G428" cm="1">
        <f t="array" aca="1" ref="G428" ca="1">INDIRECT("Data!A" &amp; 423)</f>
        <v>0</v>
      </c>
      <c r="H428" s="21" cm="1">
        <f t="array" aca="1" ref="H428" ca="1">INDIRECT("Data!B" &amp; 423)</f>
        <v>0</v>
      </c>
      <c r="I428" s="21" cm="1">
        <f t="array" aca="1" ref="I428" ca="1">INDIRECT("Data!C" &amp; 423)</f>
        <v>0</v>
      </c>
      <c r="J428" cm="1">
        <f t="array" aca="1" ref="J428" ca="1">INDIRECT("Data!D" &amp; 423)</f>
        <v>0</v>
      </c>
      <c r="K428" cm="1">
        <f t="array" aca="1" ref="K428" ca="1">INDIRECT("Data!E" &amp; 423)</f>
        <v>0</v>
      </c>
      <c r="L428" cm="1">
        <f t="array" aca="1" ref="L428" ca="1">INDIRECT("Data!F" &amp; 423)</f>
        <v>0</v>
      </c>
      <c r="M428" cm="1">
        <f t="array" aca="1" ref="M428" ca="1">INDIRECT("Data!G" &amp; 423)</f>
        <v>0</v>
      </c>
      <c r="N428" cm="1">
        <f t="array" aca="1" ref="N428" ca="1">INDIRECT("Data!H" &amp; 423)</f>
        <v>0</v>
      </c>
      <c r="O428" cm="1">
        <f t="array" aca="1" ref="O428" ca="1">INDIRECT("Data!I" &amp; 423)</f>
        <v>0</v>
      </c>
      <c r="P428" s="21" cm="1">
        <f t="array" aca="1" ref="P428" ca="1">INDIRECT("Data!J" &amp; 423)</f>
        <v>0</v>
      </c>
      <c r="Q428" cm="1">
        <f t="array" aca="1" ref="Q428" ca="1">INDIRECT("Data!K" &amp; 423)</f>
        <v>0</v>
      </c>
      <c r="R428" cm="1">
        <f t="array" aca="1" ref="R428" ca="1">INDIRECT("Data!L" &amp; 423)</f>
        <v>0</v>
      </c>
      <c r="S428" cm="1">
        <f t="array" aca="1" ref="S428" ca="1">INDIRECT("Data!M" &amp; 423)</f>
        <v>0</v>
      </c>
      <c r="T428" cm="1">
        <f t="array" aca="1" ref="T428" ca="1">INDIRECT("Data!N" &amp; 423)</f>
        <v>0</v>
      </c>
      <c r="U428" cm="1">
        <f t="array" aca="1" ref="U428" ca="1">INDIRECT("Data!O" &amp; 423)</f>
        <v>0</v>
      </c>
      <c r="V428" cm="1">
        <f t="array" aca="1" ref="V428" ca="1">INDIRECT("Data!P" &amp; 423)</f>
        <v>0</v>
      </c>
    </row>
    <row r="429" spans="7:22" x14ac:dyDescent="0.25">
      <c r="G429" cm="1">
        <f t="array" aca="1" ref="G429" ca="1">INDIRECT("Data!A" &amp; 424)</f>
        <v>0</v>
      </c>
      <c r="H429" s="21" cm="1">
        <f t="array" aca="1" ref="H429" ca="1">INDIRECT("Data!B" &amp; 424)</f>
        <v>0</v>
      </c>
      <c r="I429" s="21" cm="1">
        <f t="array" aca="1" ref="I429" ca="1">INDIRECT("Data!C" &amp; 424)</f>
        <v>0</v>
      </c>
      <c r="J429" cm="1">
        <f t="array" aca="1" ref="J429" ca="1">INDIRECT("Data!D" &amp; 424)</f>
        <v>0</v>
      </c>
      <c r="K429" cm="1">
        <f t="array" aca="1" ref="K429" ca="1">INDIRECT("Data!E" &amp; 424)</f>
        <v>0</v>
      </c>
      <c r="L429" cm="1">
        <f t="array" aca="1" ref="L429" ca="1">INDIRECT("Data!F" &amp; 424)</f>
        <v>0</v>
      </c>
      <c r="M429" cm="1">
        <f t="array" aca="1" ref="M429" ca="1">INDIRECT("Data!G" &amp; 424)</f>
        <v>0</v>
      </c>
      <c r="N429" cm="1">
        <f t="array" aca="1" ref="N429" ca="1">INDIRECT("Data!H" &amp; 424)</f>
        <v>0</v>
      </c>
      <c r="O429" cm="1">
        <f t="array" aca="1" ref="O429" ca="1">INDIRECT("Data!I" &amp; 424)</f>
        <v>0</v>
      </c>
      <c r="P429" s="21" cm="1">
        <f t="array" aca="1" ref="P429" ca="1">INDIRECT("Data!J" &amp; 424)</f>
        <v>0</v>
      </c>
      <c r="Q429" cm="1">
        <f t="array" aca="1" ref="Q429" ca="1">INDIRECT("Data!K" &amp; 424)</f>
        <v>0</v>
      </c>
      <c r="R429" cm="1">
        <f t="array" aca="1" ref="R429" ca="1">INDIRECT("Data!L" &amp; 424)</f>
        <v>0</v>
      </c>
      <c r="S429" cm="1">
        <f t="array" aca="1" ref="S429" ca="1">INDIRECT("Data!M" &amp; 424)</f>
        <v>0</v>
      </c>
      <c r="T429" cm="1">
        <f t="array" aca="1" ref="T429" ca="1">INDIRECT("Data!N" &amp; 424)</f>
        <v>0</v>
      </c>
      <c r="U429" cm="1">
        <f t="array" aca="1" ref="U429" ca="1">INDIRECT("Data!O" &amp; 424)</f>
        <v>0</v>
      </c>
      <c r="V429" cm="1">
        <f t="array" aca="1" ref="V429" ca="1">INDIRECT("Data!P" &amp; 424)</f>
        <v>0</v>
      </c>
    </row>
    <row r="430" spans="7:22" x14ac:dyDescent="0.25">
      <c r="G430" cm="1">
        <f t="array" aca="1" ref="G430" ca="1">INDIRECT("Data!A" &amp; 425)</f>
        <v>0</v>
      </c>
      <c r="H430" s="21" cm="1">
        <f t="array" aca="1" ref="H430" ca="1">INDIRECT("Data!B" &amp; 425)</f>
        <v>0</v>
      </c>
      <c r="I430" s="21" cm="1">
        <f t="array" aca="1" ref="I430" ca="1">INDIRECT("Data!C" &amp; 425)</f>
        <v>0</v>
      </c>
      <c r="J430" cm="1">
        <f t="array" aca="1" ref="J430" ca="1">INDIRECT("Data!D" &amp; 425)</f>
        <v>0</v>
      </c>
      <c r="K430" cm="1">
        <f t="array" aca="1" ref="K430" ca="1">INDIRECT("Data!E" &amp; 425)</f>
        <v>0</v>
      </c>
      <c r="L430" cm="1">
        <f t="array" aca="1" ref="L430" ca="1">INDIRECT("Data!F" &amp; 425)</f>
        <v>0</v>
      </c>
      <c r="M430" cm="1">
        <f t="array" aca="1" ref="M430" ca="1">INDIRECT("Data!G" &amp; 425)</f>
        <v>0</v>
      </c>
      <c r="N430" cm="1">
        <f t="array" aca="1" ref="N430" ca="1">INDIRECT("Data!H" &amp; 425)</f>
        <v>0</v>
      </c>
      <c r="O430" cm="1">
        <f t="array" aca="1" ref="O430" ca="1">INDIRECT("Data!I" &amp; 425)</f>
        <v>0</v>
      </c>
      <c r="P430" s="21" cm="1">
        <f t="array" aca="1" ref="P430" ca="1">INDIRECT("Data!J" &amp; 425)</f>
        <v>0</v>
      </c>
      <c r="Q430" cm="1">
        <f t="array" aca="1" ref="Q430" ca="1">INDIRECT("Data!K" &amp; 425)</f>
        <v>0</v>
      </c>
      <c r="R430" cm="1">
        <f t="array" aca="1" ref="R430" ca="1">INDIRECT("Data!L" &amp; 425)</f>
        <v>0</v>
      </c>
      <c r="S430" cm="1">
        <f t="array" aca="1" ref="S430" ca="1">INDIRECT("Data!M" &amp; 425)</f>
        <v>0</v>
      </c>
      <c r="T430" cm="1">
        <f t="array" aca="1" ref="T430" ca="1">INDIRECT("Data!N" &amp; 425)</f>
        <v>0</v>
      </c>
      <c r="U430" cm="1">
        <f t="array" aca="1" ref="U430" ca="1">INDIRECT("Data!O" &amp; 425)</f>
        <v>0</v>
      </c>
      <c r="V430" cm="1">
        <f t="array" aca="1" ref="V430" ca="1">INDIRECT("Data!P" &amp; 425)</f>
        <v>0</v>
      </c>
    </row>
    <row r="431" spans="7:22" x14ac:dyDescent="0.25">
      <c r="G431" cm="1">
        <f t="array" aca="1" ref="G431" ca="1">INDIRECT("Data!A" &amp; 426)</f>
        <v>0</v>
      </c>
      <c r="H431" s="21" cm="1">
        <f t="array" aca="1" ref="H431" ca="1">INDIRECT("Data!B" &amp; 426)</f>
        <v>0</v>
      </c>
      <c r="I431" s="21" cm="1">
        <f t="array" aca="1" ref="I431" ca="1">INDIRECT("Data!C" &amp; 426)</f>
        <v>0</v>
      </c>
      <c r="J431" cm="1">
        <f t="array" aca="1" ref="J431" ca="1">INDIRECT("Data!D" &amp; 426)</f>
        <v>0</v>
      </c>
      <c r="K431" cm="1">
        <f t="array" aca="1" ref="K431" ca="1">INDIRECT("Data!E" &amp; 426)</f>
        <v>0</v>
      </c>
      <c r="L431" cm="1">
        <f t="array" aca="1" ref="L431" ca="1">INDIRECT("Data!F" &amp; 426)</f>
        <v>0</v>
      </c>
      <c r="M431" cm="1">
        <f t="array" aca="1" ref="M431" ca="1">INDIRECT("Data!G" &amp; 426)</f>
        <v>0</v>
      </c>
      <c r="N431" cm="1">
        <f t="array" aca="1" ref="N431" ca="1">INDIRECT("Data!H" &amp; 426)</f>
        <v>0</v>
      </c>
      <c r="O431" cm="1">
        <f t="array" aca="1" ref="O431" ca="1">INDIRECT("Data!I" &amp; 426)</f>
        <v>0</v>
      </c>
      <c r="P431" s="21" cm="1">
        <f t="array" aca="1" ref="P431" ca="1">INDIRECT("Data!J" &amp; 426)</f>
        <v>0</v>
      </c>
      <c r="Q431" cm="1">
        <f t="array" aca="1" ref="Q431" ca="1">INDIRECT("Data!K" &amp; 426)</f>
        <v>0</v>
      </c>
      <c r="R431" cm="1">
        <f t="array" aca="1" ref="R431" ca="1">INDIRECT("Data!L" &amp; 426)</f>
        <v>0</v>
      </c>
      <c r="S431" cm="1">
        <f t="array" aca="1" ref="S431" ca="1">INDIRECT("Data!M" &amp; 426)</f>
        <v>0</v>
      </c>
      <c r="T431" cm="1">
        <f t="array" aca="1" ref="T431" ca="1">INDIRECT("Data!N" &amp; 426)</f>
        <v>0</v>
      </c>
      <c r="U431" cm="1">
        <f t="array" aca="1" ref="U431" ca="1">INDIRECT("Data!O" &amp; 426)</f>
        <v>0</v>
      </c>
      <c r="V431" cm="1">
        <f t="array" aca="1" ref="V431" ca="1">INDIRECT("Data!P" &amp; 426)</f>
        <v>0</v>
      </c>
    </row>
    <row r="432" spans="7:22" x14ac:dyDescent="0.25">
      <c r="G432" cm="1">
        <f t="array" aca="1" ref="G432" ca="1">INDIRECT("Data!A" &amp; 427)</f>
        <v>0</v>
      </c>
      <c r="H432" s="21" cm="1">
        <f t="array" aca="1" ref="H432" ca="1">INDIRECT("Data!B" &amp; 427)</f>
        <v>0</v>
      </c>
      <c r="I432" s="21" cm="1">
        <f t="array" aca="1" ref="I432" ca="1">INDIRECT("Data!C" &amp; 427)</f>
        <v>0</v>
      </c>
      <c r="J432" cm="1">
        <f t="array" aca="1" ref="J432" ca="1">INDIRECT("Data!D" &amp; 427)</f>
        <v>0</v>
      </c>
      <c r="K432" cm="1">
        <f t="array" aca="1" ref="K432" ca="1">INDIRECT("Data!E" &amp; 427)</f>
        <v>0</v>
      </c>
      <c r="L432" cm="1">
        <f t="array" aca="1" ref="L432" ca="1">INDIRECT("Data!F" &amp; 427)</f>
        <v>0</v>
      </c>
      <c r="M432" cm="1">
        <f t="array" aca="1" ref="M432" ca="1">INDIRECT("Data!G" &amp; 427)</f>
        <v>0</v>
      </c>
      <c r="N432" cm="1">
        <f t="array" aca="1" ref="N432" ca="1">INDIRECT("Data!H" &amp; 427)</f>
        <v>0</v>
      </c>
      <c r="O432" cm="1">
        <f t="array" aca="1" ref="O432" ca="1">INDIRECT("Data!I" &amp; 427)</f>
        <v>0</v>
      </c>
      <c r="P432" s="21" cm="1">
        <f t="array" aca="1" ref="P432" ca="1">INDIRECT("Data!J" &amp; 427)</f>
        <v>0</v>
      </c>
      <c r="Q432" cm="1">
        <f t="array" aca="1" ref="Q432" ca="1">INDIRECT("Data!K" &amp; 427)</f>
        <v>0</v>
      </c>
      <c r="R432" cm="1">
        <f t="array" aca="1" ref="R432" ca="1">INDIRECT("Data!L" &amp; 427)</f>
        <v>0</v>
      </c>
      <c r="S432" cm="1">
        <f t="array" aca="1" ref="S432" ca="1">INDIRECT("Data!M" &amp; 427)</f>
        <v>0</v>
      </c>
      <c r="T432" cm="1">
        <f t="array" aca="1" ref="T432" ca="1">INDIRECT("Data!N" &amp; 427)</f>
        <v>0</v>
      </c>
      <c r="U432" cm="1">
        <f t="array" aca="1" ref="U432" ca="1">INDIRECT("Data!O" &amp; 427)</f>
        <v>0</v>
      </c>
      <c r="V432" cm="1">
        <f t="array" aca="1" ref="V432" ca="1">INDIRECT("Data!P" &amp; 427)</f>
        <v>0</v>
      </c>
    </row>
    <row r="433" spans="7:22" x14ac:dyDescent="0.25">
      <c r="G433" cm="1">
        <f t="array" aca="1" ref="G433" ca="1">INDIRECT("Data!A" &amp; 428)</f>
        <v>0</v>
      </c>
      <c r="H433" s="21" cm="1">
        <f t="array" aca="1" ref="H433" ca="1">INDIRECT("Data!B" &amp; 428)</f>
        <v>0</v>
      </c>
      <c r="I433" s="21" cm="1">
        <f t="array" aca="1" ref="I433" ca="1">INDIRECT("Data!C" &amp; 428)</f>
        <v>0</v>
      </c>
      <c r="J433" cm="1">
        <f t="array" aca="1" ref="J433" ca="1">INDIRECT("Data!D" &amp; 428)</f>
        <v>0</v>
      </c>
      <c r="K433" cm="1">
        <f t="array" aca="1" ref="K433" ca="1">INDIRECT("Data!E" &amp; 428)</f>
        <v>0</v>
      </c>
      <c r="L433" cm="1">
        <f t="array" aca="1" ref="L433" ca="1">INDIRECT("Data!F" &amp; 428)</f>
        <v>0</v>
      </c>
      <c r="M433" cm="1">
        <f t="array" aca="1" ref="M433" ca="1">INDIRECT("Data!G" &amp; 428)</f>
        <v>0</v>
      </c>
      <c r="N433" cm="1">
        <f t="array" aca="1" ref="N433" ca="1">INDIRECT("Data!H" &amp; 428)</f>
        <v>0</v>
      </c>
      <c r="O433" cm="1">
        <f t="array" aca="1" ref="O433" ca="1">INDIRECT("Data!I" &amp; 428)</f>
        <v>0</v>
      </c>
      <c r="P433" s="21" cm="1">
        <f t="array" aca="1" ref="P433" ca="1">INDIRECT("Data!J" &amp; 428)</f>
        <v>0</v>
      </c>
      <c r="Q433" cm="1">
        <f t="array" aca="1" ref="Q433" ca="1">INDIRECT("Data!K" &amp; 428)</f>
        <v>0</v>
      </c>
      <c r="R433" cm="1">
        <f t="array" aca="1" ref="R433" ca="1">INDIRECT("Data!L" &amp; 428)</f>
        <v>0</v>
      </c>
      <c r="S433" cm="1">
        <f t="array" aca="1" ref="S433" ca="1">INDIRECT("Data!M" &amp; 428)</f>
        <v>0</v>
      </c>
      <c r="T433" cm="1">
        <f t="array" aca="1" ref="T433" ca="1">INDIRECT("Data!N" &amp; 428)</f>
        <v>0</v>
      </c>
      <c r="U433" cm="1">
        <f t="array" aca="1" ref="U433" ca="1">INDIRECT("Data!O" &amp; 428)</f>
        <v>0</v>
      </c>
      <c r="V433" cm="1">
        <f t="array" aca="1" ref="V433" ca="1">INDIRECT("Data!P" &amp; 428)</f>
        <v>0</v>
      </c>
    </row>
    <row r="434" spans="7:22" x14ac:dyDescent="0.25">
      <c r="G434" cm="1">
        <f t="array" aca="1" ref="G434" ca="1">INDIRECT("Data!A" &amp; 429)</f>
        <v>0</v>
      </c>
      <c r="H434" s="21" cm="1">
        <f t="array" aca="1" ref="H434" ca="1">INDIRECT("Data!B" &amp; 429)</f>
        <v>0</v>
      </c>
      <c r="I434" s="21" cm="1">
        <f t="array" aca="1" ref="I434" ca="1">INDIRECT("Data!C" &amp; 429)</f>
        <v>0</v>
      </c>
      <c r="J434" cm="1">
        <f t="array" aca="1" ref="J434" ca="1">INDIRECT("Data!D" &amp; 429)</f>
        <v>0</v>
      </c>
      <c r="K434" cm="1">
        <f t="array" aca="1" ref="K434" ca="1">INDIRECT("Data!E" &amp; 429)</f>
        <v>0</v>
      </c>
      <c r="L434" cm="1">
        <f t="array" aca="1" ref="L434" ca="1">INDIRECT("Data!F" &amp; 429)</f>
        <v>0</v>
      </c>
      <c r="M434" cm="1">
        <f t="array" aca="1" ref="M434" ca="1">INDIRECT("Data!G" &amp; 429)</f>
        <v>0</v>
      </c>
      <c r="N434" cm="1">
        <f t="array" aca="1" ref="N434" ca="1">INDIRECT("Data!H" &amp; 429)</f>
        <v>0</v>
      </c>
      <c r="O434" cm="1">
        <f t="array" aca="1" ref="O434" ca="1">INDIRECT("Data!I" &amp; 429)</f>
        <v>0</v>
      </c>
      <c r="P434" s="21" cm="1">
        <f t="array" aca="1" ref="P434" ca="1">INDIRECT("Data!J" &amp; 429)</f>
        <v>0</v>
      </c>
      <c r="Q434" cm="1">
        <f t="array" aca="1" ref="Q434" ca="1">INDIRECT("Data!K" &amp; 429)</f>
        <v>0</v>
      </c>
      <c r="R434" cm="1">
        <f t="array" aca="1" ref="R434" ca="1">INDIRECT("Data!L" &amp; 429)</f>
        <v>0</v>
      </c>
      <c r="S434" cm="1">
        <f t="array" aca="1" ref="S434" ca="1">INDIRECT("Data!M" &amp; 429)</f>
        <v>0</v>
      </c>
      <c r="T434" cm="1">
        <f t="array" aca="1" ref="T434" ca="1">INDIRECT("Data!N" &amp; 429)</f>
        <v>0</v>
      </c>
      <c r="U434" cm="1">
        <f t="array" aca="1" ref="U434" ca="1">INDIRECT("Data!O" &amp; 429)</f>
        <v>0</v>
      </c>
      <c r="V434" cm="1">
        <f t="array" aca="1" ref="V434" ca="1">INDIRECT("Data!P" &amp; 429)</f>
        <v>0</v>
      </c>
    </row>
    <row r="435" spans="7:22" x14ac:dyDescent="0.25">
      <c r="G435" cm="1">
        <f t="array" aca="1" ref="G435" ca="1">INDIRECT("Data!A" &amp; 430)</f>
        <v>0</v>
      </c>
      <c r="H435" s="21" cm="1">
        <f t="array" aca="1" ref="H435" ca="1">INDIRECT("Data!B" &amp; 430)</f>
        <v>0</v>
      </c>
      <c r="I435" s="21" cm="1">
        <f t="array" aca="1" ref="I435" ca="1">INDIRECT("Data!C" &amp; 430)</f>
        <v>0</v>
      </c>
      <c r="J435" cm="1">
        <f t="array" aca="1" ref="J435" ca="1">INDIRECT("Data!D" &amp; 430)</f>
        <v>0</v>
      </c>
      <c r="K435" cm="1">
        <f t="array" aca="1" ref="K435" ca="1">INDIRECT("Data!E" &amp; 430)</f>
        <v>0</v>
      </c>
      <c r="L435" cm="1">
        <f t="array" aca="1" ref="L435" ca="1">INDIRECT("Data!F" &amp; 430)</f>
        <v>0</v>
      </c>
      <c r="M435" cm="1">
        <f t="array" aca="1" ref="M435" ca="1">INDIRECT("Data!G" &amp; 430)</f>
        <v>0</v>
      </c>
      <c r="N435" cm="1">
        <f t="array" aca="1" ref="N435" ca="1">INDIRECT("Data!H" &amp; 430)</f>
        <v>0</v>
      </c>
      <c r="O435" cm="1">
        <f t="array" aca="1" ref="O435" ca="1">INDIRECT("Data!I" &amp; 430)</f>
        <v>0</v>
      </c>
      <c r="P435" s="21" cm="1">
        <f t="array" aca="1" ref="P435" ca="1">INDIRECT("Data!J" &amp; 430)</f>
        <v>0</v>
      </c>
      <c r="Q435" cm="1">
        <f t="array" aca="1" ref="Q435" ca="1">INDIRECT("Data!K" &amp; 430)</f>
        <v>0</v>
      </c>
      <c r="R435" cm="1">
        <f t="array" aca="1" ref="R435" ca="1">INDIRECT("Data!L" &amp; 430)</f>
        <v>0</v>
      </c>
      <c r="S435" cm="1">
        <f t="array" aca="1" ref="S435" ca="1">INDIRECT("Data!M" &amp; 430)</f>
        <v>0</v>
      </c>
      <c r="T435" cm="1">
        <f t="array" aca="1" ref="T435" ca="1">INDIRECT("Data!N" &amp; 430)</f>
        <v>0</v>
      </c>
      <c r="U435" cm="1">
        <f t="array" aca="1" ref="U435" ca="1">INDIRECT("Data!O" &amp; 430)</f>
        <v>0</v>
      </c>
      <c r="V435" cm="1">
        <f t="array" aca="1" ref="V435" ca="1">INDIRECT("Data!P" &amp; 430)</f>
        <v>0</v>
      </c>
    </row>
    <row r="436" spans="7:22" x14ac:dyDescent="0.25">
      <c r="G436" cm="1">
        <f t="array" aca="1" ref="G436" ca="1">INDIRECT("Data!A" &amp; 431)</f>
        <v>0</v>
      </c>
      <c r="H436" s="21" cm="1">
        <f t="array" aca="1" ref="H436" ca="1">INDIRECT("Data!B" &amp; 431)</f>
        <v>0</v>
      </c>
      <c r="I436" s="21" cm="1">
        <f t="array" aca="1" ref="I436" ca="1">INDIRECT("Data!C" &amp; 431)</f>
        <v>0</v>
      </c>
      <c r="J436" cm="1">
        <f t="array" aca="1" ref="J436" ca="1">INDIRECT("Data!D" &amp; 431)</f>
        <v>0</v>
      </c>
      <c r="K436" cm="1">
        <f t="array" aca="1" ref="K436" ca="1">INDIRECT("Data!E" &amp; 431)</f>
        <v>0</v>
      </c>
      <c r="L436" cm="1">
        <f t="array" aca="1" ref="L436" ca="1">INDIRECT("Data!F" &amp; 431)</f>
        <v>0</v>
      </c>
      <c r="M436" cm="1">
        <f t="array" aca="1" ref="M436" ca="1">INDIRECT("Data!G" &amp; 431)</f>
        <v>0</v>
      </c>
      <c r="N436" cm="1">
        <f t="array" aca="1" ref="N436" ca="1">INDIRECT("Data!H" &amp; 431)</f>
        <v>0</v>
      </c>
      <c r="O436" cm="1">
        <f t="array" aca="1" ref="O436" ca="1">INDIRECT("Data!I" &amp; 431)</f>
        <v>0</v>
      </c>
      <c r="P436" s="21" cm="1">
        <f t="array" aca="1" ref="P436" ca="1">INDIRECT("Data!J" &amp; 431)</f>
        <v>0</v>
      </c>
      <c r="Q436" cm="1">
        <f t="array" aca="1" ref="Q436" ca="1">INDIRECT("Data!K" &amp; 431)</f>
        <v>0</v>
      </c>
      <c r="R436" cm="1">
        <f t="array" aca="1" ref="R436" ca="1">INDIRECT("Data!L" &amp; 431)</f>
        <v>0</v>
      </c>
      <c r="S436" cm="1">
        <f t="array" aca="1" ref="S436" ca="1">INDIRECT("Data!M" &amp; 431)</f>
        <v>0</v>
      </c>
      <c r="T436" cm="1">
        <f t="array" aca="1" ref="T436" ca="1">INDIRECT("Data!N" &amp; 431)</f>
        <v>0</v>
      </c>
      <c r="U436" cm="1">
        <f t="array" aca="1" ref="U436" ca="1">INDIRECT("Data!O" &amp; 431)</f>
        <v>0</v>
      </c>
      <c r="V436" cm="1">
        <f t="array" aca="1" ref="V436" ca="1">INDIRECT("Data!P" &amp; 431)</f>
        <v>0</v>
      </c>
    </row>
    <row r="437" spans="7:22" x14ac:dyDescent="0.25">
      <c r="G437" cm="1">
        <f t="array" aca="1" ref="G437" ca="1">INDIRECT("Data!A" &amp; 432)</f>
        <v>0</v>
      </c>
      <c r="H437" s="21" cm="1">
        <f t="array" aca="1" ref="H437" ca="1">INDIRECT("Data!B" &amp; 432)</f>
        <v>0</v>
      </c>
      <c r="I437" s="21" cm="1">
        <f t="array" aca="1" ref="I437" ca="1">INDIRECT("Data!C" &amp; 432)</f>
        <v>0</v>
      </c>
      <c r="J437" cm="1">
        <f t="array" aca="1" ref="J437" ca="1">INDIRECT("Data!D" &amp; 432)</f>
        <v>0</v>
      </c>
      <c r="K437" cm="1">
        <f t="array" aca="1" ref="K437" ca="1">INDIRECT("Data!E" &amp; 432)</f>
        <v>0</v>
      </c>
      <c r="L437" cm="1">
        <f t="array" aca="1" ref="L437" ca="1">INDIRECT("Data!F" &amp; 432)</f>
        <v>0</v>
      </c>
      <c r="M437" cm="1">
        <f t="array" aca="1" ref="M437" ca="1">INDIRECT("Data!G" &amp; 432)</f>
        <v>0</v>
      </c>
      <c r="N437" cm="1">
        <f t="array" aca="1" ref="N437" ca="1">INDIRECT("Data!H" &amp; 432)</f>
        <v>0</v>
      </c>
      <c r="O437" cm="1">
        <f t="array" aca="1" ref="O437" ca="1">INDIRECT("Data!I" &amp; 432)</f>
        <v>0</v>
      </c>
      <c r="P437" s="21" cm="1">
        <f t="array" aca="1" ref="P437" ca="1">INDIRECT("Data!J" &amp; 432)</f>
        <v>0</v>
      </c>
      <c r="Q437" cm="1">
        <f t="array" aca="1" ref="Q437" ca="1">INDIRECT("Data!K" &amp; 432)</f>
        <v>0</v>
      </c>
      <c r="R437" cm="1">
        <f t="array" aca="1" ref="R437" ca="1">INDIRECT("Data!L" &amp; 432)</f>
        <v>0</v>
      </c>
      <c r="S437" cm="1">
        <f t="array" aca="1" ref="S437" ca="1">INDIRECT("Data!M" &amp; 432)</f>
        <v>0</v>
      </c>
      <c r="T437" cm="1">
        <f t="array" aca="1" ref="T437" ca="1">INDIRECT("Data!N" &amp; 432)</f>
        <v>0</v>
      </c>
      <c r="U437" cm="1">
        <f t="array" aca="1" ref="U437" ca="1">INDIRECT("Data!O" &amp; 432)</f>
        <v>0</v>
      </c>
      <c r="V437" cm="1">
        <f t="array" aca="1" ref="V437" ca="1">INDIRECT("Data!P" &amp; 432)</f>
        <v>0</v>
      </c>
    </row>
    <row r="438" spans="7:22" x14ac:dyDescent="0.25">
      <c r="G438" cm="1">
        <f t="array" aca="1" ref="G438" ca="1">INDIRECT("Data!A" &amp; 433)</f>
        <v>0</v>
      </c>
      <c r="H438" s="21" cm="1">
        <f t="array" aca="1" ref="H438" ca="1">INDIRECT("Data!B" &amp; 433)</f>
        <v>0</v>
      </c>
      <c r="I438" s="21" cm="1">
        <f t="array" aca="1" ref="I438" ca="1">INDIRECT("Data!C" &amp; 433)</f>
        <v>0</v>
      </c>
      <c r="J438" cm="1">
        <f t="array" aca="1" ref="J438" ca="1">INDIRECT("Data!D" &amp; 433)</f>
        <v>0</v>
      </c>
      <c r="K438" cm="1">
        <f t="array" aca="1" ref="K438" ca="1">INDIRECT("Data!E" &amp; 433)</f>
        <v>0</v>
      </c>
      <c r="L438" cm="1">
        <f t="array" aca="1" ref="L438" ca="1">INDIRECT("Data!F" &amp; 433)</f>
        <v>0</v>
      </c>
      <c r="M438" cm="1">
        <f t="array" aca="1" ref="M438" ca="1">INDIRECT("Data!G" &amp; 433)</f>
        <v>0</v>
      </c>
      <c r="N438" cm="1">
        <f t="array" aca="1" ref="N438" ca="1">INDIRECT("Data!H" &amp; 433)</f>
        <v>0</v>
      </c>
      <c r="O438" cm="1">
        <f t="array" aca="1" ref="O438" ca="1">INDIRECT("Data!I" &amp; 433)</f>
        <v>0</v>
      </c>
      <c r="P438" s="21" cm="1">
        <f t="array" aca="1" ref="P438" ca="1">INDIRECT("Data!J" &amp; 433)</f>
        <v>0</v>
      </c>
      <c r="Q438" cm="1">
        <f t="array" aca="1" ref="Q438" ca="1">INDIRECT("Data!K" &amp; 433)</f>
        <v>0</v>
      </c>
      <c r="R438" cm="1">
        <f t="array" aca="1" ref="R438" ca="1">INDIRECT("Data!L" &amp; 433)</f>
        <v>0</v>
      </c>
      <c r="S438" cm="1">
        <f t="array" aca="1" ref="S438" ca="1">INDIRECT("Data!M" &amp; 433)</f>
        <v>0</v>
      </c>
      <c r="T438" cm="1">
        <f t="array" aca="1" ref="T438" ca="1">INDIRECT("Data!N" &amp; 433)</f>
        <v>0</v>
      </c>
      <c r="U438" cm="1">
        <f t="array" aca="1" ref="U438" ca="1">INDIRECT("Data!O" &amp; 433)</f>
        <v>0</v>
      </c>
      <c r="V438" cm="1">
        <f t="array" aca="1" ref="V438" ca="1">INDIRECT("Data!P" &amp; 433)</f>
        <v>0</v>
      </c>
    </row>
    <row r="439" spans="7:22" x14ac:dyDescent="0.25">
      <c r="G439" cm="1">
        <f t="array" aca="1" ref="G439" ca="1">INDIRECT("Data!A" &amp; 434)</f>
        <v>0</v>
      </c>
      <c r="H439" s="21" cm="1">
        <f t="array" aca="1" ref="H439" ca="1">INDIRECT("Data!B" &amp; 434)</f>
        <v>0</v>
      </c>
      <c r="I439" s="21" cm="1">
        <f t="array" aca="1" ref="I439" ca="1">INDIRECT("Data!C" &amp; 434)</f>
        <v>0</v>
      </c>
      <c r="J439" cm="1">
        <f t="array" aca="1" ref="J439" ca="1">INDIRECT("Data!D" &amp; 434)</f>
        <v>0</v>
      </c>
      <c r="K439" cm="1">
        <f t="array" aca="1" ref="K439" ca="1">INDIRECT("Data!E" &amp; 434)</f>
        <v>0</v>
      </c>
      <c r="L439" cm="1">
        <f t="array" aca="1" ref="L439" ca="1">INDIRECT("Data!F" &amp; 434)</f>
        <v>0</v>
      </c>
      <c r="M439" cm="1">
        <f t="array" aca="1" ref="M439" ca="1">INDIRECT("Data!G" &amp; 434)</f>
        <v>0</v>
      </c>
      <c r="N439" cm="1">
        <f t="array" aca="1" ref="N439" ca="1">INDIRECT("Data!H" &amp; 434)</f>
        <v>0</v>
      </c>
      <c r="O439" cm="1">
        <f t="array" aca="1" ref="O439" ca="1">INDIRECT("Data!I" &amp; 434)</f>
        <v>0</v>
      </c>
      <c r="P439" s="21" cm="1">
        <f t="array" aca="1" ref="P439" ca="1">INDIRECT("Data!J" &amp; 434)</f>
        <v>0</v>
      </c>
      <c r="Q439" cm="1">
        <f t="array" aca="1" ref="Q439" ca="1">INDIRECT("Data!K" &amp; 434)</f>
        <v>0</v>
      </c>
      <c r="R439" cm="1">
        <f t="array" aca="1" ref="R439" ca="1">INDIRECT("Data!L" &amp; 434)</f>
        <v>0</v>
      </c>
      <c r="S439" cm="1">
        <f t="array" aca="1" ref="S439" ca="1">INDIRECT("Data!M" &amp; 434)</f>
        <v>0</v>
      </c>
      <c r="T439" cm="1">
        <f t="array" aca="1" ref="T439" ca="1">INDIRECT("Data!N" &amp; 434)</f>
        <v>0</v>
      </c>
      <c r="U439" cm="1">
        <f t="array" aca="1" ref="U439" ca="1">INDIRECT("Data!O" &amp; 434)</f>
        <v>0</v>
      </c>
      <c r="V439" cm="1">
        <f t="array" aca="1" ref="V439" ca="1">INDIRECT("Data!P" &amp; 434)</f>
        <v>0</v>
      </c>
    </row>
    <row r="440" spans="7:22" x14ac:dyDescent="0.25">
      <c r="G440" cm="1">
        <f t="array" aca="1" ref="G440" ca="1">INDIRECT("Data!A" &amp; 435)</f>
        <v>0</v>
      </c>
      <c r="H440" s="21" cm="1">
        <f t="array" aca="1" ref="H440" ca="1">INDIRECT("Data!B" &amp; 435)</f>
        <v>0</v>
      </c>
      <c r="I440" s="21" cm="1">
        <f t="array" aca="1" ref="I440" ca="1">INDIRECT("Data!C" &amp; 435)</f>
        <v>0</v>
      </c>
      <c r="J440" cm="1">
        <f t="array" aca="1" ref="J440" ca="1">INDIRECT("Data!D" &amp; 435)</f>
        <v>0</v>
      </c>
      <c r="K440" cm="1">
        <f t="array" aca="1" ref="K440" ca="1">INDIRECT("Data!E" &amp; 435)</f>
        <v>0</v>
      </c>
      <c r="L440" cm="1">
        <f t="array" aca="1" ref="L440" ca="1">INDIRECT("Data!F" &amp; 435)</f>
        <v>0</v>
      </c>
      <c r="M440" cm="1">
        <f t="array" aca="1" ref="M440" ca="1">INDIRECT("Data!G" &amp; 435)</f>
        <v>0</v>
      </c>
      <c r="N440" cm="1">
        <f t="array" aca="1" ref="N440" ca="1">INDIRECT("Data!H" &amp; 435)</f>
        <v>0</v>
      </c>
      <c r="O440" cm="1">
        <f t="array" aca="1" ref="O440" ca="1">INDIRECT("Data!I" &amp; 435)</f>
        <v>0</v>
      </c>
      <c r="P440" s="21" cm="1">
        <f t="array" aca="1" ref="P440" ca="1">INDIRECT("Data!J" &amp; 435)</f>
        <v>0</v>
      </c>
      <c r="Q440" cm="1">
        <f t="array" aca="1" ref="Q440" ca="1">INDIRECT("Data!K" &amp; 435)</f>
        <v>0</v>
      </c>
      <c r="R440" cm="1">
        <f t="array" aca="1" ref="R440" ca="1">INDIRECT("Data!L" &amp; 435)</f>
        <v>0</v>
      </c>
      <c r="S440" cm="1">
        <f t="array" aca="1" ref="S440" ca="1">INDIRECT("Data!M" &amp; 435)</f>
        <v>0</v>
      </c>
      <c r="T440" cm="1">
        <f t="array" aca="1" ref="T440" ca="1">INDIRECT("Data!N" &amp; 435)</f>
        <v>0</v>
      </c>
      <c r="U440" cm="1">
        <f t="array" aca="1" ref="U440" ca="1">INDIRECT("Data!O" &amp; 435)</f>
        <v>0</v>
      </c>
      <c r="V440" cm="1">
        <f t="array" aca="1" ref="V440" ca="1">INDIRECT("Data!P" &amp; 435)</f>
        <v>0</v>
      </c>
    </row>
    <row r="441" spans="7:22" x14ac:dyDescent="0.25">
      <c r="G441" cm="1">
        <f t="array" aca="1" ref="G441" ca="1">INDIRECT("Data!A" &amp; 436)</f>
        <v>0</v>
      </c>
      <c r="H441" s="21" cm="1">
        <f t="array" aca="1" ref="H441" ca="1">INDIRECT("Data!B" &amp; 436)</f>
        <v>0</v>
      </c>
      <c r="I441" s="21" cm="1">
        <f t="array" aca="1" ref="I441" ca="1">INDIRECT("Data!C" &amp; 436)</f>
        <v>0</v>
      </c>
      <c r="J441" cm="1">
        <f t="array" aca="1" ref="J441" ca="1">INDIRECT("Data!D" &amp; 436)</f>
        <v>0</v>
      </c>
      <c r="K441" cm="1">
        <f t="array" aca="1" ref="K441" ca="1">INDIRECT("Data!E" &amp; 436)</f>
        <v>0</v>
      </c>
      <c r="L441" cm="1">
        <f t="array" aca="1" ref="L441" ca="1">INDIRECT("Data!F" &amp; 436)</f>
        <v>0</v>
      </c>
      <c r="M441" cm="1">
        <f t="array" aca="1" ref="M441" ca="1">INDIRECT("Data!G" &amp; 436)</f>
        <v>0</v>
      </c>
      <c r="N441" cm="1">
        <f t="array" aca="1" ref="N441" ca="1">INDIRECT("Data!H" &amp; 436)</f>
        <v>0</v>
      </c>
      <c r="O441" cm="1">
        <f t="array" aca="1" ref="O441" ca="1">INDIRECT("Data!I" &amp; 436)</f>
        <v>0</v>
      </c>
      <c r="P441" s="21" cm="1">
        <f t="array" aca="1" ref="P441" ca="1">INDIRECT("Data!J" &amp; 436)</f>
        <v>0</v>
      </c>
      <c r="Q441" cm="1">
        <f t="array" aca="1" ref="Q441" ca="1">INDIRECT("Data!K" &amp; 436)</f>
        <v>0</v>
      </c>
      <c r="R441" cm="1">
        <f t="array" aca="1" ref="R441" ca="1">INDIRECT("Data!L" &amp; 436)</f>
        <v>0</v>
      </c>
      <c r="S441" cm="1">
        <f t="array" aca="1" ref="S441" ca="1">INDIRECT("Data!M" &amp; 436)</f>
        <v>0</v>
      </c>
      <c r="T441" cm="1">
        <f t="array" aca="1" ref="T441" ca="1">INDIRECT("Data!N" &amp; 436)</f>
        <v>0</v>
      </c>
      <c r="U441" cm="1">
        <f t="array" aca="1" ref="U441" ca="1">INDIRECT("Data!O" &amp; 436)</f>
        <v>0</v>
      </c>
      <c r="V441" cm="1">
        <f t="array" aca="1" ref="V441" ca="1">INDIRECT("Data!P" &amp; 436)</f>
        <v>0</v>
      </c>
    </row>
    <row r="442" spans="7:22" x14ac:dyDescent="0.25">
      <c r="G442" cm="1">
        <f t="array" aca="1" ref="G442" ca="1">INDIRECT("Data!A" &amp; 437)</f>
        <v>0</v>
      </c>
      <c r="H442" s="21" cm="1">
        <f t="array" aca="1" ref="H442" ca="1">INDIRECT("Data!B" &amp; 437)</f>
        <v>0</v>
      </c>
      <c r="I442" s="21" cm="1">
        <f t="array" aca="1" ref="I442" ca="1">INDIRECT("Data!C" &amp; 437)</f>
        <v>0</v>
      </c>
      <c r="J442" cm="1">
        <f t="array" aca="1" ref="J442" ca="1">INDIRECT("Data!D" &amp; 437)</f>
        <v>0</v>
      </c>
      <c r="K442" cm="1">
        <f t="array" aca="1" ref="K442" ca="1">INDIRECT("Data!E" &amp; 437)</f>
        <v>0</v>
      </c>
      <c r="L442" cm="1">
        <f t="array" aca="1" ref="L442" ca="1">INDIRECT("Data!F" &amp; 437)</f>
        <v>0</v>
      </c>
      <c r="M442" cm="1">
        <f t="array" aca="1" ref="M442" ca="1">INDIRECT("Data!G" &amp; 437)</f>
        <v>0</v>
      </c>
      <c r="N442" cm="1">
        <f t="array" aca="1" ref="N442" ca="1">INDIRECT("Data!H" &amp; 437)</f>
        <v>0</v>
      </c>
      <c r="O442" cm="1">
        <f t="array" aca="1" ref="O442" ca="1">INDIRECT("Data!I" &amp; 437)</f>
        <v>0</v>
      </c>
      <c r="P442" s="21" cm="1">
        <f t="array" aca="1" ref="P442" ca="1">INDIRECT("Data!J" &amp; 437)</f>
        <v>0</v>
      </c>
      <c r="Q442" cm="1">
        <f t="array" aca="1" ref="Q442" ca="1">INDIRECT("Data!K" &amp; 437)</f>
        <v>0</v>
      </c>
      <c r="R442" cm="1">
        <f t="array" aca="1" ref="R442" ca="1">INDIRECT("Data!L" &amp; 437)</f>
        <v>0</v>
      </c>
      <c r="S442" cm="1">
        <f t="array" aca="1" ref="S442" ca="1">INDIRECT("Data!M" &amp; 437)</f>
        <v>0</v>
      </c>
      <c r="T442" cm="1">
        <f t="array" aca="1" ref="T442" ca="1">INDIRECT("Data!N" &amp; 437)</f>
        <v>0</v>
      </c>
      <c r="U442" cm="1">
        <f t="array" aca="1" ref="U442" ca="1">INDIRECT("Data!O" &amp; 437)</f>
        <v>0</v>
      </c>
      <c r="V442" cm="1">
        <f t="array" aca="1" ref="V442" ca="1">INDIRECT("Data!P" &amp; 437)</f>
        <v>0</v>
      </c>
    </row>
    <row r="443" spans="7:22" x14ac:dyDescent="0.25">
      <c r="G443" cm="1">
        <f t="array" aca="1" ref="G443" ca="1">INDIRECT("Data!A" &amp; 438)</f>
        <v>0</v>
      </c>
      <c r="H443" s="21" cm="1">
        <f t="array" aca="1" ref="H443" ca="1">INDIRECT("Data!B" &amp; 438)</f>
        <v>0</v>
      </c>
      <c r="I443" s="21" cm="1">
        <f t="array" aca="1" ref="I443" ca="1">INDIRECT("Data!C" &amp; 438)</f>
        <v>0</v>
      </c>
      <c r="J443" cm="1">
        <f t="array" aca="1" ref="J443" ca="1">INDIRECT("Data!D" &amp; 438)</f>
        <v>0</v>
      </c>
      <c r="K443" cm="1">
        <f t="array" aca="1" ref="K443" ca="1">INDIRECT("Data!E" &amp; 438)</f>
        <v>0</v>
      </c>
      <c r="L443" cm="1">
        <f t="array" aca="1" ref="L443" ca="1">INDIRECT("Data!F" &amp; 438)</f>
        <v>0</v>
      </c>
      <c r="M443" cm="1">
        <f t="array" aca="1" ref="M443" ca="1">INDIRECT("Data!G" &amp; 438)</f>
        <v>0</v>
      </c>
      <c r="N443" cm="1">
        <f t="array" aca="1" ref="N443" ca="1">INDIRECT("Data!H" &amp; 438)</f>
        <v>0</v>
      </c>
      <c r="O443" cm="1">
        <f t="array" aca="1" ref="O443" ca="1">INDIRECT("Data!I" &amp; 438)</f>
        <v>0</v>
      </c>
      <c r="P443" s="21" cm="1">
        <f t="array" aca="1" ref="P443" ca="1">INDIRECT("Data!J" &amp; 438)</f>
        <v>0</v>
      </c>
      <c r="Q443" cm="1">
        <f t="array" aca="1" ref="Q443" ca="1">INDIRECT("Data!K" &amp; 438)</f>
        <v>0</v>
      </c>
      <c r="R443" cm="1">
        <f t="array" aca="1" ref="R443" ca="1">INDIRECT("Data!L" &amp; 438)</f>
        <v>0</v>
      </c>
      <c r="S443" cm="1">
        <f t="array" aca="1" ref="S443" ca="1">INDIRECT("Data!M" &amp; 438)</f>
        <v>0</v>
      </c>
      <c r="T443" cm="1">
        <f t="array" aca="1" ref="T443" ca="1">INDIRECT("Data!N" &amp; 438)</f>
        <v>0</v>
      </c>
      <c r="U443" cm="1">
        <f t="array" aca="1" ref="U443" ca="1">INDIRECT("Data!O" &amp; 438)</f>
        <v>0</v>
      </c>
      <c r="V443" cm="1">
        <f t="array" aca="1" ref="V443" ca="1">INDIRECT("Data!P" &amp; 438)</f>
        <v>0</v>
      </c>
    </row>
    <row r="444" spans="7:22" x14ac:dyDescent="0.25">
      <c r="G444" cm="1">
        <f t="array" aca="1" ref="G444" ca="1">INDIRECT("Data!A" &amp; 439)</f>
        <v>0</v>
      </c>
      <c r="H444" s="21" cm="1">
        <f t="array" aca="1" ref="H444" ca="1">INDIRECT("Data!B" &amp; 439)</f>
        <v>0</v>
      </c>
      <c r="I444" s="21" cm="1">
        <f t="array" aca="1" ref="I444" ca="1">INDIRECT("Data!C" &amp; 439)</f>
        <v>0</v>
      </c>
      <c r="J444" cm="1">
        <f t="array" aca="1" ref="J444" ca="1">INDIRECT("Data!D" &amp; 439)</f>
        <v>0</v>
      </c>
      <c r="K444" cm="1">
        <f t="array" aca="1" ref="K444" ca="1">INDIRECT("Data!E" &amp; 439)</f>
        <v>0</v>
      </c>
      <c r="L444" cm="1">
        <f t="array" aca="1" ref="L444" ca="1">INDIRECT("Data!F" &amp; 439)</f>
        <v>0</v>
      </c>
      <c r="M444" cm="1">
        <f t="array" aca="1" ref="M444" ca="1">INDIRECT("Data!G" &amp; 439)</f>
        <v>0</v>
      </c>
      <c r="N444" cm="1">
        <f t="array" aca="1" ref="N444" ca="1">INDIRECT("Data!H" &amp; 439)</f>
        <v>0</v>
      </c>
      <c r="O444" cm="1">
        <f t="array" aca="1" ref="O444" ca="1">INDIRECT("Data!I" &amp; 439)</f>
        <v>0</v>
      </c>
      <c r="P444" s="21" cm="1">
        <f t="array" aca="1" ref="P444" ca="1">INDIRECT("Data!J" &amp; 439)</f>
        <v>0</v>
      </c>
      <c r="Q444" cm="1">
        <f t="array" aca="1" ref="Q444" ca="1">INDIRECT("Data!K" &amp; 439)</f>
        <v>0</v>
      </c>
      <c r="R444" cm="1">
        <f t="array" aca="1" ref="R444" ca="1">INDIRECT("Data!L" &amp; 439)</f>
        <v>0</v>
      </c>
      <c r="S444" cm="1">
        <f t="array" aca="1" ref="S444" ca="1">INDIRECT("Data!M" &amp; 439)</f>
        <v>0</v>
      </c>
      <c r="T444" cm="1">
        <f t="array" aca="1" ref="T444" ca="1">INDIRECT("Data!N" &amp; 439)</f>
        <v>0</v>
      </c>
      <c r="U444" cm="1">
        <f t="array" aca="1" ref="U444" ca="1">INDIRECT("Data!O" &amp; 439)</f>
        <v>0</v>
      </c>
      <c r="V444" cm="1">
        <f t="array" aca="1" ref="V444" ca="1">INDIRECT("Data!P" &amp; 439)</f>
        <v>0</v>
      </c>
    </row>
    <row r="445" spans="7:22" x14ac:dyDescent="0.25">
      <c r="G445" cm="1">
        <f t="array" aca="1" ref="G445" ca="1">INDIRECT("Data!A" &amp; 440)</f>
        <v>0</v>
      </c>
      <c r="H445" s="21" cm="1">
        <f t="array" aca="1" ref="H445" ca="1">INDIRECT("Data!B" &amp; 440)</f>
        <v>0</v>
      </c>
      <c r="I445" s="21" cm="1">
        <f t="array" aca="1" ref="I445" ca="1">INDIRECT("Data!C" &amp; 440)</f>
        <v>0</v>
      </c>
      <c r="J445" cm="1">
        <f t="array" aca="1" ref="J445" ca="1">INDIRECT("Data!D" &amp; 440)</f>
        <v>0</v>
      </c>
      <c r="K445" cm="1">
        <f t="array" aca="1" ref="K445" ca="1">INDIRECT("Data!E" &amp; 440)</f>
        <v>0</v>
      </c>
      <c r="L445" cm="1">
        <f t="array" aca="1" ref="L445" ca="1">INDIRECT("Data!F" &amp; 440)</f>
        <v>0</v>
      </c>
      <c r="M445" cm="1">
        <f t="array" aca="1" ref="M445" ca="1">INDIRECT("Data!G" &amp; 440)</f>
        <v>0</v>
      </c>
      <c r="N445" cm="1">
        <f t="array" aca="1" ref="N445" ca="1">INDIRECT("Data!H" &amp; 440)</f>
        <v>0</v>
      </c>
      <c r="O445" cm="1">
        <f t="array" aca="1" ref="O445" ca="1">INDIRECT("Data!I" &amp; 440)</f>
        <v>0</v>
      </c>
      <c r="P445" s="21" cm="1">
        <f t="array" aca="1" ref="P445" ca="1">INDIRECT("Data!J" &amp; 440)</f>
        <v>0</v>
      </c>
      <c r="Q445" cm="1">
        <f t="array" aca="1" ref="Q445" ca="1">INDIRECT("Data!K" &amp; 440)</f>
        <v>0</v>
      </c>
      <c r="R445" cm="1">
        <f t="array" aca="1" ref="R445" ca="1">INDIRECT("Data!L" &amp; 440)</f>
        <v>0</v>
      </c>
      <c r="S445" cm="1">
        <f t="array" aca="1" ref="S445" ca="1">INDIRECT("Data!M" &amp; 440)</f>
        <v>0</v>
      </c>
      <c r="T445" cm="1">
        <f t="array" aca="1" ref="T445" ca="1">INDIRECT("Data!N" &amp; 440)</f>
        <v>0</v>
      </c>
      <c r="U445" cm="1">
        <f t="array" aca="1" ref="U445" ca="1">INDIRECT("Data!O" &amp; 440)</f>
        <v>0</v>
      </c>
      <c r="V445" cm="1">
        <f t="array" aca="1" ref="V445" ca="1">INDIRECT("Data!P" &amp; 440)</f>
        <v>0</v>
      </c>
    </row>
    <row r="446" spans="7:22" x14ac:dyDescent="0.25">
      <c r="G446" cm="1">
        <f t="array" aca="1" ref="G446" ca="1">INDIRECT("Data!A" &amp; 441)</f>
        <v>0</v>
      </c>
      <c r="H446" s="21" cm="1">
        <f t="array" aca="1" ref="H446" ca="1">INDIRECT("Data!B" &amp; 441)</f>
        <v>0</v>
      </c>
      <c r="I446" s="21" cm="1">
        <f t="array" aca="1" ref="I446" ca="1">INDIRECT("Data!C" &amp; 441)</f>
        <v>0</v>
      </c>
      <c r="J446" cm="1">
        <f t="array" aca="1" ref="J446" ca="1">INDIRECT("Data!D" &amp; 441)</f>
        <v>0</v>
      </c>
      <c r="K446" cm="1">
        <f t="array" aca="1" ref="K446" ca="1">INDIRECT("Data!E" &amp; 441)</f>
        <v>0</v>
      </c>
      <c r="L446" cm="1">
        <f t="array" aca="1" ref="L446" ca="1">INDIRECT("Data!F" &amp; 441)</f>
        <v>0</v>
      </c>
      <c r="M446" cm="1">
        <f t="array" aca="1" ref="M446" ca="1">INDIRECT("Data!G" &amp; 441)</f>
        <v>0</v>
      </c>
      <c r="N446" cm="1">
        <f t="array" aca="1" ref="N446" ca="1">INDIRECT("Data!H" &amp; 441)</f>
        <v>0</v>
      </c>
      <c r="O446" cm="1">
        <f t="array" aca="1" ref="O446" ca="1">INDIRECT("Data!I" &amp; 441)</f>
        <v>0</v>
      </c>
      <c r="P446" s="21" cm="1">
        <f t="array" aca="1" ref="P446" ca="1">INDIRECT("Data!J" &amp; 441)</f>
        <v>0</v>
      </c>
      <c r="Q446" cm="1">
        <f t="array" aca="1" ref="Q446" ca="1">INDIRECT("Data!K" &amp; 441)</f>
        <v>0</v>
      </c>
      <c r="R446" cm="1">
        <f t="array" aca="1" ref="R446" ca="1">INDIRECT("Data!L" &amp; 441)</f>
        <v>0</v>
      </c>
      <c r="S446" cm="1">
        <f t="array" aca="1" ref="S446" ca="1">INDIRECT("Data!M" &amp; 441)</f>
        <v>0</v>
      </c>
      <c r="T446" cm="1">
        <f t="array" aca="1" ref="T446" ca="1">INDIRECT("Data!N" &amp; 441)</f>
        <v>0</v>
      </c>
      <c r="U446" cm="1">
        <f t="array" aca="1" ref="U446" ca="1">INDIRECT("Data!O" &amp; 441)</f>
        <v>0</v>
      </c>
      <c r="V446" cm="1">
        <f t="array" aca="1" ref="V446" ca="1">INDIRECT("Data!P" &amp; 441)</f>
        <v>0</v>
      </c>
    </row>
    <row r="447" spans="7:22" x14ac:dyDescent="0.25">
      <c r="G447" cm="1">
        <f t="array" aca="1" ref="G447" ca="1">INDIRECT("Data!A" &amp; 442)</f>
        <v>0</v>
      </c>
      <c r="H447" s="21" cm="1">
        <f t="array" aca="1" ref="H447" ca="1">INDIRECT("Data!B" &amp; 442)</f>
        <v>0</v>
      </c>
      <c r="I447" s="21" cm="1">
        <f t="array" aca="1" ref="I447" ca="1">INDIRECT("Data!C" &amp; 442)</f>
        <v>0</v>
      </c>
      <c r="J447" cm="1">
        <f t="array" aca="1" ref="J447" ca="1">INDIRECT("Data!D" &amp; 442)</f>
        <v>0</v>
      </c>
      <c r="K447" cm="1">
        <f t="array" aca="1" ref="K447" ca="1">INDIRECT("Data!E" &amp; 442)</f>
        <v>0</v>
      </c>
      <c r="L447" cm="1">
        <f t="array" aca="1" ref="L447" ca="1">INDIRECT("Data!F" &amp; 442)</f>
        <v>0</v>
      </c>
      <c r="M447" cm="1">
        <f t="array" aca="1" ref="M447" ca="1">INDIRECT("Data!G" &amp; 442)</f>
        <v>0</v>
      </c>
      <c r="N447" cm="1">
        <f t="array" aca="1" ref="N447" ca="1">INDIRECT("Data!H" &amp; 442)</f>
        <v>0</v>
      </c>
      <c r="O447" cm="1">
        <f t="array" aca="1" ref="O447" ca="1">INDIRECT("Data!I" &amp; 442)</f>
        <v>0</v>
      </c>
      <c r="P447" s="21" cm="1">
        <f t="array" aca="1" ref="P447" ca="1">INDIRECT("Data!J" &amp; 442)</f>
        <v>0</v>
      </c>
      <c r="Q447" cm="1">
        <f t="array" aca="1" ref="Q447" ca="1">INDIRECT("Data!K" &amp; 442)</f>
        <v>0</v>
      </c>
      <c r="R447" cm="1">
        <f t="array" aca="1" ref="R447" ca="1">INDIRECT("Data!L" &amp; 442)</f>
        <v>0</v>
      </c>
      <c r="S447" cm="1">
        <f t="array" aca="1" ref="S447" ca="1">INDIRECT("Data!M" &amp; 442)</f>
        <v>0</v>
      </c>
      <c r="T447" cm="1">
        <f t="array" aca="1" ref="T447" ca="1">INDIRECT("Data!N" &amp; 442)</f>
        <v>0</v>
      </c>
      <c r="U447" cm="1">
        <f t="array" aca="1" ref="U447" ca="1">INDIRECT("Data!O" &amp; 442)</f>
        <v>0</v>
      </c>
      <c r="V447" cm="1">
        <f t="array" aca="1" ref="V447" ca="1">INDIRECT("Data!P" &amp; 442)</f>
        <v>0</v>
      </c>
    </row>
    <row r="448" spans="7:22" x14ac:dyDescent="0.25">
      <c r="G448" cm="1">
        <f t="array" aca="1" ref="G448" ca="1">INDIRECT("Data!A" &amp; 443)</f>
        <v>0</v>
      </c>
      <c r="H448" s="21" cm="1">
        <f t="array" aca="1" ref="H448" ca="1">INDIRECT("Data!B" &amp; 443)</f>
        <v>0</v>
      </c>
      <c r="I448" s="21" cm="1">
        <f t="array" aca="1" ref="I448" ca="1">INDIRECT("Data!C" &amp; 443)</f>
        <v>0</v>
      </c>
      <c r="J448" cm="1">
        <f t="array" aca="1" ref="J448" ca="1">INDIRECT("Data!D" &amp; 443)</f>
        <v>0</v>
      </c>
      <c r="K448" cm="1">
        <f t="array" aca="1" ref="K448" ca="1">INDIRECT("Data!E" &amp; 443)</f>
        <v>0</v>
      </c>
      <c r="L448" cm="1">
        <f t="array" aca="1" ref="L448" ca="1">INDIRECT("Data!F" &amp; 443)</f>
        <v>0</v>
      </c>
      <c r="M448" cm="1">
        <f t="array" aca="1" ref="M448" ca="1">INDIRECT("Data!G" &amp; 443)</f>
        <v>0</v>
      </c>
      <c r="N448" cm="1">
        <f t="array" aca="1" ref="N448" ca="1">INDIRECT("Data!H" &amp; 443)</f>
        <v>0</v>
      </c>
      <c r="O448" cm="1">
        <f t="array" aca="1" ref="O448" ca="1">INDIRECT("Data!I" &amp; 443)</f>
        <v>0</v>
      </c>
      <c r="P448" s="21" cm="1">
        <f t="array" aca="1" ref="P448" ca="1">INDIRECT("Data!J" &amp; 443)</f>
        <v>0</v>
      </c>
      <c r="Q448" cm="1">
        <f t="array" aca="1" ref="Q448" ca="1">INDIRECT("Data!K" &amp; 443)</f>
        <v>0</v>
      </c>
      <c r="R448" cm="1">
        <f t="array" aca="1" ref="R448" ca="1">INDIRECT("Data!L" &amp; 443)</f>
        <v>0</v>
      </c>
      <c r="S448" cm="1">
        <f t="array" aca="1" ref="S448" ca="1">INDIRECT("Data!M" &amp; 443)</f>
        <v>0</v>
      </c>
      <c r="T448" cm="1">
        <f t="array" aca="1" ref="T448" ca="1">INDIRECT("Data!N" &amp; 443)</f>
        <v>0</v>
      </c>
      <c r="U448" cm="1">
        <f t="array" aca="1" ref="U448" ca="1">INDIRECT("Data!O" &amp; 443)</f>
        <v>0</v>
      </c>
      <c r="V448" cm="1">
        <f t="array" aca="1" ref="V448" ca="1">INDIRECT("Data!P" &amp; 443)</f>
        <v>0</v>
      </c>
    </row>
    <row r="449" spans="7:22" x14ac:dyDescent="0.25">
      <c r="G449" cm="1">
        <f t="array" aca="1" ref="G449" ca="1">INDIRECT("Data!A" &amp; 444)</f>
        <v>0</v>
      </c>
      <c r="H449" s="21" cm="1">
        <f t="array" aca="1" ref="H449" ca="1">INDIRECT("Data!B" &amp; 444)</f>
        <v>0</v>
      </c>
      <c r="I449" s="21" cm="1">
        <f t="array" aca="1" ref="I449" ca="1">INDIRECT("Data!C" &amp; 444)</f>
        <v>0</v>
      </c>
      <c r="J449" cm="1">
        <f t="array" aca="1" ref="J449" ca="1">INDIRECT("Data!D" &amp; 444)</f>
        <v>0</v>
      </c>
      <c r="K449" cm="1">
        <f t="array" aca="1" ref="K449" ca="1">INDIRECT("Data!E" &amp; 444)</f>
        <v>0</v>
      </c>
      <c r="L449" cm="1">
        <f t="array" aca="1" ref="L449" ca="1">INDIRECT("Data!F" &amp; 444)</f>
        <v>0</v>
      </c>
      <c r="M449" cm="1">
        <f t="array" aca="1" ref="M449" ca="1">INDIRECT("Data!G" &amp; 444)</f>
        <v>0</v>
      </c>
      <c r="N449" cm="1">
        <f t="array" aca="1" ref="N449" ca="1">INDIRECT("Data!H" &amp; 444)</f>
        <v>0</v>
      </c>
      <c r="O449" cm="1">
        <f t="array" aca="1" ref="O449" ca="1">INDIRECT("Data!I" &amp; 444)</f>
        <v>0</v>
      </c>
      <c r="P449" s="21" cm="1">
        <f t="array" aca="1" ref="P449" ca="1">INDIRECT("Data!J" &amp; 444)</f>
        <v>0</v>
      </c>
      <c r="Q449" cm="1">
        <f t="array" aca="1" ref="Q449" ca="1">INDIRECT("Data!K" &amp; 444)</f>
        <v>0</v>
      </c>
      <c r="R449" cm="1">
        <f t="array" aca="1" ref="R449" ca="1">INDIRECT("Data!L" &amp; 444)</f>
        <v>0</v>
      </c>
      <c r="S449" cm="1">
        <f t="array" aca="1" ref="S449" ca="1">INDIRECT("Data!M" &amp; 444)</f>
        <v>0</v>
      </c>
      <c r="T449" cm="1">
        <f t="array" aca="1" ref="T449" ca="1">INDIRECT("Data!N" &amp; 444)</f>
        <v>0</v>
      </c>
      <c r="U449" cm="1">
        <f t="array" aca="1" ref="U449" ca="1">INDIRECT("Data!O" &amp; 444)</f>
        <v>0</v>
      </c>
      <c r="V449" cm="1">
        <f t="array" aca="1" ref="V449" ca="1">INDIRECT("Data!P" &amp; 444)</f>
        <v>0</v>
      </c>
    </row>
    <row r="450" spans="7:22" x14ac:dyDescent="0.25">
      <c r="G450" cm="1">
        <f t="array" aca="1" ref="G450" ca="1">INDIRECT("Data!A" &amp; 445)</f>
        <v>0</v>
      </c>
      <c r="H450" s="21" cm="1">
        <f t="array" aca="1" ref="H450" ca="1">INDIRECT("Data!B" &amp; 445)</f>
        <v>0</v>
      </c>
      <c r="I450" s="21" cm="1">
        <f t="array" aca="1" ref="I450" ca="1">INDIRECT("Data!C" &amp; 445)</f>
        <v>0</v>
      </c>
      <c r="J450" cm="1">
        <f t="array" aca="1" ref="J450" ca="1">INDIRECT("Data!D" &amp; 445)</f>
        <v>0</v>
      </c>
      <c r="K450" cm="1">
        <f t="array" aca="1" ref="K450" ca="1">INDIRECT("Data!E" &amp; 445)</f>
        <v>0</v>
      </c>
      <c r="L450" cm="1">
        <f t="array" aca="1" ref="L450" ca="1">INDIRECT("Data!F" &amp; 445)</f>
        <v>0</v>
      </c>
      <c r="M450" cm="1">
        <f t="array" aca="1" ref="M450" ca="1">INDIRECT("Data!G" &amp; 445)</f>
        <v>0</v>
      </c>
      <c r="N450" cm="1">
        <f t="array" aca="1" ref="N450" ca="1">INDIRECT("Data!H" &amp; 445)</f>
        <v>0</v>
      </c>
      <c r="O450" cm="1">
        <f t="array" aca="1" ref="O450" ca="1">INDIRECT("Data!I" &amp; 445)</f>
        <v>0</v>
      </c>
      <c r="P450" s="21" cm="1">
        <f t="array" aca="1" ref="P450" ca="1">INDIRECT("Data!J" &amp; 445)</f>
        <v>0</v>
      </c>
      <c r="Q450" cm="1">
        <f t="array" aca="1" ref="Q450" ca="1">INDIRECT("Data!K" &amp; 445)</f>
        <v>0</v>
      </c>
      <c r="R450" cm="1">
        <f t="array" aca="1" ref="R450" ca="1">INDIRECT("Data!L" &amp; 445)</f>
        <v>0</v>
      </c>
      <c r="S450" cm="1">
        <f t="array" aca="1" ref="S450" ca="1">INDIRECT("Data!M" &amp; 445)</f>
        <v>0</v>
      </c>
      <c r="T450" cm="1">
        <f t="array" aca="1" ref="T450" ca="1">INDIRECT("Data!N" &amp; 445)</f>
        <v>0</v>
      </c>
      <c r="U450" cm="1">
        <f t="array" aca="1" ref="U450" ca="1">INDIRECT("Data!O" &amp; 445)</f>
        <v>0</v>
      </c>
      <c r="V450" cm="1">
        <f t="array" aca="1" ref="V450" ca="1">INDIRECT("Data!P" &amp; 445)</f>
        <v>0</v>
      </c>
    </row>
    <row r="451" spans="7:22" x14ac:dyDescent="0.25">
      <c r="G451" cm="1">
        <f t="array" aca="1" ref="G451" ca="1">INDIRECT("Data!A" &amp; 446)</f>
        <v>0</v>
      </c>
      <c r="H451" s="21" cm="1">
        <f t="array" aca="1" ref="H451" ca="1">INDIRECT("Data!B" &amp; 446)</f>
        <v>0</v>
      </c>
      <c r="I451" s="21" cm="1">
        <f t="array" aca="1" ref="I451" ca="1">INDIRECT("Data!C" &amp; 446)</f>
        <v>0</v>
      </c>
      <c r="J451" cm="1">
        <f t="array" aca="1" ref="J451" ca="1">INDIRECT("Data!D" &amp; 446)</f>
        <v>0</v>
      </c>
      <c r="K451" cm="1">
        <f t="array" aca="1" ref="K451" ca="1">INDIRECT("Data!E" &amp; 446)</f>
        <v>0</v>
      </c>
      <c r="L451" cm="1">
        <f t="array" aca="1" ref="L451" ca="1">INDIRECT("Data!F" &amp; 446)</f>
        <v>0</v>
      </c>
      <c r="M451" cm="1">
        <f t="array" aca="1" ref="M451" ca="1">INDIRECT("Data!G" &amp; 446)</f>
        <v>0</v>
      </c>
      <c r="N451" cm="1">
        <f t="array" aca="1" ref="N451" ca="1">INDIRECT("Data!H" &amp; 446)</f>
        <v>0</v>
      </c>
      <c r="O451" cm="1">
        <f t="array" aca="1" ref="O451" ca="1">INDIRECT("Data!I" &amp; 446)</f>
        <v>0</v>
      </c>
      <c r="P451" s="21" cm="1">
        <f t="array" aca="1" ref="P451" ca="1">INDIRECT("Data!J" &amp; 446)</f>
        <v>0</v>
      </c>
      <c r="Q451" cm="1">
        <f t="array" aca="1" ref="Q451" ca="1">INDIRECT("Data!K" &amp; 446)</f>
        <v>0</v>
      </c>
      <c r="R451" cm="1">
        <f t="array" aca="1" ref="R451" ca="1">INDIRECT("Data!L" &amp; 446)</f>
        <v>0</v>
      </c>
      <c r="S451" cm="1">
        <f t="array" aca="1" ref="S451" ca="1">INDIRECT("Data!M" &amp; 446)</f>
        <v>0</v>
      </c>
      <c r="T451" cm="1">
        <f t="array" aca="1" ref="T451" ca="1">INDIRECT("Data!N" &amp; 446)</f>
        <v>0</v>
      </c>
      <c r="U451" cm="1">
        <f t="array" aca="1" ref="U451" ca="1">INDIRECT("Data!O" &amp; 446)</f>
        <v>0</v>
      </c>
      <c r="V451" cm="1">
        <f t="array" aca="1" ref="V451" ca="1">INDIRECT("Data!P" &amp; 446)</f>
        <v>0</v>
      </c>
    </row>
    <row r="452" spans="7:22" x14ac:dyDescent="0.25">
      <c r="G452" cm="1">
        <f t="array" aca="1" ref="G452" ca="1">INDIRECT("Data!A" &amp; 447)</f>
        <v>0</v>
      </c>
      <c r="H452" s="21" cm="1">
        <f t="array" aca="1" ref="H452" ca="1">INDIRECT("Data!B" &amp; 447)</f>
        <v>0</v>
      </c>
      <c r="I452" s="21" cm="1">
        <f t="array" aca="1" ref="I452" ca="1">INDIRECT("Data!C" &amp; 447)</f>
        <v>0</v>
      </c>
      <c r="J452" cm="1">
        <f t="array" aca="1" ref="J452" ca="1">INDIRECT("Data!D" &amp; 447)</f>
        <v>0</v>
      </c>
      <c r="K452" cm="1">
        <f t="array" aca="1" ref="K452" ca="1">INDIRECT("Data!E" &amp; 447)</f>
        <v>0</v>
      </c>
      <c r="L452" cm="1">
        <f t="array" aca="1" ref="L452" ca="1">INDIRECT("Data!F" &amp; 447)</f>
        <v>0</v>
      </c>
      <c r="M452" cm="1">
        <f t="array" aca="1" ref="M452" ca="1">INDIRECT("Data!G" &amp; 447)</f>
        <v>0</v>
      </c>
      <c r="N452" cm="1">
        <f t="array" aca="1" ref="N452" ca="1">INDIRECT("Data!H" &amp; 447)</f>
        <v>0</v>
      </c>
      <c r="O452" cm="1">
        <f t="array" aca="1" ref="O452" ca="1">INDIRECT("Data!I" &amp; 447)</f>
        <v>0</v>
      </c>
      <c r="P452" s="21" cm="1">
        <f t="array" aca="1" ref="P452" ca="1">INDIRECT("Data!J" &amp; 447)</f>
        <v>0</v>
      </c>
      <c r="Q452" cm="1">
        <f t="array" aca="1" ref="Q452" ca="1">INDIRECT("Data!K" &amp; 447)</f>
        <v>0</v>
      </c>
      <c r="R452" cm="1">
        <f t="array" aca="1" ref="R452" ca="1">INDIRECT("Data!L" &amp; 447)</f>
        <v>0</v>
      </c>
      <c r="S452" cm="1">
        <f t="array" aca="1" ref="S452" ca="1">INDIRECT("Data!M" &amp; 447)</f>
        <v>0</v>
      </c>
      <c r="T452" cm="1">
        <f t="array" aca="1" ref="T452" ca="1">INDIRECT("Data!N" &amp; 447)</f>
        <v>0</v>
      </c>
      <c r="U452" cm="1">
        <f t="array" aca="1" ref="U452" ca="1">INDIRECT("Data!O" &amp; 447)</f>
        <v>0</v>
      </c>
      <c r="V452" cm="1">
        <f t="array" aca="1" ref="V452" ca="1">INDIRECT("Data!P" &amp; 447)</f>
        <v>0</v>
      </c>
    </row>
    <row r="453" spans="7:22" x14ac:dyDescent="0.25">
      <c r="G453" cm="1">
        <f t="array" aca="1" ref="G453" ca="1">INDIRECT("Data!A" &amp; 448)</f>
        <v>0</v>
      </c>
      <c r="H453" s="21" cm="1">
        <f t="array" aca="1" ref="H453" ca="1">INDIRECT("Data!B" &amp; 448)</f>
        <v>0</v>
      </c>
      <c r="I453" s="21" cm="1">
        <f t="array" aca="1" ref="I453" ca="1">INDIRECT("Data!C" &amp; 448)</f>
        <v>0</v>
      </c>
      <c r="J453" cm="1">
        <f t="array" aca="1" ref="J453" ca="1">INDIRECT("Data!D" &amp; 448)</f>
        <v>0</v>
      </c>
      <c r="K453" cm="1">
        <f t="array" aca="1" ref="K453" ca="1">INDIRECT("Data!E" &amp; 448)</f>
        <v>0</v>
      </c>
      <c r="L453" cm="1">
        <f t="array" aca="1" ref="L453" ca="1">INDIRECT("Data!F" &amp; 448)</f>
        <v>0</v>
      </c>
      <c r="M453" cm="1">
        <f t="array" aca="1" ref="M453" ca="1">INDIRECT("Data!G" &amp; 448)</f>
        <v>0</v>
      </c>
      <c r="N453" cm="1">
        <f t="array" aca="1" ref="N453" ca="1">INDIRECT("Data!H" &amp; 448)</f>
        <v>0</v>
      </c>
      <c r="O453" cm="1">
        <f t="array" aca="1" ref="O453" ca="1">INDIRECT("Data!I" &amp; 448)</f>
        <v>0</v>
      </c>
      <c r="P453" s="21" cm="1">
        <f t="array" aca="1" ref="P453" ca="1">INDIRECT("Data!J" &amp; 448)</f>
        <v>0</v>
      </c>
      <c r="Q453" cm="1">
        <f t="array" aca="1" ref="Q453" ca="1">INDIRECT("Data!K" &amp; 448)</f>
        <v>0</v>
      </c>
      <c r="R453" cm="1">
        <f t="array" aca="1" ref="R453" ca="1">INDIRECT("Data!L" &amp; 448)</f>
        <v>0</v>
      </c>
      <c r="S453" cm="1">
        <f t="array" aca="1" ref="S453" ca="1">INDIRECT("Data!M" &amp; 448)</f>
        <v>0</v>
      </c>
      <c r="T453" cm="1">
        <f t="array" aca="1" ref="T453" ca="1">INDIRECT("Data!N" &amp; 448)</f>
        <v>0</v>
      </c>
      <c r="U453" cm="1">
        <f t="array" aca="1" ref="U453" ca="1">INDIRECT("Data!O" &amp; 448)</f>
        <v>0</v>
      </c>
      <c r="V453" cm="1">
        <f t="array" aca="1" ref="V453" ca="1">INDIRECT("Data!P" &amp; 448)</f>
        <v>0</v>
      </c>
    </row>
    <row r="454" spans="7:22" x14ac:dyDescent="0.25">
      <c r="G454" cm="1">
        <f t="array" aca="1" ref="G454" ca="1">INDIRECT("Data!A" &amp; 449)</f>
        <v>0</v>
      </c>
      <c r="H454" s="21" cm="1">
        <f t="array" aca="1" ref="H454" ca="1">INDIRECT("Data!B" &amp; 449)</f>
        <v>0</v>
      </c>
      <c r="I454" s="21" cm="1">
        <f t="array" aca="1" ref="I454" ca="1">INDIRECT("Data!C" &amp; 449)</f>
        <v>0</v>
      </c>
      <c r="J454" cm="1">
        <f t="array" aca="1" ref="J454" ca="1">INDIRECT("Data!D" &amp; 449)</f>
        <v>0</v>
      </c>
      <c r="K454" cm="1">
        <f t="array" aca="1" ref="K454" ca="1">INDIRECT("Data!E" &amp; 449)</f>
        <v>0</v>
      </c>
      <c r="L454" cm="1">
        <f t="array" aca="1" ref="L454" ca="1">INDIRECT("Data!F" &amp; 449)</f>
        <v>0</v>
      </c>
      <c r="M454" cm="1">
        <f t="array" aca="1" ref="M454" ca="1">INDIRECT("Data!G" &amp; 449)</f>
        <v>0</v>
      </c>
      <c r="N454" cm="1">
        <f t="array" aca="1" ref="N454" ca="1">INDIRECT("Data!H" &amp; 449)</f>
        <v>0</v>
      </c>
      <c r="O454" cm="1">
        <f t="array" aca="1" ref="O454" ca="1">INDIRECT("Data!I" &amp; 449)</f>
        <v>0</v>
      </c>
      <c r="P454" s="21" cm="1">
        <f t="array" aca="1" ref="P454" ca="1">INDIRECT("Data!J" &amp; 449)</f>
        <v>0</v>
      </c>
      <c r="Q454" cm="1">
        <f t="array" aca="1" ref="Q454" ca="1">INDIRECT("Data!K" &amp; 449)</f>
        <v>0</v>
      </c>
      <c r="R454" cm="1">
        <f t="array" aca="1" ref="R454" ca="1">INDIRECT("Data!L" &amp; 449)</f>
        <v>0</v>
      </c>
      <c r="S454" cm="1">
        <f t="array" aca="1" ref="S454" ca="1">INDIRECT("Data!M" &amp; 449)</f>
        <v>0</v>
      </c>
      <c r="T454" cm="1">
        <f t="array" aca="1" ref="T454" ca="1">INDIRECT("Data!N" &amp; 449)</f>
        <v>0</v>
      </c>
      <c r="U454" cm="1">
        <f t="array" aca="1" ref="U454" ca="1">INDIRECT("Data!O" &amp; 449)</f>
        <v>0</v>
      </c>
      <c r="V454" cm="1">
        <f t="array" aca="1" ref="V454" ca="1">INDIRECT("Data!P" &amp; 449)</f>
        <v>0</v>
      </c>
    </row>
    <row r="455" spans="7:22" x14ac:dyDescent="0.25">
      <c r="G455" cm="1">
        <f t="array" aca="1" ref="G455" ca="1">INDIRECT("Data!A" &amp; 450)</f>
        <v>0</v>
      </c>
      <c r="H455" s="21" cm="1">
        <f t="array" aca="1" ref="H455" ca="1">INDIRECT("Data!B" &amp; 450)</f>
        <v>0</v>
      </c>
      <c r="I455" s="21" cm="1">
        <f t="array" aca="1" ref="I455" ca="1">INDIRECT("Data!C" &amp; 450)</f>
        <v>0</v>
      </c>
      <c r="J455" cm="1">
        <f t="array" aca="1" ref="J455" ca="1">INDIRECT("Data!D" &amp; 450)</f>
        <v>0</v>
      </c>
      <c r="K455" cm="1">
        <f t="array" aca="1" ref="K455" ca="1">INDIRECT("Data!E" &amp; 450)</f>
        <v>0</v>
      </c>
      <c r="L455" cm="1">
        <f t="array" aca="1" ref="L455" ca="1">INDIRECT("Data!F" &amp; 450)</f>
        <v>0</v>
      </c>
      <c r="M455" cm="1">
        <f t="array" aca="1" ref="M455" ca="1">INDIRECT("Data!G" &amp; 450)</f>
        <v>0</v>
      </c>
      <c r="N455" cm="1">
        <f t="array" aca="1" ref="N455" ca="1">INDIRECT("Data!H" &amp; 450)</f>
        <v>0</v>
      </c>
      <c r="O455" cm="1">
        <f t="array" aca="1" ref="O455" ca="1">INDIRECT("Data!I" &amp; 450)</f>
        <v>0</v>
      </c>
      <c r="P455" s="21" cm="1">
        <f t="array" aca="1" ref="P455" ca="1">INDIRECT("Data!J" &amp; 450)</f>
        <v>0</v>
      </c>
      <c r="Q455" cm="1">
        <f t="array" aca="1" ref="Q455" ca="1">INDIRECT("Data!K" &amp; 450)</f>
        <v>0</v>
      </c>
      <c r="R455" cm="1">
        <f t="array" aca="1" ref="R455" ca="1">INDIRECT("Data!L" &amp; 450)</f>
        <v>0</v>
      </c>
      <c r="S455" cm="1">
        <f t="array" aca="1" ref="S455" ca="1">INDIRECT("Data!M" &amp; 450)</f>
        <v>0</v>
      </c>
      <c r="T455" cm="1">
        <f t="array" aca="1" ref="T455" ca="1">INDIRECT("Data!N" &amp; 450)</f>
        <v>0</v>
      </c>
      <c r="U455" cm="1">
        <f t="array" aca="1" ref="U455" ca="1">INDIRECT("Data!O" &amp; 450)</f>
        <v>0</v>
      </c>
      <c r="V455" cm="1">
        <f t="array" aca="1" ref="V455" ca="1">INDIRECT("Data!P" &amp; 450)</f>
        <v>0</v>
      </c>
    </row>
    <row r="456" spans="7:22" x14ac:dyDescent="0.25">
      <c r="G456" cm="1">
        <f t="array" aca="1" ref="G456" ca="1">INDIRECT("Data!A" &amp; 451)</f>
        <v>0</v>
      </c>
      <c r="H456" s="21" cm="1">
        <f t="array" aca="1" ref="H456" ca="1">INDIRECT("Data!B" &amp; 451)</f>
        <v>0</v>
      </c>
      <c r="I456" s="21" cm="1">
        <f t="array" aca="1" ref="I456" ca="1">INDIRECT("Data!C" &amp; 451)</f>
        <v>0</v>
      </c>
      <c r="J456" cm="1">
        <f t="array" aca="1" ref="J456" ca="1">INDIRECT("Data!D" &amp; 451)</f>
        <v>0</v>
      </c>
      <c r="K456" cm="1">
        <f t="array" aca="1" ref="K456" ca="1">INDIRECT("Data!E" &amp; 451)</f>
        <v>0</v>
      </c>
      <c r="L456" cm="1">
        <f t="array" aca="1" ref="L456" ca="1">INDIRECT("Data!F" &amp; 451)</f>
        <v>0</v>
      </c>
      <c r="M456" cm="1">
        <f t="array" aca="1" ref="M456" ca="1">INDIRECT("Data!G" &amp; 451)</f>
        <v>0</v>
      </c>
      <c r="N456" cm="1">
        <f t="array" aca="1" ref="N456" ca="1">INDIRECT("Data!H" &amp; 451)</f>
        <v>0</v>
      </c>
      <c r="O456" cm="1">
        <f t="array" aca="1" ref="O456" ca="1">INDIRECT("Data!I" &amp; 451)</f>
        <v>0</v>
      </c>
      <c r="P456" s="21" cm="1">
        <f t="array" aca="1" ref="P456" ca="1">INDIRECT("Data!J" &amp; 451)</f>
        <v>0</v>
      </c>
      <c r="Q456" cm="1">
        <f t="array" aca="1" ref="Q456" ca="1">INDIRECT("Data!K" &amp; 451)</f>
        <v>0</v>
      </c>
      <c r="R456" cm="1">
        <f t="array" aca="1" ref="R456" ca="1">INDIRECT("Data!L" &amp; 451)</f>
        <v>0</v>
      </c>
      <c r="S456" cm="1">
        <f t="array" aca="1" ref="S456" ca="1">INDIRECT("Data!M" &amp; 451)</f>
        <v>0</v>
      </c>
      <c r="T456" cm="1">
        <f t="array" aca="1" ref="T456" ca="1">INDIRECT("Data!N" &amp; 451)</f>
        <v>0</v>
      </c>
      <c r="U456" cm="1">
        <f t="array" aca="1" ref="U456" ca="1">INDIRECT("Data!O" &amp; 451)</f>
        <v>0</v>
      </c>
      <c r="V456" cm="1">
        <f t="array" aca="1" ref="V456" ca="1">INDIRECT("Data!P" &amp; 451)</f>
        <v>0</v>
      </c>
    </row>
    <row r="457" spans="7:22" x14ac:dyDescent="0.25">
      <c r="G457" cm="1">
        <f t="array" aca="1" ref="G457" ca="1">INDIRECT("Data!A" &amp; 452)</f>
        <v>0</v>
      </c>
      <c r="H457" s="21" cm="1">
        <f t="array" aca="1" ref="H457" ca="1">INDIRECT("Data!B" &amp; 452)</f>
        <v>0</v>
      </c>
      <c r="I457" s="21" cm="1">
        <f t="array" aca="1" ref="I457" ca="1">INDIRECT("Data!C" &amp; 452)</f>
        <v>0</v>
      </c>
      <c r="J457" cm="1">
        <f t="array" aca="1" ref="J457" ca="1">INDIRECT("Data!D" &amp; 452)</f>
        <v>0</v>
      </c>
      <c r="K457" cm="1">
        <f t="array" aca="1" ref="K457" ca="1">INDIRECT("Data!E" &amp; 452)</f>
        <v>0</v>
      </c>
      <c r="L457" cm="1">
        <f t="array" aca="1" ref="L457" ca="1">INDIRECT("Data!F" &amp; 452)</f>
        <v>0</v>
      </c>
      <c r="M457" cm="1">
        <f t="array" aca="1" ref="M457" ca="1">INDIRECT("Data!G" &amp; 452)</f>
        <v>0</v>
      </c>
      <c r="N457" cm="1">
        <f t="array" aca="1" ref="N457" ca="1">INDIRECT("Data!H" &amp; 452)</f>
        <v>0</v>
      </c>
      <c r="O457" cm="1">
        <f t="array" aca="1" ref="O457" ca="1">INDIRECT("Data!I" &amp; 452)</f>
        <v>0</v>
      </c>
      <c r="P457" s="21" cm="1">
        <f t="array" aca="1" ref="P457" ca="1">INDIRECT("Data!J" &amp; 452)</f>
        <v>0</v>
      </c>
      <c r="Q457" cm="1">
        <f t="array" aca="1" ref="Q457" ca="1">INDIRECT("Data!K" &amp; 452)</f>
        <v>0</v>
      </c>
      <c r="R457" cm="1">
        <f t="array" aca="1" ref="R457" ca="1">INDIRECT("Data!L" &amp; 452)</f>
        <v>0</v>
      </c>
      <c r="S457" cm="1">
        <f t="array" aca="1" ref="S457" ca="1">INDIRECT("Data!M" &amp; 452)</f>
        <v>0</v>
      </c>
      <c r="T457" cm="1">
        <f t="array" aca="1" ref="T457" ca="1">INDIRECT("Data!N" &amp; 452)</f>
        <v>0</v>
      </c>
      <c r="U457" cm="1">
        <f t="array" aca="1" ref="U457" ca="1">INDIRECT("Data!O" &amp; 452)</f>
        <v>0</v>
      </c>
      <c r="V457" cm="1">
        <f t="array" aca="1" ref="V457" ca="1">INDIRECT("Data!P" &amp; 452)</f>
        <v>0</v>
      </c>
    </row>
    <row r="458" spans="7:22" x14ac:dyDescent="0.25">
      <c r="G458" cm="1">
        <f t="array" aca="1" ref="G458" ca="1">INDIRECT("Data!A" &amp; 453)</f>
        <v>0</v>
      </c>
      <c r="H458" s="21" cm="1">
        <f t="array" aca="1" ref="H458" ca="1">INDIRECT("Data!B" &amp; 453)</f>
        <v>0</v>
      </c>
      <c r="I458" s="21" cm="1">
        <f t="array" aca="1" ref="I458" ca="1">INDIRECT("Data!C" &amp; 453)</f>
        <v>0</v>
      </c>
      <c r="J458" cm="1">
        <f t="array" aca="1" ref="J458" ca="1">INDIRECT("Data!D" &amp; 453)</f>
        <v>0</v>
      </c>
      <c r="K458" cm="1">
        <f t="array" aca="1" ref="K458" ca="1">INDIRECT("Data!E" &amp; 453)</f>
        <v>0</v>
      </c>
      <c r="L458" cm="1">
        <f t="array" aca="1" ref="L458" ca="1">INDIRECT("Data!F" &amp; 453)</f>
        <v>0</v>
      </c>
      <c r="M458" cm="1">
        <f t="array" aca="1" ref="M458" ca="1">INDIRECT("Data!G" &amp; 453)</f>
        <v>0</v>
      </c>
      <c r="N458" cm="1">
        <f t="array" aca="1" ref="N458" ca="1">INDIRECT("Data!H" &amp; 453)</f>
        <v>0</v>
      </c>
      <c r="O458" cm="1">
        <f t="array" aca="1" ref="O458" ca="1">INDIRECT("Data!I" &amp; 453)</f>
        <v>0</v>
      </c>
      <c r="P458" s="21" cm="1">
        <f t="array" aca="1" ref="P458" ca="1">INDIRECT("Data!J" &amp; 453)</f>
        <v>0</v>
      </c>
      <c r="Q458" cm="1">
        <f t="array" aca="1" ref="Q458" ca="1">INDIRECT("Data!K" &amp; 453)</f>
        <v>0</v>
      </c>
      <c r="R458" cm="1">
        <f t="array" aca="1" ref="R458" ca="1">INDIRECT("Data!L" &amp; 453)</f>
        <v>0</v>
      </c>
      <c r="S458" cm="1">
        <f t="array" aca="1" ref="S458" ca="1">INDIRECT("Data!M" &amp; 453)</f>
        <v>0</v>
      </c>
      <c r="T458" cm="1">
        <f t="array" aca="1" ref="T458" ca="1">INDIRECT("Data!N" &amp; 453)</f>
        <v>0</v>
      </c>
      <c r="U458" cm="1">
        <f t="array" aca="1" ref="U458" ca="1">INDIRECT("Data!O" &amp; 453)</f>
        <v>0</v>
      </c>
      <c r="V458" cm="1">
        <f t="array" aca="1" ref="V458" ca="1">INDIRECT("Data!P" &amp; 453)</f>
        <v>0</v>
      </c>
    </row>
    <row r="459" spans="7:22" x14ac:dyDescent="0.25">
      <c r="G459" cm="1">
        <f t="array" aca="1" ref="G459" ca="1">INDIRECT("Data!A" &amp; 454)</f>
        <v>0</v>
      </c>
      <c r="H459" s="21" cm="1">
        <f t="array" aca="1" ref="H459" ca="1">INDIRECT("Data!B" &amp; 454)</f>
        <v>0</v>
      </c>
      <c r="I459" s="21" cm="1">
        <f t="array" aca="1" ref="I459" ca="1">INDIRECT("Data!C" &amp; 454)</f>
        <v>0</v>
      </c>
      <c r="J459" cm="1">
        <f t="array" aca="1" ref="J459" ca="1">INDIRECT("Data!D" &amp; 454)</f>
        <v>0</v>
      </c>
      <c r="K459" cm="1">
        <f t="array" aca="1" ref="K459" ca="1">INDIRECT("Data!E" &amp; 454)</f>
        <v>0</v>
      </c>
      <c r="L459" cm="1">
        <f t="array" aca="1" ref="L459" ca="1">INDIRECT("Data!F" &amp; 454)</f>
        <v>0</v>
      </c>
      <c r="M459" cm="1">
        <f t="array" aca="1" ref="M459" ca="1">INDIRECT("Data!G" &amp; 454)</f>
        <v>0</v>
      </c>
      <c r="N459" cm="1">
        <f t="array" aca="1" ref="N459" ca="1">INDIRECT("Data!H" &amp; 454)</f>
        <v>0</v>
      </c>
      <c r="O459" cm="1">
        <f t="array" aca="1" ref="O459" ca="1">INDIRECT("Data!I" &amp; 454)</f>
        <v>0</v>
      </c>
      <c r="P459" s="21" cm="1">
        <f t="array" aca="1" ref="P459" ca="1">INDIRECT("Data!J" &amp; 454)</f>
        <v>0</v>
      </c>
      <c r="Q459" cm="1">
        <f t="array" aca="1" ref="Q459" ca="1">INDIRECT("Data!K" &amp; 454)</f>
        <v>0</v>
      </c>
      <c r="R459" cm="1">
        <f t="array" aca="1" ref="R459" ca="1">INDIRECT("Data!L" &amp; 454)</f>
        <v>0</v>
      </c>
      <c r="S459" cm="1">
        <f t="array" aca="1" ref="S459" ca="1">INDIRECT("Data!M" &amp; 454)</f>
        <v>0</v>
      </c>
      <c r="T459" cm="1">
        <f t="array" aca="1" ref="T459" ca="1">INDIRECT("Data!N" &amp; 454)</f>
        <v>0</v>
      </c>
      <c r="U459" cm="1">
        <f t="array" aca="1" ref="U459" ca="1">INDIRECT("Data!O" &amp; 454)</f>
        <v>0</v>
      </c>
      <c r="V459" cm="1">
        <f t="array" aca="1" ref="V459" ca="1">INDIRECT("Data!P" &amp; 454)</f>
        <v>0</v>
      </c>
    </row>
    <row r="460" spans="7:22" x14ac:dyDescent="0.25">
      <c r="G460" cm="1">
        <f t="array" aca="1" ref="G460" ca="1">INDIRECT("Data!A" &amp; 455)</f>
        <v>0</v>
      </c>
      <c r="H460" s="21" cm="1">
        <f t="array" aca="1" ref="H460" ca="1">INDIRECT("Data!B" &amp; 455)</f>
        <v>0</v>
      </c>
      <c r="I460" s="21" cm="1">
        <f t="array" aca="1" ref="I460" ca="1">INDIRECT("Data!C" &amp; 455)</f>
        <v>0</v>
      </c>
      <c r="J460" cm="1">
        <f t="array" aca="1" ref="J460" ca="1">INDIRECT("Data!D" &amp; 455)</f>
        <v>0</v>
      </c>
      <c r="K460" cm="1">
        <f t="array" aca="1" ref="K460" ca="1">INDIRECT("Data!E" &amp; 455)</f>
        <v>0</v>
      </c>
      <c r="L460" cm="1">
        <f t="array" aca="1" ref="L460" ca="1">INDIRECT("Data!F" &amp; 455)</f>
        <v>0</v>
      </c>
      <c r="M460" cm="1">
        <f t="array" aca="1" ref="M460" ca="1">INDIRECT("Data!G" &amp; 455)</f>
        <v>0</v>
      </c>
      <c r="N460" cm="1">
        <f t="array" aca="1" ref="N460" ca="1">INDIRECT("Data!H" &amp; 455)</f>
        <v>0</v>
      </c>
      <c r="O460" cm="1">
        <f t="array" aca="1" ref="O460" ca="1">INDIRECT("Data!I" &amp; 455)</f>
        <v>0</v>
      </c>
      <c r="P460" s="21" cm="1">
        <f t="array" aca="1" ref="P460" ca="1">INDIRECT("Data!J" &amp; 455)</f>
        <v>0</v>
      </c>
      <c r="Q460" cm="1">
        <f t="array" aca="1" ref="Q460" ca="1">INDIRECT("Data!K" &amp; 455)</f>
        <v>0</v>
      </c>
      <c r="R460" cm="1">
        <f t="array" aca="1" ref="R460" ca="1">INDIRECT("Data!L" &amp; 455)</f>
        <v>0</v>
      </c>
      <c r="S460" cm="1">
        <f t="array" aca="1" ref="S460" ca="1">INDIRECT("Data!M" &amp; 455)</f>
        <v>0</v>
      </c>
      <c r="T460" cm="1">
        <f t="array" aca="1" ref="T460" ca="1">INDIRECT("Data!N" &amp; 455)</f>
        <v>0</v>
      </c>
      <c r="U460" cm="1">
        <f t="array" aca="1" ref="U460" ca="1">INDIRECT("Data!O" &amp; 455)</f>
        <v>0</v>
      </c>
      <c r="V460" cm="1">
        <f t="array" aca="1" ref="V460" ca="1">INDIRECT("Data!P" &amp; 455)</f>
        <v>0</v>
      </c>
    </row>
    <row r="461" spans="7:22" x14ac:dyDescent="0.25">
      <c r="G461" cm="1">
        <f t="array" aca="1" ref="G461" ca="1">INDIRECT("Data!A" &amp; 456)</f>
        <v>0</v>
      </c>
      <c r="H461" s="21" cm="1">
        <f t="array" aca="1" ref="H461" ca="1">INDIRECT("Data!B" &amp; 456)</f>
        <v>0</v>
      </c>
      <c r="I461" s="21" cm="1">
        <f t="array" aca="1" ref="I461" ca="1">INDIRECT("Data!C" &amp; 456)</f>
        <v>0</v>
      </c>
      <c r="J461" cm="1">
        <f t="array" aca="1" ref="J461" ca="1">INDIRECT("Data!D" &amp; 456)</f>
        <v>0</v>
      </c>
      <c r="K461" cm="1">
        <f t="array" aca="1" ref="K461" ca="1">INDIRECT("Data!E" &amp; 456)</f>
        <v>0</v>
      </c>
      <c r="L461" cm="1">
        <f t="array" aca="1" ref="L461" ca="1">INDIRECT("Data!F" &amp; 456)</f>
        <v>0</v>
      </c>
      <c r="M461" cm="1">
        <f t="array" aca="1" ref="M461" ca="1">INDIRECT("Data!G" &amp; 456)</f>
        <v>0</v>
      </c>
      <c r="N461" cm="1">
        <f t="array" aca="1" ref="N461" ca="1">INDIRECT("Data!H" &amp; 456)</f>
        <v>0</v>
      </c>
      <c r="O461" cm="1">
        <f t="array" aca="1" ref="O461" ca="1">INDIRECT("Data!I" &amp; 456)</f>
        <v>0</v>
      </c>
      <c r="P461" s="21" cm="1">
        <f t="array" aca="1" ref="P461" ca="1">INDIRECT("Data!J" &amp; 456)</f>
        <v>0</v>
      </c>
      <c r="Q461" cm="1">
        <f t="array" aca="1" ref="Q461" ca="1">INDIRECT("Data!K" &amp; 456)</f>
        <v>0</v>
      </c>
      <c r="R461" cm="1">
        <f t="array" aca="1" ref="R461" ca="1">INDIRECT("Data!L" &amp; 456)</f>
        <v>0</v>
      </c>
      <c r="S461" cm="1">
        <f t="array" aca="1" ref="S461" ca="1">INDIRECT("Data!M" &amp; 456)</f>
        <v>0</v>
      </c>
      <c r="T461" cm="1">
        <f t="array" aca="1" ref="T461" ca="1">INDIRECT("Data!N" &amp; 456)</f>
        <v>0</v>
      </c>
      <c r="U461" cm="1">
        <f t="array" aca="1" ref="U461" ca="1">INDIRECT("Data!O" &amp; 456)</f>
        <v>0</v>
      </c>
      <c r="V461" cm="1">
        <f t="array" aca="1" ref="V461" ca="1">INDIRECT("Data!P" &amp; 456)</f>
        <v>0</v>
      </c>
    </row>
    <row r="462" spans="7:22" x14ac:dyDescent="0.25">
      <c r="G462" cm="1">
        <f t="array" aca="1" ref="G462" ca="1">INDIRECT("Data!A" &amp; 457)</f>
        <v>0</v>
      </c>
      <c r="H462" s="21" cm="1">
        <f t="array" aca="1" ref="H462" ca="1">INDIRECT("Data!B" &amp; 457)</f>
        <v>0</v>
      </c>
      <c r="I462" s="21" cm="1">
        <f t="array" aca="1" ref="I462" ca="1">INDIRECT("Data!C" &amp; 457)</f>
        <v>0</v>
      </c>
      <c r="J462" cm="1">
        <f t="array" aca="1" ref="J462" ca="1">INDIRECT("Data!D" &amp; 457)</f>
        <v>0</v>
      </c>
      <c r="K462" cm="1">
        <f t="array" aca="1" ref="K462" ca="1">INDIRECT("Data!E" &amp; 457)</f>
        <v>0</v>
      </c>
      <c r="L462" cm="1">
        <f t="array" aca="1" ref="L462" ca="1">INDIRECT("Data!F" &amp; 457)</f>
        <v>0</v>
      </c>
      <c r="M462" cm="1">
        <f t="array" aca="1" ref="M462" ca="1">INDIRECT("Data!G" &amp; 457)</f>
        <v>0</v>
      </c>
      <c r="N462" cm="1">
        <f t="array" aca="1" ref="N462" ca="1">INDIRECT("Data!H" &amp; 457)</f>
        <v>0</v>
      </c>
      <c r="O462" cm="1">
        <f t="array" aca="1" ref="O462" ca="1">INDIRECT("Data!I" &amp; 457)</f>
        <v>0</v>
      </c>
      <c r="P462" s="21" cm="1">
        <f t="array" aca="1" ref="P462" ca="1">INDIRECT("Data!J" &amp; 457)</f>
        <v>0</v>
      </c>
      <c r="Q462" cm="1">
        <f t="array" aca="1" ref="Q462" ca="1">INDIRECT("Data!K" &amp; 457)</f>
        <v>0</v>
      </c>
      <c r="R462" cm="1">
        <f t="array" aca="1" ref="R462" ca="1">INDIRECT("Data!L" &amp; 457)</f>
        <v>0</v>
      </c>
      <c r="S462" cm="1">
        <f t="array" aca="1" ref="S462" ca="1">INDIRECT("Data!M" &amp; 457)</f>
        <v>0</v>
      </c>
      <c r="T462" cm="1">
        <f t="array" aca="1" ref="T462" ca="1">INDIRECT("Data!N" &amp; 457)</f>
        <v>0</v>
      </c>
      <c r="U462" cm="1">
        <f t="array" aca="1" ref="U462" ca="1">INDIRECT("Data!O" &amp; 457)</f>
        <v>0</v>
      </c>
      <c r="V462" cm="1">
        <f t="array" aca="1" ref="V462" ca="1">INDIRECT("Data!P" &amp; 457)</f>
        <v>0</v>
      </c>
    </row>
    <row r="463" spans="7:22" x14ac:dyDescent="0.25">
      <c r="G463" cm="1">
        <f t="array" aca="1" ref="G463" ca="1">INDIRECT("Data!A" &amp; 458)</f>
        <v>0</v>
      </c>
      <c r="H463" s="21" cm="1">
        <f t="array" aca="1" ref="H463" ca="1">INDIRECT("Data!B" &amp; 458)</f>
        <v>0</v>
      </c>
      <c r="I463" s="21" cm="1">
        <f t="array" aca="1" ref="I463" ca="1">INDIRECT("Data!C" &amp; 458)</f>
        <v>0</v>
      </c>
      <c r="J463" cm="1">
        <f t="array" aca="1" ref="J463" ca="1">INDIRECT("Data!D" &amp; 458)</f>
        <v>0</v>
      </c>
      <c r="K463" cm="1">
        <f t="array" aca="1" ref="K463" ca="1">INDIRECT("Data!E" &amp; 458)</f>
        <v>0</v>
      </c>
      <c r="L463" cm="1">
        <f t="array" aca="1" ref="L463" ca="1">INDIRECT("Data!F" &amp; 458)</f>
        <v>0</v>
      </c>
      <c r="M463" cm="1">
        <f t="array" aca="1" ref="M463" ca="1">INDIRECT("Data!G" &amp; 458)</f>
        <v>0</v>
      </c>
      <c r="N463" cm="1">
        <f t="array" aca="1" ref="N463" ca="1">INDIRECT("Data!H" &amp; 458)</f>
        <v>0</v>
      </c>
      <c r="O463" cm="1">
        <f t="array" aca="1" ref="O463" ca="1">INDIRECT("Data!I" &amp; 458)</f>
        <v>0</v>
      </c>
      <c r="P463" s="21" cm="1">
        <f t="array" aca="1" ref="P463" ca="1">INDIRECT("Data!J" &amp; 458)</f>
        <v>0</v>
      </c>
      <c r="Q463" cm="1">
        <f t="array" aca="1" ref="Q463" ca="1">INDIRECT("Data!K" &amp; 458)</f>
        <v>0</v>
      </c>
      <c r="R463" cm="1">
        <f t="array" aca="1" ref="R463" ca="1">INDIRECT("Data!L" &amp; 458)</f>
        <v>0</v>
      </c>
      <c r="S463" cm="1">
        <f t="array" aca="1" ref="S463" ca="1">INDIRECT("Data!M" &amp; 458)</f>
        <v>0</v>
      </c>
      <c r="T463" cm="1">
        <f t="array" aca="1" ref="T463" ca="1">INDIRECT("Data!N" &amp; 458)</f>
        <v>0</v>
      </c>
      <c r="U463" cm="1">
        <f t="array" aca="1" ref="U463" ca="1">INDIRECT("Data!O" &amp; 458)</f>
        <v>0</v>
      </c>
      <c r="V463" cm="1">
        <f t="array" aca="1" ref="V463" ca="1">INDIRECT("Data!P" &amp; 458)</f>
        <v>0</v>
      </c>
    </row>
    <row r="464" spans="7:22" x14ac:dyDescent="0.25">
      <c r="G464" cm="1">
        <f t="array" aca="1" ref="G464" ca="1">INDIRECT("Data!A" &amp; 459)</f>
        <v>0</v>
      </c>
      <c r="H464" s="21" cm="1">
        <f t="array" aca="1" ref="H464" ca="1">INDIRECT("Data!B" &amp; 459)</f>
        <v>0</v>
      </c>
      <c r="I464" s="21" cm="1">
        <f t="array" aca="1" ref="I464" ca="1">INDIRECT("Data!C" &amp; 459)</f>
        <v>0</v>
      </c>
      <c r="J464" cm="1">
        <f t="array" aca="1" ref="J464" ca="1">INDIRECT("Data!D" &amp; 459)</f>
        <v>0</v>
      </c>
      <c r="K464" cm="1">
        <f t="array" aca="1" ref="K464" ca="1">INDIRECT("Data!E" &amp; 459)</f>
        <v>0</v>
      </c>
      <c r="L464" cm="1">
        <f t="array" aca="1" ref="L464" ca="1">INDIRECT("Data!F" &amp; 459)</f>
        <v>0</v>
      </c>
      <c r="M464" cm="1">
        <f t="array" aca="1" ref="M464" ca="1">INDIRECT("Data!G" &amp; 459)</f>
        <v>0</v>
      </c>
      <c r="N464" cm="1">
        <f t="array" aca="1" ref="N464" ca="1">INDIRECT("Data!H" &amp; 459)</f>
        <v>0</v>
      </c>
      <c r="O464" cm="1">
        <f t="array" aca="1" ref="O464" ca="1">INDIRECT("Data!I" &amp; 459)</f>
        <v>0</v>
      </c>
      <c r="P464" s="21" cm="1">
        <f t="array" aca="1" ref="P464" ca="1">INDIRECT("Data!J" &amp; 459)</f>
        <v>0</v>
      </c>
      <c r="Q464" cm="1">
        <f t="array" aca="1" ref="Q464" ca="1">INDIRECT("Data!K" &amp; 459)</f>
        <v>0</v>
      </c>
      <c r="R464" cm="1">
        <f t="array" aca="1" ref="R464" ca="1">INDIRECT("Data!L" &amp; 459)</f>
        <v>0</v>
      </c>
      <c r="S464" cm="1">
        <f t="array" aca="1" ref="S464" ca="1">INDIRECT("Data!M" &amp; 459)</f>
        <v>0</v>
      </c>
      <c r="T464" cm="1">
        <f t="array" aca="1" ref="T464" ca="1">INDIRECT("Data!N" &amp; 459)</f>
        <v>0</v>
      </c>
      <c r="U464" cm="1">
        <f t="array" aca="1" ref="U464" ca="1">INDIRECT("Data!O" &amp; 459)</f>
        <v>0</v>
      </c>
      <c r="V464" cm="1">
        <f t="array" aca="1" ref="V464" ca="1">INDIRECT("Data!P" &amp; 459)</f>
        <v>0</v>
      </c>
    </row>
    <row r="465" spans="7:22" x14ac:dyDescent="0.25">
      <c r="G465" cm="1">
        <f t="array" aca="1" ref="G465" ca="1">INDIRECT("Data!A" &amp; 460)</f>
        <v>0</v>
      </c>
      <c r="H465" s="21" cm="1">
        <f t="array" aca="1" ref="H465" ca="1">INDIRECT("Data!B" &amp; 460)</f>
        <v>0</v>
      </c>
      <c r="I465" s="21" cm="1">
        <f t="array" aca="1" ref="I465" ca="1">INDIRECT("Data!C" &amp; 460)</f>
        <v>0</v>
      </c>
      <c r="J465" cm="1">
        <f t="array" aca="1" ref="J465" ca="1">INDIRECT("Data!D" &amp; 460)</f>
        <v>0</v>
      </c>
      <c r="K465" cm="1">
        <f t="array" aca="1" ref="K465" ca="1">INDIRECT("Data!E" &amp; 460)</f>
        <v>0</v>
      </c>
      <c r="L465" cm="1">
        <f t="array" aca="1" ref="L465" ca="1">INDIRECT("Data!F" &amp; 460)</f>
        <v>0</v>
      </c>
      <c r="M465" cm="1">
        <f t="array" aca="1" ref="M465" ca="1">INDIRECT("Data!G" &amp; 460)</f>
        <v>0</v>
      </c>
      <c r="N465" cm="1">
        <f t="array" aca="1" ref="N465" ca="1">INDIRECT("Data!H" &amp; 460)</f>
        <v>0</v>
      </c>
      <c r="O465" cm="1">
        <f t="array" aca="1" ref="O465" ca="1">INDIRECT("Data!I" &amp; 460)</f>
        <v>0</v>
      </c>
      <c r="P465" s="21" cm="1">
        <f t="array" aca="1" ref="P465" ca="1">INDIRECT("Data!J" &amp; 460)</f>
        <v>0</v>
      </c>
      <c r="Q465" cm="1">
        <f t="array" aca="1" ref="Q465" ca="1">INDIRECT("Data!K" &amp; 460)</f>
        <v>0</v>
      </c>
      <c r="R465" cm="1">
        <f t="array" aca="1" ref="R465" ca="1">INDIRECT("Data!L" &amp; 460)</f>
        <v>0</v>
      </c>
      <c r="S465" cm="1">
        <f t="array" aca="1" ref="S465" ca="1">INDIRECT("Data!M" &amp; 460)</f>
        <v>0</v>
      </c>
      <c r="T465" cm="1">
        <f t="array" aca="1" ref="T465" ca="1">INDIRECT("Data!N" &amp; 460)</f>
        <v>0</v>
      </c>
      <c r="U465" cm="1">
        <f t="array" aca="1" ref="U465" ca="1">INDIRECT("Data!O" &amp; 460)</f>
        <v>0</v>
      </c>
      <c r="V465" cm="1">
        <f t="array" aca="1" ref="V465" ca="1">INDIRECT("Data!P" &amp; 460)</f>
        <v>0</v>
      </c>
    </row>
    <row r="466" spans="7:22" x14ac:dyDescent="0.25">
      <c r="G466" cm="1">
        <f t="array" aca="1" ref="G466" ca="1">INDIRECT("Data!A" &amp; 461)</f>
        <v>0</v>
      </c>
      <c r="H466" s="21" cm="1">
        <f t="array" aca="1" ref="H466" ca="1">INDIRECT("Data!B" &amp; 461)</f>
        <v>0</v>
      </c>
      <c r="I466" s="21" cm="1">
        <f t="array" aca="1" ref="I466" ca="1">INDIRECT("Data!C" &amp; 461)</f>
        <v>0</v>
      </c>
      <c r="J466" cm="1">
        <f t="array" aca="1" ref="J466" ca="1">INDIRECT("Data!D" &amp; 461)</f>
        <v>0</v>
      </c>
      <c r="K466" cm="1">
        <f t="array" aca="1" ref="K466" ca="1">INDIRECT("Data!E" &amp; 461)</f>
        <v>0</v>
      </c>
      <c r="L466" cm="1">
        <f t="array" aca="1" ref="L466" ca="1">INDIRECT("Data!F" &amp; 461)</f>
        <v>0</v>
      </c>
      <c r="M466" cm="1">
        <f t="array" aca="1" ref="M466" ca="1">INDIRECT("Data!G" &amp; 461)</f>
        <v>0</v>
      </c>
      <c r="N466" cm="1">
        <f t="array" aca="1" ref="N466" ca="1">INDIRECT("Data!H" &amp; 461)</f>
        <v>0</v>
      </c>
      <c r="O466" cm="1">
        <f t="array" aca="1" ref="O466" ca="1">INDIRECT("Data!I" &amp; 461)</f>
        <v>0</v>
      </c>
      <c r="P466" s="21" cm="1">
        <f t="array" aca="1" ref="P466" ca="1">INDIRECT("Data!J" &amp; 461)</f>
        <v>0</v>
      </c>
      <c r="Q466" cm="1">
        <f t="array" aca="1" ref="Q466" ca="1">INDIRECT("Data!K" &amp; 461)</f>
        <v>0</v>
      </c>
      <c r="R466" cm="1">
        <f t="array" aca="1" ref="R466" ca="1">INDIRECT("Data!L" &amp; 461)</f>
        <v>0</v>
      </c>
      <c r="S466" cm="1">
        <f t="array" aca="1" ref="S466" ca="1">INDIRECT("Data!M" &amp; 461)</f>
        <v>0</v>
      </c>
      <c r="T466" cm="1">
        <f t="array" aca="1" ref="T466" ca="1">INDIRECT("Data!N" &amp; 461)</f>
        <v>0</v>
      </c>
      <c r="U466" cm="1">
        <f t="array" aca="1" ref="U466" ca="1">INDIRECT("Data!O" &amp; 461)</f>
        <v>0</v>
      </c>
      <c r="V466" cm="1">
        <f t="array" aca="1" ref="V466" ca="1">INDIRECT("Data!P" &amp; 461)</f>
        <v>0</v>
      </c>
    </row>
    <row r="467" spans="7:22" x14ac:dyDescent="0.25">
      <c r="G467" cm="1">
        <f t="array" aca="1" ref="G467" ca="1">INDIRECT("Data!A" &amp; 462)</f>
        <v>0</v>
      </c>
      <c r="H467" s="21" cm="1">
        <f t="array" aca="1" ref="H467" ca="1">INDIRECT("Data!B" &amp; 462)</f>
        <v>0</v>
      </c>
      <c r="I467" s="21" cm="1">
        <f t="array" aca="1" ref="I467" ca="1">INDIRECT("Data!C" &amp; 462)</f>
        <v>0</v>
      </c>
      <c r="J467" cm="1">
        <f t="array" aca="1" ref="J467" ca="1">INDIRECT("Data!D" &amp; 462)</f>
        <v>0</v>
      </c>
      <c r="K467" cm="1">
        <f t="array" aca="1" ref="K467" ca="1">INDIRECT("Data!E" &amp; 462)</f>
        <v>0</v>
      </c>
      <c r="L467" cm="1">
        <f t="array" aca="1" ref="L467" ca="1">INDIRECT("Data!F" &amp; 462)</f>
        <v>0</v>
      </c>
      <c r="M467" cm="1">
        <f t="array" aca="1" ref="M467" ca="1">INDIRECT("Data!G" &amp; 462)</f>
        <v>0</v>
      </c>
      <c r="N467" cm="1">
        <f t="array" aca="1" ref="N467" ca="1">INDIRECT("Data!H" &amp; 462)</f>
        <v>0</v>
      </c>
      <c r="O467" cm="1">
        <f t="array" aca="1" ref="O467" ca="1">INDIRECT("Data!I" &amp; 462)</f>
        <v>0</v>
      </c>
      <c r="P467" s="21" cm="1">
        <f t="array" aca="1" ref="P467" ca="1">INDIRECT("Data!J" &amp; 462)</f>
        <v>0</v>
      </c>
      <c r="Q467" cm="1">
        <f t="array" aca="1" ref="Q467" ca="1">INDIRECT("Data!K" &amp; 462)</f>
        <v>0</v>
      </c>
      <c r="R467" cm="1">
        <f t="array" aca="1" ref="R467" ca="1">INDIRECT("Data!L" &amp; 462)</f>
        <v>0</v>
      </c>
      <c r="S467" cm="1">
        <f t="array" aca="1" ref="S467" ca="1">INDIRECT("Data!M" &amp; 462)</f>
        <v>0</v>
      </c>
      <c r="T467" cm="1">
        <f t="array" aca="1" ref="T467" ca="1">INDIRECT("Data!N" &amp; 462)</f>
        <v>0</v>
      </c>
      <c r="U467" cm="1">
        <f t="array" aca="1" ref="U467" ca="1">INDIRECT("Data!O" &amp; 462)</f>
        <v>0</v>
      </c>
      <c r="V467" cm="1">
        <f t="array" aca="1" ref="V467" ca="1">INDIRECT("Data!P" &amp; 462)</f>
        <v>0</v>
      </c>
    </row>
    <row r="468" spans="7:22" x14ac:dyDescent="0.25">
      <c r="G468" cm="1">
        <f t="array" aca="1" ref="G468" ca="1">INDIRECT("Data!A" &amp; 463)</f>
        <v>0</v>
      </c>
      <c r="H468" s="21" cm="1">
        <f t="array" aca="1" ref="H468" ca="1">INDIRECT("Data!B" &amp; 463)</f>
        <v>0</v>
      </c>
      <c r="I468" s="21" cm="1">
        <f t="array" aca="1" ref="I468" ca="1">INDIRECT("Data!C" &amp; 463)</f>
        <v>0</v>
      </c>
      <c r="J468" cm="1">
        <f t="array" aca="1" ref="J468" ca="1">INDIRECT("Data!D" &amp; 463)</f>
        <v>0</v>
      </c>
      <c r="K468" cm="1">
        <f t="array" aca="1" ref="K468" ca="1">INDIRECT("Data!E" &amp; 463)</f>
        <v>0</v>
      </c>
      <c r="L468" cm="1">
        <f t="array" aca="1" ref="L468" ca="1">INDIRECT("Data!F" &amp; 463)</f>
        <v>0</v>
      </c>
      <c r="M468" cm="1">
        <f t="array" aca="1" ref="M468" ca="1">INDIRECT("Data!G" &amp; 463)</f>
        <v>0</v>
      </c>
      <c r="N468" cm="1">
        <f t="array" aca="1" ref="N468" ca="1">INDIRECT("Data!H" &amp; 463)</f>
        <v>0</v>
      </c>
      <c r="O468" cm="1">
        <f t="array" aca="1" ref="O468" ca="1">INDIRECT("Data!I" &amp; 463)</f>
        <v>0</v>
      </c>
      <c r="P468" s="21" cm="1">
        <f t="array" aca="1" ref="P468" ca="1">INDIRECT("Data!J" &amp; 463)</f>
        <v>0</v>
      </c>
      <c r="Q468" cm="1">
        <f t="array" aca="1" ref="Q468" ca="1">INDIRECT("Data!K" &amp; 463)</f>
        <v>0</v>
      </c>
      <c r="R468" cm="1">
        <f t="array" aca="1" ref="R468" ca="1">INDIRECT("Data!L" &amp; 463)</f>
        <v>0</v>
      </c>
      <c r="S468" cm="1">
        <f t="array" aca="1" ref="S468" ca="1">INDIRECT("Data!M" &amp; 463)</f>
        <v>0</v>
      </c>
      <c r="T468" cm="1">
        <f t="array" aca="1" ref="T468" ca="1">INDIRECT("Data!N" &amp; 463)</f>
        <v>0</v>
      </c>
      <c r="U468" cm="1">
        <f t="array" aca="1" ref="U468" ca="1">INDIRECT("Data!O" &amp; 463)</f>
        <v>0</v>
      </c>
      <c r="V468" cm="1">
        <f t="array" aca="1" ref="V468" ca="1">INDIRECT("Data!P" &amp; 463)</f>
        <v>0</v>
      </c>
    </row>
    <row r="469" spans="7:22" x14ac:dyDescent="0.25">
      <c r="G469" cm="1">
        <f t="array" aca="1" ref="G469" ca="1">INDIRECT("Data!A" &amp; 464)</f>
        <v>0</v>
      </c>
      <c r="H469" s="21" cm="1">
        <f t="array" aca="1" ref="H469" ca="1">INDIRECT("Data!B" &amp; 464)</f>
        <v>0</v>
      </c>
      <c r="I469" s="21" cm="1">
        <f t="array" aca="1" ref="I469" ca="1">INDIRECT("Data!C" &amp; 464)</f>
        <v>0</v>
      </c>
      <c r="J469" cm="1">
        <f t="array" aca="1" ref="J469" ca="1">INDIRECT("Data!D" &amp; 464)</f>
        <v>0</v>
      </c>
      <c r="K469" cm="1">
        <f t="array" aca="1" ref="K469" ca="1">INDIRECT("Data!E" &amp; 464)</f>
        <v>0</v>
      </c>
      <c r="L469" cm="1">
        <f t="array" aca="1" ref="L469" ca="1">INDIRECT("Data!F" &amp; 464)</f>
        <v>0</v>
      </c>
      <c r="M469" cm="1">
        <f t="array" aca="1" ref="M469" ca="1">INDIRECT("Data!G" &amp; 464)</f>
        <v>0</v>
      </c>
      <c r="N469" cm="1">
        <f t="array" aca="1" ref="N469" ca="1">INDIRECT("Data!H" &amp; 464)</f>
        <v>0</v>
      </c>
      <c r="O469" cm="1">
        <f t="array" aca="1" ref="O469" ca="1">INDIRECT("Data!I" &amp; 464)</f>
        <v>0</v>
      </c>
      <c r="P469" s="21" cm="1">
        <f t="array" aca="1" ref="P469" ca="1">INDIRECT("Data!J" &amp; 464)</f>
        <v>0</v>
      </c>
      <c r="Q469" cm="1">
        <f t="array" aca="1" ref="Q469" ca="1">INDIRECT("Data!K" &amp; 464)</f>
        <v>0</v>
      </c>
      <c r="R469" cm="1">
        <f t="array" aca="1" ref="R469" ca="1">INDIRECT("Data!L" &amp; 464)</f>
        <v>0</v>
      </c>
      <c r="S469" cm="1">
        <f t="array" aca="1" ref="S469" ca="1">INDIRECT("Data!M" &amp; 464)</f>
        <v>0</v>
      </c>
      <c r="T469" cm="1">
        <f t="array" aca="1" ref="T469" ca="1">INDIRECT("Data!N" &amp; 464)</f>
        <v>0</v>
      </c>
      <c r="U469" cm="1">
        <f t="array" aca="1" ref="U469" ca="1">INDIRECT("Data!O" &amp; 464)</f>
        <v>0</v>
      </c>
      <c r="V469" cm="1">
        <f t="array" aca="1" ref="V469" ca="1">INDIRECT("Data!P" &amp; 464)</f>
        <v>0</v>
      </c>
    </row>
    <row r="470" spans="7:22" x14ac:dyDescent="0.25">
      <c r="G470" cm="1">
        <f t="array" aca="1" ref="G470" ca="1">INDIRECT("Data!A" &amp; 465)</f>
        <v>0</v>
      </c>
      <c r="H470" s="21" cm="1">
        <f t="array" aca="1" ref="H470" ca="1">INDIRECT("Data!B" &amp; 465)</f>
        <v>0</v>
      </c>
      <c r="I470" s="21" cm="1">
        <f t="array" aca="1" ref="I470" ca="1">INDIRECT("Data!C" &amp; 465)</f>
        <v>0</v>
      </c>
      <c r="J470" cm="1">
        <f t="array" aca="1" ref="J470" ca="1">INDIRECT("Data!D" &amp; 465)</f>
        <v>0</v>
      </c>
      <c r="K470" cm="1">
        <f t="array" aca="1" ref="K470" ca="1">INDIRECT("Data!E" &amp; 465)</f>
        <v>0</v>
      </c>
      <c r="L470" cm="1">
        <f t="array" aca="1" ref="L470" ca="1">INDIRECT("Data!F" &amp; 465)</f>
        <v>0</v>
      </c>
      <c r="M470" cm="1">
        <f t="array" aca="1" ref="M470" ca="1">INDIRECT("Data!G" &amp; 465)</f>
        <v>0</v>
      </c>
      <c r="N470" cm="1">
        <f t="array" aca="1" ref="N470" ca="1">INDIRECT("Data!H" &amp; 465)</f>
        <v>0</v>
      </c>
      <c r="O470" cm="1">
        <f t="array" aca="1" ref="O470" ca="1">INDIRECT("Data!I" &amp; 465)</f>
        <v>0</v>
      </c>
      <c r="P470" s="21" cm="1">
        <f t="array" aca="1" ref="P470" ca="1">INDIRECT("Data!J" &amp; 465)</f>
        <v>0</v>
      </c>
      <c r="Q470" cm="1">
        <f t="array" aca="1" ref="Q470" ca="1">INDIRECT("Data!K" &amp; 465)</f>
        <v>0</v>
      </c>
      <c r="R470" cm="1">
        <f t="array" aca="1" ref="R470" ca="1">INDIRECT("Data!L" &amp; 465)</f>
        <v>0</v>
      </c>
      <c r="S470" cm="1">
        <f t="array" aca="1" ref="S470" ca="1">INDIRECT("Data!M" &amp; 465)</f>
        <v>0</v>
      </c>
      <c r="T470" cm="1">
        <f t="array" aca="1" ref="T470" ca="1">INDIRECT("Data!N" &amp; 465)</f>
        <v>0</v>
      </c>
      <c r="U470" cm="1">
        <f t="array" aca="1" ref="U470" ca="1">INDIRECT("Data!O" &amp; 465)</f>
        <v>0</v>
      </c>
      <c r="V470" cm="1">
        <f t="array" aca="1" ref="V470" ca="1">INDIRECT("Data!P" &amp; 465)</f>
        <v>0</v>
      </c>
    </row>
    <row r="471" spans="7:22" x14ac:dyDescent="0.25">
      <c r="G471" cm="1">
        <f t="array" aca="1" ref="G471" ca="1">INDIRECT("Data!A" &amp; 466)</f>
        <v>0</v>
      </c>
      <c r="H471" s="21" cm="1">
        <f t="array" aca="1" ref="H471" ca="1">INDIRECT("Data!B" &amp; 466)</f>
        <v>0</v>
      </c>
      <c r="I471" s="21" cm="1">
        <f t="array" aca="1" ref="I471" ca="1">INDIRECT("Data!C" &amp; 466)</f>
        <v>0</v>
      </c>
      <c r="J471" cm="1">
        <f t="array" aca="1" ref="J471" ca="1">INDIRECT("Data!D" &amp; 466)</f>
        <v>0</v>
      </c>
      <c r="K471" cm="1">
        <f t="array" aca="1" ref="K471" ca="1">INDIRECT("Data!E" &amp; 466)</f>
        <v>0</v>
      </c>
      <c r="L471" cm="1">
        <f t="array" aca="1" ref="L471" ca="1">INDIRECT("Data!F" &amp; 466)</f>
        <v>0</v>
      </c>
      <c r="M471" cm="1">
        <f t="array" aca="1" ref="M471" ca="1">INDIRECT("Data!G" &amp; 466)</f>
        <v>0</v>
      </c>
      <c r="N471" cm="1">
        <f t="array" aca="1" ref="N471" ca="1">INDIRECT("Data!H" &amp; 466)</f>
        <v>0</v>
      </c>
      <c r="O471" cm="1">
        <f t="array" aca="1" ref="O471" ca="1">INDIRECT("Data!I" &amp; 466)</f>
        <v>0</v>
      </c>
      <c r="P471" s="21" cm="1">
        <f t="array" aca="1" ref="P471" ca="1">INDIRECT("Data!J" &amp; 466)</f>
        <v>0</v>
      </c>
      <c r="Q471" cm="1">
        <f t="array" aca="1" ref="Q471" ca="1">INDIRECT("Data!K" &amp; 466)</f>
        <v>0</v>
      </c>
      <c r="R471" cm="1">
        <f t="array" aca="1" ref="R471" ca="1">INDIRECT("Data!L" &amp; 466)</f>
        <v>0</v>
      </c>
      <c r="S471" cm="1">
        <f t="array" aca="1" ref="S471" ca="1">INDIRECT("Data!M" &amp; 466)</f>
        <v>0</v>
      </c>
      <c r="T471" cm="1">
        <f t="array" aca="1" ref="T471" ca="1">INDIRECT("Data!N" &amp; 466)</f>
        <v>0</v>
      </c>
      <c r="U471" cm="1">
        <f t="array" aca="1" ref="U471" ca="1">INDIRECT("Data!O" &amp; 466)</f>
        <v>0</v>
      </c>
      <c r="V471" cm="1">
        <f t="array" aca="1" ref="V471" ca="1">INDIRECT("Data!P" &amp; 466)</f>
        <v>0</v>
      </c>
    </row>
    <row r="472" spans="7:22" x14ac:dyDescent="0.25">
      <c r="G472" cm="1">
        <f t="array" aca="1" ref="G472" ca="1">INDIRECT("Data!A" &amp; 467)</f>
        <v>0</v>
      </c>
      <c r="H472" s="21" cm="1">
        <f t="array" aca="1" ref="H472" ca="1">INDIRECT("Data!B" &amp; 467)</f>
        <v>0</v>
      </c>
      <c r="I472" s="21" cm="1">
        <f t="array" aca="1" ref="I472" ca="1">INDIRECT("Data!C" &amp; 467)</f>
        <v>0</v>
      </c>
      <c r="J472" cm="1">
        <f t="array" aca="1" ref="J472" ca="1">INDIRECT("Data!D" &amp; 467)</f>
        <v>0</v>
      </c>
      <c r="K472" cm="1">
        <f t="array" aca="1" ref="K472" ca="1">INDIRECT("Data!E" &amp; 467)</f>
        <v>0</v>
      </c>
      <c r="L472" cm="1">
        <f t="array" aca="1" ref="L472" ca="1">INDIRECT("Data!F" &amp; 467)</f>
        <v>0</v>
      </c>
      <c r="M472" cm="1">
        <f t="array" aca="1" ref="M472" ca="1">INDIRECT("Data!G" &amp; 467)</f>
        <v>0</v>
      </c>
      <c r="N472" cm="1">
        <f t="array" aca="1" ref="N472" ca="1">INDIRECT("Data!H" &amp; 467)</f>
        <v>0</v>
      </c>
      <c r="O472" cm="1">
        <f t="array" aca="1" ref="O472" ca="1">INDIRECT("Data!I" &amp; 467)</f>
        <v>0</v>
      </c>
      <c r="P472" s="21" cm="1">
        <f t="array" aca="1" ref="P472" ca="1">INDIRECT("Data!J" &amp; 467)</f>
        <v>0</v>
      </c>
      <c r="Q472" cm="1">
        <f t="array" aca="1" ref="Q472" ca="1">INDIRECT("Data!K" &amp; 467)</f>
        <v>0</v>
      </c>
      <c r="R472" cm="1">
        <f t="array" aca="1" ref="R472" ca="1">INDIRECT("Data!L" &amp; 467)</f>
        <v>0</v>
      </c>
      <c r="S472" cm="1">
        <f t="array" aca="1" ref="S472" ca="1">INDIRECT("Data!M" &amp; 467)</f>
        <v>0</v>
      </c>
      <c r="T472" cm="1">
        <f t="array" aca="1" ref="T472" ca="1">INDIRECT("Data!N" &amp; 467)</f>
        <v>0</v>
      </c>
      <c r="U472" cm="1">
        <f t="array" aca="1" ref="U472" ca="1">INDIRECT("Data!O" &amp; 467)</f>
        <v>0</v>
      </c>
      <c r="V472" cm="1">
        <f t="array" aca="1" ref="V472" ca="1">INDIRECT("Data!P" &amp; 467)</f>
        <v>0</v>
      </c>
    </row>
    <row r="473" spans="7:22" x14ac:dyDescent="0.25">
      <c r="G473" cm="1">
        <f t="array" aca="1" ref="G473" ca="1">INDIRECT("Data!A" &amp; 468)</f>
        <v>0</v>
      </c>
      <c r="H473" s="21" cm="1">
        <f t="array" aca="1" ref="H473" ca="1">INDIRECT("Data!B" &amp; 468)</f>
        <v>0</v>
      </c>
      <c r="I473" s="21" cm="1">
        <f t="array" aca="1" ref="I473" ca="1">INDIRECT("Data!C" &amp; 468)</f>
        <v>0</v>
      </c>
      <c r="J473" cm="1">
        <f t="array" aca="1" ref="J473" ca="1">INDIRECT("Data!D" &amp; 468)</f>
        <v>0</v>
      </c>
      <c r="K473" cm="1">
        <f t="array" aca="1" ref="K473" ca="1">INDIRECT("Data!E" &amp; 468)</f>
        <v>0</v>
      </c>
      <c r="L473" cm="1">
        <f t="array" aca="1" ref="L473" ca="1">INDIRECT("Data!F" &amp; 468)</f>
        <v>0</v>
      </c>
      <c r="M473" cm="1">
        <f t="array" aca="1" ref="M473" ca="1">INDIRECT("Data!G" &amp; 468)</f>
        <v>0</v>
      </c>
      <c r="N473" cm="1">
        <f t="array" aca="1" ref="N473" ca="1">INDIRECT("Data!H" &amp; 468)</f>
        <v>0</v>
      </c>
      <c r="O473" cm="1">
        <f t="array" aca="1" ref="O473" ca="1">INDIRECT("Data!I" &amp; 468)</f>
        <v>0</v>
      </c>
      <c r="P473" s="21" cm="1">
        <f t="array" aca="1" ref="P473" ca="1">INDIRECT("Data!J" &amp; 468)</f>
        <v>0</v>
      </c>
      <c r="Q473" cm="1">
        <f t="array" aca="1" ref="Q473" ca="1">INDIRECT("Data!K" &amp; 468)</f>
        <v>0</v>
      </c>
      <c r="R473" cm="1">
        <f t="array" aca="1" ref="R473" ca="1">INDIRECT("Data!L" &amp; 468)</f>
        <v>0</v>
      </c>
      <c r="S473" cm="1">
        <f t="array" aca="1" ref="S473" ca="1">INDIRECT("Data!M" &amp; 468)</f>
        <v>0</v>
      </c>
      <c r="T473" cm="1">
        <f t="array" aca="1" ref="T473" ca="1">INDIRECT("Data!N" &amp; 468)</f>
        <v>0</v>
      </c>
      <c r="U473" cm="1">
        <f t="array" aca="1" ref="U473" ca="1">INDIRECT("Data!O" &amp; 468)</f>
        <v>0</v>
      </c>
      <c r="V473" cm="1">
        <f t="array" aca="1" ref="V473" ca="1">INDIRECT("Data!P" &amp; 468)</f>
        <v>0</v>
      </c>
    </row>
    <row r="474" spans="7:22" x14ac:dyDescent="0.25">
      <c r="G474" cm="1">
        <f t="array" aca="1" ref="G474" ca="1">INDIRECT("Data!A" &amp; 469)</f>
        <v>0</v>
      </c>
      <c r="H474" s="21" cm="1">
        <f t="array" aca="1" ref="H474" ca="1">INDIRECT("Data!B" &amp; 469)</f>
        <v>0</v>
      </c>
      <c r="I474" s="21" cm="1">
        <f t="array" aca="1" ref="I474" ca="1">INDIRECT("Data!C" &amp; 469)</f>
        <v>0</v>
      </c>
      <c r="J474" cm="1">
        <f t="array" aca="1" ref="J474" ca="1">INDIRECT("Data!D" &amp; 469)</f>
        <v>0</v>
      </c>
      <c r="K474" cm="1">
        <f t="array" aca="1" ref="K474" ca="1">INDIRECT("Data!E" &amp; 469)</f>
        <v>0</v>
      </c>
      <c r="L474" cm="1">
        <f t="array" aca="1" ref="L474" ca="1">INDIRECT("Data!F" &amp; 469)</f>
        <v>0</v>
      </c>
      <c r="M474" cm="1">
        <f t="array" aca="1" ref="M474" ca="1">INDIRECT("Data!G" &amp; 469)</f>
        <v>0</v>
      </c>
      <c r="N474" cm="1">
        <f t="array" aca="1" ref="N474" ca="1">INDIRECT("Data!H" &amp; 469)</f>
        <v>0</v>
      </c>
      <c r="O474" cm="1">
        <f t="array" aca="1" ref="O474" ca="1">INDIRECT("Data!I" &amp; 469)</f>
        <v>0</v>
      </c>
      <c r="P474" s="21" cm="1">
        <f t="array" aca="1" ref="P474" ca="1">INDIRECT("Data!J" &amp; 469)</f>
        <v>0</v>
      </c>
      <c r="Q474" cm="1">
        <f t="array" aca="1" ref="Q474" ca="1">INDIRECT("Data!K" &amp; 469)</f>
        <v>0</v>
      </c>
      <c r="R474" cm="1">
        <f t="array" aca="1" ref="R474" ca="1">INDIRECT("Data!L" &amp; 469)</f>
        <v>0</v>
      </c>
      <c r="S474" cm="1">
        <f t="array" aca="1" ref="S474" ca="1">INDIRECT("Data!M" &amp; 469)</f>
        <v>0</v>
      </c>
      <c r="T474" cm="1">
        <f t="array" aca="1" ref="T474" ca="1">INDIRECT("Data!N" &amp; 469)</f>
        <v>0</v>
      </c>
      <c r="U474" cm="1">
        <f t="array" aca="1" ref="U474" ca="1">INDIRECT("Data!O" &amp; 469)</f>
        <v>0</v>
      </c>
      <c r="V474" cm="1">
        <f t="array" aca="1" ref="V474" ca="1">INDIRECT("Data!P" &amp; 469)</f>
        <v>0</v>
      </c>
    </row>
    <row r="475" spans="7:22" x14ac:dyDescent="0.25">
      <c r="G475" cm="1">
        <f t="array" aca="1" ref="G475" ca="1">INDIRECT("Data!A" &amp; 470)</f>
        <v>0</v>
      </c>
      <c r="H475" s="21" cm="1">
        <f t="array" aca="1" ref="H475" ca="1">INDIRECT("Data!B" &amp; 470)</f>
        <v>0</v>
      </c>
      <c r="I475" s="21" cm="1">
        <f t="array" aca="1" ref="I475" ca="1">INDIRECT("Data!C" &amp; 470)</f>
        <v>0</v>
      </c>
      <c r="J475" cm="1">
        <f t="array" aca="1" ref="J475" ca="1">INDIRECT("Data!D" &amp; 470)</f>
        <v>0</v>
      </c>
      <c r="K475" cm="1">
        <f t="array" aca="1" ref="K475" ca="1">INDIRECT("Data!E" &amp; 470)</f>
        <v>0</v>
      </c>
      <c r="L475" cm="1">
        <f t="array" aca="1" ref="L475" ca="1">INDIRECT("Data!F" &amp; 470)</f>
        <v>0</v>
      </c>
      <c r="M475" cm="1">
        <f t="array" aca="1" ref="M475" ca="1">INDIRECT("Data!G" &amp; 470)</f>
        <v>0</v>
      </c>
      <c r="N475" cm="1">
        <f t="array" aca="1" ref="N475" ca="1">INDIRECT("Data!H" &amp; 470)</f>
        <v>0</v>
      </c>
      <c r="O475" cm="1">
        <f t="array" aca="1" ref="O475" ca="1">INDIRECT("Data!I" &amp; 470)</f>
        <v>0</v>
      </c>
      <c r="P475" s="21" cm="1">
        <f t="array" aca="1" ref="P475" ca="1">INDIRECT("Data!J" &amp; 470)</f>
        <v>0</v>
      </c>
      <c r="Q475" cm="1">
        <f t="array" aca="1" ref="Q475" ca="1">INDIRECT("Data!K" &amp; 470)</f>
        <v>0</v>
      </c>
      <c r="R475" cm="1">
        <f t="array" aca="1" ref="R475" ca="1">INDIRECT("Data!L" &amp; 470)</f>
        <v>0</v>
      </c>
      <c r="S475" cm="1">
        <f t="array" aca="1" ref="S475" ca="1">INDIRECT("Data!M" &amp; 470)</f>
        <v>0</v>
      </c>
      <c r="T475" cm="1">
        <f t="array" aca="1" ref="T475" ca="1">INDIRECT("Data!N" &amp; 470)</f>
        <v>0</v>
      </c>
      <c r="U475" cm="1">
        <f t="array" aca="1" ref="U475" ca="1">INDIRECT("Data!O" &amp; 470)</f>
        <v>0</v>
      </c>
      <c r="V475" cm="1">
        <f t="array" aca="1" ref="V475" ca="1">INDIRECT("Data!P" &amp; 470)</f>
        <v>0</v>
      </c>
    </row>
    <row r="476" spans="7:22" x14ac:dyDescent="0.25">
      <c r="G476" cm="1">
        <f t="array" aca="1" ref="G476" ca="1">INDIRECT("Data!A" &amp; 471)</f>
        <v>0</v>
      </c>
      <c r="H476" s="21" cm="1">
        <f t="array" aca="1" ref="H476" ca="1">INDIRECT("Data!B" &amp; 471)</f>
        <v>0</v>
      </c>
      <c r="I476" s="21" cm="1">
        <f t="array" aca="1" ref="I476" ca="1">INDIRECT("Data!C" &amp; 471)</f>
        <v>0</v>
      </c>
      <c r="J476" cm="1">
        <f t="array" aca="1" ref="J476" ca="1">INDIRECT("Data!D" &amp; 471)</f>
        <v>0</v>
      </c>
      <c r="K476" cm="1">
        <f t="array" aca="1" ref="K476" ca="1">INDIRECT("Data!E" &amp; 471)</f>
        <v>0</v>
      </c>
      <c r="L476" cm="1">
        <f t="array" aca="1" ref="L476" ca="1">INDIRECT("Data!F" &amp; 471)</f>
        <v>0</v>
      </c>
      <c r="M476" cm="1">
        <f t="array" aca="1" ref="M476" ca="1">INDIRECT("Data!G" &amp; 471)</f>
        <v>0</v>
      </c>
      <c r="N476" cm="1">
        <f t="array" aca="1" ref="N476" ca="1">INDIRECT("Data!H" &amp; 471)</f>
        <v>0</v>
      </c>
      <c r="O476" cm="1">
        <f t="array" aca="1" ref="O476" ca="1">INDIRECT("Data!I" &amp; 471)</f>
        <v>0</v>
      </c>
      <c r="P476" s="21" cm="1">
        <f t="array" aca="1" ref="P476" ca="1">INDIRECT("Data!J" &amp; 471)</f>
        <v>0</v>
      </c>
      <c r="Q476" cm="1">
        <f t="array" aca="1" ref="Q476" ca="1">INDIRECT("Data!K" &amp; 471)</f>
        <v>0</v>
      </c>
      <c r="R476" cm="1">
        <f t="array" aca="1" ref="R476" ca="1">INDIRECT("Data!L" &amp; 471)</f>
        <v>0</v>
      </c>
      <c r="S476" cm="1">
        <f t="array" aca="1" ref="S476" ca="1">INDIRECT("Data!M" &amp; 471)</f>
        <v>0</v>
      </c>
      <c r="T476" cm="1">
        <f t="array" aca="1" ref="T476" ca="1">INDIRECT("Data!N" &amp; 471)</f>
        <v>0</v>
      </c>
      <c r="U476" cm="1">
        <f t="array" aca="1" ref="U476" ca="1">INDIRECT("Data!O" &amp; 471)</f>
        <v>0</v>
      </c>
      <c r="V476" cm="1">
        <f t="array" aca="1" ref="V476" ca="1">INDIRECT("Data!P" &amp; 471)</f>
        <v>0</v>
      </c>
    </row>
    <row r="477" spans="7:22" x14ac:dyDescent="0.25">
      <c r="G477" cm="1">
        <f t="array" aca="1" ref="G477" ca="1">INDIRECT("Data!A" &amp; 472)</f>
        <v>0</v>
      </c>
      <c r="H477" s="21" cm="1">
        <f t="array" aca="1" ref="H477" ca="1">INDIRECT("Data!B" &amp; 472)</f>
        <v>0</v>
      </c>
      <c r="I477" s="21" cm="1">
        <f t="array" aca="1" ref="I477" ca="1">INDIRECT("Data!C" &amp; 472)</f>
        <v>0</v>
      </c>
      <c r="J477" cm="1">
        <f t="array" aca="1" ref="J477" ca="1">INDIRECT("Data!D" &amp; 472)</f>
        <v>0</v>
      </c>
      <c r="K477" cm="1">
        <f t="array" aca="1" ref="K477" ca="1">INDIRECT("Data!E" &amp; 472)</f>
        <v>0</v>
      </c>
      <c r="L477" cm="1">
        <f t="array" aca="1" ref="L477" ca="1">INDIRECT("Data!F" &amp; 472)</f>
        <v>0</v>
      </c>
      <c r="M477" cm="1">
        <f t="array" aca="1" ref="M477" ca="1">INDIRECT("Data!G" &amp; 472)</f>
        <v>0</v>
      </c>
      <c r="N477" cm="1">
        <f t="array" aca="1" ref="N477" ca="1">INDIRECT("Data!H" &amp; 472)</f>
        <v>0</v>
      </c>
      <c r="O477" cm="1">
        <f t="array" aca="1" ref="O477" ca="1">INDIRECT("Data!I" &amp; 472)</f>
        <v>0</v>
      </c>
      <c r="P477" s="21" cm="1">
        <f t="array" aca="1" ref="P477" ca="1">INDIRECT("Data!J" &amp; 472)</f>
        <v>0</v>
      </c>
      <c r="Q477" cm="1">
        <f t="array" aca="1" ref="Q477" ca="1">INDIRECT("Data!K" &amp; 472)</f>
        <v>0</v>
      </c>
      <c r="R477" cm="1">
        <f t="array" aca="1" ref="R477" ca="1">INDIRECT("Data!L" &amp; 472)</f>
        <v>0</v>
      </c>
      <c r="S477" cm="1">
        <f t="array" aca="1" ref="S477" ca="1">INDIRECT("Data!M" &amp; 472)</f>
        <v>0</v>
      </c>
      <c r="T477" cm="1">
        <f t="array" aca="1" ref="T477" ca="1">INDIRECT("Data!N" &amp; 472)</f>
        <v>0</v>
      </c>
      <c r="U477" cm="1">
        <f t="array" aca="1" ref="U477" ca="1">INDIRECT("Data!O" &amp; 472)</f>
        <v>0</v>
      </c>
      <c r="V477" cm="1">
        <f t="array" aca="1" ref="V477" ca="1">INDIRECT("Data!P" &amp; 472)</f>
        <v>0</v>
      </c>
    </row>
    <row r="478" spans="7:22" x14ac:dyDescent="0.25">
      <c r="G478" cm="1">
        <f t="array" aca="1" ref="G478" ca="1">INDIRECT("Data!A" &amp; 473)</f>
        <v>0</v>
      </c>
      <c r="H478" s="21" cm="1">
        <f t="array" aca="1" ref="H478" ca="1">INDIRECT("Data!B" &amp; 473)</f>
        <v>0</v>
      </c>
      <c r="I478" s="21" cm="1">
        <f t="array" aca="1" ref="I478" ca="1">INDIRECT("Data!C" &amp; 473)</f>
        <v>0</v>
      </c>
      <c r="J478" cm="1">
        <f t="array" aca="1" ref="J478" ca="1">INDIRECT("Data!D" &amp; 473)</f>
        <v>0</v>
      </c>
      <c r="K478" cm="1">
        <f t="array" aca="1" ref="K478" ca="1">INDIRECT("Data!E" &amp; 473)</f>
        <v>0</v>
      </c>
      <c r="L478" cm="1">
        <f t="array" aca="1" ref="L478" ca="1">INDIRECT("Data!F" &amp; 473)</f>
        <v>0</v>
      </c>
      <c r="M478" cm="1">
        <f t="array" aca="1" ref="M478" ca="1">INDIRECT("Data!G" &amp; 473)</f>
        <v>0</v>
      </c>
      <c r="N478" cm="1">
        <f t="array" aca="1" ref="N478" ca="1">INDIRECT("Data!H" &amp; 473)</f>
        <v>0</v>
      </c>
      <c r="O478" cm="1">
        <f t="array" aca="1" ref="O478" ca="1">INDIRECT("Data!I" &amp; 473)</f>
        <v>0</v>
      </c>
      <c r="P478" s="21" cm="1">
        <f t="array" aca="1" ref="P478" ca="1">INDIRECT("Data!J" &amp; 473)</f>
        <v>0</v>
      </c>
      <c r="Q478" cm="1">
        <f t="array" aca="1" ref="Q478" ca="1">INDIRECT("Data!K" &amp; 473)</f>
        <v>0</v>
      </c>
      <c r="R478" cm="1">
        <f t="array" aca="1" ref="R478" ca="1">INDIRECT("Data!L" &amp; 473)</f>
        <v>0</v>
      </c>
      <c r="S478" cm="1">
        <f t="array" aca="1" ref="S478" ca="1">INDIRECT("Data!M" &amp; 473)</f>
        <v>0</v>
      </c>
      <c r="T478" cm="1">
        <f t="array" aca="1" ref="T478" ca="1">INDIRECT("Data!N" &amp; 473)</f>
        <v>0</v>
      </c>
      <c r="U478" cm="1">
        <f t="array" aca="1" ref="U478" ca="1">INDIRECT("Data!O" &amp; 473)</f>
        <v>0</v>
      </c>
      <c r="V478" cm="1">
        <f t="array" aca="1" ref="V478" ca="1">INDIRECT("Data!P" &amp; 473)</f>
        <v>0</v>
      </c>
    </row>
    <row r="479" spans="7:22" x14ac:dyDescent="0.25">
      <c r="G479" cm="1">
        <f t="array" aca="1" ref="G479" ca="1">INDIRECT("Data!A" &amp; 474)</f>
        <v>0</v>
      </c>
      <c r="H479" s="21" cm="1">
        <f t="array" aca="1" ref="H479" ca="1">INDIRECT("Data!B" &amp; 474)</f>
        <v>0</v>
      </c>
      <c r="I479" s="21" cm="1">
        <f t="array" aca="1" ref="I479" ca="1">INDIRECT("Data!C" &amp; 474)</f>
        <v>0</v>
      </c>
      <c r="J479" cm="1">
        <f t="array" aca="1" ref="J479" ca="1">INDIRECT("Data!D" &amp; 474)</f>
        <v>0</v>
      </c>
      <c r="K479" cm="1">
        <f t="array" aca="1" ref="K479" ca="1">INDIRECT("Data!E" &amp; 474)</f>
        <v>0</v>
      </c>
      <c r="L479" cm="1">
        <f t="array" aca="1" ref="L479" ca="1">INDIRECT("Data!F" &amp; 474)</f>
        <v>0</v>
      </c>
      <c r="M479" cm="1">
        <f t="array" aca="1" ref="M479" ca="1">INDIRECT("Data!G" &amp; 474)</f>
        <v>0</v>
      </c>
      <c r="N479" cm="1">
        <f t="array" aca="1" ref="N479" ca="1">INDIRECT("Data!H" &amp; 474)</f>
        <v>0</v>
      </c>
      <c r="O479" cm="1">
        <f t="array" aca="1" ref="O479" ca="1">INDIRECT("Data!I" &amp; 474)</f>
        <v>0</v>
      </c>
      <c r="P479" s="21" cm="1">
        <f t="array" aca="1" ref="P479" ca="1">INDIRECT("Data!J" &amp; 474)</f>
        <v>0</v>
      </c>
      <c r="Q479" cm="1">
        <f t="array" aca="1" ref="Q479" ca="1">INDIRECT("Data!K" &amp; 474)</f>
        <v>0</v>
      </c>
      <c r="R479" cm="1">
        <f t="array" aca="1" ref="R479" ca="1">INDIRECT("Data!L" &amp; 474)</f>
        <v>0</v>
      </c>
      <c r="S479" cm="1">
        <f t="array" aca="1" ref="S479" ca="1">INDIRECT("Data!M" &amp; 474)</f>
        <v>0</v>
      </c>
      <c r="T479" cm="1">
        <f t="array" aca="1" ref="T479" ca="1">INDIRECT("Data!N" &amp; 474)</f>
        <v>0</v>
      </c>
      <c r="U479" cm="1">
        <f t="array" aca="1" ref="U479" ca="1">INDIRECT("Data!O" &amp; 474)</f>
        <v>0</v>
      </c>
      <c r="V479" cm="1">
        <f t="array" aca="1" ref="V479" ca="1">INDIRECT("Data!P" &amp; 474)</f>
        <v>0</v>
      </c>
    </row>
    <row r="480" spans="7:22" x14ac:dyDescent="0.25">
      <c r="G480" cm="1">
        <f t="array" aca="1" ref="G480" ca="1">INDIRECT("Data!A" &amp; 475)</f>
        <v>0</v>
      </c>
      <c r="H480" s="21" cm="1">
        <f t="array" aca="1" ref="H480" ca="1">INDIRECT("Data!B" &amp; 475)</f>
        <v>0</v>
      </c>
      <c r="I480" s="21" cm="1">
        <f t="array" aca="1" ref="I480" ca="1">INDIRECT("Data!C" &amp; 475)</f>
        <v>0</v>
      </c>
      <c r="J480" cm="1">
        <f t="array" aca="1" ref="J480" ca="1">INDIRECT("Data!D" &amp; 475)</f>
        <v>0</v>
      </c>
      <c r="K480" cm="1">
        <f t="array" aca="1" ref="K480" ca="1">INDIRECT("Data!E" &amp; 475)</f>
        <v>0</v>
      </c>
      <c r="L480" cm="1">
        <f t="array" aca="1" ref="L480" ca="1">INDIRECT("Data!F" &amp; 475)</f>
        <v>0</v>
      </c>
      <c r="M480" cm="1">
        <f t="array" aca="1" ref="M480" ca="1">INDIRECT("Data!G" &amp; 475)</f>
        <v>0</v>
      </c>
      <c r="N480" cm="1">
        <f t="array" aca="1" ref="N480" ca="1">INDIRECT("Data!H" &amp; 475)</f>
        <v>0</v>
      </c>
      <c r="O480" cm="1">
        <f t="array" aca="1" ref="O480" ca="1">INDIRECT("Data!I" &amp; 475)</f>
        <v>0</v>
      </c>
      <c r="P480" s="21" cm="1">
        <f t="array" aca="1" ref="P480" ca="1">INDIRECT("Data!J" &amp; 475)</f>
        <v>0</v>
      </c>
      <c r="Q480" cm="1">
        <f t="array" aca="1" ref="Q480" ca="1">INDIRECT("Data!K" &amp; 475)</f>
        <v>0</v>
      </c>
      <c r="R480" cm="1">
        <f t="array" aca="1" ref="R480" ca="1">INDIRECT("Data!L" &amp; 475)</f>
        <v>0</v>
      </c>
      <c r="S480" cm="1">
        <f t="array" aca="1" ref="S480" ca="1">INDIRECT("Data!M" &amp; 475)</f>
        <v>0</v>
      </c>
      <c r="T480" cm="1">
        <f t="array" aca="1" ref="T480" ca="1">INDIRECT("Data!N" &amp; 475)</f>
        <v>0</v>
      </c>
      <c r="U480" cm="1">
        <f t="array" aca="1" ref="U480" ca="1">INDIRECT("Data!O" &amp; 475)</f>
        <v>0</v>
      </c>
      <c r="V480" cm="1">
        <f t="array" aca="1" ref="V480" ca="1">INDIRECT("Data!P" &amp; 475)</f>
        <v>0</v>
      </c>
    </row>
    <row r="481" spans="7:22" x14ac:dyDescent="0.25">
      <c r="G481" cm="1">
        <f t="array" aca="1" ref="G481" ca="1">INDIRECT("Data!A" &amp; 476)</f>
        <v>0</v>
      </c>
      <c r="H481" s="21" cm="1">
        <f t="array" aca="1" ref="H481" ca="1">INDIRECT("Data!B" &amp; 476)</f>
        <v>0</v>
      </c>
      <c r="I481" s="21" cm="1">
        <f t="array" aca="1" ref="I481" ca="1">INDIRECT("Data!C" &amp; 476)</f>
        <v>0</v>
      </c>
      <c r="J481" cm="1">
        <f t="array" aca="1" ref="J481" ca="1">INDIRECT("Data!D" &amp; 476)</f>
        <v>0</v>
      </c>
      <c r="K481" cm="1">
        <f t="array" aca="1" ref="K481" ca="1">INDIRECT("Data!E" &amp; 476)</f>
        <v>0</v>
      </c>
      <c r="L481" cm="1">
        <f t="array" aca="1" ref="L481" ca="1">INDIRECT("Data!F" &amp; 476)</f>
        <v>0</v>
      </c>
      <c r="M481" cm="1">
        <f t="array" aca="1" ref="M481" ca="1">INDIRECT("Data!G" &amp; 476)</f>
        <v>0</v>
      </c>
      <c r="N481" cm="1">
        <f t="array" aca="1" ref="N481" ca="1">INDIRECT("Data!H" &amp; 476)</f>
        <v>0</v>
      </c>
      <c r="O481" cm="1">
        <f t="array" aca="1" ref="O481" ca="1">INDIRECT("Data!I" &amp; 476)</f>
        <v>0</v>
      </c>
      <c r="P481" s="21" cm="1">
        <f t="array" aca="1" ref="P481" ca="1">INDIRECT("Data!J" &amp; 476)</f>
        <v>0</v>
      </c>
      <c r="Q481" cm="1">
        <f t="array" aca="1" ref="Q481" ca="1">INDIRECT("Data!K" &amp; 476)</f>
        <v>0</v>
      </c>
      <c r="R481" cm="1">
        <f t="array" aca="1" ref="R481" ca="1">INDIRECT("Data!L" &amp; 476)</f>
        <v>0</v>
      </c>
      <c r="S481" cm="1">
        <f t="array" aca="1" ref="S481" ca="1">INDIRECT("Data!M" &amp; 476)</f>
        <v>0</v>
      </c>
      <c r="T481" cm="1">
        <f t="array" aca="1" ref="T481" ca="1">INDIRECT("Data!N" &amp; 476)</f>
        <v>0</v>
      </c>
      <c r="U481" cm="1">
        <f t="array" aca="1" ref="U481" ca="1">INDIRECT("Data!O" &amp; 476)</f>
        <v>0</v>
      </c>
      <c r="V481" cm="1">
        <f t="array" aca="1" ref="V481" ca="1">INDIRECT("Data!P" &amp; 476)</f>
        <v>0</v>
      </c>
    </row>
    <row r="482" spans="7:22" x14ac:dyDescent="0.25">
      <c r="G482" cm="1">
        <f t="array" aca="1" ref="G482" ca="1">INDIRECT("Data!A" &amp; 477)</f>
        <v>0</v>
      </c>
      <c r="H482" s="21" cm="1">
        <f t="array" aca="1" ref="H482" ca="1">INDIRECT("Data!B" &amp; 477)</f>
        <v>0</v>
      </c>
      <c r="I482" s="21" cm="1">
        <f t="array" aca="1" ref="I482" ca="1">INDIRECT("Data!C" &amp; 477)</f>
        <v>0</v>
      </c>
      <c r="J482" cm="1">
        <f t="array" aca="1" ref="J482" ca="1">INDIRECT("Data!D" &amp; 477)</f>
        <v>0</v>
      </c>
      <c r="K482" cm="1">
        <f t="array" aca="1" ref="K482" ca="1">INDIRECT("Data!E" &amp; 477)</f>
        <v>0</v>
      </c>
      <c r="L482" cm="1">
        <f t="array" aca="1" ref="L482" ca="1">INDIRECT("Data!F" &amp; 477)</f>
        <v>0</v>
      </c>
      <c r="M482" cm="1">
        <f t="array" aca="1" ref="M482" ca="1">INDIRECT("Data!G" &amp; 477)</f>
        <v>0</v>
      </c>
      <c r="N482" cm="1">
        <f t="array" aca="1" ref="N482" ca="1">INDIRECT("Data!H" &amp; 477)</f>
        <v>0</v>
      </c>
      <c r="O482" cm="1">
        <f t="array" aca="1" ref="O482" ca="1">INDIRECT("Data!I" &amp; 477)</f>
        <v>0</v>
      </c>
      <c r="P482" s="21" cm="1">
        <f t="array" aca="1" ref="P482" ca="1">INDIRECT("Data!J" &amp; 477)</f>
        <v>0</v>
      </c>
      <c r="Q482" cm="1">
        <f t="array" aca="1" ref="Q482" ca="1">INDIRECT("Data!K" &amp; 477)</f>
        <v>0</v>
      </c>
      <c r="R482" cm="1">
        <f t="array" aca="1" ref="R482" ca="1">INDIRECT("Data!L" &amp; 477)</f>
        <v>0</v>
      </c>
      <c r="S482" cm="1">
        <f t="array" aca="1" ref="S482" ca="1">INDIRECT("Data!M" &amp; 477)</f>
        <v>0</v>
      </c>
      <c r="T482" cm="1">
        <f t="array" aca="1" ref="T482" ca="1">INDIRECT("Data!N" &amp; 477)</f>
        <v>0</v>
      </c>
      <c r="U482" cm="1">
        <f t="array" aca="1" ref="U482" ca="1">INDIRECT("Data!O" &amp; 477)</f>
        <v>0</v>
      </c>
      <c r="V482" cm="1">
        <f t="array" aca="1" ref="V482" ca="1">INDIRECT("Data!P" &amp; 477)</f>
        <v>0</v>
      </c>
    </row>
    <row r="483" spans="7:22" x14ac:dyDescent="0.25">
      <c r="G483" cm="1">
        <f t="array" aca="1" ref="G483" ca="1">INDIRECT("Data!A" &amp; 478)</f>
        <v>0</v>
      </c>
      <c r="H483" s="21" cm="1">
        <f t="array" aca="1" ref="H483" ca="1">INDIRECT("Data!B" &amp; 478)</f>
        <v>0</v>
      </c>
      <c r="I483" s="21" cm="1">
        <f t="array" aca="1" ref="I483" ca="1">INDIRECT("Data!C" &amp; 478)</f>
        <v>0</v>
      </c>
      <c r="J483" cm="1">
        <f t="array" aca="1" ref="J483" ca="1">INDIRECT("Data!D" &amp; 478)</f>
        <v>0</v>
      </c>
      <c r="K483" cm="1">
        <f t="array" aca="1" ref="K483" ca="1">INDIRECT("Data!E" &amp; 478)</f>
        <v>0</v>
      </c>
      <c r="L483" cm="1">
        <f t="array" aca="1" ref="L483" ca="1">INDIRECT("Data!F" &amp; 478)</f>
        <v>0</v>
      </c>
      <c r="M483" cm="1">
        <f t="array" aca="1" ref="M483" ca="1">INDIRECT("Data!G" &amp; 478)</f>
        <v>0</v>
      </c>
      <c r="N483" cm="1">
        <f t="array" aca="1" ref="N483" ca="1">INDIRECT("Data!H" &amp; 478)</f>
        <v>0</v>
      </c>
      <c r="O483" cm="1">
        <f t="array" aca="1" ref="O483" ca="1">INDIRECT("Data!I" &amp; 478)</f>
        <v>0</v>
      </c>
      <c r="P483" s="21" cm="1">
        <f t="array" aca="1" ref="P483" ca="1">INDIRECT("Data!J" &amp; 478)</f>
        <v>0</v>
      </c>
      <c r="Q483" cm="1">
        <f t="array" aca="1" ref="Q483" ca="1">INDIRECT("Data!K" &amp; 478)</f>
        <v>0</v>
      </c>
      <c r="R483" cm="1">
        <f t="array" aca="1" ref="R483" ca="1">INDIRECT("Data!L" &amp; 478)</f>
        <v>0</v>
      </c>
      <c r="S483" cm="1">
        <f t="array" aca="1" ref="S483" ca="1">INDIRECT("Data!M" &amp; 478)</f>
        <v>0</v>
      </c>
      <c r="T483" cm="1">
        <f t="array" aca="1" ref="T483" ca="1">INDIRECT("Data!N" &amp; 478)</f>
        <v>0</v>
      </c>
      <c r="U483" cm="1">
        <f t="array" aca="1" ref="U483" ca="1">INDIRECT("Data!O" &amp; 478)</f>
        <v>0</v>
      </c>
      <c r="V483" cm="1">
        <f t="array" aca="1" ref="V483" ca="1">INDIRECT("Data!P" &amp; 478)</f>
        <v>0</v>
      </c>
    </row>
    <row r="484" spans="7:22" x14ac:dyDescent="0.25">
      <c r="G484" cm="1">
        <f t="array" aca="1" ref="G484" ca="1">INDIRECT("Data!A" &amp; 479)</f>
        <v>0</v>
      </c>
      <c r="H484" s="21" cm="1">
        <f t="array" aca="1" ref="H484" ca="1">INDIRECT("Data!B" &amp; 479)</f>
        <v>0</v>
      </c>
      <c r="I484" s="21" cm="1">
        <f t="array" aca="1" ref="I484" ca="1">INDIRECT("Data!C" &amp; 479)</f>
        <v>0</v>
      </c>
      <c r="J484" cm="1">
        <f t="array" aca="1" ref="J484" ca="1">INDIRECT("Data!D" &amp; 479)</f>
        <v>0</v>
      </c>
      <c r="K484" cm="1">
        <f t="array" aca="1" ref="K484" ca="1">INDIRECT("Data!E" &amp; 479)</f>
        <v>0</v>
      </c>
      <c r="L484" cm="1">
        <f t="array" aca="1" ref="L484" ca="1">INDIRECT("Data!F" &amp; 479)</f>
        <v>0</v>
      </c>
      <c r="M484" cm="1">
        <f t="array" aca="1" ref="M484" ca="1">INDIRECT("Data!G" &amp; 479)</f>
        <v>0</v>
      </c>
      <c r="N484" cm="1">
        <f t="array" aca="1" ref="N484" ca="1">INDIRECT("Data!H" &amp; 479)</f>
        <v>0</v>
      </c>
      <c r="O484" cm="1">
        <f t="array" aca="1" ref="O484" ca="1">INDIRECT("Data!I" &amp; 479)</f>
        <v>0</v>
      </c>
      <c r="P484" s="21" cm="1">
        <f t="array" aca="1" ref="P484" ca="1">INDIRECT("Data!J" &amp; 479)</f>
        <v>0</v>
      </c>
      <c r="Q484" cm="1">
        <f t="array" aca="1" ref="Q484" ca="1">INDIRECT("Data!K" &amp; 479)</f>
        <v>0</v>
      </c>
      <c r="R484" cm="1">
        <f t="array" aca="1" ref="R484" ca="1">INDIRECT("Data!L" &amp; 479)</f>
        <v>0</v>
      </c>
      <c r="S484" cm="1">
        <f t="array" aca="1" ref="S484" ca="1">INDIRECT("Data!M" &amp; 479)</f>
        <v>0</v>
      </c>
      <c r="T484" cm="1">
        <f t="array" aca="1" ref="T484" ca="1">INDIRECT("Data!N" &amp; 479)</f>
        <v>0</v>
      </c>
      <c r="U484" cm="1">
        <f t="array" aca="1" ref="U484" ca="1">INDIRECT("Data!O" &amp; 479)</f>
        <v>0</v>
      </c>
      <c r="V484" cm="1">
        <f t="array" aca="1" ref="V484" ca="1">INDIRECT("Data!P" &amp; 479)</f>
        <v>0</v>
      </c>
    </row>
    <row r="485" spans="7:22" x14ac:dyDescent="0.25">
      <c r="G485" cm="1">
        <f t="array" aca="1" ref="G485" ca="1">INDIRECT("Data!A" &amp; 480)</f>
        <v>0</v>
      </c>
      <c r="H485" s="21" cm="1">
        <f t="array" aca="1" ref="H485" ca="1">INDIRECT("Data!B" &amp; 480)</f>
        <v>0</v>
      </c>
      <c r="I485" s="21" cm="1">
        <f t="array" aca="1" ref="I485" ca="1">INDIRECT("Data!C" &amp; 480)</f>
        <v>0</v>
      </c>
      <c r="J485" cm="1">
        <f t="array" aca="1" ref="J485" ca="1">INDIRECT("Data!D" &amp; 480)</f>
        <v>0</v>
      </c>
      <c r="K485" cm="1">
        <f t="array" aca="1" ref="K485" ca="1">INDIRECT("Data!E" &amp; 480)</f>
        <v>0</v>
      </c>
      <c r="L485" cm="1">
        <f t="array" aca="1" ref="L485" ca="1">INDIRECT("Data!F" &amp; 480)</f>
        <v>0</v>
      </c>
      <c r="M485" cm="1">
        <f t="array" aca="1" ref="M485" ca="1">INDIRECT("Data!G" &amp; 480)</f>
        <v>0</v>
      </c>
      <c r="N485" cm="1">
        <f t="array" aca="1" ref="N485" ca="1">INDIRECT("Data!H" &amp; 480)</f>
        <v>0</v>
      </c>
      <c r="O485" cm="1">
        <f t="array" aca="1" ref="O485" ca="1">INDIRECT("Data!I" &amp; 480)</f>
        <v>0</v>
      </c>
      <c r="P485" s="21" cm="1">
        <f t="array" aca="1" ref="P485" ca="1">INDIRECT("Data!J" &amp; 480)</f>
        <v>0</v>
      </c>
      <c r="Q485" cm="1">
        <f t="array" aca="1" ref="Q485" ca="1">INDIRECT("Data!K" &amp; 480)</f>
        <v>0</v>
      </c>
      <c r="R485" cm="1">
        <f t="array" aca="1" ref="R485" ca="1">INDIRECT("Data!L" &amp; 480)</f>
        <v>0</v>
      </c>
      <c r="S485" cm="1">
        <f t="array" aca="1" ref="S485" ca="1">INDIRECT("Data!M" &amp; 480)</f>
        <v>0</v>
      </c>
      <c r="T485" cm="1">
        <f t="array" aca="1" ref="T485" ca="1">INDIRECT("Data!N" &amp; 480)</f>
        <v>0</v>
      </c>
      <c r="U485" cm="1">
        <f t="array" aca="1" ref="U485" ca="1">INDIRECT("Data!O" &amp; 480)</f>
        <v>0</v>
      </c>
      <c r="V485" cm="1">
        <f t="array" aca="1" ref="V485" ca="1">INDIRECT("Data!P" &amp; 480)</f>
        <v>0</v>
      </c>
    </row>
    <row r="486" spans="7:22" x14ac:dyDescent="0.25">
      <c r="G486" cm="1">
        <f t="array" aca="1" ref="G486" ca="1">INDIRECT("Data!A" &amp; 481)</f>
        <v>0</v>
      </c>
      <c r="H486" s="21" cm="1">
        <f t="array" aca="1" ref="H486" ca="1">INDIRECT("Data!B" &amp; 481)</f>
        <v>0</v>
      </c>
      <c r="I486" s="21" cm="1">
        <f t="array" aca="1" ref="I486" ca="1">INDIRECT("Data!C" &amp; 481)</f>
        <v>0</v>
      </c>
      <c r="J486" cm="1">
        <f t="array" aca="1" ref="J486" ca="1">INDIRECT("Data!D" &amp; 481)</f>
        <v>0</v>
      </c>
      <c r="K486" cm="1">
        <f t="array" aca="1" ref="K486" ca="1">INDIRECT("Data!E" &amp; 481)</f>
        <v>0</v>
      </c>
      <c r="L486" cm="1">
        <f t="array" aca="1" ref="L486" ca="1">INDIRECT("Data!F" &amp; 481)</f>
        <v>0</v>
      </c>
      <c r="M486" cm="1">
        <f t="array" aca="1" ref="M486" ca="1">INDIRECT("Data!G" &amp; 481)</f>
        <v>0</v>
      </c>
      <c r="N486" cm="1">
        <f t="array" aca="1" ref="N486" ca="1">INDIRECT("Data!H" &amp; 481)</f>
        <v>0</v>
      </c>
      <c r="O486" cm="1">
        <f t="array" aca="1" ref="O486" ca="1">INDIRECT("Data!I" &amp; 481)</f>
        <v>0</v>
      </c>
      <c r="P486" s="21" cm="1">
        <f t="array" aca="1" ref="P486" ca="1">INDIRECT("Data!J" &amp; 481)</f>
        <v>0</v>
      </c>
      <c r="Q486" cm="1">
        <f t="array" aca="1" ref="Q486" ca="1">INDIRECT("Data!K" &amp; 481)</f>
        <v>0</v>
      </c>
      <c r="R486" cm="1">
        <f t="array" aca="1" ref="R486" ca="1">INDIRECT("Data!L" &amp; 481)</f>
        <v>0</v>
      </c>
      <c r="S486" cm="1">
        <f t="array" aca="1" ref="S486" ca="1">INDIRECT("Data!M" &amp; 481)</f>
        <v>0</v>
      </c>
      <c r="T486" cm="1">
        <f t="array" aca="1" ref="T486" ca="1">INDIRECT("Data!N" &amp; 481)</f>
        <v>0</v>
      </c>
      <c r="U486" cm="1">
        <f t="array" aca="1" ref="U486" ca="1">INDIRECT("Data!O" &amp; 481)</f>
        <v>0</v>
      </c>
      <c r="V486" cm="1">
        <f t="array" aca="1" ref="V486" ca="1">INDIRECT("Data!P" &amp; 481)</f>
        <v>0</v>
      </c>
    </row>
    <row r="487" spans="7:22" x14ac:dyDescent="0.25">
      <c r="G487" cm="1">
        <f t="array" aca="1" ref="G487" ca="1">INDIRECT("Data!A" &amp; 482)</f>
        <v>0</v>
      </c>
      <c r="H487" s="21" cm="1">
        <f t="array" aca="1" ref="H487" ca="1">INDIRECT("Data!B" &amp; 482)</f>
        <v>0</v>
      </c>
      <c r="I487" s="21" cm="1">
        <f t="array" aca="1" ref="I487" ca="1">INDIRECT("Data!C" &amp; 482)</f>
        <v>0</v>
      </c>
      <c r="J487" cm="1">
        <f t="array" aca="1" ref="J487" ca="1">INDIRECT("Data!D" &amp; 482)</f>
        <v>0</v>
      </c>
      <c r="K487" cm="1">
        <f t="array" aca="1" ref="K487" ca="1">INDIRECT("Data!E" &amp; 482)</f>
        <v>0</v>
      </c>
      <c r="L487" cm="1">
        <f t="array" aca="1" ref="L487" ca="1">INDIRECT("Data!F" &amp; 482)</f>
        <v>0</v>
      </c>
      <c r="M487" cm="1">
        <f t="array" aca="1" ref="M487" ca="1">INDIRECT("Data!G" &amp; 482)</f>
        <v>0</v>
      </c>
      <c r="N487" cm="1">
        <f t="array" aca="1" ref="N487" ca="1">INDIRECT("Data!H" &amp; 482)</f>
        <v>0</v>
      </c>
      <c r="O487" cm="1">
        <f t="array" aca="1" ref="O487" ca="1">INDIRECT("Data!I" &amp; 482)</f>
        <v>0</v>
      </c>
      <c r="P487" s="21" cm="1">
        <f t="array" aca="1" ref="P487" ca="1">INDIRECT("Data!J" &amp; 482)</f>
        <v>0</v>
      </c>
      <c r="Q487" cm="1">
        <f t="array" aca="1" ref="Q487" ca="1">INDIRECT("Data!K" &amp; 482)</f>
        <v>0</v>
      </c>
      <c r="R487" cm="1">
        <f t="array" aca="1" ref="R487" ca="1">INDIRECT("Data!L" &amp; 482)</f>
        <v>0</v>
      </c>
      <c r="S487" cm="1">
        <f t="array" aca="1" ref="S487" ca="1">INDIRECT("Data!M" &amp; 482)</f>
        <v>0</v>
      </c>
      <c r="T487" cm="1">
        <f t="array" aca="1" ref="T487" ca="1">INDIRECT("Data!N" &amp; 482)</f>
        <v>0</v>
      </c>
      <c r="U487" cm="1">
        <f t="array" aca="1" ref="U487" ca="1">INDIRECT("Data!O" &amp; 482)</f>
        <v>0</v>
      </c>
      <c r="V487" cm="1">
        <f t="array" aca="1" ref="V487" ca="1">INDIRECT("Data!P" &amp; 482)</f>
        <v>0</v>
      </c>
    </row>
    <row r="488" spans="7:22" x14ac:dyDescent="0.25">
      <c r="G488" cm="1">
        <f t="array" aca="1" ref="G488" ca="1">INDIRECT("Data!A" &amp; 483)</f>
        <v>0</v>
      </c>
      <c r="H488" s="21" cm="1">
        <f t="array" aca="1" ref="H488" ca="1">INDIRECT("Data!B" &amp; 483)</f>
        <v>0</v>
      </c>
      <c r="I488" s="21" cm="1">
        <f t="array" aca="1" ref="I488" ca="1">INDIRECT("Data!C" &amp; 483)</f>
        <v>0</v>
      </c>
      <c r="J488" cm="1">
        <f t="array" aca="1" ref="J488" ca="1">INDIRECT("Data!D" &amp; 483)</f>
        <v>0</v>
      </c>
      <c r="K488" cm="1">
        <f t="array" aca="1" ref="K488" ca="1">INDIRECT("Data!E" &amp; 483)</f>
        <v>0</v>
      </c>
      <c r="L488" cm="1">
        <f t="array" aca="1" ref="L488" ca="1">INDIRECT("Data!F" &amp; 483)</f>
        <v>0</v>
      </c>
      <c r="M488" cm="1">
        <f t="array" aca="1" ref="M488" ca="1">INDIRECT("Data!G" &amp; 483)</f>
        <v>0</v>
      </c>
      <c r="N488" cm="1">
        <f t="array" aca="1" ref="N488" ca="1">INDIRECT("Data!H" &amp; 483)</f>
        <v>0</v>
      </c>
      <c r="O488" cm="1">
        <f t="array" aca="1" ref="O488" ca="1">INDIRECT("Data!I" &amp; 483)</f>
        <v>0</v>
      </c>
      <c r="P488" s="21" cm="1">
        <f t="array" aca="1" ref="P488" ca="1">INDIRECT("Data!J" &amp; 483)</f>
        <v>0</v>
      </c>
      <c r="Q488" cm="1">
        <f t="array" aca="1" ref="Q488" ca="1">INDIRECT("Data!K" &amp; 483)</f>
        <v>0</v>
      </c>
      <c r="R488" cm="1">
        <f t="array" aca="1" ref="R488" ca="1">INDIRECT("Data!L" &amp; 483)</f>
        <v>0</v>
      </c>
      <c r="S488" cm="1">
        <f t="array" aca="1" ref="S488" ca="1">INDIRECT("Data!M" &amp; 483)</f>
        <v>0</v>
      </c>
      <c r="T488" cm="1">
        <f t="array" aca="1" ref="T488" ca="1">INDIRECT("Data!N" &amp; 483)</f>
        <v>0</v>
      </c>
      <c r="U488" cm="1">
        <f t="array" aca="1" ref="U488" ca="1">INDIRECT("Data!O" &amp; 483)</f>
        <v>0</v>
      </c>
      <c r="V488" cm="1">
        <f t="array" aca="1" ref="V488" ca="1">INDIRECT("Data!P" &amp; 483)</f>
        <v>0</v>
      </c>
    </row>
    <row r="489" spans="7:22" x14ac:dyDescent="0.25">
      <c r="G489" cm="1">
        <f t="array" aca="1" ref="G489" ca="1">INDIRECT("Data!A" &amp; 484)</f>
        <v>0</v>
      </c>
      <c r="H489" s="21" cm="1">
        <f t="array" aca="1" ref="H489" ca="1">INDIRECT("Data!B" &amp; 484)</f>
        <v>0</v>
      </c>
      <c r="I489" s="21" cm="1">
        <f t="array" aca="1" ref="I489" ca="1">INDIRECT("Data!C" &amp; 484)</f>
        <v>0</v>
      </c>
      <c r="J489" cm="1">
        <f t="array" aca="1" ref="J489" ca="1">INDIRECT("Data!D" &amp; 484)</f>
        <v>0</v>
      </c>
      <c r="K489" cm="1">
        <f t="array" aca="1" ref="K489" ca="1">INDIRECT("Data!E" &amp; 484)</f>
        <v>0</v>
      </c>
      <c r="L489" cm="1">
        <f t="array" aca="1" ref="L489" ca="1">INDIRECT("Data!F" &amp; 484)</f>
        <v>0</v>
      </c>
      <c r="M489" cm="1">
        <f t="array" aca="1" ref="M489" ca="1">INDIRECT("Data!G" &amp; 484)</f>
        <v>0</v>
      </c>
      <c r="N489" cm="1">
        <f t="array" aca="1" ref="N489" ca="1">INDIRECT("Data!H" &amp; 484)</f>
        <v>0</v>
      </c>
      <c r="O489" cm="1">
        <f t="array" aca="1" ref="O489" ca="1">INDIRECT("Data!I" &amp; 484)</f>
        <v>0</v>
      </c>
      <c r="P489" s="21" cm="1">
        <f t="array" aca="1" ref="P489" ca="1">INDIRECT("Data!J" &amp; 484)</f>
        <v>0</v>
      </c>
      <c r="Q489" cm="1">
        <f t="array" aca="1" ref="Q489" ca="1">INDIRECT("Data!K" &amp; 484)</f>
        <v>0</v>
      </c>
      <c r="R489" cm="1">
        <f t="array" aca="1" ref="R489" ca="1">INDIRECT("Data!L" &amp; 484)</f>
        <v>0</v>
      </c>
      <c r="S489" cm="1">
        <f t="array" aca="1" ref="S489" ca="1">INDIRECT("Data!M" &amp; 484)</f>
        <v>0</v>
      </c>
      <c r="T489" cm="1">
        <f t="array" aca="1" ref="T489" ca="1">INDIRECT("Data!N" &amp; 484)</f>
        <v>0</v>
      </c>
      <c r="U489" cm="1">
        <f t="array" aca="1" ref="U489" ca="1">INDIRECT("Data!O" &amp; 484)</f>
        <v>0</v>
      </c>
      <c r="V489" cm="1">
        <f t="array" aca="1" ref="V489" ca="1">INDIRECT("Data!P" &amp; 484)</f>
        <v>0</v>
      </c>
    </row>
    <row r="490" spans="7:22" x14ac:dyDescent="0.25">
      <c r="G490" cm="1">
        <f t="array" aca="1" ref="G490" ca="1">INDIRECT("Data!A" &amp; 485)</f>
        <v>0</v>
      </c>
      <c r="H490" s="21" cm="1">
        <f t="array" aca="1" ref="H490" ca="1">INDIRECT("Data!B" &amp; 485)</f>
        <v>0</v>
      </c>
      <c r="I490" s="21" cm="1">
        <f t="array" aca="1" ref="I490" ca="1">INDIRECT("Data!C" &amp; 485)</f>
        <v>0</v>
      </c>
      <c r="J490" cm="1">
        <f t="array" aca="1" ref="J490" ca="1">INDIRECT("Data!D" &amp; 485)</f>
        <v>0</v>
      </c>
      <c r="K490" cm="1">
        <f t="array" aca="1" ref="K490" ca="1">INDIRECT("Data!E" &amp; 485)</f>
        <v>0</v>
      </c>
      <c r="L490" cm="1">
        <f t="array" aca="1" ref="L490" ca="1">INDIRECT("Data!F" &amp; 485)</f>
        <v>0</v>
      </c>
      <c r="M490" cm="1">
        <f t="array" aca="1" ref="M490" ca="1">INDIRECT("Data!G" &amp; 485)</f>
        <v>0</v>
      </c>
      <c r="N490" cm="1">
        <f t="array" aca="1" ref="N490" ca="1">INDIRECT("Data!H" &amp; 485)</f>
        <v>0</v>
      </c>
      <c r="O490" cm="1">
        <f t="array" aca="1" ref="O490" ca="1">INDIRECT("Data!I" &amp; 485)</f>
        <v>0</v>
      </c>
      <c r="P490" s="21" cm="1">
        <f t="array" aca="1" ref="P490" ca="1">INDIRECT("Data!J" &amp; 485)</f>
        <v>0</v>
      </c>
      <c r="Q490" cm="1">
        <f t="array" aca="1" ref="Q490" ca="1">INDIRECT("Data!K" &amp; 485)</f>
        <v>0</v>
      </c>
      <c r="R490" cm="1">
        <f t="array" aca="1" ref="R490" ca="1">INDIRECT("Data!L" &amp; 485)</f>
        <v>0</v>
      </c>
      <c r="S490" cm="1">
        <f t="array" aca="1" ref="S490" ca="1">INDIRECT("Data!M" &amp; 485)</f>
        <v>0</v>
      </c>
      <c r="T490" cm="1">
        <f t="array" aca="1" ref="T490" ca="1">INDIRECT("Data!N" &amp; 485)</f>
        <v>0</v>
      </c>
      <c r="U490" cm="1">
        <f t="array" aca="1" ref="U490" ca="1">INDIRECT("Data!O" &amp; 485)</f>
        <v>0</v>
      </c>
      <c r="V490" cm="1">
        <f t="array" aca="1" ref="V490" ca="1">INDIRECT("Data!P" &amp; 485)</f>
        <v>0</v>
      </c>
    </row>
    <row r="491" spans="7:22" x14ac:dyDescent="0.25">
      <c r="G491" cm="1">
        <f t="array" aca="1" ref="G491" ca="1">INDIRECT("Data!A" &amp; 486)</f>
        <v>0</v>
      </c>
      <c r="H491" s="21" cm="1">
        <f t="array" aca="1" ref="H491" ca="1">INDIRECT("Data!B" &amp; 486)</f>
        <v>0</v>
      </c>
      <c r="I491" s="21" cm="1">
        <f t="array" aca="1" ref="I491" ca="1">INDIRECT("Data!C" &amp; 486)</f>
        <v>0</v>
      </c>
      <c r="J491" cm="1">
        <f t="array" aca="1" ref="J491" ca="1">INDIRECT("Data!D" &amp; 486)</f>
        <v>0</v>
      </c>
      <c r="K491" cm="1">
        <f t="array" aca="1" ref="K491" ca="1">INDIRECT("Data!E" &amp; 486)</f>
        <v>0</v>
      </c>
      <c r="L491" cm="1">
        <f t="array" aca="1" ref="L491" ca="1">INDIRECT("Data!F" &amp; 486)</f>
        <v>0</v>
      </c>
      <c r="M491" cm="1">
        <f t="array" aca="1" ref="M491" ca="1">INDIRECT("Data!G" &amp; 486)</f>
        <v>0</v>
      </c>
      <c r="N491" cm="1">
        <f t="array" aca="1" ref="N491" ca="1">INDIRECT("Data!H" &amp; 486)</f>
        <v>0</v>
      </c>
      <c r="O491" cm="1">
        <f t="array" aca="1" ref="O491" ca="1">INDIRECT("Data!I" &amp; 486)</f>
        <v>0</v>
      </c>
      <c r="P491" s="21" cm="1">
        <f t="array" aca="1" ref="P491" ca="1">INDIRECT("Data!J" &amp; 486)</f>
        <v>0</v>
      </c>
      <c r="Q491" cm="1">
        <f t="array" aca="1" ref="Q491" ca="1">INDIRECT("Data!K" &amp; 486)</f>
        <v>0</v>
      </c>
      <c r="R491" cm="1">
        <f t="array" aca="1" ref="R491" ca="1">INDIRECT("Data!L" &amp; 486)</f>
        <v>0</v>
      </c>
      <c r="S491" cm="1">
        <f t="array" aca="1" ref="S491" ca="1">INDIRECT("Data!M" &amp; 486)</f>
        <v>0</v>
      </c>
      <c r="T491" cm="1">
        <f t="array" aca="1" ref="T491" ca="1">INDIRECT("Data!N" &amp; 486)</f>
        <v>0</v>
      </c>
      <c r="U491" cm="1">
        <f t="array" aca="1" ref="U491" ca="1">INDIRECT("Data!O" &amp; 486)</f>
        <v>0</v>
      </c>
      <c r="V491" cm="1">
        <f t="array" aca="1" ref="V491" ca="1">INDIRECT("Data!P" &amp; 486)</f>
        <v>0</v>
      </c>
    </row>
    <row r="492" spans="7:22" x14ac:dyDescent="0.25">
      <c r="G492" cm="1">
        <f t="array" aca="1" ref="G492" ca="1">INDIRECT("Data!A" &amp; 487)</f>
        <v>0</v>
      </c>
      <c r="H492" s="21" cm="1">
        <f t="array" aca="1" ref="H492" ca="1">INDIRECT("Data!B" &amp; 487)</f>
        <v>0</v>
      </c>
      <c r="I492" s="21" cm="1">
        <f t="array" aca="1" ref="I492" ca="1">INDIRECT("Data!C" &amp; 487)</f>
        <v>0</v>
      </c>
      <c r="J492" cm="1">
        <f t="array" aca="1" ref="J492" ca="1">INDIRECT("Data!D" &amp; 487)</f>
        <v>0</v>
      </c>
      <c r="K492" cm="1">
        <f t="array" aca="1" ref="K492" ca="1">INDIRECT("Data!E" &amp; 487)</f>
        <v>0</v>
      </c>
      <c r="L492" cm="1">
        <f t="array" aca="1" ref="L492" ca="1">INDIRECT("Data!F" &amp; 487)</f>
        <v>0</v>
      </c>
      <c r="M492" cm="1">
        <f t="array" aca="1" ref="M492" ca="1">INDIRECT("Data!G" &amp; 487)</f>
        <v>0</v>
      </c>
      <c r="N492" cm="1">
        <f t="array" aca="1" ref="N492" ca="1">INDIRECT("Data!H" &amp; 487)</f>
        <v>0</v>
      </c>
      <c r="O492" cm="1">
        <f t="array" aca="1" ref="O492" ca="1">INDIRECT("Data!I" &amp; 487)</f>
        <v>0</v>
      </c>
      <c r="P492" s="21" cm="1">
        <f t="array" aca="1" ref="P492" ca="1">INDIRECT("Data!J" &amp; 487)</f>
        <v>0</v>
      </c>
      <c r="Q492" cm="1">
        <f t="array" aca="1" ref="Q492" ca="1">INDIRECT("Data!K" &amp; 487)</f>
        <v>0</v>
      </c>
      <c r="R492" cm="1">
        <f t="array" aca="1" ref="R492" ca="1">INDIRECT("Data!L" &amp; 487)</f>
        <v>0</v>
      </c>
      <c r="S492" cm="1">
        <f t="array" aca="1" ref="S492" ca="1">INDIRECT("Data!M" &amp; 487)</f>
        <v>0</v>
      </c>
      <c r="T492" cm="1">
        <f t="array" aca="1" ref="T492" ca="1">INDIRECT("Data!N" &amp; 487)</f>
        <v>0</v>
      </c>
      <c r="U492" cm="1">
        <f t="array" aca="1" ref="U492" ca="1">INDIRECT("Data!O" &amp; 487)</f>
        <v>0</v>
      </c>
      <c r="V492" cm="1">
        <f t="array" aca="1" ref="V492" ca="1">INDIRECT("Data!P" &amp; 487)</f>
        <v>0</v>
      </c>
    </row>
    <row r="493" spans="7:22" x14ac:dyDescent="0.25">
      <c r="G493" cm="1">
        <f t="array" aca="1" ref="G493" ca="1">INDIRECT("Data!A" &amp; 488)</f>
        <v>0</v>
      </c>
      <c r="H493" s="21" cm="1">
        <f t="array" aca="1" ref="H493" ca="1">INDIRECT("Data!B" &amp; 488)</f>
        <v>0</v>
      </c>
      <c r="I493" s="21" cm="1">
        <f t="array" aca="1" ref="I493" ca="1">INDIRECT("Data!C" &amp; 488)</f>
        <v>0</v>
      </c>
      <c r="J493" cm="1">
        <f t="array" aca="1" ref="J493" ca="1">INDIRECT("Data!D" &amp; 488)</f>
        <v>0</v>
      </c>
      <c r="K493" cm="1">
        <f t="array" aca="1" ref="K493" ca="1">INDIRECT("Data!E" &amp; 488)</f>
        <v>0</v>
      </c>
      <c r="L493" cm="1">
        <f t="array" aca="1" ref="L493" ca="1">INDIRECT("Data!F" &amp; 488)</f>
        <v>0</v>
      </c>
      <c r="M493" cm="1">
        <f t="array" aca="1" ref="M493" ca="1">INDIRECT("Data!G" &amp; 488)</f>
        <v>0</v>
      </c>
      <c r="N493" cm="1">
        <f t="array" aca="1" ref="N493" ca="1">INDIRECT("Data!H" &amp; 488)</f>
        <v>0</v>
      </c>
      <c r="O493" cm="1">
        <f t="array" aca="1" ref="O493" ca="1">INDIRECT("Data!I" &amp; 488)</f>
        <v>0</v>
      </c>
      <c r="P493" s="21" cm="1">
        <f t="array" aca="1" ref="P493" ca="1">INDIRECT("Data!J" &amp; 488)</f>
        <v>0</v>
      </c>
      <c r="Q493" cm="1">
        <f t="array" aca="1" ref="Q493" ca="1">INDIRECT("Data!K" &amp; 488)</f>
        <v>0</v>
      </c>
      <c r="R493" cm="1">
        <f t="array" aca="1" ref="R493" ca="1">INDIRECT("Data!L" &amp; 488)</f>
        <v>0</v>
      </c>
      <c r="S493" cm="1">
        <f t="array" aca="1" ref="S493" ca="1">INDIRECT("Data!M" &amp; 488)</f>
        <v>0</v>
      </c>
      <c r="T493" cm="1">
        <f t="array" aca="1" ref="T493" ca="1">INDIRECT("Data!N" &amp; 488)</f>
        <v>0</v>
      </c>
      <c r="U493" cm="1">
        <f t="array" aca="1" ref="U493" ca="1">INDIRECT("Data!O" &amp; 488)</f>
        <v>0</v>
      </c>
      <c r="V493" cm="1">
        <f t="array" aca="1" ref="V493" ca="1">INDIRECT("Data!P" &amp; 488)</f>
        <v>0</v>
      </c>
    </row>
    <row r="494" spans="7:22" x14ac:dyDescent="0.25">
      <c r="G494" cm="1">
        <f t="array" aca="1" ref="G494" ca="1">INDIRECT("Data!A" &amp; 489)</f>
        <v>0</v>
      </c>
      <c r="H494" s="21" cm="1">
        <f t="array" aca="1" ref="H494" ca="1">INDIRECT("Data!B" &amp; 489)</f>
        <v>0</v>
      </c>
      <c r="I494" s="21" cm="1">
        <f t="array" aca="1" ref="I494" ca="1">INDIRECT("Data!C" &amp; 489)</f>
        <v>0</v>
      </c>
      <c r="J494" cm="1">
        <f t="array" aca="1" ref="J494" ca="1">INDIRECT("Data!D" &amp; 489)</f>
        <v>0</v>
      </c>
      <c r="K494" cm="1">
        <f t="array" aca="1" ref="K494" ca="1">INDIRECT("Data!E" &amp; 489)</f>
        <v>0</v>
      </c>
      <c r="L494" cm="1">
        <f t="array" aca="1" ref="L494" ca="1">INDIRECT("Data!F" &amp; 489)</f>
        <v>0</v>
      </c>
      <c r="M494" cm="1">
        <f t="array" aca="1" ref="M494" ca="1">INDIRECT("Data!G" &amp; 489)</f>
        <v>0</v>
      </c>
      <c r="N494" cm="1">
        <f t="array" aca="1" ref="N494" ca="1">INDIRECT("Data!H" &amp; 489)</f>
        <v>0</v>
      </c>
      <c r="O494" cm="1">
        <f t="array" aca="1" ref="O494" ca="1">INDIRECT("Data!I" &amp; 489)</f>
        <v>0</v>
      </c>
      <c r="P494" s="21" cm="1">
        <f t="array" aca="1" ref="P494" ca="1">INDIRECT("Data!J" &amp; 489)</f>
        <v>0</v>
      </c>
      <c r="Q494" cm="1">
        <f t="array" aca="1" ref="Q494" ca="1">INDIRECT("Data!K" &amp; 489)</f>
        <v>0</v>
      </c>
      <c r="R494" cm="1">
        <f t="array" aca="1" ref="R494" ca="1">INDIRECT("Data!L" &amp; 489)</f>
        <v>0</v>
      </c>
      <c r="S494" cm="1">
        <f t="array" aca="1" ref="S494" ca="1">INDIRECT("Data!M" &amp; 489)</f>
        <v>0</v>
      </c>
      <c r="T494" cm="1">
        <f t="array" aca="1" ref="T494" ca="1">INDIRECT("Data!N" &amp; 489)</f>
        <v>0</v>
      </c>
      <c r="U494" cm="1">
        <f t="array" aca="1" ref="U494" ca="1">INDIRECT("Data!O" &amp; 489)</f>
        <v>0</v>
      </c>
      <c r="V494" cm="1">
        <f t="array" aca="1" ref="V494" ca="1">INDIRECT("Data!P" &amp; 489)</f>
        <v>0</v>
      </c>
    </row>
    <row r="495" spans="7:22" x14ac:dyDescent="0.25">
      <c r="G495" cm="1">
        <f t="array" aca="1" ref="G495" ca="1">INDIRECT("Data!A" &amp; 490)</f>
        <v>0</v>
      </c>
      <c r="H495" s="21" cm="1">
        <f t="array" aca="1" ref="H495" ca="1">INDIRECT("Data!B" &amp; 490)</f>
        <v>0</v>
      </c>
      <c r="I495" s="21" cm="1">
        <f t="array" aca="1" ref="I495" ca="1">INDIRECT("Data!C" &amp; 490)</f>
        <v>0</v>
      </c>
      <c r="J495" cm="1">
        <f t="array" aca="1" ref="J495" ca="1">INDIRECT("Data!D" &amp; 490)</f>
        <v>0</v>
      </c>
      <c r="K495" cm="1">
        <f t="array" aca="1" ref="K495" ca="1">INDIRECT("Data!E" &amp; 490)</f>
        <v>0</v>
      </c>
      <c r="L495" cm="1">
        <f t="array" aca="1" ref="L495" ca="1">INDIRECT("Data!F" &amp; 490)</f>
        <v>0</v>
      </c>
      <c r="M495" cm="1">
        <f t="array" aca="1" ref="M495" ca="1">INDIRECT("Data!G" &amp; 490)</f>
        <v>0</v>
      </c>
      <c r="N495" cm="1">
        <f t="array" aca="1" ref="N495" ca="1">INDIRECT("Data!H" &amp; 490)</f>
        <v>0</v>
      </c>
      <c r="O495" cm="1">
        <f t="array" aca="1" ref="O495" ca="1">INDIRECT("Data!I" &amp; 490)</f>
        <v>0</v>
      </c>
      <c r="P495" s="21" cm="1">
        <f t="array" aca="1" ref="P495" ca="1">INDIRECT("Data!J" &amp; 490)</f>
        <v>0</v>
      </c>
      <c r="Q495" cm="1">
        <f t="array" aca="1" ref="Q495" ca="1">INDIRECT("Data!K" &amp; 490)</f>
        <v>0</v>
      </c>
      <c r="R495" cm="1">
        <f t="array" aca="1" ref="R495" ca="1">INDIRECT("Data!L" &amp; 490)</f>
        <v>0</v>
      </c>
      <c r="S495" cm="1">
        <f t="array" aca="1" ref="S495" ca="1">INDIRECT("Data!M" &amp; 490)</f>
        <v>0</v>
      </c>
      <c r="T495" cm="1">
        <f t="array" aca="1" ref="T495" ca="1">INDIRECT("Data!N" &amp; 490)</f>
        <v>0</v>
      </c>
      <c r="U495" cm="1">
        <f t="array" aca="1" ref="U495" ca="1">INDIRECT("Data!O" &amp; 490)</f>
        <v>0</v>
      </c>
      <c r="V495" cm="1">
        <f t="array" aca="1" ref="V495" ca="1">INDIRECT("Data!P" &amp; 490)</f>
        <v>0</v>
      </c>
    </row>
    <row r="496" spans="7:22" x14ac:dyDescent="0.25">
      <c r="G496" cm="1">
        <f t="array" aca="1" ref="G496" ca="1">INDIRECT("Data!A" &amp; 491)</f>
        <v>0</v>
      </c>
      <c r="H496" s="21" cm="1">
        <f t="array" aca="1" ref="H496" ca="1">INDIRECT("Data!B" &amp; 491)</f>
        <v>0</v>
      </c>
      <c r="I496" s="21" cm="1">
        <f t="array" aca="1" ref="I496" ca="1">INDIRECT("Data!C" &amp; 491)</f>
        <v>0</v>
      </c>
      <c r="J496" cm="1">
        <f t="array" aca="1" ref="J496" ca="1">INDIRECT("Data!D" &amp; 491)</f>
        <v>0</v>
      </c>
      <c r="K496" cm="1">
        <f t="array" aca="1" ref="K496" ca="1">INDIRECT("Data!E" &amp; 491)</f>
        <v>0</v>
      </c>
      <c r="L496" cm="1">
        <f t="array" aca="1" ref="L496" ca="1">INDIRECT("Data!F" &amp; 491)</f>
        <v>0</v>
      </c>
      <c r="M496" cm="1">
        <f t="array" aca="1" ref="M496" ca="1">INDIRECT("Data!G" &amp; 491)</f>
        <v>0</v>
      </c>
      <c r="N496" cm="1">
        <f t="array" aca="1" ref="N496" ca="1">INDIRECT("Data!H" &amp; 491)</f>
        <v>0</v>
      </c>
      <c r="O496" cm="1">
        <f t="array" aca="1" ref="O496" ca="1">INDIRECT("Data!I" &amp; 491)</f>
        <v>0</v>
      </c>
      <c r="P496" s="21" cm="1">
        <f t="array" aca="1" ref="P496" ca="1">INDIRECT("Data!J" &amp; 491)</f>
        <v>0</v>
      </c>
      <c r="Q496" cm="1">
        <f t="array" aca="1" ref="Q496" ca="1">INDIRECT("Data!K" &amp; 491)</f>
        <v>0</v>
      </c>
      <c r="R496" cm="1">
        <f t="array" aca="1" ref="R496" ca="1">INDIRECT("Data!L" &amp; 491)</f>
        <v>0</v>
      </c>
      <c r="S496" cm="1">
        <f t="array" aca="1" ref="S496" ca="1">INDIRECT("Data!M" &amp; 491)</f>
        <v>0</v>
      </c>
      <c r="T496" cm="1">
        <f t="array" aca="1" ref="T496" ca="1">INDIRECT("Data!N" &amp; 491)</f>
        <v>0</v>
      </c>
      <c r="U496" cm="1">
        <f t="array" aca="1" ref="U496" ca="1">INDIRECT("Data!O" &amp; 491)</f>
        <v>0</v>
      </c>
      <c r="V496" cm="1">
        <f t="array" aca="1" ref="V496" ca="1">INDIRECT("Data!P" &amp; 491)</f>
        <v>0</v>
      </c>
    </row>
    <row r="497" spans="7:22" x14ac:dyDescent="0.25">
      <c r="G497" cm="1">
        <f t="array" aca="1" ref="G497" ca="1">INDIRECT("Data!A" &amp; 492)</f>
        <v>0</v>
      </c>
      <c r="H497" s="21" cm="1">
        <f t="array" aca="1" ref="H497" ca="1">INDIRECT("Data!B" &amp; 492)</f>
        <v>0</v>
      </c>
      <c r="I497" s="21" cm="1">
        <f t="array" aca="1" ref="I497" ca="1">INDIRECT("Data!C" &amp; 492)</f>
        <v>0</v>
      </c>
      <c r="J497" cm="1">
        <f t="array" aca="1" ref="J497" ca="1">INDIRECT("Data!D" &amp; 492)</f>
        <v>0</v>
      </c>
      <c r="K497" cm="1">
        <f t="array" aca="1" ref="K497" ca="1">INDIRECT("Data!E" &amp; 492)</f>
        <v>0</v>
      </c>
      <c r="L497" cm="1">
        <f t="array" aca="1" ref="L497" ca="1">INDIRECT("Data!F" &amp; 492)</f>
        <v>0</v>
      </c>
      <c r="M497" cm="1">
        <f t="array" aca="1" ref="M497" ca="1">INDIRECT("Data!G" &amp; 492)</f>
        <v>0</v>
      </c>
      <c r="N497" cm="1">
        <f t="array" aca="1" ref="N497" ca="1">INDIRECT("Data!H" &amp; 492)</f>
        <v>0</v>
      </c>
      <c r="O497" cm="1">
        <f t="array" aca="1" ref="O497" ca="1">INDIRECT("Data!I" &amp; 492)</f>
        <v>0</v>
      </c>
      <c r="P497" s="21" cm="1">
        <f t="array" aca="1" ref="P497" ca="1">INDIRECT("Data!J" &amp; 492)</f>
        <v>0</v>
      </c>
      <c r="Q497" cm="1">
        <f t="array" aca="1" ref="Q497" ca="1">INDIRECT("Data!K" &amp; 492)</f>
        <v>0</v>
      </c>
      <c r="R497" cm="1">
        <f t="array" aca="1" ref="R497" ca="1">INDIRECT("Data!L" &amp; 492)</f>
        <v>0</v>
      </c>
      <c r="S497" cm="1">
        <f t="array" aca="1" ref="S497" ca="1">INDIRECT("Data!M" &amp; 492)</f>
        <v>0</v>
      </c>
      <c r="T497" cm="1">
        <f t="array" aca="1" ref="T497" ca="1">INDIRECT("Data!N" &amp; 492)</f>
        <v>0</v>
      </c>
      <c r="U497" cm="1">
        <f t="array" aca="1" ref="U497" ca="1">INDIRECT("Data!O" &amp; 492)</f>
        <v>0</v>
      </c>
      <c r="V497" cm="1">
        <f t="array" aca="1" ref="V497" ca="1">INDIRECT("Data!P" &amp; 492)</f>
        <v>0</v>
      </c>
    </row>
    <row r="498" spans="7:22" x14ac:dyDescent="0.25">
      <c r="G498" cm="1">
        <f t="array" aca="1" ref="G498" ca="1">INDIRECT("Data!A" &amp; 493)</f>
        <v>0</v>
      </c>
      <c r="H498" s="21" cm="1">
        <f t="array" aca="1" ref="H498" ca="1">INDIRECT("Data!B" &amp; 493)</f>
        <v>0</v>
      </c>
      <c r="I498" s="21" cm="1">
        <f t="array" aca="1" ref="I498" ca="1">INDIRECT("Data!C" &amp; 493)</f>
        <v>0</v>
      </c>
      <c r="J498" cm="1">
        <f t="array" aca="1" ref="J498" ca="1">INDIRECT("Data!D" &amp; 493)</f>
        <v>0</v>
      </c>
      <c r="K498" cm="1">
        <f t="array" aca="1" ref="K498" ca="1">INDIRECT("Data!E" &amp; 493)</f>
        <v>0</v>
      </c>
      <c r="L498" cm="1">
        <f t="array" aca="1" ref="L498" ca="1">INDIRECT("Data!F" &amp; 493)</f>
        <v>0</v>
      </c>
      <c r="M498" cm="1">
        <f t="array" aca="1" ref="M498" ca="1">INDIRECT("Data!G" &amp; 493)</f>
        <v>0</v>
      </c>
      <c r="N498" cm="1">
        <f t="array" aca="1" ref="N498" ca="1">INDIRECT("Data!H" &amp; 493)</f>
        <v>0</v>
      </c>
      <c r="O498" cm="1">
        <f t="array" aca="1" ref="O498" ca="1">INDIRECT("Data!I" &amp; 493)</f>
        <v>0</v>
      </c>
      <c r="P498" s="21" cm="1">
        <f t="array" aca="1" ref="P498" ca="1">INDIRECT("Data!J" &amp; 493)</f>
        <v>0</v>
      </c>
      <c r="Q498" cm="1">
        <f t="array" aca="1" ref="Q498" ca="1">INDIRECT("Data!K" &amp; 493)</f>
        <v>0</v>
      </c>
      <c r="R498" cm="1">
        <f t="array" aca="1" ref="R498" ca="1">INDIRECT("Data!L" &amp; 493)</f>
        <v>0</v>
      </c>
      <c r="S498" cm="1">
        <f t="array" aca="1" ref="S498" ca="1">INDIRECT("Data!M" &amp; 493)</f>
        <v>0</v>
      </c>
      <c r="T498" cm="1">
        <f t="array" aca="1" ref="T498" ca="1">INDIRECT("Data!N" &amp; 493)</f>
        <v>0</v>
      </c>
      <c r="U498" cm="1">
        <f t="array" aca="1" ref="U498" ca="1">INDIRECT("Data!O" &amp; 493)</f>
        <v>0</v>
      </c>
      <c r="V498" cm="1">
        <f t="array" aca="1" ref="V498" ca="1">INDIRECT("Data!P" &amp; 493)</f>
        <v>0</v>
      </c>
    </row>
    <row r="499" spans="7:22" x14ac:dyDescent="0.25">
      <c r="G499" cm="1">
        <f t="array" aca="1" ref="G499" ca="1">INDIRECT("Data!A" &amp; 494)</f>
        <v>0</v>
      </c>
      <c r="H499" s="21" cm="1">
        <f t="array" aca="1" ref="H499" ca="1">INDIRECT("Data!B" &amp; 494)</f>
        <v>0</v>
      </c>
      <c r="I499" s="21" cm="1">
        <f t="array" aca="1" ref="I499" ca="1">INDIRECT("Data!C" &amp; 494)</f>
        <v>0</v>
      </c>
      <c r="J499" cm="1">
        <f t="array" aca="1" ref="J499" ca="1">INDIRECT("Data!D" &amp; 494)</f>
        <v>0</v>
      </c>
      <c r="K499" cm="1">
        <f t="array" aca="1" ref="K499" ca="1">INDIRECT("Data!E" &amp; 494)</f>
        <v>0</v>
      </c>
      <c r="L499" cm="1">
        <f t="array" aca="1" ref="L499" ca="1">INDIRECT("Data!F" &amp; 494)</f>
        <v>0</v>
      </c>
      <c r="M499" cm="1">
        <f t="array" aca="1" ref="M499" ca="1">INDIRECT("Data!G" &amp; 494)</f>
        <v>0</v>
      </c>
      <c r="N499" cm="1">
        <f t="array" aca="1" ref="N499" ca="1">INDIRECT("Data!H" &amp; 494)</f>
        <v>0</v>
      </c>
      <c r="O499" cm="1">
        <f t="array" aca="1" ref="O499" ca="1">INDIRECT("Data!I" &amp; 494)</f>
        <v>0</v>
      </c>
      <c r="P499" s="21" cm="1">
        <f t="array" aca="1" ref="P499" ca="1">INDIRECT("Data!J" &amp; 494)</f>
        <v>0</v>
      </c>
      <c r="Q499" cm="1">
        <f t="array" aca="1" ref="Q499" ca="1">INDIRECT("Data!K" &amp; 494)</f>
        <v>0</v>
      </c>
      <c r="R499" cm="1">
        <f t="array" aca="1" ref="R499" ca="1">INDIRECT("Data!L" &amp; 494)</f>
        <v>0</v>
      </c>
      <c r="S499" cm="1">
        <f t="array" aca="1" ref="S499" ca="1">INDIRECT("Data!M" &amp; 494)</f>
        <v>0</v>
      </c>
      <c r="T499" cm="1">
        <f t="array" aca="1" ref="T499" ca="1">INDIRECT("Data!N" &amp; 494)</f>
        <v>0</v>
      </c>
      <c r="U499" cm="1">
        <f t="array" aca="1" ref="U499" ca="1">INDIRECT("Data!O" &amp; 494)</f>
        <v>0</v>
      </c>
      <c r="V499" cm="1">
        <f t="array" aca="1" ref="V499" ca="1">INDIRECT("Data!P" &amp; 494)</f>
        <v>0</v>
      </c>
    </row>
    <row r="500" spans="7:22" x14ac:dyDescent="0.25">
      <c r="G500" cm="1">
        <f t="array" aca="1" ref="G500" ca="1">INDIRECT("Data!A" &amp; 495)</f>
        <v>0</v>
      </c>
      <c r="H500" s="21" cm="1">
        <f t="array" aca="1" ref="H500" ca="1">INDIRECT("Data!B" &amp; 495)</f>
        <v>0</v>
      </c>
      <c r="I500" s="21" cm="1">
        <f t="array" aca="1" ref="I500" ca="1">INDIRECT("Data!C" &amp; 495)</f>
        <v>0</v>
      </c>
      <c r="J500" cm="1">
        <f t="array" aca="1" ref="J500" ca="1">INDIRECT("Data!D" &amp; 495)</f>
        <v>0</v>
      </c>
      <c r="K500" cm="1">
        <f t="array" aca="1" ref="K500" ca="1">INDIRECT("Data!E" &amp; 495)</f>
        <v>0</v>
      </c>
      <c r="L500" cm="1">
        <f t="array" aca="1" ref="L500" ca="1">INDIRECT("Data!F" &amp; 495)</f>
        <v>0</v>
      </c>
      <c r="M500" cm="1">
        <f t="array" aca="1" ref="M500" ca="1">INDIRECT("Data!G" &amp; 495)</f>
        <v>0</v>
      </c>
      <c r="N500" cm="1">
        <f t="array" aca="1" ref="N500" ca="1">INDIRECT("Data!H" &amp; 495)</f>
        <v>0</v>
      </c>
      <c r="O500" cm="1">
        <f t="array" aca="1" ref="O500" ca="1">INDIRECT("Data!I" &amp; 495)</f>
        <v>0</v>
      </c>
      <c r="P500" s="21" cm="1">
        <f t="array" aca="1" ref="P500" ca="1">INDIRECT("Data!J" &amp; 495)</f>
        <v>0</v>
      </c>
      <c r="Q500" cm="1">
        <f t="array" aca="1" ref="Q500" ca="1">INDIRECT("Data!K" &amp; 495)</f>
        <v>0</v>
      </c>
      <c r="R500" cm="1">
        <f t="array" aca="1" ref="R500" ca="1">INDIRECT("Data!L" &amp; 495)</f>
        <v>0</v>
      </c>
      <c r="S500" cm="1">
        <f t="array" aca="1" ref="S500" ca="1">INDIRECT("Data!M" &amp; 495)</f>
        <v>0</v>
      </c>
      <c r="T500" cm="1">
        <f t="array" aca="1" ref="T500" ca="1">INDIRECT("Data!N" &amp; 495)</f>
        <v>0</v>
      </c>
      <c r="U500" cm="1">
        <f t="array" aca="1" ref="U500" ca="1">INDIRECT("Data!O" &amp; 495)</f>
        <v>0</v>
      </c>
      <c r="V500" cm="1">
        <f t="array" aca="1" ref="V500" ca="1">INDIRECT("Data!P" &amp; 495)</f>
        <v>0</v>
      </c>
    </row>
    <row r="501" spans="7:22" x14ac:dyDescent="0.25">
      <c r="G501" cm="1">
        <f t="array" aca="1" ref="G501" ca="1">INDIRECT("Data!A" &amp; 496)</f>
        <v>0</v>
      </c>
      <c r="H501" s="21" cm="1">
        <f t="array" aca="1" ref="H501" ca="1">INDIRECT("Data!B" &amp; 496)</f>
        <v>0</v>
      </c>
      <c r="I501" s="21" cm="1">
        <f t="array" aca="1" ref="I501" ca="1">INDIRECT("Data!C" &amp; 496)</f>
        <v>0</v>
      </c>
      <c r="J501" cm="1">
        <f t="array" aca="1" ref="J501" ca="1">INDIRECT("Data!D" &amp; 496)</f>
        <v>0</v>
      </c>
      <c r="K501" cm="1">
        <f t="array" aca="1" ref="K501" ca="1">INDIRECT("Data!E" &amp; 496)</f>
        <v>0</v>
      </c>
      <c r="L501" cm="1">
        <f t="array" aca="1" ref="L501" ca="1">INDIRECT("Data!F" &amp; 496)</f>
        <v>0</v>
      </c>
      <c r="M501" cm="1">
        <f t="array" aca="1" ref="M501" ca="1">INDIRECT("Data!G" &amp; 496)</f>
        <v>0</v>
      </c>
      <c r="N501" cm="1">
        <f t="array" aca="1" ref="N501" ca="1">INDIRECT("Data!H" &amp; 496)</f>
        <v>0</v>
      </c>
      <c r="O501" cm="1">
        <f t="array" aca="1" ref="O501" ca="1">INDIRECT("Data!I" &amp; 496)</f>
        <v>0</v>
      </c>
      <c r="P501" s="21" cm="1">
        <f t="array" aca="1" ref="P501" ca="1">INDIRECT("Data!J" &amp; 496)</f>
        <v>0</v>
      </c>
      <c r="Q501" cm="1">
        <f t="array" aca="1" ref="Q501" ca="1">INDIRECT("Data!K" &amp; 496)</f>
        <v>0</v>
      </c>
      <c r="R501" cm="1">
        <f t="array" aca="1" ref="R501" ca="1">INDIRECT("Data!L" &amp; 496)</f>
        <v>0</v>
      </c>
      <c r="S501" cm="1">
        <f t="array" aca="1" ref="S501" ca="1">INDIRECT("Data!M" &amp; 496)</f>
        <v>0</v>
      </c>
      <c r="T501" cm="1">
        <f t="array" aca="1" ref="T501" ca="1">INDIRECT("Data!N" &amp; 496)</f>
        <v>0</v>
      </c>
      <c r="U501" cm="1">
        <f t="array" aca="1" ref="U501" ca="1">INDIRECT("Data!O" &amp; 496)</f>
        <v>0</v>
      </c>
      <c r="V501" cm="1">
        <f t="array" aca="1" ref="V501" ca="1">INDIRECT("Data!P" &amp; 496)</f>
        <v>0</v>
      </c>
    </row>
    <row r="502" spans="7:22" x14ac:dyDescent="0.25">
      <c r="G502" cm="1">
        <f t="array" aca="1" ref="G502" ca="1">INDIRECT("Data!A" &amp; 497)</f>
        <v>0</v>
      </c>
      <c r="H502" s="21" cm="1">
        <f t="array" aca="1" ref="H502" ca="1">INDIRECT("Data!B" &amp; 497)</f>
        <v>0</v>
      </c>
      <c r="I502" s="21" cm="1">
        <f t="array" aca="1" ref="I502" ca="1">INDIRECT("Data!C" &amp; 497)</f>
        <v>0</v>
      </c>
      <c r="J502" cm="1">
        <f t="array" aca="1" ref="J502" ca="1">INDIRECT("Data!D" &amp; 497)</f>
        <v>0</v>
      </c>
      <c r="K502" cm="1">
        <f t="array" aca="1" ref="K502" ca="1">INDIRECT("Data!E" &amp; 497)</f>
        <v>0</v>
      </c>
      <c r="L502" cm="1">
        <f t="array" aca="1" ref="L502" ca="1">INDIRECT("Data!F" &amp; 497)</f>
        <v>0</v>
      </c>
      <c r="M502" cm="1">
        <f t="array" aca="1" ref="M502" ca="1">INDIRECT("Data!G" &amp; 497)</f>
        <v>0</v>
      </c>
      <c r="N502" cm="1">
        <f t="array" aca="1" ref="N502" ca="1">INDIRECT("Data!H" &amp; 497)</f>
        <v>0</v>
      </c>
      <c r="O502" cm="1">
        <f t="array" aca="1" ref="O502" ca="1">INDIRECT("Data!I" &amp; 497)</f>
        <v>0</v>
      </c>
      <c r="P502" s="21" cm="1">
        <f t="array" aca="1" ref="P502" ca="1">INDIRECT("Data!J" &amp; 497)</f>
        <v>0</v>
      </c>
      <c r="Q502" cm="1">
        <f t="array" aca="1" ref="Q502" ca="1">INDIRECT("Data!K" &amp; 497)</f>
        <v>0</v>
      </c>
      <c r="R502" cm="1">
        <f t="array" aca="1" ref="R502" ca="1">INDIRECT("Data!L" &amp; 497)</f>
        <v>0</v>
      </c>
      <c r="S502" cm="1">
        <f t="array" aca="1" ref="S502" ca="1">INDIRECT("Data!M" &amp; 497)</f>
        <v>0</v>
      </c>
      <c r="T502" cm="1">
        <f t="array" aca="1" ref="T502" ca="1">INDIRECT("Data!N" &amp; 497)</f>
        <v>0</v>
      </c>
      <c r="U502" cm="1">
        <f t="array" aca="1" ref="U502" ca="1">INDIRECT("Data!O" &amp; 497)</f>
        <v>0</v>
      </c>
      <c r="V502" cm="1">
        <f t="array" aca="1" ref="V502" ca="1">INDIRECT("Data!P" &amp; 497)</f>
        <v>0</v>
      </c>
    </row>
    <row r="503" spans="7:22" x14ac:dyDescent="0.25">
      <c r="G503" cm="1">
        <f t="array" aca="1" ref="G503" ca="1">INDIRECT("Data!A" &amp; 498)</f>
        <v>0</v>
      </c>
      <c r="H503" s="21" cm="1">
        <f t="array" aca="1" ref="H503" ca="1">INDIRECT("Data!B" &amp; 498)</f>
        <v>0</v>
      </c>
      <c r="I503" s="21" cm="1">
        <f t="array" aca="1" ref="I503" ca="1">INDIRECT("Data!C" &amp; 498)</f>
        <v>0</v>
      </c>
      <c r="J503" cm="1">
        <f t="array" aca="1" ref="J503" ca="1">INDIRECT("Data!D" &amp; 498)</f>
        <v>0</v>
      </c>
      <c r="K503" cm="1">
        <f t="array" aca="1" ref="K503" ca="1">INDIRECT("Data!E" &amp; 498)</f>
        <v>0</v>
      </c>
      <c r="L503" cm="1">
        <f t="array" aca="1" ref="L503" ca="1">INDIRECT("Data!F" &amp; 498)</f>
        <v>0</v>
      </c>
      <c r="M503" cm="1">
        <f t="array" aca="1" ref="M503" ca="1">INDIRECT("Data!G" &amp; 498)</f>
        <v>0</v>
      </c>
      <c r="N503" cm="1">
        <f t="array" aca="1" ref="N503" ca="1">INDIRECT("Data!H" &amp; 498)</f>
        <v>0</v>
      </c>
      <c r="O503" cm="1">
        <f t="array" aca="1" ref="O503" ca="1">INDIRECT("Data!I" &amp; 498)</f>
        <v>0</v>
      </c>
      <c r="P503" s="21" cm="1">
        <f t="array" aca="1" ref="P503" ca="1">INDIRECT("Data!J" &amp; 498)</f>
        <v>0</v>
      </c>
      <c r="Q503" cm="1">
        <f t="array" aca="1" ref="Q503" ca="1">INDIRECT("Data!K" &amp; 498)</f>
        <v>0</v>
      </c>
      <c r="R503" cm="1">
        <f t="array" aca="1" ref="R503" ca="1">INDIRECT("Data!L" &amp; 498)</f>
        <v>0</v>
      </c>
      <c r="S503" cm="1">
        <f t="array" aca="1" ref="S503" ca="1">INDIRECT("Data!M" &amp; 498)</f>
        <v>0</v>
      </c>
      <c r="T503" cm="1">
        <f t="array" aca="1" ref="T503" ca="1">INDIRECT("Data!N" &amp; 498)</f>
        <v>0</v>
      </c>
      <c r="U503" cm="1">
        <f t="array" aca="1" ref="U503" ca="1">INDIRECT("Data!O" &amp; 498)</f>
        <v>0</v>
      </c>
      <c r="V503" cm="1">
        <f t="array" aca="1" ref="V503" ca="1">INDIRECT("Data!P" &amp; 498)</f>
        <v>0</v>
      </c>
    </row>
    <row r="504" spans="7:22" x14ac:dyDescent="0.25">
      <c r="G504" cm="1">
        <f t="array" aca="1" ref="G504" ca="1">INDIRECT("Data!A" &amp; 499)</f>
        <v>0</v>
      </c>
      <c r="H504" s="21" cm="1">
        <f t="array" aca="1" ref="H504" ca="1">INDIRECT("Data!B" &amp; 499)</f>
        <v>0</v>
      </c>
      <c r="I504" s="21" cm="1">
        <f t="array" aca="1" ref="I504" ca="1">INDIRECT("Data!C" &amp; 499)</f>
        <v>0</v>
      </c>
      <c r="J504" cm="1">
        <f t="array" aca="1" ref="J504" ca="1">INDIRECT("Data!D" &amp; 499)</f>
        <v>0</v>
      </c>
      <c r="K504" cm="1">
        <f t="array" aca="1" ref="K504" ca="1">INDIRECT("Data!E" &amp; 499)</f>
        <v>0</v>
      </c>
      <c r="L504" cm="1">
        <f t="array" aca="1" ref="L504" ca="1">INDIRECT("Data!F" &amp; 499)</f>
        <v>0</v>
      </c>
      <c r="M504" cm="1">
        <f t="array" aca="1" ref="M504" ca="1">INDIRECT("Data!G" &amp; 499)</f>
        <v>0</v>
      </c>
      <c r="N504" cm="1">
        <f t="array" aca="1" ref="N504" ca="1">INDIRECT("Data!H" &amp; 499)</f>
        <v>0</v>
      </c>
      <c r="O504" cm="1">
        <f t="array" aca="1" ref="O504" ca="1">INDIRECT("Data!I" &amp; 499)</f>
        <v>0</v>
      </c>
      <c r="P504" s="21" cm="1">
        <f t="array" aca="1" ref="P504" ca="1">INDIRECT("Data!J" &amp; 499)</f>
        <v>0</v>
      </c>
      <c r="Q504" cm="1">
        <f t="array" aca="1" ref="Q504" ca="1">INDIRECT("Data!K" &amp; 499)</f>
        <v>0</v>
      </c>
      <c r="R504" cm="1">
        <f t="array" aca="1" ref="R504" ca="1">INDIRECT("Data!L" &amp; 499)</f>
        <v>0</v>
      </c>
      <c r="S504" cm="1">
        <f t="array" aca="1" ref="S504" ca="1">INDIRECT("Data!M" &amp; 499)</f>
        <v>0</v>
      </c>
      <c r="T504" cm="1">
        <f t="array" aca="1" ref="T504" ca="1">INDIRECT("Data!N" &amp; 499)</f>
        <v>0</v>
      </c>
      <c r="U504" cm="1">
        <f t="array" aca="1" ref="U504" ca="1">INDIRECT("Data!O" &amp; 499)</f>
        <v>0</v>
      </c>
      <c r="V504" cm="1">
        <f t="array" aca="1" ref="V504" ca="1">INDIRECT("Data!P" &amp; 499)</f>
        <v>0</v>
      </c>
    </row>
    <row r="505" spans="7:22" x14ac:dyDescent="0.25">
      <c r="G505" cm="1">
        <f t="array" aca="1" ref="G505" ca="1">INDIRECT("Data!A" &amp; 500)</f>
        <v>0</v>
      </c>
      <c r="H505" s="21" cm="1">
        <f t="array" aca="1" ref="H505" ca="1">INDIRECT("Data!B" &amp; 500)</f>
        <v>0</v>
      </c>
      <c r="I505" s="21" cm="1">
        <f t="array" aca="1" ref="I505" ca="1">INDIRECT("Data!C" &amp; 500)</f>
        <v>0</v>
      </c>
      <c r="J505" cm="1">
        <f t="array" aca="1" ref="J505" ca="1">INDIRECT("Data!D" &amp; 500)</f>
        <v>0</v>
      </c>
      <c r="K505" cm="1">
        <f t="array" aca="1" ref="K505" ca="1">INDIRECT("Data!E" &amp; 500)</f>
        <v>0</v>
      </c>
      <c r="L505" cm="1">
        <f t="array" aca="1" ref="L505" ca="1">INDIRECT("Data!F" &amp; 500)</f>
        <v>0</v>
      </c>
      <c r="M505" cm="1">
        <f t="array" aca="1" ref="M505" ca="1">INDIRECT("Data!G" &amp; 500)</f>
        <v>0</v>
      </c>
      <c r="N505" cm="1">
        <f t="array" aca="1" ref="N505" ca="1">INDIRECT("Data!H" &amp; 500)</f>
        <v>0</v>
      </c>
      <c r="O505" cm="1">
        <f t="array" aca="1" ref="O505" ca="1">INDIRECT("Data!I" &amp; 500)</f>
        <v>0</v>
      </c>
      <c r="P505" s="21" cm="1">
        <f t="array" aca="1" ref="P505" ca="1">INDIRECT("Data!J" &amp; 500)</f>
        <v>0</v>
      </c>
      <c r="Q505" cm="1">
        <f t="array" aca="1" ref="Q505" ca="1">INDIRECT("Data!K" &amp; 500)</f>
        <v>0</v>
      </c>
      <c r="R505" cm="1">
        <f t="array" aca="1" ref="R505" ca="1">INDIRECT("Data!L" &amp; 500)</f>
        <v>0</v>
      </c>
      <c r="S505" cm="1">
        <f t="array" aca="1" ref="S505" ca="1">INDIRECT("Data!M" &amp; 500)</f>
        <v>0</v>
      </c>
      <c r="T505" cm="1">
        <f t="array" aca="1" ref="T505" ca="1">INDIRECT("Data!N" &amp; 500)</f>
        <v>0</v>
      </c>
      <c r="U505" cm="1">
        <f t="array" aca="1" ref="U505" ca="1">INDIRECT("Data!O" &amp; 500)</f>
        <v>0</v>
      </c>
      <c r="V505" cm="1">
        <f t="array" aca="1" ref="V505" ca="1">INDIRECT("Data!P" &amp; 500)</f>
        <v>0</v>
      </c>
    </row>
    <row r="506" spans="7:22" x14ac:dyDescent="0.25">
      <c r="G506" cm="1">
        <f t="array" aca="1" ref="G506" ca="1">INDIRECT("Data!A" &amp; 501)</f>
        <v>0</v>
      </c>
      <c r="H506" s="21" cm="1">
        <f t="array" aca="1" ref="H506" ca="1">INDIRECT("Data!B" &amp; 501)</f>
        <v>0</v>
      </c>
      <c r="I506" s="21" cm="1">
        <f t="array" aca="1" ref="I506" ca="1">INDIRECT("Data!C" &amp; 501)</f>
        <v>0</v>
      </c>
      <c r="J506" cm="1">
        <f t="array" aca="1" ref="J506" ca="1">INDIRECT("Data!D" &amp; 501)</f>
        <v>0</v>
      </c>
      <c r="K506" cm="1">
        <f t="array" aca="1" ref="K506" ca="1">INDIRECT("Data!E" &amp; 501)</f>
        <v>0</v>
      </c>
      <c r="L506" cm="1">
        <f t="array" aca="1" ref="L506" ca="1">INDIRECT("Data!F" &amp; 501)</f>
        <v>0</v>
      </c>
      <c r="M506" cm="1">
        <f t="array" aca="1" ref="M506" ca="1">INDIRECT("Data!G" &amp; 501)</f>
        <v>0</v>
      </c>
      <c r="N506" cm="1">
        <f t="array" aca="1" ref="N506" ca="1">INDIRECT("Data!H" &amp; 501)</f>
        <v>0</v>
      </c>
      <c r="O506" cm="1">
        <f t="array" aca="1" ref="O506" ca="1">INDIRECT("Data!I" &amp; 501)</f>
        <v>0</v>
      </c>
      <c r="P506" s="21" cm="1">
        <f t="array" aca="1" ref="P506" ca="1">INDIRECT("Data!J" &amp; 501)</f>
        <v>0</v>
      </c>
      <c r="Q506" cm="1">
        <f t="array" aca="1" ref="Q506" ca="1">INDIRECT("Data!K" &amp; 501)</f>
        <v>0</v>
      </c>
      <c r="R506" cm="1">
        <f t="array" aca="1" ref="R506" ca="1">INDIRECT("Data!L" &amp; 501)</f>
        <v>0</v>
      </c>
      <c r="S506" cm="1">
        <f t="array" aca="1" ref="S506" ca="1">INDIRECT("Data!M" &amp; 501)</f>
        <v>0</v>
      </c>
      <c r="T506" cm="1">
        <f t="array" aca="1" ref="T506" ca="1">INDIRECT("Data!N" &amp; 501)</f>
        <v>0</v>
      </c>
      <c r="U506" cm="1">
        <f t="array" aca="1" ref="U506" ca="1">INDIRECT("Data!O" &amp; 501)</f>
        <v>0</v>
      </c>
      <c r="V506" cm="1">
        <f t="array" aca="1" ref="V506" ca="1">INDIRECT("Data!P" &amp; 501)</f>
        <v>0</v>
      </c>
    </row>
    <row r="507" spans="7:22" x14ac:dyDescent="0.25">
      <c r="G507" cm="1">
        <f t="array" aca="1" ref="G507" ca="1">INDIRECT("Data!A" &amp; 502)</f>
        <v>0</v>
      </c>
      <c r="H507" s="21" cm="1">
        <f t="array" aca="1" ref="H507" ca="1">INDIRECT("Data!B" &amp; 502)</f>
        <v>0</v>
      </c>
      <c r="I507" s="21" cm="1">
        <f t="array" aca="1" ref="I507" ca="1">INDIRECT("Data!C" &amp; 502)</f>
        <v>0</v>
      </c>
      <c r="J507" cm="1">
        <f t="array" aca="1" ref="J507" ca="1">INDIRECT("Data!D" &amp; 502)</f>
        <v>0</v>
      </c>
      <c r="K507" cm="1">
        <f t="array" aca="1" ref="K507" ca="1">INDIRECT("Data!E" &amp; 502)</f>
        <v>0</v>
      </c>
      <c r="L507" cm="1">
        <f t="array" aca="1" ref="L507" ca="1">INDIRECT("Data!F" &amp; 502)</f>
        <v>0</v>
      </c>
      <c r="M507" cm="1">
        <f t="array" aca="1" ref="M507" ca="1">INDIRECT("Data!G" &amp; 502)</f>
        <v>0</v>
      </c>
      <c r="N507" cm="1">
        <f t="array" aca="1" ref="N507" ca="1">INDIRECT("Data!H" &amp; 502)</f>
        <v>0</v>
      </c>
      <c r="O507" cm="1">
        <f t="array" aca="1" ref="O507" ca="1">INDIRECT("Data!I" &amp; 502)</f>
        <v>0</v>
      </c>
      <c r="P507" s="21" cm="1">
        <f t="array" aca="1" ref="P507" ca="1">INDIRECT("Data!J" &amp; 502)</f>
        <v>0</v>
      </c>
      <c r="Q507" cm="1">
        <f t="array" aca="1" ref="Q507" ca="1">INDIRECT("Data!K" &amp; 502)</f>
        <v>0</v>
      </c>
      <c r="R507" cm="1">
        <f t="array" aca="1" ref="R507" ca="1">INDIRECT("Data!L" &amp; 502)</f>
        <v>0</v>
      </c>
      <c r="S507" cm="1">
        <f t="array" aca="1" ref="S507" ca="1">INDIRECT("Data!M" &amp; 502)</f>
        <v>0</v>
      </c>
      <c r="T507" cm="1">
        <f t="array" aca="1" ref="T507" ca="1">INDIRECT("Data!N" &amp; 502)</f>
        <v>0</v>
      </c>
      <c r="U507" cm="1">
        <f t="array" aca="1" ref="U507" ca="1">INDIRECT("Data!O" &amp; 502)</f>
        <v>0</v>
      </c>
      <c r="V507" cm="1">
        <f t="array" aca="1" ref="V507" ca="1">INDIRECT("Data!P" &amp; 502)</f>
        <v>0</v>
      </c>
    </row>
    <row r="508" spans="7:22" x14ac:dyDescent="0.25">
      <c r="G508" cm="1">
        <f t="array" aca="1" ref="G508" ca="1">INDIRECT("Data!A" &amp; 503)</f>
        <v>0</v>
      </c>
      <c r="H508" s="21" cm="1">
        <f t="array" aca="1" ref="H508" ca="1">INDIRECT("Data!B" &amp; 503)</f>
        <v>0</v>
      </c>
      <c r="I508" s="21" cm="1">
        <f t="array" aca="1" ref="I508" ca="1">INDIRECT("Data!C" &amp; 503)</f>
        <v>0</v>
      </c>
      <c r="J508" cm="1">
        <f t="array" aca="1" ref="J508" ca="1">INDIRECT("Data!D" &amp; 503)</f>
        <v>0</v>
      </c>
      <c r="K508" cm="1">
        <f t="array" aca="1" ref="K508" ca="1">INDIRECT("Data!E" &amp; 503)</f>
        <v>0</v>
      </c>
      <c r="L508" cm="1">
        <f t="array" aca="1" ref="L508" ca="1">INDIRECT("Data!F" &amp; 503)</f>
        <v>0</v>
      </c>
      <c r="M508" cm="1">
        <f t="array" aca="1" ref="M508" ca="1">INDIRECT("Data!G" &amp; 503)</f>
        <v>0</v>
      </c>
      <c r="N508" cm="1">
        <f t="array" aca="1" ref="N508" ca="1">INDIRECT("Data!H" &amp; 503)</f>
        <v>0</v>
      </c>
      <c r="O508" cm="1">
        <f t="array" aca="1" ref="O508" ca="1">INDIRECT("Data!I" &amp; 503)</f>
        <v>0</v>
      </c>
      <c r="P508" s="21" cm="1">
        <f t="array" aca="1" ref="P508" ca="1">INDIRECT("Data!J" &amp; 503)</f>
        <v>0</v>
      </c>
      <c r="Q508" cm="1">
        <f t="array" aca="1" ref="Q508" ca="1">INDIRECT("Data!K" &amp; 503)</f>
        <v>0</v>
      </c>
      <c r="R508" cm="1">
        <f t="array" aca="1" ref="R508" ca="1">INDIRECT("Data!L" &amp; 503)</f>
        <v>0</v>
      </c>
      <c r="S508" cm="1">
        <f t="array" aca="1" ref="S508" ca="1">INDIRECT("Data!M" &amp; 503)</f>
        <v>0</v>
      </c>
      <c r="T508" cm="1">
        <f t="array" aca="1" ref="T508" ca="1">INDIRECT("Data!N" &amp; 503)</f>
        <v>0</v>
      </c>
      <c r="U508" cm="1">
        <f t="array" aca="1" ref="U508" ca="1">INDIRECT("Data!O" &amp; 503)</f>
        <v>0</v>
      </c>
      <c r="V508" cm="1">
        <f t="array" aca="1" ref="V508" ca="1">INDIRECT("Data!P" &amp; 503)</f>
        <v>0</v>
      </c>
    </row>
    <row r="509" spans="7:22" x14ac:dyDescent="0.25">
      <c r="G509" cm="1">
        <f t="array" aca="1" ref="G509" ca="1">INDIRECT("Data!A" &amp; 504)</f>
        <v>0</v>
      </c>
      <c r="H509" s="21" cm="1">
        <f t="array" aca="1" ref="H509" ca="1">INDIRECT("Data!B" &amp; 504)</f>
        <v>0</v>
      </c>
      <c r="I509" s="21" cm="1">
        <f t="array" aca="1" ref="I509" ca="1">INDIRECT("Data!C" &amp; 504)</f>
        <v>0</v>
      </c>
      <c r="J509" cm="1">
        <f t="array" aca="1" ref="J509" ca="1">INDIRECT("Data!D" &amp; 504)</f>
        <v>0</v>
      </c>
      <c r="K509" cm="1">
        <f t="array" aca="1" ref="K509" ca="1">INDIRECT("Data!E" &amp; 504)</f>
        <v>0</v>
      </c>
      <c r="L509" cm="1">
        <f t="array" aca="1" ref="L509" ca="1">INDIRECT("Data!F" &amp; 504)</f>
        <v>0</v>
      </c>
      <c r="M509" cm="1">
        <f t="array" aca="1" ref="M509" ca="1">INDIRECT("Data!G" &amp; 504)</f>
        <v>0</v>
      </c>
      <c r="N509" cm="1">
        <f t="array" aca="1" ref="N509" ca="1">INDIRECT("Data!H" &amp; 504)</f>
        <v>0</v>
      </c>
      <c r="O509" cm="1">
        <f t="array" aca="1" ref="O509" ca="1">INDIRECT("Data!I" &amp; 504)</f>
        <v>0</v>
      </c>
      <c r="P509" s="21" cm="1">
        <f t="array" aca="1" ref="P509" ca="1">INDIRECT("Data!J" &amp; 504)</f>
        <v>0</v>
      </c>
      <c r="Q509" cm="1">
        <f t="array" aca="1" ref="Q509" ca="1">INDIRECT("Data!K" &amp; 504)</f>
        <v>0</v>
      </c>
      <c r="R509" cm="1">
        <f t="array" aca="1" ref="R509" ca="1">INDIRECT("Data!L" &amp; 504)</f>
        <v>0</v>
      </c>
      <c r="S509" cm="1">
        <f t="array" aca="1" ref="S509" ca="1">INDIRECT("Data!M" &amp; 504)</f>
        <v>0</v>
      </c>
      <c r="T509" cm="1">
        <f t="array" aca="1" ref="T509" ca="1">INDIRECT("Data!N" &amp; 504)</f>
        <v>0</v>
      </c>
      <c r="U509" cm="1">
        <f t="array" aca="1" ref="U509" ca="1">INDIRECT("Data!O" &amp; 504)</f>
        <v>0</v>
      </c>
      <c r="V509" cm="1">
        <f t="array" aca="1" ref="V509" ca="1">INDIRECT("Data!P" &amp; 504)</f>
        <v>0</v>
      </c>
    </row>
    <row r="510" spans="7:22" x14ac:dyDescent="0.25">
      <c r="G510" cm="1">
        <f t="array" aca="1" ref="G510" ca="1">INDIRECT("Data!A" &amp; 505)</f>
        <v>0</v>
      </c>
      <c r="H510" s="21" cm="1">
        <f t="array" aca="1" ref="H510" ca="1">INDIRECT("Data!B" &amp; 505)</f>
        <v>0</v>
      </c>
      <c r="I510" s="21" cm="1">
        <f t="array" aca="1" ref="I510" ca="1">INDIRECT("Data!C" &amp; 505)</f>
        <v>0</v>
      </c>
      <c r="J510" cm="1">
        <f t="array" aca="1" ref="J510" ca="1">INDIRECT("Data!D" &amp; 505)</f>
        <v>0</v>
      </c>
      <c r="K510" cm="1">
        <f t="array" aca="1" ref="K510" ca="1">INDIRECT("Data!E" &amp; 505)</f>
        <v>0</v>
      </c>
      <c r="L510" cm="1">
        <f t="array" aca="1" ref="L510" ca="1">INDIRECT("Data!F" &amp; 505)</f>
        <v>0</v>
      </c>
      <c r="M510" cm="1">
        <f t="array" aca="1" ref="M510" ca="1">INDIRECT("Data!G" &amp; 505)</f>
        <v>0</v>
      </c>
      <c r="N510" cm="1">
        <f t="array" aca="1" ref="N510" ca="1">INDIRECT("Data!H" &amp; 505)</f>
        <v>0</v>
      </c>
      <c r="O510" cm="1">
        <f t="array" aca="1" ref="O510" ca="1">INDIRECT("Data!I" &amp; 505)</f>
        <v>0</v>
      </c>
      <c r="P510" s="21" cm="1">
        <f t="array" aca="1" ref="P510" ca="1">INDIRECT("Data!J" &amp; 505)</f>
        <v>0</v>
      </c>
      <c r="Q510" cm="1">
        <f t="array" aca="1" ref="Q510" ca="1">INDIRECT("Data!K" &amp; 505)</f>
        <v>0</v>
      </c>
      <c r="R510" cm="1">
        <f t="array" aca="1" ref="R510" ca="1">INDIRECT("Data!L" &amp; 505)</f>
        <v>0</v>
      </c>
      <c r="S510" cm="1">
        <f t="array" aca="1" ref="S510" ca="1">INDIRECT("Data!M" &amp; 505)</f>
        <v>0</v>
      </c>
      <c r="T510" cm="1">
        <f t="array" aca="1" ref="T510" ca="1">INDIRECT("Data!N" &amp; 505)</f>
        <v>0</v>
      </c>
      <c r="U510" cm="1">
        <f t="array" aca="1" ref="U510" ca="1">INDIRECT("Data!O" &amp; 505)</f>
        <v>0</v>
      </c>
      <c r="V510" cm="1">
        <f t="array" aca="1" ref="V510" ca="1">INDIRECT("Data!P" &amp; 505)</f>
        <v>0</v>
      </c>
    </row>
    <row r="511" spans="7:22" x14ac:dyDescent="0.25">
      <c r="G511" cm="1">
        <f t="array" aca="1" ref="G511" ca="1">INDIRECT("Data!A" &amp; 506)</f>
        <v>0</v>
      </c>
      <c r="H511" s="21" cm="1">
        <f t="array" aca="1" ref="H511" ca="1">INDIRECT("Data!B" &amp; 506)</f>
        <v>0</v>
      </c>
      <c r="I511" s="21" cm="1">
        <f t="array" aca="1" ref="I511" ca="1">INDIRECT("Data!C" &amp; 506)</f>
        <v>0</v>
      </c>
      <c r="J511" cm="1">
        <f t="array" aca="1" ref="J511" ca="1">INDIRECT("Data!D" &amp; 506)</f>
        <v>0</v>
      </c>
      <c r="K511" cm="1">
        <f t="array" aca="1" ref="K511" ca="1">INDIRECT("Data!E" &amp; 506)</f>
        <v>0</v>
      </c>
      <c r="L511" cm="1">
        <f t="array" aca="1" ref="L511" ca="1">INDIRECT("Data!F" &amp; 506)</f>
        <v>0</v>
      </c>
      <c r="M511" cm="1">
        <f t="array" aca="1" ref="M511" ca="1">INDIRECT("Data!G" &amp; 506)</f>
        <v>0</v>
      </c>
      <c r="N511" cm="1">
        <f t="array" aca="1" ref="N511" ca="1">INDIRECT("Data!H" &amp; 506)</f>
        <v>0</v>
      </c>
      <c r="O511" cm="1">
        <f t="array" aca="1" ref="O511" ca="1">INDIRECT("Data!I" &amp; 506)</f>
        <v>0</v>
      </c>
      <c r="P511" s="21" cm="1">
        <f t="array" aca="1" ref="P511" ca="1">INDIRECT("Data!J" &amp; 506)</f>
        <v>0</v>
      </c>
      <c r="Q511" cm="1">
        <f t="array" aca="1" ref="Q511" ca="1">INDIRECT("Data!K" &amp; 506)</f>
        <v>0</v>
      </c>
      <c r="R511" cm="1">
        <f t="array" aca="1" ref="R511" ca="1">INDIRECT("Data!L" &amp; 506)</f>
        <v>0</v>
      </c>
      <c r="S511" cm="1">
        <f t="array" aca="1" ref="S511" ca="1">INDIRECT("Data!M" &amp; 506)</f>
        <v>0</v>
      </c>
      <c r="T511" cm="1">
        <f t="array" aca="1" ref="T511" ca="1">INDIRECT("Data!N" &amp; 506)</f>
        <v>0</v>
      </c>
      <c r="U511" cm="1">
        <f t="array" aca="1" ref="U511" ca="1">INDIRECT("Data!O" &amp; 506)</f>
        <v>0</v>
      </c>
      <c r="V511" cm="1">
        <f t="array" aca="1" ref="V511" ca="1">INDIRECT("Data!P" &amp; 506)</f>
        <v>0</v>
      </c>
    </row>
    <row r="512" spans="7:22" x14ac:dyDescent="0.25">
      <c r="G512" cm="1">
        <f t="array" aca="1" ref="G512" ca="1">INDIRECT("Data!A" &amp; 507)</f>
        <v>0</v>
      </c>
      <c r="H512" s="21" cm="1">
        <f t="array" aca="1" ref="H512" ca="1">INDIRECT("Data!B" &amp; 507)</f>
        <v>0</v>
      </c>
      <c r="I512" s="21" cm="1">
        <f t="array" aca="1" ref="I512" ca="1">INDIRECT("Data!C" &amp; 507)</f>
        <v>0</v>
      </c>
      <c r="J512" cm="1">
        <f t="array" aca="1" ref="J512" ca="1">INDIRECT("Data!D" &amp; 507)</f>
        <v>0</v>
      </c>
      <c r="K512" cm="1">
        <f t="array" aca="1" ref="K512" ca="1">INDIRECT("Data!E" &amp; 507)</f>
        <v>0</v>
      </c>
      <c r="L512" cm="1">
        <f t="array" aca="1" ref="L512" ca="1">INDIRECT("Data!F" &amp; 507)</f>
        <v>0</v>
      </c>
      <c r="M512" cm="1">
        <f t="array" aca="1" ref="M512" ca="1">INDIRECT("Data!G" &amp; 507)</f>
        <v>0</v>
      </c>
      <c r="N512" cm="1">
        <f t="array" aca="1" ref="N512" ca="1">INDIRECT("Data!H" &amp; 507)</f>
        <v>0</v>
      </c>
      <c r="O512" cm="1">
        <f t="array" aca="1" ref="O512" ca="1">INDIRECT("Data!I" &amp; 507)</f>
        <v>0</v>
      </c>
      <c r="P512" s="21" cm="1">
        <f t="array" aca="1" ref="P512" ca="1">INDIRECT("Data!J" &amp; 507)</f>
        <v>0</v>
      </c>
      <c r="Q512" cm="1">
        <f t="array" aca="1" ref="Q512" ca="1">INDIRECT("Data!K" &amp; 507)</f>
        <v>0</v>
      </c>
      <c r="R512" cm="1">
        <f t="array" aca="1" ref="R512" ca="1">INDIRECT("Data!L" &amp; 507)</f>
        <v>0</v>
      </c>
      <c r="S512" cm="1">
        <f t="array" aca="1" ref="S512" ca="1">INDIRECT("Data!M" &amp; 507)</f>
        <v>0</v>
      </c>
      <c r="T512" cm="1">
        <f t="array" aca="1" ref="T512" ca="1">INDIRECT("Data!N" &amp; 507)</f>
        <v>0</v>
      </c>
      <c r="U512" cm="1">
        <f t="array" aca="1" ref="U512" ca="1">INDIRECT("Data!O" &amp; 507)</f>
        <v>0</v>
      </c>
      <c r="V512" cm="1">
        <f t="array" aca="1" ref="V512" ca="1">INDIRECT("Data!P" &amp; 507)</f>
        <v>0</v>
      </c>
    </row>
    <row r="513" spans="7:22" x14ac:dyDescent="0.25">
      <c r="G513" cm="1">
        <f t="array" aca="1" ref="G513" ca="1">INDIRECT("Data!A" &amp; 508)</f>
        <v>0</v>
      </c>
      <c r="H513" s="21" cm="1">
        <f t="array" aca="1" ref="H513" ca="1">INDIRECT("Data!B" &amp; 508)</f>
        <v>0</v>
      </c>
      <c r="I513" s="21" cm="1">
        <f t="array" aca="1" ref="I513" ca="1">INDIRECT("Data!C" &amp; 508)</f>
        <v>0</v>
      </c>
      <c r="J513" cm="1">
        <f t="array" aca="1" ref="J513" ca="1">INDIRECT("Data!D" &amp; 508)</f>
        <v>0</v>
      </c>
      <c r="K513" cm="1">
        <f t="array" aca="1" ref="K513" ca="1">INDIRECT("Data!E" &amp; 508)</f>
        <v>0</v>
      </c>
      <c r="L513" cm="1">
        <f t="array" aca="1" ref="L513" ca="1">INDIRECT("Data!F" &amp; 508)</f>
        <v>0</v>
      </c>
      <c r="M513" cm="1">
        <f t="array" aca="1" ref="M513" ca="1">INDIRECT("Data!G" &amp; 508)</f>
        <v>0</v>
      </c>
      <c r="N513" cm="1">
        <f t="array" aca="1" ref="N513" ca="1">INDIRECT("Data!H" &amp; 508)</f>
        <v>0</v>
      </c>
      <c r="O513" cm="1">
        <f t="array" aca="1" ref="O513" ca="1">INDIRECT("Data!I" &amp; 508)</f>
        <v>0</v>
      </c>
      <c r="P513" s="21" cm="1">
        <f t="array" aca="1" ref="P513" ca="1">INDIRECT("Data!J" &amp; 508)</f>
        <v>0</v>
      </c>
      <c r="Q513" cm="1">
        <f t="array" aca="1" ref="Q513" ca="1">INDIRECT("Data!K" &amp; 508)</f>
        <v>0</v>
      </c>
      <c r="R513" cm="1">
        <f t="array" aca="1" ref="R513" ca="1">INDIRECT("Data!L" &amp; 508)</f>
        <v>0</v>
      </c>
      <c r="S513" cm="1">
        <f t="array" aca="1" ref="S513" ca="1">INDIRECT("Data!M" &amp; 508)</f>
        <v>0</v>
      </c>
      <c r="T513" cm="1">
        <f t="array" aca="1" ref="T513" ca="1">INDIRECT("Data!N" &amp; 508)</f>
        <v>0</v>
      </c>
      <c r="U513" cm="1">
        <f t="array" aca="1" ref="U513" ca="1">INDIRECT("Data!O" &amp; 508)</f>
        <v>0</v>
      </c>
      <c r="V513" cm="1">
        <f t="array" aca="1" ref="V513" ca="1">INDIRECT("Data!P" &amp; 508)</f>
        <v>0</v>
      </c>
    </row>
    <row r="514" spans="7:22" x14ac:dyDescent="0.25">
      <c r="G514" cm="1">
        <f t="array" aca="1" ref="G514" ca="1">INDIRECT("Data!A" &amp; 509)</f>
        <v>0</v>
      </c>
      <c r="H514" s="21" cm="1">
        <f t="array" aca="1" ref="H514" ca="1">INDIRECT("Data!B" &amp; 509)</f>
        <v>0</v>
      </c>
      <c r="I514" s="21" cm="1">
        <f t="array" aca="1" ref="I514" ca="1">INDIRECT("Data!C" &amp; 509)</f>
        <v>0</v>
      </c>
      <c r="J514" cm="1">
        <f t="array" aca="1" ref="J514" ca="1">INDIRECT("Data!D" &amp; 509)</f>
        <v>0</v>
      </c>
      <c r="K514" cm="1">
        <f t="array" aca="1" ref="K514" ca="1">INDIRECT("Data!E" &amp; 509)</f>
        <v>0</v>
      </c>
      <c r="L514" cm="1">
        <f t="array" aca="1" ref="L514" ca="1">INDIRECT("Data!F" &amp; 509)</f>
        <v>0</v>
      </c>
      <c r="M514" cm="1">
        <f t="array" aca="1" ref="M514" ca="1">INDIRECT("Data!G" &amp; 509)</f>
        <v>0</v>
      </c>
      <c r="N514" cm="1">
        <f t="array" aca="1" ref="N514" ca="1">INDIRECT("Data!H" &amp; 509)</f>
        <v>0</v>
      </c>
      <c r="O514" cm="1">
        <f t="array" aca="1" ref="O514" ca="1">INDIRECT("Data!I" &amp; 509)</f>
        <v>0</v>
      </c>
      <c r="P514" s="21" cm="1">
        <f t="array" aca="1" ref="P514" ca="1">INDIRECT("Data!J" &amp; 509)</f>
        <v>0</v>
      </c>
      <c r="Q514" cm="1">
        <f t="array" aca="1" ref="Q514" ca="1">INDIRECT("Data!K" &amp; 509)</f>
        <v>0</v>
      </c>
      <c r="R514" cm="1">
        <f t="array" aca="1" ref="R514" ca="1">INDIRECT("Data!L" &amp; 509)</f>
        <v>0</v>
      </c>
      <c r="S514" cm="1">
        <f t="array" aca="1" ref="S514" ca="1">INDIRECT("Data!M" &amp; 509)</f>
        <v>0</v>
      </c>
      <c r="T514" cm="1">
        <f t="array" aca="1" ref="T514" ca="1">INDIRECT("Data!N" &amp; 509)</f>
        <v>0</v>
      </c>
      <c r="U514" cm="1">
        <f t="array" aca="1" ref="U514" ca="1">INDIRECT("Data!O" &amp; 509)</f>
        <v>0</v>
      </c>
      <c r="V514" cm="1">
        <f t="array" aca="1" ref="V514" ca="1">INDIRECT("Data!P" &amp; 509)</f>
        <v>0</v>
      </c>
    </row>
    <row r="515" spans="7:22" x14ac:dyDescent="0.25">
      <c r="G515" cm="1">
        <f t="array" aca="1" ref="G515" ca="1">INDIRECT("Data!A" &amp; 510)</f>
        <v>0</v>
      </c>
      <c r="H515" s="21" cm="1">
        <f t="array" aca="1" ref="H515" ca="1">INDIRECT("Data!B" &amp; 510)</f>
        <v>0</v>
      </c>
      <c r="I515" s="21" cm="1">
        <f t="array" aca="1" ref="I515" ca="1">INDIRECT("Data!C" &amp; 510)</f>
        <v>0</v>
      </c>
      <c r="J515" cm="1">
        <f t="array" aca="1" ref="J515" ca="1">INDIRECT("Data!D" &amp; 510)</f>
        <v>0</v>
      </c>
      <c r="K515" cm="1">
        <f t="array" aca="1" ref="K515" ca="1">INDIRECT("Data!E" &amp; 510)</f>
        <v>0</v>
      </c>
      <c r="L515" cm="1">
        <f t="array" aca="1" ref="L515" ca="1">INDIRECT("Data!F" &amp; 510)</f>
        <v>0</v>
      </c>
      <c r="M515" cm="1">
        <f t="array" aca="1" ref="M515" ca="1">INDIRECT("Data!G" &amp; 510)</f>
        <v>0</v>
      </c>
      <c r="N515" cm="1">
        <f t="array" aca="1" ref="N515" ca="1">INDIRECT("Data!H" &amp; 510)</f>
        <v>0</v>
      </c>
      <c r="O515" cm="1">
        <f t="array" aca="1" ref="O515" ca="1">INDIRECT("Data!I" &amp; 510)</f>
        <v>0</v>
      </c>
      <c r="P515" s="21" cm="1">
        <f t="array" aca="1" ref="P515" ca="1">INDIRECT("Data!J" &amp; 510)</f>
        <v>0</v>
      </c>
      <c r="Q515" cm="1">
        <f t="array" aca="1" ref="Q515" ca="1">INDIRECT("Data!K" &amp; 510)</f>
        <v>0</v>
      </c>
      <c r="R515" cm="1">
        <f t="array" aca="1" ref="R515" ca="1">INDIRECT("Data!L" &amp; 510)</f>
        <v>0</v>
      </c>
      <c r="S515" cm="1">
        <f t="array" aca="1" ref="S515" ca="1">INDIRECT("Data!M" &amp; 510)</f>
        <v>0</v>
      </c>
      <c r="T515" cm="1">
        <f t="array" aca="1" ref="T515" ca="1">INDIRECT("Data!N" &amp; 510)</f>
        <v>0</v>
      </c>
      <c r="U515" cm="1">
        <f t="array" aca="1" ref="U515" ca="1">INDIRECT("Data!O" &amp; 510)</f>
        <v>0</v>
      </c>
      <c r="V515" cm="1">
        <f t="array" aca="1" ref="V515" ca="1">INDIRECT("Data!P" &amp; 510)</f>
        <v>0</v>
      </c>
    </row>
    <row r="516" spans="7:22" x14ac:dyDescent="0.25">
      <c r="G516" cm="1">
        <f t="array" aca="1" ref="G516" ca="1">INDIRECT("Data!A" &amp; 511)</f>
        <v>0</v>
      </c>
      <c r="H516" s="21" cm="1">
        <f t="array" aca="1" ref="H516" ca="1">INDIRECT("Data!B" &amp; 511)</f>
        <v>0</v>
      </c>
      <c r="I516" s="21" cm="1">
        <f t="array" aca="1" ref="I516" ca="1">INDIRECT("Data!C" &amp; 511)</f>
        <v>0</v>
      </c>
      <c r="J516" cm="1">
        <f t="array" aca="1" ref="J516" ca="1">INDIRECT("Data!D" &amp; 511)</f>
        <v>0</v>
      </c>
      <c r="K516" cm="1">
        <f t="array" aca="1" ref="K516" ca="1">INDIRECT("Data!E" &amp; 511)</f>
        <v>0</v>
      </c>
      <c r="L516" cm="1">
        <f t="array" aca="1" ref="L516" ca="1">INDIRECT("Data!F" &amp; 511)</f>
        <v>0</v>
      </c>
      <c r="M516" cm="1">
        <f t="array" aca="1" ref="M516" ca="1">INDIRECT("Data!G" &amp; 511)</f>
        <v>0</v>
      </c>
      <c r="N516" cm="1">
        <f t="array" aca="1" ref="N516" ca="1">INDIRECT("Data!H" &amp; 511)</f>
        <v>0</v>
      </c>
      <c r="O516" cm="1">
        <f t="array" aca="1" ref="O516" ca="1">INDIRECT("Data!I" &amp; 511)</f>
        <v>0</v>
      </c>
      <c r="P516" s="21" cm="1">
        <f t="array" aca="1" ref="P516" ca="1">INDIRECT("Data!J" &amp; 511)</f>
        <v>0</v>
      </c>
      <c r="Q516" cm="1">
        <f t="array" aca="1" ref="Q516" ca="1">INDIRECT("Data!K" &amp; 511)</f>
        <v>0</v>
      </c>
      <c r="R516" cm="1">
        <f t="array" aca="1" ref="R516" ca="1">INDIRECT("Data!L" &amp; 511)</f>
        <v>0</v>
      </c>
      <c r="S516" cm="1">
        <f t="array" aca="1" ref="S516" ca="1">INDIRECT("Data!M" &amp; 511)</f>
        <v>0</v>
      </c>
      <c r="T516" cm="1">
        <f t="array" aca="1" ref="T516" ca="1">INDIRECT("Data!N" &amp; 511)</f>
        <v>0</v>
      </c>
      <c r="U516" cm="1">
        <f t="array" aca="1" ref="U516" ca="1">INDIRECT("Data!O" &amp; 511)</f>
        <v>0</v>
      </c>
      <c r="V516" cm="1">
        <f t="array" aca="1" ref="V516" ca="1">INDIRECT("Data!P" &amp; 511)</f>
        <v>0</v>
      </c>
    </row>
    <row r="517" spans="7:22" x14ac:dyDescent="0.25">
      <c r="G517" cm="1">
        <f t="array" aca="1" ref="G517" ca="1">INDIRECT("Data!A" &amp; 512)</f>
        <v>0</v>
      </c>
      <c r="H517" s="21" cm="1">
        <f t="array" aca="1" ref="H517" ca="1">INDIRECT("Data!B" &amp; 512)</f>
        <v>0</v>
      </c>
      <c r="I517" s="21" cm="1">
        <f t="array" aca="1" ref="I517" ca="1">INDIRECT("Data!C" &amp; 512)</f>
        <v>0</v>
      </c>
      <c r="J517" cm="1">
        <f t="array" aca="1" ref="J517" ca="1">INDIRECT("Data!D" &amp; 512)</f>
        <v>0</v>
      </c>
      <c r="K517" cm="1">
        <f t="array" aca="1" ref="K517" ca="1">INDIRECT("Data!E" &amp; 512)</f>
        <v>0</v>
      </c>
      <c r="L517" cm="1">
        <f t="array" aca="1" ref="L517" ca="1">INDIRECT("Data!F" &amp; 512)</f>
        <v>0</v>
      </c>
      <c r="M517" cm="1">
        <f t="array" aca="1" ref="M517" ca="1">INDIRECT("Data!G" &amp; 512)</f>
        <v>0</v>
      </c>
      <c r="N517" cm="1">
        <f t="array" aca="1" ref="N517" ca="1">INDIRECT("Data!H" &amp; 512)</f>
        <v>0</v>
      </c>
      <c r="O517" cm="1">
        <f t="array" aca="1" ref="O517" ca="1">INDIRECT("Data!I" &amp; 512)</f>
        <v>0</v>
      </c>
      <c r="P517" s="21" cm="1">
        <f t="array" aca="1" ref="P517" ca="1">INDIRECT("Data!J" &amp; 512)</f>
        <v>0</v>
      </c>
      <c r="Q517" cm="1">
        <f t="array" aca="1" ref="Q517" ca="1">INDIRECT("Data!K" &amp; 512)</f>
        <v>0</v>
      </c>
      <c r="R517" cm="1">
        <f t="array" aca="1" ref="R517" ca="1">INDIRECT("Data!L" &amp; 512)</f>
        <v>0</v>
      </c>
      <c r="S517" cm="1">
        <f t="array" aca="1" ref="S517" ca="1">INDIRECT("Data!M" &amp; 512)</f>
        <v>0</v>
      </c>
      <c r="T517" cm="1">
        <f t="array" aca="1" ref="T517" ca="1">INDIRECT("Data!N" &amp; 512)</f>
        <v>0</v>
      </c>
      <c r="U517" cm="1">
        <f t="array" aca="1" ref="U517" ca="1">INDIRECT("Data!O" &amp; 512)</f>
        <v>0</v>
      </c>
      <c r="V517" cm="1">
        <f t="array" aca="1" ref="V517" ca="1">INDIRECT("Data!P" &amp; 512)</f>
        <v>0</v>
      </c>
    </row>
    <row r="518" spans="7:22" x14ac:dyDescent="0.25">
      <c r="G518" cm="1">
        <f t="array" aca="1" ref="G518" ca="1">INDIRECT("Data!A" &amp; 513)</f>
        <v>0</v>
      </c>
      <c r="H518" s="21" cm="1">
        <f t="array" aca="1" ref="H518" ca="1">INDIRECT("Data!B" &amp; 513)</f>
        <v>0</v>
      </c>
      <c r="I518" s="21" cm="1">
        <f t="array" aca="1" ref="I518" ca="1">INDIRECT("Data!C" &amp; 513)</f>
        <v>0</v>
      </c>
      <c r="J518" cm="1">
        <f t="array" aca="1" ref="J518" ca="1">INDIRECT("Data!D" &amp; 513)</f>
        <v>0</v>
      </c>
      <c r="K518" cm="1">
        <f t="array" aca="1" ref="K518" ca="1">INDIRECT("Data!E" &amp; 513)</f>
        <v>0</v>
      </c>
      <c r="L518" cm="1">
        <f t="array" aca="1" ref="L518" ca="1">INDIRECT("Data!F" &amp; 513)</f>
        <v>0</v>
      </c>
      <c r="M518" cm="1">
        <f t="array" aca="1" ref="M518" ca="1">INDIRECT("Data!G" &amp; 513)</f>
        <v>0</v>
      </c>
      <c r="N518" cm="1">
        <f t="array" aca="1" ref="N518" ca="1">INDIRECT("Data!H" &amp; 513)</f>
        <v>0</v>
      </c>
      <c r="O518" cm="1">
        <f t="array" aca="1" ref="O518" ca="1">INDIRECT("Data!I" &amp; 513)</f>
        <v>0</v>
      </c>
      <c r="P518" s="21" cm="1">
        <f t="array" aca="1" ref="P518" ca="1">INDIRECT("Data!J" &amp; 513)</f>
        <v>0</v>
      </c>
      <c r="Q518" cm="1">
        <f t="array" aca="1" ref="Q518" ca="1">INDIRECT("Data!K" &amp; 513)</f>
        <v>0</v>
      </c>
      <c r="R518" cm="1">
        <f t="array" aca="1" ref="R518" ca="1">INDIRECT("Data!L" &amp; 513)</f>
        <v>0</v>
      </c>
      <c r="S518" cm="1">
        <f t="array" aca="1" ref="S518" ca="1">INDIRECT("Data!M" &amp; 513)</f>
        <v>0</v>
      </c>
      <c r="T518" cm="1">
        <f t="array" aca="1" ref="T518" ca="1">INDIRECT("Data!N" &amp; 513)</f>
        <v>0</v>
      </c>
      <c r="U518" cm="1">
        <f t="array" aca="1" ref="U518" ca="1">INDIRECT("Data!O" &amp; 513)</f>
        <v>0</v>
      </c>
      <c r="V518" cm="1">
        <f t="array" aca="1" ref="V518" ca="1">INDIRECT("Data!P" &amp; 513)</f>
        <v>0</v>
      </c>
    </row>
    <row r="519" spans="7:22" x14ac:dyDescent="0.25">
      <c r="G519" cm="1">
        <f t="array" aca="1" ref="G519" ca="1">INDIRECT("Data!A" &amp; 514)</f>
        <v>0</v>
      </c>
      <c r="H519" s="21" cm="1">
        <f t="array" aca="1" ref="H519" ca="1">INDIRECT("Data!B" &amp; 514)</f>
        <v>0</v>
      </c>
      <c r="I519" s="21" cm="1">
        <f t="array" aca="1" ref="I519" ca="1">INDIRECT("Data!C" &amp; 514)</f>
        <v>0</v>
      </c>
      <c r="J519" cm="1">
        <f t="array" aca="1" ref="J519" ca="1">INDIRECT("Data!D" &amp; 514)</f>
        <v>0</v>
      </c>
      <c r="K519" cm="1">
        <f t="array" aca="1" ref="K519" ca="1">INDIRECT("Data!E" &amp; 514)</f>
        <v>0</v>
      </c>
      <c r="L519" cm="1">
        <f t="array" aca="1" ref="L519" ca="1">INDIRECT("Data!F" &amp; 514)</f>
        <v>0</v>
      </c>
      <c r="M519" cm="1">
        <f t="array" aca="1" ref="M519" ca="1">INDIRECT("Data!G" &amp; 514)</f>
        <v>0</v>
      </c>
      <c r="N519" cm="1">
        <f t="array" aca="1" ref="N519" ca="1">INDIRECT("Data!H" &amp; 514)</f>
        <v>0</v>
      </c>
      <c r="O519" cm="1">
        <f t="array" aca="1" ref="O519" ca="1">INDIRECT("Data!I" &amp; 514)</f>
        <v>0</v>
      </c>
      <c r="P519" s="21" cm="1">
        <f t="array" aca="1" ref="P519" ca="1">INDIRECT("Data!J" &amp; 514)</f>
        <v>0</v>
      </c>
      <c r="Q519" cm="1">
        <f t="array" aca="1" ref="Q519" ca="1">INDIRECT("Data!K" &amp; 514)</f>
        <v>0</v>
      </c>
      <c r="R519" cm="1">
        <f t="array" aca="1" ref="R519" ca="1">INDIRECT("Data!L" &amp; 514)</f>
        <v>0</v>
      </c>
      <c r="S519" cm="1">
        <f t="array" aca="1" ref="S519" ca="1">INDIRECT("Data!M" &amp; 514)</f>
        <v>0</v>
      </c>
      <c r="T519" cm="1">
        <f t="array" aca="1" ref="T519" ca="1">INDIRECT("Data!N" &amp; 514)</f>
        <v>0</v>
      </c>
      <c r="U519" cm="1">
        <f t="array" aca="1" ref="U519" ca="1">INDIRECT("Data!O" &amp; 514)</f>
        <v>0</v>
      </c>
      <c r="V519" cm="1">
        <f t="array" aca="1" ref="V519" ca="1">INDIRECT("Data!P" &amp; 514)</f>
        <v>0</v>
      </c>
    </row>
    <row r="520" spans="7:22" x14ac:dyDescent="0.25">
      <c r="G520" cm="1">
        <f t="array" aca="1" ref="G520" ca="1">INDIRECT("Data!A" &amp; 515)</f>
        <v>0</v>
      </c>
      <c r="H520" s="21" cm="1">
        <f t="array" aca="1" ref="H520" ca="1">INDIRECT("Data!B" &amp; 515)</f>
        <v>0</v>
      </c>
      <c r="I520" s="21" cm="1">
        <f t="array" aca="1" ref="I520" ca="1">INDIRECT("Data!C" &amp; 515)</f>
        <v>0</v>
      </c>
      <c r="J520" cm="1">
        <f t="array" aca="1" ref="J520" ca="1">INDIRECT("Data!D" &amp; 515)</f>
        <v>0</v>
      </c>
      <c r="K520" cm="1">
        <f t="array" aca="1" ref="K520" ca="1">INDIRECT("Data!E" &amp; 515)</f>
        <v>0</v>
      </c>
      <c r="L520" cm="1">
        <f t="array" aca="1" ref="L520" ca="1">INDIRECT("Data!F" &amp; 515)</f>
        <v>0</v>
      </c>
      <c r="M520" cm="1">
        <f t="array" aca="1" ref="M520" ca="1">INDIRECT("Data!G" &amp; 515)</f>
        <v>0</v>
      </c>
      <c r="N520" cm="1">
        <f t="array" aca="1" ref="N520" ca="1">INDIRECT("Data!H" &amp; 515)</f>
        <v>0</v>
      </c>
      <c r="O520" cm="1">
        <f t="array" aca="1" ref="O520" ca="1">INDIRECT("Data!I" &amp; 515)</f>
        <v>0</v>
      </c>
      <c r="P520" s="21" cm="1">
        <f t="array" aca="1" ref="P520" ca="1">INDIRECT("Data!J" &amp; 515)</f>
        <v>0</v>
      </c>
      <c r="Q520" cm="1">
        <f t="array" aca="1" ref="Q520" ca="1">INDIRECT("Data!K" &amp; 515)</f>
        <v>0</v>
      </c>
      <c r="R520" cm="1">
        <f t="array" aca="1" ref="R520" ca="1">INDIRECT("Data!L" &amp; 515)</f>
        <v>0</v>
      </c>
      <c r="S520" cm="1">
        <f t="array" aca="1" ref="S520" ca="1">INDIRECT("Data!M" &amp; 515)</f>
        <v>0</v>
      </c>
      <c r="T520" cm="1">
        <f t="array" aca="1" ref="T520" ca="1">INDIRECT("Data!N" &amp; 515)</f>
        <v>0</v>
      </c>
      <c r="U520" cm="1">
        <f t="array" aca="1" ref="U520" ca="1">INDIRECT("Data!O" &amp; 515)</f>
        <v>0</v>
      </c>
      <c r="V520" cm="1">
        <f t="array" aca="1" ref="V520" ca="1">INDIRECT("Data!P" &amp; 515)</f>
        <v>0</v>
      </c>
    </row>
    <row r="521" spans="7:22" x14ac:dyDescent="0.25">
      <c r="G521" cm="1">
        <f t="array" aca="1" ref="G521" ca="1">INDIRECT("Data!A" &amp; 516)</f>
        <v>0</v>
      </c>
      <c r="H521" s="21" cm="1">
        <f t="array" aca="1" ref="H521" ca="1">INDIRECT("Data!B" &amp; 516)</f>
        <v>0</v>
      </c>
      <c r="I521" s="21" cm="1">
        <f t="array" aca="1" ref="I521" ca="1">INDIRECT("Data!C" &amp; 516)</f>
        <v>0</v>
      </c>
      <c r="J521" cm="1">
        <f t="array" aca="1" ref="J521" ca="1">INDIRECT("Data!D" &amp; 516)</f>
        <v>0</v>
      </c>
      <c r="K521" cm="1">
        <f t="array" aca="1" ref="K521" ca="1">INDIRECT("Data!E" &amp; 516)</f>
        <v>0</v>
      </c>
      <c r="L521" cm="1">
        <f t="array" aca="1" ref="L521" ca="1">INDIRECT("Data!F" &amp; 516)</f>
        <v>0</v>
      </c>
      <c r="M521" cm="1">
        <f t="array" aca="1" ref="M521" ca="1">INDIRECT("Data!G" &amp; 516)</f>
        <v>0</v>
      </c>
      <c r="N521" cm="1">
        <f t="array" aca="1" ref="N521" ca="1">INDIRECT("Data!H" &amp; 516)</f>
        <v>0</v>
      </c>
      <c r="O521" cm="1">
        <f t="array" aca="1" ref="O521" ca="1">INDIRECT("Data!I" &amp; 516)</f>
        <v>0</v>
      </c>
      <c r="P521" s="21" cm="1">
        <f t="array" aca="1" ref="P521" ca="1">INDIRECT("Data!J" &amp; 516)</f>
        <v>0</v>
      </c>
      <c r="Q521" cm="1">
        <f t="array" aca="1" ref="Q521" ca="1">INDIRECT("Data!K" &amp; 516)</f>
        <v>0</v>
      </c>
      <c r="R521" cm="1">
        <f t="array" aca="1" ref="R521" ca="1">INDIRECT("Data!L" &amp; 516)</f>
        <v>0</v>
      </c>
      <c r="S521" cm="1">
        <f t="array" aca="1" ref="S521" ca="1">INDIRECT("Data!M" &amp; 516)</f>
        <v>0</v>
      </c>
      <c r="T521" cm="1">
        <f t="array" aca="1" ref="T521" ca="1">INDIRECT("Data!N" &amp; 516)</f>
        <v>0</v>
      </c>
      <c r="U521" cm="1">
        <f t="array" aca="1" ref="U521" ca="1">INDIRECT("Data!O" &amp; 516)</f>
        <v>0</v>
      </c>
      <c r="V521" cm="1">
        <f t="array" aca="1" ref="V521" ca="1">INDIRECT("Data!P" &amp; 516)</f>
        <v>0</v>
      </c>
    </row>
    <row r="522" spans="7:22" x14ac:dyDescent="0.25">
      <c r="G522" cm="1">
        <f t="array" aca="1" ref="G522" ca="1">INDIRECT("Data!A" &amp; 517)</f>
        <v>0</v>
      </c>
      <c r="H522" s="21" cm="1">
        <f t="array" aca="1" ref="H522" ca="1">INDIRECT("Data!B" &amp; 517)</f>
        <v>0</v>
      </c>
      <c r="I522" s="21" cm="1">
        <f t="array" aca="1" ref="I522" ca="1">INDIRECT("Data!C" &amp; 517)</f>
        <v>0</v>
      </c>
      <c r="J522" cm="1">
        <f t="array" aca="1" ref="J522" ca="1">INDIRECT("Data!D" &amp; 517)</f>
        <v>0</v>
      </c>
      <c r="K522" cm="1">
        <f t="array" aca="1" ref="K522" ca="1">INDIRECT("Data!E" &amp; 517)</f>
        <v>0</v>
      </c>
      <c r="L522" cm="1">
        <f t="array" aca="1" ref="L522" ca="1">INDIRECT("Data!F" &amp; 517)</f>
        <v>0</v>
      </c>
      <c r="M522" cm="1">
        <f t="array" aca="1" ref="M522" ca="1">INDIRECT("Data!G" &amp; 517)</f>
        <v>0</v>
      </c>
      <c r="N522" cm="1">
        <f t="array" aca="1" ref="N522" ca="1">INDIRECT("Data!H" &amp; 517)</f>
        <v>0</v>
      </c>
      <c r="O522" cm="1">
        <f t="array" aca="1" ref="O522" ca="1">INDIRECT("Data!I" &amp; 517)</f>
        <v>0</v>
      </c>
      <c r="P522" s="21" cm="1">
        <f t="array" aca="1" ref="P522" ca="1">INDIRECT("Data!J" &amp; 517)</f>
        <v>0</v>
      </c>
      <c r="Q522" cm="1">
        <f t="array" aca="1" ref="Q522" ca="1">INDIRECT("Data!K" &amp; 517)</f>
        <v>0</v>
      </c>
      <c r="R522" cm="1">
        <f t="array" aca="1" ref="R522" ca="1">INDIRECT("Data!L" &amp; 517)</f>
        <v>0</v>
      </c>
      <c r="S522" cm="1">
        <f t="array" aca="1" ref="S522" ca="1">INDIRECT("Data!M" &amp; 517)</f>
        <v>0</v>
      </c>
      <c r="T522" cm="1">
        <f t="array" aca="1" ref="T522" ca="1">INDIRECT("Data!N" &amp; 517)</f>
        <v>0</v>
      </c>
      <c r="U522" cm="1">
        <f t="array" aca="1" ref="U522" ca="1">INDIRECT("Data!O" &amp; 517)</f>
        <v>0</v>
      </c>
      <c r="V522" cm="1">
        <f t="array" aca="1" ref="V522" ca="1">INDIRECT("Data!P" &amp; 517)</f>
        <v>0</v>
      </c>
    </row>
    <row r="523" spans="7:22" x14ac:dyDescent="0.25">
      <c r="G523" cm="1">
        <f t="array" aca="1" ref="G523" ca="1">INDIRECT("Data!A" &amp; 518)</f>
        <v>0</v>
      </c>
      <c r="H523" s="21" cm="1">
        <f t="array" aca="1" ref="H523" ca="1">INDIRECT("Data!B" &amp; 518)</f>
        <v>0</v>
      </c>
      <c r="I523" s="21" cm="1">
        <f t="array" aca="1" ref="I523" ca="1">INDIRECT("Data!C" &amp; 518)</f>
        <v>0</v>
      </c>
      <c r="J523" cm="1">
        <f t="array" aca="1" ref="J523" ca="1">INDIRECT("Data!D" &amp; 518)</f>
        <v>0</v>
      </c>
      <c r="K523" cm="1">
        <f t="array" aca="1" ref="K523" ca="1">INDIRECT("Data!E" &amp; 518)</f>
        <v>0</v>
      </c>
      <c r="L523" cm="1">
        <f t="array" aca="1" ref="L523" ca="1">INDIRECT("Data!F" &amp; 518)</f>
        <v>0</v>
      </c>
      <c r="M523" cm="1">
        <f t="array" aca="1" ref="M523" ca="1">INDIRECT("Data!G" &amp; 518)</f>
        <v>0</v>
      </c>
      <c r="N523" cm="1">
        <f t="array" aca="1" ref="N523" ca="1">INDIRECT("Data!H" &amp; 518)</f>
        <v>0</v>
      </c>
      <c r="O523" cm="1">
        <f t="array" aca="1" ref="O523" ca="1">INDIRECT("Data!I" &amp; 518)</f>
        <v>0</v>
      </c>
      <c r="P523" s="21" cm="1">
        <f t="array" aca="1" ref="P523" ca="1">INDIRECT("Data!J" &amp; 518)</f>
        <v>0</v>
      </c>
      <c r="Q523" cm="1">
        <f t="array" aca="1" ref="Q523" ca="1">INDIRECT("Data!K" &amp; 518)</f>
        <v>0</v>
      </c>
      <c r="R523" cm="1">
        <f t="array" aca="1" ref="R523" ca="1">INDIRECT("Data!L" &amp; 518)</f>
        <v>0</v>
      </c>
      <c r="S523" cm="1">
        <f t="array" aca="1" ref="S523" ca="1">INDIRECT("Data!M" &amp; 518)</f>
        <v>0</v>
      </c>
      <c r="T523" cm="1">
        <f t="array" aca="1" ref="T523" ca="1">INDIRECT("Data!N" &amp; 518)</f>
        <v>0</v>
      </c>
      <c r="U523" cm="1">
        <f t="array" aca="1" ref="U523" ca="1">INDIRECT("Data!O" &amp; 518)</f>
        <v>0</v>
      </c>
      <c r="V523" cm="1">
        <f t="array" aca="1" ref="V523" ca="1">INDIRECT("Data!P" &amp; 518)</f>
        <v>0</v>
      </c>
    </row>
    <row r="524" spans="7:22" x14ac:dyDescent="0.25">
      <c r="G524" cm="1">
        <f t="array" aca="1" ref="G524" ca="1">INDIRECT("Data!A" &amp; 519)</f>
        <v>0</v>
      </c>
      <c r="H524" s="21" cm="1">
        <f t="array" aca="1" ref="H524" ca="1">INDIRECT("Data!B" &amp; 519)</f>
        <v>0</v>
      </c>
      <c r="I524" s="21" cm="1">
        <f t="array" aca="1" ref="I524" ca="1">INDIRECT("Data!C" &amp; 519)</f>
        <v>0</v>
      </c>
      <c r="J524" cm="1">
        <f t="array" aca="1" ref="J524" ca="1">INDIRECT("Data!D" &amp; 519)</f>
        <v>0</v>
      </c>
      <c r="K524" cm="1">
        <f t="array" aca="1" ref="K524" ca="1">INDIRECT("Data!E" &amp; 519)</f>
        <v>0</v>
      </c>
      <c r="L524" cm="1">
        <f t="array" aca="1" ref="L524" ca="1">INDIRECT("Data!F" &amp; 519)</f>
        <v>0</v>
      </c>
      <c r="M524" cm="1">
        <f t="array" aca="1" ref="M524" ca="1">INDIRECT("Data!G" &amp; 519)</f>
        <v>0</v>
      </c>
      <c r="N524" cm="1">
        <f t="array" aca="1" ref="N524" ca="1">INDIRECT("Data!H" &amp; 519)</f>
        <v>0</v>
      </c>
      <c r="O524" cm="1">
        <f t="array" aca="1" ref="O524" ca="1">INDIRECT("Data!I" &amp; 519)</f>
        <v>0</v>
      </c>
      <c r="P524" s="21" cm="1">
        <f t="array" aca="1" ref="P524" ca="1">INDIRECT("Data!J" &amp; 519)</f>
        <v>0</v>
      </c>
      <c r="Q524" cm="1">
        <f t="array" aca="1" ref="Q524" ca="1">INDIRECT("Data!K" &amp; 519)</f>
        <v>0</v>
      </c>
      <c r="R524" cm="1">
        <f t="array" aca="1" ref="R524" ca="1">INDIRECT("Data!L" &amp; 519)</f>
        <v>0</v>
      </c>
      <c r="S524" cm="1">
        <f t="array" aca="1" ref="S524" ca="1">INDIRECT("Data!M" &amp; 519)</f>
        <v>0</v>
      </c>
      <c r="T524" cm="1">
        <f t="array" aca="1" ref="T524" ca="1">INDIRECT("Data!N" &amp; 519)</f>
        <v>0</v>
      </c>
      <c r="U524" cm="1">
        <f t="array" aca="1" ref="U524" ca="1">INDIRECT("Data!O" &amp; 519)</f>
        <v>0</v>
      </c>
      <c r="V524" cm="1">
        <f t="array" aca="1" ref="V524" ca="1">INDIRECT("Data!P" &amp; 519)</f>
        <v>0</v>
      </c>
    </row>
    <row r="525" spans="7:22" x14ac:dyDescent="0.25">
      <c r="G525" cm="1">
        <f t="array" aca="1" ref="G525" ca="1">INDIRECT("Data!A" &amp; 520)</f>
        <v>0</v>
      </c>
      <c r="H525" s="21" cm="1">
        <f t="array" aca="1" ref="H525" ca="1">INDIRECT("Data!B" &amp; 520)</f>
        <v>0</v>
      </c>
      <c r="I525" s="21" cm="1">
        <f t="array" aca="1" ref="I525" ca="1">INDIRECT("Data!C" &amp; 520)</f>
        <v>0</v>
      </c>
      <c r="J525" cm="1">
        <f t="array" aca="1" ref="J525" ca="1">INDIRECT("Data!D" &amp; 520)</f>
        <v>0</v>
      </c>
      <c r="K525" cm="1">
        <f t="array" aca="1" ref="K525" ca="1">INDIRECT("Data!E" &amp; 520)</f>
        <v>0</v>
      </c>
      <c r="L525" cm="1">
        <f t="array" aca="1" ref="L525" ca="1">INDIRECT("Data!F" &amp; 520)</f>
        <v>0</v>
      </c>
      <c r="M525" cm="1">
        <f t="array" aca="1" ref="M525" ca="1">INDIRECT("Data!G" &amp; 520)</f>
        <v>0</v>
      </c>
      <c r="N525" cm="1">
        <f t="array" aca="1" ref="N525" ca="1">INDIRECT("Data!H" &amp; 520)</f>
        <v>0</v>
      </c>
      <c r="O525" cm="1">
        <f t="array" aca="1" ref="O525" ca="1">INDIRECT("Data!I" &amp; 520)</f>
        <v>0</v>
      </c>
      <c r="P525" s="21" cm="1">
        <f t="array" aca="1" ref="P525" ca="1">INDIRECT("Data!J" &amp; 520)</f>
        <v>0</v>
      </c>
      <c r="Q525" cm="1">
        <f t="array" aca="1" ref="Q525" ca="1">INDIRECT("Data!K" &amp; 520)</f>
        <v>0</v>
      </c>
      <c r="R525" cm="1">
        <f t="array" aca="1" ref="R525" ca="1">INDIRECT("Data!L" &amp; 520)</f>
        <v>0</v>
      </c>
      <c r="S525" cm="1">
        <f t="array" aca="1" ref="S525" ca="1">INDIRECT("Data!M" &amp; 520)</f>
        <v>0</v>
      </c>
      <c r="T525" cm="1">
        <f t="array" aca="1" ref="T525" ca="1">INDIRECT("Data!N" &amp; 520)</f>
        <v>0</v>
      </c>
      <c r="U525" cm="1">
        <f t="array" aca="1" ref="U525" ca="1">INDIRECT("Data!O" &amp; 520)</f>
        <v>0</v>
      </c>
      <c r="V525" cm="1">
        <f t="array" aca="1" ref="V525" ca="1">INDIRECT("Data!P" &amp; 520)</f>
        <v>0</v>
      </c>
    </row>
    <row r="526" spans="7:22" x14ac:dyDescent="0.25">
      <c r="G526" cm="1">
        <f t="array" aca="1" ref="G526" ca="1">INDIRECT("Data!A" &amp; 521)</f>
        <v>0</v>
      </c>
      <c r="H526" s="21" cm="1">
        <f t="array" aca="1" ref="H526" ca="1">INDIRECT("Data!B" &amp; 521)</f>
        <v>0</v>
      </c>
      <c r="I526" s="21" cm="1">
        <f t="array" aca="1" ref="I526" ca="1">INDIRECT("Data!C" &amp; 521)</f>
        <v>0</v>
      </c>
      <c r="J526" cm="1">
        <f t="array" aca="1" ref="J526" ca="1">INDIRECT("Data!D" &amp; 521)</f>
        <v>0</v>
      </c>
      <c r="K526" cm="1">
        <f t="array" aca="1" ref="K526" ca="1">INDIRECT("Data!E" &amp; 521)</f>
        <v>0</v>
      </c>
      <c r="L526" cm="1">
        <f t="array" aca="1" ref="L526" ca="1">INDIRECT("Data!F" &amp; 521)</f>
        <v>0</v>
      </c>
      <c r="M526" cm="1">
        <f t="array" aca="1" ref="M526" ca="1">INDIRECT("Data!G" &amp; 521)</f>
        <v>0</v>
      </c>
      <c r="N526" cm="1">
        <f t="array" aca="1" ref="N526" ca="1">INDIRECT("Data!H" &amp; 521)</f>
        <v>0</v>
      </c>
      <c r="O526" cm="1">
        <f t="array" aca="1" ref="O526" ca="1">INDIRECT("Data!I" &amp; 521)</f>
        <v>0</v>
      </c>
      <c r="P526" s="21" cm="1">
        <f t="array" aca="1" ref="P526" ca="1">INDIRECT("Data!J" &amp; 521)</f>
        <v>0</v>
      </c>
      <c r="Q526" cm="1">
        <f t="array" aca="1" ref="Q526" ca="1">INDIRECT("Data!K" &amp; 521)</f>
        <v>0</v>
      </c>
      <c r="R526" cm="1">
        <f t="array" aca="1" ref="R526" ca="1">INDIRECT("Data!L" &amp; 521)</f>
        <v>0</v>
      </c>
      <c r="S526" cm="1">
        <f t="array" aca="1" ref="S526" ca="1">INDIRECT("Data!M" &amp; 521)</f>
        <v>0</v>
      </c>
      <c r="T526" cm="1">
        <f t="array" aca="1" ref="T526" ca="1">INDIRECT("Data!N" &amp; 521)</f>
        <v>0</v>
      </c>
      <c r="U526" cm="1">
        <f t="array" aca="1" ref="U526" ca="1">INDIRECT("Data!O" &amp; 521)</f>
        <v>0</v>
      </c>
      <c r="V526" cm="1">
        <f t="array" aca="1" ref="V526" ca="1">INDIRECT("Data!P" &amp; 521)</f>
        <v>0</v>
      </c>
    </row>
    <row r="527" spans="7:22" x14ac:dyDescent="0.25">
      <c r="G527" cm="1">
        <f t="array" aca="1" ref="G527" ca="1">INDIRECT("Data!A" &amp; 522)</f>
        <v>0</v>
      </c>
      <c r="H527" s="21" cm="1">
        <f t="array" aca="1" ref="H527" ca="1">INDIRECT("Data!B" &amp; 522)</f>
        <v>0</v>
      </c>
      <c r="I527" s="21" cm="1">
        <f t="array" aca="1" ref="I527" ca="1">INDIRECT("Data!C" &amp; 522)</f>
        <v>0</v>
      </c>
      <c r="J527" cm="1">
        <f t="array" aca="1" ref="J527" ca="1">INDIRECT("Data!D" &amp; 522)</f>
        <v>0</v>
      </c>
      <c r="K527" cm="1">
        <f t="array" aca="1" ref="K527" ca="1">INDIRECT("Data!E" &amp; 522)</f>
        <v>0</v>
      </c>
      <c r="L527" cm="1">
        <f t="array" aca="1" ref="L527" ca="1">INDIRECT("Data!F" &amp; 522)</f>
        <v>0</v>
      </c>
      <c r="M527" cm="1">
        <f t="array" aca="1" ref="M527" ca="1">INDIRECT("Data!G" &amp; 522)</f>
        <v>0</v>
      </c>
      <c r="N527" cm="1">
        <f t="array" aca="1" ref="N527" ca="1">INDIRECT("Data!H" &amp; 522)</f>
        <v>0</v>
      </c>
      <c r="O527" cm="1">
        <f t="array" aca="1" ref="O527" ca="1">INDIRECT("Data!I" &amp; 522)</f>
        <v>0</v>
      </c>
      <c r="P527" s="21" cm="1">
        <f t="array" aca="1" ref="P527" ca="1">INDIRECT("Data!J" &amp; 522)</f>
        <v>0</v>
      </c>
      <c r="Q527" cm="1">
        <f t="array" aca="1" ref="Q527" ca="1">INDIRECT("Data!K" &amp; 522)</f>
        <v>0</v>
      </c>
      <c r="R527" cm="1">
        <f t="array" aca="1" ref="R527" ca="1">INDIRECT("Data!L" &amp; 522)</f>
        <v>0</v>
      </c>
      <c r="S527" cm="1">
        <f t="array" aca="1" ref="S527" ca="1">INDIRECT("Data!M" &amp; 522)</f>
        <v>0</v>
      </c>
      <c r="T527" cm="1">
        <f t="array" aca="1" ref="T527" ca="1">INDIRECT("Data!N" &amp; 522)</f>
        <v>0</v>
      </c>
      <c r="U527" cm="1">
        <f t="array" aca="1" ref="U527" ca="1">INDIRECT("Data!O" &amp; 522)</f>
        <v>0</v>
      </c>
      <c r="V527" cm="1">
        <f t="array" aca="1" ref="V527" ca="1">INDIRECT("Data!P" &amp; 522)</f>
        <v>0</v>
      </c>
    </row>
    <row r="528" spans="7:22" x14ac:dyDescent="0.25">
      <c r="G528" cm="1">
        <f t="array" aca="1" ref="G528" ca="1">INDIRECT("Data!A" &amp; 523)</f>
        <v>0</v>
      </c>
      <c r="H528" s="21" cm="1">
        <f t="array" aca="1" ref="H528" ca="1">INDIRECT("Data!B" &amp; 523)</f>
        <v>0</v>
      </c>
      <c r="I528" s="21" cm="1">
        <f t="array" aca="1" ref="I528" ca="1">INDIRECT("Data!C" &amp; 523)</f>
        <v>0</v>
      </c>
      <c r="J528" cm="1">
        <f t="array" aca="1" ref="J528" ca="1">INDIRECT("Data!D" &amp; 523)</f>
        <v>0</v>
      </c>
      <c r="K528" cm="1">
        <f t="array" aca="1" ref="K528" ca="1">INDIRECT("Data!E" &amp; 523)</f>
        <v>0</v>
      </c>
      <c r="L528" cm="1">
        <f t="array" aca="1" ref="L528" ca="1">INDIRECT("Data!F" &amp; 523)</f>
        <v>0</v>
      </c>
      <c r="M528" cm="1">
        <f t="array" aca="1" ref="M528" ca="1">INDIRECT("Data!G" &amp; 523)</f>
        <v>0</v>
      </c>
      <c r="N528" cm="1">
        <f t="array" aca="1" ref="N528" ca="1">INDIRECT("Data!H" &amp; 523)</f>
        <v>0</v>
      </c>
      <c r="O528" cm="1">
        <f t="array" aca="1" ref="O528" ca="1">INDIRECT("Data!I" &amp; 523)</f>
        <v>0</v>
      </c>
      <c r="P528" s="21" cm="1">
        <f t="array" aca="1" ref="P528" ca="1">INDIRECT("Data!J" &amp; 523)</f>
        <v>0</v>
      </c>
      <c r="Q528" cm="1">
        <f t="array" aca="1" ref="Q528" ca="1">INDIRECT("Data!K" &amp; 523)</f>
        <v>0</v>
      </c>
      <c r="R528" cm="1">
        <f t="array" aca="1" ref="R528" ca="1">INDIRECT("Data!L" &amp; 523)</f>
        <v>0</v>
      </c>
      <c r="S528" cm="1">
        <f t="array" aca="1" ref="S528" ca="1">INDIRECT("Data!M" &amp; 523)</f>
        <v>0</v>
      </c>
      <c r="T528" cm="1">
        <f t="array" aca="1" ref="T528" ca="1">INDIRECT("Data!N" &amp; 523)</f>
        <v>0</v>
      </c>
      <c r="U528" cm="1">
        <f t="array" aca="1" ref="U528" ca="1">INDIRECT("Data!O" &amp; 523)</f>
        <v>0</v>
      </c>
      <c r="V528" cm="1">
        <f t="array" aca="1" ref="V528" ca="1">INDIRECT("Data!P" &amp; 523)</f>
        <v>0</v>
      </c>
    </row>
    <row r="529" spans="7:22" x14ac:dyDescent="0.25">
      <c r="G529" cm="1">
        <f t="array" aca="1" ref="G529" ca="1">INDIRECT("Data!A" &amp; 524)</f>
        <v>0</v>
      </c>
      <c r="H529" s="21" cm="1">
        <f t="array" aca="1" ref="H529" ca="1">INDIRECT("Data!B" &amp; 524)</f>
        <v>0</v>
      </c>
      <c r="I529" s="21" cm="1">
        <f t="array" aca="1" ref="I529" ca="1">INDIRECT("Data!C" &amp; 524)</f>
        <v>0</v>
      </c>
      <c r="J529" cm="1">
        <f t="array" aca="1" ref="J529" ca="1">INDIRECT("Data!D" &amp; 524)</f>
        <v>0</v>
      </c>
      <c r="K529" cm="1">
        <f t="array" aca="1" ref="K529" ca="1">INDIRECT("Data!E" &amp; 524)</f>
        <v>0</v>
      </c>
      <c r="L529" cm="1">
        <f t="array" aca="1" ref="L529" ca="1">INDIRECT("Data!F" &amp; 524)</f>
        <v>0</v>
      </c>
      <c r="M529" cm="1">
        <f t="array" aca="1" ref="M529" ca="1">INDIRECT("Data!G" &amp; 524)</f>
        <v>0</v>
      </c>
      <c r="N529" cm="1">
        <f t="array" aca="1" ref="N529" ca="1">INDIRECT("Data!H" &amp; 524)</f>
        <v>0</v>
      </c>
      <c r="O529" cm="1">
        <f t="array" aca="1" ref="O529" ca="1">INDIRECT("Data!I" &amp; 524)</f>
        <v>0</v>
      </c>
      <c r="P529" s="21" cm="1">
        <f t="array" aca="1" ref="P529" ca="1">INDIRECT("Data!J" &amp; 524)</f>
        <v>0</v>
      </c>
      <c r="Q529" cm="1">
        <f t="array" aca="1" ref="Q529" ca="1">INDIRECT("Data!K" &amp; 524)</f>
        <v>0</v>
      </c>
      <c r="R529" cm="1">
        <f t="array" aca="1" ref="R529" ca="1">INDIRECT("Data!L" &amp; 524)</f>
        <v>0</v>
      </c>
      <c r="S529" cm="1">
        <f t="array" aca="1" ref="S529" ca="1">INDIRECT("Data!M" &amp; 524)</f>
        <v>0</v>
      </c>
      <c r="T529" cm="1">
        <f t="array" aca="1" ref="T529" ca="1">INDIRECT("Data!N" &amp; 524)</f>
        <v>0</v>
      </c>
      <c r="U529" cm="1">
        <f t="array" aca="1" ref="U529" ca="1">INDIRECT("Data!O" &amp; 524)</f>
        <v>0</v>
      </c>
      <c r="V529" cm="1">
        <f t="array" aca="1" ref="V529" ca="1">INDIRECT("Data!P" &amp; 524)</f>
        <v>0</v>
      </c>
    </row>
    <row r="530" spans="7:22" x14ac:dyDescent="0.25">
      <c r="G530" cm="1">
        <f t="array" aca="1" ref="G530" ca="1">INDIRECT("Data!A" &amp; 525)</f>
        <v>0</v>
      </c>
      <c r="H530" s="21" cm="1">
        <f t="array" aca="1" ref="H530" ca="1">INDIRECT("Data!B" &amp; 525)</f>
        <v>0</v>
      </c>
      <c r="I530" s="21" cm="1">
        <f t="array" aca="1" ref="I530" ca="1">INDIRECT("Data!C" &amp; 525)</f>
        <v>0</v>
      </c>
      <c r="J530" cm="1">
        <f t="array" aca="1" ref="J530" ca="1">INDIRECT("Data!D" &amp; 525)</f>
        <v>0</v>
      </c>
      <c r="K530" cm="1">
        <f t="array" aca="1" ref="K530" ca="1">INDIRECT("Data!E" &amp; 525)</f>
        <v>0</v>
      </c>
      <c r="L530" cm="1">
        <f t="array" aca="1" ref="L530" ca="1">INDIRECT("Data!F" &amp; 525)</f>
        <v>0</v>
      </c>
      <c r="M530" cm="1">
        <f t="array" aca="1" ref="M530" ca="1">INDIRECT("Data!G" &amp; 525)</f>
        <v>0</v>
      </c>
      <c r="N530" cm="1">
        <f t="array" aca="1" ref="N530" ca="1">INDIRECT("Data!H" &amp; 525)</f>
        <v>0</v>
      </c>
      <c r="O530" cm="1">
        <f t="array" aca="1" ref="O530" ca="1">INDIRECT("Data!I" &amp; 525)</f>
        <v>0</v>
      </c>
      <c r="P530" s="21" cm="1">
        <f t="array" aca="1" ref="P530" ca="1">INDIRECT("Data!J" &amp; 525)</f>
        <v>0</v>
      </c>
      <c r="Q530" cm="1">
        <f t="array" aca="1" ref="Q530" ca="1">INDIRECT("Data!K" &amp; 525)</f>
        <v>0</v>
      </c>
      <c r="R530" cm="1">
        <f t="array" aca="1" ref="R530" ca="1">INDIRECT("Data!L" &amp; 525)</f>
        <v>0</v>
      </c>
      <c r="S530" cm="1">
        <f t="array" aca="1" ref="S530" ca="1">INDIRECT("Data!M" &amp; 525)</f>
        <v>0</v>
      </c>
      <c r="T530" cm="1">
        <f t="array" aca="1" ref="T530" ca="1">INDIRECT("Data!N" &amp; 525)</f>
        <v>0</v>
      </c>
      <c r="U530" cm="1">
        <f t="array" aca="1" ref="U530" ca="1">INDIRECT("Data!O" &amp; 525)</f>
        <v>0</v>
      </c>
      <c r="V530" cm="1">
        <f t="array" aca="1" ref="V530" ca="1">INDIRECT("Data!P" &amp; 525)</f>
        <v>0</v>
      </c>
    </row>
    <row r="531" spans="7:22" x14ac:dyDescent="0.25">
      <c r="G531" cm="1">
        <f t="array" aca="1" ref="G531" ca="1">INDIRECT("Data!A" &amp; 526)</f>
        <v>0</v>
      </c>
      <c r="H531" s="21" cm="1">
        <f t="array" aca="1" ref="H531" ca="1">INDIRECT("Data!B" &amp; 526)</f>
        <v>0</v>
      </c>
      <c r="I531" s="21" cm="1">
        <f t="array" aca="1" ref="I531" ca="1">INDIRECT("Data!C" &amp; 526)</f>
        <v>0</v>
      </c>
      <c r="J531" cm="1">
        <f t="array" aca="1" ref="J531" ca="1">INDIRECT("Data!D" &amp; 526)</f>
        <v>0</v>
      </c>
      <c r="K531" cm="1">
        <f t="array" aca="1" ref="K531" ca="1">INDIRECT("Data!E" &amp; 526)</f>
        <v>0</v>
      </c>
      <c r="L531" cm="1">
        <f t="array" aca="1" ref="L531" ca="1">INDIRECT("Data!F" &amp; 526)</f>
        <v>0</v>
      </c>
      <c r="M531" cm="1">
        <f t="array" aca="1" ref="M531" ca="1">INDIRECT("Data!G" &amp; 526)</f>
        <v>0</v>
      </c>
      <c r="N531" cm="1">
        <f t="array" aca="1" ref="N531" ca="1">INDIRECT("Data!H" &amp; 526)</f>
        <v>0</v>
      </c>
      <c r="O531" cm="1">
        <f t="array" aca="1" ref="O531" ca="1">INDIRECT("Data!I" &amp; 526)</f>
        <v>0</v>
      </c>
      <c r="P531" s="21" cm="1">
        <f t="array" aca="1" ref="P531" ca="1">INDIRECT("Data!J" &amp; 526)</f>
        <v>0</v>
      </c>
      <c r="Q531" cm="1">
        <f t="array" aca="1" ref="Q531" ca="1">INDIRECT("Data!K" &amp; 526)</f>
        <v>0</v>
      </c>
      <c r="R531" cm="1">
        <f t="array" aca="1" ref="R531" ca="1">INDIRECT("Data!L" &amp; 526)</f>
        <v>0</v>
      </c>
      <c r="S531" cm="1">
        <f t="array" aca="1" ref="S531" ca="1">INDIRECT("Data!M" &amp; 526)</f>
        <v>0</v>
      </c>
      <c r="T531" cm="1">
        <f t="array" aca="1" ref="T531" ca="1">INDIRECT("Data!N" &amp; 526)</f>
        <v>0</v>
      </c>
      <c r="U531" cm="1">
        <f t="array" aca="1" ref="U531" ca="1">INDIRECT("Data!O" &amp; 526)</f>
        <v>0</v>
      </c>
      <c r="V531" cm="1">
        <f t="array" aca="1" ref="V531" ca="1">INDIRECT("Data!P" &amp; 526)</f>
        <v>0</v>
      </c>
    </row>
    <row r="532" spans="7:22" x14ac:dyDescent="0.25">
      <c r="G532" cm="1">
        <f t="array" aca="1" ref="G532" ca="1">INDIRECT("Data!A" &amp; 527)</f>
        <v>0</v>
      </c>
      <c r="H532" s="21" cm="1">
        <f t="array" aca="1" ref="H532" ca="1">INDIRECT("Data!B" &amp; 527)</f>
        <v>0</v>
      </c>
      <c r="I532" s="21" cm="1">
        <f t="array" aca="1" ref="I532" ca="1">INDIRECT("Data!C" &amp; 527)</f>
        <v>0</v>
      </c>
      <c r="J532" cm="1">
        <f t="array" aca="1" ref="J532" ca="1">INDIRECT("Data!D" &amp; 527)</f>
        <v>0</v>
      </c>
      <c r="K532" cm="1">
        <f t="array" aca="1" ref="K532" ca="1">INDIRECT("Data!E" &amp; 527)</f>
        <v>0</v>
      </c>
      <c r="L532" cm="1">
        <f t="array" aca="1" ref="L532" ca="1">INDIRECT("Data!F" &amp; 527)</f>
        <v>0</v>
      </c>
      <c r="M532" cm="1">
        <f t="array" aca="1" ref="M532" ca="1">INDIRECT("Data!G" &amp; 527)</f>
        <v>0</v>
      </c>
      <c r="N532" cm="1">
        <f t="array" aca="1" ref="N532" ca="1">INDIRECT("Data!H" &amp; 527)</f>
        <v>0</v>
      </c>
      <c r="O532" cm="1">
        <f t="array" aca="1" ref="O532" ca="1">INDIRECT("Data!I" &amp; 527)</f>
        <v>0</v>
      </c>
      <c r="P532" s="21" cm="1">
        <f t="array" aca="1" ref="P532" ca="1">INDIRECT("Data!J" &amp; 527)</f>
        <v>0</v>
      </c>
      <c r="Q532" cm="1">
        <f t="array" aca="1" ref="Q532" ca="1">INDIRECT("Data!K" &amp; 527)</f>
        <v>0</v>
      </c>
      <c r="R532" cm="1">
        <f t="array" aca="1" ref="R532" ca="1">INDIRECT("Data!L" &amp; 527)</f>
        <v>0</v>
      </c>
      <c r="S532" cm="1">
        <f t="array" aca="1" ref="S532" ca="1">INDIRECT("Data!M" &amp; 527)</f>
        <v>0</v>
      </c>
      <c r="T532" cm="1">
        <f t="array" aca="1" ref="T532" ca="1">INDIRECT("Data!N" &amp; 527)</f>
        <v>0</v>
      </c>
      <c r="U532" cm="1">
        <f t="array" aca="1" ref="U532" ca="1">INDIRECT("Data!O" &amp; 527)</f>
        <v>0</v>
      </c>
      <c r="V532" cm="1">
        <f t="array" aca="1" ref="V532" ca="1">INDIRECT("Data!P" &amp; 527)</f>
        <v>0</v>
      </c>
    </row>
    <row r="533" spans="7:22" x14ac:dyDescent="0.25">
      <c r="G533" cm="1">
        <f t="array" aca="1" ref="G533" ca="1">INDIRECT("Data!A" &amp; 528)</f>
        <v>0</v>
      </c>
      <c r="H533" s="21" cm="1">
        <f t="array" aca="1" ref="H533" ca="1">INDIRECT("Data!B" &amp; 528)</f>
        <v>0</v>
      </c>
      <c r="I533" s="21" cm="1">
        <f t="array" aca="1" ref="I533" ca="1">INDIRECT("Data!C" &amp; 528)</f>
        <v>0</v>
      </c>
      <c r="J533" cm="1">
        <f t="array" aca="1" ref="J533" ca="1">INDIRECT("Data!D" &amp; 528)</f>
        <v>0</v>
      </c>
      <c r="K533" cm="1">
        <f t="array" aca="1" ref="K533" ca="1">INDIRECT("Data!E" &amp; 528)</f>
        <v>0</v>
      </c>
      <c r="L533" cm="1">
        <f t="array" aca="1" ref="L533" ca="1">INDIRECT("Data!F" &amp; 528)</f>
        <v>0</v>
      </c>
      <c r="M533" cm="1">
        <f t="array" aca="1" ref="M533" ca="1">INDIRECT("Data!G" &amp; 528)</f>
        <v>0</v>
      </c>
      <c r="N533" cm="1">
        <f t="array" aca="1" ref="N533" ca="1">INDIRECT("Data!H" &amp; 528)</f>
        <v>0</v>
      </c>
      <c r="O533" cm="1">
        <f t="array" aca="1" ref="O533" ca="1">INDIRECT("Data!I" &amp; 528)</f>
        <v>0</v>
      </c>
      <c r="P533" s="21" cm="1">
        <f t="array" aca="1" ref="P533" ca="1">INDIRECT("Data!J" &amp; 528)</f>
        <v>0</v>
      </c>
      <c r="Q533" cm="1">
        <f t="array" aca="1" ref="Q533" ca="1">INDIRECT("Data!K" &amp; 528)</f>
        <v>0</v>
      </c>
      <c r="R533" cm="1">
        <f t="array" aca="1" ref="R533" ca="1">INDIRECT("Data!L" &amp; 528)</f>
        <v>0</v>
      </c>
      <c r="S533" cm="1">
        <f t="array" aca="1" ref="S533" ca="1">INDIRECT("Data!M" &amp; 528)</f>
        <v>0</v>
      </c>
      <c r="T533" cm="1">
        <f t="array" aca="1" ref="T533" ca="1">INDIRECT("Data!N" &amp; 528)</f>
        <v>0</v>
      </c>
      <c r="U533" cm="1">
        <f t="array" aca="1" ref="U533" ca="1">INDIRECT("Data!O" &amp; 528)</f>
        <v>0</v>
      </c>
      <c r="V533" cm="1">
        <f t="array" aca="1" ref="V533" ca="1">INDIRECT("Data!P" &amp; 528)</f>
        <v>0</v>
      </c>
    </row>
    <row r="534" spans="7:22" x14ac:dyDescent="0.25">
      <c r="G534" cm="1">
        <f t="array" aca="1" ref="G534" ca="1">INDIRECT("Data!A" &amp; 529)</f>
        <v>0</v>
      </c>
      <c r="H534" s="21" cm="1">
        <f t="array" aca="1" ref="H534" ca="1">INDIRECT("Data!B" &amp; 529)</f>
        <v>0</v>
      </c>
      <c r="I534" s="21" cm="1">
        <f t="array" aca="1" ref="I534" ca="1">INDIRECT("Data!C" &amp; 529)</f>
        <v>0</v>
      </c>
      <c r="J534" cm="1">
        <f t="array" aca="1" ref="J534" ca="1">INDIRECT("Data!D" &amp; 529)</f>
        <v>0</v>
      </c>
      <c r="K534" cm="1">
        <f t="array" aca="1" ref="K534" ca="1">INDIRECT("Data!E" &amp; 529)</f>
        <v>0</v>
      </c>
      <c r="L534" cm="1">
        <f t="array" aca="1" ref="L534" ca="1">INDIRECT("Data!F" &amp; 529)</f>
        <v>0</v>
      </c>
      <c r="M534" cm="1">
        <f t="array" aca="1" ref="M534" ca="1">INDIRECT("Data!G" &amp; 529)</f>
        <v>0</v>
      </c>
      <c r="N534" cm="1">
        <f t="array" aca="1" ref="N534" ca="1">INDIRECT("Data!H" &amp; 529)</f>
        <v>0</v>
      </c>
      <c r="O534" cm="1">
        <f t="array" aca="1" ref="O534" ca="1">INDIRECT("Data!I" &amp; 529)</f>
        <v>0</v>
      </c>
      <c r="P534" s="21" cm="1">
        <f t="array" aca="1" ref="P534" ca="1">INDIRECT("Data!J" &amp; 529)</f>
        <v>0</v>
      </c>
      <c r="Q534" cm="1">
        <f t="array" aca="1" ref="Q534" ca="1">INDIRECT("Data!K" &amp; 529)</f>
        <v>0</v>
      </c>
      <c r="R534" cm="1">
        <f t="array" aca="1" ref="R534" ca="1">INDIRECT("Data!L" &amp; 529)</f>
        <v>0</v>
      </c>
      <c r="S534" cm="1">
        <f t="array" aca="1" ref="S534" ca="1">INDIRECT("Data!M" &amp; 529)</f>
        <v>0</v>
      </c>
      <c r="T534" cm="1">
        <f t="array" aca="1" ref="T534" ca="1">INDIRECT("Data!N" &amp; 529)</f>
        <v>0</v>
      </c>
      <c r="U534" cm="1">
        <f t="array" aca="1" ref="U534" ca="1">INDIRECT("Data!O" &amp; 529)</f>
        <v>0</v>
      </c>
      <c r="V534" cm="1">
        <f t="array" aca="1" ref="V534" ca="1">INDIRECT("Data!P" &amp; 529)</f>
        <v>0</v>
      </c>
    </row>
    <row r="535" spans="7:22" x14ac:dyDescent="0.25">
      <c r="G535" cm="1">
        <f t="array" aca="1" ref="G535" ca="1">INDIRECT("Data!A" &amp; 530)</f>
        <v>0</v>
      </c>
      <c r="H535" s="21" cm="1">
        <f t="array" aca="1" ref="H535" ca="1">INDIRECT("Data!B" &amp; 530)</f>
        <v>0</v>
      </c>
      <c r="I535" s="21" cm="1">
        <f t="array" aca="1" ref="I535" ca="1">INDIRECT("Data!C" &amp; 530)</f>
        <v>0</v>
      </c>
      <c r="J535" cm="1">
        <f t="array" aca="1" ref="J535" ca="1">INDIRECT("Data!D" &amp; 530)</f>
        <v>0</v>
      </c>
      <c r="K535" cm="1">
        <f t="array" aca="1" ref="K535" ca="1">INDIRECT("Data!E" &amp; 530)</f>
        <v>0</v>
      </c>
      <c r="L535" cm="1">
        <f t="array" aca="1" ref="L535" ca="1">INDIRECT("Data!F" &amp; 530)</f>
        <v>0</v>
      </c>
      <c r="M535" cm="1">
        <f t="array" aca="1" ref="M535" ca="1">INDIRECT("Data!G" &amp; 530)</f>
        <v>0</v>
      </c>
      <c r="N535" cm="1">
        <f t="array" aca="1" ref="N535" ca="1">INDIRECT("Data!H" &amp; 530)</f>
        <v>0</v>
      </c>
      <c r="O535" cm="1">
        <f t="array" aca="1" ref="O535" ca="1">INDIRECT("Data!I" &amp; 530)</f>
        <v>0</v>
      </c>
      <c r="P535" s="21" cm="1">
        <f t="array" aca="1" ref="P535" ca="1">INDIRECT("Data!J" &amp; 530)</f>
        <v>0</v>
      </c>
      <c r="Q535" cm="1">
        <f t="array" aca="1" ref="Q535" ca="1">INDIRECT("Data!K" &amp; 530)</f>
        <v>0</v>
      </c>
      <c r="R535" cm="1">
        <f t="array" aca="1" ref="R535" ca="1">INDIRECT("Data!L" &amp; 530)</f>
        <v>0</v>
      </c>
      <c r="S535" cm="1">
        <f t="array" aca="1" ref="S535" ca="1">INDIRECT("Data!M" &amp; 530)</f>
        <v>0</v>
      </c>
      <c r="T535" cm="1">
        <f t="array" aca="1" ref="T535" ca="1">INDIRECT("Data!N" &amp; 530)</f>
        <v>0</v>
      </c>
      <c r="U535" cm="1">
        <f t="array" aca="1" ref="U535" ca="1">INDIRECT("Data!O" &amp; 530)</f>
        <v>0</v>
      </c>
      <c r="V535" cm="1">
        <f t="array" aca="1" ref="V535" ca="1">INDIRECT("Data!P" &amp; 530)</f>
        <v>0</v>
      </c>
    </row>
    <row r="536" spans="7:22" x14ac:dyDescent="0.25">
      <c r="G536" cm="1">
        <f t="array" aca="1" ref="G536" ca="1">INDIRECT("Data!A" &amp; 531)</f>
        <v>0</v>
      </c>
      <c r="H536" s="21" cm="1">
        <f t="array" aca="1" ref="H536" ca="1">INDIRECT("Data!B" &amp; 531)</f>
        <v>0</v>
      </c>
      <c r="I536" s="21" cm="1">
        <f t="array" aca="1" ref="I536" ca="1">INDIRECT("Data!C" &amp; 531)</f>
        <v>0</v>
      </c>
      <c r="J536" cm="1">
        <f t="array" aca="1" ref="J536" ca="1">INDIRECT("Data!D" &amp; 531)</f>
        <v>0</v>
      </c>
      <c r="K536" cm="1">
        <f t="array" aca="1" ref="K536" ca="1">INDIRECT("Data!E" &amp; 531)</f>
        <v>0</v>
      </c>
      <c r="L536" cm="1">
        <f t="array" aca="1" ref="L536" ca="1">INDIRECT("Data!F" &amp; 531)</f>
        <v>0</v>
      </c>
      <c r="M536" cm="1">
        <f t="array" aca="1" ref="M536" ca="1">INDIRECT("Data!G" &amp; 531)</f>
        <v>0</v>
      </c>
      <c r="N536" cm="1">
        <f t="array" aca="1" ref="N536" ca="1">INDIRECT("Data!H" &amp; 531)</f>
        <v>0</v>
      </c>
      <c r="O536" cm="1">
        <f t="array" aca="1" ref="O536" ca="1">INDIRECT("Data!I" &amp; 531)</f>
        <v>0</v>
      </c>
      <c r="P536" s="21" cm="1">
        <f t="array" aca="1" ref="P536" ca="1">INDIRECT("Data!J" &amp; 531)</f>
        <v>0</v>
      </c>
      <c r="Q536" cm="1">
        <f t="array" aca="1" ref="Q536" ca="1">INDIRECT("Data!K" &amp; 531)</f>
        <v>0</v>
      </c>
      <c r="R536" cm="1">
        <f t="array" aca="1" ref="R536" ca="1">INDIRECT("Data!L" &amp; 531)</f>
        <v>0</v>
      </c>
      <c r="S536" cm="1">
        <f t="array" aca="1" ref="S536" ca="1">INDIRECT("Data!M" &amp; 531)</f>
        <v>0</v>
      </c>
      <c r="T536" cm="1">
        <f t="array" aca="1" ref="T536" ca="1">INDIRECT("Data!N" &amp; 531)</f>
        <v>0</v>
      </c>
      <c r="U536" cm="1">
        <f t="array" aca="1" ref="U536" ca="1">INDIRECT("Data!O" &amp; 531)</f>
        <v>0</v>
      </c>
      <c r="V536" cm="1">
        <f t="array" aca="1" ref="V536" ca="1">INDIRECT("Data!P" &amp; 531)</f>
        <v>0</v>
      </c>
    </row>
    <row r="537" spans="7:22" x14ac:dyDescent="0.25">
      <c r="G537" cm="1">
        <f t="array" aca="1" ref="G537" ca="1">INDIRECT("Data!A" &amp; 532)</f>
        <v>0</v>
      </c>
      <c r="H537" s="21" cm="1">
        <f t="array" aca="1" ref="H537" ca="1">INDIRECT("Data!B" &amp; 532)</f>
        <v>0</v>
      </c>
      <c r="I537" s="21" cm="1">
        <f t="array" aca="1" ref="I537" ca="1">INDIRECT("Data!C" &amp; 532)</f>
        <v>0</v>
      </c>
      <c r="J537" cm="1">
        <f t="array" aca="1" ref="J537" ca="1">INDIRECT("Data!D" &amp; 532)</f>
        <v>0</v>
      </c>
      <c r="K537" cm="1">
        <f t="array" aca="1" ref="K537" ca="1">INDIRECT("Data!E" &amp; 532)</f>
        <v>0</v>
      </c>
      <c r="L537" cm="1">
        <f t="array" aca="1" ref="L537" ca="1">INDIRECT("Data!F" &amp; 532)</f>
        <v>0</v>
      </c>
      <c r="M537" cm="1">
        <f t="array" aca="1" ref="M537" ca="1">INDIRECT("Data!G" &amp; 532)</f>
        <v>0</v>
      </c>
      <c r="N537" cm="1">
        <f t="array" aca="1" ref="N537" ca="1">INDIRECT("Data!H" &amp; 532)</f>
        <v>0</v>
      </c>
      <c r="O537" cm="1">
        <f t="array" aca="1" ref="O537" ca="1">INDIRECT("Data!I" &amp; 532)</f>
        <v>0</v>
      </c>
      <c r="P537" s="21" cm="1">
        <f t="array" aca="1" ref="P537" ca="1">INDIRECT("Data!J" &amp; 532)</f>
        <v>0</v>
      </c>
      <c r="Q537" cm="1">
        <f t="array" aca="1" ref="Q537" ca="1">INDIRECT("Data!K" &amp; 532)</f>
        <v>0</v>
      </c>
      <c r="R537" cm="1">
        <f t="array" aca="1" ref="R537" ca="1">INDIRECT("Data!L" &amp; 532)</f>
        <v>0</v>
      </c>
      <c r="S537" cm="1">
        <f t="array" aca="1" ref="S537" ca="1">INDIRECT("Data!M" &amp; 532)</f>
        <v>0</v>
      </c>
      <c r="T537" cm="1">
        <f t="array" aca="1" ref="T537" ca="1">INDIRECT("Data!N" &amp; 532)</f>
        <v>0</v>
      </c>
      <c r="U537" cm="1">
        <f t="array" aca="1" ref="U537" ca="1">INDIRECT("Data!O" &amp; 532)</f>
        <v>0</v>
      </c>
      <c r="V537" cm="1">
        <f t="array" aca="1" ref="V537" ca="1">INDIRECT("Data!P" &amp; 532)</f>
        <v>0</v>
      </c>
    </row>
    <row r="538" spans="7:22" x14ac:dyDescent="0.25">
      <c r="G538" cm="1">
        <f t="array" aca="1" ref="G538" ca="1">INDIRECT("Data!A" &amp; 533)</f>
        <v>0</v>
      </c>
      <c r="H538" s="21" cm="1">
        <f t="array" aca="1" ref="H538" ca="1">INDIRECT("Data!B" &amp; 533)</f>
        <v>0</v>
      </c>
      <c r="I538" s="21" cm="1">
        <f t="array" aca="1" ref="I538" ca="1">INDIRECT("Data!C" &amp; 533)</f>
        <v>0</v>
      </c>
      <c r="J538" cm="1">
        <f t="array" aca="1" ref="J538" ca="1">INDIRECT("Data!D" &amp; 533)</f>
        <v>0</v>
      </c>
      <c r="K538" cm="1">
        <f t="array" aca="1" ref="K538" ca="1">INDIRECT("Data!E" &amp; 533)</f>
        <v>0</v>
      </c>
      <c r="L538" cm="1">
        <f t="array" aca="1" ref="L538" ca="1">INDIRECT("Data!F" &amp; 533)</f>
        <v>0</v>
      </c>
      <c r="M538" cm="1">
        <f t="array" aca="1" ref="M538" ca="1">INDIRECT("Data!G" &amp; 533)</f>
        <v>0</v>
      </c>
      <c r="N538" cm="1">
        <f t="array" aca="1" ref="N538" ca="1">INDIRECT("Data!H" &amp; 533)</f>
        <v>0</v>
      </c>
      <c r="O538" cm="1">
        <f t="array" aca="1" ref="O538" ca="1">INDIRECT("Data!I" &amp; 533)</f>
        <v>0</v>
      </c>
      <c r="P538" s="21" cm="1">
        <f t="array" aca="1" ref="P538" ca="1">INDIRECT("Data!J" &amp; 533)</f>
        <v>0</v>
      </c>
      <c r="Q538" cm="1">
        <f t="array" aca="1" ref="Q538" ca="1">INDIRECT("Data!K" &amp; 533)</f>
        <v>0</v>
      </c>
      <c r="R538" cm="1">
        <f t="array" aca="1" ref="R538" ca="1">INDIRECT("Data!L" &amp; 533)</f>
        <v>0</v>
      </c>
      <c r="S538" cm="1">
        <f t="array" aca="1" ref="S538" ca="1">INDIRECT("Data!M" &amp; 533)</f>
        <v>0</v>
      </c>
      <c r="T538" cm="1">
        <f t="array" aca="1" ref="T538" ca="1">INDIRECT("Data!N" &amp; 533)</f>
        <v>0</v>
      </c>
      <c r="U538" cm="1">
        <f t="array" aca="1" ref="U538" ca="1">INDIRECT("Data!O" &amp; 533)</f>
        <v>0</v>
      </c>
      <c r="V538" cm="1">
        <f t="array" aca="1" ref="V538" ca="1">INDIRECT("Data!P" &amp; 533)</f>
        <v>0</v>
      </c>
    </row>
    <row r="539" spans="7:22" x14ac:dyDescent="0.25">
      <c r="G539" cm="1">
        <f t="array" aca="1" ref="G539" ca="1">INDIRECT("Data!A" &amp; 534)</f>
        <v>0</v>
      </c>
      <c r="H539" s="21" cm="1">
        <f t="array" aca="1" ref="H539" ca="1">INDIRECT("Data!B" &amp; 534)</f>
        <v>0</v>
      </c>
      <c r="I539" s="21" cm="1">
        <f t="array" aca="1" ref="I539" ca="1">INDIRECT("Data!C" &amp; 534)</f>
        <v>0</v>
      </c>
      <c r="J539" cm="1">
        <f t="array" aca="1" ref="J539" ca="1">INDIRECT("Data!D" &amp; 534)</f>
        <v>0</v>
      </c>
      <c r="K539" cm="1">
        <f t="array" aca="1" ref="K539" ca="1">INDIRECT("Data!E" &amp; 534)</f>
        <v>0</v>
      </c>
      <c r="L539" cm="1">
        <f t="array" aca="1" ref="L539" ca="1">INDIRECT("Data!F" &amp; 534)</f>
        <v>0</v>
      </c>
      <c r="M539" cm="1">
        <f t="array" aca="1" ref="M539" ca="1">INDIRECT("Data!G" &amp; 534)</f>
        <v>0</v>
      </c>
      <c r="N539" cm="1">
        <f t="array" aca="1" ref="N539" ca="1">INDIRECT("Data!H" &amp; 534)</f>
        <v>0</v>
      </c>
      <c r="O539" cm="1">
        <f t="array" aca="1" ref="O539" ca="1">INDIRECT("Data!I" &amp; 534)</f>
        <v>0</v>
      </c>
      <c r="P539" s="21" cm="1">
        <f t="array" aca="1" ref="P539" ca="1">INDIRECT("Data!J" &amp; 534)</f>
        <v>0</v>
      </c>
      <c r="Q539" cm="1">
        <f t="array" aca="1" ref="Q539" ca="1">INDIRECT("Data!K" &amp; 534)</f>
        <v>0</v>
      </c>
      <c r="R539" cm="1">
        <f t="array" aca="1" ref="R539" ca="1">INDIRECT("Data!L" &amp; 534)</f>
        <v>0</v>
      </c>
      <c r="S539" cm="1">
        <f t="array" aca="1" ref="S539" ca="1">INDIRECT("Data!M" &amp; 534)</f>
        <v>0</v>
      </c>
      <c r="T539" cm="1">
        <f t="array" aca="1" ref="T539" ca="1">INDIRECT("Data!N" &amp; 534)</f>
        <v>0</v>
      </c>
      <c r="U539" cm="1">
        <f t="array" aca="1" ref="U539" ca="1">INDIRECT("Data!O" &amp; 534)</f>
        <v>0</v>
      </c>
      <c r="V539" cm="1">
        <f t="array" aca="1" ref="V539" ca="1">INDIRECT("Data!P" &amp; 534)</f>
        <v>0</v>
      </c>
    </row>
    <row r="540" spans="7:22" x14ac:dyDescent="0.25">
      <c r="G540" cm="1">
        <f t="array" aca="1" ref="G540" ca="1">INDIRECT("Data!A" &amp; 535)</f>
        <v>0</v>
      </c>
      <c r="H540" s="21" cm="1">
        <f t="array" aca="1" ref="H540" ca="1">INDIRECT("Data!B" &amp; 535)</f>
        <v>0</v>
      </c>
      <c r="I540" s="21" cm="1">
        <f t="array" aca="1" ref="I540" ca="1">INDIRECT("Data!C" &amp; 535)</f>
        <v>0</v>
      </c>
      <c r="J540" cm="1">
        <f t="array" aca="1" ref="J540" ca="1">INDIRECT("Data!D" &amp; 535)</f>
        <v>0</v>
      </c>
      <c r="K540" cm="1">
        <f t="array" aca="1" ref="K540" ca="1">INDIRECT("Data!E" &amp; 535)</f>
        <v>0</v>
      </c>
      <c r="L540" cm="1">
        <f t="array" aca="1" ref="L540" ca="1">INDIRECT("Data!F" &amp; 535)</f>
        <v>0</v>
      </c>
      <c r="M540" cm="1">
        <f t="array" aca="1" ref="M540" ca="1">INDIRECT("Data!G" &amp; 535)</f>
        <v>0</v>
      </c>
      <c r="N540" cm="1">
        <f t="array" aca="1" ref="N540" ca="1">INDIRECT("Data!H" &amp; 535)</f>
        <v>0</v>
      </c>
      <c r="O540" cm="1">
        <f t="array" aca="1" ref="O540" ca="1">INDIRECT("Data!I" &amp; 535)</f>
        <v>0</v>
      </c>
      <c r="P540" s="21" cm="1">
        <f t="array" aca="1" ref="P540" ca="1">INDIRECT("Data!J" &amp; 535)</f>
        <v>0</v>
      </c>
      <c r="Q540" cm="1">
        <f t="array" aca="1" ref="Q540" ca="1">INDIRECT("Data!K" &amp; 535)</f>
        <v>0</v>
      </c>
      <c r="R540" cm="1">
        <f t="array" aca="1" ref="R540" ca="1">INDIRECT("Data!L" &amp; 535)</f>
        <v>0</v>
      </c>
      <c r="S540" cm="1">
        <f t="array" aca="1" ref="S540" ca="1">INDIRECT("Data!M" &amp; 535)</f>
        <v>0</v>
      </c>
      <c r="T540" cm="1">
        <f t="array" aca="1" ref="T540" ca="1">INDIRECT("Data!N" &amp; 535)</f>
        <v>0</v>
      </c>
      <c r="U540" cm="1">
        <f t="array" aca="1" ref="U540" ca="1">INDIRECT("Data!O" &amp; 535)</f>
        <v>0</v>
      </c>
      <c r="V540" cm="1">
        <f t="array" aca="1" ref="V540" ca="1">INDIRECT("Data!P" &amp; 535)</f>
        <v>0</v>
      </c>
    </row>
    <row r="541" spans="7:22" x14ac:dyDescent="0.25">
      <c r="G541" cm="1">
        <f t="array" aca="1" ref="G541" ca="1">INDIRECT("Data!A" &amp; 536)</f>
        <v>0</v>
      </c>
      <c r="H541" s="21" cm="1">
        <f t="array" aca="1" ref="H541" ca="1">INDIRECT("Data!B" &amp; 536)</f>
        <v>0</v>
      </c>
      <c r="I541" s="21" cm="1">
        <f t="array" aca="1" ref="I541" ca="1">INDIRECT("Data!C" &amp; 536)</f>
        <v>0</v>
      </c>
      <c r="J541" cm="1">
        <f t="array" aca="1" ref="J541" ca="1">INDIRECT("Data!D" &amp; 536)</f>
        <v>0</v>
      </c>
      <c r="K541" cm="1">
        <f t="array" aca="1" ref="K541" ca="1">INDIRECT("Data!E" &amp; 536)</f>
        <v>0</v>
      </c>
      <c r="L541" cm="1">
        <f t="array" aca="1" ref="L541" ca="1">INDIRECT("Data!F" &amp; 536)</f>
        <v>0</v>
      </c>
      <c r="M541" cm="1">
        <f t="array" aca="1" ref="M541" ca="1">INDIRECT("Data!G" &amp; 536)</f>
        <v>0</v>
      </c>
      <c r="N541" cm="1">
        <f t="array" aca="1" ref="N541" ca="1">INDIRECT("Data!H" &amp; 536)</f>
        <v>0</v>
      </c>
      <c r="O541" cm="1">
        <f t="array" aca="1" ref="O541" ca="1">INDIRECT("Data!I" &amp; 536)</f>
        <v>0</v>
      </c>
      <c r="P541" s="21" cm="1">
        <f t="array" aca="1" ref="P541" ca="1">INDIRECT("Data!J" &amp; 536)</f>
        <v>0</v>
      </c>
      <c r="Q541" cm="1">
        <f t="array" aca="1" ref="Q541" ca="1">INDIRECT("Data!K" &amp; 536)</f>
        <v>0</v>
      </c>
      <c r="R541" cm="1">
        <f t="array" aca="1" ref="R541" ca="1">INDIRECT("Data!L" &amp; 536)</f>
        <v>0</v>
      </c>
      <c r="S541" cm="1">
        <f t="array" aca="1" ref="S541" ca="1">INDIRECT("Data!M" &amp; 536)</f>
        <v>0</v>
      </c>
      <c r="T541" cm="1">
        <f t="array" aca="1" ref="T541" ca="1">INDIRECT("Data!N" &amp; 536)</f>
        <v>0</v>
      </c>
      <c r="U541" cm="1">
        <f t="array" aca="1" ref="U541" ca="1">INDIRECT("Data!O" &amp; 536)</f>
        <v>0</v>
      </c>
      <c r="V541" cm="1">
        <f t="array" aca="1" ref="V541" ca="1">INDIRECT("Data!P" &amp; 536)</f>
        <v>0</v>
      </c>
    </row>
    <row r="542" spans="7:22" x14ac:dyDescent="0.25">
      <c r="G542" cm="1">
        <f t="array" aca="1" ref="G542" ca="1">INDIRECT("Data!A" &amp; 537)</f>
        <v>0</v>
      </c>
      <c r="H542" s="21" cm="1">
        <f t="array" aca="1" ref="H542" ca="1">INDIRECT("Data!B" &amp; 537)</f>
        <v>0</v>
      </c>
      <c r="I542" s="21" cm="1">
        <f t="array" aca="1" ref="I542" ca="1">INDIRECT("Data!C" &amp; 537)</f>
        <v>0</v>
      </c>
      <c r="J542" cm="1">
        <f t="array" aca="1" ref="J542" ca="1">INDIRECT("Data!D" &amp; 537)</f>
        <v>0</v>
      </c>
      <c r="K542" cm="1">
        <f t="array" aca="1" ref="K542" ca="1">INDIRECT("Data!E" &amp; 537)</f>
        <v>0</v>
      </c>
      <c r="L542" cm="1">
        <f t="array" aca="1" ref="L542" ca="1">INDIRECT("Data!F" &amp; 537)</f>
        <v>0</v>
      </c>
      <c r="M542" cm="1">
        <f t="array" aca="1" ref="M542" ca="1">INDIRECT("Data!G" &amp; 537)</f>
        <v>0</v>
      </c>
      <c r="N542" cm="1">
        <f t="array" aca="1" ref="N542" ca="1">INDIRECT("Data!H" &amp; 537)</f>
        <v>0</v>
      </c>
      <c r="O542" cm="1">
        <f t="array" aca="1" ref="O542" ca="1">INDIRECT("Data!I" &amp; 537)</f>
        <v>0</v>
      </c>
      <c r="P542" s="21" cm="1">
        <f t="array" aca="1" ref="P542" ca="1">INDIRECT("Data!J" &amp; 537)</f>
        <v>0</v>
      </c>
      <c r="Q542" cm="1">
        <f t="array" aca="1" ref="Q542" ca="1">INDIRECT("Data!K" &amp; 537)</f>
        <v>0</v>
      </c>
      <c r="R542" cm="1">
        <f t="array" aca="1" ref="R542" ca="1">INDIRECT("Data!L" &amp; 537)</f>
        <v>0</v>
      </c>
      <c r="S542" cm="1">
        <f t="array" aca="1" ref="S542" ca="1">INDIRECT("Data!M" &amp; 537)</f>
        <v>0</v>
      </c>
      <c r="T542" cm="1">
        <f t="array" aca="1" ref="T542" ca="1">INDIRECT("Data!N" &amp; 537)</f>
        <v>0</v>
      </c>
      <c r="U542" cm="1">
        <f t="array" aca="1" ref="U542" ca="1">INDIRECT("Data!O" &amp; 537)</f>
        <v>0</v>
      </c>
      <c r="V542" cm="1">
        <f t="array" aca="1" ref="V542" ca="1">INDIRECT("Data!P" &amp; 537)</f>
        <v>0</v>
      </c>
    </row>
    <row r="543" spans="7:22" x14ac:dyDescent="0.25">
      <c r="G543" cm="1">
        <f t="array" aca="1" ref="G543" ca="1">INDIRECT("Data!A" &amp; 538)</f>
        <v>0</v>
      </c>
      <c r="H543" s="21" cm="1">
        <f t="array" aca="1" ref="H543" ca="1">INDIRECT("Data!B" &amp; 538)</f>
        <v>0</v>
      </c>
      <c r="I543" s="21" cm="1">
        <f t="array" aca="1" ref="I543" ca="1">INDIRECT("Data!C" &amp; 538)</f>
        <v>0</v>
      </c>
      <c r="J543" cm="1">
        <f t="array" aca="1" ref="J543" ca="1">INDIRECT("Data!D" &amp; 538)</f>
        <v>0</v>
      </c>
      <c r="K543" cm="1">
        <f t="array" aca="1" ref="K543" ca="1">INDIRECT("Data!E" &amp; 538)</f>
        <v>0</v>
      </c>
      <c r="L543" cm="1">
        <f t="array" aca="1" ref="L543" ca="1">INDIRECT("Data!F" &amp; 538)</f>
        <v>0</v>
      </c>
      <c r="M543" cm="1">
        <f t="array" aca="1" ref="M543" ca="1">INDIRECT("Data!G" &amp; 538)</f>
        <v>0</v>
      </c>
      <c r="N543" cm="1">
        <f t="array" aca="1" ref="N543" ca="1">INDIRECT("Data!H" &amp; 538)</f>
        <v>0</v>
      </c>
      <c r="O543" cm="1">
        <f t="array" aca="1" ref="O543" ca="1">INDIRECT("Data!I" &amp; 538)</f>
        <v>0</v>
      </c>
      <c r="P543" s="21" cm="1">
        <f t="array" aca="1" ref="P543" ca="1">INDIRECT("Data!J" &amp; 538)</f>
        <v>0</v>
      </c>
      <c r="Q543" cm="1">
        <f t="array" aca="1" ref="Q543" ca="1">INDIRECT("Data!K" &amp; 538)</f>
        <v>0</v>
      </c>
      <c r="R543" cm="1">
        <f t="array" aca="1" ref="R543" ca="1">INDIRECT("Data!L" &amp; 538)</f>
        <v>0</v>
      </c>
      <c r="S543" cm="1">
        <f t="array" aca="1" ref="S543" ca="1">INDIRECT("Data!M" &amp; 538)</f>
        <v>0</v>
      </c>
      <c r="T543" cm="1">
        <f t="array" aca="1" ref="T543" ca="1">INDIRECT("Data!N" &amp; 538)</f>
        <v>0</v>
      </c>
      <c r="U543" cm="1">
        <f t="array" aca="1" ref="U543" ca="1">INDIRECT("Data!O" &amp; 538)</f>
        <v>0</v>
      </c>
      <c r="V543" cm="1">
        <f t="array" aca="1" ref="V543" ca="1">INDIRECT("Data!P" &amp; 538)</f>
        <v>0</v>
      </c>
    </row>
    <row r="544" spans="7:22" x14ac:dyDescent="0.25">
      <c r="G544" cm="1">
        <f t="array" aca="1" ref="G544" ca="1">INDIRECT("Data!A" &amp; 539)</f>
        <v>0</v>
      </c>
      <c r="H544" s="21" cm="1">
        <f t="array" aca="1" ref="H544" ca="1">INDIRECT("Data!B" &amp; 539)</f>
        <v>0</v>
      </c>
      <c r="I544" s="21" cm="1">
        <f t="array" aca="1" ref="I544" ca="1">INDIRECT("Data!C" &amp; 539)</f>
        <v>0</v>
      </c>
      <c r="J544" cm="1">
        <f t="array" aca="1" ref="J544" ca="1">INDIRECT("Data!D" &amp; 539)</f>
        <v>0</v>
      </c>
      <c r="K544" cm="1">
        <f t="array" aca="1" ref="K544" ca="1">INDIRECT("Data!E" &amp; 539)</f>
        <v>0</v>
      </c>
      <c r="L544" cm="1">
        <f t="array" aca="1" ref="L544" ca="1">INDIRECT("Data!F" &amp; 539)</f>
        <v>0</v>
      </c>
      <c r="M544" cm="1">
        <f t="array" aca="1" ref="M544" ca="1">INDIRECT("Data!G" &amp; 539)</f>
        <v>0</v>
      </c>
      <c r="N544" cm="1">
        <f t="array" aca="1" ref="N544" ca="1">INDIRECT("Data!H" &amp; 539)</f>
        <v>0</v>
      </c>
      <c r="O544" cm="1">
        <f t="array" aca="1" ref="O544" ca="1">INDIRECT("Data!I" &amp; 539)</f>
        <v>0</v>
      </c>
      <c r="P544" s="21" cm="1">
        <f t="array" aca="1" ref="P544" ca="1">INDIRECT("Data!J" &amp; 539)</f>
        <v>0</v>
      </c>
      <c r="Q544" cm="1">
        <f t="array" aca="1" ref="Q544" ca="1">INDIRECT("Data!K" &amp; 539)</f>
        <v>0</v>
      </c>
      <c r="R544" cm="1">
        <f t="array" aca="1" ref="R544" ca="1">INDIRECT("Data!L" &amp; 539)</f>
        <v>0</v>
      </c>
      <c r="S544" cm="1">
        <f t="array" aca="1" ref="S544" ca="1">INDIRECT("Data!M" &amp; 539)</f>
        <v>0</v>
      </c>
      <c r="T544" cm="1">
        <f t="array" aca="1" ref="T544" ca="1">INDIRECT("Data!N" &amp; 539)</f>
        <v>0</v>
      </c>
      <c r="U544" cm="1">
        <f t="array" aca="1" ref="U544" ca="1">INDIRECT("Data!O" &amp; 539)</f>
        <v>0</v>
      </c>
      <c r="V544" cm="1">
        <f t="array" aca="1" ref="V544" ca="1">INDIRECT("Data!P" &amp; 539)</f>
        <v>0</v>
      </c>
    </row>
    <row r="545" spans="7:22" x14ac:dyDescent="0.25">
      <c r="G545" cm="1">
        <f t="array" aca="1" ref="G545" ca="1">INDIRECT("Data!A" &amp; 540)</f>
        <v>0</v>
      </c>
      <c r="H545" s="21" cm="1">
        <f t="array" aca="1" ref="H545" ca="1">INDIRECT("Data!B" &amp; 540)</f>
        <v>0</v>
      </c>
      <c r="I545" s="21" cm="1">
        <f t="array" aca="1" ref="I545" ca="1">INDIRECT("Data!C" &amp; 540)</f>
        <v>0</v>
      </c>
      <c r="J545" cm="1">
        <f t="array" aca="1" ref="J545" ca="1">INDIRECT("Data!D" &amp; 540)</f>
        <v>0</v>
      </c>
      <c r="K545" cm="1">
        <f t="array" aca="1" ref="K545" ca="1">INDIRECT("Data!E" &amp; 540)</f>
        <v>0</v>
      </c>
      <c r="L545" cm="1">
        <f t="array" aca="1" ref="L545" ca="1">INDIRECT("Data!F" &amp; 540)</f>
        <v>0</v>
      </c>
      <c r="M545" cm="1">
        <f t="array" aca="1" ref="M545" ca="1">INDIRECT("Data!G" &amp; 540)</f>
        <v>0</v>
      </c>
      <c r="N545" cm="1">
        <f t="array" aca="1" ref="N545" ca="1">INDIRECT("Data!H" &amp; 540)</f>
        <v>0</v>
      </c>
      <c r="O545" cm="1">
        <f t="array" aca="1" ref="O545" ca="1">INDIRECT("Data!I" &amp; 540)</f>
        <v>0</v>
      </c>
      <c r="P545" s="21" cm="1">
        <f t="array" aca="1" ref="P545" ca="1">INDIRECT("Data!J" &amp; 540)</f>
        <v>0</v>
      </c>
      <c r="Q545" cm="1">
        <f t="array" aca="1" ref="Q545" ca="1">INDIRECT("Data!K" &amp; 540)</f>
        <v>0</v>
      </c>
      <c r="R545" cm="1">
        <f t="array" aca="1" ref="R545" ca="1">INDIRECT("Data!L" &amp; 540)</f>
        <v>0</v>
      </c>
      <c r="S545" cm="1">
        <f t="array" aca="1" ref="S545" ca="1">INDIRECT("Data!M" &amp; 540)</f>
        <v>0</v>
      </c>
      <c r="T545" cm="1">
        <f t="array" aca="1" ref="T545" ca="1">INDIRECT("Data!N" &amp; 540)</f>
        <v>0</v>
      </c>
      <c r="U545" cm="1">
        <f t="array" aca="1" ref="U545" ca="1">INDIRECT("Data!O" &amp; 540)</f>
        <v>0</v>
      </c>
      <c r="V545" cm="1">
        <f t="array" aca="1" ref="V545" ca="1">INDIRECT("Data!P" &amp; 540)</f>
        <v>0</v>
      </c>
    </row>
    <row r="546" spans="7:22" x14ac:dyDescent="0.25">
      <c r="G546" cm="1">
        <f t="array" aca="1" ref="G546" ca="1">INDIRECT("Data!A" &amp; 541)</f>
        <v>0</v>
      </c>
      <c r="H546" s="21" cm="1">
        <f t="array" aca="1" ref="H546" ca="1">INDIRECT("Data!B" &amp; 541)</f>
        <v>0</v>
      </c>
      <c r="I546" s="21" cm="1">
        <f t="array" aca="1" ref="I546" ca="1">INDIRECT("Data!C" &amp; 541)</f>
        <v>0</v>
      </c>
      <c r="J546" cm="1">
        <f t="array" aca="1" ref="J546" ca="1">INDIRECT("Data!D" &amp; 541)</f>
        <v>0</v>
      </c>
      <c r="K546" cm="1">
        <f t="array" aca="1" ref="K546" ca="1">INDIRECT("Data!E" &amp; 541)</f>
        <v>0</v>
      </c>
      <c r="L546" cm="1">
        <f t="array" aca="1" ref="L546" ca="1">INDIRECT("Data!F" &amp; 541)</f>
        <v>0</v>
      </c>
      <c r="M546" cm="1">
        <f t="array" aca="1" ref="M546" ca="1">INDIRECT("Data!G" &amp; 541)</f>
        <v>0</v>
      </c>
      <c r="N546" cm="1">
        <f t="array" aca="1" ref="N546" ca="1">INDIRECT("Data!H" &amp; 541)</f>
        <v>0</v>
      </c>
      <c r="O546" cm="1">
        <f t="array" aca="1" ref="O546" ca="1">INDIRECT("Data!I" &amp; 541)</f>
        <v>0</v>
      </c>
      <c r="P546" s="21" cm="1">
        <f t="array" aca="1" ref="P546" ca="1">INDIRECT("Data!J" &amp; 541)</f>
        <v>0</v>
      </c>
      <c r="Q546" cm="1">
        <f t="array" aca="1" ref="Q546" ca="1">INDIRECT("Data!K" &amp; 541)</f>
        <v>0</v>
      </c>
      <c r="R546" cm="1">
        <f t="array" aca="1" ref="R546" ca="1">INDIRECT("Data!L" &amp; 541)</f>
        <v>0</v>
      </c>
      <c r="S546" cm="1">
        <f t="array" aca="1" ref="S546" ca="1">INDIRECT("Data!M" &amp; 541)</f>
        <v>0</v>
      </c>
      <c r="T546" cm="1">
        <f t="array" aca="1" ref="T546" ca="1">INDIRECT("Data!N" &amp; 541)</f>
        <v>0</v>
      </c>
      <c r="U546" cm="1">
        <f t="array" aca="1" ref="U546" ca="1">INDIRECT("Data!O" &amp; 541)</f>
        <v>0</v>
      </c>
      <c r="V546" cm="1">
        <f t="array" aca="1" ref="V546" ca="1">INDIRECT("Data!P" &amp; 541)</f>
        <v>0</v>
      </c>
    </row>
    <row r="547" spans="7:22" x14ac:dyDescent="0.25">
      <c r="G547" cm="1">
        <f t="array" aca="1" ref="G547" ca="1">INDIRECT("Data!A" &amp; 542)</f>
        <v>0</v>
      </c>
      <c r="H547" s="21" cm="1">
        <f t="array" aca="1" ref="H547" ca="1">INDIRECT("Data!B" &amp; 542)</f>
        <v>0</v>
      </c>
      <c r="I547" s="21" cm="1">
        <f t="array" aca="1" ref="I547" ca="1">INDIRECT("Data!C" &amp; 542)</f>
        <v>0</v>
      </c>
      <c r="J547" cm="1">
        <f t="array" aca="1" ref="J547" ca="1">INDIRECT("Data!D" &amp; 542)</f>
        <v>0</v>
      </c>
      <c r="K547" cm="1">
        <f t="array" aca="1" ref="K547" ca="1">INDIRECT("Data!E" &amp; 542)</f>
        <v>0</v>
      </c>
      <c r="L547" cm="1">
        <f t="array" aca="1" ref="L547" ca="1">INDIRECT("Data!F" &amp; 542)</f>
        <v>0</v>
      </c>
      <c r="M547" cm="1">
        <f t="array" aca="1" ref="M547" ca="1">INDIRECT("Data!G" &amp; 542)</f>
        <v>0</v>
      </c>
      <c r="N547" cm="1">
        <f t="array" aca="1" ref="N547" ca="1">INDIRECT("Data!H" &amp; 542)</f>
        <v>0</v>
      </c>
      <c r="O547" cm="1">
        <f t="array" aca="1" ref="O547" ca="1">INDIRECT("Data!I" &amp; 542)</f>
        <v>0</v>
      </c>
      <c r="P547" s="21" cm="1">
        <f t="array" aca="1" ref="P547" ca="1">INDIRECT("Data!J" &amp; 542)</f>
        <v>0</v>
      </c>
      <c r="Q547" cm="1">
        <f t="array" aca="1" ref="Q547" ca="1">INDIRECT("Data!K" &amp; 542)</f>
        <v>0</v>
      </c>
      <c r="R547" cm="1">
        <f t="array" aca="1" ref="R547" ca="1">INDIRECT("Data!L" &amp; 542)</f>
        <v>0</v>
      </c>
      <c r="S547" cm="1">
        <f t="array" aca="1" ref="S547" ca="1">INDIRECT("Data!M" &amp; 542)</f>
        <v>0</v>
      </c>
      <c r="T547" cm="1">
        <f t="array" aca="1" ref="T547" ca="1">INDIRECT("Data!N" &amp; 542)</f>
        <v>0</v>
      </c>
      <c r="U547" cm="1">
        <f t="array" aca="1" ref="U547" ca="1">INDIRECT("Data!O" &amp; 542)</f>
        <v>0</v>
      </c>
      <c r="V547" cm="1">
        <f t="array" aca="1" ref="V547" ca="1">INDIRECT("Data!P" &amp; 542)</f>
        <v>0</v>
      </c>
    </row>
    <row r="548" spans="7:22" x14ac:dyDescent="0.25">
      <c r="G548" cm="1">
        <f t="array" aca="1" ref="G548" ca="1">INDIRECT("Data!A" &amp; 543)</f>
        <v>0</v>
      </c>
      <c r="H548" s="21" cm="1">
        <f t="array" aca="1" ref="H548" ca="1">INDIRECT("Data!B" &amp; 543)</f>
        <v>0</v>
      </c>
      <c r="I548" s="21" cm="1">
        <f t="array" aca="1" ref="I548" ca="1">INDIRECT("Data!C" &amp; 543)</f>
        <v>0</v>
      </c>
      <c r="J548" cm="1">
        <f t="array" aca="1" ref="J548" ca="1">INDIRECT("Data!D" &amp; 543)</f>
        <v>0</v>
      </c>
      <c r="K548" cm="1">
        <f t="array" aca="1" ref="K548" ca="1">INDIRECT("Data!E" &amp; 543)</f>
        <v>0</v>
      </c>
      <c r="L548" cm="1">
        <f t="array" aca="1" ref="L548" ca="1">INDIRECT("Data!F" &amp; 543)</f>
        <v>0</v>
      </c>
      <c r="M548" cm="1">
        <f t="array" aca="1" ref="M548" ca="1">INDIRECT("Data!G" &amp; 543)</f>
        <v>0</v>
      </c>
      <c r="N548" cm="1">
        <f t="array" aca="1" ref="N548" ca="1">INDIRECT("Data!H" &amp; 543)</f>
        <v>0</v>
      </c>
      <c r="O548" cm="1">
        <f t="array" aca="1" ref="O548" ca="1">INDIRECT("Data!I" &amp; 543)</f>
        <v>0</v>
      </c>
      <c r="P548" s="21" cm="1">
        <f t="array" aca="1" ref="P548" ca="1">INDIRECT("Data!J" &amp; 543)</f>
        <v>0</v>
      </c>
      <c r="Q548" cm="1">
        <f t="array" aca="1" ref="Q548" ca="1">INDIRECT("Data!K" &amp; 543)</f>
        <v>0</v>
      </c>
      <c r="R548" cm="1">
        <f t="array" aca="1" ref="R548" ca="1">INDIRECT("Data!L" &amp; 543)</f>
        <v>0</v>
      </c>
      <c r="S548" cm="1">
        <f t="array" aca="1" ref="S548" ca="1">INDIRECT("Data!M" &amp; 543)</f>
        <v>0</v>
      </c>
      <c r="T548" cm="1">
        <f t="array" aca="1" ref="T548" ca="1">INDIRECT("Data!N" &amp; 543)</f>
        <v>0</v>
      </c>
      <c r="U548" cm="1">
        <f t="array" aca="1" ref="U548" ca="1">INDIRECT("Data!O" &amp; 543)</f>
        <v>0</v>
      </c>
      <c r="V548" cm="1">
        <f t="array" aca="1" ref="V548" ca="1">INDIRECT("Data!P" &amp; 543)</f>
        <v>0</v>
      </c>
    </row>
    <row r="549" spans="7:22" x14ac:dyDescent="0.25">
      <c r="G549" cm="1">
        <f t="array" aca="1" ref="G549" ca="1">INDIRECT("Data!A" &amp; 544)</f>
        <v>0</v>
      </c>
      <c r="H549" s="21" cm="1">
        <f t="array" aca="1" ref="H549" ca="1">INDIRECT("Data!B" &amp; 544)</f>
        <v>0</v>
      </c>
      <c r="I549" s="21" cm="1">
        <f t="array" aca="1" ref="I549" ca="1">INDIRECT("Data!C" &amp; 544)</f>
        <v>0</v>
      </c>
      <c r="J549" cm="1">
        <f t="array" aca="1" ref="J549" ca="1">INDIRECT("Data!D" &amp; 544)</f>
        <v>0</v>
      </c>
      <c r="K549" cm="1">
        <f t="array" aca="1" ref="K549" ca="1">INDIRECT("Data!E" &amp; 544)</f>
        <v>0</v>
      </c>
      <c r="L549" cm="1">
        <f t="array" aca="1" ref="L549" ca="1">INDIRECT("Data!F" &amp; 544)</f>
        <v>0</v>
      </c>
      <c r="M549" cm="1">
        <f t="array" aca="1" ref="M549" ca="1">INDIRECT("Data!G" &amp; 544)</f>
        <v>0</v>
      </c>
      <c r="N549" cm="1">
        <f t="array" aca="1" ref="N549" ca="1">INDIRECT("Data!H" &amp; 544)</f>
        <v>0</v>
      </c>
      <c r="O549" cm="1">
        <f t="array" aca="1" ref="O549" ca="1">INDIRECT("Data!I" &amp; 544)</f>
        <v>0</v>
      </c>
      <c r="P549" s="21" cm="1">
        <f t="array" aca="1" ref="P549" ca="1">INDIRECT("Data!J" &amp; 544)</f>
        <v>0</v>
      </c>
      <c r="Q549" cm="1">
        <f t="array" aca="1" ref="Q549" ca="1">INDIRECT("Data!K" &amp; 544)</f>
        <v>0</v>
      </c>
      <c r="R549" cm="1">
        <f t="array" aca="1" ref="R549" ca="1">INDIRECT("Data!L" &amp; 544)</f>
        <v>0</v>
      </c>
      <c r="S549" cm="1">
        <f t="array" aca="1" ref="S549" ca="1">INDIRECT("Data!M" &amp; 544)</f>
        <v>0</v>
      </c>
      <c r="T549" cm="1">
        <f t="array" aca="1" ref="T549" ca="1">INDIRECT("Data!N" &amp; 544)</f>
        <v>0</v>
      </c>
      <c r="U549" cm="1">
        <f t="array" aca="1" ref="U549" ca="1">INDIRECT("Data!O" &amp; 544)</f>
        <v>0</v>
      </c>
      <c r="V549" cm="1">
        <f t="array" aca="1" ref="V549" ca="1">INDIRECT("Data!P" &amp; 544)</f>
        <v>0</v>
      </c>
    </row>
    <row r="550" spans="7:22" x14ac:dyDescent="0.25">
      <c r="G550" cm="1">
        <f t="array" aca="1" ref="G550" ca="1">INDIRECT("Data!A" &amp; 545)</f>
        <v>0</v>
      </c>
      <c r="H550" s="21" cm="1">
        <f t="array" aca="1" ref="H550" ca="1">INDIRECT("Data!B" &amp; 545)</f>
        <v>0</v>
      </c>
      <c r="I550" s="21" cm="1">
        <f t="array" aca="1" ref="I550" ca="1">INDIRECT("Data!C" &amp; 545)</f>
        <v>0</v>
      </c>
      <c r="J550" cm="1">
        <f t="array" aca="1" ref="J550" ca="1">INDIRECT("Data!D" &amp; 545)</f>
        <v>0</v>
      </c>
      <c r="K550" cm="1">
        <f t="array" aca="1" ref="K550" ca="1">INDIRECT("Data!E" &amp; 545)</f>
        <v>0</v>
      </c>
      <c r="L550" cm="1">
        <f t="array" aca="1" ref="L550" ca="1">INDIRECT("Data!F" &amp; 545)</f>
        <v>0</v>
      </c>
      <c r="M550" cm="1">
        <f t="array" aca="1" ref="M550" ca="1">INDIRECT("Data!G" &amp; 545)</f>
        <v>0</v>
      </c>
      <c r="N550" cm="1">
        <f t="array" aca="1" ref="N550" ca="1">INDIRECT("Data!H" &amp; 545)</f>
        <v>0</v>
      </c>
      <c r="O550" cm="1">
        <f t="array" aca="1" ref="O550" ca="1">INDIRECT("Data!I" &amp; 545)</f>
        <v>0</v>
      </c>
      <c r="P550" s="21" cm="1">
        <f t="array" aca="1" ref="P550" ca="1">INDIRECT("Data!J" &amp; 545)</f>
        <v>0</v>
      </c>
      <c r="Q550" cm="1">
        <f t="array" aca="1" ref="Q550" ca="1">INDIRECT("Data!K" &amp; 545)</f>
        <v>0</v>
      </c>
      <c r="R550" cm="1">
        <f t="array" aca="1" ref="R550" ca="1">INDIRECT("Data!L" &amp; 545)</f>
        <v>0</v>
      </c>
      <c r="S550" cm="1">
        <f t="array" aca="1" ref="S550" ca="1">INDIRECT("Data!M" &amp; 545)</f>
        <v>0</v>
      </c>
      <c r="T550" cm="1">
        <f t="array" aca="1" ref="T550" ca="1">INDIRECT("Data!N" &amp; 545)</f>
        <v>0</v>
      </c>
      <c r="U550" cm="1">
        <f t="array" aca="1" ref="U550" ca="1">INDIRECT("Data!O" &amp; 545)</f>
        <v>0</v>
      </c>
      <c r="V550" cm="1">
        <f t="array" aca="1" ref="V550" ca="1">INDIRECT("Data!P" &amp; 545)</f>
        <v>0</v>
      </c>
    </row>
    <row r="551" spans="7:22" x14ac:dyDescent="0.25">
      <c r="G551" cm="1">
        <f t="array" aca="1" ref="G551" ca="1">INDIRECT("Data!A" &amp; 546)</f>
        <v>0</v>
      </c>
      <c r="H551" s="21" cm="1">
        <f t="array" aca="1" ref="H551" ca="1">INDIRECT("Data!B" &amp; 546)</f>
        <v>0</v>
      </c>
      <c r="I551" s="21" cm="1">
        <f t="array" aca="1" ref="I551" ca="1">INDIRECT("Data!C" &amp; 546)</f>
        <v>0</v>
      </c>
      <c r="J551" cm="1">
        <f t="array" aca="1" ref="J551" ca="1">INDIRECT("Data!D" &amp; 546)</f>
        <v>0</v>
      </c>
      <c r="K551" cm="1">
        <f t="array" aca="1" ref="K551" ca="1">INDIRECT("Data!E" &amp; 546)</f>
        <v>0</v>
      </c>
      <c r="L551" cm="1">
        <f t="array" aca="1" ref="L551" ca="1">INDIRECT("Data!F" &amp; 546)</f>
        <v>0</v>
      </c>
      <c r="M551" cm="1">
        <f t="array" aca="1" ref="M551" ca="1">INDIRECT("Data!G" &amp; 546)</f>
        <v>0</v>
      </c>
      <c r="N551" cm="1">
        <f t="array" aca="1" ref="N551" ca="1">INDIRECT("Data!H" &amp; 546)</f>
        <v>0</v>
      </c>
      <c r="O551" cm="1">
        <f t="array" aca="1" ref="O551" ca="1">INDIRECT("Data!I" &amp; 546)</f>
        <v>0</v>
      </c>
      <c r="P551" s="21" cm="1">
        <f t="array" aca="1" ref="P551" ca="1">INDIRECT("Data!J" &amp; 546)</f>
        <v>0</v>
      </c>
      <c r="Q551" cm="1">
        <f t="array" aca="1" ref="Q551" ca="1">INDIRECT("Data!K" &amp; 546)</f>
        <v>0</v>
      </c>
      <c r="R551" cm="1">
        <f t="array" aca="1" ref="R551" ca="1">INDIRECT("Data!L" &amp; 546)</f>
        <v>0</v>
      </c>
      <c r="S551" cm="1">
        <f t="array" aca="1" ref="S551" ca="1">INDIRECT("Data!M" &amp; 546)</f>
        <v>0</v>
      </c>
      <c r="T551" cm="1">
        <f t="array" aca="1" ref="T551" ca="1">INDIRECT("Data!N" &amp; 546)</f>
        <v>0</v>
      </c>
      <c r="U551" cm="1">
        <f t="array" aca="1" ref="U551" ca="1">INDIRECT("Data!O" &amp; 546)</f>
        <v>0</v>
      </c>
      <c r="V551" cm="1">
        <f t="array" aca="1" ref="V551" ca="1">INDIRECT("Data!P" &amp; 546)</f>
        <v>0</v>
      </c>
    </row>
    <row r="552" spans="7:22" x14ac:dyDescent="0.25">
      <c r="G552" cm="1">
        <f t="array" aca="1" ref="G552" ca="1">INDIRECT("Data!A" &amp; 547)</f>
        <v>0</v>
      </c>
      <c r="H552" s="21" cm="1">
        <f t="array" aca="1" ref="H552" ca="1">INDIRECT("Data!B" &amp; 547)</f>
        <v>0</v>
      </c>
      <c r="I552" s="21" cm="1">
        <f t="array" aca="1" ref="I552" ca="1">INDIRECT("Data!C" &amp; 547)</f>
        <v>0</v>
      </c>
      <c r="J552" cm="1">
        <f t="array" aca="1" ref="J552" ca="1">INDIRECT("Data!D" &amp; 547)</f>
        <v>0</v>
      </c>
      <c r="K552" cm="1">
        <f t="array" aca="1" ref="K552" ca="1">INDIRECT("Data!E" &amp; 547)</f>
        <v>0</v>
      </c>
      <c r="L552" cm="1">
        <f t="array" aca="1" ref="L552" ca="1">INDIRECT("Data!F" &amp; 547)</f>
        <v>0</v>
      </c>
      <c r="M552" cm="1">
        <f t="array" aca="1" ref="M552" ca="1">INDIRECT("Data!G" &amp; 547)</f>
        <v>0</v>
      </c>
      <c r="N552" cm="1">
        <f t="array" aca="1" ref="N552" ca="1">INDIRECT("Data!H" &amp; 547)</f>
        <v>0</v>
      </c>
      <c r="O552" cm="1">
        <f t="array" aca="1" ref="O552" ca="1">INDIRECT("Data!I" &amp; 547)</f>
        <v>0</v>
      </c>
      <c r="P552" s="21" cm="1">
        <f t="array" aca="1" ref="P552" ca="1">INDIRECT("Data!J" &amp; 547)</f>
        <v>0</v>
      </c>
      <c r="Q552" cm="1">
        <f t="array" aca="1" ref="Q552" ca="1">INDIRECT("Data!K" &amp; 547)</f>
        <v>0</v>
      </c>
      <c r="R552" cm="1">
        <f t="array" aca="1" ref="R552" ca="1">INDIRECT("Data!L" &amp; 547)</f>
        <v>0</v>
      </c>
      <c r="S552" cm="1">
        <f t="array" aca="1" ref="S552" ca="1">INDIRECT("Data!M" &amp; 547)</f>
        <v>0</v>
      </c>
      <c r="T552" cm="1">
        <f t="array" aca="1" ref="T552" ca="1">INDIRECT("Data!N" &amp; 547)</f>
        <v>0</v>
      </c>
      <c r="U552" cm="1">
        <f t="array" aca="1" ref="U552" ca="1">INDIRECT("Data!O" &amp; 547)</f>
        <v>0</v>
      </c>
      <c r="V552" cm="1">
        <f t="array" aca="1" ref="V552" ca="1">INDIRECT("Data!P" &amp; 547)</f>
        <v>0</v>
      </c>
    </row>
    <row r="553" spans="7:22" x14ac:dyDescent="0.25">
      <c r="G553" cm="1">
        <f t="array" aca="1" ref="G553" ca="1">INDIRECT("Data!A" &amp; 548)</f>
        <v>0</v>
      </c>
      <c r="H553" s="21" cm="1">
        <f t="array" aca="1" ref="H553" ca="1">INDIRECT("Data!B" &amp; 548)</f>
        <v>0</v>
      </c>
      <c r="I553" s="21" cm="1">
        <f t="array" aca="1" ref="I553" ca="1">INDIRECT("Data!C" &amp; 548)</f>
        <v>0</v>
      </c>
      <c r="J553" cm="1">
        <f t="array" aca="1" ref="J553" ca="1">INDIRECT("Data!D" &amp; 548)</f>
        <v>0</v>
      </c>
      <c r="K553" cm="1">
        <f t="array" aca="1" ref="K553" ca="1">INDIRECT("Data!E" &amp; 548)</f>
        <v>0</v>
      </c>
      <c r="L553" cm="1">
        <f t="array" aca="1" ref="L553" ca="1">INDIRECT("Data!F" &amp; 548)</f>
        <v>0</v>
      </c>
      <c r="M553" cm="1">
        <f t="array" aca="1" ref="M553" ca="1">INDIRECT("Data!G" &amp; 548)</f>
        <v>0</v>
      </c>
      <c r="N553" cm="1">
        <f t="array" aca="1" ref="N553" ca="1">INDIRECT("Data!H" &amp; 548)</f>
        <v>0</v>
      </c>
      <c r="O553" cm="1">
        <f t="array" aca="1" ref="O553" ca="1">INDIRECT("Data!I" &amp; 548)</f>
        <v>0</v>
      </c>
      <c r="P553" s="21" cm="1">
        <f t="array" aca="1" ref="P553" ca="1">INDIRECT("Data!J" &amp; 548)</f>
        <v>0</v>
      </c>
      <c r="Q553" cm="1">
        <f t="array" aca="1" ref="Q553" ca="1">INDIRECT("Data!K" &amp; 548)</f>
        <v>0</v>
      </c>
      <c r="R553" cm="1">
        <f t="array" aca="1" ref="R553" ca="1">INDIRECT("Data!L" &amp; 548)</f>
        <v>0</v>
      </c>
      <c r="S553" cm="1">
        <f t="array" aca="1" ref="S553" ca="1">INDIRECT("Data!M" &amp; 548)</f>
        <v>0</v>
      </c>
      <c r="T553" cm="1">
        <f t="array" aca="1" ref="T553" ca="1">INDIRECT("Data!N" &amp; 548)</f>
        <v>0</v>
      </c>
      <c r="U553" cm="1">
        <f t="array" aca="1" ref="U553" ca="1">INDIRECT("Data!O" &amp; 548)</f>
        <v>0</v>
      </c>
      <c r="V553" cm="1">
        <f t="array" aca="1" ref="V553" ca="1">INDIRECT("Data!P" &amp; 548)</f>
        <v>0</v>
      </c>
    </row>
    <row r="554" spans="7:22" x14ac:dyDescent="0.25">
      <c r="G554" cm="1">
        <f t="array" aca="1" ref="G554" ca="1">INDIRECT("Data!A" &amp; 549)</f>
        <v>0</v>
      </c>
      <c r="H554" s="21" cm="1">
        <f t="array" aca="1" ref="H554" ca="1">INDIRECT("Data!B" &amp; 549)</f>
        <v>0</v>
      </c>
      <c r="I554" s="21" cm="1">
        <f t="array" aca="1" ref="I554" ca="1">INDIRECT("Data!C" &amp; 549)</f>
        <v>0</v>
      </c>
      <c r="J554" cm="1">
        <f t="array" aca="1" ref="J554" ca="1">INDIRECT("Data!D" &amp; 549)</f>
        <v>0</v>
      </c>
      <c r="K554" cm="1">
        <f t="array" aca="1" ref="K554" ca="1">INDIRECT("Data!E" &amp; 549)</f>
        <v>0</v>
      </c>
      <c r="L554" cm="1">
        <f t="array" aca="1" ref="L554" ca="1">INDIRECT("Data!F" &amp; 549)</f>
        <v>0</v>
      </c>
      <c r="M554" cm="1">
        <f t="array" aca="1" ref="M554" ca="1">INDIRECT("Data!G" &amp; 549)</f>
        <v>0</v>
      </c>
      <c r="N554" cm="1">
        <f t="array" aca="1" ref="N554" ca="1">INDIRECT("Data!H" &amp; 549)</f>
        <v>0</v>
      </c>
      <c r="O554" cm="1">
        <f t="array" aca="1" ref="O554" ca="1">INDIRECT("Data!I" &amp; 549)</f>
        <v>0</v>
      </c>
      <c r="P554" s="21" cm="1">
        <f t="array" aca="1" ref="P554" ca="1">INDIRECT("Data!J" &amp; 549)</f>
        <v>0</v>
      </c>
      <c r="Q554" cm="1">
        <f t="array" aca="1" ref="Q554" ca="1">INDIRECT("Data!K" &amp; 549)</f>
        <v>0</v>
      </c>
      <c r="R554" cm="1">
        <f t="array" aca="1" ref="R554" ca="1">INDIRECT("Data!L" &amp; 549)</f>
        <v>0</v>
      </c>
      <c r="S554" cm="1">
        <f t="array" aca="1" ref="S554" ca="1">INDIRECT("Data!M" &amp; 549)</f>
        <v>0</v>
      </c>
      <c r="T554" cm="1">
        <f t="array" aca="1" ref="T554" ca="1">INDIRECT("Data!N" &amp; 549)</f>
        <v>0</v>
      </c>
      <c r="U554" cm="1">
        <f t="array" aca="1" ref="U554" ca="1">INDIRECT("Data!O" &amp; 549)</f>
        <v>0</v>
      </c>
      <c r="V554" cm="1">
        <f t="array" aca="1" ref="V554" ca="1">INDIRECT("Data!P" &amp; 549)</f>
        <v>0</v>
      </c>
    </row>
    <row r="555" spans="7:22" x14ac:dyDescent="0.25">
      <c r="G555" cm="1">
        <f t="array" aca="1" ref="G555" ca="1">INDIRECT("Data!A" &amp; 550)</f>
        <v>0</v>
      </c>
      <c r="H555" s="21" cm="1">
        <f t="array" aca="1" ref="H555" ca="1">INDIRECT("Data!B" &amp; 550)</f>
        <v>0</v>
      </c>
      <c r="I555" s="21" cm="1">
        <f t="array" aca="1" ref="I555" ca="1">INDIRECT("Data!C" &amp; 550)</f>
        <v>0</v>
      </c>
      <c r="J555" cm="1">
        <f t="array" aca="1" ref="J555" ca="1">INDIRECT("Data!D" &amp; 550)</f>
        <v>0</v>
      </c>
      <c r="K555" cm="1">
        <f t="array" aca="1" ref="K555" ca="1">INDIRECT("Data!E" &amp; 550)</f>
        <v>0</v>
      </c>
      <c r="L555" cm="1">
        <f t="array" aca="1" ref="L555" ca="1">INDIRECT("Data!F" &amp; 550)</f>
        <v>0</v>
      </c>
      <c r="M555" cm="1">
        <f t="array" aca="1" ref="M555" ca="1">INDIRECT("Data!G" &amp; 550)</f>
        <v>0</v>
      </c>
      <c r="N555" cm="1">
        <f t="array" aca="1" ref="N555" ca="1">INDIRECT("Data!H" &amp; 550)</f>
        <v>0</v>
      </c>
      <c r="O555" cm="1">
        <f t="array" aca="1" ref="O555" ca="1">INDIRECT("Data!I" &amp; 550)</f>
        <v>0</v>
      </c>
      <c r="P555" s="21" cm="1">
        <f t="array" aca="1" ref="P555" ca="1">INDIRECT("Data!J" &amp; 550)</f>
        <v>0</v>
      </c>
      <c r="Q555" cm="1">
        <f t="array" aca="1" ref="Q555" ca="1">INDIRECT("Data!K" &amp; 550)</f>
        <v>0</v>
      </c>
      <c r="R555" cm="1">
        <f t="array" aca="1" ref="R555" ca="1">INDIRECT("Data!L" &amp; 550)</f>
        <v>0</v>
      </c>
      <c r="S555" cm="1">
        <f t="array" aca="1" ref="S555" ca="1">INDIRECT("Data!M" &amp; 550)</f>
        <v>0</v>
      </c>
      <c r="T555" cm="1">
        <f t="array" aca="1" ref="T555" ca="1">INDIRECT("Data!N" &amp; 550)</f>
        <v>0</v>
      </c>
      <c r="U555" cm="1">
        <f t="array" aca="1" ref="U555" ca="1">INDIRECT("Data!O" &amp; 550)</f>
        <v>0</v>
      </c>
      <c r="V555" cm="1">
        <f t="array" aca="1" ref="V555" ca="1">INDIRECT("Data!P" &amp; 550)</f>
        <v>0</v>
      </c>
    </row>
    <row r="556" spans="7:22" x14ac:dyDescent="0.25">
      <c r="G556" cm="1">
        <f t="array" aca="1" ref="G556" ca="1">INDIRECT("Data!A" &amp; 551)</f>
        <v>0</v>
      </c>
      <c r="H556" s="21" cm="1">
        <f t="array" aca="1" ref="H556" ca="1">INDIRECT("Data!B" &amp; 551)</f>
        <v>0</v>
      </c>
      <c r="I556" s="21" cm="1">
        <f t="array" aca="1" ref="I556" ca="1">INDIRECT("Data!C" &amp; 551)</f>
        <v>0</v>
      </c>
      <c r="J556" cm="1">
        <f t="array" aca="1" ref="J556" ca="1">INDIRECT("Data!D" &amp; 551)</f>
        <v>0</v>
      </c>
      <c r="K556" cm="1">
        <f t="array" aca="1" ref="K556" ca="1">INDIRECT("Data!E" &amp; 551)</f>
        <v>0</v>
      </c>
      <c r="L556" cm="1">
        <f t="array" aca="1" ref="L556" ca="1">INDIRECT("Data!F" &amp; 551)</f>
        <v>0</v>
      </c>
      <c r="M556" cm="1">
        <f t="array" aca="1" ref="M556" ca="1">INDIRECT("Data!G" &amp; 551)</f>
        <v>0</v>
      </c>
      <c r="N556" cm="1">
        <f t="array" aca="1" ref="N556" ca="1">INDIRECT("Data!H" &amp; 551)</f>
        <v>0</v>
      </c>
      <c r="O556" cm="1">
        <f t="array" aca="1" ref="O556" ca="1">INDIRECT("Data!I" &amp; 551)</f>
        <v>0</v>
      </c>
      <c r="P556" s="21" cm="1">
        <f t="array" aca="1" ref="P556" ca="1">INDIRECT("Data!J" &amp; 551)</f>
        <v>0</v>
      </c>
      <c r="Q556" cm="1">
        <f t="array" aca="1" ref="Q556" ca="1">INDIRECT("Data!K" &amp; 551)</f>
        <v>0</v>
      </c>
      <c r="R556" cm="1">
        <f t="array" aca="1" ref="R556" ca="1">INDIRECT("Data!L" &amp; 551)</f>
        <v>0</v>
      </c>
      <c r="S556" cm="1">
        <f t="array" aca="1" ref="S556" ca="1">INDIRECT("Data!M" &amp; 551)</f>
        <v>0</v>
      </c>
      <c r="T556" cm="1">
        <f t="array" aca="1" ref="T556" ca="1">INDIRECT("Data!N" &amp; 551)</f>
        <v>0</v>
      </c>
      <c r="U556" cm="1">
        <f t="array" aca="1" ref="U556" ca="1">INDIRECT("Data!O" &amp; 551)</f>
        <v>0</v>
      </c>
      <c r="V556" cm="1">
        <f t="array" aca="1" ref="V556" ca="1">INDIRECT("Data!P" &amp; 551)</f>
        <v>0</v>
      </c>
    </row>
    <row r="557" spans="7:22" x14ac:dyDescent="0.25">
      <c r="G557" cm="1">
        <f t="array" aca="1" ref="G557" ca="1">INDIRECT("Data!A" &amp; 552)</f>
        <v>0</v>
      </c>
      <c r="H557" s="21" cm="1">
        <f t="array" aca="1" ref="H557" ca="1">INDIRECT("Data!B" &amp; 552)</f>
        <v>0</v>
      </c>
      <c r="I557" s="21" cm="1">
        <f t="array" aca="1" ref="I557" ca="1">INDIRECT("Data!C" &amp; 552)</f>
        <v>0</v>
      </c>
      <c r="J557" cm="1">
        <f t="array" aca="1" ref="J557" ca="1">INDIRECT("Data!D" &amp; 552)</f>
        <v>0</v>
      </c>
      <c r="K557" cm="1">
        <f t="array" aca="1" ref="K557" ca="1">INDIRECT("Data!E" &amp; 552)</f>
        <v>0</v>
      </c>
      <c r="L557" cm="1">
        <f t="array" aca="1" ref="L557" ca="1">INDIRECT("Data!F" &amp; 552)</f>
        <v>0</v>
      </c>
      <c r="M557" cm="1">
        <f t="array" aca="1" ref="M557" ca="1">INDIRECT("Data!G" &amp; 552)</f>
        <v>0</v>
      </c>
      <c r="N557" cm="1">
        <f t="array" aca="1" ref="N557" ca="1">INDIRECT("Data!H" &amp; 552)</f>
        <v>0</v>
      </c>
      <c r="O557" cm="1">
        <f t="array" aca="1" ref="O557" ca="1">INDIRECT("Data!I" &amp; 552)</f>
        <v>0</v>
      </c>
      <c r="P557" s="21" cm="1">
        <f t="array" aca="1" ref="P557" ca="1">INDIRECT("Data!J" &amp; 552)</f>
        <v>0</v>
      </c>
      <c r="Q557" cm="1">
        <f t="array" aca="1" ref="Q557" ca="1">INDIRECT("Data!K" &amp; 552)</f>
        <v>0</v>
      </c>
      <c r="R557" cm="1">
        <f t="array" aca="1" ref="R557" ca="1">INDIRECT("Data!L" &amp; 552)</f>
        <v>0</v>
      </c>
      <c r="S557" cm="1">
        <f t="array" aca="1" ref="S557" ca="1">INDIRECT("Data!M" &amp; 552)</f>
        <v>0</v>
      </c>
      <c r="T557" cm="1">
        <f t="array" aca="1" ref="T557" ca="1">INDIRECT("Data!N" &amp; 552)</f>
        <v>0</v>
      </c>
      <c r="U557" cm="1">
        <f t="array" aca="1" ref="U557" ca="1">INDIRECT("Data!O" &amp; 552)</f>
        <v>0</v>
      </c>
      <c r="V557" cm="1">
        <f t="array" aca="1" ref="V557" ca="1">INDIRECT("Data!P" &amp; 552)</f>
        <v>0</v>
      </c>
    </row>
    <row r="558" spans="7:22" x14ac:dyDescent="0.25">
      <c r="G558" cm="1">
        <f t="array" aca="1" ref="G558" ca="1">INDIRECT("Data!A" &amp; 553)</f>
        <v>0</v>
      </c>
      <c r="H558" s="21" cm="1">
        <f t="array" aca="1" ref="H558" ca="1">INDIRECT("Data!B" &amp; 553)</f>
        <v>0</v>
      </c>
      <c r="I558" s="21" cm="1">
        <f t="array" aca="1" ref="I558" ca="1">INDIRECT("Data!C" &amp; 553)</f>
        <v>0</v>
      </c>
      <c r="J558" cm="1">
        <f t="array" aca="1" ref="J558" ca="1">INDIRECT("Data!D" &amp; 553)</f>
        <v>0</v>
      </c>
      <c r="K558" cm="1">
        <f t="array" aca="1" ref="K558" ca="1">INDIRECT("Data!E" &amp; 553)</f>
        <v>0</v>
      </c>
      <c r="L558" cm="1">
        <f t="array" aca="1" ref="L558" ca="1">INDIRECT("Data!F" &amp; 553)</f>
        <v>0</v>
      </c>
      <c r="M558" cm="1">
        <f t="array" aca="1" ref="M558" ca="1">INDIRECT("Data!G" &amp; 553)</f>
        <v>0</v>
      </c>
      <c r="N558" cm="1">
        <f t="array" aca="1" ref="N558" ca="1">INDIRECT("Data!H" &amp; 553)</f>
        <v>0</v>
      </c>
      <c r="O558" cm="1">
        <f t="array" aca="1" ref="O558" ca="1">INDIRECT("Data!I" &amp; 553)</f>
        <v>0</v>
      </c>
      <c r="P558" s="21" cm="1">
        <f t="array" aca="1" ref="P558" ca="1">INDIRECT("Data!J" &amp; 553)</f>
        <v>0</v>
      </c>
      <c r="Q558" cm="1">
        <f t="array" aca="1" ref="Q558" ca="1">INDIRECT("Data!K" &amp; 553)</f>
        <v>0</v>
      </c>
      <c r="R558" cm="1">
        <f t="array" aca="1" ref="R558" ca="1">INDIRECT("Data!L" &amp; 553)</f>
        <v>0</v>
      </c>
      <c r="S558" cm="1">
        <f t="array" aca="1" ref="S558" ca="1">INDIRECT("Data!M" &amp; 553)</f>
        <v>0</v>
      </c>
      <c r="T558" cm="1">
        <f t="array" aca="1" ref="T558" ca="1">INDIRECT("Data!N" &amp; 553)</f>
        <v>0</v>
      </c>
      <c r="U558" cm="1">
        <f t="array" aca="1" ref="U558" ca="1">INDIRECT("Data!O" &amp; 553)</f>
        <v>0</v>
      </c>
      <c r="V558" cm="1">
        <f t="array" aca="1" ref="V558" ca="1">INDIRECT("Data!P" &amp; 553)</f>
        <v>0</v>
      </c>
    </row>
    <row r="559" spans="7:22" x14ac:dyDescent="0.25">
      <c r="G559" cm="1">
        <f t="array" aca="1" ref="G559" ca="1">INDIRECT("Data!A" &amp; 554)</f>
        <v>0</v>
      </c>
      <c r="H559" s="21" cm="1">
        <f t="array" aca="1" ref="H559" ca="1">INDIRECT("Data!B" &amp; 554)</f>
        <v>0</v>
      </c>
      <c r="I559" s="21" cm="1">
        <f t="array" aca="1" ref="I559" ca="1">INDIRECT("Data!C" &amp; 554)</f>
        <v>0</v>
      </c>
      <c r="J559" cm="1">
        <f t="array" aca="1" ref="J559" ca="1">INDIRECT("Data!D" &amp; 554)</f>
        <v>0</v>
      </c>
      <c r="K559" cm="1">
        <f t="array" aca="1" ref="K559" ca="1">INDIRECT("Data!E" &amp; 554)</f>
        <v>0</v>
      </c>
      <c r="L559" cm="1">
        <f t="array" aca="1" ref="L559" ca="1">INDIRECT("Data!F" &amp; 554)</f>
        <v>0</v>
      </c>
      <c r="M559" cm="1">
        <f t="array" aca="1" ref="M559" ca="1">INDIRECT("Data!G" &amp; 554)</f>
        <v>0</v>
      </c>
      <c r="N559" cm="1">
        <f t="array" aca="1" ref="N559" ca="1">INDIRECT("Data!H" &amp; 554)</f>
        <v>0</v>
      </c>
      <c r="O559" cm="1">
        <f t="array" aca="1" ref="O559" ca="1">INDIRECT("Data!I" &amp; 554)</f>
        <v>0</v>
      </c>
      <c r="P559" s="21" cm="1">
        <f t="array" aca="1" ref="P559" ca="1">INDIRECT("Data!J" &amp; 554)</f>
        <v>0</v>
      </c>
      <c r="Q559" cm="1">
        <f t="array" aca="1" ref="Q559" ca="1">INDIRECT("Data!K" &amp; 554)</f>
        <v>0</v>
      </c>
      <c r="R559" cm="1">
        <f t="array" aca="1" ref="R559" ca="1">INDIRECT("Data!L" &amp; 554)</f>
        <v>0</v>
      </c>
      <c r="S559" cm="1">
        <f t="array" aca="1" ref="S559" ca="1">INDIRECT("Data!M" &amp; 554)</f>
        <v>0</v>
      </c>
      <c r="T559" cm="1">
        <f t="array" aca="1" ref="T559" ca="1">INDIRECT("Data!N" &amp; 554)</f>
        <v>0</v>
      </c>
      <c r="U559" cm="1">
        <f t="array" aca="1" ref="U559" ca="1">INDIRECT("Data!O" &amp; 554)</f>
        <v>0</v>
      </c>
      <c r="V559" cm="1">
        <f t="array" aca="1" ref="V559" ca="1">INDIRECT("Data!P" &amp; 554)</f>
        <v>0</v>
      </c>
    </row>
    <row r="560" spans="7:22" x14ac:dyDescent="0.25">
      <c r="G560" cm="1">
        <f t="array" aca="1" ref="G560" ca="1">INDIRECT("Data!A" &amp; 555)</f>
        <v>0</v>
      </c>
      <c r="H560" s="21" cm="1">
        <f t="array" aca="1" ref="H560" ca="1">INDIRECT("Data!B" &amp; 555)</f>
        <v>0</v>
      </c>
      <c r="I560" s="21" cm="1">
        <f t="array" aca="1" ref="I560" ca="1">INDIRECT("Data!C" &amp; 555)</f>
        <v>0</v>
      </c>
      <c r="J560" cm="1">
        <f t="array" aca="1" ref="J560" ca="1">INDIRECT("Data!D" &amp; 555)</f>
        <v>0</v>
      </c>
      <c r="K560" cm="1">
        <f t="array" aca="1" ref="K560" ca="1">INDIRECT("Data!E" &amp; 555)</f>
        <v>0</v>
      </c>
      <c r="L560" cm="1">
        <f t="array" aca="1" ref="L560" ca="1">INDIRECT("Data!F" &amp; 555)</f>
        <v>0</v>
      </c>
      <c r="M560" cm="1">
        <f t="array" aca="1" ref="M560" ca="1">INDIRECT("Data!G" &amp; 555)</f>
        <v>0</v>
      </c>
      <c r="N560" cm="1">
        <f t="array" aca="1" ref="N560" ca="1">INDIRECT("Data!H" &amp; 555)</f>
        <v>0</v>
      </c>
      <c r="O560" cm="1">
        <f t="array" aca="1" ref="O560" ca="1">INDIRECT("Data!I" &amp; 555)</f>
        <v>0</v>
      </c>
      <c r="P560" s="21" cm="1">
        <f t="array" aca="1" ref="P560" ca="1">INDIRECT("Data!J" &amp; 555)</f>
        <v>0</v>
      </c>
      <c r="Q560" cm="1">
        <f t="array" aca="1" ref="Q560" ca="1">INDIRECT("Data!K" &amp; 555)</f>
        <v>0</v>
      </c>
      <c r="R560" cm="1">
        <f t="array" aca="1" ref="R560" ca="1">INDIRECT("Data!L" &amp; 555)</f>
        <v>0</v>
      </c>
      <c r="S560" cm="1">
        <f t="array" aca="1" ref="S560" ca="1">INDIRECT("Data!M" &amp; 555)</f>
        <v>0</v>
      </c>
      <c r="T560" cm="1">
        <f t="array" aca="1" ref="T560" ca="1">INDIRECT("Data!N" &amp; 555)</f>
        <v>0</v>
      </c>
      <c r="U560" cm="1">
        <f t="array" aca="1" ref="U560" ca="1">INDIRECT("Data!O" &amp; 555)</f>
        <v>0</v>
      </c>
      <c r="V560" cm="1">
        <f t="array" aca="1" ref="V560" ca="1">INDIRECT("Data!P" &amp; 555)</f>
        <v>0</v>
      </c>
    </row>
    <row r="561" spans="7:22" x14ac:dyDescent="0.25">
      <c r="G561" cm="1">
        <f t="array" aca="1" ref="G561" ca="1">INDIRECT("Data!A" &amp; 556)</f>
        <v>0</v>
      </c>
      <c r="H561" s="21" cm="1">
        <f t="array" aca="1" ref="H561" ca="1">INDIRECT("Data!B" &amp; 556)</f>
        <v>0</v>
      </c>
      <c r="I561" s="21" cm="1">
        <f t="array" aca="1" ref="I561" ca="1">INDIRECT("Data!C" &amp; 556)</f>
        <v>0</v>
      </c>
      <c r="J561" cm="1">
        <f t="array" aca="1" ref="J561" ca="1">INDIRECT("Data!D" &amp; 556)</f>
        <v>0</v>
      </c>
      <c r="K561" cm="1">
        <f t="array" aca="1" ref="K561" ca="1">INDIRECT("Data!E" &amp; 556)</f>
        <v>0</v>
      </c>
      <c r="L561" cm="1">
        <f t="array" aca="1" ref="L561" ca="1">INDIRECT("Data!F" &amp; 556)</f>
        <v>0</v>
      </c>
      <c r="M561" cm="1">
        <f t="array" aca="1" ref="M561" ca="1">INDIRECT("Data!G" &amp; 556)</f>
        <v>0</v>
      </c>
      <c r="N561" cm="1">
        <f t="array" aca="1" ref="N561" ca="1">INDIRECT("Data!H" &amp; 556)</f>
        <v>0</v>
      </c>
      <c r="O561" cm="1">
        <f t="array" aca="1" ref="O561" ca="1">INDIRECT("Data!I" &amp; 556)</f>
        <v>0</v>
      </c>
      <c r="P561" s="21" cm="1">
        <f t="array" aca="1" ref="P561" ca="1">INDIRECT("Data!J" &amp; 556)</f>
        <v>0</v>
      </c>
      <c r="Q561" cm="1">
        <f t="array" aca="1" ref="Q561" ca="1">INDIRECT("Data!K" &amp; 556)</f>
        <v>0</v>
      </c>
      <c r="R561" cm="1">
        <f t="array" aca="1" ref="R561" ca="1">INDIRECT("Data!L" &amp; 556)</f>
        <v>0</v>
      </c>
      <c r="S561" cm="1">
        <f t="array" aca="1" ref="S561" ca="1">INDIRECT("Data!M" &amp; 556)</f>
        <v>0</v>
      </c>
      <c r="T561" cm="1">
        <f t="array" aca="1" ref="T561" ca="1">INDIRECT("Data!N" &amp; 556)</f>
        <v>0</v>
      </c>
      <c r="U561" cm="1">
        <f t="array" aca="1" ref="U561" ca="1">INDIRECT("Data!O" &amp; 556)</f>
        <v>0</v>
      </c>
      <c r="V561" cm="1">
        <f t="array" aca="1" ref="V561" ca="1">INDIRECT("Data!P" &amp; 556)</f>
        <v>0</v>
      </c>
    </row>
    <row r="562" spans="7:22" x14ac:dyDescent="0.25">
      <c r="G562" cm="1">
        <f t="array" aca="1" ref="G562" ca="1">INDIRECT("Data!A" &amp; 557)</f>
        <v>0</v>
      </c>
      <c r="H562" s="21" cm="1">
        <f t="array" aca="1" ref="H562" ca="1">INDIRECT("Data!B" &amp; 557)</f>
        <v>0</v>
      </c>
      <c r="I562" s="21" cm="1">
        <f t="array" aca="1" ref="I562" ca="1">INDIRECT("Data!C" &amp; 557)</f>
        <v>0</v>
      </c>
      <c r="J562" cm="1">
        <f t="array" aca="1" ref="J562" ca="1">INDIRECT("Data!D" &amp; 557)</f>
        <v>0</v>
      </c>
      <c r="K562" cm="1">
        <f t="array" aca="1" ref="K562" ca="1">INDIRECT("Data!E" &amp; 557)</f>
        <v>0</v>
      </c>
      <c r="L562" cm="1">
        <f t="array" aca="1" ref="L562" ca="1">INDIRECT("Data!F" &amp; 557)</f>
        <v>0</v>
      </c>
      <c r="M562" cm="1">
        <f t="array" aca="1" ref="M562" ca="1">INDIRECT("Data!G" &amp; 557)</f>
        <v>0</v>
      </c>
      <c r="N562" cm="1">
        <f t="array" aca="1" ref="N562" ca="1">INDIRECT("Data!H" &amp; 557)</f>
        <v>0</v>
      </c>
      <c r="O562" cm="1">
        <f t="array" aca="1" ref="O562" ca="1">INDIRECT("Data!I" &amp; 557)</f>
        <v>0</v>
      </c>
      <c r="P562" s="21" cm="1">
        <f t="array" aca="1" ref="P562" ca="1">INDIRECT("Data!J" &amp; 557)</f>
        <v>0</v>
      </c>
      <c r="Q562" cm="1">
        <f t="array" aca="1" ref="Q562" ca="1">INDIRECT("Data!K" &amp; 557)</f>
        <v>0</v>
      </c>
      <c r="R562" cm="1">
        <f t="array" aca="1" ref="R562" ca="1">INDIRECT("Data!L" &amp; 557)</f>
        <v>0</v>
      </c>
      <c r="S562" cm="1">
        <f t="array" aca="1" ref="S562" ca="1">INDIRECT("Data!M" &amp; 557)</f>
        <v>0</v>
      </c>
      <c r="T562" cm="1">
        <f t="array" aca="1" ref="T562" ca="1">INDIRECT("Data!N" &amp; 557)</f>
        <v>0</v>
      </c>
      <c r="U562" cm="1">
        <f t="array" aca="1" ref="U562" ca="1">INDIRECT("Data!O" &amp; 557)</f>
        <v>0</v>
      </c>
      <c r="V562" cm="1">
        <f t="array" aca="1" ref="V562" ca="1">INDIRECT("Data!P" &amp; 557)</f>
        <v>0</v>
      </c>
    </row>
    <row r="563" spans="7:22" x14ac:dyDescent="0.25">
      <c r="G563" cm="1">
        <f t="array" aca="1" ref="G563" ca="1">INDIRECT("Data!A" &amp; 558)</f>
        <v>0</v>
      </c>
      <c r="H563" s="21" cm="1">
        <f t="array" aca="1" ref="H563" ca="1">INDIRECT("Data!B" &amp; 558)</f>
        <v>0</v>
      </c>
      <c r="I563" s="21" cm="1">
        <f t="array" aca="1" ref="I563" ca="1">INDIRECT("Data!C" &amp; 558)</f>
        <v>0</v>
      </c>
      <c r="J563" cm="1">
        <f t="array" aca="1" ref="J563" ca="1">INDIRECT("Data!D" &amp; 558)</f>
        <v>0</v>
      </c>
      <c r="K563" cm="1">
        <f t="array" aca="1" ref="K563" ca="1">INDIRECT("Data!E" &amp; 558)</f>
        <v>0</v>
      </c>
      <c r="L563" cm="1">
        <f t="array" aca="1" ref="L563" ca="1">INDIRECT("Data!F" &amp; 558)</f>
        <v>0</v>
      </c>
      <c r="M563" cm="1">
        <f t="array" aca="1" ref="M563" ca="1">INDIRECT("Data!G" &amp; 558)</f>
        <v>0</v>
      </c>
      <c r="N563" cm="1">
        <f t="array" aca="1" ref="N563" ca="1">INDIRECT("Data!H" &amp; 558)</f>
        <v>0</v>
      </c>
      <c r="O563" cm="1">
        <f t="array" aca="1" ref="O563" ca="1">INDIRECT("Data!I" &amp; 558)</f>
        <v>0</v>
      </c>
      <c r="P563" s="21" cm="1">
        <f t="array" aca="1" ref="P563" ca="1">INDIRECT("Data!J" &amp; 558)</f>
        <v>0</v>
      </c>
      <c r="Q563" cm="1">
        <f t="array" aca="1" ref="Q563" ca="1">INDIRECT("Data!K" &amp; 558)</f>
        <v>0</v>
      </c>
      <c r="R563" cm="1">
        <f t="array" aca="1" ref="R563" ca="1">INDIRECT("Data!L" &amp; 558)</f>
        <v>0</v>
      </c>
      <c r="S563" cm="1">
        <f t="array" aca="1" ref="S563" ca="1">INDIRECT("Data!M" &amp; 558)</f>
        <v>0</v>
      </c>
      <c r="T563" cm="1">
        <f t="array" aca="1" ref="T563" ca="1">INDIRECT("Data!N" &amp; 558)</f>
        <v>0</v>
      </c>
      <c r="U563" cm="1">
        <f t="array" aca="1" ref="U563" ca="1">INDIRECT("Data!O" &amp; 558)</f>
        <v>0</v>
      </c>
      <c r="V563" cm="1">
        <f t="array" aca="1" ref="V563" ca="1">INDIRECT("Data!P" &amp; 558)</f>
        <v>0</v>
      </c>
    </row>
    <row r="564" spans="7:22" x14ac:dyDescent="0.25">
      <c r="G564" cm="1">
        <f t="array" aca="1" ref="G564" ca="1">INDIRECT("Data!A" &amp; 559)</f>
        <v>0</v>
      </c>
      <c r="H564" s="21" cm="1">
        <f t="array" aca="1" ref="H564" ca="1">INDIRECT("Data!B" &amp; 559)</f>
        <v>0</v>
      </c>
      <c r="I564" s="21" cm="1">
        <f t="array" aca="1" ref="I564" ca="1">INDIRECT("Data!C" &amp; 559)</f>
        <v>0</v>
      </c>
      <c r="J564" cm="1">
        <f t="array" aca="1" ref="J564" ca="1">INDIRECT("Data!D" &amp; 559)</f>
        <v>0</v>
      </c>
      <c r="K564" cm="1">
        <f t="array" aca="1" ref="K564" ca="1">INDIRECT("Data!E" &amp; 559)</f>
        <v>0</v>
      </c>
      <c r="L564" cm="1">
        <f t="array" aca="1" ref="L564" ca="1">INDIRECT("Data!F" &amp; 559)</f>
        <v>0</v>
      </c>
      <c r="M564" cm="1">
        <f t="array" aca="1" ref="M564" ca="1">INDIRECT("Data!G" &amp; 559)</f>
        <v>0</v>
      </c>
      <c r="N564" cm="1">
        <f t="array" aca="1" ref="N564" ca="1">INDIRECT("Data!H" &amp; 559)</f>
        <v>0</v>
      </c>
      <c r="O564" cm="1">
        <f t="array" aca="1" ref="O564" ca="1">INDIRECT("Data!I" &amp; 559)</f>
        <v>0</v>
      </c>
      <c r="P564" s="21" cm="1">
        <f t="array" aca="1" ref="P564" ca="1">INDIRECT("Data!J" &amp; 559)</f>
        <v>0</v>
      </c>
      <c r="Q564" cm="1">
        <f t="array" aca="1" ref="Q564" ca="1">INDIRECT("Data!K" &amp; 559)</f>
        <v>0</v>
      </c>
      <c r="R564" cm="1">
        <f t="array" aca="1" ref="R564" ca="1">INDIRECT("Data!L" &amp; 559)</f>
        <v>0</v>
      </c>
      <c r="S564" cm="1">
        <f t="array" aca="1" ref="S564" ca="1">INDIRECT("Data!M" &amp; 559)</f>
        <v>0</v>
      </c>
      <c r="T564" cm="1">
        <f t="array" aca="1" ref="T564" ca="1">INDIRECT("Data!N" &amp; 559)</f>
        <v>0</v>
      </c>
      <c r="U564" cm="1">
        <f t="array" aca="1" ref="U564" ca="1">INDIRECT("Data!O" &amp; 559)</f>
        <v>0</v>
      </c>
      <c r="V564" cm="1">
        <f t="array" aca="1" ref="V564" ca="1">INDIRECT("Data!P" &amp; 559)</f>
        <v>0</v>
      </c>
    </row>
    <row r="565" spans="7:22" x14ac:dyDescent="0.25">
      <c r="G565" cm="1">
        <f t="array" aca="1" ref="G565" ca="1">INDIRECT("Data!A" &amp; 560)</f>
        <v>0</v>
      </c>
      <c r="H565" s="21" cm="1">
        <f t="array" aca="1" ref="H565" ca="1">INDIRECT("Data!B" &amp; 560)</f>
        <v>0</v>
      </c>
      <c r="I565" s="21" cm="1">
        <f t="array" aca="1" ref="I565" ca="1">INDIRECT("Data!C" &amp; 560)</f>
        <v>0</v>
      </c>
      <c r="J565" cm="1">
        <f t="array" aca="1" ref="J565" ca="1">INDIRECT("Data!D" &amp; 560)</f>
        <v>0</v>
      </c>
      <c r="K565" cm="1">
        <f t="array" aca="1" ref="K565" ca="1">INDIRECT("Data!E" &amp; 560)</f>
        <v>0</v>
      </c>
      <c r="L565" cm="1">
        <f t="array" aca="1" ref="L565" ca="1">INDIRECT("Data!F" &amp; 560)</f>
        <v>0</v>
      </c>
      <c r="M565" cm="1">
        <f t="array" aca="1" ref="M565" ca="1">INDIRECT("Data!G" &amp; 560)</f>
        <v>0</v>
      </c>
      <c r="N565" cm="1">
        <f t="array" aca="1" ref="N565" ca="1">INDIRECT("Data!H" &amp; 560)</f>
        <v>0</v>
      </c>
      <c r="O565" cm="1">
        <f t="array" aca="1" ref="O565" ca="1">INDIRECT("Data!I" &amp; 560)</f>
        <v>0</v>
      </c>
      <c r="P565" s="21" cm="1">
        <f t="array" aca="1" ref="P565" ca="1">INDIRECT("Data!J" &amp; 560)</f>
        <v>0</v>
      </c>
      <c r="Q565" cm="1">
        <f t="array" aca="1" ref="Q565" ca="1">INDIRECT("Data!K" &amp; 560)</f>
        <v>0</v>
      </c>
      <c r="R565" cm="1">
        <f t="array" aca="1" ref="R565" ca="1">INDIRECT("Data!L" &amp; 560)</f>
        <v>0</v>
      </c>
      <c r="S565" cm="1">
        <f t="array" aca="1" ref="S565" ca="1">INDIRECT("Data!M" &amp; 560)</f>
        <v>0</v>
      </c>
      <c r="T565" cm="1">
        <f t="array" aca="1" ref="T565" ca="1">INDIRECT("Data!N" &amp; 560)</f>
        <v>0</v>
      </c>
      <c r="U565" cm="1">
        <f t="array" aca="1" ref="U565" ca="1">INDIRECT("Data!O" &amp; 560)</f>
        <v>0</v>
      </c>
      <c r="V565" cm="1">
        <f t="array" aca="1" ref="V565" ca="1">INDIRECT("Data!P" &amp; 560)</f>
        <v>0</v>
      </c>
    </row>
    <row r="566" spans="7:22" x14ac:dyDescent="0.25">
      <c r="G566" cm="1">
        <f t="array" aca="1" ref="G566" ca="1">INDIRECT("Data!A" &amp; 561)</f>
        <v>0</v>
      </c>
      <c r="H566" s="21" cm="1">
        <f t="array" aca="1" ref="H566" ca="1">INDIRECT("Data!B" &amp; 561)</f>
        <v>0</v>
      </c>
      <c r="I566" s="21" cm="1">
        <f t="array" aca="1" ref="I566" ca="1">INDIRECT("Data!C" &amp; 561)</f>
        <v>0</v>
      </c>
      <c r="J566" cm="1">
        <f t="array" aca="1" ref="J566" ca="1">INDIRECT("Data!D" &amp; 561)</f>
        <v>0</v>
      </c>
      <c r="K566" cm="1">
        <f t="array" aca="1" ref="K566" ca="1">INDIRECT("Data!E" &amp; 561)</f>
        <v>0</v>
      </c>
      <c r="L566" cm="1">
        <f t="array" aca="1" ref="L566" ca="1">INDIRECT("Data!F" &amp; 561)</f>
        <v>0</v>
      </c>
      <c r="M566" cm="1">
        <f t="array" aca="1" ref="M566" ca="1">INDIRECT("Data!G" &amp; 561)</f>
        <v>0</v>
      </c>
      <c r="N566" cm="1">
        <f t="array" aca="1" ref="N566" ca="1">INDIRECT("Data!H" &amp; 561)</f>
        <v>0</v>
      </c>
      <c r="O566" cm="1">
        <f t="array" aca="1" ref="O566" ca="1">INDIRECT("Data!I" &amp; 561)</f>
        <v>0</v>
      </c>
      <c r="P566" s="21" cm="1">
        <f t="array" aca="1" ref="P566" ca="1">INDIRECT("Data!J" &amp; 561)</f>
        <v>0</v>
      </c>
      <c r="Q566" cm="1">
        <f t="array" aca="1" ref="Q566" ca="1">INDIRECT("Data!K" &amp; 561)</f>
        <v>0</v>
      </c>
      <c r="R566" cm="1">
        <f t="array" aca="1" ref="R566" ca="1">INDIRECT("Data!L" &amp; 561)</f>
        <v>0</v>
      </c>
      <c r="S566" cm="1">
        <f t="array" aca="1" ref="S566" ca="1">INDIRECT("Data!M" &amp; 561)</f>
        <v>0</v>
      </c>
      <c r="T566" cm="1">
        <f t="array" aca="1" ref="T566" ca="1">INDIRECT("Data!N" &amp; 561)</f>
        <v>0</v>
      </c>
      <c r="U566" cm="1">
        <f t="array" aca="1" ref="U566" ca="1">INDIRECT("Data!O" &amp; 561)</f>
        <v>0</v>
      </c>
      <c r="V566" cm="1">
        <f t="array" aca="1" ref="V566" ca="1">INDIRECT("Data!P" &amp; 561)</f>
        <v>0</v>
      </c>
    </row>
    <row r="567" spans="7:22" x14ac:dyDescent="0.25">
      <c r="G567" cm="1">
        <f t="array" aca="1" ref="G567" ca="1">INDIRECT("Data!A" &amp; 562)</f>
        <v>0</v>
      </c>
      <c r="H567" s="21" cm="1">
        <f t="array" aca="1" ref="H567" ca="1">INDIRECT("Data!B" &amp; 562)</f>
        <v>0</v>
      </c>
      <c r="I567" s="21" cm="1">
        <f t="array" aca="1" ref="I567" ca="1">INDIRECT("Data!C" &amp; 562)</f>
        <v>0</v>
      </c>
      <c r="J567" cm="1">
        <f t="array" aca="1" ref="J567" ca="1">INDIRECT("Data!D" &amp; 562)</f>
        <v>0</v>
      </c>
      <c r="K567" cm="1">
        <f t="array" aca="1" ref="K567" ca="1">INDIRECT("Data!E" &amp; 562)</f>
        <v>0</v>
      </c>
      <c r="L567" cm="1">
        <f t="array" aca="1" ref="L567" ca="1">INDIRECT("Data!F" &amp; 562)</f>
        <v>0</v>
      </c>
      <c r="M567" cm="1">
        <f t="array" aca="1" ref="M567" ca="1">INDIRECT("Data!G" &amp; 562)</f>
        <v>0</v>
      </c>
      <c r="N567" cm="1">
        <f t="array" aca="1" ref="N567" ca="1">INDIRECT("Data!H" &amp; 562)</f>
        <v>0</v>
      </c>
      <c r="O567" cm="1">
        <f t="array" aca="1" ref="O567" ca="1">INDIRECT("Data!I" &amp; 562)</f>
        <v>0</v>
      </c>
      <c r="P567" s="21" cm="1">
        <f t="array" aca="1" ref="P567" ca="1">INDIRECT("Data!J" &amp; 562)</f>
        <v>0</v>
      </c>
      <c r="Q567" cm="1">
        <f t="array" aca="1" ref="Q567" ca="1">INDIRECT("Data!K" &amp; 562)</f>
        <v>0</v>
      </c>
      <c r="R567" cm="1">
        <f t="array" aca="1" ref="R567" ca="1">INDIRECT("Data!L" &amp; 562)</f>
        <v>0</v>
      </c>
      <c r="S567" cm="1">
        <f t="array" aca="1" ref="S567" ca="1">INDIRECT("Data!M" &amp; 562)</f>
        <v>0</v>
      </c>
      <c r="T567" cm="1">
        <f t="array" aca="1" ref="T567" ca="1">INDIRECT("Data!N" &amp; 562)</f>
        <v>0</v>
      </c>
      <c r="U567" cm="1">
        <f t="array" aca="1" ref="U567" ca="1">INDIRECT("Data!O" &amp; 562)</f>
        <v>0</v>
      </c>
      <c r="V567" cm="1">
        <f t="array" aca="1" ref="V567" ca="1">INDIRECT("Data!P" &amp; 562)</f>
        <v>0</v>
      </c>
    </row>
    <row r="568" spans="7:22" x14ac:dyDescent="0.25">
      <c r="G568" cm="1">
        <f t="array" aca="1" ref="G568" ca="1">INDIRECT("Data!A" &amp; 563)</f>
        <v>0</v>
      </c>
      <c r="H568" s="21" cm="1">
        <f t="array" aca="1" ref="H568" ca="1">INDIRECT("Data!B" &amp; 563)</f>
        <v>0</v>
      </c>
      <c r="I568" s="21" cm="1">
        <f t="array" aca="1" ref="I568" ca="1">INDIRECT("Data!C" &amp; 563)</f>
        <v>0</v>
      </c>
      <c r="J568" cm="1">
        <f t="array" aca="1" ref="J568" ca="1">INDIRECT("Data!D" &amp; 563)</f>
        <v>0</v>
      </c>
      <c r="K568" cm="1">
        <f t="array" aca="1" ref="K568" ca="1">INDIRECT("Data!E" &amp; 563)</f>
        <v>0</v>
      </c>
      <c r="L568" cm="1">
        <f t="array" aca="1" ref="L568" ca="1">INDIRECT("Data!F" &amp; 563)</f>
        <v>0</v>
      </c>
      <c r="M568" cm="1">
        <f t="array" aca="1" ref="M568" ca="1">INDIRECT("Data!G" &amp; 563)</f>
        <v>0</v>
      </c>
      <c r="N568" cm="1">
        <f t="array" aca="1" ref="N568" ca="1">INDIRECT("Data!H" &amp; 563)</f>
        <v>0</v>
      </c>
      <c r="O568" cm="1">
        <f t="array" aca="1" ref="O568" ca="1">INDIRECT("Data!I" &amp; 563)</f>
        <v>0</v>
      </c>
      <c r="P568" s="21" cm="1">
        <f t="array" aca="1" ref="P568" ca="1">INDIRECT("Data!J" &amp; 563)</f>
        <v>0</v>
      </c>
      <c r="Q568" cm="1">
        <f t="array" aca="1" ref="Q568" ca="1">INDIRECT("Data!K" &amp; 563)</f>
        <v>0</v>
      </c>
      <c r="R568" cm="1">
        <f t="array" aca="1" ref="R568" ca="1">INDIRECT("Data!L" &amp; 563)</f>
        <v>0</v>
      </c>
      <c r="S568" cm="1">
        <f t="array" aca="1" ref="S568" ca="1">INDIRECT("Data!M" &amp; 563)</f>
        <v>0</v>
      </c>
      <c r="T568" cm="1">
        <f t="array" aca="1" ref="T568" ca="1">INDIRECT("Data!N" &amp; 563)</f>
        <v>0</v>
      </c>
      <c r="U568" cm="1">
        <f t="array" aca="1" ref="U568" ca="1">INDIRECT("Data!O" &amp; 563)</f>
        <v>0</v>
      </c>
      <c r="V568" cm="1">
        <f t="array" aca="1" ref="V568" ca="1">INDIRECT("Data!P" &amp; 563)</f>
        <v>0</v>
      </c>
    </row>
    <row r="569" spans="7:22" x14ac:dyDescent="0.25">
      <c r="G569" cm="1">
        <f t="array" aca="1" ref="G569" ca="1">INDIRECT("Data!A" &amp; 564)</f>
        <v>0</v>
      </c>
      <c r="H569" s="21" cm="1">
        <f t="array" aca="1" ref="H569" ca="1">INDIRECT("Data!B" &amp; 564)</f>
        <v>0</v>
      </c>
      <c r="I569" s="21" cm="1">
        <f t="array" aca="1" ref="I569" ca="1">INDIRECT("Data!C" &amp; 564)</f>
        <v>0</v>
      </c>
      <c r="J569" cm="1">
        <f t="array" aca="1" ref="J569" ca="1">INDIRECT("Data!D" &amp; 564)</f>
        <v>0</v>
      </c>
      <c r="K569" cm="1">
        <f t="array" aca="1" ref="K569" ca="1">INDIRECT("Data!E" &amp; 564)</f>
        <v>0</v>
      </c>
      <c r="L569" cm="1">
        <f t="array" aca="1" ref="L569" ca="1">INDIRECT("Data!F" &amp; 564)</f>
        <v>0</v>
      </c>
      <c r="M569" cm="1">
        <f t="array" aca="1" ref="M569" ca="1">INDIRECT("Data!G" &amp; 564)</f>
        <v>0</v>
      </c>
      <c r="N569" cm="1">
        <f t="array" aca="1" ref="N569" ca="1">INDIRECT("Data!H" &amp; 564)</f>
        <v>0</v>
      </c>
      <c r="O569" cm="1">
        <f t="array" aca="1" ref="O569" ca="1">INDIRECT("Data!I" &amp; 564)</f>
        <v>0</v>
      </c>
      <c r="P569" s="21" cm="1">
        <f t="array" aca="1" ref="P569" ca="1">INDIRECT("Data!J" &amp; 564)</f>
        <v>0</v>
      </c>
      <c r="Q569" cm="1">
        <f t="array" aca="1" ref="Q569" ca="1">INDIRECT("Data!K" &amp; 564)</f>
        <v>0</v>
      </c>
      <c r="R569" cm="1">
        <f t="array" aca="1" ref="R569" ca="1">INDIRECT("Data!L" &amp; 564)</f>
        <v>0</v>
      </c>
      <c r="S569" cm="1">
        <f t="array" aca="1" ref="S569" ca="1">INDIRECT("Data!M" &amp; 564)</f>
        <v>0</v>
      </c>
      <c r="T569" cm="1">
        <f t="array" aca="1" ref="T569" ca="1">INDIRECT("Data!N" &amp; 564)</f>
        <v>0</v>
      </c>
      <c r="U569" cm="1">
        <f t="array" aca="1" ref="U569" ca="1">INDIRECT("Data!O" &amp; 564)</f>
        <v>0</v>
      </c>
      <c r="V569" cm="1">
        <f t="array" aca="1" ref="V569" ca="1">INDIRECT("Data!P" &amp; 564)</f>
        <v>0</v>
      </c>
    </row>
    <row r="570" spans="7:22" x14ac:dyDescent="0.25">
      <c r="G570" cm="1">
        <f t="array" aca="1" ref="G570" ca="1">INDIRECT("Data!A" &amp; 565)</f>
        <v>0</v>
      </c>
      <c r="H570" s="21" cm="1">
        <f t="array" aca="1" ref="H570" ca="1">INDIRECT("Data!B" &amp; 565)</f>
        <v>0</v>
      </c>
      <c r="I570" s="21" cm="1">
        <f t="array" aca="1" ref="I570" ca="1">INDIRECT("Data!C" &amp; 565)</f>
        <v>0</v>
      </c>
      <c r="J570" cm="1">
        <f t="array" aca="1" ref="J570" ca="1">INDIRECT("Data!D" &amp; 565)</f>
        <v>0</v>
      </c>
      <c r="K570" cm="1">
        <f t="array" aca="1" ref="K570" ca="1">INDIRECT("Data!E" &amp; 565)</f>
        <v>0</v>
      </c>
      <c r="L570" cm="1">
        <f t="array" aca="1" ref="L570" ca="1">INDIRECT("Data!F" &amp; 565)</f>
        <v>0</v>
      </c>
      <c r="M570" cm="1">
        <f t="array" aca="1" ref="M570" ca="1">INDIRECT("Data!G" &amp; 565)</f>
        <v>0</v>
      </c>
      <c r="N570" cm="1">
        <f t="array" aca="1" ref="N570" ca="1">INDIRECT("Data!H" &amp; 565)</f>
        <v>0</v>
      </c>
      <c r="O570" cm="1">
        <f t="array" aca="1" ref="O570" ca="1">INDIRECT("Data!I" &amp; 565)</f>
        <v>0</v>
      </c>
      <c r="P570" s="21" cm="1">
        <f t="array" aca="1" ref="P570" ca="1">INDIRECT("Data!J" &amp; 565)</f>
        <v>0</v>
      </c>
      <c r="Q570" cm="1">
        <f t="array" aca="1" ref="Q570" ca="1">INDIRECT("Data!K" &amp; 565)</f>
        <v>0</v>
      </c>
      <c r="R570" cm="1">
        <f t="array" aca="1" ref="R570" ca="1">INDIRECT("Data!L" &amp; 565)</f>
        <v>0</v>
      </c>
      <c r="S570" cm="1">
        <f t="array" aca="1" ref="S570" ca="1">INDIRECT("Data!M" &amp; 565)</f>
        <v>0</v>
      </c>
      <c r="T570" cm="1">
        <f t="array" aca="1" ref="T570" ca="1">INDIRECT("Data!N" &amp; 565)</f>
        <v>0</v>
      </c>
      <c r="U570" cm="1">
        <f t="array" aca="1" ref="U570" ca="1">INDIRECT("Data!O" &amp; 565)</f>
        <v>0</v>
      </c>
      <c r="V570" cm="1">
        <f t="array" aca="1" ref="V570" ca="1">INDIRECT("Data!P" &amp; 565)</f>
        <v>0</v>
      </c>
    </row>
    <row r="571" spans="7:22" x14ac:dyDescent="0.25">
      <c r="G571" cm="1">
        <f t="array" aca="1" ref="G571" ca="1">INDIRECT("Data!A" &amp; 566)</f>
        <v>0</v>
      </c>
      <c r="H571" s="21" cm="1">
        <f t="array" aca="1" ref="H571" ca="1">INDIRECT("Data!B" &amp; 566)</f>
        <v>0</v>
      </c>
      <c r="I571" s="21" cm="1">
        <f t="array" aca="1" ref="I571" ca="1">INDIRECT("Data!C" &amp; 566)</f>
        <v>0</v>
      </c>
      <c r="J571" cm="1">
        <f t="array" aca="1" ref="J571" ca="1">INDIRECT("Data!D" &amp; 566)</f>
        <v>0</v>
      </c>
      <c r="K571" cm="1">
        <f t="array" aca="1" ref="K571" ca="1">INDIRECT("Data!E" &amp; 566)</f>
        <v>0</v>
      </c>
      <c r="L571" cm="1">
        <f t="array" aca="1" ref="L571" ca="1">INDIRECT("Data!F" &amp; 566)</f>
        <v>0</v>
      </c>
      <c r="M571" cm="1">
        <f t="array" aca="1" ref="M571" ca="1">INDIRECT("Data!G" &amp; 566)</f>
        <v>0</v>
      </c>
      <c r="N571" cm="1">
        <f t="array" aca="1" ref="N571" ca="1">INDIRECT("Data!H" &amp; 566)</f>
        <v>0</v>
      </c>
      <c r="O571" cm="1">
        <f t="array" aca="1" ref="O571" ca="1">INDIRECT("Data!I" &amp; 566)</f>
        <v>0</v>
      </c>
      <c r="P571" s="21" cm="1">
        <f t="array" aca="1" ref="P571" ca="1">INDIRECT("Data!J" &amp; 566)</f>
        <v>0</v>
      </c>
      <c r="Q571" cm="1">
        <f t="array" aca="1" ref="Q571" ca="1">INDIRECT("Data!K" &amp; 566)</f>
        <v>0</v>
      </c>
      <c r="R571" cm="1">
        <f t="array" aca="1" ref="R571" ca="1">INDIRECT("Data!L" &amp; 566)</f>
        <v>0</v>
      </c>
      <c r="S571" cm="1">
        <f t="array" aca="1" ref="S571" ca="1">INDIRECT("Data!M" &amp; 566)</f>
        <v>0</v>
      </c>
      <c r="T571" cm="1">
        <f t="array" aca="1" ref="T571" ca="1">INDIRECT("Data!N" &amp; 566)</f>
        <v>0</v>
      </c>
      <c r="U571" cm="1">
        <f t="array" aca="1" ref="U571" ca="1">INDIRECT("Data!O" &amp; 566)</f>
        <v>0</v>
      </c>
      <c r="V571" cm="1">
        <f t="array" aca="1" ref="V571" ca="1">INDIRECT("Data!P" &amp; 566)</f>
        <v>0</v>
      </c>
    </row>
    <row r="572" spans="7:22" x14ac:dyDescent="0.25">
      <c r="G572" cm="1">
        <f t="array" aca="1" ref="G572" ca="1">INDIRECT("Data!A" &amp; 567)</f>
        <v>0</v>
      </c>
      <c r="H572" s="21" cm="1">
        <f t="array" aca="1" ref="H572" ca="1">INDIRECT("Data!B" &amp; 567)</f>
        <v>0</v>
      </c>
      <c r="I572" s="21" cm="1">
        <f t="array" aca="1" ref="I572" ca="1">INDIRECT("Data!C" &amp; 567)</f>
        <v>0</v>
      </c>
      <c r="J572" cm="1">
        <f t="array" aca="1" ref="J572" ca="1">INDIRECT("Data!D" &amp; 567)</f>
        <v>0</v>
      </c>
      <c r="K572" cm="1">
        <f t="array" aca="1" ref="K572" ca="1">INDIRECT("Data!E" &amp; 567)</f>
        <v>0</v>
      </c>
      <c r="L572" cm="1">
        <f t="array" aca="1" ref="L572" ca="1">INDIRECT("Data!F" &amp; 567)</f>
        <v>0</v>
      </c>
      <c r="M572" cm="1">
        <f t="array" aca="1" ref="M572" ca="1">INDIRECT("Data!G" &amp; 567)</f>
        <v>0</v>
      </c>
      <c r="N572" cm="1">
        <f t="array" aca="1" ref="N572" ca="1">INDIRECT("Data!H" &amp; 567)</f>
        <v>0</v>
      </c>
      <c r="O572" cm="1">
        <f t="array" aca="1" ref="O572" ca="1">INDIRECT("Data!I" &amp; 567)</f>
        <v>0</v>
      </c>
      <c r="P572" s="21" cm="1">
        <f t="array" aca="1" ref="P572" ca="1">INDIRECT("Data!J" &amp; 567)</f>
        <v>0</v>
      </c>
      <c r="Q572" cm="1">
        <f t="array" aca="1" ref="Q572" ca="1">INDIRECT("Data!K" &amp; 567)</f>
        <v>0</v>
      </c>
      <c r="R572" cm="1">
        <f t="array" aca="1" ref="R572" ca="1">INDIRECT("Data!L" &amp; 567)</f>
        <v>0</v>
      </c>
      <c r="S572" cm="1">
        <f t="array" aca="1" ref="S572" ca="1">INDIRECT("Data!M" &amp; 567)</f>
        <v>0</v>
      </c>
      <c r="T572" cm="1">
        <f t="array" aca="1" ref="T572" ca="1">INDIRECT("Data!N" &amp; 567)</f>
        <v>0</v>
      </c>
      <c r="U572" cm="1">
        <f t="array" aca="1" ref="U572" ca="1">INDIRECT("Data!O" &amp; 567)</f>
        <v>0</v>
      </c>
      <c r="V572" cm="1">
        <f t="array" aca="1" ref="V572" ca="1">INDIRECT("Data!P" &amp; 567)</f>
        <v>0</v>
      </c>
    </row>
    <row r="573" spans="7:22" x14ac:dyDescent="0.25">
      <c r="G573" cm="1">
        <f t="array" aca="1" ref="G573" ca="1">INDIRECT("Data!A" &amp; 568)</f>
        <v>0</v>
      </c>
      <c r="H573" s="21" cm="1">
        <f t="array" aca="1" ref="H573" ca="1">INDIRECT("Data!B" &amp; 568)</f>
        <v>0</v>
      </c>
      <c r="I573" s="21" cm="1">
        <f t="array" aca="1" ref="I573" ca="1">INDIRECT("Data!C" &amp; 568)</f>
        <v>0</v>
      </c>
      <c r="J573" cm="1">
        <f t="array" aca="1" ref="J573" ca="1">INDIRECT("Data!D" &amp; 568)</f>
        <v>0</v>
      </c>
      <c r="K573" cm="1">
        <f t="array" aca="1" ref="K573" ca="1">INDIRECT("Data!E" &amp; 568)</f>
        <v>0</v>
      </c>
      <c r="L573" cm="1">
        <f t="array" aca="1" ref="L573" ca="1">INDIRECT("Data!F" &amp; 568)</f>
        <v>0</v>
      </c>
      <c r="M573" cm="1">
        <f t="array" aca="1" ref="M573" ca="1">INDIRECT("Data!G" &amp; 568)</f>
        <v>0</v>
      </c>
      <c r="N573" cm="1">
        <f t="array" aca="1" ref="N573" ca="1">INDIRECT("Data!H" &amp; 568)</f>
        <v>0</v>
      </c>
      <c r="O573" cm="1">
        <f t="array" aca="1" ref="O573" ca="1">INDIRECT("Data!I" &amp; 568)</f>
        <v>0</v>
      </c>
      <c r="P573" s="21" cm="1">
        <f t="array" aca="1" ref="P573" ca="1">INDIRECT("Data!J" &amp; 568)</f>
        <v>0</v>
      </c>
      <c r="Q573" cm="1">
        <f t="array" aca="1" ref="Q573" ca="1">INDIRECT("Data!K" &amp; 568)</f>
        <v>0</v>
      </c>
      <c r="R573" cm="1">
        <f t="array" aca="1" ref="R573" ca="1">INDIRECT("Data!L" &amp; 568)</f>
        <v>0</v>
      </c>
      <c r="S573" cm="1">
        <f t="array" aca="1" ref="S573" ca="1">INDIRECT("Data!M" &amp; 568)</f>
        <v>0</v>
      </c>
      <c r="T573" cm="1">
        <f t="array" aca="1" ref="T573" ca="1">INDIRECT("Data!N" &amp; 568)</f>
        <v>0</v>
      </c>
      <c r="U573" cm="1">
        <f t="array" aca="1" ref="U573" ca="1">INDIRECT("Data!O" &amp; 568)</f>
        <v>0</v>
      </c>
      <c r="V573" cm="1">
        <f t="array" aca="1" ref="V573" ca="1">INDIRECT("Data!P" &amp; 568)</f>
        <v>0</v>
      </c>
    </row>
    <row r="574" spans="7:22" x14ac:dyDescent="0.25">
      <c r="G574" cm="1">
        <f t="array" aca="1" ref="G574" ca="1">INDIRECT("Data!A" &amp; 569)</f>
        <v>0</v>
      </c>
      <c r="H574" s="21" cm="1">
        <f t="array" aca="1" ref="H574" ca="1">INDIRECT("Data!B" &amp; 569)</f>
        <v>0</v>
      </c>
      <c r="I574" s="21" cm="1">
        <f t="array" aca="1" ref="I574" ca="1">INDIRECT("Data!C" &amp; 569)</f>
        <v>0</v>
      </c>
      <c r="J574" cm="1">
        <f t="array" aca="1" ref="J574" ca="1">INDIRECT("Data!D" &amp; 569)</f>
        <v>0</v>
      </c>
      <c r="K574" cm="1">
        <f t="array" aca="1" ref="K574" ca="1">INDIRECT("Data!E" &amp; 569)</f>
        <v>0</v>
      </c>
      <c r="L574" cm="1">
        <f t="array" aca="1" ref="L574" ca="1">INDIRECT("Data!F" &amp; 569)</f>
        <v>0</v>
      </c>
      <c r="M574" cm="1">
        <f t="array" aca="1" ref="M574" ca="1">INDIRECT("Data!G" &amp; 569)</f>
        <v>0</v>
      </c>
      <c r="N574" cm="1">
        <f t="array" aca="1" ref="N574" ca="1">INDIRECT("Data!H" &amp; 569)</f>
        <v>0</v>
      </c>
      <c r="O574" cm="1">
        <f t="array" aca="1" ref="O574" ca="1">INDIRECT("Data!I" &amp; 569)</f>
        <v>0</v>
      </c>
      <c r="P574" s="21" cm="1">
        <f t="array" aca="1" ref="P574" ca="1">INDIRECT("Data!J" &amp; 569)</f>
        <v>0</v>
      </c>
      <c r="Q574" cm="1">
        <f t="array" aca="1" ref="Q574" ca="1">INDIRECT("Data!K" &amp; 569)</f>
        <v>0</v>
      </c>
      <c r="R574" cm="1">
        <f t="array" aca="1" ref="R574" ca="1">INDIRECT("Data!L" &amp; 569)</f>
        <v>0</v>
      </c>
      <c r="S574" cm="1">
        <f t="array" aca="1" ref="S574" ca="1">INDIRECT("Data!M" &amp; 569)</f>
        <v>0</v>
      </c>
      <c r="T574" cm="1">
        <f t="array" aca="1" ref="T574" ca="1">INDIRECT("Data!N" &amp; 569)</f>
        <v>0</v>
      </c>
      <c r="U574" cm="1">
        <f t="array" aca="1" ref="U574" ca="1">INDIRECT("Data!O" &amp; 569)</f>
        <v>0</v>
      </c>
      <c r="V574" cm="1">
        <f t="array" aca="1" ref="V574" ca="1">INDIRECT("Data!P" &amp; 569)</f>
        <v>0</v>
      </c>
    </row>
    <row r="575" spans="7:22" x14ac:dyDescent="0.25">
      <c r="G575" cm="1">
        <f t="array" aca="1" ref="G575" ca="1">INDIRECT("Data!A" &amp; 570)</f>
        <v>0</v>
      </c>
      <c r="H575" s="21" cm="1">
        <f t="array" aca="1" ref="H575" ca="1">INDIRECT("Data!B" &amp; 570)</f>
        <v>0</v>
      </c>
      <c r="I575" s="21" cm="1">
        <f t="array" aca="1" ref="I575" ca="1">INDIRECT("Data!C" &amp; 570)</f>
        <v>0</v>
      </c>
      <c r="J575" cm="1">
        <f t="array" aca="1" ref="J575" ca="1">INDIRECT("Data!D" &amp; 570)</f>
        <v>0</v>
      </c>
      <c r="K575" cm="1">
        <f t="array" aca="1" ref="K575" ca="1">INDIRECT("Data!E" &amp; 570)</f>
        <v>0</v>
      </c>
      <c r="L575" cm="1">
        <f t="array" aca="1" ref="L575" ca="1">INDIRECT("Data!F" &amp; 570)</f>
        <v>0</v>
      </c>
      <c r="M575" cm="1">
        <f t="array" aca="1" ref="M575" ca="1">INDIRECT("Data!G" &amp; 570)</f>
        <v>0</v>
      </c>
      <c r="N575" cm="1">
        <f t="array" aca="1" ref="N575" ca="1">INDIRECT("Data!H" &amp; 570)</f>
        <v>0</v>
      </c>
      <c r="O575" cm="1">
        <f t="array" aca="1" ref="O575" ca="1">INDIRECT("Data!I" &amp; 570)</f>
        <v>0</v>
      </c>
      <c r="P575" s="21" cm="1">
        <f t="array" aca="1" ref="P575" ca="1">INDIRECT("Data!J" &amp; 570)</f>
        <v>0</v>
      </c>
      <c r="Q575" cm="1">
        <f t="array" aca="1" ref="Q575" ca="1">INDIRECT("Data!K" &amp; 570)</f>
        <v>0</v>
      </c>
      <c r="R575" cm="1">
        <f t="array" aca="1" ref="R575" ca="1">INDIRECT("Data!L" &amp; 570)</f>
        <v>0</v>
      </c>
      <c r="S575" cm="1">
        <f t="array" aca="1" ref="S575" ca="1">INDIRECT("Data!M" &amp; 570)</f>
        <v>0</v>
      </c>
      <c r="T575" cm="1">
        <f t="array" aca="1" ref="T575" ca="1">INDIRECT("Data!N" &amp; 570)</f>
        <v>0</v>
      </c>
      <c r="U575" cm="1">
        <f t="array" aca="1" ref="U575" ca="1">INDIRECT("Data!O" &amp; 570)</f>
        <v>0</v>
      </c>
      <c r="V575" cm="1">
        <f t="array" aca="1" ref="V575" ca="1">INDIRECT("Data!P" &amp; 570)</f>
        <v>0</v>
      </c>
    </row>
    <row r="576" spans="7:22" x14ac:dyDescent="0.25">
      <c r="G576" cm="1">
        <f t="array" aca="1" ref="G576" ca="1">INDIRECT("Data!A" &amp; 571)</f>
        <v>0</v>
      </c>
      <c r="H576" s="21" cm="1">
        <f t="array" aca="1" ref="H576" ca="1">INDIRECT("Data!B" &amp; 571)</f>
        <v>0</v>
      </c>
      <c r="I576" s="21" cm="1">
        <f t="array" aca="1" ref="I576" ca="1">INDIRECT("Data!C" &amp; 571)</f>
        <v>0</v>
      </c>
      <c r="J576" cm="1">
        <f t="array" aca="1" ref="J576" ca="1">INDIRECT("Data!D" &amp; 571)</f>
        <v>0</v>
      </c>
      <c r="K576" cm="1">
        <f t="array" aca="1" ref="K576" ca="1">INDIRECT("Data!E" &amp; 571)</f>
        <v>0</v>
      </c>
      <c r="L576" cm="1">
        <f t="array" aca="1" ref="L576" ca="1">INDIRECT("Data!F" &amp; 571)</f>
        <v>0</v>
      </c>
      <c r="M576" cm="1">
        <f t="array" aca="1" ref="M576" ca="1">INDIRECT("Data!G" &amp; 571)</f>
        <v>0</v>
      </c>
      <c r="N576" cm="1">
        <f t="array" aca="1" ref="N576" ca="1">INDIRECT("Data!H" &amp; 571)</f>
        <v>0</v>
      </c>
      <c r="O576" cm="1">
        <f t="array" aca="1" ref="O576" ca="1">INDIRECT("Data!I" &amp; 571)</f>
        <v>0</v>
      </c>
      <c r="P576" s="21" cm="1">
        <f t="array" aca="1" ref="P576" ca="1">INDIRECT("Data!J" &amp; 571)</f>
        <v>0</v>
      </c>
      <c r="Q576" cm="1">
        <f t="array" aca="1" ref="Q576" ca="1">INDIRECT("Data!K" &amp; 571)</f>
        <v>0</v>
      </c>
      <c r="R576" cm="1">
        <f t="array" aca="1" ref="R576" ca="1">INDIRECT("Data!L" &amp; 571)</f>
        <v>0</v>
      </c>
      <c r="S576" cm="1">
        <f t="array" aca="1" ref="S576" ca="1">INDIRECT("Data!M" &amp; 571)</f>
        <v>0</v>
      </c>
      <c r="T576" cm="1">
        <f t="array" aca="1" ref="T576" ca="1">INDIRECT("Data!N" &amp; 571)</f>
        <v>0</v>
      </c>
      <c r="U576" cm="1">
        <f t="array" aca="1" ref="U576" ca="1">INDIRECT("Data!O" &amp; 571)</f>
        <v>0</v>
      </c>
      <c r="V576" cm="1">
        <f t="array" aca="1" ref="V576" ca="1">INDIRECT("Data!P" &amp; 571)</f>
        <v>0</v>
      </c>
    </row>
    <row r="577" spans="7:22" x14ac:dyDescent="0.25">
      <c r="G577" cm="1">
        <f t="array" aca="1" ref="G577" ca="1">INDIRECT("Data!A" &amp; 572)</f>
        <v>0</v>
      </c>
      <c r="H577" s="21" cm="1">
        <f t="array" aca="1" ref="H577" ca="1">INDIRECT("Data!B" &amp; 572)</f>
        <v>0</v>
      </c>
      <c r="I577" s="21" cm="1">
        <f t="array" aca="1" ref="I577" ca="1">INDIRECT("Data!C" &amp; 572)</f>
        <v>0</v>
      </c>
      <c r="J577" cm="1">
        <f t="array" aca="1" ref="J577" ca="1">INDIRECT("Data!D" &amp; 572)</f>
        <v>0</v>
      </c>
      <c r="K577" cm="1">
        <f t="array" aca="1" ref="K577" ca="1">INDIRECT("Data!E" &amp; 572)</f>
        <v>0</v>
      </c>
      <c r="L577" cm="1">
        <f t="array" aca="1" ref="L577" ca="1">INDIRECT("Data!F" &amp; 572)</f>
        <v>0</v>
      </c>
      <c r="M577" cm="1">
        <f t="array" aca="1" ref="M577" ca="1">INDIRECT("Data!G" &amp; 572)</f>
        <v>0</v>
      </c>
      <c r="N577" cm="1">
        <f t="array" aca="1" ref="N577" ca="1">INDIRECT("Data!H" &amp; 572)</f>
        <v>0</v>
      </c>
      <c r="O577" cm="1">
        <f t="array" aca="1" ref="O577" ca="1">INDIRECT("Data!I" &amp; 572)</f>
        <v>0</v>
      </c>
      <c r="P577" s="21" cm="1">
        <f t="array" aca="1" ref="P577" ca="1">INDIRECT("Data!J" &amp; 572)</f>
        <v>0</v>
      </c>
      <c r="Q577" cm="1">
        <f t="array" aca="1" ref="Q577" ca="1">INDIRECT("Data!K" &amp; 572)</f>
        <v>0</v>
      </c>
      <c r="R577" cm="1">
        <f t="array" aca="1" ref="R577" ca="1">INDIRECT("Data!L" &amp; 572)</f>
        <v>0</v>
      </c>
      <c r="S577" cm="1">
        <f t="array" aca="1" ref="S577" ca="1">INDIRECT("Data!M" &amp; 572)</f>
        <v>0</v>
      </c>
      <c r="T577" cm="1">
        <f t="array" aca="1" ref="T577" ca="1">INDIRECT("Data!N" &amp; 572)</f>
        <v>0</v>
      </c>
      <c r="U577" cm="1">
        <f t="array" aca="1" ref="U577" ca="1">INDIRECT("Data!O" &amp; 572)</f>
        <v>0</v>
      </c>
      <c r="V577" cm="1">
        <f t="array" aca="1" ref="V577" ca="1">INDIRECT("Data!P" &amp; 572)</f>
        <v>0</v>
      </c>
    </row>
    <row r="578" spans="7:22" x14ac:dyDescent="0.25">
      <c r="G578" cm="1">
        <f t="array" aca="1" ref="G578" ca="1">INDIRECT("Data!A" &amp; 573)</f>
        <v>0</v>
      </c>
      <c r="H578" s="21" cm="1">
        <f t="array" aca="1" ref="H578" ca="1">INDIRECT("Data!B" &amp; 573)</f>
        <v>0</v>
      </c>
      <c r="I578" s="21" cm="1">
        <f t="array" aca="1" ref="I578" ca="1">INDIRECT("Data!C" &amp; 573)</f>
        <v>0</v>
      </c>
      <c r="J578" cm="1">
        <f t="array" aca="1" ref="J578" ca="1">INDIRECT("Data!D" &amp; 573)</f>
        <v>0</v>
      </c>
      <c r="K578" cm="1">
        <f t="array" aca="1" ref="K578" ca="1">INDIRECT("Data!E" &amp; 573)</f>
        <v>0</v>
      </c>
      <c r="L578" cm="1">
        <f t="array" aca="1" ref="L578" ca="1">INDIRECT("Data!F" &amp; 573)</f>
        <v>0</v>
      </c>
      <c r="M578" cm="1">
        <f t="array" aca="1" ref="M578" ca="1">INDIRECT("Data!G" &amp; 573)</f>
        <v>0</v>
      </c>
      <c r="N578" cm="1">
        <f t="array" aca="1" ref="N578" ca="1">INDIRECT("Data!H" &amp; 573)</f>
        <v>0</v>
      </c>
      <c r="O578" cm="1">
        <f t="array" aca="1" ref="O578" ca="1">INDIRECT("Data!I" &amp; 573)</f>
        <v>0</v>
      </c>
      <c r="P578" s="21" cm="1">
        <f t="array" aca="1" ref="P578" ca="1">INDIRECT("Data!J" &amp; 573)</f>
        <v>0</v>
      </c>
      <c r="Q578" cm="1">
        <f t="array" aca="1" ref="Q578" ca="1">INDIRECT("Data!K" &amp; 573)</f>
        <v>0</v>
      </c>
      <c r="R578" cm="1">
        <f t="array" aca="1" ref="R578" ca="1">INDIRECT("Data!L" &amp; 573)</f>
        <v>0</v>
      </c>
      <c r="S578" cm="1">
        <f t="array" aca="1" ref="S578" ca="1">INDIRECT("Data!M" &amp; 573)</f>
        <v>0</v>
      </c>
      <c r="T578" cm="1">
        <f t="array" aca="1" ref="T578" ca="1">INDIRECT("Data!N" &amp; 573)</f>
        <v>0</v>
      </c>
      <c r="U578" cm="1">
        <f t="array" aca="1" ref="U578" ca="1">INDIRECT("Data!O" &amp; 573)</f>
        <v>0</v>
      </c>
      <c r="V578" cm="1">
        <f t="array" aca="1" ref="V578" ca="1">INDIRECT("Data!P" &amp; 573)</f>
        <v>0</v>
      </c>
    </row>
    <row r="579" spans="7:22" x14ac:dyDescent="0.25">
      <c r="G579" cm="1">
        <f t="array" aca="1" ref="G579" ca="1">INDIRECT("Data!A" &amp; 574)</f>
        <v>0</v>
      </c>
      <c r="H579" s="21" cm="1">
        <f t="array" aca="1" ref="H579" ca="1">INDIRECT("Data!B" &amp; 574)</f>
        <v>0</v>
      </c>
      <c r="I579" s="21" cm="1">
        <f t="array" aca="1" ref="I579" ca="1">INDIRECT("Data!C" &amp; 574)</f>
        <v>0</v>
      </c>
      <c r="J579" cm="1">
        <f t="array" aca="1" ref="J579" ca="1">INDIRECT("Data!D" &amp; 574)</f>
        <v>0</v>
      </c>
      <c r="K579" cm="1">
        <f t="array" aca="1" ref="K579" ca="1">INDIRECT("Data!E" &amp; 574)</f>
        <v>0</v>
      </c>
      <c r="L579" cm="1">
        <f t="array" aca="1" ref="L579" ca="1">INDIRECT("Data!F" &amp; 574)</f>
        <v>0</v>
      </c>
      <c r="M579" cm="1">
        <f t="array" aca="1" ref="M579" ca="1">INDIRECT("Data!G" &amp; 574)</f>
        <v>0</v>
      </c>
      <c r="N579" cm="1">
        <f t="array" aca="1" ref="N579" ca="1">INDIRECT("Data!H" &amp; 574)</f>
        <v>0</v>
      </c>
      <c r="O579" cm="1">
        <f t="array" aca="1" ref="O579" ca="1">INDIRECT("Data!I" &amp; 574)</f>
        <v>0</v>
      </c>
      <c r="P579" s="21" cm="1">
        <f t="array" aca="1" ref="P579" ca="1">INDIRECT("Data!J" &amp; 574)</f>
        <v>0</v>
      </c>
      <c r="Q579" cm="1">
        <f t="array" aca="1" ref="Q579" ca="1">INDIRECT("Data!K" &amp; 574)</f>
        <v>0</v>
      </c>
      <c r="R579" cm="1">
        <f t="array" aca="1" ref="R579" ca="1">INDIRECT("Data!L" &amp; 574)</f>
        <v>0</v>
      </c>
      <c r="S579" cm="1">
        <f t="array" aca="1" ref="S579" ca="1">INDIRECT("Data!M" &amp; 574)</f>
        <v>0</v>
      </c>
      <c r="T579" cm="1">
        <f t="array" aca="1" ref="T579" ca="1">INDIRECT("Data!N" &amp; 574)</f>
        <v>0</v>
      </c>
      <c r="U579" cm="1">
        <f t="array" aca="1" ref="U579" ca="1">INDIRECT("Data!O" &amp; 574)</f>
        <v>0</v>
      </c>
      <c r="V579" cm="1">
        <f t="array" aca="1" ref="V579" ca="1">INDIRECT("Data!P" &amp; 574)</f>
        <v>0</v>
      </c>
    </row>
    <row r="580" spans="7:22" x14ac:dyDescent="0.25">
      <c r="G580" cm="1">
        <f t="array" aca="1" ref="G580" ca="1">INDIRECT("Data!A" &amp; 575)</f>
        <v>0</v>
      </c>
      <c r="H580" s="21" cm="1">
        <f t="array" aca="1" ref="H580" ca="1">INDIRECT("Data!B" &amp; 575)</f>
        <v>0</v>
      </c>
      <c r="I580" s="21" cm="1">
        <f t="array" aca="1" ref="I580" ca="1">INDIRECT("Data!C" &amp; 575)</f>
        <v>0</v>
      </c>
      <c r="J580" cm="1">
        <f t="array" aca="1" ref="J580" ca="1">INDIRECT("Data!D" &amp; 575)</f>
        <v>0</v>
      </c>
      <c r="K580" cm="1">
        <f t="array" aca="1" ref="K580" ca="1">INDIRECT("Data!E" &amp; 575)</f>
        <v>0</v>
      </c>
      <c r="L580" cm="1">
        <f t="array" aca="1" ref="L580" ca="1">INDIRECT("Data!F" &amp; 575)</f>
        <v>0</v>
      </c>
      <c r="M580" cm="1">
        <f t="array" aca="1" ref="M580" ca="1">INDIRECT("Data!G" &amp; 575)</f>
        <v>0</v>
      </c>
      <c r="N580" cm="1">
        <f t="array" aca="1" ref="N580" ca="1">INDIRECT("Data!H" &amp; 575)</f>
        <v>0</v>
      </c>
      <c r="O580" cm="1">
        <f t="array" aca="1" ref="O580" ca="1">INDIRECT("Data!I" &amp; 575)</f>
        <v>0</v>
      </c>
      <c r="P580" s="21" cm="1">
        <f t="array" aca="1" ref="P580" ca="1">INDIRECT("Data!J" &amp; 575)</f>
        <v>0</v>
      </c>
      <c r="Q580" cm="1">
        <f t="array" aca="1" ref="Q580" ca="1">INDIRECT("Data!K" &amp; 575)</f>
        <v>0</v>
      </c>
      <c r="R580" cm="1">
        <f t="array" aca="1" ref="R580" ca="1">INDIRECT("Data!L" &amp; 575)</f>
        <v>0</v>
      </c>
      <c r="S580" cm="1">
        <f t="array" aca="1" ref="S580" ca="1">INDIRECT("Data!M" &amp; 575)</f>
        <v>0</v>
      </c>
      <c r="T580" cm="1">
        <f t="array" aca="1" ref="T580" ca="1">INDIRECT("Data!N" &amp; 575)</f>
        <v>0</v>
      </c>
      <c r="U580" cm="1">
        <f t="array" aca="1" ref="U580" ca="1">INDIRECT("Data!O" &amp; 575)</f>
        <v>0</v>
      </c>
      <c r="V580" cm="1">
        <f t="array" aca="1" ref="V580" ca="1">INDIRECT("Data!P" &amp; 575)</f>
        <v>0</v>
      </c>
    </row>
    <row r="581" spans="7:22" x14ac:dyDescent="0.25">
      <c r="G581" cm="1">
        <f t="array" aca="1" ref="G581" ca="1">INDIRECT("Data!A" &amp; 576)</f>
        <v>0</v>
      </c>
      <c r="H581" s="21" cm="1">
        <f t="array" aca="1" ref="H581" ca="1">INDIRECT("Data!B" &amp; 576)</f>
        <v>0</v>
      </c>
      <c r="I581" s="21" cm="1">
        <f t="array" aca="1" ref="I581" ca="1">INDIRECT("Data!C" &amp; 576)</f>
        <v>0</v>
      </c>
      <c r="J581" cm="1">
        <f t="array" aca="1" ref="J581" ca="1">INDIRECT("Data!D" &amp; 576)</f>
        <v>0</v>
      </c>
      <c r="K581" cm="1">
        <f t="array" aca="1" ref="K581" ca="1">INDIRECT("Data!E" &amp; 576)</f>
        <v>0</v>
      </c>
      <c r="L581" cm="1">
        <f t="array" aca="1" ref="L581" ca="1">INDIRECT("Data!F" &amp; 576)</f>
        <v>0</v>
      </c>
      <c r="M581" cm="1">
        <f t="array" aca="1" ref="M581" ca="1">INDIRECT("Data!G" &amp; 576)</f>
        <v>0</v>
      </c>
      <c r="N581" cm="1">
        <f t="array" aca="1" ref="N581" ca="1">INDIRECT("Data!H" &amp; 576)</f>
        <v>0</v>
      </c>
      <c r="O581" cm="1">
        <f t="array" aca="1" ref="O581" ca="1">INDIRECT("Data!I" &amp; 576)</f>
        <v>0</v>
      </c>
      <c r="P581" s="21" cm="1">
        <f t="array" aca="1" ref="P581" ca="1">INDIRECT("Data!J" &amp; 576)</f>
        <v>0</v>
      </c>
      <c r="Q581" cm="1">
        <f t="array" aca="1" ref="Q581" ca="1">INDIRECT("Data!K" &amp; 576)</f>
        <v>0</v>
      </c>
      <c r="R581" cm="1">
        <f t="array" aca="1" ref="R581" ca="1">INDIRECT("Data!L" &amp; 576)</f>
        <v>0</v>
      </c>
      <c r="S581" cm="1">
        <f t="array" aca="1" ref="S581" ca="1">INDIRECT("Data!M" &amp; 576)</f>
        <v>0</v>
      </c>
      <c r="T581" cm="1">
        <f t="array" aca="1" ref="T581" ca="1">INDIRECT("Data!N" &amp; 576)</f>
        <v>0</v>
      </c>
      <c r="U581" cm="1">
        <f t="array" aca="1" ref="U581" ca="1">INDIRECT("Data!O" &amp; 576)</f>
        <v>0</v>
      </c>
      <c r="V581" cm="1">
        <f t="array" aca="1" ref="V581" ca="1">INDIRECT("Data!P" &amp; 576)</f>
        <v>0</v>
      </c>
    </row>
    <row r="582" spans="7:22" x14ac:dyDescent="0.25">
      <c r="G582" cm="1">
        <f t="array" aca="1" ref="G582" ca="1">INDIRECT("Data!A" &amp; 577)</f>
        <v>0</v>
      </c>
      <c r="H582" s="21" cm="1">
        <f t="array" aca="1" ref="H582" ca="1">INDIRECT("Data!B" &amp; 577)</f>
        <v>0</v>
      </c>
      <c r="I582" s="21" cm="1">
        <f t="array" aca="1" ref="I582" ca="1">INDIRECT("Data!C" &amp; 577)</f>
        <v>0</v>
      </c>
      <c r="J582" cm="1">
        <f t="array" aca="1" ref="J582" ca="1">INDIRECT("Data!D" &amp; 577)</f>
        <v>0</v>
      </c>
      <c r="K582" cm="1">
        <f t="array" aca="1" ref="K582" ca="1">INDIRECT("Data!E" &amp; 577)</f>
        <v>0</v>
      </c>
      <c r="L582" cm="1">
        <f t="array" aca="1" ref="L582" ca="1">INDIRECT("Data!F" &amp; 577)</f>
        <v>0</v>
      </c>
      <c r="M582" cm="1">
        <f t="array" aca="1" ref="M582" ca="1">INDIRECT("Data!G" &amp; 577)</f>
        <v>0</v>
      </c>
      <c r="N582" cm="1">
        <f t="array" aca="1" ref="N582" ca="1">INDIRECT("Data!H" &amp; 577)</f>
        <v>0</v>
      </c>
      <c r="O582" cm="1">
        <f t="array" aca="1" ref="O582" ca="1">INDIRECT("Data!I" &amp; 577)</f>
        <v>0</v>
      </c>
      <c r="P582" s="21" cm="1">
        <f t="array" aca="1" ref="P582" ca="1">INDIRECT("Data!J" &amp; 577)</f>
        <v>0</v>
      </c>
      <c r="Q582" cm="1">
        <f t="array" aca="1" ref="Q582" ca="1">INDIRECT("Data!K" &amp; 577)</f>
        <v>0</v>
      </c>
      <c r="R582" cm="1">
        <f t="array" aca="1" ref="R582" ca="1">INDIRECT("Data!L" &amp; 577)</f>
        <v>0</v>
      </c>
      <c r="S582" cm="1">
        <f t="array" aca="1" ref="S582" ca="1">INDIRECT("Data!M" &amp; 577)</f>
        <v>0</v>
      </c>
      <c r="T582" cm="1">
        <f t="array" aca="1" ref="T582" ca="1">INDIRECT("Data!N" &amp; 577)</f>
        <v>0</v>
      </c>
      <c r="U582" cm="1">
        <f t="array" aca="1" ref="U582" ca="1">INDIRECT("Data!O" &amp; 577)</f>
        <v>0</v>
      </c>
      <c r="V582" cm="1">
        <f t="array" aca="1" ref="V582" ca="1">INDIRECT("Data!P" &amp; 577)</f>
        <v>0</v>
      </c>
    </row>
    <row r="583" spans="7:22" x14ac:dyDescent="0.25">
      <c r="G583" cm="1">
        <f t="array" aca="1" ref="G583" ca="1">INDIRECT("Data!A" &amp; 578)</f>
        <v>0</v>
      </c>
      <c r="H583" s="21" cm="1">
        <f t="array" aca="1" ref="H583" ca="1">INDIRECT("Data!B" &amp; 578)</f>
        <v>0</v>
      </c>
      <c r="I583" s="21" cm="1">
        <f t="array" aca="1" ref="I583" ca="1">INDIRECT("Data!C" &amp; 578)</f>
        <v>0</v>
      </c>
      <c r="J583" cm="1">
        <f t="array" aca="1" ref="J583" ca="1">INDIRECT("Data!D" &amp; 578)</f>
        <v>0</v>
      </c>
      <c r="K583" cm="1">
        <f t="array" aca="1" ref="K583" ca="1">INDIRECT("Data!E" &amp; 578)</f>
        <v>0</v>
      </c>
      <c r="L583" cm="1">
        <f t="array" aca="1" ref="L583" ca="1">INDIRECT("Data!F" &amp; 578)</f>
        <v>0</v>
      </c>
      <c r="M583" cm="1">
        <f t="array" aca="1" ref="M583" ca="1">INDIRECT("Data!G" &amp; 578)</f>
        <v>0</v>
      </c>
      <c r="N583" cm="1">
        <f t="array" aca="1" ref="N583" ca="1">INDIRECT("Data!H" &amp; 578)</f>
        <v>0</v>
      </c>
      <c r="O583" cm="1">
        <f t="array" aca="1" ref="O583" ca="1">INDIRECT("Data!I" &amp; 578)</f>
        <v>0</v>
      </c>
      <c r="P583" s="21" cm="1">
        <f t="array" aca="1" ref="P583" ca="1">INDIRECT("Data!J" &amp; 578)</f>
        <v>0</v>
      </c>
      <c r="Q583" cm="1">
        <f t="array" aca="1" ref="Q583" ca="1">INDIRECT("Data!K" &amp; 578)</f>
        <v>0</v>
      </c>
      <c r="R583" cm="1">
        <f t="array" aca="1" ref="R583" ca="1">INDIRECT("Data!L" &amp; 578)</f>
        <v>0</v>
      </c>
      <c r="S583" cm="1">
        <f t="array" aca="1" ref="S583" ca="1">INDIRECT("Data!M" &amp; 578)</f>
        <v>0</v>
      </c>
      <c r="T583" cm="1">
        <f t="array" aca="1" ref="T583" ca="1">INDIRECT("Data!N" &amp; 578)</f>
        <v>0</v>
      </c>
      <c r="U583" cm="1">
        <f t="array" aca="1" ref="U583" ca="1">INDIRECT("Data!O" &amp; 578)</f>
        <v>0</v>
      </c>
      <c r="V583" cm="1">
        <f t="array" aca="1" ref="V583" ca="1">INDIRECT("Data!P" &amp; 578)</f>
        <v>0</v>
      </c>
    </row>
    <row r="584" spans="7:22" x14ac:dyDescent="0.25">
      <c r="G584" cm="1">
        <f t="array" aca="1" ref="G584" ca="1">INDIRECT("Data!A" &amp; 579)</f>
        <v>0</v>
      </c>
      <c r="H584" s="21" cm="1">
        <f t="array" aca="1" ref="H584" ca="1">INDIRECT("Data!B" &amp; 579)</f>
        <v>0</v>
      </c>
      <c r="I584" s="21" cm="1">
        <f t="array" aca="1" ref="I584" ca="1">INDIRECT("Data!C" &amp; 579)</f>
        <v>0</v>
      </c>
      <c r="J584" cm="1">
        <f t="array" aca="1" ref="J584" ca="1">INDIRECT("Data!D" &amp; 579)</f>
        <v>0</v>
      </c>
      <c r="K584" cm="1">
        <f t="array" aca="1" ref="K584" ca="1">INDIRECT("Data!E" &amp; 579)</f>
        <v>0</v>
      </c>
      <c r="L584" cm="1">
        <f t="array" aca="1" ref="L584" ca="1">INDIRECT("Data!F" &amp; 579)</f>
        <v>0</v>
      </c>
      <c r="M584" cm="1">
        <f t="array" aca="1" ref="M584" ca="1">INDIRECT("Data!G" &amp; 579)</f>
        <v>0</v>
      </c>
      <c r="N584" cm="1">
        <f t="array" aca="1" ref="N584" ca="1">INDIRECT("Data!H" &amp; 579)</f>
        <v>0</v>
      </c>
      <c r="O584" cm="1">
        <f t="array" aca="1" ref="O584" ca="1">INDIRECT("Data!I" &amp; 579)</f>
        <v>0</v>
      </c>
      <c r="P584" s="21" cm="1">
        <f t="array" aca="1" ref="P584" ca="1">INDIRECT("Data!J" &amp; 579)</f>
        <v>0</v>
      </c>
      <c r="Q584" cm="1">
        <f t="array" aca="1" ref="Q584" ca="1">INDIRECT("Data!K" &amp; 579)</f>
        <v>0</v>
      </c>
      <c r="R584" cm="1">
        <f t="array" aca="1" ref="R584" ca="1">INDIRECT("Data!L" &amp; 579)</f>
        <v>0</v>
      </c>
      <c r="S584" cm="1">
        <f t="array" aca="1" ref="S584" ca="1">INDIRECT("Data!M" &amp; 579)</f>
        <v>0</v>
      </c>
      <c r="T584" cm="1">
        <f t="array" aca="1" ref="T584" ca="1">INDIRECT("Data!N" &amp; 579)</f>
        <v>0</v>
      </c>
      <c r="U584" cm="1">
        <f t="array" aca="1" ref="U584" ca="1">INDIRECT("Data!O" &amp; 579)</f>
        <v>0</v>
      </c>
      <c r="V584" cm="1">
        <f t="array" aca="1" ref="V584" ca="1">INDIRECT("Data!P" &amp; 579)</f>
        <v>0</v>
      </c>
    </row>
    <row r="585" spans="7:22" x14ac:dyDescent="0.25">
      <c r="G585" cm="1">
        <f t="array" aca="1" ref="G585" ca="1">INDIRECT("Data!A" &amp; 580)</f>
        <v>0</v>
      </c>
      <c r="H585" s="21" cm="1">
        <f t="array" aca="1" ref="H585" ca="1">INDIRECT("Data!B" &amp; 580)</f>
        <v>0</v>
      </c>
      <c r="I585" s="21" cm="1">
        <f t="array" aca="1" ref="I585" ca="1">INDIRECT("Data!C" &amp; 580)</f>
        <v>0</v>
      </c>
      <c r="J585" cm="1">
        <f t="array" aca="1" ref="J585" ca="1">INDIRECT("Data!D" &amp; 580)</f>
        <v>0</v>
      </c>
      <c r="K585" cm="1">
        <f t="array" aca="1" ref="K585" ca="1">INDIRECT("Data!E" &amp; 580)</f>
        <v>0</v>
      </c>
      <c r="L585" cm="1">
        <f t="array" aca="1" ref="L585" ca="1">INDIRECT("Data!F" &amp; 580)</f>
        <v>0</v>
      </c>
      <c r="M585" cm="1">
        <f t="array" aca="1" ref="M585" ca="1">INDIRECT("Data!G" &amp; 580)</f>
        <v>0</v>
      </c>
      <c r="N585" cm="1">
        <f t="array" aca="1" ref="N585" ca="1">INDIRECT("Data!H" &amp; 580)</f>
        <v>0</v>
      </c>
      <c r="O585" cm="1">
        <f t="array" aca="1" ref="O585" ca="1">INDIRECT("Data!I" &amp; 580)</f>
        <v>0</v>
      </c>
      <c r="P585" s="21" cm="1">
        <f t="array" aca="1" ref="P585" ca="1">INDIRECT("Data!J" &amp; 580)</f>
        <v>0</v>
      </c>
      <c r="Q585" cm="1">
        <f t="array" aca="1" ref="Q585" ca="1">INDIRECT("Data!K" &amp; 580)</f>
        <v>0</v>
      </c>
      <c r="R585" cm="1">
        <f t="array" aca="1" ref="R585" ca="1">INDIRECT("Data!L" &amp; 580)</f>
        <v>0</v>
      </c>
      <c r="S585" cm="1">
        <f t="array" aca="1" ref="S585" ca="1">INDIRECT("Data!M" &amp; 580)</f>
        <v>0</v>
      </c>
      <c r="T585" cm="1">
        <f t="array" aca="1" ref="T585" ca="1">INDIRECT("Data!N" &amp; 580)</f>
        <v>0</v>
      </c>
      <c r="U585" cm="1">
        <f t="array" aca="1" ref="U585" ca="1">INDIRECT("Data!O" &amp; 580)</f>
        <v>0</v>
      </c>
      <c r="V585" cm="1">
        <f t="array" aca="1" ref="V585" ca="1">INDIRECT("Data!P" &amp; 580)</f>
        <v>0</v>
      </c>
    </row>
    <row r="586" spans="7:22" x14ac:dyDescent="0.25">
      <c r="G586" cm="1">
        <f t="array" aca="1" ref="G586" ca="1">INDIRECT("Data!A" &amp; 581)</f>
        <v>0</v>
      </c>
      <c r="H586" s="21" cm="1">
        <f t="array" aca="1" ref="H586" ca="1">INDIRECT("Data!B" &amp; 581)</f>
        <v>0</v>
      </c>
      <c r="I586" s="21" cm="1">
        <f t="array" aca="1" ref="I586" ca="1">INDIRECT("Data!C" &amp; 581)</f>
        <v>0</v>
      </c>
      <c r="J586" cm="1">
        <f t="array" aca="1" ref="J586" ca="1">INDIRECT("Data!D" &amp; 581)</f>
        <v>0</v>
      </c>
      <c r="K586" cm="1">
        <f t="array" aca="1" ref="K586" ca="1">INDIRECT("Data!E" &amp; 581)</f>
        <v>0</v>
      </c>
      <c r="L586" cm="1">
        <f t="array" aca="1" ref="L586" ca="1">INDIRECT("Data!F" &amp; 581)</f>
        <v>0</v>
      </c>
      <c r="M586" cm="1">
        <f t="array" aca="1" ref="M586" ca="1">INDIRECT("Data!G" &amp; 581)</f>
        <v>0</v>
      </c>
      <c r="N586" cm="1">
        <f t="array" aca="1" ref="N586" ca="1">INDIRECT("Data!H" &amp; 581)</f>
        <v>0</v>
      </c>
      <c r="O586" cm="1">
        <f t="array" aca="1" ref="O586" ca="1">INDIRECT("Data!I" &amp; 581)</f>
        <v>0</v>
      </c>
      <c r="P586" s="21" cm="1">
        <f t="array" aca="1" ref="P586" ca="1">INDIRECT("Data!J" &amp; 581)</f>
        <v>0</v>
      </c>
      <c r="Q586" cm="1">
        <f t="array" aca="1" ref="Q586" ca="1">INDIRECT("Data!K" &amp; 581)</f>
        <v>0</v>
      </c>
      <c r="R586" cm="1">
        <f t="array" aca="1" ref="R586" ca="1">INDIRECT("Data!L" &amp; 581)</f>
        <v>0</v>
      </c>
      <c r="S586" cm="1">
        <f t="array" aca="1" ref="S586" ca="1">INDIRECT("Data!M" &amp; 581)</f>
        <v>0</v>
      </c>
      <c r="T586" cm="1">
        <f t="array" aca="1" ref="T586" ca="1">INDIRECT("Data!N" &amp; 581)</f>
        <v>0</v>
      </c>
      <c r="U586" cm="1">
        <f t="array" aca="1" ref="U586" ca="1">INDIRECT("Data!O" &amp; 581)</f>
        <v>0</v>
      </c>
      <c r="V586" cm="1">
        <f t="array" aca="1" ref="V586" ca="1">INDIRECT("Data!P" &amp; 581)</f>
        <v>0</v>
      </c>
    </row>
    <row r="587" spans="7:22" x14ac:dyDescent="0.25">
      <c r="G587" cm="1">
        <f t="array" aca="1" ref="G587" ca="1">INDIRECT("Data!A" &amp; 582)</f>
        <v>0</v>
      </c>
      <c r="H587" s="21" cm="1">
        <f t="array" aca="1" ref="H587" ca="1">INDIRECT("Data!B" &amp; 582)</f>
        <v>0</v>
      </c>
      <c r="I587" s="21" cm="1">
        <f t="array" aca="1" ref="I587" ca="1">INDIRECT("Data!C" &amp; 582)</f>
        <v>0</v>
      </c>
      <c r="J587" cm="1">
        <f t="array" aca="1" ref="J587" ca="1">INDIRECT("Data!D" &amp; 582)</f>
        <v>0</v>
      </c>
      <c r="K587" cm="1">
        <f t="array" aca="1" ref="K587" ca="1">INDIRECT("Data!E" &amp; 582)</f>
        <v>0</v>
      </c>
      <c r="L587" cm="1">
        <f t="array" aca="1" ref="L587" ca="1">INDIRECT("Data!F" &amp; 582)</f>
        <v>0</v>
      </c>
      <c r="M587" cm="1">
        <f t="array" aca="1" ref="M587" ca="1">INDIRECT("Data!G" &amp; 582)</f>
        <v>0</v>
      </c>
      <c r="N587" cm="1">
        <f t="array" aca="1" ref="N587" ca="1">INDIRECT("Data!H" &amp; 582)</f>
        <v>0</v>
      </c>
      <c r="O587" cm="1">
        <f t="array" aca="1" ref="O587" ca="1">INDIRECT("Data!I" &amp; 582)</f>
        <v>0</v>
      </c>
      <c r="P587" s="21" cm="1">
        <f t="array" aca="1" ref="P587" ca="1">INDIRECT("Data!J" &amp; 582)</f>
        <v>0</v>
      </c>
      <c r="Q587" cm="1">
        <f t="array" aca="1" ref="Q587" ca="1">INDIRECT("Data!K" &amp; 582)</f>
        <v>0</v>
      </c>
      <c r="R587" cm="1">
        <f t="array" aca="1" ref="R587" ca="1">INDIRECT("Data!L" &amp; 582)</f>
        <v>0</v>
      </c>
      <c r="S587" cm="1">
        <f t="array" aca="1" ref="S587" ca="1">INDIRECT("Data!M" &amp; 582)</f>
        <v>0</v>
      </c>
      <c r="T587" cm="1">
        <f t="array" aca="1" ref="T587" ca="1">INDIRECT("Data!N" &amp; 582)</f>
        <v>0</v>
      </c>
      <c r="U587" cm="1">
        <f t="array" aca="1" ref="U587" ca="1">INDIRECT("Data!O" &amp; 582)</f>
        <v>0</v>
      </c>
      <c r="V587" cm="1">
        <f t="array" aca="1" ref="V587" ca="1">INDIRECT("Data!P" &amp; 582)</f>
        <v>0</v>
      </c>
    </row>
    <row r="588" spans="7:22" x14ac:dyDescent="0.25">
      <c r="G588" cm="1">
        <f t="array" aca="1" ref="G588" ca="1">INDIRECT("Data!A" &amp; 583)</f>
        <v>0</v>
      </c>
      <c r="H588" s="21" cm="1">
        <f t="array" aca="1" ref="H588" ca="1">INDIRECT("Data!B" &amp; 583)</f>
        <v>0</v>
      </c>
      <c r="I588" s="21" cm="1">
        <f t="array" aca="1" ref="I588" ca="1">INDIRECT("Data!C" &amp; 583)</f>
        <v>0</v>
      </c>
      <c r="J588" cm="1">
        <f t="array" aca="1" ref="J588" ca="1">INDIRECT("Data!D" &amp; 583)</f>
        <v>0</v>
      </c>
      <c r="K588" cm="1">
        <f t="array" aca="1" ref="K588" ca="1">INDIRECT("Data!E" &amp; 583)</f>
        <v>0</v>
      </c>
      <c r="L588" cm="1">
        <f t="array" aca="1" ref="L588" ca="1">INDIRECT("Data!F" &amp; 583)</f>
        <v>0</v>
      </c>
      <c r="M588" cm="1">
        <f t="array" aca="1" ref="M588" ca="1">INDIRECT("Data!G" &amp; 583)</f>
        <v>0</v>
      </c>
      <c r="N588" cm="1">
        <f t="array" aca="1" ref="N588" ca="1">INDIRECT("Data!H" &amp; 583)</f>
        <v>0</v>
      </c>
      <c r="O588" cm="1">
        <f t="array" aca="1" ref="O588" ca="1">INDIRECT("Data!I" &amp; 583)</f>
        <v>0</v>
      </c>
      <c r="P588" s="21" cm="1">
        <f t="array" aca="1" ref="P588" ca="1">INDIRECT("Data!J" &amp; 583)</f>
        <v>0</v>
      </c>
      <c r="Q588" cm="1">
        <f t="array" aca="1" ref="Q588" ca="1">INDIRECT("Data!K" &amp; 583)</f>
        <v>0</v>
      </c>
      <c r="R588" cm="1">
        <f t="array" aca="1" ref="R588" ca="1">INDIRECT("Data!L" &amp; 583)</f>
        <v>0</v>
      </c>
      <c r="S588" cm="1">
        <f t="array" aca="1" ref="S588" ca="1">INDIRECT("Data!M" &amp; 583)</f>
        <v>0</v>
      </c>
      <c r="T588" cm="1">
        <f t="array" aca="1" ref="T588" ca="1">INDIRECT("Data!N" &amp; 583)</f>
        <v>0</v>
      </c>
      <c r="U588" cm="1">
        <f t="array" aca="1" ref="U588" ca="1">INDIRECT("Data!O" &amp; 583)</f>
        <v>0</v>
      </c>
      <c r="V588" cm="1">
        <f t="array" aca="1" ref="V588" ca="1">INDIRECT("Data!P" &amp; 583)</f>
        <v>0</v>
      </c>
    </row>
    <row r="589" spans="7:22" x14ac:dyDescent="0.25">
      <c r="G589" cm="1">
        <f t="array" aca="1" ref="G589" ca="1">INDIRECT("Data!A" &amp; 584)</f>
        <v>0</v>
      </c>
      <c r="H589" s="21" cm="1">
        <f t="array" aca="1" ref="H589" ca="1">INDIRECT("Data!B" &amp; 584)</f>
        <v>0</v>
      </c>
      <c r="I589" s="21" cm="1">
        <f t="array" aca="1" ref="I589" ca="1">INDIRECT("Data!C" &amp; 584)</f>
        <v>0</v>
      </c>
      <c r="J589" cm="1">
        <f t="array" aca="1" ref="J589" ca="1">INDIRECT("Data!D" &amp; 584)</f>
        <v>0</v>
      </c>
      <c r="K589" cm="1">
        <f t="array" aca="1" ref="K589" ca="1">INDIRECT("Data!E" &amp; 584)</f>
        <v>0</v>
      </c>
      <c r="L589" cm="1">
        <f t="array" aca="1" ref="L589" ca="1">INDIRECT("Data!F" &amp; 584)</f>
        <v>0</v>
      </c>
      <c r="M589" cm="1">
        <f t="array" aca="1" ref="M589" ca="1">INDIRECT("Data!G" &amp; 584)</f>
        <v>0</v>
      </c>
      <c r="N589" cm="1">
        <f t="array" aca="1" ref="N589" ca="1">INDIRECT("Data!H" &amp; 584)</f>
        <v>0</v>
      </c>
      <c r="O589" cm="1">
        <f t="array" aca="1" ref="O589" ca="1">INDIRECT("Data!I" &amp; 584)</f>
        <v>0</v>
      </c>
      <c r="P589" s="21" cm="1">
        <f t="array" aca="1" ref="P589" ca="1">INDIRECT("Data!J" &amp; 584)</f>
        <v>0</v>
      </c>
      <c r="Q589" cm="1">
        <f t="array" aca="1" ref="Q589" ca="1">INDIRECT("Data!K" &amp; 584)</f>
        <v>0</v>
      </c>
      <c r="R589" cm="1">
        <f t="array" aca="1" ref="R589" ca="1">INDIRECT("Data!L" &amp; 584)</f>
        <v>0</v>
      </c>
      <c r="S589" cm="1">
        <f t="array" aca="1" ref="S589" ca="1">INDIRECT("Data!M" &amp; 584)</f>
        <v>0</v>
      </c>
      <c r="T589" cm="1">
        <f t="array" aca="1" ref="T589" ca="1">INDIRECT("Data!N" &amp; 584)</f>
        <v>0</v>
      </c>
      <c r="U589" cm="1">
        <f t="array" aca="1" ref="U589" ca="1">INDIRECT("Data!O" &amp; 584)</f>
        <v>0</v>
      </c>
      <c r="V589" cm="1">
        <f t="array" aca="1" ref="V589" ca="1">INDIRECT("Data!P" &amp; 584)</f>
        <v>0</v>
      </c>
    </row>
    <row r="590" spans="7:22" x14ac:dyDescent="0.25">
      <c r="G590" cm="1">
        <f t="array" aca="1" ref="G590" ca="1">INDIRECT("Data!A" &amp; 585)</f>
        <v>0</v>
      </c>
      <c r="H590" s="21" cm="1">
        <f t="array" aca="1" ref="H590" ca="1">INDIRECT("Data!B" &amp; 585)</f>
        <v>0</v>
      </c>
      <c r="I590" s="21" cm="1">
        <f t="array" aca="1" ref="I590" ca="1">INDIRECT("Data!C" &amp; 585)</f>
        <v>0</v>
      </c>
      <c r="J590" cm="1">
        <f t="array" aca="1" ref="J590" ca="1">INDIRECT("Data!D" &amp; 585)</f>
        <v>0</v>
      </c>
      <c r="K590" cm="1">
        <f t="array" aca="1" ref="K590" ca="1">INDIRECT("Data!E" &amp; 585)</f>
        <v>0</v>
      </c>
      <c r="L590" cm="1">
        <f t="array" aca="1" ref="L590" ca="1">INDIRECT("Data!F" &amp; 585)</f>
        <v>0</v>
      </c>
      <c r="M590" cm="1">
        <f t="array" aca="1" ref="M590" ca="1">INDIRECT("Data!G" &amp; 585)</f>
        <v>0</v>
      </c>
      <c r="N590" cm="1">
        <f t="array" aca="1" ref="N590" ca="1">INDIRECT("Data!H" &amp; 585)</f>
        <v>0</v>
      </c>
      <c r="O590" cm="1">
        <f t="array" aca="1" ref="O590" ca="1">INDIRECT("Data!I" &amp; 585)</f>
        <v>0</v>
      </c>
      <c r="P590" s="21" cm="1">
        <f t="array" aca="1" ref="P590" ca="1">INDIRECT("Data!J" &amp; 585)</f>
        <v>0</v>
      </c>
      <c r="Q590" cm="1">
        <f t="array" aca="1" ref="Q590" ca="1">INDIRECT("Data!K" &amp; 585)</f>
        <v>0</v>
      </c>
      <c r="R590" cm="1">
        <f t="array" aca="1" ref="R590" ca="1">INDIRECT("Data!L" &amp; 585)</f>
        <v>0</v>
      </c>
      <c r="S590" cm="1">
        <f t="array" aca="1" ref="S590" ca="1">INDIRECT("Data!M" &amp; 585)</f>
        <v>0</v>
      </c>
      <c r="T590" cm="1">
        <f t="array" aca="1" ref="T590" ca="1">INDIRECT("Data!N" &amp; 585)</f>
        <v>0</v>
      </c>
      <c r="U590" cm="1">
        <f t="array" aca="1" ref="U590" ca="1">INDIRECT("Data!O" &amp; 585)</f>
        <v>0</v>
      </c>
      <c r="V590" cm="1">
        <f t="array" aca="1" ref="V590" ca="1">INDIRECT("Data!P" &amp; 585)</f>
        <v>0</v>
      </c>
    </row>
    <row r="591" spans="7:22" x14ac:dyDescent="0.25">
      <c r="G591" cm="1">
        <f t="array" aca="1" ref="G591" ca="1">INDIRECT("Data!A" &amp; 586)</f>
        <v>0</v>
      </c>
      <c r="H591" s="21" cm="1">
        <f t="array" aca="1" ref="H591" ca="1">INDIRECT("Data!B" &amp; 586)</f>
        <v>0</v>
      </c>
      <c r="I591" s="21" cm="1">
        <f t="array" aca="1" ref="I591" ca="1">INDIRECT("Data!C" &amp; 586)</f>
        <v>0</v>
      </c>
      <c r="J591" cm="1">
        <f t="array" aca="1" ref="J591" ca="1">INDIRECT("Data!D" &amp; 586)</f>
        <v>0</v>
      </c>
      <c r="K591" cm="1">
        <f t="array" aca="1" ref="K591" ca="1">INDIRECT("Data!E" &amp; 586)</f>
        <v>0</v>
      </c>
      <c r="L591" cm="1">
        <f t="array" aca="1" ref="L591" ca="1">INDIRECT("Data!F" &amp; 586)</f>
        <v>0</v>
      </c>
      <c r="M591" cm="1">
        <f t="array" aca="1" ref="M591" ca="1">INDIRECT("Data!G" &amp; 586)</f>
        <v>0</v>
      </c>
      <c r="N591" cm="1">
        <f t="array" aca="1" ref="N591" ca="1">INDIRECT("Data!H" &amp; 586)</f>
        <v>0</v>
      </c>
      <c r="O591" cm="1">
        <f t="array" aca="1" ref="O591" ca="1">INDIRECT("Data!I" &amp; 586)</f>
        <v>0</v>
      </c>
      <c r="P591" s="21" cm="1">
        <f t="array" aca="1" ref="P591" ca="1">INDIRECT("Data!J" &amp; 586)</f>
        <v>0</v>
      </c>
      <c r="Q591" cm="1">
        <f t="array" aca="1" ref="Q591" ca="1">INDIRECT("Data!K" &amp; 586)</f>
        <v>0</v>
      </c>
      <c r="R591" cm="1">
        <f t="array" aca="1" ref="R591" ca="1">INDIRECT("Data!L" &amp; 586)</f>
        <v>0</v>
      </c>
      <c r="S591" cm="1">
        <f t="array" aca="1" ref="S591" ca="1">INDIRECT("Data!M" &amp; 586)</f>
        <v>0</v>
      </c>
      <c r="T591" cm="1">
        <f t="array" aca="1" ref="T591" ca="1">INDIRECT("Data!N" &amp; 586)</f>
        <v>0</v>
      </c>
      <c r="U591" cm="1">
        <f t="array" aca="1" ref="U591" ca="1">INDIRECT("Data!O" &amp; 586)</f>
        <v>0</v>
      </c>
      <c r="V591" cm="1">
        <f t="array" aca="1" ref="V591" ca="1">INDIRECT("Data!P" &amp; 586)</f>
        <v>0</v>
      </c>
    </row>
    <row r="592" spans="7:22" x14ac:dyDescent="0.25">
      <c r="G592" cm="1">
        <f t="array" aca="1" ref="G592" ca="1">INDIRECT("Data!A" &amp; 587)</f>
        <v>0</v>
      </c>
      <c r="H592" s="21" cm="1">
        <f t="array" aca="1" ref="H592" ca="1">INDIRECT("Data!B" &amp; 587)</f>
        <v>0</v>
      </c>
      <c r="I592" s="21" cm="1">
        <f t="array" aca="1" ref="I592" ca="1">INDIRECT("Data!C" &amp; 587)</f>
        <v>0</v>
      </c>
      <c r="J592" cm="1">
        <f t="array" aca="1" ref="J592" ca="1">INDIRECT("Data!D" &amp; 587)</f>
        <v>0</v>
      </c>
      <c r="K592" cm="1">
        <f t="array" aca="1" ref="K592" ca="1">INDIRECT("Data!E" &amp; 587)</f>
        <v>0</v>
      </c>
      <c r="L592" cm="1">
        <f t="array" aca="1" ref="L592" ca="1">INDIRECT("Data!F" &amp; 587)</f>
        <v>0</v>
      </c>
      <c r="M592" cm="1">
        <f t="array" aca="1" ref="M592" ca="1">INDIRECT("Data!G" &amp; 587)</f>
        <v>0</v>
      </c>
      <c r="N592" cm="1">
        <f t="array" aca="1" ref="N592" ca="1">INDIRECT("Data!H" &amp; 587)</f>
        <v>0</v>
      </c>
      <c r="O592" cm="1">
        <f t="array" aca="1" ref="O592" ca="1">INDIRECT("Data!I" &amp; 587)</f>
        <v>0</v>
      </c>
      <c r="P592" s="21" cm="1">
        <f t="array" aca="1" ref="P592" ca="1">INDIRECT("Data!J" &amp; 587)</f>
        <v>0</v>
      </c>
      <c r="Q592" cm="1">
        <f t="array" aca="1" ref="Q592" ca="1">INDIRECT("Data!K" &amp; 587)</f>
        <v>0</v>
      </c>
      <c r="R592" cm="1">
        <f t="array" aca="1" ref="R592" ca="1">INDIRECT("Data!L" &amp; 587)</f>
        <v>0</v>
      </c>
      <c r="S592" cm="1">
        <f t="array" aca="1" ref="S592" ca="1">INDIRECT("Data!M" &amp; 587)</f>
        <v>0</v>
      </c>
      <c r="T592" cm="1">
        <f t="array" aca="1" ref="T592" ca="1">INDIRECT("Data!N" &amp; 587)</f>
        <v>0</v>
      </c>
      <c r="U592" cm="1">
        <f t="array" aca="1" ref="U592" ca="1">INDIRECT("Data!O" &amp; 587)</f>
        <v>0</v>
      </c>
      <c r="V592" cm="1">
        <f t="array" aca="1" ref="V592" ca="1">INDIRECT("Data!P" &amp; 587)</f>
        <v>0</v>
      </c>
    </row>
    <row r="593" spans="7:22" x14ac:dyDescent="0.25">
      <c r="G593" cm="1">
        <f t="array" aca="1" ref="G593" ca="1">INDIRECT("Data!A" &amp; 588)</f>
        <v>0</v>
      </c>
      <c r="H593" s="21" cm="1">
        <f t="array" aca="1" ref="H593" ca="1">INDIRECT("Data!B" &amp; 588)</f>
        <v>0</v>
      </c>
      <c r="I593" s="21" cm="1">
        <f t="array" aca="1" ref="I593" ca="1">INDIRECT("Data!C" &amp; 588)</f>
        <v>0</v>
      </c>
      <c r="J593" cm="1">
        <f t="array" aca="1" ref="J593" ca="1">INDIRECT("Data!D" &amp; 588)</f>
        <v>0</v>
      </c>
      <c r="K593" cm="1">
        <f t="array" aca="1" ref="K593" ca="1">INDIRECT("Data!E" &amp; 588)</f>
        <v>0</v>
      </c>
      <c r="L593" cm="1">
        <f t="array" aca="1" ref="L593" ca="1">INDIRECT("Data!F" &amp; 588)</f>
        <v>0</v>
      </c>
      <c r="M593" cm="1">
        <f t="array" aca="1" ref="M593" ca="1">INDIRECT("Data!G" &amp; 588)</f>
        <v>0</v>
      </c>
      <c r="N593" cm="1">
        <f t="array" aca="1" ref="N593" ca="1">INDIRECT("Data!H" &amp; 588)</f>
        <v>0</v>
      </c>
      <c r="O593" cm="1">
        <f t="array" aca="1" ref="O593" ca="1">INDIRECT("Data!I" &amp; 588)</f>
        <v>0</v>
      </c>
      <c r="P593" s="21" cm="1">
        <f t="array" aca="1" ref="P593" ca="1">INDIRECT("Data!J" &amp; 588)</f>
        <v>0</v>
      </c>
      <c r="Q593" cm="1">
        <f t="array" aca="1" ref="Q593" ca="1">INDIRECT("Data!K" &amp; 588)</f>
        <v>0</v>
      </c>
      <c r="R593" cm="1">
        <f t="array" aca="1" ref="R593" ca="1">INDIRECT("Data!L" &amp; 588)</f>
        <v>0</v>
      </c>
      <c r="S593" cm="1">
        <f t="array" aca="1" ref="S593" ca="1">INDIRECT("Data!M" &amp; 588)</f>
        <v>0</v>
      </c>
      <c r="T593" cm="1">
        <f t="array" aca="1" ref="T593" ca="1">INDIRECT("Data!N" &amp; 588)</f>
        <v>0</v>
      </c>
      <c r="U593" cm="1">
        <f t="array" aca="1" ref="U593" ca="1">INDIRECT("Data!O" &amp; 588)</f>
        <v>0</v>
      </c>
      <c r="V593" cm="1">
        <f t="array" aca="1" ref="V593" ca="1">INDIRECT("Data!P" &amp; 588)</f>
        <v>0</v>
      </c>
    </row>
    <row r="594" spans="7:22" x14ac:dyDescent="0.25">
      <c r="G594" cm="1">
        <f t="array" aca="1" ref="G594" ca="1">INDIRECT("Data!A" &amp; 589)</f>
        <v>0</v>
      </c>
      <c r="H594" s="21" cm="1">
        <f t="array" aca="1" ref="H594" ca="1">INDIRECT("Data!B" &amp; 589)</f>
        <v>0</v>
      </c>
      <c r="I594" s="21" cm="1">
        <f t="array" aca="1" ref="I594" ca="1">INDIRECT("Data!C" &amp; 589)</f>
        <v>0</v>
      </c>
      <c r="J594" cm="1">
        <f t="array" aca="1" ref="J594" ca="1">INDIRECT("Data!D" &amp; 589)</f>
        <v>0</v>
      </c>
      <c r="K594" cm="1">
        <f t="array" aca="1" ref="K594" ca="1">INDIRECT("Data!E" &amp; 589)</f>
        <v>0</v>
      </c>
      <c r="L594" cm="1">
        <f t="array" aca="1" ref="L594" ca="1">INDIRECT("Data!F" &amp; 589)</f>
        <v>0</v>
      </c>
      <c r="M594" cm="1">
        <f t="array" aca="1" ref="M594" ca="1">INDIRECT("Data!G" &amp; 589)</f>
        <v>0</v>
      </c>
      <c r="N594" cm="1">
        <f t="array" aca="1" ref="N594" ca="1">INDIRECT("Data!H" &amp; 589)</f>
        <v>0</v>
      </c>
      <c r="O594" cm="1">
        <f t="array" aca="1" ref="O594" ca="1">INDIRECT("Data!I" &amp; 589)</f>
        <v>0</v>
      </c>
      <c r="P594" s="21" cm="1">
        <f t="array" aca="1" ref="P594" ca="1">INDIRECT("Data!J" &amp; 589)</f>
        <v>0</v>
      </c>
      <c r="Q594" cm="1">
        <f t="array" aca="1" ref="Q594" ca="1">INDIRECT("Data!K" &amp; 589)</f>
        <v>0</v>
      </c>
      <c r="R594" cm="1">
        <f t="array" aca="1" ref="R594" ca="1">INDIRECT("Data!L" &amp; 589)</f>
        <v>0</v>
      </c>
      <c r="S594" cm="1">
        <f t="array" aca="1" ref="S594" ca="1">INDIRECT("Data!M" &amp; 589)</f>
        <v>0</v>
      </c>
      <c r="T594" cm="1">
        <f t="array" aca="1" ref="T594" ca="1">INDIRECT("Data!N" &amp; 589)</f>
        <v>0</v>
      </c>
      <c r="U594" cm="1">
        <f t="array" aca="1" ref="U594" ca="1">INDIRECT("Data!O" &amp; 589)</f>
        <v>0</v>
      </c>
      <c r="V594" cm="1">
        <f t="array" aca="1" ref="V594" ca="1">INDIRECT("Data!P" &amp; 589)</f>
        <v>0</v>
      </c>
    </row>
    <row r="595" spans="7:22" x14ac:dyDescent="0.25">
      <c r="G595" cm="1">
        <f t="array" aca="1" ref="G595" ca="1">INDIRECT("Data!A" &amp; 590)</f>
        <v>0</v>
      </c>
      <c r="H595" s="21" cm="1">
        <f t="array" aca="1" ref="H595" ca="1">INDIRECT("Data!B" &amp; 590)</f>
        <v>0</v>
      </c>
      <c r="I595" s="21" cm="1">
        <f t="array" aca="1" ref="I595" ca="1">INDIRECT("Data!C" &amp; 590)</f>
        <v>0</v>
      </c>
      <c r="J595" cm="1">
        <f t="array" aca="1" ref="J595" ca="1">INDIRECT("Data!D" &amp; 590)</f>
        <v>0</v>
      </c>
      <c r="K595" cm="1">
        <f t="array" aca="1" ref="K595" ca="1">INDIRECT("Data!E" &amp; 590)</f>
        <v>0</v>
      </c>
      <c r="L595" cm="1">
        <f t="array" aca="1" ref="L595" ca="1">INDIRECT("Data!F" &amp; 590)</f>
        <v>0</v>
      </c>
      <c r="M595" cm="1">
        <f t="array" aca="1" ref="M595" ca="1">INDIRECT("Data!G" &amp; 590)</f>
        <v>0</v>
      </c>
      <c r="N595" cm="1">
        <f t="array" aca="1" ref="N595" ca="1">INDIRECT("Data!H" &amp; 590)</f>
        <v>0</v>
      </c>
      <c r="O595" cm="1">
        <f t="array" aca="1" ref="O595" ca="1">INDIRECT("Data!I" &amp; 590)</f>
        <v>0</v>
      </c>
      <c r="P595" s="21" cm="1">
        <f t="array" aca="1" ref="P595" ca="1">INDIRECT("Data!J" &amp; 590)</f>
        <v>0</v>
      </c>
      <c r="Q595" cm="1">
        <f t="array" aca="1" ref="Q595" ca="1">INDIRECT("Data!K" &amp; 590)</f>
        <v>0</v>
      </c>
      <c r="R595" cm="1">
        <f t="array" aca="1" ref="R595" ca="1">INDIRECT("Data!L" &amp; 590)</f>
        <v>0</v>
      </c>
      <c r="S595" cm="1">
        <f t="array" aca="1" ref="S595" ca="1">INDIRECT("Data!M" &amp; 590)</f>
        <v>0</v>
      </c>
      <c r="T595" cm="1">
        <f t="array" aca="1" ref="T595" ca="1">INDIRECT("Data!N" &amp; 590)</f>
        <v>0</v>
      </c>
      <c r="U595" cm="1">
        <f t="array" aca="1" ref="U595" ca="1">INDIRECT("Data!O" &amp; 590)</f>
        <v>0</v>
      </c>
      <c r="V595" cm="1">
        <f t="array" aca="1" ref="V595" ca="1">INDIRECT("Data!P" &amp; 590)</f>
        <v>0</v>
      </c>
    </row>
    <row r="596" spans="7:22" x14ac:dyDescent="0.25">
      <c r="G596" cm="1">
        <f t="array" aca="1" ref="G596" ca="1">INDIRECT("Data!A" &amp; 591)</f>
        <v>0</v>
      </c>
      <c r="H596" s="21" cm="1">
        <f t="array" aca="1" ref="H596" ca="1">INDIRECT("Data!B" &amp; 591)</f>
        <v>0</v>
      </c>
      <c r="I596" s="21" cm="1">
        <f t="array" aca="1" ref="I596" ca="1">INDIRECT("Data!C" &amp; 591)</f>
        <v>0</v>
      </c>
      <c r="J596" cm="1">
        <f t="array" aca="1" ref="J596" ca="1">INDIRECT("Data!D" &amp; 591)</f>
        <v>0</v>
      </c>
      <c r="K596" cm="1">
        <f t="array" aca="1" ref="K596" ca="1">INDIRECT("Data!E" &amp; 591)</f>
        <v>0</v>
      </c>
      <c r="L596" cm="1">
        <f t="array" aca="1" ref="L596" ca="1">INDIRECT("Data!F" &amp; 591)</f>
        <v>0</v>
      </c>
      <c r="M596" cm="1">
        <f t="array" aca="1" ref="M596" ca="1">INDIRECT("Data!G" &amp; 591)</f>
        <v>0</v>
      </c>
      <c r="N596" cm="1">
        <f t="array" aca="1" ref="N596" ca="1">INDIRECT("Data!H" &amp; 591)</f>
        <v>0</v>
      </c>
      <c r="O596" cm="1">
        <f t="array" aca="1" ref="O596" ca="1">INDIRECT("Data!I" &amp; 591)</f>
        <v>0</v>
      </c>
      <c r="P596" s="21" cm="1">
        <f t="array" aca="1" ref="P596" ca="1">INDIRECT("Data!J" &amp; 591)</f>
        <v>0</v>
      </c>
      <c r="Q596" cm="1">
        <f t="array" aca="1" ref="Q596" ca="1">INDIRECT("Data!K" &amp; 591)</f>
        <v>0</v>
      </c>
      <c r="R596" cm="1">
        <f t="array" aca="1" ref="R596" ca="1">INDIRECT("Data!L" &amp; 591)</f>
        <v>0</v>
      </c>
      <c r="S596" cm="1">
        <f t="array" aca="1" ref="S596" ca="1">INDIRECT("Data!M" &amp; 591)</f>
        <v>0</v>
      </c>
      <c r="T596" cm="1">
        <f t="array" aca="1" ref="T596" ca="1">INDIRECT("Data!N" &amp; 591)</f>
        <v>0</v>
      </c>
      <c r="U596" cm="1">
        <f t="array" aca="1" ref="U596" ca="1">INDIRECT("Data!O" &amp; 591)</f>
        <v>0</v>
      </c>
      <c r="V596" cm="1">
        <f t="array" aca="1" ref="V596" ca="1">INDIRECT("Data!P" &amp; 591)</f>
        <v>0</v>
      </c>
    </row>
    <row r="597" spans="7:22" x14ac:dyDescent="0.25">
      <c r="G597" cm="1">
        <f t="array" aca="1" ref="G597" ca="1">INDIRECT("Data!A" &amp; 592)</f>
        <v>0</v>
      </c>
      <c r="H597" s="21" cm="1">
        <f t="array" aca="1" ref="H597" ca="1">INDIRECT("Data!B" &amp; 592)</f>
        <v>0</v>
      </c>
      <c r="I597" s="21" cm="1">
        <f t="array" aca="1" ref="I597" ca="1">INDIRECT("Data!C" &amp; 592)</f>
        <v>0</v>
      </c>
      <c r="J597" cm="1">
        <f t="array" aca="1" ref="J597" ca="1">INDIRECT("Data!D" &amp; 592)</f>
        <v>0</v>
      </c>
      <c r="K597" cm="1">
        <f t="array" aca="1" ref="K597" ca="1">INDIRECT("Data!E" &amp; 592)</f>
        <v>0</v>
      </c>
      <c r="L597" cm="1">
        <f t="array" aca="1" ref="L597" ca="1">INDIRECT("Data!F" &amp; 592)</f>
        <v>0</v>
      </c>
      <c r="M597" cm="1">
        <f t="array" aca="1" ref="M597" ca="1">INDIRECT("Data!G" &amp; 592)</f>
        <v>0</v>
      </c>
      <c r="N597" cm="1">
        <f t="array" aca="1" ref="N597" ca="1">INDIRECT("Data!H" &amp; 592)</f>
        <v>0</v>
      </c>
      <c r="O597" cm="1">
        <f t="array" aca="1" ref="O597" ca="1">INDIRECT("Data!I" &amp; 592)</f>
        <v>0</v>
      </c>
      <c r="P597" s="21" cm="1">
        <f t="array" aca="1" ref="P597" ca="1">INDIRECT("Data!J" &amp; 592)</f>
        <v>0</v>
      </c>
      <c r="Q597" cm="1">
        <f t="array" aca="1" ref="Q597" ca="1">INDIRECT("Data!K" &amp; 592)</f>
        <v>0</v>
      </c>
      <c r="R597" cm="1">
        <f t="array" aca="1" ref="R597" ca="1">INDIRECT("Data!L" &amp; 592)</f>
        <v>0</v>
      </c>
      <c r="S597" cm="1">
        <f t="array" aca="1" ref="S597" ca="1">INDIRECT("Data!M" &amp; 592)</f>
        <v>0</v>
      </c>
      <c r="T597" cm="1">
        <f t="array" aca="1" ref="T597" ca="1">INDIRECT("Data!N" &amp; 592)</f>
        <v>0</v>
      </c>
      <c r="U597" cm="1">
        <f t="array" aca="1" ref="U597" ca="1">INDIRECT("Data!O" &amp; 592)</f>
        <v>0</v>
      </c>
      <c r="V597" cm="1">
        <f t="array" aca="1" ref="V597" ca="1">INDIRECT("Data!P" &amp; 592)</f>
        <v>0</v>
      </c>
    </row>
    <row r="598" spans="7:22" x14ac:dyDescent="0.25">
      <c r="G598" cm="1">
        <f t="array" aca="1" ref="G598" ca="1">INDIRECT("Data!A" &amp; 593)</f>
        <v>0</v>
      </c>
      <c r="H598" s="21" cm="1">
        <f t="array" aca="1" ref="H598" ca="1">INDIRECT("Data!B" &amp; 593)</f>
        <v>0</v>
      </c>
      <c r="I598" s="21" cm="1">
        <f t="array" aca="1" ref="I598" ca="1">INDIRECT("Data!C" &amp; 593)</f>
        <v>0</v>
      </c>
      <c r="J598" cm="1">
        <f t="array" aca="1" ref="J598" ca="1">INDIRECT("Data!D" &amp; 593)</f>
        <v>0</v>
      </c>
      <c r="K598" cm="1">
        <f t="array" aca="1" ref="K598" ca="1">INDIRECT("Data!E" &amp; 593)</f>
        <v>0</v>
      </c>
      <c r="L598" cm="1">
        <f t="array" aca="1" ref="L598" ca="1">INDIRECT("Data!F" &amp; 593)</f>
        <v>0</v>
      </c>
      <c r="M598" cm="1">
        <f t="array" aca="1" ref="M598" ca="1">INDIRECT("Data!G" &amp; 593)</f>
        <v>0</v>
      </c>
      <c r="N598" cm="1">
        <f t="array" aca="1" ref="N598" ca="1">INDIRECT("Data!H" &amp; 593)</f>
        <v>0</v>
      </c>
      <c r="O598" cm="1">
        <f t="array" aca="1" ref="O598" ca="1">INDIRECT("Data!I" &amp; 593)</f>
        <v>0</v>
      </c>
      <c r="P598" s="21" cm="1">
        <f t="array" aca="1" ref="P598" ca="1">INDIRECT("Data!J" &amp; 593)</f>
        <v>0</v>
      </c>
      <c r="Q598" cm="1">
        <f t="array" aca="1" ref="Q598" ca="1">INDIRECT("Data!K" &amp; 593)</f>
        <v>0</v>
      </c>
      <c r="R598" cm="1">
        <f t="array" aca="1" ref="R598" ca="1">INDIRECT("Data!L" &amp; 593)</f>
        <v>0</v>
      </c>
      <c r="S598" cm="1">
        <f t="array" aca="1" ref="S598" ca="1">INDIRECT("Data!M" &amp; 593)</f>
        <v>0</v>
      </c>
      <c r="T598" cm="1">
        <f t="array" aca="1" ref="T598" ca="1">INDIRECT("Data!N" &amp; 593)</f>
        <v>0</v>
      </c>
      <c r="U598" cm="1">
        <f t="array" aca="1" ref="U598" ca="1">INDIRECT("Data!O" &amp; 593)</f>
        <v>0</v>
      </c>
      <c r="V598" cm="1">
        <f t="array" aca="1" ref="V598" ca="1">INDIRECT("Data!P" &amp; 593)</f>
        <v>0</v>
      </c>
    </row>
    <row r="599" spans="7:22" x14ac:dyDescent="0.25">
      <c r="G599" cm="1">
        <f t="array" aca="1" ref="G599" ca="1">INDIRECT("Data!A" &amp; 594)</f>
        <v>0</v>
      </c>
      <c r="H599" s="21" cm="1">
        <f t="array" aca="1" ref="H599" ca="1">INDIRECT("Data!B" &amp; 594)</f>
        <v>0</v>
      </c>
      <c r="I599" s="21" cm="1">
        <f t="array" aca="1" ref="I599" ca="1">INDIRECT("Data!C" &amp; 594)</f>
        <v>0</v>
      </c>
      <c r="J599" cm="1">
        <f t="array" aca="1" ref="J599" ca="1">INDIRECT("Data!D" &amp; 594)</f>
        <v>0</v>
      </c>
      <c r="K599" cm="1">
        <f t="array" aca="1" ref="K599" ca="1">INDIRECT("Data!E" &amp; 594)</f>
        <v>0</v>
      </c>
      <c r="L599" cm="1">
        <f t="array" aca="1" ref="L599" ca="1">INDIRECT("Data!F" &amp; 594)</f>
        <v>0</v>
      </c>
      <c r="M599" cm="1">
        <f t="array" aca="1" ref="M599" ca="1">INDIRECT("Data!G" &amp; 594)</f>
        <v>0</v>
      </c>
      <c r="N599" cm="1">
        <f t="array" aca="1" ref="N599" ca="1">INDIRECT("Data!H" &amp; 594)</f>
        <v>0</v>
      </c>
      <c r="O599" cm="1">
        <f t="array" aca="1" ref="O599" ca="1">INDIRECT("Data!I" &amp; 594)</f>
        <v>0</v>
      </c>
      <c r="P599" s="21" cm="1">
        <f t="array" aca="1" ref="P599" ca="1">INDIRECT("Data!J" &amp; 594)</f>
        <v>0</v>
      </c>
      <c r="Q599" cm="1">
        <f t="array" aca="1" ref="Q599" ca="1">INDIRECT("Data!K" &amp; 594)</f>
        <v>0</v>
      </c>
      <c r="R599" cm="1">
        <f t="array" aca="1" ref="R599" ca="1">INDIRECT("Data!L" &amp; 594)</f>
        <v>0</v>
      </c>
      <c r="S599" cm="1">
        <f t="array" aca="1" ref="S599" ca="1">INDIRECT("Data!M" &amp; 594)</f>
        <v>0</v>
      </c>
      <c r="T599" cm="1">
        <f t="array" aca="1" ref="T599" ca="1">INDIRECT("Data!N" &amp; 594)</f>
        <v>0</v>
      </c>
      <c r="U599" cm="1">
        <f t="array" aca="1" ref="U599" ca="1">INDIRECT("Data!O" &amp; 594)</f>
        <v>0</v>
      </c>
      <c r="V599" cm="1">
        <f t="array" aca="1" ref="V599" ca="1">INDIRECT("Data!P" &amp; 594)</f>
        <v>0</v>
      </c>
    </row>
    <row r="600" spans="7:22" x14ac:dyDescent="0.25">
      <c r="G600" cm="1">
        <f t="array" aca="1" ref="G600" ca="1">INDIRECT("Data!A" &amp; 595)</f>
        <v>0</v>
      </c>
      <c r="H600" s="21" cm="1">
        <f t="array" aca="1" ref="H600" ca="1">INDIRECT("Data!B" &amp; 595)</f>
        <v>0</v>
      </c>
      <c r="I600" s="21" cm="1">
        <f t="array" aca="1" ref="I600" ca="1">INDIRECT("Data!C" &amp; 595)</f>
        <v>0</v>
      </c>
      <c r="J600" cm="1">
        <f t="array" aca="1" ref="J600" ca="1">INDIRECT("Data!D" &amp; 595)</f>
        <v>0</v>
      </c>
      <c r="K600" cm="1">
        <f t="array" aca="1" ref="K600" ca="1">INDIRECT("Data!E" &amp; 595)</f>
        <v>0</v>
      </c>
      <c r="L600" cm="1">
        <f t="array" aca="1" ref="L600" ca="1">INDIRECT("Data!F" &amp; 595)</f>
        <v>0</v>
      </c>
      <c r="M600" cm="1">
        <f t="array" aca="1" ref="M600" ca="1">INDIRECT("Data!G" &amp; 595)</f>
        <v>0</v>
      </c>
      <c r="N600" cm="1">
        <f t="array" aca="1" ref="N600" ca="1">INDIRECT("Data!H" &amp; 595)</f>
        <v>0</v>
      </c>
      <c r="O600" cm="1">
        <f t="array" aca="1" ref="O600" ca="1">INDIRECT("Data!I" &amp; 595)</f>
        <v>0</v>
      </c>
      <c r="P600" s="21" cm="1">
        <f t="array" aca="1" ref="P600" ca="1">INDIRECT("Data!J" &amp; 595)</f>
        <v>0</v>
      </c>
      <c r="Q600" cm="1">
        <f t="array" aca="1" ref="Q600" ca="1">INDIRECT("Data!K" &amp; 595)</f>
        <v>0</v>
      </c>
      <c r="R600" cm="1">
        <f t="array" aca="1" ref="R600" ca="1">INDIRECT("Data!L" &amp; 595)</f>
        <v>0</v>
      </c>
      <c r="S600" cm="1">
        <f t="array" aca="1" ref="S600" ca="1">INDIRECT("Data!M" &amp; 595)</f>
        <v>0</v>
      </c>
      <c r="T600" cm="1">
        <f t="array" aca="1" ref="T600" ca="1">INDIRECT("Data!N" &amp; 595)</f>
        <v>0</v>
      </c>
      <c r="U600" cm="1">
        <f t="array" aca="1" ref="U600" ca="1">INDIRECT("Data!O" &amp; 595)</f>
        <v>0</v>
      </c>
      <c r="V600" cm="1">
        <f t="array" aca="1" ref="V600" ca="1">INDIRECT("Data!P" &amp; 595)</f>
        <v>0</v>
      </c>
    </row>
    <row r="601" spans="7:22" x14ac:dyDescent="0.25">
      <c r="G601" cm="1">
        <f t="array" aca="1" ref="G601" ca="1">INDIRECT("Data!A" &amp; 596)</f>
        <v>0</v>
      </c>
      <c r="H601" s="21" cm="1">
        <f t="array" aca="1" ref="H601" ca="1">INDIRECT("Data!B" &amp; 596)</f>
        <v>0</v>
      </c>
      <c r="I601" s="21" cm="1">
        <f t="array" aca="1" ref="I601" ca="1">INDIRECT("Data!C" &amp; 596)</f>
        <v>0</v>
      </c>
      <c r="J601" cm="1">
        <f t="array" aca="1" ref="J601" ca="1">INDIRECT("Data!D" &amp; 596)</f>
        <v>0</v>
      </c>
      <c r="K601" cm="1">
        <f t="array" aca="1" ref="K601" ca="1">INDIRECT("Data!E" &amp; 596)</f>
        <v>0</v>
      </c>
      <c r="L601" cm="1">
        <f t="array" aca="1" ref="L601" ca="1">INDIRECT("Data!F" &amp; 596)</f>
        <v>0</v>
      </c>
      <c r="M601" cm="1">
        <f t="array" aca="1" ref="M601" ca="1">INDIRECT("Data!G" &amp; 596)</f>
        <v>0</v>
      </c>
      <c r="N601" cm="1">
        <f t="array" aca="1" ref="N601" ca="1">INDIRECT("Data!H" &amp; 596)</f>
        <v>0</v>
      </c>
      <c r="O601" cm="1">
        <f t="array" aca="1" ref="O601" ca="1">INDIRECT("Data!I" &amp; 596)</f>
        <v>0</v>
      </c>
      <c r="P601" s="21" cm="1">
        <f t="array" aca="1" ref="P601" ca="1">INDIRECT("Data!J" &amp; 596)</f>
        <v>0</v>
      </c>
      <c r="Q601" cm="1">
        <f t="array" aca="1" ref="Q601" ca="1">INDIRECT("Data!K" &amp; 596)</f>
        <v>0</v>
      </c>
      <c r="R601" cm="1">
        <f t="array" aca="1" ref="R601" ca="1">INDIRECT("Data!L" &amp; 596)</f>
        <v>0</v>
      </c>
      <c r="S601" cm="1">
        <f t="array" aca="1" ref="S601" ca="1">INDIRECT("Data!M" &amp; 596)</f>
        <v>0</v>
      </c>
      <c r="T601" cm="1">
        <f t="array" aca="1" ref="T601" ca="1">INDIRECT("Data!N" &amp; 596)</f>
        <v>0</v>
      </c>
      <c r="U601" cm="1">
        <f t="array" aca="1" ref="U601" ca="1">INDIRECT("Data!O" &amp; 596)</f>
        <v>0</v>
      </c>
      <c r="V601" cm="1">
        <f t="array" aca="1" ref="V601" ca="1">INDIRECT("Data!P" &amp; 596)</f>
        <v>0</v>
      </c>
    </row>
    <row r="602" spans="7:22" x14ac:dyDescent="0.25">
      <c r="G602" cm="1">
        <f t="array" aca="1" ref="G602" ca="1">INDIRECT("Data!A" &amp; 597)</f>
        <v>0</v>
      </c>
      <c r="H602" s="21" cm="1">
        <f t="array" aca="1" ref="H602" ca="1">INDIRECT("Data!B" &amp; 597)</f>
        <v>0</v>
      </c>
      <c r="I602" s="21" cm="1">
        <f t="array" aca="1" ref="I602" ca="1">INDIRECT("Data!C" &amp; 597)</f>
        <v>0</v>
      </c>
      <c r="J602" cm="1">
        <f t="array" aca="1" ref="J602" ca="1">INDIRECT("Data!D" &amp; 597)</f>
        <v>0</v>
      </c>
      <c r="K602" cm="1">
        <f t="array" aca="1" ref="K602" ca="1">INDIRECT("Data!E" &amp; 597)</f>
        <v>0</v>
      </c>
      <c r="L602" cm="1">
        <f t="array" aca="1" ref="L602" ca="1">INDIRECT("Data!F" &amp; 597)</f>
        <v>0</v>
      </c>
      <c r="M602" cm="1">
        <f t="array" aca="1" ref="M602" ca="1">INDIRECT("Data!G" &amp; 597)</f>
        <v>0</v>
      </c>
      <c r="N602" cm="1">
        <f t="array" aca="1" ref="N602" ca="1">INDIRECT("Data!H" &amp; 597)</f>
        <v>0</v>
      </c>
      <c r="O602" cm="1">
        <f t="array" aca="1" ref="O602" ca="1">INDIRECT("Data!I" &amp; 597)</f>
        <v>0</v>
      </c>
      <c r="P602" s="21" cm="1">
        <f t="array" aca="1" ref="P602" ca="1">INDIRECT("Data!J" &amp; 597)</f>
        <v>0</v>
      </c>
      <c r="Q602" cm="1">
        <f t="array" aca="1" ref="Q602" ca="1">INDIRECT("Data!K" &amp; 597)</f>
        <v>0</v>
      </c>
      <c r="R602" cm="1">
        <f t="array" aca="1" ref="R602" ca="1">INDIRECT("Data!L" &amp; 597)</f>
        <v>0</v>
      </c>
      <c r="S602" cm="1">
        <f t="array" aca="1" ref="S602" ca="1">INDIRECT("Data!M" &amp; 597)</f>
        <v>0</v>
      </c>
      <c r="T602" cm="1">
        <f t="array" aca="1" ref="T602" ca="1">INDIRECT("Data!N" &amp; 597)</f>
        <v>0</v>
      </c>
      <c r="U602" cm="1">
        <f t="array" aca="1" ref="U602" ca="1">INDIRECT("Data!O" &amp; 597)</f>
        <v>0</v>
      </c>
      <c r="V602" cm="1">
        <f t="array" aca="1" ref="V602" ca="1">INDIRECT("Data!P" &amp; 597)</f>
        <v>0</v>
      </c>
    </row>
    <row r="603" spans="7:22" x14ac:dyDescent="0.25">
      <c r="G603" cm="1">
        <f t="array" aca="1" ref="G603" ca="1">INDIRECT("Data!A" &amp; 598)</f>
        <v>0</v>
      </c>
      <c r="H603" s="21" cm="1">
        <f t="array" aca="1" ref="H603" ca="1">INDIRECT("Data!B" &amp; 598)</f>
        <v>0</v>
      </c>
      <c r="I603" s="21" cm="1">
        <f t="array" aca="1" ref="I603" ca="1">INDIRECT("Data!C" &amp; 598)</f>
        <v>0</v>
      </c>
      <c r="J603" cm="1">
        <f t="array" aca="1" ref="J603" ca="1">INDIRECT("Data!D" &amp; 598)</f>
        <v>0</v>
      </c>
      <c r="K603" cm="1">
        <f t="array" aca="1" ref="K603" ca="1">INDIRECT("Data!E" &amp; 598)</f>
        <v>0</v>
      </c>
      <c r="L603" cm="1">
        <f t="array" aca="1" ref="L603" ca="1">INDIRECT("Data!F" &amp; 598)</f>
        <v>0</v>
      </c>
      <c r="M603" cm="1">
        <f t="array" aca="1" ref="M603" ca="1">INDIRECT("Data!G" &amp; 598)</f>
        <v>0</v>
      </c>
      <c r="N603" cm="1">
        <f t="array" aca="1" ref="N603" ca="1">INDIRECT("Data!H" &amp; 598)</f>
        <v>0</v>
      </c>
      <c r="O603" cm="1">
        <f t="array" aca="1" ref="O603" ca="1">INDIRECT("Data!I" &amp; 598)</f>
        <v>0</v>
      </c>
      <c r="P603" s="21" cm="1">
        <f t="array" aca="1" ref="P603" ca="1">INDIRECT("Data!J" &amp; 598)</f>
        <v>0</v>
      </c>
      <c r="Q603" cm="1">
        <f t="array" aca="1" ref="Q603" ca="1">INDIRECT("Data!K" &amp; 598)</f>
        <v>0</v>
      </c>
      <c r="R603" cm="1">
        <f t="array" aca="1" ref="R603" ca="1">INDIRECT("Data!L" &amp; 598)</f>
        <v>0</v>
      </c>
      <c r="S603" cm="1">
        <f t="array" aca="1" ref="S603" ca="1">INDIRECT("Data!M" &amp; 598)</f>
        <v>0</v>
      </c>
      <c r="T603" cm="1">
        <f t="array" aca="1" ref="T603" ca="1">INDIRECT("Data!N" &amp; 598)</f>
        <v>0</v>
      </c>
      <c r="U603" cm="1">
        <f t="array" aca="1" ref="U603" ca="1">INDIRECT("Data!O" &amp; 598)</f>
        <v>0</v>
      </c>
      <c r="V603" cm="1">
        <f t="array" aca="1" ref="V603" ca="1">INDIRECT("Data!P" &amp; 598)</f>
        <v>0</v>
      </c>
    </row>
    <row r="604" spans="7:22" x14ac:dyDescent="0.25">
      <c r="G604" cm="1">
        <f t="array" aca="1" ref="G604" ca="1">INDIRECT("Data!A" &amp; 599)</f>
        <v>0</v>
      </c>
      <c r="H604" s="21" cm="1">
        <f t="array" aca="1" ref="H604" ca="1">INDIRECT("Data!B" &amp; 599)</f>
        <v>0</v>
      </c>
      <c r="I604" s="21" cm="1">
        <f t="array" aca="1" ref="I604" ca="1">INDIRECT("Data!C" &amp; 599)</f>
        <v>0</v>
      </c>
      <c r="J604" cm="1">
        <f t="array" aca="1" ref="J604" ca="1">INDIRECT("Data!D" &amp; 599)</f>
        <v>0</v>
      </c>
      <c r="K604" cm="1">
        <f t="array" aca="1" ref="K604" ca="1">INDIRECT("Data!E" &amp; 599)</f>
        <v>0</v>
      </c>
      <c r="L604" cm="1">
        <f t="array" aca="1" ref="L604" ca="1">INDIRECT("Data!F" &amp; 599)</f>
        <v>0</v>
      </c>
      <c r="M604" cm="1">
        <f t="array" aca="1" ref="M604" ca="1">INDIRECT("Data!G" &amp; 599)</f>
        <v>0</v>
      </c>
      <c r="N604" cm="1">
        <f t="array" aca="1" ref="N604" ca="1">INDIRECT("Data!H" &amp; 599)</f>
        <v>0</v>
      </c>
      <c r="O604" cm="1">
        <f t="array" aca="1" ref="O604" ca="1">INDIRECT("Data!I" &amp; 599)</f>
        <v>0</v>
      </c>
      <c r="P604" s="21" cm="1">
        <f t="array" aca="1" ref="P604" ca="1">INDIRECT("Data!J" &amp; 599)</f>
        <v>0</v>
      </c>
      <c r="Q604" cm="1">
        <f t="array" aca="1" ref="Q604" ca="1">INDIRECT("Data!K" &amp; 599)</f>
        <v>0</v>
      </c>
      <c r="R604" cm="1">
        <f t="array" aca="1" ref="R604" ca="1">INDIRECT("Data!L" &amp; 599)</f>
        <v>0</v>
      </c>
      <c r="S604" cm="1">
        <f t="array" aca="1" ref="S604" ca="1">INDIRECT("Data!M" &amp; 599)</f>
        <v>0</v>
      </c>
      <c r="T604" cm="1">
        <f t="array" aca="1" ref="T604" ca="1">INDIRECT("Data!N" &amp; 599)</f>
        <v>0</v>
      </c>
      <c r="U604" cm="1">
        <f t="array" aca="1" ref="U604" ca="1">INDIRECT("Data!O" &amp; 599)</f>
        <v>0</v>
      </c>
      <c r="V604" cm="1">
        <f t="array" aca="1" ref="V604" ca="1">INDIRECT("Data!P" &amp; 599)</f>
        <v>0</v>
      </c>
    </row>
    <row r="605" spans="7:22" x14ac:dyDescent="0.25">
      <c r="G605" cm="1">
        <f t="array" aca="1" ref="G605" ca="1">INDIRECT("Data!A" &amp; 600)</f>
        <v>0</v>
      </c>
      <c r="H605" s="21" cm="1">
        <f t="array" aca="1" ref="H605" ca="1">INDIRECT("Data!B" &amp; 600)</f>
        <v>0</v>
      </c>
      <c r="I605" s="21" cm="1">
        <f t="array" aca="1" ref="I605" ca="1">INDIRECT("Data!C" &amp; 600)</f>
        <v>0</v>
      </c>
      <c r="J605" cm="1">
        <f t="array" aca="1" ref="J605" ca="1">INDIRECT("Data!D" &amp; 600)</f>
        <v>0</v>
      </c>
      <c r="K605" cm="1">
        <f t="array" aca="1" ref="K605" ca="1">INDIRECT("Data!E" &amp; 600)</f>
        <v>0</v>
      </c>
      <c r="L605" cm="1">
        <f t="array" aca="1" ref="L605" ca="1">INDIRECT("Data!F" &amp; 600)</f>
        <v>0</v>
      </c>
      <c r="M605" cm="1">
        <f t="array" aca="1" ref="M605" ca="1">INDIRECT("Data!G" &amp; 600)</f>
        <v>0</v>
      </c>
      <c r="N605" cm="1">
        <f t="array" aca="1" ref="N605" ca="1">INDIRECT("Data!H" &amp; 600)</f>
        <v>0</v>
      </c>
      <c r="O605" cm="1">
        <f t="array" aca="1" ref="O605" ca="1">INDIRECT("Data!I" &amp; 600)</f>
        <v>0</v>
      </c>
      <c r="P605" s="21" cm="1">
        <f t="array" aca="1" ref="P605" ca="1">INDIRECT("Data!J" &amp; 600)</f>
        <v>0</v>
      </c>
      <c r="Q605" cm="1">
        <f t="array" aca="1" ref="Q605" ca="1">INDIRECT("Data!K" &amp; 600)</f>
        <v>0</v>
      </c>
      <c r="R605" cm="1">
        <f t="array" aca="1" ref="R605" ca="1">INDIRECT("Data!L" &amp; 600)</f>
        <v>0</v>
      </c>
      <c r="S605" cm="1">
        <f t="array" aca="1" ref="S605" ca="1">INDIRECT("Data!M" &amp; 600)</f>
        <v>0</v>
      </c>
      <c r="T605" cm="1">
        <f t="array" aca="1" ref="T605" ca="1">INDIRECT("Data!N" &amp; 600)</f>
        <v>0</v>
      </c>
      <c r="U605" cm="1">
        <f t="array" aca="1" ref="U605" ca="1">INDIRECT("Data!O" &amp; 600)</f>
        <v>0</v>
      </c>
      <c r="V605" cm="1">
        <f t="array" aca="1" ref="V605" ca="1">INDIRECT("Data!P" &amp; 600)</f>
        <v>0</v>
      </c>
    </row>
    <row r="606" spans="7:22" x14ac:dyDescent="0.25">
      <c r="G606" cm="1">
        <f t="array" aca="1" ref="G606" ca="1">INDIRECT("Data!A" &amp; 601)</f>
        <v>0</v>
      </c>
      <c r="H606" s="21" cm="1">
        <f t="array" aca="1" ref="H606" ca="1">INDIRECT("Data!B" &amp; 601)</f>
        <v>0</v>
      </c>
      <c r="I606" s="21" cm="1">
        <f t="array" aca="1" ref="I606" ca="1">INDIRECT("Data!C" &amp; 601)</f>
        <v>0</v>
      </c>
      <c r="J606" cm="1">
        <f t="array" aca="1" ref="J606" ca="1">INDIRECT("Data!D" &amp; 601)</f>
        <v>0</v>
      </c>
      <c r="K606" cm="1">
        <f t="array" aca="1" ref="K606" ca="1">INDIRECT("Data!E" &amp; 601)</f>
        <v>0</v>
      </c>
      <c r="L606" cm="1">
        <f t="array" aca="1" ref="L606" ca="1">INDIRECT("Data!F" &amp; 601)</f>
        <v>0</v>
      </c>
      <c r="M606" cm="1">
        <f t="array" aca="1" ref="M606" ca="1">INDIRECT("Data!G" &amp; 601)</f>
        <v>0</v>
      </c>
      <c r="N606" cm="1">
        <f t="array" aca="1" ref="N606" ca="1">INDIRECT("Data!H" &amp; 601)</f>
        <v>0</v>
      </c>
      <c r="O606" cm="1">
        <f t="array" aca="1" ref="O606" ca="1">INDIRECT("Data!I" &amp; 601)</f>
        <v>0</v>
      </c>
      <c r="P606" s="21" cm="1">
        <f t="array" aca="1" ref="P606" ca="1">INDIRECT("Data!J" &amp; 601)</f>
        <v>0</v>
      </c>
      <c r="Q606" cm="1">
        <f t="array" aca="1" ref="Q606" ca="1">INDIRECT("Data!K" &amp; 601)</f>
        <v>0</v>
      </c>
      <c r="R606" cm="1">
        <f t="array" aca="1" ref="R606" ca="1">INDIRECT("Data!L" &amp; 601)</f>
        <v>0</v>
      </c>
      <c r="S606" cm="1">
        <f t="array" aca="1" ref="S606" ca="1">INDIRECT("Data!M" &amp; 601)</f>
        <v>0</v>
      </c>
      <c r="T606" cm="1">
        <f t="array" aca="1" ref="T606" ca="1">INDIRECT("Data!N" &amp; 601)</f>
        <v>0</v>
      </c>
      <c r="U606" cm="1">
        <f t="array" aca="1" ref="U606" ca="1">INDIRECT("Data!O" &amp; 601)</f>
        <v>0</v>
      </c>
      <c r="V606" cm="1">
        <f t="array" aca="1" ref="V606" ca="1">INDIRECT("Data!P" &amp; 601)</f>
        <v>0</v>
      </c>
    </row>
    <row r="607" spans="7:22" x14ac:dyDescent="0.25">
      <c r="G607" cm="1">
        <f t="array" aca="1" ref="G607" ca="1">INDIRECT("Data!A" &amp; 602)</f>
        <v>0</v>
      </c>
      <c r="H607" s="21" cm="1">
        <f t="array" aca="1" ref="H607" ca="1">INDIRECT("Data!B" &amp; 602)</f>
        <v>0</v>
      </c>
      <c r="I607" s="21" cm="1">
        <f t="array" aca="1" ref="I607" ca="1">INDIRECT("Data!C" &amp; 602)</f>
        <v>0</v>
      </c>
      <c r="J607" cm="1">
        <f t="array" aca="1" ref="J607" ca="1">INDIRECT("Data!D" &amp; 602)</f>
        <v>0</v>
      </c>
      <c r="K607" cm="1">
        <f t="array" aca="1" ref="K607" ca="1">INDIRECT("Data!E" &amp; 602)</f>
        <v>0</v>
      </c>
      <c r="L607" cm="1">
        <f t="array" aca="1" ref="L607" ca="1">INDIRECT("Data!F" &amp; 602)</f>
        <v>0</v>
      </c>
      <c r="M607" cm="1">
        <f t="array" aca="1" ref="M607" ca="1">INDIRECT("Data!G" &amp; 602)</f>
        <v>0</v>
      </c>
      <c r="N607" cm="1">
        <f t="array" aca="1" ref="N607" ca="1">INDIRECT("Data!H" &amp; 602)</f>
        <v>0</v>
      </c>
      <c r="O607" cm="1">
        <f t="array" aca="1" ref="O607" ca="1">INDIRECT("Data!I" &amp; 602)</f>
        <v>0</v>
      </c>
      <c r="P607" s="21" cm="1">
        <f t="array" aca="1" ref="P607" ca="1">INDIRECT("Data!J" &amp; 602)</f>
        <v>0</v>
      </c>
      <c r="Q607" cm="1">
        <f t="array" aca="1" ref="Q607" ca="1">INDIRECT("Data!K" &amp; 602)</f>
        <v>0</v>
      </c>
      <c r="R607" cm="1">
        <f t="array" aca="1" ref="R607" ca="1">INDIRECT("Data!L" &amp; 602)</f>
        <v>0</v>
      </c>
      <c r="S607" cm="1">
        <f t="array" aca="1" ref="S607" ca="1">INDIRECT("Data!M" &amp; 602)</f>
        <v>0</v>
      </c>
      <c r="T607" cm="1">
        <f t="array" aca="1" ref="T607" ca="1">INDIRECT("Data!N" &amp; 602)</f>
        <v>0</v>
      </c>
      <c r="U607" cm="1">
        <f t="array" aca="1" ref="U607" ca="1">INDIRECT("Data!O" &amp; 602)</f>
        <v>0</v>
      </c>
      <c r="V607" cm="1">
        <f t="array" aca="1" ref="V607" ca="1">INDIRECT("Data!P" &amp; 602)</f>
        <v>0</v>
      </c>
    </row>
    <row r="608" spans="7:22" x14ac:dyDescent="0.25">
      <c r="G608" cm="1">
        <f t="array" aca="1" ref="G608" ca="1">INDIRECT("Data!A" &amp; 603)</f>
        <v>0</v>
      </c>
      <c r="H608" s="21" cm="1">
        <f t="array" aca="1" ref="H608" ca="1">INDIRECT("Data!B" &amp; 603)</f>
        <v>0</v>
      </c>
      <c r="I608" s="21" cm="1">
        <f t="array" aca="1" ref="I608" ca="1">INDIRECT("Data!C" &amp; 603)</f>
        <v>0</v>
      </c>
      <c r="J608" cm="1">
        <f t="array" aca="1" ref="J608" ca="1">INDIRECT("Data!D" &amp; 603)</f>
        <v>0</v>
      </c>
      <c r="K608" cm="1">
        <f t="array" aca="1" ref="K608" ca="1">INDIRECT("Data!E" &amp; 603)</f>
        <v>0</v>
      </c>
      <c r="L608" cm="1">
        <f t="array" aca="1" ref="L608" ca="1">INDIRECT("Data!F" &amp; 603)</f>
        <v>0</v>
      </c>
      <c r="M608" cm="1">
        <f t="array" aca="1" ref="M608" ca="1">INDIRECT("Data!G" &amp; 603)</f>
        <v>0</v>
      </c>
      <c r="N608" cm="1">
        <f t="array" aca="1" ref="N608" ca="1">INDIRECT("Data!H" &amp; 603)</f>
        <v>0</v>
      </c>
      <c r="O608" cm="1">
        <f t="array" aca="1" ref="O608" ca="1">INDIRECT("Data!I" &amp; 603)</f>
        <v>0</v>
      </c>
      <c r="P608" s="21" cm="1">
        <f t="array" aca="1" ref="P608" ca="1">INDIRECT("Data!J" &amp; 603)</f>
        <v>0</v>
      </c>
      <c r="Q608" cm="1">
        <f t="array" aca="1" ref="Q608" ca="1">INDIRECT("Data!K" &amp; 603)</f>
        <v>0</v>
      </c>
      <c r="R608" cm="1">
        <f t="array" aca="1" ref="R608" ca="1">INDIRECT("Data!L" &amp; 603)</f>
        <v>0</v>
      </c>
      <c r="S608" cm="1">
        <f t="array" aca="1" ref="S608" ca="1">INDIRECT("Data!M" &amp; 603)</f>
        <v>0</v>
      </c>
      <c r="T608" cm="1">
        <f t="array" aca="1" ref="T608" ca="1">INDIRECT("Data!N" &amp; 603)</f>
        <v>0</v>
      </c>
      <c r="U608" cm="1">
        <f t="array" aca="1" ref="U608" ca="1">INDIRECT("Data!O" &amp; 603)</f>
        <v>0</v>
      </c>
      <c r="V608" cm="1">
        <f t="array" aca="1" ref="V608" ca="1">INDIRECT("Data!P" &amp; 603)</f>
        <v>0</v>
      </c>
    </row>
    <row r="609" spans="7:22" x14ac:dyDescent="0.25">
      <c r="G609" cm="1">
        <f t="array" aca="1" ref="G609" ca="1">INDIRECT("Data!A" &amp; 604)</f>
        <v>0</v>
      </c>
      <c r="H609" s="21" cm="1">
        <f t="array" aca="1" ref="H609" ca="1">INDIRECT("Data!B" &amp; 604)</f>
        <v>0</v>
      </c>
      <c r="I609" s="21" cm="1">
        <f t="array" aca="1" ref="I609" ca="1">INDIRECT("Data!C" &amp; 604)</f>
        <v>0</v>
      </c>
      <c r="J609" cm="1">
        <f t="array" aca="1" ref="J609" ca="1">INDIRECT("Data!D" &amp; 604)</f>
        <v>0</v>
      </c>
      <c r="K609" cm="1">
        <f t="array" aca="1" ref="K609" ca="1">INDIRECT("Data!E" &amp; 604)</f>
        <v>0</v>
      </c>
      <c r="L609" cm="1">
        <f t="array" aca="1" ref="L609" ca="1">INDIRECT("Data!F" &amp; 604)</f>
        <v>0</v>
      </c>
      <c r="M609" cm="1">
        <f t="array" aca="1" ref="M609" ca="1">INDIRECT("Data!G" &amp; 604)</f>
        <v>0</v>
      </c>
      <c r="N609" cm="1">
        <f t="array" aca="1" ref="N609" ca="1">INDIRECT("Data!H" &amp; 604)</f>
        <v>0</v>
      </c>
      <c r="O609" cm="1">
        <f t="array" aca="1" ref="O609" ca="1">INDIRECT("Data!I" &amp; 604)</f>
        <v>0</v>
      </c>
      <c r="P609" s="21" cm="1">
        <f t="array" aca="1" ref="P609" ca="1">INDIRECT("Data!J" &amp; 604)</f>
        <v>0</v>
      </c>
      <c r="Q609" cm="1">
        <f t="array" aca="1" ref="Q609" ca="1">INDIRECT("Data!K" &amp; 604)</f>
        <v>0</v>
      </c>
      <c r="R609" cm="1">
        <f t="array" aca="1" ref="R609" ca="1">INDIRECT("Data!L" &amp; 604)</f>
        <v>0</v>
      </c>
      <c r="S609" cm="1">
        <f t="array" aca="1" ref="S609" ca="1">INDIRECT("Data!M" &amp; 604)</f>
        <v>0</v>
      </c>
      <c r="T609" cm="1">
        <f t="array" aca="1" ref="T609" ca="1">INDIRECT("Data!N" &amp; 604)</f>
        <v>0</v>
      </c>
      <c r="U609" cm="1">
        <f t="array" aca="1" ref="U609" ca="1">INDIRECT("Data!O" &amp; 604)</f>
        <v>0</v>
      </c>
      <c r="V609" cm="1">
        <f t="array" aca="1" ref="V609" ca="1">INDIRECT("Data!P" &amp; 604)</f>
        <v>0</v>
      </c>
    </row>
    <row r="610" spans="7:22" x14ac:dyDescent="0.25">
      <c r="G610" cm="1">
        <f t="array" aca="1" ref="G610" ca="1">INDIRECT("Data!A" &amp; 605)</f>
        <v>0</v>
      </c>
      <c r="H610" s="21" cm="1">
        <f t="array" aca="1" ref="H610" ca="1">INDIRECT("Data!B" &amp; 605)</f>
        <v>0</v>
      </c>
      <c r="I610" s="21" cm="1">
        <f t="array" aca="1" ref="I610" ca="1">INDIRECT("Data!C" &amp; 605)</f>
        <v>0</v>
      </c>
      <c r="J610" cm="1">
        <f t="array" aca="1" ref="J610" ca="1">INDIRECT("Data!D" &amp; 605)</f>
        <v>0</v>
      </c>
      <c r="K610" cm="1">
        <f t="array" aca="1" ref="K610" ca="1">INDIRECT("Data!E" &amp; 605)</f>
        <v>0</v>
      </c>
      <c r="L610" cm="1">
        <f t="array" aca="1" ref="L610" ca="1">INDIRECT("Data!F" &amp; 605)</f>
        <v>0</v>
      </c>
      <c r="M610" cm="1">
        <f t="array" aca="1" ref="M610" ca="1">INDIRECT("Data!G" &amp; 605)</f>
        <v>0</v>
      </c>
      <c r="N610" cm="1">
        <f t="array" aca="1" ref="N610" ca="1">INDIRECT("Data!H" &amp; 605)</f>
        <v>0</v>
      </c>
      <c r="O610" cm="1">
        <f t="array" aca="1" ref="O610" ca="1">INDIRECT("Data!I" &amp; 605)</f>
        <v>0</v>
      </c>
      <c r="P610" s="21" cm="1">
        <f t="array" aca="1" ref="P610" ca="1">INDIRECT("Data!J" &amp; 605)</f>
        <v>0</v>
      </c>
      <c r="Q610" cm="1">
        <f t="array" aca="1" ref="Q610" ca="1">INDIRECT("Data!K" &amp; 605)</f>
        <v>0</v>
      </c>
      <c r="R610" cm="1">
        <f t="array" aca="1" ref="R610" ca="1">INDIRECT("Data!L" &amp; 605)</f>
        <v>0</v>
      </c>
      <c r="S610" cm="1">
        <f t="array" aca="1" ref="S610" ca="1">INDIRECT("Data!M" &amp; 605)</f>
        <v>0</v>
      </c>
      <c r="T610" cm="1">
        <f t="array" aca="1" ref="T610" ca="1">INDIRECT("Data!N" &amp; 605)</f>
        <v>0</v>
      </c>
      <c r="U610" cm="1">
        <f t="array" aca="1" ref="U610" ca="1">INDIRECT("Data!O" &amp; 605)</f>
        <v>0</v>
      </c>
      <c r="V610" cm="1">
        <f t="array" aca="1" ref="V610" ca="1">INDIRECT("Data!P" &amp; 605)</f>
        <v>0</v>
      </c>
    </row>
    <row r="611" spans="7:22" x14ac:dyDescent="0.25">
      <c r="G611" cm="1">
        <f t="array" aca="1" ref="G611" ca="1">INDIRECT("Data!A" &amp; 606)</f>
        <v>0</v>
      </c>
      <c r="H611" s="21" cm="1">
        <f t="array" aca="1" ref="H611" ca="1">INDIRECT("Data!B" &amp; 606)</f>
        <v>0</v>
      </c>
      <c r="I611" s="21" cm="1">
        <f t="array" aca="1" ref="I611" ca="1">INDIRECT("Data!C" &amp; 606)</f>
        <v>0</v>
      </c>
      <c r="J611" cm="1">
        <f t="array" aca="1" ref="J611" ca="1">INDIRECT("Data!D" &amp; 606)</f>
        <v>0</v>
      </c>
      <c r="K611" cm="1">
        <f t="array" aca="1" ref="K611" ca="1">INDIRECT("Data!E" &amp; 606)</f>
        <v>0</v>
      </c>
      <c r="L611" cm="1">
        <f t="array" aca="1" ref="L611" ca="1">INDIRECT("Data!F" &amp; 606)</f>
        <v>0</v>
      </c>
      <c r="M611" cm="1">
        <f t="array" aca="1" ref="M611" ca="1">INDIRECT("Data!G" &amp; 606)</f>
        <v>0</v>
      </c>
      <c r="N611" cm="1">
        <f t="array" aca="1" ref="N611" ca="1">INDIRECT("Data!H" &amp; 606)</f>
        <v>0</v>
      </c>
      <c r="O611" cm="1">
        <f t="array" aca="1" ref="O611" ca="1">INDIRECT("Data!I" &amp; 606)</f>
        <v>0</v>
      </c>
      <c r="P611" s="21" cm="1">
        <f t="array" aca="1" ref="P611" ca="1">INDIRECT("Data!J" &amp; 606)</f>
        <v>0</v>
      </c>
      <c r="Q611" cm="1">
        <f t="array" aca="1" ref="Q611" ca="1">INDIRECT("Data!K" &amp; 606)</f>
        <v>0</v>
      </c>
      <c r="R611" cm="1">
        <f t="array" aca="1" ref="R611" ca="1">INDIRECT("Data!L" &amp; 606)</f>
        <v>0</v>
      </c>
      <c r="S611" cm="1">
        <f t="array" aca="1" ref="S611" ca="1">INDIRECT("Data!M" &amp; 606)</f>
        <v>0</v>
      </c>
      <c r="T611" cm="1">
        <f t="array" aca="1" ref="T611" ca="1">INDIRECT("Data!N" &amp; 606)</f>
        <v>0</v>
      </c>
      <c r="U611" cm="1">
        <f t="array" aca="1" ref="U611" ca="1">INDIRECT("Data!O" &amp; 606)</f>
        <v>0</v>
      </c>
      <c r="V611" cm="1">
        <f t="array" aca="1" ref="V611" ca="1">INDIRECT("Data!P" &amp; 606)</f>
        <v>0</v>
      </c>
    </row>
    <row r="612" spans="7:22" x14ac:dyDescent="0.25">
      <c r="G612" cm="1">
        <f t="array" aca="1" ref="G612" ca="1">INDIRECT("Data!A" &amp; 607)</f>
        <v>0</v>
      </c>
      <c r="H612" s="21" cm="1">
        <f t="array" aca="1" ref="H612" ca="1">INDIRECT("Data!B" &amp; 607)</f>
        <v>0</v>
      </c>
      <c r="I612" s="21" cm="1">
        <f t="array" aca="1" ref="I612" ca="1">INDIRECT("Data!C" &amp; 607)</f>
        <v>0</v>
      </c>
      <c r="J612" cm="1">
        <f t="array" aca="1" ref="J612" ca="1">INDIRECT("Data!D" &amp; 607)</f>
        <v>0</v>
      </c>
      <c r="K612" cm="1">
        <f t="array" aca="1" ref="K612" ca="1">INDIRECT("Data!E" &amp; 607)</f>
        <v>0</v>
      </c>
      <c r="L612" cm="1">
        <f t="array" aca="1" ref="L612" ca="1">INDIRECT("Data!F" &amp; 607)</f>
        <v>0</v>
      </c>
      <c r="M612" cm="1">
        <f t="array" aca="1" ref="M612" ca="1">INDIRECT("Data!G" &amp; 607)</f>
        <v>0</v>
      </c>
      <c r="N612" cm="1">
        <f t="array" aca="1" ref="N612" ca="1">INDIRECT("Data!H" &amp; 607)</f>
        <v>0</v>
      </c>
      <c r="O612" cm="1">
        <f t="array" aca="1" ref="O612" ca="1">INDIRECT("Data!I" &amp; 607)</f>
        <v>0</v>
      </c>
      <c r="P612" s="21" cm="1">
        <f t="array" aca="1" ref="P612" ca="1">INDIRECT("Data!J" &amp; 607)</f>
        <v>0</v>
      </c>
      <c r="Q612" cm="1">
        <f t="array" aca="1" ref="Q612" ca="1">INDIRECT("Data!K" &amp; 607)</f>
        <v>0</v>
      </c>
      <c r="R612" cm="1">
        <f t="array" aca="1" ref="R612" ca="1">INDIRECT("Data!L" &amp; 607)</f>
        <v>0</v>
      </c>
      <c r="S612" cm="1">
        <f t="array" aca="1" ref="S612" ca="1">INDIRECT("Data!M" &amp; 607)</f>
        <v>0</v>
      </c>
      <c r="T612" cm="1">
        <f t="array" aca="1" ref="T612" ca="1">INDIRECT("Data!N" &amp; 607)</f>
        <v>0</v>
      </c>
      <c r="U612" cm="1">
        <f t="array" aca="1" ref="U612" ca="1">INDIRECT("Data!O" &amp; 607)</f>
        <v>0</v>
      </c>
      <c r="V612" cm="1">
        <f t="array" aca="1" ref="V612" ca="1">INDIRECT("Data!P" &amp; 607)</f>
        <v>0</v>
      </c>
    </row>
    <row r="613" spans="7:22" x14ac:dyDescent="0.25">
      <c r="G613" cm="1">
        <f t="array" aca="1" ref="G613" ca="1">INDIRECT("Data!A" &amp; 608)</f>
        <v>0</v>
      </c>
      <c r="H613" s="21" cm="1">
        <f t="array" aca="1" ref="H613" ca="1">INDIRECT("Data!B" &amp; 608)</f>
        <v>0</v>
      </c>
      <c r="I613" s="21" cm="1">
        <f t="array" aca="1" ref="I613" ca="1">INDIRECT("Data!C" &amp; 608)</f>
        <v>0</v>
      </c>
      <c r="J613" cm="1">
        <f t="array" aca="1" ref="J613" ca="1">INDIRECT("Data!D" &amp; 608)</f>
        <v>0</v>
      </c>
      <c r="K613" cm="1">
        <f t="array" aca="1" ref="K613" ca="1">INDIRECT("Data!E" &amp; 608)</f>
        <v>0</v>
      </c>
      <c r="L613" cm="1">
        <f t="array" aca="1" ref="L613" ca="1">INDIRECT("Data!F" &amp; 608)</f>
        <v>0</v>
      </c>
      <c r="M613" cm="1">
        <f t="array" aca="1" ref="M613" ca="1">INDIRECT("Data!G" &amp; 608)</f>
        <v>0</v>
      </c>
      <c r="N613" cm="1">
        <f t="array" aca="1" ref="N613" ca="1">INDIRECT("Data!H" &amp; 608)</f>
        <v>0</v>
      </c>
      <c r="O613" cm="1">
        <f t="array" aca="1" ref="O613" ca="1">INDIRECT("Data!I" &amp; 608)</f>
        <v>0</v>
      </c>
      <c r="P613" s="21" cm="1">
        <f t="array" aca="1" ref="P613" ca="1">INDIRECT("Data!J" &amp; 608)</f>
        <v>0</v>
      </c>
      <c r="Q613" cm="1">
        <f t="array" aca="1" ref="Q613" ca="1">INDIRECT("Data!K" &amp; 608)</f>
        <v>0</v>
      </c>
      <c r="R613" cm="1">
        <f t="array" aca="1" ref="R613" ca="1">INDIRECT("Data!L" &amp; 608)</f>
        <v>0</v>
      </c>
      <c r="S613" cm="1">
        <f t="array" aca="1" ref="S613" ca="1">INDIRECT("Data!M" &amp; 608)</f>
        <v>0</v>
      </c>
      <c r="T613" cm="1">
        <f t="array" aca="1" ref="T613" ca="1">INDIRECT("Data!N" &amp; 608)</f>
        <v>0</v>
      </c>
      <c r="U613" cm="1">
        <f t="array" aca="1" ref="U613" ca="1">INDIRECT("Data!O" &amp; 608)</f>
        <v>0</v>
      </c>
      <c r="V613" cm="1">
        <f t="array" aca="1" ref="V613" ca="1">INDIRECT("Data!P" &amp; 608)</f>
        <v>0</v>
      </c>
    </row>
    <row r="614" spans="7:22" x14ac:dyDescent="0.25">
      <c r="G614" cm="1">
        <f t="array" aca="1" ref="G614" ca="1">INDIRECT("Data!A" &amp; 609)</f>
        <v>0</v>
      </c>
      <c r="H614" s="21" cm="1">
        <f t="array" aca="1" ref="H614" ca="1">INDIRECT("Data!B" &amp; 609)</f>
        <v>0</v>
      </c>
      <c r="I614" s="21" cm="1">
        <f t="array" aca="1" ref="I614" ca="1">INDIRECT("Data!C" &amp; 609)</f>
        <v>0</v>
      </c>
      <c r="J614" cm="1">
        <f t="array" aca="1" ref="J614" ca="1">INDIRECT("Data!D" &amp; 609)</f>
        <v>0</v>
      </c>
      <c r="K614" cm="1">
        <f t="array" aca="1" ref="K614" ca="1">INDIRECT("Data!E" &amp; 609)</f>
        <v>0</v>
      </c>
      <c r="L614" cm="1">
        <f t="array" aca="1" ref="L614" ca="1">INDIRECT("Data!F" &amp; 609)</f>
        <v>0</v>
      </c>
      <c r="M614" cm="1">
        <f t="array" aca="1" ref="M614" ca="1">INDIRECT("Data!G" &amp; 609)</f>
        <v>0</v>
      </c>
      <c r="N614" cm="1">
        <f t="array" aca="1" ref="N614" ca="1">INDIRECT("Data!H" &amp; 609)</f>
        <v>0</v>
      </c>
      <c r="O614" cm="1">
        <f t="array" aca="1" ref="O614" ca="1">INDIRECT("Data!I" &amp; 609)</f>
        <v>0</v>
      </c>
      <c r="P614" s="21" cm="1">
        <f t="array" aca="1" ref="P614" ca="1">INDIRECT("Data!J" &amp; 609)</f>
        <v>0</v>
      </c>
      <c r="Q614" cm="1">
        <f t="array" aca="1" ref="Q614" ca="1">INDIRECT("Data!K" &amp; 609)</f>
        <v>0</v>
      </c>
      <c r="R614" cm="1">
        <f t="array" aca="1" ref="R614" ca="1">INDIRECT("Data!L" &amp; 609)</f>
        <v>0</v>
      </c>
      <c r="S614" cm="1">
        <f t="array" aca="1" ref="S614" ca="1">INDIRECT("Data!M" &amp; 609)</f>
        <v>0</v>
      </c>
      <c r="T614" cm="1">
        <f t="array" aca="1" ref="T614" ca="1">INDIRECT("Data!N" &amp; 609)</f>
        <v>0</v>
      </c>
      <c r="U614" cm="1">
        <f t="array" aca="1" ref="U614" ca="1">INDIRECT("Data!O" &amp; 609)</f>
        <v>0</v>
      </c>
      <c r="V614" cm="1">
        <f t="array" aca="1" ref="V614" ca="1">INDIRECT("Data!P" &amp; 609)</f>
        <v>0</v>
      </c>
    </row>
    <row r="615" spans="7:22" x14ac:dyDescent="0.25">
      <c r="G615" cm="1">
        <f t="array" aca="1" ref="G615" ca="1">INDIRECT("Data!A" &amp; 610)</f>
        <v>0</v>
      </c>
      <c r="H615" s="21" cm="1">
        <f t="array" aca="1" ref="H615" ca="1">INDIRECT("Data!B" &amp; 610)</f>
        <v>0</v>
      </c>
      <c r="I615" s="21" cm="1">
        <f t="array" aca="1" ref="I615" ca="1">INDIRECT("Data!C" &amp; 610)</f>
        <v>0</v>
      </c>
      <c r="J615" cm="1">
        <f t="array" aca="1" ref="J615" ca="1">INDIRECT("Data!D" &amp; 610)</f>
        <v>0</v>
      </c>
      <c r="K615" cm="1">
        <f t="array" aca="1" ref="K615" ca="1">INDIRECT("Data!E" &amp; 610)</f>
        <v>0</v>
      </c>
      <c r="L615" cm="1">
        <f t="array" aca="1" ref="L615" ca="1">INDIRECT("Data!F" &amp; 610)</f>
        <v>0</v>
      </c>
      <c r="M615" cm="1">
        <f t="array" aca="1" ref="M615" ca="1">INDIRECT("Data!G" &amp; 610)</f>
        <v>0</v>
      </c>
      <c r="N615" cm="1">
        <f t="array" aca="1" ref="N615" ca="1">INDIRECT("Data!H" &amp; 610)</f>
        <v>0</v>
      </c>
      <c r="O615" cm="1">
        <f t="array" aca="1" ref="O615" ca="1">INDIRECT("Data!I" &amp; 610)</f>
        <v>0</v>
      </c>
      <c r="P615" s="21" cm="1">
        <f t="array" aca="1" ref="P615" ca="1">INDIRECT("Data!J" &amp; 610)</f>
        <v>0</v>
      </c>
      <c r="Q615" cm="1">
        <f t="array" aca="1" ref="Q615" ca="1">INDIRECT("Data!K" &amp; 610)</f>
        <v>0</v>
      </c>
      <c r="R615" cm="1">
        <f t="array" aca="1" ref="R615" ca="1">INDIRECT("Data!L" &amp; 610)</f>
        <v>0</v>
      </c>
      <c r="S615" cm="1">
        <f t="array" aca="1" ref="S615" ca="1">INDIRECT("Data!M" &amp; 610)</f>
        <v>0</v>
      </c>
      <c r="T615" cm="1">
        <f t="array" aca="1" ref="T615" ca="1">INDIRECT("Data!N" &amp; 610)</f>
        <v>0</v>
      </c>
      <c r="U615" cm="1">
        <f t="array" aca="1" ref="U615" ca="1">INDIRECT("Data!O" &amp; 610)</f>
        <v>0</v>
      </c>
      <c r="V615" cm="1">
        <f t="array" aca="1" ref="V615" ca="1">INDIRECT("Data!P" &amp; 610)</f>
        <v>0</v>
      </c>
    </row>
    <row r="616" spans="7:22" x14ac:dyDescent="0.25">
      <c r="G616" cm="1">
        <f t="array" aca="1" ref="G616" ca="1">INDIRECT("Data!A" &amp; 611)</f>
        <v>0</v>
      </c>
      <c r="H616" s="21" cm="1">
        <f t="array" aca="1" ref="H616" ca="1">INDIRECT("Data!B" &amp; 611)</f>
        <v>0</v>
      </c>
      <c r="I616" s="21" cm="1">
        <f t="array" aca="1" ref="I616" ca="1">INDIRECT("Data!C" &amp; 611)</f>
        <v>0</v>
      </c>
      <c r="J616" cm="1">
        <f t="array" aca="1" ref="J616" ca="1">INDIRECT("Data!D" &amp; 611)</f>
        <v>0</v>
      </c>
      <c r="K616" cm="1">
        <f t="array" aca="1" ref="K616" ca="1">INDIRECT("Data!E" &amp; 611)</f>
        <v>0</v>
      </c>
      <c r="L616" cm="1">
        <f t="array" aca="1" ref="L616" ca="1">INDIRECT("Data!F" &amp; 611)</f>
        <v>0</v>
      </c>
      <c r="M616" cm="1">
        <f t="array" aca="1" ref="M616" ca="1">INDIRECT("Data!G" &amp; 611)</f>
        <v>0</v>
      </c>
      <c r="N616" cm="1">
        <f t="array" aca="1" ref="N616" ca="1">INDIRECT("Data!H" &amp; 611)</f>
        <v>0</v>
      </c>
      <c r="O616" cm="1">
        <f t="array" aca="1" ref="O616" ca="1">INDIRECT("Data!I" &amp; 611)</f>
        <v>0</v>
      </c>
      <c r="P616" s="21" cm="1">
        <f t="array" aca="1" ref="P616" ca="1">INDIRECT("Data!J" &amp; 611)</f>
        <v>0</v>
      </c>
      <c r="Q616" cm="1">
        <f t="array" aca="1" ref="Q616" ca="1">INDIRECT("Data!K" &amp; 611)</f>
        <v>0</v>
      </c>
      <c r="R616" cm="1">
        <f t="array" aca="1" ref="R616" ca="1">INDIRECT("Data!L" &amp; 611)</f>
        <v>0</v>
      </c>
      <c r="S616" cm="1">
        <f t="array" aca="1" ref="S616" ca="1">INDIRECT("Data!M" &amp; 611)</f>
        <v>0</v>
      </c>
      <c r="T616" cm="1">
        <f t="array" aca="1" ref="T616" ca="1">INDIRECT("Data!N" &amp; 611)</f>
        <v>0</v>
      </c>
      <c r="U616" cm="1">
        <f t="array" aca="1" ref="U616" ca="1">INDIRECT("Data!O" &amp; 611)</f>
        <v>0</v>
      </c>
      <c r="V616" cm="1">
        <f t="array" aca="1" ref="V616" ca="1">INDIRECT("Data!P" &amp; 611)</f>
        <v>0</v>
      </c>
    </row>
    <row r="617" spans="7:22" x14ac:dyDescent="0.25">
      <c r="G617" cm="1">
        <f t="array" aca="1" ref="G617" ca="1">INDIRECT("Data!A" &amp; 612)</f>
        <v>0</v>
      </c>
      <c r="H617" s="21" cm="1">
        <f t="array" aca="1" ref="H617" ca="1">INDIRECT("Data!B" &amp; 612)</f>
        <v>0</v>
      </c>
      <c r="I617" s="21" cm="1">
        <f t="array" aca="1" ref="I617" ca="1">INDIRECT("Data!C" &amp; 612)</f>
        <v>0</v>
      </c>
      <c r="J617" cm="1">
        <f t="array" aca="1" ref="J617" ca="1">INDIRECT("Data!D" &amp; 612)</f>
        <v>0</v>
      </c>
      <c r="K617" cm="1">
        <f t="array" aca="1" ref="K617" ca="1">INDIRECT("Data!E" &amp; 612)</f>
        <v>0</v>
      </c>
      <c r="L617" cm="1">
        <f t="array" aca="1" ref="L617" ca="1">INDIRECT("Data!F" &amp; 612)</f>
        <v>0</v>
      </c>
      <c r="M617" cm="1">
        <f t="array" aca="1" ref="M617" ca="1">INDIRECT("Data!G" &amp; 612)</f>
        <v>0</v>
      </c>
      <c r="N617" cm="1">
        <f t="array" aca="1" ref="N617" ca="1">INDIRECT("Data!H" &amp; 612)</f>
        <v>0</v>
      </c>
      <c r="O617" cm="1">
        <f t="array" aca="1" ref="O617" ca="1">INDIRECT("Data!I" &amp; 612)</f>
        <v>0</v>
      </c>
      <c r="P617" s="21" cm="1">
        <f t="array" aca="1" ref="P617" ca="1">INDIRECT("Data!J" &amp; 612)</f>
        <v>0</v>
      </c>
      <c r="Q617" cm="1">
        <f t="array" aca="1" ref="Q617" ca="1">INDIRECT("Data!K" &amp; 612)</f>
        <v>0</v>
      </c>
      <c r="R617" cm="1">
        <f t="array" aca="1" ref="R617" ca="1">INDIRECT("Data!L" &amp; 612)</f>
        <v>0</v>
      </c>
      <c r="S617" cm="1">
        <f t="array" aca="1" ref="S617" ca="1">INDIRECT("Data!M" &amp; 612)</f>
        <v>0</v>
      </c>
      <c r="T617" cm="1">
        <f t="array" aca="1" ref="T617" ca="1">INDIRECT("Data!N" &amp; 612)</f>
        <v>0</v>
      </c>
      <c r="U617" cm="1">
        <f t="array" aca="1" ref="U617" ca="1">INDIRECT("Data!O" &amp; 612)</f>
        <v>0</v>
      </c>
      <c r="V617" cm="1">
        <f t="array" aca="1" ref="V617" ca="1">INDIRECT("Data!P" &amp; 612)</f>
        <v>0</v>
      </c>
    </row>
    <row r="618" spans="7:22" x14ac:dyDescent="0.25">
      <c r="G618" cm="1">
        <f t="array" aca="1" ref="G618" ca="1">INDIRECT("Data!A" &amp; 613)</f>
        <v>0</v>
      </c>
      <c r="H618" s="21" cm="1">
        <f t="array" aca="1" ref="H618" ca="1">INDIRECT("Data!B" &amp; 613)</f>
        <v>0</v>
      </c>
      <c r="I618" s="21" cm="1">
        <f t="array" aca="1" ref="I618" ca="1">INDIRECT("Data!C" &amp; 613)</f>
        <v>0</v>
      </c>
      <c r="J618" cm="1">
        <f t="array" aca="1" ref="J618" ca="1">INDIRECT("Data!D" &amp; 613)</f>
        <v>0</v>
      </c>
      <c r="K618" cm="1">
        <f t="array" aca="1" ref="K618" ca="1">INDIRECT("Data!E" &amp; 613)</f>
        <v>0</v>
      </c>
      <c r="L618" cm="1">
        <f t="array" aca="1" ref="L618" ca="1">INDIRECT("Data!F" &amp; 613)</f>
        <v>0</v>
      </c>
      <c r="M618" cm="1">
        <f t="array" aca="1" ref="M618" ca="1">INDIRECT("Data!G" &amp; 613)</f>
        <v>0</v>
      </c>
      <c r="N618" cm="1">
        <f t="array" aca="1" ref="N618" ca="1">INDIRECT("Data!H" &amp; 613)</f>
        <v>0</v>
      </c>
      <c r="O618" cm="1">
        <f t="array" aca="1" ref="O618" ca="1">INDIRECT("Data!I" &amp; 613)</f>
        <v>0</v>
      </c>
      <c r="P618" s="21" cm="1">
        <f t="array" aca="1" ref="P618" ca="1">INDIRECT("Data!J" &amp; 613)</f>
        <v>0</v>
      </c>
      <c r="Q618" cm="1">
        <f t="array" aca="1" ref="Q618" ca="1">INDIRECT("Data!K" &amp; 613)</f>
        <v>0</v>
      </c>
      <c r="R618" cm="1">
        <f t="array" aca="1" ref="R618" ca="1">INDIRECT("Data!L" &amp; 613)</f>
        <v>0</v>
      </c>
      <c r="S618" cm="1">
        <f t="array" aca="1" ref="S618" ca="1">INDIRECT("Data!M" &amp; 613)</f>
        <v>0</v>
      </c>
      <c r="T618" cm="1">
        <f t="array" aca="1" ref="T618" ca="1">INDIRECT("Data!N" &amp; 613)</f>
        <v>0</v>
      </c>
      <c r="U618" cm="1">
        <f t="array" aca="1" ref="U618" ca="1">INDIRECT("Data!O" &amp; 613)</f>
        <v>0</v>
      </c>
      <c r="V618" cm="1">
        <f t="array" aca="1" ref="V618" ca="1">INDIRECT("Data!P" &amp; 613)</f>
        <v>0</v>
      </c>
    </row>
    <row r="619" spans="7:22" x14ac:dyDescent="0.25">
      <c r="G619" cm="1">
        <f t="array" aca="1" ref="G619" ca="1">INDIRECT("Data!A" &amp; 614)</f>
        <v>0</v>
      </c>
      <c r="H619" s="21" cm="1">
        <f t="array" aca="1" ref="H619" ca="1">INDIRECT("Data!B" &amp; 614)</f>
        <v>0</v>
      </c>
      <c r="I619" s="21" cm="1">
        <f t="array" aca="1" ref="I619" ca="1">INDIRECT("Data!C" &amp; 614)</f>
        <v>0</v>
      </c>
      <c r="J619" cm="1">
        <f t="array" aca="1" ref="J619" ca="1">INDIRECT("Data!D" &amp; 614)</f>
        <v>0</v>
      </c>
      <c r="K619" cm="1">
        <f t="array" aca="1" ref="K619" ca="1">INDIRECT("Data!E" &amp; 614)</f>
        <v>0</v>
      </c>
      <c r="L619" cm="1">
        <f t="array" aca="1" ref="L619" ca="1">INDIRECT("Data!F" &amp; 614)</f>
        <v>0</v>
      </c>
      <c r="M619" cm="1">
        <f t="array" aca="1" ref="M619" ca="1">INDIRECT("Data!G" &amp; 614)</f>
        <v>0</v>
      </c>
      <c r="N619" cm="1">
        <f t="array" aca="1" ref="N619" ca="1">INDIRECT("Data!H" &amp; 614)</f>
        <v>0</v>
      </c>
      <c r="O619" cm="1">
        <f t="array" aca="1" ref="O619" ca="1">INDIRECT("Data!I" &amp; 614)</f>
        <v>0</v>
      </c>
      <c r="P619" s="21" cm="1">
        <f t="array" aca="1" ref="P619" ca="1">INDIRECT("Data!J" &amp; 614)</f>
        <v>0</v>
      </c>
      <c r="Q619" cm="1">
        <f t="array" aca="1" ref="Q619" ca="1">INDIRECT("Data!K" &amp; 614)</f>
        <v>0</v>
      </c>
      <c r="R619" cm="1">
        <f t="array" aca="1" ref="R619" ca="1">INDIRECT("Data!L" &amp; 614)</f>
        <v>0</v>
      </c>
      <c r="S619" cm="1">
        <f t="array" aca="1" ref="S619" ca="1">INDIRECT("Data!M" &amp; 614)</f>
        <v>0</v>
      </c>
      <c r="T619" cm="1">
        <f t="array" aca="1" ref="T619" ca="1">INDIRECT("Data!N" &amp; 614)</f>
        <v>0</v>
      </c>
      <c r="U619" cm="1">
        <f t="array" aca="1" ref="U619" ca="1">INDIRECT("Data!O" &amp; 614)</f>
        <v>0</v>
      </c>
      <c r="V619" cm="1">
        <f t="array" aca="1" ref="V619" ca="1">INDIRECT("Data!P" &amp; 614)</f>
        <v>0</v>
      </c>
    </row>
    <row r="620" spans="7:22" x14ac:dyDescent="0.25">
      <c r="G620" cm="1">
        <f t="array" aca="1" ref="G620" ca="1">INDIRECT("Data!A" &amp; 615)</f>
        <v>0</v>
      </c>
      <c r="H620" s="21" cm="1">
        <f t="array" aca="1" ref="H620" ca="1">INDIRECT("Data!B" &amp; 615)</f>
        <v>0</v>
      </c>
      <c r="I620" s="21" cm="1">
        <f t="array" aca="1" ref="I620" ca="1">INDIRECT("Data!C" &amp; 615)</f>
        <v>0</v>
      </c>
      <c r="J620" cm="1">
        <f t="array" aca="1" ref="J620" ca="1">INDIRECT("Data!D" &amp; 615)</f>
        <v>0</v>
      </c>
      <c r="K620" cm="1">
        <f t="array" aca="1" ref="K620" ca="1">INDIRECT("Data!E" &amp; 615)</f>
        <v>0</v>
      </c>
      <c r="L620" cm="1">
        <f t="array" aca="1" ref="L620" ca="1">INDIRECT("Data!F" &amp; 615)</f>
        <v>0</v>
      </c>
      <c r="M620" cm="1">
        <f t="array" aca="1" ref="M620" ca="1">INDIRECT("Data!G" &amp; 615)</f>
        <v>0</v>
      </c>
      <c r="N620" cm="1">
        <f t="array" aca="1" ref="N620" ca="1">INDIRECT("Data!H" &amp; 615)</f>
        <v>0</v>
      </c>
      <c r="O620" cm="1">
        <f t="array" aca="1" ref="O620" ca="1">INDIRECT("Data!I" &amp; 615)</f>
        <v>0</v>
      </c>
      <c r="P620" s="21" cm="1">
        <f t="array" aca="1" ref="P620" ca="1">INDIRECT("Data!J" &amp; 615)</f>
        <v>0</v>
      </c>
      <c r="Q620" cm="1">
        <f t="array" aca="1" ref="Q620" ca="1">INDIRECT("Data!K" &amp; 615)</f>
        <v>0</v>
      </c>
      <c r="R620" cm="1">
        <f t="array" aca="1" ref="R620" ca="1">INDIRECT("Data!L" &amp; 615)</f>
        <v>0</v>
      </c>
      <c r="S620" cm="1">
        <f t="array" aca="1" ref="S620" ca="1">INDIRECT("Data!M" &amp; 615)</f>
        <v>0</v>
      </c>
      <c r="T620" cm="1">
        <f t="array" aca="1" ref="T620" ca="1">INDIRECT("Data!N" &amp; 615)</f>
        <v>0</v>
      </c>
      <c r="U620" cm="1">
        <f t="array" aca="1" ref="U620" ca="1">INDIRECT("Data!O" &amp; 615)</f>
        <v>0</v>
      </c>
      <c r="V620" cm="1">
        <f t="array" aca="1" ref="V620" ca="1">INDIRECT("Data!P" &amp; 615)</f>
        <v>0</v>
      </c>
    </row>
    <row r="621" spans="7:22" x14ac:dyDescent="0.25">
      <c r="G621" cm="1">
        <f t="array" aca="1" ref="G621" ca="1">INDIRECT("Data!A" &amp; 616)</f>
        <v>0</v>
      </c>
      <c r="H621" s="21" cm="1">
        <f t="array" aca="1" ref="H621" ca="1">INDIRECT("Data!B" &amp; 616)</f>
        <v>0</v>
      </c>
      <c r="I621" s="21" cm="1">
        <f t="array" aca="1" ref="I621" ca="1">INDIRECT("Data!C" &amp; 616)</f>
        <v>0</v>
      </c>
      <c r="J621" cm="1">
        <f t="array" aca="1" ref="J621" ca="1">INDIRECT("Data!D" &amp; 616)</f>
        <v>0</v>
      </c>
      <c r="K621" cm="1">
        <f t="array" aca="1" ref="K621" ca="1">INDIRECT("Data!E" &amp; 616)</f>
        <v>0</v>
      </c>
      <c r="L621" cm="1">
        <f t="array" aca="1" ref="L621" ca="1">INDIRECT("Data!F" &amp; 616)</f>
        <v>0</v>
      </c>
      <c r="M621" cm="1">
        <f t="array" aca="1" ref="M621" ca="1">INDIRECT("Data!G" &amp; 616)</f>
        <v>0</v>
      </c>
      <c r="N621" cm="1">
        <f t="array" aca="1" ref="N621" ca="1">INDIRECT("Data!H" &amp; 616)</f>
        <v>0</v>
      </c>
      <c r="O621" cm="1">
        <f t="array" aca="1" ref="O621" ca="1">INDIRECT("Data!I" &amp; 616)</f>
        <v>0</v>
      </c>
      <c r="P621" s="21" cm="1">
        <f t="array" aca="1" ref="P621" ca="1">INDIRECT("Data!J" &amp; 616)</f>
        <v>0</v>
      </c>
      <c r="Q621" cm="1">
        <f t="array" aca="1" ref="Q621" ca="1">INDIRECT("Data!K" &amp; 616)</f>
        <v>0</v>
      </c>
      <c r="R621" cm="1">
        <f t="array" aca="1" ref="R621" ca="1">INDIRECT("Data!L" &amp; 616)</f>
        <v>0</v>
      </c>
      <c r="S621" cm="1">
        <f t="array" aca="1" ref="S621" ca="1">INDIRECT("Data!M" &amp; 616)</f>
        <v>0</v>
      </c>
      <c r="T621" cm="1">
        <f t="array" aca="1" ref="T621" ca="1">INDIRECT("Data!N" &amp; 616)</f>
        <v>0</v>
      </c>
      <c r="U621" cm="1">
        <f t="array" aca="1" ref="U621" ca="1">INDIRECT("Data!O" &amp; 616)</f>
        <v>0</v>
      </c>
      <c r="V621" cm="1">
        <f t="array" aca="1" ref="V621" ca="1">INDIRECT("Data!P" &amp; 616)</f>
        <v>0</v>
      </c>
    </row>
    <row r="622" spans="7:22" x14ac:dyDescent="0.25">
      <c r="G622" cm="1">
        <f t="array" aca="1" ref="G622" ca="1">INDIRECT("Data!A" &amp; 617)</f>
        <v>0</v>
      </c>
      <c r="H622" s="21" cm="1">
        <f t="array" aca="1" ref="H622" ca="1">INDIRECT("Data!B" &amp; 617)</f>
        <v>0</v>
      </c>
      <c r="I622" s="21" cm="1">
        <f t="array" aca="1" ref="I622" ca="1">INDIRECT("Data!C" &amp; 617)</f>
        <v>0</v>
      </c>
      <c r="J622" cm="1">
        <f t="array" aca="1" ref="J622" ca="1">INDIRECT("Data!D" &amp; 617)</f>
        <v>0</v>
      </c>
      <c r="K622" cm="1">
        <f t="array" aca="1" ref="K622" ca="1">INDIRECT("Data!E" &amp; 617)</f>
        <v>0</v>
      </c>
      <c r="L622" cm="1">
        <f t="array" aca="1" ref="L622" ca="1">INDIRECT("Data!F" &amp; 617)</f>
        <v>0</v>
      </c>
      <c r="M622" cm="1">
        <f t="array" aca="1" ref="M622" ca="1">INDIRECT("Data!G" &amp; 617)</f>
        <v>0</v>
      </c>
      <c r="N622" cm="1">
        <f t="array" aca="1" ref="N622" ca="1">INDIRECT("Data!H" &amp; 617)</f>
        <v>0</v>
      </c>
      <c r="O622" cm="1">
        <f t="array" aca="1" ref="O622" ca="1">INDIRECT("Data!I" &amp; 617)</f>
        <v>0</v>
      </c>
      <c r="P622" s="21" cm="1">
        <f t="array" aca="1" ref="P622" ca="1">INDIRECT("Data!J" &amp; 617)</f>
        <v>0</v>
      </c>
      <c r="Q622" cm="1">
        <f t="array" aca="1" ref="Q622" ca="1">INDIRECT("Data!K" &amp; 617)</f>
        <v>0</v>
      </c>
      <c r="R622" cm="1">
        <f t="array" aca="1" ref="R622" ca="1">INDIRECT("Data!L" &amp; 617)</f>
        <v>0</v>
      </c>
      <c r="S622" cm="1">
        <f t="array" aca="1" ref="S622" ca="1">INDIRECT("Data!M" &amp; 617)</f>
        <v>0</v>
      </c>
      <c r="T622" cm="1">
        <f t="array" aca="1" ref="T622" ca="1">INDIRECT("Data!N" &amp; 617)</f>
        <v>0</v>
      </c>
      <c r="U622" cm="1">
        <f t="array" aca="1" ref="U622" ca="1">INDIRECT("Data!O" &amp; 617)</f>
        <v>0</v>
      </c>
      <c r="V622" cm="1">
        <f t="array" aca="1" ref="V622" ca="1">INDIRECT("Data!P" &amp; 617)</f>
        <v>0</v>
      </c>
    </row>
    <row r="623" spans="7:22" x14ac:dyDescent="0.25">
      <c r="G623" cm="1">
        <f t="array" aca="1" ref="G623" ca="1">INDIRECT("Data!A" &amp; 618)</f>
        <v>0</v>
      </c>
      <c r="H623" s="21" cm="1">
        <f t="array" aca="1" ref="H623" ca="1">INDIRECT("Data!B" &amp; 618)</f>
        <v>0</v>
      </c>
      <c r="I623" s="21" cm="1">
        <f t="array" aca="1" ref="I623" ca="1">INDIRECT("Data!C" &amp; 618)</f>
        <v>0</v>
      </c>
      <c r="J623" cm="1">
        <f t="array" aca="1" ref="J623" ca="1">INDIRECT("Data!D" &amp; 618)</f>
        <v>0</v>
      </c>
      <c r="K623" cm="1">
        <f t="array" aca="1" ref="K623" ca="1">INDIRECT("Data!E" &amp; 618)</f>
        <v>0</v>
      </c>
      <c r="L623" cm="1">
        <f t="array" aca="1" ref="L623" ca="1">INDIRECT("Data!F" &amp; 618)</f>
        <v>0</v>
      </c>
      <c r="M623" cm="1">
        <f t="array" aca="1" ref="M623" ca="1">INDIRECT("Data!G" &amp; 618)</f>
        <v>0</v>
      </c>
      <c r="N623" cm="1">
        <f t="array" aca="1" ref="N623" ca="1">INDIRECT("Data!H" &amp; 618)</f>
        <v>0</v>
      </c>
      <c r="O623" cm="1">
        <f t="array" aca="1" ref="O623" ca="1">INDIRECT("Data!I" &amp; 618)</f>
        <v>0</v>
      </c>
      <c r="P623" s="21" cm="1">
        <f t="array" aca="1" ref="P623" ca="1">INDIRECT("Data!J" &amp; 618)</f>
        <v>0</v>
      </c>
      <c r="Q623" cm="1">
        <f t="array" aca="1" ref="Q623" ca="1">INDIRECT("Data!K" &amp; 618)</f>
        <v>0</v>
      </c>
      <c r="R623" cm="1">
        <f t="array" aca="1" ref="R623" ca="1">INDIRECT("Data!L" &amp; 618)</f>
        <v>0</v>
      </c>
      <c r="S623" cm="1">
        <f t="array" aca="1" ref="S623" ca="1">INDIRECT("Data!M" &amp; 618)</f>
        <v>0</v>
      </c>
      <c r="T623" cm="1">
        <f t="array" aca="1" ref="T623" ca="1">INDIRECT("Data!N" &amp; 618)</f>
        <v>0</v>
      </c>
      <c r="U623" cm="1">
        <f t="array" aca="1" ref="U623" ca="1">INDIRECT("Data!O" &amp; 618)</f>
        <v>0</v>
      </c>
      <c r="V623" cm="1">
        <f t="array" aca="1" ref="V623" ca="1">INDIRECT("Data!P" &amp; 618)</f>
        <v>0</v>
      </c>
    </row>
    <row r="624" spans="7:22" x14ac:dyDescent="0.25">
      <c r="G624" cm="1">
        <f t="array" aca="1" ref="G624" ca="1">INDIRECT("Data!A" &amp; 619)</f>
        <v>0</v>
      </c>
      <c r="H624" s="21" cm="1">
        <f t="array" aca="1" ref="H624" ca="1">INDIRECT("Data!B" &amp; 619)</f>
        <v>0</v>
      </c>
      <c r="I624" s="21" cm="1">
        <f t="array" aca="1" ref="I624" ca="1">INDIRECT("Data!C" &amp; 619)</f>
        <v>0</v>
      </c>
      <c r="J624" cm="1">
        <f t="array" aca="1" ref="J624" ca="1">INDIRECT("Data!D" &amp; 619)</f>
        <v>0</v>
      </c>
      <c r="K624" cm="1">
        <f t="array" aca="1" ref="K624" ca="1">INDIRECT("Data!E" &amp; 619)</f>
        <v>0</v>
      </c>
      <c r="L624" cm="1">
        <f t="array" aca="1" ref="L624" ca="1">INDIRECT("Data!F" &amp; 619)</f>
        <v>0</v>
      </c>
      <c r="M624" cm="1">
        <f t="array" aca="1" ref="M624" ca="1">INDIRECT("Data!G" &amp; 619)</f>
        <v>0</v>
      </c>
      <c r="N624" cm="1">
        <f t="array" aca="1" ref="N624" ca="1">INDIRECT("Data!H" &amp; 619)</f>
        <v>0</v>
      </c>
      <c r="O624" cm="1">
        <f t="array" aca="1" ref="O624" ca="1">INDIRECT("Data!I" &amp; 619)</f>
        <v>0</v>
      </c>
      <c r="P624" s="21" cm="1">
        <f t="array" aca="1" ref="P624" ca="1">INDIRECT("Data!J" &amp; 619)</f>
        <v>0</v>
      </c>
      <c r="Q624" cm="1">
        <f t="array" aca="1" ref="Q624" ca="1">INDIRECT("Data!K" &amp; 619)</f>
        <v>0</v>
      </c>
      <c r="R624" cm="1">
        <f t="array" aca="1" ref="R624" ca="1">INDIRECT("Data!L" &amp; 619)</f>
        <v>0</v>
      </c>
      <c r="S624" cm="1">
        <f t="array" aca="1" ref="S624" ca="1">INDIRECT("Data!M" &amp; 619)</f>
        <v>0</v>
      </c>
      <c r="T624" cm="1">
        <f t="array" aca="1" ref="T624" ca="1">INDIRECT("Data!N" &amp; 619)</f>
        <v>0</v>
      </c>
      <c r="U624" cm="1">
        <f t="array" aca="1" ref="U624" ca="1">INDIRECT("Data!O" &amp; 619)</f>
        <v>0</v>
      </c>
      <c r="V624" cm="1">
        <f t="array" aca="1" ref="V624" ca="1">INDIRECT("Data!P" &amp; 619)</f>
        <v>0</v>
      </c>
    </row>
    <row r="625" spans="7:22" x14ac:dyDescent="0.25">
      <c r="G625" cm="1">
        <f t="array" aca="1" ref="G625" ca="1">INDIRECT("Data!A" &amp; 620)</f>
        <v>0</v>
      </c>
      <c r="H625" s="21" cm="1">
        <f t="array" aca="1" ref="H625" ca="1">INDIRECT("Data!B" &amp; 620)</f>
        <v>0</v>
      </c>
      <c r="I625" s="21" cm="1">
        <f t="array" aca="1" ref="I625" ca="1">INDIRECT("Data!C" &amp; 620)</f>
        <v>0</v>
      </c>
      <c r="J625" cm="1">
        <f t="array" aca="1" ref="J625" ca="1">INDIRECT("Data!D" &amp; 620)</f>
        <v>0</v>
      </c>
      <c r="K625" cm="1">
        <f t="array" aca="1" ref="K625" ca="1">INDIRECT("Data!E" &amp; 620)</f>
        <v>0</v>
      </c>
      <c r="L625" cm="1">
        <f t="array" aca="1" ref="L625" ca="1">INDIRECT("Data!F" &amp; 620)</f>
        <v>0</v>
      </c>
      <c r="M625" cm="1">
        <f t="array" aca="1" ref="M625" ca="1">INDIRECT("Data!G" &amp; 620)</f>
        <v>0</v>
      </c>
      <c r="N625" cm="1">
        <f t="array" aca="1" ref="N625" ca="1">INDIRECT("Data!H" &amp; 620)</f>
        <v>0</v>
      </c>
      <c r="O625" cm="1">
        <f t="array" aca="1" ref="O625" ca="1">INDIRECT("Data!I" &amp; 620)</f>
        <v>0</v>
      </c>
      <c r="P625" s="21" cm="1">
        <f t="array" aca="1" ref="P625" ca="1">INDIRECT("Data!J" &amp; 620)</f>
        <v>0</v>
      </c>
      <c r="Q625" cm="1">
        <f t="array" aca="1" ref="Q625" ca="1">INDIRECT("Data!K" &amp; 620)</f>
        <v>0</v>
      </c>
      <c r="R625" cm="1">
        <f t="array" aca="1" ref="R625" ca="1">INDIRECT("Data!L" &amp; 620)</f>
        <v>0</v>
      </c>
      <c r="S625" cm="1">
        <f t="array" aca="1" ref="S625" ca="1">INDIRECT("Data!M" &amp; 620)</f>
        <v>0</v>
      </c>
      <c r="T625" cm="1">
        <f t="array" aca="1" ref="T625" ca="1">INDIRECT("Data!N" &amp; 620)</f>
        <v>0</v>
      </c>
      <c r="U625" cm="1">
        <f t="array" aca="1" ref="U625" ca="1">INDIRECT("Data!O" &amp; 620)</f>
        <v>0</v>
      </c>
      <c r="V625" cm="1">
        <f t="array" aca="1" ref="V625" ca="1">INDIRECT("Data!P" &amp; 620)</f>
        <v>0</v>
      </c>
    </row>
    <row r="626" spans="7:22" x14ac:dyDescent="0.25">
      <c r="G626" cm="1">
        <f t="array" aca="1" ref="G626" ca="1">INDIRECT("Data!A" &amp; 621)</f>
        <v>0</v>
      </c>
      <c r="H626" s="21" cm="1">
        <f t="array" aca="1" ref="H626" ca="1">INDIRECT("Data!B" &amp; 621)</f>
        <v>0</v>
      </c>
      <c r="I626" s="21" cm="1">
        <f t="array" aca="1" ref="I626" ca="1">INDIRECT("Data!C" &amp; 621)</f>
        <v>0</v>
      </c>
      <c r="J626" cm="1">
        <f t="array" aca="1" ref="J626" ca="1">INDIRECT("Data!D" &amp; 621)</f>
        <v>0</v>
      </c>
      <c r="K626" cm="1">
        <f t="array" aca="1" ref="K626" ca="1">INDIRECT("Data!E" &amp; 621)</f>
        <v>0</v>
      </c>
      <c r="L626" cm="1">
        <f t="array" aca="1" ref="L626" ca="1">INDIRECT("Data!F" &amp; 621)</f>
        <v>0</v>
      </c>
      <c r="M626" cm="1">
        <f t="array" aca="1" ref="M626" ca="1">INDIRECT("Data!G" &amp; 621)</f>
        <v>0</v>
      </c>
      <c r="N626" cm="1">
        <f t="array" aca="1" ref="N626" ca="1">INDIRECT("Data!H" &amp; 621)</f>
        <v>0</v>
      </c>
      <c r="O626" cm="1">
        <f t="array" aca="1" ref="O626" ca="1">INDIRECT("Data!I" &amp; 621)</f>
        <v>0</v>
      </c>
      <c r="P626" s="21" cm="1">
        <f t="array" aca="1" ref="P626" ca="1">INDIRECT("Data!J" &amp; 621)</f>
        <v>0</v>
      </c>
      <c r="Q626" cm="1">
        <f t="array" aca="1" ref="Q626" ca="1">INDIRECT("Data!K" &amp; 621)</f>
        <v>0</v>
      </c>
      <c r="R626" cm="1">
        <f t="array" aca="1" ref="R626" ca="1">INDIRECT("Data!L" &amp; 621)</f>
        <v>0</v>
      </c>
      <c r="S626" cm="1">
        <f t="array" aca="1" ref="S626" ca="1">INDIRECT("Data!M" &amp; 621)</f>
        <v>0</v>
      </c>
      <c r="T626" cm="1">
        <f t="array" aca="1" ref="T626" ca="1">INDIRECT("Data!N" &amp; 621)</f>
        <v>0</v>
      </c>
      <c r="U626" cm="1">
        <f t="array" aca="1" ref="U626" ca="1">INDIRECT("Data!O" &amp; 621)</f>
        <v>0</v>
      </c>
      <c r="V626" cm="1">
        <f t="array" aca="1" ref="V626" ca="1">INDIRECT("Data!P" &amp; 621)</f>
        <v>0</v>
      </c>
    </row>
    <row r="627" spans="7:22" x14ac:dyDescent="0.25">
      <c r="G627" cm="1">
        <f t="array" aca="1" ref="G627" ca="1">INDIRECT("Data!A" &amp; 622)</f>
        <v>0</v>
      </c>
      <c r="H627" s="21" cm="1">
        <f t="array" aca="1" ref="H627" ca="1">INDIRECT("Data!B" &amp; 622)</f>
        <v>0</v>
      </c>
      <c r="I627" s="21" cm="1">
        <f t="array" aca="1" ref="I627" ca="1">INDIRECT("Data!C" &amp; 622)</f>
        <v>0</v>
      </c>
      <c r="J627" cm="1">
        <f t="array" aca="1" ref="J627" ca="1">INDIRECT("Data!D" &amp; 622)</f>
        <v>0</v>
      </c>
      <c r="K627" cm="1">
        <f t="array" aca="1" ref="K627" ca="1">INDIRECT("Data!E" &amp; 622)</f>
        <v>0</v>
      </c>
      <c r="L627" cm="1">
        <f t="array" aca="1" ref="L627" ca="1">INDIRECT("Data!F" &amp; 622)</f>
        <v>0</v>
      </c>
      <c r="M627" cm="1">
        <f t="array" aca="1" ref="M627" ca="1">INDIRECT("Data!G" &amp; 622)</f>
        <v>0</v>
      </c>
      <c r="N627" cm="1">
        <f t="array" aca="1" ref="N627" ca="1">INDIRECT("Data!H" &amp; 622)</f>
        <v>0</v>
      </c>
      <c r="O627" cm="1">
        <f t="array" aca="1" ref="O627" ca="1">INDIRECT("Data!I" &amp; 622)</f>
        <v>0</v>
      </c>
      <c r="P627" s="21" cm="1">
        <f t="array" aca="1" ref="P627" ca="1">INDIRECT("Data!J" &amp; 622)</f>
        <v>0</v>
      </c>
      <c r="Q627" cm="1">
        <f t="array" aca="1" ref="Q627" ca="1">INDIRECT("Data!K" &amp; 622)</f>
        <v>0</v>
      </c>
      <c r="R627" cm="1">
        <f t="array" aca="1" ref="R627" ca="1">INDIRECT("Data!L" &amp; 622)</f>
        <v>0</v>
      </c>
      <c r="S627" cm="1">
        <f t="array" aca="1" ref="S627" ca="1">INDIRECT("Data!M" &amp; 622)</f>
        <v>0</v>
      </c>
      <c r="T627" cm="1">
        <f t="array" aca="1" ref="T627" ca="1">INDIRECT("Data!N" &amp; 622)</f>
        <v>0</v>
      </c>
      <c r="U627" cm="1">
        <f t="array" aca="1" ref="U627" ca="1">INDIRECT("Data!O" &amp; 622)</f>
        <v>0</v>
      </c>
      <c r="V627" cm="1">
        <f t="array" aca="1" ref="V627" ca="1">INDIRECT("Data!P" &amp; 622)</f>
        <v>0</v>
      </c>
    </row>
    <row r="628" spans="7:22" x14ac:dyDescent="0.25">
      <c r="G628" cm="1">
        <f t="array" aca="1" ref="G628" ca="1">INDIRECT("Data!A" &amp; 623)</f>
        <v>0</v>
      </c>
      <c r="H628" s="21" cm="1">
        <f t="array" aca="1" ref="H628" ca="1">INDIRECT("Data!B" &amp; 623)</f>
        <v>0</v>
      </c>
      <c r="I628" s="21" cm="1">
        <f t="array" aca="1" ref="I628" ca="1">INDIRECT("Data!C" &amp; 623)</f>
        <v>0</v>
      </c>
      <c r="J628" cm="1">
        <f t="array" aca="1" ref="J628" ca="1">INDIRECT("Data!D" &amp; 623)</f>
        <v>0</v>
      </c>
      <c r="K628" cm="1">
        <f t="array" aca="1" ref="K628" ca="1">INDIRECT("Data!E" &amp; 623)</f>
        <v>0</v>
      </c>
      <c r="L628" cm="1">
        <f t="array" aca="1" ref="L628" ca="1">INDIRECT("Data!F" &amp; 623)</f>
        <v>0</v>
      </c>
      <c r="M628" cm="1">
        <f t="array" aca="1" ref="M628" ca="1">INDIRECT("Data!G" &amp; 623)</f>
        <v>0</v>
      </c>
      <c r="N628" cm="1">
        <f t="array" aca="1" ref="N628" ca="1">INDIRECT("Data!H" &amp; 623)</f>
        <v>0</v>
      </c>
      <c r="O628" cm="1">
        <f t="array" aca="1" ref="O628" ca="1">INDIRECT("Data!I" &amp; 623)</f>
        <v>0</v>
      </c>
      <c r="P628" s="21" cm="1">
        <f t="array" aca="1" ref="P628" ca="1">INDIRECT("Data!J" &amp; 623)</f>
        <v>0</v>
      </c>
      <c r="Q628" cm="1">
        <f t="array" aca="1" ref="Q628" ca="1">INDIRECT("Data!K" &amp; 623)</f>
        <v>0</v>
      </c>
      <c r="R628" cm="1">
        <f t="array" aca="1" ref="R628" ca="1">INDIRECT("Data!L" &amp; 623)</f>
        <v>0</v>
      </c>
      <c r="S628" cm="1">
        <f t="array" aca="1" ref="S628" ca="1">INDIRECT("Data!M" &amp; 623)</f>
        <v>0</v>
      </c>
      <c r="T628" cm="1">
        <f t="array" aca="1" ref="T628" ca="1">INDIRECT("Data!N" &amp; 623)</f>
        <v>0</v>
      </c>
      <c r="U628" cm="1">
        <f t="array" aca="1" ref="U628" ca="1">INDIRECT("Data!O" &amp; 623)</f>
        <v>0</v>
      </c>
      <c r="V628" cm="1">
        <f t="array" aca="1" ref="V628" ca="1">INDIRECT("Data!P" &amp; 623)</f>
        <v>0</v>
      </c>
    </row>
    <row r="629" spans="7:22" x14ac:dyDescent="0.25">
      <c r="G629" cm="1">
        <f t="array" aca="1" ref="G629" ca="1">INDIRECT("Data!A" &amp; 624)</f>
        <v>0</v>
      </c>
      <c r="H629" s="21" cm="1">
        <f t="array" aca="1" ref="H629" ca="1">INDIRECT("Data!B" &amp; 624)</f>
        <v>0</v>
      </c>
      <c r="I629" s="21" cm="1">
        <f t="array" aca="1" ref="I629" ca="1">INDIRECT("Data!C" &amp; 624)</f>
        <v>0</v>
      </c>
      <c r="J629" cm="1">
        <f t="array" aca="1" ref="J629" ca="1">INDIRECT("Data!D" &amp; 624)</f>
        <v>0</v>
      </c>
      <c r="K629" cm="1">
        <f t="array" aca="1" ref="K629" ca="1">INDIRECT("Data!E" &amp; 624)</f>
        <v>0</v>
      </c>
      <c r="L629" cm="1">
        <f t="array" aca="1" ref="L629" ca="1">INDIRECT("Data!F" &amp; 624)</f>
        <v>0</v>
      </c>
      <c r="M629" cm="1">
        <f t="array" aca="1" ref="M629" ca="1">INDIRECT("Data!G" &amp; 624)</f>
        <v>0</v>
      </c>
      <c r="N629" cm="1">
        <f t="array" aca="1" ref="N629" ca="1">INDIRECT("Data!H" &amp; 624)</f>
        <v>0</v>
      </c>
      <c r="O629" cm="1">
        <f t="array" aca="1" ref="O629" ca="1">INDIRECT("Data!I" &amp; 624)</f>
        <v>0</v>
      </c>
      <c r="P629" s="21" cm="1">
        <f t="array" aca="1" ref="P629" ca="1">INDIRECT("Data!J" &amp; 624)</f>
        <v>0</v>
      </c>
      <c r="Q629" cm="1">
        <f t="array" aca="1" ref="Q629" ca="1">INDIRECT("Data!K" &amp; 624)</f>
        <v>0</v>
      </c>
      <c r="R629" cm="1">
        <f t="array" aca="1" ref="R629" ca="1">INDIRECT("Data!L" &amp; 624)</f>
        <v>0</v>
      </c>
      <c r="S629" cm="1">
        <f t="array" aca="1" ref="S629" ca="1">INDIRECT("Data!M" &amp; 624)</f>
        <v>0</v>
      </c>
      <c r="T629" cm="1">
        <f t="array" aca="1" ref="T629" ca="1">INDIRECT("Data!N" &amp; 624)</f>
        <v>0</v>
      </c>
      <c r="U629" cm="1">
        <f t="array" aca="1" ref="U629" ca="1">INDIRECT("Data!O" &amp; 624)</f>
        <v>0</v>
      </c>
      <c r="V629" cm="1">
        <f t="array" aca="1" ref="V629" ca="1">INDIRECT("Data!P" &amp; 624)</f>
        <v>0</v>
      </c>
    </row>
    <row r="630" spans="7:22" x14ac:dyDescent="0.25">
      <c r="G630" cm="1">
        <f t="array" aca="1" ref="G630" ca="1">INDIRECT("Data!A" &amp; 625)</f>
        <v>0</v>
      </c>
      <c r="H630" s="21" cm="1">
        <f t="array" aca="1" ref="H630" ca="1">INDIRECT("Data!B" &amp; 625)</f>
        <v>0</v>
      </c>
      <c r="I630" s="21" cm="1">
        <f t="array" aca="1" ref="I630" ca="1">INDIRECT("Data!C" &amp; 625)</f>
        <v>0</v>
      </c>
      <c r="J630" cm="1">
        <f t="array" aca="1" ref="J630" ca="1">INDIRECT("Data!D" &amp; 625)</f>
        <v>0</v>
      </c>
      <c r="K630" cm="1">
        <f t="array" aca="1" ref="K630" ca="1">INDIRECT("Data!E" &amp; 625)</f>
        <v>0</v>
      </c>
      <c r="L630" cm="1">
        <f t="array" aca="1" ref="L630" ca="1">INDIRECT("Data!F" &amp; 625)</f>
        <v>0</v>
      </c>
      <c r="M630" cm="1">
        <f t="array" aca="1" ref="M630" ca="1">INDIRECT("Data!G" &amp; 625)</f>
        <v>0</v>
      </c>
      <c r="N630" cm="1">
        <f t="array" aca="1" ref="N630" ca="1">INDIRECT("Data!H" &amp; 625)</f>
        <v>0</v>
      </c>
      <c r="O630" cm="1">
        <f t="array" aca="1" ref="O630" ca="1">INDIRECT("Data!I" &amp; 625)</f>
        <v>0</v>
      </c>
      <c r="P630" s="21" cm="1">
        <f t="array" aca="1" ref="P630" ca="1">INDIRECT("Data!J" &amp; 625)</f>
        <v>0</v>
      </c>
      <c r="Q630" cm="1">
        <f t="array" aca="1" ref="Q630" ca="1">INDIRECT("Data!K" &amp; 625)</f>
        <v>0</v>
      </c>
      <c r="R630" cm="1">
        <f t="array" aca="1" ref="R630" ca="1">INDIRECT("Data!L" &amp; 625)</f>
        <v>0</v>
      </c>
      <c r="S630" cm="1">
        <f t="array" aca="1" ref="S630" ca="1">INDIRECT("Data!M" &amp; 625)</f>
        <v>0</v>
      </c>
      <c r="T630" cm="1">
        <f t="array" aca="1" ref="T630" ca="1">INDIRECT("Data!N" &amp; 625)</f>
        <v>0</v>
      </c>
      <c r="U630" cm="1">
        <f t="array" aca="1" ref="U630" ca="1">INDIRECT("Data!O" &amp; 625)</f>
        <v>0</v>
      </c>
      <c r="V630" cm="1">
        <f t="array" aca="1" ref="V630" ca="1">INDIRECT("Data!P" &amp; 625)</f>
        <v>0</v>
      </c>
    </row>
    <row r="631" spans="7:22" x14ac:dyDescent="0.25">
      <c r="G631" cm="1">
        <f t="array" aca="1" ref="G631" ca="1">INDIRECT("Data!A" &amp; 626)</f>
        <v>0</v>
      </c>
      <c r="H631" s="21" cm="1">
        <f t="array" aca="1" ref="H631" ca="1">INDIRECT("Data!B" &amp; 626)</f>
        <v>0</v>
      </c>
      <c r="I631" s="21" cm="1">
        <f t="array" aca="1" ref="I631" ca="1">INDIRECT("Data!C" &amp; 626)</f>
        <v>0</v>
      </c>
      <c r="J631" cm="1">
        <f t="array" aca="1" ref="J631" ca="1">INDIRECT("Data!D" &amp; 626)</f>
        <v>0</v>
      </c>
      <c r="K631" cm="1">
        <f t="array" aca="1" ref="K631" ca="1">INDIRECT("Data!E" &amp; 626)</f>
        <v>0</v>
      </c>
      <c r="L631" cm="1">
        <f t="array" aca="1" ref="L631" ca="1">INDIRECT("Data!F" &amp; 626)</f>
        <v>0</v>
      </c>
      <c r="M631" cm="1">
        <f t="array" aca="1" ref="M631" ca="1">INDIRECT("Data!G" &amp; 626)</f>
        <v>0</v>
      </c>
      <c r="N631" cm="1">
        <f t="array" aca="1" ref="N631" ca="1">INDIRECT("Data!H" &amp; 626)</f>
        <v>0</v>
      </c>
      <c r="O631" cm="1">
        <f t="array" aca="1" ref="O631" ca="1">INDIRECT("Data!I" &amp; 626)</f>
        <v>0</v>
      </c>
      <c r="P631" s="21" cm="1">
        <f t="array" aca="1" ref="P631" ca="1">INDIRECT("Data!J" &amp; 626)</f>
        <v>0</v>
      </c>
      <c r="Q631" cm="1">
        <f t="array" aca="1" ref="Q631" ca="1">INDIRECT("Data!K" &amp; 626)</f>
        <v>0</v>
      </c>
      <c r="R631" cm="1">
        <f t="array" aca="1" ref="R631" ca="1">INDIRECT("Data!L" &amp; 626)</f>
        <v>0</v>
      </c>
      <c r="S631" cm="1">
        <f t="array" aca="1" ref="S631" ca="1">INDIRECT("Data!M" &amp; 626)</f>
        <v>0</v>
      </c>
      <c r="T631" cm="1">
        <f t="array" aca="1" ref="T631" ca="1">INDIRECT("Data!N" &amp; 626)</f>
        <v>0</v>
      </c>
      <c r="U631" cm="1">
        <f t="array" aca="1" ref="U631" ca="1">INDIRECT("Data!O" &amp; 626)</f>
        <v>0</v>
      </c>
      <c r="V631" cm="1">
        <f t="array" aca="1" ref="V631" ca="1">INDIRECT("Data!P" &amp; 626)</f>
        <v>0</v>
      </c>
    </row>
    <row r="632" spans="7:22" x14ac:dyDescent="0.25">
      <c r="G632" cm="1">
        <f t="array" aca="1" ref="G632" ca="1">INDIRECT("Data!A" &amp; 627)</f>
        <v>0</v>
      </c>
      <c r="H632" s="21" cm="1">
        <f t="array" aca="1" ref="H632" ca="1">INDIRECT("Data!B" &amp; 627)</f>
        <v>0</v>
      </c>
      <c r="I632" s="21" cm="1">
        <f t="array" aca="1" ref="I632" ca="1">INDIRECT("Data!C" &amp; 627)</f>
        <v>0</v>
      </c>
      <c r="J632" cm="1">
        <f t="array" aca="1" ref="J632" ca="1">INDIRECT("Data!D" &amp; 627)</f>
        <v>0</v>
      </c>
      <c r="K632" cm="1">
        <f t="array" aca="1" ref="K632" ca="1">INDIRECT("Data!E" &amp; 627)</f>
        <v>0</v>
      </c>
      <c r="L632" cm="1">
        <f t="array" aca="1" ref="L632" ca="1">INDIRECT("Data!F" &amp; 627)</f>
        <v>0</v>
      </c>
      <c r="M632" cm="1">
        <f t="array" aca="1" ref="M632" ca="1">INDIRECT("Data!G" &amp; 627)</f>
        <v>0</v>
      </c>
      <c r="N632" cm="1">
        <f t="array" aca="1" ref="N632" ca="1">INDIRECT("Data!H" &amp; 627)</f>
        <v>0</v>
      </c>
      <c r="O632" cm="1">
        <f t="array" aca="1" ref="O632" ca="1">INDIRECT("Data!I" &amp; 627)</f>
        <v>0</v>
      </c>
      <c r="P632" s="21" cm="1">
        <f t="array" aca="1" ref="P632" ca="1">INDIRECT("Data!J" &amp; 627)</f>
        <v>0</v>
      </c>
      <c r="Q632" cm="1">
        <f t="array" aca="1" ref="Q632" ca="1">INDIRECT("Data!K" &amp; 627)</f>
        <v>0</v>
      </c>
      <c r="R632" cm="1">
        <f t="array" aca="1" ref="R632" ca="1">INDIRECT("Data!L" &amp; 627)</f>
        <v>0</v>
      </c>
      <c r="S632" cm="1">
        <f t="array" aca="1" ref="S632" ca="1">INDIRECT("Data!M" &amp; 627)</f>
        <v>0</v>
      </c>
      <c r="T632" cm="1">
        <f t="array" aca="1" ref="T632" ca="1">INDIRECT("Data!N" &amp; 627)</f>
        <v>0</v>
      </c>
      <c r="U632" cm="1">
        <f t="array" aca="1" ref="U632" ca="1">INDIRECT("Data!O" &amp; 627)</f>
        <v>0</v>
      </c>
      <c r="V632" cm="1">
        <f t="array" aca="1" ref="V632" ca="1">INDIRECT("Data!P" &amp; 627)</f>
        <v>0</v>
      </c>
    </row>
    <row r="633" spans="7:22" x14ac:dyDescent="0.25">
      <c r="G633" cm="1">
        <f t="array" aca="1" ref="G633" ca="1">INDIRECT("Data!A" &amp; 628)</f>
        <v>0</v>
      </c>
      <c r="H633" s="21" cm="1">
        <f t="array" aca="1" ref="H633" ca="1">INDIRECT("Data!B" &amp; 628)</f>
        <v>0</v>
      </c>
      <c r="I633" s="21" cm="1">
        <f t="array" aca="1" ref="I633" ca="1">INDIRECT("Data!C" &amp; 628)</f>
        <v>0</v>
      </c>
      <c r="J633" cm="1">
        <f t="array" aca="1" ref="J633" ca="1">INDIRECT("Data!D" &amp; 628)</f>
        <v>0</v>
      </c>
      <c r="K633" cm="1">
        <f t="array" aca="1" ref="K633" ca="1">INDIRECT("Data!E" &amp; 628)</f>
        <v>0</v>
      </c>
      <c r="L633" cm="1">
        <f t="array" aca="1" ref="L633" ca="1">INDIRECT("Data!F" &amp; 628)</f>
        <v>0</v>
      </c>
      <c r="M633" cm="1">
        <f t="array" aca="1" ref="M633" ca="1">INDIRECT("Data!G" &amp; 628)</f>
        <v>0</v>
      </c>
      <c r="N633" cm="1">
        <f t="array" aca="1" ref="N633" ca="1">INDIRECT("Data!H" &amp; 628)</f>
        <v>0</v>
      </c>
      <c r="O633" cm="1">
        <f t="array" aca="1" ref="O633" ca="1">INDIRECT("Data!I" &amp; 628)</f>
        <v>0</v>
      </c>
      <c r="P633" s="21" cm="1">
        <f t="array" aca="1" ref="P633" ca="1">INDIRECT("Data!J" &amp; 628)</f>
        <v>0</v>
      </c>
      <c r="Q633" cm="1">
        <f t="array" aca="1" ref="Q633" ca="1">INDIRECT("Data!K" &amp; 628)</f>
        <v>0</v>
      </c>
      <c r="R633" cm="1">
        <f t="array" aca="1" ref="R633" ca="1">INDIRECT("Data!L" &amp; 628)</f>
        <v>0</v>
      </c>
      <c r="S633" cm="1">
        <f t="array" aca="1" ref="S633" ca="1">INDIRECT("Data!M" &amp; 628)</f>
        <v>0</v>
      </c>
      <c r="T633" cm="1">
        <f t="array" aca="1" ref="T633" ca="1">INDIRECT("Data!N" &amp; 628)</f>
        <v>0</v>
      </c>
      <c r="U633" cm="1">
        <f t="array" aca="1" ref="U633" ca="1">INDIRECT("Data!O" &amp; 628)</f>
        <v>0</v>
      </c>
      <c r="V633" cm="1">
        <f t="array" aca="1" ref="V633" ca="1">INDIRECT("Data!P" &amp; 628)</f>
        <v>0</v>
      </c>
    </row>
    <row r="634" spans="7:22" x14ac:dyDescent="0.25">
      <c r="G634" cm="1">
        <f t="array" aca="1" ref="G634" ca="1">INDIRECT("Data!A" &amp; 629)</f>
        <v>0</v>
      </c>
      <c r="H634" s="21" cm="1">
        <f t="array" aca="1" ref="H634" ca="1">INDIRECT("Data!B" &amp; 629)</f>
        <v>0</v>
      </c>
      <c r="I634" s="21" cm="1">
        <f t="array" aca="1" ref="I634" ca="1">INDIRECT("Data!C" &amp; 629)</f>
        <v>0</v>
      </c>
      <c r="J634" cm="1">
        <f t="array" aca="1" ref="J634" ca="1">INDIRECT("Data!D" &amp; 629)</f>
        <v>0</v>
      </c>
      <c r="K634" cm="1">
        <f t="array" aca="1" ref="K634" ca="1">INDIRECT("Data!E" &amp; 629)</f>
        <v>0</v>
      </c>
      <c r="L634" cm="1">
        <f t="array" aca="1" ref="L634" ca="1">INDIRECT("Data!F" &amp; 629)</f>
        <v>0</v>
      </c>
      <c r="M634" cm="1">
        <f t="array" aca="1" ref="M634" ca="1">INDIRECT("Data!G" &amp; 629)</f>
        <v>0</v>
      </c>
      <c r="N634" cm="1">
        <f t="array" aca="1" ref="N634" ca="1">INDIRECT("Data!H" &amp; 629)</f>
        <v>0</v>
      </c>
      <c r="O634" cm="1">
        <f t="array" aca="1" ref="O634" ca="1">INDIRECT("Data!I" &amp; 629)</f>
        <v>0</v>
      </c>
      <c r="P634" s="21" cm="1">
        <f t="array" aca="1" ref="P634" ca="1">INDIRECT("Data!J" &amp; 629)</f>
        <v>0</v>
      </c>
      <c r="Q634" cm="1">
        <f t="array" aca="1" ref="Q634" ca="1">INDIRECT("Data!K" &amp; 629)</f>
        <v>0</v>
      </c>
      <c r="R634" cm="1">
        <f t="array" aca="1" ref="R634" ca="1">INDIRECT("Data!L" &amp; 629)</f>
        <v>0</v>
      </c>
      <c r="S634" cm="1">
        <f t="array" aca="1" ref="S634" ca="1">INDIRECT("Data!M" &amp; 629)</f>
        <v>0</v>
      </c>
      <c r="T634" cm="1">
        <f t="array" aca="1" ref="T634" ca="1">INDIRECT("Data!N" &amp; 629)</f>
        <v>0</v>
      </c>
      <c r="U634" cm="1">
        <f t="array" aca="1" ref="U634" ca="1">INDIRECT("Data!O" &amp; 629)</f>
        <v>0</v>
      </c>
      <c r="V634" cm="1">
        <f t="array" aca="1" ref="V634" ca="1">INDIRECT("Data!P" &amp; 629)</f>
        <v>0</v>
      </c>
    </row>
    <row r="635" spans="7:22" x14ac:dyDescent="0.25">
      <c r="G635" cm="1">
        <f t="array" aca="1" ref="G635" ca="1">INDIRECT("Data!A" &amp; 630)</f>
        <v>0</v>
      </c>
      <c r="H635" s="21" cm="1">
        <f t="array" aca="1" ref="H635" ca="1">INDIRECT("Data!B" &amp; 630)</f>
        <v>0</v>
      </c>
      <c r="I635" s="21" cm="1">
        <f t="array" aca="1" ref="I635" ca="1">INDIRECT("Data!C" &amp; 630)</f>
        <v>0</v>
      </c>
      <c r="J635" cm="1">
        <f t="array" aca="1" ref="J635" ca="1">INDIRECT("Data!D" &amp; 630)</f>
        <v>0</v>
      </c>
      <c r="K635" cm="1">
        <f t="array" aca="1" ref="K635" ca="1">INDIRECT("Data!E" &amp; 630)</f>
        <v>0</v>
      </c>
      <c r="L635" cm="1">
        <f t="array" aca="1" ref="L635" ca="1">INDIRECT("Data!F" &amp; 630)</f>
        <v>0</v>
      </c>
      <c r="M635" cm="1">
        <f t="array" aca="1" ref="M635" ca="1">INDIRECT("Data!G" &amp; 630)</f>
        <v>0</v>
      </c>
      <c r="N635" cm="1">
        <f t="array" aca="1" ref="N635" ca="1">INDIRECT("Data!H" &amp; 630)</f>
        <v>0</v>
      </c>
      <c r="O635" cm="1">
        <f t="array" aca="1" ref="O635" ca="1">INDIRECT("Data!I" &amp; 630)</f>
        <v>0</v>
      </c>
      <c r="P635" s="21" cm="1">
        <f t="array" aca="1" ref="P635" ca="1">INDIRECT("Data!J" &amp; 630)</f>
        <v>0</v>
      </c>
      <c r="Q635" cm="1">
        <f t="array" aca="1" ref="Q635" ca="1">INDIRECT("Data!K" &amp; 630)</f>
        <v>0</v>
      </c>
      <c r="R635" cm="1">
        <f t="array" aca="1" ref="R635" ca="1">INDIRECT("Data!L" &amp; 630)</f>
        <v>0</v>
      </c>
      <c r="S635" cm="1">
        <f t="array" aca="1" ref="S635" ca="1">INDIRECT("Data!M" &amp; 630)</f>
        <v>0</v>
      </c>
      <c r="T635" cm="1">
        <f t="array" aca="1" ref="T635" ca="1">INDIRECT("Data!N" &amp; 630)</f>
        <v>0</v>
      </c>
      <c r="U635" cm="1">
        <f t="array" aca="1" ref="U635" ca="1">INDIRECT("Data!O" &amp; 630)</f>
        <v>0</v>
      </c>
      <c r="V635" cm="1">
        <f t="array" aca="1" ref="V635" ca="1">INDIRECT("Data!P" &amp; 630)</f>
        <v>0</v>
      </c>
    </row>
    <row r="636" spans="7:22" x14ac:dyDescent="0.25">
      <c r="G636" cm="1">
        <f t="array" aca="1" ref="G636" ca="1">INDIRECT("Data!A" &amp; 631)</f>
        <v>0</v>
      </c>
      <c r="H636" s="21" cm="1">
        <f t="array" aca="1" ref="H636" ca="1">INDIRECT("Data!B" &amp; 631)</f>
        <v>0</v>
      </c>
      <c r="I636" s="21" cm="1">
        <f t="array" aca="1" ref="I636" ca="1">INDIRECT("Data!C" &amp; 631)</f>
        <v>0</v>
      </c>
      <c r="J636" cm="1">
        <f t="array" aca="1" ref="J636" ca="1">INDIRECT("Data!D" &amp; 631)</f>
        <v>0</v>
      </c>
      <c r="K636" cm="1">
        <f t="array" aca="1" ref="K636" ca="1">INDIRECT("Data!E" &amp; 631)</f>
        <v>0</v>
      </c>
      <c r="L636" cm="1">
        <f t="array" aca="1" ref="L636" ca="1">INDIRECT("Data!F" &amp; 631)</f>
        <v>0</v>
      </c>
      <c r="M636" cm="1">
        <f t="array" aca="1" ref="M636" ca="1">INDIRECT("Data!G" &amp; 631)</f>
        <v>0</v>
      </c>
      <c r="N636" cm="1">
        <f t="array" aca="1" ref="N636" ca="1">INDIRECT("Data!H" &amp; 631)</f>
        <v>0</v>
      </c>
      <c r="O636" cm="1">
        <f t="array" aca="1" ref="O636" ca="1">INDIRECT("Data!I" &amp; 631)</f>
        <v>0</v>
      </c>
      <c r="P636" s="21" cm="1">
        <f t="array" aca="1" ref="P636" ca="1">INDIRECT("Data!J" &amp; 631)</f>
        <v>0</v>
      </c>
      <c r="Q636" cm="1">
        <f t="array" aca="1" ref="Q636" ca="1">INDIRECT("Data!K" &amp; 631)</f>
        <v>0</v>
      </c>
      <c r="R636" cm="1">
        <f t="array" aca="1" ref="R636" ca="1">INDIRECT("Data!L" &amp; 631)</f>
        <v>0</v>
      </c>
      <c r="S636" cm="1">
        <f t="array" aca="1" ref="S636" ca="1">INDIRECT("Data!M" &amp; 631)</f>
        <v>0</v>
      </c>
      <c r="T636" cm="1">
        <f t="array" aca="1" ref="T636" ca="1">INDIRECT("Data!N" &amp; 631)</f>
        <v>0</v>
      </c>
      <c r="U636" cm="1">
        <f t="array" aca="1" ref="U636" ca="1">INDIRECT("Data!O" &amp; 631)</f>
        <v>0</v>
      </c>
      <c r="V636" cm="1">
        <f t="array" aca="1" ref="V636" ca="1">INDIRECT("Data!P" &amp; 631)</f>
        <v>0</v>
      </c>
    </row>
    <row r="637" spans="7:22" x14ac:dyDescent="0.25">
      <c r="G637" cm="1">
        <f t="array" aca="1" ref="G637" ca="1">INDIRECT("Data!A" &amp; 632)</f>
        <v>0</v>
      </c>
      <c r="H637" s="21" cm="1">
        <f t="array" aca="1" ref="H637" ca="1">INDIRECT("Data!B" &amp; 632)</f>
        <v>0</v>
      </c>
      <c r="I637" s="21" cm="1">
        <f t="array" aca="1" ref="I637" ca="1">INDIRECT("Data!C" &amp; 632)</f>
        <v>0</v>
      </c>
      <c r="J637" cm="1">
        <f t="array" aca="1" ref="J637" ca="1">INDIRECT("Data!D" &amp; 632)</f>
        <v>0</v>
      </c>
      <c r="K637" cm="1">
        <f t="array" aca="1" ref="K637" ca="1">INDIRECT("Data!E" &amp; 632)</f>
        <v>0</v>
      </c>
      <c r="L637" cm="1">
        <f t="array" aca="1" ref="L637" ca="1">INDIRECT("Data!F" &amp; 632)</f>
        <v>0</v>
      </c>
      <c r="M637" cm="1">
        <f t="array" aca="1" ref="M637" ca="1">INDIRECT("Data!G" &amp; 632)</f>
        <v>0</v>
      </c>
      <c r="N637" cm="1">
        <f t="array" aca="1" ref="N637" ca="1">INDIRECT("Data!H" &amp; 632)</f>
        <v>0</v>
      </c>
      <c r="O637" cm="1">
        <f t="array" aca="1" ref="O637" ca="1">INDIRECT("Data!I" &amp; 632)</f>
        <v>0</v>
      </c>
      <c r="P637" s="21" cm="1">
        <f t="array" aca="1" ref="P637" ca="1">INDIRECT("Data!J" &amp; 632)</f>
        <v>0</v>
      </c>
      <c r="Q637" cm="1">
        <f t="array" aca="1" ref="Q637" ca="1">INDIRECT("Data!K" &amp; 632)</f>
        <v>0</v>
      </c>
      <c r="R637" cm="1">
        <f t="array" aca="1" ref="R637" ca="1">INDIRECT("Data!L" &amp; 632)</f>
        <v>0</v>
      </c>
      <c r="S637" cm="1">
        <f t="array" aca="1" ref="S637" ca="1">INDIRECT("Data!M" &amp; 632)</f>
        <v>0</v>
      </c>
      <c r="T637" cm="1">
        <f t="array" aca="1" ref="T637" ca="1">INDIRECT("Data!N" &amp; 632)</f>
        <v>0</v>
      </c>
      <c r="U637" cm="1">
        <f t="array" aca="1" ref="U637" ca="1">INDIRECT("Data!O" &amp; 632)</f>
        <v>0</v>
      </c>
      <c r="V637" cm="1">
        <f t="array" aca="1" ref="V637" ca="1">INDIRECT("Data!P" &amp; 632)</f>
        <v>0</v>
      </c>
    </row>
    <row r="638" spans="7:22" x14ac:dyDescent="0.25">
      <c r="G638" cm="1">
        <f t="array" aca="1" ref="G638" ca="1">INDIRECT("Data!A" &amp; 633)</f>
        <v>0</v>
      </c>
      <c r="H638" s="21" cm="1">
        <f t="array" aca="1" ref="H638" ca="1">INDIRECT("Data!B" &amp; 633)</f>
        <v>0</v>
      </c>
      <c r="I638" s="21" cm="1">
        <f t="array" aca="1" ref="I638" ca="1">INDIRECT("Data!C" &amp; 633)</f>
        <v>0</v>
      </c>
      <c r="J638" cm="1">
        <f t="array" aca="1" ref="J638" ca="1">INDIRECT("Data!D" &amp; 633)</f>
        <v>0</v>
      </c>
      <c r="K638" cm="1">
        <f t="array" aca="1" ref="K638" ca="1">INDIRECT("Data!E" &amp; 633)</f>
        <v>0</v>
      </c>
      <c r="L638" cm="1">
        <f t="array" aca="1" ref="L638" ca="1">INDIRECT("Data!F" &amp; 633)</f>
        <v>0</v>
      </c>
      <c r="M638" cm="1">
        <f t="array" aca="1" ref="M638" ca="1">INDIRECT("Data!G" &amp; 633)</f>
        <v>0</v>
      </c>
      <c r="N638" cm="1">
        <f t="array" aca="1" ref="N638" ca="1">INDIRECT("Data!H" &amp; 633)</f>
        <v>0</v>
      </c>
      <c r="O638" cm="1">
        <f t="array" aca="1" ref="O638" ca="1">INDIRECT("Data!I" &amp; 633)</f>
        <v>0</v>
      </c>
      <c r="P638" s="21" cm="1">
        <f t="array" aca="1" ref="P638" ca="1">INDIRECT("Data!J" &amp; 633)</f>
        <v>0</v>
      </c>
      <c r="Q638" cm="1">
        <f t="array" aca="1" ref="Q638" ca="1">INDIRECT("Data!K" &amp; 633)</f>
        <v>0</v>
      </c>
      <c r="R638" cm="1">
        <f t="array" aca="1" ref="R638" ca="1">INDIRECT("Data!L" &amp; 633)</f>
        <v>0</v>
      </c>
      <c r="S638" cm="1">
        <f t="array" aca="1" ref="S638" ca="1">INDIRECT("Data!M" &amp; 633)</f>
        <v>0</v>
      </c>
      <c r="T638" cm="1">
        <f t="array" aca="1" ref="T638" ca="1">INDIRECT("Data!N" &amp; 633)</f>
        <v>0</v>
      </c>
      <c r="U638" cm="1">
        <f t="array" aca="1" ref="U638" ca="1">INDIRECT("Data!O" &amp; 633)</f>
        <v>0</v>
      </c>
      <c r="V638" cm="1">
        <f t="array" aca="1" ref="V638" ca="1">INDIRECT("Data!P" &amp; 633)</f>
        <v>0</v>
      </c>
    </row>
    <row r="639" spans="7:22" x14ac:dyDescent="0.25">
      <c r="G639" cm="1">
        <f t="array" aca="1" ref="G639" ca="1">INDIRECT("Data!A" &amp; 634)</f>
        <v>0</v>
      </c>
      <c r="H639" s="21" cm="1">
        <f t="array" aca="1" ref="H639" ca="1">INDIRECT("Data!B" &amp; 634)</f>
        <v>0</v>
      </c>
      <c r="I639" s="21" cm="1">
        <f t="array" aca="1" ref="I639" ca="1">INDIRECT("Data!C" &amp; 634)</f>
        <v>0</v>
      </c>
      <c r="J639" cm="1">
        <f t="array" aca="1" ref="J639" ca="1">INDIRECT("Data!D" &amp; 634)</f>
        <v>0</v>
      </c>
      <c r="K639" cm="1">
        <f t="array" aca="1" ref="K639" ca="1">INDIRECT("Data!E" &amp; 634)</f>
        <v>0</v>
      </c>
      <c r="L639" cm="1">
        <f t="array" aca="1" ref="L639" ca="1">INDIRECT("Data!F" &amp; 634)</f>
        <v>0</v>
      </c>
      <c r="M639" cm="1">
        <f t="array" aca="1" ref="M639" ca="1">INDIRECT("Data!G" &amp; 634)</f>
        <v>0</v>
      </c>
      <c r="N639" cm="1">
        <f t="array" aca="1" ref="N639" ca="1">INDIRECT("Data!H" &amp; 634)</f>
        <v>0</v>
      </c>
      <c r="O639" cm="1">
        <f t="array" aca="1" ref="O639" ca="1">INDIRECT("Data!I" &amp; 634)</f>
        <v>0</v>
      </c>
      <c r="P639" s="21" cm="1">
        <f t="array" aca="1" ref="P639" ca="1">INDIRECT("Data!J" &amp; 634)</f>
        <v>0</v>
      </c>
      <c r="Q639" cm="1">
        <f t="array" aca="1" ref="Q639" ca="1">INDIRECT("Data!K" &amp; 634)</f>
        <v>0</v>
      </c>
      <c r="R639" cm="1">
        <f t="array" aca="1" ref="R639" ca="1">INDIRECT("Data!L" &amp; 634)</f>
        <v>0</v>
      </c>
      <c r="S639" cm="1">
        <f t="array" aca="1" ref="S639" ca="1">INDIRECT("Data!M" &amp; 634)</f>
        <v>0</v>
      </c>
      <c r="T639" cm="1">
        <f t="array" aca="1" ref="T639" ca="1">INDIRECT("Data!N" &amp; 634)</f>
        <v>0</v>
      </c>
      <c r="U639" cm="1">
        <f t="array" aca="1" ref="U639" ca="1">INDIRECT("Data!O" &amp; 634)</f>
        <v>0</v>
      </c>
      <c r="V639" cm="1">
        <f t="array" aca="1" ref="V639" ca="1">INDIRECT("Data!P" &amp; 634)</f>
        <v>0</v>
      </c>
    </row>
    <row r="640" spans="7:22" x14ac:dyDescent="0.25">
      <c r="G640" cm="1">
        <f t="array" aca="1" ref="G640" ca="1">INDIRECT("Data!A" &amp; 635)</f>
        <v>0</v>
      </c>
      <c r="H640" s="21" cm="1">
        <f t="array" aca="1" ref="H640" ca="1">INDIRECT("Data!B" &amp; 635)</f>
        <v>0</v>
      </c>
      <c r="I640" s="21" cm="1">
        <f t="array" aca="1" ref="I640" ca="1">INDIRECT("Data!C" &amp; 635)</f>
        <v>0</v>
      </c>
      <c r="J640" cm="1">
        <f t="array" aca="1" ref="J640" ca="1">INDIRECT("Data!D" &amp; 635)</f>
        <v>0</v>
      </c>
      <c r="K640" cm="1">
        <f t="array" aca="1" ref="K640" ca="1">INDIRECT("Data!E" &amp; 635)</f>
        <v>0</v>
      </c>
      <c r="L640" cm="1">
        <f t="array" aca="1" ref="L640" ca="1">INDIRECT("Data!F" &amp; 635)</f>
        <v>0</v>
      </c>
      <c r="M640" cm="1">
        <f t="array" aca="1" ref="M640" ca="1">INDIRECT("Data!G" &amp; 635)</f>
        <v>0</v>
      </c>
      <c r="N640" cm="1">
        <f t="array" aca="1" ref="N640" ca="1">INDIRECT("Data!H" &amp; 635)</f>
        <v>0</v>
      </c>
      <c r="O640" cm="1">
        <f t="array" aca="1" ref="O640" ca="1">INDIRECT("Data!I" &amp; 635)</f>
        <v>0</v>
      </c>
      <c r="P640" s="21" cm="1">
        <f t="array" aca="1" ref="P640" ca="1">INDIRECT("Data!J" &amp; 635)</f>
        <v>0</v>
      </c>
      <c r="Q640" cm="1">
        <f t="array" aca="1" ref="Q640" ca="1">INDIRECT("Data!K" &amp; 635)</f>
        <v>0</v>
      </c>
      <c r="R640" cm="1">
        <f t="array" aca="1" ref="R640" ca="1">INDIRECT("Data!L" &amp; 635)</f>
        <v>0</v>
      </c>
      <c r="S640" cm="1">
        <f t="array" aca="1" ref="S640" ca="1">INDIRECT("Data!M" &amp; 635)</f>
        <v>0</v>
      </c>
      <c r="T640" cm="1">
        <f t="array" aca="1" ref="T640" ca="1">INDIRECT("Data!N" &amp; 635)</f>
        <v>0</v>
      </c>
      <c r="U640" cm="1">
        <f t="array" aca="1" ref="U640" ca="1">INDIRECT("Data!O" &amp; 635)</f>
        <v>0</v>
      </c>
      <c r="V640" cm="1">
        <f t="array" aca="1" ref="V640" ca="1">INDIRECT("Data!P" &amp; 635)</f>
        <v>0</v>
      </c>
    </row>
    <row r="641" spans="7:22" x14ac:dyDescent="0.25">
      <c r="G641" cm="1">
        <f t="array" aca="1" ref="G641" ca="1">INDIRECT("Data!A" &amp; 636)</f>
        <v>0</v>
      </c>
      <c r="H641" s="21" cm="1">
        <f t="array" aca="1" ref="H641" ca="1">INDIRECT("Data!B" &amp; 636)</f>
        <v>0</v>
      </c>
      <c r="I641" s="21" cm="1">
        <f t="array" aca="1" ref="I641" ca="1">INDIRECT("Data!C" &amp; 636)</f>
        <v>0</v>
      </c>
      <c r="J641" cm="1">
        <f t="array" aca="1" ref="J641" ca="1">INDIRECT("Data!D" &amp; 636)</f>
        <v>0</v>
      </c>
      <c r="K641" cm="1">
        <f t="array" aca="1" ref="K641" ca="1">INDIRECT("Data!E" &amp; 636)</f>
        <v>0</v>
      </c>
      <c r="L641" cm="1">
        <f t="array" aca="1" ref="L641" ca="1">INDIRECT("Data!F" &amp; 636)</f>
        <v>0</v>
      </c>
      <c r="M641" cm="1">
        <f t="array" aca="1" ref="M641" ca="1">INDIRECT("Data!G" &amp; 636)</f>
        <v>0</v>
      </c>
      <c r="N641" cm="1">
        <f t="array" aca="1" ref="N641" ca="1">INDIRECT("Data!H" &amp; 636)</f>
        <v>0</v>
      </c>
      <c r="O641" cm="1">
        <f t="array" aca="1" ref="O641" ca="1">INDIRECT("Data!I" &amp; 636)</f>
        <v>0</v>
      </c>
      <c r="P641" s="21" cm="1">
        <f t="array" aca="1" ref="P641" ca="1">INDIRECT("Data!J" &amp; 636)</f>
        <v>0</v>
      </c>
      <c r="Q641" cm="1">
        <f t="array" aca="1" ref="Q641" ca="1">INDIRECT("Data!K" &amp; 636)</f>
        <v>0</v>
      </c>
      <c r="R641" cm="1">
        <f t="array" aca="1" ref="R641" ca="1">INDIRECT("Data!L" &amp; 636)</f>
        <v>0</v>
      </c>
      <c r="S641" cm="1">
        <f t="array" aca="1" ref="S641" ca="1">INDIRECT("Data!M" &amp; 636)</f>
        <v>0</v>
      </c>
      <c r="T641" cm="1">
        <f t="array" aca="1" ref="T641" ca="1">INDIRECT("Data!N" &amp; 636)</f>
        <v>0</v>
      </c>
      <c r="U641" cm="1">
        <f t="array" aca="1" ref="U641" ca="1">INDIRECT("Data!O" &amp; 636)</f>
        <v>0</v>
      </c>
      <c r="V641" cm="1">
        <f t="array" aca="1" ref="V641" ca="1">INDIRECT("Data!P" &amp; 636)</f>
        <v>0</v>
      </c>
    </row>
    <row r="642" spans="7:22" x14ac:dyDescent="0.25">
      <c r="G642" cm="1">
        <f t="array" aca="1" ref="G642" ca="1">INDIRECT("Data!A" &amp; 637)</f>
        <v>0</v>
      </c>
      <c r="H642" s="21" cm="1">
        <f t="array" aca="1" ref="H642" ca="1">INDIRECT("Data!B" &amp; 637)</f>
        <v>0</v>
      </c>
      <c r="I642" s="21" cm="1">
        <f t="array" aca="1" ref="I642" ca="1">INDIRECT("Data!C" &amp; 637)</f>
        <v>0</v>
      </c>
      <c r="J642" cm="1">
        <f t="array" aca="1" ref="J642" ca="1">INDIRECT("Data!D" &amp; 637)</f>
        <v>0</v>
      </c>
      <c r="K642" cm="1">
        <f t="array" aca="1" ref="K642" ca="1">INDIRECT("Data!E" &amp; 637)</f>
        <v>0</v>
      </c>
      <c r="L642" cm="1">
        <f t="array" aca="1" ref="L642" ca="1">INDIRECT("Data!F" &amp; 637)</f>
        <v>0</v>
      </c>
      <c r="M642" cm="1">
        <f t="array" aca="1" ref="M642" ca="1">INDIRECT("Data!G" &amp; 637)</f>
        <v>0</v>
      </c>
      <c r="N642" cm="1">
        <f t="array" aca="1" ref="N642" ca="1">INDIRECT("Data!H" &amp; 637)</f>
        <v>0</v>
      </c>
      <c r="O642" cm="1">
        <f t="array" aca="1" ref="O642" ca="1">INDIRECT("Data!I" &amp; 637)</f>
        <v>0</v>
      </c>
      <c r="P642" s="21" cm="1">
        <f t="array" aca="1" ref="P642" ca="1">INDIRECT("Data!J" &amp; 637)</f>
        <v>0</v>
      </c>
      <c r="Q642" cm="1">
        <f t="array" aca="1" ref="Q642" ca="1">INDIRECT("Data!K" &amp; 637)</f>
        <v>0</v>
      </c>
      <c r="R642" cm="1">
        <f t="array" aca="1" ref="R642" ca="1">INDIRECT("Data!L" &amp; 637)</f>
        <v>0</v>
      </c>
      <c r="S642" cm="1">
        <f t="array" aca="1" ref="S642" ca="1">INDIRECT("Data!M" &amp; 637)</f>
        <v>0</v>
      </c>
      <c r="T642" cm="1">
        <f t="array" aca="1" ref="T642" ca="1">INDIRECT("Data!N" &amp; 637)</f>
        <v>0</v>
      </c>
      <c r="U642" cm="1">
        <f t="array" aca="1" ref="U642" ca="1">INDIRECT("Data!O" &amp; 637)</f>
        <v>0</v>
      </c>
      <c r="V642" cm="1">
        <f t="array" aca="1" ref="V642" ca="1">INDIRECT("Data!P" &amp; 637)</f>
        <v>0</v>
      </c>
    </row>
    <row r="643" spans="7:22" x14ac:dyDescent="0.25">
      <c r="G643" cm="1">
        <f t="array" aca="1" ref="G643" ca="1">INDIRECT("Data!A" &amp; 638)</f>
        <v>0</v>
      </c>
      <c r="H643" s="21" cm="1">
        <f t="array" aca="1" ref="H643" ca="1">INDIRECT("Data!B" &amp; 638)</f>
        <v>0</v>
      </c>
      <c r="I643" s="21" cm="1">
        <f t="array" aca="1" ref="I643" ca="1">INDIRECT("Data!C" &amp; 638)</f>
        <v>0</v>
      </c>
      <c r="J643" cm="1">
        <f t="array" aca="1" ref="J643" ca="1">INDIRECT("Data!D" &amp; 638)</f>
        <v>0</v>
      </c>
      <c r="K643" cm="1">
        <f t="array" aca="1" ref="K643" ca="1">INDIRECT("Data!E" &amp; 638)</f>
        <v>0</v>
      </c>
      <c r="L643" cm="1">
        <f t="array" aca="1" ref="L643" ca="1">INDIRECT("Data!F" &amp; 638)</f>
        <v>0</v>
      </c>
      <c r="M643" cm="1">
        <f t="array" aca="1" ref="M643" ca="1">INDIRECT("Data!G" &amp; 638)</f>
        <v>0</v>
      </c>
      <c r="N643" cm="1">
        <f t="array" aca="1" ref="N643" ca="1">INDIRECT("Data!H" &amp; 638)</f>
        <v>0</v>
      </c>
      <c r="O643" cm="1">
        <f t="array" aca="1" ref="O643" ca="1">INDIRECT("Data!I" &amp; 638)</f>
        <v>0</v>
      </c>
      <c r="P643" s="21" cm="1">
        <f t="array" aca="1" ref="P643" ca="1">INDIRECT("Data!J" &amp; 638)</f>
        <v>0</v>
      </c>
      <c r="Q643" cm="1">
        <f t="array" aca="1" ref="Q643" ca="1">INDIRECT("Data!K" &amp; 638)</f>
        <v>0</v>
      </c>
      <c r="R643" cm="1">
        <f t="array" aca="1" ref="R643" ca="1">INDIRECT("Data!L" &amp; 638)</f>
        <v>0</v>
      </c>
      <c r="S643" cm="1">
        <f t="array" aca="1" ref="S643" ca="1">INDIRECT("Data!M" &amp; 638)</f>
        <v>0</v>
      </c>
      <c r="T643" cm="1">
        <f t="array" aca="1" ref="T643" ca="1">INDIRECT("Data!N" &amp; 638)</f>
        <v>0</v>
      </c>
      <c r="U643" cm="1">
        <f t="array" aca="1" ref="U643" ca="1">INDIRECT("Data!O" &amp; 638)</f>
        <v>0</v>
      </c>
      <c r="V643" cm="1">
        <f t="array" aca="1" ref="V643" ca="1">INDIRECT("Data!P" &amp; 638)</f>
        <v>0</v>
      </c>
    </row>
    <row r="644" spans="7:22" x14ac:dyDescent="0.25">
      <c r="G644" cm="1">
        <f t="array" aca="1" ref="G644" ca="1">INDIRECT("Data!A" &amp; 639)</f>
        <v>0</v>
      </c>
      <c r="H644" s="21" cm="1">
        <f t="array" aca="1" ref="H644" ca="1">INDIRECT("Data!B" &amp; 639)</f>
        <v>0</v>
      </c>
      <c r="I644" s="21" cm="1">
        <f t="array" aca="1" ref="I644" ca="1">INDIRECT("Data!C" &amp; 639)</f>
        <v>0</v>
      </c>
      <c r="J644" cm="1">
        <f t="array" aca="1" ref="J644" ca="1">INDIRECT("Data!D" &amp; 639)</f>
        <v>0</v>
      </c>
      <c r="K644" cm="1">
        <f t="array" aca="1" ref="K644" ca="1">INDIRECT("Data!E" &amp; 639)</f>
        <v>0</v>
      </c>
      <c r="L644" cm="1">
        <f t="array" aca="1" ref="L644" ca="1">INDIRECT("Data!F" &amp; 639)</f>
        <v>0</v>
      </c>
      <c r="M644" cm="1">
        <f t="array" aca="1" ref="M644" ca="1">INDIRECT("Data!G" &amp; 639)</f>
        <v>0</v>
      </c>
      <c r="N644" cm="1">
        <f t="array" aca="1" ref="N644" ca="1">INDIRECT("Data!H" &amp; 639)</f>
        <v>0</v>
      </c>
      <c r="O644" cm="1">
        <f t="array" aca="1" ref="O644" ca="1">INDIRECT("Data!I" &amp; 639)</f>
        <v>0</v>
      </c>
      <c r="P644" s="21" cm="1">
        <f t="array" aca="1" ref="P644" ca="1">INDIRECT("Data!J" &amp; 639)</f>
        <v>0</v>
      </c>
      <c r="Q644" cm="1">
        <f t="array" aca="1" ref="Q644" ca="1">INDIRECT("Data!K" &amp; 639)</f>
        <v>0</v>
      </c>
      <c r="R644" cm="1">
        <f t="array" aca="1" ref="R644" ca="1">INDIRECT("Data!L" &amp; 639)</f>
        <v>0</v>
      </c>
      <c r="S644" cm="1">
        <f t="array" aca="1" ref="S644" ca="1">INDIRECT("Data!M" &amp; 639)</f>
        <v>0</v>
      </c>
      <c r="T644" cm="1">
        <f t="array" aca="1" ref="T644" ca="1">INDIRECT("Data!N" &amp; 639)</f>
        <v>0</v>
      </c>
      <c r="U644" cm="1">
        <f t="array" aca="1" ref="U644" ca="1">INDIRECT("Data!O" &amp; 639)</f>
        <v>0</v>
      </c>
      <c r="V644" cm="1">
        <f t="array" aca="1" ref="V644" ca="1">INDIRECT("Data!P" &amp; 639)</f>
        <v>0</v>
      </c>
    </row>
    <row r="645" spans="7:22" x14ac:dyDescent="0.25">
      <c r="G645" cm="1">
        <f t="array" aca="1" ref="G645" ca="1">INDIRECT("Data!A" &amp; 640)</f>
        <v>0</v>
      </c>
      <c r="H645" s="21" cm="1">
        <f t="array" aca="1" ref="H645" ca="1">INDIRECT("Data!B" &amp; 640)</f>
        <v>0</v>
      </c>
      <c r="I645" s="21" cm="1">
        <f t="array" aca="1" ref="I645" ca="1">INDIRECT("Data!C" &amp; 640)</f>
        <v>0</v>
      </c>
      <c r="J645" cm="1">
        <f t="array" aca="1" ref="J645" ca="1">INDIRECT("Data!D" &amp; 640)</f>
        <v>0</v>
      </c>
      <c r="K645" cm="1">
        <f t="array" aca="1" ref="K645" ca="1">INDIRECT("Data!E" &amp; 640)</f>
        <v>0</v>
      </c>
      <c r="L645" cm="1">
        <f t="array" aca="1" ref="L645" ca="1">INDIRECT("Data!F" &amp; 640)</f>
        <v>0</v>
      </c>
      <c r="M645" cm="1">
        <f t="array" aca="1" ref="M645" ca="1">INDIRECT("Data!G" &amp; 640)</f>
        <v>0</v>
      </c>
      <c r="N645" cm="1">
        <f t="array" aca="1" ref="N645" ca="1">INDIRECT("Data!H" &amp; 640)</f>
        <v>0</v>
      </c>
      <c r="O645" cm="1">
        <f t="array" aca="1" ref="O645" ca="1">INDIRECT("Data!I" &amp; 640)</f>
        <v>0</v>
      </c>
      <c r="P645" s="21" cm="1">
        <f t="array" aca="1" ref="P645" ca="1">INDIRECT("Data!J" &amp; 640)</f>
        <v>0</v>
      </c>
      <c r="Q645" cm="1">
        <f t="array" aca="1" ref="Q645" ca="1">INDIRECT("Data!K" &amp; 640)</f>
        <v>0</v>
      </c>
      <c r="R645" cm="1">
        <f t="array" aca="1" ref="R645" ca="1">INDIRECT("Data!L" &amp; 640)</f>
        <v>0</v>
      </c>
      <c r="S645" cm="1">
        <f t="array" aca="1" ref="S645" ca="1">INDIRECT("Data!M" &amp; 640)</f>
        <v>0</v>
      </c>
      <c r="T645" cm="1">
        <f t="array" aca="1" ref="T645" ca="1">INDIRECT("Data!N" &amp; 640)</f>
        <v>0</v>
      </c>
      <c r="U645" cm="1">
        <f t="array" aca="1" ref="U645" ca="1">INDIRECT("Data!O" &amp; 640)</f>
        <v>0</v>
      </c>
      <c r="V645" cm="1">
        <f t="array" aca="1" ref="V645" ca="1">INDIRECT("Data!P" &amp; 640)</f>
        <v>0</v>
      </c>
    </row>
    <row r="646" spans="7:22" x14ac:dyDescent="0.25">
      <c r="G646" cm="1">
        <f t="array" aca="1" ref="G646" ca="1">INDIRECT("Data!A" &amp; 641)</f>
        <v>0</v>
      </c>
      <c r="H646" s="21" cm="1">
        <f t="array" aca="1" ref="H646" ca="1">INDIRECT("Data!B" &amp; 641)</f>
        <v>0</v>
      </c>
      <c r="I646" s="21" cm="1">
        <f t="array" aca="1" ref="I646" ca="1">INDIRECT("Data!C" &amp; 641)</f>
        <v>0</v>
      </c>
      <c r="J646" cm="1">
        <f t="array" aca="1" ref="J646" ca="1">INDIRECT("Data!D" &amp; 641)</f>
        <v>0</v>
      </c>
      <c r="K646" cm="1">
        <f t="array" aca="1" ref="K646" ca="1">INDIRECT("Data!E" &amp; 641)</f>
        <v>0</v>
      </c>
      <c r="L646" cm="1">
        <f t="array" aca="1" ref="L646" ca="1">INDIRECT("Data!F" &amp; 641)</f>
        <v>0</v>
      </c>
      <c r="M646" cm="1">
        <f t="array" aca="1" ref="M646" ca="1">INDIRECT("Data!G" &amp; 641)</f>
        <v>0</v>
      </c>
      <c r="N646" cm="1">
        <f t="array" aca="1" ref="N646" ca="1">INDIRECT("Data!H" &amp; 641)</f>
        <v>0</v>
      </c>
      <c r="O646" cm="1">
        <f t="array" aca="1" ref="O646" ca="1">INDIRECT("Data!I" &amp; 641)</f>
        <v>0</v>
      </c>
      <c r="P646" s="21" cm="1">
        <f t="array" aca="1" ref="P646" ca="1">INDIRECT("Data!J" &amp; 641)</f>
        <v>0</v>
      </c>
      <c r="Q646" cm="1">
        <f t="array" aca="1" ref="Q646" ca="1">INDIRECT("Data!K" &amp; 641)</f>
        <v>0</v>
      </c>
      <c r="R646" cm="1">
        <f t="array" aca="1" ref="R646" ca="1">INDIRECT("Data!L" &amp; 641)</f>
        <v>0</v>
      </c>
      <c r="S646" cm="1">
        <f t="array" aca="1" ref="S646" ca="1">INDIRECT("Data!M" &amp; 641)</f>
        <v>0</v>
      </c>
      <c r="T646" cm="1">
        <f t="array" aca="1" ref="T646" ca="1">INDIRECT("Data!N" &amp; 641)</f>
        <v>0</v>
      </c>
      <c r="U646" cm="1">
        <f t="array" aca="1" ref="U646" ca="1">INDIRECT("Data!O" &amp; 641)</f>
        <v>0</v>
      </c>
      <c r="V646" cm="1">
        <f t="array" aca="1" ref="V646" ca="1">INDIRECT("Data!P" &amp; 641)</f>
        <v>0</v>
      </c>
    </row>
    <row r="647" spans="7:22" x14ac:dyDescent="0.25">
      <c r="G647" cm="1">
        <f t="array" aca="1" ref="G647" ca="1">INDIRECT("Data!A" &amp; 642)</f>
        <v>0</v>
      </c>
      <c r="H647" s="21" cm="1">
        <f t="array" aca="1" ref="H647" ca="1">INDIRECT("Data!B" &amp; 642)</f>
        <v>0</v>
      </c>
      <c r="I647" s="21" cm="1">
        <f t="array" aca="1" ref="I647" ca="1">INDIRECT("Data!C" &amp; 642)</f>
        <v>0</v>
      </c>
      <c r="J647" cm="1">
        <f t="array" aca="1" ref="J647" ca="1">INDIRECT("Data!D" &amp; 642)</f>
        <v>0</v>
      </c>
      <c r="K647" cm="1">
        <f t="array" aca="1" ref="K647" ca="1">INDIRECT("Data!E" &amp; 642)</f>
        <v>0</v>
      </c>
      <c r="L647" cm="1">
        <f t="array" aca="1" ref="L647" ca="1">INDIRECT("Data!F" &amp; 642)</f>
        <v>0</v>
      </c>
      <c r="M647" cm="1">
        <f t="array" aca="1" ref="M647" ca="1">INDIRECT("Data!G" &amp; 642)</f>
        <v>0</v>
      </c>
      <c r="N647" cm="1">
        <f t="array" aca="1" ref="N647" ca="1">INDIRECT("Data!H" &amp; 642)</f>
        <v>0</v>
      </c>
      <c r="O647" cm="1">
        <f t="array" aca="1" ref="O647" ca="1">INDIRECT("Data!I" &amp; 642)</f>
        <v>0</v>
      </c>
      <c r="P647" s="21" cm="1">
        <f t="array" aca="1" ref="P647" ca="1">INDIRECT("Data!J" &amp; 642)</f>
        <v>0</v>
      </c>
      <c r="Q647" cm="1">
        <f t="array" aca="1" ref="Q647" ca="1">INDIRECT("Data!K" &amp; 642)</f>
        <v>0</v>
      </c>
      <c r="R647" cm="1">
        <f t="array" aca="1" ref="R647" ca="1">INDIRECT("Data!L" &amp; 642)</f>
        <v>0</v>
      </c>
      <c r="S647" cm="1">
        <f t="array" aca="1" ref="S647" ca="1">INDIRECT("Data!M" &amp; 642)</f>
        <v>0</v>
      </c>
      <c r="T647" cm="1">
        <f t="array" aca="1" ref="T647" ca="1">INDIRECT("Data!N" &amp; 642)</f>
        <v>0</v>
      </c>
      <c r="U647" cm="1">
        <f t="array" aca="1" ref="U647" ca="1">INDIRECT("Data!O" &amp; 642)</f>
        <v>0</v>
      </c>
      <c r="V647" cm="1">
        <f t="array" aca="1" ref="V647" ca="1">INDIRECT("Data!P" &amp; 642)</f>
        <v>0</v>
      </c>
    </row>
    <row r="648" spans="7:22" x14ac:dyDescent="0.25">
      <c r="G648" cm="1">
        <f t="array" aca="1" ref="G648" ca="1">INDIRECT("Data!A" &amp; 643)</f>
        <v>0</v>
      </c>
      <c r="H648" s="21" cm="1">
        <f t="array" aca="1" ref="H648" ca="1">INDIRECT("Data!B" &amp; 643)</f>
        <v>0</v>
      </c>
      <c r="I648" s="21" cm="1">
        <f t="array" aca="1" ref="I648" ca="1">INDIRECT("Data!C" &amp; 643)</f>
        <v>0</v>
      </c>
      <c r="J648" cm="1">
        <f t="array" aca="1" ref="J648" ca="1">INDIRECT("Data!D" &amp; 643)</f>
        <v>0</v>
      </c>
      <c r="K648" cm="1">
        <f t="array" aca="1" ref="K648" ca="1">INDIRECT("Data!E" &amp; 643)</f>
        <v>0</v>
      </c>
      <c r="L648" cm="1">
        <f t="array" aca="1" ref="L648" ca="1">INDIRECT("Data!F" &amp; 643)</f>
        <v>0</v>
      </c>
      <c r="M648" cm="1">
        <f t="array" aca="1" ref="M648" ca="1">INDIRECT("Data!G" &amp; 643)</f>
        <v>0</v>
      </c>
      <c r="N648" cm="1">
        <f t="array" aca="1" ref="N648" ca="1">INDIRECT("Data!H" &amp; 643)</f>
        <v>0</v>
      </c>
      <c r="O648" cm="1">
        <f t="array" aca="1" ref="O648" ca="1">INDIRECT("Data!I" &amp; 643)</f>
        <v>0</v>
      </c>
      <c r="P648" s="21" cm="1">
        <f t="array" aca="1" ref="P648" ca="1">INDIRECT("Data!J" &amp; 643)</f>
        <v>0</v>
      </c>
      <c r="Q648" cm="1">
        <f t="array" aca="1" ref="Q648" ca="1">INDIRECT("Data!K" &amp; 643)</f>
        <v>0</v>
      </c>
      <c r="R648" cm="1">
        <f t="array" aca="1" ref="R648" ca="1">INDIRECT("Data!L" &amp; 643)</f>
        <v>0</v>
      </c>
      <c r="S648" cm="1">
        <f t="array" aca="1" ref="S648" ca="1">INDIRECT("Data!M" &amp; 643)</f>
        <v>0</v>
      </c>
      <c r="T648" cm="1">
        <f t="array" aca="1" ref="T648" ca="1">INDIRECT("Data!N" &amp; 643)</f>
        <v>0</v>
      </c>
      <c r="U648" cm="1">
        <f t="array" aca="1" ref="U648" ca="1">INDIRECT("Data!O" &amp; 643)</f>
        <v>0</v>
      </c>
      <c r="V648" cm="1">
        <f t="array" aca="1" ref="V648" ca="1">INDIRECT("Data!P" &amp; 643)</f>
        <v>0</v>
      </c>
    </row>
    <row r="649" spans="7:22" x14ac:dyDescent="0.25">
      <c r="G649" cm="1">
        <f t="array" aca="1" ref="G649" ca="1">INDIRECT("Data!A" &amp; 644)</f>
        <v>0</v>
      </c>
      <c r="H649" s="21" cm="1">
        <f t="array" aca="1" ref="H649" ca="1">INDIRECT("Data!B" &amp; 644)</f>
        <v>0</v>
      </c>
      <c r="I649" s="21" cm="1">
        <f t="array" aca="1" ref="I649" ca="1">INDIRECT("Data!C" &amp; 644)</f>
        <v>0</v>
      </c>
      <c r="J649" cm="1">
        <f t="array" aca="1" ref="J649" ca="1">INDIRECT("Data!D" &amp; 644)</f>
        <v>0</v>
      </c>
      <c r="K649" cm="1">
        <f t="array" aca="1" ref="K649" ca="1">INDIRECT("Data!E" &amp; 644)</f>
        <v>0</v>
      </c>
      <c r="L649" cm="1">
        <f t="array" aca="1" ref="L649" ca="1">INDIRECT("Data!F" &amp; 644)</f>
        <v>0</v>
      </c>
      <c r="M649" cm="1">
        <f t="array" aca="1" ref="M649" ca="1">INDIRECT("Data!G" &amp; 644)</f>
        <v>0</v>
      </c>
      <c r="N649" cm="1">
        <f t="array" aca="1" ref="N649" ca="1">INDIRECT("Data!H" &amp; 644)</f>
        <v>0</v>
      </c>
      <c r="O649" cm="1">
        <f t="array" aca="1" ref="O649" ca="1">INDIRECT("Data!I" &amp; 644)</f>
        <v>0</v>
      </c>
      <c r="P649" s="21" cm="1">
        <f t="array" aca="1" ref="P649" ca="1">INDIRECT("Data!J" &amp; 644)</f>
        <v>0</v>
      </c>
      <c r="Q649" cm="1">
        <f t="array" aca="1" ref="Q649" ca="1">INDIRECT("Data!K" &amp; 644)</f>
        <v>0</v>
      </c>
      <c r="R649" cm="1">
        <f t="array" aca="1" ref="R649" ca="1">INDIRECT("Data!L" &amp; 644)</f>
        <v>0</v>
      </c>
      <c r="S649" cm="1">
        <f t="array" aca="1" ref="S649" ca="1">INDIRECT("Data!M" &amp; 644)</f>
        <v>0</v>
      </c>
      <c r="T649" cm="1">
        <f t="array" aca="1" ref="T649" ca="1">INDIRECT("Data!N" &amp; 644)</f>
        <v>0</v>
      </c>
      <c r="U649" cm="1">
        <f t="array" aca="1" ref="U649" ca="1">INDIRECT("Data!O" &amp; 644)</f>
        <v>0</v>
      </c>
      <c r="V649" cm="1">
        <f t="array" aca="1" ref="V649" ca="1">INDIRECT("Data!P" &amp; 644)</f>
        <v>0</v>
      </c>
    </row>
    <row r="650" spans="7:22" x14ac:dyDescent="0.25">
      <c r="G650" cm="1">
        <f t="array" aca="1" ref="G650" ca="1">INDIRECT("Data!A" &amp; 645)</f>
        <v>0</v>
      </c>
      <c r="H650" s="21" cm="1">
        <f t="array" aca="1" ref="H650" ca="1">INDIRECT("Data!B" &amp; 645)</f>
        <v>0</v>
      </c>
      <c r="I650" s="21" cm="1">
        <f t="array" aca="1" ref="I650" ca="1">INDIRECT("Data!C" &amp; 645)</f>
        <v>0</v>
      </c>
      <c r="J650" cm="1">
        <f t="array" aca="1" ref="J650" ca="1">INDIRECT("Data!D" &amp; 645)</f>
        <v>0</v>
      </c>
      <c r="K650" cm="1">
        <f t="array" aca="1" ref="K650" ca="1">INDIRECT("Data!E" &amp; 645)</f>
        <v>0</v>
      </c>
      <c r="L650" cm="1">
        <f t="array" aca="1" ref="L650" ca="1">INDIRECT("Data!F" &amp; 645)</f>
        <v>0</v>
      </c>
      <c r="M650" cm="1">
        <f t="array" aca="1" ref="M650" ca="1">INDIRECT("Data!G" &amp; 645)</f>
        <v>0</v>
      </c>
      <c r="N650" cm="1">
        <f t="array" aca="1" ref="N650" ca="1">INDIRECT("Data!H" &amp; 645)</f>
        <v>0</v>
      </c>
      <c r="O650" cm="1">
        <f t="array" aca="1" ref="O650" ca="1">INDIRECT("Data!I" &amp; 645)</f>
        <v>0</v>
      </c>
      <c r="P650" s="21" cm="1">
        <f t="array" aca="1" ref="P650" ca="1">INDIRECT("Data!J" &amp; 645)</f>
        <v>0</v>
      </c>
      <c r="Q650" cm="1">
        <f t="array" aca="1" ref="Q650" ca="1">INDIRECT("Data!K" &amp; 645)</f>
        <v>0</v>
      </c>
      <c r="R650" cm="1">
        <f t="array" aca="1" ref="R650" ca="1">INDIRECT("Data!L" &amp; 645)</f>
        <v>0</v>
      </c>
      <c r="S650" cm="1">
        <f t="array" aca="1" ref="S650" ca="1">INDIRECT("Data!M" &amp; 645)</f>
        <v>0</v>
      </c>
      <c r="T650" cm="1">
        <f t="array" aca="1" ref="T650" ca="1">INDIRECT("Data!N" &amp; 645)</f>
        <v>0</v>
      </c>
      <c r="U650" cm="1">
        <f t="array" aca="1" ref="U650" ca="1">INDIRECT("Data!O" &amp; 645)</f>
        <v>0</v>
      </c>
      <c r="V650" cm="1">
        <f t="array" aca="1" ref="V650" ca="1">INDIRECT("Data!P" &amp; 645)</f>
        <v>0</v>
      </c>
    </row>
    <row r="651" spans="7:22" x14ac:dyDescent="0.25">
      <c r="G651" cm="1">
        <f t="array" aca="1" ref="G651" ca="1">INDIRECT("Data!A" &amp; 646)</f>
        <v>0</v>
      </c>
      <c r="H651" s="21" cm="1">
        <f t="array" aca="1" ref="H651" ca="1">INDIRECT("Data!B" &amp; 646)</f>
        <v>0</v>
      </c>
      <c r="I651" s="21" cm="1">
        <f t="array" aca="1" ref="I651" ca="1">INDIRECT("Data!C" &amp; 646)</f>
        <v>0</v>
      </c>
      <c r="J651" cm="1">
        <f t="array" aca="1" ref="J651" ca="1">INDIRECT("Data!D" &amp; 646)</f>
        <v>0</v>
      </c>
      <c r="K651" cm="1">
        <f t="array" aca="1" ref="K651" ca="1">INDIRECT("Data!E" &amp; 646)</f>
        <v>0</v>
      </c>
      <c r="L651" cm="1">
        <f t="array" aca="1" ref="L651" ca="1">INDIRECT("Data!F" &amp; 646)</f>
        <v>0</v>
      </c>
      <c r="M651" cm="1">
        <f t="array" aca="1" ref="M651" ca="1">INDIRECT("Data!G" &amp; 646)</f>
        <v>0</v>
      </c>
      <c r="N651" cm="1">
        <f t="array" aca="1" ref="N651" ca="1">INDIRECT("Data!H" &amp; 646)</f>
        <v>0</v>
      </c>
      <c r="O651" cm="1">
        <f t="array" aca="1" ref="O651" ca="1">INDIRECT("Data!I" &amp; 646)</f>
        <v>0</v>
      </c>
      <c r="P651" s="21" cm="1">
        <f t="array" aca="1" ref="P651" ca="1">INDIRECT("Data!J" &amp; 646)</f>
        <v>0</v>
      </c>
      <c r="Q651" cm="1">
        <f t="array" aca="1" ref="Q651" ca="1">INDIRECT("Data!K" &amp; 646)</f>
        <v>0</v>
      </c>
      <c r="R651" cm="1">
        <f t="array" aca="1" ref="R651" ca="1">INDIRECT("Data!L" &amp; 646)</f>
        <v>0</v>
      </c>
      <c r="S651" cm="1">
        <f t="array" aca="1" ref="S651" ca="1">INDIRECT("Data!M" &amp; 646)</f>
        <v>0</v>
      </c>
      <c r="T651" cm="1">
        <f t="array" aca="1" ref="T651" ca="1">INDIRECT("Data!N" &amp; 646)</f>
        <v>0</v>
      </c>
      <c r="U651" cm="1">
        <f t="array" aca="1" ref="U651" ca="1">INDIRECT("Data!O" &amp; 646)</f>
        <v>0</v>
      </c>
      <c r="V651" cm="1">
        <f t="array" aca="1" ref="V651" ca="1">INDIRECT("Data!P" &amp; 646)</f>
        <v>0</v>
      </c>
    </row>
    <row r="652" spans="7:22" x14ac:dyDescent="0.25">
      <c r="G652" cm="1">
        <f t="array" aca="1" ref="G652" ca="1">INDIRECT("Data!A" &amp; 647)</f>
        <v>0</v>
      </c>
      <c r="H652" s="21" cm="1">
        <f t="array" aca="1" ref="H652" ca="1">INDIRECT("Data!B" &amp; 647)</f>
        <v>0</v>
      </c>
      <c r="I652" s="21" cm="1">
        <f t="array" aca="1" ref="I652" ca="1">INDIRECT("Data!C" &amp; 647)</f>
        <v>0</v>
      </c>
      <c r="J652" cm="1">
        <f t="array" aca="1" ref="J652" ca="1">INDIRECT("Data!D" &amp; 647)</f>
        <v>0</v>
      </c>
      <c r="K652" cm="1">
        <f t="array" aca="1" ref="K652" ca="1">INDIRECT("Data!E" &amp; 647)</f>
        <v>0</v>
      </c>
      <c r="L652" cm="1">
        <f t="array" aca="1" ref="L652" ca="1">INDIRECT("Data!F" &amp; 647)</f>
        <v>0</v>
      </c>
      <c r="M652" cm="1">
        <f t="array" aca="1" ref="M652" ca="1">INDIRECT("Data!G" &amp; 647)</f>
        <v>0</v>
      </c>
      <c r="N652" cm="1">
        <f t="array" aca="1" ref="N652" ca="1">INDIRECT("Data!H" &amp; 647)</f>
        <v>0</v>
      </c>
      <c r="O652" cm="1">
        <f t="array" aca="1" ref="O652" ca="1">INDIRECT("Data!I" &amp; 647)</f>
        <v>0</v>
      </c>
      <c r="P652" s="21" cm="1">
        <f t="array" aca="1" ref="P652" ca="1">INDIRECT("Data!J" &amp; 647)</f>
        <v>0</v>
      </c>
      <c r="Q652" cm="1">
        <f t="array" aca="1" ref="Q652" ca="1">INDIRECT("Data!K" &amp; 647)</f>
        <v>0</v>
      </c>
      <c r="R652" cm="1">
        <f t="array" aca="1" ref="R652" ca="1">INDIRECT("Data!L" &amp; 647)</f>
        <v>0</v>
      </c>
      <c r="S652" cm="1">
        <f t="array" aca="1" ref="S652" ca="1">INDIRECT("Data!M" &amp; 647)</f>
        <v>0</v>
      </c>
      <c r="T652" cm="1">
        <f t="array" aca="1" ref="T652" ca="1">INDIRECT("Data!N" &amp; 647)</f>
        <v>0</v>
      </c>
      <c r="U652" cm="1">
        <f t="array" aca="1" ref="U652" ca="1">INDIRECT("Data!O" &amp; 647)</f>
        <v>0</v>
      </c>
      <c r="V652" cm="1">
        <f t="array" aca="1" ref="V652" ca="1">INDIRECT("Data!P" &amp; 647)</f>
        <v>0</v>
      </c>
    </row>
    <row r="653" spans="7:22" x14ac:dyDescent="0.25">
      <c r="G653" cm="1">
        <f t="array" aca="1" ref="G653" ca="1">INDIRECT("Data!A" &amp; 648)</f>
        <v>0</v>
      </c>
      <c r="H653" s="21" cm="1">
        <f t="array" aca="1" ref="H653" ca="1">INDIRECT("Data!B" &amp; 648)</f>
        <v>0</v>
      </c>
      <c r="I653" s="21" cm="1">
        <f t="array" aca="1" ref="I653" ca="1">INDIRECT("Data!C" &amp; 648)</f>
        <v>0</v>
      </c>
      <c r="J653" cm="1">
        <f t="array" aca="1" ref="J653" ca="1">INDIRECT("Data!D" &amp; 648)</f>
        <v>0</v>
      </c>
      <c r="K653" cm="1">
        <f t="array" aca="1" ref="K653" ca="1">INDIRECT("Data!E" &amp; 648)</f>
        <v>0</v>
      </c>
      <c r="L653" cm="1">
        <f t="array" aca="1" ref="L653" ca="1">INDIRECT("Data!F" &amp; 648)</f>
        <v>0</v>
      </c>
      <c r="M653" cm="1">
        <f t="array" aca="1" ref="M653" ca="1">INDIRECT("Data!G" &amp; 648)</f>
        <v>0</v>
      </c>
      <c r="N653" cm="1">
        <f t="array" aca="1" ref="N653" ca="1">INDIRECT("Data!H" &amp; 648)</f>
        <v>0</v>
      </c>
      <c r="O653" cm="1">
        <f t="array" aca="1" ref="O653" ca="1">INDIRECT("Data!I" &amp; 648)</f>
        <v>0</v>
      </c>
      <c r="P653" s="21" cm="1">
        <f t="array" aca="1" ref="P653" ca="1">INDIRECT("Data!J" &amp; 648)</f>
        <v>0</v>
      </c>
      <c r="Q653" cm="1">
        <f t="array" aca="1" ref="Q653" ca="1">INDIRECT("Data!K" &amp; 648)</f>
        <v>0</v>
      </c>
      <c r="R653" cm="1">
        <f t="array" aca="1" ref="R653" ca="1">INDIRECT("Data!L" &amp; 648)</f>
        <v>0</v>
      </c>
      <c r="S653" cm="1">
        <f t="array" aca="1" ref="S653" ca="1">INDIRECT("Data!M" &amp; 648)</f>
        <v>0</v>
      </c>
      <c r="T653" cm="1">
        <f t="array" aca="1" ref="T653" ca="1">INDIRECT("Data!N" &amp; 648)</f>
        <v>0</v>
      </c>
      <c r="U653" cm="1">
        <f t="array" aca="1" ref="U653" ca="1">INDIRECT("Data!O" &amp; 648)</f>
        <v>0</v>
      </c>
      <c r="V653" cm="1">
        <f t="array" aca="1" ref="V653" ca="1">INDIRECT("Data!P" &amp; 648)</f>
        <v>0</v>
      </c>
    </row>
    <row r="654" spans="7:22" x14ac:dyDescent="0.25">
      <c r="G654" cm="1">
        <f t="array" aca="1" ref="G654" ca="1">INDIRECT("Data!A" &amp; 649)</f>
        <v>0</v>
      </c>
      <c r="H654" s="21" cm="1">
        <f t="array" aca="1" ref="H654" ca="1">INDIRECT("Data!B" &amp; 649)</f>
        <v>0</v>
      </c>
      <c r="I654" s="21" cm="1">
        <f t="array" aca="1" ref="I654" ca="1">INDIRECT("Data!C" &amp; 649)</f>
        <v>0</v>
      </c>
      <c r="J654" cm="1">
        <f t="array" aca="1" ref="J654" ca="1">INDIRECT("Data!D" &amp; 649)</f>
        <v>0</v>
      </c>
      <c r="K654" cm="1">
        <f t="array" aca="1" ref="K654" ca="1">INDIRECT("Data!E" &amp; 649)</f>
        <v>0</v>
      </c>
      <c r="L654" cm="1">
        <f t="array" aca="1" ref="L654" ca="1">INDIRECT("Data!F" &amp; 649)</f>
        <v>0</v>
      </c>
      <c r="M654" cm="1">
        <f t="array" aca="1" ref="M654" ca="1">INDIRECT("Data!G" &amp; 649)</f>
        <v>0</v>
      </c>
      <c r="N654" cm="1">
        <f t="array" aca="1" ref="N654" ca="1">INDIRECT("Data!H" &amp; 649)</f>
        <v>0</v>
      </c>
      <c r="O654" cm="1">
        <f t="array" aca="1" ref="O654" ca="1">INDIRECT("Data!I" &amp; 649)</f>
        <v>0</v>
      </c>
      <c r="P654" s="21" cm="1">
        <f t="array" aca="1" ref="P654" ca="1">INDIRECT("Data!J" &amp; 649)</f>
        <v>0</v>
      </c>
      <c r="Q654" cm="1">
        <f t="array" aca="1" ref="Q654" ca="1">INDIRECT("Data!K" &amp; 649)</f>
        <v>0</v>
      </c>
      <c r="R654" cm="1">
        <f t="array" aca="1" ref="R654" ca="1">INDIRECT("Data!L" &amp; 649)</f>
        <v>0</v>
      </c>
      <c r="S654" cm="1">
        <f t="array" aca="1" ref="S654" ca="1">INDIRECT("Data!M" &amp; 649)</f>
        <v>0</v>
      </c>
      <c r="T654" cm="1">
        <f t="array" aca="1" ref="T654" ca="1">INDIRECT("Data!N" &amp; 649)</f>
        <v>0</v>
      </c>
      <c r="U654" cm="1">
        <f t="array" aca="1" ref="U654" ca="1">INDIRECT("Data!O" &amp; 649)</f>
        <v>0</v>
      </c>
      <c r="V654" cm="1">
        <f t="array" aca="1" ref="V654" ca="1">INDIRECT("Data!P" &amp; 649)</f>
        <v>0</v>
      </c>
    </row>
    <row r="655" spans="7:22" x14ac:dyDescent="0.25">
      <c r="G655" cm="1">
        <f t="array" aca="1" ref="G655" ca="1">INDIRECT("Data!A" &amp; 650)</f>
        <v>0</v>
      </c>
      <c r="H655" s="21" cm="1">
        <f t="array" aca="1" ref="H655" ca="1">INDIRECT("Data!B" &amp; 650)</f>
        <v>0</v>
      </c>
      <c r="I655" s="21" cm="1">
        <f t="array" aca="1" ref="I655" ca="1">INDIRECT("Data!C" &amp; 650)</f>
        <v>0</v>
      </c>
      <c r="J655" cm="1">
        <f t="array" aca="1" ref="J655" ca="1">INDIRECT("Data!D" &amp; 650)</f>
        <v>0</v>
      </c>
      <c r="K655" cm="1">
        <f t="array" aca="1" ref="K655" ca="1">INDIRECT("Data!E" &amp; 650)</f>
        <v>0</v>
      </c>
      <c r="L655" cm="1">
        <f t="array" aca="1" ref="L655" ca="1">INDIRECT("Data!F" &amp; 650)</f>
        <v>0</v>
      </c>
      <c r="M655" cm="1">
        <f t="array" aca="1" ref="M655" ca="1">INDIRECT("Data!G" &amp; 650)</f>
        <v>0</v>
      </c>
      <c r="N655" cm="1">
        <f t="array" aca="1" ref="N655" ca="1">INDIRECT("Data!H" &amp; 650)</f>
        <v>0</v>
      </c>
      <c r="O655" cm="1">
        <f t="array" aca="1" ref="O655" ca="1">INDIRECT("Data!I" &amp; 650)</f>
        <v>0</v>
      </c>
      <c r="P655" s="21" cm="1">
        <f t="array" aca="1" ref="P655" ca="1">INDIRECT("Data!J" &amp; 650)</f>
        <v>0</v>
      </c>
      <c r="Q655" cm="1">
        <f t="array" aca="1" ref="Q655" ca="1">INDIRECT("Data!K" &amp; 650)</f>
        <v>0</v>
      </c>
      <c r="R655" cm="1">
        <f t="array" aca="1" ref="R655" ca="1">INDIRECT("Data!L" &amp; 650)</f>
        <v>0</v>
      </c>
      <c r="S655" cm="1">
        <f t="array" aca="1" ref="S655" ca="1">INDIRECT("Data!M" &amp; 650)</f>
        <v>0</v>
      </c>
      <c r="T655" cm="1">
        <f t="array" aca="1" ref="T655" ca="1">INDIRECT("Data!N" &amp; 650)</f>
        <v>0</v>
      </c>
      <c r="U655" cm="1">
        <f t="array" aca="1" ref="U655" ca="1">INDIRECT("Data!O" &amp; 650)</f>
        <v>0</v>
      </c>
      <c r="V655" cm="1">
        <f t="array" aca="1" ref="V655" ca="1">INDIRECT("Data!P" &amp; 650)</f>
        <v>0</v>
      </c>
    </row>
    <row r="656" spans="7:22" x14ac:dyDescent="0.25">
      <c r="G656" cm="1">
        <f t="array" aca="1" ref="G656" ca="1">INDIRECT("Data!A" &amp; 651)</f>
        <v>0</v>
      </c>
      <c r="H656" s="21" cm="1">
        <f t="array" aca="1" ref="H656" ca="1">INDIRECT("Data!B" &amp; 651)</f>
        <v>0</v>
      </c>
      <c r="I656" s="21" cm="1">
        <f t="array" aca="1" ref="I656" ca="1">INDIRECT("Data!C" &amp; 651)</f>
        <v>0</v>
      </c>
      <c r="J656" cm="1">
        <f t="array" aca="1" ref="J656" ca="1">INDIRECT("Data!D" &amp; 651)</f>
        <v>0</v>
      </c>
      <c r="K656" cm="1">
        <f t="array" aca="1" ref="K656" ca="1">INDIRECT("Data!E" &amp; 651)</f>
        <v>0</v>
      </c>
      <c r="L656" cm="1">
        <f t="array" aca="1" ref="L656" ca="1">INDIRECT("Data!F" &amp; 651)</f>
        <v>0</v>
      </c>
      <c r="M656" cm="1">
        <f t="array" aca="1" ref="M656" ca="1">INDIRECT("Data!G" &amp; 651)</f>
        <v>0</v>
      </c>
      <c r="N656" cm="1">
        <f t="array" aca="1" ref="N656" ca="1">INDIRECT("Data!H" &amp; 651)</f>
        <v>0</v>
      </c>
      <c r="O656" cm="1">
        <f t="array" aca="1" ref="O656" ca="1">INDIRECT("Data!I" &amp; 651)</f>
        <v>0</v>
      </c>
      <c r="P656" s="21" cm="1">
        <f t="array" aca="1" ref="P656" ca="1">INDIRECT("Data!J" &amp; 651)</f>
        <v>0</v>
      </c>
      <c r="Q656" cm="1">
        <f t="array" aca="1" ref="Q656" ca="1">INDIRECT("Data!K" &amp; 651)</f>
        <v>0</v>
      </c>
      <c r="R656" cm="1">
        <f t="array" aca="1" ref="R656" ca="1">INDIRECT("Data!L" &amp; 651)</f>
        <v>0</v>
      </c>
      <c r="S656" cm="1">
        <f t="array" aca="1" ref="S656" ca="1">INDIRECT("Data!M" &amp; 651)</f>
        <v>0</v>
      </c>
      <c r="T656" cm="1">
        <f t="array" aca="1" ref="T656" ca="1">INDIRECT("Data!N" &amp; 651)</f>
        <v>0</v>
      </c>
      <c r="U656" cm="1">
        <f t="array" aca="1" ref="U656" ca="1">INDIRECT("Data!O" &amp; 651)</f>
        <v>0</v>
      </c>
      <c r="V656" cm="1">
        <f t="array" aca="1" ref="V656" ca="1">INDIRECT("Data!P" &amp; 651)</f>
        <v>0</v>
      </c>
    </row>
    <row r="657" spans="7:22" x14ac:dyDescent="0.25">
      <c r="G657" cm="1">
        <f t="array" aca="1" ref="G657" ca="1">INDIRECT("Data!A" &amp; 652)</f>
        <v>0</v>
      </c>
      <c r="H657" s="21" cm="1">
        <f t="array" aca="1" ref="H657" ca="1">INDIRECT("Data!B" &amp; 652)</f>
        <v>0</v>
      </c>
      <c r="I657" s="21" cm="1">
        <f t="array" aca="1" ref="I657" ca="1">INDIRECT("Data!C" &amp; 652)</f>
        <v>0</v>
      </c>
      <c r="J657" cm="1">
        <f t="array" aca="1" ref="J657" ca="1">INDIRECT("Data!D" &amp; 652)</f>
        <v>0</v>
      </c>
      <c r="K657" cm="1">
        <f t="array" aca="1" ref="K657" ca="1">INDIRECT("Data!E" &amp; 652)</f>
        <v>0</v>
      </c>
      <c r="L657" cm="1">
        <f t="array" aca="1" ref="L657" ca="1">INDIRECT("Data!F" &amp; 652)</f>
        <v>0</v>
      </c>
      <c r="M657" cm="1">
        <f t="array" aca="1" ref="M657" ca="1">INDIRECT("Data!G" &amp; 652)</f>
        <v>0</v>
      </c>
      <c r="N657" cm="1">
        <f t="array" aca="1" ref="N657" ca="1">INDIRECT("Data!H" &amp; 652)</f>
        <v>0</v>
      </c>
      <c r="O657" cm="1">
        <f t="array" aca="1" ref="O657" ca="1">INDIRECT("Data!I" &amp; 652)</f>
        <v>0</v>
      </c>
      <c r="P657" s="21" cm="1">
        <f t="array" aca="1" ref="P657" ca="1">INDIRECT("Data!J" &amp; 652)</f>
        <v>0</v>
      </c>
      <c r="Q657" cm="1">
        <f t="array" aca="1" ref="Q657" ca="1">INDIRECT("Data!K" &amp; 652)</f>
        <v>0</v>
      </c>
      <c r="R657" cm="1">
        <f t="array" aca="1" ref="R657" ca="1">INDIRECT("Data!L" &amp; 652)</f>
        <v>0</v>
      </c>
      <c r="S657" cm="1">
        <f t="array" aca="1" ref="S657" ca="1">INDIRECT("Data!M" &amp; 652)</f>
        <v>0</v>
      </c>
      <c r="T657" cm="1">
        <f t="array" aca="1" ref="T657" ca="1">INDIRECT("Data!N" &amp; 652)</f>
        <v>0</v>
      </c>
      <c r="U657" cm="1">
        <f t="array" aca="1" ref="U657" ca="1">INDIRECT("Data!O" &amp; 652)</f>
        <v>0</v>
      </c>
      <c r="V657" cm="1">
        <f t="array" aca="1" ref="V657" ca="1">INDIRECT("Data!P" &amp; 652)</f>
        <v>0</v>
      </c>
    </row>
    <row r="658" spans="7:22" x14ac:dyDescent="0.25">
      <c r="G658" cm="1">
        <f t="array" aca="1" ref="G658" ca="1">INDIRECT("Data!A" &amp; 653)</f>
        <v>0</v>
      </c>
      <c r="H658" s="21" cm="1">
        <f t="array" aca="1" ref="H658" ca="1">INDIRECT("Data!B" &amp; 653)</f>
        <v>0</v>
      </c>
      <c r="I658" s="21" cm="1">
        <f t="array" aca="1" ref="I658" ca="1">INDIRECT("Data!C" &amp; 653)</f>
        <v>0</v>
      </c>
      <c r="J658" cm="1">
        <f t="array" aca="1" ref="J658" ca="1">INDIRECT("Data!D" &amp; 653)</f>
        <v>0</v>
      </c>
      <c r="K658" cm="1">
        <f t="array" aca="1" ref="K658" ca="1">INDIRECT("Data!E" &amp; 653)</f>
        <v>0</v>
      </c>
      <c r="L658" cm="1">
        <f t="array" aca="1" ref="L658" ca="1">INDIRECT("Data!F" &amp; 653)</f>
        <v>0</v>
      </c>
      <c r="M658" cm="1">
        <f t="array" aca="1" ref="M658" ca="1">INDIRECT("Data!G" &amp; 653)</f>
        <v>0</v>
      </c>
      <c r="N658" cm="1">
        <f t="array" aca="1" ref="N658" ca="1">INDIRECT("Data!H" &amp; 653)</f>
        <v>0</v>
      </c>
      <c r="O658" cm="1">
        <f t="array" aca="1" ref="O658" ca="1">INDIRECT("Data!I" &amp; 653)</f>
        <v>0</v>
      </c>
      <c r="P658" s="21" cm="1">
        <f t="array" aca="1" ref="P658" ca="1">INDIRECT("Data!J" &amp; 653)</f>
        <v>0</v>
      </c>
      <c r="Q658" cm="1">
        <f t="array" aca="1" ref="Q658" ca="1">INDIRECT("Data!K" &amp; 653)</f>
        <v>0</v>
      </c>
      <c r="R658" cm="1">
        <f t="array" aca="1" ref="R658" ca="1">INDIRECT("Data!L" &amp; 653)</f>
        <v>0</v>
      </c>
      <c r="S658" cm="1">
        <f t="array" aca="1" ref="S658" ca="1">INDIRECT("Data!M" &amp; 653)</f>
        <v>0</v>
      </c>
      <c r="T658" cm="1">
        <f t="array" aca="1" ref="T658" ca="1">INDIRECT("Data!N" &amp; 653)</f>
        <v>0</v>
      </c>
      <c r="U658" cm="1">
        <f t="array" aca="1" ref="U658" ca="1">INDIRECT("Data!O" &amp; 653)</f>
        <v>0</v>
      </c>
      <c r="V658" cm="1">
        <f t="array" aca="1" ref="V658" ca="1">INDIRECT("Data!P" &amp; 653)</f>
        <v>0</v>
      </c>
    </row>
    <row r="659" spans="7:22" x14ac:dyDescent="0.25">
      <c r="G659" cm="1">
        <f t="array" aca="1" ref="G659" ca="1">INDIRECT("Data!A" &amp; 654)</f>
        <v>0</v>
      </c>
      <c r="H659" s="21" cm="1">
        <f t="array" aca="1" ref="H659" ca="1">INDIRECT("Data!B" &amp; 654)</f>
        <v>0</v>
      </c>
      <c r="I659" s="21" cm="1">
        <f t="array" aca="1" ref="I659" ca="1">INDIRECT("Data!C" &amp; 654)</f>
        <v>0</v>
      </c>
      <c r="J659" cm="1">
        <f t="array" aca="1" ref="J659" ca="1">INDIRECT("Data!D" &amp; 654)</f>
        <v>0</v>
      </c>
      <c r="K659" cm="1">
        <f t="array" aca="1" ref="K659" ca="1">INDIRECT("Data!E" &amp; 654)</f>
        <v>0</v>
      </c>
      <c r="L659" cm="1">
        <f t="array" aca="1" ref="L659" ca="1">INDIRECT("Data!F" &amp; 654)</f>
        <v>0</v>
      </c>
      <c r="M659" cm="1">
        <f t="array" aca="1" ref="M659" ca="1">INDIRECT("Data!G" &amp; 654)</f>
        <v>0</v>
      </c>
      <c r="N659" cm="1">
        <f t="array" aca="1" ref="N659" ca="1">INDIRECT("Data!H" &amp; 654)</f>
        <v>0</v>
      </c>
      <c r="O659" cm="1">
        <f t="array" aca="1" ref="O659" ca="1">INDIRECT("Data!I" &amp; 654)</f>
        <v>0</v>
      </c>
      <c r="P659" s="21" cm="1">
        <f t="array" aca="1" ref="P659" ca="1">INDIRECT("Data!J" &amp; 654)</f>
        <v>0</v>
      </c>
      <c r="Q659" cm="1">
        <f t="array" aca="1" ref="Q659" ca="1">INDIRECT("Data!K" &amp; 654)</f>
        <v>0</v>
      </c>
      <c r="R659" cm="1">
        <f t="array" aca="1" ref="R659" ca="1">INDIRECT("Data!L" &amp; 654)</f>
        <v>0</v>
      </c>
      <c r="S659" cm="1">
        <f t="array" aca="1" ref="S659" ca="1">INDIRECT("Data!M" &amp; 654)</f>
        <v>0</v>
      </c>
      <c r="T659" cm="1">
        <f t="array" aca="1" ref="T659" ca="1">INDIRECT("Data!N" &amp; 654)</f>
        <v>0</v>
      </c>
      <c r="U659" cm="1">
        <f t="array" aca="1" ref="U659" ca="1">INDIRECT("Data!O" &amp; 654)</f>
        <v>0</v>
      </c>
      <c r="V659" cm="1">
        <f t="array" aca="1" ref="V659" ca="1">INDIRECT("Data!P" &amp; 654)</f>
        <v>0</v>
      </c>
    </row>
    <row r="660" spans="7:22" x14ac:dyDescent="0.25">
      <c r="G660" cm="1">
        <f t="array" aca="1" ref="G660" ca="1">INDIRECT("Data!A" &amp; 655)</f>
        <v>0</v>
      </c>
      <c r="H660" s="21" cm="1">
        <f t="array" aca="1" ref="H660" ca="1">INDIRECT("Data!B" &amp; 655)</f>
        <v>0</v>
      </c>
      <c r="I660" s="21" cm="1">
        <f t="array" aca="1" ref="I660" ca="1">INDIRECT("Data!C" &amp; 655)</f>
        <v>0</v>
      </c>
      <c r="J660" cm="1">
        <f t="array" aca="1" ref="J660" ca="1">INDIRECT("Data!D" &amp; 655)</f>
        <v>0</v>
      </c>
      <c r="K660" cm="1">
        <f t="array" aca="1" ref="K660" ca="1">INDIRECT("Data!E" &amp; 655)</f>
        <v>0</v>
      </c>
      <c r="L660" cm="1">
        <f t="array" aca="1" ref="L660" ca="1">INDIRECT("Data!F" &amp; 655)</f>
        <v>0</v>
      </c>
      <c r="M660" cm="1">
        <f t="array" aca="1" ref="M660" ca="1">INDIRECT("Data!G" &amp; 655)</f>
        <v>0</v>
      </c>
      <c r="N660" cm="1">
        <f t="array" aca="1" ref="N660" ca="1">INDIRECT("Data!H" &amp; 655)</f>
        <v>0</v>
      </c>
      <c r="O660" cm="1">
        <f t="array" aca="1" ref="O660" ca="1">INDIRECT("Data!I" &amp; 655)</f>
        <v>0</v>
      </c>
      <c r="P660" s="21" cm="1">
        <f t="array" aca="1" ref="P660" ca="1">INDIRECT("Data!J" &amp; 655)</f>
        <v>0</v>
      </c>
      <c r="Q660" cm="1">
        <f t="array" aca="1" ref="Q660" ca="1">INDIRECT("Data!K" &amp; 655)</f>
        <v>0</v>
      </c>
      <c r="R660" cm="1">
        <f t="array" aca="1" ref="R660" ca="1">INDIRECT("Data!L" &amp; 655)</f>
        <v>0</v>
      </c>
      <c r="S660" cm="1">
        <f t="array" aca="1" ref="S660" ca="1">INDIRECT("Data!M" &amp; 655)</f>
        <v>0</v>
      </c>
      <c r="T660" cm="1">
        <f t="array" aca="1" ref="T660" ca="1">INDIRECT("Data!N" &amp; 655)</f>
        <v>0</v>
      </c>
      <c r="U660" cm="1">
        <f t="array" aca="1" ref="U660" ca="1">INDIRECT("Data!O" &amp; 655)</f>
        <v>0</v>
      </c>
      <c r="V660" cm="1">
        <f t="array" aca="1" ref="V660" ca="1">INDIRECT("Data!P" &amp; 655)</f>
        <v>0</v>
      </c>
    </row>
    <row r="661" spans="7:22" x14ac:dyDescent="0.25">
      <c r="G661" cm="1">
        <f t="array" aca="1" ref="G661" ca="1">INDIRECT("Data!A" &amp; 656)</f>
        <v>0</v>
      </c>
      <c r="H661" s="21" cm="1">
        <f t="array" aca="1" ref="H661" ca="1">INDIRECT("Data!B" &amp; 656)</f>
        <v>0</v>
      </c>
      <c r="I661" s="21" cm="1">
        <f t="array" aca="1" ref="I661" ca="1">INDIRECT("Data!C" &amp; 656)</f>
        <v>0</v>
      </c>
      <c r="J661" cm="1">
        <f t="array" aca="1" ref="J661" ca="1">INDIRECT("Data!D" &amp; 656)</f>
        <v>0</v>
      </c>
      <c r="K661" cm="1">
        <f t="array" aca="1" ref="K661" ca="1">INDIRECT("Data!E" &amp; 656)</f>
        <v>0</v>
      </c>
      <c r="L661" cm="1">
        <f t="array" aca="1" ref="L661" ca="1">INDIRECT("Data!F" &amp; 656)</f>
        <v>0</v>
      </c>
      <c r="M661" cm="1">
        <f t="array" aca="1" ref="M661" ca="1">INDIRECT("Data!G" &amp; 656)</f>
        <v>0</v>
      </c>
      <c r="N661" cm="1">
        <f t="array" aca="1" ref="N661" ca="1">INDIRECT("Data!H" &amp; 656)</f>
        <v>0</v>
      </c>
      <c r="O661" cm="1">
        <f t="array" aca="1" ref="O661" ca="1">INDIRECT("Data!I" &amp; 656)</f>
        <v>0</v>
      </c>
      <c r="P661" s="21" cm="1">
        <f t="array" aca="1" ref="P661" ca="1">INDIRECT("Data!J" &amp; 656)</f>
        <v>0</v>
      </c>
      <c r="Q661" cm="1">
        <f t="array" aca="1" ref="Q661" ca="1">INDIRECT("Data!K" &amp; 656)</f>
        <v>0</v>
      </c>
      <c r="R661" cm="1">
        <f t="array" aca="1" ref="R661" ca="1">INDIRECT("Data!L" &amp; 656)</f>
        <v>0</v>
      </c>
      <c r="S661" cm="1">
        <f t="array" aca="1" ref="S661" ca="1">INDIRECT("Data!M" &amp; 656)</f>
        <v>0</v>
      </c>
      <c r="T661" cm="1">
        <f t="array" aca="1" ref="T661" ca="1">INDIRECT("Data!N" &amp; 656)</f>
        <v>0</v>
      </c>
      <c r="U661" cm="1">
        <f t="array" aca="1" ref="U661" ca="1">INDIRECT("Data!O" &amp; 656)</f>
        <v>0</v>
      </c>
      <c r="V661" cm="1">
        <f t="array" aca="1" ref="V661" ca="1">INDIRECT("Data!P" &amp; 656)</f>
        <v>0</v>
      </c>
    </row>
    <row r="662" spans="7:22" x14ac:dyDescent="0.25">
      <c r="G662" cm="1">
        <f t="array" aca="1" ref="G662" ca="1">INDIRECT("Data!A" &amp; 657)</f>
        <v>0</v>
      </c>
      <c r="H662" s="21" cm="1">
        <f t="array" aca="1" ref="H662" ca="1">INDIRECT("Data!B" &amp; 657)</f>
        <v>0</v>
      </c>
      <c r="I662" s="21" cm="1">
        <f t="array" aca="1" ref="I662" ca="1">INDIRECT("Data!C" &amp; 657)</f>
        <v>0</v>
      </c>
      <c r="J662" cm="1">
        <f t="array" aca="1" ref="J662" ca="1">INDIRECT("Data!D" &amp; 657)</f>
        <v>0</v>
      </c>
      <c r="K662" cm="1">
        <f t="array" aca="1" ref="K662" ca="1">INDIRECT("Data!E" &amp; 657)</f>
        <v>0</v>
      </c>
      <c r="L662" cm="1">
        <f t="array" aca="1" ref="L662" ca="1">INDIRECT("Data!F" &amp; 657)</f>
        <v>0</v>
      </c>
      <c r="M662" cm="1">
        <f t="array" aca="1" ref="M662" ca="1">INDIRECT("Data!G" &amp; 657)</f>
        <v>0</v>
      </c>
      <c r="N662" cm="1">
        <f t="array" aca="1" ref="N662" ca="1">INDIRECT("Data!H" &amp; 657)</f>
        <v>0</v>
      </c>
      <c r="O662" cm="1">
        <f t="array" aca="1" ref="O662" ca="1">INDIRECT("Data!I" &amp; 657)</f>
        <v>0</v>
      </c>
      <c r="P662" s="21" cm="1">
        <f t="array" aca="1" ref="P662" ca="1">INDIRECT("Data!J" &amp; 657)</f>
        <v>0</v>
      </c>
      <c r="Q662" cm="1">
        <f t="array" aca="1" ref="Q662" ca="1">INDIRECT("Data!K" &amp; 657)</f>
        <v>0</v>
      </c>
      <c r="R662" cm="1">
        <f t="array" aca="1" ref="R662" ca="1">INDIRECT("Data!L" &amp; 657)</f>
        <v>0</v>
      </c>
      <c r="S662" cm="1">
        <f t="array" aca="1" ref="S662" ca="1">INDIRECT("Data!M" &amp; 657)</f>
        <v>0</v>
      </c>
      <c r="T662" cm="1">
        <f t="array" aca="1" ref="T662" ca="1">INDIRECT("Data!N" &amp; 657)</f>
        <v>0</v>
      </c>
      <c r="U662" cm="1">
        <f t="array" aca="1" ref="U662" ca="1">INDIRECT("Data!O" &amp; 657)</f>
        <v>0</v>
      </c>
      <c r="V662" cm="1">
        <f t="array" aca="1" ref="V662" ca="1">INDIRECT("Data!P" &amp; 657)</f>
        <v>0</v>
      </c>
    </row>
    <row r="663" spans="7:22" x14ac:dyDescent="0.25">
      <c r="G663" cm="1">
        <f t="array" aca="1" ref="G663" ca="1">INDIRECT("Data!A" &amp; 658)</f>
        <v>0</v>
      </c>
      <c r="H663" s="21" cm="1">
        <f t="array" aca="1" ref="H663" ca="1">INDIRECT("Data!B" &amp; 658)</f>
        <v>0</v>
      </c>
      <c r="I663" s="21" cm="1">
        <f t="array" aca="1" ref="I663" ca="1">INDIRECT("Data!C" &amp; 658)</f>
        <v>0</v>
      </c>
      <c r="J663" cm="1">
        <f t="array" aca="1" ref="J663" ca="1">INDIRECT("Data!D" &amp; 658)</f>
        <v>0</v>
      </c>
      <c r="K663" cm="1">
        <f t="array" aca="1" ref="K663" ca="1">INDIRECT("Data!E" &amp; 658)</f>
        <v>0</v>
      </c>
      <c r="L663" cm="1">
        <f t="array" aca="1" ref="L663" ca="1">INDIRECT("Data!F" &amp; 658)</f>
        <v>0</v>
      </c>
      <c r="M663" cm="1">
        <f t="array" aca="1" ref="M663" ca="1">INDIRECT("Data!G" &amp; 658)</f>
        <v>0</v>
      </c>
      <c r="N663" cm="1">
        <f t="array" aca="1" ref="N663" ca="1">INDIRECT("Data!H" &amp; 658)</f>
        <v>0</v>
      </c>
      <c r="O663" cm="1">
        <f t="array" aca="1" ref="O663" ca="1">INDIRECT("Data!I" &amp; 658)</f>
        <v>0</v>
      </c>
      <c r="P663" s="21" cm="1">
        <f t="array" aca="1" ref="P663" ca="1">INDIRECT("Data!J" &amp; 658)</f>
        <v>0</v>
      </c>
      <c r="Q663" cm="1">
        <f t="array" aca="1" ref="Q663" ca="1">INDIRECT("Data!K" &amp; 658)</f>
        <v>0</v>
      </c>
      <c r="R663" cm="1">
        <f t="array" aca="1" ref="R663" ca="1">INDIRECT("Data!L" &amp; 658)</f>
        <v>0</v>
      </c>
      <c r="S663" cm="1">
        <f t="array" aca="1" ref="S663" ca="1">INDIRECT("Data!M" &amp; 658)</f>
        <v>0</v>
      </c>
      <c r="T663" cm="1">
        <f t="array" aca="1" ref="T663" ca="1">INDIRECT("Data!N" &amp; 658)</f>
        <v>0</v>
      </c>
      <c r="U663" cm="1">
        <f t="array" aca="1" ref="U663" ca="1">INDIRECT("Data!O" &amp; 658)</f>
        <v>0</v>
      </c>
      <c r="V663" cm="1">
        <f t="array" aca="1" ref="V663" ca="1">INDIRECT("Data!P" &amp; 658)</f>
        <v>0</v>
      </c>
    </row>
    <row r="664" spans="7:22" x14ac:dyDescent="0.25">
      <c r="G664" cm="1">
        <f t="array" aca="1" ref="G664" ca="1">INDIRECT("Data!A" &amp; 659)</f>
        <v>0</v>
      </c>
      <c r="H664" s="21" cm="1">
        <f t="array" aca="1" ref="H664" ca="1">INDIRECT("Data!B" &amp; 659)</f>
        <v>0</v>
      </c>
      <c r="I664" s="21" cm="1">
        <f t="array" aca="1" ref="I664" ca="1">INDIRECT("Data!C" &amp; 659)</f>
        <v>0</v>
      </c>
      <c r="J664" cm="1">
        <f t="array" aca="1" ref="J664" ca="1">INDIRECT("Data!D" &amp; 659)</f>
        <v>0</v>
      </c>
      <c r="K664" cm="1">
        <f t="array" aca="1" ref="K664" ca="1">INDIRECT("Data!E" &amp; 659)</f>
        <v>0</v>
      </c>
      <c r="L664" cm="1">
        <f t="array" aca="1" ref="L664" ca="1">INDIRECT("Data!F" &amp; 659)</f>
        <v>0</v>
      </c>
      <c r="M664" cm="1">
        <f t="array" aca="1" ref="M664" ca="1">INDIRECT("Data!G" &amp; 659)</f>
        <v>0</v>
      </c>
      <c r="N664" cm="1">
        <f t="array" aca="1" ref="N664" ca="1">INDIRECT("Data!H" &amp; 659)</f>
        <v>0</v>
      </c>
      <c r="O664" cm="1">
        <f t="array" aca="1" ref="O664" ca="1">INDIRECT("Data!I" &amp; 659)</f>
        <v>0</v>
      </c>
      <c r="P664" s="21" cm="1">
        <f t="array" aca="1" ref="P664" ca="1">INDIRECT("Data!J" &amp; 659)</f>
        <v>0</v>
      </c>
      <c r="Q664" cm="1">
        <f t="array" aca="1" ref="Q664" ca="1">INDIRECT("Data!K" &amp; 659)</f>
        <v>0</v>
      </c>
      <c r="R664" cm="1">
        <f t="array" aca="1" ref="R664" ca="1">INDIRECT("Data!L" &amp; 659)</f>
        <v>0</v>
      </c>
      <c r="S664" cm="1">
        <f t="array" aca="1" ref="S664" ca="1">INDIRECT("Data!M" &amp; 659)</f>
        <v>0</v>
      </c>
      <c r="T664" cm="1">
        <f t="array" aca="1" ref="T664" ca="1">INDIRECT("Data!N" &amp; 659)</f>
        <v>0</v>
      </c>
      <c r="U664" cm="1">
        <f t="array" aca="1" ref="U664" ca="1">INDIRECT("Data!O" &amp; 659)</f>
        <v>0</v>
      </c>
      <c r="V664" cm="1">
        <f t="array" aca="1" ref="V664" ca="1">INDIRECT("Data!P" &amp; 659)</f>
        <v>0</v>
      </c>
    </row>
    <row r="665" spans="7:22" x14ac:dyDescent="0.25">
      <c r="G665" cm="1">
        <f t="array" aca="1" ref="G665" ca="1">INDIRECT("Data!A" &amp; 660)</f>
        <v>0</v>
      </c>
      <c r="H665" s="21" cm="1">
        <f t="array" aca="1" ref="H665" ca="1">INDIRECT("Data!B" &amp; 660)</f>
        <v>0</v>
      </c>
      <c r="I665" s="21" cm="1">
        <f t="array" aca="1" ref="I665" ca="1">INDIRECT("Data!C" &amp; 660)</f>
        <v>0</v>
      </c>
      <c r="J665" cm="1">
        <f t="array" aca="1" ref="J665" ca="1">INDIRECT("Data!D" &amp; 660)</f>
        <v>0</v>
      </c>
      <c r="K665" cm="1">
        <f t="array" aca="1" ref="K665" ca="1">INDIRECT("Data!E" &amp; 660)</f>
        <v>0</v>
      </c>
      <c r="L665" cm="1">
        <f t="array" aca="1" ref="L665" ca="1">INDIRECT("Data!F" &amp; 660)</f>
        <v>0</v>
      </c>
      <c r="M665" cm="1">
        <f t="array" aca="1" ref="M665" ca="1">INDIRECT("Data!G" &amp; 660)</f>
        <v>0</v>
      </c>
      <c r="N665" cm="1">
        <f t="array" aca="1" ref="N665" ca="1">INDIRECT("Data!H" &amp; 660)</f>
        <v>0</v>
      </c>
      <c r="O665" cm="1">
        <f t="array" aca="1" ref="O665" ca="1">INDIRECT("Data!I" &amp; 660)</f>
        <v>0</v>
      </c>
      <c r="P665" s="21" cm="1">
        <f t="array" aca="1" ref="P665" ca="1">INDIRECT("Data!J" &amp; 660)</f>
        <v>0</v>
      </c>
      <c r="Q665" cm="1">
        <f t="array" aca="1" ref="Q665" ca="1">INDIRECT("Data!K" &amp; 660)</f>
        <v>0</v>
      </c>
      <c r="R665" cm="1">
        <f t="array" aca="1" ref="R665" ca="1">INDIRECT("Data!L" &amp; 660)</f>
        <v>0</v>
      </c>
      <c r="S665" cm="1">
        <f t="array" aca="1" ref="S665" ca="1">INDIRECT("Data!M" &amp; 660)</f>
        <v>0</v>
      </c>
      <c r="T665" cm="1">
        <f t="array" aca="1" ref="T665" ca="1">INDIRECT("Data!N" &amp; 660)</f>
        <v>0</v>
      </c>
      <c r="U665" cm="1">
        <f t="array" aca="1" ref="U665" ca="1">INDIRECT("Data!O" &amp; 660)</f>
        <v>0</v>
      </c>
      <c r="V665" cm="1">
        <f t="array" aca="1" ref="V665" ca="1">INDIRECT("Data!P" &amp; 660)</f>
        <v>0</v>
      </c>
    </row>
    <row r="666" spans="7:22" x14ac:dyDescent="0.25">
      <c r="G666" cm="1">
        <f t="array" aca="1" ref="G666" ca="1">INDIRECT("Data!A" &amp; 661)</f>
        <v>0</v>
      </c>
      <c r="H666" s="21" cm="1">
        <f t="array" aca="1" ref="H666" ca="1">INDIRECT("Data!B" &amp; 661)</f>
        <v>0</v>
      </c>
      <c r="I666" s="21" cm="1">
        <f t="array" aca="1" ref="I666" ca="1">INDIRECT("Data!C" &amp; 661)</f>
        <v>0</v>
      </c>
      <c r="J666" cm="1">
        <f t="array" aca="1" ref="J666" ca="1">INDIRECT("Data!D" &amp; 661)</f>
        <v>0</v>
      </c>
      <c r="K666" cm="1">
        <f t="array" aca="1" ref="K666" ca="1">INDIRECT("Data!E" &amp; 661)</f>
        <v>0</v>
      </c>
      <c r="L666" cm="1">
        <f t="array" aca="1" ref="L666" ca="1">INDIRECT("Data!F" &amp; 661)</f>
        <v>0</v>
      </c>
      <c r="M666" cm="1">
        <f t="array" aca="1" ref="M666" ca="1">INDIRECT("Data!G" &amp; 661)</f>
        <v>0</v>
      </c>
      <c r="N666" cm="1">
        <f t="array" aca="1" ref="N666" ca="1">INDIRECT("Data!H" &amp; 661)</f>
        <v>0</v>
      </c>
      <c r="O666" cm="1">
        <f t="array" aca="1" ref="O666" ca="1">INDIRECT("Data!I" &amp; 661)</f>
        <v>0</v>
      </c>
      <c r="P666" s="21" cm="1">
        <f t="array" aca="1" ref="P666" ca="1">INDIRECT("Data!J" &amp; 661)</f>
        <v>0</v>
      </c>
      <c r="Q666" cm="1">
        <f t="array" aca="1" ref="Q666" ca="1">INDIRECT("Data!K" &amp; 661)</f>
        <v>0</v>
      </c>
      <c r="R666" cm="1">
        <f t="array" aca="1" ref="R666" ca="1">INDIRECT("Data!L" &amp; 661)</f>
        <v>0</v>
      </c>
      <c r="S666" cm="1">
        <f t="array" aca="1" ref="S666" ca="1">INDIRECT("Data!M" &amp; 661)</f>
        <v>0</v>
      </c>
      <c r="T666" cm="1">
        <f t="array" aca="1" ref="T666" ca="1">INDIRECT("Data!N" &amp; 661)</f>
        <v>0</v>
      </c>
      <c r="U666" cm="1">
        <f t="array" aca="1" ref="U666" ca="1">INDIRECT("Data!O" &amp; 661)</f>
        <v>0</v>
      </c>
      <c r="V666" cm="1">
        <f t="array" aca="1" ref="V666" ca="1">INDIRECT("Data!P" &amp; 661)</f>
        <v>0</v>
      </c>
    </row>
    <row r="667" spans="7:22" x14ac:dyDescent="0.25">
      <c r="G667" cm="1">
        <f t="array" aca="1" ref="G667" ca="1">INDIRECT("Data!A" &amp; 662)</f>
        <v>0</v>
      </c>
      <c r="H667" s="21" cm="1">
        <f t="array" aca="1" ref="H667" ca="1">INDIRECT("Data!B" &amp; 662)</f>
        <v>0</v>
      </c>
      <c r="I667" s="21" cm="1">
        <f t="array" aca="1" ref="I667" ca="1">INDIRECT("Data!C" &amp; 662)</f>
        <v>0</v>
      </c>
      <c r="J667" cm="1">
        <f t="array" aca="1" ref="J667" ca="1">INDIRECT("Data!D" &amp; 662)</f>
        <v>0</v>
      </c>
      <c r="K667" cm="1">
        <f t="array" aca="1" ref="K667" ca="1">INDIRECT("Data!E" &amp; 662)</f>
        <v>0</v>
      </c>
      <c r="L667" cm="1">
        <f t="array" aca="1" ref="L667" ca="1">INDIRECT("Data!F" &amp; 662)</f>
        <v>0</v>
      </c>
      <c r="M667" cm="1">
        <f t="array" aca="1" ref="M667" ca="1">INDIRECT("Data!G" &amp; 662)</f>
        <v>0</v>
      </c>
      <c r="N667" cm="1">
        <f t="array" aca="1" ref="N667" ca="1">INDIRECT("Data!H" &amp; 662)</f>
        <v>0</v>
      </c>
      <c r="O667" cm="1">
        <f t="array" aca="1" ref="O667" ca="1">INDIRECT("Data!I" &amp; 662)</f>
        <v>0</v>
      </c>
      <c r="P667" s="21" cm="1">
        <f t="array" aca="1" ref="P667" ca="1">INDIRECT("Data!J" &amp; 662)</f>
        <v>0</v>
      </c>
      <c r="Q667" cm="1">
        <f t="array" aca="1" ref="Q667" ca="1">INDIRECT("Data!K" &amp; 662)</f>
        <v>0</v>
      </c>
      <c r="R667" cm="1">
        <f t="array" aca="1" ref="R667" ca="1">INDIRECT("Data!L" &amp; 662)</f>
        <v>0</v>
      </c>
      <c r="S667" cm="1">
        <f t="array" aca="1" ref="S667" ca="1">INDIRECT("Data!M" &amp; 662)</f>
        <v>0</v>
      </c>
      <c r="T667" cm="1">
        <f t="array" aca="1" ref="T667" ca="1">INDIRECT("Data!N" &amp; 662)</f>
        <v>0</v>
      </c>
      <c r="U667" cm="1">
        <f t="array" aca="1" ref="U667" ca="1">INDIRECT("Data!O" &amp; 662)</f>
        <v>0</v>
      </c>
      <c r="V667" cm="1">
        <f t="array" aca="1" ref="V667" ca="1">INDIRECT("Data!P" &amp; 662)</f>
        <v>0</v>
      </c>
    </row>
    <row r="668" spans="7:22" x14ac:dyDescent="0.25">
      <c r="G668" cm="1">
        <f t="array" aca="1" ref="G668" ca="1">INDIRECT("Data!A" &amp; 663)</f>
        <v>0</v>
      </c>
      <c r="H668" s="21" cm="1">
        <f t="array" aca="1" ref="H668" ca="1">INDIRECT("Data!B" &amp; 663)</f>
        <v>0</v>
      </c>
      <c r="I668" s="21" cm="1">
        <f t="array" aca="1" ref="I668" ca="1">INDIRECT("Data!C" &amp; 663)</f>
        <v>0</v>
      </c>
      <c r="J668" cm="1">
        <f t="array" aca="1" ref="J668" ca="1">INDIRECT("Data!D" &amp; 663)</f>
        <v>0</v>
      </c>
      <c r="K668" cm="1">
        <f t="array" aca="1" ref="K668" ca="1">INDIRECT("Data!E" &amp; 663)</f>
        <v>0</v>
      </c>
      <c r="L668" cm="1">
        <f t="array" aca="1" ref="L668" ca="1">INDIRECT("Data!F" &amp; 663)</f>
        <v>0</v>
      </c>
      <c r="M668" cm="1">
        <f t="array" aca="1" ref="M668" ca="1">INDIRECT("Data!G" &amp; 663)</f>
        <v>0</v>
      </c>
      <c r="N668" cm="1">
        <f t="array" aca="1" ref="N668" ca="1">INDIRECT("Data!H" &amp; 663)</f>
        <v>0</v>
      </c>
      <c r="O668" cm="1">
        <f t="array" aca="1" ref="O668" ca="1">INDIRECT("Data!I" &amp; 663)</f>
        <v>0</v>
      </c>
      <c r="P668" s="21" cm="1">
        <f t="array" aca="1" ref="P668" ca="1">INDIRECT("Data!J" &amp; 663)</f>
        <v>0</v>
      </c>
      <c r="Q668" cm="1">
        <f t="array" aca="1" ref="Q668" ca="1">INDIRECT("Data!K" &amp; 663)</f>
        <v>0</v>
      </c>
      <c r="R668" cm="1">
        <f t="array" aca="1" ref="R668" ca="1">INDIRECT("Data!L" &amp; 663)</f>
        <v>0</v>
      </c>
      <c r="S668" cm="1">
        <f t="array" aca="1" ref="S668" ca="1">INDIRECT("Data!M" &amp; 663)</f>
        <v>0</v>
      </c>
      <c r="T668" cm="1">
        <f t="array" aca="1" ref="T668" ca="1">INDIRECT("Data!N" &amp; 663)</f>
        <v>0</v>
      </c>
      <c r="U668" cm="1">
        <f t="array" aca="1" ref="U668" ca="1">INDIRECT("Data!O" &amp; 663)</f>
        <v>0</v>
      </c>
      <c r="V668" cm="1">
        <f t="array" aca="1" ref="V668" ca="1">INDIRECT("Data!P" &amp; 663)</f>
        <v>0</v>
      </c>
    </row>
    <row r="669" spans="7:22" x14ac:dyDescent="0.25">
      <c r="G669" cm="1">
        <f t="array" aca="1" ref="G669" ca="1">INDIRECT("Data!A" &amp; 664)</f>
        <v>0</v>
      </c>
      <c r="H669" s="21" cm="1">
        <f t="array" aca="1" ref="H669" ca="1">INDIRECT("Data!B" &amp; 664)</f>
        <v>0</v>
      </c>
      <c r="I669" s="21" cm="1">
        <f t="array" aca="1" ref="I669" ca="1">INDIRECT("Data!C" &amp; 664)</f>
        <v>0</v>
      </c>
      <c r="J669" cm="1">
        <f t="array" aca="1" ref="J669" ca="1">INDIRECT("Data!D" &amp; 664)</f>
        <v>0</v>
      </c>
      <c r="K669" cm="1">
        <f t="array" aca="1" ref="K669" ca="1">INDIRECT("Data!E" &amp; 664)</f>
        <v>0</v>
      </c>
      <c r="L669" cm="1">
        <f t="array" aca="1" ref="L669" ca="1">INDIRECT("Data!F" &amp; 664)</f>
        <v>0</v>
      </c>
      <c r="M669" cm="1">
        <f t="array" aca="1" ref="M669" ca="1">INDIRECT("Data!G" &amp; 664)</f>
        <v>0</v>
      </c>
      <c r="N669" cm="1">
        <f t="array" aca="1" ref="N669" ca="1">INDIRECT("Data!H" &amp; 664)</f>
        <v>0</v>
      </c>
      <c r="O669" cm="1">
        <f t="array" aca="1" ref="O669" ca="1">INDIRECT("Data!I" &amp; 664)</f>
        <v>0</v>
      </c>
      <c r="P669" s="21" cm="1">
        <f t="array" aca="1" ref="P669" ca="1">INDIRECT("Data!J" &amp; 664)</f>
        <v>0</v>
      </c>
      <c r="Q669" cm="1">
        <f t="array" aca="1" ref="Q669" ca="1">INDIRECT("Data!K" &amp; 664)</f>
        <v>0</v>
      </c>
      <c r="R669" cm="1">
        <f t="array" aca="1" ref="R669" ca="1">INDIRECT("Data!L" &amp; 664)</f>
        <v>0</v>
      </c>
      <c r="S669" cm="1">
        <f t="array" aca="1" ref="S669" ca="1">INDIRECT("Data!M" &amp; 664)</f>
        <v>0</v>
      </c>
      <c r="T669" cm="1">
        <f t="array" aca="1" ref="T669" ca="1">INDIRECT("Data!N" &amp; 664)</f>
        <v>0</v>
      </c>
      <c r="U669" cm="1">
        <f t="array" aca="1" ref="U669" ca="1">INDIRECT("Data!O" &amp; 664)</f>
        <v>0</v>
      </c>
      <c r="V669" cm="1">
        <f t="array" aca="1" ref="V669" ca="1">INDIRECT("Data!P" &amp; 664)</f>
        <v>0</v>
      </c>
    </row>
    <row r="670" spans="7:22" x14ac:dyDescent="0.25">
      <c r="G670" cm="1">
        <f t="array" aca="1" ref="G670" ca="1">INDIRECT("Data!A" &amp; 665)</f>
        <v>0</v>
      </c>
      <c r="H670" s="21" cm="1">
        <f t="array" aca="1" ref="H670" ca="1">INDIRECT("Data!B" &amp; 665)</f>
        <v>0</v>
      </c>
      <c r="I670" s="21" cm="1">
        <f t="array" aca="1" ref="I670" ca="1">INDIRECT("Data!C" &amp; 665)</f>
        <v>0</v>
      </c>
      <c r="J670" cm="1">
        <f t="array" aca="1" ref="J670" ca="1">INDIRECT("Data!D" &amp; 665)</f>
        <v>0</v>
      </c>
      <c r="K670" cm="1">
        <f t="array" aca="1" ref="K670" ca="1">INDIRECT("Data!E" &amp; 665)</f>
        <v>0</v>
      </c>
      <c r="L670" cm="1">
        <f t="array" aca="1" ref="L670" ca="1">INDIRECT("Data!F" &amp; 665)</f>
        <v>0</v>
      </c>
      <c r="M670" cm="1">
        <f t="array" aca="1" ref="M670" ca="1">INDIRECT("Data!G" &amp; 665)</f>
        <v>0</v>
      </c>
      <c r="N670" cm="1">
        <f t="array" aca="1" ref="N670" ca="1">INDIRECT("Data!H" &amp; 665)</f>
        <v>0</v>
      </c>
      <c r="O670" cm="1">
        <f t="array" aca="1" ref="O670" ca="1">INDIRECT("Data!I" &amp; 665)</f>
        <v>0</v>
      </c>
      <c r="P670" s="21" cm="1">
        <f t="array" aca="1" ref="P670" ca="1">INDIRECT("Data!J" &amp; 665)</f>
        <v>0</v>
      </c>
      <c r="Q670" cm="1">
        <f t="array" aca="1" ref="Q670" ca="1">INDIRECT("Data!K" &amp; 665)</f>
        <v>0</v>
      </c>
      <c r="R670" cm="1">
        <f t="array" aca="1" ref="R670" ca="1">INDIRECT("Data!L" &amp; 665)</f>
        <v>0</v>
      </c>
      <c r="S670" cm="1">
        <f t="array" aca="1" ref="S670" ca="1">INDIRECT("Data!M" &amp; 665)</f>
        <v>0</v>
      </c>
      <c r="T670" cm="1">
        <f t="array" aca="1" ref="T670" ca="1">INDIRECT("Data!N" &amp; 665)</f>
        <v>0</v>
      </c>
      <c r="U670" cm="1">
        <f t="array" aca="1" ref="U670" ca="1">INDIRECT("Data!O" &amp; 665)</f>
        <v>0</v>
      </c>
      <c r="V670" cm="1">
        <f t="array" aca="1" ref="V670" ca="1">INDIRECT("Data!P" &amp; 665)</f>
        <v>0</v>
      </c>
    </row>
    <row r="671" spans="7:22" x14ac:dyDescent="0.25">
      <c r="G671" cm="1">
        <f t="array" aca="1" ref="G671" ca="1">INDIRECT("Data!A" &amp; 666)</f>
        <v>0</v>
      </c>
      <c r="H671" s="21" cm="1">
        <f t="array" aca="1" ref="H671" ca="1">INDIRECT("Data!B" &amp; 666)</f>
        <v>0</v>
      </c>
      <c r="I671" s="21" cm="1">
        <f t="array" aca="1" ref="I671" ca="1">INDIRECT("Data!C" &amp; 666)</f>
        <v>0</v>
      </c>
      <c r="J671" cm="1">
        <f t="array" aca="1" ref="J671" ca="1">INDIRECT("Data!D" &amp; 666)</f>
        <v>0</v>
      </c>
      <c r="K671" cm="1">
        <f t="array" aca="1" ref="K671" ca="1">INDIRECT("Data!E" &amp; 666)</f>
        <v>0</v>
      </c>
      <c r="L671" cm="1">
        <f t="array" aca="1" ref="L671" ca="1">INDIRECT("Data!F" &amp; 666)</f>
        <v>0</v>
      </c>
      <c r="M671" cm="1">
        <f t="array" aca="1" ref="M671" ca="1">INDIRECT("Data!G" &amp; 666)</f>
        <v>0</v>
      </c>
      <c r="N671" cm="1">
        <f t="array" aca="1" ref="N671" ca="1">INDIRECT("Data!H" &amp; 666)</f>
        <v>0</v>
      </c>
      <c r="O671" cm="1">
        <f t="array" aca="1" ref="O671" ca="1">INDIRECT("Data!I" &amp; 666)</f>
        <v>0</v>
      </c>
      <c r="P671" s="21" cm="1">
        <f t="array" aca="1" ref="P671" ca="1">INDIRECT("Data!J" &amp; 666)</f>
        <v>0</v>
      </c>
      <c r="Q671" cm="1">
        <f t="array" aca="1" ref="Q671" ca="1">INDIRECT("Data!K" &amp; 666)</f>
        <v>0</v>
      </c>
      <c r="R671" cm="1">
        <f t="array" aca="1" ref="R671" ca="1">INDIRECT("Data!L" &amp; 666)</f>
        <v>0</v>
      </c>
      <c r="S671" cm="1">
        <f t="array" aca="1" ref="S671" ca="1">INDIRECT("Data!M" &amp; 666)</f>
        <v>0</v>
      </c>
      <c r="T671" cm="1">
        <f t="array" aca="1" ref="T671" ca="1">INDIRECT("Data!N" &amp; 666)</f>
        <v>0</v>
      </c>
      <c r="U671" cm="1">
        <f t="array" aca="1" ref="U671" ca="1">INDIRECT("Data!O" &amp; 666)</f>
        <v>0</v>
      </c>
      <c r="V671" cm="1">
        <f t="array" aca="1" ref="V671" ca="1">INDIRECT("Data!P" &amp; 666)</f>
        <v>0</v>
      </c>
    </row>
    <row r="672" spans="7:22" x14ac:dyDescent="0.25">
      <c r="G672" cm="1">
        <f t="array" aca="1" ref="G672" ca="1">INDIRECT("Data!A" &amp; 667)</f>
        <v>0</v>
      </c>
      <c r="H672" s="21" cm="1">
        <f t="array" aca="1" ref="H672" ca="1">INDIRECT("Data!B" &amp; 667)</f>
        <v>0</v>
      </c>
      <c r="I672" s="21" cm="1">
        <f t="array" aca="1" ref="I672" ca="1">INDIRECT("Data!C" &amp; 667)</f>
        <v>0</v>
      </c>
      <c r="J672" cm="1">
        <f t="array" aca="1" ref="J672" ca="1">INDIRECT("Data!D" &amp; 667)</f>
        <v>0</v>
      </c>
      <c r="K672" cm="1">
        <f t="array" aca="1" ref="K672" ca="1">INDIRECT("Data!E" &amp; 667)</f>
        <v>0</v>
      </c>
      <c r="L672" cm="1">
        <f t="array" aca="1" ref="L672" ca="1">INDIRECT("Data!F" &amp; 667)</f>
        <v>0</v>
      </c>
      <c r="M672" cm="1">
        <f t="array" aca="1" ref="M672" ca="1">INDIRECT("Data!G" &amp; 667)</f>
        <v>0</v>
      </c>
      <c r="N672" cm="1">
        <f t="array" aca="1" ref="N672" ca="1">INDIRECT("Data!H" &amp; 667)</f>
        <v>0</v>
      </c>
      <c r="O672" cm="1">
        <f t="array" aca="1" ref="O672" ca="1">INDIRECT("Data!I" &amp; 667)</f>
        <v>0</v>
      </c>
      <c r="P672" s="21" cm="1">
        <f t="array" aca="1" ref="P672" ca="1">INDIRECT("Data!J" &amp; 667)</f>
        <v>0</v>
      </c>
      <c r="Q672" cm="1">
        <f t="array" aca="1" ref="Q672" ca="1">INDIRECT("Data!K" &amp; 667)</f>
        <v>0</v>
      </c>
      <c r="R672" cm="1">
        <f t="array" aca="1" ref="R672" ca="1">INDIRECT("Data!L" &amp; 667)</f>
        <v>0</v>
      </c>
      <c r="S672" cm="1">
        <f t="array" aca="1" ref="S672" ca="1">INDIRECT("Data!M" &amp; 667)</f>
        <v>0</v>
      </c>
      <c r="T672" cm="1">
        <f t="array" aca="1" ref="T672" ca="1">INDIRECT("Data!N" &amp; 667)</f>
        <v>0</v>
      </c>
      <c r="U672" cm="1">
        <f t="array" aca="1" ref="U672" ca="1">INDIRECT("Data!O" &amp; 667)</f>
        <v>0</v>
      </c>
      <c r="V672" cm="1">
        <f t="array" aca="1" ref="V672" ca="1">INDIRECT("Data!P" &amp; 667)</f>
        <v>0</v>
      </c>
    </row>
    <row r="673" spans="7:22" x14ac:dyDescent="0.25">
      <c r="G673" cm="1">
        <f t="array" aca="1" ref="G673" ca="1">INDIRECT("Data!A" &amp; 668)</f>
        <v>0</v>
      </c>
      <c r="H673" s="21" cm="1">
        <f t="array" aca="1" ref="H673" ca="1">INDIRECT("Data!B" &amp; 668)</f>
        <v>0</v>
      </c>
      <c r="I673" s="21" cm="1">
        <f t="array" aca="1" ref="I673" ca="1">INDIRECT("Data!C" &amp; 668)</f>
        <v>0</v>
      </c>
      <c r="J673" cm="1">
        <f t="array" aca="1" ref="J673" ca="1">INDIRECT("Data!D" &amp; 668)</f>
        <v>0</v>
      </c>
      <c r="K673" cm="1">
        <f t="array" aca="1" ref="K673" ca="1">INDIRECT("Data!E" &amp; 668)</f>
        <v>0</v>
      </c>
      <c r="L673" cm="1">
        <f t="array" aca="1" ref="L673" ca="1">INDIRECT("Data!F" &amp; 668)</f>
        <v>0</v>
      </c>
      <c r="M673" cm="1">
        <f t="array" aca="1" ref="M673" ca="1">INDIRECT("Data!G" &amp; 668)</f>
        <v>0</v>
      </c>
      <c r="N673" cm="1">
        <f t="array" aca="1" ref="N673" ca="1">INDIRECT("Data!H" &amp; 668)</f>
        <v>0</v>
      </c>
      <c r="O673" cm="1">
        <f t="array" aca="1" ref="O673" ca="1">INDIRECT("Data!I" &amp; 668)</f>
        <v>0</v>
      </c>
      <c r="P673" s="21" cm="1">
        <f t="array" aca="1" ref="P673" ca="1">INDIRECT("Data!J" &amp; 668)</f>
        <v>0</v>
      </c>
      <c r="Q673" cm="1">
        <f t="array" aca="1" ref="Q673" ca="1">INDIRECT("Data!K" &amp; 668)</f>
        <v>0</v>
      </c>
      <c r="R673" cm="1">
        <f t="array" aca="1" ref="R673" ca="1">INDIRECT("Data!L" &amp; 668)</f>
        <v>0</v>
      </c>
      <c r="S673" cm="1">
        <f t="array" aca="1" ref="S673" ca="1">INDIRECT("Data!M" &amp; 668)</f>
        <v>0</v>
      </c>
      <c r="T673" cm="1">
        <f t="array" aca="1" ref="T673" ca="1">INDIRECT("Data!N" &amp; 668)</f>
        <v>0</v>
      </c>
      <c r="U673" cm="1">
        <f t="array" aca="1" ref="U673" ca="1">INDIRECT("Data!O" &amp; 668)</f>
        <v>0</v>
      </c>
      <c r="V673" cm="1">
        <f t="array" aca="1" ref="V673" ca="1">INDIRECT("Data!P" &amp; 668)</f>
        <v>0</v>
      </c>
    </row>
    <row r="674" spans="7:22" x14ac:dyDescent="0.25">
      <c r="G674" cm="1">
        <f t="array" aca="1" ref="G674" ca="1">INDIRECT("Data!A" &amp; 669)</f>
        <v>0</v>
      </c>
      <c r="H674" s="21" cm="1">
        <f t="array" aca="1" ref="H674" ca="1">INDIRECT("Data!B" &amp; 669)</f>
        <v>0</v>
      </c>
      <c r="I674" s="21" cm="1">
        <f t="array" aca="1" ref="I674" ca="1">INDIRECT("Data!C" &amp; 669)</f>
        <v>0</v>
      </c>
      <c r="J674" cm="1">
        <f t="array" aca="1" ref="J674" ca="1">INDIRECT("Data!D" &amp; 669)</f>
        <v>0</v>
      </c>
      <c r="K674" cm="1">
        <f t="array" aca="1" ref="K674" ca="1">INDIRECT("Data!E" &amp; 669)</f>
        <v>0</v>
      </c>
      <c r="L674" cm="1">
        <f t="array" aca="1" ref="L674" ca="1">INDIRECT("Data!F" &amp; 669)</f>
        <v>0</v>
      </c>
      <c r="M674" cm="1">
        <f t="array" aca="1" ref="M674" ca="1">INDIRECT("Data!G" &amp; 669)</f>
        <v>0</v>
      </c>
      <c r="N674" cm="1">
        <f t="array" aca="1" ref="N674" ca="1">INDIRECT("Data!H" &amp; 669)</f>
        <v>0</v>
      </c>
      <c r="O674" cm="1">
        <f t="array" aca="1" ref="O674" ca="1">INDIRECT("Data!I" &amp; 669)</f>
        <v>0</v>
      </c>
      <c r="P674" s="21" cm="1">
        <f t="array" aca="1" ref="P674" ca="1">INDIRECT("Data!J" &amp; 669)</f>
        <v>0</v>
      </c>
      <c r="Q674" cm="1">
        <f t="array" aca="1" ref="Q674" ca="1">INDIRECT("Data!K" &amp; 669)</f>
        <v>0</v>
      </c>
      <c r="R674" cm="1">
        <f t="array" aca="1" ref="R674" ca="1">INDIRECT("Data!L" &amp; 669)</f>
        <v>0</v>
      </c>
      <c r="S674" cm="1">
        <f t="array" aca="1" ref="S674" ca="1">INDIRECT("Data!M" &amp; 669)</f>
        <v>0</v>
      </c>
      <c r="T674" cm="1">
        <f t="array" aca="1" ref="T674" ca="1">INDIRECT("Data!N" &amp; 669)</f>
        <v>0</v>
      </c>
      <c r="U674" cm="1">
        <f t="array" aca="1" ref="U674" ca="1">INDIRECT("Data!O" &amp; 669)</f>
        <v>0</v>
      </c>
      <c r="V674" cm="1">
        <f t="array" aca="1" ref="V674" ca="1">INDIRECT("Data!P" &amp; 669)</f>
        <v>0</v>
      </c>
    </row>
    <row r="675" spans="7:22" x14ac:dyDescent="0.25">
      <c r="G675" cm="1">
        <f t="array" aca="1" ref="G675" ca="1">INDIRECT("Data!A" &amp; 670)</f>
        <v>0</v>
      </c>
      <c r="H675" s="21" cm="1">
        <f t="array" aca="1" ref="H675" ca="1">INDIRECT("Data!B" &amp; 670)</f>
        <v>0</v>
      </c>
      <c r="I675" s="21" cm="1">
        <f t="array" aca="1" ref="I675" ca="1">INDIRECT("Data!C" &amp; 670)</f>
        <v>0</v>
      </c>
      <c r="J675" cm="1">
        <f t="array" aca="1" ref="J675" ca="1">INDIRECT("Data!D" &amp; 670)</f>
        <v>0</v>
      </c>
      <c r="K675" cm="1">
        <f t="array" aca="1" ref="K675" ca="1">INDIRECT("Data!E" &amp; 670)</f>
        <v>0</v>
      </c>
      <c r="L675" cm="1">
        <f t="array" aca="1" ref="L675" ca="1">INDIRECT("Data!F" &amp; 670)</f>
        <v>0</v>
      </c>
      <c r="M675" cm="1">
        <f t="array" aca="1" ref="M675" ca="1">INDIRECT("Data!G" &amp; 670)</f>
        <v>0</v>
      </c>
      <c r="N675" cm="1">
        <f t="array" aca="1" ref="N675" ca="1">INDIRECT("Data!H" &amp; 670)</f>
        <v>0</v>
      </c>
      <c r="O675" cm="1">
        <f t="array" aca="1" ref="O675" ca="1">INDIRECT("Data!I" &amp; 670)</f>
        <v>0</v>
      </c>
      <c r="P675" s="21" cm="1">
        <f t="array" aca="1" ref="P675" ca="1">INDIRECT("Data!J" &amp; 670)</f>
        <v>0</v>
      </c>
      <c r="Q675" cm="1">
        <f t="array" aca="1" ref="Q675" ca="1">INDIRECT("Data!K" &amp; 670)</f>
        <v>0</v>
      </c>
      <c r="R675" cm="1">
        <f t="array" aca="1" ref="R675" ca="1">INDIRECT("Data!L" &amp; 670)</f>
        <v>0</v>
      </c>
      <c r="S675" cm="1">
        <f t="array" aca="1" ref="S675" ca="1">INDIRECT("Data!M" &amp; 670)</f>
        <v>0</v>
      </c>
      <c r="T675" cm="1">
        <f t="array" aca="1" ref="T675" ca="1">INDIRECT("Data!N" &amp; 670)</f>
        <v>0</v>
      </c>
      <c r="U675" cm="1">
        <f t="array" aca="1" ref="U675" ca="1">INDIRECT("Data!O" &amp; 670)</f>
        <v>0</v>
      </c>
      <c r="V675" cm="1">
        <f t="array" aca="1" ref="V675" ca="1">INDIRECT("Data!P" &amp; 670)</f>
        <v>0</v>
      </c>
    </row>
    <row r="676" spans="7:22" x14ac:dyDescent="0.25">
      <c r="G676" cm="1">
        <f t="array" aca="1" ref="G676" ca="1">INDIRECT("Data!A" &amp; 671)</f>
        <v>0</v>
      </c>
      <c r="H676" s="21" cm="1">
        <f t="array" aca="1" ref="H676" ca="1">INDIRECT("Data!B" &amp; 671)</f>
        <v>0</v>
      </c>
      <c r="I676" s="21" cm="1">
        <f t="array" aca="1" ref="I676" ca="1">INDIRECT("Data!C" &amp; 671)</f>
        <v>0</v>
      </c>
      <c r="J676" cm="1">
        <f t="array" aca="1" ref="J676" ca="1">INDIRECT("Data!D" &amp; 671)</f>
        <v>0</v>
      </c>
      <c r="K676" cm="1">
        <f t="array" aca="1" ref="K676" ca="1">INDIRECT("Data!E" &amp; 671)</f>
        <v>0</v>
      </c>
      <c r="L676" cm="1">
        <f t="array" aca="1" ref="L676" ca="1">INDIRECT("Data!F" &amp; 671)</f>
        <v>0</v>
      </c>
      <c r="M676" cm="1">
        <f t="array" aca="1" ref="M676" ca="1">INDIRECT("Data!G" &amp; 671)</f>
        <v>0</v>
      </c>
      <c r="N676" cm="1">
        <f t="array" aca="1" ref="N676" ca="1">INDIRECT("Data!H" &amp; 671)</f>
        <v>0</v>
      </c>
      <c r="O676" cm="1">
        <f t="array" aca="1" ref="O676" ca="1">INDIRECT("Data!I" &amp; 671)</f>
        <v>0</v>
      </c>
      <c r="P676" s="21" cm="1">
        <f t="array" aca="1" ref="P676" ca="1">INDIRECT("Data!J" &amp; 671)</f>
        <v>0</v>
      </c>
      <c r="Q676" cm="1">
        <f t="array" aca="1" ref="Q676" ca="1">INDIRECT("Data!K" &amp; 671)</f>
        <v>0</v>
      </c>
      <c r="R676" cm="1">
        <f t="array" aca="1" ref="R676" ca="1">INDIRECT("Data!L" &amp; 671)</f>
        <v>0</v>
      </c>
      <c r="S676" cm="1">
        <f t="array" aca="1" ref="S676" ca="1">INDIRECT("Data!M" &amp; 671)</f>
        <v>0</v>
      </c>
      <c r="T676" cm="1">
        <f t="array" aca="1" ref="T676" ca="1">INDIRECT("Data!N" &amp; 671)</f>
        <v>0</v>
      </c>
      <c r="U676" cm="1">
        <f t="array" aca="1" ref="U676" ca="1">INDIRECT("Data!O" &amp; 671)</f>
        <v>0</v>
      </c>
      <c r="V676" cm="1">
        <f t="array" aca="1" ref="V676" ca="1">INDIRECT("Data!P" &amp; 671)</f>
        <v>0</v>
      </c>
    </row>
    <row r="677" spans="7:22" x14ac:dyDescent="0.25">
      <c r="G677" cm="1">
        <f t="array" aca="1" ref="G677" ca="1">INDIRECT("Data!A" &amp; 672)</f>
        <v>0</v>
      </c>
      <c r="H677" s="21" cm="1">
        <f t="array" aca="1" ref="H677" ca="1">INDIRECT("Data!B" &amp; 672)</f>
        <v>0</v>
      </c>
      <c r="I677" s="21" cm="1">
        <f t="array" aca="1" ref="I677" ca="1">INDIRECT("Data!C" &amp; 672)</f>
        <v>0</v>
      </c>
      <c r="J677" cm="1">
        <f t="array" aca="1" ref="J677" ca="1">INDIRECT("Data!D" &amp; 672)</f>
        <v>0</v>
      </c>
      <c r="K677" cm="1">
        <f t="array" aca="1" ref="K677" ca="1">INDIRECT("Data!E" &amp; 672)</f>
        <v>0</v>
      </c>
      <c r="L677" cm="1">
        <f t="array" aca="1" ref="L677" ca="1">INDIRECT("Data!F" &amp; 672)</f>
        <v>0</v>
      </c>
      <c r="M677" cm="1">
        <f t="array" aca="1" ref="M677" ca="1">INDIRECT("Data!G" &amp; 672)</f>
        <v>0</v>
      </c>
      <c r="N677" cm="1">
        <f t="array" aca="1" ref="N677" ca="1">INDIRECT("Data!H" &amp; 672)</f>
        <v>0</v>
      </c>
      <c r="O677" cm="1">
        <f t="array" aca="1" ref="O677" ca="1">INDIRECT("Data!I" &amp; 672)</f>
        <v>0</v>
      </c>
      <c r="P677" s="21" cm="1">
        <f t="array" aca="1" ref="P677" ca="1">INDIRECT("Data!J" &amp; 672)</f>
        <v>0</v>
      </c>
      <c r="Q677" cm="1">
        <f t="array" aca="1" ref="Q677" ca="1">INDIRECT("Data!K" &amp; 672)</f>
        <v>0</v>
      </c>
      <c r="R677" cm="1">
        <f t="array" aca="1" ref="R677" ca="1">INDIRECT("Data!L" &amp; 672)</f>
        <v>0</v>
      </c>
      <c r="S677" cm="1">
        <f t="array" aca="1" ref="S677" ca="1">INDIRECT("Data!M" &amp; 672)</f>
        <v>0</v>
      </c>
      <c r="T677" cm="1">
        <f t="array" aca="1" ref="T677" ca="1">INDIRECT("Data!N" &amp; 672)</f>
        <v>0</v>
      </c>
      <c r="U677" cm="1">
        <f t="array" aca="1" ref="U677" ca="1">INDIRECT("Data!O" &amp; 672)</f>
        <v>0</v>
      </c>
      <c r="V677" cm="1">
        <f t="array" aca="1" ref="V677" ca="1">INDIRECT("Data!P" &amp; 672)</f>
        <v>0</v>
      </c>
    </row>
    <row r="678" spans="7:22" x14ac:dyDescent="0.25">
      <c r="G678" cm="1">
        <f t="array" aca="1" ref="G678" ca="1">INDIRECT("Data!A" &amp; 673)</f>
        <v>0</v>
      </c>
      <c r="H678" s="21" cm="1">
        <f t="array" aca="1" ref="H678" ca="1">INDIRECT("Data!B" &amp; 673)</f>
        <v>0</v>
      </c>
      <c r="I678" s="21" cm="1">
        <f t="array" aca="1" ref="I678" ca="1">INDIRECT("Data!C" &amp; 673)</f>
        <v>0</v>
      </c>
      <c r="J678" cm="1">
        <f t="array" aca="1" ref="J678" ca="1">INDIRECT("Data!D" &amp; 673)</f>
        <v>0</v>
      </c>
      <c r="K678" cm="1">
        <f t="array" aca="1" ref="K678" ca="1">INDIRECT("Data!E" &amp; 673)</f>
        <v>0</v>
      </c>
      <c r="L678" cm="1">
        <f t="array" aca="1" ref="L678" ca="1">INDIRECT("Data!F" &amp; 673)</f>
        <v>0</v>
      </c>
      <c r="M678" cm="1">
        <f t="array" aca="1" ref="M678" ca="1">INDIRECT("Data!G" &amp; 673)</f>
        <v>0</v>
      </c>
      <c r="N678" cm="1">
        <f t="array" aca="1" ref="N678" ca="1">INDIRECT("Data!H" &amp; 673)</f>
        <v>0</v>
      </c>
      <c r="O678" cm="1">
        <f t="array" aca="1" ref="O678" ca="1">INDIRECT("Data!I" &amp; 673)</f>
        <v>0</v>
      </c>
      <c r="P678" s="21" cm="1">
        <f t="array" aca="1" ref="P678" ca="1">INDIRECT("Data!J" &amp; 673)</f>
        <v>0</v>
      </c>
      <c r="Q678" cm="1">
        <f t="array" aca="1" ref="Q678" ca="1">INDIRECT("Data!K" &amp; 673)</f>
        <v>0</v>
      </c>
      <c r="R678" cm="1">
        <f t="array" aca="1" ref="R678" ca="1">INDIRECT("Data!L" &amp; 673)</f>
        <v>0</v>
      </c>
      <c r="S678" cm="1">
        <f t="array" aca="1" ref="S678" ca="1">INDIRECT("Data!M" &amp; 673)</f>
        <v>0</v>
      </c>
      <c r="T678" cm="1">
        <f t="array" aca="1" ref="T678" ca="1">INDIRECT("Data!N" &amp; 673)</f>
        <v>0</v>
      </c>
      <c r="U678" cm="1">
        <f t="array" aca="1" ref="U678" ca="1">INDIRECT("Data!O" &amp; 673)</f>
        <v>0</v>
      </c>
      <c r="V678" cm="1">
        <f t="array" aca="1" ref="V678" ca="1">INDIRECT("Data!P" &amp; 673)</f>
        <v>0</v>
      </c>
    </row>
    <row r="679" spans="7:22" x14ac:dyDescent="0.25">
      <c r="G679" cm="1">
        <f t="array" aca="1" ref="G679" ca="1">INDIRECT("Data!A" &amp; 674)</f>
        <v>0</v>
      </c>
      <c r="H679" s="21" cm="1">
        <f t="array" aca="1" ref="H679" ca="1">INDIRECT("Data!B" &amp; 674)</f>
        <v>0</v>
      </c>
      <c r="I679" s="21" cm="1">
        <f t="array" aca="1" ref="I679" ca="1">INDIRECT("Data!C" &amp; 674)</f>
        <v>0</v>
      </c>
      <c r="J679" cm="1">
        <f t="array" aca="1" ref="J679" ca="1">INDIRECT("Data!D" &amp; 674)</f>
        <v>0</v>
      </c>
      <c r="K679" cm="1">
        <f t="array" aca="1" ref="K679" ca="1">INDIRECT("Data!E" &amp; 674)</f>
        <v>0</v>
      </c>
      <c r="L679" cm="1">
        <f t="array" aca="1" ref="L679" ca="1">INDIRECT("Data!F" &amp; 674)</f>
        <v>0</v>
      </c>
      <c r="M679" cm="1">
        <f t="array" aca="1" ref="M679" ca="1">INDIRECT("Data!G" &amp; 674)</f>
        <v>0</v>
      </c>
      <c r="N679" cm="1">
        <f t="array" aca="1" ref="N679" ca="1">INDIRECT("Data!H" &amp; 674)</f>
        <v>0</v>
      </c>
      <c r="O679" cm="1">
        <f t="array" aca="1" ref="O679" ca="1">INDIRECT("Data!I" &amp; 674)</f>
        <v>0</v>
      </c>
      <c r="P679" s="21" cm="1">
        <f t="array" aca="1" ref="P679" ca="1">INDIRECT("Data!J" &amp; 674)</f>
        <v>0</v>
      </c>
      <c r="Q679" cm="1">
        <f t="array" aca="1" ref="Q679" ca="1">INDIRECT("Data!K" &amp; 674)</f>
        <v>0</v>
      </c>
      <c r="R679" cm="1">
        <f t="array" aca="1" ref="R679" ca="1">INDIRECT("Data!L" &amp; 674)</f>
        <v>0</v>
      </c>
      <c r="S679" cm="1">
        <f t="array" aca="1" ref="S679" ca="1">INDIRECT("Data!M" &amp; 674)</f>
        <v>0</v>
      </c>
      <c r="T679" cm="1">
        <f t="array" aca="1" ref="T679" ca="1">INDIRECT("Data!N" &amp; 674)</f>
        <v>0</v>
      </c>
      <c r="U679" cm="1">
        <f t="array" aca="1" ref="U679" ca="1">INDIRECT("Data!O" &amp; 674)</f>
        <v>0</v>
      </c>
      <c r="V679" cm="1">
        <f t="array" aca="1" ref="V679" ca="1">INDIRECT("Data!P" &amp; 674)</f>
        <v>0</v>
      </c>
    </row>
    <row r="680" spans="7:22" x14ac:dyDescent="0.25">
      <c r="G680" cm="1">
        <f t="array" aca="1" ref="G680" ca="1">INDIRECT("Data!A" &amp; 675)</f>
        <v>0</v>
      </c>
      <c r="H680" s="21" cm="1">
        <f t="array" aca="1" ref="H680" ca="1">INDIRECT("Data!B" &amp; 675)</f>
        <v>0</v>
      </c>
      <c r="I680" s="21" cm="1">
        <f t="array" aca="1" ref="I680" ca="1">INDIRECT("Data!C" &amp; 675)</f>
        <v>0</v>
      </c>
      <c r="J680" cm="1">
        <f t="array" aca="1" ref="J680" ca="1">INDIRECT("Data!D" &amp; 675)</f>
        <v>0</v>
      </c>
      <c r="K680" cm="1">
        <f t="array" aca="1" ref="K680" ca="1">INDIRECT("Data!E" &amp; 675)</f>
        <v>0</v>
      </c>
      <c r="L680" cm="1">
        <f t="array" aca="1" ref="L680" ca="1">INDIRECT("Data!F" &amp; 675)</f>
        <v>0</v>
      </c>
      <c r="M680" cm="1">
        <f t="array" aca="1" ref="M680" ca="1">INDIRECT("Data!G" &amp; 675)</f>
        <v>0</v>
      </c>
      <c r="N680" cm="1">
        <f t="array" aca="1" ref="N680" ca="1">INDIRECT("Data!H" &amp; 675)</f>
        <v>0</v>
      </c>
      <c r="O680" cm="1">
        <f t="array" aca="1" ref="O680" ca="1">INDIRECT("Data!I" &amp; 675)</f>
        <v>0</v>
      </c>
      <c r="P680" s="21" cm="1">
        <f t="array" aca="1" ref="P680" ca="1">INDIRECT("Data!J" &amp; 675)</f>
        <v>0</v>
      </c>
      <c r="Q680" cm="1">
        <f t="array" aca="1" ref="Q680" ca="1">INDIRECT("Data!K" &amp; 675)</f>
        <v>0</v>
      </c>
      <c r="R680" cm="1">
        <f t="array" aca="1" ref="R680" ca="1">INDIRECT("Data!L" &amp; 675)</f>
        <v>0</v>
      </c>
      <c r="S680" cm="1">
        <f t="array" aca="1" ref="S680" ca="1">INDIRECT("Data!M" &amp; 675)</f>
        <v>0</v>
      </c>
      <c r="T680" cm="1">
        <f t="array" aca="1" ref="T680" ca="1">INDIRECT("Data!N" &amp; 675)</f>
        <v>0</v>
      </c>
      <c r="U680" cm="1">
        <f t="array" aca="1" ref="U680" ca="1">INDIRECT("Data!O" &amp; 675)</f>
        <v>0</v>
      </c>
      <c r="V680" cm="1">
        <f t="array" aca="1" ref="V680" ca="1">INDIRECT("Data!P" &amp; 675)</f>
        <v>0</v>
      </c>
    </row>
    <row r="681" spans="7:22" x14ac:dyDescent="0.25">
      <c r="G681" cm="1">
        <f t="array" aca="1" ref="G681" ca="1">INDIRECT("Data!A" &amp; 676)</f>
        <v>0</v>
      </c>
      <c r="H681" s="21" cm="1">
        <f t="array" aca="1" ref="H681" ca="1">INDIRECT("Data!B" &amp; 676)</f>
        <v>0</v>
      </c>
      <c r="I681" s="21" cm="1">
        <f t="array" aca="1" ref="I681" ca="1">INDIRECT("Data!C" &amp; 676)</f>
        <v>0</v>
      </c>
      <c r="J681" cm="1">
        <f t="array" aca="1" ref="J681" ca="1">INDIRECT("Data!D" &amp; 676)</f>
        <v>0</v>
      </c>
      <c r="K681" cm="1">
        <f t="array" aca="1" ref="K681" ca="1">INDIRECT("Data!E" &amp; 676)</f>
        <v>0</v>
      </c>
      <c r="L681" cm="1">
        <f t="array" aca="1" ref="L681" ca="1">INDIRECT("Data!F" &amp; 676)</f>
        <v>0</v>
      </c>
      <c r="M681" cm="1">
        <f t="array" aca="1" ref="M681" ca="1">INDIRECT("Data!G" &amp; 676)</f>
        <v>0</v>
      </c>
      <c r="N681" cm="1">
        <f t="array" aca="1" ref="N681" ca="1">INDIRECT("Data!H" &amp; 676)</f>
        <v>0</v>
      </c>
      <c r="O681" cm="1">
        <f t="array" aca="1" ref="O681" ca="1">INDIRECT("Data!I" &amp; 676)</f>
        <v>0</v>
      </c>
      <c r="P681" s="21" cm="1">
        <f t="array" aca="1" ref="P681" ca="1">INDIRECT("Data!J" &amp; 676)</f>
        <v>0</v>
      </c>
      <c r="Q681" cm="1">
        <f t="array" aca="1" ref="Q681" ca="1">INDIRECT("Data!K" &amp; 676)</f>
        <v>0</v>
      </c>
      <c r="R681" cm="1">
        <f t="array" aca="1" ref="R681" ca="1">INDIRECT("Data!L" &amp; 676)</f>
        <v>0</v>
      </c>
      <c r="S681" cm="1">
        <f t="array" aca="1" ref="S681" ca="1">INDIRECT("Data!M" &amp; 676)</f>
        <v>0</v>
      </c>
      <c r="T681" cm="1">
        <f t="array" aca="1" ref="T681" ca="1">INDIRECT("Data!N" &amp; 676)</f>
        <v>0</v>
      </c>
      <c r="U681" cm="1">
        <f t="array" aca="1" ref="U681" ca="1">INDIRECT("Data!O" &amp; 676)</f>
        <v>0</v>
      </c>
      <c r="V681" cm="1">
        <f t="array" aca="1" ref="V681" ca="1">INDIRECT("Data!P" &amp; 676)</f>
        <v>0</v>
      </c>
    </row>
    <row r="682" spans="7:22" x14ac:dyDescent="0.25">
      <c r="G682" cm="1">
        <f t="array" aca="1" ref="G682" ca="1">INDIRECT("Data!A" &amp; 677)</f>
        <v>0</v>
      </c>
      <c r="H682" s="21" cm="1">
        <f t="array" aca="1" ref="H682" ca="1">INDIRECT("Data!B" &amp; 677)</f>
        <v>0</v>
      </c>
      <c r="I682" s="21" cm="1">
        <f t="array" aca="1" ref="I682" ca="1">INDIRECT("Data!C" &amp; 677)</f>
        <v>0</v>
      </c>
      <c r="J682" cm="1">
        <f t="array" aca="1" ref="J682" ca="1">INDIRECT("Data!D" &amp; 677)</f>
        <v>0</v>
      </c>
      <c r="K682" cm="1">
        <f t="array" aca="1" ref="K682" ca="1">INDIRECT("Data!E" &amp; 677)</f>
        <v>0</v>
      </c>
      <c r="L682" cm="1">
        <f t="array" aca="1" ref="L682" ca="1">INDIRECT("Data!F" &amp; 677)</f>
        <v>0</v>
      </c>
      <c r="M682" cm="1">
        <f t="array" aca="1" ref="M682" ca="1">INDIRECT("Data!G" &amp; 677)</f>
        <v>0</v>
      </c>
      <c r="N682" cm="1">
        <f t="array" aca="1" ref="N682" ca="1">INDIRECT("Data!H" &amp; 677)</f>
        <v>0</v>
      </c>
      <c r="O682" cm="1">
        <f t="array" aca="1" ref="O682" ca="1">INDIRECT("Data!I" &amp; 677)</f>
        <v>0</v>
      </c>
      <c r="P682" s="21" cm="1">
        <f t="array" aca="1" ref="P682" ca="1">INDIRECT("Data!J" &amp; 677)</f>
        <v>0</v>
      </c>
      <c r="Q682" cm="1">
        <f t="array" aca="1" ref="Q682" ca="1">INDIRECT("Data!K" &amp; 677)</f>
        <v>0</v>
      </c>
      <c r="R682" cm="1">
        <f t="array" aca="1" ref="R682" ca="1">INDIRECT("Data!L" &amp; 677)</f>
        <v>0</v>
      </c>
      <c r="S682" cm="1">
        <f t="array" aca="1" ref="S682" ca="1">INDIRECT("Data!M" &amp; 677)</f>
        <v>0</v>
      </c>
      <c r="T682" cm="1">
        <f t="array" aca="1" ref="T682" ca="1">INDIRECT("Data!N" &amp; 677)</f>
        <v>0</v>
      </c>
      <c r="U682" cm="1">
        <f t="array" aca="1" ref="U682" ca="1">INDIRECT("Data!O" &amp; 677)</f>
        <v>0</v>
      </c>
      <c r="V682" cm="1">
        <f t="array" aca="1" ref="V682" ca="1">INDIRECT("Data!P" &amp; 677)</f>
        <v>0</v>
      </c>
    </row>
    <row r="683" spans="7:22" x14ac:dyDescent="0.25">
      <c r="G683" cm="1">
        <f t="array" aca="1" ref="G683" ca="1">INDIRECT("Data!A" &amp; 678)</f>
        <v>0</v>
      </c>
      <c r="H683" s="21" cm="1">
        <f t="array" aca="1" ref="H683" ca="1">INDIRECT("Data!B" &amp; 678)</f>
        <v>0</v>
      </c>
      <c r="I683" s="21" cm="1">
        <f t="array" aca="1" ref="I683" ca="1">INDIRECT("Data!C" &amp; 678)</f>
        <v>0</v>
      </c>
      <c r="J683" cm="1">
        <f t="array" aca="1" ref="J683" ca="1">INDIRECT("Data!D" &amp; 678)</f>
        <v>0</v>
      </c>
      <c r="K683" cm="1">
        <f t="array" aca="1" ref="K683" ca="1">INDIRECT("Data!E" &amp; 678)</f>
        <v>0</v>
      </c>
      <c r="L683" cm="1">
        <f t="array" aca="1" ref="L683" ca="1">INDIRECT("Data!F" &amp; 678)</f>
        <v>0</v>
      </c>
      <c r="M683" cm="1">
        <f t="array" aca="1" ref="M683" ca="1">INDIRECT("Data!G" &amp; 678)</f>
        <v>0</v>
      </c>
      <c r="N683" cm="1">
        <f t="array" aca="1" ref="N683" ca="1">INDIRECT("Data!H" &amp; 678)</f>
        <v>0</v>
      </c>
      <c r="O683" cm="1">
        <f t="array" aca="1" ref="O683" ca="1">INDIRECT("Data!I" &amp; 678)</f>
        <v>0</v>
      </c>
      <c r="P683" s="21" cm="1">
        <f t="array" aca="1" ref="P683" ca="1">INDIRECT("Data!J" &amp; 678)</f>
        <v>0</v>
      </c>
      <c r="Q683" cm="1">
        <f t="array" aca="1" ref="Q683" ca="1">INDIRECT("Data!K" &amp; 678)</f>
        <v>0</v>
      </c>
      <c r="R683" cm="1">
        <f t="array" aca="1" ref="R683" ca="1">INDIRECT("Data!L" &amp; 678)</f>
        <v>0</v>
      </c>
      <c r="S683" cm="1">
        <f t="array" aca="1" ref="S683" ca="1">INDIRECT("Data!M" &amp; 678)</f>
        <v>0</v>
      </c>
      <c r="T683" cm="1">
        <f t="array" aca="1" ref="T683" ca="1">INDIRECT("Data!N" &amp; 678)</f>
        <v>0</v>
      </c>
      <c r="U683" cm="1">
        <f t="array" aca="1" ref="U683" ca="1">INDIRECT("Data!O" &amp; 678)</f>
        <v>0</v>
      </c>
      <c r="V683" cm="1">
        <f t="array" aca="1" ref="V683" ca="1">INDIRECT("Data!P" &amp; 678)</f>
        <v>0</v>
      </c>
    </row>
    <row r="684" spans="7:22" x14ac:dyDescent="0.25">
      <c r="G684" cm="1">
        <f t="array" aca="1" ref="G684" ca="1">INDIRECT("Data!A" &amp; 679)</f>
        <v>0</v>
      </c>
      <c r="H684" s="21" cm="1">
        <f t="array" aca="1" ref="H684" ca="1">INDIRECT("Data!B" &amp; 679)</f>
        <v>0</v>
      </c>
      <c r="I684" s="21" cm="1">
        <f t="array" aca="1" ref="I684" ca="1">INDIRECT("Data!C" &amp; 679)</f>
        <v>0</v>
      </c>
      <c r="J684" cm="1">
        <f t="array" aca="1" ref="J684" ca="1">INDIRECT("Data!D" &amp; 679)</f>
        <v>0</v>
      </c>
      <c r="K684" cm="1">
        <f t="array" aca="1" ref="K684" ca="1">INDIRECT("Data!E" &amp; 679)</f>
        <v>0</v>
      </c>
      <c r="L684" cm="1">
        <f t="array" aca="1" ref="L684" ca="1">INDIRECT("Data!F" &amp; 679)</f>
        <v>0</v>
      </c>
      <c r="M684" cm="1">
        <f t="array" aca="1" ref="M684" ca="1">INDIRECT("Data!G" &amp; 679)</f>
        <v>0</v>
      </c>
      <c r="N684" cm="1">
        <f t="array" aca="1" ref="N684" ca="1">INDIRECT("Data!H" &amp; 679)</f>
        <v>0</v>
      </c>
      <c r="O684" cm="1">
        <f t="array" aca="1" ref="O684" ca="1">INDIRECT("Data!I" &amp; 679)</f>
        <v>0</v>
      </c>
      <c r="P684" s="21" cm="1">
        <f t="array" aca="1" ref="P684" ca="1">INDIRECT("Data!J" &amp; 679)</f>
        <v>0</v>
      </c>
      <c r="Q684" cm="1">
        <f t="array" aca="1" ref="Q684" ca="1">INDIRECT("Data!K" &amp; 679)</f>
        <v>0</v>
      </c>
      <c r="R684" cm="1">
        <f t="array" aca="1" ref="R684" ca="1">INDIRECT("Data!L" &amp; 679)</f>
        <v>0</v>
      </c>
      <c r="S684" cm="1">
        <f t="array" aca="1" ref="S684" ca="1">INDIRECT("Data!M" &amp; 679)</f>
        <v>0</v>
      </c>
      <c r="T684" cm="1">
        <f t="array" aca="1" ref="T684" ca="1">INDIRECT("Data!N" &amp; 679)</f>
        <v>0</v>
      </c>
      <c r="U684" cm="1">
        <f t="array" aca="1" ref="U684" ca="1">INDIRECT("Data!O" &amp; 679)</f>
        <v>0</v>
      </c>
      <c r="V684" cm="1">
        <f t="array" aca="1" ref="V684" ca="1">INDIRECT("Data!P" &amp; 679)</f>
        <v>0</v>
      </c>
    </row>
    <row r="685" spans="7:22" x14ac:dyDescent="0.25">
      <c r="G685" cm="1">
        <f t="array" aca="1" ref="G685" ca="1">INDIRECT("Data!A" &amp; 680)</f>
        <v>0</v>
      </c>
      <c r="H685" s="21" cm="1">
        <f t="array" aca="1" ref="H685" ca="1">INDIRECT("Data!B" &amp; 680)</f>
        <v>0</v>
      </c>
      <c r="I685" s="21" cm="1">
        <f t="array" aca="1" ref="I685" ca="1">INDIRECT("Data!C" &amp; 680)</f>
        <v>0</v>
      </c>
      <c r="J685" cm="1">
        <f t="array" aca="1" ref="J685" ca="1">INDIRECT("Data!D" &amp; 680)</f>
        <v>0</v>
      </c>
      <c r="K685" cm="1">
        <f t="array" aca="1" ref="K685" ca="1">INDIRECT("Data!E" &amp; 680)</f>
        <v>0</v>
      </c>
      <c r="L685" cm="1">
        <f t="array" aca="1" ref="L685" ca="1">INDIRECT("Data!F" &amp; 680)</f>
        <v>0</v>
      </c>
      <c r="M685" cm="1">
        <f t="array" aca="1" ref="M685" ca="1">INDIRECT("Data!G" &amp; 680)</f>
        <v>0</v>
      </c>
      <c r="N685" cm="1">
        <f t="array" aca="1" ref="N685" ca="1">INDIRECT("Data!H" &amp; 680)</f>
        <v>0</v>
      </c>
      <c r="O685" cm="1">
        <f t="array" aca="1" ref="O685" ca="1">INDIRECT("Data!I" &amp; 680)</f>
        <v>0</v>
      </c>
      <c r="P685" s="21" cm="1">
        <f t="array" aca="1" ref="P685" ca="1">INDIRECT("Data!J" &amp; 680)</f>
        <v>0</v>
      </c>
      <c r="Q685" cm="1">
        <f t="array" aca="1" ref="Q685" ca="1">INDIRECT("Data!K" &amp; 680)</f>
        <v>0</v>
      </c>
      <c r="R685" cm="1">
        <f t="array" aca="1" ref="R685" ca="1">INDIRECT("Data!L" &amp; 680)</f>
        <v>0</v>
      </c>
      <c r="S685" cm="1">
        <f t="array" aca="1" ref="S685" ca="1">INDIRECT("Data!M" &amp; 680)</f>
        <v>0</v>
      </c>
      <c r="T685" cm="1">
        <f t="array" aca="1" ref="T685" ca="1">INDIRECT("Data!N" &amp; 680)</f>
        <v>0</v>
      </c>
      <c r="U685" cm="1">
        <f t="array" aca="1" ref="U685" ca="1">INDIRECT("Data!O" &amp; 680)</f>
        <v>0</v>
      </c>
      <c r="V685" cm="1">
        <f t="array" aca="1" ref="V685" ca="1">INDIRECT("Data!P" &amp; 680)</f>
        <v>0</v>
      </c>
    </row>
    <row r="686" spans="7:22" x14ac:dyDescent="0.25">
      <c r="G686" cm="1">
        <f t="array" aca="1" ref="G686" ca="1">INDIRECT("Data!A" &amp; 681)</f>
        <v>0</v>
      </c>
      <c r="H686" s="21" cm="1">
        <f t="array" aca="1" ref="H686" ca="1">INDIRECT("Data!B" &amp; 681)</f>
        <v>0</v>
      </c>
      <c r="I686" s="21" cm="1">
        <f t="array" aca="1" ref="I686" ca="1">INDIRECT("Data!C" &amp; 681)</f>
        <v>0</v>
      </c>
      <c r="J686" cm="1">
        <f t="array" aca="1" ref="J686" ca="1">INDIRECT("Data!D" &amp; 681)</f>
        <v>0</v>
      </c>
      <c r="K686" cm="1">
        <f t="array" aca="1" ref="K686" ca="1">INDIRECT("Data!E" &amp; 681)</f>
        <v>0</v>
      </c>
      <c r="L686" cm="1">
        <f t="array" aca="1" ref="L686" ca="1">INDIRECT("Data!F" &amp; 681)</f>
        <v>0</v>
      </c>
      <c r="M686" cm="1">
        <f t="array" aca="1" ref="M686" ca="1">INDIRECT("Data!G" &amp; 681)</f>
        <v>0</v>
      </c>
      <c r="N686" cm="1">
        <f t="array" aca="1" ref="N686" ca="1">INDIRECT("Data!H" &amp; 681)</f>
        <v>0</v>
      </c>
      <c r="O686" cm="1">
        <f t="array" aca="1" ref="O686" ca="1">INDIRECT("Data!I" &amp; 681)</f>
        <v>0</v>
      </c>
      <c r="P686" s="21" cm="1">
        <f t="array" aca="1" ref="P686" ca="1">INDIRECT("Data!J" &amp; 681)</f>
        <v>0</v>
      </c>
      <c r="Q686" cm="1">
        <f t="array" aca="1" ref="Q686" ca="1">INDIRECT("Data!K" &amp; 681)</f>
        <v>0</v>
      </c>
      <c r="R686" cm="1">
        <f t="array" aca="1" ref="R686" ca="1">INDIRECT("Data!L" &amp; 681)</f>
        <v>0</v>
      </c>
      <c r="S686" cm="1">
        <f t="array" aca="1" ref="S686" ca="1">INDIRECT("Data!M" &amp; 681)</f>
        <v>0</v>
      </c>
      <c r="T686" cm="1">
        <f t="array" aca="1" ref="T686" ca="1">INDIRECT("Data!N" &amp; 681)</f>
        <v>0</v>
      </c>
      <c r="U686" cm="1">
        <f t="array" aca="1" ref="U686" ca="1">INDIRECT("Data!O" &amp; 681)</f>
        <v>0</v>
      </c>
      <c r="V686" cm="1">
        <f t="array" aca="1" ref="V686" ca="1">INDIRECT("Data!P" &amp; 681)</f>
        <v>0</v>
      </c>
    </row>
    <row r="687" spans="7:22" x14ac:dyDescent="0.25">
      <c r="G687" cm="1">
        <f t="array" aca="1" ref="G687" ca="1">INDIRECT("Data!A" &amp; 682)</f>
        <v>0</v>
      </c>
      <c r="H687" s="21" cm="1">
        <f t="array" aca="1" ref="H687" ca="1">INDIRECT("Data!B" &amp; 682)</f>
        <v>0</v>
      </c>
      <c r="I687" s="21" cm="1">
        <f t="array" aca="1" ref="I687" ca="1">INDIRECT("Data!C" &amp; 682)</f>
        <v>0</v>
      </c>
      <c r="J687" cm="1">
        <f t="array" aca="1" ref="J687" ca="1">INDIRECT("Data!D" &amp; 682)</f>
        <v>0</v>
      </c>
      <c r="K687" cm="1">
        <f t="array" aca="1" ref="K687" ca="1">INDIRECT("Data!E" &amp; 682)</f>
        <v>0</v>
      </c>
      <c r="L687" cm="1">
        <f t="array" aca="1" ref="L687" ca="1">INDIRECT("Data!F" &amp; 682)</f>
        <v>0</v>
      </c>
      <c r="M687" cm="1">
        <f t="array" aca="1" ref="M687" ca="1">INDIRECT("Data!G" &amp; 682)</f>
        <v>0</v>
      </c>
      <c r="N687" cm="1">
        <f t="array" aca="1" ref="N687" ca="1">INDIRECT("Data!H" &amp; 682)</f>
        <v>0</v>
      </c>
      <c r="O687" cm="1">
        <f t="array" aca="1" ref="O687" ca="1">INDIRECT("Data!I" &amp; 682)</f>
        <v>0</v>
      </c>
      <c r="P687" s="21" cm="1">
        <f t="array" aca="1" ref="P687" ca="1">INDIRECT("Data!J" &amp; 682)</f>
        <v>0</v>
      </c>
      <c r="Q687" cm="1">
        <f t="array" aca="1" ref="Q687" ca="1">INDIRECT("Data!K" &amp; 682)</f>
        <v>0</v>
      </c>
      <c r="R687" cm="1">
        <f t="array" aca="1" ref="R687" ca="1">INDIRECT("Data!L" &amp; 682)</f>
        <v>0</v>
      </c>
      <c r="S687" cm="1">
        <f t="array" aca="1" ref="S687" ca="1">INDIRECT("Data!M" &amp; 682)</f>
        <v>0</v>
      </c>
      <c r="T687" cm="1">
        <f t="array" aca="1" ref="T687" ca="1">INDIRECT("Data!N" &amp; 682)</f>
        <v>0</v>
      </c>
      <c r="U687" cm="1">
        <f t="array" aca="1" ref="U687" ca="1">INDIRECT("Data!O" &amp; 682)</f>
        <v>0</v>
      </c>
      <c r="V687" cm="1">
        <f t="array" aca="1" ref="V687" ca="1">INDIRECT("Data!P" &amp; 682)</f>
        <v>0</v>
      </c>
    </row>
    <row r="688" spans="7:22" x14ac:dyDescent="0.25">
      <c r="G688" cm="1">
        <f t="array" aca="1" ref="G688" ca="1">INDIRECT("Data!A" &amp; 683)</f>
        <v>0</v>
      </c>
      <c r="H688" s="21" cm="1">
        <f t="array" aca="1" ref="H688" ca="1">INDIRECT("Data!B" &amp; 683)</f>
        <v>0</v>
      </c>
      <c r="I688" s="21" cm="1">
        <f t="array" aca="1" ref="I688" ca="1">INDIRECT("Data!C" &amp; 683)</f>
        <v>0</v>
      </c>
      <c r="J688" cm="1">
        <f t="array" aca="1" ref="J688" ca="1">INDIRECT("Data!D" &amp; 683)</f>
        <v>0</v>
      </c>
      <c r="K688" cm="1">
        <f t="array" aca="1" ref="K688" ca="1">INDIRECT("Data!E" &amp; 683)</f>
        <v>0</v>
      </c>
      <c r="L688" cm="1">
        <f t="array" aca="1" ref="L688" ca="1">INDIRECT("Data!F" &amp; 683)</f>
        <v>0</v>
      </c>
      <c r="M688" cm="1">
        <f t="array" aca="1" ref="M688" ca="1">INDIRECT("Data!G" &amp; 683)</f>
        <v>0</v>
      </c>
      <c r="N688" cm="1">
        <f t="array" aca="1" ref="N688" ca="1">INDIRECT("Data!H" &amp; 683)</f>
        <v>0</v>
      </c>
      <c r="O688" cm="1">
        <f t="array" aca="1" ref="O688" ca="1">INDIRECT("Data!I" &amp; 683)</f>
        <v>0</v>
      </c>
      <c r="P688" s="21" cm="1">
        <f t="array" aca="1" ref="P688" ca="1">INDIRECT("Data!J" &amp; 683)</f>
        <v>0</v>
      </c>
      <c r="Q688" cm="1">
        <f t="array" aca="1" ref="Q688" ca="1">INDIRECT("Data!K" &amp; 683)</f>
        <v>0</v>
      </c>
      <c r="R688" cm="1">
        <f t="array" aca="1" ref="R688" ca="1">INDIRECT("Data!L" &amp; 683)</f>
        <v>0</v>
      </c>
      <c r="S688" cm="1">
        <f t="array" aca="1" ref="S688" ca="1">INDIRECT("Data!M" &amp; 683)</f>
        <v>0</v>
      </c>
      <c r="T688" cm="1">
        <f t="array" aca="1" ref="T688" ca="1">INDIRECT("Data!N" &amp; 683)</f>
        <v>0</v>
      </c>
      <c r="U688" cm="1">
        <f t="array" aca="1" ref="U688" ca="1">INDIRECT("Data!O" &amp; 683)</f>
        <v>0</v>
      </c>
      <c r="V688" cm="1">
        <f t="array" aca="1" ref="V688" ca="1">INDIRECT("Data!P" &amp; 683)</f>
        <v>0</v>
      </c>
    </row>
    <row r="689" spans="7:22" x14ac:dyDescent="0.25">
      <c r="G689" cm="1">
        <f t="array" aca="1" ref="G689" ca="1">INDIRECT("Data!A" &amp; 684)</f>
        <v>0</v>
      </c>
      <c r="H689" s="21" cm="1">
        <f t="array" aca="1" ref="H689" ca="1">INDIRECT("Data!B" &amp; 684)</f>
        <v>0</v>
      </c>
      <c r="I689" s="21" cm="1">
        <f t="array" aca="1" ref="I689" ca="1">INDIRECT("Data!C" &amp; 684)</f>
        <v>0</v>
      </c>
      <c r="J689" cm="1">
        <f t="array" aca="1" ref="J689" ca="1">INDIRECT("Data!D" &amp; 684)</f>
        <v>0</v>
      </c>
      <c r="K689" cm="1">
        <f t="array" aca="1" ref="K689" ca="1">INDIRECT("Data!E" &amp; 684)</f>
        <v>0</v>
      </c>
      <c r="L689" cm="1">
        <f t="array" aca="1" ref="L689" ca="1">INDIRECT("Data!F" &amp; 684)</f>
        <v>0</v>
      </c>
      <c r="M689" cm="1">
        <f t="array" aca="1" ref="M689" ca="1">INDIRECT("Data!G" &amp; 684)</f>
        <v>0</v>
      </c>
      <c r="N689" cm="1">
        <f t="array" aca="1" ref="N689" ca="1">INDIRECT("Data!H" &amp; 684)</f>
        <v>0</v>
      </c>
      <c r="O689" cm="1">
        <f t="array" aca="1" ref="O689" ca="1">INDIRECT("Data!I" &amp; 684)</f>
        <v>0</v>
      </c>
      <c r="P689" s="21" cm="1">
        <f t="array" aca="1" ref="P689" ca="1">INDIRECT("Data!J" &amp; 684)</f>
        <v>0</v>
      </c>
      <c r="Q689" cm="1">
        <f t="array" aca="1" ref="Q689" ca="1">INDIRECT("Data!K" &amp; 684)</f>
        <v>0</v>
      </c>
      <c r="R689" cm="1">
        <f t="array" aca="1" ref="R689" ca="1">INDIRECT("Data!L" &amp; 684)</f>
        <v>0</v>
      </c>
      <c r="S689" cm="1">
        <f t="array" aca="1" ref="S689" ca="1">INDIRECT("Data!M" &amp; 684)</f>
        <v>0</v>
      </c>
      <c r="T689" cm="1">
        <f t="array" aca="1" ref="T689" ca="1">INDIRECT("Data!N" &amp; 684)</f>
        <v>0</v>
      </c>
      <c r="U689" cm="1">
        <f t="array" aca="1" ref="U689" ca="1">INDIRECT("Data!O" &amp; 684)</f>
        <v>0</v>
      </c>
      <c r="V689" cm="1">
        <f t="array" aca="1" ref="V689" ca="1">INDIRECT("Data!P" &amp; 684)</f>
        <v>0</v>
      </c>
    </row>
    <row r="690" spans="7:22" x14ac:dyDescent="0.25">
      <c r="G690" cm="1">
        <f t="array" aca="1" ref="G690" ca="1">INDIRECT("Data!A" &amp; 685)</f>
        <v>0</v>
      </c>
      <c r="H690" s="21" cm="1">
        <f t="array" aca="1" ref="H690" ca="1">INDIRECT("Data!B" &amp; 685)</f>
        <v>0</v>
      </c>
      <c r="I690" s="21" cm="1">
        <f t="array" aca="1" ref="I690" ca="1">INDIRECT("Data!C" &amp; 685)</f>
        <v>0</v>
      </c>
      <c r="J690" cm="1">
        <f t="array" aca="1" ref="J690" ca="1">INDIRECT("Data!D" &amp; 685)</f>
        <v>0</v>
      </c>
      <c r="K690" cm="1">
        <f t="array" aca="1" ref="K690" ca="1">INDIRECT("Data!E" &amp; 685)</f>
        <v>0</v>
      </c>
      <c r="L690" cm="1">
        <f t="array" aca="1" ref="L690" ca="1">INDIRECT("Data!F" &amp; 685)</f>
        <v>0</v>
      </c>
      <c r="M690" cm="1">
        <f t="array" aca="1" ref="M690" ca="1">INDIRECT("Data!G" &amp; 685)</f>
        <v>0</v>
      </c>
      <c r="N690" cm="1">
        <f t="array" aca="1" ref="N690" ca="1">INDIRECT("Data!H" &amp; 685)</f>
        <v>0</v>
      </c>
      <c r="O690" cm="1">
        <f t="array" aca="1" ref="O690" ca="1">INDIRECT("Data!I" &amp; 685)</f>
        <v>0</v>
      </c>
      <c r="P690" s="21" cm="1">
        <f t="array" aca="1" ref="P690" ca="1">INDIRECT("Data!J" &amp; 685)</f>
        <v>0</v>
      </c>
      <c r="Q690" cm="1">
        <f t="array" aca="1" ref="Q690" ca="1">INDIRECT("Data!K" &amp; 685)</f>
        <v>0</v>
      </c>
      <c r="R690" cm="1">
        <f t="array" aca="1" ref="R690" ca="1">INDIRECT("Data!L" &amp; 685)</f>
        <v>0</v>
      </c>
      <c r="S690" cm="1">
        <f t="array" aca="1" ref="S690" ca="1">INDIRECT("Data!M" &amp; 685)</f>
        <v>0</v>
      </c>
      <c r="T690" cm="1">
        <f t="array" aca="1" ref="T690" ca="1">INDIRECT("Data!N" &amp; 685)</f>
        <v>0</v>
      </c>
      <c r="U690" cm="1">
        <f t="array" aca="1" ref="U690" ca="1">INDIRECT("Data!O" &amp; 685)</f>
        <v>0</v>
      </c>
      <c r="V690" cm="1">
        <f t="array" aca="1" ref="V690" ca="1">INDIRECT("Data!P" &amp; 685)</f>
        <v>0</v>
      </c>
    </row>
    <row r="691" spans="7:22" x14ac:dyDescent="0.25">
      <c r="G691" cm="1">
        <f t="array" aca="1" ref="G691" ca="1">INDIRECT("Data!A" &amp; 686)</f>
        <v>0</v>
      </c>
      <c r="H691" s="21" cm="1">
        <f t="array" aca="1" ref="H691" ca="1">INDIRECT("Data!B" &amp; 686)</f>
        <v>0</v>
      </c>
      <c r="I691" s="21" cm="1">
        <f t="array" aca="1" ref="I691" ca="1">INDIRECT("Data!C" &amp; 686)</f>
        <v>0</v>
      </c>
      <c r="J691" cm="1">
        <f t="array" aca="1" ref="J691" ca="1">INDIRECT("Data!D" &amp; 686)</f>
        <v>0</v>
      </c>
      <c r="K691" cm="1">
        <f t="array" aca="1" ref="K691" ca="1">INDIRECT("Data!E" &amp; 686)</f>
        <v>0</v>
      </c>
      <c r="L691" cm="1">
        <f t="array" aca="1" ref="L691" ca="1">INDIRECT("Data!F" &amp; 686)</f>
        <v>0</v>
      </c>
      <c r="M691" cm="1">
        <f t="array" aca="1" ref="M691" ca="1">INDIRECT("Data!G" &amp; 686)</f>
        <v>0</v>
      </c>
      <c r="N691" cm="1">
        <f t="array" aca="1" ref="N691" ca="1">INDIRECT("Data!H" &amp; 686)</f>
        <v>0</v>
      </c>
      <c r="O691" cm="1">
        <f t="array" aca="1" ref="O691" ca="1">INDIRECT("Data!I" &amp; 686)</f>
        <v>0</v>
      </c>
      <c r="P691" s="21" cm="1">
        <f t="array" aca="1" ref="P691" ca="1">INDIRECT("Data!J" &amp; 686)</f>
        <v>0</v>
      </c>
      <c r="Q691" cm="1">
        <f t="array" aca="1" ref="Q691" ca="1">INDIRECT("Data!K" &amp; 686)</f>
        <v>0</v>
      </c>
      <c r="R691" cm="1">
        <f t="array" aca="1" ref="R691" ca="1">INDIRECT("Data!L" &amp; 686)</f>
        <v>0</v>
      </c>
      <c r="S691" cm="1">
        <f t="array" aca="1" ref="S691" ca="1">INDIRECT("Data!M" &amp; 686)</f>
        <v>0</v>
      </c>
      <c r="T691" cm="1">
        <f t="array" aca="1" ref="T691" ca="1">INDIRECT("Data!N" &amp; 686)</f>
        <v>0</v>
      </c>
      <c r="U691" cm="1">
        <f t="array" aca="1" ref="U691" ca="1">INDIRECT("Data!O" &amp; 686)</f>
        <v>0</v>
      </c>
      <c r="V691" cm="1">
        <f t="array" aca="1" ref="V691" ca="1">INDIRECT("Data!P" &amp; 686)</f>
        <v>0</v>
      </c>
    </row>
    <row r="692" spans="7:22" x14ac:dyDescent="0.25">
      <c r="G692" cm="1">
        <f t="array" aca="1" ref="G692" ca="1">INDIRECT("Data!A" &amp; 687)</f>
        <v>0</v>
      </c>
      <c r="H692" s="21" cm="1">
        <f t="array" aca="1" ref="H692" ca="1">INDIRECT("Data!B" &amp; 687)</f>
        <v>0</v>
      </c>
      <c r="I692" s="21" cm="1">
        <f t="array" aca="1" ref="I692" ca="1">INDIRECT("Data!C" &amp; 687)</f>
        <v>0</v>
      </c>
      <c r="J692" cm="1">
        <f t="array" aca="1" ref="J692" ca="1">INDIRECT("Data!D" &amp; 687)</f>
        <v>0</v>
      </c>
      <c r="K692" cm="1">
        <f t="array" aca="1" ref="K692" ca="1">INDIRECT("Data!E" &amp; 687)</f>
        <v>0</v>
      </c>
      <c r="L692" cm="1">
        <f t="array" aca="1" ref="L692" ca="1">INDIRECT("Data!F" &amp; 687)</f>
        <v>0</v>
      </c>
      <c r="M692" cm="1">
        <f t="array" aca="1" ref="M692" ca="1">INDIRECT("Data!G" &amp; 687)</f>
        <v>0</v>
      </c>
      <c r="N692" cm="1">
        <f t="array" aca="1" ref="N692" ca="1">INDIRECT("Data!H" &amp; 687)</f>
        <v>0</v>
      </c>
      <c r="O692" cm="1">
        <f t="array" aca="1" ref="O692" ca="1">INDIRECT("Data!I" &amp; 687)</f>
        <v>0</v>
      </c>
      <c r="P692" s="21" cm="1">
        <f t="array" aca="1" ref="P692" ca="1">INDIRECT("Data!J" &amp; 687)</f>
        <v>0</v>
      </c>
      <c r="Q692" cm="1">
        <f t="array" aca="1" ref="Q692" ca="1">INDIRECT("Data!K" &amp; 687)</f>
        <v>0</v>
      </c>
      <c r="R692" cm="1">
        <f t="array" aca="1" ref="R692" ca="1">INDIRECT("Data!L" &amp; 687)</f>
        <v>0</v>
      </c>
      <c r="S692" cm="1">
        <f t="array" aca="1" ref="S692" ca="1">INDIRECT("Data!M" &amp; 687)</f>
        <v>0</v>
      </c>
      <c r="T692" cm="1">
        <f t="array" aca="1" ref="T692" ca="1">INDIRECT("Data!N" &amp; 687)</f>
        <v>0</v>
      </c>
      <c r="U692" cm="1">
        <f t="array" aca="1" ref="U692" ca="1">INDIRECT("Data!O" &amp; 687)</f>
        <v>0</v>
      </c>
      <c r="V692" cm="1">
        <f t="array" aca="1" ref="V692" ca="1">INDIRECT("Data!P" &amp; 687)</f>
        <v>0</v>
      </c>
    </row>
    <row r="693" spans="7:22" x14ac:dyDescent="0.25">
      <c r="G693" cm="1">
        <f t="array" aca="1" ref="G693" ca="1">INDIRECT("Data!A" &amp; 688)</f>
        <v>0</v>
      </c>
      <c r="H693" s="21" cm="1">
        <f t="array" aca="1" ref="H693" ca="1">INDIRECT("Data!B" &amp; 688)</f>
        <v>0</v>
      </c>
      <c r="I693" s="21" cm="1">
        <f t="array" aca="1" ref="I693" ca="1">INDIRECT("Data!C" &amp; 688)</f>
        <v>0</v>
      </c>
      <c r="J693" cm="1">
        <f t="array" aca="1" ref="J693" ca="1">INDIRECT("Data!D" &amp; 688)</f>
        <v>0</v>
      </c>
      <c r="K693" cm="1">
        <f t="array" aca="1" ref="K693" ca="1">INDIRECT("Data!E" &amp; 688)</f>
        <v>0</v>
      </c>
      <c r="L693" cm="1">
        <f t="array" aca="1" ref="L693" ca="1">INDIRECT("Data!F" &amp; 688)</f>
        <v>0</v>
      </c>
      <c r="M693" cm="1">
        <f t="array" aca="1" ref="M693" ca="1">INDIRECT("Data!G" &amp; 688)</f>
        <v>0</v>
      </c>
      <c r="N693" cm="1">
        <f t="array" aca="1" ref="N693" ca="1">INDIRECT("Data!H" &amp; 688)</f>
        <v>0</v>
      </c>
      <c r="O693" cm="1">
        <f t="array" aca="1" ref="O693" ca="1">INDIRECT("Data!I" &amp; 688)</f>
        <v>0</v>
      </c>
      <c r="P693" s="21" cm="1">
        <f t="array" aca="1" ref="P693" ca="1">INDIRECT("Data!J" &amp; 688)</f>
        <v>0</v>
      </c>
      <c r="Q693" cm="1">
        <f t="array" aca="1" ref="Q693" ca="1">INDIRECT("Data!K" &amp; 688)</f>
        <v>0</v>
      </c>
      <c r="R693" cm="1">
        <f t="array" aca="1" ref="R693" ca="1">INDIRECT("Data!L" &amp; 688)</f>
        <v>0</v>
      </c>
      <c r="S693" cm="1">
        <f t="array" aca="1" ref="S693" ca="1">INDIRECT("Data!M" &amp; 688)</f>
        <v>0</v>
      </c>
      <c r="T693" cm="1">
        <f t="array" aca="1" ref="T693" ca="1">INDIRECT("Data!N" &amp; 688)</f>
        <v>0</v>
      </c>
      <c r="U693" cm="1">
        <f t="array" aca="1" ref="U693" ca="1">INDIRECT("Data!O" &amp; 688)</f>
        <v>0</v>
      </c>
      <c r="V693" cm="1">
        <f t="array" aca="1" ref="V693" ca="1">INDIRECT("Data!P" &amp; 688)</f>
        <v>0</v>
      </c>
    </row>
    <row r="694" spans="7:22" x14ac:dyDescent="0.25">
      <c r="G694" cm="1">
        <f t="array" aca="1" ref="G694" ca="1">INDIRECT("Data!A" &amp; 689)</f>
        <v>0</v>
      </c>
      <c r="H694" s="21" cm="1">
        <f t="array" aca="1" ref="H694" ca="1">INDIRECT("Data!B" &amp; 689)</f>
        <v>0</v>
      </c>
      <c r="I694" s="21" cm="1">
        <f t="array" aca="1" ref="I694" ca="1">INDIRECT("Data!C" &amp; 689)</f>
        <v>0</v>
      </c>
      <c r="J694" cm="1">
        <f t="array" aca="1" ref="J694" ca="1">INDIRECT("Data!D" &amp; 689)</f>
        <v>0</v>
      </c>
      <c r="K694" cm="1">
        <f t="array" aca="1" ref="K694" ca="1">INDIRECT("Data!E" &amp; 689)</f>
        <v>0</v>
      </c>
      <c r="L694" cm="1">
        <f t="array" aca="1" ref="L694" ca="1">INDIRECT("Data!F" &amp; 689)</f>
        <v>0</v>
      </c>
      <c r="M694" cm="1">
        <f t="array" aca="1" ref="M694" ca="1">INDIRECT("Data!G" &amp; 689)</f>
        <v>0</v>
      </c>
      <c r="N694" cm="1">
        <f t="array" aca="1" ref="N694" ca="1">INDIRECT("Data!H" &amp; 689)</f>
        <v>0</v>
      </c>
      <c r="O694" cm="1">
        <f t="array" aca="1" ref="O694" ca="1">INDIRECT("Data!I" &amp; 689)</f>
        <v>0</v>
      </c>
      <c r="P694" s="21" cm="1">
        <f t="array" aca="1" ref="P694" ca="1">INDIRECT("Data!J" &amp; 689)</f>
        <v>0</v>
      </c>
      <c r="Q694" cm="1">
        <f t="array" aca="1" ref="Q694" ca="1">INDIRECT("Data!K" &amp; 689)</f>
        <v>0</v>
      </c>
      <c r="R694" cm="1">
        <f t="array" aca="1" ref="R694" ca="1">INDIRECT("Data!L" &amp; 689)</f>
        <v>0</v>
      </c>
      <c r="S694" cm="1">
        <f t="array" aca="1" ref="S694" ca="1">INDIRECT("Data!M" &amp; 689)</f>
        <v>0</v>
      </c>
      <c r="T694" cm="1">
        <f t="array" aca="1" ref="T694" ca="1">INDIRECT("Data!N" &amp; 689)</f>
        <v>0</v>
      </c>
      <c r="U694" cm="1">
        <f t="array" aca="1" ref="U694" ca="1">INDIRECT("Data!O" &amp; 689)</f>
        <v>0</v>
      </c>
      <c r="V694" cm="1">
        <f t="array" aca="1" ref="V694" ca="1">INDIRECT("Data!P" &amp; 689)</f>
        <v>0</v>
      </c>
    </row>
    <row r="695" spans="7:22" x14ac:dyDescent="0.25">
      <c r="G695" cm="1">
        <f t="array" aca="1" ref="G695" ca="1">INDIRECT("Data!A" &amp; 690)</f>
        <v>0</v>
      </c>
      <c r="H695" s="21" cm="1">
        <f t="array" aca="1" ref="H695" ca="1">INDIRECT("Data!B" &amp; 690)</f>
        <v>0</v>
      </c>
      <c r="I695" s="21" cm="1">
        <f t="array" aca="1" ref="I695" ca="1">INDIRECT("Data!C" &amp; 690)</f>
        <v>0</v>
      </c>
      <c r="J695" cm="1">
        <f t="array" aca="1" ref="J695" ca="1">INDIRECT("Data!D" &amp; 690)</f>
        <v>0</v>
      </c>
      <c r="K695" cm="1">
        <f t="array" aca="1" ref="K695" ca="1">INDIRECT("Data!E" &amp; 690)</f>
        <v>0</v>
      </c>
      <c r="L695" cm="1">
        <f t="array" aca="1" ref="L695" ca="1">INDIRECT("Data!F" &amp; 690)</f>
        <v>0</v>
      </c>
      <c r="M695" cm="1">
        <f t="array" aca="1" ref="M695" ca="1">INDIRECT("Data!G" &amp; 690)</f>
        <v>0</v>
      </c>
      <c r="N695" cm="1">
        <f t="array" aca="1" ref="N695" ca="1">INDIRECT("Data!H" &amp; 690)</f>
        <v>0</v>
      </c>
      <c r="O695" cm="1">
        <f t="array" aca="1" ref="O695" ca="1">INDIRECT("Data!I" &amp; 690)</f>
        <v>0</v>
      </c>
      <c r="P695" s="21" cm="1">
        <f t="array" aca="1" ref="P695" ca="1">INDIRECT("Data!J" &amp; 690)</f>
        <v>0</v>
      </c>
      <c r="Q695" cm="1">
        <f t="array" aca="1" ref="Q695" ca="1">INDIRECT("Data!K" &amp; 690)</f>
        <v>0</v>
      </c>
      <c r="R695" cm="1">
        <f t="array" aca="1" ref="R695" ca="1">INDIRECT("Data!L" &amp; 690)</f>
        <v>0</v>
      </c>
      <c r="S695" cm="1">
        <f t="array" aca="1" ref="S695" ca="1">INDIRECT("Data!M" &amp; 690)</f>
        <v>0</v>
      </c>
      <c r="T695" cm="1">
        <f t="array" aca="1" ref="T695" ca="1">INDIRECT("Data!N" &amp; 690)</f>
        <v>0</v>
      </c>
      <c r="U695" cm="1">
        <f t="array" aca="1" ref="U695" ca="1">INDIRECT("Data!O" &amp; 690)</f>
        <v>0</v>
      </c>
      <c r="V695" cm="1">
        <f t="array" aca="1" ref="V695" ca="1">INDIRECT("Data!P" &amp; 690)</f>
        <v>0</v>
      </c>
    </row>
    <row r="696" spans="7:22" x14ac:dyDescent="0.25">
      <c r="G696" cm="1">
        <f t="array" aca="1" ref="G696" ca="1">INDIRECT("Data!A" &amp; 691)</f>
        <v>0</v>
      </c>
      <c r="H696" s="21" cm="1">
        <f t="array" aca="1" ref="H696" ca="1">INDIRECT("Data!B" &amp; 691)</f>
        <v>0</v>
      </c>
      <c r="I696" s="21" cm="1">
        <f t="array" aca="1" ref="I696" ca="1">INDIRECT("Data!C" &amp; 691)</f>
        <v>0</v>
      </c>
      <c r="J696" cm="1">
        <f t="array" aca="1" ref="J696" ca="1">INDIRECT("Data!D" &amp; 691)</f>
        <v>0</v>
      </c>
      <c r="K696" cm="1">
        <f t="array" aca="1" ref="K696" ca="1">INDIRECT("Data!E" &amp; 691)</f>
        <v>0</v>
      </c>
      <c r="L696" cm="1">
        <f t="array" aca="1" ref="L696" ca="1">INDIRECT("Data!F" &amp; 691)</f>
        <v>0</v>
      </c>
      <c r="M696" cm="1">
        <f t="array" aca="1" ref="M696" ca="1">INDIRECT("Data!G" &amp; 691)</f>
        <v>0</v>
      </c>
      <c r="N696" cm="1">
        <f t="array" aca="1" ref="N696" ca="1">INDIRECT("Data!H" &amp; 691)</f>
        <v>0</v>
      </c>
      <c r="O696" cm="1">
        <f t="array" aca="1" ref="O696" ca="1">INDIRECT("Data!I" &amp; 691)</f>
        <v>0</v>
      </c>
      <c r="P696" s="21" cm="1">
        <f t="array" aca="1" ref="P696" ca="1">INDIRECT("Data!J" &amp; 691)</f>
        <v>0</v>
      </c>
      <c r="Q696" cm="1">
        <f t="array" aca="1" ref="Q696" ca="1">INDIRECT("Data!K" &amp; 691)</f>
        <v>0</v>
      </c>
      <c r="R696" cm="1">
        <f t="array" aca="1" ref="R696" ca="1">INDIRECT("Data!L" &amp; 691)</f>
        <v>0</v>
      </c>
      <c r="S696" cm="1">
        <f t="array" aca="1" ref="S696" ca="1">INDIRECT("Data!M" &amp; 691)</f>
        <v>0</v>
      </c>
      <c r="T696" cm="1">
        <f t="array" aca="1" ref="T696" ca="1">INDIRECT("Data!N" &amp; 691)</f>
        <v>0</v>
      </c>
      <c r="U696" cm="1">
        <f t="array" aca="1" ref="U696" ca="1">INDIRECT("Data!O" &amp; 691)</f>
        <v>0</v>
      </c>
      <c r="V696" cm="1">
        <f t="array" aca="1" ref="V696" ca="1">INDIRECT("Data!P" &amp; 691)</f>
        <v>0</v>
      </c>
    </row>
    <row r="697" spans="7:22" x14ac:dyDescent="0.25">
      <c r="G697" cm="1">
        <f t="array" aca="1" ref="G697" ca="1">INDIRECT("Data!A" &amp; 692)</f>
        <v>0</v>
      </c>
      <c r="H697" s="21" cm="1">
        <f t="array" aca="1" ref="H697" ca="1">INDIRECT("Data!B" &amp; 692)</f>
        <v>0</v>
      </c>
      <c r="I697" s="21" cm="1">
        <f t="array" aca="1" ref="I697" ca="1">INDIRECT("Data!C" &amp; 692)</f>
        <v>0</v>
      </c>
      <c r="J697" cm="1">
        <f t="array" aca="1" ref="J697" ca="1">INDIRECT("Data!D" &amp; 692)</f>
        <v>0</v>
      </c>
      <c r="K697" cm="1">
        <f t="array" aca="1" ref="K697" ca="1">INDIRECT("Data!E" &amp; 692)</f>
        <v>0</v>
      </c>
      <c r="L697" cm="1">
        <f t="array" aca="1" ref="L697" ca="1">INDIRECT("Data!F" &amp; 692)</f>
        <v>0</v>
      </c>
      <c r="M697" cm="1">
        <f t="array" aca="1" ref="M697" ca="1">INDIRECT("Data!G" &amp; 692)</f>
        <v>0</v>
      </c>
      <c r="N697" cm="1">
        <f t="array" aca="1" ref="N697" ca="1">INDIRECT("Data!H" &amp; 692)</f>
        <v>0</v>
      </c>
      <c r="O697" cm="1">
        <f t="array" aca="1" ref="O697" ca="1">INDIRECT("Data!I" &amp; 692)</f>
        <v>0</v>
      </c>
      <c r="P697" s="21" cm="1">
        <f t="array" aca="1" ref="P697" ca="1">INDIRECT("Data!J" &amp; 692)</f>
        <v>0</v>
      </c>
      <c r="Q697" cm="1">
        <f t="array" aca="1" ref="Q697" ca="1">INDIRECT("Data!K" &amp; 692)</f>
        <v>0</v>
      </c>
      <c r="R697" cm="1">
        <f t="array" aca="1" ref="R697" ca="1">INDIRECT("Data!L" &amp; 692)</f>
        <v>0</v>
      </c>
      <c r="S697" cm="1">
        <f t="array" aca="1" ref="S697" ca="1">INDIRECT("Data!M" &amp; 692)</f>
        <v>0</v>
      </c>
      <c r="T697" cm="1">
        <f t="array" aca="1" ref="T697" ca="1">INDIRECT("Data!N" &amp; 692)</f>
        <v>0</v>
      </c>
      <c r="U697" cm="1">
        <f t="array" aca="1" ref="U697" ca="1">INDIRECT("Data!O" &amp; 692)</f>
        <v>0</v>
      </c>
      <c r="V697" cm="1">
        <f t="array" aca="1" ref="V697" ca="1">INDIRECT("Data!P" &amp; 692)</f>
        <v>0</v>
      </c>
    </row>
    <row r="698" spans="7:22" x14ac:dyDescent="0.25">
      <c r="G698" cm="1">
        <f t="array" aca="1" ref="G698" ca="1">INDIRECT("Data!A" &amp; 693)</f>
        <v>0</v>
      </c>
      <c r="H698" s="21" cm="1">
        <f t="array" aca="1" ref="H698" ca="1">INDIRECT("Data!B" &amp; 693)</f>
        <v>0</v>
      </c>
      <c r="I698" s="21" cm="1">
        <f t="array" aca="1" ref="I698" ca="1">INDIRECT("Data!C" &amp; 693)</f>
        <v>0</v>
      </c>
      <c r="J698" cm="1">
        <f t="array" aca="1" ref="J698" ca="1">INDIRECT("Data!D" &amp; 693)</f>
        <v>0</v>
      </c>
      <c r="K698" cm="1">
        <f t="array" aca="1" ref="K698" ca="1">INDIRECT("Data!E" &amp; 693)</f>
        <v>0</v>
      </c>
      <c r="L698" cm="1">
        <f t="array" aca="1" ref="L698" ca="1">INDIRECT("Data!F" &amp; 693)</f>
        <v>0</v>
      </c>
      <c r="M698" cm="1">
        <f t="array" aca="1" ref="M698" ca="1">INDIRECT("Data!G" &amp; 693)</f>
        <v>0</v>
      </c>
      <c r="N698" cm="1">
        <f t="array" aca="1" ref="N698" ca="1">INDIRECT("Data!H" &amp; 693)</f>
        <v>0</v>
      </c>
      <c r="O698" cm="1">
        <f t="array" aca="1" ref="O698" ca="1">INDIRECT("Data!I" &amp; 693)</f>
        <v>0</v>
      </c>
      <c r="P698" s="21" cm="1">
        <f t="array" aca="1" ref="P698" ca="1">INDIRECT("Data!J" &amp; 693)</f>
        <v>0</v>
      </c>
      <c r="Q698" cm="1">
        <f t="array" aca="1" ref="Q698" ca="1">INDIRECT("Data!K" &amp; 693)</f>
        <v>0</v>
      </c>
      <c r="R698" cm="1">
        <f t="array" aca="1" ref="R698" ca="1">INDIRECT("Data!L" &amp; 693)</f>
        <v>0</v>
      </c>
      <c r="S698" cm="1">
        <f t="array" aca="1" ref="S698" ca="1">INDIRECT("Data!M" &amp; 693)</f>
        <v>0</v>
      </c>
      <c r="T698" cm="1">
        <f t="array" aca="1" ref="T698" ca="1">INDIRECT("Data!N" &amp; 693)</f>
        <v>0</v>
      </c>
      <c r="U698" cm="1">
        <f t="array" aca="1" ref="U698" ca="1">INDIRECT("Data!O" &amp; 693)</f>
        <v>0</v>
      </c>
      <c r="V698" cm="1">
        <f t="array" aca="1" ref="V698" ca="1">INDIRECT("Data!P" &amp; 693)</f>
        <v>0</v>
      </c>
    </row>
    <row r="699" spans="7:22" x14ac:dyDescent="0.25">
      <c r="G699" cm="1">
        <f t="array" aca="1" ref="G699" ca="1">INDIRECT("Data!A" &amp; 694)</f>
        <v>0</v>
      </c>
      <c r="H699" s="21" cm="1">
        <f t="array" aca="1" ref="H699" ca="1">INDIRECT("Data!B" &amp; 694)</f>
        <v>0</v>
      </c>
      <c r="I699" s="21" cm="1">
        <f t="array" aca="1" ref="I699" ca="1">INDIRECT("Data!C" &amp; 694)</f>
        <v>0</v>
      </c>
      <c r="J699" cm="1">
        <f t="array" aca="1" ref="J699" ca="1">INDIRECT("Data!D" &amp; 694)</f>
        <v>0</v>
      </c>
      <c r="K699" cm="1">
        <f t="array" aca="1" ref="K699" ca="1">INDIRECT("Data!E" &amp; 694)</f>
        <v>0</v>
      </c>
      <c r="L699" cm="1">
        <f t="array" aca="1" ref="L699" ca="1">INDIRECT("Data!F" &amp; 694)</f>
        <v>0</v>
      </c>
      <c r="M699" cm="1">
        <f t="array" aca="1" ref="M699" ca="1">INDIRECT("Data!G" &amp; 694)</f>
        <v>0</v>
      </c>
      <c r="N699" cm="1">
        <f t="array" aca="1" ref="N699" ca="1">INDIRECT("Data!H" &amp; 694)</f>
        <v>0</v>
      </c>
      <c r="O699" cm="1">
        <f t="array" aca="1" ref="O699" ca="1">INDIRECT("Data!I" &amp; 694)</f>
        <v>0</v>
      </c>
      <c r="P699" s="21" cm="1">
        <f t="array" aca="1" ref="P699" ca="1">INDIRECT("Data!J" &amp; 694)</f>
        <v>0</v>
      </c>
      <c r="Q699" cm="1">
        <f t="array" aca="1" ref="Q699" ca="1">INDIRECT("Data!K" &amp; 694)</f>
        <v>0</v>
      </c>
      <c r="R699" cm="1">
        <f t="array" aca="1" ref="R699" ca="1">INDIRECT("Data!L" &amp; 694)</f>
        <v>0</v>
      </c>
      <c r="S699" cm="1">
        <f t="array" aca="1" ref="S699" ca="1">INDIRECT("Data!M" &amp; 694)</f>
        <v>0</v>
      </c>
      <c r="T699" cm="1">
        <f t="array" aca="1" ref="T699" ca="1">INDIRECT("Data!N" &amp; 694)</f>
        <v>0</v>
      </c>
      <c r="U699" cm="1">
        <f t="array" aca="1" ref="U699" ca="1">INDIRECT("Data!O" &amp; 694)</f>
        <v>0</v>
      </c>
      <c r="V699" cm="1">
        <f t="array" aca="1" ref="V699" ca="1">INDIRECT("Data!P" &amp; 694)</f>
        <v>0</v>
      </c>
    </row>
    <row r="700" spans="7:22" x14ac:dyDescent="0.25">
      <c r="G700" cm="1">
        <f t="array" aca="1" ref="G700" ca="1">INDIRECT("Data!A" &amp; 695)</f>
        <v>0</v>
      </c>
      <c r="H700" s="21" cm="1">
        <f t="array" aca="1" ref="H700" ca="1">INDIRECT("Data!B" &amp; 695)</f>
        <v>0</v>
      </c>
      <c r="I700" s="21" cm="1">
        <f t="array" aca="1" ref="I700" ca="1">INDIRECT("Data!C" &amp; 695)</f>
        <v>0</v>
      </c>
      <c r="J700" cm="1">
        <f t="array" aca="1" ref="J700" ca="1">INDIRECT("Data!D" &amp; 695)</f>
        <v>0</v>
      </c>
      <c r="K700" cm="1">
        <f t="array" aca="1" ref="K700" ca="1">INDIRECT("Data!E" &amp; 695)</f>
        <v>0</v>
      </c>
      <c r="L700" cm="1">
        <f t="array" aca="1" ref="L700" ca="1">INDIRECT("Data!F" &amp; 695)</f>
        <v>0</v>
      </c>
      <c r="M700" cm="1">
        <f t="array" aca="1" ref="M700" ca="1">INDIRECT("Data!G" &amp; 695)</f>
        <v>0</v>
      </c>
      <c r="N700" cm="1">
        <f t="array" aca="1" ref="N700" ca="1">INDIRECT("Data!H" &amp; 695)</f>
        <v>0</v>
      </c>
      <c r="O700" cm="1">
        <f t="array" aca="1" ref="O700" ca="1">INDIRECT("Data!I" &amp; 695)</f>
        <v>0</v>
      </c>
      <c r="P700" s="21" cm="1">
        <f t="array" aca="1" ref="P700" ca="1">INDIRECT("Data!J" &amp; 695)</f>
        <v>0</v>
      </c>
      <c r="Q700" cm="1">
        <f t="array" aca="1" ref="Q700" ca="1">INDIRECT("Data!K" &amp; 695)</f>
        <v>0</v>
      </c>
      <c r="R700" cm="1">
        <f t="array" aca="1" ref="R700" ca="1">INDIRECT("Data!L" &amp; 695)</f>
        <v>0</v>
      </c>
      <c r="S700" cm="1">
        <f t="array" aca="1" ref="S700" ca="1">INDIRECT("Data!M" &amp; 695)</f>
        <v>0</v>
      </c>
      <c r="T700" cm="1">
        <f t="array" aca="1" ref="T700" ca="1">INDIRECT("Data!N" &amp; 695)</f>
        <v>0</v>
      </c>
      <c r="U700" cm="1">
        <f t="array" aca="1" ref="U700" ca="1">INDIRECT("Data!O" &amp; 695)</f>
        <v>0</v>
      </c>
      <c r="V700" cm="1">
        <f t="array" aca="1" ref="V700" ca="1">INDIRECT("Data!P" &amp; 695)</f>
        <v>0</v>
      </c>
    </row>
    <row r="701" spans="7:22" x14ac:dyDescent="0.25">
      <c r="G701" cm="1">
        <f t="array" aca="1" ref="G701" ca="1">INDIRECT("Data!A" &amp; 696)</f>
        <v>0</v>
      </c>
      <c r="H701" s="21" cm="1">
        <f t="array" aca="1" ref="H701" ca="1">INDIRECT("Data!B" &amp; 696)</f>
        <v>0</v>
      </c>
      <c r="I701" s="21" cm="1">
        <f t="array" aca="1" ref="I701" ca="1">INDIRECT("Data!C" &amp; 696)</f>
        <v>0</v>
      </c>
      <c r="J701" cm="1">
        <f t="array" aca="1" ref="J701" ca="1">INDIRECT("Data!D" &amp; 696)</f>
        <v>0</v>
      </c>
      <c r="K701" cm="1">
        <f t="array" aca="1" ref="K701" ca="1">INDIRECT("Data!E" &amp; 696)</f>
        <v>0</v>
      </c>
      <c r="L701" cm="1">
        <f t="array" aca="1" ref="L701" ca="1">INDIRECT("Data!F" &amp; 696)</f>
        <v>0</v>
      </c>
      <c r="M701" cm="1">
        <f t="array" aca="1" ref="M701" ca="1">INDIRECT("Data!G" &amp; 696)</f>
        <v>0</v>
      </c>
      <c r="N701" cm="1">
        <f t="array" aca="1" ref="N701" ca="1">INDIRECT("Data!H" &amp; 696)</f>
        <v>0</v>
      </c>
      <c r="O701" cm="1">
        <f t="array" aca="1" ref="O701" ca="1">INDIRECT("Data!I" &amp; 696)</f>
        <v>0</v>
      </c>
      <c r="P701" s="21" cm="1">
        <f t="array" aca="1" ref="P701" ca="1">INDIRECT("Data!J" &amp; 696)</f>
        <v>0</v>
      </c>
      <c r="Q701" cm="1">
        <f t="array" aca="1" ref="Q701" ca="1">INDIRECT("Data!K" &amp; 696)</f>
        <v>0</v>
      </c>
      <c r="R701" cm="1">
        <f t="array" aca="1" ref="R701" ca="1">INDIRECT("Data!L" &amp; 696)</f>
        <v>0</v>
      </c>
      <c r="S701" cm="1">
        <f t="array" aca="1" ref="S701" ca="1">INDIRECT("Data!M" &amp; 696)</f>
        <v>0</v>
      </c>
      <c r="T701" cm="1">
        <f t="array" aca="1" ref="T701" ca="1">INDIRECT("Data!N" &amp; 696)</f>
        <v>0</v>
      </c>
      <c r="U701" cm="1">
        <f t="array" aca="1" ref="U701" ca="1">INDIRECT("Data!O" &amp; 696)</f>
        <v>0</v>
      </c>
      <c r="V701" cm="1">
        <f t="array" aca="1" ref="V701" ca="1">INDIRECT("Data!P" &amp; 696)</f>
        <v>0</v>
      </c>
    </row>
    <row r="702" spans="7:22" x14ac:dyDescent="0.25">
      <c r="G702" cm="1">
        <f t="array" aca="1" ref="G702" ca="1">INDIRECT("Data!A" &amp; 697)</f>
        <v>0</v>
      </c>
      <c r="H702" s="21" cm="1">
        <f t="array" aca="1" ref="H702" ca="1">INDIRECT("Data!B" &amp; 697)</f>
        <v>0</v>
      </c>
      <c r="I702" s="21" cm="1">
        <f t="array" aca="1" ref="I702" ca="1">INDIRECT("Data!C" &amp; 697)</f>
        <v>0</v>
      </c>
      <c r="J702" cm="1">
        <f t="array" aca="1" ref="J702" ca="1">INDIRECT("Data!D" &amp; 697)</f>
        <v>0</v>
      </c>
      <c r="K702" cm="1">
        <f t="array" aca="1" ref="K702" ca="1">INDIRECT("Data!E" &amp; 697)</f>
        <v>0</v>
      </c>
      <c r="L702" cm="1">
        <f t="array" aca="1" ref="L702" ca="1">INDIRECT("Data!F" &amp; 697)</f>
        <v>0</v>
      </c>
      <c r="M702" cm="1">
        <f t="array" aca="1" ref="M702" ca="1">INDIRECT("Data!G" &amp; 697)</f>
        <v>0</v>
      </c>
      <c r="N702" cm="1">
        <f t="array" aca="1" ref="N702" ca="1">INDIRECT("Data!H" &amp; 697)</f>
        <v>0</v>
      </c>
      <c r="O702" cm="1">
        <f t="array" aca="1" ref="O702" ca="1">INDIRECT("Data!I" &amp; 697)</f>
        <v>0</v>
      </c>
      <c r="P702" s="21" cm="1">
        <f t="array" aca="1" ref="P702" ca="1">INDIRECT("Data!J" &amp; 697)</f>
        <v>0</v>
      </c>
      <c r="Q702" cm="1">
        <f t="array" aca="1" ref="Q702" ca="1">INDIRECT("Data!K" &amp; 697)</f>
        <v>0</v>
      </c>
      <c r="R702" cm="1">
        <f t="array" aca="1" ref="R702" ca="1">INDIRECT("Data!L" &amp; 697)</f>
        <v>0</v>
      </c>
      <c r="S702" cm="1">
        <f t="array" aca="1" ref="S702" ca="1">INDIRECT("Data!M" &amp; 697)</f>
        <v>0</v>
      </c>
      <c r="T702" cm="1">
        <f t="array" aca="1" ref="T702" ca="1">INDIRECT("Data!N" &amp; 697)</f>
        <v>0</v>
      </c>
      <c r="U702" cm="1">
        <f t="array" aca="1" ref="U702" ca="1">INDIRECT("Data!O" &amp; 697)</f>
        <v>0</v>
      </c>
      <c r="V702" cm="1">
        <f t="array" aca="1" ref="V702" ca="1">INDIRECT("Data!P" &amp; 697)</f>
        <v>0</v>
      </c>
    </row>
    <row r="703" spans="7:22" x14ac:dyDescent="0.25">
      <c r="G703" cm="1">
        <f t="array" aca="1" ref="G703" ca="1">INDIRECT("Data!A" &amp; 698)</f>
        <v>0</v>
      </c>
      <c r="H703" s="21" cm="1">
        <f t="array" aca="1" ref="H703" ca="1">INDIRECT("Data!B" &amp; 698)</f>
        <v>0</v>
      </c>
      <c r="I703" s="21" cm="1">
        <f t="array" aca="1" ref="I703" ca="1">INDIRECT("Data!C" &amp; 698)</f>
        <v>0</v>
      </c>
      <c r="J703" cm="1">
        <f t="array" aca="1" ref="J703" ca="1">INDIRECT("Data!D" &amp; 698)</f>
        <v>0</v>
      </c>
      <c r="K703" cm="1">
        <f t="array" aca="1" ref="K703" ca="1">INDIRECT("Data!E" &amp; 698)</f>
        <v>0</v>
      </c>
      <c r="L703" cm="1">
        <f t="array" aca="1" ref="L703" ca="1">INDIRECT("Data!F" &amp; 698)</f>
        <v>0</v>
      </c>
      <c r="M703" cm="1">
        <f t="array" aca="1" ref="M703" ca="1">INDIRECT("Data!G" &amp; 698)</f>
        <v>0</v>
      </c>
      <c r="N703" cm="1">
        <f t="array" aca="1" ref="N703" ca="1">INDIRECT("Data!H" &amp; 698)</f>
        <v>0</v>
      </c>
      <c r="O703" cm="1">
        <f t="array" aca="1" ref="O703" ca="1">INDIRECT("Data!I" &amp; 698)</f>
        <v>0</v>
      </c>
      <c r="P703" s="21" cm="1">
        <f t="array" aca="1" ref="P703" ca="1">INDIRECT("Data!J" &amp; 698)</f>
        <v>0</v>
      </c>
      <c r="Q703" cm="1">
        <f t="array" aca="1" ref="Q703" ca="1">INDIRECT("Data!K" &amp; 698)</f>
        <v>0</v>
      </c>
      <c r="R703" cm="1">
        <f t="array" aca="1" ref="R703" ca="1">INDIRECT("Data!L" &amp; 698)</f>
        <v>0</v>
      </c>
      <c r="S703" cm="1">
        <f t="array" aca="1" ref="S703" ca="1">INDIRECT("Data!M" &amp; 698)</f>
        <v>0</v>
      </c>
      <c r="T703" cm="1">
        <f t="array" aca="1" ref="T703" ca="1">INDIRECT("Data!N" &amp; 698)</f>
        <v>0</v>
      </c>
      <c r="U703" cm="1">
        <f t="array" aca="1" ref="U703" ca="1">INDIRECT("Data!O" &amp; 698)</f>
        <v>0</v>
      </c>
      <c r="V703" cm="1">
        <f t="array" aca="1" ref="V703" ca="1">INDIRECT("Data!P" &amp; 698)</f>
        <v>0</v>
      </c>
    </row>
    <row r="704" spans="7:22" x14ac:dyDescent="0.25">
      <c r="G704" cm="1">
        <f t="array" aca="1" ref="G704" ca="1">INDIRECT("Data!A" &amp; 699)</f>
        <v>0</v>
      </c>
      <c r="H704" s="21" cm="1">
        <f t="array" aca="1" ref="H704" ca="1">INDIRECT("Data!B" &amp; 699)</f>
        <v>0</v>
      </c>
      <c r="I704" s="21" cm="1">
        <f t="array" aca="1" ref="I704" ca="1">INDIRECT("Data!C" &amp; 699)</f>
        <v>0</v>
      </c>
      <c r="J704" cm="1">
        <f t="array" aca="1" ref="J704" ca="1">INDIRECT("Data!D" &amp; 699)</f>
        <v>0</v>
      </c>
      <c r="K704" cm="1">
        <f t="array" aca="1" ref="K704" ca="1">INDIRECT("Data!E" &amp; 699)</f>
        <v>0</v>
      </c>
      <c r="L704" cm="1">
        <f t="array" aca="1" ref="L704" ca="1">INDIRECT("Data!F" &amp; 699)</f>
        <v>0</v>
      </c>
      <c r="M704" cm="1">
        <f t="array" aca="1" ref="M704" ca="1">INDIRECT("Data!G" &amp; 699)</f>
        <v>0</v>
      </c>
      <c r="N704" cm="1">
        <f t="array" aca="1" ref="N704" ca="1">INDIRECT("Data!H" &amp; 699)</f>
        <v>0</v>
      </c>
      <c r="O704" cm="1">
        <f t="array" aca="1" ref="O704" ca="1">INDIRECT("Data!I" &amp; 699)</f>
        <v>0</v>
      </c>
      <c r="P704" s="21" cm="1">
        <f t="array" aca="1" ref="P704" ca="1">INDIRECT("Data!J" &amp; 699)</f>
        <v>0</v>
      </c>
      <c r="Q704" cm="1">
        <f t="array" aca="1" ref="Q704" ca="1">INDIRECT("Data!K" &amp; 699)</f>
        <v>0</v>
      </c>
      <c r="R704" cm="1">
        <f t="array" aca="1" ref="R704" ca="1">INDIRECT("Data!L" &amp; 699)</f>
        <v>0</v>
      </c>
      <c r="S704" cm="1">
        <f t="array" aca="1" ref="S704" ca="1">INDIRECT("Data!M" &amp; 699)</f>
        <v>0</v>
      </c>
      <c r="T704" cm="1">
        <f t="array" aca="1" ref="T704" ca="1">INDIRECT("Data!N" &amp; 699)</f>
        <v>0</v>
      </c>
      <c r="U704" cm="1">
        <f t="array" aca="1" ref="U704" ca="1">INDIRECT("Data!O" &amp; 699)</f>
        <v>0</v>
      </c>
      <c r="V704" cm="1">
        <f t="array" aca="1" ref="V704" ca="1">INDIRECT("Data!P" &amp; 699)</f>
        <v>0</v>
      </c>
    </row>
    <row r="705" spans="7:22" x14ac:dyDescent="0.25">
      <c r="G705" cm="1">
        <f t="array" aca="1" ref="G705" ca="1">INDIRECT("Data!A" &amp; 700)</f>
        <v>0</v>
      </c>
      <c r="H705" s="21" cm="1">
        <f t="array" aca="1" ref="H705" ca="1">INDIRECT("Data!B" &amp; 700)</f>
        <v>0</v>
      </c>
      <c r="I705" s="21" cm="1">
        <f t="array" aca="1" ref="I705" ca="1">INDIRECT("Data!C" &amp; 700)</f>
        <v>0</v>
      </c>
      <c r="J705" cm="1">
        <f t="array" aca="1" ref="J705" ca="1">INDIRECT("Data!D" &amp; 700)</f>
        <v>0</v>
      </c>
      <c r="K705" cm="1">
        <f t="array" aca="1" ref="K705" ca="1">INDIRECT("Data!E" &amp; 700)</f>
        <v>0</v>
      </c>
      <c r="L705" cm="1">
        <f t="array" aca="1" ref="L705" ca="1">INDIRECT("Data!F" &amp; 700)</f>
        <v>0</v>
      </c>
      <c r="M705" cm="1">
        <f t="array" aca="1" ref="M705" ca="1">INDIRECT("Data!G" &amp; 700)</f>
        <v>0</v>
      </c>
      <c r="N705" cm="1">
        <f t="array" aca="1" ref="N705" ca="1">INDIRECT("Data!H" &amp; 700)</f>
        <v>0</v>
      </c>
      <c r="O705" cm="1">
        <f t="array" aca="1" ref="O705" ca="1">INDIRECT("Data!I" &amp; 700)</f>
        <v>0</v>
      </c>
      <c r="P705" s="21" cm="1">
        <f t="array" aca="1" ref="P705" ca="1">INDIRECT("Data!J" &amp; 700)</f>
        <v>0</v>
      </c>
      <c r="Q705" cm="1">
        <f t="array" aca="1" ref="Q705" ca="1">INDIRECT("Data!K" &amp; 700)</f>
        <v>0</v>
      </c>
      <c r="R705" cm="1">
        <f t="array" aca="1" ref="R705" ca="1">INDIRECT("Data!L" &amp; 700)</f>
        <v>0</v>
      </c>
      <c r="S705" cm="1">
        <f t="array" aca="1" ref="S705" ca="1">INDIRECT("Data!M" &amp; 700)</f>
        <v>0</v>
      </c>
      <c r="T705" cm="1">
        <f t="array" aca="1" ref="T705" ca="1">INDIRECT("Data!N" &amp; 700)</f>
        <v>0</v>
      </c>
      <c r="U705" cm="1">
        <f t="array" aca="1" ref="U705" ca="1">INDIRECT("Data!O" &amp; 700)</f>
        <v>0</v>
      </c>
      <c r="V705" cm="1">
        <f t="array" aca="1" ref="V705" ca="1">INDIRECT("Data!P" &amp; 700)</f>
        <v>0</v>
      </c>
    </row>
    <row r="706" spans="7:22" x14ac:dyDescent="0.25">
      <c r="G706" cm="1">
        <f t="array" aca="1" ref="G706" ca="1">INDIRECT("Data!A" &amp; 701)</f>
        <v>0</v>
      </c>
      <c r="H706" s="21" cm="1">
        <f t="array" aca="1" ref="H706" ca="1">INDIRECT("Data!B" &amp; 701)</f>
        <v>0</v>
      </c>
      <c r="I706" s="21" cm="1">
        <f t="array" aca="1" ref="I706" ca="1">INDIRECT("Data!C" &amp; 701)</f>
        <v>0</v>
      </c>
      <c r="J706" cm="1">
        <f t="array" aca="1" ref="J706" ca="1">INDIRECT("Data!D" &amp; 701)</f>
        <v>0</v>
      </c>
      <c r="K706" cm="1">
        <f t="array" aca="1" ref="K706" ca="1">INDIRECT("Data!E" &amp; 701)</f>
        <v>0</v>
      </c>
      <c r="L706" cm="1">
        <f t="array" aca="1" ref="L706" ca="1">INDIRECT("Data!F" &amp; 701)</f>
        <v>0</v>
      </c>
      <c r="M706" cm="1">
        <f t="array" aca="1" ref="M706" ca="1">INDIRECT("Data!G" &amp; 701)</f>
        <v>0</v>
      </c>
      <c r="N706" cm="1">
        <f t="array" aca="1" ref="N706" ca="1">INDIRECT("Data!H" &amp; 701)</f>
        <v>0</v>
      </c>
      <c r="O706" cm="1">
        <f t="array" aca="1" ref="O706" ca="1">INDIRECT("Data!I" &amp; 701)</f>
        <v>0</v>
      </c>
      <c r="P706" s="21" cm="1">
        <f t="array" aca="1" ref="P706" ca="1">INDIRECT("Data!J" &amp; 701)</f>
        <v>0</v>
      </c>
      <c r="Q706" cm="1">
        <f t="array" aca="1" ref="Q706" ca="1">INDIRECT("Data!K" &amp; 701)</f>
        <v>0</v>
      </c>
      <c r="R706" cm="1">
        <f t="array" aca="1" ref="R706" ca="1">INDIRECT("Data!L" &amp; 701)</f>
        <v>0</v>
      </c>
      <c r="S706" cm="1">
        <f t="array" aca="1" ref="S706" ca="1">INDIRECT("Data!M" &amp; 701)</f>
        <v>0</v>
      </c>
      <c r="T706" cm="1">
        <f t="array" aca="1" ref="T706" ca="1">INDIRECT("Data!N" &amp; 701)</f>
        <v>0</v>
      </c>
      <c r="U706" cm="1">
        <f t="array" aca="1" ref="U706" ca="1">INDIRECT("Data!O" &amp; 701)</f>
        <v>0</v>
      </c>
      <c r="V706" cm="1">
        <f t="array" aca="1" ref="V706" ca="1">INDIRECT("Data!P" &amp; 701)</f>
        <v>0</v>
      </c>
    </row>
    <row r="707" spans="7:22" x14ac:dyDescent="0.25">
      <c r="G707" cm="1">
        <f t="array" aca="1" ref="G707" ca="1">INDIRECT("Data!A" &amp; 702)</f>
        <v>0</v>
      </c>
      <c r="H707" s="21" cm="1">
        <f t="array" aca="1" ref="H707" ca="1">INDIRECT("Data!B" &amp; 702)</f>
        <v>0</v>
      </c>
      <c r="I707" s="21" cm="1">
        <f t="array" aca="1" ref="I707" ca="1">INDIRECT("Data!C" &amp; 702)</f>
        <v>0</v>
      </c>
      <c r="J707" cm="1">
        <f t="array" aca="1" ref="J707" ca="1">INDIRECT("Data!D" &amp; 702)</f>
        <v>0</v>
      </c>
      <c r="K707" cm="1">
        <f t="array" aca="1" ref="K707" ca="1">INDIRECT("Data!E" &amp; 702)</f>
        <v>0</v>
      </c>
      <c r="L707" cm="1">
        <f t="array" aca="1" ref="L707" ca="1">INDIRECT("Data!F" &amp; 702)</f>
        <v>0</v>
      </c>
      <c r="M707" cm="1">
        <f t="array" aca="1" ref="M707" ca="1">INDIRECT("Data!G" &amp; 702)</f>
        <v>0</v>
      </c>
      <c r="N707" cm="1">
        <f t="array" aca="1" ref="N707" ca="1">INDIRECT("Data!H" &amp; 702)</f>
        <v>0</v>
      </c>
      <c r="O707" cm="1">
        <f t="array" aca="1" ref="O707" ca="1">INDIRECT("Data!I" &amp; 702)</f>
        <v>0</v>
      </c>
      <c r="P707" s="21" cm="1">
        <f t="array" aca="1" ref="P707" ca="1">INDIRECT("Data!J" &amp; 702)</f>
        <v>0</v>
      </c>
      <c r="Q707" cm="1">
        <f t="array" aca="1" ref="Q707" ca="1">INDIRECT("Data!K" &amp; 702)</f>
        <v>0</v>
      </c>
      <c r="R707" cm="1">
        <f t="array" aca="1" ref="R707" ca="1">INDIRECT("Data!L" &amp; 702)</f>
        <v>0</v>
      </c>
      <c r="S707" cm="1">
        <f t="array" aca="1" ref="S707" ca="1">INDIRECT("Data!M" &amp; 702)</f>
        <v>0</v>
      </c>
      <c r="T707" cm="1">
        <f t="array" aca="1" ref="T707" ca="1">INDIRECT("Data!N" &amp; 702)</f>
        <v>0</v>
      </c>
      <c r="U707" cm="1">
        <f t="array" aca="1" ref="U707" ca="1">INDIRECT("Data!O" &amp; 702)</f>
        <v>0</v>
      </c>
      <c r="V707" cm="1">
        <f t="array" aca="1" ref="V707" ca="1">INDIRECT("Data!P" &amp; 702)</f>
        <v>0</v>
      </c>
    </row>
    <row r="708" spans="7:22" x14ac:dyDescent="0.25">
      <c r="G708" cm="1">
        <f t="array" aca="1" ref="G708" ca="1">INDIRECT("Data!A" &amp; 703)</f>
        <v>0</v>
      </c>
      <c r="H708" s="21" cm="1">
        <f t="array" aca="1" ref="H708" ca="1">INDIRECT("Data!B" &amp; 703)</f>
        <v>0</v>
      </c>
      <c r="I708" s="21" cm="1">
        <f t="array" aca="1" ref="I708" ca="1">INDIRECT("Data!C" &amp; 703)</f>
        <v>0</v>
      </c>
      <c r="J708" cm="1">
        <f t="array" aca="1" ref="J708" ca="1">INDIRECT("Data!D" &amp; 703)</f>
        <v>0</v>
      </c>
      <c r="K708" cm="1">
        <f t="array" aca="1" ref="K708" ca="1">INDIRECT("Data!E" &amp; 703)</f>
        <v>0</v>
      </c>
      <c r="L708" cm="1">
        <f t="array" aca="1" ref="L708" ca="1">INDIRECT("Data!F" &amp; 703)</f>
        <v>0</v>
      </c>
      <c r="M708" cm="1">
        <f t="array" aca="1" ref="M708" ca="1">INDIRECT("Data!G" &amp; 703)</f>
        <v>0</v>
      </c>
      <c r="N708" cm="1">
        <f t="array" aca="1" ref="N708" ca="1">INDIRECT("Data!H" &amp; 703)</f>
        <v>0</v>
      </c>
      <c r="O708" cm="1">
        <f t="array" aca="1" ref="O708" ca="1">INDIRECT("Data!I" &amp; 703)</f>
        <v>0</v>
      </c>
      <c r="P708" s="21" cm="1">
        <f t="array" aca="1" ref="P708" ca="1">INDIRECT("Data!J" &amp; 703)</f>
        <v>0</v>
      </c>
      <c r="Q708" cm="1">
        <f t="array" aca="1" ref="Q708" ca="1">INDIRECT("Data!K" &amp; 703)</f>
        <v>0</v>
      </c>
      <c r="R708" cm="1">
        <f t="array" aca="1" ref="R708" ca="1">INDIRECT("Data!L" &amp; 703)</f>
        <v>0</v>
      </c>
      <c r="S708" cm="1">
        <f t="array" aca="1" ref="S708" ca="1">INDIRECT("Data!M" &amp; 703)</f>
        <v>0</v>
      </c>
      <c r="T708" cm="1">
        <f t="array" aca="1" ref="T708" ca="1">INDIRECT("Data!N" &amp; 703)</f>
        <v>0</v>
      </c>
      <c r="U708" cm="1">
        <f t="array" aca="1" ref="U708" ca="1">INDIRECT("Data!O" &amp; 703)</f>
        <v>0</v>
      </c>
      <c r="V708" cm="1">
        <f t="array" aca="1" ref="V708" ca="1">INDIRECT("Data!P" &amp; 703)</f>
        <v>0</v>
      </c>
    </row>
    <row r="709" spans="7:22" x14ac:dyDescent="0.25">
      <c r="G709" cm="1">
        <f t="array" aca="1" ref="G709" ca="1">INDIRECT("Data!A" &amp; 704)</f>
        <v>0</v>
      </c>
      <c r="H709" s="21" cm="1">
        <f t="array" aca="1" ref="H709" ca="1">INDIRECT("Data!B" &amp; 704)</f>
        <v>0</v>
      </c>
      <c r="I709" s="21" cm="1">
        <f t="array" aca="1" ref="I709" ca="1">INDIRECT("Data!C" &amp; 704)</f>
        <v>0</v>
      </c>
      <c r="J709" cm="1">
        <f t="array" aca="1" ref="J709" ca="1">INDIRECT("Data!D" &amp; 704)</f>
        <v>0</v>
      </c>
      <c r="K709" cm="1">
        <f t="array" aca="1" ref="K709" ca="1">INDIRECT("Data!E" &amp; 704)</f>
        <v>0</v>
      </c>
      <c r="L709" cm="1">
        <f t="array" aca="1" ref="L709" ca="1">INDIRECT("Data!F" &amp; 704)</f>
        <v>0</v>
      </c>
      <c r="M709" cm="1">
        <f t="array" aca="1" ref="M709" ca="1">INDIRECT("Data!G" &amp; 704)</f>
        <v>0</v>
      </c>
      <c r="N709" cm="1">
        <f t="array" aca="1" ref="N709" ca="1">INDIRECT("Data!H" &amp; 704)</f>
        <v>0</v>
      </c>
      <c r="O709" cm="1">
        <f t="array" aca="1" ref="O709" ca="1">INDIRECT("Data!I" &amp; 704)</f>
        <v>0</v>
      </c>
      <c r="P709" s="21" cm="1">
        <f t="array" aca="1" ref="P709" ca="1">INDIRECT("Data!J" &amp; 704)</f>
        <v>0</v>
      </c>
      <c r="Q709" cm="1">
        <f t="array" aca="1" ref="Q709" ca="1">INDIRECT("Data!K" &amp; 704)</f>
        <v>0</v>
      </c>
      <c r="R709" cm="1">
        <f t="array" aca="1" ref="R709" ca="1">INDIRECT("Data!L" &amp; 704)</f>
        <v>0</v>
      </c>
      <c r="S709" cm="1">
        <f t="array" aca="1" ref="S709" ca="1">INDIRECT("Data!M" &amp; 704)</f>
        <v>0</v>
      </c>
      <c r="T709" cm="1">
        <f t="array" aca="1" ref="T709" ca="1">INDIRECT("Data!N" &amp; 704)</f>
        <v>0</v>
      </c>
      <c r="U709" cm="1">
        <f t="array" aca="1" ref="U709" ca="1">INDIRECT("Data!O" &amp; 704)</f>
        <v>0</v>
      </c>
      <c r="V709" cm="1">
        <f t="array" aca="1" ref="V709" ca="1">INDIRECT("Data!P" &amp; 704)</f>
        <v>0</v>
      </c>
    </row>
    <row r="710" spans="7:22" x14ac:dyDescent="0.25">
      <c r="G710" cm="1">
        <f t="array" aca="1" ref="G710" ca="1">INDIRECT("Data!A" &amp; 705)</f>
        <v>0</v>
      </c>
      <c r="H710" s="21" cm="1">
        <f t="array" aca="1" ref="H710" ca="1">INDIRECT("Data!B" &amp; 705)</f>
        <v>0</v>
      </c>
      <c r="I710" s="21" cm="1">
        <f t="array" aca="1" ref="I710" ca="1">INDIRECT("Data!C" &amp; 705)</f>
        <v>0</v>
      </c>
      <c r="J710" cm="1">
        <f t="array" aca="1" ref="J710" ca="1">INDIRECT("Data!D" &amp; 705)</f>
        <v>0</v>
      </c>
      <c r="K710" cm="1">
        <f t="array" aca="1" ref="K710" ca="1">INDIRECT("Data!E" &amp; 705)</f>
        <v>0</v>
      </c>
      <c r="L710" cm="1">
        <f t="array" aca="1" ref="L710" ca="1">INDIRECT("Data!F" &amp; 705)</f>
        <v>0</v>
      </c>
      <c r="M710" cm="1">
        <f t="array" aca="1" ref="M710" ca="1">INDIRECT("Data!G" &amp; 705)</f>
        <v>0</v>
      </c>
      <c r="N710" cm="1">
        <f t="array" aca="1" ref="N710" ca="1">INDIRECT("Data!H" &amp; 705)</f>
        <v>0</v>
      </c>
      <c r="O710" cm="1">
        <f t="array" aca="1" ref="O710" ca="1">INDIRECT("Data!I" &amp; 705)</f>
        <v>0</v>
      </c>
      <c r="P710" s="21" cm="1">
        <f t="array" aca="1" ref="P710" ca="1">INDIRECT("Data!J" &amp; 705)</f>
        <v>0</v>
      </c>
      <c r="Q710" cm="1">
        <f t="array" aca="1" ref="Q710" ca="1">INDIRECT("Data!K" &amp; 705)</f>
        <v>0</v>
      </c>
      <c r="R710" cm="1">
        <f t="array" aca="1" ref="R710" ca="1">INDIRECT("Data!L" &amp; 705)</f>
        <v>0</v>
      </c>
      <c r="S710" cm="1">
        <f t="array" aca="1" ref="S710" ca="1">INDIRECT("Data!M" &amp; 705)</f>
        <v>0</v>
      </c>
      <c r="T710" cm="1">
        <f t="array" aca="1" ref="T710" ca="1">INDIRECT("Data!N" &amp; 705)</f>
        <v>0</v>
      </c>
      <c r="U710" cm="1">
        <f t="array" aca="1" ref="U710" ca="1">INDIRECT("Data!O" &amp; 705)</f>
        <v>0</v>
      </c>
      <c r="V710" cm="1">
        <f t="array" aca="1" ref="V710" ca="1">INDIRECT("Data!P" &amp; 705)</f>
        <v>0</v>
      </c>
    </row>
    <row r="711" spans="7:22" x14ac:dyDescent="0.25">
      <c r="G711" cm="1">
        <f t="array" aca="1" ref="G711" ca="1">INDIRECT("Data!A" &amp; 706)</f>
        <v>0</v>
      </c>
      <c r="H711" s="21" cm="1">
        <f t="array" aca="1" ref="H711" ca="1">INDIRECT("Data!B" &amp; 706)</f>
        <v>0</v>
      </c>
      <c r="I711" s="21" cm="1">
        <f t="array" aca="1" ref="I711" ca="1">INDIRECT("Data!C" &amp; 706)</f>
        <v>0</v>
      </c>
      <c r="J711" cm="1">
        <f t="array" aca="1" ref="J711" ca="1">INDIRECT("Data!D" &amp; 706)</f>
        <v>0</v>
      </c>
      <c r="K711" cm="1">
        <f t="array" aca="1" ref="K711" ca="1">INDIRECT("Data!E" &amp; 706)</f>
        <v>0</v>
      </c>
      <c r="L711" cm="1">
        <f t="array" aca="1" ref="L711" ca="1">INDIRECT("Data!F" &amp; 706)</f>
        <v>0</v>
      </c>
      <c r="M711" cm="1">
        <f t="array" aca="1" ref="M711" ca="1">INDIRECT("Data!G" &amp; 706)</f>
        <v>0</v>
      </c>
      <c r="N711" cm="1">
        <f t="array" aca="1" ref="N711" ca="1">INDIRECT("Data!H" &amp; 706)</f>
        <v>0</v>
      </c>
      <c r="O711" cm="1">
        <f t="array" aca="1" ref="O711" ca="1">INDIRECT("Data!I" &amp; 706)</f>
        <v>0</v>
      </c>
      <c r="P711" s="21" cm="1">
        <f t="array" aca="1" ref="P711" ca="1">INDIRECT("Data!J" &amp; 706)</f>
        <v>0</v>
      </c>
      <c r="Q711" cm="1">
        <f t="array" aca="1" ref="Q711" ca="1">INDIRECT("Data!K" &amp; 706)</f>
        <v>0</v>
      </c>
      <c r="R711" cm="1">
        <f t="array" aca="1" ref="R711" ca="1">INDIRECT("Data!L" &amp; 706)</f>
        <v>0</v>
      </c>
      <c r="S711" cm="1">
        <f t="array" aca="1" ref="S711" ca="1">INDIRECT("Data!M" &amp; 706)</f>
        <v>0</v>
      </c>
      <c r="T711" cm="1">
        <f t="array" aca="1" ref="T711" ca="1">INDIRECT("Data!N" &amp; 706)</f>
        <v>0</v>
      </c>
      <c r="U711" cm="1">
        <f t="array" aca="1" ref="U711" ca="1">INDIRECT("Data!O" &amp; 706)</f>
        <v>0</v>
      </c>
      <c r="V711" cm="1">
        <f t="array" aca="1" ref="V711" ca="1">INDIRECT("Data!P" &amp; 706)</f>
        <v>0</v>
      </c>
    </row>
    <row r="712" spans="7:22" x14ac:dyDescent="0.25">
      <c r="G712" cm="1">
        <f t="array" aca="1" ref="G712" ca="1">INDIRECT("Data!A" &amp; 707)</f>
        <v>0</v>
      </c>
      <c r="H712" s="21" cm="1">
        <f t="array" aca="1" ref="H712" ca="1">INDIRECT("Data!B" &amp; 707)</f>
        <v>0</v>
      </c>
      <c r="I712" s="21" cm="1">
        <f t="array" aca="1" ref="I712" ca="1">INDIRECT("Data!C" &amp; 707)</f>
        <v>0</v>
      </c>
      <c r="J712" cm="1">
        <f t="array" aca="1" ref="J712" ca="1">INDIRECT("Data!D" &amp; 707)</f>
        <v>0</v>
      </c>
      <c r="K712" cm="1">
        <f t="array" aca="1" ref="K712" ca="1">INDIRECT("Data!E" &amp; 707)</f>
        <v>0</v>
      </c>
      <c r="L712" cm="1">
        <f t="array" aca="1" ref="L712" ca="1">INDIRECT("Data!F" &amp; 707)</f>
        <v>0</v>
      </c>
      <c r="M712" cm="1">
        <f t="array" aca="1" ref="M712" ca="1">INDIRECT("Data!G" &amp; 707)</f>
        <v>0</v>
      </c>
      <c r="N712" cm="1">
        <f t="array" aca="1" ref="N712" ca="1">INDIRECT("Data!H" &amp; 707)</f>
        <v>0</v>
      </c>
      <c r="O712" cm="1">
        <f t="array" aca="1" ref="O712" ca="1">INDIRECT("Data!I" &amp; 707)</f>
        <v>0</v>
      </c>
      <c r="P712" s="21" cm="1">
        <f t="array" aca="1" ref="P712" ca="1">INDIRECT("Data!J" &amp; 707)</f>
        <v>0</v>
      </c>
      <c r="Q712" cm="1">
        <f t="array" aca="1" ref="Q712" ca="1">INDIRECT("Data!K" &amp; 707)</f>
        <v>0</v>
      </c>
      <c r="R712" cm="1">
        <f t="array" aca="1" ref="R712" ca="1">INDIRECT("Data!L" &amp; 707)</f>
        <v>0</v>
      </c>
      <c r="S712" cm="1">
        <f t="array" aca="1" ref="S712" ca="1">INDIRECT("Data!M" &amp; 707)</f>
        <v>0</v>
      </c>
      <c r="T712" cm="1">
        <f t="array" aca="1" ref="T712" ca="1">INDIRECT("Data!N" &amp; 707)</f>
        <v>0</v>
      </c>
      <c r="U712" cm="1">
        <f t="array" aca="1" ref="U712" ca="1">INDIRECT("Data!O" &amp; 707)</f>
        <v>0</v>
      </c>
      <c r="V712" cm="1">
        <f t="array" aca="1" ref="V712" ca="1">INDIRECT("Data!P" &amp; 707)</f>
        <v>0</v>
      </c>
    </row>
    <row r="713" spans="7:22" x14ac:dyDescent="0.25">
      <c r="G713" cm="1">
        <f t="array" aca="1" ref="G713" ca="1">INDIRECT("Data!A" &amp; 708)</f>
        <v>0</v>
      </c>
      <c r="H713" s="21" cm="1">
        <f t="array" aca="1" ref="H713" ca="1">INDIRECT("Data!B" &amp; 708)</f>
        <v>0</v>
      </c>
      <c r="I713" s="21" cm="1">
        <f t="array" aca="1" ref="I713" ca="1">INDIRECT("Data!C" &amp; 708)</f>
        <v>0</v>
      </c>
      <c r="J713" cm="1">
        <f t="array" aca="1" ref="J713" ca="1">INDIRECT("Data!D" &amp; 708)</f>
        <v>0</v>
      </c>
      <c r="K713" cm="1">
        <f t="array" aca="1" ref="K713" ca="1">INDIRECT("Data!E" &amp; 708)</f>
        <v>0</v>
      </c>
      <c r="L713" cm="1">
        <f t="array" aca="1" ref="L713" ca="1">INDIRECT("Data!F" &amp; 708)</f>
        <v>0</v>
      </c>
      <c r="M713" cm="1">
        <f t="array" aca="1" ref="M713" ca="1">INDIRECT("Data!G" &amp; 708)</f>
        <v>0</v>
      </c>
      <c r="N713" cm="1">
        <f t="array" aca="1" ref="N713" ca="1">INDIRECT("Data!H" &amp; 708)</f>
        <v>0</v>
      </c>
      <c r="O713" cm="1">
        <f t="array" aca="1" ref="O713" ca="1">INDIRECT("Data!I" &amp; 708)</f>
        <v>0</v>
      </c>
      <c r="P713" s="21" cm="1">
        <f t="array" aca="1" ref="P713" ca="1">INDIRECT("Data!J" &amp; 708)</f>
        <v>0</v>
      </c>
      <c r="Q713" cm="1">
        <f t="array" aca="1" ref="Q713" ca="1">INDIRECT("Data!K" &amp; 708)</f>
        <v>0</v>
      </c>
      <c r="R713" cm="1">
        <f t="array" aca="1" ref="R713" ca="1">INDIRECT("Data!L" &amp; 708)</f>
        <v>0</v>
      </c>
      <c r="S713" cm="1">
        <f t="array" aca="1" ref="S713" ca="1">INDIRECT("Data!M" &amp; 708)</f>
        <v>0</v>
      </c>
      <c r="T713" cm="1">
        <f t="array" aca="1" ref="T713" ca="1">INDIRECT("Data!N" &amp; 708)</f>
        <v>0</v>
      </c>
      <c r="U713" cm="1">
        <f t="array" aca="1" ref="U713" ca="1">INDIRECT("Data!O" &amp; 708)</f>
        <v>0</v>
      </c>
      <c r="V713" cm="1">
        <f t="array" aca="1" ref="V713" ca="1">INDIRECT("Data!P" &amp; 708)</f>
        <v>0</v>
      </c>
    </row>
    <row r="714" spans="7:22" x14ac:dyDescent="0.25">
      <c r="G714" cm="1">
        <f t="array" aca="1" ref="G714" ca="1">INDIRECT("Data!A" &amp; 709)</f>
        <v>0</v>
      </c>
      <c r="H714" s="21" cm="1">
        <f t="array" aca="1" ref="H714" ca="1">INDIRECT("Data!B" &amp; 709)</f>
        <v>0</v>
      </c>
      <c r="I714" s="21" cm="1">
        <f t="array" aca="1" ref="I714" ca="1">INDIRECT("Data!C" &amp; 709)</f>
        <v>0</v>
      </c>
      <c r="J714" cm="1">
        <f t="array" aca="1" ref="J714" ca="1">INDIRECT("Data!D" &amp; 709)</f>
        <v>0</v>
      </c>
      <c r="K714" cm="1">
        <f t="array" aca="1" ref="K714" ca="1">INDIRECT("Data!E" &amp; 709)</f>
        <v>0</v>
      </c>
      <c r="L714" cm="1">
        <f t="array" aca="1" ref="L714" ca="1">INDIRECT("Data!F" &amp; 709)</f>
        <v>0</v>
      </c>
      <c r="M714" cm="1">
        <f t="array" aca="1" ref="M714" ca="1">INDIRECT("Data!G" &amp; 709)</f>
        <v>0</v>
      </c>
      <c r="N714" cm="1">
        <f t="array" aca="1" ref="N714" ca="1">INDIRECT("Data!H" &amp; 709)</f>
        <v>0</v>
      </c>
      <c r="O714" cm="1">
        <f t="array" aca="1" ref="O714" ca="1">INDIRECT("Data!I" &amp; 709)</f>
        <v>0</v>
      </c>
      <c r="P714" s="21" cm="1">
        <f t="array" aca="1" ref="P714" ca="1">INDIRECT("Data!J" &amp; 709)</f>
        <v>0</v>
      </c>
      <c r="Q714" cm="1">
        <f t="array" aca="1" ref="Q714" ca="1">INDIRECT("Data!K" &amp; 709)</f>
        <v>0</v>
      </c>
      <c r="R714" cm="1">
        <f t="array" aca="1" ref="R714" ca="1">INDIRECT("Data!L" &amp; 709)</f>
        <v>0</v>
      </c>
      <c r="S714" cm="1">
        <f t="array" aca="1" ref="S714" ca="1">INDIRECT("Data!M" &amp; 709)</f>
        <v>0</v>
      </c>
      <c r="T714" cm="1">
        <f t="array" aca="1" ref="T714" ca="1">INDIRECT("Data!N" &amp; 709)</f>
        <v>0</v>
      </c>
      <c r="U714" cm="1">
        <f t="array" aca="1" ref="U714" ca="1">INDIRECT("Data!O" &amp; 709)</f>
        <v>0</v>
      </c>
      <c r="V714" cm="1">
        <f t="array" aca="1" ref="V714" ca="1">INDIRECT("Data!P" &amp; 709)</f>
        <v>0</v>
      </c>
    </row>
    <row r="715" spans="7:22" x14ac:dyDescent="0.25">
      <c r="G715" cm="1">
        <f t="array" aca="1" ref="G715" ca="1">INDIRECT("Data!A" &amp; 710)</f>
        <v>0</v>
      </c>
      <c r="H715" s="21" cm="1">
        <f t="array" aca="1" ref="H715" ca="1">INDIRECT("Data!B" &amp; 710)</f>
        <v>0</v>
      </c>
      <c r="I715" s="21" cm="1">
        <f t="array" aca="1" ref="I715" ca="1">INDIRECT("Data!C" &amp; 710)</f>
        <v>0</v>
      </c>
      <c r="J715" cm="1">
        <f t="array" aca="1" ref="J715" ca="1">INDIRECT("Data!D" &amp; 710)</f>
        <v>0</v>
      </c>
      <c r="K715" cm="1">
        <f t="array" aca="1" ref="K715" ca="1">INDIRECT("Data!E" &amp; 710)</f>
        <v>0</v>
      </c>
      <c r="L715" cm="1">
        <f t="array" aca="1" ref="L715" ca="1">INDIRECT("Data!F" &amp; 710)</f>
        <v>0</v>
      </c>
      <c r="M715" cm="1">
        <f t="array" aca="1" ref="M715" ca="1">INDIRECT("Data!G" &amp; 710)</f>
        <v>0</v>
      </c>
      <c r="N715" cm="1">
        <f t="array" aca="1" ref="N715" ca="1">INDIRECT("Data!H" &amp; 710)</f>
        <v>0</v>
      </c>
      <c r="O715" cm="1">
        <f t="array" aca="1" ref="O715" ca="1">INDIRECT("Data!I" &amp; 710)</f>
        <v>0</v>
      </c>
      <c r="P715" s="21" cm="1">
        <f t="array" aca="1" ref="P715" ca="1">INDIRECT("Data!J" &amp; 710)</f>
        <v>0</v>
      </c>
      <c r="Q715" cm="1">
        <f t="array" aca="1" ref="Q715" ca="1">INDIRECT("Data!K" &amp; 710)</f>
        <v>0</v>
      </c>
      <c r="R715" cm="1">
        <f t="array" aca="1" ref="R715" ca="1">INDIRECT("Data!L" &amp; 710)</f>
        <v>0</v>
      </c>
      <c r="S715" cm="1">
        <f t="array" aca="1" ref="S715" ca="1">INDIRECT("Data!M" &amp; 710)</f>
        <v>0</v>
      </c>
      <c r="T715" cm="1">
        <f t="array" aca="1" ref="T715" ca="1">INDIRECT("Data!N" &amp; 710)</f>
        <v>0</v>
      </c>
      <c r="U715" cm="1">
        <f t="array" aca="1" ref="U715" ca="1">INDIRECT("Data!O" &amp; 710)</f>
        <v>0</v>
      </c>
      <c r="V715" cm="1">
        <f t="array" aca="1" ref="V715" ca="1">INDIRECT("Data!P" &amp; 710)</f>
        <v>0</v>
      </c>
    </row>
    <row r="716" spans="7:22" x14ac:dyDescent="0.25">
      <c r="G716" cm="1">
        <f t="array" aca="1" ref="G716" ca="1">INDIRECT("Data!A" &amp; 711)</f>
        <v>0</v>
      </c>
      <c r="H716" s="21" cm="1">
        <f t="array" aca="1" ref="H716" ca="1">INDIRECT("Data!B" &amp; 711)</f>
        <v>0</v>
      </c>
      <c r="I716" s="21" cm="1">
        <f t="array" aca="1" ref="I716" ca="1">INDIRECT("Data!C" &amp; 711)</f>
        <v>0</v>
      </c>
      <c r="J716" cm="1">
        <f t="array" aca="1" ref="J716" ca="1">INDIRECT("Data!D" &amp; 711)</f>
        <v>0</v>
      </c>
      <c r="K716" cm="1">
        <f t="array" aca="1" ref="K716" ca="1">INDIRECT("Data!E" &amp; 711)</f>
        <v>0</v>
      </c>
      <c r="L716" cm="1">
        <f t="array" aca="1" ref="L716" ca="1">INDIRECT("Data!F" &amp; 711)</f>
        <v>0</v>
      </c>
      <c r="M716" cm="1">
        <f t="array" aca="1" ref="M716" ca="1">INDIRECT("Data!G" &amp; 711)</f>
        <v>0</v>
      </c>
      <c r="N716" cm="1">
        <f t="array" aca="1" ref="N716" ca="1">INDIRECT("Data!H" &amp; 711)</f>
        <v>0</v>
      </c>
      <c r="O716" cm="1">
        <f t="array" aca="1" ref="O716" ca="1">INDIRECT("Data!I" &amp; 711)</f>
        <v>0</v>
      </c>
      <c r="P716" s="21" cm="1">
        <f t="array" aca="1" ref="P716" ca="1">INDIRECT("Data!J" &amp; 711)</f>
        <v>0</v>
      </c>
      <c r="Q716" cm="1">
        <f t="array" aca="1" ref="Q716" ca="1">INDIRECT("Data!K" &amp; 711)</f>
        <v>0</v>
      </c>
      <c r="R716" cm="1">
        <f t="array" aca="1" ref="R716" ca="1">INDIRECT("Data!L" &amp; 711)</f>
        <v>0</v>
      </c>
      <c r="S716" cm="1">
        <f t="array" aca="1" ref="S716" ca="1">INDIRECT("Data!M" &amp; 711)</f>
        <v>0</v>
      </c>
      <c r="T716" cm="1">
        <f t="array" aca="1" ref="T716" ca="1">INDIRECT("Data!N" &amp; 711)</f>
        <v>0</v>
      </c>
      <c r="U716" cm="1">
        <f t="array" aca="1" ref="U716" ca="1">INDIRECT("Data!O" &amp; 711)</f>
        <v>0</v>
      </c>
      <c r="V716" cm="1">
        <f t="array" aca="1" ref="V716" ca="1">INDIRECT("Data!P" &amp; 711)</f>
        <v>0</v>
      </c>
    </row>
    <row r="717" spans="7:22" x14ac:dyDescent="0.25">
      <c r="G717" cm="1">
        <f t="array" aca="1" ref="G717" ca="1">INDIRECT("Data!A" &amp; 712)</f>
        <v>0</v>
      </c>
      <c r="H717" s="21" cm="1">
        <f t="array" aca="1" ref="H717" ca="1">INDIRECT("Data!B" &amp; 712)</f>
        <v>0</v>
      </c>
      <c r="I717" s="21" cm="1">
        <f t="array" aca="1" ref="I717" ca="1">INDIRECT("Data!C" &amp; 712)</f>
        <v>0</v>
      </c>
      <c r="J717" cm="1">
        <f t="array" aca="1" ref="J717" ca="1">INDIRECT("Data!D" &amp; 712)</f>
        <v>0</v>
      </c>
      <c r="K717" cm="1">
        <f t="array" aca="1" ref="K717" ca="1">INDIRECT("Data!E" &amp; 712)</f>
        <v>0</v>
      </c>
      <c r="L717" cm="1">
        <f t="array" aca="1" ref="L717" ca="1">INDIRECT("Data!F" &amp; 712)</f>
        <v>0</v>
      </c>
      <c r="M717" cm="1">
        <f t="array" aca="1" ref="M717" ca="1">INDIRECT("Data!G" &amp; 712)</f>
        <v>0</v>
      </c>
      <c r="N717" cm="1">
        <f t="array" aca="1" ref="N717" ca="1">INDIRECT("Data!H" &amp; 712)</f>
        <v>0</v>
      </c>
      <c r="O717" cm="1">
        <f t="array" aca="1" ref="O717" ca="1">INDIRECT("Data!I" &amp; 712)</f>
        <v>0</v>
      </c>
      <c r="P717" s="21" cm="1">
        <f t="array" aca="1" ref="P717" ca="1">INDIRECT("Data!J" &amp; 712)</f>
        <v>0</v>
      </c>
      <c r="Q717" cm="1">
        <f t="array" aca="1" ref="Q717" ca="1">INDIRECT("Data!K" &amp; 712)</f>
        <v>0</v>
      </c>
      <c r="R717" cm="1">
        <f t="array" aca="1" ref="R717" ca="1">INDIRECT("Data!L" &amp; 712)</f>
        <v>0</v>
      </c>
      <c r="S717" cm="1">
        <f t="array" aca="1" ref="S717" ca="1">INDIRECT("Data!M" &amp; 712)</f>
        <v>0</v>
      </c>
      <c r="T717" cm="1">
        <f t="array" aca="1" ref="T717" ca="1">INDIRECT("Data!N" &amp; 712)</f>
        <v>0</v>
      </c>
      <c r="U717" cm="1">
        <f t="array" aca="1" ref="U717" ca="1">INDIRECT("Data!O" &amp; 712)</f>
        <v>0</v>
      </c>
      <c r="V717" cm="1">
        <f t="array" aca="1" ref="V717" ca="1">INDIRECT("Data!P" &amp; 712)</f>
        <v>0</v>
      </c>
    </row>
    <row r="718" spans="7:22" x14ac:dyDescent="0.25">
      <c r="G718" cm="1">
        <f t="array" aca="1" ref="G718" ca="1">INDIRECT("Data!A" &amp; 713)</f>
        <v>0</v>
      </c>
      <c r="H718" s="21" cm="1">
        <f t="array" aca="1" ref="H718" ca="1">INDIRECT("Data!B" &amp; 713)</f>
        <v>0</v>
      </c>
      <c r="I718" s="21" cm="1">
        <f t="array" aca="1" ref="I718" ca="1">INDIRECT("Data!C" &amp; 713)</f>
        <v>0</v>
      </c>
      <c r="J718" cm="1">
        <f t="array" aca="1" ref="J718" ca="1">INDIRECT("Data!D" &amp; 713)</f>
        <v>0</v>
      </c>
      <c r="K718" cm="1">
        <f t="array" aca="1" ref="K718" ca="1">INDIRECT("Data!E" &amp; 713)</f>
        <v>0</v>
      </c>
      <c r="L718" cm="1">
        <f t="array" aca="1" ref="L718" ca="1">INDIRECT("Data!F" &amp; 713)</f>
        <v>0</v>
      </c>
      <c r="M718" cm="1">
        <f t="array" aca="1" ref="M718" ca="1">INDIRECT("Data!G" &amp; 713)</f>
        <v>0</v>
      </c>
      <c r="N718" cm="1">
        <f t="array" aca="1" ref="N718" ca="1">INDIRECT("Data!H" &amp; 713)</f>
        <v>0</v>
      </c>
      <c r="O718" cm="1">
        <f t="array" aca="1" ref="O718" ca="1">INDIRECT("Data!I" &amp; 713)</f>
        <v>0</v>
      </c>
      <c r="P718" s="21" cm="1">
        <f t="array" aca="1" ref="P718" ca="1">INDIRECT("Data!J" &amp; 713)</f>
        <v>0</v>
      </c>
      <c r="Q718" cm="1">
        <f t="array" aca="1" ref="Q718" ca="1">INDIRECT("Data!K" &amp; 713)</f>
        <v>0</v>
      </c>
      <c r="R718" cm="1">
        <f t="array" aca="1" ref="R718" ca="1">INDIRECT("Data!L" &amp; 713)</f>
        <v>0</v>
      </c>
      <c r="S718" cm="1">
        <f t="array" aca="1" ref="S718" ca="1">INDIRECT("Data!M" &amp; 713)</f>
        <v>0</v>
      </c>
      <c r="T718" cm="1">
        <f t="array" aca="1" ref="T718" ca="1">INDIRECT("Data!N" &amp; 713)</f>
        <v>0</v>
      </c>
      <c r="U718" cm="1">
        <f t="array" aca="1" ref="U718" ca="1">INDIRECT("Data!O" &amp; 713)</f>
        <v>0</v>
      </c>
      <c r="V718" cm="1">
        <f t="array" aca="1" ref="V718" ca="1">INDIRECT("Data!P" &amp; 713)</f>
        <v>0</v>
      </c>
    </row>
    <row r="719" spans="7:22" x14ac:dyDescent="0.25">
      <c r="G719" cm="1">
        <f t="array" aca="1" ref="G719" ca="1">INDIRECT("Data!A" &amp; 714)</f>
        <v>0</v>
      </c>
      <c r="H719" s="21" cm="1">
        <f t="array" aca="1" ref="H719" ca="1">INDIRECT("Data!B" &amp; 714)</f>
        <v>0</v>
      </c>
      <c r="I719" s="21" cm="1">
        <f t="array" aca="1" ref="I719" ca="1">INDIRECT("Data!C" &amp; 714)</f>
        <v>0</v>
      </c>
      <c r="J719" cm="1">
        <f t="array" aca="1" ref="J719" ca="1">INDIRECT("Data!D" &amp; 714)</f>
        <v>0</v>
      </c>
      <c r="K719" cm="1">
        <f t="array" aca="1" ref="K719" ca="1">INDIRECT("Data!E" &amp; 714)</f>
        <v>0</v>
      </c>
      <c r="L719" cm="1">
        <f t="array" aca="1" ref="L719" ca="1">INDIRECT("Data!F" &amp; 714)</f>
        <v>0</v>
      </c>
      <c r="M719" cm="1">
        <f t="array" aca="1" ref="M719" ca="1">INDIRECT("Data!G" &amp; 714)</f>
        <v>0</v>
      </c>
      <c r="N719" cm="1">
        <f t="array" aca="1" ref="N719" ca="1">INDIRECT("Data!H" &amp; 714)</f>
        <v>0</v>
      </c>
      <c r="O719" cm="1">
        <f t="array" aca="1" ref="O719" ca="1">INDIRECT("Data!I" &amp; 714)</f>
        <v>0</v>
      </c>
      <c r="P719" s="21" cm="1">
        <f t="array" aca="1" ref="P719" ca="1">INDIRECT("Data!J" &amp; 714)</f>
        <v>0</v>
      </c>
      <c r="Q719" cm="1">
        <f t="array" aca="1" ref="Q719" ca="1">INDIRECT("Data!K" &amp; 714)</f>
        <v>0</v>
      </c>
      <c r="R719" cm="1">
        <f t="array" aca="1" ref="R719" ca="1">INDIRECT("Data!L" &amp; 714)</f>
        <v>0</v>
      </c>
      <c r="S719" cm="1">
        <f t="array" aca="1" ref="S719" ca="1">INDIRECT("Data!M" &amp; 714)</f>
        <v>0</v>
      </c>
      <c r="T719" cm="1">
        <f t="array" aca="1" ref="T719" ca="1">INDIRECT("Data!N" &amp; 714)</f>
        <v>0</v>
      </c>
      <c r="U719" cm="1">
        <f t="array" aca="1" ref="U719" ca="1">INDIRECT("Data!O" &amp; 714)</f>
        <v>0</v>
      </c>
      <c r="V719" cm="1">
        <f t="array" aca="1" ref="V719" ca="1">INDIRECT("Data!P" &amp; 714)</f>
        <v>0</v>
      </c>
    </row>
    <row r="720" spans="7:22" x14ac:dyDescent="0.25">
      <c r="G720" cm="1">
        <f t="array" aca="1" ref="G720" ca="1">INDIRECT("Data!A" &amp; 715)</f>
        <v>0</v>
      </c>
      <c r="H720" s="21" cm="1">
        <f t="array" aca="1" ref="H720" ca="1">INDIRECT("Data!B" &amp; 715)</f>
        <v>0</v>
      </c>
      <c r="I720" s="21" cm="1">
        <f t="array" aca="1" ref="I720" ca="1">INDIRECT("Data!C" &amp; 715)</f>
        <v>0</v>
      </c>
      <c r="J720" cm="1">
        <f t="array" aca="1" ref="J720" ca="1">INDIRECT("Data!D" &amp; 715)</f>
        <v>0</v>
      </c>
      <c r="K720" cm="1">
        <f t="array" aca="1" ref="K720" ca="1">INDIRECT("Data!E" &amp; 715)</f>
        <v>0</v>
      </c>
      <c r="L720" cm="1">
        <f t="array" aca="1" ref="L720" ca="1">INDIRECT("Data!F" &amp; 715)</f>
        <v>0</v>
      </c>
      <c r="M720" cm="1">
        <f t="array" aca="1" ref="M720" ca="1">INDIRECT("Data!G" &amp; 715)</f>
        <v>0</v>
      </c>
      <c r="N720" cm="1">
        <f t="array" aca="1" ref="N720" ca="1">INDIRECT("Data!H" &amp; 715)</f>
        <v>0</v>
      </c>
      <c r="O720" cm="1">
        <f t="array" aca="1" ref="O720" ca="1">INDIRECT("Data!I" &amp; 715)</f>
        <v>0</v>
      </c>
      <c r="P720" s="21" cm="1">
        <f t="array" aca="1" ref="P720" ca="1">INDIRECT("Data!J" &amp; 715)</f>
        <v>0</v>
      </c>
      <c r="Q720" cm="1">
        <f t="array" aca="1" ref="Q720" ca="1">INDIRECT("Data!K" &amp; 715)</f>
        <v>0</v>
      </c>
      <c r="R720" cm="1">
        <f t="array" aca="1" ref="R720" ca="1">INDIRECT("Data!L" &amp; 715)</f>
        <v>0</v>
      </c>
      <c r="S720" cm="1">
        <f t="array" aca="1" ref="S720" ca="1">INDIRECT("Data!M" &amp; 715)</f>
        <v>0</v>
      </c>
      <c r="T720" cm="1">
        <f t="array" aca="1" ref="T720" ca="1">INDIRECT("Data!N" &amp; 715)</f>
        <v>0</v>
      </c>
      <c r="U720" cm="1">
        <f t="array" aca="1" ref="U720" ca="1">INDIRECT("Data!O" &amp; 715)</f>
        <v>0</v>
      </c>
      <c r="V720" cm="1">
        <f t="array" aca="1" ref="V720" ca="1">INDIRECT("Data!P" &amp; 715)</f>
        <v>0</v>
      </c>
    </row>
    <row r="721" spans="7:22" x14ac:dyDescent="0.25">
      <c r="G721" cm="1">
        <f t="array" aca="1" ref="G721" ca="1">INDIRECT("Data!A" &amp; 716)</f>
        <v>0</v>
      </c>
      <c r="H721" s="21" cm="1">
        <f t="array" aca="1" ref="H721" ca="1">INDIRECT("Data!B" &amp; 716)</f>
        <v>0</v>
      </c>
      <c r="I721" s="21" cm="1">
        <f t="array" aca="1" ref="I721" ca="1">INDIRECT("Data!C" &amp; 716)</f>
        <v>0</v>
      </c>
      <c r="J721" cm="1">
        <f t="array" aca="1" ref="J721" ca="1">INDIRECT("Data!D" &amp; 716)</f>
        <v>0</v>
      </c>
      <c r="K721" cm="1">
        <f t="array" aca="1" ref="K721" ca="1">INDIRECT("Data!E" &amp; 716)</f>
        <v>0</v>
      </c>
      <c r="L721" cm="1">
        <f t="array" aca="1" ref="L721" ca="1">INDIRECT("Data!F" &amp; 716)</f>
        <v>0</v>
      </c>
      <c r="M721" cm="1">
        <f t="array" aca="1" ref="M721" ca="1">INDIRECT("Data!G" &amp; 716)</f>
        <v>0</v>
      </c>
      <c r="N721" cm="1">
        <f t="array" aca="1" ref="N721" ca="1">INDIRECT("Data!H" &amp; 716)</f>
        <v>0</v>
      </c>
      <c r="O721" cm="1">
        <f t="array" aca="1" ref="O721" ca="1">INDIRECT("Data!I" &amp; 716)</f>
        <v>0</v>
      </c>
      <c r="P721" s="21" cm="1">
        <f t="array" aca="1" ref="P721" ca="1">INDIRECT("Data!J" &amp; 716)</f>
        <v>0</v>
      </c>
      <c r="Q721" cm="1">
        <f t="array" aca="1" ref="Q721" ca="1">INDIRECT("Data!K" &amp; 716)</f>
        <v>0</v>
      </c>
      <c r="R721" cm="1">
        <f t="array" aca="1" ref="R721" ca="1">INDIRECT("Data!L" &amp; 716)</f>
        <v>0</v>
      </c>
      <c r="S721" cm="1">
        <f t="array" aca="1" ref="S721" ca="1">INDIRECT("Data!M" &amp; 716)</f>
        <v>0</v>
      </c>
      <c r="T721" cm="1">
        <f t="array" aca="1" ref="T721" ca="1">INDIRECT("Data!N" &amp; 716)</f>
        <v>0</v>
      </c>
      <c r="U721" cm="1">
        <f t="array" aca="1" ref="U721" ca="1">INDIRECT("Data!O" &amp; 716)</f>
        <v>0</v>
      </c>
      <c r="V721" cm="1">
        <f t="array" aca="1" ref="V721" ca="1">INDIRECT("Data!P" &amp; 716)</f>
        <v>0</v>
      </c>
    </row>
    <row r="722" spans="7:22" x14ac:dyDescent="0.25">
      <c r="G722" cm="1">
        <f t="array" aca="1" ref="G722" ca="1">INDIRECT("Data!A" &amp; 717)</f>
        <v>0</v>
      </c>
      <c r="H722" s="21" cm="1">
        <f t="array" aca="1" ref="H722" ca="1">INDIRECT("Data!B" &amp; 717)</f>
        <v>0</v>
      </c>
      <c r="I722" s="21" cm="1">
        <f t="array" aca="1" ref="I722" ca="1">INDIRECT("Data!C" &amp; 717)</f>
        <v>0</v>
      </c>
      <c r="J722" cm="1">
        <f t="array" aca="1" ref="J722" ca="1">INDIRECT("Data!D" &amp; 717)</f>
        <v>0</v>
      </c>
      <c r="K722" cm="1">
        <f t="array" aca="1" ref="K722" ca="1">INDIRECT("Data!E" &amp; 717)</f>
        <v>0</v>
      </c>
      <c r="L722" cm="1">
        <f t="array" aca="1" ref="L722" ca="1">INDIRECT("Data!F" &amp; 717)</f>
        <v>0</v>
      </c>
      <c r="M722" cm="1">
        <f t="array" aca="1" ref="M722" ca="1">INDIRECT("Data!G" &amp; 717)</f>
        <v>0</v>
      </c>
      <c r="N722" cm="1">
        <f t="array" aca="1" ref="N722" ca="1">INDIRECT("Data!H" &amp; 717)</f>
        <v>0</v>
      </c>
      <c r="O722" cm="1">
        <f t="array" aca="1" ref="O722" ca="1">INDIRECT("Data!I" &amp; 717)</f>
        <v>0</v>
      </c>
      <c r="P722" s="21" cm="1">
        <f t="array" aca="1" ref="P722" ca="1">INDIRECT("Data!J" &amp; 717)</f>
        <v>0</v>
      </c>
      <c r="Q722" cm="1">
        <f t="array" aca="1" ref="Q722" ca="1">INDIRECT("Data!K" &amp; 717)</f>
        <v>0</v>
      </c>
      <c r="R722" cm="1">
        <f t="array" aca="1" ref="R722" ca="1">INDIRECT("Data!L" &amp; 717)</f>
        <v>0</v>
      </c>
      <c r="S722" cm="1">
        <f t="array" aca="1" ref="S722" ca="1">INDIRECT("Data!M" &amp; 717)</f>
        <v>0</v>
      </c>
      <c r="T722" cm="1">
        <f t="array" aca="1" ref="T722" ca="1">INDIRECT("Data!N" &amp; 717)</f>
        <v>0</v>
      </c>
      <c r="U722" cm="1">
        <f t="array" aca="1" ref="U722" ca="1">INDIRECT("Data!O" &amp; 717)</f>
        <v>0</v>
      </c>
      <c r="V722" cm="1">
        <f t="array" aca="1" ref="V722" ca="1">INDIRECT("Data!P" &amp; 717)</f>
        <v>0</v>
      </c>
    </row>
    <row r="723" spans="7:22" x14ac:dyDescent="0.25">
      <c r="G723" cm="1">
        <f t="array" aca="1" ref="G723" ca="1">INDIRECT("Data!A" &amp; 718)</f>
        <v>0</v>
      </c>
      <c r="H723" s="21" cm="1">
        <f t="array" aca="1" ref="H723" ca="1">INDIRECT("Data!B" &amp; 718)</f>
        <v>0</v>
      </c>
      <c r="I723" s="21" cm="1">
        <f t="array" aca="1" ref="I723" ca="1">INDIRECT("Data!C" &amp; 718)</f>
        <v>0</v>
      </c>
      <c r="J723" cm="1">
        <f t="array" aca="1" ref="J723" ca="1">INDIRECT("Data!D" &amp; 718)</f>
        <v>0</v>
      </c>
      <c r="K723" cm="1">
        <f t="array" aca="1" ref="K723" ca="1">INDIRECT("Data!E" &amp; 718)</f>
        <v>0</v>
      </c>
      <c r="L723" cm="1">
        <f t="array" aca="1" ref="L723" ca="1">INDIRECT("Data!F" &amp; 718)</f>
        <v>0</v>
      </c>
      <c r="M723" cm="1">
        <f t="array" aca="1" ref="M723" ca="1">INDIRECT("Data!G" &amp; 718)</f>
        <v>0</v>
      </c>
      <c r="N723" cm="1">
        <f t="array" aca="1" ref="N723" ca="1">INDIRECT("Data!H" &amp; 718)</f>
        <v>0</v>
      </c>
      <c r="O723" cm="1">
        <f t="array" aca="1" ref="O723" ca="1">INDIRECT("Data!I" &amp; 718)</f>
        <v>0</v>
      </c>
      <c r="P723" s="21" cm="1">
        <f t="array" aca="1" ref="P723" ca="1">INDIRECT("Data!J" &amp; 718)</f>
        <v>0</v>
      </c>
      <c r="Q723" cm="1">
        <f t="array" aca="1" ref="Q723" ca="1">INDIRECT("Data!K" &amp; 718)</f>
        <v>0</v>
      </c>
      <c r="R723" cm="1">
        <f t="array" aca="1" ref="R723" ca="1">INDIRECT("Data!L" &amp; 718)</f>
        <v>0</v>
      </c>
      <c r="S723" cm="1">
        <f t="array" aca="1" ref="S723" ca="1">INDIRECT("Data!M" &amp; 718)</f>
        <v>0</v>
      </c>
      <c r="T723" cm="1">
        <f t="array" aca="1" ref="T723" ca="1">INDIRECT("Data!N" &amp; 718)</f>
        <v>0</v>
      </c>
      <c r="U723" cm="1">
        <f t="array" aca="1" ref="U723" ca="1">INDIRECT("Data!O" &amp; 718)</f>
        <v>0</v>
      </c>
      <c r="V723" cm="1">
        <f t="array" aca="1" ref="V723" ca="1">INDIRECT("Data!P" &amp; 718)</f>
        <v>0</v>
      </c>
    </row>
    <row r="724" spans="7:22" x14ac:dyDescent="0.25">
      <c r="G724" cm="1">
        <f t="array" aca="1" ref="G724" ca="1">INDIRECT("Data!A" &amp; 719)</f>
        <v>0</v>
      </c>
      <c r="H724" s="21" cm="1">
        <f t="array" aca="1" ref="H724" ca="1">INDIRECT("Data!B" &amp; 719)</f>
        <v>0</v>
      </c>
      <c r="I724" s="21" cm="1">
        <f t="array" aca="1" ref="I724" ca="1">INDIRECT("Data!C" &amp; 719)</f>
        <v>0</v>
      </c>
      <c r="J724" cm="1">
        <f t="array" aca="1" ref="J724" ca="1">INDIRECT("Data!D" &amp; 719)</f>
        <v>0</v>
      </c>
      <c r="K724" cm="1">
        <f t="array" aca="1" ref="K724" ca="1">INDIRECT("Data!E" &amp; 719)</f>
        <v>0</v>
      </c>
      <c r="L724" cm="1">
        <f t="array" aca="1" ref="L724" ca="1">INDIRECT("Data!F" &amp; 719)</f>
        <v>0</v>
      </c>
      <c r="M724" cm="1">
        <f t="array" aca="1" ref="M724" ca="1">INDIRECT("Data!G" &amp; 719)</f>
        <v>0</v>
      </c>
      <c r="N724" cm="1">
        <f t="array" aca="1" ref="N724" ca="1">INDIRECT("Data!H" &amp; 719)</f>
        <v>0</v>
      </c>
      <c r="O724" cm="1">
        <f t="array" aca="1" ref="O724" ca="1">INDIRECT("Data!I" &amp; 719)</f>
        <v>0</v>
      </c>
      <c r="P724" s="21" cm="1">
        <f t="array" aca="1" ref="P724" ca="1">INDIRECT("Data!J" &amp; 719)</f>
        <v>0</v>
      </c>
      <c r="Q724" cm="1">
        <f t="array" aca="1" ref="Q724" ca="1">INDIRECT("Data!K" &amp; 719)</f>
        <v>0</v>
      </c>
      <c r="R724" cm="1">
        <f t="array" aca="1" ref="R724" ca="1">INDIRECT("Data!L" &amp; 719)</f>
        <v>0</v>
      </c>
      <c r="S724" cm="1">
        <f t="array" aca="1" ref="S724" ca="1">INDIRECT("Data!M" &amp; 719)</f>
        <v>0</v>
      </c>
      <c r="T724" cm="1">
        <f t="array" aca="1" ref="T724" ca="1">INDIRECT("Data!N" &amp; 719)</f>
        <v>0</v>
      </c>
      <c r="U724" cm="1">
        <f t="array" aca="1" ref="U724" ca="1">INDIRECT("Data!O" &amp; 719)</f>
        <v>0</v>
      </c>
      <c r="V724" cm="1">
        <f t="array" aca="1" ref="V724" ca="1">INDIRECT("Data!P" &amp; 719)</f>
        <v>0</v>
      </c>
    </row>
    <row r="725" spans="7:22" x14ac:dyDescent="0.25">
      <c r="G725" cm="1">
        <f t="array" aca="1" ref="G725" ca="1">INDIRECT("Data!A" &amp; 720)</f>
        <v>0</v>
      </c>
      <c r="H725" s="21" cm="1">
        <f t="array" aca="1" ref="H725" ca="1">INDIRECT("Data!B" &amp; 720)</f>
        <v>0</v>
      </c>
      <c r="I725" s="21" cm="1">
        <f t="array" aca="1" ref="I725" ca="1">INDIRECT("Data!C" &amp; 720)</f>
        <v>0</v>
      </c>
      <c r="J725" cm="1">
        <f t="array" aca="1" ref="J725" ca="1">INDIRECT("Data!D" &amp; 720)</f>
        <v>0</v>
      </c>
      <c r="K725" cm="1">
        <f t="array" aca="1" ref="K725" ca="1">INDIRECT("Data!E" &amp; 720)</f>
        <v>0</v>
      </c>
      <c r="L725" cm="1">
        <f t="array" aca="1" ref="L725" ca="1">INDIRECT("Data!F" &amp; 720)</f>
        <v>0</v>
      </c>
      <c r="M725" cm="1">
        <f t="array" aca="1" ref="M725" ca="1">INDIRECT("Data!G" &amp; 720)</f>
        <v>0</v>
      </c>
      <c r="N725" cm="1">
        <f t="array" aca="1" ref="N725" ca="1">INDIRECT("Data!H" &amp; 720)</f>
        <v>0</v>
      </c>
      <c r="O725" cm="1">
        <f t="array" aca="1" ref="O725" ca="1">INDIRECT("Data!I" &amp; 720)</f>
        <v>0</v>
      </c>
      <c r="P725" s="21" cm="1">
        <f t="array" aca="1" ref="P725" ca="1">INDIRECT("Data!J" &amp; 720)</f>
        <v>0</v>
      </c>
      <c r="Q725" cm="1">
        <f t="array" aca="1" ref="Q725" ca="1">INDIRECT("Data!K" &amp; 720)</f>
        <v>0</v>
      </c>
      <c r="R725" cm="1">
        <f t="array" aca="1" ref="R725" ca="1">INDIRECT("Data!L" &amp; 720)</f>
        <v>0</v>
      </c>
      <c r="S725" cm="1">
        <f t="array" aca="1" ref="S725" ca="1">INDIRECT("Data!M" &amp; 720)</f>
        <v>0</v>
      </c>
      <c r="T725" cm="1">
        <f t="array" aca="1" ref="T725" ca="1">INDIRECT("Data!N" &amp; 720)</f>
        <v>0</v>
      </c>
      <c r="U725" cm="1">
        <f t="array" aca="1" ref="U725" ca="1">INDIRECT("Data!O" &amp; 720)</f>
        <v>0</v>
      </c>
      <c r="V725" cm="1">
        <f t="array" aca="1" ref="V725" ca="1">INDIRECT("Data!P" &amp; 720)</f>
        <v>0</v>
      </c>
    </row>
    <row r="726" spans="7:22" x14ac:dyDescent="0.25">
      <c r="G726" cm="1">
        <f t="array" aca="1" ref="G726" ca="1">INDIRECT("Data!A" &amp; 721)</f>
        <v>0</v>
      </c>
      <c r="H726" s="21" cm="1">
        <f t="array" aca="1" ref="H726" ca="1">INDIRECT("Data!B" &amp; 721)</f>
        <v>0</v>
      </c>
      <c r="I726" s="21" cm="1">
        <f t="array" aca="1" ref="I726" ca="1">INDIRECT("Data!C" &amp; 721)</f>
        <v>0</v>
      </c>
      <c r="J726" cm="1">
        <f t="array" aca="1" ref="J726" ca="1">INDIRECT("Data!D" &amp; 721)</f>
        <v>0</v>
      </c>
      <c r="K726" cm="1">
        <f t="array" aca="1" ref="K726" ca="1">INDIRECT("Data!E" &amp; 721)</f>
        <v>0</v>
      </c>
      <c r="L726" cm="1">
        <f t="array" aca="1" ref="L726" ca="1">INDIRECT("Data!F" &amp; 721)</f>
        <v>0</v>
      </c>
      <c r="M726" cm="1">
        <f t="array" aca="1" ref="M726" ca="1">INDIRECT("Data!G" &amp; 721)</f>
        <v>0</v>
      </c>
      <c r="N726" cm="1">
        <f t="array" aca="1" ref="N726" ca="1">INDIRECT("Data!H" &amp; 721)</f>
        <v>0</v>
      </c>
      <c r="O726" cm="1">
        <f t="array" aca="1" ref="O726" ca="1">INDIRECT("Data!I" &amp; 721)</f>
        <v>0</v>
      </c>
      <c r="P726" s="21" cm="1">
        <f t="array" aca="1" ref="P726" ca="1">INDIRECT("Data!J" &amp; 721)</f>
        <v>0</v>
      </c>
      <c r="Q726" cm="1">
        <f t="array" aca="1" ref="Q726" ca="1">INDIRECT("Data!K" &amp; 721)</f>
        <v>0</v>
      </c>
      <c r="R726" cm="1">
        <f t="array" aca="1" ref="R726" ca="1">INDIRECT("Data!L" &amp; 721)</f>
        <v>0</v>
      </c>
      <c r="S726" cm="1">
        <f t="array" aca="1" ref="S726" ca="1">INDIRECT("Data!M" &amp; 721)</f>
        <v>0</v>
      </c>
      <c r="T726" cm="1">
        <f t="array" aca="1" ref="T726" ca="1">INDIRECT("Data!N" &amp; 721)</f>
        <v>0</v>
      </c>
      <c r="U726" cm="1">
        <f t="array" aca="1" ref="U726" ca="1">INDIRECT("Data!O" &amp; 721)</f>
        <v>0</v>
      </c>
      <c r="V726" cm="1">
        <f t="array" aca="1" ref="V726" ca="1">INDIRECT("Data!P" &amp; 721)</f>
        <v>0</v>
      </c>
    </row>
    <row r="727" spans="7:22" x14ac:dyDescent="0.25">
      <c r="G727" cm="1">
        <f t="array" aca="1" ref="G727" ca="1">INDIRECT("Data!A" &amp; 722)</f>
        <v>0</v>
      </c>
      <c r="H727" s="21" cm="1">
        <f t="array" aca="1" ref="H727" ca="1">INDIRECT("Data!B" &amp; 722)</f>
        <v>0</v>
      </c>
      <c r="I727" s="21" cm="1">
        <f t="array" aca="1" ref="I727" ca="1">INDIRECT("Data!C" &amp; 722)</f>
        <v>0</v>
      </c>
      <c r="J727" cm="1">
        <f t="array" aca="1" ref="J727" ca="1">INDIRECT("Data!D" &amp; 722)</f>
        <v>0</v>
      </c>
      <c r="K727" cm="1">
        <f t="array" aca="1" ref="K727" ca="1">INDIRECT("Data!E" &amp; 722)</f>
        <v>0</v>
      </c>
      <c r="L727" cm="1">
        <f t="array" aca="1" ref="L727" ca="1">INDIRECT("Data!F" &amp; 722)</f>
        <v>0</v>
      </c>
      <c r="M727" cm="1">
        <f t="array" aca="1" ref="M727" ca="1">INDIRECT("Data!G" &amp; 722)</f>
        <v>0</v>
      </c>
      <c r="N727" cm="1">
        <f t="array" aca="1" ref="N727" ca="1">INDIRECT("Data!H" &amp; 722)</f>
        <v>0</v>
      </c>
      <c r="O727" cm="1">
        <f t="array" aca="1" ref="O727" ca="1">INDIRECT("Data!I" &amp; 722)</f>
        <v>0</v>
      </c>
      <c r="P727" s="21" cm="1">
        <f t="array" aca="1" ref="P727" ca="1">INDIRECT("Data!J" &amp; 722)</f>
        <v>0</v>
      </c>
      <c r="Q727" cm="1">
        <f t="array" aca="1" ref="Q727" ca="1">INDIRECT("Data!K" &amp; 722)</f>
        <v>0</v>
      </c>
      <c r="R727" cm="1">
        <f t="array" aca="1" ref="R727" ca="1">INDIRECT("Data!L" &amp; 722)</f>
        <v>0</v>
      </c>
      <c r="S727" cm="1">
        <f t="array" aca="1" ref="S727" ca="1">INDIRECT("Data!M" &amp; 722)</f>
        <v>0</v>
      </c>
      <c r="T727" cm="1">
        <f t="array" aca="1" ref="T727" ca="1">INDIRECT("Data!N" &amp; 722)</f>
        <v>0</v>
      </c>
      <c r="U727" cm="1">
        <f t="array" aca="1" ref="U727" ca="1">INDIRECT("Data!O" &amp; 722)</f>
        <v>0</v>
      </c>
      <c r="V727" cm="1">
        <f t="array" aca="1" ref="V727" ca="1">INDIRECT("Data!P" &amp; 722)</f>
        <v>0</v>
      </c>
    </row>
    <row r="728" spans="7:22" x14ac:dyDescent="0.25">
      <c r="G728" cm="1">
        <f t="array" aca="1" ref="G728" ca="1">INDIRECT("Data!A" &amp; 723)</f>
        <v>0</v>
      </c>
      <c r="H728" s="21" cm="1">
        <f t="array" aca="1" ref="H728" ca="1">INDIRECT("Data!B" &amp; 723)</f>
        <v>0</v>
      </c>
      <c r="I728" s="21" cm="1">
        <f t="array" aca="1" ref="I728" ca="1">INDIRECT("Data!C" &amp; 723)</f>
        <v>0</v>
      </c>
      <c r="J728" cm="1">
        <f t="array" aca="1" ref="J728" ca="1">INDIRECT("Data!D" &amp; 723)</f>
        <v>0</v>
      </c>
      <c r="K728" cm="1">
        <f t="array" aca="1" ref="K728" ca="1">INDIRECT("Data!E" &amp; 723)</f>
        <v>0</v>
      </c>
      <c r="L728" cm="1">
        <f t="array" aca="1" ref="L728" ca="1">INDIRECT("Data!F" &amp; 723)</f>
        <v>0</v>
      </c>
      <c r="M728" cm="1">
        <f t="array" aca="1" ref="M728" ca="1">INDIRECT("Data!G" &amp; 723)</f>
        <v>0</v>
      </c>
      <c r="N728" cm="1">
        <f t="array" aca="1" ref="N728" ca="1">INDIRECT("Data!H" &amp; 723)</f>
        <v>0</v>
      </c>
      <c r="O728" cm="1">
        <f t="array" aca="1" ref="O728" ca="1">INDIRECT("Data!I" &amp; 723)</f>
        <v>0</v>
      </c>
      <c r="P728" s="21" cm="1">
        <f t="array" aca="1" ref="P728" ca="1">INDIRECT("Data!J" &amp; 723)</f>
        <v>0</v>
      </c>
      <c r="Q728" cm="1">
        <f t="array" aca="1" ref="Q728" ca="1">INDIRECT("Data!K" &amp; 723)</f>
        <v>0</v>
      </c>
      <c r="R728" cm="1">
        <f t="array" aca="1" ref="R728" ca="1">INDIRECT("Data!L" &amp; 723)</f>
        <v>0</v>
      </c>
      <c r="S728" cm="1">
        <f t="array" aca="1" ref="S728" ca="1">INDIRECT("Data!M" &amp; 723)</f>
        <v>0</v>
      </c>
      <c r="T728" cm="1">
        <f t="array" aca="1" ref="T728" ca="1">INDIRECT("Data!N" &amp; 723)</f>
        <v>0</v>
      </c>
      <c r="U728" cm="1">
        <f t="array" aca="1" ref="U728" ca="1">INDIRECT("Data!O" &amp; 723)</f>
        <v>0</v>
      </c>
      <c r="V728" cm="1">
        <f t="array" aca="1" ref="V728" ca="1">INDIRECT("Data!P" &amp; 723)</f>
        <v>0</v>
      </c>
    </row>
    <row r="729" spans="7:22" x14ac:dyDescent="0.25">
      <c r="G729" cm="1">
        <f t="array" aca="1" ref="G729" ca="1">INDIRECT("Data!A" &amp; 724)</f>
        <v>0</v>
      </c>
      <c r="H729" s="21" cm="1">
        <f t="array" aca="1" ref="H729" ca="1">INDIRECT("Data!B" &amp; 724)</f>
        <v>0</v>
      </c>
      <c r="I729" s="21" cm="1">
        <f t="array" aca="1" ref="I729" ca="1">INDIRECT("Data!C" &amp; 724)</f>
        <v>0</v>
      </c>
      <c r="J729" cm="1">
        <f t="array" aca="1" ref="J729" ca="1">INDIRECT("Data!D" &amp; 724)</f>
        <v>0</v>
      </c>
      <c r="K729" cm="1">
        <f t="array" aca="1" ref="K729" ca="1">INDIRECT("Data!E" &amp; 724)</f>
        <v>0</v>
      </c>
      <c r="L729" cm="1">
        <f t="array" aca="1" ref="L729" ca="1">INDIRECT("Data!F" &amp; 724)</f>
        <v>0</v>
      </c>
      <c r="M729" cm="1">
        <f t="array" aca="1" ref="M729" ca="1">INDIRECT("Data!G" &amp; 724)</f>
        <v>0</v>
      </c>
      <c r="N729" cm="1">
        <f t="array" aca="1" ref="N729" ca="1">INDIRECT("Data!H" &amp; 724)</f>
        <v>0</v>
      </c>
      <c r="O729" cm="1">
        <f t="array" aca="1" ref="O729" ca="1">INDIRECT("Data!I" &amp; 724)</f>
        <v>0</v>
      </c>
      <c r="P729" s="21" cm="1">
        <f t="array" aca="1" ref="P729" ca="1">INDIRECT("Data!J" &amp; 724)</f>
        <v>0</v>
      </c>
      <c r="Q729" cm="1">
        <f t="array" aca="1" ref="Q729" ca="1">INDIRECT("Data!K" &amp; 724)</f>
        <v>0</v>
      </c>
      <c r="R729" cm="1">
        <f t="array" aca="1" ref="R729" ca="1">INDIRECT("Data!L" &amp; 724)</f>
        <v>0</v>
      </c>
      <c r="S729" cm="1">
        <f t="array" aca="1" ref="S729" ca="1">INDIRECT("Data!M" &amp; 724)</f>
        <v>0</v>
      </c>
      <c r="T729" cm="1">
        <f t="array" aca="1" ref="T729" ca="1">INDIRECT("Data!N" &amp; 724)</f>
        <v>0</v>
      </c>
      <c r="U729" cm="1">
        <f t="array" aca="1" ref="U729" ca="1">INDIRECT("Data!O" &amp; 724)</f>
        <v>0</v>
      </c>
      <c r="V729" cm="1">
        <f t="array" aca="1" ref="V729" ca="1">INDIRECT("Data!P" &amp; 724)</f>
        <v>0</v>
      </c>
    </row>
    <row r="730" spans="7:22" x14ac:dyDescent="0.25">
      <c r="G730" cm="1">
        <f t="array" aca="1" ref="G730" ca="1">INDIRECT("Data!A" &amp; 725)</f>
        <v>0</v>
      </c>
      <c r="H730" s="21" cm="1">
        <f t="array" aca="1" ref="H730" ca="1">INDIRECT("Data!B" &amp; 725)</f>
        <v>0</v>
      </c>
      <c r="I730" s="21" cm="1">
        <f t="array" aca="1" ref="I730" ca="1">INDIRECT("Data!C" &amp; 725)</f>
        <v>0</v>
      </c>
      <c r="J730" cm="1">
        <f t="array" aca="1" ref="J730" ca="1">INDIRECT("Data!D" &amp; 725)</f>
        <v>0</v>
      </c>
      <c r="K730" cm="1">
        <f t="array" aca="1" ref="K730" ca="1">INDIRECT("Data!E" &amp; 725)</f>
        <v>0</v>
      </c>
      <c r="L730" cm="1">
        <f t="array" aca="1" ref="L730" ca="1">INDIRECT("Data!F" &amp; 725)</f>
        <v>0</v>
      </c>
      <c r="M730" cm="1">
        <f t="array" aca="1" ref="M730" ca="1">INDIRECT("Data!G" &amp; 725)</f>
        <v>0</v>
      </c>
      <c r="N730" cm="1">
        <f t="array" aca="1" ref="N730" ca="1">INDIRECT("Data!H" &amp; 725)</f>
        <v>0</v>
      </c>
      <c r="O730" cm="1">
        <f t="array" aca="1" ref="O730" ca="1">INDIRECT("Data!I" &amp; 725)</f>
        <v>0</v>
      </c>
      <c r="P730" s="21" cm="1">
        <f t="array" aca="1" ref="P730" ca="1">INDIRECT("Data!J" &amp; 725)</f>
        <v>0</v>
      </c>
      <c r="Q730" cm="1">
        <f t="array" aca="1" ref="Q730" ca="1">INDIRECT("Data!K" &amp; 725)</f>
        <v>0</v>
      </c>
      <c r="R730" cm="1">
        <f t="array" aca="1" ref="R730" ca="1">INDIRECT("Data!L" &amp; 725)</f>
        <v>0</v>
      </c>
      <c r="S730" cm="1">
        <f t="array" aca="1" ref="S730" ca="1">INDIRECT("Data!M" &amp; 725)</f>
        <v>0</v>
      </c>
      <c r="T730" cm="1">
        <f t="array" aca="1" ref="T730" ca="1">INDIRECT("Data!N" &amp; 725)</f>
        <v>0</v>
      </c>
      <c r="U730" cm="1">
        <f t="array" aca="1" ref="U730" ca="1">INDIRECT("Data!O" &amp; 725)</f>
        <v>0</v>
      </c>
      <c r="V730" cm="1">
        <f t="array" aca="1" ref="V730" ca="1">INDIRECT("Data!P" &amp; 725)</f>
        <v>0</v>
      </c>
    </row>
    <row r="731" spans="7:22" x14ac:dyDescent="0.25">
      <c r="G731" cm="1">
        <f t="array" aca="1" ref="G731" ca="1">INDIRECT("Data!A" &amp; 726)</f>
        <v>0</v>
      </c>
      <c r="H731" s="21" cm="1">
        <f t="array" aca="1" ref="H731" ca="1">INDIRECT("Data!B" &amp; 726)</f>
        <v>0</v>
      </c>
      <c r="I731" s="21" cm="1">
        <f t="array" aca="1" ref="I731" ca="1">INDIRECT("Data!C" &amp; 726)</f>
        <v>0</v>
      </c>
      <c r="J731" cm="1">
        <f t="array" aca="1" ref="J731" ca="1">INDIRECT("Data!D" &amp; 726)</f>
        <v>0</v>
      </c>
      <c r="K731" cm="1">
        <f t="array" aca="1" ref="K731" ca="1">INDIRECT("Data!E" &amp; 726)</f>
        <v>0</v>
      </c>
      <c r="L731" cm="1">
        <f t="array" aca="1" ref="L731" ca="1">INDIRECT("Data!F" &amp; 726)</f>
        <v>0</v>
      </c>
      <c r="M731" cm="1">
        <f t="array" aca="1" ref="M731" ca="1">INDIRECT("Data!G" &amp; 726)</f>
        <v>0</v>
      </c>
      <c r="N731" cm="1">
        <f t="array" aca="1" ref="N731" ca="1">INDIRECT("Data!H" &amp; 726)</f>
        <v>0</v>
      </c>
      <c r="O731" cm="1">
        <f t="array" aca="1" ref="O731" ca="1">INDIRECT("Data!I" &amp; 726)</f>
        <v>0</v>
      </c>
      <c r="P731" s="21" cm="1">
        <f t="array" aca="1" ref="P731" ca="1">INDIRECT("Data!J" &amp; 726)</f>
        <v>0</v>
      </c>
      <c r="Q731" cm="1">
        <f t="array" aca="1" ref="Q731" ca="1">INDIRECT("Data!K" &amp; 726)</f>
        <v>0</v>
      </c>
      <c r="R731" cm="1">
        <f t="array" aca="1" ref="R731" ca="1">INDIRECT("Data!L" &amp; 726)</f>
        <v>0</v>
      </c>
      <c r="S731" cm="1">
        <f t="array" aca="1" ref="S731" ca="1">INDIRECT("Data!M" &amp; 726)</f>
        <v>0</v>
      </c>
      <c r="T731" cm="1">
        <f t="array" aca="1" ref="T731" ca="1">INDIRECT("Data!N" &amp; 726)</f>
        <v>0</v>
      </c>
      <c r="U731" cm="1">
        <f t="array" aca="1" ref="U731" ca="1">INDIRECT("Data!O" &amp; 726)</f>
        <v>0</v>
      </c>
      <c r="V731" cm="1">
        <f t="array" aca="1" ref="V731" ca="1">INDIRECT("Data!P" &amp; 726)</f>
        <v>0</v>
      </c>
    </row>
    <row r="732" spans="7:22" x14ac:dyDescent="0.25">
      <c r="G732" cm="1">
        <f t="array" aca="1" ref="G732" ca="1">INDIRECT("Data!A" &amp; 727)</f>
        <v>0</v>
      </c>
      <c r="H732" s="21" cm="1">
        <f t="array" aca="1" ref="H732" ca="1">INDIRECT("Data!B" &amp; 727)</f>
        <v>0</v>
      </c>
      <c r="I732" s="21" cm="1">
        <f t="array" aca="1" ref="I732" ca="1">INDIRECT("Data!C" &amp; 727)</f>
        <v>0</v>
      </c>
      <c r="J732" cm="1">
        <f t="array" aca="1" ref="J732" ca="1">INDIRECT("Data!D" &amp; 727)</f>
        <v>0</v>
      </c>
      <c r="K732" cm="1">
        <f t="array" aca="1" ref="K732" ca="1">INDIRECT("Data!E" &amp; 727)</f>
        <v>0</v>
      </c>
      <c r="L732" cm="1">
        <f t="array" aca="1" ref="L732" ca="1">INDIRECT("Data!F" &amp; 727)</f>
        <v>0</v>
      </c>
      <c r="M732" cm="1">
        <f t="array" aca="1" ref="M732" ca="1">INDIRECT("Data!G" &amp; 727)</f>
        <v>0</v>
      </c>
      <c r="N732" cm="1">
        <f t="array" aca="1" ref="N732" ca="1">INDIRECT("Data!H" &amp; 727)</f>
        <v>0</v>
      </c>
      <c r="O732" cm="1">
        <f t="array" aca="1" ref="O732" ca="1">INDIRECT("Data!I" &amp; 727)</f>
        <v>0</v>
      </c>
      <c r="P732" s="21" cm="1">
        <f t="array" aca="1" ref="P732" ca="1">INDIRECT("Data!J" &amp; 727)</f>
        <v>0</v>
      </c>
      <c r="Q732" cm="1">
        <f t="array" aca="1" ref="Q732" ca="1">INDIRECT("Data!K" &amp; 727)</f>
        <v>0</v>
      </c>
      <c r="R732" cm="1">
        <f t="array" aca="1" ref="R732" ca="1">INDIRECT("Data!L" &amp; 727)</f>
        <v>0</v>
      </c>
      <c r="S732" cm="1">
        <f t="array" aca="1" ref="S732" ca="1">INDIRECT("Data!M" &amp; 727)</f>
        <v>0</v>
      </c>
      <c r="T732" cm="1">
        <f t="array" aca="1" ref="T732" ca="1">INDIRECT("Data!N" &amp; 727)</f>
        <v>0</v>
      </c>
      <c r="U732" cm="1">
        <f t="array" aca="1" ref="U732" ca="1">INDIRECT("Data!O" &amp; 727)</f>
        <v>0</v>
      </c>
      <c r="V732" cm="1">
        <f t="array" aca="1" ref="V732" ca="1">INDIRECT("Data!P" &amp; 727)</f>
        <v>0</v>
      </c>
    </row>
    <row r="733" spans="7:22" x14ac:dyDescent="0.25">
      <c r="G733" cm="1">
        <f t="array" aca="1" ref="G733" ca="1">INDIRECT("Data!A" &amp; 728)</f>
        <v>0</v>
      </c>
      <c r="H733" s="21" cm="1">
        <f t="array" aca="1" ref="H733" ca="1">INDIRECT("Data!B" &amp; 728)</f>
        <v>0</v>
      </c>
      <c r="I733" s="21" cm="1">
        <f t="array" aca="1" ref="I733" ca="1">INDIRECT("Data!C" &amp; 728)</f>
        <v>0</v>
      </c>
      <c r="J733" cm="1">
        <f t="array" aca="1" ref="J733" ca="1">INDIRECT("Data!D" &amp; 728)</f>
        <v>0</v>
      </c>
      <c r="K733" cm="1">
        <f t="array" aca="1" ref="K733" ca="1">INDIRECT("Data!E" &amp; 728)</f>
        <v>0</v>
      </c>
      <c r="L733" cm="1">
        <f t="array" aca="1" ref="L733" ca="1">INDIRECT("Data!F" &amp; 728)</f>
        <v>0</v>
      </c>
      <c r="M733" cm="1">
        <f t="array" aca="1" ref="M733" ca="1">INDIRECT("Data!G" &amp; 728)</f>
        <v>0</v>
      </c>
      <c r="N733" cm="1">
        <f t="array" aca="1" ref="N733" ca="1">INDIRECT("Data!H" &amp; 728)</f>
        <v>0</v>
      </c>
      <c r="O733" cm="1">
        <f t="array" aca="1" ref="O733" ca="1">INDIRECT("Data!I" &amp; 728)</f>
        <v>0</v>
      </c>
      <c r="P733" s="21" cm="1">
        <f t="array" aca="1" ref="P733" ca="1">INDIRECT("Data!J" &amp; 728)</f>
        <v>0</v>
      </c>
      <c r="Q733" cm="1">
        <f t="array" aca="1" ref="Q733" ca="1">INDIRECT("Data!K" &amp; 728)</f>
        <v>0</v>
      </c>
      <c r="R733" cm="1">
        <f t="array" aca="1" ref="R733" ca="1">INDIRECT("Data!L" &amp; 728)</f>
        <v>0</v>
      </c>
      <c r="S733" cm="1">
        <f t="array" aca="1" ref="S733" ca="1">INDIRECT("Data!M" &amp; 728)</f>
        <v>0</v>
      </c>
      <c r="T733" cm="1">
        <f t="array" aca="1" ref="T733" ca="1">INDIRECT("Data!N" &amp; 728)</f>
        <v>0</v>
      </c>
      <c r="U733" cm="1">
        <f t="array" aca="1" ref="U733" ca="1">INDIRECT("Data!O" &amp; 728)</f>
        <v>0</v>
      </c>
      <c r="V733" cm="1">
        <f t="array" aca="1" ref="V733" ca="1">INDIRECT("Data!P" &amp; 728)</f>
        <v>0</v>
      </c>
    </row>
    <row r="734" spans="7:22" x14ac:dyDescent="0.25">
      <c r="G734" cm="1">
        <f t="array" aca="1" ref="G734" ca="1">INDIRECT("Data!A" &amp; 729)</f>
        <v>0</v>
      </c>
      <c r="H734" s="21" cm="1">
        <f t="array" aca="1" ref="H734" ca="1">INDIRECT("Data!B" &amp; 729)</f>
        <v>0</v>
      </c>
      <c r="I734" s="21" cm="1">
        <f t="array" aca="1" ref="I734" ca="1">INDIRECT("Data!C" &amp; 729)</f>
        <v>0</v>
      </c>
      <c r="J734" cm="1">
        <f t="array" aca="1" ref="J734" ca="1">INDIRECT("Data!D" &amp; 729)</f>
        <v>0</v>
      </c>
      <c r="K734" cm="1">
        <f t="array" aca="1" ref="K734" ca="1">INDIRECT("Data!E" &amp; 729)</f>
        <v>0</v>
      </c>
      <c r="L734" cm="1">
        <f t="array" aca="1" ref="L734" ca="1">INDIRECT("Data!F" &amp; 729)</f>
        <v>0</v>
      </c>
      <c r="M734" cm="1">
        <f t="array" aca="1" ref="M734" ca="1">INDIRECT("Data!G" &amp; 729)</f>
        <v>0</v>
      </c>
      <c r="N734" cm="1">
        <f t="array" aca="1" ref="N734" ca="1">INDIRECT("Data!H" &amp; 729)</f>
        <v>0</v>
      </c>
      <c r="O734" cm="1">
        <f t="array" aca="1" ref="O734" ca="1">INDIRECT("Data!I" &amp; 729)</f>
        <v>0</v>
      </c>
      <c r="P734" s="21" cm="1">
        <f t="array" aca="1" ref="P734" ca="1">INDIRECT("Data!J" &amp; 729)</f>
        <v>0</v>
      </c>
      <c r="Q734" cm="1">
        <f t="array" aca="1" ref="Q734" ca="1">INDIRECT("Data!K" &amp; 729)</f>
        <v>0</v>
      </c>
      <c r="R734" cm="1">
        <f t="array" aca="1" ref="R734" ca="1">INDIRECT("Data!L" &amp; 729)</f>
        <v>0</v>
      </c>
      <c r="S734" cm="1">
        <f t="array" aca="1" ref="S734" ca="1">INDIRECT("Data!M" &amp; 729)</f>
        <v>0</v>
      </c>
      <c r="T734" cm="1">
        <f t="array" aca="1" ref="T734" ca="1">INDIRECT("Data!N" &amp; 729)</f>
        <v>0</v>
      </c>
      <c r="U734" cm="1">
        <f t="array" aca="1" ref="U734" ca="1">INDIRECT("Data!O" &amp; 729)</f>
        <v>0</v>
      </c>
      <c r="V734" cm="1">
        <f t="array" aca="1" ref="V734" ca="1">INDIRECT("Data!P" &amp; 729)</f>
        <v>0</v>
      </c>
    </row>
    <row r="735" spans="7:22" x14ac:dyDescent="0.25">
      <c r="G735" cm="1">
        <f t="array" aca="1" ref="G735" ca="1">INDIRECT("Data!A" &amp; 730)</f>
        <v>0</v>
      </c>
      <c r="H735" s="21" cm="1">
        <f t="array" aca="1" ref="H735" ca="1">INDIRECT("Data!B" &amp; 730)</f>
        <v>0</v>
      </c>
      <c r="I735" s="21" cm="1">
        <f t="array" aca="1" ref="I735" ca="1">INDIRECT("Data!C" &amp; 730)</f>
        <v>0</v>
      </c>
      <c r="J735" cm="1">
        <f t="array" aca="1" ref="J735" ca="1">INDIRECT("Data!D" &amp; 730)</f>
        <v>0</v>
      </c>
      <c r="K735" cm="1">
        <f t="array" aca="1" ref="K735" ca="1">INDIRECT("Data!E" &amp; 730)</f>
        <v>0</v>
      </c>
      <c r="L735" cm="1">
        <f t="array" aca="1" ref="L735" ca="1">INDIRECT("Data!F" &amp; 730)</f>
        <v>0</v>
      </c>
      <c r="M735" cm="1">
        <f t="array" aca="1" ref="M735" ca="1">INDIRECT("Data!G" &amp; 730)</f>
        <v>0</v>
      </c>
      <c r="N735" cm="1">
        <f t="array" aca="1" ref="N735" ca="1">INDIRECT("Data!H" &amp; 730)</f>
        <v>0</v>
      </c>
      <c r="O735" cm="1">
        <f t="array" aca="1" ref="O735" ca="1">INDIRECT("Data!I" &amp; 730)</f>
        <v>0</v>
      </c>
      <c r="P735" s="21" cm="1">
        <f t="array" aca="1" ref="P735" ca="1">INDIRECT("Data!J" &amp; 730)</f>
        <v>0</v>
      </c>
      <c r="Q735" cm="1">
        <f t="array" aca="1" ref="Q735" ca="1">INDIRECT("Data!K" &amp; 730)</f>
        <v>0</v>
      </c>
      <c r="R735" cm="1">
        <f t="array" aca="1" ref="R735" ca="1">INDIRECT("Data!L" &amp; 730)</f>
        <v>0</v>
      </c>
      <c r="S735" cm="1">
        <f t="array" aca="1" ref="S735" ca="1">INDIRECT("Data!M" &amp; 730)</f>
        <v>0</v>
      </c>
      <c r="T735" cm="1">
        <f t="array" aca="1" ref="T735" ca="1">INDIRECT("Data!N" &amp; 730)</f>
        <v>0</v>
      </c>
      <c r="U735" cm="1">
        <f t="array" aca="1" ref="U735" ca="1">INDIRECT("Data!O" &amp; 730)</f>
        <v>0</v>
      </c>
      <c r="V735" cm="1">
        <f t="array" aca="1" ref="V735" ca="1">INDIRECT("Data!P" &amp; 730)</f>
        <v>0</v>
      </c>
    </row>
    <row r="736" spans="7:22" x14ac:dyDescent="0.25">
      <c r="G736" cm="1">
        <f t="array" aca="1" ref="G736" ca="1">INDIRECT("Data!A" &amp; 731)</f>
        <v>0</v>
      </c>
      <c r="H736" s="21" cm="1">
        <f t="array" aca="1" ref="H736" ca="1">INDIRECT("Data!B" &amp; 731)</f>
        <v>0</v>
      </c>
      <c r="I736" s="21" cm="1">
        <f t="array" aca="1" ref="I736" ca="1">INDIRECT("Data!C" &amp; 731)</f>
        <v>0</v>
      </c>
      <c r="J736" cm="1">
        <f t="array" aca="1" ref="J736" ca="1">INDIRECT("Data!D" &amp; 731)</f>
        <v>0</v>
      </c>
      <c r="K736" cm="1">
        <f t="array" aca="1" ref="K736" ca="1">INDIRECT("Data!E" &amp; 731)</f>
        <v>0</v>
      </c>
      <c r="L736" cm="1">
        <f t="array" aca="1" ref="L736" ca="1">INDIRECT("Data!F" &amp; 731)</f>
        <v>0</v>
      </c>
      <c r="M736" cm="1">
        <f t="array" aca="1" ref="M736" ca="1">INDIRECT("Data!G" &amp; 731)</f>
        <v>0</v>
      </c>
      <c r="N736" cm="1">
        <f t="array" aca="1" ref="N736" ca="1">INDIRECT("Data!H" &amp; 731)</f>
        <v>0</v>
      </c>
      <c r="O736" cm="1">
        <f t="array" aca="1" ref="O736" ca="1">INDIRECT("Data!I" &amp; 731)</f>
        <v>0</v>
      </c>
      <c r="P736" s="21" cm="1">
        <f t="array" aca="1" ref="P736" ca="1">INDIRECT("Data!J" &amp; 731)</f>
        <v>0</v>
      </c>
      <c r="Q736" cm="1">
        <f t="array" aca="1" ref="Q736" ca="1">INDIRECT("Data!K" &amp; 731)</f>
        <v>0</v>
      </c>
      <c r="R736" cm="1">
        <f t="array" aca="1" ref="R736" ca="1">INDIRECT("Data!L" &amp; 731)</f>
        <v>0</v>
      </c>
      <c r="S736" cm="1">
        <f t="array" aca="1" ref="S736" ca="1">INDIRECT("Data!M" &amp; 731)</f>
        <v>0</v>
      </c>
      <c r="T736" cm="1">
        <f t="array" aca="1" ref="T736" ca="1">INDIRECT("Data!N" &amp; 731)</f>
        <v>0</v>
      </c>
      <c r="U736" cm="1">
        <f t="array" aca="1" ref="U736" ca="1">INDIRECT("Data!O" &amp; 731)</f>
        <v>0</v>
      </c>
      <c r="V736" cm="1">
        <f t="array" aca="1" ref="V736" ca="1">INDIRECT("Data!P" &amp; 731)</f>
        <v>0</v>
      </c>
    </row>
    <row r="737" spans="7:22" x14ac:dyDescent="0.25">
      <c r="G737" cm="1">
        <f t="array" aca="1" ref="G737" ca="1">INDIRECT("Data!A" &amp; 732)</f>
        <v>0</v>
      </c>
      <c r="H737" s="21" cm="1">
        <f t="array" aca="1" ref="H737" ca="1">INDIRECT("Data!B" &amp; 732)</f>
        <v>0</v>
      </c>
      <c r="I737" s="21" cm="1">
        <f t="array" aca="1" ref="I737" ca="1">INDIRECT("Data!C" &amp; 732)</f>
        <v>0</v>
      </c>
      <c r="J737" cm="1">
        <f t="array" aca="1" ref="J737" ca="1">INDIRECT("Data!D" &amp; 732)</f>
        <v>0</v>
      </c>
      <c r="K737" cm="1">
        <f t="array" aca="1" ref="K737" ca="1">INDIRECT("Data!E" &amp; 732)</f>
        <v>0</v>
      </c>
      <c r="L737" cm="1">
        <f t="array" aca="1" ref="L737" ca="1">INDIRECT("Data!F" &amp; 732)</f>
        <v>0</v>
      </c>
      <c r="M737" cm="1">
        <f t="array" aca="1" ref="M737" ca="1">INDIRECT("Data!G" &amp; 732)</f>
        <v>0</v>
      </c>
      <c r="N737" cm="1">
        <f t="array" aca="1" ref="N737" ca="1">INDIRECT("Data!H" &amp; 732)</f>
        <v>0</v>
      </c>
      <c r="O737" cm="1">
        <f t="array" aca="1" ref="O737" ca="1">INDIRECT("Data!I" &amp; 732)</f>
        <v>0</v>
      </c>
      <c r="P737" s="21" cm="1">
        <f t="array" aca="1" ref="P737" ca="1">INDIRECT("Data!J" &amp; 732)</f>
        <v>0</v>
      </c>
      <c r="Q737" cm="1">
        <f t="array" aca="1" ref="Q737" ca="1">INDIRECT("Data!K" &amp; 732)</f>
        <v>0</v>
      </c>
      <c r="R737" cm="1">
        <f t="array" aca="1" ref="R737" ca="1">INDIRECT("Data!L" &amp; 732)</f>
        <v>0</v>
      </c>
      <c r="S737" cm="1">
        <f t="array" aca="1" ref="S737" ca="1">INDIRECT("Data!M" &amp; 732)</f>
        <v>0</v>
      </c>
      <c r="T737" cm="1">
        <f t="array" aca="1" ref="T737" ca="1">INDIRECT("Data!N" &amp; 732)</f>
        <v>0</v>
      </c>
      <c r="U737" cm="1">
        <f t="array" aca="1" ref="U737" ca="1">INDIRECT("Data!O" &amp; 732)</f>
        <v>0</v>
      </c>
      <c r="V737" cm="1">
        <f t="array" aca="1" ref="V737" ca="1">INDIRECT("Data!P" &amp; 732)</f>
        <v>0</v>
      </c>
    </row>
    <row r="738" spans="7:22" x14ac:dyDescent="0.25">
      <c r="G738" cm="1">
        <f t="array" aca="1" ref="G738" ca="1">INDIRECT("Data!A" &amp; 733)</f>
        <v>0</v>
      </c>
      <c r="H738" s="21" cm="1">
        <f t="array" aca="1" ref="H738" ca="1">INDIRECT("Data!B" &amp; 733)</f>
        <v>0</v>
      </c>
      <c r="I738" s="21" cm="1">
        <f t="array" aca="1" ref="I738" ca="1">INDIRECT("Data!C" &amp; 733)</f>
        <v>0</v>
      </c>
      <c r="J738" cm="1">
        <f t="array" aca="1" ref="J738" ca="1">INDIRECT("Data!D" &amp; 733)</f>
        <v>0</v>
      </c>
      <c r="K738" cm="1">
        <f t="array" aca="1" ref="K738" ca="1">INDIRECT("Data!E" &amp; 733)</f>
        <v>0</v>
      </c>
      <c r="L738" cm="1">
        <f t="array" aca="1" ref="L738" ca="1">INDIRECT("Data!F" &amp; 733)</f>
        <v>0</v>
      </c>
      <c r="M738" cm="1">
        <f t="array" aca="1" ref="M738" ca="1">INDIRECT("Data!G" &amp; 733)</f>
        <v>0</v>
      </c>
      <c r="N738" cm="1">
        <f t="array" aca="1" ref="N738" ca="1">INDIRECT("Data!H" &amp; 733)</f>
        <v>0</v>
      </c>
      <c r="O738" cm="1">
        <f t="array" aca="1" ref="O738" ca="1">INDIRECT("Data!I" &amp; 733)</f>
        <v>0</v>
      </c>
      <c r="P738" s="21" cm="1">
        <f t="array" aca="1" ref="P738" ca="1">INDIRECT("Data!J" &amp; 733)</f>
        <v>0</v>
      </c>
      <c r="Q738" cm="1">
        <f t="array" aca="1" ref="Q738" ca="1">INDIRECT("Data!K" &amp; 733)</f>
        <v>0</v>
      </c>
      <c r="R738" cm="1">
        <f t="array" aca="1" ref="R738" ca="1">INDIRECT("Data!L" &amp; 733)</f>
        <v>0</v>
      </c>
      <c r="S738" cm="1">
        <f t="array" aca="1" ref="S738" ca="1">INDIRECT("Data!M" &amp; 733)</f>
        <v>0</v>
      </c>
      <c r="T738" cm="1">
        <f t="array" aca="1" ref="T738" ca="1">INDIRECT("Data!N" &amp; 733)</f>
        <v>0</v>
      </c>
      <c r="U738" cm="1">
        <f t="array" aca="1" ref="U738" ca="1">INDIRECT("Data!O" &amp; 733)</f>
        <v>0</v>
      </c>
      <c r="V738" cm="1">
        <f t="array" aca="1" ref="V738" ca="1">INDIRECT("Data!P" &amp; 733)</f>
        <v>0</v>
      </c>
    </row>
    <row r="739" spans="7:22" x14ac:dyDescent="0.25">
      <c r="G739" cm="1">
        <f t="array" aca="1" ref="G739" ca="1">INDIRECT("Data!A" &amp; 734)</f>
        <v>0</v>
      </c>
      <c r="H739" s="21" cm="1">
        <f t="array" aca="1" ref="H739" ca="1">INDIRECT("Data!B" &amp; 734)</f>
        <v>0</v>
      </c>
      <c r="I739" s="21" cm="1">
        <f t="array" aca="1" ref="I739" ca="1">INDIRECT("Data!C" &amp; 734)</f>
        <v>0</v>
      </c>
      <c r="J739" cm="1">
        <f t="array" aca="1" ref="J739" ca="1">INDIRECT("Data!D" &amp; 734)</f>
        <v>0</v>
      </c>
      <c r="K739" cm="1">
        <f t="array" aca="1" ref="K739" ca="1">INDIRECT("Data!E" &amp; 734)</f>
        <v>0</v>
      </c>
      <c r="L739" cm="1">
        <f t="array" aca="1" ref="L739" ca="1">INDIRECT("Data!F" &amp; 734)</f>
        <v>0</v>
      </c>
      <c r="M739" cm="1">
        <f t="array" aca="1" ref="M739" ca="1">INDIRECT("Data!G" &amp; 734)</f>
        <v>0</v>
      </c>
      <c r="N739" cm="1">
        <f t="array" aca="1" ref="N739" ca="1">INDIRECT("Data!H" &amp; 734)</f>
        <v>0</v>
      </c>
      <c r="O739" cm="1">
        <f t="array" aca="1" ref="O739" ca="1">INDIRECT("Data!I" &amp; 734)</f>
        <v>0</v>
      </c>
      <c r="P739" s="21" cm="1">
        <f t="array" aca="1" ref="P739" ca="1">INDIRECT("Data!J" &amp; 734)</f>
        <v>0</v>
      </c>
      <c r="Q739" cm="1">
        <f t="array" aca="1" ref="Q739" ca="1">INDIRECT("Data!K" &amp; 734)</f>
        <v>0</v>
      </c>
      <c r="R739" cm="1">
        <f t="array" aca="1" ref="R739" ca="1">INDIRECT("Data!L" &amp; 734)</f>
        <v>0</v>
      </c>
      <c r="S739" cm="1">
        <f t="array" aca="1" ref="S739" ca="1">INDIRECT("Data!M" &amp; 734)</f>
        <v>0</v>
      </c>
      <c r="T739" cm="1">
        <f t="array" aca="1" ref="T739" ca="1">INDIRECT("Data!N" &amp; 734)</f>
        <v>0</v>
      </c>
      <c r="U739" cm="1">
        <f t="array" aca="1" ref="U739" ca="1">INDIRECT("Data!O" &amp; 734)</f>
        <v>0</v>
      </c>
      <c r="V739" cm="1">
        <f t="array" aca="1" ref="V739" ca="1">INDIRECT("Data!P" &amp; 734)</f>
        <v>0</v>
      </c>
    </row>
    <row r="740" spans="7:22" x14ac:dyDescent="0.25">
      <c r="G740" cm="1">
        <f t="array" aca="1" ref="G740" ca="1">INDIRECT("Data!A" &amp; 735)</f>
        <v>0</v>
      </c>
      <c r="H740" s="21" cm="1">
        <f t="array" aca="1" ref="H740" ca="1">INDIRECT("Data!B" &amp; 735)</f>
        <v>0</v>
      </c>
      <c r="I740" s="21" cm="1">
        <f t="array" aca="1" ref="I740" ca="1">INDIRECT("Data!C" &amp; 735)</f>
        <v>0</v>
      </c>
      <c r="J740" cm="1">
        <f t="array" aca="1" ref="J740" ca="1">INDIRECT("Data!D" &amp; 735)</f>
        <v>0</v>
      </c>
      <c r="K740" cm="1">
        <f t="array" aca="1" ref="K740" ca="1">INDIRECT("Data!E" &amp; 735)</f>
        <v>0</v>
      </c>
      <c r="L740" cm="1">
        <f t="array" aca="1" ref="L740" ca="1">INDIRECT("Data!F" &amp; 735)</f>
        <v>0</v>
      </c>
      <c r="M740" cm="1">
        <f t="array" aca="1" ref="M740" ca="1">INDIRECT("Data!G" &amp; 735)</f>
        <v>0</v>
      </c>
      <c r="N740" cm="1">
        <f t="array" aca="1" ref="N740" ca="1">INDIRECT("Data!H" &amp; 735)</f>
        <v>0</v>
      </c>
      <c r="O740" cm="1">
        <f t="array" aca="1" ref="O740" ca="1">INDIRECT("Data!I" &amp; 735)</f>
        <v>0</v>
      </c>
      <c r="P740" s="21" cm="1">
        <f t="array" aca="1" ref="P740" ca="1">INDIRECT("Data!J" &amp; 735)</f>
        <v>0</v>
      </c>
      <c r="Q740" cm="1">
        <f t="array" aca="1" ref="Q740" ca="1">INDIRECT("Data!K" &amp; 735)</f>
        <v>0</v>
      </c>
      <c r="R740" cm="1">
        <f t="array" aca="1" ref="R740" ca="1">INDIRECT("Data!L" &amp; 735)</f>
        <v>0</v>
      </c>
      <c r="S740" cm="1">
        <f t="array" aca="1" ref="S740" ca="1">INDIRECT("Data!M" &amp; 735)</f>
        <v>0</v>
      </c>
      <c r="T740" cm="1">
        <f t="array" aca="1" ref="T740" ca="1">INDIRECT("Data!N" &amp; 735)</f>
        <v>0</v>
      </c>
      <c r="U740" cm="1">
        <f t="array" aca="1" ref="U740" ca="1">INDIRECT("Data!O" &amp; 735)</f>
        <v>0</v>
      </c>
      <c r="V740" cm="1">
        <f t="array" aca="1" ref="V740" ca="1">INDIRECT("Data!P" &amp; 735)</f>
        <v>0</v>
      </c>
    </row>
    <row r="741" spans="7:22" x14ac:dyDescent="0.25">
      <c r="G741" cm="1">
        <f t="array" aca="1" ref="G741" ca="1">INDIRECT("Data!A" &amp; 736)</f>
        <v>0</v>
      </c>
      <c r="H741" s="21" cm="1">
        <f t="array" aca="1" ref="H741" ca="1">INDIRECT("Data!B" &amp; 736)</f>
        <v>0</v>
      </c>
      <c r="I741" s="21" cm="1">
        <f t="array" aca="1" ref="I741" ca="1">INDIRECT("Data!C" &amp; 736)</f>
        <v>0</v>
      </c>
      <c r="J741" cm="1">
        <f t="array" aca="1" ref="J741" ca="1">INDIRECT("Data!D" &amp; 736)</f>
        <v>0</v>
      </c>
      <c r="K741" cm="1">
        <f t="array" aca="1" ref="K741" ca="1">INDIRECT("Data!E" &amp; 736)</f>
        <v>0</v>
      </c>
      <c r="L741" cm="1">
        <f t="array" aca="1" ref="L741" ca="1">INDIRECT("Data!F" &amp; 736)</f>
        <v>0</v>
      </c>
      <c r="M741" cm="1">
        <f t="array" aca="1" ref="M741" ca="1">INDIRECT("Data!G" &amp; 736)</f>
        <v>0</v>
      </c>
      <c r="N741" cm="1">
        <f t="array" aca="1" ref="N741" ca="1">INDIRECT("Data!H" &amp; 736)</f>
        <v>0</v>
      </c>
      <c r="O741" cm="1">
        <f t="array" aca="1" ref="O741" ca="1">INDIRECT("Data!I" &amp; 736)</f>
        <v>0</v>
      </c>
      <c r="P741" s="21" cm="1">
        <f t="array" aca="1" ref="P741" ca="1">INDIRECT("Data!J" &amp; 736)</f>
        <v>0</v>
      </c>
      <c r="Q741" cm="1">
        <f t="array" aca="1" ref="Q741" ca="1">INDIRECT("Data!K" &amp; 736)</f>
        <v>0</v>
      </c>
      <c r="R741" cm="1">
        <f t="array" aca="1" ref="R741" ca="1">INDIRECT("Data!L" &amp; 736)</f>
        <v>0</v>
      </c>
      <c r="S741" cm="1">
        <f t="array" aca="1" ref="S741" ca="1">INDIRECT("Data!M" &amp; 736)</f>
        <v>0</v>
      </c>
      <c r="T741" cm="1">
        <f t="array" aca="1" ref="T741" ca="1">INDIRECT("Data!N" &amp; 736)</f>
        <v>0</v>
      </c>
      <c r="U741" cm="1">
        <f t="array" aca="1" ref="U741" ca="1">INDIRECT("Data!O" &amp; 736)</f>
        <v>0</v>
      </c>
      <c r="V741" cm="1">
        <f t="array" aca="1" ref="V741" ca="1">INDIRECT("Data!P" &amp; 736)</f>
        <v>0</v>
      </c>
    </row>
    <row r="742" spans="7:22" x14ac:dyDescent="0.25">
      <c r="G742" cm="1">
        <f t="array" aca="1" ref="G742" ca="1">INDIRECT("Data!A" &amp; 737)</f>
        <v>0</v>
      </c>
      <c r="H742" s="21" cm="1">
        <f t="array" aca="1" ref="H742" ca="1">INDIRECT("Data!B" &amp; 737)</f>
        <v>0</v>
      </c>
      <c r="I742" s="21" cm="1">
        <f t="array" aca="1" ref="I742" ca="1">INDIRECT("Data!C" &amp; 737)</f>
        <v>0</v>
      </c>
      <c r="J742" cm="1">
        <f t="array" aca="1" ref="J742" ca="1">INDIRECT("Data!D" &amp; 737)</f>
        <v>0</v>
      </c>
      <c r="K742" cm="1">
        <f t="array" aca="1" ref="K742" ca="1">INDIRECT("Data!E" &amp; 737)</f>
        <v>0</v>
      </c>
      <c r="L742" cm="1">
        <f t="array" aca="1" ref="L742" ca="1">INDIRECT("Data!F" &amp; 737)</f>
        <v>0</v>
      </c>
      <c r="M742" cm="1">
        <f t="array" aca="1" ref="M742" ca="1">INDIRECT("Data!G" &amp; 737)</f>
        <v>0</v>
      </c>
      <c r="N742" cm="1">
        <f t="array" aca="1" ref="N742" ca="1">INDIRECT("Data!H" &amp; 737)</f>
        <v>0</v>
      </c>
      <c r="O742" cm="1">
        <f t="array" aca="1" ref="O742" ca="1">INDIRECT("Data!I" &amp; 737)</f>
        <v>0</v>
      </c>
      <c r="P742" s="21" cm="1">
        <f t="array" aca="1" ref="P742" ca="1">INDIRECT("Data!J" &amp; 737)</f>
        <v>0</v>
      </c>
      <c r="Q742" cm="1">
        <f t="array" aca="1" ref="Q742" ca="1">INDIRECT("Data!K" &amp; 737)</f>
        <v>0</v>
      </c>
      <c r="R742" cm="1">
        <f t="array" aca="1" ref="R742" ca="1">INDIRECT("Data!L" &amp; 737)</f>
        <v>0</v>
      </c>
      <c r="S742" cm="1">
        <f t="array" aca="1" ref="S742" ca="1">INDIRECT("Data!M" &amp; 737)</f>
        <v>0</v>
      </c>
      <c r="T742" cm="1">
        <f t="array" aca="1" ref="T742" ca="1">INDIRECT("Data!N" &amp; 737)</f>
        <v>0</v>
      </c>
      <c r="U742" cm="1">
        <f t="array" aca="1" ref="U742" ca="1">INDIRECT("Data!O" &amp; 737)</f>
        <v>0</v>
      </c>
      <c r="V742" cm="1">
        <f t="array" aca="1" ref="V742" ca="1">INDIRECT("Data!P" &amp; 737)</f>
        <v>0</v>
      </c>
    </row>
    <row r="743" spans="7:22" x14ac:dyDescent="0.25">
      <c r="G743" cm="1">
        <f t="array" aca="1" ref="G743" ca="1">INDIRECT("Data!A" &amp; 738)</f>
        <v>0</v>
      </c>
      <c r="H743" s="21" cm="1">
        <f t="array" aca="1" ref="H743" ca="1">INDIRECT("Data!B" &amp; 738)</f>
        <v>0</v>
      </c>
      <c r="I743" s="21" cm="1">
        <f t="array" aca="1" ref="I743" ca="1">INDIRECT("Data!C" &amp; 738)</f>
        <v>0</v>
      </c>
      <c r="J743" cm="1">
        <f t="array" aca="1" ref="J743" ca="1">INDIRECT("Data!D" &amp; 738)</f>
        <v>0</v>
      </c>
      <c r="K743" cm="1">
        <f t="array" aca="1" ref="K743" ca="1">INDIRECT("Data!E" &amp; 738)</f>
        <v>0</v>
      </c>
      <c r="L743" cm="1">
        <f t="array" aca="1" ref="L743" ca="1">INDIRECT("Data!F" &amp; 738)</f>
        <v>0</v>
      </c>
      <c r="M743" cm="1">
        <f t="array" aca="1" ref="M743" ca="1">INDIRECT("Data!G" &amp; 738)</f>
        <v>0</v>
      </c>
      <c r="N743" cm="1">
        <f t="array" aca="1" ref="N743" ca="1">INDIRECT("Data!H" &amp; 738)</f>
        <v>0</v>
      </c>
      <c r="O743" cm="1">
        <f t="array" aca="1" ref="O743" ca="1">INDIRECT("Data!I" &amp; 738)</f>
        <v>0</v>
      </c>
      <c r="P743" s="21" cm="1">
        <f t="array" aca="1" ref="P743" ca="1">INDIRECT("Data!J" &amp; 738)</f>
        <v>0</v>
      </c>
      <c r="Q743" cm="1">
        <f t="array" aca="1" ref="Q743" ca="1">INDIRECT("Data!K" &amp; 738)</f>
        <v>0</v>
      </c>
      <c r="R743" cm="1">
        <f t="array" aca="1" ref="R743" ca="1">INDIRECT("Data!L" &amp; 738)</f>
        <v>0</v>
      </c>
      <c r="S743" cm="1">
        <f t="array" aca="1" ref="S743" ca="1">INDIRECT("Data!M" &amp; 738)</f>
        <v>0</v>
      </c>
      <c r="T743" cm="1">
        <f t="array" aca="1" ref="T743" ca="1">INDIRECT("Data!N" &amp; 738)</f>
        <v>0</v>
      </c>
      <c r="U743" cm="1">
        <f t="array" aca="1" ref="U743" ca="1">INDIRECT("Data!O" &amp; 738)</f>
        <v>0</v>
      </c>
      <c r="V743" cm="1">
        <f t="array" aca="1" ref="V743" ca="1">INDIRECT("Data!P" &amp; 738)</f>
        <v>0</v>
      </c>
    </row>
    <row r="744" spans="7:22" x14ac:dyDescent="0.25">
      <c r="G744" cm="1">
        <f t="array" aca="1" ref="G744" ca="1">INDIRECT("Data!A" &amp; 739)</f>
        <v>0</v>
      </c>
      <c r="H744" s="21" cm="1">
        <f t="array" aca="1" ref="H744" ca="1">INDIRECT("Data!B" &amp; 739)</f>
        <v>0</v>
      </c>
      <c r="I744" s="21" cm="1">
        <f t="array" aca="1" ref="I744" ca="1">INDIRECT("Data!C" &amp; 739)</f>
        <v>0</v>
      </c>
      <c r="J744" cm="1">
        <f t="array" aca="1" ref="J744" ca="1">INDIRECT("Data!D" &amp; 739)</f>
        <v>0</v>
      </c>
      <c r="K744" cm="1">
        <f t="array" aca="1" ref="K744" ca="1">INDIRECT("Data!E" &amp; 739)</f>
        <v>0</v>
      </c>
      <c r="L744" cm="1">
        <f t="array" aca="1" ref="L744" ca="1">INDIRECT("Data!F" &amp; 739)</f>
        <v>0</v>
      </c>
      <c r="M744" cm="1">
        <f t="array" aca="1" ref="M744" ca="1">INDIRECT("Data!G" &amp; 739)</f>
        <v>0</v>
      </c>
      <c r="N744" cm="1">
        <f t="array" aca="1" ref="N744" ca="1">INDIRECT("Data!H" &amp; 739)</f>
        <v>0</v>
      </c>
      <c r="O744" cm="1">
        <f t="array" aca="1" ref="O744" ca="1">INDIRECT("Data!I" &amp; 739)</f>
        <v>0</v>
      </c>
      <c r="P744" s="21" cm="1">
        <f t="array" aca="1" ref="P744" ca="1">INDIRECT("Data!J" &amp; 739)</f>
        <v>0</v>
      </c>
      <c r="Q744" cm="1">
        <f t="array" aca="1" ref="Q744" ca="1">INDIRECT("Data!K" &amp; 739)</f>
        <v>0</v>
      </c>
      <c r="R744" cm="1">
        <f t="array" aca="1" ref="R744" ca="1">INDIRECT("Data!L" &amp; 739)</f>
        <v>0</v>
      </c>
      <c r="S744" cm="1">
        <f t="array" aca="1" ref="S744" ca="1">INDIRECT("Data!M" &amp; 739)</f>
        <v>0</v>
      </c>
      <c r="T744" cm="1">
        <f t="array" aca="1" ref="T744" ca="1">INDIRECT("Data!N" &amp; 739)</f>
        <v>0</v>
      </c>
      <c r="U744" cm="1">
        <f t="array" aca="1" ref="U744" ca="1">INDIRECT("Data!O" &amp; 739)</f>
        <v>0</v>
      </c>
      <c r="V744" cm="1">
        <f t="array" aca="1" ref="V744" ca="1">INDIRECT("Data!P" &amp; 739)</f>
        <v>0</v>
      </c>
    </row>
    <row r="745" spans="7:22" x14ac:dyDescent="0.25">
      <c r="G745" cm="1">
        <f t="array" aca="1" ref="G745" ca="1">INDIRECT("Data!A" &amp; 740)</f>
        <v>0</v>
      </c>
      <c r="H745" s="21" cm="1">
        <f t="array" aca="1" ref="H745" ca="1">INDIRECT("Data!B" &amp; 740)</f>
        <v>0</v>
      </c>
      <c r="I745" s="21" cm="1">
        <f t="array" aca="1" ref="I745" ca="1">INDIRECT("Data!C" &amp; 740)</f>
        <v>0</v>
      </c>
      <c r="J745" cm="1">
        <f t="array" aca="1" ref="J745" ca="1">INDIRECT("Data!D" &amp; 740)</f>
        <v>0</v>
      </c>
      <c r="K745" cm="1">
        <f t="array" aca="1" ref="K745" ca="1">INDIRECT("Data!E" &amp; 740)</f>
        <v>0</v>
      </c>
      <c r="L745" cm="1">
        <f t="array" aca="1" ref="L745" ca="1">INDIRECT("Data!F" &amp; 740)</f>
        <v>0</v>
      </c>
      <c r="M745" cm="1">
        <f t="array" aca="1" ref="M745" ca="1">INDIRECT("Data!G" &amp; 740)</f>
        <v>0</v>
      </c>
      <c r="N745" cm="1">
        <f t="array" aca="1" ref="N745" ca="1">INDIRECT("Data!H" &amp; 740)</f>
        <v>0</v>
      </c>
      <c r="O745" cm="1">
        <f t="array" aca="1" ref="O745" ca="1">INDIRECT("Data!I" &amp; 740)</f>
        <v>0</v>
      </c>
      <c r="P745" s="21" cm="1">
        <f t="array" aca="1" ref="P745" ca="1">INDIRECT("Data!J" &amp; 740)</f>
        <v>0</v>
      </c>
      <c r="Q745" cm="1">
        <f t="array" aca="1" ref="Q745" ca="1">INDIRECT("Data!K" &amp; 740)</f>
        <v>0</v>
      </c>
      <c r="R745" cm="1">
        <f t="array" aca="1" ref="R745" ca="1">INDIRECT("Data!L" &amp; 740)</f>
        <v>0</v>
      </c>
      <c r="S745" cm="1">
        <f t="array" aca="1" ref="S745" ca="1">INDIRECT("Data!M" &amp; 740)</f>
        <v>0</v>
      </c>
      <c r="T745" cm="1">
        <f t="array" aca="1" ref="T745" ca="1">INDIRECT("Data!N" &amp; 740)</f>
        <v>0</v>
      </c>
      <c r="U745" cm="1">
        <f t="array" aca="1" ref="U745" ca="1">INDIRECT("Data!O" &amp; 740)</f>
        <v>0</v>
      </c>
      <c r="V745" cm="1">
        <f t="array" aca="1" ref="V745" ca="1">INDIRECT("Data!P" &amp; 740)</f>
        <v>0</v>
      </c>
    </row>
    <row r="746" spans="7:22" x14ac:dyDescent="0.25">
      <c r="G746" cm="1">
        <f t="array" aca="1" ref="G746" ca="1">INDIRECT("Data!A" &amp; 741)</f>
        <v>0</v>
      </c>
      <c r="H746" s="21" cm="1">
        <f t="array" aca="1" ref="H746" ca="1">INDIRECT("Data!B" &amp; 741)</f>
        <v>0</v>
      </c>
      <c r="I746" s="21" cm="1">
        <f t="array" aca="1" ref="I746" ca="1">INDIRECT("Data!C" &amp; 741)</f>
        <v>0</v>
      </c>
      <c r="J746" cm="1">
        <f t="array" aca="1" ref="J746" ca="1">INDIRECT("Data!D" &amp; 741)</f>
        <v>0</v>
      </c>
      <c r="K746" cm="1">
        <f t="array" aca="1" ref="K746" ca="1">INDIRECT("Data!E" &amp; 741)</f>
        <v>0</v>
      </c>
      <c r="L746" cm="1">
        <f t="array" aca="1" ref="L746" ca="1">INDIRECT("Data!F" &amp; 741)</f>
        <v>0</v>
      </c>
      <c r="M746" cm="1">
        <f t="array" aca="1" ref="M746" ca="1">INDIRECT("Data!G" &amp; 741)</f>
        <v>0</v>
      </c>
      <c r="N746" cm="1">
        <f t="array" aca="1" ref="N746" ca="1">INDIRECT("Data!H" &amp; 741)</f>
        <v>0</v>
      </c>
      <c r="O746" cm="1">
        <f t="array" aca="1" ref="O746" ca="1">INDIRECT("Data!I" &amp; 741)</f>
        <v>0</v>
      </c>
      <c r="P746" s="21" cm="1">
        <f t="array" aca="1" ref="P746" ca="1">INDIRECT("Data!J" &amp; 741)</f>
        <v>0</v>
      </c>
      <c r="Q746" cm="1">
        <f t="array" aca="1" ref="Q746" ca="1">INDIRECT("Data!K" &amp; 741)</f>
        <v>0</v>
      </c>
      <c r="R746" cm="1">
        <f t="array" aca="1" ref="R746" ca="1">INDIRECT("Data!L" &amp; 741)</f>
        <v>0</v>
      </c>
      <c r="S746" cm="1">
        <f t="array" aca="1" ref="S746" ca="1">INDIRECT("Data!M" &amp; 741)</f>
        <v>0</v>
      </c>
      <c r="T746" cm="1">
        <f t="array" aca="1" ref="T746" ca="1">INDIRECT("Data!N" &amp; 741)</f>
        <v>0</v>
      </c>
      <c r="U746" cm="1">
        <f t="array" aca="1" ref="U746" ca="1">INDIRECT("Data!O" &amp; 741)</f>
        <v>0</v>
      </c>
      <c r="V746" cm="1">
        <f t="array" aca="1" ref="V746" ca="1">INDIRECT("Data!P" &amp; 741)</f>
        <v>0</v>
      </c>
    </row>
    <row r="747" spans="7:22" x14ac:dyDescent="0.25">
      <c r="G747" cm="1">
        <f t="array" aca="1" ref="G747" ca="1">INDIRECT("Data!A" &amp; 742)</f>
        <v>0</v>
      </c>
      <c r="H747" s="21" cm="1">
        <f t="array" aca="1" ref="H747" ca="1">INDIRECT("Data!B" &amp; 742)</f>
        <v>0</v>
      </c>
      <c r="I747" s="21" cm="1">
        <f t="array" aca="1" ref="I747" ca="1">INDIRECT("Data!C" &amp; 742)</f>
        <v>0</v>
      </c>
      <c r="J747" cm="1">
        <f t="array" aca="1" ref="J747" ca="1">INDIRECT("Data!D" &amp; 742)</f>
        <v>0</v>
      </c>
      <c r="K747" cm="1">
        <f t="array" aca="1" ref="K747" ca="1">INDIRECT("Data!E" &amp; 742)</f>
        <v>0</v>
      </c>
      <c r="L747" cm="1">
        <f t="array" aca="1" ref="L747" ca="1">INDIRECT("Data!F" &amp; 742)</f>
        <v>0</v>
      </c>
      <c r="M747" cm="1">
        <f t="array" aca="1" ref="M747" ca="1">INDIRECT("Data!G" &amp; 742)</f>
        <v>0</v>
      </c>
      <c r="N747" cm="1">
        <f t="array" aca="1" ref="N747" ca="1">INDIRECT("Data!H" &amp; 742)</f>
        <v>0</v>
      </c>
      <c r="O747" cm="1">
        <f t="array" aca="1" ref="O747" ca="1">INDIRECT("Data!I" &amp; 742)</f>
        <v>0</v>
      </c>
      <c r="P747" s="21" cm="1">
        <f t="array" aca="1" ref="P747" ca="1">INDIRECT("Data!J" &amp; 742)</f>
        <v>0</v>
      </c>
      <c r="Q747" cm="1">
        <f t="array" aca="1" ref="Q747" ca="1">INDIRECT("Data!K" &amp; 742)</f>
        <v>0</v>
      </c>
      <c r="R747" cm="1">
        <f t="array" aca="1" ref="R747" ca="1">INDIRECT("Data!L" &amp; 742)</f>
        <v>0</v>
      </c>
      <c r="S747" cm="1">
        <f t="array" aca="1" ref="S747" ca="1">INDIRECT("Data!M" &amp; 742)</f>
        <v>0</v>
      </c>
      <c r="T747" cm="1">
        <f t="array" aca="1" ref="T747" ca="1">INDIRECT("Data!N" &amp; 742)</f>
        <v>0</v>
      </c>
      <c r="U747" cm="1">
        <f t="array" aca="1" ref="U747" ca="1">INDIRECT("Data!O" &amp; 742)</f>
        <v>0</v>
      </c>
      <c r="V747" cm="1">
        <f t="array" aca="1" ref="V747" ca="1">INDIRECT("Data!P" &amp; 742)</f>
        <v>0</v>
      </c>
    </row>
    <row r="748" spans="7:22" x14ac:dyDescent="0.25">
      <c r="G748" cm="1">
        <f t="array" aca="1" ref="G748" ca="1">INDIRECT("Data!A" &amp; 743)</f>
        <v>0</v>
      </c>
      <c r="H748" s="21" cm="1">
        <f t="array" aca="1" ref="H748" ca="1">INDIRECT("Data!B" &amp; 743)</f>
        <v>0</v>
      </c>
      <c r="I748" s="21" cm="1">
        <f t="array" aca="1" ref="I748" ca="1">INDIRECT("Data!C" &amp; 743)</f>
        <v>0</v>
      </c>
      <c r="J748" cm="1">
        <f t="array" aca="1" ref="J748" ca="1">INDIRECT("Data!D" &amp; 743)</f>
        <v>0</v>
      </c>
      <c r="K748" cm="1">
        <f t="array" aca="1" ref="K748" ca="1">INDIRECT("Data!E" &amp; 743)</f>
        <v>0</v>
      </c>
      <c r="L748" cm="1">
        <f t="array" aca="1" ref="L748" ca="1">INDIRECT("Data!F" &amp; 743)</f>
        <v>0</v>
      </c>
      <c r="M748" cm="1">
        <f t="array" aca="1" ref="M748" ca="1">INDIRECT("Data!G" &amp; 743)</f>
        <v>0</v>
      </c>
      <c r="N748" cm="1">
        <f t="array" aca="1" ref="N748" ca="1">INDIRECT("Data!H" &amp; 743)</f>
        <v>0</v>
      </c>
      <c r="O748" cm="1">
        <f t="array" aca="1" ref="O748" ca="1">INDIRECT("Data!I" &amp; 743)</f>
        <v>0</v>
      </c>
      <c r="P748" s="21" cm="1">
        <f t="array" aca="1" ref="P748" ca="1">INDIRECT("Data!J" &amp; 743)</f>
        <v>0</v>
      </c>
      <c r="Q748" cm="1">
        <f t="array" aca="1" ref="Q748" ca="1">INDIRECT("Data!K" &amp; 743)</f>
        <v>0</v>
      </c>
      <c r="R748" cm="1">
        <f t="array" aca="1" ref="R748" ca="1">INDIRECT("Data!L" &amp; 743)</f>
        <v>0</v>
      </c>
      <c r="S748" cm="1">
        <f t="array" aca="1" ref="S748" ca="1">INDIRECT("Data!M" &amp; 743)</f>
        <v>0</v>
      </c>
      <c r="T748" cm="1">
        <f t="array" aca="1" ref="T748" ca="1">INDIRECT("Data!N" &amp; 743)</f>
        <v>0</v>
      </c>
      <c r="U748" cm="1">
        <f t="array" aca="1" ref="U748" ca="1">INDIRECT("Data!O" &amp; 743)</f>
        <v>0</v>
      </c>
      <c r="V748" cm="1">
        <f t="array" aca="1" ref="V748" ca="1">INDIRECT("Data!P" &amp; 743)</f>
        <v>0</v>
      </c>
    </row>
    <row r="749" spans="7:22" x14ac:dyDescent="0.25">
      <c r="G749" cm="1">
        <f t="array" aca="1" ref="G749" ca="1">INDIRECT("Data!A" &amp; 744)</f>
        <v>0</v>
      </c>
      <c r="H749" s="21" cm="1">
        <f t="array" aca="1" ref="H749" ca="1">INDIRECT("Data!B" &amp; 744)</f>
        <v>0</v>
      </c>
      <c r="I749" s="21" cm="1">
        <f t="array" aca="1" ref="I749" ca="1">INDIRECT("Data!C" &amp; 744)</f>
        <v>0</v>
      </c>
      <c r="J749" cm="1">
        <f t="array" aca="1" ref="J749" ca="1">INDIRECT("Data!D" &amp; 744)</f>
        <v>0</v>
      </c>
      <c r="K749" cm="1">
        <f t="array" aca="1" ref="K749" ca="1">INDIRECT("Data!E" &amp; 744)</f>
        <v>0</v>
      </c>
      <c r="L749" cm="1">
        <f t="array" aca="1" ref="L749" ca="1">INDIRECT("Data!F" &amp; 744)</f>
        <v>0</v>
      </c>
      <c r="M749" cm="1">
        <f t="array" aca="1" ref="M749" ca="1">INDIRECT("Data!G" &amp; 744)</f>
        <v>0</v>
      </c>
      <c r="N749" cm="1">
        <f t="array" aca="1" ref="N749" ca="1">INDIRECT("Data!H" &amp; 744)</f>
        <v>0</v>
      </c>
      <c r="O749" cm="1">
        <f t="array" aca="1" ref="O749" ca="1">INDIRECT("Data!I" &amp; 744)</f>
        <v>0</v>
      </c>
      <c r="P749" s="21" cm="1">
        <f t="array" aca="1" ref="P749" ca="1">INDIRECT("Data!J" &amp; 744)</f>
        <v>0</v>
      </c>
      <c r="Q749" cm="1">
        <f t="array" aca="1" ref="Q749" ca="1">INDIRECT("Data!K" &amp; 744)</f>
        <v>0</v>
      </c>
      <c r="R749" cm="1">
        <f t="array" aca="1" ref="R749" ca="1">INDIRECT("Data!L" &amp; 744)</f>
        <v>0</v>
      </c>
      <c r="S749" cm="1">
        <f t="array" aca="1" ref="S749" ca="1">INDIRECT("Data!M" &amp; 744)</f>
        <v>0</v>
      </c>
      <c r="T749" cm="1">
        <f t="array" aca="1" ref="T749" ca="1">INDIRECT("Data!N" &amp; 744)</f>
        <v>0</v>
      </c>
      <c r="U749" cm="1">
        <f t="array" aca="1" ref="U749" ca="1">INDIRECT("Data!O" &amp; 744)</f>
        <v>0</v>
      </c>
      <c r="V749" cm="1">
        <f t="array" aca="1" ref="V749" ca="1">INDIRECT("Data!P" &amp; 744)</f>
        <v>0</v>
      </c>
    </row>
    <row r="750" spans="7:22" x14ac:dyDescent="0.25">
      <c r="G750" cm="1">
        <f t="array" aca="1" ref="G750" ca="1">INDIRECT("Data!A" &amp; 745)</f>
        <v>0</v>
      </c>
      <c r="H750" s="21" cm="1">
        <f t="array" aca="1" ref="H750" ca="1">INDIRECT("Data!B" &amp; 745)</f>
        <v>0</v>
      </c>
      <c r="I750" s="21" cm="1">
        <f t="array" aca="1" ref="I750" ca="1">INDIRECT("Data!C" &amp; 745)</f>
        <v>0</v>
      </c>
      <c r="J750" cm="1">
        <f t="array" aca="1" ref="J750" ca="1">INDIRECT("Data!D" &amp; 745)</f>
        <v>0</v>
      </c>
      <c r="K750" cm="1">
        <f t="array" aca="1" ref="K750" ca="1">INDIRECT("Data!E" &amp; 745)</f>
        <v>0</v>
      </c>
      <c r="L750" cm="1">
        <f t="array" aca="1" ref="L750" ca="1">INDIRECT("Data!F" &amp; 745)</f>
        <v>0</v>
      </c>
      <c r="M750" cm="1">
        <f t="array" aca="1" ref="M750" ca="1">INDIRECT("Data!G" &amp; 745)</f>
        <v>0</v>
      </c>
      <c r="N750" cm="1">
        <f t="array" aca="1" ref="N750" ca="1">INDIRECT("Data!H" &amp; 745)</f>
        <v>0</v>
      </c>
      <c r="O750" cm="1">
        <f t="array" aca="1" ref="O750" ca="1">INDIRECT("Data!I" &amp; 745)</f>
        <v>0</v>
      </c>
      <c r="P750" s="21" cm="1">
        <f t="array" aca="1" ref="P750" ca="1">INDIRECT("Data!J" &amp; 745)</f>
        <v>0</v>
      </c>
      <c r="Q750" cm="1">
        <f t="array" aca="1" ref="Q750" ca="1">INDIRECT("Data!K" &amp; 745)</f>
        <v>0</v>
      </c>
      <c r="R750" cm="1">
        <f t="array" aca="1" ref="R750" ca="1">INDIRECT("Data!L" &amp; 745)</f>
        <v>0</v>
      </c>
      <c r="S750" cm="1">
        <f t="array" aca="1" ref="S750" ca="1">INDIRECT("Data!M" &amp; 745)</f>
        <v>0</v>
      </c>
      <c r="T750" cm="1">
        <f t="array" aca="1" ref="T750" ca="1">INDIRECT("Data!N" &amp; 745)</f>
        <v>0</v>
      </c>
      <c r="U750" cm="1">
        <f t="array" aca="1" ref="U750" ca="1">INDIRECT("Data!O" &amp; 745)</f>
        <v>0</v>
      </c>
      <c r="V750" cm="1">
        <f t="array" aca="1" ref="V750" ca="1">INDIRECT("Data!P" &amp; 745)</f>
        <v>0</v>
      </c>
    </row>
    <row r="751" spans="7:22" x14ac:dyDescent="0.25">
      <c r="G751" cm="1">
        <f t="array" aca="1" ref="G751" ca="1">INDIRECT("Data!A" &amp; 746)</f>
        <v>0</v>
      </c>
      <c r="H751" s="21" cm="1">
        <f t="array" aca="1" ref="H751" ca="1">INDIRECT("Data!B" &amp; 746)</f>
        <v>0</v>
      </c>
      <c r="I751" s="21" cm="1">
        <f t="array" aca="1" ref="I751" ca="1">INDIRECT("Data!C" &amp; 746)</f>
        <v>0</v>
      </c>
      <c r="J751" cm="1">
        <f t="array" aca="1" ref="J751" ca="1">INDIRECT("Data!D" &amp; 746)</f>
        <v>0</v>
      </c>
      <c r="K751" cm="1">
        <f t="array" aca="1" ref="K751" ca="1">INDIRECT("Data!E" &amp; 746)</f>
        <v>0</v>
      </c>
      <c r="L751" cm="1">
        <f t="array" aca="1" ref="L751" ca="1">INDIRECT("Data!F" &amp; 746)</f>
        <v>0</v>
      </c>
      <c r="M751" cm="1">
        <f t="array" aca="1" ref="M751" ca="1">INDIRECT("Data!G" &amp; 746)</f>
        <v>0</v>
      </c>
      <c r="N751" cm="1">
        <f t="array" aca="1" ref="N751" ca="1">INDIRECT("Data!H" &amp; 746)</f>
        <v>0</v>
      </c>
      <c r="O751" cm="1">
        <f t="array" aca="1" ref="O751" ca="1">INDIRECT("Data!I" &amp; 746)</f>
        <v>0</v>
      </c>
      <c r="P751" s="21" cm="1">
        <f t="array" aca="1" ref="P751" ca="1">INDIRECT("Data!J" &amp; 746)</f>
        <v>0</v>
      </c>
      <c r="Q751" cm="1">
        <f t="array" aca="1" ref="Q751" ca="1">INDIRECT("Data!K" &amp; 746)</f>
        <v>0</v>
      </c>
      <c r="R751" cm="1">
        <f t="array" aca="1" ref="R751" ca="1">INDIRECT("Data!L" &amp; 746)</f>
        <v>0</v>
      </c>
      <c r="S751" cm="1">
        <f t="array" aca="1" ref="S751" ca="1">INDIRECT("Data!M" &amp; 746)</f>
        <v>0</v>
      </c>
      <c r="T751" cm="1">
        <f t="array" aca="1" ref="T751" ca="1">INDIRECT("Data!N" &amp; 746)</f>
        <v>0</v>
      </c>
      <c r="U751" cm="1">
        <f t="array" aca="1" ref="U751" ca="1">INDIRECT("Data!O" &amp; 746)</f>
        <v>0</v>
      </c>
      <c r="V751" cm="1">
        <f t="array" aca="1" ref="V751" ca="1">INDIRECT("Data!P" &amp; 746)</f>
        <v>0</v>
      </c>
    </row>
    <row r="752" spans="7:22" x14ac:dyDescent="0.25">
      <c r="G752" cm="1">
        <f t="array" aca="1" ref="G752" ca="1">INDIRECT("Data!A" &amp; 747)</f>
        <v>0</v>
      </c>
      <c r="H752" s="21" cm="1">
        <f t="array" aca="1" ref="H752" ca="1">INDIRECT("Data!B" &amp; 747)</f>
        <v>0</v>
      </c>
      <c r="I752" s="21" cm="1">
        <f t="array" aca="1" ref="I752" ca="1">INDIRECT("Data!C" &amp; 747)</f>
        <v>0</v>
      </c>
      <c r="J752" cm="1">
        <f t="array" aca="1" ref="J752" ca="1">INDIRECT("Data!D" &amp; 747)</f>
        <v>0</v>
      </c>
      <c r="K752" cm="1">
        <f t="array" aca="1" ref="K752" ca="1">INDIRECT("Data!E" &amp; 747)</f>
        <v>0</v>
      </c>
      <c r="L752" cm="1">
        <f t="array" aca="1" ref="L752" ca="1">INDIRECT("Data!F" &amp; 747)</f>
        <v>0</v>
      </c>
      <c r="M752" cm="1">
        <f t="array" aca="1" ref="M752" ca="1">INDIRECT("Data!G" &amp; 747)</f>
        <v>0</v>
      </c>
      <c r="N752" cm="1">
        <f t="array" aca="1" ref="N752" ca="1">INDIRECT("Data!H" &amp; 747)</f>
        <v>0</v>
      </c>
      <c r="O752" cm="1">
        <f t="array" aca="1" ref="O752" ca="1">INDIRECT("Data!I" &amp; 747)</f>
        <v>0</v>
      </c>
      <c r="P752" s="21" cm="1">
        <f t="array" aca="1" ref="P752" ca="1">INDIRECT("Data!J" &amp; 747)</f>
        <v>0</v>
      </c>
      <c r="Q752" cm="1">
        <f t="array" aca="1" ref="Q752" ca="1">INDIRECT("Data!K" &amp; 747)</f>
        <v>0</v>
      </c>
      <c r="R752" cm="1">
        <f t="array" aca="1" ref="R752" ca="1">INDIRECT("Data!L" &amp; 747)</f>
        <v>0</v>
      </c>
      <c r="S752" cm="1">
        <f t="array" aca="1" ref="S752" ca="1">INDIRECT("Data!M" &amp; 747)</f>
        <v>0</v>
      </c>
      <c r="T752" cm="1">
        <f t="array" aca="1" ref="T752" ca="1">INDIRECT("Data!N" &amp; 747)</f>
        <v>0</v>
      </c>
      <c r="U752" cm="1">
        <f t="array" aca="1" ref="U752" ca="1">INDIRECT("Data!O" &amp; 747)</f>
        <v>0</v>
      </c>
      <c r="V752" cm="1">
        <f t="array" aca="1" ref="V752" ca="1">INDIRECT("Data!P" &amp; 747)</f>
        <v>0</v>
      </c>
    </row>
    <row r="753" spans="7:22" x14ac:dyDescent="0.25">
      <c r="G753" cm="1">
        <f t="array" aca="1" ref="G753" ca="1">INDIRECT("Data!A" &amp; 748)</f>
        <v>0</v>
      </c>
      <c r="H753" s="21" cm="1">
        <f t="array" aca="1" ref="H753" ca="1">INDIRECT("Data!B" &amp; 748)</f>
        <v>0</v>
      </c>
      <c r="I753" s="21" cm="1">
        <f t="array" aca="1" ref="I753" ca="1">INDIRECT("Data!C" &amp; 748)</f>
        <v>0</v>
      </c>
      <c r="J753" cm="1">
        <f t="array" aca="1" ref="J753" ca="1">INDIRECT("Data!D" &amp; 748)</f>
        <v>0</v>
      </c>
      <c r="K753" cm="1">
        <f t="array" aca="1" ref="K753" ca="1">INDIRECT("Data!E" &amp; 748)</f>
        <v>0</v>
      </c>
      <c r="L753" cm="1">
        <f t="array" aca="1" ref="L753" ca="1">INDIRECT("Data!F" &amp; 748)</f>
        <v>0</v>
      </c>
      <c r="M753" cm="1">
        <f t="array" aca="1" ref="M753" ca="1">INDIRECT("Data!G" &amp; 748)</f>
        <v>0</v>
      </c>
      <c r="N753" cm="1">
        <f t="array" aca="1" ref="N753" ca="1">INDIRECT("Data!H" &amp; 748)</f>
        <v>0</v>
      </c>
      <c r="O753" cm="1">
        <f t="array" aca="1" ref="O753" ca="1">INDIRECT("Data!I" &amp; 748)</f>
        <v>0</v>
      </c>
      <c r="P753" s="21" cm="1">
        <f t="array" aca="1" ref="P753" ca="1">INDIRECT("Data!J" &amp; 748)</f>
        <v>0</v>
      </c>
      <c r="Q753" cm="1">
        <f t="array" aca="1" ref="Q753" ca="1">INDIRECT("Data!K" &amp; 748)</f>
        <v>0</v>
      </c>
      <c r="R753" cm="1">
        <f t="array" aca="1" ref="R753" ca="1">INDIRECT("Data!L" &amp; 748)</f>
        <v>0</v>
      </c>
      <c r="S753" cm="1">
        <f t="array" aca="1" ref="S753" ca="1">INDIRECT("Data!M" &amp; 748)</f>
        <v>0</v>
      </c>
      <c r="T753" cm="1">
        <f t="array" aca="1" ref="T753" ca="1">INDIRECT("Data!N" &amp; 748)</f>
        <v>0</v>
      </c>
      <c r="U753" cm="1">
        <f t="array" aca="1" ref="U753" ca="1">INDIRECT("Data!O" &amp; 748)</f>
        <v>0</v>
      </c>
      <c r="V753" cm="1">
        <f t="array" aca="1" ref="V753" ca="1">INDIRECT("Data!P" &amp; 748)</f>
        <v>0</v>
      </c>
    </row>
    <row r="754" spans="7:22" x14ac:dyDescent="0.25">
      <c r="G754" cm="1">
        <f t="array" aca="1" ref="G754" ca="1">INDIRECT("Data!A" &amp; 749)</f>
        <v>0</v>
      </c>
      <c r="H754" s="21" cm="1">
        <f t="array" aca="1" ref="H754" ca="1">INDIRECT("Data!B" &amp; 749)</f>
        <v>0</v>
      </c>
      <c r="I754" s="21" cm="1">
        <f t="array" aca="1" ref="I754" ca="1">INDIRECT("Data!C" &amp; 749)</f>
        <v>0</v>
      </c>
      <c r="J754" cm="1">
        <f t="array" aca="1" ref="J754" ca="1">INDIRECT("Data!D" &amp; 749)</f>
        <v>0</v>
      </c>
      <c r="K754" cm="1">
        <f t="array" aca="1" ref="K754" ca="1">INDIRECT("Data!E" &amp; 749)</f>
        <v>0</v>
      </c>
      <c r="L754" cm="1">
        <f t="array" aca="1" ref="L754" ca="1">INDIRECT("Data!F" &amp; 749)</f>
        <v>0</v>
      </c>
      <c r="M754" cm="1">
        <f t="array" aca="1" ref="M754" ca="1">INDIRECT("Data!G" &amp; 749)</f>
        <v>0</v>
      </c>
      <c r="N754" cm="1">
        <f t="array" aca="1" ref="N754" ca="1">INDIRECT("Data!H" &amp; 749)</f>
        <v>0</v>
      </c>
      <c r="O754" cm="1">
        <f t="array" aca="1" ref="O754" ca="1">INDIRECT("Data!I" &amp; 749)</f>
        <v>0</v>
      </c>
      <c r="P754" s="21" cm="1">
        <f t="array" aca="1" ref="P754" ca="1">INDIRECT("Data!J" &amp; 749)</f>
        <v>0</v>
      </c>
      <c r="Q754" cm="1">
        <f t="array" aca="1" ref="Q754" ca="1">INDIRECT("Data!K" &amp; 749)</f>
        <v>0</v>
      </c>
      <c r="R754" cm="1">
        <f t="array" aca="1" ref="R754" ca="1">INDIRECT("Data!L" &amp; 749)</f>
        <v>0</v>
      </c>
      <c r="S754" cm="1">
        <f t="array" aca="1" ref="S754" ca="1">INDIRECT("Data!M" &amp; 749)</f>
        <v>0</v>
      </c>
      <c r="T754" cm="1">
        <f t="array" aca="1" ref="T754" ca="1">INDIRECT("Data!N" &amp; 749)</f>
        <v>0</v>
      </c>
      <c r="U754" cm="1">
        <f t="array" aca="1" ref="U754" ca="1">INDIRECT("Data!O" &amp; 749)</f>
        <v>0</v>
      </c>
      <c r="V754" cm="1">
        <f t="array" aca="1" ref="V754" ca="1">INDIRECT("Data!P" &amp; 749)</f>
        <v>0</v>
      </c>
    </row>
    <row r="755" spans="7:22" x14ac:dyDescent="0.25">
      <c r="G755" cm="1">
        <f t="array" aca="1" ref="G755" ca="1">INDIRECT("Data!A" &amp; 750)</f>
        <v>0</v>
      </c>
      <c r="H755" s="21" cm="1">
        <f t="array" aca="1" ref="H755" ca="1">INDIRECT("Data!B" &amp; 750)</f>
        <v>0</v>
      </c>
      <c r="I755" s="21" cm="1">
        <f t="array" aca="1" ref="I755" ca="1">INDIRECT("Data!C" &amp; 750)</f>
        <v>0</v>
      </c>
      <c r="J755" cm="1">
        <f t="array" aca="1" ref="J755" ca="1">INDIRECT("Data!D" &amp; 750)</f>
        <v>0</v>
      </c>
      <c r="K755" cm="1">
        <f t="array" aca="1" ref="K755" ca="1">INDIRECT("Data!E" &amp; 750)</f>
        <v>0</v>
      </c>
      <c r="L755" cm="1">
        <f t="array" aca="1" ref="L755" ca="1">INDIRECT("Data!F" &amp; 750)</f>
        <v>0</v>
      </c>
      <c r="M755" cm="1">
        <f t="array" aca="1" ref="M755" ca="1">INDIRECT("Data!G" &amp; 750)</f>
        <v>0</v>
      </c>
      <c r="N755" cm="1">
        <f t="array" aca="1" ref="N755" ca="1">INDIRECT("Data!H" &amp; 750)</f>
        <v>0</v>
      </c>
      <c r="O755" cm="1">
        <f t="array" aca="1" ref="O755" ca="1">INDIRECT("Data!I" &amp; 750)</f>
        <v>0</v>
      </c>
      <c r="P755" s="21" cm="1">
        <f t="array" aca="1" ref="P755" ca="1">INDIRECT("Data!J" &amp; 750)</f>
        <v>0</v>
      </c>
      <c r="Q755" cm="1">
        <f t="array" aca="1" ref="Q755" ca="1">INDIRECT("Data!K" &amp; 750)</f>
        <v>0</v>
      </c>
      <c r="R755" cm="1">
        <f t="array" aca="1" ref="R755" ca="1">INDIRECT("Data!L" &amp; 750)</f>
        <v>0</v>
      </c>
      <c r="S755" cm="1">
        <f t="array" aca="1" ref="S755" ca="1">INDIRECT("Data!M" &amp; 750)</f>
        <v>0</v>
      </c>
      <c r="T755" cm="1">
        <f t="array" aca="1" ref="T755" ca="1">INDIRECT("Data!N" &amp; 750)</f>
        <v>0</v>
      </c>
      <c r="U755" cm="1">
        <f t="array" aca="1" ref="U755" ca="1">INDIRECT("Data!O" &amp; 750)</f>
        <v>0</v>
      </c>
      <c r="V755" cm="1">
        <f t="array" aca="1" ref="V755" ca="1">INDIRECT("Data!P" &amp; 750)</f>
        <v>0</v>
      </c>
    </row>
    <row r="756" spans="7:22" x14ac:dyDescent="0.25">
      <c r="G756" cm="1">
        <f t="array" aca="1" ref="G756" ca="1">INDIRECT("Data!A" &amp; 751)</f>
        <v>0</v>
      </c>
      <c r="H756" s="21" cm="1">
        <f t="array" aca="1" ref="H756" ca="1">INDIRECT("Data!B" &amp; 751)</f>
        <v>0</v>
      </c>
      <c r="I756" s="21" cm="1">
        <f t="array" aca="1" ref="I756" ca="1">INDIRECT("Data!C" &amp; 751)</f>
        <v>0</v>
      </c>
      <c r="J756" cm="1">
        <f t="array" aca="1" ref="J756" ca="1">INDIRECT("Data!D" &amp; 751)</f>
        <v>0</v>
      </c>
      <c r="K756" cm="1">
        <f t="array" aca="1" ref="K756" ca="1">INDIRECT("Data!E" &amp; 751)</f>
        <v>0</v>
      </c>
      <c r="L756" cm="1">
        <f t="array" aca="1" ref="L756" ca="1">INDIRECT("Data!F" &amp; 751)</f>
        <v>0</v>
      </c>
      <c r="M756" cm="1">
        <f t="array" aca="1" ref="M756" ca="1">INDIRECT("Data!G" &amp; 751)</f>
        <v>0</v>
      </c>
      <c r="N756" cm="1">
        <f t="array" aca="1" ref="N756" ca="1">INDIRECT("Data!H" &amp; 751)</f>
        <v>0</v>
      </c>
      <c r="O756" cm="1">
        <f t="array" aca="1" ref="O756" ca="1">INDIRECT("Data!I" &amp; 751)</f>
        <v>0</v>
      </c>
      <c r="P756" s="21" cm="1">
        <f t="array" aca="1" ref="P756" ca="1">INDIRECT("Data!J" &amp; 751)</f>
        <v>0</v>
      </c>
      <c r="Q756" cm="1">
        <f t="array" aca="1" ref="Q756" ca="1">INDIRECT("Data!K" &amp; 751)</f>
        <v>0</v>
      </c>
      <c r="R756" cm="1">
        <f t="array" aca="1" ref="R756" ca="1">INDIRECT("Data!L" &amp; 751)</f>
        <v>0</v>
      </c>
      <c r="S756" cm="1">
        <f t="array" aca="1" ref="S756" ca="1">INDIRECT("Data!M" &amp; 751)</f>
        <v>0</v>
      </c>
      <c r="T756" cm="1">
        <f t="array" aca="1" ref="T756" ca="1">INDIRECT("Data!N" &amp; 751)</f>
        <v>0</v>
      </c>
      <c r="U756" cm="1">
        <f t="array" aca="1" ref="U756" ca="1">INDIRECT("Data!O" &amp; 751)</f>
        <v>0</v>
      </c>
      <c r="V756" cm="1">
        <f t="array" aca="1" ref="V756" ca="1">INDIRECT("Data!P" &amp; 751)</f>
        <v>0</v>
      </c>
    </row>
    <row r="757" spans="7:22" x14ac:dyDescent="0.25">
      <c r="G757" cm="1">
        <f t="array" aca="1" ref="G757" ca="1">INDIRECT("Data!A" &amp; 752)</f>
        <v>0</v>
      </c>
      <c r="H757" s="21" cm="1">
        <f t="array" aca="1" ref="H757" ca="1">INDIRECT("Data!B" &amp; 752)</f>
        <v>0</v>
      </c>
      <c r="I757" s="21" cm="1">
        <f t="array" aca="1" ref="I757" ca="1">INDIRECT("Data!C" &amp; 752)</f>
        <v>0</v>
      </c>
      <c r="J757" cm="1">
        <f t="array" aca="1" ref="J757" ca="1">INDIRECT("Data!D" &amp; 752)</f>
        <v>0</v>
      </c>
      <c r="K757" cm="1">
        <f t="array" aca="1" ref="K757" ca="1">INDIRECT("Data!E" &amp; 752)</f>
        <v>0</v>
      </c>
      <c r="L757" cm="1">
        <f t="array" aca="1" ref="L757" ca="1">INDIRECT("Data!F" &amp; 752)</f>
        <v>0</v>
      </c>
      <c r="M757" cm="1">
        <f t="array" aca="1" ref="M757" ca="1">INDIRECT("Data!G" &amp; 752)</f>
        <v>0</v>
      </c>
      <c r="N757" cm="1">
        <f t="array" aca="1" ref="N757" ca="1">INDIRECT("Data!H" &amp; 752)</f>
        <v>0</v>
      </c>
      <c r="O757" cm="1">
        <f t="array" aca="1" ref="O757" ca="1">INDIRECT("Data!I" &amp; 752)</f>
        <v>0</v>
      </c>
      <c r="P757" s="21" cm="1">
        <f t="array" aca="1" ref="P757" ca="1">INDIRECT("Data!J" &amp; 752)</f>
        <v>0</v>
      </c>
      <c r="Q757" cm="1">
        <f t="array" aca="1" ref="Q757" ca="1">INDIRECT("Data!K" &amp; 752)</f>
        <v>0</v>
      </c>
      <c r="R757" cm="1">
        <f t="array" aca="1" ref="R757" ca="1">INDIRECT("Data!L" &amp; 752)</f>
        <v>0</v>
      </c>
      <c r="S757" cm="1">
        <f t="array" aca="1" ref="S757" ca="1">INDIRECT("Data!M" &amp; 752)</f>
        <v>0</v>
      </c>
      <c r="T757" cm="1">
        <f t="array" aca="1" ref="T757" ca="1">INDIRECT("Data!N" &amp; 752)</f>
        <v>0</v>
      </c>
      <c r="U757" cm="1">
        <f t="array" aca="1" ref="U757" ca="1">INDIRECT("Data!O" &amp; 752)</f>
        <v>0</v>
      </c>
      <c r="V757" cm="1">
        <f t="array" aca="1" ref="V757" ca="1">INDIRECT("Data!P" &amp; 752)</f>
        <v>0</v>
      </c>
    </row>
    <row r="758" spans="7:22" x14ac:dyDescent="0.25">
      <c r="G758" cm="1">
        <f t="array" aca="1" ref="G758" ca="1">INDIRECT("Data!A" &amp; 753)</f>
        <v>0</v>
      </c>
      <c r="H758" s="21" cm="1">
        <f t="array" aca="1" ref="H758" ca="1">INDIRECT("Data!B" &amp; 753)</f>
        <v>0</v>
      </c>
      <c r="I758" s="21" cm="1">
        <f t="array" aca="1" ref="I758" ca="1">INDIRECT("Data!C" &amp; 753)</f>
        <v>0</v>
      </c>
      <c r="J758" cm="1">
        <f t="array" aca="1" ref="J758" ca="1">INDIRECT("Data!D" &amp; 753)</f>
        <v>0</v>
      </c>
      <c r="K758" cm="1">
        <f t="array" aca="1" ref="K758" ca="1">INDIRECT("Data!E" &amp; 753)</f>
        <v>0</v>
      </c>
      <c r="L758" cm="1">
        <f t="array" aca="1" ref="L758" ca="1">INDIRECT("Data!F" &amp; 753)</f>
        <v>0</v>
      </c>
      <c r="M758" cm="1">
        <f t="array" aca="1" ref="M758" ca="1">INDIRECT("Data!G" &amp; 753)</f>
        <v>0</v>
      </c>
      <c r="N758" cm="1">
        <f t="array" aca="1" ref="N758" ca="1">INDIRECT("Data!H" &amp; 753)</f>
        <v>0</v>
      </c>
      <c r="O758" cm="1">
        <f t="array" aca="1" ref="O758" ca="1">INDIRECT("Data!I" &amp; 753)</f>
        <v>0</v>
      </c>
      <c r="P758" s="21" cm="1">
        <f t="array" aca="1" ref="P758" ca="1">INDIRECT("Data!J" &amp; 753)</f>
        <v>0</v>
      </c>
      <c r="Q758" cm="1">
        <f t="array" aca="1" ref="Q758" ca="1">INDIRECT("Data!K" &amp; 753)</f>
        <v>0</v>
      </c>
      <c r="R758" cm="1">
        <f t="array" aca="1" ref="R758" ca="1">INDIRECT("Data!L" &amp; 753)</f>
        <v>0</v>
      </c>
      <c r="S758" cm="1">
        <f t="array" aca="1" ref="S758" ca="1">INDIRECT("Data!M" &amp; 753)</f>
        <v>0</v>
      </c>
      <c r="T758" cm="1">
        <f t="array" aca="1" ref="T758" ca="1">INDIRECT("Data!N" &amp; 753)</f>
        <v>0</v>
      </c>
      <c r="U758" cm="1">
        <f t="array" aca="1" ref="U758" ca="1">INDIRECT("Data!O" &amp; 753)</f>
        <v>0</v>
      </c>
      <c r="V758" cm="1">
        <f t="array" aca="1" ref="V758" ca="1">INDIRECT("Data!P" &amp; 753)</f>
        <v>0</v>
      </c>
    </row>
    <row r="759" spans="7:22" x14ac:dyDescent="0.25">
      <c r="G759" cm="1">
        <f t="array" aca="1" ref="G759" ca="1">INDIRECT("Data!A" &amp; 754)</f>
        <v>0</v>
      </c>
      <c r="H759" s="21" cm="1">
        <f t="array" aca="1" ref="H759" ca="1">INDIRECT("Data!B" &amp; 754)</f>
        <v>0</v>
      </c>
      <c r="I759" s="21" cm="1">
        <f t="array" aca="1" ref="I759" ca="1">INDIRECT("Data!C" &amp; 754)</f>
        <v>0</v>
      </c>
      <c r="J759" cm="1">
        <f t="array" aca="1" ref="J759" ca="1">INDIRECT("Data!D" &amp; 754)</f>
        <v>0</v>
      </c>
      <c r="K759" cm="1">
        <f t="array" aca="1" ref="K759" ca="1">INDIRECT("Data!E" &amp; 754)</f>
        <v>0</v>
      </c>
      <c r="L759" cm="1">
        <f t="array" aca="1" ref="L759" ca="1">INDIRECT("Data!F" &amp; 754)</f>
        <v>0</v>
      </c>
      <c r="M759" cm="1">
        <f t="array" aca="1" ref="M759" ca="1">INDIRECT("Data!G" &amp; 754)</f>
        <v>0</v>
      </c>
      <c r="N759" cm="1">
        <f t="array" aca="1" ref="N759" ca="1">INDIRECT("Data!H" &amp; 754)</f>
        <v>0</v>
      </c>
      <c r="O759" cm="1">
        <f t="array" aca="1" ref="O759" ca="1">INDIRECT("Data!I" &amp; 754)</f>
        <v>0</v>
      </c>
      <c r="P759" s="21" cm="1">
        <f t="array" aca="1" ref="P759" ca="1">INDIRECT("Data!J" &amp; 754)</f>
        <v>0</v>
      </c>
      <c r="Q759" cm="1">
        <f t="array" aca="1" ref="Q759" ca="1">INDIRECT("Data!K" &amp; 754)</f>
        <v>0</v>
      </c>
      <c r="R759" cm="1">
        <f t="array" aca="1" ref="R759" ca="1">INDIRECT("Data!L" &amp; 754)</f>
        <v>0</v>
      </c>
      <c r="S759" cm="1">
        <f t="array" aca="1" ref="S759" ca="1">INDIRECT("Data!M" &amp; 754)</f>
        <v>0</v>
      </c>
      <c r="T759" cm="1">
        <f t="array" aca="1" ref="T759" ca="1">INDIRECT("Data!N" &amp; 754)</f>
        <v>0</v>
      </c>
      <c r="U759" cm="1">
        <f t="array" aca="1" ref="U759" ca="1">INDIRECT("Data!O" &amp; 754)</f>
        <v>0</v>
      </c>
      <c r="V759" cm="1">
        <f t="array" aca="1" ref="V759" ca="1">INDIRECT("Data!P" &amp; 754)</f>
        <v>0</v>
      </c>
    </row>
    <row r="760" spans="7:22" x14ac:dyDescent="0.25">
      <c r="G760" cm="1">
        <f t="array" aca="1" ref="G760" ca="1">INDIRECT("Data!A" &amp; 755)</f>
        <v>0</v>
      </c>
      <c r="H760" s="21" cm="1">
        <f t="array" aca="1" ref="H760" ca="1">INDIRECT("Data!B" &amp; 755)</f>
        <v>0</v>
      </c>
      <c r="I760" s="21" cm="1">
        <f t="array" aca="1" ref="I760" ca="1">INDIRECT("Data!C" &amp; 755)</f>
        <v>0</v>
      </c>
      <c r="J760" cm="1">
        <f t="array" aca="1" ref="J760" ca="1">INDIRECT("Data!D" &amp; 755)</f>
        <v>0</v>
      </c>
      <c r="K760" cm="1">
        <f t="array" aca="1" ref="K760" ca="1">INDIRECT("Data!E" &amp; 755)</f>
        <v>0</v>
      </c>
      <c r="L760" cm="1">
        <f t="array" aca="1" ref="L760" ca="1">INDIRECT("Data!F" &amp; 755)</f>
        <v>0</v>
      </c>
      <c r="M760" cm="1">
        <f t="array" aca="1" ref="M760" ca="1">INDIRECT("Data!G" &amp; 755)</f>
        <v>0</v>
      </c>
      <c r="N760" cm="1">
        <f t="array" aca="1" ref="N760" ca="1">INDIRECT("Data!H" &amp; 755)</f>
        <v>0</v>
      </c>
      <c r="O760" cm="1">
        <f t="array" aca="1" ref="O760" ca="1">INDIRECT("Data!I" &amp; 755)</f>
        <v>0</v>
      </c>
      <c r="P760" s="21" cm="1">
        <f t="array" aca="1" ref="P760" ca="1">INDIRECT("Data!J" &amp; 755)</f>
        <v>0</v>
      </c>
      <c r="Q760" cm="1">
        <f t="array" aca="1" ref="Q760" ca="1">INDIRECT("Data!K" &amp; 755)</f>
        <v>0</v>
      </c>
      <c r="R760" cm="1">
        <f t="array" aca="1" ref="R760" ca="1">INDIRECT("Data!L" &amp; 755)</f>
        <v>0</v>
      </c>
      <c r="S760" cm="1">
        <f t="array" aca="1" ref="S760" ca="1">INDIRECT("Data!M" &amp; 755)</f>
        <v>0</v>
      </c>
      <c r="T760" cm="1">
        <f t="array" aca="1" ref="T760" ca="1">INDIRECT("Data!N" &amp; 755)</f>
        <v>0</v>
      </c>
      <c r="U760" cm="1">
        <f t="array" aca="1" ref="U760" ca="1">INDIRECT("Data!O" &amp; 755)</f>
        <v>0</v>
      </c>
      <c r="V760" cm="1">
        <f t="array" aca="1" ref="V760" ca="1">INDIRECT("Data!P" &amp; 755)</f>
        <v>0</v>
      </c>
    </row>
    <row r="761" spans="7:22" x14ac:dyDescent="0.25">
      <c r="G761" cm="1">
        <f t="array" aca="1" ref="G761" ca="1">INDIRECT("Data!A" &amp; 756)</f>
        <v>0</v>
      </c>
      <c r="H761" s="21" cm="1">
        <f t="array" aca="1" ref="H761" ca="1">INDIRECT("Data!B" &amp; 756)</f>
        <v>0</v>
      </c>
      <c r="I761" s="21" cm="1">
        <f t="array" aca="1" ref="I761" ca="1">INDIRECT("Data!C" &amp; 756)</f>
        <v>0</v>
      </c>
      <c r="J761" cm="1">
        <f t="array" aca="1" ref="J761" ca="1">INDIRECT("Data!D" &amp; 756)</f>
        <v>0</v>
      </c>
      <c r="K761" cm="1">
        <f t="array" aca="1" ref="K761" ca="1">INDIRECT("Data!E" &amp; 756)</f>
        <v>0</v>
      </c>
      <c r="L761" cm="1">
        <f t="array" aca="1" ref="L761" ca="1">INDIRECT("Data!F" &amp; 756)</f>
        <v>0</v>
      </c>
      <c r="M761" cm="1">
        <f t="array" aca="1" ref="M761" ca="1">INDIRECT("Data!G" &amp; 756)</f>
        <v>0</v>
      </c>
      <c r="N761" cm="1">
        <f t="array" aca="1" ref="N761" ca="1">INDIRECT("Data!H" &amp; 756)</f>
        <v>0</v>
      </c>
      <c r="O761" cm="1">
        <f t="array" aca="1" ref="O761" ca="1">INDIRECT("Data!I" &amp; 756)</f>
        <v>0</v>
      </c>
      <c r="P761" s="21" cm="1">
        <f t="array" aca="1" ref="P761" ca="1">INDIRECT("Data!J" &amp; 756)</f>
        <v>0</v>
      </c>
      <c r="Q761" cm="1">
        <f t="array" aca="1" ref="Q761" ca="1">INDIRECT("Data!K" &amp; 756)</f>
        <v>0</v>
      </c>
      <c r="R761" cm="1">
        <f t="array" aca="1" ref="R761" ca="1">INDIRECT("Data!L" &amp; 756)</f>
        <v>0</v>
      </c>
      <c r="S761" cm="1">
        <f t="array" aca="1" ref="S761" ca="1">INDIRECT("Data!M" &amp; 756)</f>
        <v>0</v>
      </c>
      <c r="T761" cm="1">
        <f t="array" aca="1" ref="T761" ca="1">INDIRECT("Data!N" &amp; 756)</f>
        <v>0</v>
      </c>
      <c r="U761" cm="1">
        <f t="array" aca="1" ref="U761" ca="1">INDIRECT("Data!O" &amp; 756)</f>
        <v>0</v>
      </c>
      <c r="V761" cm="1">
        <f t="array" aca="1" ref="V761" ca="1">INDIRECT("Data!P" &amp; 756)</f>
        <v>0</v>
      </c>
    </row>
    <row r="762" spans="7:22" x14ac:dyDescent="0.25">
      <c r="G762" cm="1">
        <f t="array" aca="1" ref="G762" ca="1">INDIRECT("Data!A" &amp; 757)</f>
        <v>0</v>
      </c>
      <c r="H762" s="21" cm="1">
        <f t="array" aca="1" ref="H762" ca="1">INDIRECT("Data!B" &amp; 757)</f>
        <v>0</v>
      </c>
      <c r="I762" s="21" cm="1">
        <f t="array" aca="1" ref="I762" ca="1">INDIRECT("Data!C" &amp; 757)</f>
        <v>0</v>
      </c>
      <c r="J762" cm="1">
        <f t="array" aca="1" ref="J762" ca="1">INDIRECT("Data!D" &amp; 757)</f>
        <v>0</v>
      </c>
      <c r="K762" cm="1">
        <f t="array" aca="1" ref="K762" ca="1">INDIRECT("Data!E" &amp; 757)</f>
        <v>0</v>
      </c>
      <c r="L762" cm="1">
        <f t="array" aca="1" ref="L762" ca="1">INDIRECT("Data!F" &amp; 757)</f>
        <v>0</v>
      </c>
      <c r="M762" cm="1">
        <f t="array" aca="1" ref="M762" ca="1">INDIRECT("Data!G" &amp; 757)</f>
        <v>0</v>
      </c>
      <c r="N762" cm="1">
        <f t="array" aca="1" ref="N762" ca="1">INDIRECT("Data!H" &amp; 757)</f>
        <v>0</v>
      </c>
      <c r="O762" cm="1">
        <f t="array" aca="1" ref="O762" ca="1">INDIRECT("Data!I" &amp; 757)</f>
        <v>0</v>
      </c>
      <c r="P762" s="21" cm="1">
        <f t="array" aca="1" ref="P762" ca="1">INDIRECT("Data!J" &amp; 757)</f>
        <v>0</v>
      </c>
      <c r="Q762" cm="1">
        <f t="array" aca="1" ref="Q762" ca="1">INDIRECT("Data!K" &amp; 757)</f>
        <v>0</v>
      </c>
      <c r="R762" cm="1">
        <f t="array" aca="1" ref="R762" ca="1">INDIRECT("Data!L" &amp; 757)</f>
        <v>0</v>
      </c>
      <c r="S762" cm="1">
        <f t="array" aca="1" ref="S762" ca="1">INDIRECT("Data!M" &amp; 757)</f>
        <v>0</v>
      </c>
      <c r="T762" cm="1">
        <f t="array" aca="1" ref="T762" ca="1">INDIRECT("Data!N" &amp; 757)</f>
        <v>0</v>
      </c>
      <c r="U762" cm="1">
        <f t="array" aca="1" ref="U762" ca="1">INDIRECT("Data!O" &amp; 757)</f>
        <v>0</v>
      </c>
      <c r="V762" cm="1">
        <f t="array" aca="1" ref="V762" ca="1">INDIRECT("Data!P" &amp; 757)</f>
        <v>0</v>
      </c>
    </row>
    <row r="763" spans="7:22" x14ac:dyDescent="0.25">
      <c r="G763" cm="1">
        <f t="array" aca="1" ref="G763" ca="1">INDIRECT("Data!A" &amp; 758)</f>
        <v>0</v>
      </c>
      <c r="H763" s="21" cm="1">
        <f t="array" aca="1" ref="H763" ca="1">INDIRECT("Data!B" &amp; 758)</f>
        <v>0</v>
      </c>
      <c r="I763" s="21" cm="1">
        <f t="array" aca="1" ref="I763" ca="1">INDIRECT("Data!C" &amp; 758)</f>
        <v>0</v>
      </c>
      <c r="J763" cm="1">
        <f t="array" aca="1" ref="J763" ca="1">INDIRECT("Data!D" &amp; 758)</f>
        <v>0</v>
      </c>
      <c r="K763" cm="1">
        <f t="array" aca="1" ref="K763" ca="1">INDIRECT("Data!E" &amp; 758)</f>
        <v>0</v>
      </c>
      <c r="L763" cm="1">
        <f t="array" aca="1" ref="L763" ca="1">INDIRECT("Data!F" &amp; 758)</f>
        <v>0</v>
      </c>
      <c r="M763" cm="1">
        <f t="array" aca="1" ref="M763" ca="1">INDIRECT("Data!G" &amp; 758)</f>
        <v>0</v>
      </c>
      <c r="N763" cm="1">
        <f t="array" aca="1" ref="N763" ca="1">INDIRECT("Data!H" &amp; 758)</f>
        <v>0</v>
      </c>
      <c r="O763" cm="1">
        <f t="array" aca="1" ref="O763" ca="1">INDIRECT("Data!I" &amp; 758)</f>
        <v>0</v>
      </c>
      <c r="P763" s="21" cm="1">
        <f t="array" aca="1" ref="P763" ca="1">INDIRECT("Data!J" &amp; 758)</f>
        <v>0</v>
      </c>
      <c r="Q763" cm="1">
        <f t="array" aca="1" ref="Q763" ca="1">INDIRECT("Data!K" &amp; 758)</f>
        <v>0</v>
      </c>
      <c r="R763" cm="1">
        <f t="array" aca="1" ref="R763" ca="1">INDIRECT("Data!L" &amp; 758)</f>
        <v>0</v>
      </c>
      <c r="S763" cm="1">
        <f t="array" aca="1" ref="S763" ca="1">INDIRECT("Data!M" &amp; 758)</f>
        <v>0</v>
      </c>
      <c r="T763" cm="1">
        <f t="array" aca="1" ref="T763" ca="1">INDIRECT("Data!N" &amp; 758)</f>
        <v>0</v>
      </c>
      <c r="U763" cm="1">
        <f t="array" aca="1" ref="U763" ca="1">INDIRECT("Data!O" &amp; 758)</f>
        <v>0</v>
      </c>
      <c r="V763" cm="1">
        <f t="array" aca="1" ref="V763" ca="1">INDIRECT("Data!P" &amp; 758)</f>
        <v>0</v>
      </c>
    </row>
    <row r="764" spans="7:22" x14ac:dyDescent="0.25">
      <c r="G764" cm="1">
        <f t="array" aca="1" ref="G764" ca="1">INDIRECT("Data!A" &amp; 759)</f>
        <v>0</v>
      </c>
      <c r="H764" s="21" cm="1">
        <f t="array" aca="1" ref="H764" ca="1">INDIRECT("Data!B" &amp; 759)</f>
        <v>0</v>
      </c>
      <c r="I764" s="21" cm="1">
        <f t="array" aca="1" ref="I764" ca="1">INDIRECT("Data!C" &amp; 759)</f>
        <v>0</v>
      </c>
      <c r="J764" cm="1">
        <f t="array" aca="1" ref="J764" ca="1">INDIRECT("Data!D" &amp; 759)</f>
        <v>0</v>
      </c>
      <c r="K764" cm="1">
        <f t="array" aca="1" ref="K764" ca="1">INDIRECT("Data!E" &amp; 759)</f>
        <v>0</v>
      </c>
      <c r="L764" cm="1">
        <f t="array" aca="1" ref="L764" ca="1">INDIRECT("Data!F" &amp; 759)</f>
        <v>0</v>
      </c>
      <c r="M764" cm="1">
        <f t="array" aca="1" ref="M764" ca="1">INDIRECT("Data!G" &amp; 759)</f>
        <v>0</v>
      </c>
      <c r="N764" cm="1">
        <f t="array" aca="1" ref="N764" ca="1">INDIRECT("Data!H" &amp; 759)</f>
        <v>0</v>
      </c>
      <c r="O764" cm="1">
        <f t="array" aca="1" ref="O764" ca="1">INDIRECT("Data!I" &amp; 759)</f>
        <v>0</v>
      </c>
      <c r="P764" s="21" cm="1">
        <f t="array" aca="1" ref="P764" ca="1">INDIRECT("Data!J" &amp; 759)</f>
        <v>0</v>
      </c>
      <c r="Q764" cm="1">
        <f t="array" aca="1" ref="Q764" ca="1">INDIRECT("Data!K" &amp; 759)</f>
        <v>0</v>
      </c>
      <c r="R764" cm="1">
        <f t="array" aca="1" ref="R764" ca="1">INDIRECT("Data!L" &amp; 759)</f>
        <v>0</v>
      </c>
      <c r="S764" cm="1">
        <f t="array" aca="1" ref="S764" ca="1">INDIRECT("Data!M" &amp; 759)</f>
        <v>0</v>
      </c>
      <c r="T764" cm="1">
        <f t="array" aca="1" ref="T764" ca="1">INDIRECT("Data!N" &amp; 759)</f>
        <v>0</v>
      </c>
      <c r="U764" cm="1">
        <f t="array" aca="1" ref="U764" ca="1">INDIRECT("Data!O" &amp; 759)</f>
        <v>0</v>
      </c>
      <c r="V764" cm="1">
        <f t="array" aca="1" ref="V764" ca="1">INDIRECT("Data!P" &amp; 759)</f>
        <v>0</v>
      </c>
    </row>
    <row r="765" spans="7:22" x14ac:dyDescent="0.25">
      <c r="G765" cm="1">
        <f t="array" aca="1" ref="G765" ca="1">INDIRECT("Data!A" &amp; 760)</f>
        <v>0</v>
      </c>
      <c r="H765" s="21" cm="1">
        <f t="array" aca="1" ref="H765" ca="1">INDIRECT("Data!B" &amp; 760)</f>
        <v>0</v>
      </c>
      <c r="I765" s="21" cm="1">
        <f t="array" aca="1" ref="I765" ca="1">INDIRECT("Data!C" &amp; 760)</f>
        <v>0</v>
      </c>
      <c r="J765" cm="1">
        <f t="array" aca="1" ref="J765" ca="1">INDIRECT("Data!D" &amp; 760)</f>
        <v>0</v>
      </c>
      <c r="K765" cm="1">
        <f t="array" aca="1" ref="K765" ca="1">INDIRECT("Data!E" &amp; 760)</f>
        <v>0</v>
      </c>
      <c r="L765" cm="1">
        <f t="array" aca="1" ref="L765" ca="1">INDIRECT("Data!F" &amp; 760)</f>
        <v>0</v>
      </c>
      <c r="M765" cm="1">
        <f t="array" aca="1" ref="M765" ca="1">INDIRECT("Data!G" &amp; 760)</f>
        <v>0</v>
      </c>
      <c r="N765" cm="1">
        <f t="array" aca="1" ref="N765" ca="1">INDIRECT("Data!H" &amp; 760)</f>
        <v>0</v>
      </c>
      <c r="O765" cm="1">
        <f t="array" aca="1" ref="O765" ca="1">INDIRECT("Data!I" &amp; 760)</f>
        <v>0</v>
      </c>
      <c r="P765" s="21" cm="1">
        <f t="array" aca="1" ref="P765" ca="1">INDIRECT("Data!J" &amp; 760)</f>
        <v>0</v>
      </c>
      <c r="Q765" cm="1">
        <f t="array" aca="1" ref="Q765" ca="1">INDIRECT("Data!K" &amp; 760)</f>
        <v>0</v>
      </c>
      <c r="R765" cm="1">
        <f t="array" aca="1" ref="R765" ca="1">INDIRECT("Data!L" &amp; 760)</f>
        <v>0</v>
      </c>
      <c r="S765" cm="1">
        <f t="array" aca="1" ref="S765" ca="1">INDIRECT("Data!M" &amp; 760)</f>
        <v>0</v>
      </c>
      <c r="T765" cm="1">
        <f t="array" aca="1" ref="T765" ca="1">INDIRECT("Data!N" &amp; 760)</f>
        <v>0</v>
      </c>
      <c r="U765" cm="1">
        <f t="array" aca="1" ref="U765" ca="1">INDIRECT("Data!O" &amp; 760)</f>
        <v>0</v>
      </c>
      <c r="V765" cm="1">
        <f t="array" aca="1" ref="V765" ca="1">INDIRECT("Data!P" &amp; 760)</f>
        <v>0</v>
      </c>
    </row>
    <row r="766" spans="7:22" x14ac:dyDescent="0.25">
      <c r="G766" cm="1">
        <f t="array" aca="1" ref="G766" ca="1">INDIRECT("Data!A" &amp; 761)</f>
        <v>0</v>
      </c>
      <c r="H766" s="21" cm="1">
        <f t="array" aca="1" ref="H766" ca="1">INDIRECT("Data!B" &amp; 761)</f>
        <v>0</v>
      </c>
      <c r="I766" s="21" cm="1">
        <f t="array" aca="1" ref="I766" ca="1">INDIRECT("Data!C" &amp; 761)</f>
        <v>0</v>
      </c>
      <c r="J766" cm="1">
        <f t="array" aca="1" ref="J766" ca="1">INDIRECT("Data!D" &amp; 761)</f>
        <v>0</v>
      </c>
      <c r="K766" cm="1">
        <f t="array" aca="1" ref="K766" ca="1">INDIRECT("Data!E" &amp; 761)</f>
        <v>0</v>
      </c>
      <c r="L766" cm="1">
        <f t="array" aca="1" ref="L766" ca="1">INDIRECT("Data!F" &amp; 761)</f>
        <v>0</v>
      </c>
      <c r="M766" cm="1">
        <f t="array" aca="1" ref="M766" ca="1">INDIRECT("Data!G" &amp; 761)</f>
        <v>0</v>
      </c>
      <c r="N766" cm="1">
        <f t="array" aca="1" ref="N766" ca="1">INDIRECT("Data!H" &amp; 761)</f>
        <v>0</v>
      </c>
      <c r="O766" cm="1">
        <f t="array" aca="1" ref="O766" ca="1">INDIRECT("Data!I" &amp; 761)</f>
        <v>0</v>
      </c>
      <c r="P766" s="21" cm="1">
        <f t="array" aca="1" ref="P766" ca="1">INDIRECT("Data!J" &amp; 761)</f>
        <v>0</v>
      </c>
      <c r="Q766" cm="1">
        <f t="array" aca="1" ref="Q766" ca="1">INDIRECT("Data!K" &amp; 761)</f>
        <v>0</v>
      </c>
      <c r="R766" cm="1">
        <f t="array" aca="1" ref="R766" ca="1">INDIRECT("Data!L" &amp; 761)</f>
        <v>0</v>
      </c>
      <c r="S766" cm="1">
        <f t="array" aca="1" ref="S766" ca="1">INDIRECT("Data!M" &amp; 761)</f>
        <v>0</v>
      </c>
      <c r="T766" cm="1">
        <f t="array" aca="1" ref="T766" ca="1">INDIRECT("Data!N" &amp; 761)</f>
        <v>0</v>
      </c>
      <c r="U766" cm="1">
        <f t="array" aca="1" ref="U766" ca="1">INDIRECT("Data!O" &amp; 761)</f>
        <v>0</v>
      </c>
      <c r="V766" cm="1">
        <f t="array" aca="1" ref="V766" ca="1">INDIRECT("Data!P" &amp; 761)</f>
        <v>0</v>
      </c>
    </row>
    <row r="767" spans="7:22" x14ac:dyDescent="0.25">
      <c r="G767" cm="1">
        <f t="array" aca="1" ref="G767" ca="1">INDIRECT("Data!A" &amp; 762)</f>
        <v>0</v>
      </c>
      <c r="H767" s="21" cm="1">
        <f t="array" aca="1" ref="H767" ca="1">INDIRECT("Data!B" &amp; 762)</f>
        <v>0</v>
      </c>
      <c r="I767" s="21" cm="1">
        <f t="array" aca="1" ref="I767" ca="1">INDIRECT("Data!C" &amp; 762)</f>
        <v>0</v>
      </c>
      <c r="J767" cm="1">
        <f t="array" aca="1" ref="J767" ca="1">INDIRECT("Data!D" &amp; 762)</f>
        <v>0</v>
      </c>
      <c r="K767" cm="1">
        <f t="array" aca="1" ref="K767" ca="1">INDIRECT("Data!E" &amp; 762)</f>
        <v>0</v>
      </c>
      <c r="L767" cm="1">
        <f t="array" aca="1" ref="L767" ca="1">INDIRECT("Data!F" &amp; 762)</f>
        <v>0</v>
      </c>
      <c r="M767" cm="1">
        <f t="array" aca="1" ref="M767" ca="1">INDIRECT("Data!G" &amp; 762)</f>
        <v>0</v>
      </c>
      <c r="N767" cm="1">
        <f t="array" aca="1" ref="N767" ca="1">INDIRECT("Data!H" &amp; 762)</f>
        <v>0</v>
      </c>
      <c r="O767" cm="1">
        <f t="array" aca="1" ref="O767" ca="1">INDIRECT("Data!I" &amp; 762)</f>
        <v>0</v>
      </c>
      <c r="P767" s="21" cm="1">
        <f t="array" aca="1" ref="P767" ca="1">INDIRECT("Data!J" &amp; 762)</f>
        <v>0</v>
      </c>
      <c r="Q767" cm="1">
        <f t="array" aca="1" ref="Q767" ca="1">INDIRECT("Data!K" &amp; 762)</f>
        <v>0</v>
      </c>
      <c r="R767" cm="1">
        <f t="array" aca="1" ref="R767" ca="1">INDIRECT("Data!L" &amp; 762)</f>
        <v>0</v>
      </c>
      <c r="S767" cm="1">
        <f t="array" aca="1" ref="S767" ca="1">INDIRECT("Data!M" &amp; 762)</f>
        <v>0</v>
      </c>
      <c r="T767" cm="1">
        <f t="array" aca="1" ref="T767" ca="1">INDIRECT("Data!N" &amp; 762)</f>
        <v>0</v>
      </c>
      <c r="U767" cm="1">
        <f t="array" aca="1" ref="U767" ca="1">INDIRECT("Data!O" &amp; 762)</f>
        <v>0</v>
      </c>
      <c r="V767" cm="1">
        <f t="array" aca="1" ref="V767" ca="1">INDIRECT("Data!P" &amp; 762)</f>
        <v>0</v>
      </c>
    </row>
    <row r="768" spans="7:22" x14ac:dyDescent="0.25">
      <c r="G768" cm="1">
        <f t="array" aca="1" ref="G768" ca="1">INDIRECT("Data!A" &amp; 763)</f>
        <v>0</v>
      </c>
      <c r="H768" s="21" cm="1">
        <f t="array" aca="1" ref="H768" ca="1">INDIRECT("Data!B" &amp; 763)</f>
        <v>0</v>
      </c>
      <c r="I768" s="21" cm="1">
        <f t="array" aca="1" ref="I768" ca="1">INDIRECT("Data!C" &amp; 763)</f>
        <v>0</v>
      </c>
      <c r="J768" cm="1">
        <f t="array" aca="1" ref="J768" ca="1">INDIRECT("Data!D" &amp; 763)</f>
        <v>0</v>
      </c>
      <c r="K768" cm="1">
        <f t="array" aca="1" ref="K768" ca="1">INDIRECT("Data!E" &amp; 763)</f>
        <v>0</v>
      </c>
      <c r="L768" cm="1">
        <f t="array" aca="1" ref="L768" ca="1">INDIRECT("Data!F" &amp; 763)</f>
        <v>0</v>
      </c>
      <c r="M768" cm="1">
        <f t="array" aca="1" ref="M768" ca="1">INDIRECT("Data!G" &amp; 763)</f>
        <v>0</v>
      </c>
      <c r="N768" cm="1">
        <f t="array" aca="1" ref="N768" ca="1">INDIRECT("Data!H" &amp; 763)</f>
        <v>0</v>
      </c>
      <c r="O768" cm="1">
        <f t="array" aca="1" ref="O768" ca="1">INDIRECT("Data!I" &amp; 763)</f>
        <v>0</v>
      </c>
      <c r="P768" s="21" cm="1">
        <f t="array" aca="1" ref="P768" ca="1">INDIRECT("Data!J" &amp; 763)</f>
        <v>0</v>
      </c>
      <c r="Q768" cm="1">
        <f t="array" aca="1" ref="Q768" ca="1">INDIRECT("Data!K" &amp; 763)</f>
        <v>0</v>
      </c>
      <c r="R768" cm="1">
        <f t="array" aca="1" ref="R768" ca="1">INDIRECT("Data!L" &amp; 763)</f>
        <v>0</v>
      </c>
      <c r="S768" cm="1">
        <f t="array" aca="1" ref="S768" ca="1">INDIRECT("Data!M" &amp; 763)</f>
        <v>0</v>
      </c>
      <c r="T768" cm="1">
        <f t="array" aca="1" ref="T768" ca="1">INDIRECT("Data!N" &amp; 763)</f>
        <v>0</v>
      </c>
      <c r="U768" cm="1">
        <f t="array" aca="1" ref="U768" ca="1">INDIRECT("Data!O" &amp; 763)</f>
        <v>0</v>
      </c>
      <c r="V768" cm="1">
        <f t="array" aca="1" ref="V768" ca="1">INDIRECT("Data!P" &amp; 763)</f>
        <v>0</v>
      </c>
    </row>
    <row r="769" spans="7:22" x14ac:dyDescent="0.25">
      <c r="G769" cm="1">
        <f t="array" aca="1" ref="G769" ca="1">INDIRECT("Data!A" &amp; 764)</f>
        <v>0</v>
      </c>
      <c r="H769" s="21" cm="1">
        <f t="array" aca="1" ref="H769" ca="1">INDIRECT("Data!B" &amp; 764)</f>
        <v>0</v>
      </c>
      <c r="I769" s="21" cm="1">
        <f t="array" aca="1" ref="I769" ca="1">INDIRECT("Data!C" &amp; 764)</f>
        <v>0</v>
      </c>
      <c r="J769" cm="1">
        <f t="array" aca="1" ref="J769" ca="1">INDIRECT("Data!D" &amp; 764)</f>
        <v>0</v>
      </c>
      <c r="K769" cm="1">
        <f t="array" aca="1" ref="K769" ca="1">INDIRECT("Data!E" &amp; 764)</f>
        <v>0</v>
      </c>
      <c r="L769" cm="1">
        <f t="array" aca="1" ref="L769" ca="1">INDIRECT("Data!F" &amp; 764)</f>
        <v>0</v>
      </c>
      <c r="M769" cm="1">
        <f t="array" aca="1" ref="M769" ca="1">INDIRECT("Data!G" &amp; 764)</f>
        <v>0</v>
      </c>
      <c r="N769" cm="1">
        <f t="array" aca="1" ref="N769" ca="1">INDIRECT("Data!H" &amp; 764)</f>
        <v>0</v>
      </c>
      <c r="O769" cm="1">
        <f t="array" aca="1" ref="O769" ca="1">INDIRECT("Data!I" &amp; 764)</f>
        <v>0</v>
      </c>
      <c r="P769" s="21" cm="1">
        <f t="array" aca="1" ref="P769" ca="1">INDIRECT("Data!J" &amp; 764)</f>
        <v>0</v>
      </c>
      <c r="Q769" cm="1">
        <f t="array" aca="1" ref="Q769" ca="1">INDIRECT("Data!K" &amp; 764)</f>
        <v>0</v>
      </c>
      <c r="R769" cm="1">
        <f t="array" aca="1" ref="R769" ca="1">INDIRECT("Data!L" &amp; 764)</f>
        <v>0</v>
      </c>
      <c r="S769" cm="1">
        <f t="array" aca="1" ref="S769" ca="1">INDIRECT("Data!M" &amp; 764)</f>
        <v>0</v>
      </c>
      <c r="T769" cm="1">
        <f t="array" aca="1" ref="T769" ca="1">INDIRECT("Data!N" &amp; 764)</f>
        <v>0</v>
      </c>
      <c r="U769" cm="1">
        <f t="array" aca="1" ref="U769" ca="1">INDIRECT("Data!O" &amp; 764)</f>
        <v>0</v>
      </c>
      <c r="V769" cm="1">
        <f t="array" aca="1" ref="V769" ca="1">INDIRECT("Data!P" &amp; 764)</f>
        <v>0</v>
      </c>
    </row>
    <row r="770" spans="7:22" x14ac:dyDescent="0.25">
      <c r="G770" cm="1">
        <f t="array" aca="1" ref="G770" ca="1">INDIRECT("Data!A" &amp; 765)</f>
        <v>0</v>
      </c>
      <c r="H770" s="21" cm="1">
        <f t="array" aca="1" ref="H770" ca="1">INDIRECT("Data!B" &amp; 765)</f>
        <v>0</v>
      </c>
      <c r="I770" s="21" cm="1">
        <f t="array" aca="1" ref="I770" ca="1">INDIRECT("Data!C" &amp; 765)</f>
        <v>0</v>
      </c>
      <c r="J770" cm="1">
        <f t="array" aca="1" ref="J770" ca="1">INDIRECT("Data!D" &amp; 765)</f>
        <v>0</v>
      </c>
      <c r="K770" cm="1">
        <f t="array" aca="1" ref="K770" ca="1">INDIRECT("Data!E" &amp; 765)</f>
        <v>0</v>
      </c>
      <c r="L770" cm="1">
        <f t="array" aca="1" ref="L770" ca="1">INDIRECT("Data!F" &amp; 765)</f>
        <v>0</v>
      </c>
      <c r="M770" cm="1">
        <f t="array" aca="1" ref="M770" ca="1">INDIRECT("Data!G" &amp; 765)</f>
        <v>0</v>
      </c>
      <c r="N770" cm="1">
        <f t="array" aca="1" ref="N770" ca="1">INDIRECT("Data!H" &amp; 765)</f>
        <v>0</v>
      </c>
      <c r="O770" cm="1">
        <f t="array" aca="1" ref="O770" ca="1">INDIRECT("Data!I" &amp; 765)</f>
        <v>0</v>
      </c>
      <c r="P770" s="21" cm="1">
        <f t="array" aca="1" ref="P770" ca="1">INDIRECT("Data!J" &amp; 765)</f>
        <v>0</v>
      </c>
      <c r="Q770" cm="1">
        <f t="array" aca="1" ref="Q770" ca="1">INDIRECT("Data!K" &amp; 765)</f>
        <v>0</v>
      </c>
      <c r="R770" cm="1">
        <f t="array" aca="1" ref="R770" ca="1">INDIRECT("Data!L" &amp; 765)</f>
        <v>0</v>
      </c>
      <c r="S770" cm="1">
        <f t="array" aca="1" ref="S770" ca="1">INDIRECT("Data!M" &amp; 765)</f>
        <v>0</v>
      </c>
      <c r="T770" cm="1">
        <f t="array" aca="1" ref="T770" ca="1">INDIRECT("Data!N" &amp; 765)</f>
        <v>0</v>
      </c>
      <c r="U770" cm="1">
        <f t="array" aca="1" ref="U770" ca="1">INDIRECT("Data!O" &amp; 765)</f>
        <v>0</v>
      </c>
      <c r="V770" cm="1">
        <f t="array" aca="1" ref="V770" ca="1">INDIRECT("Data!P" &amp; 765)</f>
        <v>0</v>
      </c>
    </row>
    <row r="771" spans="7:22" x14ac:dyDescent="0.25">
      <c r="G771" cm="1">
        <f t="array" aca="1" ref="G771" ca="1">INDIRECT("Data!A" &amp; 766)</f>
        <v>0</v>
      </c>
      <c r="H771" s="21" cm="1">
        <f t="array" aca="1" ref="H771" ca="1">INDIRECT("Data!B" &amp; 766)</f>
        <v>0</v>
      </c>
      <c r="I771" s="21" cm="1">
        <f t="array" aca="1" ref="I771" ca="1">INDIRECT("Data!C" &amp; 766)</f>
        <v>0</v>
      </c>
      <c r="J771" cm="1">
        <f t="array" aca="1" ref="J771" ca="1">INDIRECT("Data!D" &amp; 766)</f>
        <v>0</v>
      </c>
      <c r="K771" cm="1">
        <f t="array" aca="1" ref="K771" ca="1">INDIRECT("Data!E" &amp; 766)</f>
        <v>0</v>
      </c>
      <c r="L771" cm="1">
        <f t="array" aca="1" ref="L771" ca="1">INDIRECT("Data!F" &amp; 766)</f>
        <v>0</v>
      </c>
      <c r="M771" cm="1">
        <f t="array" aca="1" ref="M771" ca="1">INDIRECT("Data!G" &amp; 766)</f>
        <v>0</v>
      </c>
      <c r="N771" cm="1">
        <f t="array" aca="1" ref="N771" ca="1">INDIRECT("Data!H" &amp; 766)</f>
        <v>0</v>
      </c>
      <c r="O771" cm="1">
        <f t="array" aca="1" ref="O771" ca="1">INDIRECT("Data!I" &amp; 766)</f>
        <v>0</v>
      </c>
      <c r="P771" s="21" cm="1">
        <f t="array" aca="1" ref="P771" ca="1">INDIRECT("Data!J" &amp; 766)</f>
        <v>0</v>
      </c>
      <c r="Q771" cm="1">
        <f t="array" aca="1" ref="Q771" ca="1">INDIRECT("Data!K" &amp; 766)</f>
        <v>0</v>
      </c>
      <c r="R771" cm="1">
        <f t="array" aca="1" ref="R771" ca="1">INDIRECT("Data!L" &amp; 766)</f>
        <v>0</v>
      </c>
      <c r="S771" cm="1">
        <f t="array" aca="1" ref="S771" ca="1">INDIRECT("Data!M" &amp; 766)</f>
        <v>0</v>
      </c>
      <c r="T771" cm="1">
        <f t="array" aca="1" ref="T771" ca="1">INDIRECT("Data!N" &amp; 766)</f>
        <v>0</v>
      </c>
      <c r="U771" cm="1">
        <f t="array" aca="1" ref="U771" ca="1">INDIRECT("Data!O" &amp; 766)</f>
        <v>0</v>
      </c>
      <c r="V771" cm="1">
        <f t="array" aca="1" ref="V771" ca="1">INDIRECT("Data!P" &amp; 766)</f>
        <v>0</v>
      </c>
    </row>
    <row r="772" spans="7:22" x14ac:dyDescent="0.25">
      <c r="G772" cm="1">
        <f t="array" aca="1" ref="G772" ca="1">INDIRECT("Data!A" &amp; 767)</f>
        <v>0</v>
      </c>
      <c r="H772" s="21" cm="1">
        <f t="array" aca="1" ref="H772" ca="1">INDIRECT("Data!B" &amp; 767)</f>
        <v>0</v>
      </c>
      <c r="I772" s="21" cm="1">
        <f t="array" aca="1" ref="I772" ca="1">INDIRECT("Data!C" &amp; 767)</f>
        <v>0</v>
      </c>
      <c r="J772" cm="1">
        <f t="array" aca="1" ref="J772" ca="1">INDIRECT("Data!D" &amp; 767)</f>
        <v>0</v>
      </c>
      <c r="K772" cm="1">
        <f t="array" aca="1" ref="K772" ca="1">INDIRECT("Data!E" &amp; 767)</f>
        <v>0</v>
      </c>
      <c r="L772" cm="1">
        <f t="array" aca="1" ref="L772" ca="1">INDIRECT("Data!F" &amp; 767)</f>
        <v>0</v>
      </c>
      <c r="M772" cm="1">
        <f t="array" aca="1" ref="M772" ca="1">INDIRECT("Data!G" &amp; 767)</f>
        <v>0</v>
      </c>
      <c r="N772" cm="1">
        <f t="array" aca="1" ref="N772" ca="1">INDIRECT("Data!H" &amp; 767)</f>
        <v>0</v>
      </c>
      <c r="O772" cm="1">
        <f t="array" aca="1" ref="O772" ca="1">INDIRECT("Data!I" &amp; 767)</f>
        <v>0</v>
      </c>
      <c r="P772" s="21" cm="1">
        <f t="array" aca="1" ref="P772" ca="1">INDIRECT("Data!J" &amp; 767)</f>
        <v>0</v>
      </c>
      <c r="Q772" cm="1">
        <f t="array" aca="1" ref="Q772" ca="1">INDIRECT("Data!K" &amp; 767)</f>
        <v>0</v>
      </c>
      <c r="R772" cm="1">
        <f t="array" aca="1" ref="R772" ca="1">INDIRECT("Data!L" &amp; 767)</f>
        <v>0</v>
      </c>
      <c r="S772" cm="1">
        <f t="array" aca="1" ref="S772" ca="1">INDIRECT("Data!M" &amp; 767)</f>
        <v>0</v>
      </c>
      <c r="T772" cm="1">
        <f t="array" aca="1" ref="T772" ca="1">INDIRECT("Data!N" &amp; 767)</f>
        <v>0</v>
      </c>
      <c r="U772" cm="1">
        <f t="array" aca="1" ref="U772" ca="1">INDIRECT("Data!O" &amp; 767)</f>
        <v>0</v>
      </c>
      <c r="V772" cm="1">
        <f t="array" aca="1" ref="V772" ca="1">INDIRECT("Data!P" &amp; 767)</f>
        <v>0</v>
      </c>
    </row>
    <row r="773" spans="7:22" x14ac:dyDescent="0.25">
      <c r="G773" cm="1">
        <f t="array" aca="1" ref="G773" ca="1">INDIRECT("Data!A" &amp; 768)</f>
        <v>0</v>
      </c>
      <c r="H773" s="21" cm="1">
        <f t="array" aca="1" ref="H773" ca="1">INDIRECT("Data!B" &amp; 768)</f>
        <v>0</v>
      </c>
      <c r="I773" s="21" cm="1">
        <f t="array" aca="1" ref="I773" ca="1">INDIRECT("Data!C" &amp; 768)</f>
        <v>0</v>
      </c>
      <c r="J773" cm="1">
        <f t="array" aca="1" ref="J773" ca="1">INDIRECT("Data!D" &amp; 768)</f>
        <v>0</v>
      </c>
      <c r="K773" cm="1">
        <f t="array" aca="1" ref="K773" ca="1">INDIRECT("Data!E" &amp; 768)</f>
        <v>0</v>
      </c>
      <c r="L773" cm="1">
        <f t="array" aca="1" ref="L773" ca="1">INDIRECT("Data!F" &amp; 768)</f>
        <v>0</v>
      </c>
      <c r="M773" cm="1">
        <f t="array" aca="1" ref="M773" ca="1">INDIRECT("Data!G" &amp; 768)</f>
        <v>0</v>
      </c>
      <c r="N773" cm="1">
        <f t="array" aca="1" ref="N773" ca="1">INDIRECT("Data!H" &amp; 768)</f>
        <v>0</v>
      </c>
      <c r="O773" cm="1">
        <f t="array" aca="1" ref="O773" ca="1">INDIRECT("Data!I" &amp; 768)</f>
        <v>0</v>
      </c>
      <c r="P773" s="21" cm="1">
        <f t="array" aca="1" ref="P773" ca="1">INDIRECT("Data!J" &amp; 768)</f>
        <v>0</v>
      </c>
      <c r="Q773" cm="1">
        <f t="array" aca="1" ref="Q773" ca="1">INDIRECT("Data!K" &amp; 768)</f>
        <v>0</v>
      </c>
      <c r="R773" cm="1">
        <f t="array" aca="1" ref="R773" ca="1">INDIRECT("Data!L" &amp; 768)</f>
        <v>0</v>
      </c>
      <c r="S773" cm="1">
        <f t="array" aca="1" ref="S773" ca="1">INDIRECT("Data!M" &amp; 768)</f>
        <v>0</v>
      </c>
      <c r="T773" cm="1">
        <f t="array" aca="1" ref="T773" ca="1">INDIRECT("Data!N" &amp; 768)</f>
        <v>0</v>
      </c>
      <c r="U773" cm="1">
        <f t="array" aca="1" ref="U773" ca="1">INDIRECT("Data!O" &amp; 768)</f>
        <v>0</v>
      </c>
      <c r="V773" cm="1">
        <f t="array" aca="1" ref="V773" ca="1">INDIRECT("Data!P" &amp; 768)</f>
        <v>0</v>
      </c>
    </row>
    <row r="774" spans="7:22" x14ac:dyDescent="0.25">
      <c r="G774" cm="1">
        <f t="array" aca="1" ref="G774" ca="1">INDIRECT("Data!A" &amp; 769)</f>
        <v>0</v>
      </c>
      <c r="H774" s="21" cm="1">
        <f t="array" aca="1" ref="H774" ca="1">INDIRECT("Data!B" &amp; 769)</f>
        <v>0</v>
      </c>
      <c r="I774" s="21" cm="1">
        <f t="array" aca="1" ref="I774" ca="1">INDIRECT("Data!C" &amp; 769)</f>
        <v>0</v>
      </c>
      <c r="J774" cm="1">
        <f t="array" aca="1" ref="J774" ca="1">INDIRECT("Data!D" &amp; 769)</f>
        <v>0</v>
      </c>
      <c r="K774" cm="1">
        <f t="array" aca="1" ref="K774" ca="1">INDIRECT("Data!E" &amp; 769)</f>
        <v>0</v>
      </c>
      <c r="L774" cm="1">
        <f t="array" aca="1" ref="L774" ca="1">INDIRECT("Data!F" &amp; 769)</f>
        <v>0</v>
      </c>
      <c r="M774" cm="1">
        <f t="array" aca="1" ref="M774" ca="1">INDIRECT("Data!G" &amp; 769)</f>
        <v>0</v>
      </c>
      <c r="N774" cm="1">
        <f t="array" aca="1" ref="N774" ca="1">INDIRECT("Data!H" &amp; 769)</f>
        <v>0</v>
      </c>
      <c r="O774" cm="1">
        <f t="array" aca="1" ref="O774" ca="1">INDIRECT("Data!I" &amp; 769)</f>
        <v>0</v>
      </c>
      <c r="P774" s="21" cm="1">
        <f t="array" aca="1" ref="P774" ca="1">INDIRECT("Data!J" &amp; 769)</f>
        <v>0</v>
      </c>
      <c r="Q774" cm="1">
        <f t="array" aca="1" ref="Q774" ca="1">INDIRECT("Data!K" &amp; 769)</f>
        <v>0</v>
      </c>
      <c r="R774" cm="1">
        <f t="array" aca="1" ref="R774" ca="1">INDIRECT("Data!L" &amp; 769)</f>
        <v>0</v>
      </c>
      <c r="S774" cm="1">
        <f t="array" aca="1" ref="S774" ca="1">INDIRECT("Data!M" &amp; 769)</f>
        <v>0</v>
      </c>
      <c r="T774" cm="1">
        <f t="array" aca="1" ref="T774" ca="1">INDIRECT("Data!N" &amp; 769)</f>
        <v>0</v>
      </c>
      <c r="U774" cm="1">
        <f t="array" aca="1" ref="U774" ca="1">INDIRECT("Data!O" &amp; 769)</f>
        <v>0</v>
      </c>
      <c r="V774" cm="1">
        <f t="array" aca="1" ref="V774" ca="1">INDIRECT("Data!P" &amp; 769)</f>
        <v>0</v>
      </c>
    </row>
    <row r="775" spans="7:22" x14ac:dyDescent="0.25">
      <c r="G775" cm="1">
        <f t="array" aca="1" ref="G775" ca="1">INDIRECT("Data!A" &amp; 770)</f>
        <v>0</v>
      </c>
      <c r="H775" s="21" cm="1">
        <f t="array" aca="1" ref="H775" ca="1">INDIRECT("Data!B" &amp; 770)</f>
        <v>0</v>
      </c>
      <c r="I775" s="21" cm="1">
        <f t="array" aca="1" ref="I775" ca="1">INDIRECT("Data!C" &amp; 770)</f>
        <v>0</v>
      </c>
      <c r="J775" cm="1">
        <f t="array" aca="1" ref="J775" ca="1">INDIRECT("Data!D" &amp; 770)</f>
        <v>0</v>
      </c>
      <c r="K775" cm="1">
        <f t="array" aca="1" ref="K775" ca="1">INDIRECT("Data!E" &amp; 770)</f>
        <v>0</v>
      </c>
      <c r="L775" cm="1">
        <f t="array" aca="1" ref="L775" ca="1">INDIRECT("Data!F" &amp; 770)</f>
        <v>0</v>
      </c>
      <c r="M775" cm="1">
        <f t="array" aca="1" ref="M775" ca="1">INDIRECT("Data!G" &amp; 770)</f>
        <v>0</v>
      </c>
      <c r="N775" cm="1">
        <f t="array" aca="1" ref="N775" ca="1">INDIRECT("Data!H" &amp; 770)</f>
        <v>0</v>
      </c>
      <c r="O775" cm="1">
        <f t="array" aca="1" ref="O775" ca="1">INDIRECT("Data!I" &amp; 770)</f>
        <v>0</v>
      </c>
      <c r="P775" s="21" cm="1">
        <f t="array" aca="1" ref="P775" ca="1">INDIRECT("Data!J" &amp; 770)</f>
        <v>0</v>
      </c>
      <c r="Q775" cm="1">
        <f t="array" aca="1" ref="Q775" ca="1">INDIRECT("Data!K" &amp; 770)</f>
        <v>0</v>
      </c>
      <c r="R775" cm="1">
        <f t="array" aca="1" ref="R775" ca="1">INDIRECT("Data!L" &amp; 770)</f>
        <v>0</v>
      </c>
      <c r="S775" cm="1">
        <f t="array" aca="1" ref="S775" ca="1">INDIRECT("Data!M" &amp; 770)</f>
        <v>0</v>
      </c>
      <c r="T775" cm="1">
        <f t="array" aca="1" ref="T775" ca="1">INDIRECT("Data!N" &amp; 770)</f>
        <v>0</v>
      </c>
      <c r="U775" cm="1">
        <f t="array" aca="1" ref="U775" ca="1">INDIRECT("Data!O" &amp; 770)</f>
        <v>0</v>
      </c>
      <c r="V775" cm="1">
        <f t="array" aca="1" ref="V775" ca="1">INDIRECT("Data!P" &amp; 770)</f>
        <v>0</v>
      </c>
    </row>
    <row r="776" spans="7:22" x14ac:dyDescent="0.25">
      <c r="G776" cm="1">
        <f t="array" aca="1" ref="G776" ca="1">INDIRECT("Data!A" &amp; 771)</f>
        <v>0</v>
      </c>
      <c r="H776" s="21" cm="1">
        <f t="array" aca="1" ref="H776" ca="1">INDIRECT("Data!B" &amp; 771)</f>
        <v>0</v>
      </c>
      <c r="I776" s="21" cm="1">
        <f t="array" aca="1" ref="I776" ca="1">INDIRECT("Data!C" &amp; 771)</f>
        <v>0</v>
      </c>
      <c r="J776" cm="1">
        <f t="array" aca="1" ref="J776" ca="1">INDIRECT("Data!D" &amp; 771)</f>
        <v>0</v>
      </c>
      <c r="K776" cm="1">
        <f t="array" aca="1" ref="K776" ca="1">INDIRECT("Data!E" &amp; 771)</f>
        <v>0</v>
      </c>
      <c r="L776" cm="1">
        <f t="array" aca="1" ref="L776" ca="1">INDIRECT("Data!F" &amp; 771)</f>
        <v>0</v>
      </c>
      <c r="M776" cm="1">
        <f t="array" aca="1" ref="M776" ca="1">INDIRECT("Data!G" &amp; 771)</f>
        <v>0</v>
      </c>
      <c r="N776" cm="1">
        <f t="array" aca="1" ref="N776" ca="1">INDIRECT("Data!H" &amp; 771)</f>
        <v>0</v>
      </c>
      <c r="O776" cm="1">
        <f t="array" aca="1" ref="O776" ca="1">INDIRECT("Data!I" &amp; 771)</f>
        <v>0</v>
      </c>
      <c r="P776" s="21" cm="1">
        <f t="array" aca="1" ref="P776" ca="1">INDIRECT("Data!J" &amp; 771)</f>
        <v>0</v>
      </c>
      <c r="Q776" cm="1">
        <f t="array" aca="1" ref="Q776" ca="1">INDIRECT("Data!K" &amp; 771)</f>
        <v>0</v>
      </c>
      <c r="R776" cm="1">
        <f t="array" aca="1" ref="R776" ca="1">INDIRECT("Data!L" &amp; 771)</f>
        <v>0</v>
      </c>
      <c r="S776" cm="1">
        <f t="array" aca="1" ref="S776" ca="1">INDIRECT("Data!M" &amp; 771)</f>
        <v>0</v>
      </c>
      <c r="T776" cm="1">
        <f t="array" aca="1" ref="T776" ca="1">INDIRECT("Data!N" &amp; 771)</f>
        <v>0</v>
      </c>
      <c r="U776" cm="1">
        <f t="array" aca="1" ref="U776" ca="1">INDIRECT("Data!O" &amp; 771)</f>
        <v>0</v>
      </c>
      <c r="V776" cm="1">
        <f t="array" aca="1" ref="V776" ca="1">INDIRECT("Data!P" &amp; 771)</f>
        <v>0</v>
      </c>
    </row>
    <row r="777" spans="7:22" x14ac:dyDescent="0.25">
      <c r="G777" cm="1">
        <f t="array" aca="1" ref="G777" ca="1">INDIRECT("Data!A" &amp; 772)</f>
        <v>0</v>
      </c>
      <c r="H777" s="21" cm="1">
        <f t="array" aca="1" ref="H777" ca="1">INDIRECT("Data!B" &amp; 772)</f>
        <v>0</v>
      </c>
      <c r="I777" s="21" cm="1">
        <f t="array" aca="1" ref="I777" ca="1">INDIRECT("Data!C" &amp; 772)</f>
        <v>0</v>
      </c>
      <c r="J777" cm="1">
        <f t="array" aca="1" ref="J777" ca="1">INDIRECT("Data!D" &amp; 772)</f>
        <v>0</v>
      </c>
      <c r="K777" cm="1">
        <f t="array" aca="1" ref="K777" ca="1">INDIRECT("Data!E" &amp; 772)</f>
        <v>0</v>
      </c>
      <c r="L777" cm="1">
        <f t="array" aca="1" ref="L777" ca="1">INDIRECT("Data!F" &amp; 772)</f>
        <v>0</v>
      </c>
      <c r="M777" cm="1">
        <f t="array" aca="1" ref="M777" ca="1">INDIRECT("Data!G" &amp; 772)</f>
        <v>0</v>
      </c>
      <c r="N777" cm="1">
        <f t="array" aca="1" ref="N777" ca="1">INDIRECT("Data!H" &amp; 772)</f>
        <v>0</v>
      </c>
      <c r="O777" cm="1">
        <f t="array" aca="1" ref="O777" ca="1">INDIRECT("Data!I" &amp; 772)</f>
        <v>0</v>
      </c>
      <c r="P777" s="21" cm="1">
        <f t="array" aca="1" ref="P777" ca="1">INDIRECT("Data!J" &amp; 772)</f>
        <v>0</v>
      </c>
      <c r="Q777" cm="1">
        <f t="array" aca="1" ref="Q777" ca="1">INDIRECT("Data!K" &amp; 772)</f>
        <v>0</v>
      </c>
      <c r="R777" cm="1">
        <f t="array" aca="1" ref="R777" ca="1">INDIRECT("Data!L" &amp; 772)</f>
        <v>0</v>
      </c>
      <c r="S777" cm="1">
        <f t="array" aca="1" ref="S777" ca="1">INDIRECT("Data!M" &amp; 772)</f>
        <v>0</v>
      </c>
      <c r="T777" cm="1">
        <f t="array" aca="1" ref="T777" ca="1">INDIRECT("Data!N" &amp; 772)</f>
        <v>0</v>
      </c>
      <c r="U777" cm="1">
        <f t="array" aca="1" ref="U777" ca="1">INDIRECT("Data!O" &amp; 772)</f>
        <v>0</v>
      </c>
      <c r="V777" cm="1">
        <f t="array" aca="1" ref="V777" ca="1">INDIRECT("Data!P" &amp; 772)</f>
        <v>0</v>
      </c>
    </row>
    <row r="778" spans="7:22" x14ac:dyDescent="0.25">
      <c r="G778" cm="1">
        <f t="array" aca="1" ref="G778" ca="1">INDIRECT("Data!A" &amp; 773)</f>
        <v>0</v>
      </c>
      <c r="H778" s="21" cm="1">
        <f t="array" aca="1" ref="H778" ca="1">INDIRECT("Data!B" &amp; 773)</f>
        <v>0</v>
      </c>
      <c r="I778" s="21" cm="1">
        <f t="array" aca="1" ref="I778" ca="1">INDIRECT("Data!C" &amp; 773)</f>
        <v>0</v>
      </c>
      <c r="J778" cm="1">
        <f t="array" aca="1" ref="J778" ca="1">INDIRECT("Data!D" &amp; 773)</f>
        <v>0</v>
      </c>
      <c r="K778" cm="1">
        <f t="array" aca="1" ref="K778" ca="1">INDIRECT("Data!E" &amp; 773)</f>
        <v>0</v>
      </c>
      <c r="L778" cm="1">
        <f t="array" aca="1" ref="L778" ca="1">INDIRECT("Data!F" &amp; 773)</f>
        <v>0</v>
      </c>
      <c r="M778" cm="1">
        <f t="array" aca="1" ref="M778" ca="1">INDIRECT("Data!G" &amp; 773)</f>
        <v>0</v>
      </c>
      <c r="N778" cm="1">
        <f t="array" aca="1" ref="N778" ca="1">INDIRECT("Data!H" &amp; 773)</f>
        <v>0</v>
      </c>
      <c r="O778" cm="1">
        <f t="array" aca="1" ref="O778" ca="1">INDIRECT("Data!I" &amp; 773)</f>
        <v>0</v>
      </c>
      <c r="P778" s="21" cm="1">
        <f t="array" aca="1" ref="P778" ca="1">INDIRECT("Data!J" &amp; 773)</f>
        <v>0</v>
      </c>
      <c r="Q778" cm="1">
        <f t="array" aca="1" ref="Q778" ca="1">INDIRECT("Data!K" &amp; 773)</f>
        <v>0</v>
      </c>
      <c r="R778" cm="1">
        <f t="array" aca="1" ref="R778" ca="1">INDIRECT("Data!L" &amp; 773)</f>
        <v>0</v>
      </c>
      <c r="S778" cm="1">
        <f t="array" aca="1" ref="S778" ca="1">INDIRECT("Data!M" &amp; 773)</f>
        <v>0</v>
      </c>
      <c r="T778" cm="1">
        <f t="array" aca="1" ref="T778" ca="1">INDIRECT("Data!N" &amp; 773)</f>
        <v>0</v>
      </c>
      <c r="U778" cm="1">
        <f t="array" aca="1" ref="U778" ca="1">INDIRECT("Data!O" &amp; 773)</f>
        <v>0</v>
      </c>
      <c r="V778" cm="1">
        <f t="array" aca="1" ref="V778" ca="1">INDIRECT("Data!P" &amp; 773)</f>
        <v>0</v>
      </c>
    </row>
    <row r="779" spans="7:22" x14ac:dyDescent="0.25">
      <c r="G779" cm="1">
        <f t="array" aca="1" ref="G779" ca="1">INDIRECT("Data!A" &amp; 774)</f>
        <v>0</v>
      </c>
      <c r="H779" s="21" cm="1">
        <f t="array" aca="1" ref="H779" ca="1">INDIRECT("Data!B" &amp; 774)</f>
        <v>0</v>
      </c>
      <c r="I779" s="21" cm="1">
        <f t="array" aca="1" ref="I779" ca="1">INDIRECT("Data!C" &amp; 774)</f>
        <v>0</v>
      </c>
      <c r="J779" cm="1">
        <f t="array" aca="1" ref="J779" ca="1">INDIRECT("Data!D" &amp; 774)</f>
        <v>0</v>
      </c>
      <c r="K779" cm="1">
        <f t="array" aca="1" ref="K779" ca="1">INDIRECT("Data!E" &amp; 774)</f>
        <v>0</v>
      </c>
      <c r="L779" cm="1">
        <f t="array" aca="1" ref="L779" ca="1">INDIRECT("Data!F" &amp; 774)</f>
        <v>0</v>
      </c>
      <c r="M779" cm="1">
        <f t="array" aca="1" ref="M779" ca="1">INDIRECT("Data!G" &amp; 774)</f>
        <v>0</v>
      </c>
      <c r="N779" cm="1">
        <f t="array" aca="1" ref="N779" ca="1">INDIRECT("Data!H" &amp; 774)</f>
        <v>0</v>
      </c>
      <c r="O779" cm="1">
        <f t="array" aca="1" ref="O779" ca="1">INDIRECT("Data!I" &amp; 774)</f>
        <v>0</v>
      </c>
      <c r="P779" s="21" cm="1">
        <f t="array" aca="1" ref="P779" ca="1">INDIRECT("Data!J" &amp; 774)</f>
        <v>0</v>
      </c>
      <c r="Q779" cm="1">
        <f t="array" aca="1" ref="Q779" ca="1">INDIRECT("Data!K" &amp; 774)</f>
        <v>0</v>
      </c>
      <c r="R779" cm="1">
        <f t="array" aca="1" ref="R779" ca="1">INDIRECT("Data!L" &amp; 774)</f>
        <v>0</v>
      </c>
      <c r="S779" cm="1">
        <f t="array" aca="1" ref="S779" ca="1">INDIRECT("Data!M" &amp; 774)</f>
        <v>0</v>
      </c>
      <c r="T779" cm="1">
        <f t="array" aca="1" ref="T779" ca="1">INDIRECT("Data!N" &amp; 774)</f>
        <v>0</v>
      </c>
      <c r="U779" cm="1">
        <f t="array" aca="1" ref="U779" ca="1">INDIRECT("Data!O" &amp; 774)</f>
        <v>0</v>
      </c>
      <c r="V779" cm="1">
        <f t="array" aca="1" ref="V779" ca="1">INDIRECT("Data!P" &amp; 774)</f>
        <v>0</v>
      </c>
    </row>
    <row r="780" spans="7:22" x14ac:dyDescent="0.25">
      <c r="G780" cm="1">
        <f t="array" aca="1" ref="G780" ca="1">INDIRECT("Data!A" &amp; 775)</f>
        <v>0</v>
      </c>
      <c r="H780" s="21" cm="1">
        <f t="array" aca="1" ref="H780" ca="1">INDIRECT("Data!B" &amp; 775)</f>
        <v>0</v>
      </c>
      <c r="I780" s="21" cm="1">
        <f t="array" aca="1" ref="I780" ca="1">INDIRECT("Data!C" &amp; 775)</f>
        <v>0</v>
      </c>
      <c r="J780" cm="1">
        <f t="array" aca="1" ref="J780" ca="1">INDIRECT("Data!D" &amp; 775)</f>
        <v>0</v>
      </c>
      <c r="K780" cm="1">
        <f t="array" aca="1" ref="K780" ca="1">INDIRECT("Data!E" &amp; 775)</f>
        <v>0</v>
      </c>
      <c r="L780" cm="1">
        <f t="array" aca="1" ref="L780" ca="1">INDIRECT("Data!F" &amp; 775)</f>
        <v>0</v>
      </c>
      <c r="M780" cm="1">
        <f t="array" aca="1" ref="M780" ca="1">INDIRECT("Data!G" &amp; 775)</f>
        <v>0</v>
      </c>
      <c r="N780" cm="1">
        <f t="array" aca="1" ref="N780" ca="1">INDIRECT("Data!H" &amp; 775)</f>
        <v>0</v>
      </c>
      <c r="O780" cm="1">
        <f t="array" aca="1" ref="O780" ca="1">INDIRECT("Data!I" &amp; 775)</f>
        <v>0</v>
      </c>
      <c r="P780" s="21" cm="1">
        <f t="array" aca="1" ref="P780" ca="1">INDIRECT("Data!J" &amp; 775)</f>
        <v>0</v>
      </c>
      <c r="Q780" cm="1">
        <f t="array" aca="1" ref="Q780" ca="1">INDIRECT("Data!K" &amp; 775)</f>
        <v>0</v>
      </c>
      <c r="R780" cm="1">
        <f t="array" aca="1" ref="R780" ca="1">INDIRECT("Data!L" &amp; 775)</f>
        <v>0</v>
      </c>
      <c r="S780" cm="1">
        <f t="array" aca="1" ref="S780" ca="1">INDIRECT("Data!M" &amp; 775)</f>
        <v>0</v>
      </c>
      <c r="T780" cm="1">
        <f t="array" aca="1" ref="T780" ca="1">INDIRECT("Data!N" &amp; 775)</f>
        <v>0</v>
      </c>
      <c r="U780" cm="1">
        <f t="array" aca="1" ref="U780" ca="1">INDIRECT("Data!O" &amp; 775)</f>
        <v>0</v>
      </c>
      <c r="V780" cm="1">
        <f t="array" aca="1" ref="V780" ca="1">INDIRECT("Data!P" &amp; 775)</f>
        <v>0</v>
      </c>
    </row>
    <row r="781" spans="7:22" x14ac:dyDescent="0.25">
      <c r="G781" cm="1">
        <f t="array" aca="1" ref="G781" ca="1">INDIRECT("Data!A" &amp; 776)</f>
        <v>0</v>
      </c>
      <c r="H781" s="21" cm="1">
        <f t="array" aca="1" ref="H781" ca="1">INDIRECT("Data!B" &amp; 776)</f>
        <v>0</v>
      </c>
      <c r="I781" s="21" cm="1">
        <f t="array" aca="1" ref="I781" ca="1">INDIRECT("Data!C" &amp; 776)</f>
        <v>0</v>
      </c>
      <c r="J781" cm="1">
        <f t="array" aca="1" ref="J781" ca="1">INDIRECT("Data!D" &amp; 776)</f>
        <v>0</v>
      </c>
      <c r="K781" cm="1">
        <f t="array" aca="1" ref="K781" ca="1">INDIRECT("Data!E" &amp; 776)</f>
        <v>0</v>
      </c>
      <c r="L781" cm="1">
        <f t="array" aca="1" ref="L781" ca="1">INDIRECT("Data!F" &amp; 776)</f>
        <v>0</v>
      </c>
      <c r="M781" cm="1">
        <f t="array" aca="1" ref="M781" ca="1">INDIRECT("Data!G" &amp; 776)</f>
        <v>0</v>
      </c>
      <c r="N781" cm="1">
        <f t="array" aca="1" ref="N781" ca="1">INDIRECT("Data!H" &amp; 776)</f>
        <v>0</v>
      </c>
      <c r="O781" cm="1">
        <f t="array" aca="1" ref="O781" ca="1">INDIRECT("Data!I" &amp; 776)</f>
        <v>0</v>
      </c>
      <c r="P781" s="21" cm="1">
        <f t="array" aca="1" ref="P781" ca="1">INDIRECT("Data!J" &amp; 776)</f>
        <v>0</v>
      </c>
      <c r="Q781" cm="1">
        <f t="array" aca="1" ref="Q781" ca="1">INDIRECT("Data!K" &amp; 776)</f>
        <v>0</v>
      </c>
      <c r="R781" cm="1">
        <f t="array" aca="1" ref="R781" ca="1">INDIRECT("Data!L" &amp; 776)</f>
        <v>0</v>
      </c>
      <c r="S781" cm="1">
        <f t="array" aca="1" ref="S781" ca="1">INDIRECT("Data!M" &amp; 776)</f>
        <v>0</v>
      </c>
      <c r="T781" cm="1">
        <f t="array" aca="1" ref="T781" ca="1">INDIRECT("Data!N" &amp; 776)</f>
        <v>0</v>
      </c>
      <c r="U781" cm="1">
        <f t="array" aca="1" ref="U781" ca="1">INDIRECT("Data!O" &amp; 776)</f>
        <v>0</v>
      </c>
      <c r="V781" cm="1">
        <f t="array" aca="1" ref="V781" ca="1">INDIRECT("Data!P" &amp; 776)</f>
        <v>0</v>
      </c>
    </row>
    <row r="782" spans="7:22" x14ac:dyDescent="0.25">
      <c r="G782" cm="1">
        <f t="array" aca="1" ref="G782" ca="1">INDIRECT("Data!A" &amp; 777)</f>
        <v>0</v>
      </c>
      <c r="H782" s="21" cm="1">
        <f t="array" aca="1" ref="H782" ca="1">INDIRECT("Data!B" &amp; 777)</f>
        <v>0</v>
      </c>
      <c r="I782" s="21" cm="1">
        <f t="array" aca="1" ref="I782" ca="1">INDIRECT("Data!C" &amp; 777)</f>
        <v>0</v>
      </c>
      <c r="J782" cm="1">
        <f t="array" aca="1" ref="J782" ca="1">INDIRECT("Data!D" &amp; 777)</f>
        <v>0</v>
      </c>
      <c r="K782" cm="1">
        <f t="array" aca="1" ref="K782" ca="1">INDIRECT("Data!E" &amp; 777)</f>
        <v>0</v>
      </c>
      <c r="L782" cm="1">
        <f t="array" aca="1" ref="L782" ca="1">INDIRECT("Data!F" &amp; 777)</f>
        <v>0</v>
      </c>
      <c r="M782" cm="1">
        <f t="array" aca="1" ref="M782" ca="1">INDIRECT("Data!G" &amp; 777)</f>
        <v>0</v>
      </c>
      <c r="N782" cm="1">
        <f t="array" aca="1" ref="N782" ca="1">INDIRECT("Data!H" &amp; 777)</f>
        <v>0</v>
      </c>
      <c r="O782" cm="1">
        <f t="array" aca="1" ref="O782" ca="1">INDIRECT("Data!I" &amp; 777)</f>
        <v>0</v>
      </c>
      <c r="P782" s="21" cm="1">
        <f t="array" aca="1" ref="P782" ca="1">INDIRECT("Data!J" &amp; 777)</f>
        <v>0</v>
      </c>
      <c r="Q782" cm="1">
        <f t="array" aca="1" ref="Q782" ca="1">INDIRECT("Data!K" &amp; 777)</f>
        <v>0</v>
      </c>
      <c r="R782" cm="1">
        <f t="array" aca="1" ref="R782" ca="1">INDIRECT("Data!L" &amp; 777)</f>
        <v>0</v>
      </c>
      <c r="S782" cm="1">
        <f t="array" aca="1" ref="S782" ca="1">INDIRECT("Data!M" &amp; 777)</f>
        <v>0</v>
      </c>
      <c r="T782" cm="1">
        <f t="array" aca="1" ref="T782" ca="1">INDIRECT("Data!N" &amp; 777)</f>
        <v>0</v>
      </c>
      <c r="U782" cm="1">
        <f t="array" aca="1" ref="U782" ca="1">INDIRECT("Data!O" &amp; 777)</f>
        <v>0</v>
      </c>
      <c r="V782" cm="1">
        <f t="array" aca="1" ref="V782" ca="1">INDIRECT("Data!P" &amp; 777)</f>
        <v>0</v>
      </c>
    </row>
    <row r="783" spans="7:22" x14ac:dyDescent="0.25">
      <c r="G783" cm="1">
        <f t="array" aca="1" ref="G783" ca="1">INDIRECT("Data!A" &amp; 778)</f>
        <v>0</v>
      </c>
      <c r="H783" s="21" cm="1">
        <f t="array" aca="1" ref="H783" ca="1">INDIRECT("Data!B" &amp; 778)</f>
        <v>0</v>
      </c>
      <c r="I783" s="21" cm="1">
        <f t="array" aca="1" ref="I783" ca="1">INDIRECT("Data!C" &amp; 778)</f>
        <v>0</v>
      </c>
      <c r="J783" cm="1">
        <f t="array" aca="1" ref="J783" ca="1">INDIRECT("Data!D" &amp; 778)</f>
        <v>0</v>
      </c>
      <c r="K783" cm="1">
        <f t="array" aca="1" ref="K783" ca="1">INDIRECT("Data!E" &amp; 778)</f>
        <v>0</v>
      </c>
      <c r="L783" cm="1">
        <f t="array" aca="1" ref="L783" ca="1">INDIRECT("Data!F" &amp; 778)</f>
        <v>0</v>
      </c>
      <c r="M783" cm="1">
        <f t="array" aca="1" ref="M783" ca="1">INDIRECT("Data!G" &amp; 778)</f>
        <v>0</v>
      </c>
      <c r="N783" cm="1">
        <f t="array" aca="1" ref="N783" ca="1">INDIRECT("Data!H" &amp; 778)</f>
        <v>0</v>
      </c>
      <c r="O783" cm="1">
        <f t="array" aca="1" ref="O783" ca="1">INDIRECT("Data!I" &amp; 778)</f>
        <v>0</v>
      </c>
      <c r="P783" s="21" cm="1">
        <f t="array" aca="1" ref="P783" ca="1">INDIRECT("Data!J" &amp; 778)</f>
        <v>0</v>
      </c>
      <c r="Q783" cm="1">
        <f t="array" aca="1" ref="Q783" ca="1">INDIRECT("Data!K" &amp; 778)</f>
        <v>0</v>
      </c>
      <c r="R783" cm="1">
        <f t="array" aca="1" ref="R783" ca="1">INDIRECT("Data!L" &amp; 778)</f>
        <v>0</v>
      </c>
      <c r="S783" cm="1">
        <f t="array" aca="1" ref="S783" ca="1">INDIRECT("Data!M" &amp; 778)</f>
        <v>0</v>
      </c>
      <c r="T783" cm="1">
        <f t="array" aca="1" ref="T783" ca="1">INDIRECT("Data!N" &amp; 778)</f>
        <v>0</v>
      </c>
      <c r="U783" cm="1">
        <f t="array" aca="1" ref="U783" ca="1">INDIRECT("Data!O" &amp; 778)</f>
        <v>0</v>
      </c>
      <c r="V783" cm="1">
        <f t="array" aca="1" ref="V783" ca="1">INDIRECT("Data!P" &amp; 778)</f>
        <v>0</v>
      </c>
    </row>
    <row r="784" spans="7:22" x14ac:dyDescent="0.25">
      <c r="G784" cm="1">
        <f t="array" aca="1" ref="G784" ca="1">INDIRECT("Data!A" &amp; 779)</f>
        <v>0</v>
      </c>
      <c r="H784" s="21" cm="1">
        <f t="array" aca="1" ref="H784" ca="1">INDIRECT("Data!B" &amp; 779)</f>
        <v>0</v>
      </c>
      <c r="I784" s="21" cm="1">
        <f t="array" aca="1" ref="I784" ca="1">INDIRECT("Data!C" &amp; 779)</f>
        <v>0</v>
      </c>
      <c r="J784" cm="1">
        <f t="array" aca="1" ref="J784" ca="1">INDIRECT("Data!D" &amp; 779)</f>
        <v>0</v>
      </c>
      <c r="K784" cm="1">
        <f t="array" aca="1" ref="K784" ca="1">INDIRECT("Data!E" &amp; 779)</f>
        <v>0</v>
      </c>
      <c r="L784" cm="1">
        <f t="array" aca="1" ref="L784" ca="1">INDIRECT("Data!F" &amp; 779)</f>
        <v>0</v>
      </c>
      <c r="M784" cm="1">
        <f t="array" aca="1" ref="M784" ca="1">INDIRECT("Data!G" &amp; 779)</f>
        <v>0</v>
      </c>
      <c r="N784" cm="1">
        <f t="array" aca="1" ref="N784" ca="1">INDIRECT("Data!H" &amp; 779)</f>
        <v>0</v>
      </c>
      <c r="O784" cm="1">
        <f t="array" aca="1" ref="O784" ca="1">INDIRECT("Data!I" &amp; 779)</f>
        <v>0</v>
      </c>
      <c r="P784" s="21" cm="1">
        <f t="array" aca="1" ref="P784" ca="1">INDIRECT("Data!J" &amp; 779)</f>
        <v>0</v>
      </c>
      <c r="Q784" cm="1">
        <f t="array" aca="1" ref="Q784" ca="1">INDIRECT("Data!K" &amp; 779)</f>
        <v>0</v>
      </c>
      <c r="R784" cm="1">
        <f t="array" aca="1" ref="R784" ca="1">INDIRECT("Data!L" &amp; 779)</f>
        <v>0</v>
      </c>
      <c r="S784" cm="1">
        <f t="array" aca="1" ref="S784" ca="1">INDIRECT("Data!M" &amp; 779)</f>
        <v>0</v>
      </c>
      <c r="T784" cm="1">
        <f t="array" aca="1" ref="T784" ca="1">INDIRECT("Data!N" &amp; 779)</f>
        <v>0</v>
      </c>
      <c r="U784" cm="1">
        <f t="array" aca="1" ref="U784" ca="1">INDIRECT("Data!O" &amp; 779)</f>
        <v>0</v>
      </c>
      <c r="V784" cm="1">
        <f t="array" aca="1" ref="V784" ca="1">INDIRECT("Data!P" &amp; 779)</f>
        <v>0</v>
      </c>
    </row>
    <row r="785" spans="7:22" x14ac:dyDescent="0.25">
      <c r="G785" cm="1">
        <f t="array" aca="1" ref="G785" ca="1">INDIRECT("Data!A" &amp; 780)</f>
        <v>0</v>
      </c>
      <c r="H785" s="21" cm="1">
        <f t="array" aca="1" ref="H785" ca="1">INDIRECT("Data!B" &amp; 780)</f>
        <v>0</v>
      </c>
      <c r="I785" s="21" cm="1">
        <f t="array" aca="1" ref="I785" ca="1">INDIRECT("Data!C" &amp; 780)</f>
        <v>0</v>
      </c>
      <c r="J785" cm="1">
        <f t="array" aca="1" ref="J785" ca="1">INDIRECT("Data!D" &amp; 780)</f>
        <v>0</v>
      </c>
      <c r="K785" cm="1">
        <f t="array" aca="1" ref="K785" ca="1">INDIRECT("Data!E" &amp; 780)</f>
        <v>0</v>
      </c>
      <c r="L785" cm="1">
        <f t="array" aca="1" ref="L785" ca="1">INDIRECT("Data!F" &amp; 780)</f>
        <v>0</v>
      </c>
      <c r="M785" cm="1">
        <f t="array" aca="1" ref="M785" ca="1">INDIRECT("Data!G" &amp; 780)</f>
        <v>0</v>
      </c>
      <c r="N785" cm="1">
        <f t="array" aca="1" ref="N785" ca="1">INDIRECT("Data!H" &amp; 780)</f>
        <v>0</v>
      </c>
      <c r="O785" cm="1">
        <f t="array" aca="1" ref="O785" ca="1">INDIRECT("Data!I" &amp; 780)</f>
        <v>0</v>
      </c>
      <c r="P785" s="21" cm="1">
        <f t="array" aca="1" ref="P785" ca="1">INDIRECT("Data!J" &amp; 780)</f>
        <v>0</v>
      </c>
      <c r="Q785" cm="1">
        <f t="array" aca="1" ref="Q785" ca="1">INDIRECT("Data!K" &amp; 780)</f>
        <v>0</v>
      </c>
      <c r="R785" cm="1">
        <f t="array" aca="1" ref="R785" ca="1">INDIRECT("Data!L" &amp; 780)</f>
        <v>0</v>
      </c>
      <c r="S785" cm="1">
        <f t="array" aca="1" ref="S785" ca="1">INDIRECT("Data!M" &amp; 780)</f>
        <v>0</v>
      </c>
      <c r="T785" cm="1">
        <f t="array" aca="1" ref="T785" ca="1">INDIRECT("Data!N" &amp; 780)</f>
        <v>0</v>
      </c>
      <c r="U785" cm="1">
        <f t="array" aca="1" ref="U785" ca="1">INDIRECT("Data!O" &amp; 780)</f>
        <v>0</v>
      </c>
      <c r="V785" cm="1">
        <f t="array" aca="1" ref="V785" ca="1">INDIRECT("Data!P" &amp; 780)</f>
        <v>0</v>
      </c>
    </row>
    <row r="786" spans="7:22" x14ac:dyDescent="0.25">
      <c r="G786" cm="1">
        <f t="array" aca="1" ref="G786" ca="1">INDIRECT("Data!A" &amp; 781)</f>
        <v>0</v>
      </c>
      <c r="H786" s="21" cm="1">
        <f t="array" aca="1" ref="H786" ca="1">INDIRECT("Data!B" &amp; 781)</f>
        <v>0</v>
      </c>
      <c r="I786" s="21" cm="1">
        <f t="array" aca="1" ref="I786" ca="1">INDIRECT("Data!C" &amp; 781)</f>
        <v>0</v>
      </c>
      <c r="J786" cm="1">
        <f t="array" aca="1" ref="J786" ca="1">INDIRECT("Data!D" &amp; 781)</f>
        <v>0</v>
      </c>
      <c r="K786" cm="1">
        <f t="array" aca="1" ref="K786" ca="1">INDIRECT("Data!E" &amp; 781)</f>
        <v>0</v>
      </c>
      <c r="L786" cm="1">
        <f t="array" aca="1" ref="L786" ca="1">INDIRECT("Data!F" &amp; 781)</f>
        <v>0</v>
      </c>
      <c r="M786" cm="1">
        <f t="array" aca="1" ref="M786" ca="1">INDIRECT("Data!G" &amp; 781)</f>
        <v>0</v>
      </c>
      <c r="N786" cm="1">
        <f t="array" aca="1" ref="N786" ca="1">INDIRECT("Data!H" &amp; 781)</f>
        <v>0</v>
      </c>
      <c r="O786" cm="1">
        <f t="array" aca="1" ref="O786" ca="1">INDIRECT("Data!I" &amp; 781)</f>
        <v>0</v>
      </c>
      <c r="P786" s="21" cm="1">
        <f t="array" aca="1" ref="P786" ca="1">INDIRECT("Data!J" &amp; 781)</f>
        <v>0</v>
      </c>
      <c r="Q786" cm="1">
        <f t="array" aca="1" ref="Q786" ca="1">INDIRECT("Data!K" &amp; 781)</f>
        <v>0</v>
      </c>
      <c r="R786" cm="1">
        <f t="array" aca="1" ref="R786" ca="1">INDIRECT("Data!L" &amp; 781)</f>
        <v>0</v>
      </c>
      <c r="S786" cm="1">
        <f t="array" aca="1" ref="S786" ca="1">INDIRECT("Data!M" &amp; 781)</f>
        <v>0</v>
      </c>
      <c r="T786" cm="1">
        <f t="array" aca="1" ref="T786" ca="1">INDIRECT("Data!N" &amp; 781)</f>
        <v>0</v>
      </c>
      <c r="U786" cm="1">
        <f t="array" aca="1" ref="U786" ca="1">INDIRECT("Data!O" &amp; 781)</f>
        <v>0</v>
      </c>
      <c r="V786" cm="1">
        <f t="array" aca="1" ref="V786" ca="1">INDIRECT("Data!P" &amp; 781)</f>
        <v>0</v>
      </c>
    </row>
    <row r="787" spans="7:22" x14ac:dyDescent="0.25">
      <c r="G787" cm="1">
        <f t="array" aca="1" ref="G787" ca="1">INDIRECT("Data!A" &amp; 782)</f>
        <v>0</v>
      </c>
      <c r="H787" s="21" cm="1">
        <f t="array" aca="1" ref="H787" ca="1">INDIRECT("Data!B" &amp; 782)</f>
        <v>0</v>
      </c>
      <c r="I787" s="21" cm="1">
        <f t="array" aca="1" ref="I787" ca="1">INDIRECT("Data!C" &amp; 782)</f>
        <v>0</v>
      </c>
      <c r="J787" cm="1">
        <f t="array" aca="1" ref="J787" ca="1">INDIRECT("Data!D" &amp; 782)</f>
        <v>0</v>
      </c>
      <c r="K787" cm="1">
        <f t="array" aca="1" ref="K787" ca="1">INDIRECT("Data!E" &amp; 782)</f>
        <v>0</v>
      </c>
      <c r="L787" cm="1">
        <f t="array" aca="1" ref="L787" ca="1">INDIRECT("Data!F" &amp; 782)</f>
        <v>0</v>
      </c>
      <c r="M787" cm="1">
        <f t="array" aca="1" ref="M787" ca="1">INDIRECT("Data!G" &amp; 782)</f>
        <v>0</v>
      </c>
      <c r="N787" cm="1">
        <f t="array" aca="1" ref="N787" ca="1">INDIRECT("Data!H" &amp; 782)</f>
        <v>0</v>
      </c>
      <c r="O787" cm="1">
        <f t="array" aca="1" ref="O787" ca="1">INDIRECT("Data!I" &amp; 782)</f>
        <v>0</v>
      </c>
      <c r="P787" s="21" cm="1">
        <f t="array" aca="1" ref="P787" ca="1">INDIRECT("Data!J" &amp; 782)</f>
        <v>0</v>
      </c>
      <c r="Q787" cm="1">
        <f t="array" aca="1" ref="Q787" ca="1">INDIRECT("Data!K" &amp; 782)</f>
        <v>0</v>
      </c>
      <c r="R787" cm="1">
        <f t="array" aca="1" ref="R787" ca="1">INDIRECT("Data!L" &amp; 782)</f>
        <v>0</v>
      </c>
      <c r="S787" cm="1">
        <f t="array" aca="1" ref="S787" ca="1">INDIRECT("Data!M" &amp; 782)</f>
        <v>0</v>
      </c>
      <c r="T787" cm="1">
        <f t="array" aca="1" ref="T787" ca="1">INDIRECT("Data!N" &amp; 782)</f>
        <v>0</v>
      </c>
      <c r="U787" cm="1">
        <f t="array" aca="1" ref="U787" ca="1">INDIRECT("Data!O" &amp; 782)</f>
        <v>0</v>
      </c>
      <c r="V787" cm="1">
        <f t="array" aca="1" ref="V787" ca="1">INDIRECT("Data!P" &amp; 782)</f>
        <v>0</v>
      </c>
    </row>
    <row r="788" spans="7:22" x14ac:dyDescent="0.25">
      <c r="G788" cm="1">
        <f t="array" aca="1" ref="G788" ca="1">INDIRECT("Data!A" &amp; 783)</f>
        <v>0</v>
      </c>
      <c r="H788" s="21" cm="1">
        <f t="array" aca="1" ref="H788" ca="1">INDIRECT("Data!B" &amp; 783)</f>
        <v>0</v>
      </c>
      <c r="I788" s="21" cm="1">
        <f t="array" aca="1" ref="I788" ca="1">INDIRECT("Data!C" &amp; 783)</f>
        <v>0</v>
      </c>
      <c r="J788" cm="1">
        <f t="array" aca="1" ref="J788" ca="1">INDIRECT("Data!D" &amp; 783)</f>
        <v>0</v>
      </c>
      <c r="K788" cm="1">
        <f t="array" aca="1" ref="K788" ca="1">INDIRECT("Data!E" &amp; 783)</f>
        <v>0</v>
      </c>
      <c r="L788" cm="1">
        <f t="array" aca="1" ref="L788" ca="1">INDIRECT("Data!F" &amp; 783)</f>
        <v>0</v>
      </c>
      <c r="M788" cm="1">
        <f t="array" aca="1" ref="M788" ca="1">INDIRECT("Data!G" &amp; 783)</f>
        <v>0</v>
      </c>
      <c r="N788" cm="1">
        <f t="array" aca="1" ref="N788" ca="1">INDIRECT("Data!H" &amp; 783)</f>
        <v>0</v>
      </c>
      <c r="O788" cm="1">
        <f t="array" aca="1" ref="O788" ca="1">INDIRECT("Data!I" &amp; 783)</f>
        <v>0</v>
      </c>
      <c r="P788" s="21" cm="1">
        <f t="array" aca="1" ref="P788" ca="1">INDIRECT("Data!J" &amp; 783)</f>
        <v>0</v>
      </c>
      <c r="Q788" cm="1">
        <f t="array" aca="1" ref="Q788" ca="1">INDIRECT("Data!K" &amp; 783)</f>
        <v>0</v>
      </c>
      <c r="R788" cm="1">
        <f t="array" aca="1" ref="R788" ca="1">INDIRECT("Data!L" &amp; 783)</f>
        <v>0</v>
      </c>
      <c r="S788" cm="1">
        <f t="array" aca="1" ref="S788" ca="1">INDIRECT("Data!M" &amp; 783)</f>
        <v>0</v>
      </c>
      <c r="T788" cm="1">
        <f t="array" aca="1" ref="T788" ca="1">INDIRECT("Data!N" &amp; 783)</f>
        <v>0</v>
      </c>
      <c r="U788" cm="1">
        <f t="array" aca="1" ref="U788" ca="1">INDIRECT("Data!O" &amp; 783)</f>
        <v>0</v>
      </c>
      <c r="V788" cm="1">
        <f t="array" aca="1" ref="V788" ca="1">INDIRECT("Data!P" &amp; 783)</f>
        <v>0</v>
      </c>
    </row>
    <row r="789" spans="7:22" x14ac:dyDescent="0.25">
      <c r="G789" cm="1">
        <f t="array" aca="1" ref="G789" ca="1">INDIRECT("Data!A" &amp; 784)</f>
        <v>0</v>
      </c>
      <c r="H789" s="21" cm="1">
        <f t="array" aca="1" ref="H789" ca="1">INDIRECT("Data!B" &amp; 784)</f>
        <v>0</v>
      </c>
      <c r="I789" s="21" cm="1">
        <f t="array" aca="1" ref="I789" ca="1">INDIRECT("Data!C" &amp; 784)</f>
        <v>0</v>
      </c>
      <c r="J789" cm="1">
        <f t="array" aca="1" ref="J789" ca="1">INDIRECT("Data!D" &amp; 784)</f>
        <v>0</v>
      </c>
      <c r="K789" cm="1">
        <f t="array" aca="1" ref="K789" ca="1">INDIRECT("Data!E" &amp; 784)</f>
        <v>0</v>
      </c>
      <c r="L789" cm="1">
        <f t="array" aca="1" ref="L789" ca="1">INDIRECT("Data!F" &amp; 784)</f>
        <v>0</v>
      </c>
      <c r="M789" cm="1">
        <f t="array" aca="1" ref="M789" ca="1">INDIRECT("Data!G" &amp; 784)</f>
        <v>0</v>
      </c>
      <c r="N789" cm="1">
        <f t="array" aca="1" ref="N789" ca="1">INDIRECT("Data!H" &amp; 784)</f>
        <v>0</v>
      </c>
      <c r="O789" cm="1">
        <f t="array" aca="1" ref="O789" ca="1">INDIRECT("Data!I" &amp; 784)</f>
        <v>0</v>
      </c>
      <c r="P789" s="21" cm="1">
        <f t="array" aca="1" ref="P789" ca="1">INDIRECT("Data!J" &amp; 784)</f>
        <v>0</v>
      </c>
      <c r="Q789" cm="1">
        <f t="array" aca="1" ref="Q789" ca="1">INDIRECT("Data!K" &amp; 784)</f>
        <v>0</v>
      </c>
      <c r="R789" cm="1">
        <f t="array" aca="1" ref="R789" ca="1">INDIRECT("Data!L" &amp; 784)</f>
        <v>0</v>
      </c>
      <c r="S789" cm="1">
        <f t="array" aca="1" ref="S789" ca="1">INDIRECT("Data!M" &amp; 784)</f>
        <v>0</v>
      </c>
      <c r="T789" cm="1">
        <f t="array" aca="1" ref="T789" ca="1">INDIRECT("Data!N" &amp; 784)</f>
        <v>0</v>
      </c>
      <c r="U789" cm="1">
        <f t="array" aca="1" ref="U789" ca="1">INDIRECT("Data!O" &amp; 784)</f>
        <v>0</v>
      </c>
      <c r="V789" cm="1">
        <f t="array" aca="1" ref="V789" ca="1">INDIRECT("Data!P" &amp; 784)</f>
        <v>0</v>
      </c>
    </row>
    <row r="790" spans="7:22" x14ac:dyDescent="0.25">
      <c r="G790" cm="1">
        <f t="array" aca="1" ref="G790" ca="1">INDIRECT("Data!A" &amp; 785)</f>
        <v>0</v>
      </c>
      <c r="H790" s="21" cm="1">
        <f t="array" aca="1" ref="H790" ca="1">INDIRECT("Data!B" &amp; 785)</f>
        <v>0</v>
      </c>
      <c r="I790" s="21" cm="1">
        <f t="array" aca="1" ref="I790" ca="1">INDIRECT("Data!C" &amp; 785)</f>
        <v>0</v>
      </c>
      <c r="J790" cm="1">
        <f t="array" aca="1" ref="J790" ca="1">INDIRECT("Data!D" &amp; 785)</f>
        <v>0</v>
      </c>
      <c r="K790" cm="1">
        <f t="array" aca="1" ref="K790" ca="1">INDIRECT("Data!E" &amp; 785)</f>
        <v>0</v>
      </c>
      <c r="L790" cm="1">
        <f t="array" aca="1" ref="L790" ca="1">INDIRECT("Data!F" &amp; 785)</f>
        <v>0</v>
      </c>
      <c r="M790" cm="1">
        <f t="array" aca="1" ref="M790" ca="1">INDIRECT("Data!G" &amp; 785)</f>
        <v>0</v>
      </c>
      <c r="N790" cm="1">
        <f t="array" aca="1" ref="N790" ca="1">INDIRECT("Data!H" &amp; 785)</f>
        <v>0</v>
      </c>
      <c r="O790" cm="1">
        <f t="array" aca="1" ref="O790" ca="1">INDIRECT("Data!I" &amp; 785)</f>
        <v>0</v>
      </c>
      <c r="P790" s="21" cm="1">
        <f t="array" aca="1" ref="P790" ca="1">INDIRECT("Data!J" &amp; 785)</f>
        <v>0</v>
      </c>
      <c r="Q790" cm="1">
        <f t="array" aca="1" ref="Q790" ca="1">INDIRECT("Data!K" &amp; 785)</f>
        <v>0</v>
      </c>
      <c r="R790" cm="1">
        <f t="array" aca="1" ref="R790" ca="1">INDIRECT("Data!L" &amp; 785)</f>
        <v>0</v>
      </c>
      <c r="S790" cm="1">
        <f t="array" aca="1" ref="S790" ca="1">INDIRECT("Data!M" &amp; 785)</f>
        <v>0</v>
      </c>
      <c r="T790" cm="1">
        <f t="array" aca="1" ref="T790" ca="1">INDIRECT("Data!N" &amp; 785)</f>
        <v>0</v>
      </c>
      <c r="U790" cm="1">
        <f t="array" aca="1" ref="U790" ca="1">INDIRECT("Data!O" &amp; 785)</f>
        <v>0</v>
      </c>
      <c r="V790" cm="1">
        <f t="array" aca="1" ref="V790" ca="1">INDIRECT("Data!P" &amp; 785)</f>
        <v>0</v>
      </c>
    </row>
    <row r="791" spans="7:22" x14ac:dyDescent="0.25">
      <c r="G791" cm="1">
        <f t="array" aca="1" ref="G791" ca="1">INDIRECT("Data!A" &amp; 786)</f>
        <v>0</v>
      </c>
      <c r="H791" s="21" cm="1">
        <f t="array" aca="1" ref="H791" ca="1">INDIRECT("Data!B" &amp; 786)</f>
        <v>0</v>
      </c>
      <c r="I791" s="21" cm="1">
        <f t="array" aca="1" ref="I791" ca="1">INDIRECT("Data!C" &amp; 786)</f>
        <v>0</v>
      </c>
      <c r="J791" cm="1">
        <f t="array" aca="1" ref="J791" ca="1">INDIRECT("Data!D" &amp; 786)</f>
        <v>0</v>
      </c>
      <c r="K791" cm="1">
        <f t="array" aca="1" ref="K791" ca="1">INDIRECT("Data!E" &amp; 786)</f>
        <v>0</v>
      </c>
      <c r="L791" cm="1">
        <f t="array" aca="1" ref="L791" ca="1">INDIRECT("Data!F" &amp; 786)</f>
        <v>0</v>
      </c>
      <c r="M791" cm="1">
        <f t="array" aca="1" ref="M791" ca="1">INDIRECT("Data!G" &amp; 786)</f>
        <v>0</v>
      </c>
      <c r="N791" cm="1">
        <f t="array" aca="1" ref="N791" ca="1">INDIRECT("Data!H" &amp; 786)</f>
        <v>0</v>
      </c>
      <c r="O791" cm="1">
        <f t="array" aca="1" ref="O791" ca="1">INDIRECT("Data!I" &amp; 786)</f>
        <v>0</v>
      </c>
      <c r="P791" s="21" cm="1">
        <f t="array" aca="1" ref="P791" ca="1">INDIRECT("Data!J" &amp; 786)</f>
        <v>0</v>
      </c>
      <c r="Q791" cm="1">
        <f t="array" aca="1" ref="Q791" ca="1">INDIRECT("Data!K" &amp; 786)</f>
        <v>0</v>
      </c>
      <c r="R791" cm="1">
        <f t="array" aca="1" ref="R791" ca="1">INDIRECT("Data!L" &amp; 786)</f>
        <v>0</v>
      </c>
      <c r="S791" cm="1">
        <f t="array" aca="1" ref="S791" ca="1">INDIRECT("Data!M" &amp; 786)</f>
        <v>0</v>
      </c>
      <c r="T791" cm="1">
        <f t="array" aca="1" ref="T791" ca="1">INDIRECT("Data!N" &amp; 786)</f>
        <v>0</v>
      </c>
      <c r="U791" cm="1">
        <f t="array" aca="1" ref="U791" ca="1">INDIRECT("Data!O" &amp; 786)</f>
        <v>0</v>
      </c>
      <c r="V791" cm="1">
        <f t="array" aca="1" ref="V791" ca="1">INDIRECT("Data!P" &amp; 786)</f>
        <v>0</v>
      </c>
    </row>
    <row r="792" spans="7:22" x14ac:dyDescent="0.25">
      <c r="G792" cm="1">
        <f t="array" aca="1" ref="G792" ca="1">INDIRECT("Data!A" &amp; 787)</f>
        <v>0</v>
      </c>
      <c r="H792" s="21" cm="1">
        <f t="array" aca="1" ref="H792" ca="1">INDIRECT("Data!B" &amp; 787)</f>
        <v>0</v>
      </c>
      <c r="I792" s="21" cm="1">
        <f t="array" aca="1" ref="I792" ca="1">INDIRECT("Data!C" &amp; 787)</f>
        <v>0</v>
      </c>
      <c r="J792" cm="1">
        <f t="array" aca="1" ref="J792" ca="1">INDIRECT("Data!D" &amp; 787)</f>
        <v>0</v>
      </c>
      <c r="K792" cm="1">
        <f t="array" aca="1" ref="K792" ca="1">INDIRECT("Data!E" &amp; 787)</f>
        <v>0</v>
      </c>
      <c r="L792" cm="1">
        <f t="array" aca="1" ref="L792" ca="1">INDIRECT("Data!F" &amp; 787)</f>
        <v>0</v>
      </c>
      <c r="M792" cm="1">
        <f t="array" aca="1" ref="M792" ca="1">INDIRECT("Data!G" &amp; 787)</f>
        <v>0</v>
      </c>
      <c r="N792" cm="1">
        <f t="array" aca="1" ref="N792" ca="1">INDIRECT("Data!H" &amp; 787)</f>
        <v>0</v>
      </c>
      <c r="O792" cm="1">
        <f t="array" aca="1" ref="O792" ca="1">INDIRECT("Data!I" &amp; 787)</f>
        <v>0</v>
      </c>
      <c r="P792" s="21" cm="1">
        <f t="array" aca="1" ref="P792" ca="1">INDIRECT("Data!J" &amp; 787)</f>
        <v>0</v>
      </c>
      <c r="Q792" cm="1">
        <f t="array" aca="1" ref="Q792" ca="1">INDIRECT("Data!K" &amp; 787)</f>
        <v>0</v>
      </c>
      <c r="R792" cm="1">
        <f t="array" aca="1" ref="R792" ca="1">INDIRECT("Data!L" &amp; 787)</f>
        <v>0</v>
      </c>
      <c r="S792" cm="1">
        <f t="array" aca="1" ref="S792" ca="1">INDIRECT("Data!M" &amp; 787)</f>
        <v>0</v>
      </c>
      <c r="T792" cm="1">
        <f t="array" aca="1" ref="T792" ca="1">INDIRECT("Data!N" &amp; 787)</f>
        <v>0</v>
      </c>
      <c r="U792" cm="1">
        <f t="array" aca="1" ref="U792" ca="1">INDIRECT("Data!O" &amp; 787)</f>
        <v>0</v>
      </c>
      <c r="V792" cm="1">
        <f t="array" aca="1" ref="V792" ca="1">INDIRECT("Data!P" &amp; 787)</f>
        <v>0</v>
      </c>
    </row>
    <row r="793" spans="7:22" x14ac:dyDescent="0.25">
      <c r="G793" cm="1">
        <f t="array" aca="1" ref="G793" ca="1">INDIRECT("Data!A" &amp; 788)</f>
        <v>0</v>
      </c>
      <c r="H793" s="21" cm="1">
        <f t="array" aca="1" ref="H793" ca="1">INDIRECT("Data!B" &amp; 788)</f>
        <v>0</v>
      </c>
      <c r="I793" s="21" cm="1">
        <f t="array" aca="1" ref="I793" ca="1">INDIRECT("Data!C" &amp; 788)</f>
        <v>0</v>
      </c>
      <c r="J793" cm="1">
        <f t="array" aca="1" ref="J793" ca="1">INDIRECT("Data!D" &amp; 788)</f>
        <v>0</v>
      </c>
      <c r="K793" cm="1">
        <f t="array" aca="1" ref="K793" ca="1">INDIRECT("Data!E" &amp; 788)</f>
        <v>0</v>
      </c>
      <c r="L793" cm="1">
        <f t="array" aca="1" ref="L793" ca="1">INDIRECT("Data!F" &amp; 788)</f>
        <v>0</v>
      </c>
      <c r="M793" cm="1">
        <f t="array" aca="1" ref="M793" ca="1">INDIRECT("Data!G" &amp; 788)</f>
        <v>0</v>
      </c>
      <c r="N793" cm="1">
        <f t="array" aca="1" ref="N793" ca="1">INDIRECT("Data!H" &amp; 788)</f>
        <v>0</v>
      </c>
      <c r="O793" cm="1">
        <f t="array" aca="1" ref="O793" ca="1">INDIRECT("Data!I" &amp; 788)</f>
        <v>0</v>
      </c>
      <c r="P793" s="21" cm="1">
        <f t="array" aca="1" ref="P793" ca="1">INDIRECT("Data!J" &amp; 788)</f>
        <v>0</v>
      </c>
      <c r="Q793" cm="1">
        <f t="array" aca="1" ref="Q793" ca="1">INDIRECT("Data!K" &amp; 788)</f>
        <v>0</v>
      </c>
      <c r="R793" cm="1">
        <f t="array" aca="1" ref="R793" ca="1">INDIRECT("Data!L" &amp; 788)</f>
        <v>0</v>
      </c>
      <c r="S793" cm="1">
        <f t="array" aca="1" ref="S793" ca="1">INDIRECT("Data!M" &amp; 788)</f>
        <v>0</v>
      </c>
      <c r="T793" cm="1">
        <f t="array" aca="1" ref="T793" ca="1">INDIRECT("Data!N" &amp; 788)</f>
        <v>0</v>
      </c>
      <c r="U793" cm="1">
        <f t="array" aca="1" ref="U793" ca="1">INDIRECT("Data!O" &amp; 788)</f>
        <v>0</v>
      </c>
      <c r="V793" cm="1">
        <f t="array" aca="1" ref="V793" ca="1">INDIRECT("Data!P" &amp; 788)</f>
        <v>0</v>
      </c>
    </row>
    <row r="794" spans="7:22" x14ac:dyDescent="0.25">
      <c r="G794" cm="1">
        <f t="array" aca="1" ref="G794" ca="1">INDIRECT("Data!A" &amp; 789)</f>
        <v>0</v>
      </c>
      <c r="H794" s="21" cm="1">
        <f t="array" aca="1" ref="H794" ca="1">INDIRECT("Data!B" &amp; 789)</f>
        <v>0</v>
      </c>
      <c r="I794" s="21" cm="1">
        <f t="array" aca="1" ref="I794" ca="1">INDIRECT("Data!C" &amp; 789)</f>
        <v>0</v>
      </c>
      <c r="J794" cm="1">
        <f t="array" aca="1" ref="J794" ca="1">INDIRECT("Data!D" &amp; 789)</f>
        <v>0</v>
      </c>
      <c r="K794" cm="1">
        <f t="array" aca="1" ref="K794" ca="1">INDIRECT("Data!E" &amp; 789)</f>
        <v>0</v>
      </c>
      <c r="L794" cm="1">
        <f t="array" aca="1" ref="L794" ca="1">INDIRECT("Data!F" &amp; 789)</f>
        <v>0</v>
      </c>
      <c r="M794" cm="1">
        <f t="array" aca="1" ref="M794" ca="1">INDIRECT("Data!G" &amp; 789)</f>
        <v>0</v>
      </c>
      <c r="N794" cm="1">
        <f t="array" aca="1" ref="N794" ca="1">INDIRECT("Data!H" &amp; 789)</f>
        <v>0</v>
      </c>
      <c r="O794" cm="1">
        <f t="array" aca="1" ref="O794" ca="1">INDIRECT("Data!I" &amp; 789)</f>
        <v>0</v>
      </c>
      <c r="P794" s="21" cm="1">
        <f t="array" aca="1" ref="P794" ca="1">INDIRECT("Data!J" &amp; 789)</f>
        <v>0</v>
      </c>
      <c r="Q794" cm="1">
        <f t="array" aca="1" ref="Q794" ca="1">INDIRECT("Data!K" &amp; 789)</f>
        <v>0</v>
      </c>
      <c r="R794" cm="1">
        <f t="array" aca="1" ref="R794" ca="1">INDIRECT("Data!L" &amp; 789)</f>
        <v>0</v>
      </c>
      <c r="S794" cm="1">
        <f t="array" aca="1" ref="S794" ca="1">INDIRECT("Data!M" &amp; 789)</f>
        <v>0</v>
      </c>
      <c r="T794" cm="1">
        <f t="array" aca="1" ref="T794" ca="1">INDIRECT("Data!N" &amp; 789)</f>
        <v>0</v>
      </c>
      <c r="U794" cm="1">
        <f t="array" aca="1" ref="U794" ca="1">INDIRECT("Data!O" &amp; 789)</f>
        <v>0</v>
      </c>
      <c r="V794" cm="1">
        <f t="array" aca="1" ref="V794" ca="1">INDIRECT("Data!P" &amp; 789)</f>
        <v>0</v>
      </c>
    </row>
    <row r="795" spans="7:22" x14ac:dyDescent="0.25">
      <c r="G795" cm="1">
        <f t="array" aca="1" ref="G795" ca="1">INDIRECT("Data!A" &amp; 790)</f>
        <v>0</v>
      </c>
      <c r="H795" s="21" cm="1">
        <f t="array" aca="1" ref="H795" ca="1">INDIRECT("Data!B" &amp; 790)</f>
        <v>0</v>
      </c>
      <c r="I795" s="21" cm="1">
        <f t="array" aca="1" ref="I795" ca="1">INDIRECT("Data!C" &amp; 790)</f>
        <v>0</v>
      </c>
      <c r="J795" cm="1">
        <f t="array" aca="1" ref="J795" ca="1">INDIRECT("Data!D" &amp; 790)</f>
        <v>0</v>
      </c>
      <c r="K795" cm="1">
        <f t="array" aca="1" ref="K795" ca="1">INDIRECT("Data!E" &amp; 790)</f>
        <v>0</v>
      </c>
      <c r="L795" cm="1">
        <f t="array" aca="1" ref="L795" ca="1">INDIRECT("Data!F" &amp; 790)</f>
        <v>0</v>
      </c>
      <c r="M795" cm="1">
        <f t="array" aca="1" ref="M795" ca="1">INDIRECT("Data!G" &amp; 790)</f>
        <v>0</v>
      </c>
      <c r="N795" cm="1">
        <f t="array" aca="1" ref="N795" ca="1">INDIRECT("Data!H" &amp; 790)</f>
        <v>0</v>
      </c>
      <c r="O795" cm="1">
        <f t="array" aca="1" ref="O795" ca="1">INDIRECT("Data!I" &amp; 790)</f>
        <v>0</v>
      </c>
      <c r="P795" s="21" cm="1">
        <f t="array" aca="1" ref="P795" ca="1">INDIRECT("Data!J" &amp; 790)</f>
        <v>0</v>
      </c>
      <c r="Q795" cm="1">
        <f t="array" aca="1" ref="Q795" ca="1">INDIRECT("Data!K" &amp; 790)</f>
        <v>0</v>
      </c>
      <c r="R795" cm="1">
        <f t="array" aca="1" ref="R795" ca="1">INDIRECT("Data!L" &amp; 790)</f>
        <v>0</v>
      </c>
      <c r="S795" cm="1">
        <f t="array" aca="1" ref="S795" ca="1">INDIRECT("Data!M" &amp; 790)</f>
        <v>0</v>
      </c>
      <c r="T795" cm="1">
        <f t="array" aca="1" ref="T795" ca="1">INDIRECT("Data!N" &amp; 790)</f>
        <v>0</v>
      </c>
      <c r="U795" cm="1">
        <f t="array" aca="1" ref="U795" ca="1">INDIRECT("Data!O" &amp; 790)</f>
        <v>0</v>
      </c>
      <c r="V795" cm="1">
        <f t="array" aca="1" ref="V795" ca="1">INDIRECT("Data!P" &amp; 790)</f>
        <v>0</v>
      </c>
    </row>
    <row r="796" spans="7:22" x14ac:dyDescent="0.25">
      <c r="G796" cm="1">
        <f t="array" aca="1" ref="G796" ca="1">INDIRECT("Data!A" &amp; 791)</f>
        <v>0</v>
      </c>
      <c r="H796" s="21" cm="1">
        <f t="array" aca="1" ref="H796" ca="1">INDIRECT("Data!B" &amp; 791)</f>
        <v>0</v>
      </c>
      <c r="I796" s="21" cm="1">
        <f t="array" aca="1" ref="I796" ca="1">INDIRECT("Data!C" &amp; 791)</f>
        <v>0</v>
      </c>
      <c r="J796" cm="1">
        <f t="array" aca="1" ref="J796" ca="1">INDIRECT("Data!D" &amp; 791)</f>
        <v>0</v>
      </c>
      <c r="K796" cm="1">
        <f t="array" aca="1" ref="K796" ca="1">INDIRECT("Data!E" &amp; 791)</f>
        <v>0</v>
      </c>
      <c r="L796" cm="1">
        <f t="array" aca="1" ref="L796" ca="1">INDIRECT("Data!F" &amp; 791)</f>
        <v>0</v>
      </c>
      <c r="M796" cm="1">
        <f t="array" aca="1" ref="M796" ca="1">INDIRECT("Data!G" &amp; 791)</f>
        <v>0</v>
      </c>
      <c r="N796" cm="1">
        <f t="array" aca="1" ref="N796" ca="1">INDIRECT("Data!H" &amp; 791)</f>
        <v>0</v>
      </c>
      <c r="O796" cm="1">
        <f t="array" aca="1" ref="O796" ca="1">INDIRECT("Data!I" &amp; 791)</f>
        <v>0</v>
      </c>
      <c r="P796" s="21" cm="1">
        <f t="array" aca="1" ref="P796" ca="1">INDIRECT("Data!J" &amp; 791)</f>
        <v>0</v>
      </c>
      <c r="Q796" cm="1">
        <f t="array" aca="1" ref="Q796" ca="1">INDIRECT("Data!K" &amp; 791)</f>
        <v>0</v>
      </c>
      <c r="R796" cm="1">
        <f t="array" aca="1" ref="R796" ca="1">INDIRECT("Data!L" &amp; 791)</f>
        <v>0</v>
      </c>
      <c r="S796" cm="1">
        <f t="array" aca="1" ref="S796" ca="1">INDIRECT("Data!M" &amp; 791)</f>
        <v>0</v>
      </c>
      <c r="T796" cm="1">
        <f t="array" aca="1" ref="T796" ca="1">INDIRECT("Data!N" &amp; 791)</f>
        <v>0</v>
      </c>
      <c r="U796" cm="1">
        <f t="array" aca="1" ref="U796" ca="1">INDIRECT("Data!O" &amp; 791)</f>
        <v>0</v>
      </c>
      <c r="V796" cm="1">
        <f t="array" aca="1" ref="V796" ca="1">INDIRECT("Data!P" &amp; 791)</f>
        <v>0</v>
      </c>
    </row>
    <row r="797" spans="7:22" x14ac:dyDescent="0.25">
      <c r="G797" cm="1">
        <f t="array" aca="1" ref="G797" ca="1">INDIRECT("Data!A" &amp; 792)</f>
        <v>0</v>
      </c>
      <c r="H797" s="21" cm="1">
        <f t="array" aca="1" ref="H797" ca="1">INDIRECT("Data!B" &amp; 792)</f>
        <v>0</v>
      </c>
      <c r="I797" s="21" cm="1">
        <f t="array" aca="1" ref="I797" ca="1">INDIRECT("Data!C" &amp; 792)</f>
        <v>0</v>
      </c>
      <c r="J797" cm="1">
        <f t="array" aca="1" ref="J797" ca="1">INDIRECT("Data!D" &amp; 792)</f>
        <v>0</v>
      </c>
      <c r="K797" cm="1">
        <f t="array" aca="1" ref="K797" ca="1">INDIRECT("Data!E" &amp; 792)</f>
        <v>0</v>
      </c>
      <c r="L797" cm="1">
        <f t="array" aca="1" ref="L797" ca="1">INDIRECT("Data!F" &amp; 792)</f>
        <v>0</v>
      </c>
      <c r="M797" cm="1">
        <f t="array" aca="1" ref="M797" ca="1">INDIRECT("Data!G" &amp; 792)</f>
        <v>0</v>
      </c>
      <c r="N797" cm="1">
        <f t="array" aca="1" ref="N797" ca="1">INDIRECT("Data!H" &amp; 792)</f>
        <v>0</v>
      </c>
      <c r="O797" cm="1">
        <f t="array" aca="1" ref="O797" ca="1">INDIRECT("Data!I" &amp; 792)</f>
        <v>0</v>
      </c>
      <c r="P797" s="21" cm="1">
        <f t="array" aca="1" ref="P797" ca="1">INDIRECT("Data!J" &amp; 792)</f>
        <v>0</v>
      </c>
      <c r="Q797" cm="1">
        <f t="array" aca="1" ref="Q797" ca="1">INDIRECT("Data!K" &amp; 792)</f>
        <v>0</v>
      </c>
      <c r="R797" cm="1">
        <f t="array" aca="1" ref="R797" ca="1">INDIRECT("Data!L" &amp; 792)</f>
        <v>0</v>
      </c>
      <c r="S797" cm="1">
        <f t="array" aca="1" ref="S797" ca="1">INDIRECT("Data!M" &amp; 792)</f>
        <v>0</v>
      </c>
      <c r="T797" cm="1">
        <f t="array" aca="1" ref="T797" ca="1">INDIRECT("Data!N" &amp; 792)</f>
        <v>0</v>
      </c>
      <c r="U797" cm="1">
        <f t="array" aca="1" ref="U797" ca="1">INDIRECT("Data!O" &amp; 792)</f>
        <v>0</v>
      </c>
      <c r="V797" cm="1">
        <f t="array" aca="1" ref="V797" ca="1">INDIRECT("Data!P" &amp; 792)</f>
        <v>0</v>
      </c>
    </row>
    <row r="798" spans="7:22" x14ac:dyDescent="0.25">
      <c r="G798" cm="1">
        <f t="array" aca="1" ref="G798" ca="1">INDIRECT("Data!A" &amp; 793)</f>
        <v>0</v>
      </c>
      <c r="H798" s="21" cm="1">
        <f t="array" aca="1" ref="H798" ca="1">INDIRECT("Data!B" &amp; 793)</f>
        <v>0</v>
      </c>
      <c r="I798" s="21" cm="1">
        <f t="array" aca="1" ref="I798" ca="1">INDIRECT("Data!C" &amp; 793)</f>
        <v>0</v>
      </c>
      <c r="J798" cm="1">
        <f t="array" aca="1" ref="J798" ca="1">INDIRECT("Data!D" &amp; 793)</f>
        <v>0</v>
      </c>
      <c r="K798" cm="1">
        <f t="array" aca="1" ref="K798" ca="1">INDIRECT("Data!E" &amp; 793)</f>
        <v>0</v>
      </c>
      <c r="L798" cm="1">
        <f t="array" aca="1" ref="L798" ca="1">INDIRECT("Data!F" &amp; 793)</f>
        <v>0</v>
      </c>
      <c r="M798" cm="1">
        <f t="array" aca="1" ref="M798" ca="1">INDIRECT("Data!G" &amp; 793)</f>
        <v>0</v>
      </c>
      <c r="N798" cm="1">
        <f t="array" aca="1" ref="N798" ca="1">INDIRECT("Data!H" &amp; 793)</f>
        <v>0</v>
      </c>
      <c r="O798" cm="1">
        <f t="array" aca="1" ref="O798" ca="1">INDIRECT("Data!I" &amp; 793)</f>
        <v>0</v>
      </c>
      <c r="P798" s="21" cm="1">
        <f t="array" aca="1" ref="P798" ca="1">INDIRECT("Data!J" &amp; 793)</f>
        <v>0</v>
      </c>
      <c r="Q798" cm="1">
        <f t="array" aca="1" ref="Q798" ca="1">INDIRECT("Data!K" &amp; 793)</f>
        <v>0</v>
      </c>
      <c r="R798" cm="1">
        <f t="array" aca="1" ref="R798" ca="1">INDIRECT("Data!L" &amp; 793)</f>
        <v>0</v>
      </c>
      <c r="S798" cm="1">
        <f t="array" aca="1" ref="S798" ca="1">INDIRECT("Data!M" &amp; 793)</f>
        <v>0</v>
      </c>
      <c r="T798" cm="1">
        <f t="array" aca="1" ref="T798" ca="1">INDIRECT("Data!N" &amp; 793)</f>
        <v>0</v>
      </c>
      <c r="U798" cm="1">
        <f t="array" aca="1" ref="U798" ca="1">INDIRECT("Data!O" &amp; 793)</f>
        <v>0</v>
      </c>
      <c r="V798" cm="1">
        <f t="array" aca="1" ref="V798" ca="1">INDIRECT("Data!P" &amp; 793)</f>
        <v>0</v>
      </c>
    </row>
    <row r="799" spans="7:22" x14ac:dyDescent="0.25">
      <c r="G799" cm="1">
        <f t="array" aca="1" ref="G799" ca="1">INDIRECT("Data!A" &amp; 794)</f>
        <v>0</v>
      </c>
      <c r="H799" s="21" cm="1">
        <f t="array" aca="1" ref="H799" ca="1">INDIRECT("Data!B" &amp; 794)</f>
        <v>0</v>
      </c>
      <c r="I799" s="21" cm="1">
        <f t="array" aca="1" ref="I799" ca="1">INDIRECT("Data!C" &amp; 794)</f>
        <v>0</v>
      </c>
      <c r="J799" cm="1">
        <f t="array" aca="1" ref="J799" ca="1">INDIRECT("Data!D" &amp; 794)</f>
        <v>0</v>
      </c>
      <c r="K799" cm="1">
        <f t="array" aca="1" ref="K799" ca="1">INDIRECT("Data!E" &amp; 794)</f>
        <v>0</v>
      </c>
      <c r="L799" cm="1">
        <f t="array" aca="1" ref="L799" ca="1">INDIRECT("Data!F" &amp; 794)</f>
        <v>0</v>
      </c>
      <c r="M799" cm="1">
        <f t="array" aca="1" ref="M799" ca="1">INDIRECT("Data!G" &amp; 794)</f>
        <v>0</v>
      </c>
      <c r="N799" cm="1">
        <f t="array" aca="1" ref="N799" ca="1">INDIRECT("Data!H" &amp; 794)</f>
        <v>0</v>
      </c>
      <c r="O799" cm="1">
        <f t="array" aca="1" ref="O799" ca="1">INDIRECT("Data!I" &amp; 794)</f>
        <v>0</v>
      </c>
      <c r="P799" s="21" cm="1">
        <f t="array" aca="1" ref="P799" ca="1">INDIRECT("Data!J" &amp; 794)</f>
        <v>0</v>
      </c>
      <c r="Q799" cm="1">
        <f t="array" aca="1" ref="Q799" ca="1">INDIRECT("Data!K" &amp; 794)</f>
        <v>0</v>
      </c>
      <c r="R799" cm="1">
        <f t="array" aca="1" ref="R799" ca="1">INDIRECT("Data!L" &amp; 794)</f>
        <v>0</v>
      </c>
      <c r="S799" cm="1">
        <f t="array" aca="1" ref="S799" ca="1">INDIRECT("Data!M" &amp; 794)</f>
        <v>0</v>
      </c>
      <c r="T799" cm="1">
        <f t="array" aca="1" ref="T799" ca="1">INDIRECT("Data!N" &amp; 794)</f>
        <v>0</v>
      </c>
      <c r="U799" cm="1">
        <f t="array" aca="1" ref="U799" ca="1">INDIRECT("Data!O" &amp; 794)</f>
        <v>0</v>
      </c>
      <c r="V799" cm="1">
        <f t="array" aca="1" ref="V799" ca="1">INDIRECT("Data!P" &amp; 794)</f>
        <v>0</v>
      </c>
    </row>
    <row r="800" spans="7:22" x14ac:dyDescent="0.25">
      <c r="G800" cm="1">
        <f t="array" aca="1" ref="G800" ca="1">INDIRECT("Data!A" &amp; 795)</f>
        <v>0</v>
      </c>
      <c r="H800" s="21" cm="1">
        <f t="array" aca="1" ref="H800" ca="1">INDIRECT("Data!B" &amp; 795)</f>
        <v>0</v>
      </c>
      <c r="I800" s="21" cm="1">
        <f t="array" aca="1" ref="I800" ca="1">INDIRECT("Data!C" &amp; 795)</f>
        <v>0</v>
      </c>
      <c r="J800" cm="1">
        <f t="array" aca="1" ref="J800" ca="1">INDIRECT("Data!D" &amp; 795)</f>
        <v>0</v>
      </c>
      <c r="K800" cm="1">
        <f t="array" aca="1" ref="K800" ca="1">INDIRECT("Data!E" &amp; 795)</f>
        <v>0</v>
      </c>
      <c r="L800" cm="1">
        <f t="array" aca="1" ref="L800" ca="1">INDIRECT("Data!F" &amp; 795)</f>
        <v>0</v>
      </c>
      <c r="M800" cm="1">
        <f t="array" aca="1" ref="M800" ca="1">INDIRECT("Data!G" &amp; 795)</f>
        <v>0</v>
      </c>
      <c r="N800" cm="1">
        <f t="array" aca="1" ref="N800" ca="1">INDIRECT("Data!H" &amp; 795)</f>
        <v>0</v>
      </c>
      <c r="O800" cm="1">
        <f t="array" aca="1" ref="O800" ca="1">INDIRECT("Data!I" &amp; 795)</f>
        <v>0</v>
      </c>
      <c r="P800" s="21" cm="1">
        <f t="array" aca="1" ref="P800" ca="1">INDIRECT("Data!J" &amp; 795)</f>
        <v>0</v>
      </c>
      <c r="Q800" cm="1">
        <f t="array" aca="1" ref="Q800" ca="1">INDIRECT("Data!K" &amp; 795)</f>
        <v>0</v>
      </c>
      <c r="R800" cm="1">
        <f t="array" aca="1" ref="R800" ca="1">INDIRECT("Data!L" &amp; 795)</f>
        <v>0</v>
      </c>
      <c r="S800" cm="1">
        <f t="array" aca="1" ref="S800" ca="1">INDIRECT("Data!M" &amp; 795)</f>
        <v>0</v>
      </c>
      <c r="T800" cm="1">
        <f t="array" aca="1" ref="T800" ca="1">INDIRECT("Data!N" &amp; 795)</f>
        <v>0</v>
      </c>
      <c r="U800" cm="1">
        <f t="array" aca="1" ref="U800" ca="1">INDIRECT("Data!O" &amp; 795)</f>
        <v>0</v>
      </c>
      <c r="V800" cm="1">
        <f t="array" aca="1" ref="V800" ca="1">INDIRECT("Data!P" &amp; 795)</f>
        <v>0</v>
      </c>
    </row>
    <row r="801" spans="7:22" x14ac:dyDescent="0.25">
      <c r="G801" cm="1">
        <f t="array" aca="1" ref="G801" ca="1">INDIRECT("Data!A" &amp; 796)</f>
        <v>0</v>
      </c>
      <c r="H801" s="21" cm="1">
        <f t="array" aca="1" ref="H801" ca="1">INDIRECT("Data!B" &amp; 796)</f>
        <v>0</v>
      </c>
      <c r="I801" s="21" cm="1">
        <f t="array" aca="1" ref="I801" ca="1">INDIRECT("Data!C" &amp; 796)</f>
        <v>0</v>
      </c>
      <c r="J801" cm="1">
        <f t="array" aca="1" ref="J801" ca="1">INDIRECT("Data!D" &amp; 796)</f>
        <v>0</v>
      </c>
      <c r="K801" cm="1">
        <f t="array" aca="1" ref="K801" ca="1">INDIRECT("Data!E" &amp; 796)</f>
        <v>0</v>
      </c>
      <c r="L801" cm="1">
        <f t="array" aca="1" ref="L801" ca="1">INDIRECT("Data!F" &amp; 796)</f>
        <v>0</v>
      </c>
      <c r="M801" cm="1">
        <f t="array" aca="1" ref="M801" ca="1">INDIRECT("Data!G" &amp; 796)</f>
        <v>0</v>
      </c>
      <c r="N801" cm="1">
        <f t="array" aca="1" ref="N801" ca="1">INDIRECT("Data!H" &amp; 796)</f>
        <v>0</v>
      </c>
      <c r="O801" cm="1">
        <f t="array" aca="1" ref="O801" ca="1">INDIRECT("Data!I" &amp; 796)</f>
        <v>0</v>
      </c>
      <c r="P801" s="21" cm="1">
        <f t="array" aca="1" ref="P801" ca="1">INDIRECT("Data!J" &amp; 796)</f>
        <v>0</v>
      </c>
      <c r="Q801" cm="1">
        <f t="array" aca="1" ref="Q801" ca="1">INDIRECT("Data!K" &amp; 796)</f>
        <v>0</v>
      </c>
      <c r="R801" cm="1">
        <f t="array" aca="1" ref="R801" ca="1">INDIRECT("Data!L" &amp; 796)</f>
        <v>0</v>
      </c>
      <c r="S801" cm="1">
        <f t="array" aca="1" ref="S801" ca="1">INDIRECT("Data!M" &amp; 796)</f>
        <v>0</v>
      </c>
      <c r="T801" cm="1">
        <f t="array" aca="1" ref="T801" ca="1">INDIRECT("Data!N" &amp; 796)</f>
        <v>0</v>
      </c>
      <c r="U801" cm="1">
        <f t="array" aca="1" ref="U801" ca="1">INDIRECT("Data!O" &amp; 796)</f>
        <v>0</v>
      </c>
      <c r="V801" cm="1">
        <f t="array" aca="1" ref="V801" ca="1">INDIRECT("Data!P" &amp; 796)</f>
        <v>0</v>
      </c>
    </row>
    <row r="802" spans="7:22" x14ac:dyDescent="0.25">
      <c r="G802" cm="1">
        <f t="array" aca="1" ref="G802" ca="1">INDIRECT("Data!A" &amp; 797)</f>
        <v>0</v>
      </c>
      <c r="H802" s="21" cm="1">
        <f t="array" aca="1" ref="H802" ca="1">INDIRECT("Data!B" &amp; 797)</f>
        <v>0</v>
      </c>
      <c r="I802" s="21" cm="1">
        <f t="array" aca="1" ref="I802" ca="1">INDIRECT("Data!C" &amp; 797)</f>
        <v>0</v>
      </c>
      <c r="J802" cm="1">
        <f t="array" aca="1" ref="J802" ca="1">INDIRECT("Data!D" &amp; 797)</f>
        <v>0</v>
      </c>
      <c r="K802" cm="1">
        <f t="array" aca="1" ref="K802" ca="1">INDIRECT("Data!E" &amp; 797)</f>
        <v>0</v>
      </c>
      <c r="L802" cm="1">
        <f t="array" aca="1" ref="L802" ca="1">INDIRECT("Data!F" &amp; 797)</f>
        <v>0</v>
      </c>
      <c r="M802" cm="1">
        <f t="array" aca="1" ref="M802" ca="1">INDIRECT("Data!G" &amp; 797)</f>
        <v>0</v>
      </c>
      <c r="N802" cm="1">
        <f t="array" aca="1" ref="N802" ca="1">INDIRECT("Data!H" &amp; 797)</f>
        <v>0</v>
      </c>
      <c r="O802" cm="1">
        <f t="array" aca="1" ref="O802" ca="1">INDIRECT("Data!I" &amp; 797)</f>
        <v>0</v>
      </c>
      <c r="P802" s="21" cm="1">
        <f t="array" aca="1" ref="P802" ca="1">INDIRECT("Data!J" &amp; 797)</f>
        <v>0</v>
      </c>
      <c r="Q802" cm="1">
        <f t="array" aca="1" ref="Q802" ca="1">INDIRECT("Data!K" &amp; 797)</f>
        <v>0</v>
      </c>
      <c r="R802" cm="1">
        <f t="array" aca="1" ref="R802" ca="1">INDIRECT("Data!L" &amp; 797)</f>
        <v>0</v>
      </c>
      <c r="S802" cm="1">
        <f t="array" aca="1" ref="S802" ca="1">INDIRECT("Data!M" &amp; 797)</f>
        <v>0</v>
      </c>
      <c r="T802" cm="1">
        <f t="array" aca="1" ref="T802" ca="1">INDIRECT("Data!N" &amp; 797)</f>
        <v>0</v>
      </c>
      <c r="U802" cm="1">
        <f t="array" aca="1" ref="U802" ca="1">INDIRECT("Data!O" &amp; 797)</f>
        <v>0</v>
      </c>
      <c r="V802" cm="1">
        <f t="array" aca="1" ref="V802" ca="1">INDIRECT("Data!P" &amp; 797)</f>
        <v>0</v>
      </c>
    </row>
    <row r="803" spans="7:22" x14ac:dyDescent="0.25">
      <c r="G803" cm="1">
        <f t="array" aca="1" ref="G803" ca="1">INDIRECT("Data!A" &amp; 798)</f>
        <v>0</v>
      </c>
      <c r="H803" s="21" cm="1">
        <f t="array" aca="1" ref="H803" ca="1">INDIRECT("Data!B" &amp; 798)</f>
        <v>0</v>
      </c>
      <c r="I803" s="21" cm="1">
        <f t="array" aca="1" ref="I803" ca="1">INDIRECT("Data!C" &amp; 798)</f>
        <v>0</v>
      </c>
      <c r="J803" cm="1">
        <f t="array" aca="1" ref="J803" ca="1">INDIRECT("Data!D" &amp; 798)</f>
        <v>0</v>
      </c>
      <c r="K803" cm="1">
        <f t="array" aca="1" ref="K803" ca="1">INDIRECT("Data!E" &amp; 798)</f>
        <v>0</v>
      </c>
      <c r="L803" cm="1">
        <f t="array" aca="1" ref="L803" ca="1">INDIRECT("Data!F" &amp; 798)</f>
        <v>0</v>
      </c>
      <c r="M803" cm="1">
        <f t="array" aca="1" ref="M803" ca="1">INDIRECT("Data!G" &amp; 798)</f>
        <v>0</v>
      </c>
      <c r="N803" cm="1">
        <f t="array" aca="1" ref="N803" ca="1">INDIRECT("Data!H" &amp; 798)</f>
        <v>0</v>
      </c>
      <c r="O803" cm="1">
        <f t="array" aca="1" ref="O803" ca="1">INDIRECT("Data!I" &amp; 798)</f>
        <v>0</v>
      </c>
      <c r="P803" s="21" cm="1">
        <f t="array" aca="1" ref="P803" ca="1">INDIRECT("Data!J" &amp; 798)</f>
        <v>0</v>
      </c>
      <c r="Q803" cm="1">
        <f t="array" aca="1" ref="Q803" ca="1">INDIRECT("Data!K" &amp; 798)</f>
        <v>0</v>
      </c>
      <c r="R803" cm="1">
        <f t="array" aca="1" ref="R803" ca="1">INDIRECT("Data!L" &amp; 798)</f>
        <v>0</v>
      </c>
      <c r="S803" cm="1">
        <f t="array" aca="1" ref="S803" ca="1">INDIRECT("Data!M" &amp; 798)</f>
        <v>0</v>
      </c>
      <c r="T803" cm="1">
        <f t="array" aca="1" ref="T803" ca="1">INDIRECT("Data!N" &amp; 798)</f>
        <v>0</v>
      </c>
      <c r="U803" cm="1">
        <f t="array" aca="1" ref="U803" ca="1">INDIRECT("Data!O" &amp; 798)</f>
        <v>0</v>
      </c>
      <c r="V803" cm="1">
        <f t="array" aca="1" ref="V803" ca="1">INDIRECT("Data!P" &amp; 798)</f>
        <v>0</v>
      </c>
    </row>
    <row r="804" spans="7:22" x14ac:dyDescent="0.25">
      <c r="G804" cm="1">
        <f t="array" aca="1" ref="G804" ca="1">INDIRECT("Data!A" &amp; 799)</f>
        <v>0</v>
      </c>
      <c r="H804" s="21" cm="1">
        <f t="array" aca="1" ref="H804" ca="1">INDIRECT("Data!B" &amp; 799)</f>
        <v>0</v>
      </c>
      <c r="I804" s="21" cm="1">
        <f t="array" aca="1" ref="I804" ca="1">INDIRECT("Data!C" &amp; 799)</f>
        <v>0</v>
      </c>
      <c r="J804" cm="1">
        <f t="array" aca="1" ref="J804" ca="1">INDIRECT("Data!D" &amp; 799)</f>
        <v>0</v>
      </c>
      <c r="K804" cm="1">
        <f t="array" aca="1" ref="K804" ca="1">INDIRECT("Data!E" &amp; 799)</f>
        <v>0</v>
      </c>
      <c r="L804" cm="1">
        <f t="array" aca="1" ref="L804" ca="1">INDIRECT("Data!F" &amp; 799)</f>
        <v>0</v>
      </c>
      <c r="M804" cm="1">
        <f t="array" aca="1" ref="M804" ca="1">INDIRECT("Data!G" &amp; 799)</f>
        <v>0</v>
      </c>
      <c r="N804" cm="1">
        <f t="array" aca="1" ref="N804" ca="1">INDIRECT("Data!H" &amp; 799)</f>
        <v>0</v>
      </c>
      <c r="O804" cm="1">
        <f t="array" aca="1" ref="O804" ca="1">INDIRECT("Data!I" &amp; 799)</f>
        <v>0</v>
      </c>
      <c r="P804" s="21" cm="1">
        <f t="array" aca="1" ref="P804" ca="1">INDIRECT("Data!J" &amp; 799)</f>
        <v>0</v>
      </c>
      <c r="Q804" cm="1">
        <f t="array" aca="1" ref="Q804" ca="1">INDIRECT("Data!K" &amp; 799)</f>
        <v>0</v>
      </c>
      <c r="R804" cm="1">
        <f t="array" aca="1" ref="R804" ca="1">INDIRECT("Data!L" &amp; 799)</f>
        <v>0</v>
      </c>
      <c r="S804" cm="1">
        <f t="array" aca="1" ref="S804" ca="1">INDIRECT("Data!M" &amp; 799)</f>
        <v>0</v>
      </c>
      <c r="T804" cm="1">
        <f t="array" aca="1" ref="T804" ca="1">INDIRECT("Data!N" &amp; 799)</f>
        <v>0</v>
      </c>
      <c r="U804" cm="1">
        <f t="array" aca="1" ref="U804" ca="1">INDIRECT("Data!O" &amp; 799)</f>
        <v>0</v>
      </c>
      <c r="V804" cm="1">
        <f t="array" aca="1" ref="V804" ca="1">INDIRECT("Data!P" &amp; 799)</f>
        <v>0</v>
      </c>
    </row>
    <row r="805" spans="7:22" x14ac:dyDescent="0.25">
      <c r="G805" cm="1">
        <f t="array" aca="1" ref="G805" ca="1">INDIRECT("Data!A" &amp; 800)</f>
        <v>0</v>
      </c>
      <c r="H805" s="21" cm="1">
        <f t="array" aca="1" ref="H805" ca="1">INDIRECT("Data!B" &amp; 800)</f>
        <v>0</v>
      </c>
      <c r="I805" s="21" cm="1">
        <f t="array" aca="1" ref="I805" ca="1">INDIRECT("Data!C" &amp; 800)</f>
        <v>0</v>
      </c>
      <c r="J805" cm="1">
        <f t="array" aca="1" ref="J805" ca="1">INDIRECT("Data!D" &amp; 800)</f>
        <v>0</v>
      </c>
      <c r="K805" cm="1">
        <f t="array" aca="1" ref="K805" ca="1">INDIRECT("Data!E" &amp; 800)</f>
        <v>0</v>
      </c>
      <c r="L805" cm="1">
        <f t="array" aca="1" ref="L805" ca="1">INDIRECT("Data!F" &amp; 800)</f>
        <v>0</v>
      </c>
      <c r="M805" cm="1">
        <f t="array" aca="1" ref="M805" ca="1">INDIRECT("Data!G" &amp; 800)</f>
        <v>0</v>
      </c>
      <c r="N805" cm="1">
        <f t="array" aca="1" ref="N805" ca="1">INDIRECT("Data!H" &amp; 800)</f>
        <v>0</v>
      </c>
      <c r="O805" cm="1">
        <f t="array" aca="1" ref="O805" ca="1">INDIRECT("Data!I" &amp; 800)</f>
        <v>0</v>
      </c>
      <c r="P805" s="21" cm="1">
        <f t="array" aca="1" ref="P805" ca="1">INDIRECT("Data!J" &amp; 800)</f>
        <v>0</v>
      </c>
      <c r="Q805" cm="1">
        <f t="array" aca="1" ref="Q805" ca="1">INDIRECT("Data!K" &amp; 800)</f>
        <v>0</v>
      </c>
      <c r="R805" cm="1">
        <f t="array" aca="1" ref="R805" ca="1">INDIRECT("Data!L" &amp; 800)</f>
        <v>0</v>
      </c>
      <c r="S805" cm="1">
        <f t="array" aca="1" ref="S805" ca="1">INDIRECT("Data!M" &amp; 800)</f>
        <v>0</v>
      </c>
      <c r="T805" cm="1">
        <f t="array" aca="1" ref="T805" ca="1">INDIRECT("Data!N" &amp; 800)</f>
        <v>0</v>
      </c>
      <c r="U805" cm="1">
        <f t="array" aca="1" ref="U805" ca="1">INDIRECT("Data!O" &amp; 800)</f>
        <v>0</v>
      </c>
      <c r="V805" cm="1">
        <f t="array" aca="1" ref="V805" ca="1">INDIRECT("Data!P" &amp; 800)</f>
        <v>0</v>
      </c>
    </row>
    <row r="806" spans="7:22" x14ac:dyDescent="0.25">
      <c r="G806" cm="1">
        <f t="array" aca="1" ref="G806" ca="1">INDIRECT("Data!A" &amp; 801)</f>
        <v>0</v>
      </c>
      <c r="H806" s="21" cm="1">
        <f t="array" aca="1" ref="H806" ca="1">INDIRECT("Data!B" &amp; 801)</f>
        <v>0</v>
      </c>
      <c r="I806" s="21" cm="1">
        <f t="array" aca="1" ref="I806" ca="1">INDIRECT("Data!C" &amp; 801)</f>
        <v>0</v>
      </c>
      <c r="J806" cm="1">
        <f t="array" aca="1" ref="J806" ca="1">INDIRECT("Data!D" &amp; 801)</f>
        <v>0</v>
      </c>
      <c r="K806" cm="1">
        <f t="array" aca="1" ref="K806" ca="1">INDIRECT("Data!E" &amp; 801)</f>
        <v>0</v>
      </c>
      <c r="L806" cm="1">
        <f t="array" aca="1" ref="L806" ca="1">INDIRECT("Data!F" &amp; 801)</f>
        <v>0</v>
      </c>
      <c r="M806" cm="1">
        <f t="array" aca="1" ref="M806" ca="1">INDIRECT("Data!G" &amp; 801)</f>
        <v>0</v>
      </c>
      <c r="N806" cm="1">
        <f t="array" aca="1" ref="N806" ca="1">INDIRECT("Data!H" &amp; 801)</f>
        <v>0</v>
      </c>
      <c r="O806" cm="1">
        <f t="array" aca="1" ref="O806" ca="1">INDIRECT("Data!I" &amp; 801)</f>
        <v>0</v>
      </c>
      <c r="P806" s="21" cm="1">
        <f t="array" aca="1" ref="P806" ca="1">INDIRECT("Data!J" &amp; 801)</f>
        <v>0</v>
      </c>
      <c r="Q806" cm="1">
        <f t="array" aca="1" ref="Q806" ca="1">INDIRECT("Data!K" &amp; 801)</f>
        <v>0</v>
      </c>
      <c r="R806" cm="1">
        <f t="array" aca="1" ref="R806" ca="1">INDIRECT("Data!L" &amp; 801)</f>
        <v>0</v>
      </c>
      <c r="S806" cm="1">
        <f t="array" aca="1" ref="S806" ca="1">INDIRECT("Data!M" &amp; 801)</f>
        <v>0</v>
      </c>
      <c r="T806" cm="1">
        <f t="array" aca="1" ref="T806" ca="1">INDIRECT("Data!N" &amp; 801)</f>
        <v>0</v>
      </c>
      <c r="U806" cm="1">
        <f t="array" aca="1" ref="U806" ca="1">INDIRECT("Data!O" &amp; 801)</f>
        <v>0</v>
      </c>
      <c r="V806" cm="1">
        <f t="array" aca="1" ref="V806" ca="1">INDIRECT("Data!P" &amp; 801)</f>
        <v>0</v>
      </c>
    </row>
    <row r="807" spans="7:22" x14ac:dyDescent="0.25">
      <c r="G807" cm="1">
        <f t="array" aca="1" ref="G807" ca="1">INDIRECT("Data!A" &amp; 802)</f>
        <v>0</v>
      </c>
      <c r="H807" s="21" cm="1">
        <f t="array" aca="1" ref="H807" ca="1">INDIRECT("Data!B" &amp; 802)</f>
        <v>0</v>
      </c>
      <c r="I807" s="21" cm="1">
        <f t="array" aca="1" ref="I807" ca="1">INDIRECT("Data!C" &amp; 802)</f>
        <v>0</v>
      </c>
      <c r="J807" cm="1">
        <f t="array" aca="1" ref="J807" ca="1">INDIRECT("Data!D" &amp; 802)</f>
        <v>0</v>
      </c>
      <c r="K807" cm="1">
        <f t="array" aca="1" ref="K807" ca="1">INDIRECT("Data!E" &amp; 802)</f>
        <v>0</v>
      </c>
      <c r="L807" cm="1">
        <f t="array" aca="1" ref="L807" ca="1">INDIRECT("Data!F" &amp; 802)</f>
        <v>0</v>
      </c>
      <c r="M807" cm="1">
        <f t="array" aca="1" ref="M807" ca="1">INDIRECT("Data!G" &amp; 802)</f>
        <v>0</v>
      </c>
      <c r="N807" cm="1">
        <f t="array" aca="1" ref="N807" ca="1">INDIRECT("Data!H" &amp; 802)</f>
        <v>0</v>
      </c>
      <c r="O807" cm="1">
        <f t="array" aca="1" ref="O807" ca="1">INDIRECT("Data!I" &amp; 802)</f>
        <v>0</v>
      </c>
      <c r="P807" s="21" cm="1">
        <f t="array" aca="1" ref="P807" ca="1">INDIRECT("Data!J" &amp; 802)</f>
        <v>0</v>
      </c>
      <c r="Q807" cm="1">
        <f t="array" aca="1" ref="Q807" ca="1">INDIRECT("Data!K" &amp; 802)</f>
        <v>0</v>
      </c>
      <c r="R807" cm="1">
        <f t="array" aca="1" ref="R807" ca="1">INDIRECT("Data!L" &amp; 802)</f>
        <v>0</v>
      </c>
      <c r="S807" cm="1">
        <f t="array" aca="1" ref="S807" ca="1">INDIRECT("Data!M" &amp; 802)</f>
        <v>0</v>
      </c>
      <c r="T807" cm="1">
        <f t="array" aca="1" ref="T807" ca="1">INDIRECT("Data!N" &amp; 802)</f>
        <v>0</v>
      </c>
      <c r="U807" cm="1">
        <f t="array" aca="1" ref="U807" ca="1">INDIRECT("Data!O" &amp; 802)</f>
        <v>0</v>
      </c>
      <c r="V807" cm="1">
        <f t="array" aca="1" ref="V807" ca="1">INDIRECT("Data!P" &amp; 802)</f>
        <v>0</v>
      </c>
    </row>
    <row r="808" spans="7:22" x14ac:dyDescent="0.25">
      <c r="G808" cm="1">
        <f t="array" aca="1" ref="G808" ca="1">INDIRECT("Data!A" &amp; 803)</f>
        <v>0</v>
      </c>
      <c r="H808" s="21" cm="1">
        <f t="array" aca="1" ref="H808" ca="1">INDIRECT("Data!B" &amp; 803)</f>
        <v>0</v>
      </c>
      <c r="I808" s="21" cm="1">
        <f t="array" aca="1" ref="I808" ca="1">INDIRECT("Data!C" &amp; 803)</f>
        <v>0</v>
      </c>
      <c r="J808" cm="1">
        <f t="array" aca="1" ref="J808" ca="1">INDIRECT("Data!D" &amp; 803)</f>
        <v>0</v>
      </c>
      <c r="K808" cm="1">
        <f t="array" aca="1" ref="K808" ca="1">INDIRECT("Data!E" &amp; 803)</f>
        <v>0</v>
      </c>
      <c r="L808" cm="1">
        <f t="array" aca="1" ref="L808" ca="1">INDIRECT("Data!F" &amp; 803)</f>
        <v>0</v>
      </c>
      <c r="M808" cm="1">
        <f t="array" aca="1" ref="M808" ca="1">INDIRECT("Data!G" &amp; 803)</f>
        <v>0</v>
      </c>
      <c r="N808" cm="1">
        <f t="array" aca="1" ref="N808" ca="1">INDIRECT("Data!H" &amp; 803)</f>
        <v>0</v>
      </c>
      <c r="O808" cm="1">
        <f t="array" aca="1" ref="O808" ca="1">INDIRECT("Data!I" &amp; 803)</f>
        <v>0</v>
      </c>
      <c r="P808" s="21" cm="1">
        <f t="array" aca="1" ref="P808" ca="1">INDIRECT("Data!J" &amp; 803)</f>
        <v>0</v>
      </c>
      <c r="Q808" cm="1">
        <f t="array" aca="1" ref="Q808" ca="1">INDIRECT("Data!K" &amp; 803)</f>
        <v>0</v>
      </c>
      <c r="R808" cm="1">
        <f t="array" aca="1" ref="R808" ca="1">INDIRECT("Data!L" &amp; 803)</f>
        <v>0</v>
      </c>
      <c r="S808" cm="1">
        <f t="array" aca="1" ref="S808" ca="1">INDIRECT("Data!M" &amp; 803)</f>
        <v>0</v>
      </c>
      <c r="T808" cm="1">
        <f t="array" aca="1" ref="T808" ca="1">INDIRECT("Data!N" &amp; 803)</f>
        <v>0</v>
      </c>
      <c r="U808" cm="1">
        <f t="array" aca="1" ref="U808" ca="1">INDIRECT("Data!O" &amp; 803)</f>
        <v>0</v>
      </c>
      <c r="V808" cm="1">
        <f t="array" aca="1" ref="V808" ca="1">INDIRECT("Data!P" &amp; 803)</f>
        <v>0</v>
      </c>
    </row>
    <row r="809" spans="7:22" x14ac:dyDescent="0.25">
      <c r="G809" cm="1">
        <f t="array" aca="1" ref="G809" ca="1">INDIRECT("Data!A" &amp; 804)</f>
        <v>0</v>
      </c>
      <c r="H809" s="21" cm="1">
        <f t="array" aca="1" ref="H809" ca="1">INDIRECT("Data!B" &amp; 804)</f>
        <v>0</v>
      </c>
      <c r="I809" s="21" cm="1">
        <f t="array" aca="1" ref="I809" ca="1">INDIRECT("Data!C" &amp; 804)</f>
        <v>0</v>
      </c>
      <c r="J809" cm="1">
        <f t="array" aca="1" ref="J809" ca="1">INDIRECT("Data!D" &amp; 804)</f>
        <v>0</v>
      </c>
      <c r="K809" cm="1">
        <f t="array" aca="1" ref="K809" ca="1">INDIRECT("Data!E" &amp; 804)</f>
        <v>0</v>
      </c>
      <c r="L809" cm="1">
        <f t="array" aca="1" ref="L809" ca="1">INDIRECT("Data!F" &amp; 804)</f>
        <v>0</v>
      </c>
      <c r="M809" cm="1">
        <f t="array" aca="1" ref="M809" ca="1">INDIRECT("Data!G" &amp; 804)</f>
        <v>0</v>
      </c>
      <c r="N809" cm="1">
        <f t="array" aca="1" ref="N809" ca="1">INDIRECT("Data!H" &amp; 804)</f>
        <v>0</v>
      </c>
      <c r="O809" cm="1">
        <f t="array" aca="1" ref="O809" ca="1">INDIRECT("Data!I" &amp; 804)</f>
        <v>0</v>
      </c>
      <c r="P809" s="21" cm="1">
        <f t="array" aca="1" ref="P809" ca="1">INDIRECT("Data!J" &amp; 804)</f>
        <v>0</v>
      </c>
      <c r="Q809" cm="1">
        <f t="array" aca="1" ref="Q809" ca="1">INDIRECT("Data!K" &amp; 804)</f>
        <v>0</v>
      </c>
      <c r="R809" cm="1">
        <f t="array" aca="1" ref="R809" ca="1">INDIRECT("Data!L" &amp; 804)</f>
        <v>0</v>
      </c>
      <c r="S809" cm="1">
        <f t="array" aca="1" ref="S809" ca="1">INDIRECT("Data!M" &amp; 804)</f>
        <v>0</v>
      </c>
      <c r="T809" cm="1">
        <f t="array" aca="1" ref="T809" ca="1">INDIRECT("Data!N" &amp; 804)</f>
        <v>0</v>
      </c>
      <c r="U809" cm="1">
        <f t="array" aca="1" ref="U809" ca="1">INDIRECT("Data!O" &amp; 804)</f>
        <v>0</v>
      </c>
      <c r="V809" cm="1">
        <f t="array" aca="1" ref="V809" ca="1">INDIRECT("Data!P" &amp; 804)</f>
        <v>0</v>
      </c>
    </row>
    <row r="810" spans="7:22" x14ac:dyDescent="0.25">
      <c r="G810" cm="1">
        <f t="array" aca="1" ref="G810" ca="1">INDIRECT("Data!A" &amp; 805)</f>
        <v>0</v>
      </c>
      <c r="H810" s="21" cm="1">
        <f t="array" aca="1" ref="H810" ca="1">INDIRECT("Data!B" &amp; 805)</f>
        <v>0</v>
      </c>
      <c r="I810" s="21" cm="1">
        <f t="array" aca="1" ref="I810" ca="1">INDIRECT("Data!C" &amp; 805)</f>
        <v>0</v>
      </c>
      <c r="J810" cm="1">
        <f t="array" aca="1" ref="J810" ca="1">INDIRECT("Data!D" &amp; 805)</f>
        <v>0</v>
      </c>
      <c r="K810" cm="1">
        <f t="array" aca="1" ref="K810" ca="1">INDIRECT("Data!E" &amp; 805)</f>
        <v>0</v>
      </c>
      <c r="L810" cm="1">
        <f t="array" aca="1" ref="L810" ca="1">INDIRECT("Data!F" &amp; 805)</f>
        <v>0</v>
      </c>
      <c r="M810" cm="1">
        <f t="array" aca="1" ref="M810" ca="1">INDIRECT("Data!G" &amp; 805)</f>
        <v>0</v>
      </c>
      <c r="N810" cm="1">
        <f t="array" aca="1" ref="N810" ca="1">INDIRECT("Data!H" &amp; 805)</f>
        <v>0</v>
      </c>
      <c r="O810" cm="1">
        <f t="array" aca="1" ref="O810" ca="1">INDIRECT("Data!I" &amp; 805)</f>
        <v>0</v>
      </c>
      <c r="P810" s="21" cm="1">
        <f t="array" aca="1" ref="P810" ca="1">INDIRECT("Data!J" &amp; 805)</f>
        <v>0</v>
      </c>
      <c r="Q810" cm="1">
        <f t="array" aca="1" ref="Q810" ca="1">INDIRECT("Data!K" &amp; 805)</f>
        <v>0</v>
      </c>
      <c r="R810" cm="1">
        <f t="array" aca="1" ref="R810" ca="1">INDIRECT("Data!L" &amp; 805)</f>
        <v>0</v>
      </c>
      <c r="S810" cm="1">
        <f t="array" aca="1" ref="S810" ca="1">INDIRECT("Data!M" &amp; 805)</f>
        <v>0</v>
      </c>
      <c r="T810" cm="1">
        <f t="array" aca="1" ref="T810" ca="1">INDIRECT("Data!N" &amp; 805)</f>
        <v>0</v>
      </c>
      <c r="U810" cm="1">
        <f t="array" aca="1" ref="U810" ca="1">INDIRECT("Data!O" &amp; 805)</f>
        <v>0</v>
      </c>
      <c r="V810" cm="1">
        <f t="array" aca="1" ref="V810" ca="1">INDIRECT("Data!P" &amp; 805)</f>
        <v>0</v>
      </c>
    </row>
    <row r="811" spans="7:22" x14ac:dyDescent="0.25">
      <c r="G811" cm="1">
        <f t="array" aca="1" ref="G811" ca="1">INDIRECT("Data!A" &amp; 806)</f>
        <v>0</v>
      </c>
      <c r="H811" s="21" cm="1">
        <f t="array" aca="1" ref="H811" ca="1">INDIRECT("Data!B" &amp; 806)</f>
        <v>0</v>
      </c>
      <c r="I811" s="21" cm="1">
        <f t="array" aca="1" ref="I811" ca="1">INDIRECT("Data!C" &amp; 806)</f>
        <v>0</v>
      </c>
      <c r="J811" cm="1">
        <f t="array" aca="1" ref="J811" ca="1">INDIRECT("Data!D" &amp; 806)</f>
        <v>0</v>
      </c>
      <c r="K811" cm="1">
        <f t="array" aca="1" ref="K811" ca="1">INDIRECT("Data!E" &amp; 806)</f>
        <v>0</v>
      </c>
      <c r="L811" cm="1">
        <f t="array" aca="1" ref="L811" ca="1">INDIRECT("Data!F" &amp; 806)</f>
        <v>0</v>
      </c>
      <c r="M811" cm="1">
        <f t="array" aca="1" ref="M811" ca="1">INDIRECT("Data!G" &amp; 806)</f>
        <v>0</v>
      </c>
      <c r="N811" cm="1">
        <f t="array" aca="1" ref="N811" ca="1">INDIRECT("Data!H" &amp; 806)</f>
        <v>0</v>
      </c>
      <c r="O811" cm="1">
        <f t="array" aca="1" ref="O811" ca="1">INDIRECT("Data!I" &amp; 806)</f>
        <v>0</v>
      </c>
      <c r="P811" s="21" cm="1">
        <f t="array" aca="1" ref="P811" ca="1">INDIRECT("Data!J" &amp; 806)</f>
        <v>0</v>
      </c>
      <c r="Q811" cm="1">
        <f t="array" aca="1" ref="Q811" ca="1">INDIRECT("Data!K" &amp; 806)</f>
        <v>0</v>
      </c>
      <c r="R811" cm="1">
        <f t="array" aca="1" ref="R811" ca="1">INDIRECT("Data!L" &amp; 806)</f>
        <v>0</v>
      </c>
      <c r="S811" cm="1">
        <f t="array" aca="1" ref="S811" ca="1">INDIRECT("Data!M" &amp; 806)</f>
        <v>0</v>
      </c>
      <c r="T811" cm="1">
        <f t="array" aca="1" ref="T811" ca="1">INDIRECT("Data!N" &amp; 806)</f>
        <v>0</v>
      </c>
      <c r="U811" cm="1">
        <f t="array" aca="1" ref="U811" ca="1">INDIRECT("Data!O" &amp; 806)</f>
        <v>0</v>
      </c>
      <c r="V811" cm="1">
        <f t="array" aca="1" ref="V811" ca="1">INDIRECT("Data!P" &amp; 806)</f>
        <v>0</v>
      </c>
    </row>
    <row r="812" spans="7:22" x14ac:dyDescent="0.25">
      <c r="G812" cm="1">
        <f t="array" aca="1" ref="G812" ca="1">INDIRECT("Data!A" &amp; 807)</f>
        <v>0</v>
      </c>
      <c r="H812" s="21" cm="1">
        <f t="array" aca="1" ref="H812" ca="1">INDIRECT("Data!B" &amp; 807)</f>
        <v>0</v>
      </c>
      <c r="I812" s="21" cm="1">
        <f t="array" aca="1" ref="I812" ca="1">INDIRECT("Data!C" &amp; 807)</f>
        <v>0</v>
      </c>
      <c r="J812" cm="1">
        <f t="array" aca="1" ref="J812" ca="1">INDIRECT("Data!D" &amp; 807)</f>
        <v>0</v>
      </c>
      <c r="K812" cm="1">
        <f t="array" aca="1" ref="K812" ca="1">INDIRECT("Data!E" &amp; 807)</f>
        <v>0</v>
      </c>
      <c r="L812" cm="1">
        <f t="array" aca="1" ref="L812" ca="1">INDIRECT("Data!F" &amp; 807)</f>
        <v>0</v>
      </c>
      <c r="M812" cm="1">
        <f t="array" aca="1" ref="M812" ca="1">INDIRECT("Data!G" &amp; 807)</f>
        <v>0</v>
      </c>
      <c r="N812" cm="1">
        <f t="array" aca="1" ref="N812" ca="1">INDIRECT("Data!H" &amp; 807)</f>
        <v>0</v>
      </c>
      <c r="O812" cm="1">
        <f t="array" aca="1" ref="O812" ca="1">INDIRECT("Data!I" &amp; 807)</f>
        <v>0</v>
      </c>
      <c r="P812" s="21" cm="1">
        <f t="array" aca="1" ref="P812" ca="1">INDIRECT("Data!J" &amp; 807)</f>
        <v>0</v>
      </c>
      <c r="Q812" cm="1">
        <f t="array" aca="1" ref="Q812" ca="1">INDIRECT("Data!K" &amp; 807)</f>
        <v>0</v>
      </c>
      <c r="R812" cm="1">
        <f t="array" aca="1" ref="R812" ca="1">INDIRECT("Data!L" &amp; 807)</f>
        <v>0</v>
      </c>
      <c r="S812" cm="1">
        <f t="array" aca="1" ref="S812" ca="1">INDIRECT("Data!M" &amp; 807)</f>
        <v>0</v>
      </c>
      <c r="T812" cm="1">
        <f t="array" aca="1" ref="T812" ca="1">INDIRECT("Data!N" &amp; 807)</f>
        <v>0</v>
      </c>
      <c r="U812" cm="1">
        <f t="array" aca="1" ref="U812" ca="1">INDIRECT("Data!O" &amp; 807)</f>
        <v>0</v>
      </c>
      <c r="V812" cm="1">
        <f t="array" aca="1" ref="V812" ca="1">INDIRECT("Data!P" &amp; 807)</f>
        <v>0</v>
      </c>
    </row>
    <row r="813" spans="7:22" x14ac:dyDescent="0.25">
      <c r="G813" cm="1">
        <f t="array" aca="1" ref="G813" ca="1">INDIRECT("Data!A" &amp; 808)</f>
        <v>0</v>
      </c>
      <c r="H813" s="21" cm="1">
        <f t="array" aca="1" ref="H813" ca="1">INDIRECT("Data!B" &amp; 808)</f>
        <v>0</v>
      </c>
      <c r="I813" s="21" cm="1">
        <f t="array" aca="1" ref="I813" ca="1">INDIRECT("Data!C" &amp; 808)</f>
        <v>0</v>
      </c>
      <c r="J813" cm="1">
        <f t="array" aca="1" ref="J813" ca="1">INDIRECT("Data!D" &amp; 808)</f>
        <v>0</v>
      </c>
      <c r="K813" cm="1">
        <f t="array" aca="1" ref="K813" ca="1">INDIRECT("Data!E" &amp; 808)</f>
        <v>0</v>
      </c>
      <c r="L813" cm="1">
        <f t="array" aca="1" ref="L813" ca="1">INDIRECT("Data!F" &amp; 808)</f>
        <v>0</v>
      </c>
      <c r="M813" cm="1">
        <f t="array" aca="1" ref="M813" ca="1">INDIRECT("Data!G" &amp; 808)</f>
        <v>0</v>
      </c>
      <c r="N813" cm="1">
        <f t="array" aca="1" ref="N813" ca="1">INDIRECT("Data!H" &amp; 808)</f>
        <v>0</v>
      </c>
      <c r="O813" cm="1">
        <f t="array" aca="1" ref="O813" ca="1">INDIRECT("Data!I" &amp; 808)</f>
        <v>0</v>
      </c>
      <c r="P813" s="21" cm="1">
        <f t="array" aca="1" ref="P813" ca="1">INDIRECT("Data!J" &amp; 808)</f>
        <v>0</v>
      </c>
      <c r="Q813" cm="1">
        <f t="array" aca="1" ref="Q813" ca="1">INDIRECT("Data!K" &amp; 808)</f>
        <v>0</v>
      </c>
      <c r="R813" cm="1">
        <f t="array" aca="1" ref="R813" ca="1">INDIRECT("Data!L" &amp; 808)</f>
        <v>0</v>
      </c>
      <c r="S813" cm="1">
        <f t="array" aca="1" ref="S813" ca="1">INDIRECT("Data!M" &amp; 808)</f>
        <v>0</v>
      </c>
      <c r="T813" cm="1">
        <f t="array" aca="1" ref="T813" ca="1">INDIRECT("Data!N" &amp; 808)</f>
        <v>0</v>
      </c>
      <c r="U813" cm="1">
        <f t="array" aca="1" ref="U813" ca="1">INDIRECT("Data!O" &amp; 808)</f>
        <v>0</v>
      </c>
      <c r="V813" cm="1">
        <f t="array" aca="1" ref="V813" ca="1">INDIRECT("Data!P" &amp; 808)</f>
        <v>0</v>
      </c>
    </row>
    <row r="814" spans="7:22" x14ac:dyDescent="0.25">
      <c r="G814" cm="1">
        <f t="array" aca="1" ref="G814" ca="1">INDIRECT("Data!A" &amp; 809)</f>
        <v>0</v>
      </c>
      <c r="H814" s="21" cm="1">
        <f t="array" aca="1" ref="H814" ca="1">INDIRECT("Data!B" &amp; 809)</f>
        <v>0</v>
      </c>
      <c r="I814" s="21" cm="1">
        <f t="array" aca="1" ref="I814" ca="1">INDIRECT("Data!C" &amp; 809)</f>
        <v>0</v>
      </c>
      <c r="J814" cm="1">
        <f t="array" aca="1" ref="J814" ca="1">INDIRECT("Data!D" &amp; 809)</f>
        <v>0</v>
      </c>
      <c r="K814" cm="1">
        <f t="array" aca="1" ref="K814" ca="1">INDIRECT("Data!E" &amp; 809)</f>
        <v>0</v>
      </c>
      <c r="L814" cm="1">
        <f t="array" aca="1" ref="L814" ca="1">INDIRECT("Data!F" &amp; 809)</f>
        <v>0</v>
      </c>
      <c r="M814" cm="1">
        <f t="array" aca="1" ref="M814" ca="1">INDIRECT("Data!G" &amp; 809)</f>
        <v>0</v>
      </c>
      <c r="N814" cm="1">
        <f t="array" aca="1" ref="N814" ca="1">INDIRECT("Data!H" &amp; 809)</f>
        <v>0</v>
      </c>
      <c r="O814" cm="1">
        <f t="array" aca="1" ref="O814" ca="1">INDIRECT("Data!I" &amp; 809)</f>
        <v>0</v>
      </c>
      <c r="P814" s="21" cm="1">
        <f t="array" aca="1" ref="P814" ca="1">INDIRECT("Data!J" &amp; 809)</f>
        <v>0</v>
      </c>
      <c r="Q814" cm="1">
        <f t="array" aca="1" ref="Q814" ca="1">INDIRECT("Data!K" &amp; 809)</f>
        <v>0</v>
      </c>
      <c r="R814" cm="1">
        <f t="array" aca="1" ref="R814" ca="1">INDIRECT("Data!L" &amp; 809)</f>
        <v>0</v>
      </c>
      <c r="S814" cm="1">
        <f t="array" aca="1" ref="S814" ca="1">INDIRECT("Data!M" &amp; 809)</f>
        <v>0</v>
      </c>
      <c r="T814" cm="1">
        <f t="array" aca="1" ref="T814" ca="1">INDIRECT("Data!N" &amp; 809)</f>
        <v>0</v>
      </c>
      <c r="U814" cm="1">
        <f t="array" aca="1" ref="U814" ca="1">INDIRECT("Data!O" &amp; 809)</f>
        <v>0</v>
      </c>
      <c r="V814" cm="1">
        <f t="array" aca="1" ref="V814" ca="1">INDIRECT("Data!P" &amp; 809)</f>
        <v>0</v>
      </c>
    </row>
    <row r="815" spans="7:22" x14ac:dyDescent="0.25">
      <c r="G815" cm="1">
        <f t="array" aca="1" ref="G815" ca="1">INDIRECT("Data!A" &amp; 810)</f>
        <v>0</v>
      </c>
      <c r="H815" s="21" cm="1">
        <f t="array" aca="1" ref="H815" ca="1">INDIRECT("Data!B" &amp; 810)</f>
        <v>0</v>
      </c>
      <c r="I815" s="21" cm="1">
        <f t="array" aca="1" ref="I815" ca="1">INDIRECT("Data!C" &amp; 810)</f>
        <v>0</v>
      </c>
      <c r="J815" cm="1">
        <f t="array" aca="1" ref="J815" ca="1">INDIRECT("Data!D" &amp; 810)</f>
        <v>0</v>
      </c>
      <c r="K815" cm="1">
        <f t="array" aca="1" ref="K815" ca="1">INDIRECT("Data!E" &amp; 810)</f>
        <v>0</v>
      </c>
      <c r="L815" cm="1">
        <f t="array" aca="1" ref="L815" ca="1">INDIRECT("Data!F" &amp; 810)</f>
        <v>0</v>
      </c>
      <c r="M815" cm="1">
        <f t="array" aca="1" ref="M815" ca="1">INDIRECT("Data!G" &amp; 810)</f>
        <v>0</v>
      </c>
      <c r="N815" cm="1">
        <f t="array" aca="1" ref="N815" ca="1">INDIRECT("Data!H" &amp; 810)</f>
        <v>0</v>
      </c>
      <c r="O815" cm="1">
        <f t="array" aca="1" ref="O815" ca="1">INDIRECT("Data!I" &amp; 810)</f>
        <v>0</v>
      </c>
      <c r="P815" s="21" cm="1">
        <f t="array" aca="1" ref="P815" ca="1">INDIRECT("Data!J" &amp; 810)</f>
        <v>0</v>
      </c>
      <c r="Q815" cm="1">
        <f t="array" aca="1" ref="Q815" ca="1">INDIRECT("Data!K" &amp; 810)</f>
        <v>0</v>
      </c>
      <c r="R815" cm="1">
        <f t="array" aca="1" ref="R815" ca="1">INDIRECT("Data!L" &amp; 810)</f>
        <v>0</v>
      </c>
      <c r="S815" cm="1">
        <f t="array" aca="1" ref="S815" ca="1">INDIRECT("Data!M" &amp; 810)</f>
        <v>0</v>
      </c>
      <c r="T815" cm="1">
        <f t="array" aca="1" ref="T815" ca="1">INDIRECT("Data!N" &amp; 810)</f>
        <v>0</v>
      </c>
      <c r="U815" cm="1">
        <f t="array" aca="1" ref="U815" ca="1">INDIRECT("Data!O" &amp; 810)</f>
        <v>0</v>
      </c>
      <c r="V815" cm="1">
        <f t="array" aca="1" ref="V815" ca="1">INDIRECT("Data!P" &amp; 810)</f>
        <v>0</v>
      </c>
    </row>
    <row r="816" spans="7:22" x14ac:dyDescent="0.25">
      <c r="G816" cm="1">
        <f t="array" aca="1" ref="G816" ca="1">INDIRECT("Data!A" &amp; 811)</f>
        <v>0</v>
      </c>
      <c r="H816" s="21" cm="1">
        <f t="array" aca="1" ref="H816" ca="1">INDIRECT("Data!B" &amp; 811)</f>
        <v>0</v>
      </c>
      <c r="I816" s="21" cm="1">
        <f t="array" aca="1" ref="I816" ca="1">INDIRECT("Data!C" &amp; 811)</f>
        <v>0</v>
      </c>
      <c r="J816" cm="1">
        <f t="array" aca="1" ref="J816" ca="1">INDIRECT("Data!D" &amp; 811)</f>
        <v>0</v>
      </c>
      <c r="K816" cm="1">
        <f t="array" aca="1" ref="K816" ca="1">INDIRECT("Data!E" &amp; 811)</f>
        <v>0</v>
      </c>
      <c r="L816" cm="1">
        <f t="array" aca="1" ref="L816" ca="1">INDIRECT("Data!F" &amp; 811)</f>
        <v>0</v>
      </c>
      <c r="M816" cm="1">
        <f t="array" aca="1" ref="M816" ca="1">INDIRECT("Data!G" &amp; 811)</f>
        <v>0</v>
      </c>
      <c r="N816" cm="1">
        <f t="array" aca="1" ref="N816" ca="1">INDIRECT("Data!H" &amp; 811)</f>
        <v>0</v>
      </c>
      <c r="O816" cm="1">
        <f t="array" aca="1" ref="O816" ca="1">INDIRECT("Data!I" &amp; 811)</f>
        <v>0</v>
      </c>
      <c r="P816" s="21" cm="1">
        <f t="array" aca="1" ref="P816" ca="1">INDIRECT("Data!J" &amp; 811)</f>
        <v>0</v>
      </c>
      <c r="Q816" cm="1">
        <f t="array" aca="1" ref="Q816" ca="1">INDIRECT("Data!K" &amp; 811)</f>
        <v>0</v>
      </c>
      <c r="R816" cm="1">
        <f t="array" aca="1" ref="R816" ca="1">INDIRECT("Data!L" &amp; 811)</f>
        <v>0</v>
      </c>
      <c r="S816" cm="1">
        <f t="array" aca="1" ref="S816" ca="1">INDIRECT("Data!M" &amp; 811)</f>
        <v>0</v>
      </c>
      <c r="T816" cm="1">
        <f t="array" aca="1" ref="T816" ca="1">INDIRECT("Data!N" &amp; 811)</f>
        <v>0</v>
      </c>
      <c r="U816" cm="1">
        <f t="array" aca="1" ref="U816" ca="1">INDIRECT("Data!O" &amp; 811)</f>
        <v>0</v>
      </c>
      <c r="V816" cm="1">
        <f t="array" aca="1" ref="V816" ca="1">INDIRECT("Data!P" &amp; 811)</f>
        <v>0</v>
      </c>
    </row>
    <row r="817" spans="7:22" x14ac:dyDescent="0.25">
      <c r="G817" cm="1">
        <f t="array" aca="1" ref="G817" ca="1">INDIRECT("Data!A" &amp; 812)</f>
        <v>0</v>
      </c>
      <c r="H817" s="21" cm="1">
        <f t="array" aca="1" ref="H817" ca="1">INDIRECT("Data!B" &amp; 812)</f>
        <v>0</v>
      </c>
      <c r="I817" s="21" cm="1">
        <f t="array" aca="1" ref="I817" ca="1">INDIRECT("Data!C" &amp; 812)</f>
        <v>0</v>
      </c>
      <c r="J817" cm="1">
        <f t="array" aca="1" ref="J817" ca="1">INDIRECT("Data!D" &amp; 812)</f>
        <v>0</v>
      </c>
      <c r="K817" cm="1">
        <f t="array" aca="1" ref="K817" ca="1">INDIRECT("Data!E" &amp; 812)</f>
        <v>0</v>
      </c>
      <c r="L817" cm="1">
        <f t="array" aca="1" ref="L817" ca="1">INDIRECT("Data!F" &amp; 812)</f>
        <v>0</v>
      </c>
      <c r="M817" cm="1">
        <f t="array" aca="1" ref="M817" ca="1">INDIRECT("Data!G" &amp; 812)</f>
        <v>0</v>
      </c>
      <c r="N817" cm="1">
        <f t="array" aca="1" ref="N817" ca="1">INDIRECT("Data!H" &amp; 812)</f>
        <v>0</v>
      </c>
      <c r="O817" cm="1">
        <f t="array" aca="1" ref="O817" ca="1">INDIRECT("Data!I" &amp; 812)</f>
        <v>0</v>
      </c>
      <c r="P817" s="21" cm="1">
        <f t="array" aca="1" ref="P817" ca="1">INDIRECT("Data!J" &amp; 812)</f>
        <v>0</v>
      </c>
      <c r="Q817" cm="1">
        <f t="array" aca="1" ref="Q817" ca="1">INDIRECT("Data!K" &amp; 812)</f>
        <v>0</v>
      </c>
      <c r="R817" cm="1">
        <f t="array" aca="1" ref="R817" ca="1">INDIRECT("Data!L" &amp; 812)</f>
        <v>0</v>
      </c>
      <c r="S817" cm="1">
        <f t="array" aca="1" ref="S817" ca="1">INDIRECT("Data!M" &amp; 812)</f>
        <v>0</v>
      </c>
      <c r="T817" cm="1">
        <f t="array" aca="1" ref="T817" ca="1">INDIRECT("Data!N" &amp; 812)</f>
        <v>0</v>
      </c>
      <c r="U817" cm="1">
        <f t="array" aca="1" ref="U817" ca="1">INDIRECT("Data!O" &amp; 812)</f>
        <v>0</v>
      </c>
      <c r="V817" cm="1">
        <f t="array" aca="1" ref="V817" ca="1">INDIRECT("Data!P" &amp; 812)</f>
        <v>0</v>
      </c>
    </row>
    <row r="818" spans="7:22" x14ac:dyDescent="0.25">
      <c r="G818" cm="1">
        <f t="array" aca="1" ref="G818" ca="1">INDIRECT("Data!A" &amp; 813)</f>
        <v>0</v>
      </c>
      <c r="H818" s="21" cm="1">
        <f t="array" aca="1" ref="H818" ca="1">INDIRECT("Data!B" &amp; 813)</f>
        <v>0</v>
      </c>
      <c r="I818" s="21" cm="1">
        <f t="array" aca="1" ref="I818" ca="1">INDIRECT("Data!C" &amp; 813)</f>
        <v>0</v>
      </c>
      <c r="J818" cm="1">
        <f t="array" aca="1" ref="J818" ca="1">INDIRECT("Data!D" &amp; 813)</f>
        <v>0</v>
      </c>
      <c r="K818" cm="1">
        <f t="array" aca="1" ref="K818" ca="1">INDIRECT("Data!E" &amp; 813)</f>
        <v>0</v>
      </c>
      <c r="L818" cm="1">
        <f t="array" aca="1" ref="L818" ca="1">INDIRECT("Data!F" &amp; 813)</f>
        <v>0</v>
      </c>
      <c r="M818" cm="1">
        <f t="array" aca="1" ref="M818" ca="1">INDIRECT("Data!G" &amp; 813)</f>
        <v>0</v>
      </c>
      <c r="N818" cm="1">
        <f t="array" aca="1" ref="N818" ca="1">INDIRECT("Data!H" &amp; 813)</f>
        <v>0</v>
      </c>
      <c r="O818" cm="1">
        <f t="array" aca="1" ref="O818" ca="1">INDIRECT("Data!I" &amp; 813)</f>
        <v>0</v>
      </c>
      <c r="P818" s="21" cm="1">
        <f t="array" aca="1" ref="P818" ca="1">INDIRECT("Data!J" &amp; 813)</f>
        <v>0</v>
      </c>
      <c r="Q818" cm="1">
        <f t="array" aca="1" ref="Q818" ca="1">INDIRECT("Data!K" &amp; 813)</f>
        <v>0</v>
      </c>
      <c r="R818" cm="1">
        <f t="array" aca="1" ref="R818" ca="1">INDIRECT("Data!L" &amp; 813)</f>
        <v>0</v>
      </c>
      <c r="S818" cm="1">
        <f t="array" aca="1" ref="S818" ca="1">INDIRECT("Data!M" &amp; 813)</f>
        <v>0</v>
      </c>
      <c r="T818" cm="1">
        <f t="array" aca="1" ref="T818" ca="1">INDIRECT("Data!N" &amp; 813)</f>
        <v>0</v>
      </c>
      <c r="U818" cm="1">
        <f t="array" aca="1" ref="U818" ca="1">INDIRECT("Data!O" &amp; 813)</f>
        <v>0</v>
      </c>
      <c r="V818" cm="1">
        <f t="array" aca="1" ref="V818" ca="1">INDIRECT("Data!P" &amp; 813)</f>
        <v>0</v>
      </c>
    </row>
    <row r="819" spans="7:22" x14ac:dyDescent="0.25">
      <c r="G819" cm="1">
        <f t="array" aca="1" ref="G819" ca="1">INDIRECT("Data!A" &amp; 814)</f>
        <v>0</v>
      </c>
      <c r="H819" s="21" cm="1">
        <f t="array" aca="1" ref="H819" ca="1">INDIRECT("Data!B" &amp; 814)</f>
        <v>0</v>
      </c>
      <c r="I819" s="21" cm="1">
        <f t="array" aca="1" ref="I819" ca="1">INDIRECT("Data!C" &amp; 814)</f>
        <v>0</v>
      </c>
      <c r="J819" cm="1">
        <f t="array" aca="1" ref="J819" ca="1">INDIRECT("Data!D" &amp; 814)</f>
        <v>0</v>
      </c>
      <c r="K819" cm="1">
        <f t="array" aca="1" ref="K819" ca="1">INDIRECT("Data!E" &amp; 814)</f>
        <v>0</v>
      </c>
      <c r="L819" cm="1">
        <f t="array" aca="1" ref="L819" ca="1">INDIRECT("Data!F" &amp; 814)</f>
        <v>0</v>
      </c>
      <c r="M819" cm="1">
        <f t="array" aca="1" ref="M819" ca="1">INDIRECT("Data!G" &amp; 814)</f>
        <v>0</v>
      </c>
      <c r="N819" cm="1">
        <f t="array" aca="1" ref="N819" ca="1">INDIRECT("Data!H" &amp; 814)</f>
        <v>0</v>
      </c>
      <c r="O819" cm="1">
        <f t="array" aca="1" ref="O819" ca="1">INDIRECT("Data!I" &amp; 814)</f>
        <v>0</v>
      </c>
      <c r="P819" s="21" cm="1">
        <f t="array" aca="1" ref="P819" ca="1">INDIRECT("Data!J" &amp; 814)</f>
        <v>0</v>
      </c>
      <c r="Q819" cm="1">
        <f t="array" aca="1" ref="Q819" ca="1">INDIRECT("Data!K" &amp; 814)</f>
        <v>0</v>
      </c>
      <c r="R819" cm="1">
        <f t="array" aca="1" ref="R819" ca="1">INDIRECT("Data!L" &amp; 814)</f>
        <v>0</v>
      </c>
      <c r="S819" cm="1">
        <f t="array" aca="1" ref="S819" ca="1">INDIRECT("Data!M" &amp; 814)</f>
        <v>0</v>
      </c>
      <c r="T819" cm="1">
        <f t="array" aca="1" ref="T819" ca="1">INDIRECT("Data!N" &amp; 814)</f>
        <v>0</v>
      </c>
      <c r="U819" cm="1">
        <f t="array" aca="1" ref="U819" ca="1">INDIRECT("Data!O" &amp; 814)</f>
        <v>0</v>
      </c>
      <c r="V819" cm="1">
        <f t="array" aca="1" ref="V819" ca="1">INDIRECT("Data!P" &amp; 814)</f>
        <v>0</v>
      </c>
    </row>
    <row r="820" spans="7:22" x14ac:dyDescent="0.25">
      <c r="G820" cm="1">
        <f t="array" aca="1" ref="G820" ca="1">INDIRECT("Data!A" &amp; 815)</f>
        <v>0</v>
      </c>
      <c r="H820" s="21" cm="1">
        <f t="array" aca="1" ref="H820" ca="1">INDIRECT("Data!B" &amp; 815)</f>
        <v>0</v>
      </c>
      <c r="I820" s="21" cm="1">
        <f t="array" aca="1" ref="I820" ca="1">INDIRECT("Data!C" &amp; 815)</f>
        <v>0</v>
      </c>
      <c r="J820" cm="1">
        <f t="array" aca="1" ref="J820" ca="1">INDIRECT("Data!D" &amp; 815)</f>
        <v>0</v>
      </c>
      <c r="K820" cm="1">
        <f t="array" aca="1" ref="K820" ca="1">INDIRECT("Data!E" &amp; 815)</f>
        <v>0</v>
      </c>
      <c r="L820" cm="1">
        <f t="array" aca="1" ref="L820" ca="1">INDIRECT("Data!F" &amp; 815)</f>
        <v>0</v>
      </c>
      <c r="M820" cm="1">
        <f t="array" aca="1" ref="M820" ca="1">INDIRECT("Data!G" &amp; 815)</f>
        <v>0</v>
      </c>
      <c r="N820" cm="1">
        <f t="array" aca="1" ref="N820" ca="1">INDIRECT("Data!H" &amp; 815)</f>
        <v>0</v>
      </c>
      <c r="O820" cm="1">
        <f t="array" aca="1" ref="O820" ca="1">INDIRECT("Data!I" &amp; 815)</f>
        <v>0</v>
      </c>
      <c r="P820" s="21" cm="1">
        <f t="array" aca="1" ref="P820" ca="1">INDIRECT("Data!J" &amp; 815)</f>
        <v>0</v>
      </c>
      <c r="Q820" cm="1">
        <f t="array" aca="1" ref="Q820" ca="1">INDIRECT("Data!K" &amp; 815)</f>
        <v>0</v>
      </c>
      <c r="R820" cm="1">
        <f t="array" aca="1" ref="R820" ca="1">INDIRECT("Data!L" &amp; 815)</f>
        <v>0</v>
      </c>
      <c r="S820" cm="1">
        <f t="array" aca="1" ref="S820" ca="1">INDIRECT("Data!M" &amp; 815)</f>
        <v>0</v>
      </c>
      <c r="T820" cm="1">
        <f t="array" aca="1" ref="T820" ca="1">INDIRECT("Data!N" &amp; 815)</f>
        <v>0</v>
      </c>
      <c r="U820" cm="1">
        <f t="array" aca="1" ref="U820" ca="1">INDIRECT("Data!O" &amp; 815)</f>
        <v>0</v>
      </c>
      <c r="V820" cm="1">
        <f t="array" aca="1" ref="V820" ca="1">INDIRECT("Data!P" &amp; 815)</f>
        <v>0</v>
      </c>
    </row>
    <row r="821" spans="7:22" x14ac:dyDescent="0.25">
      <c r="G821" cm="1">
        <f t="array" aca="1" ref="G821" ca="1">INDIRECT("Data!A" &amp; 816)</f>
        <v>0</v>
      </c>
      <c r="H821" s="21" cm="1">
        <f t="array" aca="1" ref="H821" ca="1">INDIRECT("Data!B" &amp; 816)</f>
        <v>0</v>
      </c>
      <c r="I821" s="21" cm="1">
        <f t="array" aca="1" ref="I821" ca="1">INDIRECT("Data!C" &amp; 816)</f>
        <v>0</v>
      </c>
      <c r="J821" cm="1">
        <f t="array" aca="1" ref="J821" ca="1">INDIRECT("Data!D" &amp; 816)</f>
        <v>0</v>
      </c>
      <c r="K821" cm="1">
        <f t="array" aca="1" ref="K821" ca="1">INDIRECT("Data!E" &amp; 816)</f>
        <v>0</v>
      </c>
      <c r="L821" cm="1">
        <f t="array" aca="1" ref="L821" ca="1">INDIRECT("Data!F" &amp; 816)</f>
        <v>0</v>
      </c>
      <c r="M821" cm="1">
        <f t="array" aca="1" ref="M821" ca="1">INDIRECT("Data!G" &amp; 816)</f>
        <v>0</v>
      </c>
      <c r="N821" cm="1">
        <f t="array" aca="1" ref="N821" ca="1">INDIRECT("Data!H" &amp; 816)</f>
        <v>0</v>
      </c>
      <c r="O821" cm="1">
        <f t="array" aca="1" ref="O821" ca="1">INDIRECT("Data!I" &amp; 816)</f>
        <v>0</v>
      </c>
      <c r="P821" s="21" cm="1">
        <f t="array" aca="1" ref="P821" ca="1">INDIRECT("Data!J" &amp; 816)</f>
        <v>0</v>
      </c>
      <c r="Q821" cm="1">
        <f t="array" aca="1" ref="Q821" ca="1">INDIRECT("Data!K" &amp; 816)</f>
        <v>0</v>
      </c>
      <c r="R821" cm="1">
        <f t="array" aca="1" ref="R821" ca="1">INDIRECT("Data!L" &amp; 816)</f>
        <v>0</v>
      </c>
      <c r="S821" cm="1">
        <f t="array" aca="1" ref="S821" ca="1">INDIRECT("Data!M" &amp; 816)</f>
        <v>0</v>
      </c>
      <c r="T821" cm="1">
        <f t="array" aca="1" ref="T821" ca="1">INDIRECT("Data!N" &amp; 816)</f>
        <v>0</v>
      </c>
      <c r="U821" cm="1">
        <f t="array" aca="1" ref="U821" ca="1">INDIRECT("Data!O" &amp; 816)</f>
        <v>0</v>
      </c>
      <c r="V821" cm="1">
        <f t="array" aca="1" ref="V821" ca="1">INDIRECT("Data!P" &amp; 816)</f>
        <v>0</v>
      </c>
    </row>
    <row r="822" spans="7:22" x14ac:dyDescent="0.25">
      <c r="G822" cm="1">
        <f t="array" aca="1" ref="G822" ca="1">INDIRECT("Data!A" &amp; 817)</f>
        <v>0</v>
      </c>
      <c r="H822" s="21" cm="1">
        <f t="array" aca="1" ref="H822" ca="1">INDIRECT("Data!B" &amp; 817)</f>
        <v>0</v>
      </c>
      <c r="I822" s="21" cm="1">
        <f t="array" aca="1" ref="I822" ca="1">INDIRECT("Data!C" &amp; 817)</f>
        <v>0</v>
      </c>
      <c r="J822" cm="1">
        <f t="array" aca="1" ref="J822" ca="1">INDIRECT("Data!D" &amp; 817)</f>
        <v>0</v>
      </c>
      <c r="K822" cm="1">
        <f t="array" aca="1" ref="K822" ca="1">INDIRECT("Data!E" &amp; 817)</f>
        <v>0</v>
      </c>
      <c r="L822" cm="1">
        <f t="array" aca="1" ref="L822" ca="1">INDIRECT("Data!F" &amp; 817)</f>
        <v>0</v>
      </c>
      <c r="M822" cm="1">
        <f t="array" aca="1" ref="M822" ca="1">INDIRECT("Data!G" &amp; 817)</f>
        <v>0</v>
      </c>
      <c r="N822" cm="1">
        <f t="array" aca="1" ref="N822" ca="1">INDIRECT("Data!H" &amp; 817)</f>
        <v>0</v>
      </c>
      <c r="O822" cm="1">
        <f t="array" aca="1" ref="O822" ca="1">INDIRECT("Data!I" &amp; 817)</f>
        <v>0</v>
      </c>
      <c r="P822" s="21" cm="1">
        <f t="array" aca="1" ref="P822" ca="1">INDIRECT("Data!J" &amp; 817)</f>
        <v>0</v>
      </c>
      <c r="Q822" cm="1">
        <f t="array" aca="1" ref="Q822" ca="1">INDIRECT("Data!K" &amp; 817)</f>
        <v>0</v>
      </c>
      <c r="R822" cm="1">
        <f t="array" aca="1" ref="R822" ca="1">INDIRECT("Data!L" &amp; 817)</f>
        <v>0</v>
      </c>
      <c r="S822" cm="1">
        <f t="array" aca="1" ref="S822" ca="1">INDIRECT("Data!M" &amp; 817)</f>
        <v>0</v>
      </c>
      <c r="T822" cm="1">
        <f t="array" aca="1" ref="T822" ca="1">INDIRECT("Data!N" &amp; 817)</f>
        <v>0</v>
      </c>
      <c r="U822" cm="1">
        <f t="array" aca="1" ref="U822" ca="1">INDIRECT("Data!O" &amp; 817)</f>
        <v>0</v>
      </c>
      <c r="V822" cm="1">
        <f t="array" aca="1" ref="V822" ca="1">INDIRECT("Data!P" &amp; 817)</f>
        <v>0</v>
      </c>
    </row>
    <row r="823" spans="7:22" x14ac:dyDescent="0.25">
      <c r="G823" cm="1">
        <f t="array" aca="1" ref="G823" ca="1">INDIRECT("Data!A" &amp; 818)</f>
        <v>0</v>
      </c>
      <c r="H823" s="21" cm="1">
        <f t="array" aca="1" ref="H823" ca="1">INDIRECT("Data!B" &amp; 818)</f>
        <v>0</v>
      </c>
      <c r="I823" s="21" cm="1">
        <f t="array" aca="1" ref="I823" ca="1">INDIRECT("Data!C" &amp; 818)</f>
        <v>0</v>
      </c>
      <c r="J823" cm="1">
        <f t="array" aca="1" ref="J823" ca="1">INDIRECT("Data!D" &amp; 818)</f>
        <v>0</v>
      </c>
      <c r="K823" cm="1">
        <f t="array" aca="1" ref="K823" ca="1">INDIRECT("Data!E" &amp; 818)</f>
        <v>0</v>
      </c>
      <c r="L823" cm="1">
        <f t="array" aca="1" ref="L823" ca="1">INDIRECT("Data!F" &amp; 818)</f>
        <v>0</v>
      </c>
      <c r="M823" cm="1">
        <f t="array" aca="1" ref="M823" ca="1">INDIRECT("Data!G" &amp; 818)</f>
        <v>0</v>
      </c>
      <c r="N823" cm="1">
        <f t="array" aca="1" ref="N823" ca="1">INDIRECT("Data!H" &amp; 818)</f>
        <v>0</v>
      </c>
      <c r="O823" cm="1">
        <f t="array" aca="1" ref="O823" ca="1">INDIRECT("Data!I" &amp; 818)</f>
        <v>0</v>
      </c>
      <c r="P823" s="21" cm="1">
        <f t="array" aca="1" ref="P823" ca="1">INDIRECT("Data!J" &amp; 818)</f>
        <v>0</v>
      </c>
      <c r="Q823" cm="1">
        <f t="array" aca="1" ref="Q823" ca="1">INDIRECT("Data!K" &amp; 818)</f>
        <v>0</v>
      </c>
      <c r="R823" cm="1">
        <f t="array" aca="1" ref="R823" ca="1">INDIRECT("Data!L" &amp; 818)</f>
        <v>0</v>
      </c>
      <c r="S823" cm="1">
        <f t="array" aca="1" ref="S823" ca="1">INDIRECT("Data!M" &amp; 818)</f>
        <v>0</v>
      </c>
      <c r="T823" cm="1">
        <f t="array" aca="1" ref="T823" ca="1">INDIRECT("Data!N" &amp; 818)</f>
        <v>0</v>
      </c>
      <c r="U823" cm="1">
        <f t="array" aca="1" ref="U823" ca="1">INDIRECT("Data!O" &amp; 818)</f>
        <v>0</v>
      </c>
      <c r="V823" cm="1">
        <f t="array" aca="1" ref="V823" ca="1">INDIRECT("Data!P" &amp; 818)</f>
        <v>0</v>
      </c>
    </row>
    <row r="824" spans="7:22" x14ac:dyDescent="0.25">
      <c r="G824" cm="1">
        <f t="array" aca="1" ref="G824" ca="1">INDIRECT("Data!A" &amp; 819)</f>
        <v>0</v>
      </c>
      <c r="H824" s="21" cm="1">
        <f t="array" aca="1" ref="H824" ca="1">INDIRECT("Data!B" &amp; 819)</f>
        <v>0</v>
      </c>
      <c r="I824" s="21" cm="1">
        <f t="array" aca="1" ref="I824" ca="1">INDIRECT("Data!C" &amp; 819)</f>
        <v>0</v>
      </c>
      <c r="J824" cm="1">
        <f t="array" aca="1" ref="J824" ca="1">INDIRECT("Data!D" &amp; 819)</f>
        <v>0</v>
      </c>
      <c r="K824" cm="1">
        <f t="array" aca="1" ref="K824" ca="1">INDIRECT("Data!E" &amp; 819)</f>
        <v>0</v>
      </c>
      <c r="L824" cm="1">
        <f t="array" aca="1" ref="L824" ca="1">INDIRECT("Data!F" &amp; 819)</f>
        <v>0</v>
      </c>
      <c r="M824" cm="1">
        <f t="array" aca="1" ref="M824" ca="1">INDIRECT("Data!G" &amp; 819)</f>
        <v>0</v>
      </c>
      <c r="N824" cm="1">
        <f t="array" aca="1" ref="N824" ca="1">INDIRECT("Data!H" &amp; 819)</f>
        <v>0</v>
      </c>
      <c r="O824" cm="1">
        <f t="array" aca="1" ref="O824" ca="1">INDIRECT("Data!I" &amp; 819)</f>
        <v>0</v>
      </c>
      <c r="P824" s="21" cm="1">
        <f t="array" aca="1" ref="P824" ca="1">INDIRECT("Data!J" &amp; 819)</f>
        <v>0</v>
      </c>
      <c r="Q824" cm="1">
        <f t="array" aca="1" ref="Q824" ca="1">INDIRECT("Data!K" &amp; 819)</f>
        <v>0</v>
      </c>
      <c r="R824" cm="1">
        <f t="array" aca="1" ref="R824" ca="1">INDIRECT("Data!L" &amp; 819)</f>
        <v>0</v>
      </c>
      <c r="S824" cm="1">
        <f t="array" aca="1" ref="S824" ca="1">INDIRECT("Data!M" &amp; 819)</f>
        <v>0</v>
      </c>
      <c r="T824" cm="1">
        <f t="array" aca="1" ref="T824" ca="1">INDIRECT("Data!N" &amp; 819)</f>
        <v>0</v>
      </c>
      <c r="U824" cm="1">
        <f t="array" aca="1" ref="U824" ca="1">INDIRECT("Data!O" &amp; 819)</f>
        <v>0</v>
      </c>
      <c r="V824" cm="1">
        <f t="array" aca="1" ref="V824" ca="1">INDIRECT("Data!P" &amp; 819)</f>
        <v>0</v>
      </c>
    </row>
    <row r="825" spans="7:22" x14ac:dyDescent="0.25">
      <c r="G825" cm="1">
        <f t="array" aca="1" ref="G825" ca="1">INDIRECT("Data!A" &amp; 820)</f>
        <v>0</v>
      </c>
      <c r="H825" s="21" cm="1">
        <f t="array" aca="1" ref="H825" ca="1">INDIRECT("Data!B" &amp; 820)</f>
        <v>0</v>
      </c>
      <c r="I825" s="21" cm="1">
        <f t="array" aca="1" ref="I825" ca="1">INDIRECT("Data!C" &amp; 820)</f>
        <v>0</v>
      </c>
      <c r="J825" cm="1">
        <f t="array" aca="1" ref="J825" ca="1">INDIRECT("Data!D" &amp; 820)</f>
        <v>0</v>
      </c>
      <c r="K825" cm="1">
        <f t="array" aca="1" ref="K825" ca="1">INDIRECT("Data!E" &amp; 820)</f>
        <v>0</v>
      </c>
      <c r="L825" cm="1">
        <f t="array" aca="1" ref="L825" ca="1">INDIRECT("Data!F" &amp; 820)</f>
        <v>0</v>
      </c>
      <c r="M825" cm="1">
        <f t="array" aca="1" ref="M825" ca="1">INDIRECT("Data!G" &amp; 820)</f>
        <v>0</v>
      </c>
      <c r="N825" cm="1">
        <f t="array" aca="1" ref="N825" ca="1">INDIRECT("Data!H" &amp; 820)</f>
        <v>0</v>
      </c>
      <c r="O825" cm="1">
        <f t="array" aca="1" ref="O825" ca="1">INDIRECT("Data!I" &amp; 820)</f>
        <v>0</v>
      </c>
      <c r="P825" s="21" cm="1">
        <f t="array" aca="1" ref="P825" ca="1">INDIRECT("Data!J" &amp; 820)</f>
        <v>0</v>
      </c>
      <c r="Q825" cm="1">
        <f t="array" aca="1" ref="Q825" ca="1">INDIRECT("Data!K" &amp; 820)</f>
        <v>0</v>
      </c>
      <c r="R825" cm="1">
        <f t="array" aca="1" ref="R825" ca="1">INDIRECT("Data!L" &amp; 820)</f>
        <v>0</v>
      </c>
      <c r="S825" cm="1">
        <f t="array" aca="1" ref="S825" ca="1">INDIRECT("Data!M" &amp; 820)</f>
        <v>0</v>
      </c>
      <c r="T825" cm="1">
        <f t="array" aca="1" ref="T825" ca="1">INDIRECT("Data!N" &amp; 820)</f>
        <v>0</v>
      </c>
      <c r="U825" cm="1">
        <f t="array" aca="1" ref="U825" ca="1">INDIRECT("Data!O" &amp; 820)</f>
        <v>0</v>
      </c>
      <c r="V825" cm="1">
        <f t="array" aca="1" ref="V825" ca="1">INDIRECT("Data!P" &amp; 820)</f>
        <v>0</v>
      </c>
    </row>
    <row r="826" spans="7:22" x14ac:dyDescent="0.25">
      <c r="G826" cm="1">
        <f t="array" aca="1" ref="G826" ca="1">INDIRECT("Data!A" &amp; 821)</f>
        <v>0</v>
      </c>
      <c r="H826" s="21" cm="1">
        <f t="array" aca="1" ref="H826" ca="1">INDIRECT("Data!B" &amp; 821)</f>
        <v>0</v>
      </c>
      <c r="I826" s="21" cm="1">
        <f t="array" aca="1" ref="I826" ca="1">INDIRECT("Data!C" &amp; 821)</f>
        <v>0</v>
      </c>
      <c r="J826" cm="1">
        <f t="array" aca="1" ref="J826" ca="1">INDIRECT("Data!D" &amp; 821)</f>
        <v>0</v>
      </c>
      <c r="K826" cm="1">
        <f t="array" aca="1" ref="K826" ca="1">INDIRECT("Data!E" &amp; 821)</f>
        <v>0</v>
      </c>
      <c r="L826" cm="1">
        <f t="array" aca="1" ref="L826" ca="1">INDIRECT("Data!F" &amp; 821)</f>
        <v>0</v>
      </c>
      <c r="M826" cm="1">
        <f t="array" aca="1" ref="M826" ca="1">INDIRECT("Data!G" &amp; 821)</f>
        <v>0</v>
      </c>
      <c r="N826" cm="1">
        <f t="array" aca="1" ref="N826" ca="1">INDIRECT("Data!H" &amp; 821)</f>
        <v>0</v>
      </c>
      <c r="O826" cm="1">
        <f t="array" aca="1" ref="O826" ca="1">INDIRECT("Data!I" &amp; 821)</f>
        <v>0</v>
      </c>
      <c r="P826" s="21" cm="1">
        <f t="array" aca="1" ref="P826" ca="1">INDIRECT("Data!J" &amp; 821)</f>
        <v>0</v>
      </c>
      <c r="Q826" cm="1">
        <f t="array" aca="1" ref="Q826" ca="1">INDIRECT("Data!K" &amp; 821)</f>
        <v>0</v>
      </c>
      <c r="R826" cm="1">
        <f t="array" aca="1" ref="R826" ca="1">INDIRECT("Data!L" &amp; 821)</f>
        <v>0</v>
      </c>
      <c r="S826" cm="1">
        <f t="array" aca="1" ref="S826" ca="1">INDIRECT("Data!M" &amp; 821)</f>
        <v>0</v>
      </c>
      <c r="T826" cm="1">
        <f t="array" aca="1" ref="T826" ca="1">INDIRECT("Data!N" &amp; 821)</f>
        <v>0</v>
      </c>
      <c r="U826" cm="1">
        <f t="array" aca="1" ref="U826" ca="1">INDIRECT("Data!O" &amp; 821)</f>
        <v>0</v>
      </c>
      <c r="V826" cm="1">
        <f t="array" aca="1" ref="V826" ca="1">INDIRECT("Data!P" &amp; 821)</f>
        <v>0</v>
      </c>
    </row>
    <row r="827" spans="7:22" x14ac:dyDescent="0.25">
      <c r="G827" cm="1">
        <f t="array" aca="1" ref="G827" ca="1">INDIRECT("Data!A" &amp; 822)</f>
        <v>0</v>
      </c>
      <c r="H827" s="21" cm="1">
        <f t="array" aca="1" ref="H827" ca="1">INDIRECT("Data!B" &amp; 822)</f>
        <v>0</v>
      </c>
      <c r="I827" s="21" cm="1">
        <f t="array" aca="1" ref="I827" ca="1">INDIRECT("Data!C" &amp; 822)</f>
        <v>0</v>
      </c>
      <c r="J827" cm="1">
        <f t="array" aca="1" ref="J827" ca="1">INDIRECT("Data!D" &amp; 822)</f>
        <v>0</v>
      </c>
      <c r="K827" cm="1">
        <f t="array" aca="1" ref="K827" ca="1">INDIRECT("Data!E" &amp; 822)</f>
        <v>0</v>
      </c>
      <c r="L827" cm="1">
        <f t="array" aca="1" ref="L827" ca="1">INDIRECT("Data!F" &amp; 822)</f>
        <v>0</v>
      </c>
      <c r="M827" cm="1">
        <f t="array" aca="1" ref="M827" ca="1">INDIRECT("Data!G" &amp; 822)</f>
        <v>0</v>
      </c>
      <c r="N827" cm="1">
        <f t="array" aca="1" ref="N827" ca="1">INDIRECT("Data!H" &amp; 822)</f>
        <v>0</v>
      </c>
      <c r="O827" cm="1">
        <f t="array" aca="1" ref="O827" ca="1">INDIRECT("Data!I" &amp; 822)</f>
        <v>0</v>
      </c>
      <c r="P827" s="21" cm="1">
        <f t="array" aca="1" ref="P827" ca="1">INDIRECT("Data!J" &amp; 822)</f>
        <v>0</v>
      </c>
      <c r="Q827" cm="1">
        <f t="array" aca="1" ref="Q827" ca="1">INDIRECT("Data!K" &amp; 822)</f>
        <v>0</v>
      </c>
      <c r="R827" cm="1">
        <f t="array" aca="1" ref="R827" ca="1">INDIRECT("Data!L" &amp; 822)</f>
        <v>0</v>
      </c>
      <c r="S827" cm="1">
        <f t="array" aca="1" ref="S827" ca="1">INDIRECT("Data!M" &amp; 822)</f>
        <v>0</v>
      </c>
      <c r="T827" cm="1">
        <f t="array" aca="1" ref="T827" ca="1">INDIRECT("Data!N" &amp; 822)</f>
        <v>0</v>
      </c>
      <c r="U827" cm="1">
        <f t="array" aca="1" ref="U827" ca="1">INDIRECT("Data!O" &amp; 822)</f>
        <v>0</v>
      </c>
      <c r="V827" cm="1">
        <f t="array" aca="1" ref="V827" ca="1">INDIRECT("Data!P" &amp; 822)</f>
        <v>0</v>
      </c>
    </row>
    <row r="828" spans="7:22" x14ac:dyDescent="0.25">
      <c r="G828" cm="1">
        <f t="array" aca="1" ref="G828" ca="1">INDIRECT("Data!A" &amp; 823)</f>
        <v>0</v>
      </c>
      <c r="H828" s="21" cm="1">
        <f t="array" aca="1" ref="H828" ca="1">INDIRECT("Data!B" &amp; 823)</f>
        <v>0</v>
      </c>
      <c r="I828" s="21" cm="1">
        <f t="array" aca="1" ref="I828" ca="1">INDIRECT("Data!C" &amp; 823)</f>
        <v>0</v>
      </c>
      <c r="J828" cm="1">
        <f t="array" aca="1" ref="J828" ca="1">INDIRECT("Data!D" &amp; 823)</f>
        <v>0</v>
      </c>
      <c r="K828" cm="1">
        <f t="array" aca="1" ref="K828" ca="1">INDIRECT("Data!E" &amp; 823)</f>
        <v>0</v>
      </c>
      <c r="L828" cm="1">
        <f t="array" aca="1" ref="L828" ca="1">INDIRECT("Data!F" &amp; 823)</f>
        <v>0</v>
      </c>
      <c r="M828" cm="1">
        <f t="array" aca="1" ref="M828" ca="1">INDIRECT("Data!G" &amp; 823)</f>
        <v>0</v>
      </c>
      <c r="N828" cm="1">
        <f t="array" aca="1" ref="N828" ca="1">INDIRECT("Data!H" &amp; 823)</f>
        <v>0</v>
      </c>
      <c r="O828" cm="1">
        <f t="array" aca="1" ref="O828" ca="1">INDIRECT("Data!I" &amp; 823)</f>
        <v>0</v>
      </c>
      <c r="P828" s="21" cm="1">
        <f t="array" aca="1" ref="P828" ca="1">INDIRECT("Data!J" &amp; 823)</f>
        <v>0</v>
      </c>
      <c r="Q828" cm="1">
        <f t="array" aca="1" ref="Q828" ca="1">INDIRECT("Data!K" &amp; 823)</f>
        <v>0</v>
      </c>
      <c r="R828" cm="1">
        <f t="array" aca="1" ref="R828" ca="1">INDIRECT("Data!L" &amp; 823)</f>
        <v>0</v>
      </c>
      <c r="S828" cm="1">
        <f t="array" aca="1" ref="S828" ca="1">INDIRECT("Data!M" &amp; 823)</f>
        <v>0</v>
      </c>
      <c r="T828" cm="1">
        <f t="array" aca="1" ref="T828" ca="1">INDIRECT("Data!N" &amp; 823)</f>
        <v>0</v>
      </c>
      <c r="U828" cm="1">
        <f t="array" aca="1" ref="U828" ca="1">INDIRECT("Data!O" &amp; 823)</f>
        <v>0</v>
      </c>
      <c r="V828" cm="1">
        <f t="array" aca="1" ref="V828" ca="1">INDIRECT("Data!P" &amp; 823)</f>
        <v>0</v>
      </c>
    </row>
    <row r="829" spans="7:22" x14ac:dyDescent="0.25">
      <c r="G829" cm="1">
        <f t="array" aca="1" ref="G829" ca="1">INDIRECT("Data!A" &amp; 824)</f>
        <v>0</v>
      </c>
      <c r="H829" s="21" cm="1">
        <f t="array" aca="1" ref="H829" ca="1">INDIRECT("Data!B" &amp; 824)</f>
        <v>0</v>
      </c>
      <c r="I829" s="21" cm="1">
        <f t="array" aca="1" ref="I829" ca="1">INDIRECT("Data!C" &amp; 824)</f>
        <v>0</v>
      </c>
      <c r="J829" cm="1">
        <f t="array" aca="1" ref="J829" ca="1">INDIRECT("Data!D" &amp; 824)</f>
        <v>0</v>
      </c>
      <c r="K829" cm="1">
        <f t="array" aca="1" ref="K829" ca="1">INDIRECT("Data!E" &amp; 824)</f>
        <v>0</v>
      </c>
      <c r="L829" cm="1">
        <f t="array" aca="1" ref="L829" ca="1">INDIRECT("Data!F" &amp; 824)</f>
        <v>0</v>
      </c>
      <c r="M829" cm="1">
        <f t="array" aca="1" ref="M829" ca="1">INDIRECT("Data!G" &amp; 824)</f>
        <v>0</v>
      </c>
      <c r="N829" cm="1">
        <f t="array" aca="1" ref="N829" ca="1">INDIRECT("Data!H" &amp; 824)</f>
        <v>0</v>
      </c>
      <c r="O829" cm="1">
        <f t="array" aca="1" ref="O829" ca="1">INDIRECT("Data!I" &amp; 824)</f>
        <v>0</v>
      </c>
      <c r="P829" s="21" cm="1">
        <f t="array" aca="1" ref="P829" ca="1">INDIRECT("Data!J" &amp; 824)</f>
        <v>0</v>
      </c>
      <c r="Q829" cm="1">
        <f t="array" aca="1" ref="Q829" ca="1">INDIRECT("Data!K" &amp; 824)</f>
        <v>0</v>
      </c>
      <c r="R829" cm="1">
        <f t="array" aca="1" ref="R829" ca="1">INDIRECT("Data!L" &amp; 824)</f>
        <v>0</v>
      </c>
      <c r="S829" cm="1">
        <f t="array" aca="1" ref="S829" ca="1">INDIRECT("Data!M" &amp; 824)</f>
        <v>0</v>
      </c>
      <c r="T829" cm="1">
        <f t="array" aca="1" ref="T829" ca="1">INDIRECT("Data!N" &amp; 824)</f>
        <v>0</v>
      </c>
      <c r="U829" cm="1">
        <f t="array" aca="1" ref="U829" ca="1">INDIRECT("Data!O" &amp; 824)</f>
        <v>0</v>
      </c>
      <c r="V829" cm="1">
        <f t="array" aca="1" ref="V829" ca="1">INDIRECT("Data!P" &amp; 824)</f>
        <v>0</v>
      </c>
    </row>
    <row r="830" spans="7:22" x14ac:dyDescent="0.25">
      <c r="G830" cm="1">
        <f t="array" aca="1" ref="G830" ca="1">INDIRECT("Data!A" &amp; 825)</f>
        <v>0</v>
      </c>
      <c r="H830" s="21" cm="1">
        <f t="array" aca="1" ref="H830" ca="1">INDIRECT("Data!B" &amp; 825)</f>
        <v>0</v>
      </c>
      <c r="I830" s="21" cm="1">
        <f t="array" aca="1" ref="I830" ca="1">INDIRECT("Data!C" &amp; 825)</f>
        <v>0</v>
      </c>
      <c r="J830" cm="1">
        <f t="array" aca="1" ref="J830" ca="1">INDIRECT("Data!D" &amp; 825)</f>
        <v>0</v>
      </c>
      <c r="K830" cm="1">
        <f t="array" aca="1" ref="K830" ca="1">INDIRECT("Data!E" &amp; 825)</f>
        <v>0</v>
      </c>
      <c r="L830" cm="1">
        <f t="array" aca="1" ref="L830" ca="1">INDIRECT("Data!F" &amp; 825)</f>
        <v>0</v>
      </c>
      <c r="M830" cm="1">
        <f t="array" aca="1" ref="M830" ca="1">INDIRECT("Data!G" &amp; 825)</f>
        <v>0</v>
      </c>
      <c r="N830" cm="1">
        <f t="array" aca="1" ref="N830" ca="1">INDIRECT("Data!H" &amp; 825)</f>
        <v>0</v>
      </c>
      <c r="O830" cm="1">
        <f t="array" aca="1" ref="O830" ca="1">INDIRECT("Data!I" &amp; 825)</f>
        <v>0</v>
      </c>
      <c r="P830" s="21" cm="1">
        <f t="array" aca="1" ref="P830" ca="1">INDIRECT("Data!J" &amp; 825)</f>
        <v>0</v>
      </c>
      <c r="Q830" cm="1">
        <f t="array" aca="1" ref="Q830" ca="1">INDIRECT("Data!K" &amp; 825)</f>
        <v>0</v>
      </c>
      <c r="R830" cm="1">
        <f t="array" aca="1" ref="R830" ca="1">INDIRECT("Data!L" &amp; 825)</f>
        <v>0</v>
      </c>
      <c r="S830" cm="1">
        <f t="array" aca="1" ref="S830" ca="1">INDIRECT("Data!M" &amp; 825)</f>
        <v>0</v>
      </c>
      <c r="T830" cm="1">
        <f t="array" aca="1" ref="T830" ca="1">INDIRECT("Data!N" &amp; 825)</f>
        <v>0</v>
      </c>
      <c r="U830" cm="1">
        <f t="array" aca="1" ref="U830" ca="1">INDIRECT("Data!O" &amp; 825)</f>
        <v>0</v>
      </c>
      <c r="V830" cm="1">
        <f t="array" aca="1" ref="V830" ca="1">INDIRECT("Data!P" &amp; 825)</f>
        <v>0</v>
      </c>
    </row>
    <row r="831" spans="7:22" x14ac:dyDescent="0.25">
      <c r="G831" cm="1">
        <f t="array" aca="1" ref="G831" ca="1">INDIRECT("Data!A" &amp; 826)</f>
        <v>0</v>
      </c>
      <c r="H831" s="21" cm="1">
        <f t="array" aca="1" ref="H831" ca="1">INDIRECT("Data!B" &amp; 826)</f>
        <v>0</v>
      </c>
      <c r="I831" s="21" cm="1">
        <f t="array" aca="1" ref="I831" ca="1">INDIRECT("Data!C" &amp; 826)</f>
        <v>0</v>
      </c>
      <c r="J831" cm="1">
        <f t="array" aca="1" ref="J831" ca="1">INDIRECT("Data!D" &amp; 826)</f>
        <v>0</v>
      </c>
      <c r="K831" cm="1">
        <f t="array" aca="1" ref="K831" ca="1">INDIRECT("Data!E" &amp; 826)</f>
        <v>0</v>
      </c>
      <c r="L831" cm="1">
        <f t="array" aca="1" ref="L831" ca="1">INDIRECT("Data!F" &amp; 826)</f>
        <v>0</v>
      </c>
      <c r="M831" cm="1">
        <f t="array" aca="1" ref="M831" ca="1">INDIRECT("Data!G" &amp; 826)</f>
        <v>0</v>
      </c>
      <c r="N831" cm="1">
        <f t="array" aca="1" ref="N831" ca="1">INDIRECT("Data!H" &amp; 826)</f>
        <v>0</v>
      </c>
      <c r="O831" cm="1">
        <f t="array" aca="1" ref="O831" ca="1">INDIRECT("Data!I" &amp; 826)</f>
        <v>0</v>
      </c>
      <c r="P831" s="21" cm="1">
        <f t="array" aca="1" ref="P831" ca="1">INDIRECT("Data!J" &amp; 826)</f>
        <v>0</v>
      </c>
      <c r="Q831" cm="1">
        <f t="array" aca="1" ref="Q831" ca="1">INDIRECT("Data!K" &amp; 826)</f>
        <v>0</v>
      </c>
      <c r="R831" cm="1">
        <f t="array" aca="1" ref="R831" ca="1">INDIRECT("Data!L" &amp; 826)</f>
        <v>0</v>
      </c>
      <c r="S831" cm="1">
        <f t="array" aca="1" ref="S831" ca="1">INDIRECT("Data!M" &amp; 826)</f>
        <v>0</v>
      </c>
      <c r="T831" cm="1">
        <f t="array" aca="1" ref="T831" ca="1">INDIRECT("Data!N" &amp; 826)</f>
        <v>0</v>
      </c>
      <c r="U831" cm="1">
        <f t="array" aca="1" ref="U831" ca="1">INDIRECT("Data!O" &amp; 826)</f>
        <v>0</v>
      </c>
      <c r="V831" cm="1">
        <f t="array" aca="1" ref="V831" ca="1">INDIRECT("Data!P" &amp; 826)</f>
        <v>0</v>
      </c>
    </row>
    <row r="832" spans="7:22" x14ac:dyDescent="0.25">
      <c r="G832" cm="1">
        <f t="array" aca="1" ref="G832" ca="1">INDIRECT("Data!A" &amp; 827)</f>
        <v>0</v>
      </c>
      <c r="H832" s="21" cm="1">
        <f t="array" aca="1" ref="H832" ca="1">INDIRECT("Data!B" &amp; 827)</f>
        <v>0</v>
      </c>
      <c r="I832" s="21" cm="1">
        <f t="array" aca="1" ref="I832" ca="1">INDIRECT("Data!C" &amp; 827)</f>
        <v>0</v>
      </c>
      <c r="J832" cm="1">
        <f t="array" aca="1" ref="J832" ca="1">INDIRECT("Data!D" &amp; 827)</f>
        <v>0</v>
      </c>
      <c r="K832" cm="1">
        <f t="array" aca="1" ref="K832" ca="1">INDIRECT("Data!E" &amp; 827)</f>
        <v>0</v>
      </c>
      <c r="L832" cm="1">
        <f t="array" aca="1" ref="L832" ca="1">INDIRECT("Data!F" &amp; 827)</f>
        <v>0</v>
      </c>
      <c r="M832" cm="1">
        <f t="array" aca="1" ref="M832" ca="1">INDIRECT("Data!G" &amp; 827)</f>
        <v>0</v>
      </c>
      <c r="N832" cm="1">
        <f t="array" aca="1" ref="N832" ca="1">INDIRECT("Data!H" &amp; 827)</f>
        <v>0</v>
      </c>
      <c r="O832" cm="1">
        <f t="array" aca="1" ref="O832" ca="1">INDIRECT("Data!I" &amp; 827)</f>
        <v>0</v>
      </c>
      <c r="P832" s="21" cm="1">
        <f t="array" aca="1" ref="P832" ca="1">INDIRECT("Data!J" &amp; 827)</f>
        <v>0</v>
      </c>
      <c r="Q832" cm="1">
        <f t="array" aca="1" ref="Q832" ca="1">INDIRECT("Data!K" &amp; 827)</f>
        <v>0</v>
      </c>
      <c r="R832" cm="1">
        <f t="array" aca="1" ref="R832" ca="1">INDIRECT("Data!L" &amp; 827)</f>
        <v>0</v>
      </c>
      <c r="S832" cm="1">
        <f t="array" aca="1" ref="S832" ca="1">INDIRECT("Data!M" &amp; 827)</f>
        <v>0</v>
      </c>
      <c r="T832" cm="1">
        <f t="array" aca="1" ref="T832" ca="1">INDIRECT("Data!N" &amp; 827)</f>
        <v>0</v>
      </c>
      <c r="U832" cm="1">
        <f t="array" aca="1" ref="U832" ca="1">INDIRECT("Data!O" &amp; 827)</f>
        <v>0</v>
      </c>
      <c r="V832" cm="1">
        <f t="array" aca="1" ref="V832" ca="1">INDIRECT("Data!P" &amp; 827)</f>
        <v>0</v>
      </c>
    </row>
    <row r="833" spans="7:22" x14ac:dyDescent="0.25">
      <c r="G833" cm="1">
        <f t="array" aca="1" ref="G833" ca="1">INDIRECT("Data!A" &amp; 828)</f>
        <v>0</v>
      </c>
      <c r="H833" s="21" cm="1">
        <f t="array" aca="1" ref="H833" ca="1">INDIRECT("Data!B" &amp; 828)</f>
        <v>0</v>
      </c>
      <c r="I833" s="21" cm="1">
        <f t="array" aca="1" ref="I833" ca="1">INDIRECT("Data!C" &amp; 828)</f>
        <v>0</v>
      </c>
      <c r="J833" cm="1">
        <f t="array" aca="1" ref="J833" ca="1">INDIRECT("Data!D" &amp; 828)</f>
        <v>0</v>
      </c>
      <c r="K833" cm="1">
        <f t="array" aca="1" ref="K833" ca="1">INDIRECT("Data!E" &amp; 828)</f>
        <v>0</v>
      </c>
      <c r="L833" cm="1">
        <f t="array" aca="1" ref="L833" ca="1">INDIRECT("Data!F" &amp; 828)</f>
        <v>0</v>
      </c>
      <c r="M833" cm="1">
        <f t="array" aca="1" ref="M833" ca="1">INDIRECT("Data!G" &amp; 828)</f>
        <v>0</v>
      </c>
      <c r="N833" cm="1">
        <f t="array" aca="1" ref="N833" ca="1">INDIRECT("Data!H" &amp; 828)</f>
        <v>0</v>
      </c>
      <c r="O833" cm="1">
        <f t="array" aca="1" ref="O833" ca="1">INDIRECT("Data!I" &amp; 828)</f>
        <v>0</v>
      </c>
      <c r="P833" s="21" cm="1">
        <f t="array" aca="1" ref="P833" ca="1">INDIRECT("Data!J" &amp; 828)</f>
        <v>0</v>
      </c>
      <c r="Q833" cm="1">
        <f t="array" aca="1" ref="Q833" ca="1">INDIRECT("Data!K" &amp; 828)</f>
        <v>0</v>
      </c>
      <c r="R833" cm="1">
        <f t="array" aca="1" ref="R833" ca="1">INDIRECT("Data!L" &amp; 828)</f>
        <v>0</v>
      </c>
      <c r="S833" cm="1">
        <f t="array" aca="1" ref="S833" ca="1">INDIRECT("Data!M" &amp; 828)</f>
        <v>0</v>
      </c>
      <c r="T833" cm="1">
        <f t="array" aca="1" ref="T833" ca="1">INDIRECT("Data!N" &amp; 828)</f>
        <v>0</v>
      </c>
      <c r="U833" cm="1">
        <f t="array" aca="1" ref="U833" ca="1">INDIRECT("Data!O" &amp; 828)</f>
        <v>0</v>
      </c>
      <c r="V833" cm="1">
        <f t="array" aca="1" ref="V833" ca="1">INDIRECT("Data!P" &amp; 828)</f>
        <v>0</v>
      </c>
    </row>
    <row r="834" spans="7:22" x14ac:dyDescent="0.25">
      <c r="G834" cm="1">
        <f t="array" aca="1" ref="G834" ca="1">INDIRECT("Data!A" &amp; 829)</f>
        <v>0</v>
      </c>
      <c r="H834" s="21" cm="1">
        <f t="array" aca="1" ref="H834" ca="1">INDIRECT("Data!B" &amp; 829)</f>
        <v>0</v>
      </c>
      <c r="I834" s="21" cm="1">
        <f t="array" aca="1" ref="I834" ca="1">INDIRECT("Data!C" &amp; 829)</f>
        <v>0</v>
      </c>
      <c r="J834" cm="1">
        <f t="array" aca="1" ref="J834" ca="1">INDIRECT("Data!D" &amp; 829)</f>
        <v>0</v>
      </c>
      <c r="K834" cm="1">
        <f t="array" aca="1" ref="K834" ca="1">INDIRECT("Data!E" &amp; 829)</f>
        <v>0</v>
      </c>
      <c r="L834" cm="1">
        <f t="array" aca="1" ref="L834" ca="1">INDIRECT("Data!F" &amp; 829)</f>
        <v>0</v>
      </c>
      <c r="M834" cm="1">
        <f t="array" aca="1" ref="M834" ca="1">INDIRECT("Data!G" &amp; 829)</f>
        <v>0</v>
      </c>
      <c r="N834" cm="1">
        <f t="array" aca="1" ref="N834" ca="1">INDIRECT("Data!H" &amp; 829)</f>
        <v>0</v>
      </c>
      <c r="O834" cm="1">
        <f t="array" aca="1" ref="O834" ca="1">INDIRECT("Data!I" &amp; 829)</f>
        <v>0</v>
      </c>
      <c r="P834" s="21" cm="1">
        <f t="array" aca="1" ref="P834" ca="1">INDIRECT("Data!J" &amp; 829)</f>
        <v>0</v>
      </c>
      <c r="Q834" cm="1">
        <f t="array" aca="1" ref="Q834" ca="1">INDIRECT("Data!K" &amp; 829)</f>
        <v>0</v>
      </c>
      <c r="R834" cm="1">
        <f t="array" aca="1" ref="R834" ca="1">INDIRECT("Data!L" &amp; 829)</f>
        <v>0</v>
      </c>
      <c r="S834" cm="1">
        <f t="array" aca="1" ref="S834" ca="1">INDIRECT("Data!M" &amp; 829)</f>
        <v>0</v>
      </c>
      <c r="T834" cm="1">
        <f t="array" aca="1" ref="T834" ca="1">INDIRECT("Data!N" &amp; 829)</f>
        <v>0</v>
      </c>
      <c r="U834" cm="1">
        <f t="array" aca="1" ref="U834" ca="1">INDIRECT("Data!O" &amp; 829)</f>
        <v>0</v>
      </c>
      <c r="V834" cm="1">
        <f t="array" aca="1" ref="V834" ca="1">INDIRECT("Data!P" &amp; 829)</f>
        <v>0</v>
      </c>
    </row>
    <row r="835" spans="7:22" x14ac:dyDescent="0.25">
      <c r="G835" cm="1">
        <f t="array" aca="1" ref="G835" ca="1">INDIRECT("Data!A" &amp; 830)</f>
        <v>0</v>
      </c>
      <c r="H835" s="21" cm="1">
        <f t="array" aca="1" ref="H835" ca="1">INDIRECT("Data!B" &amp; 830)</f>
        <v>0</v>
      </c>
      <c r="I835" s="21" cm="1">
        <f t="array" aca="1" ref="I835" ca="1">INDIRECT("Data!C" &amp; 830)</f>
        <v>0</v>
      </c>
      <c r="J835" cm="1">
        <f t="array" aca="1" ref="J835" ca="1">INDIRECT("Data!D" &amp; 830)</f>
        <v>0</v>
      </c>
      <c r="K835" cm="1">
        <f t="array" aca="1" ref="K835" ca="1">INDIRECT("Data!E" &amp; 830)</f>
        <v>0</v>
      </c>
      <c r="L835" cm="1">
        <f t="array" aca="1" ref="L835" ca="1">INDIRECT("Data!F" &amp; 830)</f>
        <v>0</v>
      </c>
      <c r="M835" cm="1">
        <f t="array" aca="1" ref="M835" ca="1">INDIRECT("Data!G" &amp; 830)</f>
        <v>0</v>
      </c>
      <c r="N835" cm="1">
        <f t="array" aca="1" ref="N835" ca="1">INDIRECT("Data!H" &amp; 830)</f>
        <v>0</v>
      </c>
      <c r="O835" cm="1">
        <f t="array" aca="1" ref="O835" ca="1">INDIRECT("Data!I" &amp; 830)</f>
        <v>0</v>
      </c>
      <c r="P835" s="21" cm="1">
        <f t="array" aca="1" ref="P835" ca="1">INDIRECT("Data!J" &amp; 830)</f>
        <v>0</v>
      </c>
      <c r="Q835" cm="1">
        <f t="array" aca="1" ref="Q835" ca="1">INDIRECT("Data!K" &amp; 830)</f>
        <v>0</v>
      </c>
      <c r="R835" cm="1">
        <f t="array" aca="1" ref="R835" ca="1">INDIRECT("Data!L" &amp; 830)</f>
        <v>0</v>
      </c>
      <c r="S835" cm="1">
        <f t="array" aca="1" ref="S835" ca="1">INDIRECT("Data!M" &amp; 830)</f>
        <v>0</v>
      </c>
      <c r="T835" cm="1">
        <f t="array" aca="1" ref="T835" ca="1">INDIRECT("Data!N" &amp; 830)</f>
        <v>0</v>
      </c>
      <c r="U835" cm="1">
        <f t="array" aca="1" ref="U835" ca="1">INDIRECT("Data!O" &amp; 830)</f>
        <v>0</v>
      </c>
      <c r="V835" cm="1">
        <f t="array" aca="1" ref="V835" ca="1">INDIRECT("Data!P" &amp; 830)</f>
        <v>0</v>
      </c>
    </row>
    <row r="836" spans="7:22" x14ac:dyDescent="0.25">
      <c r="G836" cm="1">
        <f t="array" aca="1" ref="G836" ca="1">INDIRECT("Data!A" &amp; 831)</f>
        <v>0</v>
      </c>
      <c r="H836" s="21" cm="1">
        <f t="array" aca="1" ref="H836" ca="1">INDIRECT("Data!B" &amp; 831)</f>
        <v>0</v>
      </c>
      <c r="I836" s="21" cm="1">
        <f t="array" aca="1" ref="I836" ca="1">INDIRECT("Data!C" &amp; 831)</f>
        <v>0</v>
      </c>
      <c r="J836" cm="1">
        <f t="array" aca="1" ref="J836" ca="1">INDIRECT("Data!D" &amp; 831)</f>
        <v>0</v>
      </c>
      <c r="K836" cm="1">
        <f t="array" aca="1" ref="K836" ca="1">INDIRECT("Data!E" &amp; 831)</f>
        <v>0</v>
      </c>
      <c r="L836" cm="1">
        <f t="array" aca="1" ref="L836" ca="1">INDIRECT("Data!F" &amp; 831)</f>
        <v>0</v>
      </c>
      <c r="M836" cm="1">
        <f t="array" aca="1" ref="M836" ca="1">INDIRECT("Data!G" &amp; 831)</f>
        <v>0</v>
      </c>
      <c r="N836" cm="1">
        <f t="array" aca="1" ref="N836" ca="1">INDIRECT("Data!H" &amp; 831)</f>
        <v>0</v>
      </c>
      <c r="O836" cm="1">
        <f t="array" aca="1" ref="O836" ca="1">INDIRECT("Data!I" &amp; 831)</f>
        <v>0</v>
      </c>
      <c r="P836" s="21" cm="1">
        <f t="array" aca="1" ref="P836" ca="1">INDIRECT("Data!J" &amp; 831)</f>
        <v>0</v>
      </c>
      <c r="Q836" cm="1">
        <f t="array" aca="1" ref="Q836" ca="1">INDIRECT("Data!K" &amp; 831)</f>
        <v>0</v>
      </c>
      <c r="R836" cm="1">
        <f t="array" aca="1" ref="R836" ca="1">INDIRECT("Data!L" &amp; 831)</f>
        <v>0</v>
      </c>
      <c r="S836" cm="1">
        <f t="array" aca="1" ref="S836" ca="1">INDIRECT("Data!M" &amp; 831)</f>
        <v>0</v>
      </c>
      <c r="T836" cm="1">
        <f t="array" aca="1" ref="T836" ca="1">INDIRECT("Data!N" &amp; 831)</f>
        <v>0</v>
      </c>
      <c r="U836" cm="1">
        <f t="array" aca="1" ref="U836" ca="1">INDIRECT("Data!O" &amp; 831)</f>
        <v>0</v>
      </c>
      <c r="V836" cm="1">
        <f t="array" aca="1" ref="V836" ca="1">INDIRECT("Data!P" &amp; 831)</f>
        <v>0</v>
      </c>
    </row>
    <row r="837" spans="7:22" x14ac:dyDescent="0.25">
      <c r="G837" cm="1">
        <f t="array" aca="1" ref="G837" ca="1">INDIRECT("Data!A" &amp; 832)</f>
        <v>0</v>
      </c>
      <c r="H837" s="21" cm="1">
        <f t="array" aca="1" ref="H837" ca="1">INDIRECT("Data!B" &amp; 832)</f>
        <v>0</v>
      </c>
      <c r="I837" s="21" cm="1">
        <f t="array" aca="1" ref="I837" ca="1">INDIRECT("Data!C" &amp; 832)</f>
        <v>0</v>
      </c>
      <c r="J837" cm="1">
        <f t="array" aca="1" ref="J837" ca="1">INDIRECT("Data!D" &amp; 832)</f>
        <v>0</v>
      </c>
      <c r="K837" cm="1">
        <f t="array" aca="1" ref="K837" ca="1">INDIRECT("Data!E" &amp; 832)</f>
        <v>0</v>
      </c>
      <c r="L837" cm="1">
        <f t="array" aca="1" ref="L837" ca="1">INDIRECT("Data!F" &amp; 832)</f>
        <v>0</v>
      </c>
      <c r="M837" cm="1">
        <f t="array" aca="1" ref="M837" ca="1">INDIRECT("Data!G" &amp; 832)</f>
        <v>0</v>
      </c>
      <c r="N837" cm="1">
        <f t="array" aca="1" ref="N837" ca="1">INDIRECT("Data!H" &amp; 832)</f>
        <v>0</v>
      </c>
      <c r="O837" cm="1">
        <f t="array" aca="1" ref="O837" ca="1">INDIRECT("Data!I" &amp; 832)</f>
        <v>0</v>
      </c>
      <c r="P837" s="21" cm="1">
        <f t="array" aca="1" ref="P837" ca="1">INDIRECT("Data!J" &amp; 832)</f>
        <v>0</v>
      </c>
      <c r="Q837" cm="1">
        <f t="array" aca="1" ref="Q837" ca="1">INDIRECT("Data!K" &amp; 832)</f>
        <v>0</v>
      </c>
      <c r="R837" cm="1">
        <f t="array" aca="1" ref="R837" ca="1">INDIRECT("Data!L" &amp; 832)</f>
        <v>0</v>
      </c>
      <c r="S837" cm="1">
        <f t="array" aca="1" ref="S837" ca="1">INDIRECT("Data!M" &amp; 832)</f>
        <v>0</v>
      </c>
      <c r="T837" cm="1">
        <f t="array" aca="1" ref="T837" ca="1">INDIRECT("Data!N" &amp; 832)</f>
        <v>0</v>
      </c>
      <c r="U837" cm="1">
        <f t="array" aca="1" ref="U837" ca="1">INDIRECT("Data!O" &amp; 832)</f>
        <v>0</v>
      </c>
      <c r="V837" cm="1">
        <f t="array" aca="1" ref="V837" ca="1">INDIRECT("Data!P" &amp; 832)</f>
        <v>0</v>
      </c>
    </row>
    <row r="838" spans="7:22" x14ac:dyDescent="0.25">
      <c r="G838" cm="1">
        <f t="array" aca="1" ref="G838" ca="1">INDIRECT("Data!A" &amp; 833)</f>
        <v>0</v>
      </c>
      <c r="H838" s="21" cm="1">
        <f t="array" aca="1" ref="H838" ca="1">INDIRECT("Data!B" &amp; 833)</f>
        <v>0</v>
      </c>
      <c r="I838" s="21" cm="1">
        <f t="array" aca="1" ref="I838" ca="1">INDIRECT("Data!C" &amp; 833)</f>
        <v>0</v>
      </c>
      <c r="J838" cm="1">
        <f t="array" aca="1" ref="J838" ca="1">INDIRECT("Data!D" &amp; 833)</f>
        <v>0</v>
      </c>
      <c r="K838" cm="1">
        <f t="array" aca="1" ref="K838" ca="1">INDIRECT("Data!E" &amp; 833)</f>
        <v>0</v>
      </c>
      <c r="L838" cm="1">
        <f t="array" aca="1" ref="L838" ca="1">INDIRECT("Data!F" &amp; 833)</f>
        <v>0</v>
      </c>
      <c r="M838" cm="1">
        <f t="array" aca="1" ref="M838" ca="1">INDIRECT("Data!G" &amp; 833)</f>
        <v>0</v>
      </c>
      <c r="N838" cm="1">
        <f t="array" aca="1" ref="N838" ca="1">INDIRECT("Data!H" &amp; 833)</f>
        <v>0</v>
      </c>
      <c r="O838" cm="1">
        <f t="array" aca="1" ref="O838" ca="1">INDIRECT("Data!I" &amp; 833)</f>
        <v>0</v>
      </c>
      <c r="P838" s="21" cm="1">
        <f t="array" aca="1" ref="P838" ca="1">INDIRECT("Data!J" &amp; 833)</f>
        <v>0</v>
      </c>
      <c r="Q838" cm="1">
        <f t="array" aca="1" ref="Q838" ca="1">INDIRECT("Data!K" &amp; 833)</f>
        <v>0</v>
      </c>
      <c r="R838" cm="1">
        <f t="array" aca="1" ref="R838" ca="1">INDIRECT("Data!L" &amp; 833)</f>
        <v>0</v>
      </c>
      <c r="S838" cm="1">
        <f t="array" aca="1" ref="S838" ca="1">INDIRECT("Data!M" &amp; 833)</f>
        <v>0</v>
      </c>
      <c r="T838" cm="1">
        <f t="array" aca="1" ref="T838" ca="1">INDIRECT("Data!N" &amp; 833)</f>
        <v>0</v>
      </c>
      <c r="U838" cm="1">
        <f t="array" aca="1" ref="U838" ca="1">INDIRECT("Data!O" &amp; 833)</f>
        <v>0</v>
      </c>
      <c r="V838" cm="1">
        <f t="array" aca="1" ref="V838" ca="1">INDIRECT("Data!P" &amp; 833)</f>
        <v>0</v>
      </c>
    </row>
    <row r="839" spans="7:22" x14ac:dyDescent="0.25">
      <c r="G839" cm="1">
        <f t="array" aca="1" ref="G839" ca="1">INDIRECT("Data!A" &amp; 834)</f>
        <v>0</v>
      </c>
      <c r="H839" s="21" cm="1">
        <f t="array" aca="1" ref="H839" ca="1">INDIRECT("Data!B" &amp; 834)</f>
        <v>0</v>
      </c>
      <c r="I839" s="21" cm="1">
        <f t="array" aca="1" ref="I839" ca="1">INDIRECT("Data!C" &amp; 834)</f>
        <v>0</v>
      </c>
      <c r="J839" cm="1">
        <f t="array" aca="1" ref="J839" ca="1">INDIRECT("Data!D" &amp; 834)</f>
        <v>0</v>
      </c>
      <c r="K839" cm="1">
        <f t="array" aca="1" ref="K839" ca="1">INDIRECT("Data!E" &amp; 834)</f>
        <v>0</v>
      </c>
      <c r="L839" cm="1">
        <f t="array" aca="1" ref="L839" ca="1">INDIRECT("Data!F" &amp; 834)</f>
        <v>0</v>
      </c>
      <c r="M839" cm="1">
        <f t="array" aca="1" ref="M839" ca="1">INDIRECT("Data!G" &amp; 834)</f>
        <v>0</v>
      </c>
      <c r="N839" cm="1">
        <f t="array" aca="1" ref="N839" ca="1">INDIRECT("Data!H" &amp; 834)</f>
        <v>0</v>
      </c>
      <c r="O839" cm="1">
        <f t="array" aca="1" ref="O839" ca="1">INDIRECT("Data!I" &amp; 834)</f>
        <v>0</v>
      </c>
      <c r="P839" s="21" cm="1">
        <f t="array" aca="1" ref="P839" ca="1">INDIRECT("Data!J" &amp; 834)</f>
        <v>0</v>
      </c>
      <c r="Q839" cm="1">
        <f t="array" aca="1" ref="Q839" ca="1">INDIRECT("Data!K" &amp; 834)</f>
        <v>0</v>
      </c>
      <c r="R839" cm="1">
        <f t="array" aca="1" ref="R839" ca="1">INDIRECT("Data!L" &amp; 834)</f>
        <v>0</v>
      </c>
      <c r="S839" cm="1">
        <f t="array" aca="1" ref="S839" ca="1">INDIRECT("Data!M" &amp; 834)</f>
        <v>0</v>
      </c>
      <c r="T839" cm="1">
        <f t="array" aca="1" ref="T839" ca="1">INDIRECT("Data!N" &amp; 834)</f>
        <v>0</v>
      </c>
      <c r="U839" cm="1">
        <f t="array" aca="1" ref="U839" ca="1">INDIRECT("Data!O" &amp; 834)</f>
        <v>0</v>
      </c>
      <c r="V839" cm="1">
        <f t="array" aca="1" ref="V839" ca="1">INDIRECT("Data!P" &amp; 834)</f>
        <v>0</v>
      </c>
    </row>
    <row r="840" spans="7:22" x14ac:dyDescent="0.25">
      <c r="G840" cm="1">
        <f t="array" aca="1" ref="G840" ca="1">INDIRECT("Data!A" &amp; 835)</f>
        <v>0</v>
      </c>
      <c r="H840" s="21" cm="1">
        <f t="array" aca="1" ref="H840" ca="1">INDIRECT("Data!B" &amp; 835)</f>
        <v>0</v>
      </c>
      <c r="I840" s="21" cm="1">
        <f t="array" aca="1" ref="I840" ca="1">INDIRECT("Data!C" &amp; 835)</f>
        <v>0</v>
      </c>
      <c r="J840" cm="1">
        <f t="array" aca="1" ref="J840" ca="1">INDIRECT("Data!D" &amp; 835)</f>
        <v>0</v>
      </c>
      <c r="K840" cm="1">
        <f t="array" aca="1" ref="K840" ca="1">INDIRECT("Data!E" &amp; 835)</f>
        <v>0</v>
      </c>
      <c r="L840" cm="1">
        <f t="array" aca="1" ref="L840" ca="1">INDIRECT("Data!F" &amp; 835)</f>
        <v>0</v>
      </c>
      <c r="M840" cm="1">
        <f t="array" aca="1" ref="M840" ca="1">INDIRECT("Data!G" &amp; 835)</f>
        <v>0</v>
      </c>
      <c r="N840" cm="1">
        <f t="array" aca="1" ref="N840" ca="1">INDIRECT("Data!H" &amp; 835)</f>
        <v>0</v>
      </c>
      <c r="O840" cm="1">
        <f t="array" aca="1" ref="O840" ca="1">INDIRECT("Data!I" &amp; 835)</f>
        <v>0</v>
      </c>
      <c r="P840" s="21" cm="1">
        <f t="array" aca="1" ref="P840" ca="1">INDIRECT("Data!J" &amp; 835)</f>
        <v>0</v>
      </c>
      <c r="Q840" cm="1">
        <f t="array" aca="1" ref="Q840" ca="1">INDIRECT("Data!K" &amp; 835)</f>
        <v>0</v>
      </c>
      <c r="R840" cm="1">
        <f t="array" aca="1" ref="R840" ca="1">INDIRECT("Data!L" &amp; 835)</f>
        <v>0</v>
      </c>
      <c r="S840" cm="1">
        <f t="array" aca="1" ref="S840" ca="1">INDIRECT("Data!M" &amp; 835)</f>
        <v>0</v>
      </c>
      <c r="T840" cm="1">
        <f t="array" aca="1" ref="T840" ca="1">INDIRECT("Data!N" &amp; 835)</f>
        <v>0</v>
      </c>
      <c r="U840" cm="1">
        <f t="array" aca="1" ref="U840" ca="1">INDIRECT("Data!O" &amp; 835)</f>
        <v>0</v>
      </c>
      <c r="V840" cm="1">
        <f t="array" aca="1" ref="V840" ca="1">INDIRECT("Data!P" &amp; 835)</f>
        <v>0</v>
      </c>
    </row>
    <row r="841" spans="7:22" x14ac:dyDescent="0.25">
      <c r="G841" cm="1">
        <f t="array" aca="1" ref="G841" ca="1">INDIRECT("Data!A" &amp; 836)</f>
        <v>0</v>
      </c>
      <c r="H841" s="21" cm="1">
        <f t="array" aca="1" ref="H841" ca="1">INDIRECT("Data!B" &amp; 836)</f>
        <v>0</v>
      </c>
      <c r="I841" s="21" cm="1">
        <f t="array" aca="1" ref="I841" ca="1">INDIRECT("Data!C" &amp; 836)</f>
        <v>0</v>
      </c>
      <c r="J841" cm="1">
        <f t="array" aca="1" ref="J841" ca="1">INDIRECT("Data!D" &amp; 836)</f>
        <v>0</v>
      </c>
      <c r="K841" cm="1">
        <f t="array" aca="1" ref="K841" ca="1">INDIRECT("Data!E" &amp; 836)</f>
        <v>0</v>
      </c>
      <c r="L841" cm="1">
        <f t="array" aca="1" ref="L841" ca="1">INDIRECT("Data!F" &amp; 836)</f>
        <v>0</v>
      </c>
      <c r="M841" cm="1">
        <f t="array" aca="1" ref="M841" ca="1">INDIRECT("Data!G" &amp; 836)</f>
        <v>0</v>
      </c>
      <c r="N841" cm="1">
        <f t="array" aca="1" ref="N841" ca="1">INDIRECT("Data!H" &amp; 836)</f>
        <v>0</v>
      </c>
      <c r="O841" cm="1">
        <f t="array" aca="1" ref="O841" ca="1">INDIRECT("Data!I" &amp; 836)</f>
        <v>0</v>
      </c>
      <c r="P841" s="21" cm="1">
        <f t="array" aca="1" ref="P841" ca="1">INDIRECT("Data!J" &amp; 836)</f>
        <v>0</v>
      </c>
      <c r="Q841" cm="1">
        <f t="array" aca="1" ref="Q841" ca="1">INDIRECT("Data!K" &amp; 836)</f>
        <v>0</v>
      </c>
      <c r="R841" cm="1">
        <f t="array" aca="1" ref="R841" ca="1">INDIRECT("Data!L" &amp; 836)</f>
        <v>0</v>
      </c>
      <c r="S841" cm="1">
        <f t="array" aca="1" ref="S841" ca="1">INDIRECT("Data!M" &amp; 836)</f>
        <v>0</v>
      </c>
      <c r="T841" cm="1">
        <f t="array" aca="1" ref="T841" ca="1">INDIRECT("Data!N" &amp; 836)</f>
        <v>0</v>
      </c>
      <c r="U841" cm="1">
        <f t="array" aca="1" ref="U841" ca="1">INDIRECT("Data!O" &amp; 836)</f>
        <v>0</v>
      </c>
      <c r="V841" cm="1">
        <f t="array" aca="1" ref="V841" ca="1">INDIRECT("Data!P" &amp; 836)</f>
        <v>0</v>
      </c>
    </row>
    <row r="842" spans="7:22" x14ac:dyDescent="0.25">
      <c r="G842" cm="1">
        <f t="array" aca="1" ref="G842" ca="1">INDIRECT("Data!A" &amp; 837)</f>
        <v>0</v>
      </c>
      <c r="H842" s="21" cm="1">
        <f t="array" aca="1" ref="H842" ca="1">INDIRECT("Data!B" &amp; 837)</f>
        <v>0</v>
      </c>
      <c r="I842" s="21" cm="1">
        <f t="array" aca="1" ref="I842" ca="1">INDIRECT("Data!C" &amp; 837)</f>
        <v>0</v>
      </c>
      <c r="J842" cm="1">
        <f t="array" aca="1" ref="J842" ca="1">INDIRECT("Data!D" &amp; 837)</f>
        <v>0</v>
      </c>
      <c r="K842" cm="1">
        <f t="array" aca="1" ref="K842" ca="1">INDIRECT("Data!E" &amp; 837)</f>
        <v>0</v>
      </c>
      <c r="L842" cm="1">
        <f t="array" aca="1" ref="L842" ca="1">INDIRECT("Data!F" &amp; 837)</f>
        <v>0</v>
      </c>
      <c r="M842" cm="1">
        <f t="array" aca="1" ref="M842" ca="1">INDIRECT("Data!G" &amp; 837)</f>
        <v>0</v>
      </c>
      <c r="N842" cm="1">
        <f t="array" aca="1" ref="N842" ca="1">INDIRECT("Data!H" &amp; 837)</f>
        <v>0</v>
      </c>
      <c r="O842" cm="1">
        <f t="array" aca="1" ref="O842" ca="1">INDIRECT("Data!I" &amp; 837)</f>
        <v>0</v>
      </c>
      <c r="P842" s="21" cm="1">
        <f t="array" aca="1" ref="P842" ca="1">INDIRECT("Data!J" &amp; 837)</f>
        <v>0</v>
      </c>
      <c r="Q842" cm="1">
        <f t="array" aca="1" ref="Q842" ca="1">INDIRECT("Data!K" &amp; 837)</f>
        <v>0</v>
      </c>
      <c r="R842" cm="1">
        <f t="array" aca="1" ref="R842" ca="1">INDIRECT("Data!L" &amp; 837)</f>
        <v>0</v>
      </c>
      <c r="S842" cm="1">
        <f t="array" aca="1" ref="S842" ca="1">INDIRECT("Data!M" &amp; 837)</f>
        <v>0</v>
      </c>
      <c r="T842" cm="1">
        <f t="array" aca="1" ref="T842" ca="1">INDIRECT("Data!N" &amp; 837)</f>
        <v>0</v>
      </c>
      <c r="U842" cm="1">
        <f t="array" aca="1" ref="U842" ca="1">INDIRECT("Data!O" &amp; 837)</f>
        <v>0</v>
      </c>
      <c r="V842" cm="1">
        <f t="array" aca="1" ref="V842" ca="1">INDIRECT("Data!P" &amp; 837)</f>
        <v>0</v>
      </c>
    </row>
    <row r="843" spans="7:22" x14ac:dyDescent="0.25">
      <c r="G843" cm="1">
        <f t="array" aca="1" ref="G843" ca="1">INDIRECT("Data!A" &amp; 838)</f>
        <v>0</v>
      </c>
      <c r="H843" s="21" cm="1">
        <f t="array" aca="1" ref="H843" ca="1">INDIRECT("Data!B" &amp; 838)</f>
        <v>0</v>
      </c>
      <c r="I843" s="21" cm="1">
        <f t="array" aca="1" ref="I843" ca="1">INDIRECT("Data!C" &amp; 838)</f>
        <v>0</v>
      </c>
      <c r="J843" cm="1">
        <f t="array" aca="1" ref="J843" ca="1">INDIRECT("Data!D" &amp; 838)</f>
        <v>0</v>
      </c>
      <c r="K843" cm="1">
        <f t="array" aca="1" ref="K843" ca="1">INDIRECT("Data!E" &amp; 838)</f>
        <v>0</v>
      </c>
      <c r="L843" cm="1">
        <f t="array" aca="1" ref="L843" ca="1">INDIRECT("Data!F" &amp; 838)</f>
        <v>0</v>
      </c>
      <c r="M843" cm="1">
        <f t="array" aca="1" ref="M843" ca="1">INDIRECT("Data!G" &amp; 838)</f>
        <v>0</v>
      </c>
      <c r="N843" cm="1">
        <f t="array" aca="1" ref="N843" ca="1">INDIRECT("Data!H" &amp; 838)</f>
        <v>0</v>
      </c>
      <c r="O843" cm="1">
        <f t="array" aca="1" ref="O843" ca="1">INDIRECT("Data!I" &amp; 838)</f>
        <v>0</v>
      </c>
      <c r="P843" s="21" cm="1">
        <f t="array" aca="1" ref="P843" ca="1">INDIRECT("Data!J" &amp; 838)</f>
        <v>0</v>
      </c>
      <c r="Q843" cm="1">
        <f t="array" aca="1" ref="Q843" ca="1">INDIRECT("Data!K" &amp; 838)</f>
        <v>0</v>
      </c>
      <c r="R843" cm="1">
        <f t="array" aca="1" ref="R843" ca="1">INDIRECT("Data!L" &amp; 838)</f>
        <v>0</v>
      </c>
      <c r="S843" cm="1">
        <f t="array" aca="1" ref="S843" ca="1">INDIRECT("Data!M" &amp; 838)</f>
        <v>0</v>
      </c>
      <c r="T843" cm="1">
        <f t="array" aca="1" ref="T843" ca="1">INDIRECT("Data!N" &amp; 838)</f>
        <v>0</v>
      </c>
      <c r="U843" cm="1">
        <f t="array" aca="1" ref="U843" ca="1">INDIRECT("Data!O" &amp; 838)</f>
        <v>0</v>
      </c>
      <c r="V843" cm="1">
        <f t="array" aca="1" ref="V843" ca="1">INDIRECT("Data!P" &amp; 838)</f>
        <v>0</v>
      </c>
    </row>
    <row r="844" spans="7:22" x14ac:dyDescent="0.25">
      <c r="G844" cm="1">
        <f t="array" aca="1" ref="G844" ca="1">INDIRECT("Data!A" &amp; 839)</f>
        <v>0</v>
      </c>
      <c r="H844" s="21" cm="1">
        <f t="array" aca="1" ref="H844" ca="1">INDIRECT("Data!B" &amp; 839)</f>
        <v>0</v>
      </c>
      <c r="I844" s="21" cm="1">
        <f t="array" aca="1" ref="I844" ca="1">INDIRECT("Data!C" &amp; 839)</f>
        <v>0</v>
      </c>
      <c r="J844" cm="1">
        <f t="array" aca="1" ref="J844" ca="1">INDIRECT("Data!D" &amp; 839)</f>
        <v>0</v>
      </c>
      <c r="K844" cm="1">
        <f t="array" aca="1" ref="K844" ca="1">INDIRECT("Data!E" &amp; 839)</f>
        <v>0</v>
      </c>
      <c r="L844" cm="1">
        <f t="array" aca="1" ref="L844" ca="1">INDIRECT("Data!F" &amp; 839)</f>
        <v>0</v>
      </c>
      <c r="M844" cm="1">
        <f t="array" aca="1" ref="M844" ca="1">INDIRECT("Data!G" &amp; 839)</f>
        <v>0</v>
      </c>
      <c r="N844" cm="1">
        <f t="array" aca="1" ref="N844" ca="1">INDIRECT("Data!H" &amp; 839)</f>
        <v>0</v>
      </c>
      <c r="O844" cm="1">
        <f t="array" aca="1" ref="O844" ca="1">INDIRECT("Data!I" &amp; 839)</f>
        <v>0</v>
      </c>
      <c r="P844" s="21" cm="1">
        <f t="array" aca="1" ref="P844" ca="1">INDIRECT("Data!J" &amp; 839)</f>
        <v>0</v>
      </c>
      <c r="Q844" cm="1">
        <f t="array" aca="1" ref="Q844" ca="1">INDIRECT("Data!K" &amp; 839)</f>
        <v>0</v>
      </c>
      <c r="R844" cm="1">
        <f t="array" aca="1" ref="R844" ca="1">INDIRECT("Data!L" &amp; 839)</f>
        <v>0</v>
      </c>
      <c r="S844" cm="1">
        <f t="array" aca="1" ref="S844" ca="1">INDIRECT("Data!M" &amp; 839)</f>
        <v>0</v>
      </c>
      <c r="T844" cm="1">
        <f t="array" aca="1" ref="T844" ca="1">INDIRECT("Data!N" &amp; 839)</f>
        <v>0</v>
      </c>
      <c r="U844" cm="1">
        <f t="array" aca="1" ref="U844" ca="1">INDIRECT("Data!O" &amp; 839)</f>
        <v>0</v>
      </c>
      <c r="V844" cm="1">
        <f t="array" aca="1" ref="V844" ca="1">INDIRECT("Data!P" &amp; 839)</f>
        <v>0</v>
      </c>
    </row>
    <row r="845" spans="7:22" x14ac:dyDescent="0.25">
      <c r="G845" cm="1">
        <f t="array" aca="1" ref="G845" ca="1">INDIRECT("Data!A" &amp; 840)</f>
        <v>0</v>
      </c>
      <c r="H845" s="21" cm="1">
        <f t="array" aca="1" ref="H845" ca="1">INDIRECT("Data!B" &amp; 840)</f>
        <v>0</v>
      </c>
      <c r="I845" s="21" cm="1">
        <f t="array" aca="1" ref="I845" ca="1">INDIRECT("Data!C" &amp; 840)</f>
        <v>0</v>
      </c>
      <c r="J845" cm="1">
        <f t="array" aca="1" ref="J845" ca="1">INDIRECT("Data!D" &amp; 840)</f>
        <v>0</v>
      </c>
      <c r="K845" cm="1">
        <f t="array" aca="1" ref="K845" ca="1">INDIRECT("Data!E" &amp; 840)</f>
        <v>0</v>
      </c>
      <c r="L845" cm="1">
        <f t="array" aca="1" ref="L845" ca="1">INDIRECT("Data!F" &amp; 840)</f>
        <v>0</v>
      </c>
      <c r="M845" cm="1">
        <f t="array" aca="1" ref="M845" ca="1">INDIRECT("Data!G" &amp; 840)</f>
        <v>0</v>
      </c>
      <c r="N845" cm="1">
        <f t="array" aca="1" ref="N845" ca="1">INDIRECT("Data!H" &amp; 840)</f>
        <v>0</v>
      </c>
      <c r="O845" cm="1">
        <f t="array" aca="1" ref="O845" ca="1">INDIRECT("Data!I" &amp; 840)</f>
        <v>0</v>
      </c>
      <c r="P845" s="21" cm="1">
        <f t="array" aca="1" ref="P845" ca="1">INDIRECT("Data!J" &amp; 840)</f>
        <v>0</v>
      </c>
      <c r="Q845" cm="1">
        <f t="array" aca="1" ref="Q845" ca="1">INDIRECT("Data!K" &amp; 840)</f>
        <v>0</v>
      </c>
      <c r="R845" cm="1">
        <f t="array" aca="1" ref="R845" ca="1">INDIRECT("Data!L" &amp; 840)</f>
        <v>0</v>
      </c>
      <c r="S845" cm="1">
        <f t="array" aca="1" ref="S845" ca="1">INDIRECT("Data!M" &amp; 840)</f>
        <v>0</v>
      </c>
      <c r="T845" cm="1">
        <f t="array" aca="1" ref="T845" ca="1">INDIRECT("Data!N" &amp; 840)</f>
        <v>0</v>
      </c>
      <c r="U845" cm="1">
        <f t="array" aca="1" ref="U845" ca="1">INDIRECT("Data!O" &amp; 840)</f>
        <v>0</v>
      </c>
      <c r="V845" cm="1">
        <f t="array" aca="1" ref="V845" ca="1">INDIRECT("Data!P" &amp; 840)</f>
        <v>0</v>
      </c>
    </row>
    <row r="846" spans="7:22" x14ac:dyDescent="0.25">
      <c r="G846" cm="1">
        <f t="array" aca="1" ref="G846" ca="1">INDIRECT("Data!A" &amp; 841)</f>
        <v>0</v>
      </c>
      <c r="H846" s="21" cm="1">
        <f t="array" aca="1" ref="H846" ca="1">INDIRECT("Data!B" &amp; 841)</f>
        <v>0</v>
      </c>
      <c r="I846" s="21" cm="1">
        <f t="array" aca="1" ref="I846" ca="1">INDIRECT("Data!C" &amp; 841)</f>
        <v>0</v>
      </c>
      <c r="J846" cm="1">
        <f t="array" aca="1" ref="J846" ca="1">INDIRECT("Data!D" &amp; 841)</f>
        <v>0</v>
      </c>
      <c r="K846" cm="1">
        <f t="array" aca="1" ref="K846" ca="1">INDIRECT("Data!E" &amp; 841)</f>
        <v>0</v>
      </c>
      <c r="L846" cm="1">
        <f t="array" aca="1" ref="L846" ca="1">INDIRECT("Data!F" &amp; 841)</f>
        <v>0</v>
      </c>
      <c r="M846" cm="1">
        <f t="array" aca="1" ref="M846" ca="1">INDIRECT("Data!G" &amp; 841)</f>
        <v>0</v>
      </c>
      <c r="N846" cm="1">
        <f t="array" aca="1" ref="N846" ca="1">INDIRECT("Data!H" &amp; 841)</f>
        <v>0</v>
      </c>
      <c r="O846" cm="1">
        <f t="array" aca="1" ref="O846" ca="1">INDIRECT("Data!I" &amp; 841)</f>
        <v>0</v>
      </c>
      <c r="P846" s="21" cm="1">
        <f t="array" aca="1" ref="P846" ca="1">INDIRECT("Data!J" &amp; 841)</f>
        <v>0</v>
      </c>
      <c r="Q846" cm="1">
        <f t="array" aca="1" ref="Q846" ca="1">INDIRECT("Data!K" &amp; 841)</f>
        <v>0</v>
      </c>
      <c r="R846" cm="1">
        <f t="array" aca="1" ref="R846" ca="1">INDIRECT("Data!L" &amp; 841)</f>
        <v>0</v>
      </c>
      <c r="S846" cm="1">
        <f t="array" aca="1" ref="S846" ca="1">INDIRECT("Data!M" &amp; 841)</f>
        <v>0</v>
      </c>
      <c r="T846" cm="1">
        <f t="array" aca="1" ref="T846" ca="1">INDIRECT("Data!N" &amp; 841)</f>
        <v>0</v>
      </c>
      <c r="U846" cm="1">
        <f t="array" aca="1" ref="U846" ca="1">INDIRECT("Data!O" &amp; 841)</f>
        <v>0</v>
      </c>
      <c r="V846" cm="1">
        <f t="array" aca="1" ref="V846" ca="1">INDIRECT("Data!P" &amp; 841)</f>
        <v>0</v>
      </c>
    </row>
    <row r="847" spans="7:22" x14ac:dyDescent="0.25">
      <c r="G847" cm="1">
        <f t="array" aca="1" ref="G847" ca="1">INDIRECT("Data!A" &amp; 842)</f>
        <v>0</v>
      </c>
      <c r="H847" s="21" cm="1">
        <f t="array" aca="1" ref="H847" ca="1">INDIRECT("Data!B" &amp; 842)</f>
        <v>0</v>
      </c>
      <c r="I847" s="21" cm="1">
        <f t="array" aca="1" ref="I847" ca="1">INDIRECT("Data!C" &amp; 842)</f>
        <v>0</v>
      </c>
      <c r="J847" cm="1">
        <f t="array" aca="1" ref="J847" ca="1">INDIRECT("Data!D" &amp; 842)</f>
        <v>0</v>
      </c>
      <c r="K847" cm="1">
        <f t="array" aca="1" ref="K847" ca="1">INDIRECT("Data!E" &amp; 842)</f>
        <v>0</v>
      </c>
      <c r="L847" cm="1">
        <f t="array" aca="1" ref="L847" ca="1">INDIRECT("Data!F" &amp; 842)</f>
        <v>0</v>
      </c>
      <c r="M847" cm="1">
        <f t="array" aca="1" ref="M847" ca="1">INDIRECT("Data!G" &amp; 842)</f>
        <v>0</v>
      </c>
      <c r="N847" cm="1">
        <f t="array" aca="1" ref="N847" ca="1">INDIRECT("Data!H" &amp; 842)</f>
        <v>0</v>
      </c>
      <c r="O847" cm="1">
        <f t="array" aca="1" ref="O847" ca="1">INDIRECT("Data!I" &amp; 842)</f>
        <v>0</v>
      </c>
      <c r="P847" s="21" cm="1">
        <f t="array" aca="1" ref="P847" ca="1">INDIRECT("Data!J" &amp; 842)</f>
        <v>0</v>
      </c>
      <c r="Q847" cm="1">
        <f t="array" aca="1" ref="Q847" ca="1">INDIRECT("Data!K" &amp; 842)</f>
        <v>0</v>
      </c>
      <c r="R847" cm="1">
        <f t="array" aca="1" ref="R847" ca="1">INDIRECT("Data!L" &amp; 842)</f>
        <v>0</v>
      </c>
      <c r="S847" cm="1">
        <f t="array" aca="1" ref="S847" ca="1">INDIRECT("Data!M" &amp; 842)</f>
        <v>0</v>
      </c>
      <c r="T847" cm="1">
        <f t="array" aca="1" ref="T847" ca="1">INDIRECT("Data!N" &amp; 842)</f>
        <v>0</v>
      </c>
      <c r="U847" cm="1">
        <f t="array" aca="1" ref="U847" ca="1">INDIRECT("Data!O" &amp; 842)</f>
        <v>0</v>
      </c>
      <c r="V847" cm="1">
        <f t="array" aca="1" ref="V847" ca="1">INDIRECT("Data!P" &amp; 842)</f>
        <v>0</v>
      </c>
    </row>
    <row r="848" spans="7:22" x14ac:dyDescent="0.25">
      <c r="G848" cm="1">
        <f t="array" aca="1" ref="G848" ca="1">INDIRECT("Data!A" &amp; 843)</f>
        <v>0</v>
      </c>
      <c r="H848" s="21" cm="1">
        <f t="array" aca="1" ref="H848" ca="1">INDIRECT("Data!B" &amp; 843)</f>
        <v>0</v>
      </c>
      <c r="I848" s="21" cm="1">
        <f t="array" aca="1" ref="I848" ca="1">INDIRECT("Data!C" &amp; 843)</f>
        <v>0</v>
      </c>
      <c r="J848" cm="1">
        <f t="array" aca="1" ref="J848" ca="1">INDIRECT("Data!D" &amp; 843)</f>
        <v>0</v>
      </c>
      <c r="K848" cm="1">
        <f t="array" aca="1" ref="K848" ca="1">INDIRECT("Data!E" &amp; 843)</f>
        <v>0</v>
      </c>
      <c r="L848" cm="1">
        <f t="array" aca="1" ref="L848" ca="1">INDIRECT("Data!F" &amp; 843)</f>
        <v>0</v>
      </c>
      <c r="M848" cm="1">
        <f t="array" aca="1" ref="M848" ca="1">INDIRECT("Data!G" &amp; 843)</f>
        <v>0</v>
      </c>
      <c r="N848" cm="1">
        <f t="array" aca="1" ref="N848" ca="1">INDIRECT("Data!H" &amp; 843)</f>
        <v>0</v>
      </c>
      <c r="O848" cm="1">
        <f t="array" aca="1" ref="O848" ca="1">INDIRECT("Data!I" &amp; 843)</f>
        <v>0</v>
      </c>
      <c r="P848" s="21" cm="1">
        <f t="array" aca="1" ref="P848" ca="1">INDIRECT("Data!J" &amp; 843)</f>
        <v>0</v>
      </c>
      <c r="Q848" cm="1">
        <f t="array" aca="1" ref="Q848" ca="1">INDIRECT("Data!K" &amp; 843)</f>
        <v>0</v>
      </c>
      <c r="R848" cm="1">
        <f t="array" aca="1" ref="R848" ca="1">INDIRECT("Data!L" &amp; 843)</f>
        <v>0</v>
      </c>
      <c r="S848" cm="1">
        <f t="array" aca="1" ref="S848" ca="1">INDIRECT("Data!M" &amp; 843)</f>
        <v>0</v>
      </c>
      <c r="T848" cm="1">
        <f t="array" aca="1" ref="T848" ca="1">INDIRECT("Data!N" &amp; 843)</f>
        <v>0</v>
      </c>
      <c r="U848" cm="1">
        <f t="array" aca="1" ref="U848" ca="1">INDIRECT("Data!O" &amp; 843)</f>
        <v>0</v>
      </c>
      <c r="V848" cm="1">
        <f t="array" aca="1" ref="V848" ca="1">INDIRECT("Data!P" &amp; 843)</f>
        <v>0</v>
      </c>
    </row>
    <row r="849" spans="7:22" x14ac:dyDescent="0.25">
      <c r="G849" cm="1">
        <f t="array" aca="1" ref="G849" ca="1">INDIRECT("Data!A" &amp; 844)</f>
        <v>0</v>
      </c>
      <c r="H849" s="21" cm="1">
        <f t="array" aca="1" ref="H849" ca="1">INDIRECT("Data!B" &amp; 844)</f>
        <v>0</v>
      </c>
      <c r="I849" s="21" cm="1">
        <f t="array" aca="1" ref="I849" ca="1">INDIRECT("Data!C" &amp; 844)</f>
        <v>0</v>
      </c>
      <c r="J849" cm="1">
        <f t="array" aca="1" ref="J849" ca="1">INDIRECT("Data!D" &amp; 844)</f>
        <v>0</v>
      </c>
      <c r="K849" cm="1">
        <f t="array" aca="1" ref="K849" ca="1">INDIRECT("Data!E" &amp; 844)</f>
        <v>0</v>
      </c>
      <c r="L849" cm="1">
        <f t="array" aca="1" ref="L849" ca="1">INDIRECT("Data!F" &amp; 844)</f>
        <v>0</v>
      </c>
      <c r="M849" cm="1">
        <f t="array" aca="1" ref="M849" ca="1">INDIRECT("Data!G" &amp; 844)</f>
        <v>0</v>
      </c>
      <c r="N849" cm="1">
        <f t="array" aca="1" ref="N849" ca="1">INDIRECT("Data!H" &amp; 844)</f>
        <v>0</v>
      </c>
      <c r="O849" cm="1">
        <f t="array" aca="1" ref="O849" ca="1">INDIRECT("Data!I" &amp; 844)</f>
        <v>0</v>
      </c>
      <c r="P849" s="21" cm="1">
        <f t="array" aca="1" ref="P849" ca="1">INDIRECT("Data!J" &amp; 844)</f>
        <v>0</v>
      </c>
      <c r="Q849" cm="1">
        <f t="array" aca="1" ref="Q849" ca="1">INDIRECT("Data!K" &amp; 844)</f>
        <v>0</v>
      </c>
      <c r="R849" cm="1">
        <f t="array" aca="1" ref="R849" ca="1">INDIRECT("Data!L" &amp; 844)</f>
        <v>0</v>
      </c>
      <c r="S849" cm="1">
        <f t="array" aca="1" ref="S849" ca="1">INDIRECT("Data!M" &amp; 844)</f>
        <v>0</v>
      </c>
      <c r="T849" cm="1">
        <f t="array" aca="1" ref="T849" ca="1">INDIRECT("Data!N" &amp; 844)</f>
        <v>0</v>
      </c>
      <c r="U849" cm="1">
        <f t="array" aca="1" ref="U849" ca="1">INDIRECT("Data!O" &amp; 844)</f>
        <v>0</v>
      </c>
      <c r="V849" cm="1">
        <f t="array" aca="1" ref="V849" ca="1">INDIRECT("Data!P" &amp; 844)</f>
        <v>0</v>
      </c>
    </row>
    <row r="850" spans="7:22" x14ac:dyDescent="0.25">
      <c r="G850" cm="1">
        <f t="array" aca="1" ref="G850" ca="1">INDIRECT("Data!A" &amp; 845)</f>
        <v>0</v>
      </c>
      <c r="H850" s="21" cm="1">
        <f t="array" aca="1" ref="H850" ca="1">INDIRECT("Data!B" &amp; 845)</f>
        <v>0</v>
      </c>
      <c r="I850" s="21" cm="1">
        <f t="array" aca="1" ref="I850" ca="1">INDIRECT("Data!C" &amp; 845)</f>
        <v>0</v>
      </c>
      <c r="J850" cm="1">
        <f t="array" aca="1" ref="J850" ca="1">INDIRECT("Data!D" &amp; 845)</f>
        <v>0</v>
      </c>
      <c r="K850" cm="1">
        <f t="array" aca="1" ref="K850" ca="1">INDIRECT("Data!E" &amp; 845)</f>
        <v>0</v>
      </c>
      <c r="L850" cm="1">
        <f t="array" aca="1" ref="L850" ca="1">INDIRECT("Data!F" &amp; 845)</f>
        <v>0</v>
      </c>
      <c r="M850" cm="1">
        <f t="array" aca="1" ref="M850" ca="1">INDIRECT("Data!G" &amp; 845)</f>
        <v>0</v>
      </c>
      <c r="N850" cm="1">
        <f t="array" aca="1" ref="N850" ca="1">INDIRECT("Data!H" &amp; 845)</f>
        <v>0</v>
      </c>
      <c r="O850" cm="1">
        <f t="array" aca="1" ref="O850" ca="1">INDIRECT("Data!I" &amp; 845)</f>
        <v>0</v>
      </c>
      <c r="P850" s="21" cm="1">
        <f t="array" aca="1" ref="P850" ca="1">INDIRECT("Data!J" &amp; 845)</f>
        <v>0</v>
      </c>
      <c r="Q850" cm="1">
        <f t="array" aca="1" ref="Q850" ca="1">INDIRECT("Data!K" &amp; 845)</f>
        <v>0</v>
      </c>
      <c r="R850" cm="1">
        <f t="array" aca="1" ref="R850" ca="1">INDIRECT("Data!L" &amp; 845)</f>
        <v>0</v>
      </c>
      <c r="S850" cm="1">
        <f t="array" aca="1" ref="S850" ca="1">INDIRECT("Data!M" &amp; 845)</f>
        <v>0</v>
      </c>
      <c r="T850" cm="1">
        <f t="array" aca="1" ref="T850" ca="1">INDIRECT("Data!N" &amp; 845)</f>
        <v>0</v>
      </c>
      <c r="U850" cm="1">
        <f t="array" aca="1" ref="U850" ca="1">INDIRECT("Data!O" &amp; 845)</f>
        <v>0</v>
      </c>
      <c r="V850" cm="1">
        <f t="array" aca="1" ref="V850" ca="1">INDIRECT("Data!P" &amp; 845)</f>
        <v>0</v>
      </c>
    </row>
    <row r="851" spans="7:22" x14ac:dyDescent="0.25">
      <c r="G851" cm="1">
        <f t="array" aca="1" ref="G851" ca="1">INDIRECT("Data!A" &amp; 846)</f>
        <v>0</v>
      </c>
      <c r="H851" s="21" cm="1">
        <f t="array" aca="1" ref="H851" ca="1">INDIRECT("Data!B" &amp; 846)</f>
        <v>0</v>
      </c>
      <c r="I851" s="21" cm="1">
        <f t="array" aca="1" ref="I851" ca="1">INDIRECT("Data!C" &amp; 846)</f>
        <v>0</v>
      </c>
      <c r="J851" cm="1">
        <f t="array" aca="1" ref="J851" ca="1">INDIRECT("Data!D" &amp; 846)</f>
        <v>0</v>
      </c>
      <c r="K851" cm="1">
        <f t="array" aca="1" ref="K851" ca="1">INDIRECT("Data!E" &amp; 846)</f>
        <v>0</v>
      </c>
      <c r="L851" cm="1">
        <f t="array" aca="1" ref="L851" ca="1">INDIRECT("Data!F" &amp; 846)</f>
        <v>0</v>
      </c>
      <c r="M851" cm="1">
        <f t="array" aca="1" ref="M851" ca="1">INDIRECT("Data!G" &amp; 846)</f>
        <v>0</v>
      </c>
      <c r="N851" cm="1">
        <f t="array" aca="1" ref="N851" ca="1">INDIRECT("Data!H" &amp; 846)</f>
        <v>0</v>
      </c>
      <c r="O851" cm="1">
        <f t="array" aca="1" ref="O851" ca="1">INDIRECT("Data!I" &amp; 846)</f>
        <v>0</v>
      </c>
      <c r="P851" s="21" cm="1">
        <f t="array" aca="1" ref="P851" ca="1">INDIRECT("Data!J" &amp; 846)</f>
        <v>0</v>
      </c>
      <c r="Q851" cm="1">
        <f t="array" aca="1" ref="Q851" ca="1">INDIRECT("Data!K" &amp; 846)</f>
        <v>0</v>
      </c>
      <c r="R851" cm="1">
        <f t="array" aca="1" ref="R851" ca="1">INDIRECT("Data!L" &amp; 846)</f>
        <v>0</v>
      </c>
      <c r="S851" cm="1">
        <f t="array" aca="1" ref="S851" ca="1">INDIRECT("Data!M" &amp; 846)</f>
        <v>0</v>
      </c>
      <c r="T851" cm="1">
        <f t="array" aca="1" ref="T851" ca="1">INDIRECT("Data!N" &amp; 846)</f>
        <v>0</v>
      </c>
      <c r="U851" cm="1">
        <f t="array" aca="1" ref="U851" ca="1">INDIRECT("Data!O" &amp; 846)</f>
        <v>0</v>
      </c>
      <c r="V851" cm="1">
        <f t="array" aca="1" ref="V851" ca="1">INDIRECT("Data!P" &amp; 846)</f>
        <v>0</v>
      </c>
    </row>
    <row r="852" spans="7:22" x14ac:dyDescent="0.25">
      <c r="G852" cm="1">
        <f t="array" aca="1" ref="G852" ca="1">INDIRECT("Data!A" &amp; 847)</f>
        <v>0</v>
      </c>
      <c r="H852" s="21" cm="1">
        <f t="array" aca="1" ref="H852" ca="1">INDIRECT("Data!B" &amp; 847)</f>
        <v>0</v>
      </c>
      <c r="I852" s="21" cm="1">
        <f t="array" aca="1" ref="I852" ca="1">INDIRECT("Data!C" &amp; 847)</f>
        <v>0</v>
      </c>
      <c r="J852" cm="1">
        <f t="array" aca="1" ref="J852" ca="1">INDIRECT("Data!D" &amp; 847)</f>
        <v>0</v>
      </c>
      <c r="K852" cm="1">
        <f t="array" aca="1" ref="K852" ca="1">INDIRECT("Data!E" &amp; 847)</f>
        <v>0</v>
      </c>
      <c r="L852" cm="1">
        <f t="array" aca="1" ref="L852" ca="1">INDIRECT("Data!F" &amp; 847)</f>
        <v>0</v>
      </c>
      <c r="M852" cm="1">
        <f t="array" aca="1" ref="M852" ca="1">INDIRECT("Data!G" &amp; 847)</f>
        <v>0</v>
      </c>
      <c r="N852" cm="1">
        <f t="array" aca="1" ref="N852" ca="1">INDIRECT("Data!H" &amp; 847)</f>
        <v>0</v>
      </c>
      <c r="O852" cm="1">
        <f t="array" aca="1" ref="O852" ca="1">INDIRECT("Data!I" &amp; 847)</f>
        <v>0</v>
      </c>
      <c r="P852" s="21" cm="1">
        <f t="array" aca="1" ref="P852" ca="1">INDIRECT("Data!J" &amp; 847)</f>
        <v>0</v>
      </c>
      <c r="Q852" cm="1">
        <f t="array" aca="1" ref="Q852" ca="1">INDIRECT("Data!K" &amp; 847)</f>
        <v>0</v>
      </c>
      <c r="R852" cm="1">
        <f t="array" aca="1" ref="R852" ca="1">INDIRECT("Data!L" &amp; 847)</f>
        <v>0</v>
      </c>
      <c r="S852" cm="1">
        <f t="array" aca="1" ref="S852" ca="1">INDIRECT("Data!M" &amp; 847)</f>
        <v>0</v>
      </c>
      <c r="T852" cm="1">
        <f t="array" aca="1" ref="T852" ca="1">INDIRECT("Data!N" &amp; 847)</f>
        <v>0</v>
      </c>
      <c r="U852" cm="1">
        <f t="array" aca="1" ref="U852" ca="1">INDIRECT("Data!O" &amp; 847)</f>
        <v>0</v>
      </c>
      <c r="V852" cm="1">
        <f t="array" aca="1" ref="V852" ca="1">INDIRECT("Data!P" &amp; 847)</f>
        <v>0</v>
      </c>
    </row>
    <row r="853" spans="7:22" x14ac:dyDescent="0.25">
      <c r="G853" cm="1">
        <f t="array" aca="1" ref="G853" ca="1">INDIRECT("Data!A" &amp; 848)</f>
        <v>0</v>
      </c>
      <c r="H853" s="21" cm="1">
        <f t="array" aca="1" ref="H853" ca="1">INDIRECT("Data!B" &amp; 848)</f>
        <v>0</v>
      </c>
      <c r="I853" s="21" cm="1">
        <f t="array" aca="1" ref="I853" ca="1">INDIRECT("Data!C" &amp; 848)</f>
        <v>0</v>
      </c>
      <c r="J853" cm="1">
        <f t="array" aca="1" ref="J853" ca="1">INDIRECT("Data!D" &amp; 848)</f>
        <v>0</v>
      </c>
      <c r="K853" cm="1">
        <f t="array" aca="1" ref="K853" ca="1">INDIRECT("Data!E" &amp; 848)</f>
        <v>0</v>
      </c>
      <c r="L853" cm="1">
        <f t="array" aca="1" ref="L853" ca="1">INDIRECT("Data!F" &amp; 848)</f>
        <v>0</v>
      </c>
      <c r="M853" cm="1">
        <f t="array" aca="1" ref="M853" ca="1">INDIRECT("Data!G" &amp; 848)</f>
        <v>0</v>
      </c>
      <c r="N853" cm="1">
        <f t="array" aca="1" ref="N853" ca="1">INDIRECT("Data!H" &amp; 848)</f>
        <v>0</v>
      </c>
      <c r="O853" cm="1">
        <f t="array" aca="1" ref="O853" ca="1">INDIRECT("Data!I" &amp; 848)</f>
        <v>0</v>
      </c>
      <c r="P853" s="21" cm="1">
        <f t="array" aca="1" ref="P853" ca="1">INDIRECT("Data!J" &amp; 848)</f>
        <v>0</v>
      </c>
      <c r="Q853" cm="1">
        <f t="array" aca="1" ref="Q853" ca="1">INDIRECT("Data!K" &amp; 848)</f>
        <v>0</v>
      </c>
      <c r="R853" cm="1">
        <f t="array" aca="1" ref="R853" ca="1">INDIRECT("Data!L" &amp; 848)</f>
        <v>0</v>
      </c>
      <c r="S853" cm="1">
        <f t="array" aca="1" ref="S853" ca="1">INDIRECT("Data!M" &amp; 848)</f>
        <v>0</v>
      </c>
      <c r="T853" cm="1">
        <f t="array" aca="1" ref="T853" ca="1">INDIRECT("Data!N" &amp; 848)</f>
        <v>0</v>
      </c>
      <c r="U853" cm="1">
        <f t="array" aca="1" ref="U853" ca="1">INDIRECT("Data!O" &amp; 848)</f>
        <v>0</v>
      </c>
      <c r="V853" cm="1">
        <f t="array" aca="1" ref="V853" ca="1">INDIRECT("Data!P" &amp; 848)</f>
        <v>0</v>
      </c>
    </row>
    <row r="854" spans="7:22" x14ac:dyDescent="0.25">
      <c r="G854" cm="1">
        <f t="array" aca="1" ref="G854" ca="1">INDIRECT("Data!A" &amp; 849)</f>
        <v>0</v>
      </c>
      <c r="H854" s="21" cm="1">
        <f t="array" aca="1" ref="H854" ca="1">INDIRECT("Data!B" &amp; 849)</f>
        <v>0</v>
      </c>
      <c r="I854" s="21" cm="1">
        <f t="array" aca="1" ref="I854" ca="1">INDIRECT("Data!C" &amp; 849)</f>
        <v>0</v>
      </c>
      <c r="J854" cm="1">
        <f t="array" aca="1" ref="J854" ca="1">INDIRECT("Data!D" &amp; 849)</f>
        <v>0</v>
      </c>
      <c r="K854" cm="1">
        <f t="array" aca="1" ref="K854" ca="1">INDIRECT("Data!E" &amp; 849)</f>
        <v>0</v>
      </c>
      <c r="L854" cm="1">
        <f t="array" aca="1" ref="L854" ca="1">INDIRECT("Data!F" &amp; 849)</f>
        <v>0</v>
      </c>
      <c r="M854" cm="1">
        <f t="array" aca="1" ref="M854" ca="1">INDIRECT("Data!G" &amp; 849)</f>
        <v>0</v>
      </c>
      <c r="N854" cm="1">
        <f t="array" aca="1" ref="N854" ca="1">INDIRECT("Data!H" &amp; 849)</f>
        <v>0</v>
      </c>
      <c r="O854" cm="1">
        <f t="array" aca="1" ref="O854" ca="1">INDIRECT("Data!I" &amp; 849)</f>
        <v>0</v>
      </c>
      <c r="P854" s="21" cm="1">
        <f t="array" aca="1" ref="P854" ca="1">INDIRECT("Data!J" &amp; 849)</f>
        <v>0</v>
      </c>
      <c r="Q854" cm="1">
        <f t="array" aca="1" ref="Q854" ca="1">INDIRECT("Data!K" &amp; 849)</f>
        <v>0</v>
      </c>
      <c r="R854" cm="1">
        <f t="array" aca="1" ref="R854" ca="1">INDIRECT("Data!L" &amp; 849)</f>
        <v>0</v>
      </c>
      <c r="S854" cm="1">
        <f t="array" aca="1" ref="S854" ca="1">INDIRECT("Data!M" &amp; 849)</f>
        <v>0</v>
      </c>
      <c r="T854" cm="1">
        <f t="array" aca="1" ref="T854" ca="1">INDIRECT("Data!N" &amp; 849)</f>
        <v>0</v>
      </c>
      <c r="U854" cm="1">
        <f t="array" aca="1" ref="U854" ca="1">INDIRECT("Data!O" &amp; 849)</f>
        <v>0</v>
      </c>
      <c r="V854" cm="1">
        <f t="array" aca="1" ref="V854" ca="1">INDIRECT("Data!P" &amp; 849)</f>
        <v>0</v>
      </c>
    </row>
    <row r="855" spans="7:22" x14ac:dyDescent="0.25">
      <c r="G855" cm="1">
        <f t="array" aca="1" ref="G855" ca="1">INDIRECT("Data!A" &amp; 850)</f>
        <v>0</v>
      </c>
      <c r="H855" s="21" cm="1">
        <f t="array" aca="1" ref="H855" ca="1">INDIRECT("Data!B" &amp; 850)</f>
        <v>0</v>
      </c>
      <c r="I855" s="21" cm="1">
        <f t="array" aca="1" ref="I855" ca="1">INDIRECT("Data!C" &amp; 850)</f>
        <v>0</v>
      </c>
      <c r="J855" cm="1">
        <f t="array" aca="1" ref="J855" ca="1">INDIRECT("Data!D" &amp; 850)</f>
        <v>0</v>
      </c>
      <c r="K855" cm="1">
        <f t="array" aca="1" ref="K855" ca="1">INDIRECT("Data!E" &amp; 850)</f>
        <v>0</v>
      </c>
      <c r="L855" cm="1">
        <f t="array" aca="1" ref="L855" ca="1">INDIRECT("Data!F" &amp; 850)</f>
        <v>0</v>
      </c>
      <c r="M855" cm="1">
        <f t="array" aca="1" ref="M855" ca="1">INDIRECT("Data!G" &amp; 850)</f>
        <v>0</v>
      </c>
      <c r="N855" cm="1">
        <f t="array" aca="1" ref="N855" ca="1">INDIRECT("Data!H" &amp; 850)</f>
        <v>0</v>
      </c>
      <c r="O855" cm="1">
        <f t="array" aca="1" ref="O855" ca="1">INDIRECT("Data!I" &amp; 850)</f>
        <v>0</v>
      </c>
      <c r="P855" s="21" cm="1">
        <f t="array" aca="1" ref="P855" ca="1">INDIRECT("Data!J" &amp; 850)</f>
        <v>0</v>
      </c>
      <c r="Q855" cm="1">
        <f t="array" aca="1" ref="Q855" ca="1">INDIRECT("Data!K" &amp; 850)</f>
        <v>0</v>
      </c>
      <c r="R855" cm="1">
        <f t="array" aca="1" ref="R855" ca="1">INDIRECT("Data!L" &amp; 850)</f>
        <v>0</v>
      </c>
      <c r="S855" cm="1">
        <f t="array" aca="1" ref="S855" ca="1">INDIRECT("Data!M" &amp; 850)</f>
        <v>0</v>
      </c>
      <c r="T855" cm="1">
        <f t="array" aca="1" ref="T855" ca="1">INDIRECT("Data!N" &amp; 850)</f>
        <v>0</v>
      </c>
      <c r="U855" cm="1">
        <f t="array" aca="1" ref="U855" ca="1">INDIRECT("Data!O" &amp; 850)</f>
        <v>0</v>
      </c>
      <c r="V855" cm="1">
        <f t="array" aca="1" ref="V855" ca="1">INDIRECT("Data!P" &amp; 850)</f>
        <v>0</v>
      </c>
    </row>
    <row r="856" spans="7:22" x14ac:dyDescent="0.25">
      <c r="G856" cm="1">
        <f t="array" aca="1" ref="G856" ca="1">INDIRECT("Data!A" &amp; 851)</f>
        <v>0</v>
      </c>
      <c r="H856" s="21" cm="1">
        <f t="array" aca="1" ref="H856" ca="1">INDIRECT("Data!B" &amp; 851)</f>
        <v>0</v>
      </c>
      <c r="I856" s="21" cm="1">
        <f t="array" aca="1" ref="I856" ca="1">INDIRECT("Data!C" &amp; 851)</f>
        <v>0</v>
      </c>
      <c r="J856" cm="1">
        <f t="array" aca="1" ref="J856" ca="1">INDIRECT("Data!D" &amp; 851)</f>
        <v>0</v>
      </c>
      <c r="K856" cm="1">
        <f t="array" aca="1" ref="K856" ca="1">INDIRECT("Data!E" &amp; 851)</f>
        <v>0</v>
      </c>
      <c r="L856" cm="1">
        <f t="array" aca="1" ref="L856" ca="1">INDIRECT("Data!F" &amp; 851)</f>
        <v>0</v>
      </c>
      <c r="M856" cm="1">
        <f t="array" aca="1" ref="M856" ca="1">INDIRECT("Data!G" &amp; 851)</f>
        <v>0</v>
      </c>
      <c r="N856" cm="1">
        <f t="array" aca="1" ref="N856" ca="1">INDIRECT("Data!H" &amp; 851)</f>
        <v>0</v>
      </c>
      <c r="O856" cm="1">
        <f t="array" aca="1" ref="O856" ca="1">INDIRECT("Data!I" &amp; 851)</f>
        <v>0</v>
      </c>
      <c r="P856" s="21" cm="1">
        <f t="array" aca="1" ref="P856" ca="1">INDIRECT("Data!J" &amp; 851)</f>
        <v>0</v>
      </c>
      <c r="Q856" cm="1">
        <f t="array" aca="1" ref="Q856" ca="1">INDIRECT("Data!K" &amp; 851)</f>
        <v>0</v>
      </c>
      <c r="R856" cm="1">
        <f t="array" aca="1" ref="R856" ca="1">INDIRECT("Data!L" &amp; 851)</f>
        <v>0</v>
      </c>
      <c r="S856" cm="1">
        <f t="array" aca="1" ref="S856" ca="1">INDIRECT("Data!M" &amp; 851)</f>
        <v>0</v>
      </c>
      <c r="T856" cm="1">
        <f t="array" aca="1" ref="T856" ca="1">INDIRECT("Data!N" &amp; 851)</f>
        <v>0</v>
      </c>
      <c r="U856" cm="1">
        <f t="array" aca="1" ref="U856" ca="1">INDIRECT("Data!O" &amp; 851)</f>
        <v>0</v>
      </c>
      <c r="V856" cm="1">
        <f t="array" aca="1" ref="V856" ca="1">INDIRECT("Data!P" &amp; 851)</f>
        <v>0</v>
      </c>
    </row>
    <row r="857" spans="7:22" x14ac:dyDescent="0.25">
      <c r="G857" cm="1">
        <f t="array" aca="1" ref="G857" ca="1">INDIRECT("Data!A" &amp; 852)</f>
        <v>0</v>
      </c>
      <c r="H857" s="21" cm="1">
        <f t="array" aca="1" ref="H857" ca="1">INDIRECT("Data!B" &amp; 852)</f>
        <v>0</v>
      </c>
      <c r="I857" s="21" cm="1">
        <f t="array" aca="1" ref="I857" ca="1">INDIRECT("Data!C" &amp; 852)</f>
        <v>0</v>
      </c>
      <c r="J857" cm="1">
        <f t="array" aca="1" ref="J857" ca="1">INDIRECT("Data!D" &amp; 852)</f>
        <v>0</v>
      </c>
      <c r="K857" cm="1">
        <f t="array" aca="1" ref="K857" ca="1">INDIRECT("Data!E" &amp; 852)</f>
        <v>0</v>
      </c>
      <c r="L857" cm="1">
        <f t="array" aca="1" ref="L857" ca="1">INDIRECT("Data!F" &amp; 852)</f>
        <v>0</v>
      </c>
      <c r="M857" cm="1">
        <f t="array" aca="1" ref="M857" ca="1">INDIRECT("Data!G" &amp; 852)</f>
        <v>0</v>
      </c>
      <c r="N857" cm="1">
        <f t="array" aca="1" ref="N857" ca="1">INDIRECT("Data!H" &amp; 852)</f>
        <v>0</v>
      </c>
      <c r="O857" cm="1">
        <f t="array" aca="1" ref="O857" ca="1">INDIRECT("Data!I" &amp; 852)</f>
        <v>0</v>
      </c>
      <c r="P857" s="21" cm="1">
        <f t="array" aca="1" ref="P857" ca="1">INDIRECT("Data!J" &amp; 852)</f>
        <v>0</v>
      </c>
      <c r="Q857" cm="1">
        <f t="array" aca="1" ref="Q857" ca="1">INDIRECT("Data!K" &amp; 852)</f>
        <v>0</v>
      </c>
      <c r="R857" cm="1">
        <f t="array" aca="1" ref="R857" ca="1">INDIRECT("Data!L" &amp; 852)</f>
        <v>0</v>
      </c>
      <c r="S857" cm="1">
        <f t="array" aca="1" ref="S857" ca="1">INDIRECT("Data!M" &amp; 852)</f>
        <v>0</v>
      </c>
      <c r="T857" cm="1">
        <f t="array" aca="1" ref="T857" ca="1">INDIRECT("Data!N" &amp; 852)</f>
        <v>0</v>
      </c>
      <c r="U857" cm="1">
        <f t="array" aca="1" ref="U857" ca="1">INDIRECT("Data!O" &amp; 852)</f>
        <v>0</v>
      </c>
      <c r="V857" cm="1">
        <f t="array" aca="1" ref="V857" ca="1">INDIRECT("Data!P" &amp; 852)</f>
        <v>0</v>
      </c>
    </row>
    <row r="858" spans="7:22" x14ac:dyDescent="0.25">
      <c r="G858" cm="1">
        <f t="array" aca="1" ref="G858" ca="1">INDIRECT("Data!A" &amp; 853)</f>
        <v>0</v>
      </c>
      <c r="H858" s="21" cm="1">
        <f t="array" aca="1" ref="H858" ca="1">INDIRECT("Data!B" &amp; 853)</f>
        <v>0</v>
      </c>
      <c r="I858" s="21" cm="1">
        <f t="array" aca="1" ref="I858" ca="1">INDIRECT("Data!C" &amp; 853)</f>
        <v>0</v>
      </c>
      <c r="J858" cm="1">
        <f t="array" aca="1" ref="J858" ca="1">INDIRECT("Data!D" &amp; 853)</f>
        <v>0</v>
      </c>
      <c r="K858" cm="1">
        <f t="array" aca="1" ref="K858" ca="1">INDIRECT("Data!E" &amp; 853)</f>
        <v>0</v>
      </c>
      <c r="L858" cm="1">
        <f t="array" aca="1" ref="L858" ca="1">INDIRECT("Data!F" &amp; 853)</f>
        <v>0</v>
      </c>
      <c r="M858" cm="1">
        <f t="array" aca="1" ref="M858" ca="1">INDIRECT("Data!G" &amp; 853)</f>
        <v>0</v>
      </c>
      <c r="N858" cm="1">
        <f t="array" aca="1" ref="N858" ca="1">INDIRECT("Data!H" &amp; 853)</f>
        <v>0</v>
      </c>
      <c r="O858" cm="1">
        <f t="array" aca="1" ref="O858" ca="1">INDIRECT("Data!I" &amp; 853)</f>
        <v>0</v>
      </c>
      <c r="P858" s="21" cm="1">
        <f t="array" aca="1" ref="P858" ca="1">INDIRECT("Data!J" &amp; 853)</f>
        <v>0</v>
      </c>
      <c r="Q858" cm="1">
        <f t="array" aca="1" ref="Q858" ca="1">INDIRECT("Data!K" &amp; 853)</f>
        <v>0</v>
      </c>
      <c r="R858" cm="1">
        <f t="array" aca="1" ref="R858" ca="1">INDIRECT("Data!L" &amp; 853)</f>
        <v>0</v>
      </c>
      <c r="S858" cm="1">
        <f t="array" aca="1" ref="S858" ca="1">INDIRECT("Data!M" &amp; 853)</f>
        <v>0</v>
      </c>
      <c r="T858" cm="1">
        <f t="array" aca="1" ref="T858" ca="1">INDIRECT("Data!N" &amp; 853)</f>
        <v>0</v>
      </c>
      <c r="U858" cm="1">
        <f t="array" aca="1" ref="U858" ca="1">INDIRECT("Data!O" &amp; 853)</f>
        <v>0</v>
      </c>
      <c r="V858" cm="1">
        <f t="array" aca="1" ref="V858" ca="1">INDIRECT("Data!P" &amp; 853)</f>
        <v>0</v>
      </c>
    </row>
    <row r="859" spans="7:22" x14ac:dyDescent="0.25">
      <c r="G859" cm="1">
        <f t="array" aca="1" ref="G859" ca="1">INDIRECT("Data!A" &amp; 854)</f>
        <v>0</v>
      </c>
      <c r="H859" s="21" cm="1">
        <f t="array" aca="1" ref="H859" ca="1">INDIRECT("Data!B" &amp; 854)</f>
        <v>0</v>
      </c>
      <c r="I859" s="21" cm="1">
        <f t="array" aca="1" ref="I859" ca="1">INDIRECT("Data!C" &amp; 854)</f>
        <v>0</v>
      </c>
      <c r="J859" cm="1">
        <f t="array" aca="1" ref="J859" ca="1">INDIRECT("Data!D" &amp; 854)</f>
        <v>0</v>
      </c>
      <c r="K859" cm="1">
        <f t="array" aca="1" ref="K859" ca="1">INDIRECT("Data!E" &amp; 854)</f>
        <v>0</v>
      </c>
      <c r="L859" cm="1">
        <f t="array" aca="1" ref="L859" ca="1">INDIRECT("Data!F" &amp; 854)</f>
        <v>0</v>
      </c>
      <c r="M859" cm="1">
        <f t="array" aca="1" ref="M859" ca="1">INDIRECT("Data!G" &amp; 854)</f>
        <v>0</v>
      </c>
      <c r="N859" cm="1">
        <f t="array" aca="1" ref="N859" ca="1">INDIRECT("Data!H" &amp; 854)</f>
        <v>0</v>
      </c>
      <c r="O859" cm="1">
        <f t="array" aca="1" ref="O859" ca="1">INDIRECT("Data!I" &amp; 854)</f>
        <v>0</v>
      </c>
      <c r="P859" s="21" cm="1">
        <f t="array" aca="1" ref="P859" ca="1">INDIRECT("Data!J" &amp; 854)</f>
        <v>0</v>
      </c>
      <c r="Q859" cm="1">
        <f t="array" aca="1" ref="Q859" ca="1">INDIRECT("Data!K" &amp; 854)</f>
        <v>0</v>
      </c>
      <c r="R859" cm="1">
        <f t="array" aca="1" ref="R859" ca="1">INDIRECT("Data!L" &amp; 854)</f>
        <v>0</v>
      </c>
      <c r="S859" cm="1">
        <f t="array" aca="1" ref="S859" ca="1">INDIRECT("Data!M" &amp; 854)</f>
        <v>0</v>
      </c>
      <c r="T859" cm="1">
        <f t="array" aca="1" ref="T859" ca="1">INDIRECT("Data!N" &amp; 854)</f>
        <v>0</v>
      </c>
      <c r="U859" cm="1">
        <f t="array" aca="1" ref="U859" ca="1">INDIRECT("Data!O" &amp; 854)</f>
        <v>0</v>
      </c>
      <c r="V859" cm="1">
        <f t="array" aca="1" ref="V859" ca="1">INDIRECT("Data!P" &amp; 854)</f>
        <v>0</v>
      </c>
    </row>
    <row r="860" spans="7:22" x14ac:dyDescent="0.25">
      <c r="G860" cm="1">
        <f t="array" aca="1" ref="G860" ca="1">INDIRECT("Data!A" &amp; 855)</f>
        <v>0</v>
      </c>
      <c r="H860" s="21" cm="1">
        <f t="array" aca="1" ref="H860" ca="1">INDIRECT("Data!B" &amp; 855)</f>
        <v>0</v>
      </c>
      <c r="I860" s="21" cm="1">
        <f t="array" aca="1" ref="I860" ca="1">INDIRECT("Data!C" &amp; 855)</f>
        <v>0</v>
      </c>
      <c r="J860" cm="1">
        <f t="array" aca="1" ref="J860" ca="1">INDIRECT("Data!D" &amp; 855)</f>
        <v>0</v>
      </c>
      <c r="K860" cm="1">
        <f t="array" aca="1" ref="K860" ca="1">INDIRECT("Data!E" &amp; 855)</f>
        <v>0</v>
      </c>
      <c r="L860" cm="1">
        <f t="array" aca="1" ref="L860" ca="1">INDIRECT("Data!F" &amp; 855)</f>
        <v>0</v>
      </c>
      <c r="M860" cm="1">
        <f t="array" aca="1" ref="M860" ca="1">INDIRECT("Data!G" &amp; 855)</f>
        <v>0</v>
      </c>
      <c r="N860" cm="1">
        <f t="array" aca="1" ref="N860" ca="1">INDIRECT("Data!H" &amp; 855)</f>
        <v>0</v>
      </c>
      <c r="O860" cm="1">
        <f t="array" aca="1" ref="O860" ca="1">INDIRECT("Data!I" &amp; 855)</f>
        <v>0</v>
      </c>
      <c r="P860" s="21" cm="1">
        <f t="array" aca="1" ref="P860" ca="1">INDIRECT("Data!J" &amp; 855)</f>
        <v>0</v>
      </c>
      <c r="Q860" cm="1">
        <f t="array" aca="1" ref="Q860" ca="1">INDIRECT("Data!K" &amp; 855)</f>
        <v>0</v>
      </c>
      <c r="R860" cm="1">
        <f t="array" aca="1" ref="R860" ca="1">INDIRECT("Data!L" &amp; 855)</f>
        <v>0</v>
      </c>
      <c r="S860" cm="1">
        <f t="array" aca="1" ref="S860" ca="1">INDIRECT("Data!M" &amp; 855)</f>
        <v>0</v>
      </c>
      <c r="T860" cm="1">
        <f t="array" aca="1" ref="T860" ca="1">INDIRECT("Data!N" &amp; 855)</f>
        <v>0</v>
      </c>
      <c r="U860" cm="1">
        <f t="array" aca="1" ref="U860" ca="1">INDIRECT("Data!O" &amp; 855)</f>
        <v>0</v>
      </c>
      <c r="V860" cm="1">
        <f t="array" aca="1" ref="V860" ca="1">INDIRECT("Data!P" &amp; 855)</f>
        <v>0</v>
      </c>
    </row>
    <row r="861" spans="7:22" x14ac:dyDescent="0.25">
      <c r="G861" cm="1">
        <f t="array" aca="1" ref="G861" ca="1">INDIRECT("Data!A" &amp; 856)</f>
        <v>0</v>
      </c>
      <c r="H861" s="21" cm="1">
        <f t="array" aca="1" ref="H861" ca="1">INDIRECT("Data!B" &amp; 856)</f>
        <v>0</v>
      </c>
      <c r="I861" s="21" cm="1">
        <f t="array" aca="1" ref="I861" ca="1">INDIRECT("Data!C" &amp; 856)</f>
        <v>0</v>
      </c>
      <c r="J861" cm="1">
        <f t="array" aca="1" ref="J861" ca="1">INDIRECT("Data!D" &amp; 856)</f>
        <v>0</v>
      </c>
      <c r="K861" cm="1">
        <f t="array" aca="1" ref="K861" ca="1">INDIRECT("Data!E" &amp; 856)</f>
        <v>0</v>
      </c>
      <c r="L861" cm="1">
        <f t="array" aca="1" ref="L861" ca="1">INDIRECT("Data!F" &amp; 856)</f>
        <v>0</v>
      </c>
      <c r="M861" cm="1">
        <f t="array" aca="1" ref="M861" ca="1">INDIRECT("Data!G" &amp; 856)</f>
        <v>0</v>
      </c>
      <c r="N861" cm="1">
        <f t="array" aca="1" ref="N861" ca="1">INDIRECT("Data!H" &amp; 856)</f>
        <v>0</v>
      </c>
      <c r="O861" cm="1">
        <f t="array" aca="1" ref="O861" ca="1">INDIRECT("Data!I" &amp; 856)</f>
        <v>0</v>
      </c>
      <c r="P861" s="21" cm="1">
        <f t="array" aca="1" ref="P861" ca="1">INDIRECT("Data!J" &amp; 856)</f>
        <v>0</v>
      </c>
      <c r="Q861" cm="1">
        <f t="array" aca="1" ref="Q861" ca="1">INDIRECT("Data!K" &amp; 856)</f>
        <v>0</v>
      </c>
      <c r="R861" cm="1">
        <f t="array" aca="1" ref="R861" ca="1">INDIRECT("Data!L" &amp; 856)</f>
        <v>0</v>
      </c>
      <c r="S861" cm="1">
        <f t="array" aca="1" ref="S861" ca="1">INDIRECT("Data!M" &amp; 856)</f>
        <v>0</v>
      </c>
      <c r="T861" cm="1">
        <f t="array" aca="1" ref="T861" ca="1">INDIRECT("Data!N" &amp; 856)</f>
        <v>0</v>
      </c>
      <c r="U861" cm="1">
        <f t="array" aca="1" ref="U861" ca="1">INDIRECT("Data!O" &amp; 856)</f>
        <v>0</v>
      </c>
      <c r="V861" cm="1">
        <f t="array" aca="1" ref="V861" ca="1">INDIRECT("Data!P" &amp; 856)</f>
        <v>0</v>
      </c>
    </row>
    <row r="862" spans="7:22" x14ac:dyDescent="0.25">
      <c r="G862" cm="1">
        <f t="array" aca="1" ref="G862" ca="1">INDIRECT("Data!A" &amp; 857)</f>
        <v>0</v>
      </c>
      <c r="H862" s="21" cm="1">
        <f t="array" aca="1" ref="H862" ca="1">INDIRECT("Data!B" &amp; 857)</f>
        <v>0</v>
      </c>
      <c r="I862" s="21" cm="1">
        <f t="array" aca="1" ref="I862" ca="1">INDIRECT("Data!C" &amp; 857)</f>
        <v>0</v>
      </c>
      <c r="J862" cm="1">
        <f t="array" aca="1" ref="J862" ca="1">INDIRECT("Data!D" &amp; 857)</f>
        <v>0</v>
      </c>
      <c r="K862" cm="1">
        <f t="array" aca="1" ref="K862" ca="1">INDIRECT("Data!E" &amp; 857)</f>
        <v>0</v>
      </c>
      <c r="L862" cm="1">
        <f t="array" aca="1" ref="L862" ca="1">INDIRECT("Data!F" &amp; 857)</f>
        <v>0</v>
      </c>
      <c r="M862" cm="1">
        <f t="array" aca="1" ref="M862" ca="1">INDIRECT("Data!G" &amp; 857)</f>
        <v>0</v>
      </c>
      <c r="N862" cm="1">
        <f t="array" aca="1" ref="N862" ca="1">INDIRECT("Data!H" &amp; 857)</f>
        <v>0</v>
      </c>
      <c r="O862" cm="1">
        <f t="array" aca="1" ref="O862" ca="1">INDIRECT("Data!I" &amp; 857)</f>
        <v>0</v>
      </c>
      <c r="P862" s="21" cm="1">
        <f t="array" aca="1" ref="P862" ca="1">INDIRECT("Data!J" &amp; 857)</f>
        <v>0</v>
      </c>
      <c r="Q862" cm="1">
        <f t="array" aca="1" ref="Q862" ca="1">INDIRECT("Data!K" &amp; 857)</f>
        <v>0</v>
      </c>
      <c r="R862" cm="1">
        <f t="array" aca="1" ref="R862" ca="1">INDIRECT("Data!L" &amp; 857)</f>
        <v>0</v>
      </c>
      <c r="S862" cm="1">
        <f t="array" aca="1" ref="S862" ca="1">INDIRECT("Data!M" &amp; 857)</f>
        <v>0</v>
      </c>
      <c r="T862" cm="1">
        <f t="array" aca="1" ref="T862" ca="1">INDIRECT("Data!N" &amp; 857)</f>
        <v>0</v>
      </c>
      <c r="U862" cm="1">
        <f t="array" aca="1" ref="U862" ca="1">INDIRECT("Data!O" &amp; 857)</f>
        <v>0</v>
      </c>
      <c r="V862" cm="1">
        <f t="array" aca="1" ref="V862" ca="1">INDIRECT("Data!P" &amp; 857)</f>
        <v>0</v>
      </c>
    </row>
    <row r="863" spans="7:22" x14ac:dyDescent="0.25">
      <c r="G863" cm="1">
        <f t="array" aca="1" ref="G863" ca="1">INDIRECT("Data!A" &amp; 858)</f>
        <v>0</v>
      </c>
      <c r="H863" s="21" cm="1">
        <f t="array" aca="1" ref="H863" ca="1">INDIRECT("Data!B" &amp; 858)</f>
        <v>0</v>
      </c>
      <c r="I863" s="21" cm="1">
        <f t="array" aca="1" ref="I863" ca="1">INDIRECT("Data!C" &amp; 858)</f>
        <v>0</v>
      </c>
      <c r="J863" cm="1">
        <f t="array" aca="1" ref="J863" ca="1">INDIRECT("Data!D" &amp; 858)</f>
        <v>0</v>
      </c>
      <c r="K863" cm="1">
        <f t="array" aca="1" ref="K863" ca="1">INDIRECT("Data!E" &amp; 858)</f>
        <v>0</v>
      </c>
      <c r="L863" cm="1">
        <f t="array" aca="1" ref="L863" ca="1">INDIRECT("Data!F" &amp; 858)</f>
        <v>0</v>
      </c>
      <c r="M863" cm="1">
        <f t="array" aca="1" ref="M863" ca="1">INDIRECT("Data!G" &amp; 858)</f>
        <v>0</v>
      </c>
      <c r="N863" cm="1">
        <f t="array" aca="1" ref="N863" ca="1">INDIRECT("Data!H" &amp; 858)</f>
        <v>0</v>
      </c>
      <c r="O863" cm="1">
        <f t="array" aca="1" ref="O863" ca="1">INDIRECT("Data!I" &amp; 858)</f>
        <v>0</v>
      </c>
      <c r="P863" s="21" cm="1">
        <f t="array" aca="1" ref="P863" ca="1">INDIRECT("Data!J" &amp; 858)</f>
        <v>0</v>
      </c>
      <c r="Q863" cm="1">
        <f t="array" aca="1" ref="Q863" ca="1">INDIRECT("Data!K" &amp; 858)</f>
        <v>0</v>
      </c>
      <c r="R863" cm="1">
        <f t="array" aca="1" ref="R863" ca="1">INDIRECT("Data!L" &amp; 858)</f>
        <v>0</v>
      </c>
      <c r="S863" cm="1">
        <f t="array" aca="1" ref="S863" ca="1">INDIRECT("Data!M" &amp; 858)</f>
        <v>0</v>
      </c>
      <c r="T863" cm="1">
        <f t="array" aca="1" ref="T863" ca="1">INDIRECT("Data!N" &amp; 858)</f>
        <v>0</v>
      </c>
      <c r="U863" cm="1">
        <f t="array" aca="1" ref="U863" ca="1">INDIRECT("Data!O" &amp; 858)</f>
        <v>0</v>
      </c>
      <c r="V863" cm="1">
        <f t="array" aca="1" ref="V863" ca="1">INDIRECT("Data!P" &amp; 858)</f>
        <v>0</v>
      </c>
    </row>
    <row r="864" spans="7:22" x14ac:dyDescent="0.25">
      <c r="G864" cm="1">
        <f t="array" aca="1" ref="G864" ca="1">INDIRECT("Data!A" &amp; 859)</f>
        <v>0</v>
      </c>
      <c r="H864" s="21" cm="1">
        <f t="array" aca="1" ref="H864" ca="1">INDIRECT("Data!B" &amp; 859)</f>
        <v>0</v>
      </c>
      <c r="I864" s="21" cm="1">
        <f t="array" aca="1" ref="I864" ca="1">INDIRECT("Data!C" &amp; 859)</f>
        <v>0</v>
      </c>
      <c r="J864" cm="1">
        <f t="array" aca="1" ref="J864" ca="1">INDIRECT("Data!D" &amp; 859)</f>
        <v>0</v>
      </c>
      <c r="K864" cm="1">
        <f t="array" aca="1" ref="K864" ca="1">INDIRECT("Data!E" &amp; 859)</f>
        <v>0</v>
      </c>
      <c r="L864" cm="1">
        <f t="array" aca="1" ref="L864" ca="1">INDIRECT("Data!F" &amp; 859)</f>
        <v>0</v>
      </c>
      <c r="M864" cm="1">
        <f t="array" aca="1" ref="M864" ca="1">INDIRECT("Data!G" &amp; 859)</f>
        <v>0</v>
      </c>
      <c r="N864" cm="1">
        <f t="array" aca="1" ref="N864" ca="1">INDIRECT("Data!H" &amp; 859)</f>
        <v>0</v>
      </c>
      <c r="O864" cm="1">
        <f t="array" aca="1" ref="O864" ca="1">INDIRECT("Data!I" &amp; 859)</f>
        <v>0</v>
      </c>
      <c r="P864" s="21" cm="1">
        <f t="array" aca="1" ref="P864" ca="1">INDIRECT("Data!J" &amp; 859)</f>
        <v>0</v>
      </c>
      <c r="Q864" cm="1">
        <f t="array" aca="1" ref="Q864" ca="1">INDIRECT("Data!K" &amp; 859)</f>
        <v>0</v>
      </c>
      <c r="R864" cm="1">
        <f t="array" aca="1" ref="R864" ca="1">INDIRECT("Data!L" &amp; 859)</f>
        <v>0</v>
      </c>
      <c r="S864" cm="1">
        <f t="array" aca="1" ref="S864" ca="1">INDIRECT("Data!M" &amp; 859)</f>
        <v>0</v>
      </c>
      <c r="T864" cm="1">
        <f t="array" aca="1" ref="T864" ca="1">INDIRECT("Data!N" &amp; 859)</f>
        <v>0</v>
      </c>
      <c r="U864" cm="1">
        <f t="array" aca="1" ref="U864" ca="1">INDIRECT("Data!O" &amp; 859)</f>
        <v>0</v>
      </c>
      <c r="V864" cm="1">
        <f t="array" aca="1" ref="V864" ca="1">INDIRECT("Data!P" &amp; 859)</f>
        <v>0</v>
      </c>
    </row>
    <row r="865" spans="7:22" x14ac:dyDescent="0.25">
      <c r="G865" cm="1">
        <f t="array" aca="1" ref="G865" ca="1">INDIRECT("Data!A" &amp; 860)</f>
        <v>0</v>
      </c>
      <c r="H865" s="21" cm="1">
        <f t="array" aca="1" ref="H865" ca="1">INDIRECT("Data!B" &amp; 860)</f>
        <v>0</v>
      </c>
      <c r="I865" s="21" cm="1">
        <f t="array" aca="1" ref="I865" ca="1">INDIRECT("Data!C" &amp; 860)</f>
        <v>0</v>
      </c>
      <c r="J865" cm="1">
        <f t="array" aca="1" ref="J865" ca="1">INDIRECT("Data!D" &amp; 860)</f>
        <v>0</v>
      </c>
      <c r="K865" cm="1">
        <f t="array" aca="1" ref="K865" ca="1">INDIRECT("Data!E" &amp; 860)</f>
        <v>0</v>
      </c>
      <c r="L865" cm="1">
        <f t="array" aca="1" ref="L865" ca="1">INDIRECT("Data!F" &amp; 860)</f>
        <v>0</v>
      </c>
      <c r="M865" cm="1">
        <f t="array" aca="1" ref="M865" ca="1">INDIRECT("Data!G" &amp; 860)</f>
        <v>0</v>
      </c>
      <c r="N865" cm="1">
        <f t="array" aca="1" ref="N865" ca="1">INDIRECT("Data!H" &amp; 860)</f>
        <v>0</v>
      </c>
      <c r="O865" cm="1">
        <f t="array" aca="1" ref="O865" ca="1">INDIRECT("Data!I" &amp; 860)</f>
        <v>0</v>
      </c>
      <c r="P865" s="21" cm="1">
        <f t="array" aca="1" ref="P865" ca="1">INDIRECT("Data!J" &amp; 860)</f>
        <v>0</v>
      </c>
      <c r="Q865" cm="1">
        <f t="array" aca="1" ref="Q865" ca="1">INDIRECT("Data!K" &amp; 860)</f>
        <v>0</v>
      </c>
      <c r="R865" cm="1">
        <f t="array" aca="1" ref="R865" ca="1">INDIRECT("Data!L" &amp; 860)</f>
        <v>0</v>
      </c>
      <c r="S865" cm="1">
        <f t="array" aca="1" ref="S865" ca="1">INDIRECT("Data!M" &amp; 860)</f>
        <v>0</v>
      </c>
      <c r="T865" cm="1">
        <f t="array" aca="1" ref="T865" ca="1">INDIRECT("Data!N" &amp; 860)</f>
        <v>0</v>
      </c>
      <c r="U865" cm="1">
        <f t="array" aca="1" ref="U865" ca="1">INDIRECT("Data!O" &amp; 860)</f>
        <v>0</v>
      </c>
      <c r="V865" cm="1">
        <f t="array" aca="1" ref="V865" ca="1">INDIRECT("Data!P" &amp; 860)</f>
        <v>0</v>
      </c>
    </row>
    <row r="866" spans="7:22" x14ac:dyDescent="0.25">
      <c r="G866" cm="1">
        <f t="array" aca="1" ref="G866" ca="1">INDIRECT("Data!A" &amp; 861)</f>
        <v>0</v>
      </c>
      <c r="H866" s="21" cm="1">
        <f t="array" aca="1" ref="H866" ca="1">INDIRECT("Data!B" &amp; 861)</f>
        <v>0</v>
      </c>
      <c r="I866" s="21" cm="1">
        <f t="array" aca="1" ref="I866" ca="1">INDIRECT("Data!C" &amp; 861)</f>
        <v>0</v>
      </c>
      <c r="J866" cm="1">
        <f t="array" aca="1" ref="J866" ca="1">INDIRECT("Data!D" &amp; 861)</f>
        <v>0</v>
      </c>
      <c r="K866" cm="1">
        <f t="array" aca="1" ref="K866" ca="1">INDIRECT("Data!E" &amp; 861)</f>
        <v>0</v>
      </c>
      <c r="L866" cm="1">
        <f t="array" aca="1" ref="L866" ca="1">INDIRECT("Data!F" &amp; 861)</f>
        <v>0</v>
      </c>
      <c r="M866" cm="1">
        <f t="array" aca="1" ref="M866" ca="1">INDIRECT("Data!G" &amp; 861)</f>
        <v>0</v>
      </c>
      <c r="N866" cm="1">
        <f t="array" aca="1" ref="N866" ca="1">INDIRECT("Data!H" &amp; 861)</f>
        <v>0</v>
      </c>
      <c r="O866" cm="1">
        <f t="array" aca="1" ref="O866" ca="1">INDIRECT("Data!I" &amp; 861)</f>
        <v>0</v>
      </c>
      <c r="P866" s="21" cm="1">
        <f t="array" aca="1" ref="P866" ca="1">INDIRECT("Data!J" &amp; 861)</f>
        <v>0</v>
      </c>
      <c r="Q866" cm="1">
        <f t="array" aca="1" ref="Q866" ca="1">INDIRECT("Data!K" &amp; 861)</f>
        <v>0</v>
      </c>
      <c r="R866" cm="1">
        <f t="array" aca="1" ref="R866" ca="1">INDIRECT("Data!L" &amp; 861)</f>
        <v>0</v>
      </c>
      <c r="S866" cm="1">
        <f t="array" aca="1" ref="S866" ca="1">INDIRECT("Data!M" &amp; 861)</f>
        <v>0</v>
      </c>
      <c r="T866" cm="1">
        <f t="array" aca="1" ref="T866" ca="1">INDIRECT("Data!N" &amp; 861)</f>
        <v>0</v>
      </c>
      <c r="U866" cm="1">
        <f t="array" aca="1" ref="U866" ca="1">INDIRECT("Data!O" &amp; 861)</f>
        <v>0</v>
      </c>
      <c r="V866" cm="1">
        <f t="array" aca="1" ref="V866" ca="1">INDIRECT("Data!P" &amp; 861)</f>
        <v>0</v>
      </c>
    </row>
    <row r="867" spans="7:22" x14ac:dyDescent="0.25">
      <c r="G867" cm="1">
        <f t="array" aca="1" ref="G867" ca="1">INDIRECT("Data!A" &amp; 862)</f>
        <v>0</v>
      </c>
      <c r="H867" s="21" cm="1">
        <f t="array" aca="1" ref="H867" ca="1">INDIRECT("Data!B" &amp; 862)</f>
        <v>0</v>
      </c>
      <c r="I867" s="21" cm="1">
        <f t="array" aca="1" ref="I867" ca="1">INDIRECT("Data!C" &amp; 862)</f>
        <v>0</v>
      </c>
      <c r="J867" cm="1">
        <f t="array" aca="1" ref="J867" ca="1">INDIRECT("Data!D" &amp; 862)</f>
        <v>0</v>
      </c>
      <c r="K867" cm="1">
        <f t="array" aca="1" ref="K867" ca="1">INDIRECT("Data!E" &amp; 862)</f>
        <v>0</v>
      </c>
      <c r="L867" cm="1">
        <f t="array" aca="1" ref="L867" ca="1">INDIRECT("Data!F" &amp; 862)</f>
        <v>0</v>
      </c>
      <c r="M867" cm="1">
        <f t="array" aca="1" ref="M867" ca="1">INDIRECT("Data!G" &amp; 862)</f>
        <v>0</v>
      </c>
      <c r="N867" cm="1">
        <f t="array" aca="1" ref="N867" ca="1">INDIRECT("Data!H" &amp; 862)</f>
        <v>0</v>
      </c>
      <c r="O867" cm="1">
        <f t="array" aca="1" ref="O867" ca="1">INDIRECT("Data!I" &amp; 862)</f>
        <v>0</v>
      </c>
      <c r="P867" s="21" cm="1">
        <f t="array" aca="1" ref="P867" ca="1">INDIRECT("Data!J" &amp; 862)</f>
        <v>0</v>
      </c>
      <c r="Q867" cm="1">
        <f t="array" aca="1" ref="Q867" ca="1">INDIRECT("Data!K" &amp; 862)</f>
        <v>0</v>
      </c>
      <c r="R867" cm="1">
        <f t="array" aca="1" ref="R867" ca="1">INDIRECT("Data!L" &amp; 862)</f>
        <v>0</v>
      </c>
      <c r="S867" cm="1">
        <f t="array" aca="1" ref="S867" ca="1">INDIRECT("Data!M" &amp; 862)</f>
        <v>0</v>
      </c>
      <c r="T867" cm="1">
        <f t="array" aca="1" ref="T867" ca="1">INDIRECT("Data!N" &amp; 862)</f>
        <v>0</v>
      </c>
      <c r="U867" cm="1">
        <f t="array" aca="1" ref="U867" ca="1">INDIRECT("Data!O" &amp; 862)</f>
        <v>0</v>
      </c>
      <c r="V867" cm="1">
        <f t="array" aca="1" ref="V867" ca="1">INDIRECT("Data!P" &amp; 862)</f>
        <v>0</v>
      </c>
    </row>
    <row r="868" spans="7:22" x14ac:dyDescent="0.25">
      <c r="G868" cm="1">
        <f t="array" aca="1" ref="G868" ca="1">INDIRECT("Data!A" &amp; 863)</f>
        <v>0</v>
      </c>
      <c r="H868" s="21" cm="1">
        <f t="array" aca="1" ref="H868" ca="1">INDIRECT("Data!B" &amp; 863)</f>
        <v>0</v>
      </c>
      <c r="I868" s="21" cm="1">
        <f t="array" aca="1" ref="I868" ca="1">INDIRECT("Data!C" &amp; 863)</f>
        <v>0</v>
      </c>
      <c r="J868" cm="1">
        <f t="array" aca="1" ref="J868" ca="1">INDIRECT("Data!D" &amp; 863)</f>
        <v>0</v>
      </c>
      <c r="K868" cm="1">
        <f t="array" aca="1" ref="K868" ca="1">INDIRECT("Data!E" &amp; 863)</f>
        <v>0</v>
      </c>
      <c r="L868" cm="1">
        <f t="array" aca="1" ref="L868" ca="1">INDIRECT("Data!F" &amp; 863)</f>
        <v>0</v>
      </c>
      <c r="M868" cm="1">
        <f t="array" aca="1" ref="M868" ca="1">INDIRECT("Data!G" &amp; 863)</f>
        <v>0</v>
      </c>
      <c r="N868" cm="1">
        <f t="array" aca="1" ref="N868" ca="1">INDIRECT("Data!H" &amp; 863)</f>
        <v>0</v>
      </c>
      <c r="O868" cm="1">
        <f t="array" aca="1" ref="O868" ca="1">INDIRECT("Data!I" &amp; 863)</f>
        <v>0</v>
      </c>
      <c r="P868" s="21" cm="1">
        <f t="array" aca="1" ref="P868" ca="1">INDIRECT("Data!J" &amp; 863)</f>
        <v>0</v>
      </c>
      <c r="Q868" cm="1">
        <f t="array" aca="1" ref="Q868" ca="1">INDIRECT("Data!K" &amp; 863)</f>
        <v>0</v>
      </c>
      <c r="R868" cm="1">
        <f t="array" aca="1" ref="R868" ca="1">INDIRECT("Data!L" &amp; 863)</f>
        <v>0</v>
      </c>
      <c r="S868" cm="1">
        <f t="array" aca="1" ref="S868" ca="1">INDIRECT("Data!M" &amp; 863)</f>
        <v>0</v>
      </c>
      <c r="T868" cm="1">
        <f t="array" aca="1" ref="T868" ca="1">INDIRECT("Data!N" &amp; 863)</f>
        <v>0</v>
      </c>
      <c r="U868" cm="1">
        <f t="array" aca="1" ref="U868" ca="1">INDIRECT("Data!O" &amp; 863)</f>
        <v>0</v>
      </c>
      <c r="V868" cm="1">
        <f t="array" aca="1" ref="V868" ca="1">INDIRECT("Data!P" &amp; 863)</f>
        <v>0</v>
      </c>
    </row>
    <row r="869" spans="7:22" x14ac:dyDescent="0.25">
      <c r="G869" cm="1">
        <f t="array" aca="1" ref="G869" ca="1">INDIRECT("Data!A" &amp; 864)</f>
        <v>0</v>
      </c>
      <c r="H869" s="21" cm="1">
        <f t="array" aca="1" ref="H869" ca="1">INDIRECT("Data!B" &amp; 864)</f>
        <v>0</v>
      </c>
      <c r="I869" s="21" cm="1">
        <f t="array" aca="1" ref="I869" ca="1">INDIRECT("Data!C" &amp; 864)</f>
        <v>0</v>
      </c>
      <c r="J869" cm="1">
        <f t="array" aca="1" ref="J869" ca="1">INDIRECT("Data!D" &amp; 864)</f>
        <v>0</v>
      </c>
      <c r="K869" cm="1">
        <f t="array" aca="1" ref="K869" ca="1">INDIRECT("Data!E" &amp; 864)</f>
        <v>0</v>
      </c>
      <c r="L869" cm="1">
        <f t="array" aca="1" ref="L869" ca="1">INDIRECT("Data!F" &amp; 864)</f>
        <v>0</v>
      </c>
      <c r="M869" cm="1">
        <f t="array" aca="1" ref="M869" ca="1">INDIRECT("Data!G" &amp; 864)</f>
        <v>0</v>
      </c>
      <c r="N869" cm="1">
        <f t="array" aca="1" ref="N869" ca="1">INDIRECT("Data!H" &amp; 864)</f>
        <v>0</v>
      </c>
      <c r="O869" cm="1">
        <f t="array" aca="1" ref="O869" ca="1">INDIRECT("Data!I" &amp; 864)</f>
        <v>0</v>
      </c>
      <c r="P869" s="21" cm="1">
        <f t="array" aca="1" ref="P869" ca="1">INDIRECT("Data!J" &amp; 864)</f>
        <v>0</v>
      </c>
      <c r="Q869" cm="1">
        <f t="array" aca="1" ref="Q869" ca="1">INDIRECT("Data!K" &amp; 864)</f>
        <v>0</v>
      </c>
      <c r="R869" cm="1">
        <f t="array" aca="1" ref="R869" ca="1">INDIRECT("Data!L" &amp; 864)</f>
        <v>0</v>
      </c>
      <c r="S869" cm="1">
        <f t="array" aca="1" ref="S869" ca="1">INDIRECT("Data!M" &amp; 864)</f>
        <v>0</v>
      </c>
      <c r="T869" cm="1">
        <f t="array" aca="1" ref="T869" ca="1">INDIRECT("Data!N" &amp; 864)</f>
        <v>0</v>
      </c>
      <c r="U869" cm="1">
        <f t="array" aca="1" ref="U869" ca="1">INDIRECT("Data!O" &amp; 864)</f>
        <v>0</v>
      </c>
      <c r="V869" cm="1">
        <f t="array" aca="1" ref="V869" ca="1">INDIRECT("Data!P" &amp; 864)</f>
        <v>0</v>
      </c>
    </row>
    <row r="870" spans="7:22" x14ac:dyDescent="0.25">
      <c r="G870" cm="1">
        <f t="array" aca="1" ref="G870" ca="1">INDIRECT("Data!A" &amp; 865)</f>
        <v>0</v>
      </c>
      <c r="H870" s="21" cm="1">
        <f t="array" aca="1" ref="H870" ca="1">INDIRECT("Data!B" &amp; 865)</f>
        <v>0</v>
      </c>
      <c r="I870" s="21" cm="1">
        <f t="array" aca="1" ref="I870" ca="1">INDIRECT("Data!C" &amp; 865)</f>
        <v>0</v>
      </c>
      <c r="J870" cm="1">
        <f t="array" aca="1" ref="J870" ca="1">INDIRECT("Data!D" &amp; 865)</f>
        <v>0</v>
      </c>
      <c r="K870" cm="1">
        <f t="array" aca="1" ref="K870" ca="1">INDIRECT("Data!E" &amp; 865)</f>
        <v>0</v>
      </c>
      <c r="L870" cm="1">
        <f t="array" aca="1" ref="L870" ca="1">INDIRECT("Data!F" &amp; 865)</f>
        <v>0</v>
      </c>
      <c r="M870" cm="1">
        <f t="array" aca="1" ref="M870" ca="1">INDIRECT("Data!G" &amp; 865)</f>
        <v>0</v>
      </c>
      <c r="N870" cm="1">
        <f t="array" aca="1" ref="N870" ca="1">INDIRECT("Data!H" &amp; 865)</f>
        <v>0</v>
      </c>
      <c r="O870" cm="1">
        <f t="array" aca="1" ref="O870" ca="1">INDIRECT("Data!I" &amp; 865)</f>
        <v>0</v>
      </c>
      <c r="P870" s="21" cm="1">
        <f t="array" aca="1" ref="P870" ca="1">INDIRECT("Data!J" &amp; 865)</f>
        <v>0</v>
      </c>
      <c r="Q870" cm="1">
        <f t="array" aca="1" ref="Q870" ca="1">INDIRECT("Data!K" &amp; 865)</f>
        <v>0</v>
      </c>
      <c r="R870" cm="1">
        <f t="array" aca="1" ref="R870" ca="1">INDIRECT("Data!L" &amp; 865)</f>
        <v>0</v>
      </c>
      <c r="S870" cm="1">
        <f t="array" aca="1" ref="S870" ca="1">INDIRECT("Data!M" &amp; 865)</f>
        <v>0</v>
      </c>
      <c r="T870" cm="1">
        <f t="array" aca="1" ref="T870" ca="1">INDIRECT("Data!N" &amp; 865)</f>
        <v>0</v>
      </c>
      <c r="U870" cm="1">
        <f t="array" aca="1" ref="U870" ca="1">INDIRECT("Data!O" &amp; 865)</f>
        <v>0</v>
      </c>
      <c r="V870" cm="1">
        <f t="array" aca="1" ref="V870" ca="1">INDIRECT("Data!P" &amp; 865)</f>
        <v>0</v>
      </c>
    </row>
    <row r="871" spans="7:22" x14ac:dyDescent="0.25">
      <c r="G871" cm="1">
        <f t="array" aca="1" ref="G871" ca="1">INDIRECT("Data!A" &amp; 866)</f>
        <v>0</v>
      </c>
      <c r="H871" s="21" cm="1">
        <f t="array" aca="1" ref="H871" ca="1">INDIRECT("Data!B" &amp; 866)</f>
        <v>0</v>
      </c>
      <c r="I871" s="21" cm="1">
        <f t="array" aca="1" ref="I871" ca="1">INDIRECT("Data!C" &amp; 866)</f>
        <v>0</v>
      </c>
      <c r="J871" cm="1">
        <f t="array" aca="1" ref="J871" ca="1">INDIRECT("Data!D" &amp; 866)</f>
        <v>0</v>
      </c>
      <c r="K871" cm="1">
        <f t="array" aca="1" ref="K871" ca="1">INDIRECT("Data!E" &amp; 866)</f>
        <v>0</v>
      </c>
      <c r="L871" cm="1">
        <f t="array" aca="1" ref="L871" ca="1">INDIRECT("Data!F" &amp; 866)</f>
        <v>0</v>
      </c>
      <c r="M871" cm="1">
        <f t="array" aca="1" ref="M871" ca="1">INDIRECT("Data!G" &amp; 866)</f>
        <v>0</v>
      </c>
      <c r="N871" cm="1">
        <f t="array" aca="1" ref="N871" ca="1">INDIRECT("Data!H" &amp; 866)</f>
        <v>0</v>
      </c>
      <c r="O871" cm="1">
        <f t="array" aca="1" ref="O871" ca="1">INDIRECT("Data!I" &amp; 866)</f>
        <v>0</v>
      </c>
      <c r="P871" s="21" cm="1">
        <f t="array" aca="1" ref="P871" ca="1">INDIRECT("Data!J" &amp; 866)</f>
        <v>0</v>
      </c>
      <c r="Q871" cm="1">
        <f t="array" aca="1" ref="Q871" ca="1">INDIRECT("Data!K" &amp; 866)</f>
        <v>0</v>
      </c>
      <c r="R871" cm="1">
        <f t="array" aca="1" ref="R871" ca="1">INDIRECT("Data!L" &amp; 866)</f>
        <v>0</v>
      </c>
      <c r="S871" cm="1">
        <f t="array" aca="1" ref="S871" ca="1">INDIRECT("Data!M" &amp; 866)</f>
        <v>0</v>
      </c>
      <c r="T871" cm="1">
        <f t="array" aca="1" ref="T871" ca="1">INDIRECT("Data!N" &amp; 866)</f>
        <v>0</v>
      </c>
      <c r="U871" cm="1">
        <f t="array" aca="1" ref="U871" ca="1">INDIRECT("Data!O" &amp; 866)</f>
        <v>0</v>
      </c>
      <c r="V871" cm="1">
        <f t="array" aca="1" ref="V871" ca="1">INDIRECT("Data!P" &amp; 866)</f>
        <v>0</v>
      </c>
    </row>
    <row r="872" spans="7:22" x14ac:dyDescent="0.25">
      <c r="G872" cm="1">
        <f t="array" aca="1" ref="G872" ca="1">INDIRECT("Data!A" &amp; 867)</f>
        <v>0</v>
      </c>
      <c r="H872" s="21" cm="1">
        <f t="array" aca="1" ref="H872" ca="1">INDIRECT("Data!B" &amp; 867)</f>
        <v>0</v>
      </c>
      <c r="I872" s="21" cm="1">
        <f t="array" aca="1" ref="I872" ca="1">INDIRECT("Data!C" &amp; 867)</f>
        <v>0</v>
      </c>
      <c r="J872" cm="1">
        <f t="array" aca="1" ref="J872" ca="1">INDIRECT("Data!D" &amp; 867)</f>
        <v>0</v>
      </c>
      <c r="K872" cm="1">
        <f t="array" aca="1" ref="K872" ca="1">INDIRECT("Data!E" &amp; 867)</f>
        <v>0</v>
      </c>
      <c r="L872" cm="1">
        <f t="array" aca="1" ref="L872" ca="1">INDIRECT("Data!F" &amp; 867)</f>
        <v>0</v>
      </c>
      <c r="M872" cm="1">
        <f t="array" aca="1" ref="M872" ca="1">INDIRECT("Data!G" &amp; 867)</f>
        <v>0</v>
      </c>
      <c r="N872" cm="1">
        <f t="array" aca="1" ref="N872" ca="1">INDIRECT("Data!H" &amp; 867)</f>
        <v>0</v>
      </c>
      <c r="O872" cm="1">
        <f t="array" aca="1" ref="O872" ca="1">INDIRECT("Data!I" &amp; 867)</f>
        <v>0</v>
      </c>
      <c r="P872" s="21" cm="1">
        <f t="array" aca="1" ref="P872" ca="1">INDIRECT("Data!J" &amp; 867)</f>
        <v>0</v>
      </c>
      <c r="Q872" cm="1">
        <f t="array" aca="1" ref="Q872" ca="1">INDIRECT("Data!K" &amp; 867)</f>
        <v>0</v>
      </c>
      <c r="R872" cm="1">
        <f t="array" aca="1" ref="R872" ca="1">INDIRECT("Data!L" &amp; 867)</f>
        <v>0</v>
      </c>
      <c r="S872" cm="1">
        <f t="array" aca="1" ref="S872" ca="1">INDIRECT("Data!M" &amp; 867)</f>
        <v>0</v>
      </c>
      <c r="T872" cm="1">
        <f t="array" aca="1" ref="T872" ca="1">INDIRECT("Data!N" &amp; 867)</f>
        <v>0</v>
      </c>
      <c r="U872" cm="1">
        <f t="array" aca="1" ref="U872" ca="1">INDIRECT("Data!O" &amp; 867)</f>
        <v>0</v>
      </c>
      <c r="V872" cm="1">
        <f t="array" aca="1" ref="V872" ca="1">INDIRECT("Data!P" &amp; 867)</f>
        <v>0</v>
      </c>
    </row>
    <row r="873" spans="7:22" x14ac:dyDescent="0.25">
      <c r="G873" cm="1">
        <f t="array" aca="1" ref="G873" ca="1">INDIRECT("Data!A" &amp; 868)</f>
        <v>0</v>
      </c>
      <c r="H873" s="21" cm="1">
        <f t="array" aca="1" ref="H873" ca="1">INDIRECT("Data!B" &amp; 868)</f>
        <v>0</v>
      </c>
      <c r="I873" s="21" cm="1">
        <f t="array" aca="1" ref="I873" ca="1">INDIRECT("Data!C" &amp; 868)</f>
        <v>0</v>
      </c>
      <c r="J873" cm="1">
        <f t="array" aca="1" ref="J873" ca="1">INDIRECT("Data!D" &amp; 868)</f>
        <v>0</v>
      </c>
      <c r="K873" cm="1">
        <f t="array" aca="1" ref="K873" ca="1">INDIRECT("Data!E" &amp; 868)</f>
        <v>0</v>
      </c>
      <c r="L873" cm="1">
        <f t="array" aca="1" ref="L873" ca="1">INDIRECT("Data!F" &amp; 868)</f>
        <v>0</v>
      </c>
      <c r="M873" cm="1">
        <f t="array" aca="1" ref="M873" ca="1">INDIRECT("Data!G" &amp; 868)</f>
        <v>0</v>
      </c>
      <c r="N873" cm="1">
        <f t="array" aca="1" ref="N873" ca="1">INDIRECT("Data!H" &amp; 868)</f>
        <v>0</v>
      </c>
      <c r="O873" cm="1">
        <f t="array" aca="1" ref="O873" ca="1">INDIRECT("Data!I" &amp; 868)</f>
        <v>0</v>
      </c>
      <c r="P873" s="21" cm="1">
        <f t="array" aca="1" ref="P873" ca="1">INDIRECT("Data!J" &amp; 868)</f>
        <v>0</v>
      </c>
      <c r="Q873" cm="1">
        <f t="array" aca="1" ref="Q873" ca="1">INDIRECT("Data!K" &amp; 868)</f>
        <v>0</v>
      </c>
      <c r="R873" cm="1">
        <f t="array" aca="1" ref="R873" ca="1">INDIRECT("Data!L" &amp; 868)</f>
        <v>0</v>
      </c>
      <c r="S873" cm="1">
        <f t="array" aca="1" ref="S873" ca="1">INDIRECT("Data!M" &amp; 868)</f>
        <v>0</v>
      </c>
      <c r="T873" cm="1">
        <f t="array" aca="1" ref="T873" ca="1">INDIRECT("Data!N" &amp; 868)</f>
        <v>0</v>
      </c>
      <c r="U873" cm="1">
        <f t="array" aca="1" ref="U873" ca="1">INDIRECT("Data!O" &amp; 868)</f>
        <v>0</v>
      </c>
      <c r="V873" cm="1">
        <f t="array" aca="1" ref="V873" ca="1">INDIRECT("Data!P" &amp; 868)</f>
        <v>0</v>
      </c>
    </row>
    <row r="874" spans="7:22" x14ac:dyDescent="0.25">
      <c r="G874" cm="1">
        <f t="array" aca="1" ref="G874" ca="1">INDIRECT("Data!A" &amp; 869)</f>
        <v>0</v>
      </c>
      <c r="H874" s="21" cm="1">
        <f t="array" aca="1" ref="H874" ca="1">INDIRECT("Data!B" &amp; 869)</f>
        <v>0</v>
      </c>
      <c r="I874" s="21" cm="1">
        <f t="array" aca="1" ref="I874" ca="1">INDIRECT("Data!C" &amp; 869)</f>
        <v>0</v>
      </c>
      <c r="J874" cm="1">
        <f t="array" aca="1" ref="J874" ca="1">INDIRECT("Data!D" &amp; 869)</f>
        <v>0</v>
      </c>
      <c r="K874" cm="1">
        <f t="array" aca="1" ref="K874" ca="1">INDIRECT("Data!E" &amp; 869)</f>
        <v>0</v>
      </c>
      <c r="L874" cm="1">
        <f t="array" aca="1" ref="L874" ca="1">INDIRECT("Data!F" &amp; 869)</f>
        <v>0</v>
      </c>
      <c r="M874" cm="1">
        <f t="array" aca="1" ref="M874" ca="1">INDIRECT("Data!G" &amp; 869)</f>
        <v>0</v>
      </c>
      <c r="N874" cm="1">
        <f t="array" aca="1" ref="N874" ca="1">INDIRECT("Data!H" &amp; 869)</f>
        <v>0</v>
      </c>
      <c r="O874" cm="1">
        <f t="array" aca="1" ref="O874" ca="1">INDIRECT("Data!I" &amp; 869)</f>
        <v>0</v>
      </c>
      <c r="P874" s="21" cm="1">
        <f t="array" aca="1" ref="P874" ca="1">INDIRECT("Data!J" &amp; 869)</f>
        <v>0</v>
      </c>
      <c r="Q874" cm="1">
        <f t="array" aca="1" ref="Q874" ca="1">INDIRECT("Data!K" &amp; 869)</f>
        <v>0</v>
      </c>
      <c r="R874" cm="1">
        <f t="array" aca="1" ref="R874" ca="1">INDIRECT("Data!L" &amp; 869)</f>
        <v>0</v>
      </c>
      <c r="S874" cm="1">
        <f t="array" aca="1" ref="S874" ca="1">INDIRECT("Data!M" &amp; 869)</f>
        <v>0</v>
      </c>
      <c r="T874" cm="1">
        <f t="array" aca="1" ref="T874" ca="1">INDIRECT("Data!N" &amp; 869)</f>
        <v>0</v>
      </c>
      <c r="U874" cm="1">
        <f t="array" aca="1" ref="U874" ca="1">INDIRECT("Data!O" &amp; 869)</f>
        <v>0</v>
      </c>
      <c r="V874" cm="1">
        <f t="array" aca="1" ref="V874" ca="1">INDIRECT("Data!P" &amp; 869)</f>
        <v>0</v>
      </c>
    </row>
    <row r="875" spans="7:22" x14ac:dyDescent="0.25">
      <c r="G875" cm="1">
        <f t="array" aca="1" ref="G875" ca="1">INDIRECT("Data!A" &amp; 870)</f>
        <v>0</v>
      </c>
      <c r="H875" s="21" cm="1">
        <f t="array" aca="1" ref="H875" ca="1">INDIRECT("Data!B" &amp; 870)</f>
        <v>0</v>
      </c>
      <c r="I875" s="21" cm="1">
        <f t="array" aca="1" ref="I875" ca="1">INDIRECT("Data!C" &amp; 870)</f>
        <v>0</v>
      </c>
      <c r="J875" cm="1">
        <f t="array" aca="1" ref="J875" ca="1">INDIRECT("Data!D" &amp; 870)</f>
        <v>0</v>
      </c>
      <c r="K875" cm="1">
        <f t="array" aca="1" ref="K875" ca="1">INDIRECT("Data!E" &amp; 870)</f>
        <v>0</v>
      </c>
      <c r="L875" cm="1">
        <f t="array" aca="1" ref="L875" ca="1">INDIRECT("Data!F" &amp; 870)</f>
        <v>0</v>
      </c>
      <c r="M875" cm="1">
        <f t="array" aca="1" ref="M875" ca="1">INDIRECT("Data!G" &amp; 870)</f>
        <v>0</v>
      </c>
      <c r="N875" cm="1">
        <f t="array" aca="1" ref="N875" ca="1">INDIRECT("Data!H" &amp; 870)</f>
        <v>0</v>
      </c>
      <c r="O875" cm="1">
        <f t="array" aca="1" ref="O875" ca="1">INDIRECT("Data!I" &amp; 870)</f>
        <v>0</v>
      </c>
      <c r="P875" s="21" cm="1">
        <f t="array" aca="1" ref="P875" ca="1">INDIRECT("Data!J" &amp; 870)</f>
        <v>0</v>
      </c>
      <c r="Q875" cm="1">
        <f t="array" aca="1" ref="Q875" ca="1">INDIRECT("Data!K" &amp; 870)</f>
        <v>0</v>
      </c>
      <c r="R875" cm="1">
        <f t="array" aca="1" ref="R875" ca="1">INDIRECT("Data!L" &amp; 870)</f>
        <v>0</v>
      </c>
      <c r="S875" cm="1">
        <f t="array" aca="1" ref="S875" ca="1">INDIRECT("Data!M" &amp; 870)</f>
        <v>0</v>
      </c>
      <c r="T875" cm="1">
        <f t="array" aca="1" ref="T875" ca="1">INDIRECT("Data!N" &amp; 870)</f>
        <v>0</v>
      </c>
      <c r="U875" cm="1">
        <f t="array" aca="1" ref="U875" ca="1">INDIRECT("Data!O" &amp; 870)</f>
        <v>0</v>
      </c>
      <c r="V875" cm="1">
        <f t="array" aca="1" ref="V875" ca="1">INDIRECT("Data!P" &amp; 870)</f>
        <v>0</v>
      </c>
    </row>
    <row r="876" spans="7:22" x14ac:dyDescent="0.25">
      <c r="G876" cm="1">
        <f t="array" aca="1" ref="G876" ca="1">INDIRECT("Data!A" &amp; 871)</f>
        <v>0</v>
      </c>
      <c r="H876" s="21" cm="1">
        <f t="array" aca="1" ref="H876" ca="1">INDIRECT("Data!B" &amp; 871)</f>
        <v>0</v>
      </c>
      <c r="I876" s="21" cm="1">
        <f t="array" aca="1" ref="I876" ca="1">INDIRECT("Data!C" &amp; 871)</f>
        <v>0</v>
      </c>
      <c r="J876" cm="1">
        <f t="array" aca="1" ref="J876" ca="1">INDIRECT("Data!D" &amp; 871)</f>
        <v>0</v>
      </c>
      <c r="K876" cm="1">
        <f t="array" aca="1" ref="K876" ca="1">INDIRECT("Data!E" &amp; 871)</f>
        <v>0</v>
      </c>
      <c r="L876" cm="1">
        <f t="array" aca="1" ref="L876" ca="1">INDIRECT("Data!F" &amp; 871)</f>
        <v>0</v>
      </c>
      <c r="M876" cm="1">
        <f t="array" aca="1" ref="M876" ca="1">INDIRECT("Data!G" &amp; 871)</f>
        <v>0</v>
      </c>
      <c r="N876" cm="1">
        <f t="array" aca="1" ref="N876" ca="1">INDIRECT("Data!H" &amp; 871)</f>
        <v>0</v>
      </c>
      <c r="O876" cm="1">
        <f t="array" aca="1" ref="O876" ca="1">INDIRECT("Data!I" &amp; 871)</f>
        <v>0</v>
      </c>
      <c r="P876" s="21" cm="1">
        <f t="array" aca="1" ref="P876" ca="1">INDIRECT("Data!J" &amp; 871)</f>
        <v>0</v>
      </c>
      <c r="Q876" cm="1">
        <f t="array" aca="1" ref="Q876" ca="1">INDIRECT("Data!K" &amp; 871)</f>
        <v>0</v>
      </c>
      <c r="R876" cm="1">
        <f t="array" aca="1" ref="R876" ca="1">INDIRECT("Data!L" &amp; 871)</f>
        <v>0</v>
      </c>
      <c r="S876" cm="1">
        <f t="array" aca="1" ref="S876" ca="1">INDIRECT("Data!M" &amp; 871)</f>
        <v>0</v>
      </c>
      <c r="T876" cm="1">
        <f t="array" aca="1" ref="T876" ca="1">INDIRECT("Data!N" &amp; 871)</f>
        <v>0</v>
      </c>
      <c r="U876" cm="1">
        <f t="array" aca="1" ref="U876" ca="1">INDIRECT("Data!O" &amp; 871)</f>
        <v>0</v>
      </c>
      <c r="V876" cm="1">
        <f t="array" aca="1" ref="V876" ca="1">INDIRECT("Data!P" &amp; 871)</f>
        <v>0</v>
      </c>
    </row>
    <row r="877" spans="7:22" x14ac:dyDescent="0.25">
      <c r="G877" cm="1">
        <f t="array" aca="1" ref="G877" ca="1">INDIRECT("Data!A" &amp; 872)</f>
        <v>0</v>
      </c>
      <c r="H877" s="21" cm="1">
        <f t="array" aca="1" ref="H877" ca="1">INDIRECT("Data!B" &amp; 872)</f>
        <v>0</v>
      </c>
      <c r="I877" s="21" cm="1">
        <f t="array" aca="1" ref="I877" ca="1">INDIRECT("Data!C" &amp; 872)</f>
        <v>0</v>
      </c>
      <c r="J877" cm="1">
        <f t="array" aca="1" ref="J877" ca="1">INDIRECT("Data!D" &amp; 872)</f>
        <v>0</v>
      </c>
      <c r="K877" cm="1">
        <f t="array" aca="1" ref="K877" ca="1">INDIRECT("Data!E" &amp; 872)</f>
        <v>0</v>
      </c>
      <c r="L877" cm="1">
        <f t="array" aca="1" ref="L877" ca="1">INDIRECT("Data!F" &amp; 872)</f>
        <v>0</v>
      </c>
      <c r="M877" cm="1">
        <f t="array" aca="1" ref="M877" ca="1">INDIRECT("Data!G" &amp; 872)</f>
        <v>0</v>
      </c>
      <c r="N877" cm="1">
        <f t="array" aca="1" ref="N877" ca="1">INDIRECT("Data!H" &amp; 872)</f>
        <v>0</v>
      </c>
      <c r="O877" cm="1">
        <f t="array" aca="1" ref="O877" ca="1">INDIRECT("Data!I" &amp; 872)</f>
        <v>0</v>
      </c>
      <c r="P877" s="21" cm="1">
        <f t="array" aca="1" ref="P877" ca="1">INDIRECT("Data!J" &amp; 872)</f>
        <v>0</v>
      </c>
      <c r="Q877" cm="1">
        <f t="array" aca="1" ref="Q877" ca="1">INDIRECT("Data!K" &amp; 872)</f>
        <v>0</v>
      </c>
      <c r="R877" cm="1">
        <f t="array" aca="1" ref="R877" ca="1">INDIRECT("Data!L" &amp; 872)</f>
        <v>0</v>
      </c>
      <c r="S877" cm="1">
        <f t="array" aca="1" ref="S877" ca="1">INDIRECT("Data!M" &amp; 872)</f>
        <v>0</v>
      </c>
      <c r="T877" cm="1">
        <f t="array" aca="1" ref="T877" ca="1">INDIRECT("Data!N" &amp; 872)</f>
        <v>0</v>
      </c>
      <c r="U877" cm="1">
        <f t="array" aca="1" ref="U877" ca="1">INDIRECT("Data!O" &amp; 872)</f>
        <v>0</v>
      </c>
      <c r="V877" cm="1">
        <f t="array" aca="1" ref="V877" ca="1">INDIRECT("Data!P" &amp; 872)</f>
        <v>0</v>
      </c>
    </row>
    <row r="878" spans="7:22" x14ac:dyDescent="0.25">
      <c r="G878" cm="1">
        <f t="array" aca="1" ref="G878" ca="1">INDIRECT("Data!A" &amp; 873)</f>
        <v>0</v>
      </c>
      <c r="H878" s="21" cm="1">
        <f t="array" aca="1" ref="H878" ca="1">INDIRECT("Data!B" &amp; 873)</f>
        <v>0</v>
      </c>
      <c r="I878" s="21" cm="1">
        <f t="array" aca="1" ref="I878" ca="1">INDIRECT("Data!C" &amp; 873)</f>
        <v>0</v>
      </c>
      <c r="J878" cm="1">
        <f t="array" aca="1" ref="J878" ca="1">INDIRECT("Data!D" &amp; 873)</f>
        <v>0</v>
      </c>
      <c r="K878" cm="1">
        <f t="array" aca="1" ref="K878" ca="1">INDIRECT("Data!E" &amp; 873)</f>
        <v>0</v>
      </c>
      <c r="L878" cm="1">
        <f t="array" aca="1" ref="L878" ca="1">INDIRECT("Data!F" &amp; 873)</f>
        <v>0</v>
      </c>
      <c r="M878" cm="1">
        <f t="array" aca="1" ref="M878" ca="1">INDIRECT("Data!G" &amp; 873)</f>
        <v>0</v>
      </c>
      <c r="N878" cm="1">
        <f t="array" aca="1" ref="N878" ca="1">INDIRECT("Data!H" &amp; 873)</f>
        <v>0</v>
      </c>
      <c r="O878" cm="1">
        <f t="array" aca="1" ref="O878" ca="1">INDIRECT("Data!I" &amp; 873)</f>
        <v>0</v>
      </c>
      <c r="P878" s="21" cm="1">
        <f t="array" aca="1" ref="P878" ca="1">INDIRECT("Data!J" &amp; 873)</f>
        <v>0</v>
      </c>
      <c r="Q878" cm="1">
        <f t="array" aca="1" ref="Q878" ca="1">INDIRECT("Data!K" &amp; 873)</f>
        <v>0</v>
      </c>
      <c r="R878" cm="1">
        <f t="array" aca="1" ref="R878" ca="1">INDIRECT("Data!L" &amp; 873)</f>
        <v>0</v>
      </c>
      <c r="S878" cm="1">
        <f t="array" aca="1" ref="S878" ca="1">INDIRECT("Data!M" &amp; 873)</f>
        <v>0</v>
      </c>
      <c r="T878" cm="1">
        <f t="array" aca="1" ref="T878" ca="1">INDIRECT("Data!N" &amp; 873)</f>
        <v>0</v>
      </c>
      <c r="U878" cm="1">
        <f t="array" aca="1" ref="U878" ca="1">INDIRECT("Data!O" &amp; 873)</f>
        <v>0</v>
      </c>
      <c r="V878" cm="1">
        <f t="array" aca="1" ref="V878" ca="1">INDIRECT("Data!P" &amp; 873)</f>
        <v>0</v>
      </c>
    </row>
    <row r="879" spans="7:22" x14ac:dyDescent="0.25">
      <c r="G879" cm="1">
        <f t="array" aca="1" ref="G879" ca="1">INDIRECT("Data!A" &amp; 874)</f>
        <v>0</v>
      </c>
      <c r="H879" s="21" cm="1">
        <f t="array" aca="1" ref="H879" ca="1">INDIRECT("Data!B" &amp; 874)</f>
        <v>0</v>
      </c>
      <c r="I879" s="21" cm="1">
        <f t="array" aca="1" ref="I879" ca="1">INDIRECT("Data!C" &amp; 874)</f>
        <v>0</v>
      </c>
      <c r="J879" cm="1">
        <f t="array" aca="1" ref="J879" ca="1">INDIRECT("Data!D" &amp; 874)</f>
        <v>0</v>
      </c>
      <c r="K879" cm="1">
        <f t="array" aca="1" ref="K879" ca="1">INDIRECT("Data!E" &amp; 874)</f>
        <v>0</v>
      </c>
      <c r="L879" cm="1">
        <f t="array" aca="1" ref="L879" ca="1">INDIRECT("Data!F" &amp; 874)</f>
        <v>0</v>
      </c>
      <c r="M879" cm="1">
        <f t="array" aca="1" ref="M879" ca="1">INDIRECT("Data!G" &amp; 874)</f>
        <v>0</v>
      </c>
      <c r="N879" cm="1">
        <f t="array" aca="1" ref="N879" ca="1">INDIRECT("Data!H" &amp; 874)</f>
        <v>0</v>
      </c>
      <c r="O879" cm="1">
        <f t="array" aca="1" ref="O879" ca="1">INDIRECT("Data!I" &amp; 874)</f>
        <v>0</v>
      </c>
      <c r="P879" s="21" cm="1">
        <f t="array" aca="1" ref="P879" ca="1">INDIRECT("Data!J" &amp; 874)</f>
        <v>0</v>
      </c>
      <c r="Q879" cm="1">
        <f t="array" aca="1" ref="Q879" ca="1">INDIRECT("Data!K" &amp; 874)</f>
        <v>0</v>
      </c>
      <c r="R879" cm="1">
        <f t="array" aca="1" ref="R879" ca="1">INDIRECT("Data!L" &amp; 874)</f>
        <v>0</v>
      </c>
      <c r="S879" cm="1">
        <f t="array" aca="1" ref="S879" ca="1">INDIRECT("Data!M" &amp; 874)</f>
        <v>0</v>
      </c>
      <c r="T879" cm="1">
        <f t="array" aca="1" ref="T879" ca="1">INDIRECT("Data!N" &amp; 874)</f>
        <v>0</v>
      </c>
      <c r="U879" cm="1">
        <f t="array" aca="1" ref="U879" ca="1">INDIRECT("Data!O" &amp; 874)</f>
        <v>0</v>
      </c>
      <c r="V879" cm="1">
        <f t="array" aca="1" ref="V879" ca="1">INDIRECT("Data!P" &amp; 874)</f>
        <v>0</v>
      </c>
    </row>
    <row r="880" spans="7:22" x14ac:dyDescent="0.25">
      <c r="G880" cm="1">
        <f t="array" aca="1" ref="G880" ca="1">INDIRECT("Data!A" &amp; 875)</f>
        <v>0</v>
      </c>
      <c r="H880" s="21" cm="1">
        <f t="array" aca="1" ref="H880" ca="1">INDIRECT("Data!B" &amp; 875)</f>
        <v>0</v>
      </c>
      <c r="I880" s="21" cm="1">
        <f t="array" aca="1" ref="I880" ca="1">INDIRECT("Data!C" &amp; 875)</f>
        <v>0</v>
      </c>
      <c r="J880" cm="1">
        <f t="array" aca="1" ref="J880" ca="1">INDIRECT("Data!D" &amp; 875)</f>
        <v>0</v>
      </c>
      <c r="K880" cm="1">
        <f t="array" aca="1" ref="K880" ca="1">INDIRECT("Data!E" &amp; 875)</f>
        <v>0</v>
      </c>
      <c r="L880" cm="1">
        <f t="array" aca="1" ref="L880" ca="1">INDIRECT("Data!F" &amp; 875)</f>
        <v>0</v>
      </c>
      <c r="M880" cm="1">
        <f t="array" aca="1" ref="M880" ca="1">INDIRECT("Data!G" &amp; 875)</f>
        <v>0</v>
      </c>
      <c r="N880" cm="1">
        <f t="array" aca="1" ref="N880" ca="1">INDIRECT("Data!H" &amp; 875)</f>
        <v>0</v>
      </c>
      <c r="O880" cm="1">
        <f t="array" aca="1" ref="O880" ca="1">INDIRECT("Data!I" &amp; 875)</f>
        <v>0</v>
      </c>
      <c r="P880" s="21" cm="1">
        <f t="array" aca="1" ref="P880" ca="1">INDIRECT("Data!J" &amp; 875)</f>
        <v>0</v>
      </c>
      <c r="Q880" cm="1">
        <f t="array" aca="1" ref="Q880" ca="1">INDIRECT("Data!K" &amp; 875)</f>
        <v>0</v>
      </c>
      <c r="R880" cm="1">
        <f t="array" aca="1" ref="R880" ca="1">INDIRECT("Data!L" &amp; 875)</f>
        <v>0</v>
      </c>
      <c r="S880" cm="1">
        <f t="array" aca="1" ref="S880" ca="1">INDIRECT("Data!M" &amp; 875)</f>
        <v>0</v>
      </c>
      <c r="T880" cm="1">
        <f t="array" aca="1" ref="T880" ca="1">INDIRECT("Data!N" &amp; 875)</f>
        <v>0</v>
      </c>
      <c r="U880" cm="1">
        <f t="array" aca="1" ref="U880" ca="1">INDIRECT("Data!O" &amp; 875)</f>
        <v>0</v>
      </c>
      <c r="V880" cm="1">
        <f t="array" aca="1" ref="V880" ca="1">INDIRECT("Data!P" &amp; 875)</f>
        <v>0</v>
      </c>
    </row>
    <row r="881" spans="7:22" x14ac:dyDescent="0.25">
      <c r="G881" cm="1">
        <f t="array" aca="1" ref="G881" ca="1">INDIRECT("Data!A" &amp; 876)</f>
        <v>0</v>
      </c>
      <c r="H881" s="21" cm="1">
        <f t="array" aca="1" ref="H881" ca="1">INDIRECT("Data!B" &amp; 876)</f>
        <v>0</v>
      </c>
      <c r="I881" s="21" cm="1">
        <f t="array" aca="1" ref="I881" ca="1">INDIRECT("Data!C" &amp; 876)</f>
        <v>0</v>
      </c>
      <c r="J881" cm="1">
        <f t="array" aca="1" ref="J881" ca="1">INDIRECT("Data!D" &amp; 876)</f>
        <v>0</v>
      </c>
      <c r="K881" cm="1">
        <f t="array" aca="1" ref="K881" ca="1">INDIRECT("Data!E" &amp; 876)</f>
        <v>0</v>
      </c>
      <c r="L881" cm="1">
        <f t="array" aca="1" ref="L881" ca="1">INDIRECT("Data!F" &amp; 876)</f>
        <v>0</v>
      </c>
      <c r="M881" cm="1">
        <f t="array" aca="1" ref="M881" ca="1">INDIRECT("Data!G" &amp; 876)</f>
        <v>0</v>
      </c>
      <c r="N881" cm="1">
        <f t="array" aca="1" ref="N881" ca="1">INDIRECT("Data!H" &amp; 876)</f>
        <v>0</v>
      </c>
      <c r="O881" cm="1">
        <f t="array" aca="1" ref="O881" ca="1">INDIRECT("Data!I" &amp; 876)</f>
        <v>0</v>
      </c>
      <c r="P881" s="21" cm="1">
        <f t="array" aca="1" ref="P881" ca="1">INDIRECT("Data!J" &amp; 876)</f>
        <v>0</v>
      </c>
      <c r="Q881" cm="1">
        <f t="array" aca="1" ref="Q881" ca="1">INDIRECT("Data!K" &amp; 876)</f>
        <v>0</v>
      </c>
      <c r="R881" cm="1">
        <f t="array" aca="1" ref="R881" ca="1">INDIRECT("Data!L" &amp; 876)</f>
        <v>0</v>
      </c>
      <c r="S881" cm="1">
        <f t="array" aca="1" ref="S881" ca="1">INDIRECT("Data!M" &amp; 876)</f>
        <v>0</v>
      </c>
      <c r="T881" cm="1">
        <f t="array" aca="1" ref="T881" ca="1">INDIRECT("Data!N" &amp; 876)</f>
        <v>0</v>
      </c>
      <c r="U881" cm="1">
        <f t="array" aca="1" ref="U881" ca="1">INDIRECT("Data!O" &amp; 876)</f>
        <v>0</v>
      </c>
      <c r="V881" cm="1">
        <f t="array" aca="1" ref="V881" ca="1">INDIRECT("Data!P" &amp; 876)</f>
        <v>0</v>
      </c>
    </row>
    <row r="882" spans="7:22" x14ac:dyDescent="0.25">
      <c r="G882" cm="1">
        <f t="array" aca="1" ref="G882" ca="1">INDIRECT("Data!A" &amp; 877)</f>
        <v>0</v>
      </c>
      <c r="H882" s="21" cm="1">
        <f t="array" aca="1" ref="H882" ca="1">INDIRECT("Data!B" &amp; 877)</f>
        <v>0</v>
      </c>
      <c r="I882" s="21" cm="1">
        <f t="array" aca="1" ref="I882" ca="1">INDIRECT("Data!C" &amp; 877)</f>
        <v>0</v>
      </c>
      <c r="J882" cm="1">
        <f t="array" aca="1" ref="J882" ca="1">INDIRECT("Data!D" &amp; 877)</f>
        <v>0</v>
      </c>
      <c r="K882" cm="1">
        <f t="array" aca="1" ref="K882" ca="1">INDIRECT("Data!E" &amp; 877)</f>
        <v>0</v>
      </c>
      <c r="L882" cm="1">
        <f t="array" aca="1" ref="L882" ca="1">INDIRECT("Data!F" &amp; 877)</f>
        <v>0</v>
      </c>
      <c r="M882" cm="1">
        <f t="array" aca="1" ref="M882" ca="1">INDIRECT("Data!G" &amp; 877)</f>
        <v>0</v>
      </c>
      <c r="N882" cm="1">
        <f t="array" aca="1" ref="N882" ca="1">INDIRECT("Data!H" &amp; 877)</f>
        <v>0</v>
      </c>
      <c r="O882" cm="1">
        <f t="array" aca="1" ref="O882" ca="1">INDIRECT("Data!I" &amp; 877)</f>
        <v>0</v>
      </c>
      <c r="P882" s="21" cm="1">
        <f t="array" aca="1" ref="P882" ca="1">INDIRECT("Data!J" &amp; 877)</f>
        <v>0</v>
      </c>
      <c r="Q882" cm="1">
        <f t="array" aca="1" ref="Q882" ca="1">INDIRECT("Data!K" &amp; 877)</f>
        <v>0</v>
      </c>
      <c r="R882" cm="1">
        <f t="array" aca="1" ref="R882" ca="1">INDIRECT("Data!L" &amp; 877)</f>
        <v>0</v>
      </c>
      <c r="S882" cm="1">
        <f t="array" aca="1" ref="S882" ca="1">INDIRECT("Data!M" &amp; 877)</f>
        <v>0</v>
      </c>
      <c r="T882" cm="1">
        <f t="array" aca="1" ref="T882" ca="1">INDIRECT("Data!N" &amp; 877)</f>
        <v>0</v>
      </c>
      <c r="U882" cm="1">
        <f t="array" aca="1" ref="U882" ca="1">INDIRECT("Data!O" &amp; 877)</f>
        <v>0</v>
      </c>
      <c r="V882" cm="1">
        <f t="array" aca="1" ref="V882" ca="1">INDIRECT("Data!P" &amp; 877)</f>
        <v>0</v>
      </c>
    </row>
    <row r="883" spans="7:22" x14ac:dyDescent="0.25">
      <c r="G883" cm="1">
        <f t="array" aca="1" ref="G883" ca="1">INDIRECT("Data!A" &amp; 878)</f>
        <v>0</v>
      </c>
      <c r="H883" s="21" cm="1">
        <f t="array" aca="1" ref="H883" ca="1">INDIRECT("Data!B" &amp; 878)</f>
        <v>0</v>
      </c>
      <c r="I883" s="21" cm="1">
        <f t="array" aca="1" ref="I883" ca="1">INDIRECT("Data!C" &amp; 878)</f>
        <v>0</v>
      </c>
      <c r="J883" cm="1">
        <f t="array" aca="1" ref="J883" ca="1">INDIRECT("Data!D" &amp; 878)</f>
        <v>0</v>
      </c>
      <c r="K883" cm="1">
        <f t="array" aca="1" ref="K883" ca="1">INDIRECT("Data!E" &amp; 878)</f>
        <v>0</v>
      </c>
      <c r="L883" cm="1">
        <f t="array" aca="1" ref="L883" ca="1">INDIRECT("Data!F" &amp; 878)</f>
        <v>0</v>
      </c>
      <c r="M883" cm="1">
        <f t="array" aca="1" ref="M883" ca="1">INDIRECT("Data!G" &amp; 878)</f>
        <v>0</v>
      </c>
      <c r="N883" cm="1">
        <f t="array" aca="1" ref="N883" ca="1">INDIRECT("Data!H" &amp; 878)</f>
        <v>0</v>
      </c>
      <c r="O883" cm="1">
        <f t="array" aca="1" ref="O883" ca="1">INDIRECT("Data!I" &amp; 878)</f>
        <v>0</v>
      </c>
      <c r="P883" s="21" cm="1">
        <f t="array" aca="1" ref="P883" ca="1">INDIRECT("Data!J" &amp; 878)</f>
        <v>0</v>
      </c>
      <c r="Q883" cm="1">
        <f t="array" aca="1" ref="Q883" ca="1">INDIRECT("Data!K" &amp; 878)</f>
        <v>0</v>
      </c>
      <c r="R883" cm="1">
        <f t="array" aca="1" ref="R883" ca="1">INDIRECT("Data!L" &amp; 878)</f>
        <v>0</v>
      </c>
      <c r="S883" cm="1">
        <f t="array" aca="1" ref="S883" ca="1">INDIRECT("Data!M" &amp; 878)</f>
        <v>0</v>
      </c>
      <c r="T883" cm="1">
        <f t="array" aca="1" ref="T883" ca="1">INDIRECT("Data!N" &amp; 878)</f>
        <v>0</v>
      </c>
      <c r="U883" cm="1">
        <f t="array" aca="1" ref="U883" ca="1">INDIRECT("Data!O" &amp; 878)</f>
        <v>0</v>
      </c>
      <c r="V883" cm="1">
        <f t="array" aca="1" ref="V883" ca="1">INDIRECT("Data!P" &amp; 878)</f>
        <v>0</v>
      </c>
    </row>
    <row r="884" spans="7:22" x14ac:dyDescent="0.25">
      <c r="G884" cm="1">
        <f t="array" aca="1" ref="G884" ca="1">INDIRECT("Data!A" &amp; 879)</f>
        <v>0</v>
      </c>
      <c r="H884" s="21" cm="1">
        <f t="array" aca="1" ref="H884" ca="1">INDIRECT("Data!B" &amp; 879)</f>
        <v>0</v>
      </c>
      <c r="I884" s="21" cm="1">
        <f t="array" aca="1" ref="I884" ca="1">INDIRECT("Data!C" &amp; 879)</f>
        <v>0</v>
      </c>
      <c r="J884" cm="1">
        <f t="array" aca="1" ref="J884" ca="1">INDIRECT("Data!D" &amp; 879)</f>
        <v>0</v>
      </c>
      <c r="K884" cm="1">
        <f t="array" aca="1" ref="K884" ca="1">INDIRECT("Data!E" &amp; 879)</f>
        <v>0</v>
      </c>
      <c r="L884" cm="1">
        <f t="array" aca="1" ref="L884" ca="1">INDIRECT("Data!F" &amp; 879)</f>
        <v>0</v>
      </c>
      <c r="M884" cm="1">
        <f t="array" aca="1" ref="M884" ca="1">INDIRECT("Data!G" &amp; 879)</f>
        <v>0</v>
      </c>
      <c r="N884" cm="1">
        <f t="array" aca="1" ref="N884" ca="1">INDIRECT("Data!H" &amp; 879)</f>
        <v>0</v>
      </c>
      <c r="O884" cm="1">
        <f t="array" aca="1" ref="O884" ca="1">INDIRECT("Data!I" &amp; 879)</f>
        <v>0</v>
      </c>
      <c r="P884" s="21" cm="1">
        <f t="array" aca="1" ref="P884" ca="1">INDIRECT("Data!J" &amp; 879)</f>
        <v>0</v>
      </c>
      <c r="Q884" cm="1">
        <f t="array" aca="1" ref="Q884" ca="1">INDIRECT("Data!K" &amp; 879)</f>
        <v>0</v>
      </c>
      <c r="R884" cm="1">
        <f t="array" aca="1" ref="R884" ca="1">INDIRECT("Data!L" &amp; 879)</f>
        <v>0</v>
      </c>
      <c r="S884" cm="1">
        <f t="array" aca="1" ref="S884" ca="1">INDIRECT("Data!M" &amp; 879)</f>
        <v>0</v>
      </c>
      <c r="T884" cm="1">
        <f t="array" aca="1" ref="T884" ca="1">INDIRECT("Data!N" &amp; 879)</f>
        <v>0</v>
      </c>
      <c r="U884" cm="1">
        <f t="array" aca="1" ref="U884" ca="1">INDIRECT("Data!O" &amp; 879)</f>
        <v>0</v>
      </c>
      <c r="V884" cm="1">
        <f t="array" aca="1" ref="V884" ca="1">INDIRECT("Data!P" &amp; 879)</f>
        <v>0</v>
      </c>
    </row>
    <row r="885" spans="7:22" x14ac:dyDescent="0.25">
      <c r="G885" cm="1">
        <f t="array" aca="1" ref="G885" ca="1">INDIRECT("Data!A" &amp; 880)</f>
        <v>0</v>
      </c>
      <c r="H885" s="21" cm="1">
        <f t="array" aca="1" ref="H885" ca="1">INDIRECT("Data!B" &amp; 880)</f>
        <v>0</v>
      </c>
      <c r="I885" s="21" cm="1">
        <f t="array" aca="1" ref="I885" ca="1">INDIRECT("Data!C" &amp; 880)</f>
        <v>0</v>
      </c>
      <c r="J885" cm="1">
        <f t="array" aca="1" ref="J885" ca="1">INDIRECT("Data!D" &amp; 880)</f>
        <v>0</v>
      </c>
      <c r="K885" cm="1">
        <f t="array" aca="1" ref="K885" ca="1">INDIRECT("Data!E" &amp; 880)</f>
        <v>0</v>
      </c>
      <c r="L885" cm="1">
        <f t="array" aca="1" ref="L885" ca="1">INDIRECT("Data!F" &amp; 880)</f>
        <v>0</v>
      </c>
      <c r="M885" cm="1">
        <f t="array" aca="1" ref="M885" ca="1">INDIRECT("Data!G" &amp; 880)</f>
        <v>0</v>
      </c>
      <c r="N885" cm="1">
        <f t="array" aca="1" ref="N885" ca="1">INDIRECT("Data!H" &amp; 880)</f>
        <v>0</v>
      </c>
      <c r="O885" cm="1">
        <f t="array" aca="1" ref="O885" ca="1">INDIRECT("Data!I" &amp; 880)</f>
        <v>0</v>
      </c>
      <c r="P885" s="21" cm="1">
        <f t="array" aca="1" ref="P885" ca="1">INDIRECT("Data!J" &amp; 880)</f>
        <v>0</v>
      </c>
      <c r="Q885" cm="1">
        <f t="array" aca="1" ref="Q885" ca="1">INDIRECT("Data!K" &amp; 880)</f>
        <v>0</v>
      </c>
      <c r="R885" cm="1">
        <f t="array" aca="1" ref="R885" ca="1">INDIRECT("Data!L" &amp; 880)</f>
        <v>0</v>
      </c>
      <c r="S885" cm="1">
        <f t="array" aca="1" ref="S885" ca="1">INDIRECT("Data!M" &amp; 880)</f>
        <v>0</v>
      </c>
      <c r="T885" cm="1">
        <f t="array" aca="1" ref="T885" ca="1">INDIRECT("Data!N" &amp; 880)</f>
        <v>0</v>
      </c>
      <c r="U885" cm="1">
        <f t="array" aca="1" ref="U885" ca="1">INDIRECT("Data!O" &amp; 880)</f>
        <v>0</v>
      </c>
      <c r="V885" cm="1">
        <f t="array" aca="1" ref="V885" ca="1">INDIRECT("Data!P" &amp; 880)</f>
        <v>0</v>
      </c>
    </row>
    <row r="886" spans="7:22" x14ac:dyDescent="0.25">
      <c r="G886" cm="1">
        <f t="array" aca="1" ref="G886" ca="1">INDIRECT("Data!A" &amp; 881)</f>
        <v>0</v>
      </c>
      <c r="H886" s="21" cm="1">
        <f t="array" aca="1" ref="H886" ca="1">INDIRECT("Data!B" &amp; 881)</f>
        <v>0</v>
      </c>
      <c r="I886" s="21" cm="1">
        <f t="array" aca="1" ref="I886" ca="1">INDIRECT("Data!C" &amp; 881)</f>
        <v>0</v>
      </c>
      <c r="J886" cm="1">
        <f t="array" aca="1" ref="J886" ca="1">INDIRECT("Data!D" &amp; 881)</f>
        <v>0</v>
      </c>
      <c r="K886" cm="1">
        <f t="array" aca="1" ref="K886" ca="1">INDIRECT("Data!E" &amp; 881)</f>
        <v>0</v>
      </c>
      <c r="L886" cm="1">
        <f t="array" aca="1" ref="L886" ca="1">INDIRECT("Data!F" &amp; 881)</f>
        <v>0</v>
      </c>
      <c r="M886" cm="1">
        <f t="array" aca="1" ref="M886" ca="1">INDIRECT("Data!G" &amp; 881)</f>
        <v>0</v>
      </c>
      <c r="N886" cm="1">
        <f t="array" aca="1" ref="N886" ca="1">INDIRECT("Data!H" &amp; 881)</f>
        <v>0</v>
      </c>
      <c r="O886" cm="1">
        <f t="array" aca="1" ref="O886" ca="1">INDIRECT("Data!I" &amp; 881)</f>
        <v>0</v>
      </c>
      <c r="P886" s="21" cm="1">
        <f t="array" aca="1" ref="P886" ca="1">INDIRECT("Data!J" &amp; 881)</f>
        <v>0</v>
      </c>
      <c r="Q886" cm="1">
        <f t="array" aca="1" ref="Q886" ca="1">INDIRECT("Data!K" &amp; 881)</f>
        <v>0</v>
      </c>
      <c r="R886" cm="1">
        <f t="array" aca="1" ref="R886" ca="1">INDIRECT("Data!L" &amp; 881)</f>
        <v>0</v>
      </c>
      <c r="S886" cm="1">
        <f t="array" aca="1" ref="S886" ca="1">INDIRECT("Data!M" &amp; 881)</f>
        <v>0</v>
      </c>
      <c r="T886" cm="1">
        <f t="array" aca="1" ref="T886" ca="1">INDIRECT("Data!N" &amp; 881)</f>
        <v>0</v>
      </c>
      <c r="U886" cm="1">
        <f t="array" aca="1" ref="U886" ca="1">INDIRECT("Data!O" &amp; 881)</f>
        <v>0</v>
      </c>
      <c r="V886" cm="1">
        <f t="array" aca="1" ref="V886" ca="1">INDIRECT("Data!P" &amp; 881)</f>
        <v>0</v>
      </c>
    </row>
    <row r="887" spans="7:22" x14ac:dyDescent="0.25">
      <c r="G887" cm="1">
        <f t="array" aca="1" ref="G887" ca="1">INDIRECT("Data!A" &amp; 882)</f>
        <v>0</v>
      </c>
      <c r="H887" s="21" cm="1">
        <f t="array" aca="1" ref="H887" ca="1">INDIRECT("Data!B" &amp; 882)</f>
        <v>0</v>
      </c>
      <c r="I887" s="21" cm="1">
        <f t="array" aca="1" ref="I887" ca="1">INDIRECT("Data!C" &amp; 882)</f>
        <v>0</v>
      </c>
      <c r="J887" cm="1">
        <f t="array" aca="1" ref="J887" ca="1">INDIRECT("Data!D" &amp; 882)</f>
        <v>0</v>
      </c>
      <c r="K887" cm="1">
        <f t="array" aca="1" ref="K887" ca="1">INDIRECT("Data!E" &amp; 882)</f>
        <v>0</v>
      </c>
      <c r="L887" cm="1">
        <f t="array" aca="1" ref="L887" ca="1">INDIRECT("Data!F" &amp; 882)</f>
        <v>0</v>
      </c>
      <c r="M887" cm="1">
        <f t="array" aca="1" ref="M887" ca="1">INDIRECT("Data!G" &amp; 882)</f>
        <v>0</v>
      </c>
      <c r="N887" cm="1">
        <f t="array" aca="1" ref="N887" ca="1">INDIRECT("Data!H" &amp; 882)</f>
        <v>0</v>
      </c>
      <c r="O887" cm="1">
        <f t="array" aca="1" ref="O887" ca="1">INDIRECT("Data!I" &amp; 882)</f>
        <v>0</v>
      </c>
      <c r="P887" s="21" cm="1">
        <f t="array" aca="1" ref="P887" ca="1">INDIRECT("Data!J" &amp; 882)</f>
        <v>0</v>
      </c>
      <c r="Q887" cm="1">
        <f t="array" aca="1" ref="Q887" ca="1">INDIRECT("Data!K" &amp; 882)</f>
        <v>0</v>
      </c>
      <c r="R887" cm="1">
        <f t="array" aca="1" ref="R887" ca="1">INDIRECT("Data!L" &amp; 882)</f>
        <v>0</v>
      </c>
      <c r="S887" cm="1">
        <f t="array" aca="1" ref="S887" ca="1">INDIRECT("Data!M" &amp; 882)</f>
        <v>0</v>
      </c>
      <c r="T887" cm="1">
        <f t="array" aca="1" ref="T887" ca="1">INDIRECT("Data!N" &amp; 882)</f>
        <v>0</v>
      </c>
      <c r="U887" cm="1">
        <f t="array" aca="1" ref="U887" ca="1">INDIRECT("Data!O" &amp; 882)</f>
        <v>0</v>
      </c>
      <c r="V887" cm="1">
        <f t="array" aca="1" ref="V887" ca="1">INDIRECT("Data!P" &amp; 882)</f>
        <v>0</v>
      </c>
    </row>
    <row r="888" spans="7:22" x14ac:dyDescent="0.25">
      <c r="G888" cm="1">
        <f t="array" aca="1" ref="G888" ca="1">INDIRECT("Data!A" &amp; 883)</f>
        <v>0</v>
      </c>
      <c r="H888" s="21" cm="1">
        <f t="array" aca="1" ref="H888" ca="1">INDIRECT("Data!B" &amp; 883)</f>
        <v>0</v>
      </c>
      <c r="I888" s="21" cm="1">
        <f t="array" aca="1" ref="I888" ca="1">INDIRECT("Data!C" &amp; 883)</f>
        <v>0</v>
      </c>
      <c r="J888" cm="1">
        <f t="array" aca="1" ref="J888" ca="1">INDIRECT("Data!D" &amp; 883)</f>
        <v>0</v>
      </c>
      <c r="K888" cm="1">
        <f t="array" aca="1" ref="K888" ca="1">INDIRECT("Data!E" &amp; 883)</f>
        <v>0</v>
      </c>
      <c r="L888" cm="1">
        <f t="array" aca="1" ref="L888" ca="1">INDIRECT("Data!F" &amp; 883)</f>
        <v>0</v>
      </c>
      <c r="M888" cm="1">
        <f t="array" aca="1" ref="M888" ca="1">INDIRECT("Data!G" &amp; 883)</f>
        <v>0</v>
      </c>
      <c r="N888" cm="1">
        <f t="array" aca="1" ref="N888" ca="1">INDIRECT("Data!H" &amp; 883)</f>
        <v>0</v>
      </c>
      <c r="O888" cm="1">
        <f t="array" aca="1" ref="O888" ca="1">INDIRECT("Data!I" &amp; 883)</f>
        <v>0</v>
      </c>
      <c r="P888" s="21" cm="1">
        <f t="array" aca="1" ref="P888" ca="1">INDIRECT("Data!J" &amp; 883)</f>
        <v>0</v>
      </c>
      <c r="Q888" cm="1">
        <f t="array" aca="1" ref="Q888" ca="1">INDIRECT("Data!K" &amp; 883)</f>
        <v>0</v>
      </c>
      <c r="R888" cm="1">
        <f t="array" aca="1" ref="R888" ca="1">INDIRECT("Data!L" &amp; 883)</f>
        <v>0</v>
      </c>
      <c r="S888" cm="1">
        <f t="array" aca="1" ref="S888" ca="1">INDIRECT("Data!M" &amp; 883)</f>
        <v>0</v>
      </c>
      <c r="T888" cm="1">
        <f t="array" aca="1" ref="T888" ca="1">INDIRECT("Data!N" &amp; 883)</f>
        <v>0</v>
      </c>
      <c r="U888" cm="1">
        <f t="array" aca="1" ref="U888" ca="1">INDIRECT("Data!O" &amp; 883)</f>
        <v>0</v>
      </c>
      <c r="V888" cm="1">
        <f t="array" aca="1" ref="V888" ca="1">INDIRECT("Data!P" &amp; 883)</f>
        <v>0</v>
      </c>
    </row>
    <row r="889" spans="7:22" x14ac:dyDescent="0.25">
      <c r="G889" cm="1">
        <f t="array" aca="1" ref="G889" ca="1">INDIRECT("Data!A" &amp; 884)</f>
        <v>0</v>
      </c>
      <c r="H889" s="21" cm="1">
        <f t="array" aca="1" ref="H889" ca="1">INDIRECT("Data!B" &amp; 884)</f>
        <v>0</v>
      </c>
      <c r="I889" s="21" cm="1">
        <f t="array" aca="1" ref="I889" ca="1">INDIRECT("Data!C" &amp; 884)</f>
        <v>0</v>
      </c>
      <c r="J889" cm="1">
        <f t="array" aca="1" ref="J889" ca="1">INDIRECT("Data!D" &amp; 884)</f>
        <v>0</v>
      </c>
      <c r="K889" cm="1">
        <f t="array" aca="1" ref="K889" ca="1">INDIRECT("Data!E" &amp; 884)</f>
        <v>0</v>
      </c>
      <c r="L889" cm="1">
        <f t="array" aca="1" ref="L889" ca="1">INDIRECT("Data!F" &amp; 884)</f>
        <v>0</v>
      </c>
      <c r="M889" cm="1">
        <f t="array" aca="1" ref="M889" ca="1">INDIRECT("Data!G" &amp; 884)</f>
        <v>0</v>
      </c>
      <c r="N889" cm="1">
        <f t="array" aca="1" ref="N889" ca="1">INDIRECT("Data!H" &amp; 884)</f>
        <v>0</v>
      </c>
      <c r="O889" cm="1">
        <f t="array" aca="1" ref="O889" ca="1">INDIRECT("Data!I" &amp; 884)</f>
        <v>0</v>
      </c>
      <c r="P889" s="21" cm="1">
        <f t="array" aca="1" ref="P889" ca="1">INDIRECT("Data!J" &amp; 884)</f>
        <v>0</v>
      </c>
      <c r="Q889" cm="1">
        <f t="array" aca="1" ref="Q889" ca="1">INDIRECT("Data!K" &amp; 884)</f>
        <v>0</v>
      </c>
      <c r="R889" cm="1">
        <f t="array" aca="1" ref="R889" ca="1">INDIRECT("Data!L" &amp; 884)</f>
        <v>0</v>
      </c>
      <c r="S889" cm="1">
        <f t="array" aca="1" ref="S889" ca="1">INDIRECT("Data!M" &amp; 884)</f>
        <v>0</v>
      </c>
      <c r="T889" cm="1">
        <f t="array" aca="1" ref="T889" ca="1">INDIRECT("Data!N" &amp; 884)</f>
        <v>0</v>
      </c>
      <c r="U889" cm="1">
        <f t="array" aca="1" ref="U889" ca="1">INDIRECT("Data!O" &amp; 884)</f>
        <v>0</v>
      </c>
      <c r="V889" cm="1">
        <f t="array" aca="1" ref="V889" ca="1">INDIRECT("Data!P" &amp; 884)</f>
        <v>0</v>
      </c>
    </row>
    <row r="890" spans="7:22" x14ac:dyDescent="0.25">
      <c r="G890" cm="1">
        <f t="array" aca="1" ref="G890" ca="1">INDIRECT("Data!A" &amp; 885)</f>
        <v>0</v>
      </c>
      <c r="H890" s="21" cm="1">
        <f t="array" aca="1" ref="H890" ca="1">INDIRECT("Data!B" &amp; 885)</f>
        <v>0</v>
      </c>
      <c r="I890" s="21" cm="1">
        <f t="array" aca="1" ref="I890" ca="1">INDIRECT("Data!C" &amp; 885)</f>
        <v>0</v>
      </c>
      <c r="J890" cm="1">
        <f t="array" aca="1" ref="J890" ca="1">INDIRECT("Data!D" &amp; 885)</f>
        <v>0</v>
      </c>
      <c r="K890" cm="1">
        <f t="array" aca="1" ref="K890" ca="1">INDIRECT("Data!E" &amp; 885)</f>
        <v>0</v>
      </c>
      <c r="L890" cm="1">
        <f t="array" aca="1" ref="L890" ca="1">INDIRECT("Data!F" &amp; 885)</f>
        <v>0</v>
      </c>
      <c r="M890" cm="1">
        <f t="array" aca="1" ref="M890" ca="1">INDIRECT("Data!G" &amp; 885)</f>
        <v>0</v>
      </c>
      <c r="N890" cm="1">
        <f t="array" aca="1" ref="N890" ca="1">INDIRECT("Data!H" &amp; 885)</f>
        <v>0</v>
      </c>
      <c r="O890" cm="1">
        <f t="array" aca="1" ref="O890" ca="1">INDIRECT("Data!I" &amp; 885)</f>
        <v>0</v>
      </c>
      <c r="P890" s="21" cm="1">
        <f t="array" aca="1" ref="P890" ca="1">INDIRECT("Data!J" &amp; 885)</f>
        <v>0</v>
      </c>
      <c r="Q890" cm="1">
        <f t="array" aca="1" ref="Q890" ca="1">INDIRECT("Data!K" &amp; 885)</f>
        <v>0</v>
      </c>
      <c r="R890" cm="1">
        <f t="array" aca="1" ref="R890" ca="1">INDIRECT("Data!L" &amp; 885)</f>
        <v>0</v>
      </c>
      <c r="S890" cm="1">
        <f t="array" aca="1" ref="S890" ca="1">INDIRECT("Data!M" &amp; 885)</f>
        <v>0</v>
      </c>
      <c r="T890" cm="1">
        <f t="array" aca="1" ref="T890" ca="1">INDIRECT("Data!N" &amp; 885)</f>
        <v>0</v>
      </c>
      <c r="U890" cm="1">
        <f t="array" aca="1" ref="U890" ca="1">INDIRECT("Data!O" &amp; 885)</f>
        <v>0</v>
      </c>
      <c r="V890" cm="1">
        <f t="array" aca="1" ref="V890" ca="1">INDIRECT("Data!P" &amp; 885)</f>
        <v>0</v>
      </c>
    </row>
    <row r="891" spans="7:22" x14ac:dyDescent="0.25">
      <c r="G891" cm="1">
        <f t="array" aca="1" ref="G891" ca="1">INDIRECT("Data!A" &amp; 886)</f>
        <v>0</v>
      </c>
      <c r="H891" s="21" cm="1">
        <f t="array" aca="1" ref="H891" ca="1">INDIRECT("Data!B" &amp; 886)</f>
        <v>0</v>
      </c>
      <c r="I891" s="21" cm="1">
        <f t="array" aca="1" ref="I891" ca="1">INDIRECT("Data!C" &amp; 886)</f>
        <v>0</v>
      </c>
      <c r="J891" cm="1">
        <f t="array" aca="1" ref="J891" ca="1">INDIRECT("Data!D" &amp; 886)</f>
        <v>0</v>
      </c>
      <c r="K891" cm="1">
        <f t="array" aca="1" ref="K891" ca="1">INDIRECT("Data!E" &amp; 886)</f>
        <v>0</v>
      </c>
      <c r="L891" cm="1">
        <f t="array" aca="1" ref="L891" ca="1">INDIRECT("Data!F" &amp; 886)</f>
        <v>0</v>
      </c>
      <c r="M891" cm="1">
        <f t="array" aca="1" ref="M891" ca="1">INDIRECT("Data!G" &amp; 886)</f>
        <v>0</v>
      </c>
      <c r="N891" cm="1">
        <f t="array" aca="1" ref="N891" ca="1">INDIRECT("Data!H" &amp; 886)</f>
        <v>0</v>
      </c>
      <c r="O891" cm="1">
        <f t="array" aca="1" ref="O891" ca="1">INDIRECT("Data!I" &amp; 886)</f>
        <v>0</v>
      </c>
      <c r="P891" s="21" cm="1">
        <f t="array" aca="1" ref="P891" ca="1">INDIRECT("Data!J" &amp; 886)</f>
        <v>0</v>
      </c>
      <c r="Q891" cm="1">
        <f t="array" aca="1" ref="Q891" ca="1">INDIRECT("Data!K" &amp; 886)</f>
        <v>0</v>
      </c>
      <c r="R891" cm="1">
        <f t="array" aca="1" ref="R891" ca="1">INDIRECT("Data!L" &amp; 886)</f>
        <v>0</v>
      </c>
      <c r="S891" cm="1">
        <f t="array" aca="1" ref="S891" ca="1">INDIRECT("Data!M" &amp; 886)</f>
        <v>0</v>
      </c>
      <c r="T891" cm="1">
        <f t="array" aca="1" ref="T891" ca="1">INDIRECT("Data!N" &amp; 886)</f>
        <v>0</v>
      </c>
      <c r="U891" cm="1">
        <f t="array" aca="1" ref="U891" ca="1">INDIRECT("Data!O" &amp; 886)</f>
        <v>0</v>
      </c>
      <c r="V891" cm="1">
        <f t="array" aca="1" ref="V891" ca="1">INDIRECT("Data!P" &amp; 886)</f>
        <v>0</v>
      </c>
    </row>
    <row r="892" spans="7:22" x14ac:dyDescent="0.25">
      <c r="G892" cm="1">
        <f t="array" aca="1" ref="G892" ca="1">INDIRECT("Data!A" &amp; 887)</f>
        <v>0</v>
      </c>
      <c r="H892" s="21" cm="1">
        <f t="array" aca="1" ref="H892" ca="1">INDIRECT("Data!B" &amp; 887)</f>
        <v>0</v>
      </c>
      <c r="I892" s="21" cm="1">
        <f t="array" aca="1" ref="I892" ca="1">INDIRECT("Data!C" &amp; 887)</f>
        <v>0</v>
      </c>
      <c r="J892" cm="1">
        <f t="array" aca="1" ref="J892" ca="1">INDIRECT("Data!D" &amp; 887)</f>
        <v>0</v>
      </c>
      <c r="K892" cm="1">
        <f t="array" aca="1" ref="K892" ca="1">INDIRECT("Data!E" &amp; 887)</f>
        <v>0</v>
      </c>
      <c r="L892" cm="1">
        <f t="array" aca="1" ref="L892" ca="1">INDIRECT("Data!F" &amp; 887)</f>
        <v>0</v>
      </c>
      <c r="M892" cm="1">
        <f t="array" aca="1" ref="M892" ca="1">INDIRECT("Data!G" &amp; 887)</f>
        <v>0</v>
      </c>
      <c r="N892" cm="1">
        <f t="array" aca="1" ref="N892" ca="1">INDIRECT("Data!H" &amp; 887)</f>
        <v>0</v>
      </c>
      <c r="O892" cm="1">
        <f t="array" aca="1" ref="O892" ca="1">INDIRECT("Data!I" &amp; 887)</f>
        <v>0</v>
      </c>
      <c r="P892" s="21" cm="1">
        <f t="array" aca="1" ref="P892" ca="1">INDIRECT("Data!J" &amp; 887)</f>
        <v>0</v>
      </c>
      <c r="Q892" cm="1">
        <f t="array" aca="1" ref="Q892" ca="1">INDIRECT("Data!K" &amp; 887)</f>
        <v>0</v>
      </c>
      <c r="R892" cm="1">
        <f t="array" aca="1" ref="R892" ca="1">INDIRECT("Data!L" &amp; 887)</f>
        <v>0</v>
      </c>
      <c r="S892" cm="1">
        <f t="array" aca="1" ref="S892" ca="1">INDIRECT("Data!M" &amp; 887)</f>
        <v>0</v>
      </c>
      <c r="T892" cm="1">
        <f t="array" aca="1" ref="T892" ca="1">INDIRECT("Data!N" &amp; 887)</f>
        <v>0</v>
      </c>
      <c r="U892" cm="1">
        <f t="array" aca="1" ref="U892" ca="1">INDIRECT("Data!O" &amp; 887)</f>
        <v>0</v>
      </c>
      <c r="V892" cm="1">
        <f t="array" aca="1" ref="V892" ca="1">INDIRECT("Data!P" &amp; 887)</f>
        <v>0</v>
      </c>
    </row>
    <row r="893" spans="7:22" x14ac:dyDescent="0.25">
      <c r="G893" cm="1">
        <f t="array" aca="1" ref="G893" ca="1">INDIRECT("Data!A" &amp; 888)</f>
        <v>0</v>
      </c>
      <c r="H893" s="21" cm="1">
        <f t="array" aca="1" ref="H893" ca="1">INDIRECT("Data!B" &amp; 888)</f>
        <v>0</v>
      </c>
      <c r="I893" s="21" cm="1">
        <f t="array" aca="1" ref="I893" ca="1">INDIRECT("Data!C" &amp; 888)</f>
        <v>0</v>
      </c>
      <c r="J893" cm="1">
        <f t="array" aca="1" ref="J893" ca="1">INDIRECT("Data!D" &amp; 888)</f>
        <v>0</v>
      </c>
      <c r="K893" cm="1">
        <f t="array" aca="1" ref="K893" ca="1">INDIRECT("Data!E" &amp; 888)</f>
        <v>0</v>
      </c>
      <c r="L893" cm="1">
        <f t="array" aca="1" ref="L893" ca="1">INDIRECT("Data!F" &amp; 888)</f>
        <v>0</v>
      </c>
      <c r="M893" cm="1">
        <f t="array" aca="1" ref="M893" ca="1">INDIRECT("Data!G" &amp; 888)</f>
        <v>0</v>
      </c>
      <c r="N893" cm="1">
        <f t="array" aca="1" ref="N893" ca="1">INDIRECT("Data!H" &amp; 888)</f>
        <v>0</v>
      </c>
      <c r="O893" cm="1">
        <f t="array" aca="1" ref="O893" ca="1">INDIRECT("Data!I" &amp; 888)</f>
        <v>0</v>
      </c>
      <c r="P893" s="21" cm="1">
        <f t="array" aca="1" ref="P893" ca="1">INDIRECT("Data!J" &amp; 888)</f>
        <v>0</v>
      </c>
      <c r="Q893" cm="1">
        <f t="array" aca="1" ref="Q893" ca="1">INDIRECT("Data!K" &amp; 888)</f>
        <v>0</v>
      </c>
      <c r="R893" cm="1">
        <f t="array" aca="1" ref="R893" ca="1">INDIRECT("Data!L" &amp; 888)</f>
        <v>0</v>
      </c>
      <c r="S893" cm="1">
        <f t="array" aca="1" ref="S893" ca="1">INDIRECT("Data!M" &amp; 888)</f>
        <v>0</v>
      </c>
      <c r="T893" cm="1">
        <f t="array" aca="1" ref="T893" ca="1">INDIRECT("Data!N" &amp; 888)</f>
        <v>0</v>
      </c>
      <c r="U893" cm="1">
        <f t="array" aca="1" ref="U893" ca="1">INDIRECT("Data!O" &amp; 888)</f>
        <v>0</v>
      </c>
      <c r="V893" cm="1">
        <f t="array" aca="1" ref="V893" ca="1">INDIRECT("Data!P" &amp; 888)</f>
        <v>0</v>
      </c>
    </row>
    <row r="894" spans="7:22" x14ac:dyDescent="0.25">
      <c r="G894" cm="1">
        <f t="array" aca="1" ref="G894" ca="1">INDIRECT("Data!A" &amp; 889)</f>
        <v>0</v>
      </c>
      <c r="H894" s="21" cm="1">
        <f t="array" aca="1" ref="H894" ca="1">INDIRECT("Data!B" &amp; 889)</f>
        <v>0</v>
      </c>
      <c r="I894" s="21" cm="1">
        <f t="array" aca="1" ref="I894" ca="1">INDIRECT("Data!C" &amp; 889)</f>
        <v>0</v>
      </c>
      <c r="J894" cm="1">
        <f t="array" aca="1" ref="J894" ca="1">INDIRECT("Data!D" &amp; 889)</f>
        <v>0</v>
      </c>
      <c r="K894" cm="1">
        <f t="array" aca="1" ref="K894" ca="1">INDIRECT("Data!E" &amp; 889)</f>
        <v>0</v>
      </c>
      <c r="L894" cm="1">
        <f t="array" aca="1" ref="L894" ca="1">INDIRECT("Data!F" &amp; 889)</f>
        <v>0</v>
      </c>
      <c r="M894" cm="1">
        <f t="array" aca="1" ref="M894" ca="1">INDIRECT("Data!G" &amp; 889)</f>
        <v>0</v>
      </c>
      <c r="N894" cm="1">
        <f t="array" aca="1" ref="N894" ca="1">INDIRECT("Data!H" &amp; 889)</f>
        <v>0</v>
      </c>
      <c r="O894" cm="1">
        <f t="array" aca="1" ref="O894" ca="1">INDIRECT("Data!I" &amp; 889)</f>
        <v>0</v>
      </c>
      <c r="P894" s="21" cm="1">
        <f t="array" aca="1" ref="P894" ca="1">INDIRECT("Data!J" &amp; 889)</f>
        <v>0</v>
      </c>
      <c r="Q894" cm="1">
        <f t="array" aca="1" ref="Q894" ca="1">INDIRECT("Data!K" &amp; 889)</f>
        <v>0</v>
      </c>
      <c r="R894" cm="1">
        <f t="array" aca="1" ref="R894" ca="1">INDIRECT("Data!L" &amp; 889)</f>
        <v>0</v>
      </c>
      <c r="S894" cm="1">
        <f t="array" aca="1" ref="S894" ca="1">INDIRECT("Data!M" &amp; 889)</f>
        <v>0</v>
      </c>
      <c r="T894" cm="1">
        <f t="array" aca="1" ref="T894" ca="1">INDIRECT("Data!N" &amp; 889)</f>
        <v>0</v>
      </c>
      <c r="U894" cm="1">
        <f t="array" aca="1" ref="U894" ca="1">INDIRECT("Data!O" &amp; 889)</f>
        <v>0</v>
      </c>
      <c r="V894" cm="1">
        <f t="array" aca="1" ref="V894" ca="1">INDIRECT("Data!P" &amp; 889)</f>
        <v>0</v>
      </c>
    </row>
    <row r="895" spans="7:22" x14ac:dyDescent="0.25">
      <c r="G895" cm="1">
        <f t="array" aca="1" ref="G895" ca="1">INDIRECT("Data!A" &amp; 890)</f>
        <v>0</v>
      </c>
      <c r="H895" s="21" cm="1">
        <f t="array" aca="1" ref="H895" ca="1">INDIRECT("Data!B" &amp; 890)</f>
        <v>0</v>
      </c>
      <c r="I895" s="21" cm="1">
        <f t="array" aca="1" ref="I895" ca="1">INDIRECT("Data!C" &amp; 890)</f>
        <v>0</v>
      </c>
      <c r="J895" cm="1">
        <f t="array" aca="1" ref="J895" ca="1">INDIRECT("Data!D" &amp; 890)</f>
        <v>0</v>
      </c>
      <c r="K895" cm="1">
        <f t="array" aca="1" ref="K895" ca="1">INDIRECT("Data!E" &amp; 890)</f>
        <v>0</v>
      </c>
      <c r="L895" cm="1">
        <f t="array" aca="1" ref="L895" ca="1">INDIRECT("Data!F" &amp; 890)</f>
        <v>0</v>
      </c>
      <c r="M895" cm="1">
        <f t="array" aca="1" ref="M895" ca="1">INDIRECT("Data!G" &amp; 890)</f>
        <v>0</v>
      </c>
      <c r="N895" cm="1">
        <f t="array" aca="1" ref="N895" ca="1">INDIRECT("Data!H" &amp; 890)</f>
        <v>0</v>
      </c>
      <c r="O895" cm="1">
        <f t="array" aca="1" ref="O895" ca="1">INDIRECT("Data!I" &amp; 890)</f>
        <v>0</v>
      </c>
      <c r="P895" s="21" cm="1">
        <f t="array" aca="1" ref="P895" ca="1">INDIRECT("Data!J" &amp; 890)</f>
        <v>0</v>
      </c>
      <c r="Q895" cm="1">
        <f t="array" aca="1" ref="Q895" ca="1">INDIRECT("Data!K" &amp; 890)</f>
        <v>0</v>
      </c>
      <c r="R895" cm="1">
        <f t="array" aca="1" ref="R895" ca="1">INDIRECT("Data!L" &amp; 890)</f>
        <v>0</v>
      </c>
      <c r="S895" cm="1">
        <f t="array" aca="1" ref="S895" ca="1">INDIRECT("Data!M" &amp; 890)</f>
        <v>0</v>
      </c>
      <c r="T895" cm="1">
        <f t="array" aca="1" ref="T895" ca="1">INDIRECT("Data!N" &amp; 890)</f>
        <v>0</v>
      </c>
      <c r="U895" cm="1">
        <f t="array" aca="1" ref="U895" ca="1">INDIRECT("Data!O" &amp; 890)</f>
        <v>0</v>
      </c>
      <c r="V895" cm="1">
        <f t="array" aca="1" ref="V895" ca="1">INDIRECT("Data!P" &amp; 890)</f>
        <v>0</v>
      </c>
    </row>
    <row r="896" spans="7:22" x14ac:dyDescent="0.25">
      <c r="G896" cm="1">
        <f t="array" aca="1" ref="G896" ca="1">INDIRECT("Data!A" &amp; 891)</f>
        <v>0</v>
      </c>
      <c r="H896" s="21" cm="1">
        <f t="array" aca="1" ref="H896" ca="1">INDIRECT("Data!B" &amp; 891)</f>
        <v>0</v>
      </c>
      <c r="I896" s="21" cm="1">
        <f t="array" aca="1" ref="I896" ca="1">INDIRECT("Data!C" &amp; 891)</f>
        <v>0</v>
      </c>
      <c r="J896" cm="1">
        <f t="array" aca="1" ref="J896" ca="1">INDIRECT("Data!D" &amp; 891)</f>
        <v>0</v>
      </c>
      <c r="K896" cm="1">
        <f t="array" aca="1" ref="K896" ca="1">INDIRECT("Data!E" &amp; 891)</f>
        <v>0</v>
      </c>
      <c r="L896" cm="1">
        <f t="array" aca="1" ref="L896" ca="1">INDIRECT("Data!F" &amp; 891)</f>
        <v>0</v>
      </c>
      <c r="M896" cm="1">
        <f t="array" aca="1" ref="M896" ca="1">INDIRECT("Data!G" &amp; 891)</f>
        <v>0</v>
      </c>
      <c r="N896" cm="1">
        <f t="array" aca="1" ref="N896" ca="1">INDIRECT("Data!H" &amp; 891)</f>
        <v>0</v>
      </c>
      <c r="O896" cm="1">
        <f t="array" aca="1" ref="O896" ca="1">INDIRECT("Data!I" &amp; 891)</f>
        <v>0</v>
      </c>
      <c r="P896" s="21" cm="1">
        <f t="array" aca="1" ref="P896" ca="1">INDIRECT("Data!J" &amp; 891)</f>
        <v>0</v>
      </c>
      <c r="Q896" cm="1">
        <f t="array" aca="1" ref="Q896" ca="1">INDIRECT("Data!K" &amp; 891)</f>
        <v>0</v>
      </c>
      <c r="R896" cm="1">
        <f t="array" aca="1" ref="R896" ca="1">INDIRECT("Data!L" &amp; 891)</f>
        <v>0</v>
      </c>
      <c r="S896" cm="1">
        <f t="array" aca="1" ref="S896" ca="1">INDIRECT("Data!M" &amp; 891)</f>
        <v>0</v>
      </c>
      <c r="T896" cm="1">
        <f t="array" aca="1" ref="T896" ca="1">INDIRECT("Data!N" &amp; 891)</f>
        <v>0</v>
      </c>
      <c r="U896" cm="1">
        <f t="array" aca="1" ref="U896" ca="1">INDIRECT("Data!O" &amp; 891)</f>
        <v>0</v>
      </c>
      <c r="V896" cm="1">
        <f t="array" aca="1" ref="V896" ca="1">INDIRECT("Data!P" &amp; 891)</f>
        <v>0</v>
      </c>
    </row>
    <row r="897" spans="7:22" x14ac:dyDescent="0.25">
      <c r="G897" cm="1">
        <f t="array" aca="1" ref="G897" ca="1">INDIRECT("Data!A" &amp; 892)</f>
        <v>0</v>
      </c>
      <c r="H897" s="21" cm="1">
        <f t="array" aca="1" ref="H897" ca="1">INDIRECT("Data!B" &amp; 892)</f>
        <v>0</v>
      </c>
      <c r="I897" s="21" cm="1">
        <f t="array" aca="1" ref="I897" ca="1">INDIRECT("Data!C" &amp; 892)</f>
        <v>0</v>
      </c>
      <c r="J897" cm="1">
        <f t="array" aca="1" ref="J897" ca="1">INDIRECT("Data!D" &amp; 892)</f>
        <v>0</v>
      </c>
      <c r="K897" cm="1">
        <f t="array" aca="1" ref="K897" ca="1">INDIRECT("Data!E" &amp; 892)</f>
        <v>0</v>
      </c>
      <c r="L897" cm="1">
        <f t="array" aca="1" ref="L897" ca="1">INDIRECT("Data!F" &amp; 892)</f>
        <v>0</v>
      </c>
      <c r="M897" cm="1">
        <f t="array" aca="1" ref="M897" ca="1">INDIRECT("Data!G" &amp; 892)</f>
        <v>0</v>
      </c>
      <c r="N897" cm="1">
        <f t="array" aca="1" ref="N897" ca="1">INDIRECT("Data!H" &amp; 892)</f>
        <v>0</v>
      </c>
      <c r="O897" cm="1">
        <f t="array" aca="1" ref="O897" ca="1">INDIRECT("Data!I" &amp; 892)</f>
        <v>0</v>
      </c>
      <c r="P897" s="21" cm="1">
        <f t="array" aca="1" ref="P897" ca="1">INDIRECT("Data!J" &amp; 892)</f>
        <v>0</v>
      </c>
      <c r="Q897" cm="1">
        <f t="array" aca="1" ref="Q897" ca="1">INDIRECT("Data!K" &amp; 892)</f>
        <v>0</v>
      </c>
      <c r="R897" cm="1">
        <f t="array" aca="1" ref="R897" ca="1">INDIRECT("Data!L" &amp; 892)</f>
        <v>0</v>
      </c>
      <c r="S897" cm="1">
        <f t="array" aca="1" ref="S897" ca="1">INDIRECT("Data!M" &amp; 892)</f>
        <v>0</v>
      </c>
      <c r="T897" cm="1">
        <f t="array" aca="1" ref="T897" ca="1">INDIRECT("Data!N" &amp; 892)</f>
        <v>0</v>
      </c>
      <c r="U897" cm="1">
        <f t="array" aca="1" ref="U897" ca="1">INDIRECT("Data!O" &amp; 892)</f>
        <v>0</v>
      </c>
      <c r="V897" cm="1">
        <f t="array" aca="1" ref="V897" ca="1">INDIRECT("Data!P" &amp; 892)</f>
        <v>0</v>
      </c>
    </row>
    <row r="898" spans="7:22" x14ac:dyDescent="0.25">
      <c r="G898" cm="1">
        <f t="array" aca="1" ref="G898" ca="1">INDIRECT("Data!A" &amp; 893)</f>
        <v>0</v>
      </c>
      <c r="H898" s="21" cm="1">
        <f t="array" aca="1" ref="H898" ca="1">INDIRECT("Data!B" &amp; 893)</f>
        <v>0</v>
      </c>
      <c r="I898" s="21" cm="1">
        <f t="array" aca="1" ref="I898" ca="1">INDIRECT("Data!C" &amp; 893)</f>
        <v>0</v>
      </c>
      <c r="J898" cm="1">
        <f t="array" aca="1" ref="J898" ca="1">INDIRECT("Data!D" &amp; 893)</f>
        <v>0</v>
      </c>
      <c r="K898" cm="1">
        <f t="array" aca="1" ref="K898" ca="1">INDIRECT("Data!E" &amp; 893)</f>
        <v>0</v>
      </c>
      <c r="L898" cm="1">
        <f t="array" aca="1" ref="L898" ca="1">INDIRECT("Data!F" &amp; 893)</f>
        <v>0</v>
      </c>
      <c r="M898" cm="1">
        <f t="array" aca="1" ref="M898" ca="1">INDIRECT("Data!G" &amp; 893)</f>
        <v>0</v>
      </c>
      <c r="N898" cm="1">
        <f t="array" aca="1" ref="N898" ca="1">INDIRECT("Data!H" &amp; 893)</f>
        <v>0</v>
      </c>
      <c r="O898" cm="1">
        <f t="array" aca="1" ref="O898" ca="1">INDIRECT("Data!I" &amp; 893)</f>
        <v>0</v>
      </c>
      <c r="P898" s="21" cm="1">
        <f t="array" aca="1" ref="P898" ca="1">INDIRECT("Data!J" &amp; 893)</f>
        <v>0</v>
      </c>
      <c r="Q898" cm="1">
        <f t="array" aca="1" ref="Q898" ca="1">INDIRECT("Data!K" &amp; 893)</f>
        <v>0</v>
      </c>
      <c r="R898" cm="1">
        <f t="array" aca="1" ref="R898" ca="1">INDIRECT("Data!L" &amp; 893)</f>
        <v>0</v>
      </c>
      <c r="S898" cm="1">
        <f t="array" aca="1" ref="S898" ca="1">INDIRECT("Data!M" &amp; 893)</f>
        <v>0</v>
      </c>
      <c r="T898" cm="1">
        <f t="array" aca="1" ref="T898" ca="1">INDIRECT("Data!N" &amp; 893)</f>
        <v>0</v>
      </c>
      <c r="U898" cm="1">
        <f t="array" aca="1" ref="U898" ca="1">INDIRECT("Data!O" &amp; 893)</f>
        <v>0</v>
      </c>
      <c r="V898" cm="1">
        <f t="array" aca="1" ref="V898" ca="1">INDIRECT("Data!P" &amp; 893)</f>
        <v>0</v>
      </c>
    </row>
    <row r="899" spans="7:22" x14ac:dyDescent="0.25">
      <c r="G899" cm="1">
        <f t="array" aca="1" ref="G899" ca="1">INDIRECT("Data!A" &amp; 894)</f>
        <v>0</v>
      </c>
      <c r="H899" s="21" cm="1">
        <f t="array" aca="1" ref="H899" ca="1">INDIRECT("Data!B" &amp; 894)</f>
        <v>0</v>
      </c>
      <c r="I899" s="21" cm="1">
        <f t="array" aca="1" ref="I899" ca="1">INDIRECT("Data!C" &amp; 894)</f>
        <v>0</v>
      </c>
      <c r="J899" cm="1">
        <f t="array" aca="1" ref="J899" ca="1">INDIRECT("Data!D" &amp; 894)</f>
        <v>0</v>
      </c>
      <c r="K899" cm="1">
        <f t="array" aca="1" ref="K899" ca="1">INDIRECT("Data!E" &amp; 894)</f>
        <v>0</v>
      </c>
      <c r="L899" cm="1">
        <f t="array" aca="1" ref="L899" ca="1">INDIRECT("Data!F" &amp; 894)</f>
        <v>0</v>
      </c>
      <c r="M899" cm="1">
        <f t="array" aca="1" ref="M899" ca="1">INDIRECT("Data!G" &amp; 894)</f>
        <v>0</v>
      </c>
      <c r="N899" cm="1">
        <f t="array" aca="1" ref="N899" ca="1">INDIRECT("Data!H" &amp; 894)</f>
        <v>0</v>
      </c>
      <c r="O899" cm="1">
        <f t="array" aca="1" ref="O899" ca="1">INDIRECT("Data!I" &amp; 894)</f>
        <v>0</v>
      </c>
      <c r="P899" s="21" cm="1">
        <f t="array" aca="1" ref="P899" ca="1">INDIRECT("Data!J" &amp; 894)</f>
        <v>0</v>
      </c>
      <c r="Q899" cm="1">
        <f t="array" aca="1" ref="Q899" ca="1">INDIRECT("Data!K" &amp; 894)</f>
        <v>0</v>
      </c>
      <c r="R899" cm="1">
        <f t="array" aca="1" ref="R899" ca="1">INDIRECT("Data!L" &amp; 894)</f>
        <v>0</v>
      </c>
      <c r="S899" cm="1">
        <f t="array" aca="1" ref="S899" ca="1">INDIRECT("Data!M" &amp; 894)</f>
        <v>0</v>
      </c>
      <c r="T899" cm="1">
        <f t="array" aca="1" ref="T899" ca="1">INDIRECT("Data!N" &amp; 894)</f>
        <v>0</v>
      </c>
      <c r="U899" cm="1">
        <f t="array" aca="1" ref="U899" ca="1">INDIRECT("Data!O" &amp; 894)</f>
        <v>0</v>
      </c>
      <c r="V899" cm="1">
        <f t="array" aca="1" ref="V899" ca="1">INDIRECT("Data!P" &amp; 894)</f>
        <v>0</v>
      </c>
    </row>
    <row r="900" spans="7:22" x14ac:dyDescent="0.25">
      <c r="G900" cm="1">
        <f t="array" aca="1" ref="G900" ca="1">INDIRECT("Data!A" &amp; 895)</f>
        <v>0</v>
      </c>
      <c r="H900" s="21" cm="1">
        <f t="array" aca="1" ref="H900" ca="1">INDIRECT("Data!B" &amp; 895)</f>
        <v>0</v>
      </c>
      <c r="I900" s="21" cm="1">
        <f t="array" aca="1" ref="I900" ca="1">INDIRECT("Data!C" &amp; 895)</f>
        <v>0</v>
      </c>
      <c r="J900" cm="1">
        <f t="array" aca="1" ref="J900" ca="1">INDIRECT("Data!D" &amp; 895)</f>
        <v>0</v>
      </c>
      <c r="K900" cm="1">
        <f t="array" aca="1" ref="K900" ca="1">INDIRECT("Data!E" &amp; 895)</f>
        <v>0</v>
      </c>
      <c r="L900" cm="1">
        <f t="array" aca="1" ref="L900" ca="1">INDIRECT("Data!F" &amp; 895)</f>
        <v>0</v>
      </c>
      <c r="M900" cm="1">
        <f t="array" aca="1" ref="M900" ca="1">INDIRECT("Data!G" &amp; 895)</f>
        <v>0</v>
      </c>
      <c r="N900" cm="1">
        <f t="array" aca="1" ref="N900" ca="1">INDIRECT("Data!H" &amp; 895)</f>
        <v>0</v>
      </c>
      <c r="O900" cm="1">
        <f t="array" aca="1" ref="O900" ca="1">INDIRECT("Data!I" &amp; 895)</f>
        <v>0</v>
      </c>
      <c r="P900" s="21" cm="1">
        <f t="array" aca="1" ref="P900" ca="1">INDIRECT("Data!J" &amp; 895)</f>
        <v>0</v>
      </c>
      <c r="Q900" cm="1">
        <f t="array" aca="1" ref="Q900" ca="1">INDIRECT("Data!K" &amp; 895)</f>
        <v>0</v>
      </c>
      <c r="R900" cm="1">
        <f t="array" aca="1" ref="R900" ca="1">INDIRECT("Data!L" &amp; 895)</f>
        <v>0</v>
      </c>
      <c r="S900" cm="1">
        <f t="array" aca="1" ref="S900" ca="1">INDIRECT("Data!M" &amp; 895)</f>
        <v>0</v>
      </c>
      <c r="T900" cm="1">
        <f t="array" aca="1" ref="T900" ca="1">INDIRECT("Data!N" &amp; 895)</f>
        <v>0</v>
      </c>
      <c r="U900" cm="1">
        <f t="array" aca="1" ref="U900" ca="1">INDIRECT("Data!O" &amp; 895)</f>
        <v>0</v>
      </c>
      <c r="V900" cm="1">
        <f t="array" aca="1" ref="V900" ca="1">INDIRECT("Data!P" &amp; 895)</f>
        <v>0</v>
      </c>
    </row>
    <row r="901" spans="7:22" x14ac:dyDescent="0.25">
      <c r="G901" cm="1">
        <f t="array" aca="1" ref="G901" ca="1">INDIRECT("Data!A" &amp; 896)</f>
        <v>0</v>
      </c>
      <c r="H901" s="21" cm="1">
        <f t="array" aca="1" ref="H901" ca="1">INDIRECT("Data!B" &amp; 896)</f>
        <v>0</v>
      </c>
      <c r="I901" s="21" cm="1">
        <f t="array" aca="1" ref="I901" ca="1">INDIRECT("Data!C" &amp; 896)</f>
        <v>0</v>
      </c>
      <c r="J901" cm="1">
        <f t="array" aca="1" ref="J901" ca="1">INDIRECT("Data!D" &amp; 896)</f>
        <v>0</v>
      </c>
      <c r="K901" cm="1">
        <f t="array" aca="1" ref="K901" ca="1">INDIRECT("Data!E" &amp; 896)</f>
        <v>0</v>
      </c>
      <c r="L901" cm="1">
        <f t="array" aca="1" ref="L901" ca="1">INDIRECT("Data!F" &amp; 896)</f>
        <v>0</v>
      </c>
      <c r="M901" cm="1">
        <f t="array" aca="1" ref="M901" ca="1">INDIRECT("Data!G" &amp; 896)</f>
        <v>0</v>
      </c>
      <c r="N901" cm="1">
        <f t="array" aca="1" ref="N901" ca="1">INDIRECT("Data!H" &amp; 896)</f>
        <v>0</v>
      </c>
      <c r="O901" cm="1">
        <f t="array" aca="1" ref="O901" ca="1">INDIRECT("Data!I" &amp; 896)</f>
        <v>0</v>
      </c>
      <c r="P901" s="21" cm="1">
        <f t="array" aca="1" ref="P901" ca="1">INDIRECT("Data!J" &amp; 896)</f>
        <v>0</v>
      </c>
      <c r="Q901" cm="1">
        <f t="array" aca="1" ref="Q901" ca="1">INDIRECT("Data!K" &amp; 896)</f>
        <v>0</v>
      </c>
      <c r="R901" cm="1">
        <f t="array" aca="1" ref="R901" ca="1">INDIRECT("Data!L" &amp; 896)</f>
        <v>0</v>
      </c>
      <c r="S901" cm="1">
        <f t="array" aca="1" ref="S901" ca="1">INDIRECT("Data!M" &amp; 896)</f>
        <v>0</v>
      </c>
      <c r="T901" cm="1">
        <f t="array" aca="1" ref="T901" ca="1">INDIRECT("Data!N" &amp; 896)</f>
        <v>0</v>
      </c>
      <c r="U901" cm="1">
        <f t="array" aca="1" ref="U901" ca="1">INDIRECT("Data!O" &amp; 896)</f>
        <v>0</v>
      </c>
      <c r="V901" cm="1">
        <f t="array" aca="1" ref="V901" ca="1">INDIRECT("Data!P" &amp; 896)</f>
        <v>0</v>
      </c>
    </row>
    <row r="902" spans="7:22" x14ac:dyDescent="0.25">
      <c r="G902" cm="1">
        <f t="array" aca="1" ref="G902" ca="1">INDIRECT("Data!A" &amp; 897)</f>
        <v>0</v>
      </c>
      <c r="H902" s="21" cm="1">
        <f t="array" aca="1" ref="H902" ca="1">INDIRECT("Data!B" &amp; 897)</f>
        <v>0</v>
      </c>
      <c r="I902" s="21" cm="1">
        <f t="array" aca="1" ref="I902" ca="1">INDIRECT("Data!C" &amp; 897)</f>
        <v>0</v>
      </c>
      <c r="J902" cm="1">
        <f t="array" aca="1" ref="J902" ca="1">INDIRECT("Data!D" &amp; 897)</f>
        <v>0</v>
      </c>
      <c r="K902" cm="1">
        <f t="array" aca="1" ref="K902" ca="1">INDIRECT("Data!E" &amp; 897)</f>
        <v>0</v>
      </c>
      <c r="L902" cm="1">
        <f t="array" aca="1" ref="L902" ca="1">INDIRECT("Data!F" &amp; 897)</f>
        <v>0</v>
      </c>
      <c r="M902" cm="1">
        <f t="array" aca="1" ref="M902" ca="1">INDIRECT("Data!G" &amp; 897)</f>
        <v>0</v>
      </c>
      <c r="N902" cm="1">
        <f t="array" aca="1" ref="N902" ca="1">INDIRECT("Data!H" &amp; 897)</f>
        <v>0</v>
      </c>
      <c r="O902" cm="1">
        <f t="array" aca="1" ref="O902" ca="1">INDIRECT("Data!I" &amp; 897)</f>
        <v>0</v>
      </c>
      <c r="P902" s="21" cm="1">
        <f t="array" aca="1" ref="P902" ca="1">INDIRECT("Data!J" &amp; 897)</f>
        <v>0</v>
      </c>
      <c r="Q902" cm="1">
        <f t="array" aca="1" ref="Q902" ca="1">INDIRECT("Data!K" &amp; 897)</f>
        <v>0</v>
      </c>
      <c r="R902" cm="1">
        <f t="array" aca="1" ref="R902" ca="1">INDIRECT("Data!L" &amp; 897)</f>
        <v>0</v>
      </c>
      <c r="S902" cm="1">
        <f t="array" aca="1" ref="S902" ca="1">INDIRECT("Data!M" &amp; 897)</f>
        <v>0</v>
      </c>
      <c r="T902" cm="1">
        <f t="array" aca="1" ref="T902" ca="1">INDIRECT("Data!N" &amp; 897)</f>
        <v>0</v>
      </c>
      <c r="U902" cm="1">
        <f t="array" aca="1" ref="U902" ca="1">INDIRECT("Data!O" &amp; 897)</f>
        <v>0</v>
      </c>
      <c r="V902" cm="1">
        <f t="array" aca="1" ref="V902" ca="1">INDIRECT("Data!P" &amp; 897)</f>
        <v>0</v>
      </c>
    </row>
    <row r="903" spans="7:22" x14ac:dyDescent="0.25">
      <c r="G903" cm="1">
        <f t="array" aca="1" ref="G903" ca="1">INDIRECT("Data!A" &amp; 898)</f>
        <v>0</v>
      </c>
      <c r="H903" s="21" cm="1">
        <f t="array" aca="1" ref="H903" ca="1">INDIRECT("Data!B" &amp; 898)</f>
        <v>0</v>
      </c>
      <c r="I903" s="21" cm="1">
        <f t="array" aca="1" ref="I903" ca="1">INDIRECT("Data!C" &amp; 898)</f>
        <v>0</v>
      </c>
      <c r="J903" cm="1">
        <f t="array" aca="1" ref="J903" ca="1">INDIRECT("Data!D" &amp; 898)</f>
        <v>0</v>
      </c>
      <c r="K903" cm="1">
        <f t="array" aca="1" ref="K903" ca="1">INDIRECT("Data!E" &amp; 898)</f>
        <v>0</v>
      </c>
      <c r="L903" cm="1">
        <f t="array" aca="1" ref="L903" ca="1">INDIRECT("Data!F" &amp; 898)</f>
        <v>0</v>
      </c>
      <c r="M903" cm="1">
        <f t="array" aca="1" ref="M903" ca="1">INDIRECT("Data!G" &amp; 898)</f>
        <v>0</v>
      </c>
      <c r="N903" cm="1">
        <f t="array" aca="1" ref="N903" ca="1">INDIRECT("Data!H" &amp; 898)</f>
        <v>0</v>
      </c>
      <c r="O903" cm="1">
        <f t="array" aca="1" ref="O903" ca="1">INDIRECT("Data!I" &amp; 898)</f>
        <v>0</v>
      </c>
      <c r="P903" s="21" cm="1">
        <f t="array" aca="1" ref="P903" ca="1">INDIRECT("Data!J" &amp; 898)</f>
        <v>0</v>
      </c>
      <c r="Q903" cm="1">
        <f t="array" aca="1" ref="Q903" ca="1">INDIRECT("Data!K" &amp; 898)</f>
        <v>0</v>
      </c>
      <c r="R903" cm="1">
        <f t="array" aca="1" ref="R903" ca="1">INDIRECT("Data!L" &amp; 898)</f>
        <v>0</v>
      </c>
      <c r="S903" cm="1">
        <f t="array" aca="1" ref="S903" ca="1">INDIRECT("Data!M" &amp; 898)</f>
        <v>0</v>
      </c>
      <c r="T903" cm="1">
        <f t="array" aca="1" ref="T903" ca="1">INDIRECT("Data!N" &amp; 898)</f>
        <v>0</v>
      </c>
      <c r="U903" cm="1">
        <f t="array" aca="1" ref="U903" ca="1">INDIRECT("Data!O" &amp; 898)</f>
        <v>0</v>
      </c>
      <c r="V903" cm="1">
        <f t="array" aca="1" ref="V903" ca="1">INDIRECT("Data!P" &amp; 898)</f>
        <v>0</v>
      </c>
    </row>
    <row r="904" spans="7:22" x14ac:dyDescent="0.25">
      <c r="G904" cm="1">
        <f t="array" aca="1" ref="G904" ca="1">INDIRECT("Data!A" &amp; 899)</f>
        <v>0</v>
      </c>
      <c r="H904" s="21" cm="1">
        <f t="array" aca="1" ref="H904" ca="1">INDIRECT("Data!B" &amp; 899)</f>
        <v>0</v>
      </c>
      <c r="I904" s="21" cm="1">
        <f t="array" aca="1" ref="I904" ca="1">INDIRECT("Data!C" &amp; 899)</f>
        <v>0</v>
      </c>
      <c r="J904" cm="1">
        <f t="array" aca="1" ref="J904" ca="1">INDIRECT("Data!D" &amp; 899)</f>
        <v>0</v>
      </c>
      <c r="K904" cm="1">
        <f t="array" aca="1" ref="K904" ca="1">INDIRECT("Data!E" &amp; 899)</f>
        <v>0</v>
      </c>
      <c r="L904" cm="1">
        <f t="array" aca="1" ref="L904" ca="1">INDIRECT("Data!F" &amp; 899)</f>
        <v>0</v>
      </c>
      <c r="M904" cm="1">
        <f t="array" aca="1" ref="M904" ca="1">INDIRECT("Data!G" &amp; 899)</f>
        <v>0</v>
      </c>
      <c r="N904" cm="1">
        <f t="array" aca="1" ref="N904" ca="1">INDIRECT("Data!H" &amp; 899)</f>
        <v>0</v>
      </c>
      <c r="O904" cm="1">
        <f t="array" aca="1" ref="O904" ca="1">INDIRECT("Data!I" &amp; 899)</f>
        <v>0</v>
      </c>
      <c r="P904" s="21" cm="1">
        <f t="array" aca="1" ref="P904" ca="1">INDIRECT("Data!J" &amp; 899)</f>
        <v>0</v>
      </c>
      <c r="Q904" cm="1">
        <f t="array" aca="1" ref="Q904" ca="1">INDIRECT("Data!K" &amp; 899)</f>
        <v>0</v>
      </c>
      <c r="R904" cm="1">
        <f t="array" aca="1" ref="R904" ca="1">INDIRECT("Data!L" &amp; 899)</f>
        <v>0</v>
      </c>
      <c r="S904" cm="1">
        <f t="array" aca="1" ref="S904" ca="1">INDIRECT("Data!M" &amp; 899)</f>
        <v>0</v>
      </c>
      <c r="T904" cm="1">
        <f t="array" aca="1" ref="T904" ca="1">INDIRECT("Data!N" &amp; 899)</f>
        <v>0</v>
      </c>
      <c r="U904" cm="1">
        <f t="array" aca="1" ref="U904" ca="1">INDIRECT("Data!O" &amp; 899)</f>
        <v>0</v>
      </c>
      <c r="V904" cm="1">
        <f t="array" aca="1" ref="V904" ca="1">INDIRECT("Data!P" &amp; 899)</f>
        <v>0</v>
      </c>
    </row>
    <row r="905" spans="7:22" x14ac:dyDescent="0.25">
      <c r="G905" cm="1">
        <f t="array" aca="1" ref="G905" ca="1">INDIRECT("Data!A" &amp; 900)</f>
        <v>0</v>
      </c>
      <c r="H905" s="21" cm="1">
        <f t="array" aca="1" ref="H905" ca="1">INDIRECT("Data!B" &amp; 900)</f>
        <v>0</v>
      </c>
      <c r="I905" s="21" cm="1">
        <f t="array" aca="1" ref="I905" ca="1">INDIRECT("Data!C" &amp; 900)</f>
        <v>0</v>
      </c>
      <c r="J905" cm="1">
        <f t="array" aca="1" ref="J905" ca="1">INDIRECT("Data!D" &amp; 900)</f>
        <v>0</v>
      </c>
      <c r="K905" cm="1">
        <f t="array" aca="1" ref="K905" ca="1">INDIRECT("Data!E" &amp; 900)</f>
        <v>0</v>
      </c>
      <c r="L905" cm="1">
        <f t="array" aca="1" ref="L905" ca="1">INDIRECT("Data!F" &amp; 900)</f>
        <v>0</v>
      </c>
      <c r="M905" cm="1">
        <f t="array" aca="1" ref="M905" ca="1">INDIRECT("Data!G" &amp; 900)</f>
        <v>0</v>
      </c>
      <c r="N905" cm="1">
        <f t="array" aca="1" ref="N905" ca="1">INDIRECT("Data!H" &amp; 900)</f>
        <v>0</v>
      </c>
      <c r="O905" cm="1">
        <f t="array" aca="1" ref="O905" ca="1">INDIRECT("Data!I" &amp; 900)</f>
        <v>0</v>
      </c>
      <c r="P905" s="21" cm="1">
        <f t="array" aca="1" ref="P905" ca="1">INDIRECT("Data!J" &amp; 900)</f>
        <v>0</v>
      </c>
      <c r="Q905" cm="1">
        <f t="array" aca="1" ref="Q905" ca="1">INDIRECT("Data!K" &amp; 900)</f>
        <v>0</v>
      </c>
      <c r="R905" cm="1">
        <f t="array" aca="1" ref="R905" ca="1">INDIRECT("Data!L" &amp; 900)</f>
        <v>0</v>
      </c>
      <c r="S905" cm="1">
        <f t="array" aca="1" ref="S905" ca="1">INDIRECT("Data!M" &amp; 900)</f>
        <v>0</v>
      </c>
      <c r="T905" cm="1">
        <f t="array" aca="1" ref="T905" ca="1">INDIRECT("Data!N" &amp; 900)</f>
        <v>0</v>
      </c>
      <c r="U905" cm="1">
        <f t="array" aca="1" ref="U905" ca="1">INDIRECT("Data!O" &amp; 900)</f>
        <v>0</v>
      </c>
      <c r="V905" cm="1">
        <f t="array" aca="1" ref="V905" ca="1">INDIRECT("Data!P" &amp; 900)</f>
        <v>0</v>
      </c>
    </row>
    <row r="906" spans="7:22" x14ac:dyDescent="0.25">
      <c r="G906" cm="1">
        <f t="array" aca="1" ref="G906" ca="1">INDIRECT("Data!A" &amp; 901)</f>
        <v>0</v>
      </c>
      <c r="H906" s="21" cm="1">
        <f t="array" aca="1" ref="H906" ca="1">INDIRECT("Data!B" &amp; 901)</f>
        <v>0</v>
      </c>
      <c r="I906" s="21" cm="1">
        <f t="array" aca="1" ref="I906" ca="1">INDIRECT("Data!C" &amp; 901)</f>
        <v>0</v>
      </c>
      <c r="J906" cm="1">
        <f t="array" aca="1" ref="J906" ca="1">INDIRECT("Data!D" &amp; 901)</f>
        <v>0</v>
      </c>
      <c r="K906" cm="1">
        <f t="array" aca="1" ref="K906" ca="1">INDIRECT("Data!E" &amp; 901)</f>
        <v>0</v>
      </c>
      <c r="L906" cm="1">
        <f t="array" aca="1" ref="L906" ca="1">INDIRECT("Data!F" &amp; 901)</f>
        <v>0</v>
      </c>
      <c r="M906" cm="1">
        <f t="array" aca="1" ref="M906" ca="1">INDIRECT("Data!G" &amp; 901)</f>
        <v>0</v>
      </c>
      <c r="N906" cm="1">
        <f t="array" aca="1" ref="N906" ca="1">INDIRECT("Data!H" &amp; 901)</f>
        <v>0</v>
      </c>
      <c r="O906" cm="1">
        <f t="array" aca="1" ref="O906" ca="1">INDIRECT("Data!I" &amp; 901)</f>
        <v>0</v>
      </c>
      <c r="P906" s="21" cm="1">
        <f t="array" aca="1" ref="P906" ca="1">INDIRECT("Data!J" &amp; 901)</f>
        <v>0</v>
      </c>
      <c r="Q906" cm="1">
        <f t="array" aca="1" ref="Q906" ca="1">INDIRECT("Data!K" &amp; 901)</f>
        <v>0</v>
      </c>
      <c r="R906" cm="1">
        <f t="array" aca="1" ref="R906" ca="1">INDIRECT("Data!L" &amp; 901)</f>
        <v>0</v>
      </c>
      <c r="S906" cm="1">
        <f t="array" aca="1" ref="S906" ca="1">INDIRECT("Data!M" &amp; 901)</f>
        <v>0</v>
      </c>
      <c r="T906" cm="1">
        <f t="array" aca="1" ref="T906" ca="1">INDIRECT("Data!N" &amp; 901)</f>
        <v>0</v>
      </c>
      <c r="U906" cm="1">
        <f t="array" aca="1" ref="U906" ca="1">INDIRECT("Data!O" &amp; 901)</f>
        <v>0</v>
      </c>
      <c r="V906" cm="1">
        <f t="array" aca="1" ref="V906" ca="1">INDIRECT("Data!P" &amp; 901)</f>
        <v>0</v>
      </c>
    </row>
    <row r="907" spans="7:22" x14ac:dyDescent="0.25">
      <c r="G907" cm="1">
        <f t="array" aca="1" ref="G907" ca="1">INDIRECT("Data!A" &amp; 902)</f>
        <v>0</v>
      </c>
      <c r="H907" s="21" cm="1">
        <f t="array" aca="1" ref="H907" ca="1">INDIRECT("Data!B" &amp; 902)</f>
        <v>0</v>
      </c>
      <c r="I907" s="21" cm="1">
        <f t="array" aca="1" ref="I907" ca="1">INDIRECT("Data!C" &amp; 902)</f>
        <v>0</v>
      </c>
      <c r="J907" cm="1">
        <f t="array" aca="1" ref="J907" ca="1">INDIRECT("Data!D" &amp; 902)</f>
        <v>0</v>
      </c>
      <c r="K907" cm="1">
        <f t="array" aca="1" ref="K907" ca="1">INDIRECT("Data!E" &amp; 902)</f>
        <v>0</v>
      </c>
      <c r="L907" cm="1">
        <f t="array" aca="1" ref="L907" ca="1">INDIRECT("Data!F" &amp; 902)</f>
        <v>0</v>
      </c>
      <c r="M907" cm="1">
        <f t="array" aca="1" ref="M907" ca="1">INDIRECT("Data!G" &amp; 902)</f>
        <v>0</v>
      </c>
      <c r="N907" cm="1">
        <f t="array" aca="1" ref="N907" ca="1">INDIRECT("Data!H" &amp; 902)</f>
        <v>0</v>
      </c>
      <c r="O907" cm="1">
        <f t="array" aca="1" ref="O907" ca="1">INDIRECT("Data!I" &amp; 902)</f>
        <v>0</v>
      </c>
      <c r="P907" s="21" cm="1">
        <f t="array" aca="1" ref="P907" ca="1">INDIRECT("Data!J" &amp; 902)</f>
        <v>0</v>
      </c>
      <c r="Q907" cm="1">
        <f t="array" aca="1" ref="Q907" ca="1">INDIRECT("Data!K" &amp; 902)</f>
        <v>0</v>
      </c>
      <c r="R907" cm="1">
        <f t="array" aca="1" ref="R907" ca="1">INDIRECT("Data!L" &amp; 902)</f>
        <v>0</v>
      </c>
      <c r="S907" cm="1">
        <f t="array" aca="1" ref="S907" ca="1">INDIRECT("Data!M" &amp; 902)</f>
        <v>0</v>
      </c>
      <c r="T907" cm="1">
        <f t="array" aca="1" ref="T907" ca="1">INDIRECT("Data!N" &amp; 902)</f>
        <v>0</v>
      </c>
      <c r="U907" cm="1">
        <f t="array" aca="1" ref="U907" ca="1">INDIRECT("Data!O" &amp; 902)</f>
        <v>0</v>
      </c>
      <c r="V907" cm="1">
        <f t="array" aca="1" ref="V907" ca="1">INDIRECT("Data!P" &amp; 902)</f>
        <v>0</v>
      </c>
    </row>
    <row r="908" spans="7:22" x14ac:dyDescent="0.25">
      <c r="G908" cm="1">
        <f t="array" aca="1" ref="G908" ca="1">INDIRECT("Data!A" &amp; 903)</f>
        <v>0</v>
      </c>
      <c r="H908" s="21" cm="1">
        <f t="array" aca="1" ref="H908" ca="1">INDIRECT("Data!B" &amp; 903)</f>
        <v>0</v>
      </c>
      <c r="I908" s="21" cm="1">
        <f t="array" aca="1" ref="I908" ca="1">INDIRECT("Data!C" &amp; 903)</f>
        <v>0</v>
      </c>
      <c r="J908" cm="1">
        <f t="array" aca="1" ref="J908" ca="1">INDIRECT("Data!D" &amp; 903)</f>
        <v>0</v>
      </c>
      <c r="K908" cm="1">
        <f t="array" aca="1" ref="K908" ca="1">INDIRECT("Data!E" &amp; 903)</f>
        <v>0</v>
      </c>
      <c r="L908" cm="1">
        <f t="array" aca="1" ref="L908" ca="1">INDIRECT("Data!F" &amp; 903)</f>
        <v>0</v>
      </c>
      <c r="M908" cm="1">
        <f t="array" aca="1" ref="M908" ca="1">INDIRECT("Data!G" &amp; 903)</f>
        <v>0</v>
      </c>
      <c r="N908" cm="1">
        <f t="array" aca="1" ref="N908" ca="1">INDIRECT("Data!H" &amp; 903)</f>
        <v>0</v>
      </c>
      <c r="O908" cm="1">
        <f t="array" aca="1" ref="O908" ca="1">INDIRECT("Data!I" &amp; 903)</f>
        <v>0</v>
      </c>
      <c r="P908" s="21" cm="1">
        <f t="array" aca="1" ref="P908" ca="1">INDIRECT("Data!J" &amp; 903)</f>
        <v>0</v>
      </c>
      <c r="Q908" cm="1">
        <f t="array" aca="1" ref="Q908" ca="1">INDIRECT("Data!K" &amp; 903)</f>
        <v>0</v>
      </c>
      <c r="R908" cm="1">
        <f t="array" aca="1" ref="R908" ca="1">INDIRECT("Data!L" &amp; 903)</f>
        <v>0</v>
      </c>
      <c r="S908" cm="1">
        <f t="array" aca="1" ref="S908" ca="1">INDIRECT("Data!M" &amp; 903)</f>
        <v>0</v>
      </c>
      <c r="T908" cm="1">
        <f t="array" aca="1" ref="T908" ca="1">INDIRECT("Data!N" &amp; 903)</f>
        <v>0</v>
      </c>
      <c r="U908" cm="1">
        <f t="array" aca="1" ref="U908" ca="1">INDIRECT("Data!O" &amp; 903)</f>
        <v>0</v>
      </c>
      <c r="V908" cm="1">
        <f t="array" aca="1" ref="V908" ca="1">INDIRECT("Data!P" &amp; 903)</f>
        <v>0</v>
      </c>
    </row>
    <row r="909" spans="7:22" x14ac:dyDescent="0.25">
      <c r="G909" cm="1">
        <f t="array" aca="1" ref="G909" ca="1">INDIRECT("Data!A" &amp; 904)</f>
        <v>0</v>
      </c>
      <c r="H909" s="21" cm="1">
        <f t="array" aca="1" ref="H909" ca="1">INDIRECT("Data!B" &amp; 904)</f>
        <v>0</v>
      </c>
      <c r="I909" s="21" cm="1">
        <f t="array" aca="1" ref="I909" ca="1">INDIRECT("Data!C" &amp; 904)</f>
        <v>0</v>
      </c>
      <c r="J909" cm="1">
        <f t="array" aca="1" ref="J909" ca="1">INDIRECT("Data!D" &amp; 904)</f>
        <v>0</v>
      </c>
      <c r="K909" cm="1">
        <f t="array" aca="1" ref="K909" ca="1">INDIRECT("Data!E" &amp; 904)</f>
        <v>0</v>
      </c>
      <c r="L909" cm="1">
        <f t="array" aca="1" ref="L909" ca="1">INDIRECT("Data!F" &amp; 904)</f>
        <v>0</v>
      </c>
      <c r="M909" cm="1">
        <f t="array" aca="1" ref="M909" ca="1">INDIRECT("Data!G" &amp; 904)</f>
        <v>0</v>
      </c>
      <c r="N909" cm="1">
        <f t="array" aca="1" ref="N909" ca="1">INDIRECT("Data!H" &amp; 904)</f>
        <v>0</v>
      </c>
      <c r="O909" cm="1">
        <f t="array" aca="1" ref="O909" ca="1">INDIRECT("Data!I" &amp; 904)</f>
        <v>0</v>
      </c>
      <c r="P909" s="21" cm="1">
        <f t="array" aca="1" ref="P909" ca="1">INDIRECT("Data!J" &amp; 904)</f>
        <v>0</v>
      </c>
      <c r="Q909" cm="1">
        <f t="array" aca="1" ref="Q909" ca="1">INDIRECT("Data!K" &amp; 904)</f>
        <v>0</v>
      </c>
      <c r="R909" cm="1">
        <f t="array" aca="1" ref="R909" ca="1">INDIRECT("Data!L" &amp; 904)</f>
        <v>0</v>
      </c>
      <c r="S909" cm="1">
        <f t="array" aca="1" ref="S909" ca="1">INDIRECT("Data!M" &amp; 904)</f>
        <v>0</v>
      </c>
      <c r="T909" cm="1">
        <f t="array" aca="1" ref="T909" ca="1">INDIRECT("Data!N" &amp; 904)</f>
        <v>0</v>
      </c>
      <c r="U909" cm="1">
        <f t="array" aca="1" ref="U909" ca="1">INDIRECT("Data!O" &amp; 904)</f>
        <v>0</v>
      </c>
      <c r="V909" cm="1">
        <f t="array" aca="1" ref="V909" ca="1">INDIRECT("Data!P" &amp; 904)</f>
        <v>0</v>
      </c>
    </row>
    <row r="910" spans="7:22" x14ac:dyDescent="0.25">
      <c r="G910" cm="1">
        <f t="array" aca="1" ref="G910" ca="1">INDIRECT("Data!A" &amp; 905)</f>
        <v>0</v>
      </c>
      <c r="H910" s="21" cm="1">
        <f t="array" aca="1" ref="H910" ca="1">INDIRECT("Data!B" &amp; 905)</f>
        <v>0</v>
      </c>
      <c r="I910" s="21" cm="1">
        <f t="array" aca="1" ref="I910" ca="1">INDIRECT("Data!C" &amp; 905)</f>
        <v>0</v>
      </c>
      <c r="J910" cm="1">
        <f t="array" aca="1" ref="J910" ca="1">INDIRECT("Data!D" &amp; 905)</f>
        <v>0</v>
      </c>
      <c r="K910" cm="1">
        <f t="array" aca="1" ref="K910" ca="1">INDIRECT("Data!E" &amp; 905)</f>
        <v>0</v>
      </c>
      <c r="L910" cm="1">
        <f t="array" aca="1" ref="L910" ca="1">INDIRECT("Data!F" &amp; 905)</f>
        <v>0</v>
      </c>
      <c r="M910" cm="1">
        <f t="array" aca="1" ref="M910" ca="1">INDIRECT("Data!G" &amp; 905)</f>
        <v>0</v>
      </c>
      <c r="N910" cm="1">
        <f t="array" aca="1" ref="N910" ca="1">INDIRECT("Data!H" &amp; 905)</f>
        <v>0</v>
      </c>
      <c r="O910" cm="1">
        <f t="array" aca="1" ref="O910" ca="1">INDIRECT("Data!I" &amp; 905)</f>
        <v>0</v>
      </c>
      <c r="P910" s="21" cm="1">
        <f t="array" aca="1" ref="P910" ca="1">INDIRECT("Data!J" &amp; 905)</f>
        <v>0</v>
      </c>
      <c r="Q910" cm="1">
        <f t="array" aca="1" ref="Q910" ca="1">INDIRECT("Data!K" &amp; 905)</f>
        <v>0</v>
      </c>
      <c r="R910" cm="1">
        <f t="array" aca="1" ref="R910" ca="1">INDIRECT("Data!L" &amp; 905)</f>
        <v>0</v>
      </c>
      <c r="S910" cm="1">
        <f t="array" aca="1" ref="S910" ca="1">INDIRECT("Data!M" &amp; 905)</f>
        <v>0</v>
      </c>
      <c r="T910" cm="1">
        <f t="array" aca="1" ref="T910" ca="1">INDIRECT("Data!N" &amp; 905)</f>
        <v>0</v>
      </c>
      <c r="U910" cm="1">
        <f t="array" aca="1" ref="U910" ca="1">INDIRECT("Data!O" &amp; 905)</f>
        <v>0</v>
      </c>
      <c r="V910" cm="1">
        <f t="array" aca="1" ref="V910" ca="1">INDIRECT("Data!P" &amp; 905)</f>
        <v>0</v>
      </c>
    </row>
    <row r="911" spans="7:22" x14ac:dyDescent="0.25">
      <c r="G911" cm="1">
        <f t="array" aca="1" ref="G911" ca="1">INDIRECT("Data!A" &amp; 906)</f>
        <v>0</v>
      </c>
      <c r="H911" s="21" cm="1">
        <f t="array" aca="1" ref="H911" ca="1">INDIRECT("Data!B" &amp; 906)</f>
        <v>0</v>
      </c>
      <c r="I911" s="21" cm="1">
        <f t="array" aca="1" ref="I911" ca="1">INDIRECT("Data!C" &amp; 906)</f>
        <v>0</v>
      </c>
      <c r="J911" cm="1">
        <f t="array" aca="1" ref="J911" ca="1">INDIRECT("Data!D" &amp; 906)</f>
        <v>0</v>
      </c>
      <c r="K911" cm="1">
        <f t="array" aca="1" ref="K911" ca="1">INDIRECT("Data!E" &amp; 906)</f>
        <v>0</v>
      </c>
      <c r="L911" cm="1">
        <f t="array" aca="1" ref="L911" ca="1">INDIRECT("Data!F" &amp; 906)</f>
        <v>0</v>
      </c>
      <c r="M911" cm="1">
        <f t="array" aca="1" ref="M911" ca="1">INDIRECT("Data!G" &amp; 906)</f>
        <v>0</v>
      </c>
      <c r="N911" cm="1">
        <f t="array" aca="1" ref="N911" ca="1">INDIRECT("Data!H" &amp; 906)</f>
        <v>0</v>
      </c>
      <c r="O911" cm="1">
        <f t="array" aca="1" ref="O911" ca="1">INDIRECT("Data!I" &amp; 906)</f>
        <v>0</v>
      </c>
      <c r="P911" s="21" cm="1">
        <f t="array" aca="1" ref="P911" ca="1">INDIRECT("Data!J" &amp; 906)</f>
        <v>0</v>
      </c>
      <c r="Q911" cm="1">
        <f t="array" aca="1" ref="Q911" ca="1">INDIRECT("Data!K" &amp; 906)</f>
        <v>0</v>
      </c>
      <c r="R911" cm="1">
        <f t="array" aca="1" ref="R911" ca="1">INDIRECT("Data!L" &amp; 906)</f>
        <v>0</v>
      </c>
      <c r="S911" cm="1">
        <f t="array" aca="1" ref="S911" ca="1">INDIRECT("Data!M" &amp; 906)</f>
        <v>0</v>
      </c>
      <c r="T911" cm="1">
        <f t="array" aca="1" ref="T911" ca="1">INDIRECT("Data!N" &amp; 906)</f>
        <v>0</v>
      </c>
      <c r="U911" cm="1">
        <f t="array" aca="1" ref="U911" ca="1">INDIRECT("Data!O" &amp; 906)</f>
        <v>0</v>
      </c>
      <c r="V911" cm="1">
        <f t="array" aca="1" ref="V911" ca="1">INDIRECT("Data!P" &amp; 906)</f>
        <v>0</v>
      </c>
    </row>
    <row r="912" spans="7:22" x14ac:dyDescent="0.25">
      <c r="G912" cm="1">
        <f t="array" aca="1" ref="G912" ca="1">INDIRECT("Data!A" &amp; 907)</f>
        <v>0</v>
      </c>
      <c r="H912" s="21" cm="1">
        <f t="array" aca="1" ref="H912" ca="1">INDIRECT("Data!B" &amp; 907)</f>
        <v>0</v>
      </c>
      <c r="I912" s="21" cm="1">
        <f t="array" aca="1" ref="I912" ca="1">INDIRECT("Data!C" &amp; 907)</f>
        <v>0</v>
      </c>
      <c r="J912" cm="1">
        <f t="array" aca="1" ref="J912" ca="1">INDIRECT("Data!D" &amp; 907)</f>
        <v>0</v>
      </c>
      <c r="K912" cm="1">
        <f t="array" aca="1" ref="K912" ca="1">INDIRECT("Data!E" &amp; 907)</f>
        <v>0</v>
      </c>
      <c r="L912" cm="1">
        <f t="array" aca="1" ref="L912" ca="1">INDIRECT("Data!F" &amp; 907)</f>
        <v>0</v>
      </c>
      <c r="M912" cm="1">
        <f t="array" aca="1" ref="M912" ca="1">INDIRECT("Data!G" &amp; 907)</f>
        <v>0</v>
      </c>
      <c r="N912" cm="1">
        <f t="array" aca="1" ref="N912" ca="1">INDIRECT("Data!H" &amp; 907)</f>
        <v>0</v>
      </c>
      <c r="O912" cm="1">
        <f t="array" aca="1" ref="O912" ca="1">INDIRECT("Data!I" &amp; 907)</f>
        <v>0</v>
      </c>
      <c r="P912" s="21" cm="1">
        <f t="array" aca="1" ref="P912" ca="1">INDIRECT("Data!J" &amp; 907)</f>
        <v>0</v>
      </c>
      <c r="Q912" cm="1">
        <f t="array" aca="1" ref="Q912" ca="1">INDIRECT("Data!K" &amp; 907)</f>
        <v>0</v>
      </c>
      <c r="R912" cm="1">
        <f t="array" aca="1" ref="R912" ca="1">INDIRECT("Data!L" &amp; 907)</f>
        <v>0</v>
      </c>
      <c r="S912" cm="1">
        <f t="array" aca="1" ref="S912" ca="1">INDIRECT("Data!M" &amp; 907)</f>
        <v>0</v>
      </c>
      <c r="T912" cm="1">
        <f t="array" aca="1" ref="T912" ca="1">INDIRECT("Data!N" &amp; 907)</f>
        <v>0</v>
      </c>
      <c r="U912" cm="1">
        <f t="array" aca="1" ref="U912" ca="1">INDIRECT("Data!O" &amp; 907)</f>
        <v>0</v>
      </c>
      <c r="V912" cm="1">
        <f t="array" aca="1" ref="V912" ca="1">INDIRECT("Data!P" &amp; 907)</f>
        <v>0</v>
      </c>
    </row>
    <row r="913" spans="7:22" x14ac:dyDescent="0.25">
      <c r="G913" cm="1">
        <f t="array" aca="1" ref="G913" ca="1">INDIRECT("Data!A" &amp; 908)</f>
        <v>0</v>
      </c>
      <c r="H913" s="21" cm="1">
        <f t="array" aca="1" ref="H913" ca="1">INDIRECT("Data!B" &amp; 908)</f>
        <v>0</v>
      </c>
      <c r="I913" s="21" cm="1">
        <f t="array" aca="1" ref="I913" ca="1">INDIRECT("Data!C" &amp; 908)</f>
        <v>0</v>
      </c>
      <c r="J913" cm="1">
        <f t="array" aca="1" ref="J913" ca="1">INDIRECT("Data!D" &amp; 908)</f>
        <v>0</v>
      </c>
      <c r="K913" cm="1">
        <f t="array" aca="1" ref="K913" ca="1">INDIRECT("Data!E" &amp; 908)</f>
        <v>0</v>
      </c>
      <c r="L913" cm="1">
        <f t="array" aca="1" ref="L913" ca="1">INDIRECT("Data!F" &amp; 908)</f>
        <v>0</v>
      </c>
      <c r="M913" cm="1">
        <f t="array" aca="1" ref="M913" ca="1">INDIRECT("Data!G" &amp; 908)</f>
        <v>0</v>
      </c>
      <c r="N913" cm="1">
        <f t="array" aca="1" ref="N913" ca="1">INDIRECT("Data!H" &amp; 908)</f>
        <v>0</v>
      </c>
      <c r="O913" cm="1">
        <f t="array" aca="1" ref="O913" ca="1">INDIRECT("Data!I" &amp; 908)</f>
        <v>0</v>
      </c>
      <c r="P913" s="21" cm="1">
        <f t="array" aca="1" ref="P913" ca="1">INDIRECT("Data!J" &amp; 908)</f>
        <v>0</v>
      </c>
      <c r="Q913" cm="1">
        <f t="array" aca="1" ref="Q913" ca="1">INDIRECT("Data!K" &amp; 908)</f>
        <v>0</v>
      </c>
      <c r="R913" cm="1">
        <f t="array" aca="1" ref="R913" ca="1">INDIRECT("Data!L" &amp; 908)</f>
        <v>0</v>
      </c>
      <c r="S913" cm="1">
        <f t="array" aca="1" ref="S913" ca="1">INDIRECT("Data!M" &amp; 908)</f>
        <v>0</v>
      </c>
      <c r="T913" cm="1">
        <f t="array" aca="1" ref="T913" ca="1">INDIRECT("Data!N" &amp; 908)</f>
        <v>0</v>
      </c>
      <c r="U913" cm="1">
        <f t="array" aca="1" ref="U913" ca="1">INDIRECT("Data!O" &amp; 908)</f>
        <v>0</v>
      </c>
      <c r="V913" cm="1">
        <f t="array" aca="1" ref="V913" ca="1">INDIRECT("Data!P" &amp; 908)</f>
        <v>0</v>
      </c>
    </row>
    <row r="914" spans="7:22" x14ac:dyDescent="0.25">
      <c r="G914" cm="1">
        <f t="array" aca="1" ref="G914" ca="1">INDIRECT("Data!A" &amp; 909)</f>
        <v>0</v>
      </c>
      <c r="H914" s="21" cm="1">
        <f t="array" aca="1" ref="H914" ca="1">INDIRECT("Data!B" &amp; 909)</f>
        <v>0</v>
      </c>
      <c r="I914" s="21" cm="1">
        <f t="array" aca="1" ref="I914" ca="1">INDIRECT("Data!C" &amp; 909)</f>
        <v>0</v>
      </c>
      <c r="J914" cm="1">
        <f t="array" aca="1" ref="J914" ca="1">INDIRECT("Data!D" &amp; 909)</f>
        <v>0</v>
      </c>
      <c r="K914" cm="1">
        <f t="array" aca="1" ref="K914" ca="1">INDIRECT("Data!E" &amp; 909)</f>
        <v>0</v>
      </c>
      <c r="L914" cm="1">
        <f t="array" aca="1" ref="L914" ca="1">INDIRECT("Data!F" &amp; 909)</f>
        <v>0</v>
      </c>
      <c r="M914" cm="1">
        <f t="array" aca="1" ref="M914" ca="1">INDIRECT("Data!G" &amp; 909)</f>
        <v>0</v>
      </c>
      <c r="N914" cm="1">
        <f t="array" aca="1" ref="N914" ca="1">INDIRECT("Data!H" &amp; 909)</f>
        <v>0</v>
      </c>
      <c r="O914" cm="1">
        <f t="array" aca="1" ref="O914" ca="1">INDIRECT("Data!I" &amp; 909)</f>
        <v>0</v>
      </c>
      <c r="P914" s="21" cm="1">
        <f t="array" aca="1" ref="P914" ca="1">INDIRECT("Data!J" &amp; 909)</f>
        <v>0</v>
      </c>
      <c r="Q914" cm="1">
        <f t="array" aca="1" ref="Q914" ca="1">INDIRECT("Data!K" &amp; 909)</f>
        <v>0</v>
      </c>
      <c r="R914" cm="1">
        <f t="array" aca="1" ref="R914" ca="1">INDIRECT("Data!L" &amp; 909)</f>
        <v>0</v>
      </c>
      <c r="S914" cm="1">
        <f t="array" aca="1" ref="S914" ca="1">INDIRECT("Data!M" &amp; 909)</f>
        <v>0</v>
      </c>
      <c r="T914" cm="1">
        <f t="array" aca="1" ref="T914" ca="1">INDIRECT("Data!N" &amp; 909)</f>
        <v>0</v>
      </c>
      <c r="U914" cm="1">
        <f t="array" aca="1" ref="U914" ca="1">INDIRECT("Data!O" &amp; 909)</f>
        <v>0</v>
      </c>
      <c r="V914" cm="1">
        <f t="array" aca="1" ref="V914" ca="1">INDIRECT("Data!P" &amp; 909)</f>
        <v>0</v>
      </c>
    </row>
    <row r="915" spans="7:22" x14ac:dyDescent="0.25">
      <c r="G915" cm="1">
        <f t="array" aca="1" ref="G915" ca="1">INDIRECT("Data!A" &amp; 910)</f>
        <v>0</v>
      </c>
      <c r="H915" s="21" cm="1">
        <f t="array" aca="1" ref="H915" ca="1">INDIRECT("Data!B" &amp; 910)</f>
        <v>0</v>
      </c>
      <c r="I915" s="21" cm="1">
        <f t="array" aca="1" ref="I915" ca="1">INDIRECT("Data!C" &amp; 910)</f>
        <v>0</v>
      </c>
      <c r="J915" cm="1">
        <f t="array" aca="1" ref="J915" ca="1">INDIRECT("Data!D" &amp; 910)</f>
        <v>0</v>
      </c>
      <c r="K915" cm="1">
        <f t="array" aca="1" ref="K915" ca="1">INDIRECT("Data!E" &amp; 910)</f>
        <v>0</v>
      </c>
      <c r="L915" cm="1">
        <f t="array" aca="1" ref="L915" ca="1">INDIRECT("Data!F" &amp; 910)</f>
        <v>0</v>
      </c>
      <c r="M915" cm="1">
        <f t="array" aca="1" ref="M915" ca="1">INDIRECT("Data!G" &amp; 910)</f>
        <v>0</v>
      </c>
      <c r="N915" cm="1">
        <f t="array" aca="1" ref="N915" ca="1">INDIRECT("Data!H" &amp; 910)</f>
        <v>0</v>
      </c>
      <c r="O915" cm="1">
        <f t="array" aca="1" ref="O915" ca="1">INDIRECT("Data!I" &amp; 910)</f>
        <v>0</v>
      </c>
      <c r="P915" s="21" cm="1">
        <f t="array" aca="1" ref="P915" ca="1">INDIRECT("Data!J" &amp; 910)</f>
        <v>0</v>
      </c>
      <c r="Q915" cm="1">
        <f t="array" aca="1" ref="Q915" ca="1">INDIRECT("Data!K" &amp; 910)</f>
        <v>0</v>
      </c>
      <c r="R915" cm="1">
        <f t="array" aca="1" ref="R915" ca="1">INDIRECT("Data!L" &amp; 910)</f>
        <v>0</v>
      </c>
      <c r="S915" cm="1">
        <f t="array" aca="1" ref="S915" ca="1">INDIRECT("Data!M" &amp; 910)</f>
        <v>0</v>
      </c>
      <c r="T915" cm="1">
        <f t="array" aca="1" ref="T915" ca="1">INDIRECT("Data!N" &amp; 910)</f>
        <v>0</v>
      </c>
      <c r="U915" cm="1">
        <f t="array" aca="1" ref="U915" ca="1">INDIRECT("Data!O" &amp; 910)</f>
        <v>0</v>
      </c>
      <c r="V915" cm="1">
        <f t="array" aca="1" ref="V915" ca="1">INDIRECT("Data!P" &amp; 910)</f>
        <v>0</v>
      </c>
    </row>
    <row r="916" spans="7:22" x14ac:dyDescent="0.25">
      <c r="G916" cm="1">
        <f t="array" aca="1" ref="G916" ca="1">INDIRECT("Data!A" &amp; 911)</f>
        <v>0</v>
      </c>
      <c r="H916" s="21" cm="1">
        <f t="array" aca="1" ref="H916" ca="1">INDIRECT("Data!B" &amp; 911)</f>
        <v>0</v>
      </c>
      <c r="I916" s="21" cm="1">
        <f t="array" aca="1" ref="I916" ca="1">INDIRECT("Data!C" &amp; 911)</f>
        <v>0</v>
      </c>
      <c r="J916" cm="1">
        <f t="array" aca="1" ref="J916" ca="1">INDIRECT("Data!D" &amp; 911)</f>
        <v>0</v>
      </c>
      <c r="K916" cm="1">
        <f t="array" aca="1" ref="K916" ca="1">INDIRECT("Data!E" &amp; 911)</f>
        <v>0</v>
      </c>
      <c r="L916" cm="1">
        <f t="array" aca="1" ref="L916" ca="1">INDIRECT("Data!F" &amp; 911)</f>
        <v>0</v>
      </c>
      <c r="M916" cm="1">
        <f t="array" aca="1" ref="M916" ca="1">INDIRECT("Data!G" &amp; 911)</f>
        <v>0</v>
      </c>
      <c r="N916" cm="1">
        <f t="array" aca="1" ref="N916" ca="1">INDIRECT("Data!H" &amp; 911)</f>
        <v>0</v>
      </c>
      <c r="O916" cm="1">
        <f t="array" aca="1" ref="O916" ca="1">INDIRECT("Data!I" &amp; 911)</f>
        <v>0</v>
      </c>
      <c r="P916" s="21" cm="1">
        <f t="array" aca="1" ref="P916" ca="1">INDIRECT("Data!J" &amp; 911)</f>
        <v>0</v>
      </c>
      <c r="Q916" cm="1">
        <f t="array" aca="1" ref="Q916" ca="1">INDIRECT("Data!K" &amp; 911)</f>
        <v>0</v>
      </c>
      <c r="R916" cm="1">
        <f t="array" aca="1" ref="R916" ca="1">INDIRECT("Data!L" &amp; 911)</f>
        <v>0</v>
      </c>
      <c r="S916" cm="1">
        <f t="array" aca="1" ref="S916" ca="1">INDIRECT("Data!M" &amp; 911)</f>
        <v>0</v>
      </c>
      <c r="T916" cm="1">
        <f t="array" aca="1" ref="T916" ca="1">INDIRECT("Data!N" &amp; 911)</f>
        <v>0</v>
      </c>
      <c r="U916" cm="1">
        <f t="array" aca="1" ref="U916" ca="1">INDIRECT("Data!O" &amp; 911)</f>
        <v>0</v>
      </c>
      <c r="V916" cm="1">
        <f t="array" aca="1" ref="V916" ca="1">INDIRECT("Data!P" &amp; 911)</f>
        <v>0</v>
      </c>
    </row>
    <row r="917" spans="7:22" x14ac:dyDescent="0.25">
      <c r="G917" cm="1">
        <f t="array" aca="1" ref="G917" ca="1">INDIRECT("Data!A" &amp; 912)</f>
        <v>0</v>
      </c>
      <c r="H917" s="21" cm="1">
        <f t="array" aca="1" ref="H917" ca="1">INDIRECT("Data!B" &amp; 912)</f>
        <v>0</v>
      </c>
      <c r="I917" s="21" cm="1">
        <f t="array" aca="1" ref="I917" ca="1">INDIRECT("Data!C" &amp; 912)</f>
        <v>0</v>
      </c>
      <c r="J917" cm="1">
        <f t="array" aca="1" ref="J917" ca="1">INDIRECT("Data!D" &amp; 912)</f>
        <v>0</v>
      </c>
      <c r="K917" cm="1">
        <f t="array" aca="1" ref="K917" ca="1">INDIRECT("Data!E" &amp; 912)</f>
        <v>0</v>
      </c>
      <c r="L917" cm="1">
        <f t="array" aca="1" ref="L917" ca="1">INDIRECT("Data!F" &amp; 912)</f>
        <v>0</v>
      </c>
      <c r="M917" cm="1">
        <f t="array" aca="1" ref="M917" ca="1">INDIRECT("Data!G" &amp; 912)</f>
        <v>0</v>
      </c>
      <c r="N917" cm="1">
        <f t="array" aca="1" ref="N917" ca="1">INDIRECT("Data!H" &amp; 912)</f>
        <v>0</v>
      </c>
      <c r="O917" cm="1">
        <f t="array" aca="1" ref="O917" ca="1">INDIRECT("Data!I" &amp; 912)</f>
        <v>0</v>
      </c>
      <c r="P917" s="21" cm="1">
        <f t="array" aca="1" ref="P917" ca="1">INDIRECT("Data!J" &amp; 912)</f>
        <v>0</v>
      </c>
      <c r="Q917" cm="1">
        <f t="array" aca="1" ref="Q917" ca="1">INDIRECT("Data!K" &amp; 912)</f>
        <v>0</v>
      </c>
      <c r="R917" cm="1">
        <f t="array" aca="1" ref="R917" ca="1">INDIRECT("Data!L" &amp; 912)</f>
        <v>0</v>
      </c>
      <c r="S917" cm="1">
        <f t="array" aca="1" ref="S917" ca="1">INDIRECT("Data!M" &amp; 912)</f>
        <v>0</v>
      </c>
      <c r="T917" cm="1">
        <f t="array" aca="1" ref="T917" ca="1">INDIRECT("Data!N" &amp; 912)</f>
        <v>0</v>
      </c>
      <c r="U917" cm="1">
        <f t="array" aca="1" ref="U917" ca="1">INDIRECT("Data!O" &amp; 912)</f>
        <v>0</v>
      </c>
      <c r="V917" cm="1">
        <f t="array" aca="1" ref="V917" ca="1">INDIRECT("Data!P" &amp; 912)</f>
        <v>0</v>
      </c>
    </row>
    <row r="918" spans="7:22" x14ac:dyDescent="0.25">
      <c r="G918" cm="1">
        <f t="array" aca="1" ref="G918" ca="1">INDIRECT("Data!A" &amp; 913)</f>
        <v>0</v>
      </c>
      <c r="H918" s="21" cm="1">
        <f t="array" aca="1" ref="H918" ca="1">INDIRECT("Data!B" &amp; 913)</f>
        <v>0</v>
      </c>
      <c r="I918" s="21" cm="1">
        <f t="array" aca="1" ref="I918" ca="1">INDIRECT("Data!C" &amp; 913)</f>
        <v>0</v>
      </c>
      <c r="J918" cm="1">
        <f t="array" aca="1" ref="J918" ca="1">INDIRECT("Data!D" &amp; 913)</f>
        <v>0</v>
      </c>
      <c r="K918" cm="1">
        <f t="array" aca="1" ref="K918" ca="1">INDIRECT("Data!E" &amp; 913)</f>
        <v>0</v>
      </c>
      <c r="L918" cm="1">
        <f t="array" aca="1" ref="L918" ca="1">INDIRECT("Data!F" &amp; 913)</f>
        <v>0</v>
      </c>
      <c r="M918" cm="1">
        <f t="array" aca="1" ref="M918" ca="1">INDIRECT("Data!G" &amp; 913)</f>
        <v>0</v>
      </c>
      <c r="N918" cm="1">
        <f t="array" aca="1" ref="N918" ca="1">INDIRECT("Data!H" &amp; 913)</f>
        <v>0</v>
      </c>
      <c r="O918" cm="1">
        <f t="array" aca="1" ref="O918" ca="1">INDIRECT("Data!I" &amp; 913)</f>
        <v>0</v>
      </c>
      <c r="P918" s="21" cm="1">
        <f t="array" aca="1" ref="P918" ca="1">INDIRECT("Data!J" &amp; 913)</f>
        <v>0</v>
      </c>
      <c r="Q918" cm="1">
        <f t="array" aca="1" ref="Q918" ca="1">INDIRECT("Data!K" &amp; 913)</f>
        <v>0</v>
      </c>
      <c r="R918" cm="1">
        <f t="array" aca="1" ref="R918" ca="1">INDIRECT("Data!L" &amp; 913)</f>
        <v>0</v>
      </c>
      <c r="S918" cm="1">
        <f t="array" aca="1" ref="S918" ca="1">INDIRECT("Data!M" &amp; 913)</f>
        <v>0</v>
      </c>
      <c r="T918" cm="1">
        <f t="array" aca="1" ref="T918" ca="1">INDIRECT("Data!N" &amp; 913)</f>
        <v>0</v>
      </c>
      <c r="U918" cm="1">
        <f t="array" aca="1" ref="U918" ca="1">INDIRECT("Data!O" &amp; 913)</f>
        <v>0</v>
      </c>
      <c r="V918" cm="1">
        <f t="array" aca="1" ref="V918" ca="1">INDIRECT("Data!P" &amp; 913)</f>
        <v>0</v>
      </c>
    </row>
    <row r="919" spans="7:22" x14ac:dyDescent="0.25">
      <c r="G919" cm="1">
        <f t="array" aca="1" ref="G919" ca="1">INDIRECT("Data!A" &amp; 914)</f>
        <v>0</v>
      </c>
      <c r="H919" s="21" cm="1">
        <f t="array" aca="1" ref="H919" ca="1">INDIRECT("Data!B" &amp; 914)</f>
        <v>0</v>
      </c>
      <c r="I919" s="21" cm="1">
        <f t="array" aca="1" ref="I919" ca="1">INDIRECT("Data!C" &amp; 914)</f>
        <v>0</v>
      </c>
      <c r="J919" cm="1">
        <f t="array" aca="1" ref="J919" ca="1">INDIRECT("Data!D" &amp; 914)</f>
        <v>0</v>
      </c>
      <c r="K919" cm="1">
        <f t="array" aca="1" ref="K919" ca="1">INDIRECT("Data!E" &amp; 914)</f>
        <v>0</v>
      </c>
      <c r="L919" cm="1">
        <f t="array" aca="1" ref="L919" ca="1">INDIRECT("Data!F" &amp; 914)</f>
        <v>0</v>
      </c>
      <c r="M919" cm="1">
        <f t="array" aca="1" ref="M919" ca="1">INDIRECT("Data!G" &amp; 914)</f>
        <v>0</v>
      </c>
      <c r="N919" cm="1">
        <f t="array" aca="1" ref="N919" ca="1">INDIRECT("Data!H" &amp; 914)</f>
        <v>0</v>
      </c>
      <c r="O919" cm="1">
        <f t="array" aca="1" ref="O919" ca="1">INDIRECT("Data!I" &amp; 914)</f>
        <v>0</v>
      </c>
      <c r="P919" s="21" cm="1">
        <f t="array" aca="1" ref="P919" ca="1">INDIRECT("Data!J" &amp; 914)</f>
        <v>0</v>
      </c>
      <c r="Q919" cm="1">
        <f t="array" aca="1" ref="Q919" ca="1">INDIRECT("Data!K" &amp; 914)</f>
        <v>0</v>
      </c>
      <c r="R919" cm="1">
        <f t="array" aca="1" ref="R919" ca="1">INDIRECT("Data!L" &amp; 914)</f>
        <v>0</v>
      </c>
      <c r="S919" cm="1">
        <f t="array" aca="1" ref="S919" ca="1">INDIRECT("Data!M" &amp; 914)</f>
        <v>0</v>
      </c>
      <c r="T919" cm="1">
        <f t="array" aca="1" ref="T919" ca="1">INDIRECT("Data!N" &amp; 914)</f>
        <v>0</v>
      </c>
      <c r="U919" cm="1">
        <f t="array" aca="1" ref="U919" ca="1">INDIRECT("Data!O" &amp; 914)</f>
        <v>0</v>
      </c>
      <c r="V919" cm="1">
        <f t="array" aca="1" ref="V919" ca="1">INDIRECT("Data!P" &amp; 914)</f>
        <v>0</v>
      </c>
    </row>
    <row r="920" spans="7:22" x14ac:dyDescent="0.25">
      <c r="G920" cm="1">
        <f t="array" aca="1" ref="G920" ca="1">INDIRECT("Data!A" &amp; 915)</f>
        <v>0</v>
      </c>
      <c r="H920" s="21" cm="1">
        <f t="array" aca="1" ref="H920" ca="1">INDIRECT("Data!B" &amp; 915)</f>
        <v>0</v>
      </c>
      <c r="I920" s="21" cm="1">
        <f t="array" aca="1" ref="I920" ca="1">INDIRECT("Data!C" &amp; 915)</f>
        <v>0</v>
      </c>
      <c r="J920" cm="1">
        <f t="array" aca="1" ref="J920" ca="1">INDIRECT("Data!D" &amp; 915)</f>
        <v>0</v>
      </c>
      <c r="K920" cm="1">
        <f t="array" aca="1" ref="K920" ca="1">INDIRECT("Data!E" &amp; 915)</f>
        <v>0</v>
      </c>
      <c r="L920" cm="1">
        <f t="array" aca="1" ref="L920" ca="1">INDIRECT("Data!F" &amp; 915)</f>
        <v>0</v>
      </c>
      <c r="M920" cm="1">
        <f t="array" aca="1" ref="M920" ca="1">INDIRECT("Data!G" &amp; 915)</f>
        <v>0</v>
      </c>
      <c r="N920" cm="1">
        <f t="array" aca="1" ref="N920" ca="1">INDIRECT("Data!H" &amp; 915)</f>
        <v>0</v>
      </c>
      <c r="O920" cm="1">
        <f t="array" aca="1" ref="O920" ca="1">INDIRECT("Data!I" &amp; 915)</f>
        <v>0</v>
      </c>
      <c r="P920" s="21" cm="1">
        <f t="array" aca="1" ref="P920" ca="1">INDIRECT("Data!J" &amp; 915)</f>
        <v>0</v>
      </c>
      <c r="Q920" cm="1">
        <f t="array" aca="1" ref="Q920" ca="1">INDIRECT("Data!K" &amp; 915)</f>
        <v>0</v>
      </c>
      <c r="R920" cm="1">
        <f t="array" aca="1" ref="R920" ca="1">INDIRECT("Data!L" &amp; 915)</f>
        <v>0</v>
      </c>
      <c r="S920" cm="1">
        <f t="array" aca="1" ref="S920" ca="1">INDIRECT("Data!M" &amp; 915)</f>
        <v>0</v>
      </c>
      <c r="T920" cm="1">
        <f t="array" aca="1" ref="T920" ca="1">INDIRECT("Data!N" &amp; 915)</f>
        <v>0</v>
      </c>
      <c r="U920" cm="1">
        <f t="array" aca="1" ref="U920" ca="1">INDIRECT("Data!O" &amp; 915)</f>
        <v>0</v>
      </c>
      <c r="V920" cm="1">
        <f t="array" aca="1" ref="V920" ca="1">INDIRECT("Data!P" &amp; 915)</f>
        <v>0</v>
      </c>
    </row>
    <row r="921" spans="7:22" x14ac:dyDescent="0.25">
      <c r="G921" cm="1">
        <f t="array" aca="1" ref="G921" ca="1">INDIRECT("Data!A" &amp; 916)</f>
        <v>0</v>
      </c>
      <c r="H921" s="21" cm="1">
        <f t="array" aca="1" ref="H921" ca="1">INDIRECT("Data!B" &amp; 916)</f>
        <v>0</v>
      </c>
      <c r="I921" s="21" cm="1">
        <f t="array" aca="1" ref="I921" ca="1">INDIRECT("Data!C" &amp; 916)</f>
        <v>0</v>
      </c>
      <c r="J921" cm="1">
        <f t="array" aca="1" ref="J921" ca="1">INDIRECT("Data!D" &amp; 916)</f>
        <v>0</v>
      </c>
      <c r="K921" cm="1">
        <f t="array" aca="1" ref="K921" ca="1">INDIRECT("Data!E" &amp; 916)</f>
        <v>0</v>
      </c>
      <c r="L921" cm="1">
        <f t="array" aca="1" ref="L921" ca="1">INDIRECT("Data!F" &amp; 916)</f>
        <v>0</v>
      </c>
      <c r="M921" cm="1">
        <f t="array" aca="1" ref="M921" ca="1">INDIRECT("Data!G" &amp; 916)</f>
        <v>0</v>
      </c>
      <c r="N921" cm="1">
        <f t="array" aca="1" ref="N921" ca="1">INDIRECT("Data!H" &amp; 916)</f>
        <v>0</v>
      </c>
      <c r="O921" cm="1">
        <f t="array" aca="1" ref="O921" ca="1">INDIRECT("Data!I" &amp; 916)</f>
        <v>0</v>
      </c>
      <c r="P921" s="21" cm="1">
        <f t="array" aca="1" ref="P921" ca="1">INDIRECT("Data!J" &amp; 916)</f>
        <v>0</v>
      </c>
      <c r="Q921" cm="1">
        <f t="array" aca="1" ref="Q921" ca="1">INDIRECT("Data!K" &amp; 916)</f>
        <v>0</v>
      </c>
      <c r="R921" cm="1">
        <f t="array" aca="1" ref="R921" ca="1">INDIRECT("Data!L" &amp; 916)</f>
        <v>0</v>
      </c>
      <c r="S921" cm="1">
        <f t="array" aca="1" ref="S921" ca="1">INDIRECT("Data!M" &amp; 916)</f>
        <v>0</v>
      </c>
      <c r="T921" cm="1">
        <f t="array" aca="1" ref="T921" ca="1">INDIRECT("Data!N" &amp; 916)</f>
        <v>0</v>
      </c>
      <c r="U921" cm="1">
        <f t="array" aca="1" ref="U921" ca="1">INDIRECT("Data!O" &amp; 916)</f>
        <v>0</v>
      </c>
      <c r="V921" cm="1">
        <f t="array" aca="1" ref="V921" ca="1">INDIRECT("Data!P" &amp; 916)</f>
        <v>0</v>
      </c>
    </row>
    <row r="922" spans="7:22" x14ac:dyDescent="0.25">
      <c r="G922" cm="1">
        <f t="array" aca="1" ref="G922" ca="1">INDIRECT("Data!A" &amp; 917)</f>
        <v>0</v>
      </c>
      <c r="H922" s="21" cm="1">
        <f t="array" aca="1" ref="H922" ca="1">INDIRECT("Data!B" &amp; 917)</f>
        <v>0</v>
      </c>
      <c r="I922" s="21" cm="1">
        <f t="array" aca="1" ref="I922" ca="1">INDIRECT("Data!C" &amp; 917)</f>
        <v>0</v>
      </c>
      <c r="J922" cm="1">
        <f t="array" aca="1" ref="J922" ca="1">INDIRECT("Data!D" &amp; 917)</f>
        <v>0</v>
      </c>
      <c r="K922" cm="1">
        <f t="array" aca="1" ref="K922" ca="1">INDIRECT("Data!E" &amp; 917)</f>
        <v>0</v>
      </c>
      <c r="L922" cm="1">
        <f t="array" aca="1" ref="L922" ca="1">INDIRECT("Data!F" &amp; 917)</f>
        <v>0</v>
      </c>
      <c r="M922" cm="1">
        <f t="array" aca="1" ref="M922" ca="1">INDIRECT("Data!G" &amp; 917)</f>
        <v>0</v>
      </c>
      <c r="N922" cm="1">
        <f t="array" aca="1" ref="N922" ca="1">INDIRECT("Data!H" &amp; 917)</f>
        <v>0</v>
      </c>
      <c r="O922" cm="1">
        <f t="array" aca="1" ref="O922" ca="1">INDIRECT("Data!I" &amp; 917)</f>
        <v>0</v>
      </c>
      <c r="P922" s="21" cm="1">
        <f t="array" aca="1" ref="P922" ca="1">INDIRECT("Data!J" &amp; 917)</f>
        <v>0</v>
      </c>
      <c r="Q922" cm="1">
        <f t="array" aca="1" ref="Q922" ca="1">INDIRECT("Data!K" &amp; 917)</f>
        <v>0</v>
      </c>
      <c r="R922" cm="1">
        <f t="array" aca="1" ref="R922" ca="1">INDIRECT("Data!L" &amp; 917)</f>
        <v>0</v>
      </c>
      <c r="S922" cm="1">
        <f t="array" aca="1" ref="S922" ca="1">INDIRECT("Data!M" &amp; 917)</f>
        <v>0</v>
      </c>
      <c r="T922" cm="1">
        <f t="array" aca="1" ref="T922" ca="1">INDIRECT("Data!N" &amp; 917)</f>
        <v>0</v>
      </c>
      <c r="U922" cm="1">
        <f t="array" aca="1" ref="U922" ca="1">INDIRECT("Data!O" &amp; 917)</f>
        <v>0</v>
      </c>
      <c r="V922" cm="1">
        <f t="array" aca="1" ref="V922" ca="1">INDIRECT("Data!P" &amp; 917)</f>
        <v>0</v>
      </c>
    </row>
    <row r="923" spans="7:22" x14ac:dyDescent="0.25">
      <c r="G923" cm="1">
        <f t="array" aca="1" ref="G923" ca="1">INDIRECT("Data!A" &amp; 918)</f>
        <v>0</v>
      </c>
      <c r="H923" s="21" cm="1">
        <f t="array" aca="1" ref="H923" ca="1">INDIRECT("Data!B" &amp; 918)</f>
        <v>0</v>
      </c>
      <c r="I923" s="21" cm="1">
        <f t="array" aca="1" ref="I923" ca="1">INDIRECT("Data!C" &amp; 918)</f>
        <v>0</v>
      </c>
      <c r="J923" cm="1">
        <f t="array" aca="1" ref="J923" ca="1">INDIRECT("Data!D" &amp; 918)</f>
        <v>0</v>
      </c>
      <c r="K923" cm="1">
        <f t="array" aca="1" ref="K923" ca="1">INDIRECT("Data!E" &amp; 918)</f>
        <v>0</v>
      </c>
      <c r="L923" cm="1">
        <f t="array" aca="1" ref="L923" ca="1">INDIRECT("Data!F" &amp; 918)</f>
        <v>0</v>
      </c>
      <c r="M923" cm="1">
        <f t="array" aca="1" ref="M923" ca="1">INDIRECT("Data!G" &amp; 918)</f>
        <v>0</v>
      </c>
      <c r="N923" cm="1">
        <f t="array" aca="1" ref="N923" ca="1">INDIRECT("Data!H" &amp; 918)</f>
        <v>0</v>
      </c>
      <c r="O923" cm="1">
        <f t="array" aca="1" ref="O923" ca="1">INDIRECT("Data!I" &amp; 918)</f>
        <v>0</v>
      </c>
      <c r="P923" s="21" cm="1">
        <f t="array" aca="1" ref="P923" ca="1">INDIRECT("Data!J" &amp; 918)</f>
        <v>0</v>
      </c>
      <c r="Q923" cm="1">
        <f t="array" aca="1" ref="Q923" ca="1">INDIRECT("Data!K" &amp; 918)</f>
        <v>0</v>
      </c>
      <c r="R923" cm="1">
        <f t="array" aca="1" ref="R923" ca="1">INDIRECT("Data!L" &amp; 918)</f>
        <v>0</v>
      </c>
      <c r="S923" cm="1">
        <f t="array" aca="1" ref="S923" ca="1">INDIRECT("Data!M" &amp; 918)</f>
        <v>0</v>
      </c>
      <c r="T923" cm="1">
        <f t="array" aca="1" ref="T923" ca="1">INDIRECT("Data!N" &amp; 918)</f>
        <v>0</v>
      </c>
      <c r="U923" cm="1">
        <f t="array" aca="1" ref="U923" ca="1">INDIRECT("Data!O" &amp; 918)</f>
        <v>0</v>
      </c>
      <c r="V923" cm="1">
        <f t="array" aca="1" ref="V923" ca="1">INDIRECT("Data!P" &amp; 918)</f>
        <v>0</v>
      </c>
    </row>
    <row r="924" spans="7:22" x14ac:dyDescent="0.25">
      <c r="G924" cm="1">
        <f t="array" aca="1" ref="G924" ca="1">INDIRECT("Data!A" &amp; 919)</f>
        <v>0</v>
      </c>
      <c r="H924" s="21" cm="1">
        <f t="array" aca="1" ref="H924" ca="1">INDIRECT("Data!B" &amp; 919)</f>
        <v>0</v>
      </c>
      <c r="I924" s="21" cm="1">
        <f t="array" aca="1" ref="I924" ca="1">INDIRECT("Data!C" &amp; 919)</f>
        <v>0</v>
      </c>
      <c r="J924" cm="1">
        <f t="array" aca="1" ref="J924" ca="1">INDIRECT("Data!D" &amp; 919)</f>
        <v>0</v>
      </c>
      <c r="K924" cm="1">
        <f t="array" aca="1" ref="K924" ca="1">INDIRECT("Data!E" &amp; 919)</f>
        <v>0</v>
      </c>
      <c r="L924" cm="1">
        <f t="array" aca="1" ref="L924" ca="1">INDIRECT("Data!F" &amp; 919)</f>
        <v>0</v>
      </c>
      <c r="M924" cm="1">
        <f t="array" aca="1" ref="M924" ca="1">INDIRECT("Data!G" &amp; 919)</f>
        <v>0</v>
      </c>
      <c r="N924" cm="1">
        <f t="array" aca="1" ref="N924" ca="1">INDIRECT("Data!H" &amp; 919)</f>
        <v>0</v>
      </c>
      <c r="O924" cm="1">
        <f t="array" aca="1" ref="O924" ca="1">INDIRECT("Data!I" &amp; 919)</f>
        <v>0</v>
      </c>
      <c r="P924" s="21" cm="1">
        <f t="array" aca="1" ref="P924" ca="1">INDIRECT("Data!J" &amp; 919)</f>
        <v>0</v>
      </c>
      <c r="Q924" cm="1">
        <f t="array" aca="1" ref="Q924" ca="1">INDIRECT("Data!K" &amp; 919)</f>
        <v>0</v>
      </c>
      <c r="R924" cm="1">
        <f t="array" aca="1" ref="R924" ca="1">INDIRECT("Data!L" &amp; 919)</f>
        <v>0</v>
      </c>
      <c r="S924" cm="1">
        <f t="array" aca="1" ref="S924" ca="1">INDIRECT("Data!M" &amp; 919)</f>
        <v>0</v>
      </c>
      <c r="T924" cm="1">
        <f t="array" aca="1" ref="T924" ca="1">INDIRECT("Data!N" &amp; 919)</f>
        <v>0</v>
      </c>
      <c r="U924" cm="1">
        <f t="array" aca="1" ref="U924" ca="1">INDIRECT("Data!O" &amp; 919)</f>
        <v>0</v>
      </c>
      <c r="V924" cm="1">
        <f t="array" aca="1" ref="V924" ca="1">INDIRECT("Data!P" &amp; 919)</f>
        <v>0</v>
      </c>
    </row>
    <row r="925" spans="7:22" x14ac:dyDescent="0.25">
      <c r="G925" cm="1">
        <f t="array" aca="1" ref="G925" ca="1">INDIRECT("Data!A" &amp; 920)</f>
        <v>0</v>
      </c>
      <c r="H925" s="21" cm="1">
        <f t="array" aca="1" ref="H925" ca="1">INDIRECT("Data!B" &amp; 920)</f>
        <v>0</v>
      </c>
      <c r="I925" s="21" cm="1">
        <f t="array" aca="1" ref="I925" ca="1">INDIRECT("Data!C" &amp; 920)</f>
        <v>0</v>
      </c>
      <c r="J925" cm="1">
        <f t="array" aca="1" ref="J925" ca="1">INDIRECT("Data!D" &amp; 920)</f>
        <v>0</v>
      </c>
      <c r="K925" cm="1">
        <f t="array" aca="1" ref="K925" ca="1">INDIRECT("Data!E" &amp; 920)</f>
        <v>0</v>
      </c>
      <c r="L925" cm="1">
        <f t="array" aca="1" ref="L925" ca="1">INDIRECT("Data!F" &amp; 920)</f>
        <v>0</v>
      </c>
      <c r="M925" cm="1">
        <f t="array" aca="1" ref="M925" ca="1">INDIRECT("Data!G" &amp; 920)</f>
        <v>0</v>
      </c>
      <c r="N925" cm="1">
        <f t="array" aca="1" ref="N925" ca="1">INDIRECT("Data!H" &amp; 920)</f>
        <v>0</v>
      </c>
      <c r="O925" cm="1">
        <f t="array" aca="1" ref="O925" ca="1">INDIRECT("Data!I" &amp; 920)</f>
        <v>0</v>
      </c>
      <c r="P925" s="21" cm="1">
        <f t="array" aca="1" ref="P925" ca="1">INDIRECT("Data!J" &amp; 920)</f>
        <v>0</v>
      </c>
      <c r="Q925" cm="1">
        <f t="array" aca="1" ref="Q925" ca="1">INDIRECT("Data!K" &amp; 920)</f>
        <v>0</v>
      </c>
      <c r="R925" cm="1">
        <f t="array" aca="1" ref="R925" ca="1">INDIRECT("Data!L" &amp; 920)</f>
        <v>0</v>
      </c>
      <c r="S925" cm="1">
        <f t="array" aca="1" ref="S925" ca="1">INDIRECT("Data!M" &amp; 920)</f>
        <v>0</v>
      </c>
      <c r="T925" cm="1">
        <f t="array" aca="1" ref="T925" ca="1">INDIRECT("Data!N" &amp; 920)</f>
        <v>0</v>
      </c>
      <c r="U925" cm="1">
        <f t="array" aca="1" ref="U925" ca="1">INDIRECT("Data!O" &amp; 920)</f>
        <v>0</v>
      </c>
      <c r="V925" cm="1">
        <f t="array" aca="1" ref="V925" ca="1">INDIRECT("Data!P" &amp; 920)</f>
        <v>0</v>
      </c>
    </row>
    <row r="926" spans="7:22" x14ac:dyDescent="0.25">
      <c r="G926" cm="1">
        <f t="array" aca="1" ref="G926" ca="1">INDIRECT("Data!A" &amp; 921)</f>
        <v>0</v>
      </c>
      <c r="H926" s="21" cm="1">
        <f t="array" aca="1" ref="H926" ca="1">INDIRECT("Data!B" &amp; 921)</f>
        <v>0</v>
      </c>
      <c r="I926" s="21" cm="1">
        <f t="array" aca="1" ref="I926" ca="1">INDIRECT("Data!C" &amp; 921)</f>
        <v>0</v>
      </c>
      <c r="J926" cm="1">
        <f t="array" aca="1" ref="J926" ca="1">INDIRECT("Data!D" &amp; 921)</f>
        <v>0</v>
      </c>
      <c r="K926" cm="1">
        <f t="array" aca="1" ref="K926" ca="1">INDIRECT("Data!E" &amp; 921)</f>
        <v>0</v>
      </c>
      <c r="L926" cm="1">
        <f t="array" aca="1" ref="L926" ca="1">INDIRECT("Data!F" &amp; 921)</f>
        <v>0</v>
      </c>
      <c r="M926" cm="1">
        <f t="array" aca="1" ref="M926" ca="1">INDIRECT("Data!G" &amp; 921)</f>
        <v>0</v>
      </c>
      <c r="N926" cm="1">
        <f t="array" aca="1" ref="N926" ca="1">INDIRECT("Data!H" &amp; 921)</f>
        <v>0</v>
      </c>
      <c r="O926" cm="1">
        <f t="array" aca="1" ref="O926" ca="1">INDIRECT("Data!I" &amp; 921)</f>
        <v>0</v>
      </c>
      <c r="P926" s="21" cm="1">
        <f t="array" aca="1" ref="P926" ca="1">INDIRECT("Data!J" &amp; 921)</f>
        <v>0</v>
      </c>
      <c r="Q926" cm="1">
        <f t="array" aca="1" ref="Q926" ca="1">INDIRECT("Data!K" &amp; 921)</f>
        <v>0</v>
      </c>
      <c r="R926" cm="1">
        <f t="array" aca="1" ref="R926" ca="1">INDIRECT("Data!L" &amp; 921)</f>
        <v>0</v>
      </c>
      <c r="S926" cm="1">
        <f t="array" aca="1" ref="S926" ca="1">INDIRECT("Data!M" &amp; 921)</f>
        <v>0</v>
      </c>
      <c r="T926" cm="1">
        <f t="array" aca="1" ref="T926" ca="1">INDIRECT("Data!N" &amp; 921)</f>
        <v>0</v>
      </c>
      <c r="U926" cm="1">
        <f t="array" aca="1" ref="U926" ca="1">INDIRECT("Data!O" &amp; 921)</f>
        <v>0</v>
      </c>
      <c r="V926" cm="1">
        <f t="array" aca="1" ref="V926" ca="1">INDIRECT("Data!P" &amp; 921)</f>
        <v>0</v>
      </c>
    </row>
    <row r="927" spans="7:22" x14ac:dyDescent="0.25">
      <c r="G927" cm="1">
        <f t="array" aca="1" ref="G927" ca="1">INDIRECT("Data!A" &amp; 922)</f>
        <v>0</v>
      </c>
      <c r="H927" s="21" cm="1">
        <f t="array" aca="1" ref="H927" ca="1">INDIRECT("Data!B" &amp; 922)</f>
        <v>0</v>
      </c>
      <c r="I927" s="21" cm="1">
        <f t="array" aca="1" ref="I927" ca="1">INDIRECT("Data!C" &amp; 922)</f>
        <v>0</v>
      </c>
      <c r="J927" cm="1">
        <f t="array" aca="1" ref="J927" ca="1">INDIRECT("Data!D" &amp; 922)</f>
        <v>0</v>
      </c>
      <c r="K927" cm="1">
        <f t="array" aca="1" ref="K927" ca="1">INDIRECT("Data!E" &amp; 922)</f>
        <v>0</v>
      </c>
      <c r="L927" cm="1">
        <f t="array" aca="1" ref="L927" ca="1">INDIRECT("Data!F" &amp; 922)</f>
        <v>0</v>
      </c>
      <c r="M927" cm="1">
        <f t="array" aca="1" ref="M927" ca="1">INDIRECT("Data!G" &amp; 922)</f>
        <v>0</v>
      </c>
      <c r="N927" cm="1">
        <f t="array" aca="1" ref="N927" ca="1">INDIRECT("Data!H" &amp; 922)</f>
        <v>0</v>
      </c>
      <c r="O927" cm="1">
        <f t="array" aca="1" ref="O927" ca="1">INDIRECT("Data!I" &amp; 922)</f>
        <v>0</v>
      </c>
      <c r="P927" s="21" cm="1">
        <f t="array" aca="1" ref="P927" ca="1">INDIRECT("Data!J" &amp; 922)</f>
        <v>0</v>
      </c>
      <c r="Q927" cm="1">
        <f t="array" aca="1" ref="Q927" ca="1">INDIRECT("Data!K" &amp; 922)</f>
        <v>0</v>
      </c>
      <c r="R927" cm="1">
        <f t="array" aca="1" ref="R927" ca="1">INDIRECT("Data!L" &amp; 922)</f>
        <v>0</v>
      </c>
      <c r="S927" cm="1">
        <f t="array" aca="1" ref="S927" ca="1">INDIRECT("Data!M" &amp; 922)</f>
        <v>0</v>
      </c>
      <c r="T927" cm="1">
        <f t="array" aca="1" ref="T927" ca="1">INDIRECT("Data!N" &amp; 922)</f>
        <v>0</v>
      </c>
      <c r="U927" cm="1">
        <f t="array" aca="1" ref="U927" ca="1">INDIRECT("Data!O" &amp; 922)</f>
        <v>0</v>
      </c>
      <c r="V927" cm="1">
        <f t="array" aca="1" ref="V927" ca="1">INDIRECT("Data!P" &amp; 922)</f>
        <v>0</v>
      </c>
    </row>
    <row r="928" spans="7:22" x14ac:dyDescent="0.25">
      <c r="G928" cm="1">
        <f t="array" aca="1" ref="G928" ca="1">INDIRECT("Data!A" &amp; 923)</f>
        <v>0</v>
      </c>
      <c r="H928" s="21" cm="1">
        <f t="array" aca="1" ref="H928" ca="1">INDIRECT("Data!B" &amp; 923)</f>
        <v>0</v>
      </c>
      <c r="I928" s="21" cm="1">
        <f t="array" aca="1" ref="I928" ca="1">INDIRECT("Data!C" &amp; 923)</f>
        <v>0</v>
      </c>
      <c r="J928" cm="1">
        <f t="array" aca="1" ref="J928" ca="1">INDIRECT("Data!D" &amp; 923)</f>
        <v>0</v>
      </c>
      <c r="K928" cm="1">
        <f t="array" aca="1" ref="K928" ca="1">INDIRECT("Data!E" &amp; 923)</f>
        <v>0</v>
      </c>
      <c r="L928" cm="1">
        <f t="array" aca="1" ref="L928" ca="1">INDIRECT("Data!F" &amp; 923)</f>
        <v>0</v>
      </c>
      <c r="M928" cm="1">
        <f t="array" aca="1" ref="M928" ca="1">INDIRECT("Data!G" &amp; 923)</f>
        <v>0</v>
      </c>
      <c r="N928" cm="1">
        <f t="array" aca="1" ref="N928" ca="1">INDIRECT("Data!H" &amp; 923)</f>
        <v>0</v>
      </c>
      <c r="O928" cm="1">
        <f t="array" aca="1" ref="O928" ca="1">INDIRECT("Data!I" &amp; 923)</f>
        <v>0</v>
      </c>
      <c r="P928" s="21" cm="1">
        <f t="array" aca="1" ref="P928" ca="1">INDIRECT("Data!J" &amp; 923)</f>
        <v>0</v>
      </c>
      <c r="Q928" cm="1">
        <f t="array" aca="1" ref="Q928" ca="1">INDIRECT("Data!K" &amp; 923)</f>
        <v>0</v>
      </c>
      <c r="R928" cm="1">
        <f t="array" aca="1" ref="R928" ca="1">INDIRECT("Data!L" &amp; 923)</f>
        <v>0</v>
      </c>
      <c r="S928" cm="1">
        <f t="array" aca="1" ref="S928" ca="1">INDIRECT("Data!M" &amp; 923)</f>
        <v>0</v>
      </c>
      <c r="T928" cm="1">
        <f t="array" aca="1" ref="T928" ca="1">INDIRECT("Data!N" &amp; 923)</f>
        <v>0</v>
      </c>
      <c r="U928" cm="1">
        <f t="array" aca="1" ref="U928" ca="1">INDIRECT("Data!O" &amp; 923)</f>
        <v>0</v>
      </c>
      <c r="V928" cm="1">
        <f t="array" aca="1" ref="V928" ca="1">INDIRECT("Data!P" &amp; 923)</f>
        <v>0</v>
      </c>
    </row>
    <row r="929" spans="7:22" x14ac:dyDescent="0.25">
      <c r="G929" cm="1">
        <f t="array" aca="1" ref="G929" ca="1">INDIRECT("Data!A" &amp; 924)</f>
        <v>0</v>
      </c>
      <c r="H929" s="21" cm="1">
        <f t="array" aca="1" ref="H929" ca="1">INDIRECT("Data!B" &amp; 924)</f>
        <v>0</v>
      </c>
      <c r="I929" s="21" cm="1">
        <f t="array" aca="1" ref="I929" ca="1">INDIRECT("Data!C" &amp; 924)</f>
        <v>0</v>
      </c>
      <c r="J929" cm="1">
        <f t="array" aca="1" ref="J929" ca="1">INDIRECT("Data!D" &amp; 924)</f>
        <v>0</v>
      </c>
      <c r="K929" cm="1">
        <f t="array" aca="1" ref="K929" ca="1">INDIRECT("Data!E" &amp; 924)</f>
        <v>0</v>
      </c>
      <c r="L929" cm="1">
        <f t="array" aca="1" ref="L929" ca="1">INDIRECT("Data!F" &amp; 924)</f>
        <v>0</v>
      </c>
      <c r="M929" cm="1">
        <f t="array" aca="1" ref="M929" ca="1">INDIRECT("Data!G" &amp; 924)</f>
        <v>0</v>
      </c>
      <c r="N929" cm="1">
        <f t="array" aca="1" ref="N929" ca="1">INDIRECT("Data!H" &amp; 924)</f>
        <v>0</v>
      </c>
      <c r="O929" cm="1">
        <f t="array" aca="1" ref="O929" ca="1">INDIRECT("Data!I" &amp; 924)</f>
        <v>0</v>
      </c>
      <c r="P929" s="21" cm="1">
        <f t="array" aca="1" ref="P929" ca="1">INDIRECT("Data!J" &amp; 924)</f>
        <v>0</v>
      </c>
      <c r="Q929" cm="1">
        <f t="array" aca="1" ref="Q929" ca="1">INDIRECT("Data!K" &amp; 924)</f>
        <v>0</v>
      </c>
      <c r="R929" cm="1">
        <f t="array" aca="1" ref="R929" ca="1">INDIRECT("Data!L" &amp; 924)</f>
        <v>0</v>
      </c>
      <c r="S929" cm="1">
        <f t="array" aca="1" ref="S929" ca="1">INDIRECT("Data!M" &amp; 924)</f>
        <v>0</v>
      </c>
      <c r="T929" cm="1">
        <f t="array" aca="1" ref="T929" ca="1">INDIRECT("Data!N" &amp; 924)</f>
        <v>0</v>
      </c>
      <c r="U929" cm="1">
        <f t="array" aca="1" ref="U929" ca="1">INDIRECT("Data!O" &amp; 924)</f>
        <v>0</v>
      </c>
      <c r="V929" cm="1">
        <f t="array" aca="1" ref="V929" ca="1">INDIRECT("Data!P" &amp; 924)</f>
        <v>0</v>
      </c>
    </row>
    <row r="930" spans="7:22" x14ac:dyDescent="0.25">
      <c r="G930" cm="1">
        <f t="array" aca="1" ref="G930" ca="1">INDIRECT("Data!A" &amp; 925)</f>
        <v>0</v>
      </c>
      <c r="H930" s="21" cm="1">
        <f t="array" aca="1" ref="H930" ca="1">INDIRECT("Data!B" &amp; 925)</f>
        <v>0</v>
      </c>
      <c r="I930" s="21" cm="1">
        <f t="array" aca="1" ref="I930" ca="1">INDIRECT("Data!C" &amp; 925)</f>
        <v>0</v>
      </c>
      <c r="J930" cm="1">
        <f t="array" aca="1" ref="J930" ca="1">INDIRECT("Data!D" &amp; 925)</f>
        <v>0</v>
      </c>
      <c r="K930" cm="1">
        <f t="array" aca="1" ref="K930" ca="1">INDIRECT("Data!E" &amp; 925)</f>
        <v>0</v>
      </c>
      <c r="L930" cm="1">
        <f t="array" aca="1" ref="L930" ca="1">INDIRECT("Data!F" &amp; 925)</f>
        <v>0</v>
      </c>
      <c r="M930" cm="1">
        <f t="array" aca="1" ref="M930" ca="1">INDIRECT("Data!G" &amp; 925)</f>
        <v>0</v>
      </c>
      <c r="N930" cm="1">
        <f t="array" aca="1" ref="N930" ca="1">INDIRECT("Data!H" &amp; 925)</f>
        <v>0</v>
      </c>
      <c r="O930" cm="1">
        <f t="array" aca="1" ref="O930" ca="1">INDIRECT("Data!I" &amp; 925)</f>
        <v>0</v>
      </c>
      <c r="P930" s="21" cm="1">
        <f t="array" aca="1" ref="P930" ca="1">INDIRECT("Data!J" &amp; 925)</f>
        <v>0</v>
      </c>
      <c r="Q930" cm="1">
        <f t="array" aca="1" ref="Q930" ca="1">INDIRECT("Data!K" &amp; 925)</f>
        <v>0</v>
      </c>
      <c r="R930" cm="1">
        <f t="array" aca="1" ref="R930" ca="1">INDIRECT("Data!L" &amp; 925)</f>
        <v>0</v>
      </c>
      <c r="S930" cm="1">
        <f t="array" aca="1" ref="S930" ca="1">INDIRECT("Data!M" &amp; 925)</f>
        <v>0</v>
      </c>
      <c r="T930" cm="1">
        <f t="array" aca="1" ref="T930" ca="1">INDIRECT("Data!N" &amp; 925)</f>
        <v>0</v>
      </c>
      <c r="U930" cm="1">
        <f t="array" aca="1" ref="U930" ca="1">INDIRECT("Data!O" &amp; 925)</f>
        <v>0</v>
      </c>
      <c r="V930" cm="1">
        <f t="array" aca="1" ref="V930" ca="1">INDIRECT("Data!P" &amp; 925)</f>
        <v>0</v>
      </c>
    </row>
    <row r="931" spans="7:22" x14ac:dyDescent="0.25">
      <c r="G931" cm="1">
        <f t="array" aca="1" ref="G931" ca="1">INDIRECT("Data!A" &amp; 926)</f>
        <v>0</v>
      </c>
      <c r="H931" s="21" cm="1">
        <f t="array" aca="1" ref="H931" ca="1">INDIRECT("Data!B" &amp; 926)</f>
        <v>0</v>
      </c>
      <c r="I931" s="21" cm="1">
        <f t="array" aca="1" ref="I931" ca="1">INDIRECT("Data!C" &amp; 926)</f>
        <v>0</v>
      </c>
      <c r="J931" cm="1">
        <f t="array" aca="1" ref="J931" ca="1">INDIRECT("Data!D" &amp; 926)</f>
        <v>0</v>
      </c>
      <c r="K931" cm="1">
        <f t="array" aca="1" ref="K931" ca="1">INDIRECT("Data!E" &amp; 926)</f>
        <v>0</v>
      </c>
      <c r="L931" cm="1">
        <f t="array" aca="1" ref="L931" ca="1">INDIRECT("Data!F" &amp; 926)</f>
        <v>0</v>
      </c>
      <c r="M931" cm="1">
        <f t="array" aca="1" ref="M931" ca="1">INDIRECT("Data!G" &amp; 926)</f>
        <v>0</v>
      </c>
      <c r="N931" cm="1">
        <f t="array" aca="1" ref="N931" ca="1">INDIRECT("Data!H" &amp; 926)</f>
        <v>0</v>
      </c>
      <c r="O931" cm="1">
        <f t="array" aca="1" ref="O931" ca="1">INDIRECT("Data!I" &amp; 926)</f>
        <v>0</v>
      </c>
      <c r="P931" s="21" cm="1">
        <f t="array" aca="1" ref="P931" ca="1">INDIRECT("Data!J" &amp; 926)</f>
        <v>0</v>
      </c>
      <c r="Q931" cm="1">
        <f t="array" aca="1" ref="Q931" ca="1">INDIRECT("Data!K" &amp; 926)</f>
        <v>0</v>
      </c>
      <c r="R931" cm="1">
        <f t="array" aca="1" ref="R931" ca="1">INDIRECT("Data!L" &amp; 926)</f>
        <v>0</v>
      </c>
      <c r="S931" cm="1">
        <f t="array" aca="1" ref="S931" ca="1">INDIRECT("Data!M" &amp; 926)</f>
        <v>0</v>
      </c>
      <c r="T931" cm="1">
        <f t="array" aca="1" ref="T931" ca="1">INDIRECT("Data!N" &amp; 926)</f>
        <v>0</v>
      </c>
      <c r="U931" cm="1">
        <f t="array" aca="1" ref="U931" ca="1">INDIRECT("Data!O" &amp; 926)</f>
        <v>0</v>
      </c>
      <c r="V931" cm="1">
        <f t="array" aca="1" ref="V931" ca="1">INDIRECT("Data!P" &amp; 926)</f>
        <v>0</v>
      </c>
    </row>
    <row r="932" spans="7:22" x14ac:dyDescent="0.25">
      <c r="G932" cm="1">
        <f t="array" aca="1" ref="G932" ca="1">INDIRECT("Data!A" &amp; 927)</f>
        <v>0</v>
      </c>
      <c r="H932" s="21" cm="1">
        <f t="array" aca="1" ref="H932" ca="1">INDIRECT("Data!B" &amp; 927)</f>
        <v>0</v>
      </c>
      <c r="I932" s="21" cm="1">
        <f t="array" aca="1" ref="I932" ca="1">INDIRECT("Data!C" &amp; 927)</f>
        <v>0</v>
      </c>
      <c r="J932" cm="1">
        <f t="array" aca="1" ref="J932" ca="1">INDIRECT("Data!D" &amp; 927)</f>
        <v>0</v>
      </c>
      <c r="K932" cm="1">
        <f t="array" aca="1" ref="K932" ca="1">INDIRECT("Data!E" &amp; 927)</f>
        <v>0</v>
      </c>
      <c r="L932" cm="1">
        <f t="array" aca="1" ref="L932" ca="1">INDIRECT("Data!F" &amp; 927)</f>
        <v>0</v>
      </c>
      <c r="M932" cm="1">
        <f t="array" aca="1" ref="M932" ca="1">INDIRECT("Data!G" &amp; 927)</f>
        <v>0</v>
      </c>
      <c r="N932" cm="1">
        <f t="array" aca="1" ref="N932" ca="1">INDIRECT("Data!H" &amp; 927)</f>
        <v>0</v>
      </c>
      <c r="O932" cm="1">
        <f t="array" aca="1" ref="O932" ca="1">INDIRECT("Data!I" &amp; 927)</f>
        <v>0</v>
      </c>
      <c r="P932" s="21" cm="1">
        <f t="array" aca="1" ref="P932" ca="1">INDIRECT("Data!J" &amp; 927)</f>
        <v>0</v>
      </c>
      <c r="Q932" cm="1">
        <f t="array" aca="1" ref="Q932" ca="1">INDIRECT("Data!K" &amp; 927)</f>
        <v>0</v>
      </c>
      <c r="R932" cm="1">
        <f t="array" aca="1" ref="R932" ca="1">INDIRECT("Data!L" &amp; 927)</f>
        <v>0</v>
      </c>
      <c r="S932" cm="1">
        <f t="array" aca="1" ref="S932" ca="1">INDIRECT("Data!M" &amp; 927)</f>
        <v>0</v>
      </c>
      <c r="T932" cm="1">
        <f t="array" aca="1" ref="T932" ca="1">INDIRECT("Data!N" &amp; 927)</f>
        <v>0</v>
      </c>
      <c r="U932" cm="1">
        <f t="array" aca="1" ref="U932" ca="1">INDIRECT("Data!O" &amp; 927)</f>
        <v>0</v>
      </c>
      <c r="V932" cm="1">
        <f t="array" aca="1" ref="V932" ca="1">INDIRECT("Data!P" &amp; 927)</f>
        <v>0</v>
      </c>
    </row>
    <row r="933" spans="7:22" x14ac:dyDescent="0.25">
      <c r="G933" cm="1">
        <f t="array" aca="1" ref="G933" ca="1">INDIRECT("Data!A" &amp; 928)</f>
        <v>0</v>
      </c>
      <c r="H933" s="21" cm="1">
        <f t="array" aca="1" ref="H933" ca="1">INDIRECT("Data!B" &amp; 928)</f>
        <v>0</v>
      </c>
      <c r="I933" s="21" cm="1">
        <f t="array" aca="1" ref="I933" ca="1">INDIRECT("Data!C" &amp; 928)</f>
        <v>0</v>
      </c>
      <c r="J933" cm="1">
        <f t="array" aca="1" ref="J933" ca="1">INDIRECT("Data!D" &amp; 928)</f>
        <v>0</v>
      </c>
      <c r="K933" cm="1">
        <f t="array" aca="1" ref="K933" ca="1">INDIRECT("Data!E" &amp; 928)</f>
        <v>0</v>
      </c>
      <c r="L933" cm="1">
        <f t="array" aca="1" ref="L933" ca="1">INDIRECT("Data!F" &amp; 928)</f>
        <v>0</v>
      </c>
      <c r="M933" cm="1">
        <f t="array" aca="1" ref="M933" ca="1">INDIRECT("Data!G" &amp; 928)</f>
        <v>0</v>
      </c>
      <c r="N933" cm="1">
        <f t="array" aca="1" ref="N933" ca="1">INDIRECT("Data!H" &amp; 928)</f>
        <v>0</v>
      </c>
      <c r="O933" cm="1">
        <f t="array" aca="1" ref="O933" ca="1">INDIRECT("Data!I" &amp; 928)</f>
        <v>0</v>
      </c>
      <c r="P933" s="21" cm="1">
        <f t="array" aca="1" ref="P933" ca="1">INDIRECT("Data!J" &amp; 928)</f>
        <v>0</v>
      </c>
      <c r="Q933" cm="1">
        <f t="array" aca="1" ref="Q933" ca="1">INDIRECT("Data!K" &amp; 928)</f>
        <v>0</v>
      </c>
      <c r="R933" cm="1">
        <f t="array" aca="1" ref="R933" ca="1">INDIRECT("Data!L" &amp; 928)</f>
        <v>0</v>
      </c>
      <c r="S933" cm="1">
        <f t="array" aca="1" ref="S933" ca="1">INDIRECT("Data!M" &amp; 928)</f>
        <v>0</v>
      </c>
      <c r="T933" cm="1">
        <f t="array" aca="1" ref="T933" ca="1">INDIRECT("Data!N" &amp; 928)</f>
        <v>0</v>
      </c>
      <c r="U933" cm="1">
        <f t="array" aca="1" ref="U933" ca="1">INDIRECT("Data!O" &amp; 928)</f>
        <v>0</v>
      </c>
      <c r="V933" cm="1">
        <f t="array" aca="1" ref="V933" ca="1">INDIRECT("Data!P" &amp; 928)</f>
        <v>0</v>
      </c>
    </row>
    <row r="934" spans="7:22" x14ac:dyDescent="0.25">
      <c r="G934" cm="1">
        <f t="array" aca="1" ref="G934" ca="1">INDIRECT("Data!A" &amp; 929)</f>
        <v>0</v>
      </c>
      <c r="H934" s="21" cm="1">
        <f t="array" aca="1" ref="H934" ca="1">INDIRECT("Data!B" &amp; 929)</f>
        <v>0</v>
      </c>
      <c r="I934" s="21" cm="1">
        <f t="array" aca="1" ref="I934" ca="1">INDIRECT("Data!C" &amp; 929)</f>
        <v>0</v>
      </c>
      <c r="J934" cm="1">
        <f t="array" aca="1" ref="J934" ca="1">INDIRECT("Data!D" &amp; 929)</f>
        <v>0</v>
      </c>
      <c r="K934" cm="1">
        <f t="array" aca="1" ref="K934" ca="1">INDIRECT("Data!E" &amp; 929)</f>
        <v>0</v>
      </c>
      <c r="L934" cm="1">
        <f t="array" aca="1" ref="L934" ca="1">INDIRECT("Data!F" &amp; 929)</f>
        <v>0</v>
      </c>
      <c r="M934" cm="1">
        <f t="array" aca="1" ref="M934" ca="1">INDIRECT("Data!G" &amp; 929)</f>
        <v>0</v>
      </c>
      <c r="N934" cm="1">
        <f t="array" aca="1" ref="N934" ca="1">INDIRECT("Data!H" &amp; 929)</f>
        <v>0</v>
      </c>
      <c r="O934" cm="1">
        <f t="array" aca="1" ref="O934" ca="1">INDIRECT("Data!I" &amp; 929)</f>
        <v>0</v>
      </c>
      <c r="P934" s="21" cm="1">
        <f t="array" aca="1" ref="P934" ca="1">INDIRECT("Data!J" &amp; 929)</f>
        <v>0</v>
      </c>
      <c r="Q934" cm="1">
        <f t="array" aca="1" ref="Q934" ca="1">INDIRECT("Data!K" &amp; 929)</f>
        <v>0</v>
      </c>
      <c r="R934" cm="1">
        <f t="array" aca="1" ref="R934" ca="1">INDIRECT("Data!L" &amp; 929)</f>
        <v>0</v>
      </c>
      <c r="S934" cm="1">
        <f t="array" aca="1" ref="S934" ca="1">INDIRECT("Data!M" &amp; 929)</f>
        <v>0</v>
      </c>
      <c r="T934" cm="1">
        <f t="array" aca="1" ref="T934" ca="1">INDIRECT("Data!N" &amp; 929)</f>
        <v>0</v>
      </c>
      <c r="U934" cm="1">
        <f t="array" aca="1" ref="U934" ca="1">INDIRECT("Data!O" &amp; 929)</f>
        <v>0</v>
      </c>
      <c r="V934" cm="1">
        <f t="array" aca="1" ref="V934" ca="1">INDIRECT("Data!P" &amp; 929)</f>
        <v>0</v>
      </c>
    </row>
    <row r="935" spans="7:22" x14ac:dyDescent="0.25">
      <c r="G935" cm="1">
        <f t="array" aca="1" ref="G935" ca="1">INDIRECT("Data!A" &amp; 930)</f>
        <v>0</v>
      </c>
      <c r="H935" s="21" cm="1">
        <f t="array" aca="1" ref="H935" ca="1">INDIRECT("Data!B" &amp; 930)</f>
        <v>0</v>
      </c>
      <c r="I935" s="21" cm="1">
        <f t="array" aca="1" ref="I935" ca="1">INDIRECT("Data!C" &amp; 930)</f>
        <v>0</v>
      </c>
      <c r="J935" cm="1">
        <f t="array" aca="1" ref="J935" ca="1">INDIRECT("Data!D" &amp; 930)</f>
        <v>0</v>
      </c>
      <c r="K935" cm="1">
        <f t="array" aca="1" ref="K935" ca="1">INDIRECT("Data!E" &amp; 930)</f>
        <v>0</v>
      </c>
      <c r="L935" cm="1">
        <f t="array" aca="1" ref="L935" ca="1">INDIRECT("Data!F" &amp; 930)</f>
        <v>0</v>
      </c>
      <c r="M935" cm="1">
        <f t="array" aca="1" ref="M935" ca="1">INDIRECT("Data!G" &amp; 930)</f>
        <v>0</v>
      </c>
      <c r="N935" cm="1">
        <f t="array" aca="1" ref="N935" ca="1">INDIRECT("Data!H" &amp; 930)</f>
        <v>0</v>
      </c>
      <c r="O935" cm="1">
        <f t="array" aca="1" ref="O935" ca="1">INDIRECT("Data!I" &amp; 930)</f>
        <v>0</v>
      </c>
      <c r="P935" s="21" cm="1">
        <f t="array" aca="1" ref="P935" ca="1">INDIRECT("Data!J" &amp; 930)</f>
        <v>0</v>
      </c>
      <c r="Q935" cm="1">
        <f t="array" aca="1" ref="Q935" ca="1">INDIRECT("Data!K" &amp; 930)</f>
        <v>0</v>
      </c>
      <c r="R935" cm="1">
        <f t="array" aca="1" ref="R935" ca="1">INDIRECT("Data!L" &amp; 930)</f>
        <v>0</v>
      </c>
      <c r="S935" cm="1">
        <f t="array" aca="1" ref="S935" ca="1">INDIRECT("Data!M" &amp; 930)</f>
        <v>0</v>
      </c>
      <c r="T935" cm="1">
        <f t="array" aca="1" ref="T935" ca="1">INDIRECT("Data!N" &amp; 930)</f>
        <v>0</v>
      </c>
      <c r="U935" cm="1">
        <f t="array" aca="1" ref="U935" ca="1">INDIRECT("Data!O" &amp; 930)</f>
        <v>0</v>
      </c>
      <c r="V935" cm="1">
        <f t="array" aca="1" ref="V935" ca="1">INDIRECT("Data!P" &amp; 930)</f>
        <v>0</v>
      </c>
    </row>
    <row r="936" spans="7:22" x14ac:dyDescent="0.25">
      <c r="G936" cm="1">
        <f t="array" aca="1" ref="G936" ca="1">INDIRECT("Data!A" &amp; 931)</f>
        <v>0</v>
      </c>
      <c r="H936" s="21" cm="1">
        <f t="array" aca="1" ref="H936" ca="1">INDIRECT("Data!B" &amp; 931)</f>
        <v>0</v>
      </c>
      <c r="I936" s="21" cm="1">
        <f t="array" aca="1" ref="I936" ca="1">INDIRECT("Data!C" &amp; 931)</f>
        <v>0</v>
      </c>
      <c r="J936" cm="1">
        <f t="array" aca="1" ref="J936" ca="1">INDIRECT("Data!D" &amp; 931)</f>
        <v>0</v>
      </c>
      <c r="K936" cm="1">
        <f t="array" aca="1" ref="K936" ca="1">INDIRECT("Data!E" &amp; 931)</f>
        <v>0</v>
      </c>
      <c r="L936" cm="1">
        <f t="array" aca="1" ref="L936" ca="1">INDIRECT("Data!F" &amp; 931)</f>
        <v>0</v>
      </c>
      <c r="M936" cm="1">
        <f t="array" aca="1" ref="M936" ca="1">INDIRECT("Data!G" &amp; 931)</f>
        <v>0</v>
      </c>
      <c r="N936" cm="1">
        <f t="array" aca="1" ref="N936" ca="1">INDIRECT("Data!H" &amp; 931)</f>
        <v>0</v>
      </c>
      <c r="O936" cm="1">
        <f t="array" aca="1" ref="O936" ca="1">INDIRECT("Data!I" &amp; 931)</f>
        <v>0</v>
      </c>
      <c r="P936" s="21" cm="1">
        <f t="array" aca="1" ref="P936" ca="1">INDIRECT("Data!J" &amp; 931)</f>
        <v>0</v>
      </c>
      <c r="Q936" cm="1">
        <f t="array" aca="1" ref="Q936" ca="1">INDIRECT("Data!K" &amp; 931)</f>
        <v>0</v>
      </c>
      <c r="R936" cm="1">
        <f t="array" aca="1" ref="R936" ca="1">INDIRECT("Data!L" &amp; 931)</f>
        <v>0</v>
      </c>
      <c r="S936" cm="1">
        <f t="array" aca="1" ref="S936" ca="1">INDIRECT("Data!M" &amp; 931)</f>
        <v>0</v>
      </c>
      <c r="T936" cm="1">
        <f t="array" aca="1" ref="T936" ca="1">INDIRECT("Data!N" &amp; 931)</f>
        <v>0</v>
      </c>
      <c r="U936" cm="1">
        <f t="array" aca="1" ref="U936" ca="1">INDIRECT("Data!O" &amp; 931)</f>
        <v>0</v>
      </c>
      <c r="V936" cm="1">
        <f t="array" aca="1" ref="V936" ca="1">INDIRECT("Data!P" &amp; 931)</f>
        <v>0</v>
      </c>
    </row>
    <row r="937" spans="7:22" x14ac:dyDescent="0.25">
      <c r="G937" cm="1">
        <f t="array" aca="1" ref="G937" ca="1">INDIRECT("Data!A" &amp; 932)</f>
        <v>0</v>
      </c>
      <c r="H937" s="21" cm="1">
        <f t="array" aca="1" ref="H937" ca="1">INDIRECT("Data!B" &amp; 932)</f>
        <v>0</v>
      </c>
      <c r="I937" s="21" cm="1">
        <f t="array" aca="1" ref="I937" ca="1">INDIRECT("Data!C" &amp; 932)</f>
        <v>0</v>
      </c>
      <c r="J937" cm="1">
        <f t="array" aca="1" ref="J937" ca="1">INDIRECT("Data!D" &amp; 932)</f>
        <v>0</v>
      </c>
      <c r="K937" cm="1">
        <f t="array" aca="1" ref="K937" ca="1">INDIRECT("Data!E" &amp; 932)</f>
        <v>0</v>
      </c>
      <c r="L937" cm="1">
        <f t="array" aca="1" ref="L937" ca="1">INDIRECT("Data!F" &amp; 932)</f>
        <v>0</v>
      </c>
      <c r="M937" cm="1">
        <f t="array" aca="1" ref="M937" ca="1">INDIRECT("Data!G" &amp; 932)</f>
        <v>0</v>
      </c>
      <c r="N937" cm="1">
        <f t="array" aca="1" ref="N937" ca="1">INDIRECT("Data!H" &amp; 932)</f>
        <v>0</v>
      </c>
      <c r="O937" cm="1">
        <f t="array" aca="1" ref="O937" ca="1">INDIRECT("Data!I" &amp; 932)</f>
        <v>0</v>
      </c>
      <c r="P937" s="21" cm="1">
        <f t="array" aca="1" ref="P937" ca="1">INDIRECT("Data!J" &amp; 932)</f>
        <v>0</v>
      </c>
      <c r="Q937" cm="1">
        <f t="array" aca="1" ref="Q937" ca="1">INDIRECT("Data!K" &amp; 932)</f>
        <v>0</v>
      </c>
      <c r="R937" cm="1">
        <f t="array" aca="1" ref="R937" ca="1">INDIRECT("Data!L" &amp; 932)</f>
        <v>0</v>
      </c>
      <c r="S937" cm="1">
        <f t="array" aca="1" ref="S937" ca="1">INDIRECT("Data!M" &amp; 932)</f>
        <v>0</v>
      </c>
      <c r="T937" cm="1">
        <f t="array" aca="1" ref="T937" ca="1">INDIRECT("Data!N" &amp; 932)</f>
        <v>0</v>
      </c>
      <c r="U937" cm="1">
        <f t="array" aca="1" ref="U937" ca="1">INDIRECT("Data!O" &amp; 932)</f>
        <v>0</v>
      </c>
      <c r="V937" cm="1">
        <f t="array" aca="1" ref="V937" ca="1">INDIRECT("Data!P" &amp; 932)</f>
        <v>0</v>
      </c>
    </row>
    <row r="938" spans="7:22" x14ac:dyDescent="0.25">
      <c r="G938" cm="1">
        <f t="array" aca="1" ref="G938" ca="1">INDIRECT("Data!A" &amp; 933)</f>
        <v>0</v>
      </c>
      <c r="H938" s="21" cm="1">
        <f t="array" aca="1" ref="H938" ca="1">INDIRECT("Data!B" &amp; 933)</f>
        <v>0</v>
      </c>
      <c r="I938" s="21" cm="1">
        <f t="array" aca="1" ref="I938" ca="1">INDIRECT("Data!C" &amp; 933)</f>
        <v>0</v>
      </c>
      <c r="J938" cm="1">
        <f t="array" aca="1" ref="J938" ca="1">INDIRECT("Data!D" &amp; 933)</f>
        <v>0</v>
      </c>
      <c r="K938" cm="1">
        <f t="array" aca="1" ref="K938" ca="1">INDIRECT("Data!E" &amp; 933)</f>
        <v>0</v>
      </c>
      <c r="L938" cm="1">
        <f t="array" aca="1" ref="L938" ca="1">INDIRECT("Data!F" &amp; 933)</f>
        <v>0</v>
      </c>
      <c r="M938" cm="1">
        <f t="array" aca="1" ref="M938" ca="1">INDIRECT("Data!G" &amp; 933)</f>
        <v>0</v>
      </c>
      <c r="N938" cm="1">
        <f t="array" aca="1" ref="N938" ca="1">INDIRECT("Data!H" &amp; 933)</f>
        <v>0</v>
      </c>
      <c r="O938" cm="1">
        <f t="array" aca="1" ref="O938" ca="1">INDIRECT("Data!I" &amp; 933)</f>
        <v>0</v>
      </c>
      <c r="P938" s="21" cm="1">
        <f t="array" aca="1" ref="P938" ca="1">INDIRECT("Data!J" &amp; 933)</f>
        <v>0</v>
      </c>
      <c r="Q938" cm="1">
        <f t="array" aca="1" ref="Q938" ca="1">INDIRECT("Data!K" &amp; 933)</f>
        <v>0</v>
      </c>
      <c r="R938" cm="1">
        <f t="array" aca="1" ref="R938" ca="1">INDIRECT("Data!L" &amp; 933)</f>
        <v>0</v>
      </c>
      <c r="S938" cm="1">
        <f t="array" aca="1" ref="S938" ca="1">INDIRECT("Data!M" &amp; 933)</f>
        <v>0</v>
      </c>
      <c r="T938" cm="1">
        <f t="array" aca="1" ref="T938" ca="1">INDIRECT("Data!N" &amp; 933)</f>
        <v>0</v>
      </c>
      <c r="U938" cm="1">
        <f t="array" aca="1" ref="U938" ca="1">INDIRECT("Data!O" &amp; 933)</f>
        <v>0</v>
      </c>
      <c r="V938" cm="1">
        <f t="array" aca="1" ref="V938" ca="1">INDIRECT("Data!P" &amp; 933)</f>
        <v>0</v>
      </c>
    </row>
    <row r="939" spans="7:22" x14ac:dyDescent="0.25">
      <c r="G939" cm="1">
        <f t="array" aca="1" ref="G939" ca="1">INDIRECT("Data!A" &amp; 934)</f>
        <v>0</v>
      </c>
      <c r="H939" s="21" cm="1">
        <f t="array" aca="1" ref="H939" ca="1">INDIRECT("Data!B" &amp; 934)</f>
        <v>0</v>
      </c>
      <c r="I939" s="21" cm="1">
        <f t="array" aca="1" ref="I939" ca="1">INDIRECT("Data!C" &amp; 934)</f>
        <v>0</v>
      </c>
      <c r="J939" cm="1">
        <f t="array" aca="1" ref="J939" ca="1">INDIRECT("Data!D" &amp; 934)</f>
        <v>0</v>
      </c>
      <c r="K939" cm="1">
        <f t="array" aca="1" ref="K939" ca="1">INDIRECT("Data!E" &amp; 934)</f>
        <v>0</v>
      </c>
      <c r="L939" cm="1">
        <f t="array" aca="1" ref="L939" ca="1">INDIRECT("Data!F" &amp; 934)</f>
        <v>0</v>
      </c>
      <c r="M939" cm="1">
        <f t="array" aca="1" ref="M939" ca="1">INDIRECT("Data!G" &amp; 934)</f>
        <v>0</v>
      </c>
      <c r="N939" cm="1">
        <f t="array" aca="1" ref="N939" ca="1">INDIRECT("Data!H" &amp; 934)</f>
        <v>0</v>
      </c>
      <c r="O939" cm="1">
        <f t="array" aca="1" ref="O939" ca="1">INDIRECT("Data!I" &amp; 934)</f>
        <v>0</v>
      </c>
      <c r="P939" s="21" cm="1">
        <f t="array" aca="1" ref="P939" ca="1">INDIRECT("Data!J" &amp; 934)</f>
        <v>0</v>
      </c>
      <c r="Q939" cm="1">
        <f t="array" aca="1" ref="Q939" ca="1">INDIRECT("Data!K" &amp; 934)</f>
        <v>0</v>
      </c>
      <c r="R939" cm="1">
        <f t="array" aca="1" ref="R939" ca="1">INDIRECT("Data!L" &amp; 934)</f>
        <v>0</v>
      </c>
      <c r="S939" cm="1">
        <f t="array" aca="1" ref="S939" ca="1">INDIRECT("Data!M" &amp; 934)</f>
        <v>0</v>
      </c>
      <c r="T939" cm="1">
        <f t="array" aca="1" ref="T939" ca="1">INDIRECT("Data!N" &amp; 934)</f>
        <v>0</v>
      </c>
      <c r="U939" cm="1">
        <f t="array" aca="1" ref="U939" ca="1">INDIRECT("Data!O" &amp; 934)</f>
        <v>0</v>
      </c>
      <c r="V939" cm="1">
        <f t="array" aca="1" ref="V939" ca="1">INDIRECT("Data!P" &amp; 934)</f>
        <v>0</v>
      </c>
    </row>
    <row r="940" spans="7:22" x14ac:dyDescent="0.25">
      <c r="G940" cm="1">
        <f t="array" aca="1" ref="G940" ca="1">INDIRECT("Data!A" &amp; 935)</f>
        <v>0</v>
      </c>
      <c r="H940" s="21" cm="1">
        <f t="array" aca="1" ref="H940" ca="1">INDIRECT("Data!B" &amp; 935)</f>
        <v>0</v>
      </c>
      <c r="I940" s="21" cm="1">
        <f t="array" aca="1" ref="I940" ca="1">INDIRECT("Data!C" &amp; 935)</f>
        <v>0</v>
      </c>
      <c r="J940" cm="1">
        <f t="array" aca="1" ref="J940" ca="1">INDIRECT("Data!D" &amp; 935)</f>
        <v>0</v>
      </c>
      <c r="K940" cm="1">
        <f t="array" aca="1" ref="K940" ca="1">INDIRECT("Data!E" &amp; 935)</f>
        <v>0</v>
      </c>
      <c r="L940" cm="1">
        <f t="array" aca="1" ref="L940" ca="1">INDIRECT("Data!F" &amp; 935)</f>
        <v>0</v>
      </c>
      <c r="M940" cm="1">
        <f t="array" aca="1" ref="M940" ca="1">INDIRECT("Data!G" &amp; 935)</f>
        <v>0</v>
      </c>
      <c r="N940" cm="1">
        <f t="array" aca="1" ref="N940" ca="1">INDIRECT("Data!H" &amp; 935)</f>
        <v>0</v>
      </c>
      <c r="O940" cm="1">
        <f t="array" aca="1" ref="O940" ca="1">INDIRECT("Data!I" &amp; 935)</f>
        <v>0</v>
      </c>
      <c r="P940" s="21" cm="1">
        <f t="array" aca="1" ref="P940" ca="1">INDIRECT("Data!J" &amp; 935)</f>
        <v>0</v>
      </c>
      <c r="Q940" cm="1">
        <f t="array" aca="1" ref="Q940" ca="1">INDIRECT("Data!K" &amp; 935)</f>
        <v>0</v>
      </c>
      <c r="R940" cm="1">
        <f t="array" aca="1" ref="R940" ca="1">INDIRECT("Data!L" &amp; 935)</f>
        <v>0</v>
      </c>
      <c r="S940" cm="1">
        <f t="array" aca="1" ref="S940" ca="1">INDIRECT("Data!M" &amp; 935)</f>
        <v>0</v>
      </c>
      <c r="T940" cm="1">
        <f t="array" aca="1" ref="T940" ca="1">INDIRECT("Data!N" &amp; 935)</f>
        <v>0</v>
      </c>
      <c r="U940" cm="1">
        <f t="array" aca="1" ref="U940" ca="1">INDIRECT("Data!O" &amp; 935)</f>
        <v>0</v>
      </c>
      <c r="V940" cm="1">
        <f t="array" aca="1" ref="V940" ca="1">INDIRECT("Data!P" &amp; 935)</f>
        <v>0</v>
      </c>
    </row>
    <row r="941" spans="7:22" x14ac:dyDescent="0.25">
      <c r="G941" cm="1">
        <f t="array" aca="1" ref="G941" ca="1">INDIRECT("Data!A" &amp; 936)</f>
        <v>0</v>
      </c>
      <c r="H941" s="21" cm="1">
        <f t="array" aca="1" ref="H941" ca="1">INDIRECT("Data!B" &amp; 936)</f>
        <v>0</v>
      </c>
      <c r="I941" s="21" cm="1">
        <f t="array" aca="1" ref="I941" ca="1">INDIRECT("Data!C" &amp; 936)</f>
        <v>0</v>
      </c>
      <c r="J941" cm="1">
        <f t="array" aca="1" ref="J941" ca="1">INDIRECT("Data!D" &amp; 936)</f>
        <v>0</v>
      </c>
      <c r="K941" cm="1">
        <f t="array" aca="1" ref="K941" ca="1">INDIRECT("Data!E" &amp; 936)</f>
        <v>0</v>
      </c>
      <c r="L941" cm="1">
        <f t="array" aca="1" ref="L941" ca="1">INDIRECT("Data!F" &amp; 936)</f>
        <v>0</v>
      </c>
      <c r="M941" cm="1">
        <f t="array" aca="1" ref="M941" ca="1">INDIRECT("Data!G" &amp; 936)</f>
        <v>0</v>
      </c>
      <c r="N941" cm="1">
        <f t="array" aca="1" ref="N941" ca="1">INDIRECT("Data!H" &amp; 936)</f>
        <v>0</v>
      </c>
      <c r="O941" cm="1">
        <f t="array" aca="1" ref="O941" ca="1">INDIRECT("Data!I" &amp; 936)</f>
        <v>0</v>
      </c>
      <c r="P941" s="21" cm="1">
        <f t="array" aca="1" ref="P941" ca="1">INDIRECT("Data!J" &amp; 936)</f>
        <v>0</v>
      </c>
      <c r="Q941" cm="1">
        <f t="array" aca="1" ref="Q941" ca="1">INDIRECT("Data!K" &amp; 936)</f>
        <v>0</v>
      </c>
      <c r="R941" cm="1">
        <f t="array" aca="1" ref="R941" ca="1">INDIRECT("Data!L" &amp; 936)</f>
        <v>0</v>
      </c>
      <c r="S941" cm="1">
        <f t="array" aca="1" ref="S941" ca="1">INDIRECT("Data!M" &amp; 936)</f>
        <v>0</v>
      </c>
      <c r="T941" cm="1">
        <f t="array" aca="1" ref="T941" ca="1">INDIRECT("Data!N" &amp; 936)</f>
        <v>0</v>
      </c>
      <c r="U941" cm="1">
        <f t="array" aca="1" ref="U941" ca="1">INDIRECT("Data!O" &amp; 936)</f>
        <v>0</v>
      </c>
      <c r="V941" cm="1">
        <f t="array" aca="1" ref="V941" ca="1">INDIRECT("Data!P" &amp; 936)</f>
        <v>0</v>
      </c>
    </row>
    <row r="942" spans="7:22" x14ac:dyDescent="0.25">
      <c r="G942" cm="1">
        <f t="array" aca="1" ref="G942" ca="1">INDIRECT("Data!A" &amp; 937)</f>
        <v>0</v>
      </c>
      <c r="H942" s="21" cm="1">
        <f t="array" aca="1" ref="H942" ca="1">INDIRECT("Data!B" &amp; 937)</f>
        <v>0</v>
      </c>
      <c r="I942" s="21" cm="1">
        <f t="array" aca="1" ref="I942" ca="1">INDIRECT("Data!C" &amp; 937)</f>
        <v>0</v>
      </c>
      <c r="J942" cm="1">
        <f t="array" aca="1" ref="J942" ca="1">INDIRECT("Data!D" &amp; 937)</f>
        <v>0</v>
      </c>
      <c r="K942" cm="1">
        <f t="array" aca="1" ref="K942" ca="1">INDIRECT("Data!E" &amp; 937)</f>
        <v>0</v>
      </c>
      <c r="L942" cm="1">
        <f t="array" aca="1" ref="L942" ca="1">INDIRECT("Data!F" &amp; 937)</f>
        <v>0</v>
      </c>
      <c r="M942" cm="1">
        <f t="array" aca="1" ref="M942" ca="1">INDIRECT("Data!G" &amp; 937)</f>
        <v>0</v>
      </c>
      <c r="N942" cm="1">
        <f t="array" aca="1" ref="N942" ca="1">INDIRECT("Data!H" &amp; 937)</f>
        <v>0</v>
      </c>
      <c r="O942" cm="1">
        <f t="array" aca="1" ref="O942" ca="1">INDIRECT("Data!I" &amp; 937)</f>
        <v>0</v>
      </c>
      <c r="P942" s="21" cm="1">
        <f t="array" aca="1" ref="P942" ca="1">INDIRECT("Data!J" &amp; 937)</f>
        <v>0</v>
      </c>
      <c r="Q942" cm="1">
        <f t="array" aca="1" ref="Q942" ca="1">INDIRECT("Data!K" &amp; 937)</f>
        <v>0</v>
      </c>
      <c r="R942" cm="1">
        <f t="array" aca="1" ref="R942" ca="1">INDIRECT("Data!L" &amp; 937)</f>
        <v>0</v>
      </c>
      <c r="S942" cm="1">
        <f t="array" aca="1" ref="S942" ca="1">INDIRECT("Data!M" &amp; 937)</f>
        <v>0</v>
      </c>
      <c r="T942" cm="1">
        <f t="array" aca="1" ref="T942" ca="1">INDIRECT("Data!N" &amp; 937)</f>
        <v>0</v>
      </c>
      <c r="U942" cm="1">
        <f t="array" aca="1" ref="U942" ca="1">INDIRECT("Data!O" &amp; 937)</f>
        <v>0</v>
      </c>
      <c r="V942" cm="1">
        <f t="array" aca="1" ref="V942" ca="1">INDIRECT("Data!P" &amp; 937)</f>
        <v>0</v>
      </c>
    </row>
    <row r="943" spans="7:22" x14ac:dyDescent="0.25">
      <c r="G943" cm="1">
        <f t="array" aca="1" ref="G943" ca="1">INDIRECT("Data!A" &amp; 938)</f>
        <v>0</v>
      </c>
      <c r="H943" s="21" cm="1">
        <f t="array" aca="1" ref="H943" ca="1">INDIRECT("Data!B" &amp; 938)</f>
        <v>0</v>
      </c>
      <c r="I943" s="21" cm="1">
        <f t="array" aca="1" ref="I943" ca="1">INDIRECT("Data!C" &amp; 938)</f>
        <v>0</v>
      </c>
      <c r="J943" cm="1">
        <f t="array" aca="1" ref="J943" ca="1">INDIRECT("Data!D" &amp; 938)</f>
        <v>0</v>
      </c>
      <c r="K943" cm="1">
        <f t="array" aca="1" ref="K943" ca="1">INDIRECT("Data!E" &amp; 938)</f>
        <v>0</v>
      </c>
      <c r="L943" cm="1">
        <f t="array" aca="1" ref="L943" ca="1">INDIRECT("Data!F" &amp; 938)</f>
        <v>0</v>
      </c>
      <c r="M943" cm="1">
        <f t="array" aca="1" ref="M943" ca="1">INDIRECT("Data!G" &amp; 938)</f>
        <v>0</v>
      </c>
      <c r="N943" cm="1">
        <f t="array" aca="1" ref="N943" ca="1">INDIRECT("Data!H" &amp; 938)</f>
        <v>0</v>
      </c>
      <c r="O943" cm="1">
        <f t="array" aca="1" ref="O943" ca="1">INDIRECT("Data!I" &amp; 938)</f>
        <v>0</v>
      </c>
      <c r="P943" s="21" cm="1">
        <f t="array" aca="1" ref="P943" ca="1">INDIRECT("Data!J" &amp; 938)</f>
        <v>0</v>
      </c>
      <c r="Q943" cm="1">
        <f t="array" aca="1" ref="Q943" ca="1">INDIRECT("Data!K" &amp; 938)</f>
        <v>0</v>
      </c>
      <c r="R943" cm="1">
        <f t="array" aca="1" ref="R943" ca="1">INDIRECT("Data!L" &amp; 938)</f>
        <v>0</v>
      </c>
      <c r="S943" cm="1">
        <f t="array" aca="1" ref="S943" ca="1">INDIRECT("Data!M" &amp; 938)</f>
        <v>0</v>
      </c>
      <c r="T943" cm="1">
        <f t="array" aca="1" ref="T943" ca="1">INDIRECT("Data!N" &amp; 938)</f>
        <v>0</v>
      </c>
      <c r="U943" cm="1">
        <f t="array" aca="1" ref="U943" ca="1">INDIRECT("Data!O" &amp; 938)</f>
        <v>0</v>
      </c>
      <c r="V943" cm="1">
        <f t="array" aca="1" ref="V943" ca="1">INDIRECT("Data!P" &amp; 938)</f>
        <v>0</v>
      </c>
    </row>
    <row r="944" spans="7:22" x14ac:dyDescent="0.25">
      <c r="G944" cm="1">
        <f t="array" aca="1" ref="G944" ca="1">INDIRECT("Data!A" &amp; 939)</f>
        <v>0</v>
      </c>
      <c r="H944" s="21" cm="1">
        <f t="array" aca="1" ref="H944" ca="1">INDIRECT("Data!B" &amp; 939)</f>
        <v>0</v>
      </c>
      <c r="I944" s="21" cm="1">
        <f t="array" aca="1" ref="I944" ca="1">INDIRECT("Data!C" &amp; 939)</f>
        <v>0</v>
      </c>
      <c r="J944" cm="1">
        <f t="array" aca="1" ref="J944" ca="1">INDIRECT("Data!D" &amp; 939)</f>
        <v>0</v>
      </c>
      <c r="K944" cm="1">
        <f t="array" aca="1" ref="K944" ca="1">INDIRECT("Data!E" &amp; 939)</f>
        <v>0</v>
      </c>
      <c r="L944" cm="1">
        <f t="array" aca="1" ref="L944" ca="1">INDIRECT("Data!F" &amp; 939)</f>
        <v>0</v>
      </c>
      <c r="M944" cm="1">
        <f t="array" aca="1" ref="M944" ca="1">INDIRECT("Data!G" &amp; 939)</f>
        <v>0</v>
      </c>
      <c r="N944" cm="1">
        <f t="array" aca="1" ref="N944" ca="1">INDIRECT("Data!H" &amp; 939)</f>
        <v>0</v>
      </c>
      <c r="O944" cm="1">
        <f t="array" aca="1" ref="O944" ca="1">INDIRECT("Data!I" &amp; 939)</f>
        <v>0</v>
      </c>
      <c r="P944" s="21" cm="1">
        <f t="array" aca="1" ref="P944" ca="1">INDIRECT("Data!J" &amp; 939)</f>
        <v>0</v>
      </c>
      <c r="Q944" cm="1">
        <f t="array" aca="1" ref="Q944" ca="1">INDIRECT("Data!K" &amp; 939)</f>
        <v>0</v>
      </c>
      <c r="R944" cm="1">
        <f t="array" aca="1" ref="R944" ca="1">INDIRECT("Data!L" &amp; 939)</f>
        <v>0</v>
      </c>
      <c r="S944" cm="1">
        <f t="array" aca="1" ref="S944" ca="1">INDIRECT("Data!M" &amp; 939)</f>
        <v>0</v>
      </c>
      <c r="T944" cm="1">
        <f t="array" aca="1" ref="T944" ca="1">INDIRECT("Data!N" &amp; 939)</f>
        <v>0</v>
      </c>
      <c r="U944" cm="1">
        <f t="array" aca="1" ref="U944" ca="1">INDIRECT("Data!O" &amp; 939)</f>
        <v>0</v>
      </c>
      <c r="V944" cm="1">
        <f t="array" aca="1" ref="V944" ca="1">INDIRECT("Data!P" &amp; 939)</f>
        <v>0</v>
      </c>
    </row>
    <row r="945" spans="7:22" x14ac:dyDescent="0.25">
      <c r="G945" cm="1">
        <f t="array" aca="1" ref="G945" ca="1">INDIRECT("Data!A" &amp; 940)</f>
        <v>0</v>
      </c>
      <c r="H945" s="21" cm="1">
        <f t="array" aca="1" ref="H945" ca="1">INDIRECT("Data!B" &amp; 940)</f>
        <v>0</v>
      </c>
      <c r="I945" s="21" cm="1">
        <f t="array" aca="1" ref="I945" ca="1">INDIRECT("Data!C" &amp; 940)</f>
        <v>0</v>
      </c>
      <c r="J945" cm="1">
        <f t="array" aca="1" ref="J945" ca="1">INDIRECT("Data!D" &amp; 940)</f>
        <v>0</v>
      </c>
      <c r="K945" cm="1">
        <f t="array" aca="1" ref="K945" ca="1">INDIRECT("Data!E" &amp; 940)</f>
        <v>0</v>
      </c>
      <c r="L945" cm="1">
        <f t="array" aca="1" ref="L945" ca="1">INDIRECT("Data!F" &amp; 940)</f>
        <v>0</v>
      </c>
      <c r="M945" cm="1">
        <f t="array" aca="1" ref="M945" ca="1">INDIRECT("Data!G" &amp; 940)</f>
        <v>0</v>
      </c>
      <c r="N945" cm="1">
        <f t="array" aca="1" ref="N945" ca="1">INDIRECT("Data!H" &amp; 940)</f>
        <v>0</v>
      </c>
      <c r="O945" cm="1">
        <f t="array" aca="1" ref="O945" ca="1">INDIRECT("Data!I" &amp; 940)</f>
        <v>0</v>
      </c>
      <c r="P945" s="21" cm="1">
        <f t="array" aca="1" ref="P945" ca="1">INDIRECT("Data!J" &amp; 940)</f>
        <v>0</v>
      </c>
      <c r="Q945" cm="1">
        <f t="array" aca="1" ref="Q945" ca="1">INDIRECT("Data!K" &amp; 940)</f>
        <v>0</v>
      </c>
      <c r="R945" cm="1">
        <f t="array" aca="1" ref="R945" ca="1">INDIRECT("Data!L" &amp; 940)</f>
        <v>0</v>
      </c>
      <c r="S945" cm="1">
        <f t="array" aca="1" ref="S945" ca="1">INDIRECT("Data!M" &amp; 940)</f>
        <v>0</v>
      </c>
      <c r="T945" cm="1">
        <f t="array" aca="1" ref="T945" ca="1">INDIRECT("Data!N" &amp; 940)</f>
        <v>0</v>
      </c>
      <c r="U945" cm="1">
        <f t="array" aca="1" ref="U945" ca="1">INDIRECT("Data!O" &amp; 940)</f>
        <v>0</v>
      </c>
      <c r="V945" cm="1">
        <f t="array" aca="1" ref="V945" ca="1">INDIRECT("Data!P" &amp; 940)</f>
        <v>0</v>
      </c>
    </row>
    <row r="946" spans="7:22" x14ac:dyDescent="0.25">
      <c r="G946" cm="1">
        <f t="array" aca="1" ref="G946" ca="1">INDIRECT("Data!A" &amp; 941)</f>
        <v>0</v>
      </c>
      <c r="H946" s="21" cm="1">
        <f t="array" aca="1" ref="H946" ca="1">INDIRECT("Data!B" &amp; 941)</f>
        <v>0</v>
      </c>
      <c r="I946" s="21" cm="1">
        <f t="array" aca="1" ref="I946" ca="1">INDIRECT("Data!C" &amp; 941)</f>
        <v>0</v>
      </c>
      <c r="J946" cm="1">
        <f t="array" aca="1" ref="J946" ca="1">INDIRECT("Data!D" &amp; 941)</f>
        <v>0</v>
      </c>
      <c r="K946" cm="1">
        <f t="array" aca="1" ref="K946" ca="1">INDIRECT("Data!E" &amp; 941)</f>
        <v>0</v>
      </c>
      <c r="L946" cm="1">
        <f t="array" aca="1" ref="L946" ca="1">INDIRECT("Data!F" &amp; 941)</f>
        <v>0</v>
      </c>
      <c r="M946" cm="1">
        <f t="array" aca="1" ref="M946" ca="1">INDIRECT("Data!G" &amp; 941)</f>
        <v>0</v>
      </c>
      <c r="N946" cm="1">
        <f t="array" aca="1" ref="N946" ca="1">INDIRECT("Data!H" &amp; 941)</f>
        <v>0</v>
      </c>
      <c r="O946" cm="1">
        <f t="array" aca="1" ref="O946" ca="1">INDIRECT("Data!I" &amp; 941)</f>
        <v>0</v>
      </c>
      <c r="P946" s="21" cm="1">
        <f t="array" aca="1" ref="P946" ca="1">INDIRECT("Data!J" &amp; 941)</f>
        <v>0</v>
      </c>
      <c r="Q946" cm="1">
        <f t="array" aca="1" ref="Q946" ca="1">INDIRECT("Data!K" &amp; 941)</f>
        <v>0</v>
      </c>
      <c r="R946" cm="1">
        <f t="array" aca="1" ref="R946" ca="1">INDIRECT("Data!L" &amp; 941)</f>
        <v>0</v>
      </c>
      <c r="S946" cm="1">
        <f t="array" aca="1" ref="S946" ca="1">INDIRECT("Data!M" &amp; 941)</f>
        <v>0</v>
      </c>
      <c r="T946" cm="1">
        <f t="array" aca="1" ref="T946" ca="1">INDIRECT("Data!N" &amp; 941)</f>
        <v>0</v>
      </c>
      <c r="U946" cm="1">
        <f t="array" aca="1" ref="U946" ca="1">INDIRECT("Data!O" &amp; 941)</f>
        <v>0</v>
      </c>
      <c r="V946" cm="1">
        <f t="array" aca="1" ref="V946" ca="1">INDIRECT("Data!P" &amp; 941)</f>
        <v>0</v>
      </c>
    </row>
    <row r="947" spans="7:22" x14ac:dyDescent="0.25">
      <c r="G947" cm="1">
        <f t="array" aca="1" ref="G947" ca="1">INDIRECT("Data!A" &amp; 942)</f>
        <v>0</v>
      </c>
      <c r="H947" s="21" cm="1">
        <f t="array" aca="1" ref="H947" ca="1">INDIRECT("Data!B" &amp; 942)</f>
        <v>0</v>
      </c>
      <c r="I947" s="21" cm="1">
        <f t="array" aca="1" ref="I947" ca="1">INDIRECT("Data!C" &amp; 942)</f>
        <v>0</v>
      </c>
      <c r="J947" cm="1">
        <f t="array" aca="1" ref="J947" ca="1">INDIRECT("Data!D" &amp; 942)</f>
        <v>0</v>
      </c>
      <c r="K947" cm="1">
        <f t="array" aca="1" ref="K947" ca="1">INDIRECT("Data!E" &amp; 942)</f>
        <v>0</v>
      </c>
      <c r="L947" cm="1">
        <f t="array" aca="1" ref="L947" ca="1">INDIRECT("Data!F" &amp; 942)</f>
        <v>0</v>
      </c>
      <c r="M947" cm="1">
        <f t="array" aca="1" ref="M947" ca="1">INDIRECT("Data!G" &amp; 942)</f>
        <v>0</v>
      </c>
      <c r="N947" cm="1">
        <f t="array" aca="1" ref="N947" ca="1">INDIRECT("Data!H" &amp; 942)</f>
        <v>0</v>
      </c>
      <c r="O947" cm="1">
        <f t="array" aca="1" ref="O947" ca="1">INDIRECT("Data!I" &amp; 942)</f>
        <v>0</v>
      </c>
      <c r="P947" s="21" cm="1">
        <f t="array" aca="1" ref="P947" ca="1">INDIRECT("Data!J" &amp; 942)</f>
        <v>0</v>
      </c>
      <c r="Q947" cm="1">
        <f t="array" aca="1" ref="Q947" ca="1">INDIRECT("Data!K" &amp; 942)</f>
        <v>0</v>
      </c>
      <c r="R947" cm="1">
        <f t="array" aca="1" ref="R947" ca="1">INDIRECT("Data!L" &amp; 942)</f>
        <v>0</v>
      </c>
      <c r="S947" cm="1">
        <f t="array" aca="1" ref="S947" ca="1">INDIRECT("Data!M" &amp; 942)</f>
        <v>0</v>
      </c>
      <c r="T947" cm="1">
        <f t="array" aca="1" ref="T947" ca="1">INDIRECT("Data!N" &amp; 942)</f>
        <v>0</v>
      </c>
      <c r="U947" cm="1">
        <f t="array" aca="1" ref="U947" ca="1">INDIRECT("Data!O" &amp; 942)</f>
        <v>0</v>
      </c>
      <c r="V947" cm="1">
        <f t="array" aca="1" ref="V947" ca="1">INDIRECT("Data!P" &amp; 942)</f>
        <v>0</v>
      </c>
    </row>
    <row r="948" spans="7:22" x14ac:dyDescent="0.25">
      <c r="G948" cm="1">
        <f t="array" aca="1" ref="G948" ca="1">INDIRECT("Data!A" &amp; 943)</f>
        <v>0</v>
      </c>
      <c r="H948" s="21" cm="1">
        <f t="array" aca="1" ref="H948" ca="1">INDIRECT("Data!B" &amp; 943)</f>
        <v>0</v>
      </c>
      <c r="I948" s="21" cm="1">
        <f t="array" aca="1" ref="I948" ca="1">INDIRECT("Data!C" &amp; 943)</f>
        <v>0</v>
      </c>
      <c r="J948" cm="1">
        <f t="array" aca="1" ref="J948" ca="1">INDIRECT("Data!D" &amp; 943)</f>
        <v>0</v>
      </c>
      <c r="K948" cm="1">
        <f t="array" aca="1" ref="K948" ca="1">INDIRECT("Data!E" &amp; 943)</f>
        <v>0</v>
      </c>
      <c r="L948" cm="1">
        <f t="array" aca="1" ref="L948" ca="1">INDIRECT("Data!F" &amp; 943)</f>
        <v>0</v>
      </c>
      <c r="M948" cm="1">
        <f t="array" aca="1" ref="M948" ca="1">INDIRECT("Data!G" &amp; 943)</f>
        <v>0</v>
      </c>
      <c r="N948" cm="1">
        <f t="array" aca="1" ref="N948" ca="1">INDIRECT("Data!H" &amp; 943)</f>
        <v>0</v>
      </c>
      <c r="O948" cm="1">
        <f t="array" aca="1" ref="O948" ca="1">INDIRECT("Data!I" &amp; 943)</f>
        <v>0</v>
      </c>
      <c r="P948" s="21" cm="1">
        <f t="array" aca="1" ref="P948" ca="1">INDIRECT("Data!J" &amp; 943)</f>
        <v>0</v>
      </c>
      <c r="Q948" cm="1">
        <f t="array" aca="1" ref="Q948" ca="1">INDIRECT("Data!K" &amp; 943)</f>
        <v>0</v>
      </c>
      <c r="R948" cm="1">
        <f t="array" aca="1" ref="R948" ca="1">INDIRECT("Data!L" &amp; 943)</f>
        <v>0</v>
      </c>
      <c r="S948" cm="1">
        <f t="array" aca="1" ref="S948" ca="1">INDIRECT("Data!M" &amp; 943)</f>
        <v>0</v>
      </c>
      <c r="T948" cm="1">
        <f t="array" aca="1" ref="T948" ca="1">INDIRECT("Data!N" &amp; 943)</f>
        <v>0</v>
      </c>
      <c r="U948" cm="1">
        <f t="array" aca="1" ref="U948" ca="1">INDIRECT("Data!O" &amp; 943)</f>
        <v>0</v>
      </c>
      <c r="V948" cm="1">
        <f t="array" aca="1" ref="V948" ca="1">INDIRECT("Data!P" &amp; 943)</f>
        <v>0</v>
      </c>
    </row>
    <row r="949" spans="7:22" x14ac:dyDescent="0.25">
      <c r="G949" cm="1">
        <f t="array" aca="1" ref="G949" ca="1">INDIRECT("Data!A" &amp; 944)</f>
        <v>0</v>
      </c>
      <c r="H949" s="21" cm="1">
        <f t="array" aca="1" ref="H949" ca="1">INDIRECT("Data!B" &amp; 944)</f>
        <v>0</v>
      </c>
      <c r="I949" s="21" cm="1">
        <f t="array" aca="1" ref="I949" ca="1">INDIRECT("Data!C" &amp; 944)</f>
        <v>0</v>
      </c>
      <c r="J949" cm="1">
        <f t="array" aca="1" ref="J949" ca="1">INDIRECT("Data!D" &amp; 944)</f>
        <v>0</v>
      </c>
      <c r="K949" cm="1">
        <f t="array" aca="1" ref="K949" ca="1">INDIRECT("Data!E" &amp; 944)</f>
        <v>0</v>
      </c>
      <c r="L949" cm="1">
        <f t="array" aca="1" ref="L949" ca="1">INDIRECT("Data!F" &amp; 944)</f>
        <v>0</v>
      </c>
      <c r="M949" cm="1">
        <f t="array" aca="1" ref="M949" ca="1">INDIRECT("Data!G" &amp; 944)</f>
        <v>0</v>
      </c>
      <c r="N949" cm="1">
        <f t="array" aca="1" ref="N949" ca="1">INDIRECT("Data!H" &amp; 944)</f>
        <v>0</v>
      </c>
      <c r="O949" cm="1">
        <f t="array" aca="1" ref="O949" ca="1">INDIRECT("Data!I" &amp; 944)</f>
        <v>0</v>
      </c>
      <c r="P949" s="21" cm="1">
        <f t="array" aca="1" ref="P949" ca="1">INDIRECT("Data!J" &amp; 944)</f>
        <v>0</v>
      </c>
      <c r="Q949" cm="1">
        <f t="array" aca="1" ref="Q949" ca="1">INDIRECT("Data!K" &amp; 944)</f>
        <v>0</v>
      </c>
      <c r="R949" cm="1">
        <f t="array" aca="1" ref="R949" ca="1">INDIRECT("Data!L" &amp; 944)</f>
        <v>0</v>
      </c>
      <c r="S949" cm="1">
        <f t="array" aca="1" ref="S949" ca="1">INDIRECT("Data!M" &amp; 944)</f>
        <v>0</v>
      </c>
      <c r="T949" cm="1">
        <f t="array" aca="1" ref="T949" ca="1">INDIRECT("Data!N" &amp; 944)</f>
        <v>0</v>
      </c>
      <c r="U949" cm="1">
        <f t="array" aca="1" ref="U949" ca="1">INDIRECT("Data!O" &amp; 944)</f>
        <v>0</v>
      </c>
      <c r="V949" cm="1">
        <f t="array" aca="1" ref="V949" ca="1">INDIRECT("Data!P" &amp; 944)</f>
        <v>0</v>
      </c>
    </row>
    <row r="950" spans="7:22" x14ac:dyDescent="0.25">
      <c r="G950" cm="1">
        <f t="array" aca="1" ref="G950" ca="1">INDIRECT("Data!A" &amp; 945)</f>
        <v>0</v>
      </c>
      <c r="H950" s="21" cm="1">
        <f t="array" aca="1" ref="H950" ca="1">INDIRECT("Data!B" &amp; 945)</f>
        <v>0</v>
      </c>
      <c r="I950" s="21" cm="1">
        <f t="array" aca="1" ref="I950" ca="1">INDIRECT("Data!C" &amp; 945)</f>
        <v>0</v>
      </c>
      <c r="J950" cm="1">
        <f t="array" aca="1" ref="J950" ca="1">INDIRECT("Data!D" &amp; 945)</f>
        <v>0</v>
      </c>
      <c r="K950" cm="1">
        <f t="array" aca="1" ref="K950" ca="1">INDIRECT("Data!E" &amp; 945)</f>
        <v>0</v>
      </c>
      <c r="L950" cm="1">
        <f t="array" aca="1" ref="L950" ca="1">INDIRECT("Data!F" &amp; 945)</f>
        <v>0</v>
      </c>
      <c r="M950" cm="1">
        <f t="array" aca="1" ref="M950" ca="1">INDIRECT("Data!G" &amp; 945)</f>
        <v>0</v>
      </c>
      <c r="N950" cm="1">
        <f t="array" aca="1" ref="N950" ca="1">INDIRECT("Data!H" &amp; 945)</f>
        <v>0</v>
      </c>
      <c r="O950" cm="1">
        <f t="array" aca="1" ref="O950" ca="1">INDIRECT("Data!I" &amp; 945)</f>
        <v>0</v>
      </c>
      <c r="P950" s="21" cm="1">
        <f t="array" aca="1" ref="P950" ca="1">INDIRECT("Data!J" &amp; 945)</f>
        <v>0</v>
      </c>
      <c r="Q950" cm="1">
        <f t="array" aca="1" ref="Q950" ca="1">INDIRECT("Data!K" &amp; 945)</f>
        <v>0</v>
      </c>
      <c r="R950" cm="1">
        <f t="array" aca="1" ref="R950" ca="1">INDIRECT("Data!L" &amp; 945)</f>
        <v>0</v>
      </c>
      <c r="S950" cm="1">
        <f t="array" aca="1" ref="S950" ca="1">INDIRECT("Data!M" &amp; 945)</f>
        <v>0</v>
      </c>
      <c r="T950" cm="1">
        <f t="array" aca="1" ref="T950" ca="1">INDIRECT("Data!N" &amp; 945)</f>
        <v>0</v>
      </c>
      <c r="U950" cm="1">
        <f t="array" aca="1" ref="U950" ca="1">INDIRECT("Data!O" &amp; 945)</f>
        <v>0</v>
      </c>
      <c r="V950" cm="1">
        <f t="array" aca="1" ref="V950" ca="1">INDIRECT("Data!P" &amp; 945)</f>
        <v>0</v>
      </c>
    </row>
    <row r="951" spans="7:22" x14ac:dyDescent="0.25">
      <c r="G951" cm="1">
        <f t="array" aca="1" ref="G951" ca="1">INDIRECT("Data!A" &amp; 946)</f>
        <v>0</v>
      </c>
      <c r="H951" s="21" cm="1">
        <f t="array" aca="1" ref="H951" ca="1">INDIRECT("Data!B" &amp; 946)</f>
        <v>0</v>
      </c>
      <c r="I951" s="21" cm="1">
        <f t="array" aca="1" ref="I951" ca="1">INDIRECT("Data!C" &amp; 946)</f>
        <v>0</v>
      </c>
      <c r="J951" cm="1">
        <f t="array" aca="1" ref="J951" ca="1">INDIRECT("Data!D" &amp; 946)</f>
        <v>0</v>
      </c>
      <c r="K951" cm="1">
        <f t="array" aca="1" ref="K951" ca="1">INDIRECT("Data!E" &amp; 946)</f>
        <v>0</v>
      </c>
      <c r="L951" cm="1">
        <f t="array" aca="1" ref="L951" ca="1">INDIRECT("Data!F" &amp; 946)</f>
        <v>0</v>
      </c>
      <c r="M951" cm="1">
        <f t="array" aca="1" ref="M951" ca="1">INDIRECT("Data!G" &amp; 946)</f>
        <v>0</v>
      </c>
      <c r="N951" cm="1">
        <f t="array" aca="1" ref="N951" ca="1">INDIRECT("Data!H" &amp; 946)</f>
        <v>0</v>
      </c>
      <c r="O951" cm="1">
        <f t="array" aca="1" ref="O951" ca="1">INDIRECT("Data!I" &amp; 946)</f>
        <v>0</v>
      </c>
      <c r="P951" s="21" cm="1">
        <f t="array" aca="1" ref="P951" ca="1">INDIRECT("Data!J" &amp; 946)</f>
        <v>0</v>
      </c>
      <c r="Q951" cm="1">
        <f t="array" aca="1" ref="Q951" ca="1">INDIRECT("Data!K" &amp; 946)</f>
        <v>0</v>
      </c>
      <c r="R951" cm="1">
        <f t="array" aca="1" ref="R951" ca="1">INDIRECT("Data!L" &amp; 946)</f>
        <v>0</v>
      </c>
      <c r="S951" cm="1">
        <f t="array" aca="1" ref="S951" ca="1">INDIRECT("Data!M" &amp; 946)</f>
        <v>0</v>
      </c>
      <c r="T951" cm="1">
        <f t="array" aca="1" ref="T951" ca="1">INDIRECT("Data!N" &amp; 946)</f>
        <v>0</v>
      </c>
      <c r="U951" cm="1">
        <f t="array" aca="1" ref="U951" ca="1">INDIRECT("Data!O" &amp; 946)</f>
        <v>0</v>
      </c>
      <c r="V951" cm="1">
        <f t="array" aca="1" ref="V951" ca="1">INDIRECT("Data!P" &amp; 946)</f>
        <v>0</v>
      </c>
    </row>
    <row r="952" spans="7:22" x14ac:dyDescent="0.25">
      <c r="G952" cm="1">
        <f t="array" aca="1" ref="G952" ca="1">INDIRECT("Data!A" &amp; 947)</f>
        <v>0</v>
      </c>
      <c r="H952" s="21" cm="1">
        <f t="array" aca="1" ref="H952" ca="1">INDIRECT("Data!B" &amp; 947)</f>
        <v>0</v>
      </c>
      <c r="I952" s="21" cm="1">
        <f t="array" aca="1" ref="I952" ca="1">INDIRECT("Data!C" &amp; 947)</f>
        <v>0</v>
      </c>
      <c r="J952" cm="1">
        <f t="array" aca="1" ref="J952" ca="1">INDIRECT("Data!D" &amp; 947)</f>
        <v>0</v>
      </c>
      <c r="K952" cm="1">
        <f t="array" aca="1" ref="K952" ca="1">INDIRECT("Data!E" &amp; 947)</f>
        <v>0</v>
      </c>
      <c r="L952" cm="1">
        <f t="array" aca="1" ref="L952" ca="1">INDIRECT("Data!F" &amp; 947)</f>
        <v>0</v>
      </c>
      <c r="M952" cm="1">
        <f t="array" aca="1" ref="M952" ca="1">INDIRECT("Data!G" &amp; 947)</f>
        <v>0</v>
      </c>
      <c r="N952" cm="1">
        <f t="array" aca="1" ref="N952" ca="1">INDIRECT("Data!H" &amp; 947)</f>
        <v>0</v>
      </c>
      <c r="O952" cm="1">
        <f t="array" aca="1" ref="O952" ca="1">INDIRECT("Data!I" &amp; 947)</f>
        <v>0</v>
      </c>
      <c r="P952" s="21" cm="1">
        <f t="array" aca="1" ref="P952" ca="1">INDIRECT("Data!J" &amp; 947)</f>
        <v>0</v>
      </c>
      <c r="Q952" cm="1">
        <f t="array" aca="1" ref="Q952" ca="1">INDIRECT("Data!K" &amp; 947)</f>
        <v>0</v>
      </c>
      <c r="R952" cm="1">
        <f t="array" aca="1" ref="R952" ca="1">INDIRECT("Data!L" &amp; 947)</f>
        <v>0</v>
      </c>
      <c r="S952" cm="1">
        <f t="array" aca="1" ref="S952" ca="1">INDIRECT("Data!M" &amp; 947)</f>
        <v>0</v>
      </c>
      <c r="T952" cm="1">
        <f t="array" aca="1" ref="T952" ca="1">INDIRECT("Data!N" &amp; 947)</f>
        <v>0</v>
      </c>
      <c r="U952" cm="1">
        <f t="array" aca="1" ref="U952" ca="1">INDIRECT("Data!O" &amp; 947)</f>
        <v>0</v>
      </c>
      <c r="V952" cm="1">
        <f t="array" aca="1" ref="V952" ca="1">INDIRECT("Data!P" &amp; 947)</f>
        <v>0</v>
      </c>
    </row>
    <row r="953" spans="7:22" x14ac:dyDescent="0.25">
      <c r="G953" cm="1">
        <f t="array" aca="1" ref="G953" ca="1">INDIRECT("Data!A" &amp; 948)</f>
        <v>0</v>
      </c>
      <c r="H953" s="21" cm="1">
        <f t="array" aca="1" ref="H953" ca="1">INDIRECT("Data!B" &amp; 948)</f>
        <v>0</v>
      </c>
      <c r="I953" s="21" cm="1">
        <f t="array" aca="1" ref="I953" ca="1">INDIRECT("Data!C" &amp; 948)</f>
        <v>0</v>
      </c>
      <c r="J953" cm="1">
        <f t="array" aca="1" ref="J953" ca="1">INDIRECT("Data!D" &amp; 948)</f>
        <v>0</v>
      </c>
      <c r="K953" cm="1">
        <f t="array" aca="1" ref="K953" ca="1">INDIRECT("Data!E" &amp; 948)</f>
        <v>0</v>
      </c>
      <c r="L953" cm="1">
        <f t="array" aca="1" ref="L953" ca="1">INDIRECT("Data!F" &amp; 948)</f>
        <v>0</v>
      </c>
      <c r="M953" cm="1">
        <f t="array" aca="1" ref="M953" ca="1">INDIRECT("Data!G" &amp; 948)</f>
        <v>0</v>
      </c>
      <c r="N953" cm="1">
        <f t="array" aca="1" ref="N953" ca="1">INDIRECT("Data!H" &amp; 948)</f>
        <v>0</v>
      </c>
      <c r="O953" cm="1">
        <f t="array" aca="1" ref="O953" ca="1">INDIRECT("Data!I" &amp; 948)</f>
        <v>0</v>
      </c>
      <c r="P953" s="21" cm="1">
        <f t="array" aca="1" ref="P953" ca="1">INDIRECT("Data!J" &amp; 948)</f>
        <v>0</v>
      </c>
      <c r="Q953" cm="1">
        <f t="array" aca="1" ref="Q953" ca="1">INDIRECT("Data!K" &amp; 948)</f>
        <v>0</v>
      </c>
      <c r="R953" cm="1">
        <f t="array" aca="1" ref="R953" ca="1">INDIRECT("Data!L" &amp; 948)</f>
        <v>0</v>
      </c>
      <c r="S953" cm="1">
        <f t="array" aca="1" ref="S953" ca="1">INDIRECT("Data!M" &amp; 948)</f>
        <v>0</v>
      </c>
      <c r="T953" cm="1">
        <f t="array" aca="1" ref="T953" ca="1">INDIRECT("Data!N" &amp; 948)</f>
        <v>0</v>
      </c>
      <c r="U953" cm="1">
        <f t="array" aca="1" ref="U953" ca="1">INDIRECT("Data!O" &amp; 948)</f>
        <v>0</v>
      </c>
      <c r="V953" cm="1">
        <f t="array" aca="1" ref="V953" ca="1">INDIRECT("Data!P" &amp; 948)</f>
        <v>0</v>
      </c>
    </row>
    <row r="954" spans="7:22" x14ac:dyDescent="0.25">
      <c r="G954" cm="1">
        <f t="array" aca="1" ref="G954" ca="1">INDIRECT("Data!A" &amp; 949)</f>
        <v>0</v>
      </c>
      <c r="H954" s="21" cm="1">
        <f t="array" aca="1" ref="H954" ca="1">INDIRECT("Data!B" &amp; 949)</f>
        <v>0</v>
      </c>
      <c r="I954" s="21" cm="1">
        <f t="array" aca="1" ref="I954" ca="1">INDIRECT("Data!C" &amp; 949)</f>
        <v>0</v>
      </c>
      <c r="J954" cm="1">
        <f t="array" aca="1" ref="J954" ca="1">INDIRECT("Data!D" &amp; 949)</f>
        <v>0</v>
      </c>
      <c r="K954" cm="1">
        <f t="array" aca="1" ref="K954" ca="1">INDIRECT("Data!E" &amp; 949)</f>
        <v>0</v>
      </c>
      <c r="L954" cm="1">
        <f t="array" aca="1" ref="L954" ca="1">INDIRECT("Data!F" &amp; 949)</f>
        <v>0</v>
      </c>
      <c r="M954" cm="1">
        <f t="array" aca="1" ref="M954" ca="1">INDIRECT("Data!G" &amp; 949)</f>
        <v>0</v>
      </c>
      <c r="N954" cm="1">
        <f t="array" aca="1" ref="N954" ca="1">INDIRECT("Data!H" &amp; 949)</f>
        <v>0</v>
      </c>
      <c r="O954" cm="1">
        <f t="array" aca="1" ref="O954" ca="1">INDIRECT("Data!I" &amp; 949)</f>
        <v>0</v>
      </c>
      <c r="P954" s="21" cm="1">
        <f t="array" aca="1" ref="P954" ca="1">INDIRECT("Data!J" &amp; 949)</f>
        <v>0</v>
      </c>
      <c r="Q954" cm="1">
        <f t="array" aca="1" ref="Q954" ca="1">INDIRECT("Data!K" &amp; 949)</f>
        <v>0</v>
      </c>
      <c r="R954" cm="1">
        <f t="array" aca="1" ref="R954" ca="1">INDIRECT("Data!L" &amp; 949)</f>
        <v>0</v>
      </c>
      <c r="S954" cm="1">
        <f t="array" aca="1" ref="S954" ca="1">INDIRECT("Data!M" &amp; 949)</f>
        <v>0</v>
      </c>
      <c r="T954" cm="1">
        <f t="array" aca="1" ref="T954" ca="1">INDIRECT("Data!N" &amp; 949)</f>
        <v>0</v>
      </c>
      <c r="U954" cm="1">
        <f t="array" aca="1" ref="U954" ca="1">INDIRECT("Data!O" &amp; 949)</f>
        <v>0</v>
      </c>
      <c r="V954" cm="1">
        <f t="array" aca="1" ref="V954" ca="1">INDIRECT("Data!P" &amp; 949)</f>
        <v>0</v>
      </c>
    </row>
    <row r="955" spans="7:22" x14ac:dyDescent="0.25">
      <c r="G955" cm="1">
        <f t="array" aca="1" ref="G955" ca="1">INDIRECT("Data!A" &amp; 950)</f>
        <v>0</v>
      </c>
      <c r="H955" s="21" cm="1">
        <f t="array" aca="1" ref="H955" ca="1">INDIRECT("Data!B" &amp; 950)</f>
        <v>0</v>
      </c>
      <c r="I955" s="21" cm="1">
        <f t="array" aca="1" ref="I955" ca="1">INDIRECT("Data!C" &amp; 950)</f>
        <v>0</v>
      </c>
      <c r="J955" cm="1">
        <f t="array" aca="1" ref="J955" ca="1">INDIRECT("Data!D" &amp; 950)</f>
        <v>0</v>
      </c>
      <c r="K955" cm="1">
        <f t="array" aca="1" ref="K955" ca="1">INDIRECT("Data!E" &amp; 950)</f>
        <v>0</v>
      </c>
      <c r="L955" cm="1">
        <f t="array" aca="1" ref="L955" ca="1">INDIRECT("Data!F" &amp; 950)</f>
        <v>0</v>
      </c>
      <c r="M955" cm="1">
        <f t="array" aca="1" ref="M955" ca="1">INDIRECT("Data!G" &amp; 950)</f>
        <v>0</v>
      </c>
      <c r="N955" cm="1">
        <f t="array" aca="1" ref="N955" ca="1">INDIRECT("Data!H" &amp; 950)</f>
        <v>0</v>
      </c>
      <c r="O955" cm="1">
        <f t="array" aca="1" ref="O955" ca="1">INDIRECT("Data!I" &amp; 950)</f>
        <v>0</v>
      </c>
      <c r="P955" s="21" cm="1">
        <f t="array" aca="1" ref="P955" ca="1">INDIRECT("Data!J" &amp; 950)</f>
        <v>0</v>
      </c>
      <c r="Q955" cm="1">
        <f t="array" aca="1" ref="Q955" ca="1">INDIRECT("Data!K" &amp; 950)</f>
        <v>0</v>
      </c>
      <c r="R955" cm="1">
        <f t="array" aca="1" ref="R955" ca="1">INDIRECT("Data!L" &amp; 950)</f>
        <v>0</v>
      </c>
      <c r="S955" cm="1">
        <f t="array" aca="1" ref="S955" ca="1">INDIRECT("Data!M" &amp; 950)</f>
        <v>0</v>
      </c>
      <c r="T955" cm="1">
        <f t="array" aca="1" ref="T955" ca="1">INDIRECT("Data!N" &amp; 950)</f>
        <v>0</v>
      </c>
      <c r="U955" cm="1">
        <f t="array" aca="1" ref="U955" ca="1">INDIRECT("Data!O" &amp; 950)</f>
        <v>0</v>
      </c>
      <c r="V955" cm="1">
        <f t="array" aca="1" ref="V955" ca="1">INDIRECT("Data!P" &amp; 950)</f>
        <v>0</v>
      </c>
    </row>
    <row r="956" spans="7:22" x14ac:dyDescent="0.25">
      <c r="G956" cm="1">
        <f t="array" aca="1" ref="G956" ca="1">INDIRECT("Data!A" &amp; 951)</f>
        <v>0</v>
      </c>
      <c r="H956" s="21" cm="1">
        <f t="array" aca="1" ref="H956" ca="1">INDIRECT("Data!B" &amp; 951)</f>
        <v>0</v>
      </c>
      <c r="I956" s="21" cm="1">
        <f t="array" aca="1" ref="I956" ca="1">INDIRECT("Data!C" &amp; 951)</f>
        <v>0</v>
      </c>
      <c r="J956" cm="1">
        <f t="array" aca="1" ref="J956" ca="1">INDIRECT("Data!D" &amp; 951)</f>
        <v>0</v>
      </c>
      <c r="K956" cm="1">
        <f t="array" aca="1" ref="K956" ca="1">INDIRECT("Data!E" &amp; 951)</f>
        <v>0</v>
      </c>
      <c r="L956" cm="1">
        <f t="array" aca="1" ref="L956" ca="1">INDIRECT("Data!F" &amp; 951)</f>
        <v>0</v>
      </c>
      <c r="M956" cm="1">
        <f t="array" aca="1" ref="M956" ca="1">INDIRECT("Data!G" &amp; 951)</f>
        <v>0</v>
      </c>
      <c r="N956" cm="1">
        <f t="array" aca="1" ref="N956" ca="1">INDIRECT("Data!H" &amp; 951)</f>
        <v>0</v>
      </c>
      <c r="O956" cm="1">
        <f t="array" aca="1" ref="O956" ca="1">INDIRECT("Data!I" &amp; 951)</f>
        <v>0</v>
      </c>
      <c r="P956" s="21" cm="1">
        <f t="array" aca="1" ref="P956" ca="1">INDIRECT("Data!J" &amp; 951)</f>
        <v>0</v>
      </c>
      <c r="Q956" cm="1">
        <f t="array" aca="1" ref="Q956" ca="1">INDIRECT("Data!K" &amp; 951)</f>
        <v>0</v>
      </c>
      <c r="R956" cm="1">
        <f t="array" aca="1" ref="R956" ca="1">INDIRECT("Data!L" &amp; 951)</f>
        <v>0</v>
      </c>
      <c r="S956" cm="1">
        <f t="array" aca="1" ref="S956" ca="1">INDIRECT("Data!M" &amp; 951)</f>
        <v>0</v>
      </c>
      <c r="T956" cm="1">
        <f t="array" aca="1" ref="T956" ca="1">INDIRECT("Data!N" &amp; 951)</f>
        <v>0</v>
      </c>
      <c r="U956" cm="1">
        <f t="array" aca="1" ref="U956" ca="1">INDIRECT("Data!O" &amp; 951)</f>
        <v>0</v>
      </c>
      <c r="V956" cm="1">
        <f t="array" aca="1" ref="V956" ca="1">INDIRECT("Data!P" &amp; 951)</f>
        <v>0</v>
      </c>
    </row>
    <row r="957" spans="7:22" x14ac:dyDescent="0.25">
      <c r="G957" cm="1">
        <f t="array" aca="1" ref="G957" ca="1">INDIRECT("Data!A" &amp; 952)</f>
        <v>0</v>
      </c>
      <c r="H957" s="21" cm="1">
        <f t="array" aca="1" ref="H957" ca="1">INDIRECT("Data!B" &amp; 952)</f>
        <v>0</v>
      </c>
      <c r="I957" s="21" cm="1">
        <f t="array" aca="1" ref="I957" ca="1">INDIRECT("Data!C" &amp; 952)</f>
        <v>0</v>
      </c>
      <c r="J957" cm="1">
        <f t="array" aca="1" ref="J957" ca="1">INDIRECT("Data!D" &amp; 952)</f>
        <v>0</v>
      </c>
      <c r="K957" cm="1">
        <f t="array" aca="1" ref="K957" ca="1">INDIRECT("Data!E" &amp; 952)</f>
        <v>0</v>
      </c>
      <c r="L957" cm="1">
        <f t="array" aca="1" ref="L957" ca="1">INDIRECT("Data!F" &amp; 952)</f>
        <v>0</v>
      </c>
      <c r="M957" cm="1">
        <f t="array" aca="1" ref="M957" ca="1">INDIRECT("Data!G" &amp; 952)</f>
        <v>0</v>
      </c>
      <c r="N957" cm="1">
        <f t="array" aca="1" ref="N957" ca="1">INDIRECT("Data!H" &amp; 952)</f>
        <v>0</v>
      </c>
      <c r="O957" cm="1">
        <f t="array" aca="1" ref="O957" ca="1">INDIRECT("Data!I" &amp; 952)</f>
        <v>0</v>
      </c>
      <c r="P957" s="21" cm="1">
        <f t="array" aca="1" ref="P957" ca="1">INDIRECT("Data!J" &amp; 952)</f>
        <v>0</v>
      </c>
      <c r="Q957" cm="1">
        <f t="array" aca="1" ref="Q957" ca="1">INDIRECT("Data!K" &amp; 952)</f>
        <v>0</v>
      </c>
      <c r="R957" cm="1">
        <f t="array" aca="1" ref="R957" ca="1">INDIRECT("Data!L" &amp; 952)</f>
        <v>0</v>
      </c>
      <c r="S957" cm="1">
        <f t="array" aca="1" ref="S957" ca="1">INDIRECT("Data!M" &amp; 952)</f>
        <v>0</v>
      </c>
      <c r="T957" cm="1">
        <f t="array" aca="1" ref="T957" ca="1">INDIRECT("Data!N" &amp; 952)</f>
        <v>0</v>
      </c>
      <c r="U957" cm="1">
        <f t="array" aca="1" ref="U957" ca="1">INDIRECT("Data!O" &amp; 952)</f>
        <v>0</v>
      </c>
      <c r="V957" cm="1">
        <f t="array" aca="1" ref="V957" ca="1">INDIRECT("Data!P" &amp; 952)</f>
        <v>0</v>
      </c>
    </row>
    <row r="958" spans="7:22" x14ac:dyDescent="0.25">
      <c r="G958" cm="1">
        <f t="array" aca="1" ref="G958" ca="1">INDIRECT("Data!A" &amp; 953)</f>
        <v>0</v>
      </c>
      <c r="H958" s="21" cm="1">
        <f t="array" aca="1" ref="H958" ca="1">INDIRECT("Data!B" &amp; 953)</f>
        <v>0</v>
      </c>
      <c r="I958" s="21" cm="1">
        <f t="array" aca="1" ref="I958" ca="1">INDIRECT("Data!C" &amp; 953)</f>
        <v>0</v>
      </c>
      <c r="J958" cm="1">
        <f t="array" aca="1" ref="J958" ca="1">INDIRECT("Data!D" &amp; 953)</f>
        <v>0</v>
      </c>
      <c r="K958" cm="1">
        <f t="array" aca="1" ref="K958" ca="1">INDIRECT("Data!E" &amp; 953)</f>
        <v>0</v>
      </c>
      <c r="L958" cm="1">
        <f t="array" aca="1" ref="L958" ca="1">INDIRECT("Data!F" &amp; 953)</f>
        <v>0</v>
      </c>
      <c r="M958" cm="1">
        <f t="array" aca="1" ref="M958" ca="1">INDIRECT("Data!G" &amp; 953)</f>
        <v>0</v>
      </c>
      <c r="N958" cm="1">
        <f t="array" aca="1" ref="N958" ca="1">INDIRECT("Data!H" &amp; 953)</f>
        <v>0</v>
      </c>
      <c r="O958" cm="1">
        <f t="array" aca="1" ref="O958" ca="1">INDIRECT("Data!I" &amp; 953)</f>
        <v>0</v>
      </c>
      <c r="P958" s="21" cm="1">
        <f t="array" aca="1" ref="P958" ca="1">INDIRECT("Data!J" &amp; 953)</f>
        <v>0</v>
      </c>
      <c r="Q958" cm="1">
        <f t="array" aca="1" ref="Q958" ca="1">INDIRECT("Data!K" &amp; 953)</f>
        <v>0</v>
      </c>
      <c r="R958" cm="1">
        <f t="array" aca="1" ref="R958" ca="1">INDIRECT("Data!L" &amp; 953)</f>
        <v>0</v>
      </c>
      <c r="S958" cm="1">
        <f t="array" aca="1" ref="S958" ca="1">INDIRECT("Data!M" &amp; 953)</f>
        <v>0</v>
      </c>
      <c r="T958" cm="1">
        <f t="array" aca="1" ref="T958" ca="1">INDIRECT("Data!N" &amp; 953)</f>
        <v>0</v>
      </c>
      <c r="U958" cm="1">
        <f t="array" aca="1" ref="U958" ca="1">INDIRECT("Data!O" &amp; 953)</f>
        <v>0</v>
      </c>
      <c r="V958" cm="1">
        <f t="array" aca="1" ref="V958" ca="1">INDIRECT("Data!P" &amp; 953)</f>
        <v>0</v>
      </c>
    </row>
    <row r="959" spans="7:22" x14ac:dyDescent="0.25">
      <c r="G959" cm="1">
        <f t="array" aca="1" ref="G959" ca="1">INDIRECT("Data!A" &amp; 954)</f>
        <v>0</v>
      </c>
      <c r="H959" s="21" cm="1">
        <f t="array" aca="1" ref="H959" ca="1">INDIRECT("Data!B" &amp; 954)</f>
        <v>0</v>
      </c>
      <c r="I959" s="21" cm="1">
        <f t="array" aca="1" ref="I959" ca="1">INDIRECT("Data!C" &amp; 954)</f>
        <v>0</v>
      </c>
      <c r="J959" cm="1">
        <f t="array" aca="1" ref="J959" ca="1">INDIRECT("Data!D" &amp; 954)</f>
        <v>0</v>
      </c>
      <c r="K959" cm="1">
        <f t="array" aca="1" ref="K959" ca="1">INDIRECT("Data!E" &amp; 954)</f>
        <v>0</v>
      </c>
      <c r="L959" cm="1">
        <f t="array" aca="1" ref="L959" ca="1">INDIRECT("Data!F" &amp; 954)</f>
        <v>0</v>
      </c>
      <c r="M959" cm="1">
        <f t="array" aca="1" ref="M959" ca="1">INDIRECT("Data!G" &amp; 954)</f>
        <v>0</v>
      </c>
      <c r="N959" cm="1">
        <f t="array" aca="1" ref="N959" ca="1">INDIRECT("Data!H" &amp; 954)</f>
        <v>0</v>
      </c>
      <c r="O959" cm="1">
        <f t="array" aca="1" ref="O959" ca="1">INDIRECT("Data!I" &amp; 954)</f>
        <v>0</v>
      </c>
      <c r="P959" s="21" cm="1">
        <f t="array" aca="1" ref="P959" ca="1">INDIRECT("Data!J" &amp; 954)</f>
        <v>0</v>
      </c>
      <c r="Q959" cm="1">
        <f t="array" aca="1" ref="Q959" ca="1">INDIRECT("Data!K" &amp; 954)</f>
        <v>0</v>
      </c>
      <c r="R959" cm="1">
        <f t="array" aca="1" ref="R959" ca="1">INDIRECT("Data!L" &amp; 954)</f>
        <v>0</v>
      </c>
      <c r="S959" cm="1">
        <f t="array" aca="1" ref="S959" ca="1">INDIRECT("Data!M" &amp; 954)</f>
        <v>0</v>
      </c>
      <c r="T959" cm="1">
        <f t="array" aca="1" ref="T959" ca="1">INDIRECT("Data!N" &amp; 954)</f>
        <v>0</v>
      </c>
      <c r="U959" cm="1">
        <f t="array" aca="1" ref="U959" ca="1">INDIRECT("Data!O" &amp; 954)</f>
        <v>0</v>
      </c>
      <c r="V959" cm="1">
        <f t="array" aca="1" ref="V959" ca="1">INDIRECT("Data!P" &amp; 954)</f>
        <v>0</v>
      </c>
    </row>
    <row r="960" spans="7:22" x14ac:dyDescent="0.25">
      <c r="G960" cm="1">
        <f t="array" aca="1" ref="G960" ca="1">INDIRECT("Data!A" &amp; 955)</f>
        <v>0</v>
      </c>
      <c r="H960" s="21" cm="1">
        <f t="array" aca="1" ref="H960" ca="1">INDIRECT("Data!B" &amp; 955)</f>
        <v>0</v>
      </c>
      <c r="I960" s="21" cm="1">
        <f t="array" aca="1" ref="I960" ca="1">INDIRECT("Data!C" &amp; 955)</f>
        <v>0</v>
      </c>
      <c r="J960" cm="1">
        <f t="array" aca="1" ref="J960" ca="1">INDIRECT("Data!D" &amp; 955)</f>
        <v>0</v>
      </c>
      <c r="K960" cm="1">
        <f t="array" aca="1" ref="K960" ca="1">INDIRECT("Data!E" &amp; 955)</f>
        <v>0</v>
      </c>
      <c r="L960" cm="1">
        <f t="array" aca="1" ref="L960" ca="1">INDIRECT("Data!F" &amp; 955)</f>
        <v>0</v>
      </c>
      <c r="M960" cm="1">
        <f t="array" aca="1" ref="M960" ca="1">INDIRECT("Data!G" &amp; 955)</f>
        <v>0</v>
      </c>
      <c r="N960" cm="1">
        <f t="array" aca="1" ref="N960" ca="1">INDIRECT("Data!H" &amp; 955)</f>
        <v>0</v>
      </c>
      <c r="O960" cm="1">
        <f t="array" aca="1" ref="O960" ca="1">INDIRECT("Data!I" &amp; 955)</f>
        <v>0</v>
      </c>
      <c r="P960" s="21" cm="1">
        <f t="array" aca="1" ref="P960" ca="1">INDIRECT("Data!J" &amp; 955)</f>
        <v>0</v>
      </c>
      <c r="Q960" cm="1">
        <f t="array" aca="1" ref="Q960" ca="1">INDIRECT("Data!K" &amp; 955)</f>
        <v>0</v>
      </c>
      <c r="R960" cm="1">
        <f t="array" aca="1" ref="R960" ca="1">INDIRECT("Data!L" &amp; 955)</f>
        <v>0</v>
      </c>
      <c r="S960" cm="1">
        <f t="array" aca="1" ref="S960" ca="1">INDIRECT("Data!M" &amp; 955)</f>
        <v>0</v>
      </c>
      <c r="T960" cm="1">
        <f t="array" aca="1" ref="T960" ca="1">INDIRECT("Data!N" &amp; 955)</f>
        <v>0</v>
      </c>
      <c r="U960" cm="1">
        <f t="array" aca="1" ref="U960" ca="1">INDIRECT("Data!O" &amp; 955)</f>
        <v>0</v>
      </c>
      <c r="V960" cm="1">
        <f t="array" aca="1" ref="V960" ca="1">INDIRECT("Data!P" &amp; 955)</f>
        <v>0</v>
      </c>
    </row>
    <row r="961" spans="7:22" x14ac:dyDescent="0.25">
      <c r="G961" cm="1">
        <f t="array" aca="1" ref="G961" ca="1">INDIRECT("Data!A" &amp; 956)</f>
        <v>0</v>
      </c>
      <c r="H961" s="21" cm="1">
        <f t="array" aca="1" ref="H961" ca="1">INDIRECT("Data!B" &amp; 956)</f>
        <v>0</v>
      </c>
      <c r="I961" s="21" cm="1">
        <f t="array" aca="1" ref="I961" ca="1">INDIRECT("Data!C" &amp; 956)</f>
        <v>0</v>
      </c>
      <c r="J961" cm="1">
        <f t="array" aca="1" ref="J961" ca="1">INDIRECT("Data!D" &amp; 956)</f>
        <v>0</v>
      </c>
      <c r="K961" cm="1">
        <f t="array" aca="1" ref="K961" ca="1">INDIRECT("Data!E" &amp; 956)</f>
        <v>0</v>
      </c>
      <c r="L961" cm="1">
        <f t="array" aca="1" ref="L961" ca="1">INDIRECT("Data!F" &amp; 956)</f>
        <v>0</v>
      </c>
      <c r="M961" cm="1">
        <f t="array" aca="1" ref="M961" ca="1">INDIRECT("Data!G" &amp; 956)</f>
        <v>0</v>
      </c>
      <c r="N961" cm="1">
        <f t="array" aca="1" ref="N961" ca="1">INDIRECT("Data!H" &amp; 956)</f>
        <v>0</v>
      </c>
      <c r="O961" cm="1">
        <f t="array" aca="1" ref="O961" ca="1">INDIRECT("Data!I" &amp; 956)</f>
        <v>0</v>
      </c>
      <c r="P961" s="21" cm="1">
        <f t="array" aca="1" ref="P961" ca="1">INDIRECT("Data!J" &amp; 956)</f>
        <v>0</v>
      </c>
      <c r="Q961" cm="1">
        <f t="array" aca="1" ref="Q961" ca="1">INDIRECT("Data!K" &amp; 956)</f>
        <v>0</v>
      </c>
      <c r="R961" cm="1">
        <f t="array" aca="1" ref="R961" ca="1">INDIRECT("Data!L" &amp; 956)</f>
        <v>0</v>
      </c>
      <c r="S961" cm="1">
        <f t="array" aca="1" ref="S961" ca="1">INDIRECT("Data!M" &amp; 956)</f>
        <v>0</v>
      </c>
      <c r="T961" cm="1">
        <f t="array" aca="1" ref="T961" ca="1">INDIRECT("Data!N" &amp; 956)</f>
        <v>0</v>
      </c>
      <c r="U961" cm="1">
        <f t="array" aca="1" ref="U961" ca="1">INDIRECT("Data!O" &amp; 956)</f>
        <v>0</v>
      </c>
      <c r="V961" cm="1">
        <f t="array" aca="1" ref="V961" ca="1">INDIRECT("Data!P" &amp; 956)</f>
        <v>0</v>
      </c>
    </row>
    <row r="962" spans="7:22" x14ac:dyDescent="0.25">
      <c r="G962" cm="1">
        <f t="array" aca="1" ref="G962" ca="1">INDIRECT("Data!A" &amp; 957)</f>
        <v>0</v>
      </c>
      <c r="H962" s="21" cm="1">
        <f t="array" aca="1" ref="H962" ca="1">INDIRECT("Data!B" &amp; 957)</f>
        <v>0</v>
      </c>
      <c r="I962" s="21" cm="1">
        <f t="array" aca="1" ref="I962" ca="1">INDIRECT("Data!C" &amp; 957)</f>
        <v>0</v>
      </c>
      <c r="J962" cm="1">
        <f t="array" aca="1" ref="J962" ca="1">INDIRECT("Data!D" &amp; 957)</f>
        <v>0</v>
      </c>
      <c r="K962" cm="1">
        <f t="array" aca="1" ref="K962" ca="1">INDIRECT("Data!E" &amp; 957)</f>
        <v>0</v>
      </c>
      <c r="L962" cm="1">
        <f t="array" aca="1" ref="L962" ca="1">INDIRECT("Data!F" &amp; 957)</f>
        <v>0</v>
      </c>
      <c r="M962" cm="1">
        <f t="array" aca="1" ref="M962" ca="1">INDIRECT("Data!G" &amp; 957)</f>
        <v>0</v>
      </c>
      <c r="N962" cm="1">
        <f t="array" aca="1" ref="N962" ca="1">INDIRECT("Data!H" &amp; 957)</f>
        <v>0</v>
      </c>
      <c r="O962" cm="1">
        <f t="array" aca="1" ref="O962" ca="1">INDIRECT("Data!I" &amp; 957)</f>
        <v>0</v>
      </c>
      <c r="P962" s="21" cm="1">
        <f t="array" aca="1" ref="P962" ca="1">INDIRECT("Data!J" &amp; 957)</f>
        <v>0</v>
      </c>
      <c r="Q962" cm="1">
        <f t="array" aca="1" ref="Q962" ca="1">INDIRECT("Data!K" &amp; 957)</f>
        <v>0</v>
      </c>
      <c r="R962" cm="1">
        <f t="array" aca="1" ref="R962" ca="1">INDIRECT("Data!L" &amp; 957)</f>
        <v>0</v>
      </c>
      <c r="S962" cm="1">
        <f t="array" aca="1" ref="S962" ca="1">INDIRECT("Data!M" &amp; 957)</f>
        <v>0</v>
      </c>
      <c r="T962" cm="1">
        <f t="array" aca="1" ref="T962" ca="1">INDIRECT("Data!N" &amp; 957)</f>
        <v>0</v>
      </c>
      <c r="U962" cm="1">
        <f t="array" aca="1" ref="U962" ca="1">INDIRECT("Data!O" &amp; 957)</f>
        <v>0</v>
      </c>
      <c r="V962" cm="1">
        <f t="array" aca="1" ref="V962" ca="1">INDIRECT("Data!P" &amp; 957)</f>
        <v>0</v>
      </c>
    </row>
    <row r="963" spans="7:22" x14ac:dyDescent="0.25">
      <c r="G963" cm="1">
        <f t="array" aca="1" ref="G963" ca="1">INDIRECT("Data!A" &amp; 958)</f>
        <v>0</v>
      </c>
      <c r="H963" s="21" cm="1">
        <f t="array" aca="1" ref="H963" ca="1">INDIRECT("Data!B" &amp; 958)</f>
        <v>0</v>
      </c>
      <c r="I963" s="21" cm="1">
        <f t="array" aca="1" ref="I963" ca="1">INDIRECT("Data!C" &amp; 958)</f>
        <v>0</v>
      </c>
      <c r="J963" cm="1">
        <f t="array" aca="1" ref="J963" ca="1">INDIRECT("Data!D" &amp; 958)</f>
        <v>0</v>
      </c>
      <c r="K963" cm="1">
        <f t="array" aca="1" ref="K963" ca="1">INDIRECT("Data!E" &amp; 958)</f>
        <v>0</v>
      </c>
      <c r="L963" cm="1">
        <f t="array" aca="1" ref="L963" ca="1">INDIRECT("Data!F" &amp; 958)</f>
        <v>0</v>
      </c>
      <c r="M963" cm="1">
        <f t="array" aca="1" ref="M963" ca="1">INDIRECT("Data!G" &amp; 958)</f>
        <v>0</v>
      </c>
      <c r="N963" cm="1">
        <f t="array" aca="1" ref="N963" ca="1">INDIRECT("Data!H" &amp; 958)</f>
        <v>0</v>
      </c>
      <c r="O963" cm="1">
        <f t="array" aca="1" ref="O963" ca="1">INDIRECT("Data!I" &amp; 958)</f>
        <v>0</v>
      </c>
      <c r="P963" s="21" cm="1">
        <f t="array" aca="1" ref="P963" ca="1">INDIRECT("Data!J" &amp; 958)</f>
        <v>0</v>
      </c>
      <c r="Q963" cm="1">
        <f t="array" aca="1" ref="Q963" ca="1">INDIRECT("Data!K" &amp; 958)</f>
        <v>0</v>
      </c>
      <c r="R963" cm="1">
        <f t="array" aca="1" ref="R963" ca="1">INDIRECT("Data!L" &amp; 958)</f>
        <v>0</v>
      </c>
      <c r="S963" cm="1">
        <f t="array" aca="1" ref="S963" ca="1">INDIRECT("Data!M" &amp; 958)</f>
        <v>0</v>
      </c>
      <c r="T963" cm="1">
        <f t="array" aca="1" ref="T963" ca="1">INDIRECT("Data!N" &amp; 958)</f>
        <v>0</v>
      </c>
      <c r="U963" cm="1">
        <f t="array" aca="1" ref="U963" ca="1">INDIRECT("Data!O" &amp; 958)</f>
        <v>0</v>
      </c>
      <c r="V963" cm="1">
        <f t="array" aca="1" ref="V963" ca="1">INDIRECT("Data!P" &amp; 958)</f>
        <v>0</v>
      </c>
    </row>
    <row r="964" spans="7:22" x14ac:dyDescent="0.25">
      <c r="G964" cm="1">
        <f t="array" aca="1" ref="G964" ca="1">INDIRECT("Data!A" &amp; 959)</f>
        <v>0</v>
      </c>
      <c r="H964" s="21" cm="1">
        <f t="array" aca="1" ref="H964" ca="1">INDIRECT("Data!B" &amp; 959)</f>
        <v>0</v>
      </c>
      <c r="I964" s="21" cm="1">
        <f t="array" aca="1" ref="I964" ca="1">INDIRECT("Data!C" &amp; 959)</f>
        <v>0</v>
      </c>
      <c r="J964" cm="1">
        <f t="array" aca="1" ref="J964" ca="1">INDIRECT("Data!D" &amp; 959)</f>
        <v>0</v>
      </c>
      <c r="K964" cm="1">
        <f t="array" aca="1" ref="K964" ca="1">INDIRECT("Data!E" &amp; 959)</f>
        <v>0</v>
      </c>
      <c r="L964" cm="1">
        <f t="array" aca="1" ref="L964" ca="1">INDIRECT("Data!F" &amp; 959)</f>
        <v>0</v>
      </c>
      <c r="M964" cm="1">
        <f t="array" aca="1" ref="M964" ca="1">INDIRECT("Data!G" &amp; 959)</f>
        <v>0</v>
      </c>
      <c r="N964" cm="1">
        <f t="array" aca="1" ref="N964" ca="1">INDIRECT("Data!H" &amp; 959)</f>
        <v>0</v>
      </c>
      <c r="O964" cm="1">
        <f t="array" aca="1" ref="O964" ca="1">INDIRECT("Data!I" &amp; 959)</f>
        <v>0</v>
      </c>
      <c r="P964" s="21" cm="1">
        <f t="array" aca="1" ref="P964" ca="1">INDIRECT("Data!J" &amp; 959)</f>
        <v>0</v>
      </c>
      <c r="Q964" cm="1">
        <f t="array" aca="1" ref="Q964" ca="1">INDIRECT("Data!K" &amp; 959)</f>
        <v>0</v>
      </c>
      <c r="R964" cm="1">
        <f t="array" aca="1" ref="R964" ca="1">INDIRECT("Data!L" &amp; 959)</f>
        <v>0</v>
      </c>
      <c r="S964" cm="1">
        <f t="array" aca="1" ref="S964" ca="1">INDIRECT("Data!M" &amp; 959)</f>
        <v>0</v>
      </c>
      <c r="T964" cm="1">
        <f t="array" aca="1" ref="T964" ca="1">INDIRECT("Data!N" &amp; 959)</f>
        <v>0</v>
      </c>
      <c r="U964" cm="1">
        <f t="array" aca="1" ref="U964" ca="1">INDIRECT("Data!O" &amp; 959)</f>
        <v>0</v>
      </c>
      <c r="V964" cm="1">
        <f t="array" aca="1" ref="V964" ca="1">INDIRECT("Data!P" &amp; 959)</f>
        <v>0</v>
      </c>
    </row>
    <row r="965" spans="7:22" x14ac:dyDescent="0.25">
      <c r="G965" cm="1">
        <f t="array" aca="1" ref="G965" ca="1">INDIRECT("Data!A" &amp; 960)</f>
        <v>0</v>
      </c>
      <c r="H965" s="21" cm="1">
        <f t="array" aca="1" ref="H965" ca="1">INDIRECT("Data!B" &amp; 960)</f>
        <v>0</v>
      </c>
      <c r="I965" s="21" cm="1">
        <f t="array" aca="1" ref="I965" ca="1">INDIRECT("Data!C" &amp; 960)</f>
        <v>0</v>
      </c>
      <c r="J965" cm="1">
        <f t="array" aca="1" ref="J965" ca="1">INDIRECT("Data!D" &amp; 960)</f>
        <v>0</v>
      </c>
      <c r="K965" cm="1">
        <f t="array" aca="1" ref="K965" ca="1">INDIRECT("Data!E" &amp; 960)</f>
        <v>0</v>
      </c>
      <c r="L965" cm="1">
        <f t="array" aca="1" ref="L965" ca="1">INDIRECT("Data!F" &amp; 960)</f>
        <v>0</v>
      </c>
      <c r="M965" cm="1">
        <f t="array" aca="1" ref="M965" ca="1">INDIRECT("Data!G" &amp; 960)</f>
        <v>0</v>
      </c>
      <c r="N965" cm="1">
        <f t="array" aca="1" ref="N965" ca="1">INDIRECT("Data!H" &amp; 960)</f>
        <v>0</v>
      </c>
      <c r="O965" cm="1">
        <f t="array" aca="1" ref="O965" ca="1">INDIRECT("Data!I" &amp; 960)</f>
        <v>0</v>
      </c>
      <c r="P965" s="21" cm="1">
        <f t="array" aca="1" ref="P965" ca="1">INDIRECT("Data!J" &amp; 960)</f>
        <v>0</v>
      </c>
      <c r="Q965" cm="1">
        <f t="array" aca="1" ref="Q965" ca="1">INDIRECT("Data!K" &amp; 960)</f>
        <v>0</v>
      </c>
      <c r="R965" cm="1">
        <f t="array" aca="1" ref="R965" ca="1">INDIRECT("Data!L" &amp; 960)</f>
        <v>0</v>
      </c>
      <c r="S965" cm="1">
        <f t="array" aca="1" ref="S965" ca="1">INDIRECT("Data!M" &amp; 960)</f>
        <v>0</v>
      </c>
      <c r="T965" cm="1">
        <f t="array" aca="1" ref="T965" ca="1">INDIRECT("Data!N" &amp; 960)</f>
        <v>0</v>
      </c>
      <c r="U965" cm="1">
        <f t="array" aca="1" ref="U965" ca="1">INDIRECT("Data!O" &amp; 960)</f>
        <v>0</v>
      </c>
      <c r="V965" cm="1">
        <f t="array" aca="1" ref="V965" ca="1">INDIRECT("Data!P" &amp; 960)</f>
        <v>0</v>
      </c>
    </row>
    <row r="966" spans="7:22" x14ac:dyDescent="0.25">
      <c r="G966" cm="1">
        <f t="array" aca="1" ref="G966" ca="1">INDIRECT("Data!A" &amp; 961)</f>
        <v>0</v>
      </c>
      <c r="H966" s="21" cm="1">
        <f t="array" aca="1" ref="H966" ca="1">INDIRECT("Data!B" &amp; 961)</f>
        <v>0</v>
      </c>
      <c r="I966" s="21" cm="1">
        <f t="array" aca="1" ref="I966" ca="1">INDIRECT("Data!C" &amp; 961)</f>
        <v>0</v>
      </c>
      <c r="J966" cm="1">
        <f t="array" aca="1" ref="J966" ca="1">INDIRECT("Data!D" &amp; 961)</f>
        <v>0</v>
      </c>
      <c r="K966" cm="1">
        <f t="array" aca="1" ref="K966" ca="1">INDIRECT("Data!E" &amp; 961)</f>
        <v>0</v>
      </c>
      <c r="L966" cm="1">
        <f t="array" aca="1" ref="L966" ca="1">INDIRECT("Data!F" &amp; 961)</f>
        <v>0</v>
      </c>
      <c r="M966" cm="1">
        <f t="array" aca="1" ref="M966" ca="1">INDIRECT("Data!G" &amp; 961)</f>
        <v>0</v>
      </c>
      <c r="N966" cm="1">
        <f t="array" aca="1" ref="N966" ca="1">INDIRECT("Data!H" &amp; 961)</f>
        <v>0</v>
      </c>
      <c r="O966" cm="1">
        <f t="array" aca="1" ref="O966" ca="1">INDIRECT("Data!I" &amp; 961)</f>
        <v>0</v>
      </c>
      <c r="P966" s="21" cm="1">
        <f t="array" aca="1" ref="P966" ca="1">INDIRECT("Data!J" &amp; 961)</f>
        <v>0</v>
      </c>
      <c r="Q966" cm="1">
        <f t="array" aca="1" ref="Q966" ca="1">INDIRECT("Data!K" &amp; 961)</f>
        <v>0</v>
      </c>
      <c r="R966" cm="1">
        <f t="array" aca="1" ref="R966" ca="1">INDIRECT("Data!L" &amp; 961)</f>
        <v>0</v>
      </c>
      <c r="S966" cm="1">
        <f t="array" aca="1" ref="S966" ca="1">INDIRECT("Data!M" &amp; 961)</f>
        <v>0</v>
      </c>
      <c r="T966" cm="1">
        <f t="array" aca="1" ref="T966" ca="1">INDIRECT("Data!N" &amp; 961)</f>
        <v>0</v>
      </c>
      <c r="U966" cm="1">
        <f t="array" aca="1" ref="U966" ca="1">INDIRECT("Data!O" &amp; 961)</f>
        <v>0</v>
      </c>
      <c r="V966" cm="1">
        <f t="array" aca="1" ref="V966" ca="1">INDIRECT("Data!P" &amp; 961)</f>
        <v>0</v>
      </c>
    </row>
    <row r="967" spans="7:22" x14ac:dyDescent="0.25">
      <c r="G967" cm="1">
        <f t="array" aca="1" ref="G967" ca="1">INDIRECT("Data!A" &amp; 962)</f>
        <v>0</v>
      </c>
      <c r="H967" s="21" cm="1">
        <f t="array" aca="1" ref="H967" ca="1">INDIRECT("Data!B" &amp; 962)</f>
        <v>0</v>
      </c>
      <c r="I967" s="21" cm="1">
        <f t="array" aca="1" ref="I967" ca="1">INDIRECT("Data!C" &amp; 962)</f>
        <v>0</v>
      </c>
      <c r="J967" cm="1">
        <f t="array" aca="1" ref="J967" ca="1">INDIRECT("Data!D" &amp; 962)</f>
        <v>0</v>
      </c>
      <c r="K967" cm="1">
        <f t="array" aca="1" ref="K967" ca="1">INDIRECT("Data!E" &amp; 962)</f>
        <v>0</v>
      </c>
      <c r="L967" cm="1">
        <f t="array" aca="1" ref="L967" ca="1">INDIRECT("Data!F" &amp; 962)</f>
        <v>0</v>
      </c>
      <c r="M967" cm="1">
        <f t="array" aca="1" ref="M967" ca="1">INDIRECT("Data!G" &amp; 962)</f>
        <v>0</v>
      </c>
      <c r="N967" cm="1">
        <f t="array" aca="1" ref="N967" ca="1">INDIRECT("Data!H" &amp; 962)</f>
        <v>0</v>
      </c>
      <c r="O967" cm="1">
        <f t="array" aca="1" ref="O967" ca="1">INDIRECT("Data!I" &amp; 962)</f>
        <v>0</v>
      </c>
      <c r="P967" s="21" cm="1">
        <f t="array" aca="1" ref="P967" ca="1">INDIRECT("Data!J" &amp; 962)</f>
        <v>0</v>
      </c>
      <c r="Q967" cm="1">
        <f t="array" aca="1" ref="Q967" ca="1">INDIRECT("Data!K" &amp; 962)</f>
        <v>0</v>
      </c>
      <c r="R967" cm="1">
        <f t="array" aca="1" ref="R967" ca="1">INDIRECT("Data!L" &amp; 962)</f>
        <v>0</v>
      </c>
      <c r="S967" cm="1">
        <f t="array" aca="1" ref="S967" ca="1">INDIRECT("Data!M" &amp; 962)</f>
        <v>0</v>
      </c>
      <c r="T967" cm="1">
        <f t="array" aca="1" ref="T967" ca="1">INDIRECT("Data!N" &amp; 962)</f>
        <v>0</v>
      </c>
      <c r="U967" cm="1">
        <f t="array" aca="1" ref="U967" ca="1">INDIRECT("Data!O" &amp; 962)</f>
        <v>0</v>
      </c>
      <c r="V967" cm="1">
        <f t="array" aca="1" ref="V967" ca="1">INDIRECT("Data!P" &amp; 962)</f>
        <v>0</v>
      </c>
    </row>
    <row r="968" spans="7:22" x14ac:dyDescent="0.25">
      <c r="G968" cm="1">
        <f t="array" aca="1" ref="G968" ca="1">INDIRECT("Data!A" &amp; 963)</f>
        <v>0</v>
      </c>
      <c r="H968" s="21" cm="1">
        <f t="array" aca="1" ref="H968" ca="1">INDIRECT("Data!B" &amp; 963)</f>
        <v>0</v>
      </c>
      <c r="I968" s="21" cm="1">
        <f t="array" aca="1" ref="I968" ca="1">INDIRECT("Data!C" &amp; 963)</f>
        <v>0</v>
      </c>
      <c r="J968" cm="1">
        <f t="array" aca="1" ref="J968" ca="1">INDIRECT("Data!D" &amp; 963)</f>
        <v>0</v>
      </c>
      <c r="K968" cm="1">
        <f t="array" aca="1" ref="K968" ca="1">INDIRECT("Data!E" &amp; 963)</f>
        <v>0</v>
      </c>
      <c r="L968" cm="1">
        <f t="array" aca="1" ref="L968" ca="1">INDIRECT("Data!F" &amp; 963)</f>
        <v>0</v>
      </c>
      <c r="M968" cm="1">
        <f t="array" aca="1" ref="M968" ca="1">INDIRECT("Data!G" &amp; 963)</f>
        <v>0</v>
      </c>
      <c r="N968" cm="1">
        <f t="array" aca="1" ref="N968" ca="1">INDIRECT("Data!H" &amp; 963)</f>
        <v>0</v>
      </c>
      <c r="O968" cm="1">
        <f t="array" aca="1" ref="O968" ca="1">INDIRECT("Data!I" &amp; 963)</f>
        <v>0</v>
      </c>
      <c r="P968" s="21" cm="1">
        <f t="array" aca="1" ref="P968" ca="1">INDIRECT("Data!J" &amp; 963)</f>
        <v>0</v>
      </c>
      <c r="Q968" cm="1">
        <f t="array" aca="1" ref="Q968" ca="1">INDIRECT("Data!K" &amp; 963)</f>
        <v>0</v>
      </c>
      <c r="R968" cm="1">
        <f t="array" aca="1" ref="R968" ca="1">INDIRECT("Data!L" &amp; 963)</f>
        <v>0</v>
      </c>
      <c r="S968" cm="1">
        <f t="array" aca="1" ref="S968" ca="1">INDIRECT("Data!M" &amp; 963)</f>
        <v>0</v>
      </c>
      <c r="T968" cm="1">
        <f t="array" aca="1" ref="T968" ca="1">INDIRECT("Data!N" &amp; 963)</f>
        <v>0</v>
      </c>
      <c r="U968" cm="1">
        <f t="array" aca="1" ref="U968" ca="1">INDIRECT("Data!O" &amp; 963)</f>
        <v>0</v>
      </c>
      <c r="V968" cm="1">
        <f t="array" aca="1" ref="V968" ca="1">INDIRECT("Data!P" &amp; 963)</f>
        <v>0</v>
      </c>
    </row>
    <row r="969" spans="7:22" x14ac:dyDescent="0.25">
      <c r="G969" cm="1">
        <f t="array" aca="1" ref="G969" ca="1">INDIRECT("Data!A" &amp; 964)</f>
        <v>0</v>
      </c>
      <c r="H969" s="21" cm="1">
        <f t="array" aca="1" ref="H969" ca="1">INDIRECT("Data!B" &amp; 964)</f>
        <v>0</v>
      </c>
      <c r="I969" s="21" cm="1">
        <f t="array" aca="1" ref="I969" ca="1">INDIRECT("Data!C" &amp; 964)</f>
        <v>0</v>
      </c>
      <c r="J969" cm="1">
        <f t="array" aca="1" ref="J969" ca="1">INDIRECT("Data!D" &amp; 964)</f>
        <v>0</v>
      </c>
      <c r="K969" cm="1">
        <f t="array" aca="1" ref="K969" ca="1">INDIRECT("Data!E" &amp; 964)</f>
        <v>0</v>
      </c>
      <c r="L969" cm="1">
        <f t="array" aca="1" ref="L969" ca="1">INDIRECT("Data!F" &amp; 964)</f>
        <v>0</v>
      </c>
      <c r="M969" cm="1">
        <f t="array" aca="1" ref="M969" ca="1">INDIRECT("Data!G" &amp; 964)</f>
        <v>0</v>
      </c>
      <c r="N969" cm="1">
        <f t="array" aca="1" ref="N969" ca="1">INDIRECT("Data!H" &amp; 964)</f>
        <v>0</v>
      </c>
      <c r="O969" cm="1">
        <f t="array" aca="1" ref="O969" ca="1">INDIRECT("Data!I" &amp; 964)</f>
        <v>0</v>
      </c>
      <c r="P969" s="21" cm="1">
        <f t="array" aca="1" ref="P969" ca="1">INDIRECT("Data!J" &amp; 964)</f>
        <v>0</v>
      </c>
      <c r="Q969" cm="1">
        <f t="array" aca="1" ref="Q969" ca="1">INDIRECT("Data!K" &amp; 964)</f>
        <v>0</v>
      </c>
      <c r="R969" cm="1">
        <f t="array" aca="1" ref="R969" ca="1">INDIRECT("Data!L" &amp; 964)</f>
        <v>0</v>
      </c>
      <c r="S969" cm="1">
        <f t="array" aca="1" ref="S969" ca="1">INDIRECT("Data!M" &amp; 964)</f>
        <v>0</v>
      </c>
      <c r="T969" cm="1">
        <f t="array" aca="1" ref="T969" ca="1">INDIRECT("Data!N" &amp; 964)</f>
        <v>0</v>
      </c>
      <c r="U969" cm="1">
        <f t="array" aca="1" ref="U969" ca="1">INDIRECT("Data!O" &amp; 964)</f>
        <v>0</v>
      </c>
      <c r="V969" cm="1">
        <f t="array" aca="1" ref="V969" ca="1">INDIRECT("Data!P" &amp; 964)</f>
        <v>0</v>
      </c>
    </row>
    <row r="970" spans="7:22" x14ac:dyDescent="0.25">
      <c r="G970" cm="1">
        <f t="array" aca="1" ref="G970" ca="1">INDIRECT("Data!A" &amp; 965)</f>
        <v>0</v>
      </c>
      <c r="H970" s="21" cm="1">
        <f t="array" aca="1" ref="H970" ca="1">INDIRECT("Data!B" &amp; 965)</f>
        <v>0</v>
      </c>
      <c r="I970" s="21" cm="1">
        <f t="array" aca="1" ref="I970" ca="1">INDIRECT("Data!C" &amp; 965)</f>
        <v>0</v>
      </c>
      <c r="J970" cm="1">
        <f t="array" aca="1" ref="J970" ca="1">INDIRECT("Data!D" &amp; 965)</f>
        <v>0</v>
      </c>
      <c r="K970" cm="1">
        <f t="array" aca="1" ref="K970" ca="1">INDIRECT("Data!E" &amp; 965)</f>
        <v>0</v>
      </c>
      <c r="L970" cm="1">
        <f t="array" aca="1" ref="L970" ca="1">INDIRECT("Data!F" &amp; 965)</f>
        <v>0</v>
      </c>
      <c r="M970" cm="1">
        <f t="array" aca="1" ref="M970" ca="1">INDIRECT("Data!G" &amp; 965)</f>
        <v>0</v>
      </c>
      <c r="N970" cm="1">
        <f t="array" aca="1" ref="N970" ca="1">INDIRECT("Data!H" &amp; 965)</f>
        <v>0</v>
      </c>
      <c r="O970" cm="1">
        <f t="array" aca="1" ref="O970" ca="1">INDIRECT("Data!I" &amp; 965)</f>
        <v>0</v>
      </c>
      <c r="P970" s="21" cm="1">
        <f t="array" aca="1" ref="P970" ca="1">INDIRECT("Data!J" &amp; 965)</f>
        <v>0</v>
      </c>
      <c r="Q970" cm="1">
        <f t="array" aca="1" ref="Q970" ca="1">INDIRECT("Data!K" &amp; 965)</f>
        <v>0</v>
      </c>
      <c r="R970" cm="1">
        <f t="array" aca="1" ref="R970" ca="1">INDIRECT("Data!L" &amp; 965)</f>
        <v>0</v>
      </c>
      <c r="S970" cm="1">
        <f t="array" aca="1" ref="S970" ca="1">INDIRECT("Data!M" &amp; 965)</f>
        <v>0</v>
      </c>
      <c r="T970" cm="1">
        <f t="array" aca="1" ref="T970" ca="1">INDIRECT("Data!N" &amp; 965)</f>
        <v>0</v>
      </c>
      <c r="U970" cm="1">
        <f t="array" aca="1" ref="U970" ca="1">INDIRECT("Data!O" &amp; 965)</f>
        <v>0</v>
      </c>
      <c r="V970" cm="1">
        <f t="array" aca="1" ref="V970" ca="1">INDIRECT("Data!P" &amp; 965)</f>
        <v>0</v>
      </c>
    </row>
    <row r="971" spans="7:22" x14ac:dyDescent="0.25">
      <c r="G971" cm="1">
        <f t="array" aca="1" ref="G971" ca="1">INDIRECT("Data!A" &amp; 966)</f>
        <v>0</v>
      </c>
      <c r="H971" s="21" cm="1">
        <f t="array" aca="1" ref="H971" ca="1">INDIRECT("Data!B" &amp; 966)</f>
        <v>0</v>
      </c>
      <c r="I971" s="21" cm="1">
        <f t="array" aca="1" ref="I971" ca="1">INDIRECT("Data!C" &amp; 966)</f>
        <v>0</v>
      </c>
      <c r="J971" cm="1">
        <f t="array" aca="1" ref="J971" ca="1">INDIRECT("Data!D" &amp; 966)</f>
        <v>0</v>
      </c>
      <c r="K971" cm="1">
        <f t="array" aca="1" ref="K971" ca="1">INDIRECT("Data!E" &amp; 966)</f>
        <v>0</v>
      </c>
      <c r="L971" cm="1">
        <f t="array" aca="1" ref="L971" ca="1">INDIRECT("Data!F" &amp; 966)</f>
        <v>0</v>
      </c>
      <c r="M971" cm="1">
        <f t="array" aca="1" ref="M971" ca="1">INDIRECT("Data!G" &amp; 966)</f>
        <v>0</v>
      </c>
      <c r="N971" cm="1">
        <f t="array" aca="1" ref="N971" ca="1">INDIRECT("Data!H" &amp; 966)</f>
        <v>0</v>
      </c>
      <c r="O971" cm="1">
        <f t="array" aca="1" ref="O971" ca="1">INDIRECT("Data!I" &amp; 966)</f>
        <v>0</v>
      </c>
      <c r="P971" s="21" cm="1">
        <f t="array" aca="1" ref="P971" ca="1">INDIRECT("Data!J" &amp; 966)</f>
        <v>0</v>
      </c>
      <c r="Q971" cm="1">
        <f t="array" aca="1" ref="Q971" ca="1">INDIRECT("Data!K" &amp; 966)</f>
        <v>0</v>
      </c>
      <c r="R971" cm="1">
        <f t="array" aca="1" ref="R971" ca="1">INDIRECT("Data!L" &amp; 966)</f>
        <v>0</v>
      </c>
      <c r="S971" cm="1">
        <f t="array" aca="1" ref="S971" ca="1">INDIRECT("Data!M" &amp; 966)</f>
        <v>0</v>
      </c>
      <c r="T971" cm="1">
        <f t="array" aca="1" ref="T971" ca="1">INDIRECT("Data!N" &amp; 966)</f>
        <v>0</v>
      </c>
      <c r="U971" cm="1">
        <f t="array" aca="1" ref="U971" ca="1">INDIRECT("Data!O" &amp; 966)</f>
        <v>0</v>
      </c>
      <c r="V971" cm="1">
        <f t="array" aca="1" ref="V971" ca="1">INDIRECT("Data!P" &amp; 966)</f>
        <v>0</v>
      </c>
    </row>
    <row r="972" spans="7:22" x14ac:dyDescent="0.25">
      <c r="G972" cm="1">
        <f t="array" aca="1" ref="G972" ca="1">INDIRECT("Data!A" &amp; 967)</f>
        <v>0</v>
      </c>
      <c r="H972" s="21" cm="1">
        <f t="array" aca="1" ref="H972" ca="1">INDIRECT("Data!B" &amp; 967)</f>
        <v>0</v>
      </c>
      <c r="I972" s="21" cm="1">
        <f t="array" aca="1" ref="I972" ca="1">INDIRECT("Data!C" &amp; 967)</f>
        <v>0</v>
      </c>
      <c r="J972" cm="1">
        <f t="array" aca="1" ref="J972" ca="1">INDIRECT("Data!D" &amp; 967)</f>
        <v>0</v>
      </c>
      <c r="K972" cm="1">
        <f t="array" aca="1" ref="K972" ca="1">INDIRECT("Data!E" &amp; 967)</f>
        <v>0</v>
      </c>
      <c r="L972" cm="1">
        <f t="array" aca="1" ref="L972" ca="1">INDIRECT("Data!F" &amp; 967)</f>
        <v>0</v>
      </c>
      <c r="M972" cm="1">
        <f t="array" aca="1" ref="M972" ca="1">INDIRECT("Data!G" &amp; 967)</f>
        <v>0</v>
      </c>
      <c r="N972" cm="1">
        <f t="array" aca="1" ref="N972" ca="1">INDIRECT("Data!H" &amp; 967)</f>
        <v>0</v>
      </c>
      <c r="O972" cm="1">
        <f t="array" aca="1" ref="O972" ca="1">INDIRECT("Data!I" &amp; 967)</f>
        <v>0</v>
      </c>
      <c r="P972" s="21" cm="1">
        <f t="array" aca="1" ref="P972" ca="1">INDIRECT("Data!J" &amp; 967)</f>
        <v>0</v>
      </c>
      <c r="Q972" cm="1">
        <f t="array" aca="1" ref="Q972" ca="1">INDIRECT("Data!K" &amp; 967)</f>
        <v>0</v>
      </c>
      <c r="R972" cm="1">
        <f t="array" aca="1" ref="R972" ca="1">INDIRECT("Data!L" &amp; 967)</f>
        <v>0</v>
      </c>
      <c r="S972" cm="1">
        <f t="array" aca="1" ref="S972" ca="1">INDIRECT("Data!M" &amp; 967)</f>
        <v>0</v>
      </c>
      <c r="T972" cm="1">
        <f t="array" aca="1" ref="T972" ca="1">INDIRECT("Data!N" &amp; 967)</f>
        <v>0</v>
      </c>
      <c r="U972" cm="1">
        <f t="array" aca="1" ref="U972" ca="1">INDIRECT("Data!O" &amp; 967)</f>
        <v>0</v>
      </c>
      <c r="V972" cm="1">
        <f t="array" aca="1" ref="V972" ca="1">INDIRECT("Data!P" &amp; 967)</f>
        <v>0</v>
      </c>
    </row>
    <row r="973" spans="7:22" x14ac:dyDescent="0.25">
      <c r="G973" cm="1">
        <f t="array" aca="1" ref="G973" ca="1">INDIRECT("Data!A" &amp; 968)</f>
        <v>0</v>
      </c>
      <c r="H973" s="21" cm="1">
        <f t="array" aca="1" ref="H973" ca="1">INDIRECT("Data!B" &amp; 968)</f>
        <v>0</v>
      </c>
      <c r="I973" s="21" cm="1">
        <f t="array" aca="1" ref="I973" ca="1">INDIRECT("Data!C" &amp; 968)</f>
        <v>0</v>
      </c>
      <c r="J973" cm="1">
        <f t="array" aca="1" ref="J973" ca="1">INDIRECT("Data!D" &amp; 968)</f>
        <v>0</v>
      </c>
      <c r="K973" cm="1">
        <f t="array" aca="1" ref="K973" ca="1">INDIRECT("Data!E" &amp; 968)</f>
        <v>0</v>
      </c>
      <c r="L973" cm="1">
        <f t="array" aca="1" ref="L973" ca="1">INDIRECT("Data!F" &amp; 968)</f>
        <v>0</v>
      </c>
      <c r="M973" cm="1">
        <f t="array" aca="1" ref="M973" ca="1">INDIRECT("Data!G" &amp; 968)</f>
        <v>0</v>
      </c>
      <c r="N973" cm="1">
        <f t="array" aca="1" ref="N973" ca="1">INDIRECT("Data!H" &amp; 968)</f>
        <v>0</v>
      </c>
      <c r="O973" cm="1">
        <f t="array" aca="1" ref="O973" ca="1">INDIRECT("Data!I" &amp; 968)</f>
        <v>0</v>
      </c>
      <c r="P973" s="21" cm="1">
        <f t="array" aca="1" ref="P973" ca="1">INDIRECT("Data!J" &amp; 968)</f>
        <v>0</v>
      </c>
      <c r="Q973" cm="1">
        <f t="array" aca="1" ref="Q973" ca="1">INDIRECT("Data!K" &amp; 968)</f>
        <v>0</v>
      </c>
      <c r="R973" cm="1">
        <f t="array" aca="1" ref="R973" ca="1">INDIRECT("Data!L" &amp; 968)</f>
        <v>0</v>
      </c>
      <c r="S973" cm="1">
        <f t="array" aca="1" ref="S973" ca="1">INDIRECT("Data!M" &amp; 968)</f>
        <v>0</v>
      </c>
      <c r="T973" cm="1">
        <f t="array" aca="1" ref="T973" ca="1">INDIRECT("Data!N" &amp; 968)</f>
        <v>0</v>
      </c>
      <c r="U973" cm="1">
        <f t="array" aca="1" ref="U973" ca="1">INDIRECT("Data!O" &amp; 968)</f>
        <v>0</v>
      </c>
      <c r="V973" cm="1">
        <f t="array" aca="1" ref="V973" ca="1">INDIRECT("Data!P" &amp; 968)</f>
        <v>0</v>
      </c>
    </row>
    <row r="974" spans="7:22" x14ac:dyDescent="0.25">
      <c r="G974" cm="1">
        <f t="array" aca="1" ref="G974" ca="1">INDIRECT("Data!A" &amp; 969)</f>
        <v>0</v>
      </c>
      <c r="H974" s="21" cm="1">
        <f t="array" aca="1" ref="H974" ca="1">INDIRECT("Data!B" &amp; 969)</f>
        <v>0</v>
      </c>
      <c r="I974" s="21" cm="1">
        <f t="array" aca="1" ref="I974" ca="1">INDIRECT("Data!C" &amp; 969)</f>
        <v>0</v>
      </c>
      <c r="J974" cm="1">
        <f t="array" aca="1" ref="J974" ca="1">INDIRECT("Data!D" &amp; 969)</f>
        <v>0</v>
      </c>
      <c r="K974" cm="1">
        <f t="array" aca="1" ref="K974" ca="1">INDIRECT("Data!E" &amp; 969)</f>
        <v>0</v>
      </c>
      <c r="L974" cm="1">
        <f t="array" aca="1" ref="L974" ca="1">INDIRECT("Data!F" &amp; 969)</f>
        <v>0</v>
      </c>
      <c r="M974" cm="1">
        <f t="array" aca="1" ref="M974" ca="1">INDIRECT("Data!G" &amp; 969)</f>
        <v>0</v>
      </c>
      <c r="N974" cm="1">
        <f t="array" aca="1" ref="N974" ca="1">INDIRECT("Data!H" &amp; 969)</f>
        <v>0</v>
      </c>
      <c r="O974" cm="1">
        <f t="array" aca="1" ref="O974" ca="1">INDIRECT("Data!I" &amp; 969)</f>
        <v>0</v>
      </c>
      <c r="P974" s="21" cm="1">
        <f t="array" aca="1" ref="P974" ca="1">INDIRECT("Data!J" &amp; 969)</f>
        <v>0</v>
      </c>
      <c r="Q974" cm="1">
        <f t="array" aca="1" ref="Q974" ca="1">INDIRECT("Data!K" &amp; 969)</f>
        <v>0</v>
      </c>
      <c r="R974" cm="1">
        <f t="array" aca="1" ref="R974" ca="1">INDIRECT("Data!L" &amp; 969)</f>
        <v>0</v>
      </c>
      <c r="S974" cm="1">
        <f t="array" aca="1" ref="S974" ca="1">INDIRECT("Data!M" &amp; 969)</f>
        <v>0</v>
      </c>
      <c r="T974" cm="1">
        <f t="array" aca="1" ref="T974" ca="1">INDIRECT("Data!N" &amp; 969)</f>
        <v>0</v>
      </c>
      <c r="U974" cm="1">
        <f t="array" aca="1" ref="U974" ca="1">INDIRECT("Data!O" &amp; 969)</f>
        <v>0</v>
      </c>
      <c r="V974" cm="1">
        <f t="array" aca="1" ref="V974" ca="1">INDIRECT("Data!P" &amp; 969)</f>
        <v>0</v>
      </c>
    </row>
    <row r="975" spans="7:22" x14ac:dyDescent="0.25">
      <c r="G975" cm="1">
        <f t="array" aca="1" ref="G975" ca="1">INDIRECT("Data!A" &amp; 970)</f>
        <v>0</v>
      </c>
      <c r="H975" s="21" cm="1">
        <f t="array" aca="1" ref="H975" ca="1">INDIRECT("Data!B" &amp; 970)</f>
        <v>0</v>
      </c>
      <c r="I975" s="21" cm="1">
        <f t="array" aca="1" ref="I975" ca="1">INDIRECT("Data!C" &amp; 970)</f>
        <v>0</v>
      </c>
      <c r="J975" cm="1">
        <f t="array" aca="1" ref="J975" ca="1">INDIRECT("Data!D" &amp; 970)</f>
        <v>0</v>
      </c>
      <c r="K975" cm="1">
        <f t="array" aca="1" ref="K975" ca="1">INDIRECT("Data!E" &amp; 970)</f>
        <v>0</v>
      </c>
      <c r="L975" cm="1">
        <f t="array" aca="1" ref="L975" ca="1">INDIRECT("Data!F" &amp; 970)</f>
        <v>0</v>
      </c>
      <c r="M975" cm="1">
        <f t="array" aca="1" ref="M975" ca="1">INDIRECT("Data!G" &amp; 970)</f>
        <v>0</v>
      </c>
      <c r="N975" cm="1">
        <f t="array" aca="1" ref="N975" ca="1">INDIRECT("Data!H" &amp; 970)</f>
        <v>0</v>
      </c>
      <c r="O975" cm="1">
        <f t="array" aca="1" ref="O975" ca="1">INDIRECT("Data!I" &amp; 970)</f>
        <v>0</v>
      </c>
      <c r="P975" s="21" cm="1">
        <f t="array" aca="1" ref="P975" ca="1">INDIRECT("Data!J" &amp; 970)</f>
        <v>0</v>
      </c>
      <c r="Q975" cm="1">
        <f t="array" aca="1" ref="Q975" ca="1">INDIRECT("Data!K" &amp; 970)</f>
        <v>0</v>
      </c>
      <c r="R975" cm="1">
        <f t="array" aca="1" ref="R975" ca="1">INDIRECT("Data!L" &amp; 970)</f>
        <v>0</v>
      </c>
      <c r="S975" cm="1">
        <f t="array" aca="1" ref="S975" ca="1">INDIRECT("Data!M" &amp; 970)</f>
        <v>0</v>
      </c>
      <c r="T975" cm="1">
        <f t="array" aca="1" ref="T975" ca="1">INDIRECT("Data!N" &amp; 970)</f>
        <v>0</v>
      </c>
      <c r="U975" cm="1">
        <f t="array" aca="1" ref="U975" ca="1">INDIRECT("Data!O" &amp; 970)</f>
        <v>0</v>
      </c>
      <c r="V975" cm="1">
        <f t="array" aca="1" ref="V975" ca="1">INDIRECT("Data!P" &amp; 970)</f>
        <v>0</v>
      </c>
    </row>
    <row r="976" spans="7:22" x14ac:dyDescent="0.25">
      <c r="G976" cm="1">
        <f t="array" aca="1" ref="G976" ca="1">INDIRECT("Data!A" &amp; 971)</f>
        <v>0</v>
      </c>
      <c r="H976" s="21" cm="1">
        <f t="array" aca="1" ref="H976" ca="1">INDIRECT("Data!B" &amp; 971)</f>
        <v>0</v>
      </c>
      <c r="I976" s="21" cm="1">
        <f t="array" aca="1" ref="I976" ca="1">INDIRECT("Data!C" &amp; 971)</f>
        <v>0</v>
      </c>
      <c r="J976" cm="1">
        <f t="array" aca="1" ref="J976" ca="1">INDIRECT("Data!D" &amp; 971)</f>
        <v>0</v>
      </c>
      <c r="K976" cm="1">
        <f t="array" aca="1" ref="K976" ca="1">INDIRECT("Data!E" &amp; 971)</f>
        <v>0</v>
      </c>
      <c r="L976" cm="1">
        <f t="array" aca="1" ref="L976" ca="1">INDIRECT("Data!F" &amp; 971)</f>
        <v>0</v>
      </c>
      <c r="M976" cm="1">
        <f t="array" aca="1" ref="M976" ca="1">INDIRECT("Data!G" &amp; 971)</f>
        <v>0</v>
      </c>
      <c r="N976" cm="1">
        <f t="array" aca="1" ref="N976" ca="1">INDIRECT("Data!H" &amp; 971)</f>
        <v>0</v>
      </c>
      <c r="O976" cm="1">
        <f t="array" aca="1" ref="O976" ca="1">INDIRECT("Data!I" &amp; 971)</f>
        <v>0</v>
      </c>
      <c r="P976" s="21" cm="1">
        <f t="array" aca="1" ref="P976" ca="1">INDIRECT("Data!J" &amp; 971)</f>
        <v>0</v>
      </c>
      <c r="Q976" cm="1">
        <f t="array" aca="1" ref="Q976" ca="1">INDIRECT("Data!K" &amp; 971)</f>
        <v>0</v>
      </c>
      <c r="R976" cm="1">
        <f t="array" aca="1" ref="R976" ca="1">INDIRECT("Data!L" &amp; 971)</f>
        <v>0</v>
      </c>
      <c r="S976" cm="1">
        <f t="array" aca="1" ref="S976" ca="1">INDIRECT("Data!M" &amp; 971)</f>
        <v>0</v>
      </c>
      <c r="T976" cm="1">
        <f t="array" aca="1" ref="T976" ca="1">INDIRECT("Data!N" &amp; 971)</f>
        <v>0</v>
      </c>
      <c r="U976" cm="1">
        <f t="array" aca="1" ref="U976" ca="1">INDIRECT("Data!O" &amp; 971)</f>
        <v>0</v>
      </c>
      <c r="V976" cm="1">
        <f t="array" aca="1" ref="V976" ca="1">INDIRECT("Data!P" &amp; 971)</f>
        <v>0</v>
      </c>
    </row>
    <row r="977" spans="7:22" x14ac:dyDescent="0.25">
      <c r="G977" cm="1">
        <f t="array" aca="1" ref="G977" ca="1">INDIRECT("Data!A" &amp; 972)</f>
        <v>0</v>
      </c>
      <c r="H977" s="21" cm="1">
        <f t="array" aca="1" ref="H977" ca="1">INDIRECT("Data!B" &amp; 972)</f>
        <v>0</v>
      </c>
      <c r="I977" s="21" cm="1">
        <f t="array" aca="1" ref="I977" ca="1">INDIRECT("Data!C" &amp; 972)</f>
        <v>0</v>
      </c>
      <c r="J977" cm="1">
        <f t="array" aca="1" ref="J977" ca="1">INDIRECT("Data!D" &amp; 972)</f>
        <v>0</v>
      </c>
      <c r="K977" cm="1">
        <f t="array" aca="1" ref="K977" ca="1">INDIRECT("Data!E" &amp; 972)</f>
        <v>0</v>
      </c>
      <c r="L977" cm="1">
        <f t="array" aca="1" ref="L977" ca="1">INDIRECT("Data!F" &amp; 972)</f>
        <v>0</v>
      </c>
      <c r="M977" cm="1">
        <f t="array" aca="1" ref="M977" ca="1">INDIRECT("Data!G" &amp; 972)</f>
        <v>0</v>
      </c>
      <c r="N977" cm="1">
        <f t="array" aca="1" ref="N977" ca="1">INDIRECT("Data!H" &amp; 972)</f>
        <v>0</v>
      </c>
      <c r="O977" cm="1">
        <f t="array" aca="1" ref="O977" ca="1">INDIRECT("Data!I" &amp; 972)</f>
        <v>0</v>
      </c>
      <c r="P977" s="21" cm="1">
        <f t="array" aca="1" ref="P977" ca="1">INDIRECT("Data!J" &amp; 972)</f>
        <v>0</v>
      </c>
      <c r="Q977" cm="1">
        <f t="array" aca="1" ref="Q977" ca="1">INDIRECT("Data!K" &amp; 972)</f>
        <v>0</v>
      </c>
      <c r="R977" cm="1">
        <f t="array" aca="1" ref="R977" ca="1">INDIRECT("Data!L" &amp; 972)</f>
        <v>0</v>
      </c>
      <c r="S977" cm="1">
        <f t="array" aca="1" ref="S977" ca="1">INDIRECT("Data!M" &amp; 972)</f>
        <v>0</v>
      </c>
      <c r="T977" cm="1">
        <f t="array" aca="1" ref="T977" ca="1">INDIRECT("Data!N" &amp; 972)</f>
        <v>0</v>
      </c>
      <c r="U977" cm="1">
        <f t="array" aca="1" ref="U977" ca="1">INDIRECT("Data!O" &amp; 972)</f>
        <v>0</v>
      </c>
      <c r="V977" cm="1">
        <f t="array" aca="1" ref="V977" ca="1">INDIRECT("Data!P" &amp; 972)</f>
        <v>0</v>
      </c>
    </row>
    <row r="978" spans="7:22" x14ac:dyDescent="0.25">
      <c r="G978" cm="1">
        <f t="array" aca="1" ref="G978" ca="1">INDIRECT("Data!A" &amp; 973)</f>
        <v>0</v>
      </c>
      <c r="H978" s="21" cm="1">
        <f t="array" aca="1" ref="H978" ca="1">INDIRECT("Data!B" &amp; 973)</f>
        <v>0</v>
      </c>
      <c r="I978" s="21" cm="1">
        <f t="array" aca="1" ref="I978" ca="1">INDIRECT("Data!C" &amp; 973)</f>
        <v>0</v>
      </c>
      <c r="J978" cm="1">
        <f t="array" aca="1" ref="J978" ca="1">INDIRECT("Data!D" &amp; 973)</f>
        <v>0</v>
      </c>
      <c r="K978" cm="1">
        <f t="array" aca="1" ref="K978" ca="1">INDIRECT("Data!E" &amp; 973)</f>
        <v>0</v>
      </c>
      <c r="L978" cm="1">
        <f t="array" aca="1" ref="L978" ca="1">INDIRECT("Data!F" &amp; 973)</f>
        <v>0</v>
      </c>
      <c r="M978" cm="1">
        <f t="array" aca="1" ref="M978" ca="1">INDIRECT("Data!G" &amp; 973)</f>
        <v>0</v>
      </c>
      <c r="N978" cm="1">
        <f t="array" aca="1" ref="N978" ca="1">INDIRECT("Data!H" &amp; 973)</f>
        <v>0</v>
      </c>
      <c r="O978" cm="1">
        <f t="array" aca="1" ref="O978" ca="1">INDIRECT("Data!I" &amp; 973)</f>
        <v>0</v>
      </c>
      <c r="P978" s="21" cm="1">
        <f t="array" aca="1" ref="P978" ca="1">INDIRECT("Data!J" &amp; 973)</f>
        <v>0</v>
      </c>
      <c r="Q978" cm="1">
        <f t="array" aca="1" ref="Q978" ca="1">INDIRECT("Data!K" &amp; 973)</f>
        <v>0</v>
      </c>
      <c r="R978" cm="1">
        <f t="array" aca="1" ref="R978" ca="1">INDIRECT("Data!L" &amp; 973)</f>
        <v>0</v>
      </c>
      <c r="S978" cm="1">
        <f t="array" aca="1" ref="S978" ca="1">INDIRECT("Data!M" &amp; 973)</f>
        <v>0</v>
      </c>
      <c r="T978" cm="1">
        <f t="array" aca="1" ref="T978" ca="1">INDIRECT("Data!N" &amp; 973)</f>
        <v>0</v>
      </c>
      <c r="U978" cm="1">
        <f t="array" aca="1" ref="U978" ca="1">INDIRECT("Data!O" &amp; 973)</f>
        <v>0</v>
      </c>
      <c r="V978" cm="1">
        <f t="array" aca="1" ref="V978" ca="1">INDIRECT("Data!P" &amp; 973)</f>
        <v>0</v>
      </c>
    </row>
    <row r="979" spans="7:22" x14ac:dyDescent="0.25">
      <c r="G979" cm="1">
        <f t="array" aca="1" ref="G979" ca="1">INDIRECT("Data!A" &amp; 974)</f>
        <v>0</v>
      </c>
      <c r="H979" s="21" cm="1">
        <f t="array" aca="1" ref="H979" ca="1">INDIRECT("Data!B" &amp; 974)</f>
        <v>0</v>
      </c>
      <c r="I979" s="21" cm="1">
        <f t="array" aca="1" ref="I979" ca="1">INDIRECT("Data!C" &amp; 974)</f>
        <v>0</v>
      </c>
      <c r="J979" cm="1">
        <f t="array" aca="1" ref="J979" ca="1">INDIRECT("Data!D" &amp; 974)</f>
        <v>0</v>
      </c>
      <c r="K979" cm="1">
        <f t="array" aca="1" ref="K979" ca="1">INDIRECT("Data!E" &amp; 974)</f>
        <v>0</v>
      </c>
      <c r="L979" cm="1">
        <f t="array" aca="1" ref="L979" ca="1">INDIRECT("Data!F" &amp; 974)</f>
        <v>0</v>
      </c>
      <c r="M979" cm="1">
        <f t="array" aca="1" ref="M979" ca="1">INDIRECT("Data!G" &amp; 974)</f>
        <v>0</v>
      </c>
      <c r="N979" cm="1">
        <f t="array" aca="1" ref="N979" ca="1">INDIRECT("Data!H" &amp; 974)</f>
        <v>0</v>
      </c>
      <c r="O979" cm="1">
        <f t="array" aca="1" ref="O979" ca="1">INDIRECT("Data!I" &amp; 974)</f>
        <v>0</v>
      </c>
      <c r="P979" s="21" cm="1">
        <f t="array" aca="1" ref="P979" ca="1">INDIRECT("Data!J" &amp; 974)</f>
        <v>0</v>
      </c>
      <c r="Q979" cm="1">
        <f t="array" aca="1" ref="Q979" ca="1">INDIRECT("Data!K" &amp; 974)</f>
        <v>0</v>
      </c>
      <c r="R979" cm="1">
        <f t="array" aca="1" ref="R979" ca="1">INDIRECT("Data!L" &amp; 974)</f>
        <v>0</v>
      </c>
      <c r="S979" cm="1">
        <f t="array" aca="1" ref="S979" ca="1">INDIRECT("Data!M" &amp; 974)</f>
        <v>0</v>
      </c>
      <c r="T979" cm="1">
        <f t="array" aca="1" ref="T979" ca="1">INDIRECT("Data!N" &amp; 974)</f>
        <v>0</v>
      </c>
      <c r="U979" cm="1">
        <f t="array" aca="1" ref="U979" ca="1">INDIRECT("Data!O" &amp; 974)</f>
        <v>0</v>
      </c>
      <c r="V979" cm="1">
        <f t="array" aca="1" ref="V979" ca="1">INDIRECT("Data!P" &amp; 974)</f>
        <v>0</v>
      </c>
    </row>
    <row r="980" spans="7:22" x14ac:dyDescent="0.25">
      <c r="G980" cm="1">
        <f t="array" aca="1" ref="G980" ca="1">INDIRECT("Data!A" &amp; 975)</f>
        <v>0</v>
      </c>
      <c r="H980" s="21" cm="1">
        <f t="array" aca="1" ref="H980" ca="1">INDIRECT("Data!B" &amp; 975)</f>
        <v>0</v>
      </c>
      <c r="I980" s="21" cm="1">
        <f t="array" aca="1" ref="I980" ca="1">INDIRECT("Data!C" &amp; 975)</f>
        <v>0</v>
      </c>
      <c r="J980" cm="1">
        <f t="array" aca="1" ref="J980" ca="1">INDIRECT("Data!D" &amp; 975)</f>
        <v>0</v>
      </c>
      <c r="K980" cm="1">
        <f t="array" aca="1" ref="K980" ca="1">INDIRECT("Data!E" &amp; 975)</f>
        <v>0</v>
      </c>
      <c r="L980" cm="1">
        <f t="array" aca="1" ref="L980" ca="1">INDIRECT("Data!F" &amp; 975)</f>
        <v>0</v>
      </c>
      <c r="M980" cm="1">
        <f t="array" aca="1" ref="M980" ca="1">INDIRECT("Data!G" &amp; 975)</f>
        <v>0</v>
      </c>
      <c r="N980" cm="1">
        <f t="array" aca="1" ref="N980" ca="1">INDIRECT("Data!H" &amp; 975)</f>
        <v>0</v>
      </c>
      <c r="O980" cm="1">
        <f t="array" aca="1" ref="O980" ca="1">INDIRECT("Data!I" &amp; 975)</f>
        <v>0</v>
      </c>
      <c r="P980" s="21" cm="1">
        <f t="array" aca="1" ref="P980" ca="1">INDIRECT("Data!J" &amp; 975)</f>
        <v>0</v>
      </c>
      <c r="Q980" cm="1">
        <f t="array" aca="1" ref="Q980" ca="1">INDIRECT("Data!K" &amp; 975)</f>
        <v>0</v>
      </c>
      <c r="R980" cm="1">
        <f t="array" aca="1" ref="R980" ca="1">INDIRECT("Data!L" &amp; 975)</f>
        <v>0</v>
      </c>
      <c r="S980" cm="1">
        <f t="array" aca="1" ref="S980" ca="1">INDIRECT("Data!M" &amp; 975)</f>
        <v>0</v>
      </c>
      <c r="T980" cm="1">
        <f t="array" aca="1" ref="T980" ca="1">INDIRECT("Data!N" &amp; 975)</f>
        <v>0</v>
      </c>
      <c r="U980" cm="1">
        <f t="array" aca="1" ref="U980" ca="1">INDIRECT("Data!O" &amp; 975)</f>
        <v>0</v>
      </c>
      <c r="V980" cm="1">
        <f t="array" aca="1" ref="V980" ca="1">INDIRECT("Data!P" &amp; 975)</f>
        <v>0</v>
      </c>
    </row>
    <row r="981" spans="7:22" x14ac:dyDescent="0.25">
      <c r="G981" cm="1">
        <f t="array" aca="1" ref="G981" ca="1">INDIRECT("Data!A" &amp; 976)</f>
        <v>0</v>
      </c>
      <c r="H981" s="21" cm="1">
        <f t="array" aca="1" ref="H981" ca="1">INDIRECT("Data!B" &amp; 976)</f>
        <v>0</v>
      </c>
      <c r="I981" s="21" cm="1">
        <f t="array" aca="1" ref="I981" ca="1">INDIRECT("Data!C" &amp; 976)</f>
        <v>0</v>
      </c>
      <c r="J981" cm="1">
        <f t="array" aca="1" ref="J981" ca="1">INDIRECT("Data!D" &amp; 976)</f>
        <v>0</v>
      </c>
      <c r="K981" cm="1">
        <f t="array" aca="1" ref="K981" ca="1">INDIRECT("Data!E" &amp; 976)</f>
        <v>0</v>
      </c>
      <c r="L981" cm="1">
        <f t="array" aca="1" ref="L981" ca="1">INDIRECT("Data!F" &amp; 976)</f>
        <v>0</v>
      </c>
      <c r="M981" cm="1">
        <f t="array" aca="1" ref="M981" ca="1">INDIRECT("Data!G" &amp; 976)</f>
        <v>0</v>
      </c>
      <c r="N981" cm="1">
        <f t="array" aca="1" ref="N981" ca="1">INDIRECT("Data!H" &amp; 976)</f>
        <v>0</v>
      </c>
      <c r="O981" cm="1">
        <f t="array" aca="1" ref="O981" ca="1">INDIRECT("Data!I" &amp; 976)</f>
        <v>0</v>
      </c>
      <c r="P981" s="21" cm="1">
        <f t="array" aca="1" ref="P981" ca="1">INDIRECT("Data!J" &amp; 976)</f>
        <v>0</v>
      </c>
      <c r="Q981" cm="1">
        <f t="array" aca="1" ref="Q981" ca="1">INDIRECT("Data!K" &amp; 976)</f>
        <v>0</v>
      </c>
      <c r="R981" cm="1">
        <f t="array" aca="1" ref="R981" ca="1">INDIRECT("Data!L" &amp; 976)</f>
        <v>0</v>
      </c>
      <c r="S981" cm="1">
        <f t="array" aca="1" ref="S981" ca="1">INDIRECT("Data!M" &amp; 976)</f>
        <v>0</v>
      </c>
      <c r="T981" cm="1">
        <f t="array" aca="1" ref="T981" ca="1">INDIRECT("Data!N" &amp; 976)</f>
        <v>0</v>
      </c>
      <c r="U981" cm="1">
        <f t="array" aca="1" ref="U981" ca="1">INDIRECT("Data!O" &amp; 976)</f>
        <v>0</v>
      </c>
      <c r="V981" cm="1">
        <f t="array" aca="1" ref="V981" ca="1">INDIRECT("Data!P" &amp; 976)</f>
        <v>0</v>
      </c>
    </row>
    <row r="982" spans="7:22" x14ac:dyDescent="0.25">
      <c r="G982" cm="1">
        <f t="array" aca="1" ref="G982" ca="1">INDIRECT("Data!A" &amp; 977)</f>
        <v>0</v>
      </c>
      <c r="H982" s="21" cm="1">
        <f t="array" aca="1" ref="H982" ca="1">INDIRECT("Data!B" &amp; 977)</f>
        <v>0</v>
      </c>
      <c r="I982" s="21" cm="1">
        <f t="array" aca="1" ref="I982" ca="1">INDIRECT("Data!C" &amp; 977)</f>
        <v>0</v>
      </c>
      <c r="J982" cm="1">
        <f t="array" aca="1" ref="J982" ca="1">INDIRECT("Data!D" &amp; 977)</f>
        <v>0</v>
      </c>
      <c r="K982" cm="1">
        <f t="array" aca="1" ref="K982" ca="1">INDIRECT("Data!E" &amp; 977)</f>
        <v>0</v>
      </c>
      <c r="L982" cm="1">
        <f t="array" aca="1" ref="L982" ca="1">INDIRECT("Data!F" &amp; 977)</f>
        <v>0</v>
      </c>
      <c r="M982" cm="1">
        <f t="array" aca="1" ref="M982" ca="1">INDIRECT("Data!G" &amp; 977)</f>
        <v>0</v>
      </c>
      <c r="N982" cm="1">
        <f t="array" aca="1" ref="N982" ca="1">INDIRECT("Data!H" &amp; 977)</f>
        <v>0</v>
      </c>
      <c r="O982" cm="1">
        <f t="array" aca="1" ref="O982" ca="1">INDIRECT("Data!I" &amp; 977)</f>
        <v>0</v>
      </c>
      <c r="P982" s="21" cm="1">
        <f t="array" aca="1" ref="P982" ca="1">INDIRECT("Data!J" &amp; 977)</f>
        <v>0</v>
      </c>
      <c r="Q982" cm="1">
        <f t="array" aca="1" ref="Q982" ca="1">INDIRECT("Data!K" &amp; 977)</f>
        <v>0</v>
      </c>
      <c r="R982" cm="1">
        <f t="array" aca="1" ref="R982" ca="1">INDIRECT("Data!L" &amp; 977)</f>
        <v>0</v>
      </c>
      <c r="S982" cm="1">
        <f t="array" aca="1" ref="S982" ca="1">INDIRECT("Data!M" &amp; 977)</f>
        <v>0</v>
      </c>
      <c r="T982" cm="1">
        <f t="array" aca="1" ref="T982" ca="1">INDIRECT("Data!N" &amp; 977)</f>
        <v>0</v>
      </c>
      <c r="U982" cm="1">
        <f t="array" aca="1" ref="U982" ca="1">INDIRECT("Data!O" &amp; 977)</f>
        <v>0</v>
      </c>
      <c r="V982" cm="1">
        <f t="array" aca="1" ref="V982" ca="1">INDIRECT("Data!P" &amp; 977)</f>
        <v>0</v>
      </c>
    </row>
    <row r="983" spans="7:22" x14ac:dyDescent="0.25">
      <c r="G983" cm="1">
        <f t="array" aca="1" ref="G983" ca="1">INDIRECT("Data!A" &amp; 978)</f>
        <v>0</v>
      </c>
      <c r="H983" s="21" cm="1">
        <f t="array" aca="1" ref="H983" ca="1">INDIRECT("Data!B" &amp; 978)</f>
        <v>0</v>
      </c>
      <c r="I983" s="21" cm="1">
        <f t="array" aca="1" ref="I983" ca="1">INDIRECT("Data!C" &amp; 978)</f>
        <v>0</v>
      </c>
      <c r="J983" cm="1">
        <f t="array" aca="1" ref="J983" ca="1">INDIRECT("Data!D" &amp; 978)</f>
        <v>0</v>
      </c>
      <c r="K983" cm="1">
        <f t="array" aca="1" ref="K983" ca="1">INDIRECT("Data!E" &amp; 978)</f>
        <v>0</v>
      </c>
      <c r="L983" cm="1">
        <f t="array" aca="1" ref="L983" ca="1">INDIRECT("Data!F" &amp; 978)</f>
        <v>0</v>
      </c>
      <c r="M983" cm="1">
        <f t="array" aca="1" ref="M983" ca="1">INDIRECT("Data!G" &amp; 978)</f>
        <v>0</v>
      </c>
      <c r="N983" cm="1">
        <f t="array" aca="1" ref="N983" ca="1">INDIRECT("Data!H" &amp; 978)</f>
        <v>0</v>
      </c>
      <c r="O983" cm="1">
        <f t="array" aca="1" ref="O983" ca="1">INDIRECT("Data!I" &amp; 978)</f>
        <v>0</v>
      </c>
      <c r="P983" s="21" cm="1">
        <f t="array" aca="1" ref="P983" ca="1">INDIRECT("Data!J" &amp; 978)</f>
        <v>0</v>
      </c>
      <c r="Q983" cm="1">
        <f t="array" aca="1" ref="Q983" ca="1">INDIRECT("Data!K" &amp; 978)</f>
        <v>0</v>
      </c>
      <c r="R983" cm="1">
        <f t="array" aca="1" ref="R983" ca="1">INDIRECT("Data!L" &amp; 978)</f>
        <v>0</v>
      </c>
      <c r="S983" cm="1">
        <f t="array" aca="1" ref="S983" ca="1">INDIRECT("Data!M" &amp; 978)</f>
        <v>0</v>
      </c>
      <c r="T983" cm="1">
        <f t="array" aca="1" ref="T983" ca="1">INDIRECT("Data!N" &amp; 978)</f>
        <v>0</v>
      </c>
      <c r="U983" cm="1">
        <f t="array" aca="1" ref="U983" ca="1">INDIRECT("Data!O" &amp; 978)</f>
        <v>0</v>
      </c>
      <c r="V983" cm="1">
        <f t="array" aca="1" ref="V983" ca="1">INDIRECT("Data!P" &amp; 978)</f>
        <v>0</v>
      </c>
    </row>
    <row r="984" spans="7:22" x14ac:dyDescent="0.25">
      <c r="G984" cm="1">
        <f t="array" aca="1" ref="G984" ca="1">INDIRECT("Data!A" &amp; 979)</f>
        <v>0</v>
      </c>
      <c r="H984" s="21" cm="1">
        <f t="array" aca="1" ref="H984" ca="1">INDIRECT("Data!B" &amp; 979)</f>
        <v>0</v>
      </c>
      <c r="I984" s="21" cm="1">
        <f t="array" aca="1" ref="I984" ca="1">INDIRECT("Data!C" &amp; 979)</f>
        <v>0</v>
      </c>
      <c r="J984" cm="1">
        <f t="array" aca="1" ref="J984" ca="1">INDIRECT("Data!D" &amp; 979)</f>
        <v>0</v>
      </c>
      <c r="K984" cm="1">
        <f t="array" aca="1" ref="K984" ca="1">INDIRECT("Data!E" &amp; 979)</f>
        <v>0</v>
      </c>
      <c r="L984" cm="1">
        <f t="array" aca="1" ref="L984" ca="1">INDIRECT("Data!F" &amp; 979)</f>
        <v>0</v>
      </c>
      <c r="M984" cm="1">
        <f t="array" aca="1" ref="M984" ca="1">INDIRECT("Data!G" &amp; 979)</f>
        <v>0</v>
      </c>
      <c r="N984" cm="1">
        <f t="array" aca="1" ref="N984" ca="1">INDIRECT("Data!H" &amp; 979)</f>
        <v>0</v>
      </c>
      <c r="O984" cm="1">
        <f t="array" aca="1" ref="O984" ca="1">INDIRECT("Data!I" &amp; 979)</f>
        <v>0</v>
      </c>
      <c r="P984" s="21" cm="1">
        <f t="array" aca="1" ref="P984" ca="1">INDIRECT("Data!J" &amp; 979)</f>
        <v>0</v>
      </c>
      <c r="Q984" cm="1">
        <f t="array" aca="1" ref="Q984" ca="1">INDIRECT("Data!K" &amp; 979)</f>
        <v>0</v>
      </c>
      <c r="R984" cm="1">
        <f t="array" aca="1" ref="R984" ca="1">INDIRECT("Data!L" &amp; 979)</f>
        <v>0</v>
      </c>
      <c r="S984" cm="1">
        <f t="array" aca="1" ref="S984" ca="1">INDIRECT("Data!M" &amp; 979)</f>
        <v>0</v>
      </c>
      <c r="T984" cm="1">
        <f t="array" aca="1" ref="T984" ca="1">INDIRECT("Data!N" &amp; 979)</f>
        <v>0</v>
      </c>
      <c r="U984" cm="1">
        <f t="array" aca="1" ref="U984" ca="1">INDIRECT("Data!O" &amp; 979)</f>
        <v>0</v>
      </c>
      <c r="V984" cm="1">
        <f t="array" aca="1" ref="V984" ca="1">INDIRECT("Data!P" &amp; 979)</f>
        <v>0</v>
      </c>
    </row>
    <row r="985" spans="7:22" x14ac:dyDescent="0.25">
      <c r="G985" cm="1">
        <f t="array" aca="1" ref="G985" ca="1">INDIRECT("Data!A" &amp; 980)</f>
        <v>0</v>
      </c>
      <c r="H985" s="21" cm="1">
        <f t="array" aca="1" ref="H985" ca="1">INDIRECT("Data!B" &amp; 980)</f>
        <v>0</v>
      </c>
      <c r="I985" s="21" cm="1">
        <f t="array" aca="1" ref="I985" ca="1">INDIRECT("Data!C" &amp; 980)</f>
        <v>0</v>
      </c>
      <c r="J985" cm="1">
        <f t="array" aca="1" ref="J985" ca="1">INDIRECT("Data!D" &amp; 980)</f>
        <v>0</v>
      </c>
      <c r="K985" cm="1">
        <f t="array" aca="1" ref="K985" ca="1">INDIRECT("Data!E" &amp; 980)</f>
        <v>0</v>
      </c>
      <c r="L985" cm="1">
        <f t="array" aca="1" ref="L985" ca="1">INDIRECT("Data!F" &amp; 980)</f>
        <v>0</v>
      </c>
      <c r="M985" cm="1">
        <f t="array" aca="1" ref="M985" ca="1">INDIRECT("Data!G" &amp; 980)</f>
        <v>0</v>
      </c>
      <c r="N985" cm="1">
        <f t="array" aca="1" ref="N985" ca="1">INDIRECT("Data!H" &amp; 980)</f>
        <v>0</v>
      </c>
      <c r="O985" cm="1">
        <f t="array" aca="1" ref="O985" ca="1">INDIRECT("Data!I" &amp; 980)</f>
        <v>0</v>
      </c>
      <c r="P985" s="21" cm="1">
        <f t="array" aca="1" ref="P985" ca="1">INDIRECT("Data!J" &amp; 980)</f>
        <v>0</v>
      </c>
      <c r="Q985" cm="1">
        <f t="array" aca="1" ref="Q985" ca="1">INDIRECT("Data!K" &amp; 980)</f>
        <v>0</v>
      </c>
      <c r="R985" cm="1">
        <f t="array" aca="1" ref="R985" ca="1">INDIRECT("Data!L" &amp; 980)</f>
        <v>0</v>
      </c>
      <c r="S985" cm="1">
        <f t="array" aca="1" ref="S985" ca="1">INDIRECT("Data!M" &amp; 980)</f>
        <v>0</v>
      </c>
      <c r="T985" cm="1">
        <f t="array" aca="1" ref="T985" ca="1">INDIRECT("Data!N" &amp; 980)</f>
        <v>0</v>
      </c>
      <c r="U985" cm="1">
        <f t="array" aca="1" ref="U985" ca="1">INDIRECT("Data!O" &amp; 980)</f>
        <v>0</v>
      </c>
      <c r="V985" cm="1">
        <f t="array" aca="1" ref="V985" ca="1">INDIRECT("Data!P" &amp; 980)</f>
        <v>0</v>
      </c>
    </row>
    <row r="986" spans="7:22" x14ac:dyDescent="0.25">
      <c r="G986" cm="1">
        <f t="array" aca="1" ref="G986" ca="1">INDIRECT("Data!A" &amp; 981)</f>
        <v>0</v>
      </c>
      <c r="H986" s="21" cm="1">
        <f t="array" aca="1" ref="H986" ca="1">INDIRECT("Data!B" &amp; 981)</f>
        <v>0</v>
      </c>
      <c r="I986" s="21" cm="1">
        <f t="array" aca="1" ref="I986" ca="1">INDIRECT("Data!C" &amp; 981)</f>
        <v>0</v>
      </c>
      <c r="J986" cm="1">
        <f t="array" aca="1" ref="J986" ca="1">INDIRECT("Data!D" &amp; 981)</f>
        <v>0</v>
      </c>
      <c r="K986" cm="1">
        <f t="array" aca="1" ref="K986" ca="1">INDIRECT("Data!E" &amp; 981)</f>
        <v>0</v>
      </c>
      <c r="L986" cm="1">
        <f t="array" aca="1" ref="L986" ca="1">INDIRECT("Data!F" &amp; 981)</f>
        <v>0</v>
      </c>
      <c r="M986" cm="1">
        <f t="array" aca="1" ref="M986" ca="1">INDIRECT("Data!G" &amp; 981)</f>
        <v>0</v>
      </c>
      <c r="N986" cm="1">
        <f t="array" aca="1" ref="N986" ca="1">INDIRECT("Data!H" &amp; 981)</f>
        <v>0</v>
      </c>
      <c r="O986" cm="1">
        <f t="array" aca="1" ref="O986" ca="1">INDIRECT("Data!I" &amp; 981)</f>
        <v>0</v>
      </c>
      <c r="P986" s="21" cm="1">
        <f t="array" aca="1" ref="P986" ca="1">INDIRECT("Data!J" &amp; 981)</f>
        <v>0</v>
      </c>
      <c r="Q986" cm="1">
        <f t="array" aca="1" ref="Q986" ca="1">INDIRECT("Data!K" &amp; 981)</f>
        <v>0</v>
      </c>
      <c r="R986" cm="1">
        <f t="array" aca="1" ref="R986" ca="1">INDIRECT("Data!L" &amp; 981)</f>
        <v>0</v>
      </c>
      <c r="S986" cm="1">
        <f t="array" aca="1" ref="S986" ca="1">INDIRECT("Data!M" &amp; 981)</f>
        <v>0</v>
      </c>
      <c r="T986" cm="1">
        <f t="array" aca="1" ref="T986" ca="1">INDIRECT("Data!N" &amp; 981)</f>
        <v>0</v>
      </c>
      <c r="U986" cm="1">
        <f t="array" aca="1" ref="U986" ca="1">INDIRECT("Data!O" &amp; 981)</f>
        <v>0</v>
      </c>
      <c r="V986" cm="1">
        <f t="array" aca="1" ref="V986" ca="1">INDIRECT("Data!P" &amp; 981)</f>
        <v>0</v>
      </c>
    </row>
    <row r="987" spans="7:22" x14ac:dyDescent="0.25">
      <c r="G987" cm="1">
        <f t="array" aca="1" ref="G987" ca="1">INDIRECT("Data!A" &amp; 982)</f>
        <v>0</v>
      </c>
      <c r="H987" s="21" cm="1">
        <f t="array" aca="1" ref="H987" ca="1">INDIRECT("Data!B" &amp; 982)</f>
        <v>0</v>
      </c>
      <c r="I987" s="21" cm="1">
        <f t="array" aca="1" ref="I987" ca="1">INDIRECT("Data!C" &amp; 982)</f>
        <v>0</v>
      </c>
      <c r="J987" cm="1">
        <f t="array" aca="1" ref="J987" ca="1">INDIRECT("Data!D" &amp; 982)</f>
        <v>0</v>
      </c>
      <c r="K987" cm="1">
        <f t="array" aca="1" ref="K987" ca="1">INDIRECT("Data!E" &amp; 982)</f>
        <v>0</v>
      </c>
      <c r="L987" cm="1">
        <f t="array" aca="1" ref="L987" ca="1">INDIRECT("Data!F" &amp; 982)</f>
        <v>0</v>
      </c>
      <c r="M987" cm="1">
        <f t="array" aca="1" ref="M987" ca="1">INDIRECT("Data!G" &amp; 982)</f>
        <v>0</v>
      </c>
      <c r="N987" cm="1">
        <f t="array" aca="1" ref="N987" ca="1">INDIRECT("Data!H" &amp; 982)</f>
        <v>0</v>
      </c>
      <c r="O987" cm="1">
        <f t="array" aca="1" ref="O987" ca="1">INDIRECT("Data!I" &amp; 982)</f>
        <v>0</v>
      </c>
      <c r="P987" s="21" cm="1">
        <f t="array" aca="1" ref="P987" ca="1">INDIRECT("Data!J" &amp; 982)</f>
        <v>0</v>
      </c>
      <c r="Q987" cm="1">
        <f t="array" aca="1" ref="Q987" ca="1">INDIRECT("Data!K" &amp; 982)</f>
        <v>0</v>
      </c>
      <c r="R987" cm="1">
        <f t="array" aca="1" ref="R987" ca="1">INDIRECT("Data!L" &amp; 982)</f>
        <v>0</v>
      </c>
      <c r="S987" cm="1">
        <f t="array" aca="1" ref="S987" ca="1">INDIRECT("Data!M" &amp; 982)</f>
        <v>0</v>
      </c>
      <c r="T987" cm="1">
        <f t="array" aca="1" ref="T987" ca="1">INDIRECT("Data!N" &amp; 982)</f>
        <v>0</v>
      </c>
      <c r="U987" cm="1">
        <f t="array" aca="1" ref="U987" ca="1">INDIRECT("Data!O" &amp; 982)</f>
        <v>0</v>
      </c>
      <c r="V987" cm="1">
        <f t="array" aca="1" ref="V987" ca="1">INDIRECT("Data!P" &amp; 982)</f>
        <v>0</v>
      </c>
    </row>
    <row r="988" spans="7:22" x14ac:dyDescent="0.25">
      <c r="G988" cm="1">
        <f t="array" aca="1" ref="G988" ca="1">INDIRECT("Data!A" &amp; 983)</f>
        <v>0</v>
      </c>
      <c r="H988" s="21" cm="1">
        <f t="array" aca="1" ref="H988" ca="1">INDIRECT("Data!B" &amp; 983)</f>
        <v>0</v>
      </c>
      <c r="I988" s="21" cm="1">
        <f t="array" aca="1" ref="I988" ca="1">INDIRECT("Data!C" &amp; 983)</f>
        <v>0</v>
      </c>
      <c r="J988" cm="1">
        <f t="array" aca="1" ref="J988" ca="1">INDIRECT("Data!D" &amp; 983)</f>
        <v>0</v>
      </c>
      <c r="K988" cm="1">
        <f t="array" aca="1" ref="K988" ca="1">INDIRECT("Data!E" &amp; 983)</f>
        <v>0</v>
      </c>
      <c r="L988" cm="1">
        <f t="array" aca="1" ref="L988" ca="1">INDIRECT("Data!F" &amp; 983)</f>
        <v>0</v>
      </c>
      <c r="M988" cm="1">
        <f t="array" aca="1" ref="M988" ca="1">INDIRECT("Data!G" &amp; 983)</f>
        <v>0</v>
      </c>
      <c r="N988" cm="1">
        <f t="array" aca="1" ref="N988" ca="1">INDIRECT("Data!H" &amp; 983)</f>
        <v>0</v>
      </c>
      <c r="O988" cm="1">
        <f t="array" aca="1" ref="O988" ca="1">INDIRECT("Data!I" &amp; 983)</f>
        <v>0</v>
      </c>
      <c r="P988" s="21" cm="1">
        <f t="array" aca="1" ref="P988" ca="1">INDIRECT("Data!J" &amp; 983)</f>
        <v>0</v>
      </c>
      <c r="Q988" cm="1">
        <f t="array" aca="1" ref="Q988" ca="1">INDIRECT("Data!K" &amp; 983)</f>
        <v>0</v>
      </c>
      <c r="R988" cm="1">
        <f t="array" aca="1" ref="R988" ca="1">INDIRECT("Data!L" &amp; 983)</f>
        <v>0</v>
      </c>
      <c r="S988" cm="1">
        <f t="array" aca="1" ref="S988" ca="1">INDIRECT("Data!M" &amp; 983)</f>
        <v>0</v>
      </c>
      <c r="T988" cm="1">
        <f t="array" aca="1" ref="T988" ca="1">INDIRECT("Data!N" &amp; 983)</f>
        <v>0</v>
      </c>
      <c r="U988" cm="1">
        <f t="array" aca="1" ref="U988" ca="1">INDIRECT("Data!O" &amp; 983)</f>
        <v>0</v>
      </c>
      <c r="V988" cm="1">
        <f t="array" aca="1" ref="V988" ca="1">INDIRECT("Data!P" &amp; 983)</f>
        <v>0</v>
      </c>
    </row>
    <row r="989" spans="7:22" x14ac:dyDescent="0.25">
      <c r="G989" cm="1">
        <f t="array" aca="1" ref="G989" ca="1">INDIRECT("Data!A" &amp; 984)</f>
        <v>0</v>
      </c>
      <c r="H989" s="21" cm="1">
        <f t="array" aca="1" ref="H989" ca="1">INDIRECT("Data!B" &amp; 984)</f>
        <v>0</v>
      </c>
      <c r="I989" s="21" cm="1">
        <f t="array" aca="1" ref="I989" ca="1">INDIRECT("Data!C" &amp; 984)</f>
        <v>0</v>
      </c>
      <c r="J989" cm="1">
        <f t="array" aca="1" ref="J989" ca="1">INDIRECT("Data!D" &amp; 984)</f>
        <v>0</v>
      </c>
      <c r="K989" cm="1">
        <f t="array" aca="1" ref="K989" ca="1">INDIRECT("Data!E" &amp; 984)</f>
        <v>0</v>
      </c>
      <c r="L989" cm="1">
        <f t="array" aca="1" ref="L989" ca="1">INDIRECT("Data!F" &amp; 984)</f>
        <v>0</v>
      </c>
      <c r="M989" cm="1">
        <f t="array" aca="1" ref="M989" ca="1">INDIRECT("Data!G" &amp; 984)</f>
        <v>0</v>
      </c>
      <c r="N989" cm="1">
        <f t="array" aca="1" ref="N989" ca="1">INDIRECT("Data!H" &amp; 984)</f>
        <v>0</v>
      </c>
      <c r="O989" cm="1">
        <f t="array" aca="1" ref="O989" ca="1">INDIRECT("Data!I" &amp; 984)</f>
        <v>0</v>
      </c>
      <c r="P989" s="21" cm="1">
        <f t="array" aca="1" ref="P989" ca="1">INDIRECT("Data!J" &amp; 984)</f>
        <v>0</v>
      </c>
      <c r="Q989" cm="1">
        <f t="array" aca="1" ref="Q989" ca="1">INDIRECT("Data!K" &amp; 984)</f>
        <v>0</v>
      </c>
      <c r="R989" cm="1">
        <f t="array" aca="1" ref="R989" ca="1">INDIRECT("Data!L" &amp; 984)</f>
        <v>0</v>
      </c>
      <c r="S989" cm="1">
        <f t="array" aca="1" ref="S989" ca="1">INDIRECT("Data!M" &amp; 984)</f>
        <v>0</v>
      </c>
      <c r="T989" cm="1">
        <f t="array" aca="1" ref="T989" ca="1">INDIRECT("Data!N" &amp; 984)</f>
        <v>0</v>
      </c>
      <c r="U989" cm="1">
        <f t="array" aca="1" ref="U989" ca="1">INDIRECT("Data!O" &amp; 984)</f>
        <v>0</v>
      </c>
      <c r="V989" cm="1">
        <f t="array" aca="1" ref="V989" ca="1">INDIRECT("Data!P" &amp; 984)</f>
        <v>0</v>
      </c>
    </row>
    <row r="990" spans="7:22" x14ac:dyDescent="0.25">
      <c r="G990" cm="1">
        <f t="array" aca="1" ref="G990" ca="1">INDIRECT("Data!A" &amp; 985)</f>
        <v>0</v>
      </c>
      <c r="H990" s="21" cm="1">
        <f t="array" aca="1" ref="H990" ca="1">INDIRECT("Data!B" &amp; 985)</f>
        <v>0</v>
      </c>
      <c r="I990" s="21" cm="1">
        <f t="array" aca="1" ref="I990" ca="1">INDIRECT("Data!C" &amp; 985)</f>
        <v>0</v>
      </c>
      <c r="J990" cm="1">
        <f t="array" aca="1" ref="J990" ca="1">INDIRECT("Data!D" &amp; 985)</f>
        <v>0</v>
      </c>
      <c r="K990" cm="1">
        <f t="array" aca="1" ref="K990" ca="1">INDIRECT("Data!E" &amp; 985)</f>
        <v>0</v>
      </c>
      <c r="L990" cm="1">
        <f t="array" aca="1" ref="L990" ca="1">INDIRECT("Data!F" &amp; 985)</f>
        <v>0</v>
      </c>
      <c r="M990" cm="1">
        <f t="array" aca="1" ref="M990" ca="1">INDIRECT("Data!G" &amp; 985)</f>
        <v>0</v>
      </c>
      <c r="N990" cm="1">
        <f t="array" aca="1" ref="N990" ca="1">INDIRECT("Data!H" &amp; 985)</f>
        <v>0</v>
      </c>
      <c r="O990" cm="1">
        <f t="array" aca="1" ref="O990" ca="1">INDIRECT("Data!I" &amp; 985)</f>
        <v>0</v>
      </c>
      <c r="P990" s="21" cm="1">
        <f t="array" aca="1" ref="P990" ca="1">INDIRECT("Data!J" &amp; 985)</f>
        <v>0</v>
      </c>
      <c r="Q990" cm="1">
        <f t="array" aca="1" ref="Q990" ca="1">INDIRECT("Data!K" &amp; 985)</f>
        <v>0</v>
      </c>
      <c r="R990" cm="1">
        <f t="array" aca="1" ref="R990" ca="1">INDIRECT("Data!L" &amp; 985)</f>
        <v>0</v>
      </c>
      <c r="S990" cm="1">
        <f t="array" aca="1" ref="S990" ca="1">INDIRECT("Data!M" &amp; 985)</f>
        <v>0</v>
      </c>
      <c r="T990" cm="1">
        <f t="array" aca="1" ref="T990" ca="1">INDIRECT("Data!N" &amp; 985)</f>
        <v>0</v>
      </c>
      <c r="U990" cm="1">
        <f t="array" aca="1" ref="U990" ca="1">INDIRECT("Data!O" &amp; 985)</f>
        <v>0</v>
      </c>
      <c r="V990" cm="1">
        <f t="array" aca="1" ref="V990" ca="1">INDIRECT("Data!P" &amp; 985)</f>
        <v>0</v>
      </c>
    </row>
    <row r="991" spans="7:22" x14ac:dyDescent="0.25">
      <c r="G991" cm="1">
        <f t="array" aca="1" ref="G991" ca="1">INDIRECT("Data!A" &amp; 986)</f>
        <v>0</v>
      </c>
      <c r="H991" s="21" cm="1">
        <f t="array" aca="1" ref="H991" ca="1">INDIRECT("Data!B" &amp; 986)</f>
        <v>0</v>
      </c>
      <c r="I991" s="21" cm="1">
        <f t="array" aca="1" ref="I991" ca="1">INDIRECT("Data!C" &amp; 986)</f>
        <v>0</v>
      </c>
      <c r="J991" cm="1">
        <f t="array" aca="1" ref="J991" ca="1">INDIRECT("Data!D" &amp; 986)</f>
        <v>0</v>
      </c>
      <c r="K991" cm="1">
        <f t="array" aca="1" ref="K991" ca="1">INDIRECT("Data!E" &amp; 986)</f>
        <v>0</v>
      </c>
      <c r="L991" cm="1">
        <f t="array" aca="1" ref="L991" ca="1">INDIRECT("Data!F" &amp; 986)</f>
        <v>0</v>
      </c>
      <c r="M991" cm="1">
        <f t="array" aca="1" ref="M991" ca="1">INDIRECT("Data!G" &amp; 986)</f>
        <v>0</v>
      </c>
      <c r="N991" cm="1">
        <f t="array" aca="1" ref="N991" ca="1">INDIRECT("Data!H" &amp; 986)</f>
        <v>0</v>
      </c>
      <c r="O991" cm="1">
        <f t="array" aca="1" ref="O991" ca="1">INDIRECT("Data!I" &amp; 986)</f>
        <v>0</v>
      </c>
      <c r="P991" s="21" cm="1">
        <f t="array" aca="1" ref="P991" ca="1">INDIRECT("Data!J" &amp; 986)</f>
        <v>0</v>
      </c>
      <c r="Q991" cm="1">
        <f t="array" aca="1" ref="Q991" ca="1">INDIRECT("Data!K" &amp; 986)</f>
        <v>0</v>
      </c>
      <c r="R991" cm="1">
        <f t="array" aca="1" ref="R991" ca="1">INDIRECT("Data!L" &amp; 986)</f>
        <v>0</v>
      </c>
      <c r="S991" cm="1">
        <f t="array" aca="1" ref="S991" ca="1">INDIRECT("Data!M" &amp; 986)</f>
        <v>0</v>
      </c>
      <c r="T991" cm="1">
        <f t="array" aca="1" ref="T991" ca="1">INDIRECT("Data!N" &amp; 986)</f>
        <v>0</v>
      </c>
      <c r="U991" cm="1">
        <f t="array" aca="1" ref="U991" ca="1">INDIRECT("Data!O" &amp; 986)</f>
        <v>0</v>
      </c>
      <c r="V991" cm="1">
        <f t="array" aca="1" ref="V991" ca="1">INDIRECT("Data!P" &amp; 986)</f>
        <v>0</v>
      </c>
    </row>
    <row r="992" spans="7:22" x14ac:dyDescent="0.25">
      <c r="G992" cm="1">
        <f t="array" aca="1" ref="G992" ca="1">INDIRECT("Data!A" &amp; 987)</f>
        <v>0</v>
      </c>
      <c r="H992" s="21" cm="1">
        <f t="array" aca="1" ref="H992" ca="1">INDIRECT("Data!B" &amp; 987)</f>
        <v>0</v>
      </c>
      <c r="I992" s="21" cm="1">
        <f t="array" aca="1" ref="I992" ca="1">INDIRECT("Data!C" &amp; 987)</f>
        <v>0</v>
      </c>
      <c r="J992" cm="1">
        <f t="array" aca="1" ref="J992" ca="1">INDIRECT("Data!D" &amp; 987)</f>
        <v>0</v>
      </c>
      <c r="K992" cm="1">
        <f t="array" aca="1" ref="K992" ca="1">INDIRECT("Data!E" &amp; 987)</f>
        <v>0</v>
      </c>
      <c r="L992" cm="1">
        <f t="array" aca="1" ref="L992" ca="1">INDIRECT("Data!F" &amp; 987)</f>
        <v>0</v>
      </c>
      <c r="M992" cm="1">
        <f t="array" aca="1" ref="M992" ca="1">INDIRECT("Data!G" &amp; 987)</f>
        <v>0</v>
      </c>
      <c r="N992" cm="1">
        <f t="array" aca="1" ref="N992" ca="1">INDIRECT("Data!H" &amp; 987)</f>
        <v>0</v>
      </c>
      <c r="O992" cm="1">
        <f t="array" aca="1" ref="O992" ca="1">INDIRECT("Data!I" &amp; 987)</f>
        <v>0</v>
      </c>
      <c r="P992" s="21" cm="1">
        <f t="array" aca="1" ref="P992" ca="1">INDIRECT("Data!J" &amp; 987)</f>
        <v>0</v>
      </c>
      <c r="Q992" cm="1">
        <f t="array" aca="1" ref="Q992" ca="1">INDIRECT("Data!K" &amp; 987)</f>
        <v>0</v>
      </c>
      <c r="R992" cm="1">
        <f t="array" aca="1" ref="R992" ca="1">INDIRECT("Data!L" &amp; 987)</f>
        <v>0</v>
      </c>
      <c r="S992" cm="1">
        <f t="array" aca="1" ref="S992" ca="1">INDIRECT("Data!M" &amp; 987)</f>
        <v>0</v>
      </c>
      <c r="T992" cm="1">
        <f t="array" aca="1" ref="T992" ca="1">INDIRECT("Data!N" &amp; 987)</f>
        <v>0</v>
      </c>
      <c r="U992" cm="1">
        <f t="array" aca="1" ref="U992" ca="1">INDIRECT("Data!O" &amp; 987)</f>
        <v>0</v>
      </c>
      <c r="V992" cm="1">
        <f t="array" aca="1" ref="V992" ca="1">INDIRECT("Data!P" &amp; 987)</f>
        <v>0</v>
      </c>
    </row>
    <row r="993" spans="7:22" x14ac:dyDescent="0.25">
      <c r="G993" cm="1">
        <f t="array" aca="1" ref="G993" ca="1">INDIRECT("Data!A" &amp; 988)</f>
        <v>0</v>
      </c>
      <c r="H993" s="21" cm="1">
        <f t="array" aca="1" ref="H993" ca="1">INDIRECT("Data!B" &amp; 988)</f>
        <v>0</v>
      </c>
      <c r="I993" s="21" cm="1">
        <f t="array" aca="1" ref="I993" ca="1">INDIRECT("Data!C" &amp; 988)</f>
        <v>0</v>
      </c>
      <c r="J993" cm="1">
        <f t="array" aca="1" ref="J993" ca="1">INDIRECT("Data!D" &amp; 988)</f>
        <v>0</v>
      </c>
      <c r="K993" cm="1">
        <f t="array" aca="1" ref="K993" ca="1">INDIRECT("Data!E" &amp; 988)</f>
        <v>0</v>
      </c>
      <c r="L993" cm="1">
        <f t="array" aca="1" ref="L993" ca="1">INDIRECT("Data!F" &amp; 988)</f>
        <v>0</v>
      </c>
      <c r="M993" cm="1">
        <f t="array" aca="1" ref="M993" ca="1">INDIRECT("Data!G" &amp; 988)</f>
        <v>0</v>
      </c>
      <c r="N993" cm="1">
        <f t="array" aca="1" ref="N993" ca="1">INDIRECT("Data!H" &amp; 988)</f>
        <v>0</v>
      </c>
      <c r="O993" cm="1">
        <f t="array" aca="1" ref="O993" ca="1">INDIRECT("Data!I" &amp; 988)</f>
        <v>0</v>
      </c>
      <c r="P993" s="21" cm="1">
        <f t="array" aca="1" ref="P993" ca="1">INDIRECT("Data!J" &amp; 988)</f>
        <v>0</v>
      </c>
      <c r="Q993" cm="1">
        <f t="array" aca="1" ref="Q993" ca="1">INDIRECT("Data!K" &amp; 988)</f>
        <v>0</v>
      </c>
      <c r="R993" cm="1">
        <f t="array" aca="1" ref="R993" ca="1">INDIRECT("Data!L" &amp; 988)</f>
        <v>0</v>
      </c>
      <c r="S993" cm="1">
        <f t="array" aca="1" ref="S993" ca="1">INDIRECT("Data!M" &amp; 988)</f>
        <v>0</v>
      </c>
      <c r="T993" cm="1">
        <f t="array" aca="1" ref="T993" ca="1">INDIRECT("Data!N" &amp; 988)</f>
        <v>0</v>
      </c>
      <c r="U993" cm="1">
        <f t="array" aca="1" ref="U993" ca="1">INDIRECT("Data!O" &amp; 988)</f>
        <v>0</v>
      </c>
      <c r="V993" cm="1">
        <f t="array" aca="1" ref="V993" ca="1">INDIRECT("Data!P" &amp; 988)</f>
        <v>0</v>
      </c>
    </row>
    <row r="994" spans="7:22" x14ac:dyDescent="0.25">
      <c r="G994" cm="1">
        <f t="array" aca="1" ref="G994" ca="1">INDIRECT("Data!A" &amp; 989)</f>
        <v>0</v>
      </c>
      <c r="H994" s="21" cm="1">
        <f t="array" aca="1" ref="H994" ca="1">INDIRECT("Data!B" &amp; 989)</f>
        <v>0</v>
      </c>
      <c r="I994" s="21" cm="1">
        <f t="array" aca="1" ref="I994" ca="1">INDIRECT("Data!C" &amp; 989)</f>
        <v>0</v>
      </c>
      <c r="J994" cm="1">
        <f t="array" aca="1" ref="J994" ca="1">INDIRECT("Data!D" &amp; 989)</f>
        <v>0</v>
      </c>
      <c r="K994" cm="1">
        <f t="array" aca="1" ref="K994" ca="1">INDIRECT("Data!E" &amp; 989)</f>
        <v>0</v>
      </c>
      <c r="L994" cm="1">
        <f t="array" aca="1" ref="L994" ca="1">INDIRECT("Data!F" &amp; 989)</f>
        <v>0</v>
      </c>
      <c r="M994" cm="1">
        <f t="array" aca="1" ref="M994" ca="1">INDIRECT("Data!G" &amp; 989)</f>
        <v>0</v>
      </c>
      <c r="N994" cm="1">
        <f t="array" aca="1" ref="N994" ca="1">INDIRECT("Data!H" &amp; 989)</f>
        <v>0</v>
      </c>
      <c r="O994" cm="1">
        <f t="array" aca="1" ref="O994" ca="1">INDIRECT("Data!I" &amp; 989)</f>
        <v>0</v>
      </c>
      <c r="P994" s="21" cm="1">
        <f t="array" aca="1" ref="P994" ca="1">INDIRECT("Data!J" &amp; 989)</f>
        <v>0</v>
      </c>
      <c r="Q994" cm="1">
        <f t="array" aca="1" ref="Q994" ca="1">INDIRECT("Data!K" &amp; 989)</f>
        <v>0</v>
      </c>
      <c r="R994" cm="1">
        <f t="array" aca="1" ref="R994" ca="1">INDIRECT("Data!L" &amp; 989)</f>
        <v>0</v>
      </c>
      <c r="S994" cm="1">
        <f t="array" aca="1" ref="S994" ca="1">INDIRECT("Data!M" &amp; 989)</f>
        <v>0</v>
      </c>
      <c r="T994" cm="1">
        <f t="array" aca="1" ref="T994" ca="1">INDIRECT("Data!N" &amp; 989)</f>
        <v>0</v>
      </c>
      <c r="U994" cm="1">
        <f t="array" aca="1" ref="U994" ca="1">INDIRECT("Data!O" &amp; 989)</f>
        <v>0</v>
      </c>
      <c r="V994" cm="1">
        <f t="array" aca="1" ref="V994" ca="1">INDIRECT("Data!P" &amp; 989)</f>
        <v>0</v>
      </c>
    </row>
    <row r="995" spans="7:22" x14ac:dyDescent="0.25">
      <c r="G995" cm="1">
        <f t="array" aca="1" ref="G995" ca="1">INDIRECT("Data!A" &amp; 990)</f>
        <v>0</v>
      </c>
      <c r="H995" s="21" cm="1">
        <f t="array" aca="1" ref="H995" ca="1">INDIRECT("Data!B" &amp; 990)</f>
        <v>0</v>
      </c>
      <c r="I995" s="21" cm="1">
        <f t="array" aca="1" ref="I995" ca="1">INDIRECT("Data!C" &amp; 990)</f>
        <v>0</v>
      </c>
      <c r="J995" cm="1">
        <f t="array" aca="1" ref="J995" ca="1">INDIRECT("Data!D" &amp; 990)</f>
        <v>0</v>
      </c>
      <c r="K995" cm="1">
        <f t="array" aca="1" ref="K995" ca="1">INDIRECT("Data!E" &amp; 990)</f>
        <v>0</v>
      </c>
      <c r="L995" cm="1">
        <f t="array" aca="1" ref="L995" ca="1">INDIRECT("Data!F" &amp; 990)</f>
        <v>0</v>
      </c>
      <c r="M995" cm="1">
        <f t="array" aca="1" ref="M995" ca="1">INDIRECT("Data!G" &amp; 990)</f>
        <v>0</v>
      </c>
      <c r="N995" cm="1">
        <f t="array" aca="1" ref="N995" ca="1">INDIRECT("Data!H" &amp; 990)</f>
        <v>0</v>
      </c>
      <c r="O995" cm="1">
        <f t="array" aca="1" ref="O995" ca="1">INDIRECT("Data!I" &amp; 990)</f>
        <v>0</v>
      </c>
      <c r="P995" s="21" cm="1">
        <f t="array" aca="1" ref="P995" ca="1">INDIRECT("Data!J" &amp; 990)</f>
        <v>0</v>
      </c>
      <c r="Q995" cm="1">
        <f t="array" aca="1" ref="Q995" ca="1">INDIRECT("Data!K" &amp; 990)</f>
        <v>0</v>
      </c>
      <c r="R995" cm="1">
        <f t="array" aca="1" ref="R995" ca="1">INDIRECT("Data!L" &amp; 990)</f>
        <v>0</v>
      </c>
      <c r="S995" cm="1">
        <f t="array" aca="1" ref="S995" ca="1">INDIRECT("Data!M" &amp; 990)</f>
        <v>0</v>
      </c>
      <c r="T995" cm="1">
        <f t="array" aca="1" ref="T995" ca="1">INDIRECT("Data!N" &amp; 990)</f>
        <v>0</v>
      </c>
      <c r="U995" cm="1">
        <f t="array" aca="1" ref="U995" ca="1">INDIRECT("Data!O" &amp; 990)</f>
        <v>0</v>
      </c>
      <c r="V995" cm="1">
        <f t="array" aca="1" ref="V995" ca="1">INDIRECT("Data!P" &amp; 990)</f>
        <v>0</v>
      </c>
    </row>
    <row r="996" spans="7:22" x14ac:dyDescent="0.25">
      <c r="G996" cm="1">
        <f t="array" aca="1" ref="G996" ca="1">INDIRECT("Data!A" &amp; 991)</f>
        <v>0</v>
      </c>
      <c r="H996" s="21" cm="1">
        <f t="array" aca="1" ref="H996" ca="1">INDIRECT("Data!B" &amp; 991)</f>
        <v>0</v>
      </c>
      <c r="I996" s="21" cm="1">
        <f t="array" aca="1" ref="I996" ca="1">INDIRECT("Data!C" &amp; 991)</f>
        <v>0</v>
      </c>
      <c r="J996" cm="1">
        <f t="array" aca="1" ref="J996" ca="1">INDIRECT("Data!D" &amp; 991)</f>
        <v>0</v>
      </c>
      <c r="K996" cm="1">
        <f t="array" aca="1" ref="K996" ca="1">INDIRECT("Data!E" &amp; 991)</f>
        <v>0</v>
      </c>
      <c r="L996" cm="1">
        <f t="array" aca="1" ref="L996" ca="1">INDIRECT("Data!F" &amp; 991)</f>
        <v>0</v>
      </c>
      <c r="M996" cm="1">
        <f t="array" aca="1" ref="M996" ca="1">INDIRECT("Data!G" &amp; 991)</f>
        <v>0</v>
      </c>
      <c r="N996" cm="1">
        <f t="array" aca="1" ref="N996" ca="1">INDIRECT("Data!H" &amp; 991)</f>
        <v>0</v>
      </c>
      <c r="O996" cm="1">
        <f t="array" aca="1" ref="O996" ca="1">INDIRECT("Data!I" &amp; 991)</f>
        <v>0</v>
      </c>
      <c r="P996" s="21" cm="1">
        <f t="array" aca="1" ref="P996" ca="1">INDIRECT("Data!J" &amp; 991)</f>
        <v>0</v>
      </c>
      <c r="Q996" cm="1">
        <f t="array" aca="1" ref="Q996" ca="1">INDIRECT("Data!K" &amp; 991)</f>
        <v>0</v>
      </c>
      <c r="R996" cm="1">
        <f t="array" aca="1" ref="R996" ca="1">INDIRECT("Data!L" &amp; 991)</f>
        <v>0</v>
      </c>
      <c r="S996" cm="1">
        <f t="array" aca="1" ref="S996" ca="1">INDIRECT("Data!M" &amp; 991)</f>
        <v>0</v>
      </c>
      <c r="T996" cm="1">
        <f t="array" aca="1" ref="T996" ca="1">INDIRECT("Data!N" &amp; 991)</f>
        <v>0</v>
      </c>
      <c r="U996" cm="1">
        <f t="array" aca="1" ref="U996" ca="1">INDIRECT("Data!O" &amp; 991)</f>
        <v>0</v>
      </c>
      <c r="V996" cm="1">
        <f t="array" aca="1" ref="V996" ca="1">INDIRECT("Data!P" &amp; 991)</f>
        <v>0</v>
      </c>
    </row>
    <row r="997" spans="7:22" x14ac:dyDescent="0.25">
      <c r="G997" cm="1">
        <f t="array" aca="1" ref="G997" ca="1">INDIRECT("Data!A" &amp; 992)</f>
        <v>0</v>
      </c>
      <c r="H997" s="21" cm="1">
        <f t="array" aca="1" ref="H997" ca="1">INDIRECT("Data!B" &amp; 992)</f>
        <v>0</v>
      </c>
      <c r="I997" s="21" cm="1">
        <f t="array" aca="1" ref="I997" ca="1">INDIRECT("Data!C" &amp; 992)</f>
        <v>0</v>
      </c>
      <c r="J997" cm="1">
        <f t="array" aca="1" ref="J997" ca="1">INDIRECT("Data!D" &amp; 992)</f>
        <v>0</v>
      </c>
      <c r="K997" cm="1">
        <f t="array" aca="1" ref="K997" ca="1">INDIRECT("Data!E" &amp; 992)</f>
        <v>0</v>
      </c>
      <c r="L997" cm="1">
        <f t="array" aca="1" ref="L997" ca="1">INDIRECT("Data!F" &amp; 992)</f>
        <v>0</v>
      </c>
      <c r="M997" cm="1">
        <f t="array" aca="1" ref="M997" ca="1">INDIRECT("Data!G" &amp; 992)</f>
        <v>0</v>
      </c>
      <c r="N997" cm="1">
        <f t="array" aca="1" ref="N997" ca="1">INDIRECT("Data!H" &amp; 992)</f>
        <v>0</v>
      </c>
      <c r="O997" cm="1">
        <f t="array" aca="1" ref="O997" ca="1">INDIRECT("Data!I" &amp; 992)</f>
        <v>0</v>
      </c>
      <c r="P997" s="21" cm="1">
        <f t="array" aca="1" ref="P997" ca="1">INDIRECT("Data!J" &amp; 992)</f>
        <v>0</v>
      </c>
      <c r="Q997" cm="1">
        <f t="array" aca="1" ref="Q997" ca="1">INDIRECT("Data!K" &amp; 992)</f>
        <v>0</v>
      </c>
      <c r="R997" cm="1">
        <f t="array" aca="1" ref="R997" ca="1">INDIRECT("Data!L" &amp; 992)</f>
        <v>0</v>
      </c>
      <c r="S997" cm="1">
        <f t="array" aca="1" ref="S997" ca="1">INDIRECT("Data!M" &amp; 992)</f>
        <v>0</v>
      </c>
      <c r="T997" cm="1">
        <f t="array" aca="1" ref="T997" ca="1">INDIRECT("Data!N" &amp; 992)</f>
        <v>0</v>
      </c>
      <c r="U997" cm="1">
        <f t="array" aca="1" ref="U997" ca="1">INDIRECT("Data!O" &amp; 992)</f>
        <v>0</v>
      </c>
      <c r="V997" cm="1">
        <f t="array" aca="1" ref="V997" ca="1">INDIRECT("Data!P" &amp; 992)</f>
        <v>0</v>
      </c>
    </row>
    <row r="998" spans="7:22" x14ac:dyDescent="0.25">
      <c r="G998" cm="1">
        <f t="array" aca="1" ref="G998" ca="1">INDIRECT("Data!A" &amp; 993)</f>
        <v>0</v>
      </c>
      <c r="H998" s="21" cm="1">
        <f t="array" aca="1" ref="H998" ca="1">INDIRECT("Data!B" &amp; 993)</f>
        <v>0</v>
      </c>
      <c r="I998" s="21" cm="1">
        <f t="array" aca="1" ref="I998" ca="1">INDIRECT("Data!C" &amp; 993)</f>
        <v>0</v>
      </c>
      <c r="J998" cm="1">
        <f t="array" aca="1" ref="J998" ca="1">INDIRECT("Data!D" &amp; 993)</f>
        <v>0</v>
      </c>
      <c r="K998" cm="1">
        <f t="array" aca="1" ref="K998" ca="1">INDIRECT("Data!E" &amp; 993)</f>
        <v>0</v>
      </c>
      <c r="L998" cm="1">
        <f t="array" aca="1" ref="L998" ca="1">INDIRECT("Data!F" &amp; 993)</f>
        <v>0</v>
      </c>
      <c r="M998" cm="1">
        <f t="array" aca="1" ref="M998" ca="1">INDIRECT("Data!G" &amp; 993)</f>
        <v>0</v>
      </c>
      <c r="N998" cm="1">
        <f t="array" aca="1" ref="N998" ca="1">INDIRECT("Data!H" &amp; 993)</f>
        <v>0</v>
      </c>
      <c r="O998" cm="1">
        <f t="array" aca="1" ref="O998" ca="1">INDIRECT("Data!I" &amp; 993)</f>
        <v>0</v>
      </c>
      <c r="P998" s="21" cm="1">
        <f t="array" aca="1" ref="P998" ca="1">INDIRECT("Data!J" &amp; 993)</f>
        <v>0</v>
      </c>
      <c r="Q998" cm="1">
        <f t="array" aca="1" ref="Q998" ca="1">INDIRECT("Data!K" &amp; 993)</f>
        <v>0</v>
      </c>
      <c r="R998" cm="1">
        <f t="array" aca="1" ref="R998" ca="1">INDIRECT("Data!L" &amp; 993)</f>
        <v>0</v>
      </c>
      <c r="S998" cm="1">
        <f t="array" aca="1" ref="S998" ca="1">INDIRECT("Data!M" &amp; 993)</f>
        <v>0</v>
      </c>
      <c r="T998" cm="1">
        <f t="array" aca="1" ref="T998" ca="1">INDIRECT("Data!N" &amp; 993)</f>
        <v>0</v>
      </c>
      <c r="U998" cm="1">
        <f t="array" aca="1" ref="U998" ca="1">INDIRECT("Data!O" &amp; 993)</f>
        <v>0</v>
      </c>
      <c r="V998" cm="1">
        <f t="array" aca="1" ref="V998" ca="1">INDIRECT("Data!P" &amp; 993)</f>
        <v>0</v>
      </c>
    </row>
    <row r="999" spans="7:22" x14ac:dyDescent="0.25">
      <c r="G999" cm="1">
        <f t="array" aca="1" ref="G999" ca="1">INDIRECT("Data!A" &amp; 994)</f>
        <v>0</v>
      </c>
      <c r="H999" s="21" cm="1">
        <f t="array" aca="1" ref="H999" ca="1">INDIRECT("Data!B" &amp; 994)</f>
        <v>0</v>
      </c>
      <c r="I999" s="21" cm="1">
        <f t="array" aca="1" ref="I999" ca="1">INDIRECT("Data!C" &amp; 994)</f>
        <v>0</v>
      </c>
      <c r="J999" cm="1">
        <f t="array" aca="1" ref="J999" ca="1">INDIRECT("Data!D" &amp; 994)</f>
        <v>0</v>
      </c>
      <c r="K999" cm="1">
        <f t="array" aca="1" ref="K999" ca="1">INDIRECT("Data!E" &amp; 994)</f>
        <v>0</v>
      </c>
      <c r="L999" cm="1">
        <f t="array" aca="1" ref="L999" ca="1">INDIRECT("Data!F" &amp; 994)</f>
        <v>0</v>
      </c>
      <c r="M999" cm="1">
        <f t="array" aca="1" ref="M999" ca="1">INDIRECT("Data!G" &amp; 994)</f>
        <v>0</v>
      </c>
      <c r="N999" cm="1">
        <f t="array" aca="1" ref="N999" ca="1">INDIRECT("Data!H" &amp; 994)</f>
        <v>0</v>
      </c>
      <c r="O999" cm="1">
        <f t="array" aca="1" ref="O999" ca="1">INDIRECT("Data!I" &amp; 994)</f>
        <v>0</v>
      </c>
      <c r="P999" s="21" cm="1">
        <f t="array" aca="1" ref="P999" ca="1">INDIRECT("Data!J" &amp; 994)</f>
        <v>0</v>
      </c>
      <c r="Q999" cm="1">
        <f t="array" aca="1" ref="Q999" ca="1">INDIRECT("Data!K" &amp; 994)</f>
        <v>0</v>
      </c>
      <c r="R999" cm="1">
        <f t="array" aca="1" ref="R999" ca="1">INDIRECT("Data!L" &amp; 994)</f>
        <v>0</v>
      </c>
      <c r="S999" cm="1">
        <f t="array" aca="1" ref="S999" ca="1">INDIRECT("Data!M" &amp; 994)</f>
        <v>0</v>
      </c>
      <c r="T999" cm="1">
        <f t="array" aca="1" ref="T999" ca="1">INDIRECT("Data!N" &amp; 994)</f>
        <v>0</v>
      </c>
      <c r="U999" cm="1">
        <f t="array" aca="1" ref="U999" ca="1">INDIRECT("Data!O" &amp; 994)</f>
        <v>0</v>
      </c>
      <c r="V999" cm="1">
        <f t="array" aca="1" ref="V999" ca="1">INDIRECT("Data!P" &amp; 994)</f>
        <v>0</v>
      </c>
    </row>
    <row r="1000" spans="7:22" x14ac:dyDescent="0.25">
      <c r="G1000" cm="1">
        <f t="array" aca="1" ref="G1000" ca="1">INDIRECT("Data!A" &amp; 995)</f>
        <v>0</v>
      </c>
      <c r="H1000" s="21" cm="1">
        <f t="array" aca="1" ref="H1000" ca="1">INDIRECT("Data!B" &amp; 995)</f>
        <v>0</v>
      </c>
      <c r="I1000" s="21" cm="1">
        <f t="array" aca="1" ref="I1000" ca="1">INDIRECT("Data!C" &amp; 995)</f>
        <v>0</v>
      </c>
      <c r="J1000" cm="1">
        <f t="array" aca="1" ref="J1000" ca="1">INDIRECT("Data!D" &amp; 995)</f>
        <v>0</v>
      </c>
      <c r="K1000" cm="1">
        <f t="array" aca="1" ref="K1000" ca="1">INDIRECT("Data!E" &amp; 995)</f>
        <v>0</v>
      </c>
      <c r="L1000" cm="1">
        <f t="array" aca="1" ref="L1000" ca="1">INDIRECT("Data!F" &amp; 995)</f>
        <v>0</v>
      </c>
      <c r="M1000" cm="1">
        <f t="array" aca="1" ref="M1000" ca="1">INDIRECT("Data!G" &amp; 995)</f>
        <v>0</v>
      </c>
      <c r="N1000" cm="1">
        <f t="array" aca="1" ref="N1000" ca="1">INDIRECT("Data!H" &amp; 995)</f>
        <v>0</v>
      </c>
      <c r="O1000" cm="1">
        <f t="array" aca="1" ref="O1000" ca="1">INDIRECT("Data!I" &amp; 995)</f>
        <v>0</v>
      </c>
      <c r="P1000" s="21" cm="1">
        <f t="array" aca="1" ref="P1000" ca="1">INDIRECT("Data!J" &amp; 995)</f>
        <v>0</v>
      </c>
      <c r="Q1000" cm="1">
        <f t="array" aca="1" ref="Q1000" ca="1">INDIRECT("Data!K" &amp; 995)</f>
        <v>0</v>
      </c>
      <c r="R1000" cm="1">
        <f t="array" aca="1" ref="R1000" ca="1">INDIRECT("Data!L" &amp; 995)</f>
        <v>0</v>
      </c>
      <c r="S1000" cm="1">
        <f t="array" aca="1" ref="S1000" ca="1">INDIRECT("Data!M" &amp; 995)</f>
        <v>0</v>
      </c>
      <c r="T1000" cm="1">
        <f t="array" aca="1" ref="T1000" ca="1">INDIRECT("Data!N" &amp; 995)</f>
        <v>0</v>
      </c>
      <c r="U1000" cm="1">
        <f t="array" aca="1" ref="U1000" ca="1">INDIRECT("Data!O" &amp; 995)</f>
        <v>0</v>
      </c>
      <c r="V1000" cm="1">
        <f t="array" aca="1" ref="V1000" ca="1">INDIRECT("Data!P" &amp; 995)</f>
        <v>0</v>
      </c>
    </row>
    <row r="1001" spans="7:22" x14ac:dyDescent="0.25">
      <c r="G1001" cm="1">
        <f t="array" aca="1" ref="G1001" ca="1">INDIRECT("Data!A" &amp; 996)</f>
        <v>0</v>
      </c>
      <c r="H1001" s="21" cm="1">
        <f t="array" aca="1" ref="H1001" ca="1">INDIRECT("Data!B" &amp; 996)</f>
        <v>0</v>
      </c>
      <c r="I1001" s="21" cm="1">
        <f t="array" aca="1" ref="I1001" ca="1">INDIRECT("Data!C" &amp; 996)</f>
        <v>0</v>
      </c>
      <c r="J1001" cm="1">
        <f t="array" aca="1" ref="J1001" ca="1">INDIRECT("Data!D" &amp; 996)</f>
        <v>0</v>
      </c>
      <c r="K1001" cm="1">
        <f t="array" aca="1" ref="K1001" ca="1">INDIRECT("Data!E" &amp; 996)</f>
        <v>0</v>
      </c>
      <c r="L1001" cm="1">
        <f t="array" aca="1" ref="L1001" ca="1">INDIRECT("Data!F" &amp; 996)</f>
        <v>0</v>
      </c>
      <c r="M1001" cm="1">
        <f t="array" aca="1" ref="M1001" ca="1">INDIRECT("Data!G" &amp; 996)</f>
        <v>0</v>
      </c>
      <c r="N1001" cm="1">
        <f t="array" aca="1" ref="N1001" ca="1">INDIRECT("Data!H" &amp; 996)</f>
        <v>0</v>
      </c>
      <c r="O1001" cm="1">
        <f t="array" aca="1" ref="O1001" ca="1">INDIRECT("Data!I" &amp; 996)</f>
        <v>0</v>
      </c>
      <c r="P1001" s="21" cm="1">
        <f t="array" aca="1" ref="P1001" ca="1">INDIRECT("Data!J" &amp; 996)</f>
        <v>0</v>
      </c>
      <c r="Q1001" cm="1">
        <f t="array" aca="1" ref="Q1001" ca="1">INDIRECT("Data!K" &amp; 996)</f>
        <v>0</v>
      </c>
      <c r="R1001" cm="1">
        <f t="array" aca="1" ref="R1001" ca="1">INDIRECT("Data!L" &amp; 996)</f>
        <v>0</v>
      </c>
      <c r="S1001" cm="1">
        <f t="array" aca="1" ref="S1001" ca="1">INDIRECT("Data!M" &amp; 996)</f>
        <v>0</v>
      </c>
      <c r="T1001" cm="1">
        <f t="array" aca="1" ref="T1001" ca="1">INDIRECT("Data!N" &amp; 996)</f>
        <v>0</v>
      </c>
      <c r="U1001" cm="1">
        <f t="array" aca="1" ref="U1001" ca="1">INDIRECT("Data!O" &amp; 996)</f>
        <v>0</v>
      </c>
      <c r="V1001" cm="1">
        <f t="array" aca="1" ref="V1001" ca="1">INDIRECT("Data!P" &amp; 996)</f>
        <v>0</v>
      </c>
    </row>
    <row r="1002" spans="7:22" x14ac:dyDescent="0.25">
      <c r="G1002" cm="1">
        <f t="array" aca="1" ref="G1002" ca="1">INDIRECT("Data!A" &amp; 997)</f>
        <v>0</v>
      </c>
      <c r="H1002" s="21" cm="1">
        <f t="array" aca="1" ref="H1002" ca="1">INDIRECT("Data!B" &amp; 997)</f>
        <v>0</v>
      </c>
      <c r="I1002" s="21" cm="1">
        <f t="array" aca="1" ref="I1002" ca="1">INDIRECT("Data!C" &amp; 997)</f>
        <v>0</v>
      </c>
      <c r="J1002" cm="1">
        <f t="array" aca="1" ref="J1002" ca="1">INDIRECT("Data!D" &amp; 997)</f>
        <v>0</v>
      </c>
      <c r="K1002" cm="1">
        <f t="array" aca="1" ref="K1002" ca="1">INDIRECT("Data!E" &amp; 997)</f>
        <v>0</v>
      </c>
      <c r="L1002" cm="1">
        <f t="array" aca="1" ref="L1002" ca="1">INDIRECT("Data!F" &amp; 997)</f>
        <v>0</v>
      </c>
      <c r="M1002" cm="1">
        <f t="array" aca="1" ref="M1002" ca="1">INDIRECT("Data!G" &amp; 997)</f>
        <v>0</v>
      </c>
      <c r="N1002" cm="1">
        <f t="array" aca="1" ref="N1002" ca="1">INDIRECT("Data!H" &amp; 997)</f>
        <v>0</v>
      </c>
      <c r="O1002" cm="1">
        <f t="array" aca="1" ref="O1002" ca="1">INDIRECT("Data!I" &amp; 997)</f>
        <v>0</v>
      </c>
      <c r="P1002" s="21" cm="1">
        <f t="array" aca="1" ref="P1002" ca="1">INDIRECT("Data!J" &amp; 997)</f>
        <v>0</v>
      </c>
      <c r="Q1002" cm="1">
        <f t="array" aca="1" ref="Q1002" ca="1">INDIRECT("Data!K" &amp; 997)</f>
        <v>0</v>
      </c>
      <c r="R1002" cm="1">
        <f t="array" aca="1" ref="R1002" ca="1">INDIRECT("Data!L" &amp; 997)</f>
        <v>0</v>
      </c>
      <c r="S1002" cm="1">
        <f t="array" aca="1" ref="S1002" ca="1">INDIRECT("Data!M" &amp; 997)</f>
        <v>0</v>
      </c>
      <c r="T1002" cm="1">
        <f t="array" aca="1" ref="T1002" ca="1">INDIRECT("Data!N" &amp; 997)</f>
        <v>0</v>
      </c>
      <c r="U1002" cm="1">
        <f t="array" aca="1" ref="U1002" ca="1">INDIRECT("Data!O" &amp; 997)</f>
        <v>0</v>
      </c>
      <c r="V1002" cm="1">
        <f t="array" aca="1" ref="V1002" ca="1">INDIRECT("Data!P" &amp; 997)</f>
        <v>0</v>
      </c>
    </row>
    <row r="1003" spans="7:22" x14ac:dyDescent="0.25">
      <c r="G1003" cm="1">
        <f t="array" aca="1" ref="G1003" ca="1">INDIRECT("Data!A" &amp; 998)</f>
        <v>0</v>
      </c>
      <c r="H1003" s="21" cm="1">
        <f t="array" aca="1" ref="H1003" ca="1">INDIRECT("Data!B" &amp; 998)</f>
        <v>0</v>
      </c>
      <c r="I1003" s="21" cm="1">
        <f t="array" aca="1" ref="I1003" ca="1">INDIRECT("Data!C" &amp; 998)</f>
        <v>0</v>
      </c>
      <c r="J1003" cm="1">
        <f t="array" aca="1" ref="J1003" ca="1">INDIRECT("Data!D" &amp; 998)</f>
        <v>0</v>
      </c>
      <c r="K1003" cm="1">
        <f t="array" aca="1" ref="K1003" ca="1">INDIRECT("Data!E" &amp; 998)</f>
        <v>0</v>
      </c>
      <c r="L1003" cm="1">
        <f t="array" aca="1" ref="L1003" ca="1">INDIRECT("Data!F" &amp; 998)</f>
        <v>0</v>
      </c>
      <c r="M1003" cm="1">
        <f t="array" aca="1" ref="M1003" ca="1">INDIRECT("Data!G" &amp; 998)</f>
        <v>0</v>
      </c>
      <c r="N1003" cm="1">
        <f t="array" aca="1" ref="N1003" ca="1">INDIRECT("Data!H" &amp; 998)</f>
        <v>0</v>
      </c>
      <c r="O1003" cm="1">
        <f t="array" aca="1" ref="O1003" ca="1">INDIRECT("Data!I" &amp; 998)</f>
        <v>0</v>
      </c>
      <c r="P1003" s="21" cm="1">
        <f t="array" aca="1" ref="P1003" ca="1">INDIRECT("Data!J" &amp; 998)</f>
        <v>0</v>
      </c>
      <c r="Q1003" cm="1">
        <f t="array" aca="1" ref="Q1003" ca="1">INDIRECT("Data!K" &amp; 998)</f>
        <v>0</v>
      </c>
      <c r="R1003" cm="1">
        <f t="array" aca="1" ref="R1003" ca="1">INDIRECT("Data!L" &amp; 998)</f>
        <v>0</v>
      </c>
      <c r="S1003" cm="1">
        <f t="array" aca="1" ref="S1003" ca="1">INDIRECT("Data!M" &amp; 998)</f>
        <v>0</v>
      </c>
      <c r="T1003" cm="1">
        <f t="array" aca="1" ref="T1003" ca="1">INDIRECT("Data!N" &amp; 998)</f>
        <v>0</v>
      </c>
      <c r="U1003" cm="1">
        <f t="array" aca="1" ref="U1003" ca="1">INDIRECT("Data!O" &amp; 998)</f>
        <v>0</v>
      </c>
      <c r="V1003" cm="1">
        <f t="array" aca="1" ref="V1003" ca="1">INDIRECT("Data!P" &amp; 998)</f>
        <v>0</v>
      </c>
    </row>
    <row r="1004" spans="7:22" x14ac:dyDescent="0.25">
      <c r="G1004" cm="1">
        <f t="array" aca="1" ref="G1004" ca="1">INDIRECT("Data!A" &amp; 999)</f>
        <v>0</v>
      </c>
      <c r="H1004" s="21" cm="1">
        <f t="array" aca="1" ref="H1004" ca="1">INDIRECT("Data!B" &amp; 999)</f>
        <v>0</v>
      </c>
      <c r="I1004" s="21" cm="1">
        <f t="array" aca="1" ref="I1004" ca="1">INDIRECT("Data!C" &amp; 999)</f>
        <v>0</v>
      </c>
      <c r="J1004" cm="1">
        <f t="array" aca="1" ref="J1004" ca="1">INDIRECT("Data!D" &amp; 999)</f>
        <v>0</v>
      </c>
      <c r="K1004" cm="1">
        <f t="array" aca="1" ref="K1004" ca="1">INDIRECT("Data!E" &amp; 999)</f>
        <v>0</v>
      </c>
      <c r="L1004" cm="1">
        <f t="array" aca="1" ref="L1004" ca="1">INDIRECT("Data!F" &amp; 999)</f>
        <v>0</v>
      </c>
      <c r="M1004" cm="1">
        <f t="array" aca="1" ref="M1004" ca="1">INDIRECT("Data!G" &amp; 999)</f>
        <v>0</v>
      </c>
      <c r="N1004" cm="1">
        <f t="array" aca="1" ref="N1004" ca="1">INDIRECT("Data!H" &amp; 999)</f>
        <v>0</v>
      </c>
      <c r="O1004" cm="1">
        <f t="array" aca="1" ref="O1004" ca="1">INDIRECT("Data!I" &amp; 999)</f>
        <v>0</v>
      </c>
      <c r="P1004" s="21" cm="1">
        <f t="array" aca="1" ref="P1004" ca="1">INDIRECT("Data!J" &amp; 999)</f>
        <v>0</v>
      </c>
      <c r="Q1004" cm="1">
        <f t="array" aca="1" ref="Q1004" ca="1">INDIRECT("Data!K" &amp; 999)</f>
        <v>0</v>
      </c>
      <c r="R1004" cm="1">
        <f t="array" aca="1" ref="R1004" ca="1">INDIRECT("Data!L" &amp; 999)</f>
        <v>0</v>
      </c>
      <c r="S1004" cm="1">
        <f t="array" aca="1" ref="S1004" ca="1">INDIRECT("Data!M" &amp; 999)</f>
        <v>0</v>
      </c>
      <c r="T1004" cm="1">
        <f t="array" aca="1" ref="T1004" ca="1">INDIRECT("Data!N" &amp; 999)</f>
        <v>0</v>
      </c>
      <c r="U1004" cm="1">
        <f t="array" aca="1" ref="U1004" ca="1">INDIRECT("Data!O" &amp; 999)</f>
        <v>0</v>
      </c>
      <c r="V1004" cm="1">
        <f t="array" aca="1" ref="V1004" ca="1">INDIRECT("Data!P" &amp; 999)</f>
        <v>0</v>
      </c>
    </row>
    <row r="1005" spans="7:22" x14ac:dyDescent="0.25">
      <c r="G1005" cm="1">
        <f t="array" aca="1" ref="G1005" ca="1">INDIRECT("Data!A" &amp; 1001)</f>
        <v>0</v>
      </c>
      <c r="H1005" s="21" cm="1">
        <f t="array" aca="1" ref="H1005" ca="1">INDIRECT("Data!B" &amp; 1001)</f>
        <v>0</v>
      </c>
      <c r="I1005" s="21" cm="1">
        <f t="array" aca="1" ref="I1005" ca="1">INDIRECT("Data!C" &amp; 1001)</f>
        <v>0</v>
      </c>
      <c r="J1005" cm="1">
        <f t="array" aca="1" ref="J1005" ca="1">INDIRECT("Data!D" &amp; 1001)</f>
        <v>0</v>
      </c>
      <c r="K1005" cm="1">
        <f t="array" aca="1" ref="K1005" ca="1">INDIRECT("Data!E" &amp; 1001)</f>
        <v>0</v>
      </c>
      <c r="L1005" cm="1">
        <f t="array" aca="1" ref="L1005" ca="1">INDIRECT("Data!F" &amp; 1001)</f>
        <v>0</v>
      </c>
      <c r="M1005" cm="1">
        <f t="array" aca="1" ref="M1005" ca="1">INDIRECT("Data!G" &amp; 1001)</f>
        <v>0</v>
      </c>
      <c r="N1005" cm="1">
        <f t="array" aca="1" ref="N1005" ca="1">INDIRECT("Data!H" &amp; 1001)</f>
        <v>0</v>
      </c>
      <c r="O1005" cm="1">
        <f t="array" aca="1" ref="O1005" ca="1">INDIRECT("Data!I" &amp; 1001)</f>
        <v>0</v>
      </c>
      <c r="P1005" s="21" cm="1">
        <f t="array" aca="1" ref="P1005" ca="1">INDIRECT("Data!J" &amp; 1001)</f>
        <v>0</v>
      </c>
      <c r="Q1005" cm="1">
        <f t="array" aca="1" ref="Q1005" ca="1">INDIRECT("Data!K" &amp; 1001)</f>
        <v>0</v>
      </c>
      <c r="R1005" cm="1">
        <f t="array" aca="1" ref="R1005" ca="1">INDIRECT("Data!L" &amp; 1001)</f>
        <v>0</v>
      </c>
      <c r="S1005" cm="1">
        <f t="array" aca="1" ref="S1005" ca="1">INDIRECT("Data!M" &amp; 1001)</f>
        <v>0</v>
      </c>
      <c r="T1005" cm="1">
        <f t="array" aca="1" ref="T1005" ca="1">INDIRECT("Data!N" &amp; 1001)</f>
        <v>0</v>
      </c>
      <c r="U1005" cm="1">
        <f t="array" aca="1" ref="U1005" ca="1">INDIRECT("Data!O" &amp; 1001)</f>
        <v>0</v>
      </c>
      <c r="V1005" cm="1">
        <f t="array" aca="1" ref="V1005" ca="1">INDIRECT("Data!P" &amp; 1001)</f>
        <v>0</v>
      </c>
    </row>
    <row r="1006" spans="7:22" x14ac:dyDescent="0.25">
      <c r="G1006" cm="1">
        <f t="array" aca="1" ref="G1006" ca="1">INDIRECT("Data!A" &amp; 1000)</f>
        <v>0</v>
      </c>
      <c r="H1006" s="21" cm="1">
        <f t="array" aca="1" ref="H1006" ca="1">INDIRECT("Data!B" &amp; 1000)</f>
        <v>0</v>
      </c>
      <c r="I1006" s="21" cm="1">
        <f t="array" aca="1" ref="I1006" ca="1">INDIRECT("Data!C" &amp; 1000)</f>
        <v>0</v>
      </c>
      <c r="J1006" cm="1">
        <f t="array" aca="1" ref="J1006" ca="1">INDIRECT("Data!D" &amp; 1000)</f>
        <v>0</v>
      </c>
      <c r="K1006" cm="1">
        <f t="array" aca="1" ref="K1006" ca="1">INDIRECT("Data!E" &amp; 1000)</f>
        <v>0</v>
      </c>
      <c r="L1006" cm="1">
        <f t="array" aca="1" ref="L1006" ca="1">INDIRECT("Data!F" &amp; 1000)</f>
        <v>0</v>
      </c>
      <c r="M1006" cm="1">
        <f t="array" aca="1" ref="M1006" ca="1">INDIRECT("Data!G" &amp; 1000)</f>
        <v>0</v>
      </c>
      <c r="N1006" cm="1">
        <f t="array" aca="1" ref="N1006" ca="1">INDIRECT("Data!H" &amp; 1000)</f>
        <v>0</v>
      </c>
      <c r="O1006" cm="1">
        <f t="array" aca="1" ref="O1006" ca="1">INDIRECT("Data!I" &amp; 1000)</f>
        <v>0</v>
      </c>
      <c r="P1006" s="21" cm="1">
        <f t="array" aca="1" ref="P1006" ca="1">INDIRECT("Data!J" &amp; 1000)</f>
        <v>0</v>
      </c>
      <c r="Q1006" cm="1">
        <f t="array" aca="1" ref="Q1006" ca="1">INDIRECT("Data!K" &amp; 1000)</f>
        <v>0</v>
      </c>
      <c r="R1006" cm="1">
        <f t="array" aca="1" ref="R1006" ca="1">INDIRECT("Data!L" &amp; 1000)</f>
        <v>0</v>
      </c>
      <c r="S1006" cm="1">
        <f t="array" aca="1" ref="S1006" ca="1">INDIRECT("Data!M" &amp; 1000)</f>
        <v>0</v>
      </c>
      <c r="T1006" cm="1">
        <f t="array" aca="1" ref="T1006" ca="1">INDIRECT("Data!N" &amp; 1000)</f>
        <v>0</v>
      </c>
      <c r="U1006" cm="1">
        <f t="array" aca="1" ref="U1006" ca="1">INDIRECT("Data!O" &amp; 1000)</f>
        <v>0</v>
      </c>
      <c r="V1006" cm="1">
        <f t="array" aca="1" ref="V1006" ca="1">INDIRECT("Data!P" &amp; 1000)</f>
        <v>0</v>
      </c>
    </row>
    <row r="1007" spans="7:22" x14ac:dyDescent="0.25">
      <c r="G1007" cm="1">
        <f t="array" aca="1" ref="G1007" ca="1">INDIRECT("Data!A" &amp; 1002)</f>
        <v>0</v>
      </c>
      <c r="H1007" s="21" cm="1">
        <f t="array" aca="1" ref="H1007" ca="1">INDIRECT("Data!B" &amp; 1002)</f>
        <v>0</v>
      </c>
      <c r="I1007" s="21" cm="1">
        <f t="array" aca="1" ref="I1007" ca="1">INDIRECT("Data!C" &amp; 1002)</f>
        <v>0</v>
      </c>
      <c r="J1007" cm="1">
        <f t="array" aca="1" ref="J1007" ca="1">INDIRECT("Data!D" &amp; 1002)</f>
        <v>0</v>
      </c>
      <c r="K1007" cm="1">
        <f t="array" aca="1" ref="K1007" ca="1">INDIRECT("Data!E" &amp; 1002)</f>
        <v>0</v>
      </c>
      <c r="L1007" cm="1">
        <f t="array" aca="1" ref="L1007" ca="1">INDIRECT("Data!F" &amp; 1002)</f>
        <v>0</v>
      </c>
      <c r="M1007" cm="1">
        <f t="array" aca="1" ref="M1007" ca="1">INDIRECT("Data!G" &amp; 1002)</f>
        <v>0</v>
      </c>
      <c r="N1007" cm="1">
        <f t="array" aca="1" ref="N1007" ca="1">INDIRECT("Data!H" &amp; 1002)</f>
        <v>0</v>
      </c>
      <c r="O1007" cm="1">
        <f t="array" aca="1" ref="O1007" ca="1">INDIRECT("Data!I" &amp; 1002)</f>
        <v>0</v>
      </c>
      <c r="P1007" s="21" cm="1">
        <f t="array" aca="1" ref="P1007" ca="1">INDIRECT("Data!J" &amp; 1002)</f>
        <v>0</v>
      </c>
      <c r="Q1007" cm="1">
        <f t="array" aca="1" ref="Q1007" ca="1">INDIRECT("Data!K" &amp; 1002)</f>
        <v>0</v>
      </c>
      <c r="R1007" cm="1">
        <f t="array" aca="1" ref="R1007" ca="1">INDIRECT("Data!L" &amp; 1002)</f>
        <v>0</v>
      </c>
      <c r="S1007" cm="1">
        <f t="array" aca="1" ref="S1007" ca="1">INDIRECT("Data!M" &amp; 1002)</f>
        <v>0</v>
      </c>
      <c r="T1007" cm="1">
        <f t="array" aca="1" ref="T1007" ca="1">INDIRECT("Data!N" &amp; 1002)</f>
        <v>0</v>
      </c>
      <c r="U1007" cm="1">
        <f t="array" aca="1" ref="U1007" ca="1">INDIRECT("Data!O" &amp; 1002)</f>
        <v>0</v>
      </c>
      <c r="V1007" cm="1">
        <f t="array" aca="1" ref="V1007" ca="1">INDIRECT("Data!P" &amp; 1002)</f>
        <v>0</v>
      </c>
    </row>
    <row r="1008" spans="7:22" x14ac:dyDescent="0.25">
      <c r="G1008" cm="1">
        <f t="array" aca="1" ref="G1008" ca="1">INDIRECT("Data!A" &amp; 1003)</f>
        <v>0</v>
      </c>
      <c r="H1008" s="21" cm="1">
        <f t="array" aca="1" ref="H1008" ca="1">INDIRECT("Data!B" &amp; 1003)</f>
        <v>0</v>
      </c>
      <c r="I1008" s="21" cm="1">
        <f t="array" aca="1" ref="I1008" ca="1">INDIRECT("Data!C" &amp; 1003)</f>
        <v>0</v>
      </c>
      <c r="J1008" cm="1">
        <f t="array" aca="1" ref="J1008" ca="1">INDIRECT("Data!D" &amp; 1003)</f>
        <v>0</v>
      </c>
      <c r="K1008" cm="1">
        <f t="array" aca="1" ref="K1008" ca="1">INDIRECT("Data!E" &amp; 1003)</f>
        <v>0</v>
      </c>
      <c r="L1008" cm="1">
        <f t="array" aca="1" ref="L1008" ca="1">INDIRECT("Data!F" &amp; 1003)</f>
        <v>0</v>
      </c>
      <c r="M1008" cm="1">
        <f t="array" aca="1" ref="M1008" ca="1">INDIRECT("Data!G" &amp; 1003)</f>
        <v>0</v>
      </c>
      <c r="N1008" cm="1">
        <f t="array" aca="1" ref="N1008" ca="1">INDIRECT("Data!H" &amp; 1003)</f>
        <v>0</v>
      </c>
      <c r="O1008" cm="1">
        <f t="array" aca="1" ref="O1008" ca="1">INDIRECT("Data!I" &amp; 1003)</f>
        <v>0</v>
      </c>
      <c r="P1008" s="21" cm="1">
        <f t="array" aca="1" ref="P1008" ca="1">INDIRECT("Data!J" &amp; 1003)</f>
        <v>0</v>
      </c>
      <c r="Q1008" cm="1">
        <f t="array" aca="1" ref="Q1008" ca="1">INDIRECT("Data!K" &amp; 1003)</f>
        <v>0</v>
      </c>
      <c r="R1008" cm="1">
        <f t="array" aca="1" ref="R1008" ca="1">INDIRECT("Data!L" &amp; 1003)</f>
        <v>0</v>
      </c>
      <c r="S1008" cm="1">
        <f t="array" aca="1" ref="S1008" ca="1">INDIRECT("Data!M" &amp; 1003)</f>
        <v>0</v>
      </c>
      <c r="T1008" cm="1">
        <f t="array" aca="1" ref="T1008" ca="1">INDIRECT("Data!N" &amp; 1003)</f>
        <v>0</v>
      </c>
      <c r="U1008" cm="1">
        <f t="array" aca="1" ref="U1008" ca="1">INDIRECT("Data!O" &amp; 1003)</f>
        <v>0</v>
      </c>
      <c r="V1008" cm="1">
        <f t="array" aca="1" ref="V1008" ca="1">INDIRECT("Data!P" &amp; 1003)</f>
        <v>0</v>
      </c>
    </row>
    <row r="1009" spans="7:22" x14ac:dyDescent="0.25">
      <c r="G1009" cm="1">
        <f t="array" aca="1" ref="G1009" ca="1">INDIRECT("Data!A" &amp; 1004)</f>
        <v>0</v>
      </c>
      <c r="H1009" s="21" cm="1">
        <f t="array" aca="1" ref="H1009" ca="1">INDIRECT("Data!B" &amp; 1004)</f>
        <v>0</v>
      </c>
      <c r="I1009" s="21" cm="1">
        <f t="array" aca="1" ref="I1009" ca="1">INDIRECT("Data!C" &amp; 1004)</f>
        <v>0</v>
      </c>
      <c r="J1009" cm="1">
        <f t="array" aca="1" ref="J1009" ca="1">INDIRECT("Data!D" &amp; 1004)</f>
        <v>0</v>
      </c>
      <c r="K1009" cm="1">
        <f t="array" aca="1" ref="K1009" ca="1">INDIRECT("Data!E" &amp; 1004)</f>
        <v>0</v>
      </c>
      <c r="L1009" cm="1">
        <f t="array" aca="1" ref="L1009" ca="1">INDIRECT("Data!F" &amp; 1004)</f>
        <v>0</v>
      </c>
      <c r="M1009" cm="1">
        <f t="array" aca="1" ref="M1009" ca="1">INDIRECT("Data!G" &amp; 1004)</f>
        <v>0</v>
      </c>
      <c r="N1009" cm="1">
        <f t="array" aca="1" ref="N1009" ca="1">INDIRECT("Data!H" &amp; 1004)</f>
        <v>0</v>
      </c>
      <c r="O1009" cm="1">
        <f t="array" aca="1" ref="O1009" ca="1">INDIRECT("Data!I" &amp; 1004)</f>
        <v>0</v>
      </c>
      <c r="P1009" s="21" cm="1">
        <f t="array" aca="1" ref="P1009" ca="1">INDIRECT("Data!J" &amp; 1004)</f>
        <v>0</v>
      </c>
      <c r="Q1009" cm="1">
        <f t="array" aca="1" ref="Q1009" ca="1">INDIRECT("Data!K" &amp; 1004)</f>
        <v>0</v>
      </c>
      <c r="R1009" cm="1">
        <f t="array" aca="1" ref="R1009" ca="1">INDIRECT("Data!L" &amp; 1004)</f>
        <v>0</v>
      </c>
      <c r="S1009" cm="1">
        <f t="array" aca="1" ref="S1009" ca="1">INDIRECT("Data!M" &amp; 1004)</f>
        <v>0</v>
      </c>
      <c r="T1009" cm="1">
        <f t="array" aca="1" ref="T1009" ca="1">INDIRECT("Data!N" &amp; 1004)</f>
        <v>0</v>
      </c>
      <c r="U1009" cm="1">
        <f t="array" aca="1" ref="U1009" ca="1">INDIRECT("Data!O" &amp; 1004)</f>
        <v>0</v>
      </c>
      <c r="V1009" cm="1">
        <f t="array" aca="1" ref="V1009" ca="1">INDIRECT("Data!P" &amp; 1004)</f>
        <v>0</v>
      </c>
    </row>
    <row r="1010" spans="7:22" x14ac:dyDescent="0.25">
      <c r="G1010" cm="1">
        <f t="array" aca="1" ref="G1010" ca="1">INDIRECT("Data!A" &amp; 1005)</f>
        <v>0</v>
      </c>
      <c r="H1010" s="21" cm="1">
        <f t="array" aca="1" ref="H1010" ca="1">INDIRECT("Data!B" &amp; 1005)</f>
        <v>0</v>
      </c>
      <c r="I1010" s="21" cm="1">
        <f t="array" aca="1" ref="I1010" ca="1">INDIRECT("Data!C" &amp; 1005)</f>
        <v>0</v>
      </c>
      <c r="J1010" cm="1">
        <f t="array" aca="1" ref="J1010" ca="1">INDIRECT("Data!D" &amp; 1005)</f>
        <v>0</v>
      </c>
      <c r="K1010" cm="1">
        <f t="array" aca="1" ref="K1010" ca="1">INDIRECT("Data!E" &amp; 1005)</f>
        <v>0</v>
      </c>
      <c r="L1010" cm="1">
        <f t="array" aca="1" ref="L1010" ca="1">INDIRECT("Data!F" &amp; 1005)</f>
        <v>0</v>
      </c>
      <c r="M1010" cm="1">
        <f t="array" aca="1" ref="M1010" ca="1">INDIRECT("Data!G" &amp; 1005)</f>
        <v>0</v>
      </c>
      <c r="N1010" cm="1">
        <f t="array" aca="1" ref="N1010" ca="1">INDIRECT("Data!H" &amp; 1005)</f>
        <v>0</v>
      </c>
      <c r="O1010" cm="1">
        <f t="array" aca="1" ref="O1010" ca="1">INDIRECT("Data!I" &amp; 1005)</f>
        <v>0</v>
      </c>
      <c r="P1010" s="21" cm="1">
        <f t="array" aca="1" ref="P1010" ca="1">INDIRECT("Data!J" &amp; 1005)</f>
        <v>0</v>
      </c>
      <c r="Q1010" cm="1">
        <f t="array" aca="1" ref="Q1010" ca="1">INDIRECT("Data!K" &amp; 1005)</f>
        <v>0</v>
      </c>
      <c r="R1010" cm="1">
        <f t="array" aca="1" ref="R1010" ca="1">INDIRECT("Data!L" &amp; 1005)</f>
        <v>0</v>
      </c>
      <c r="S1010" cm="1">
        <f t="array" aca="1" ref="S1010" ca="1">INDIRECT("Data!M" &amp; 1005)</f>
        <v>0</v>
      </c>
      <c r="T1010" cm="1">
        <f t="array" aca="1" ref="T1010" ca="1">INDIRECT("Data!N" &amp; 1005)</f>
        <v>0</v>
      </c>
      <c r="U1010" cm="1">
        <f t="array" aca="1" ref="U1010" ca="1">INDIRECT("Data!O" &amp; 1005)</f>
        <v>0</v>
      </c>
      <c r="V1010" cm="1">
        <f t="array" aca="1" ref="V1010" ca="1">INDIRECT("Data!P" &amp; 1005)</f>
        <v>0</v>
      </c>
    </row>
    <row r="1011" spans="7:22" x14ac:dyDescent="0.25">
      <c r="G1011" cm="1">
        <f t="array" aca="1" ref="G1011" ca="1">INDIRECT("Data!A" &amp; 1006)</f>
        <v>0</v>
      </c>
      <c r="H1011" s="21" cm="1">
        <f t="array" aca="1" ref="H1011" ca="1">INDIRECT("Data!B" &amp; 1006)</f>
        <v>0</v>
      </c>
      <c r="I1011" s="21" cm="1">
        <f t="array" aca="1" ref="I1011" ca="1">INDIRECT("Data!C" &amp; 1006)</f>
        <v>0</v>
      </c>
      <c r="J1011" cm="1">
        <f t="array" aca="1" ref="J1011" ca="1">INDIRECT("Data!D" &amp; 1006)</f>
        <v>0</v>
      </c>
      <c r="K1011" cm="1">
        <f t="array" aca="1" ref="K1011" ca="1">INDIRECT("Data!E" &amp; 1006)</f>
        <v>0</v>
      </c>
      <c r="L1011" cm="1">
        <f t="array" aca="1" ref="L1011" ca="1">INDIRECT("Data!F" &amp; 1006)</f>
        <v>0</v>
      </c>
      <c r="M1011" cm="1">
        <f t="array" aca="1" ref="M1011" ca="1">INDIRECT("Data!G" &amp; 1006)</f>
        <v>0</v>
      </c>
      <c r="N1011" cm="1">
        <f t="array" aca="1" ref="N1011" ca="1">INDIRECT("Data!H" &amp; 1006)</f>
        <v>0</v>
      </c>
      <c r="O1011" cm="1">
        <f t="array" aca="1" ref="O1011" ca="1">INDIRECT("Data!I" &amp; 1006)</f>
        <v>0</v>
      </c>
      <c r="P1011" s="21" cm="1">
        <f t="array" aca="1" ref="P1011" ca="1">INDIRECT("Data!J" &amp; 1006)</f>
        <v>0</v>
      </c>
      <c r="Q1011" cm="1">
        <f t="array" aca="1" ref="Q1011" ca="1">INDIRECT("Data!K" &amp; 1006)</f>
        <v>0</v>
      </c>
      <c r="R1011" cm="1">
        <f t="array" aca="1" ref="R1011" ca="1">INDIRECT("Data!L" &amp; 1006)</f>
        <v>0</v>
      </c>
      <c r="S1011" cm="1">
        <f t="array" aca="1" ref="S1011" ca="1">INDIRECT("Data!M" &amp; 1006)</f>
        <v>0</v>
      </c>
      <c r="T1011" cm="1">
        <f t="array" aca="1" ref="T1011" ca="1">INDIRECT("Data!N" &amp; 1006)</f>
        <v>0</v>
      </c>
      <c r="U1011" cm="1">
        <f t="array" aca="1" ref="U1011" ca="1">INDIRECT("Data!O" &amp; 1006)</f>
        <v>0</v>
      </c>
      <c r="V1011" cm="1">
        <f t="array" aca="1" ref="V1011" ca="1">INDIRECT("Data!P" &amp; 1006)</f>
        <v>0</v>
      </c>
    </row>
    <row r="1012" spans="7:22" x14ac:dyDescent="0.25">
      <c r="G1012" cm="1">
        <f t="array" aca="1" ref="G1012" ca="1">INDIRECT("Data!A" &amp; 1007)</f>
        <v>0</v>
      </c>
      <c r="H1012" s="21" cm="1">
        <f t="array" aca="1" ref="H1012" ca="1">INDIRECT("Data!B" &amp; 1007)</f>
        <v>0</v>
      </c>
      <c r="I1012" s="21" cm="1">
        <f t="array" aca="1" ref="I1012" ca="1">INDIRECT("Data!C" &amp; 1007)</f>
        <v>0</v>
      </c>
      <c r="J1012" cm="1">
        <f t="array" aca="1" ref="J1012" ca="1">INDIRECT("Data!D" &amp; 1007)</f>
        <v>0</v>
      </c>
      <c r="K1012" cm="1">
        <f t="array" aca="1" ref="K1012" ca="1">INDIRECT("Data!E" &amp; 1007)</f>
        <v>0</v>
      </c>
      <c r="L1012" cm="1">
        <f t="array" aca="1" ref="L1012" ca="1">INDIRECT("Data!F" &amp; 1007)</f>
        <v>0</v>
      </c>
      <c r="M1012" cm="1">
        <f t="array" aca="1" ref="M1012" ca="1">INDIRECT("Data!G" &amp; 1007)</f>
        <v>0</v>
      </c>
      <c r="N1012" cm="1">
        <f t="array" aca="1" ref="N1012" ca="1">INDIRECT("Data!H" &amp; 1007)</f>
        <v>0</v>
      </c>
      <c r="O1012" cm="1">
        <f t="array" aca="1" ref="O1012" ca="1">INDIRECT("Data!I" &amp; 1007)</f>
        <v>0</v>
      </c>
      <c r="P1012" s="21" cm="1">
        <f t="array" aca="1" ref="P1012" ca="1">INDIRECT("Data!J" &amp; 1007)</f>
        <v>0</v>
      </c>
      <c r="Q1012" cm="1">
        <f t="array" aca="1" ref="Q1012" ca="1">INDIRECT("Data!K" &amp; 1007)</f>
        <v>0</v>
      </c>
      <c r="R1012" cm="1">
        <f t="array" aca="1" ref="R1012" ca="1">INDIRECT("Data!L" &amp; 1007)</f>
        <v>0</v>
      </c>
      <c r="S1012" cm="1">
        <f t="array" aca="1" ref="S1012" ca="1">INDIRECT("Data!M" &amp; 1007)</f>
        <v>0</v>
      </c>
      <c r="T1012" cm="1">
        <f t="array" aca="1" ref="T1012" ca="1">INDIRECT("Data!N" &amp; 1007)</f>
        <v>0</v>
      </c>
      <c r="U1012" cm="1">
        <f t="array" aca="1" ref="U1012" ca="1">INDIRECT("Data!O" &amp; 1007)</f>
        <v>0</v>
      </c>
      <c r="V1012" cm="1">
        <f t="array" aca="1" ref="V1012" ca="1">INDIRECT("Data!P" &amp; 1007)</f>
        <v>0</v>
      </c>
    </row>
    <row r="1013" spans="7:22" x14ac:dyDescent="0.25">
      <c r="G1013" cm="1">
        <f t="array" aca="1" ref="G1013" ca="1">INDIRECT("Data!A" &amp; 1008)</f>
        <v>0</v>
      </c>
      <c r="H1013" s="21" cm="1">
        <f t="array" aca="1" ref="H1013" ca="1">INDIRECT("Data!B" &amp; 1008)</f>
        <v>0</v>
      </c>
      <c r="I1013" s="21" cm="1">
        <f t="array" aca="1" ref="I1013" ca="1">INDIRECT("Data!C" &amp; 1008)</f>
        <v>0</v>
      </c>
      <c r="J1013" cm="1">
        <f t="array" aca="1" ref="J1013" ca="1">INDIRECT("Data!D" &amp; 1008)</f>
        <v>0</v>
      </c>
      <c r="K1013" cm="1">
        <f t="array" aca="1" ref="K1013" ca="1">INDIRECT("Data!E" &amp; 1008)</f>
        <v>0</v>
      </c>
      <c r="L1013" cm="1">
        <f t="array" aca="1" ref="L1013" ca="1">INDIRECT("Data!F" &amp; 1008)</f>
        <v>0</v>
      </c>
      <c r="M1013" cm="1">
        <f t="array" aca="1" ref="M1013" ca="1">INDIRECT("Data!G" &amp; 1008)</f>
        <v>0</v>
      </c>
      <c r="N1013" cm="1">
        <f t="array" aca="1" ref="N1013" ca="1">INDIRECT("Data!H" &amp; 1008)</f>
        <v>0</v>
      </c>
      <c r="O1013" cm="1">
        <f t="array" aca="1" ref="O1013" ca="1">INDIRECT("Data!I" &amp; 1008)</f>
        <v>0</v>
      </c>
      <c r="P1013" s="21" cm="1">
        <f t="array" aca="1" ref="P1013" ca="1">INDIRECT("Data!J" &amp; 1008)</f>
        <v>0</v>
      </c>
      <c r="Q1013" cm="1">
        <f t="array" aca="1" ref="Q1013" ca="1">INDIRECT("Data!K" &amp; 1008)</f>
        <v>0</v>
      </c>
      <c r="R1013" cm="1">
        <f t="array" aca="1" ref="R1013" ca="1">INDIRECT("Data!L" &amp; 1008)</f>
        <v>0</v>
      </c>
      <c r="S1013" cm="1">
        <f t="array" aca="1" ref="S1013" ca="1">INDIRECT("Data!M" &amp; 1008)</f>
        <v>0</v>
      </c>
      <c r="T1013" cm="1">
        <f t="array" aca="1" ref="T1013" ca="1">INDIRECT("Data!N" &amp; 1008)</f>
        <v>0</v>
      </c>
      <c r="U1013" cm="1">
        <f t="array" aca="1" ref="U1013" ca="1">INDIRECT("Data!O" &amp; 1008)</f>
        <v>0</v>
      </c>
      <c r="V1013" cm="1">
        <f t="array" aca="1" ref="V1013" ca="1">INDIRECT("Data!P" &amp; 1008)</f>
        <v>0</v>
      </c>
    </row>
    <row r="1014" spans="7:22" x14ac:dyDescent="0.25">
      <c r="G1014" cm="1">
        <f t="array" aca="1" ref="G1014" ca="1">INDIRECT("Data!A" &amp; 1009)</f>
        <v>0</v>
      </c>
      <c r="H1014" s="21" cm="1">
        <f t="array" aca="1" ref="H1014" ca="1">INDIRECT("Data!B" &amp; 1009)</f>
        <v>0</v>
      </c>
      <c r="I1014" s="21" cm="1">
        <f t="array" aca="1" ref="I1014" ca="1">INDIRECT("Data!C" &amp; 1009)</f>
        <v>0</v>
      </c>
      <c r="J1014" cm="1">
        <f t="array" aca="1" ref="J1014" ca="1">INDIRECT("Data!D" &amp; 1009)</f>
        <v>0</v>
      </c>
      <c r="K1014" cm="1">
        <f t="array" aca="1" ref="K1014" ca="1">INDIRECT("Data!E" &amp; 1009)</f>
        <v>0</v>
      </c>
      <c r="L1014" cm="1">
        <f t="array" aca="1" ref="L1014" ca="1">INDIRECT("Data!F" &amp; 1009)</f>
        <v>0</v>
      </c>
      <c r="M1014" cm="1">
        <f t="array" aca="1" ref="M1014" ca="1">INDIRECT("Data!G" &amp; 1009)</f>
        <v>0</v>
      </c>
      <c r="N1014" cm="1">
        <f t="array" aca="1" ref="N1014" ca="1">INDIRECT("Data!H" &amp; 1009)</f>
        <v>0</v>
      </c>
      <c r="O1014" cm="1">
        <f t="array" aca="1" ref="O1014" ca="1">INDIRECT("Data!I" &amp; 1009)</f>
        <v>0</v>
      </c>
      <c r="P1014" s="21" cm="1">
        <f t="array" aca="1" ref="P1014" ca="1">INDIRECT("Data!J" &amp; 1009)</f>
        <v>0</v>
      </c>
      <c r="Q1014" cm="1">
        <f t="array" aca="1" ref="Q1014" ca="1">INDIRECT("Data!K" &amp; 1009)</f>
        <v>0</v>
      </c>
      <c r="R1014" cm="1">
        <f t="array" aca="1" ref="R1014" ca="1">INDIRECT("Data!L" &amp; 1009)</f>
        <v>0</v>
      </c>
      <c r="S1014" cm="1">
        <f t="array" aca="1" ref="S1014" ca="1">INDIRECT("Data!M" &amp; 1009)</f>
        <v>0</v>
      </c>
      <c r="T1014" cm="1">
        <f t="array" aca="1" ref="T1014" ca="1">INDIRECT("Data!N" &amp; 1009)</f>
        <v>0</v>
      </c>
      <c r="U1014" cm="1">
        <f t="array" aca="1" ref="U1014" ca="1">INDIRECT("Data!O" &amp; 1009)</f>
        <v>0</v>
      </c>
      <c r="V1014" cm="1">
        <f t="array" aca="1" ref="V1014" ca="1">INDIRECT("Data!P" &amp; 1009)</f>
        <v>0</v>
      </c>
    </row>
    <row r="1015" spans="7:22" x14ac:dyDescent="0.25">
      <c r="G1015" cm="1">
        <f t="array" aca="1" ref="G1015" ca="1">INDIRECT("Data!A" &amp; 1010)</f>
        <v>0</v>
      </c>
      <c r="H1015" s="21" cm="1">
        <f t="array" aca="1" ref="H1015" ca="1">INDIRECT("Data!B" &amp; 1010)</f>
        <v>0</v>
      </c>
      <c r="I1015" s="21" cm="1">
        <f t="array" aca="1" ref="I1015" ca="1">INDIRECT("Data!C" &amp; 1010)</f>
        <v>0</v>
      </c>
      <c r="J1015" cm="1">
        <f t="array" aca="1" ref="J1015" ca="1">INDIRECT("Data!D" &amp; 1010)</f>
        <v>0</v>
      </c>
      <c r="K1015" cm="1">
        <f t="array" aca="1" ref="K1015" ca="1">INDIRECT("Data!E" &amp; 1010)</f>
        <v>0</v>
      </c>
      <c r="L1015" cm="1">
        <f t="array" aca="1" ref="L1015" ca="1">INDIRECT("Data!F" &amp; 1010)</f>
        <v>0</v>
      </c>
      <c r="M1015" cm="1">
        <f t="array" aca="1" ref="M1015" ca="1">INDIRECT("Data!G" &amp; 1010)</f>
        <v>0</v>
      </c>
      <c r="N1015" cm="1">
        <f t="array" aca="1" ref="N1015" ca="1">INDIRECT("Data!H" &amp; 1010)</f>
        <v>0</v>
      </c>
      <c r="O1015" cm="1">
        <f t="array" aca="1" ref="O1015" ca="1">INDIRECT("Data!I" &amp; 1010)</f>
        <v>0</v>
      </c>
      <c r="P1015" s="21" cm="1">
        <f t="array" aca="1" ref="P1015" ca="1">INDIRECT("Data!J" &amp; 1010)</f>
        <v>0</v>
      </c>
      <c r="Q1015" cm="1">
        <f t="array" aca="1" ref="Q1015" ca="1">INDIRECT("Data!K" &amp; 1010)</f>
        <v>0</v>
      </c>
      <c r="R1015" cm="1">
        <f t="array" aca="1" ref="R1015" ca="1">INDIRECT("Data!L" &amp; 1010)</f>
        <v>0</v>
      </c>
      <c r="S1015" cm="1">
        <f t="array" aca="1" ref="S1015" ca="1">INDIRECT("Data!M" &amp; 1010)</f>
        <v>0</v>
      </c>
      <c r="T1015" cm="1">
        <f t="array" aca="1" ref="T1015" ca="1">INDIRECT("Data!N" &amp; 1010)</f>
        <v>0</v>
      </c>
      <c r="U1015" cm="1">
        <f t="array" aca="1" ref="U1015" ca="1">INDIRECT("Data!O" &amp; 1010)</f>
        <v>0</v>
      </c>
      <c r="V1015" cm="1">
        <f t="array" aca="1" ref="V1015" ca="1">INDIRECT("Data!P" &amp; 1010)</f>
        <v>0</v>
      </c>
    </row>
    <row r="1016" spans="7:22" x14ac:dyDescent="0.25">
      <c r="G1016" cm="1">
        <f t="array" aca="1" ref="G1016" ca="1">INDIRECT("Data!A" &amp; 1011)</f>
        <v>0</v>
      </c>
      <c r="H1016" s="21" cm="1">
        <f t="array" aca="1" ref="H1016" ca="1">INDIRECT("Data!B" &amp; 1011)</f>
        <v>0</v>
      </c>
      <c r="I1016" s="21" cm="1">
        <f t="array" aca="1" ref="I1016" ca="1">INDIRECT("Data!C" &amp; 1011)</f>
        <v>0</v>
      </c>
      <c r="J1016" cm="1">
        <f t="array" aca="1" ref="J1016" ca="1">INDIRECT("Data!D" &amp; 1011)</f>
        <v>0</v>
      </c>
      <c r="K1016" cm="1">
        <f t="array" aca="1" ref="K1016" ca="1">INDIRECT("Data!E" &amp; 1011)</f>
        <v>0</v>
      </c>
      <c r="L1016" cm="1">
        <f t="array" aca="1" ref="L1016" ca="1">INDIRECT("Data!F" &amp; 1011)</f>
        <v>0</v>
      </c>
      <c r="M1016" cm="1">
        <f t="array" aca="1" ref="M1016" ca="1">INDIRECT("Data!G" &amp; 1011)</f>
        <v>0</v>
      </c>
      <c r="N1016" cm="1">
        <f t="array" aca="1" ref="N1016" ca="1">INDIRECT("Data!H" &amp; 1011)</f>
        <v>0</v>
      </c>
      <c r="O1016" cm="1">
        <f t="array" aca="1" ref="O1016" ca="1">INDIRECT("Data!I" &amp; 1011)</f>
        <v>0</v>
      </c>
      <c r="P1016" s="21" cm="1">
        <f t="array" aca="1" ref="P1016" ca="1">INDIRECT("Data!J" &amp; 1011)</f>
        <v>0</v>
      </c>
      <c r="Q1016" cm="1">
        <f t="array" aca="1" ref="Q1016" ca="1">INDIRECT("Data!K" &amp; 1011)</f>
        <v>0</v>
      </c>
      <c r="R1016" cm="1">
        <f t="array" aca="1" ref="R1016" ca="1">INDIRECT("Data!L" &amp; 1011)</f>
        <v>0</v>
      </c>
      <c r="S1016" cm="1">
        <f t="array" aca="1" ref="S1016" ca="1">INDIRECT("Data!M" &amp; 1011)</f>
        <v>0</v>
      </c>
      <c r="T1016" cm="1">
        <f t="array" aca="1" ref="T1016" ca="1">INDIRECT("Data!N" &amp; 1011)</f>
        <v>0</v>
      </c>
      <c r="U1016" cm="1">
        <f t="array" aca="1" ref="U1016" ca="1">INDIRECT("Data!O" &amp; 1011)</f>
        <v>0</v>
      </c>
      <c r="V1016" cm="1">
        <f t="array" aca="1" ref="V1016" ca="1">INDIRECT("Data!P" &amp; 1011)</f>
        <v>0</v>
      </c>
    </row>
    <row r="1017" spans="7:22" x14ac:dyDescent="0.25">
      <c r="G1017" cm="1">
        <f t="array" aca="1" ref="G1017" ca="1">INDIRECT("Data!A" &amp; 1012)</f>
        <v>0</v>
      </c>
      <c r="H1017" s="21" cm="1">
        <f t="array" aca="1" ref="H1017" ca="1">INDIRECT("Data!B" &amp; 1012)</f>
        <v>0</v>
      </c>
      <c r="I1017" s="21" cm="1">
        <f t="array" aca="1" ref="I1017" ca="1">INDIRECT("Data!C" &amp; 1012)</f>
        <v>0</v>
      </c>
      <c r="J1017" cm="1">
        <f t="array" aca="1" ref="J1017" ca="1">INDIRECT("Data!D" &amp; 1012)</f>
        <v>0</v>
      </c>
      <c r="K1017" cm="1">
        <f t="array" aca="1" ref="K1017" ca="1">INDIRECT("Data!E" &amp; 1012)</f>
        <v>0</v>
      </c>
      <c r="L1017" cm="1">
        <f t="array" aca="1" ref="L1017" ca="1">INDIRECT("Data!F" &amp; 1012)</f>
        <v>0</v>
      </c>
      <c r="M1017" cm="1">
        <f t="array" aca="1" ref="M1017" ca="1">INDIRECT("Data!G" &amp; 1012)</f>
        <v>0</v>
      </c>
      <c r="N1017" cm="1">
        <f t="array" aca="1" ref="N1017" ca="1">INDIRECT("Data!H" &amp; 1012)</f>
        <v>0</v>
      </c>
      <c r="O1017" cm="1">
        <f t="array" aca="1" ref="O1017" ca="1">INDIRECT("Data!I" &amp; 1012)</f>
        <v>0</v>
      </c>
      <c r="P1017" s="21" cm="1">
        <f t="array" aca="1" ref="P1017" ca="1">INDIRECT("Data!J" &amp; 1012)</f>
        <v>0</v>
      </c>
      <c r="Q1017" cm="1">
        <f t="array" aca="1" ref="Q1017" ca="1">INDIRECT("Data!K" &amp; 1012)</f>
        <v>0</v>
      </c>
      <c r="R1017" cm="1">
        <f t="array" aca="1" ref="R1017" ca="1">INDIRECT("Data!L" &amp; 1012)</f>
        <v>0</v>
      </c>
      <c r="S1017" cm="1">
        <f t="array" aca="1" ref="S1017" ca="1">INDIRECT("Data!M" &amp; 1012)</f>
        <v>0</v>
      </c>
      <c r="T1017" cm="1">
        <f t="array" aca="1" ref="T1017" ca="1">INDIRECT("Data!N" &amp; 1012)</f>
        <v>0</v>
      </c>
      <c r="U1017" cm="1">
        <f t="array" aca="1" ref="U1017" ca="1">INDIRECT("Data!O" &amp; 1012)</f>
        <v>0</v>
      </c>
      <c r="V1017" cm="1">
        <f t="array" aca="1" ref="V1017" ca="1">INDIRECT("Data!P" &amp; 1012)</f>
        <v>0</v>
      </c>
    </row>
    <row r="1018" spans="7:22" x14ac:dyDescent="0.25">
      <c r="G1018" cm="1">
        <f t="array" aca="1" ref="G1018" ca="1">INDIRECT("Data!A" &amp; 1013)</f>
        <v>0</v>
      </c>
      <c r="H1018" s="21" cm="1">
        <f t="array" aca="1" ref="H1018" ca="1">INDIRECT("Data!B" &amp; 1013)</f>
        <v>0</v>
      </c>
      <c r="I1018" s="21" cm="1">
        <f t="array" aca="1" ref="I1018" ca="1">INDIRECT("Data!C" &amp; 1013)</f>
        <v>0</v>
      </c>
      <c r="J1018" cm="1">
        <f t="array" aca="1" ref="J1018" ca="1">INDIRECT("Data!D" &amp; 1013)</f>
        <v>0</v>
      </c>
      <c r="K1018" cm="1">
        <f t="array" aca="1" ref="K1018" ca="1">INDIRECT("Data!E" &amp; 1013)</f>
        <v>0</v>
      </c>
      <c r="L1018" cm="1">
        <f t="array" aca="1" ref="L1018" ca="1">INDIRECT("Data!F" &amp; 1013)</f>
        <v>0</v>
      </c>
      <c r="M1018" cm="1">
        <f t="array" aca="1" ref="M1018" ca="1">INDIRECT("Data!G" &amp; 1013)</f>
        <v>0</v>
      </c>
      <c r="N1018" cm="1">
        <f t="array" aca="1" ref="N1018" ca="1">INDIRECT("Data!H" &amp; 1013)</f>
        <v>0</v>
      </c>
      <c r="O1018" cm="1">
        <f t="array" aca="1" ref="O1018" ca="1">INDIRECT("Data!I" &amp; 1013)</f>
        <v>0</v>
      </c>
      <c r="P1018" s="21" cm="1">
        <f t="array" aca="1" ref="P1018" ca="1">INDIRECT("Data!J" &amp; 1013)</f>
        <v>0</v>
      </c>
      <c r="Q1018" cm="1">
        <f t="array" aca="1" ref="Q1018" ca="1">INDIRECT("Data!K" &amp; 1013)</f>
        <v>0</v>
      </c>
      <c r="R1018" cm="1">
        <f t="array" aca="1" ref="R1018" ca="1">INDIRECT("Data!L" &amp; 1013)</f>
        <v>0</v>
      </c>
      <c r="S1018" cm="1">
        <f t="array" aca="1" ref="S1018" ca="1">INDIRECT("Data!M" &amp; 1013)</f>
        <v>0</v>
      </c>
      <c r="T1018" cm="1">
        <f t="array" aca="1" ref="T1018" ca="1">INDIRECT("Data!N" &amp; 1013)</f>
        <v>0</v>
      </c>
      <c r="U1018" cm="1">
        <f t="array" aca="1" ref="U1018" ca="1">INDIRECT("Data!O" &amp; 1013)</f>
        <v>0</v>
      </c>
      <c r="V1018" cm="1">
        <f t="array" aca="1" ref="V1018" ca="1">INDIRECT("Data!P" &amp; 1013)</f>
        <v>0</v>
      </c>
    </row>
    <row r="1019" spans="7:22" x14ac:dyDescent="0.25">
      <c r="G1019" cm="1">
        <f t="array" aca="1" ref="G1019" ca="1">INDIRECT("Data!A" &amp; 1014)</f>
        <v>0</v>
      </c>
      <c r="H1019" s="21" cm="1">
        <f t="array" aca="1" ref="H1019" ca="1">INDIRECT("Data!B" &amp; 1014)</f>
        <v>0</v>
      </c>
      <c r="I1019" s="21" cm="1">
        <f t="array" aca="1" ref="I1019" ca="1">INDIRECT("Data!C" &amp; 1014)</f>
        <v>0</v>
      </c>
      <c r="J1019" cm="1">
        <f t="array" aca="1" ref="J1019" ca="1">INDIRECT("Data!D" &amp; 1014)</f>
        <v>0</v>
      </c>
      <c r="K1019" cm="1">
        <f t="array" aca="1" ref="K1019" ca="1">INDIRECT("Data!E" &amp; 1014)</f>
        <v>0</v>
      </c>
      <c r="L1019" cm="1">
        <f t="array" aca="1" ref="L1019" ca="1">INDIRECT("Data!F" &amp; 1014)</f>
        <v>0</v>
      </c>
      <c r="M1019" cm="1">
        <f t="array" aca="1" ref="M1019" ca="1">INDIRECT("Data!G" &amp; 1014)</f>
        <v>0</v>
      </c>
      <c r="N1019" cm="1">
        <f t="array" aca="1" ref="N1019" ca="1">INDIRECT("Data!H" &amp; 1014)</f>
        <v>0</v>
      </c>
      <c r="O1019" cm="1">
        <f t="array" aca="1" ref="O1019" ca="1">INDIRECT("Data!I" &amp; 1014)</f>
        <v>0</v>
      </c>
      <c r="P1019" s="21" cm="1">
        <f t="array" aca="1" ref="P1019" ca="1">INDIRECT("Data!J" &amp; 1014)</f>
        <v>0</v>
      </c>
      <c r="Q1019" cm="1">
        <f t="array" aca="1" ref="Q1019" ca="1">INDIRECT("Data!K" &amp; 1014)</f>
        <v>0</v>
      </c>
      <c r="R1019" cm="1">
        <f t="array" aca="1" ref="R1019" ca="1">INDIRECT("Data!L" &amp; 1014)</f>
        <v>0</v>
      </c>
      <c r="S1019" cm="1">
        <f t="array" aca="1" ref="S1019" ca="1">INDIRECT("Data!M" &amp; 1014)</f>
        <v>0</v>
      </c>
      <c r="T1019" cm="1">
        <f t="array" aca="1" ref="T1019" ca="1">INDIRECT("Data!N" &amp; 1014)</f>
        <v>0</v>
      </c>
      <c r="U1019" cm="1">
        <f t="array" aca="1" ref="U1019" ca="1">INDIRECT("Data!O" &amp; 1014)</f>
        <v>0</v>
      </c>
      <c r="V1019" cm="1">
        <f t="array" aca="1" ref="V1019" ca="1">INDIRECT("Data!P" &amp; 1014)</f>
        <v>0</v>
      </c>
    </row>
    <row r="1020" spans="7:22" x14ac:dyDescent="0.25">
      <c r="G1020" cm="1">
        <f t="array" aca="1" ref="G1020" ca="1">INDIRECT("Data!A" &amp; 1015)</f>
        <v>0</v>
      </c>
      <c r="H1020" s="21" cm="1">
        <f t="array" aca="1" ref="H1020" ca="1">INDIRECT("Data!B" &amp; 1015)</f>
        <v>0</v>
      </c>
      <c r="I1020" s="21" cm="1">
        <f t="array" aca="1" ref="I1020" ca="1">INDIRECT("Data!C" &amp; 1015)</f>
        <v>0</v>
      </c>
      <c r="J1020" cm="1">
        <f t="array" aca="1" ref="J1020" ca="1">INDIRECT("Data!D" &amp; 1015)</f>
        <v>0</v>
      </c>
      <c r="K1020" cm="1">
        <f t="array" aca="1" ref="K1020" ca="1">INDIRECT("Data!E" &amp; 1015)</f>
        <v>0</v>
      </c>
      <c r="L1020" cm="1">
        <f t="array" aca="1" ref="L1020" ca="1">INDIRECT("Data!F" &amp; 1015)</f>
        <v>0</v>
      </c>
      <c r="M1020" cm="1">
        <f t="array" aca="1" ref="M1020" ca="1">INDIRECT("Data!G" &amp; 1015)</f>
        <v>0</v>
      </c>
      <c r="N1020" cm="1">
        <f t="array" aca="1" ref="N1020" ca="1">INDIRECT("Data!H" &amp; 1015)</f>
        <v>0</v>
      </c>
      <c r="O1020" cm="1">
        <f t="array" aca="1" ref="O1020" ca="1">INDIRECT("Data!I" &amp; 1015)</f>
        <v>0</v>
      </c>
      <c r="P1020" s="21" cm="1">
        <f t="array" aca="1" ref="P1020" ca="1">INDIRECT("Data!J" &amp; 1015)</f>
        <v>0</v>
      </c>
      <c r="Q1020" cm="1">
        <f t="array" aca="1" ref="Q1020" ca="1">INDIRECT("Data!K" &amp; 1015)</f>
        <v>0</v>
      </c>
      <c r="R1020" cm="1">
        <f t="array" aca="1" ref="R1020" ca="1">INDIRECT("Data!L" &amp; 1015)</f>
        <v>0</v>
      </c>
      <c r="S1020" cm="1">
        <f t="array" aca="1" ref="S1020" ca="1">INDIRECT("Data!M" &amp; 1015)</f>
        <v>0</v>
      </c>
      <c r="T1020" cm="1">
        <f t="array" aca="1" ref="T1020" ca="1">INDIRECT("Data!N" &amp; 1015)</f>
        <v>0</v>
      </c>
      <c r="U1020" cm="1">
        <f t="array" aca="1" ref="U1020" ca="1">INDIRECT("Data!O" &amp; 1015)</f>
        <v>0</v>
      </c>
      <c r="V1020" cm="1">
        <f t="array" aca="1" ref="V1020" ca="1">INDIRECT("Data!P" &amp; 1015)</f>
        <v>0</v>
      </c>
    </row>
    <row r="1021" spans="7:22" x14ac:dyDescent="0.25">
      <c r="G1021" cm="1">
        <f t="array" aca="1" ref="G1021" ca="1">INDIRECT("Data!A" &amp; 1016)</f>
        <v>0</v>
      </c>
      <c r="H1021" s="21" cm="1">
        <f t="array" aca="1" ref="H1021" ca="1">INDIRECT("Data!B" &amp; 1016)</f>
        <v>0</v>
      </c>
      <c r="I1021" s="21" cm="1">
        <f t="array" aca="1" ref="I1021" ca="1">INDIRECT("Data!C" &amp; 1016)</f>
        <v>0</v>
      </c>
      <c r="J1021" cm="1">
        <f t="array" aca="1" ref="J1021" ca="1">INDIRECT("Data!D" &amp; 1016)</f>
        <v>0</v>
      </c>
      <c r="K1021" cm="1">
        <f t="array" aca="1" ref="K1021" ca="1">INDIRECT("Data!E" &amp; 1016)</f>
        <v>0</v>
      </c>
      <c r="L1021" cm="1">
        <f t="array" aca="1" ref="L1021" ca="1">INDIRECT("Data!F" &amp; 1016)</f>
        <v>0</v>
      </c>
      <c r="M1021" cm="1">
        <f t="array" aca="1" ref="M1021" ca="1">INDIRECT("Data!G" &amp; 1016)</f>
        <v>0</v>
      </c>
      <c r="N1021" cm="1">
        <f t="array" aca="1" ref="N1021" ca="1">INDIRECT("Data!H" &amp; 1016)</f>
        <v>0</v>
      </c>
      <c r="O1021" cm="1">
        <f t="array" aca="1" ref="O1021" ca="1">INDIRECT("Data!I" &amp; 1016)</f>
        <v>0</v>
      </c>
      <c r="P1021" s="21" cm="1">
        <f t="array" aca="1" ref="P1021" ca="1">INDIRECT("Data!J" &amp; 1016)</f>
        <v>0</v>
      </c>
      <c r="Q1021" cm="1">
        <f t="array" aca="1" ref="Q1021" ca="1">INDIRECT("Data!K" &amp; 1016)</f>
        <v>0</v>
      </c>
      <c r="R1021" cm="1">
        <f t="array" aca="1" ref="R1021" ca="1">INDIRECT("Data!L" &amp; 1016)</f>
        <v>0</v>
      </c>
      <c r="S1021" cm="1">
        <f t="array" aca="1" ref="S1021" ca="1">INDIRECT("Data!M" &amp; 1016)</f>
        <v>0</v>
      </c>
      <c r="T1021" cm="1">
        <f t="array" aca="1" ref="T1021" ca="1">INDIRECT("Data!N" &amp; 1016)</f>
        <v>0</v>
      </c>
      <c r="U1021" cm="1">
        <f t="array" aca="1" ref="U1021" ca="1">INDIRECT("Data!O" &amp; 1016)</f>
        <v>0</v>
      </c>
      <c r="V1021" cm="1">
        <f t="array" aca="1" ref="V1021" ca="1">INDIRECT("Data!P" &amp; 1016)</f>
        <v>0</v>
      </c>
    </row>
    <row r="1022" spans="7:22" x14ac:dyDescent="0.25">
      <c r="G1022" cm="1">
        <f t="array" aca="1" ref="G1022" ca="1">INDIRECT("Data!A" &amp; 1017)</f>
        <v>0</v>
      </c>
      <c r="H1022" s="21" cm="1">
        <f t="array" aca="1" ref="H1022" ca="1">INDIRECT("Data!B" &amp; 1017)</f>
        <v>0</v>
      </c>
      <c r="I1022" s="21" cm="1">
        <f t="array" aca="1" ref="I1022" ca="1">INDIRECT("Data!C" &amp; 1017)</f>
        <v>0</v>
      </c>
      <c r="J1022" cm="1">
        <f t="array" aca="1" ref="J1022" ca="1">INDIRECT("Data!D" &amp; 1017)</f>
        <v>0</v>
      </c>
      <c r="K1022" cm="1">
        <f t="array" aca="1" ref="K1022" ca="1">INDIRECT("Data!E" &amp; 1017)</f>
        <v>0</v>
      </c>
      <c r="L1022" cm="1">
        <f t="array" aca="1" ref="L1022" ca="1">INDIRECT("Data!F" &amp; 1017)</f>
        <v>0</v>
      </c>
      <c r="M1022" cm="1">
        <f t="array" aca="1" ref="M1022" ca="1">INDIRECT("Data!G" &amp; 1017)</f>
        <v>0</v>
      </c>
      <c r="N1022" cm="1">
        <f t="array" aca="1" ref="N1022" ca="1">INDIRECT("Data!H" &amp; 1017)</f>
        <v>0</v>
      </c>
      <c r="O1022" cm="1">
        <f t="array" aca="1" ref="O1022" ca="1">INDIRECT("Data!I" &amp; 1017)</f>
        <v>0</v>
      </c>
      <c r="P1022" s="21" cm="1">
        <f t="array" aca="1" ref="P1022" ca="1">INDIRECT("Data!J" &amp; 1017)</f>
        <v>0</v>
      </c>
      <c r="Q1022" cm="1">
        <f t="array" aca="1" ref="Q1022" ca="1">INDIRECT("Data!K" &amp; 1017)</f>
        <v>0</v>
      </c>
      <c r="R1022" cm="1">
        <f t="array" aca="1" ref="R1022" ca="1">INDIRECT("Data!L" &amp; 1017)</f>
        <v>0</v>
      </c>
      <c r="S1022" cm="1">
        <f t="array" aca="1" ref="S1022" ca="1">INDIRECT("Data!M" &amp; 1017)</f>
        <v>0</v>
      </c>
      <c r="T1022" cm="1">
        <f t="array" aca="1" ref="T1022" ca="1">INDIRECT("Data!N" &amp; 1017)</f>
        <v>0</v>
      </c>
      <c r="U1022" cm="1">
        <f t="array" aca="1" ref="U1022" ca="1">INDIRECT("Data!O" &amp; 1017)</f>
        <v>0</v>
      </c>
      <c r="V1022" cm="1">
        <f t="array" aca="1" ref="V1022" ca="1">INDIRECT("Data!P" &amp; 1017)</f>
        <v>0</v>
      </c>
    </row>
    <row r="1023" spans="7:22" x14ac:dyDescent="0.25">
      <c r="G1023" cm="1">
        <f t="array" aca="1" ref="G1023" ca="1">INDIRECT("Data!A" &amp; 1018)</f>
        <v>0</v>
      </c>
      <c r="H1023" s="21" cm="1">
        <f t="array" aca="1" ref="H1023" ca="1">INDIRECT("Data!B" &amp; 1018)</f>
        <v>0</v>
      </c>
      <c r="I1023" s="21" cm="1">
        <f t="array" aca="1" ref="I1023" ca="1">INDIRECT("Data!C" &amp; 1018)</f>
        <v>0</v>
      </c>
      <c r="J1023" cm="1">
        <f t="array" aca="1" ref="J1023" ca="1">INDIRECT("Data!D" &amp; 1018)</f>
        <v>0</v>
      </c>
      <c r="K1023" cm="1">
        <f t="array" aca="1" ref="K1023" ca="1">INDIRECT("Data!E" &amp; 1018)</f>
        <v>0</v>
      </c>
      <c r="L1023" cm="1">
        <f t="array" aca="1" ref="L1023" ca="1">INDIRECT("Data!F" &amp; 1018)</f>
        <v>0</v>
      </c>
      <c r="M1023" cm="1">
        <f t="array" aca="1" ref="M1023" ca="1">INDIRECT("Data!G" &amp; 1018)</f>
        <v>0</v>
      </c>
      <c r="N1023" cm="1">
        <f t="array" aca="1" ref="N1023" ca="1">INDIRECT("Data!H" &amp; 1018)</f>
        <v>0</v>
      </c>
      <c r="O1023" cm="1">
        <f t="array" aca="1" ref="O1023" ca="1">INDIRECT("Data!I" &amp; 1018)</f>
        <v>0</v>
      </c>
      <c r="P1023" s="21" cm="1">
        <f t="array" aca="1" ref="P1023" ca="1">INDIRECT("Data!J" &amp; 1018)</f>
        <v>0</v>
      </c>
      <c r="Q1023" cm="1">
        <f t="array" aca="1" ref="Q1023" ca="1">INDIRECT("Data!K" &amp; 1018)</f>
        <v>0</v>
      </c>
      <c r="R1023" cm="1">
        <f t="array" aca="1" ref="R1023" ca="1">INDIRECT("Data!L" &amp; 1018)</f>
        <v>0</v>
      </c>
      <c r="S1023" cm="1">
        <f t="array" aca="1" ref="S1023" ca="1">INDIRECT("Data!M" &amp; 1018)</f>
        <v>0</v>
      </c>
      <c r="T1023" cm="1">
        <f t="array" aca="1" ref="T1023" ca="1">INDIRECT("Data!N" &amp; 1018)</f>
        <v>0</v>
      </c>
      <c r="U1023" cm="1">
        <f t="array" aca="1" ref="U1023" ca="1">INDIRECT("Data!O" &amp; 1018)</f>
        <v>0</v>
      </c>
      <c r="V1023" cm="1">
        <f t="array" aca="1" ref="V1023" ca="1">INDIRECT("Data!P" &amp; 1018)</f>
        <v>0</v>
      </c>
    </row>
    <row r="1024" spans="7:22" x14ac:dyDescent="0.25">
      <c r="G1024" cm="1">
        <f t="array" aca="1" ref="G1024" ca="1">INDIRECT("Data!A" &amp; 1019)</f>
        <v>0</v>
      </c>
      <c r="H1024" s="21" cm="1">
        <f t="array" aca="1" ref="H1024" ca="1">INDIRECT("Data!B" &amp; 1019)</f>
        <v>0</v>
      </c>
      <c r="I1024" s="21" cm="1">
        <f t="array" aca="1" ref="I1024" ca="1">INDIRECT("Data!C" &amp; 1019)</f>
        <v>0</v>
      </c>
      <c r="J1024" cm="1">
        <f t="array" aca="1" ref="J1024" ca="1">INDIRECT("Data!D" &amp; 1019)</f>
        <v>0</v>
      </c>
      <c r="K1024" cm="1">
        <f t="array" aca="1" ref="K1024" ca="1">INDIRECT("Data!E" &amp; 1019)</f>
        <v>0</v>
      </c>
      <c r="L1024" cm="1">
        <f t="array" aca="1" ref="L1024" ca="1">INDIRECT("Data!F" &amp; 1019)</f>
        <v>0</v>
      </c>
      <c r="M1024" cm="1">
        <f t="array" aca="1" ref="M1024" ca="1">INDIRECT("Data!G" &amp; 1019)</f>
        <v>0</v>
      </c>
      <c r="N1024" cm="1">
        <f t="array" aca="1" ref="N1024" ca="1">INDIRECT("Data!H" &amp; 1019)</f>
        <v>0</v>
      </c>
      <c r="O1024" cm="1">
        <f t="array" aca="1" ref="O1024" ca="1">INDIRECT("Data!I" &amp; 1019)</f>
        <v>0</v>
      </c>
      <c r="P1024" s="21" cm="1">
        <f t="array" aca="1" ref="P1024" ca="1">INDIRECT("Data!J" &amp; 1019)</f>
        <v>0</v>
      </c>
      <c r="Q1024" cm="1">
        <f t="array" aca="1" ref="Q1024" ca="1">INDIRECT("Data!K" &amp; 1019)</f>
        <v>0</v>
      </c>
      <c r="R1024" cm="1">
        <f t="array" aca="1" ref="R1024" ca="1">INDIRECT("Data!L" &amp; 1019)</f>
        <v>0</v>
      </c>
      <c r="S1024" cm="1">
        <f t="array" aca="1" ref="S1024" ca="1">INDIRECT("Data!M" &amp; 1019)</f>
        <v>0</v>
      </c>
      <c r="T1024" cm="1">
        <f t="array" aca="1" ref="T1024" ca="1">INDIRECT("Data!N" &amp; 1019)</f>
        <v>0</v>
      </c>
      <c r="U1024" cm="1">
        <f t="array" aca="1" ref="U1024" ca="1">INDIRECT("Data!O" &amp; 1019)</f>
        <v>0</v>
      </c>
      <c r="V1024" cm="1">
        <f t="array" aca="1" ref="V1024" ca="1">INDIRECT("Data!P" &amp; 1019)</f>
        <v>0</v>
      </c>
    </row>
    <row r="1025" spans="7:22" x14ac:dyDescent="0.25">
      <c r="G1025" cm="1">
        <f t="array" aca="1" ref="G1025" ca="1">INDIRECT("Data!A" &amp; 1020)</f>
        <v>0</v>
      </c>
      <c r="H1025" s="21" cm="1">
        <f t="array" aca="1" ref="H1025" ca="1">INDIRECT("Data!B" &amp; 1020)</f>
        <v>0</v>
      </c>
      <c r="I1025" s="21" cm="1">
        <f t="array" aca="1" ref="I1025" ca="1">INDIRECT("Data!C" &amp; 1020)</f>
        <v>0</v>
      </c>
      <c r="J1025" cm="1">
        <f t="array" aca="1" ref="J1025" ca="1">INDIRECT("Data!D" &amp; 1020)</f>
        <v>0</v>
      </c>
      <c r="K1025" cm="1">
        <f t="array" aca="1" ref="K1025" ca="1">INDIRECT("Data!E" &amp; 1020)</f>
        <v>0</v>
      </c>
      <c r="L1025" cm="1">
        <f t="array" aca="1" ref="L1025" ca="1">INDIRECT("Data!F" &amp; 1020)</f>
        <v>0</v>
      </c>
      <c r="M1025" cm="1">
        <f t="array" aca="1" ref="M1025" ca="1">INDIRECT("Data!G" &amp; 1020)</f>
        <v>0</v>
      </c>
      <c r="N1025" cm="1">
        <f t="array" aca="1" ref="N1025" ca="1">INDIRECT("Data!H" &amp; 1020)</f>
        <v>0</v>
      </c>
      <c r="O1025" cm="1">
        <f t="array" aca="1" ref="O1025" ca="1">INDIRECT("Data!I" &amp; 1020)</f>
        <v>0</v>
      </c>
      <c r="P1025" s="21" cm="1">
        <f t="array" aca="1" ref="P1025" ca="1">INDIRECT("Data!J" &amp; 1020)</f>
        <v>0</v>
      </c>
      <c r="Q1025" cm="1">
        <f t="array" aca="1" ref="Q1025" ca="1">INDIRECT("Data!K" &amp; 1020)</f>
        <v>0</v>
      </c>
      <c r="R1025" cm="1">
        <f t="array" aca="1" ref="R1025" ca="1">INDIRECT("Data!L" &amp; 1020)</f>
        <v>0</v>
      </c>
      <c r="S1025" cm="1">
        <f t="array" aca="1" ref="S1025" ca="1">INDIRECT("Data!M" &amp; 1020)</f>
        <v>0</v>
      </c>
      <c r="T1025" cm="1">
        <f t="array" aca="1" ref="T1025" ca="1">INDIRECT("Data!N" &amp; 1020)</f>
        <v>0</v>
      </c>
      <c r="U1025" cm="1">
        <f t="array" aca="1" ref="U1025" ca="1">INDIRECT("Data!O" &amp; 1020)</f>
        <v>0</v>
      </c>
      <c r="V1025" cm="1">
        <f t="array" aca="1" ref="V1025" ca="1">INDIRECT("Data!P" &amp; 1020)</f>
        <v>0</v>
      </c>
    </row>
    <row r="1026" spans="7:22" x14ac:dyDescent="0.25">
      <c r="G1026" cm="1">
        <f t="array" aca="1" ref="G1026" ca="1">INDIRECT("Data!A" &amp; 1021)</f>
        <v>0</v>
      </c>
      <c r="H1026" s="21" cm="1">
        <f t="array" aca="1" ref="H1026" ca="1">INDIRECT("Data!B" &amp; 1021)</f>
        <v>0</v>
      </c>
      <c r="I1026" s="21" cm="1">
        <f t="array" aca="1" ref="I1026" ca="1">INDIRECT("Data!C" &amp; 1021)</f>
        <v>0</v>
      </c>
      <c r="J1026" cm="1">
        <f t="array" aca="1" ref="J1026" ca="1">INDIRECT("Data!D" &amp; 1021)</f>
        <v>0</v>
      </c>
      <c r="K1026" cm="1">
        <f t="array" aca="1" ref="K1026" ca="1">INDIRECT("Data!E" &amp; 1021)</f>
        <v>0</v>
      </c>
      <c r="L1026" cm="1">
        <f t="array" aca="1" ref="L1026" ca="1">INDIRECT("Data!F" &amp; 1021)</f>
        <v>0</v>
      </c>
      <c r="M1026" cm="1">
        <f t="array" aca="1" ref="M1026" ca="1">INDIRECT("Data!G" &amp; 1021)</f>
        <v>0</v>
      </c>
      <c r="N1026" cm="1">
        <f t="array" aca="1" ref="N1026" ca="1">INDIRECT("Data!H" &amp; 1021)</f>
        <v>0</v>
      </c>
      <c r="O1026" cm="1">
        <f t="array" aca="1" ref="O1026" ca="1">INDIRECT("Data!I" &amp; 1021)</f>
        <v>0</v>
      </c>
      <c r="P1026" s="21" cm="1">
        <f t="array" aca="1" ref="P1026" ca="1">INDIRECT("Data!J" &amp; 1021)</f>
        <v>0</v>
      </c>
      <c r="Q1026" cm="1">
        <f t="array" aca="1" ref="Q1026" ca="1">INDIRECT("Data!K" &amp; 1021)</f>
        <v>0</v>
      </c>
      <c r="R1026" cm="1">
        <f t="array" aca="1" ref="R1026" ca="1">INDIRECT("Data!L" &amp; 1021)</f>
        <v>0</v>
      </c>
      <c r="S1026" cm="1">
        <f t="array" aca="1" ref="S1026" ca="1">INDIRECT("Data!M" &amp; 1021)</f>
        <v>0</v>
      </c>
      <c r="T1026" cm="1">
        <f t="array" aca="1" ref="T1026" ca="1">INDIRECT("Data!N" &amp; 1021)</f>
        <v>0</v>
      </c>
      <c r="U1026" cm="1">
        <f t="array" aca="1" ref="U1026" ca="1">INDIRECT("Data!O" &amp; 1021)</f>
        <v>0</v>
      </c>
      <c r="V1026" cm="1">
        <f t="array" aca="1" ref="V1026" ca="1">INDIRECT("Data!P" &amp; 1021)</f>
        <v>0</v>
      </c>
    </row>
    <row r="1027" spans="7:22" x14ac:dyDescent="0.25">
      <c r="G1027" cm="1">
        <f t="array" aca="1" ref="G1027" ca="1">INDIRECT("Data!A" &amp; 1022)</f>
        <v>0</v>
      </c>
      <c r="H1027" s="21" cm="1">
        <f t="array" aca="1" ref="H1027" ca="1">INDIRECT("Data!B" &amp; 1022)</f>
        <v>0</v>
      </c>
      <c r="I1027" s="21" cm="1">
        <f t="array" aca="1" ref="I1027" ca="1">INDIRECT("Data!C" &amp; 1022)</f>
        <v>0</v>
      </c>
      <c r="J1027" cm="1">
        <f t="array" aca="1" ref="J1027" ca="1">INDIRECT("Data!D" &amp; 1022)</f>
        <v>0</v>
      </c>
      <c r="K1027" cm="1">
        <f t="array" aca="1" ref="K1027" ca="1">INDIRECT("Data!E" &amp; 1022)</f>
        <v>0</v>
      </c>
      <c r="L1027" cm="1">
        <f t="array" aca="1" ref="L1027" ca="1">INDIRECT("Data!F" &amp; 1022)</f>
        <v>0</v>
      </c>
      <c r="M1027" cm="1">
        <f t="array" aca="1" ref="M1027" ca="1">INDIRECT("Data!G" &amp; 1022)</f>
        <v>0</v>
      </c>
      <c r="N1027" cm="1">
        <f t="array" aca="1" ref="N1027" ca="1">INDIRECT("Data!H" &amp; 1022)</f>
        <v>0</v>
      </c>
      <c r="O1027" cm="1">
        <f t="array" aca="1" ref="O1027" ca="1">INDIRECT("Data!I" &amp; 1022)</f>
        <v>0</v>
      </c>
      <c r="P1027" s="21" cm="1">
        <f t="array" aca="1" ref="P1027" ca="1">INDIRECT("Data!J" &amp; 1022)</f>
        <v>0</v>
      </c>
      <c r="Q1027" cm="1">
        <f t="array" aca="1" ref="Q1027" ca="1">INDIRECT("Data!K" &amp; 1022)</f>
        <v>0</v>
      </c>
      <c r="R1027" cm="1">
        <f t="array" aca="1" ref="R1027" ca="1">INDIRECT("Data!L" &amp; 1022)</f>
        <v>0</v>
      </c>
      <c r="S1027" cm="1">
        <f t="array" aca="1" ref="S1027" ca="1">INDIRECT("Data!M" &amp; 1022)</f>
        <v>0</v>
      </c>
      <c r="T1027" cm="1">
        <f t="array" aca="1" ref="T1027" ca="1">INDIRECT("Data!N" &amp; 1022)</f>
        <v>0</v>
      </c>
      <c r="U1027" cm="1">
        <f t="array" aca="1" ref="U1027" ca="1">INDIRECT("Data!O" &amp; 1022)</f>
        <v>0</v>
      </c>
      <c r="V1027" cm="1">
        <f t="array" aca="1" ref="V1027" ca="1">INDIRECT("Data!P" &amp; 1022)</f>
        <v>0</v>
      </c>
    </row>
    <row r="1028" spans="7:22" x14ac:dyDescent="0.25">
      <c r="G1028" cm="1">
        <f t="array" aca="1" ref="G1028" ca="1">INDIRECT("Data!A" &amp; 1023)</f>
        <v>0</v>
      </c>
      <c r="H1028" s="21" cm="1">
        <f t="array" aca="1" ref="H1028" ca="1">INDIRECT("Data!B" &amp; 1023)</f>
        <v>0</v>
      </c>
      <c r="I1028" s="21" cm="1">
        <f t="array" aca="1" ref="I1028" ca="1">INDIRECT("Data!C" &amp; 1023)</f>
        <v>0</v>
      </c>
      <c r="J1028" cm="1">
        <f t="array" aca="1" ref="J1028" ca="1">INDIRECT("Data!D" &amp; 1023)</f>
        <v>0</v>
      </c>
      <c r="K1028" cm="1">
        <f t="array" aca="1" ref="K1028" ca="1">INDIRECT("Data!E" &amp; 1023)</f>
        <v>0</v>
      </c>
      <c r="L1028" cm="1">
        <f t="array" aca="1" ref="L1028" ca="1">INDIRECT("Data!F" &amp; 1023)</f>
        <v>0</v>
      </c>
      <c r="M1028" cm="1">
        <f t="array" aca="1" ref="M1028" ca="1">INDIRECT("Data!G" &amp; 1023)</f>
        <v>0</v>
      </c>
      <c r="N1028" cm="1">
        <f t="array" aca="1" ref="N1028" ca="1">INDIRECT("Data!H" &amp; 1023)</f>
        <v>0</v>
      </c>
      <c r="O1028" cm="1">
        <f t="array" aca="1" ref="O1028" ca="1">INDIRECT("Data!I" &amp; 1023)</f>
        <v>0</v>
      </c>
      <c r="P1028" s="21" cm="1">
        <f t="array" aca="1" ref="P1028" ca="1">INDIRECT("Data!J" &amp; 1023)</f>
        <v>0</v>
      </c>
      <c r="Q1028" cm="1">
        <f t="array" aca="1" ref="Q1028" ca="1">INDIRECT("Data!K" &amp; 1023)</f>
        <v>0</v>
      </c>
      <c r="R1028" cm="1">
        <f t="array" aca="1" ref="R1028" ca="1">INDIRECT("Data!L" &amp; 1023)</f>
        <v>0</v>
      </c>
      <c r="S1028" cm="1">
        <f t="array" aca="1" ref="S1028" ca="1">INDIRECT("Data!M" &amp; 1023)</f>
        <v>0</v>
      </c>
      <c r="T1028" cm="1">
        <f t="array" aca="1" ref="T1028" ca="1">INDIRECT("Data!N" &amp; 1023)</f>
        <v>0</v>
      </c>
      <c r="U1028" cm="1">
        <f t="array" aca="1" ref="U1028" ca="1">INDIRECT("Data!O" &amp; 1023)</f>
        <v>0</v>
      </c>
      <c r="V1028" cm="1">
        <f t="array" aca="1" ref="V1028" ca="1">INDIRECT("Data!P" &amp; 1023)</f>
        <v>0</v>
      </c>
    </row>
    <row r="1029" spans="7:22" x14ac:dyDescent="0.25">
      <c r="G1029" cm="1">
        <f t="array" aca="1" ref="G1029" ca="1">INDIRECT("Data!A" &amp; 1024)</f>
        <v>0</v>
      </c>
      <c r="H1029" s="21" cm="1">
        <f t="array" aca="1" ref="H1029" ca="1">INDIRECT("Data!B" &amp; 1024)</f>
        <v>0</v>
      </c>
      <c r="I1029" s="21" cm="1">
        <f t="array" aca="1" ref="I1029" ca="1">INDIRECT("Data!C" &amp; 1024)</f>
        <v>0</v>
      </c>
      <c r="J1029" cm="1">
        <f t="array" aca="1" ref="J1029" ca="1">INDIRECT("Data!D" &amp; 1024)</f>
        <v>0</v>
      </c>
      <c r="K1029" cm="1">
        <f t="array" aca="1" ref="K1029" ca="1">INDIRECT("Data!E" &amp; 1024)</f>
        <v>0</v>
      </c>
      <c r="L1029" cm="1">
        <f t="array" aca="1" ref="L1029" ca="1">INDIRECT("Data!F" &amp; 1024)</f>
        <v>0</v>
      </c>
      <c r="M1029" cm="1">
        <f t="array" aca="1" ref="M1029" ca="1">INDIRECT("Data!G" &amp; 1024)</f>
        <v>0</v>
      </c>
      <c r="N1029" cm="1">
        <f t="array" aca="1" ref="N1029" ca="1">INDIRECT("Data!H" &amp; 1024)</f>
        <v>0</v>
      </c>
      <c r="O1029" cm="1">
        <f t="array" aca="1" ref="O1029" ca="1">INDIRECT("Data!I" &amp; 1024)</f>
        <v>0</v>
      </c>
      <c r="P1029" s="21" cm="1">
        <f t="array" aca="1" ref="P1029" ca="1">INDIRECT("Data!J" &amp; 1024)</f>
        <v>0</v>
      </c>
      <c r="Q1029" cm="1">
        <f t="array" aca="1" ref="Q1029" ca="1">INDIRECT("Data!K" &amp; 1024)</f>
        <v>0</v>
      </c>
      <c r="R1029" cm="1">
        <f t="array" aca="1" ref="R1029" ca="1">INDIRECT("Data!L" &amp; 1024)</f>
        <v>0</v>
      </c>
      <c r="S1029" cm="1">
        <f t="array" aca="1" ref="S1029" ca="1">INDIRECT("Data!M" &amp; 1024)</f>
        <v>0</v>
      </c>
      <c r="T1029" cm="1">
        <f t="array" aca="1" ref="T1029" ca="1">INDIRECT("Data!N" &amp; 1024)</f>
        <v>0</v>
      </c>
      <c r="U1029" cm="1">
        <f t="array" aca="1" ref="U1029" ca="1">INDIRECT("Data!O" &amp; 1024)</f>
        <v>0</v>
      </c>
      <c r="V1029" cm="1">
        <f t="array" aca="1" ref="V1029" ca="1">INDIRECT("Data!P" &amp; 1024)</f>
        <v>0</v>
      </c>
    </row>
    <row r="1030" spans="7:22" x14ac:dyDescent="0.25">
      <c r="G1030" cm="1">
        <f t="array" aca="1" ref="G1030" ca="1">INDIRECT("Data!A" &amp; 1025)</f>
        <v>0</v>
      </c>
      <c r="H1030" s="21" cm="1">
        <f t="array" aca="1" ref="H1030" ca="1">INDIRECT("Data!B" &amp; 1025)</f>
        <v>0</v>
      </c>
      <c r="I1030" s="21" cm="1">
        <f t="array" aca="1" ref="I1030" ca="1">INDIRECT("Data!C" &amp; 1025)</f>
        <v>0</v>
      </c>
      <c r="J1030" cm="1">
        <f t="array" aca="1" ref="J1030" ca="1">INDIRECT("Data!D" &amp; 1025)</f>
        <v>0</v>
      </c>
      <c r="K1030" cm="1">
        <f t="array" aca="1" ref="K1030" ca="1">INDIRECT("Data!E" &amp; 1025)</f>
        <v>0</v>
      </c>
      <c r="L1030" cm="1">
        <f t="array" aca="1" ref="L1030" ca="1">INDIRECT("Data!F" &amp; 1025)</f>
        <v>0</v>
      </c>
      <c r="M1030" cm="1">
        <f t="array" aca="1" ref="M1030" ca="1">INDIRECT("Data!G" &amp; 1025)</f>
        <v>0</v>
      </c>
      <c r="N1030" cm="1">
        <f t="array" aca="1" ref="N1030" ca="1">INDIRECT("Data!H" &amp; 1025)</f>
        <v>0</v>
      </c>
      <c r="O1030" cm="1">
        <f t="array" aca="1" ref="O1030" ca="1">INDIRECT("Data!I" &amp; 1025)</f>
        <v>0</v>
      </c>
      <c r="P1030" s="21" cm="1">
        <f t="array" aca="1" ref="P1030" ca="1">INDIRECT("Data!J" &amp; 1025)</f>
        <v>0</v>
      </c>
      <c r="Q1030" cm="1">
        <f t="array" aca="1" ref="Q1030" ca="1">INDIRECT("Data!K" &amp; 1025)</f>
        <v>0</v>
      </c>
      <c r="R1030" cm="1">
        <f t="array" aca="1" ref="R1030" ca="1">INDIRECT("Data!L" &amp; 1025)</f>
        <v>0</v>
      </c>
      <c r="S1030" cm="1">
        <f t="array" aca="1" ref="S1030" ca="1">INDIRECT("Data!M" &amp; 1025)</f>
        <v>0</v>
      </c>
      <c r="T1030" cm="1">
        <f t="array" aca="1" ref="T1030" ca="1">INDIRECT("Data!N" &amp; 1025)</f>
        <v>0</v>
      </c>
      <c r="U1030" cm="1">
        <f t="array" aca="1" ref="U1030" ca="1">INDIRECT("Data!O" &amp; 1025)</f>
        <v>0</v>
      </c>
      <c r="V1030" cm="1">
        <f t="array" aca="1" ref="V1030" ca="1">INDIRECT("Data!P" &amp; 1025)</f>
        <v>0</v>
      </c>
    </row>
    <row r="1031" spans="7:22" x14ac:dyDescent="0.25">
      <c r="G1031" cm="1">
        <f t="array" aca="1" ref="G1031" ca="1">INDIRECT("Data!A" &amp; 1026)</f>
        <v>0</v>
      </c>
      <c r="H1031" s="21" cm="1">
        <f t="array" aca="1" ref="H1031" ca="1">INDIRECT("Data!B" &amp; 1026)</f>
        <v>0</v>
      </c>
      <c r="I1031" s="21" cm="1">
        <f t="array" aca="1" ref="I1031" ca="1">INDIRECT("Data!C" &amp; 1026)</f>
        <v>0</v>
      </c>
      <c r="J1031" cm="1">
        <f t="array" aca="1" ref="J1031" ca="1">INDIRECT("Data!D" &amp; 1026)</f>
        <v>0</v>
      </c>
      <c r="K1031" cm="1">
        <f t="array" aca="1" ref="K1031" ca="1">INDIRECT("Data!E" &amp; 1026)</f>
        <v>0</v>
      </c>
      <c r="L1031" cm="1">
        <f t="array" aca="1" ref="L1031" ca="1">INDIRECT("Data!F" &amp; 1026)</f>
        <v>0</v>
      </c>
      <c r="M1031" cm="1">
        <f t="array" aca="1" ref="M1031" ca="1">INDIRECT("Data!G" &amp; 1026)</f>
        <v>0</v>
      </c>
      <c r="N1031" cm="1">
        <f t="array" aca="1" ref="N1031" ca="1">INDIRECT("Data!H" &amp; 1026)</f>
        <v>0</v>
      </c>
      <c r="O1031" cm="1">
        <f t="array" aca="1" ref="O1031" ca="1">INDIRECT("Data!I" &amp; 1026)</f>
        <v>0</v>
      </c>
      <c r="P1031" s="21" cm="1">
        <f t="array" aca="1" ref="P1031" ca="1">INDIRECT("Data!J" &amp; 1026)</f>
        <v>0</v>
      </c>
      <c r="Q1031" cm="1">
        <f t="array" aca="1" ref="Q1031" ca="1">INDIRECT("Data!K" &amp; 1026)</f>
        <v>0</v>
      </c>
      <c r="R1031" cm="1">
        <f t="array" aca="1" ref="R1031" ca="1">INDIRECT("Data!L" &amp; 1026)</f>
        <v>0</v>
      </c>
      <c r="S1031" cm="1">
        <f t="array" aca="1" ref="S1031" ca="1">INDIRECT("Data!M" &amp; 1026)</f>
        <v>0</v>
      </c>
      <c r="T1031" cm="1">
        <f t="array" aca="1" ref="T1031" ca="1">INDIRECT("Data!N" &amp; 1026)</f>
        <v>0</v>
      </c>
      <c r="U1031" cm="1">
        <f t="array" aca="1" ref="U1031" ca="1">INDIRECT("Data!O" &amp; 1026)</f>
        <v>0</v>
      </c>
      <c r="V1031" cm="1">
        <f t="array" aca="1" ref="V1031" ca="1">INDIRECT("Data!P" &amp; 1026)</f>
        <v>0</v>
      </c>
    </row>
    <row r="1032" spans="7:22" x14ac:dyDescent="0.25">
      <c r="G1032" cm="1">
        <f t="array" aca="1" ref="G1032" ca="1">INDIRECT("Data!A" &amp; 1027)</f>
        <v>0</v>
      </c>
      <c r="H1032" s="21" cm="1">
        <f t="array" aca="1" ref="H1032" ca="1">INDIRECT("Data!B" &amp; 1027)</f>
        <v>0</v>
      </c>
      <c r="I1032" s="21" cm="1">
        <f t="array" aca="1" ref="I1032" ca="1">INDIRECT("Data!C" &amp; 1027)</f>
        <v>0</v>
      </c>
      <c r="J1032" cm="1">
        <f t="array" aca="1" ref="J1032" ca="1">INDIRECT("Data!D" &amp; 1027)</f>
        <v>0</v>
      </c>
      <c r="K1032" cm="1">
        <f t="array" aca="1" ref="K1032" ca="1">INDIRECT("Data!E" &amp; 1027)</f>
        <v>0</v>
      </c>
      <c r="L1032" cm="1">
        <f t="array" aca="1" ref="L1032" ca="1">INDIRECT("Data!F" &amp; 1027)</f>
        <v>0</v>
      </c>
      <c r="M1032" cm="1">
        <f t="array" aca="1" ref="M1032" ca="1">INDIRECT("Data!G" &amp; 1027)</f>
        <v>0</v>
      </c>
      <c r="N1032" cm="1">
        <f t="array" aca="1" ref="N1032" ca="1">INDIRECT("Data!H" &amp; 1027)</f>
        <v>0</v>
      </c>
      <c r="O1032" cm="1">
        <f t="array" aca="1" ref="O1032" ca="1">INDIRECT("Data!I" &amp; 1027)</f>
        <v>0</v>
      </c>
      <c r="P1032" s="21" cm="1">
        <f t="array" aca="1" ref="P1032" ca="1">INDIRECT("Data!J" &amp; 1027)</f>
        <v>0</v>
      </c>
      <c r="Q1032" cm="1">
        <f t="array" aca="1" ref="Q1032" ca="1">INDIRECT("Data!K" &amp; 1027)</f>
        <v>0</v>
      </c>
      <c r="R1032" cm="1">
        <f t="array" aca="1" ref="R1032" ca="1">INDIRECT("Data!L" &amp; 1027)</f>
        <v>0</v>
      </c>
      <c r="S1032" cm="1">
        <f t="array" aca="1" ref="S1032" ca="1">INDIRECT("Data!M" &amp; 1027)</f>
        <v>0</v>
      </c>
      <c r="T1032" cm="1">
        <f t="array" aca="1" ref="T1032" ca="1">INDIRECT("Data!N" &amp; 1027)</f>
        <v>0</v>
      </c>
      <c r="U1032" cm="1">
        <f t="array" aca="1" ref="U1032" ca="1">INDIRECT("Data!O" &amp; 1027)</f>
        <v>0</v>
      </c>
      <c r="V1032" cm="1">
        <f t="array" aca="1" ref="V1032" ca="1">INDIRECT("Data!P" &amp; 1027)</f>
        <v>0</v>
      </c>
    </row>
    <row r="1033" spans="7:22" x14ac:dyDescent="0.25">
      <c r="G1033" cm="1">
        <f t="array" aca="1" ref="G1033" ca="1">INDIRECT("Data!A" &amp; 1028)</f>
        <v>0</v>
      </c>
      <c r="H1033" s="21" cm="1">
        <f t="array" aca="1" ref="H1033" ca="1">INDIRECT("Data!B" &amp; 1028)</f>
        <v>0</v>
      </c>
      <c r="I1033" s="21" cm="1">
        <f t="array" aca="1" ref="I1033" ca="1">INDIRECT("Data!C" &amp; 1028)</f>
        <v>0</v>
      </c>
      <c r="J1033" cm="1">
        <f t="array" aca="1" ref="J1033" ca="1">INDIRECT("Data!D" &amp; 1028)</f>
        <v>0</v>
      </c>
      <c r="K1033" cm="1">
        <f t="array" aca="1" ref="K1033" ca="1">INDIRECT("Data!E" &amp; 1028)</f>
        <v>0</v>
      </c>
      <c r="L1033" cm="1">
        <f t="array" aca="1" ref="L1033" ca="1">INDIRECT("Data!F" &amp; 1028)</f>
        <v>0</v>
      </c>
      <c r="M1033" cm="1">
        <f t="array" aca="1" ref="M1033" ca="1">INDIRECT("Data!G" &amp; 1028)</f>
        <v>0</v>
      </c>
      <c r="N1033" cm="1">
        <f t="array" aca="1" ref="N1033" ca="1">INDIRECT("Data!H" &amp; 1028)</f>
        <v>0</v>
      </c>
      <c r="O1033" cm="1">
        <f t="array" aca="1" ref="O1033" ca="1">INDIRECT("Data!I" &amp; 1028)</f>
        <v>0</v>
      </c>
      <c r="P1033" s="21" cm="1">
        <f t="array" aca="1" ref="P1033" ca="1">INDIRECT("Data!J" &amp; 1028)</f>
        <v>0</v>
      </c>
      <c r="Q1033" cm="1">
        <f t="array" aca="1" ref="Q1033" ca="1">INDIRECT("Data!K" &amp; 1028)</f>
        <v>0</v>
      </c>
      <c r="R1033" cm="1">
        <f t="array" aca="1" ref="R1033" ca="1">INDIRECT("Data!L" &amp; 1028)</f>
        <v>0</v>
      </c>
      <c r="S1033" cm="1">
        <f t="array" aca="1" ref="S1033" ca="1">INDIRECT("Data!M" &amp; 1028)</f>
        <v>0</v>
      </c>
      <c r="T1033" cm="1">
        <f t="array" aca="1" ref="T1033" ca="1">INDIRECT("Data!N" &amp; 1028)</f>
        <v>0</v>
      </c>
      <c r="U1033" cm="1">
        <f t="array" aca="1" ref="U1033" ca="1">INDIRECT("Data!O" &amp; 1028)</f>
        <v>0</v>
      </c>
      <c r="V1033" cm="1">
        <f t="array" aca="1" ref="V1033" ca="1">INDIRECT("Data!P" &amp; 1028)</f>
        <v>0</v>
      </c>
    </row>
    <row r="1034" spans="7:22" x14ac:dyDescent="0.25">
      <c r="G1034" cm="1">
        <f t="array" aca="1" ref="G1034" ca="1">INDIRECT("Data!A" &amp; 1029)</f>
        <v>0</v>
      </c>
      <c r="H1034" s="21" cm="1">
        <f t="array" aca="1" ref="H1034" ca="1">INDIRECT("Data!B" &amp; 1029)</f>
        <v>0</v>
      </c>
      <c r="I1034" s="21" cm="1">
        <f t="array" aca="1" ref="I1034" ca="1">INDIRECT("Data!C" &amp; 1029)</f>
        <v>0</v>
      </c>
      <c r="J1034" cm="1">
        <f t="array" aca="1" ref="J1034" ca="1">INDIRECT("Data!D" &amp; 1029)</f>
        <v>0</v>
      </c>
      <c r="K1034" cm="1">
        <f t="array" aca="1" ref="K1034" ca="1">INDIRECT("Data!E" &amp; 1029)</f>
        <v>0</v>
      </c>
      <c r="L1034" cm="1">
        <f t="array" aca="1" ref="L1034" ca="1">INDIRECT("Data!F" &amp; 1029)</f>
        <v>0</v>
      </c>
      <c r="M1034" cm="1">
        <f t="array" aca="1" ref="M1034" ca="1">INDIRECT("Data!G" &amp; 1029)</f>
        <v>0</v>
      </c>
      <c r="N1034" cm="1">
        <f t="array" aca="1" ref="N1034" ca="1">INDIRECT("Data!H" &amp; 1029)</f>
        <v>0</v>
      </c>
      <c r="O1034" cm="1">
        <f t="array" aca="1" ref="O1034" ca="1">INDIRECT("Data!I" &amp; 1029)</f>
        <v>0</v>
      </c>
      <c r="P1034" s="21" cm="1">
        <f t="array" aca="1" ref="P1034" ca="1">INDIRECT("Data!J" &amp; 1029)</f>
        <v>0</v>
      </c>
      <c r="Q1034" cm="1">
        <f t="array" aca="1" ref="Q1034" ca="1">INDIRECT("Data!K" &amp; 1029)</f>
        <v>0</v>
      </c>
      <c r="R1034" cm="1">
        <f t="array" aca="1" ref="R1034" ca="1">INDIRECT("Data!L" &amp; 1029)</f>
        <v>0</v>
      </c>
      <c r="S1034" cm="1">
        <f t="array" aca="1" ref="S1034" ca="1">INDIRECT("Data!M" &amp; 1029)</f>
        <v>0</v>
      </c>
      <c r="T1034" cm="1">
        <f t="array" aca="1" ref="T1034" ca="1">INDIRECT("Data!N" &amp; 1029)</f>
        <v>0</v>
      </c>
      <c r="U1034" cm="1">
        <f t="array" aca="1" ref="U1034" ca="1">INDIRECT("Data!O" &amp; 1029)</f>
        <v>0</v>
      </c>
      <c r="V1034" cm="1">
        <f t="array" aca="1" ref="V1034" ca="1">INDIRECT("Data!P" &amp; 1029)</f>
        <v>0</v>
      </c>
    </row>
    <row r="1035" spans="7:22" x14ac:dyDescent="0.25">
      <c r="G1035" cm="1">
        <f t="array" aca="1" ref="G1035" ca="1">INDIRECT("Data!A" &amp; 1030)</f>
        <v>0</v>
      </c>
      <c r="H1035" s="21" cm="1">
        <f t="array" aca="1" ref="H1035" ca="1">INDIRECT("Data!B" &amp; 1030)</f>
        <v>0</v>
      </c>
      <c r="I1035" s="21" cm="1">
        <f t="array" aca="1" ref="I1035" ca="1">INDIRECT("Data!C" &amp; 1030)</f>
        <v>0</v>
      </c>
      <c r="J1035" cm="1">
        <f t="array" aca="1" ref="J1035" ca="1">INDIRECT("Data!D" &amp; 1030)</f>
        <v>0</v>
      </c>
      <c r="K1035" cm="1">
        <f t="array" aca="1" ref="K1035" ca="1">INDIRECT("Data!E" &amp; 1030)</f>
        <v>0</v>
      </c>
      <c r="L1035" cm="1">
        <f t="array" aca="1" ref="L1035" ca="1">INDIRECT("Data!F" &amp; 1030)</f>
        <v>0</v>
      </c>
      <c r="M1035" cm="1">
        <f t="array" aca="1" ref="M1035" ca="1">INDIRECT("Data!G" &amp; 1030)</f>
        <v>0</v>
      </c>
      <c r="N1035" cm="1">
        <f t="array" aca="1" ref="N1035" ca="1">INDIRECT("Data!H" &amp; 1030)</f>
        <v>0</v>
      </c>
      <c r="O1035" cm="1">
        <f t="array" aca="1" ref="O1035" ca="1">INDIRECT("Data!I" &amp; 1030)</f>
        <v>0</v>
      </c>
      <c r="P1035" s="21" cm="1">
        <f t="array" aca="1" ref="P1035" ca="1">INDIRECT("Data!J" &amp; 1030)</f>
        <v>0</v>
      </c>
      <c r="Q1035" cm="1">
        <f t="array" aca="1" ref="Q1035" ca="1">INDIRECT("Data!K" &amp; 1030)</f>
        <v>0</v>
      </c>
      <c r="R1035" cm="1">
        <f t="array" aca="1" ref="R1035" ca="1">INDIRECT("Data!L" &amp; 1030)</f>
        <v>0</v>
      </c>
      <c r="S1035" cm="1">
        <f t="array" aca="1" ref="S1035" ca="1">INDIRECT("Data!M" &amp; 1030)</f>
        <v>0</v>
      </c>
      <c r="T1035" cm="1">
        <f t="array" aca="1" ref="T1035" ca="1">INDIRECT("Data!N" &amp; 1030)</f>
        <v>0</v>
      </c>
      <c r="U1035" cm="1">
        <f t="array" aca="1" ref="U1035" ca="1">INDIRECT("Data!O" &amp; 1030)</f>
        <v>0</v>
      </c>
      <c r="V1035" cm="1">
        <f t="array" aca="1" ref="V1035" ca="1">INDIRECT("Data!P" &amp; 1030)</f>
        <v>0</v>
      </c>
    </row>
    <row r="1036" spans="7:22" x14ac:dyDescent="0.25">
      <c r="G1036" cm="1">
        <f t="array" aca="1" ref="G1036" ca="1">INDIRECT("Data!A" &amp; 1031)</f>
        <v>0</v>
      </c>
      <c r="H1036" s="21" cm="1">
        <f t="array" aca="1" ref="H1036" ca="1">INDIRECT("Data!B" &amp; 1031)</f>
        <v>0</v>
      </c>
      <c r="I1036" s="21" cm="1">
        <f t="array" aca="1" ref="I1036" ca="1">INDIRECT("Data!C" &amp; 1031)</f>
        <v>0</v>
      </c>
      <c r="J1036" cm="1">
        <f t="array" aca="1" ref="J1036" ca="1">INDIRECT("Data!D" &amp; 1031)</f>
        <v>0</v>
      </c>
      <c r="K1036" cm="1">
        <f t="array" aca="1" ref="K1036" ca="1">INDIRECT("Data!E" &amp; 1031)</f>
        <v>0</v>
      </c>
      <c r="L1036" cm="1">
        <f t="array" aca="1" ref="L1036" ca="1">INDIRECT("Data!F" &amp; 1031)</f>
        <v>0</v>
      </c>
      <c r="M1036" cm="1">
        <f t="array" aca="1" ref="M1036" ca="1">INDIRECT("Data!G" &amp; 1031)</f>
        <v>0</v>
      </c>
      <c r="N1036" cm="1">
        <f t="array" aca="1" ref="N1036" ca="1">INDIRECT("Data!H" &amp; 1031)</f>
        <v>0</v>
      </c>
      <c r="O1036" cm="1">
        <f t="array" aca="1" ref="O1036" ca="1">INDIRECT("Data!I" &amp; 1031)</f>
        <v>0</v>
      </c>
      <c r="P1036" s="21" cm="1">
        <f t="array" aca="1" ref="P1036" ca="1">INDIRECT("Data!J" &amp; 1031)</f>
        <v>0</v>
      </c>
      <c r="Q1036" cm="1">
        <f t="array" aca="1" ref="Q1036" ca="1">INDIRECT("Data!K" &amp; 1031)</f>
        <v>0</v>
      </c>
      <c r="R1036" cm="1">
        <f t="array" aca="1" ref="R1036" ca="1">INDIRECT("Data!L" &amp; 1031)</f>
        <v>0</v>
      </c>
      <c r="S1036" cm="1">
        <f t="array" aca="1" ref="S1036" ca="1">INDIRECT("Data!M" &amp; 1031)</f>
        <v>0</v>
      </c>
      <c r="T1036" cm="1">
        <f t="array" aca="1" ref="T1036" ca="1">INDIRECT("Data!N" &amp; 1031)</f>
        <v>0</v>
      </c>
      <c r="U1036" cm="1">
        <f t="array" aca="1" ref="U1036" ca="1">INDIRECT("Data!O" &amp; 1031)</f>
        <v>0</v>
      </c>
      <c r="V1036" cm="1">
        <f t="array" aca="1" ref="V1036" ca="1">INDIRECT("Data!P" &amp; 1031)</f>
        <v>0</v>
      </c>
    </row>
    <row r="1037" spans="7:22" x14ac:dyDescent="0.25">
      <c r="G1037" cm="1">
        <f t="array" aca="1" ref="G1037" ca="1">INDIRECT("Data!A" &amp; 1032)</f>
        <v>0</v>
      </c>
      <c r="H1037" s="21" cm="1">
        <f t="array" aca="1" ref="H1037" ca="1">INDIRECT("Data!B" &amp; 1032)</f>
        <v>0</v>
      </c>
      <c r="I1037" s="21" cm="1">
        <f t="array" aca="1" ref="I1037" ca="1">INDIRECT("Data!C" &amp; 1032)</f>
        <v>0</v>
      </c>
      <c r="J1037" cm="1">
        <f t="array" aca="1" ref="J1037" ca="1">INDIRECT("Data!D" &amp; 1032)</f>
        <v>0</v>
      </c>
      <c r="K1037" cm="1">
        <f t="array" aca="1" ref="K1037" ca="1">INDIRECT("Data!E" &amp; 1032)</f>
        <v>0</v>
      </c>
      <c r="L1037" cm="1">
        <f t="array" aca="1" ref="L1037" ca="1">INDIRECT("Data!F" &amp; 1032)</f>
        <v>0</v>
      </c>
      <c r="M1037" cm="1">
        <f t="array" aca="1" ref="M1037" ca="1">INDIRECT("Data!G" &amp; 1032)</f>
        <v>0</v>
      </c>
      <c r="N1037" cm="1">
        <f t="array" aca="1" ref="N1037" ca="1">INDIRECT("Data!H" &amp; 1032)</f>
        <v>0</v>
      </c>
      <c r="O1037" cm="1">
        <f t="array" aca="1" ref="O1037" ca="1">INDIRECT("Data!I" &amp; 1032)</f>
        <v>0</v>
      </c>
      <c r="P1037" s="21" cm="1">
        <f t="array" aca="1" ref="P1037" ca="1">INDIRECT("Data!J" &amp; 1032)</f>
        <v>0</v>
      </c>
      <c r="Q1037" cm="1">
        <f t="array" aca="1" ref="Q1037" ca="1">INDIRECT("Data!K" &amp; 1032)</f>
        <v>0</v>
      </c>
      <c r="R1037" cm="1">
        <f t="array" aca="1" ref="R1037" ca="1">INDIRECT("Data!L" &amp; 1032)</f>
        <v>0</v>
      </c>
      <c r="S1037" cm="1">
        <f t="array" aca="1" ref="S1037" ca="1">INDIRECT("Data!M" &amp; 1032)</f>
        <v>0</v>
      </c>
      <c r="T1037" cm="1">
        <f t="array" aca="1" ref="T1037" ca="1">INDIRECT("Data!N" &amp; 1032)</f>
        <v>0</v>
      </c>
      <c r="U1037" cm="1">
        <f t="array" aca="1" ref="U1037" ca="1">INDIRECT("Data!O" &amp; 1032)</f>
        <v>0</v>
      </c>
      <c r="V1037" cm="1">
        <f t="array" aca="1" ref="V1037" ca="1">INDIRECT("Data!P" &amp; 1032)</f>
        <v>0</v>
      </c>
    </row>
    <row r="1038" spans="7:22" x14ac:dyDescent="0.25">
      <c r="G1038" cm="1">
        <f t="array" aca="1" ref="G1038" ca="1">INDIRECT("Data!A" &amp; 1033)</f>
        <v>0</v>
      </c>
      <c r="H1038" s="21" cm="1">
        <f t="array" aca="1" ref="H1038" ca="1">INDIRECT("Data!B" &amp; 1033)</f>
        <v>0</v>
      </c>
      <c r="I1038" s="21" cm="1">
        <f t="array" aca="1" ref="I1038" ca="1">INDIRECT("Data!C" &amp; 1033)</f>
        <v>0</v>
      </c>
      <c r="J1038" cm="1">
        <f t="array" aca="1" ref="J1038" ca="1">INDIRECT("Data!D" &amp; 1033)</f>
        <v>0</v>
      </c>
      <c r="K1038" cm="1">
        <f t="array" aca="1" ref="K1038" ca="1">INDIRECT("Data!E" &amp; 1033)</f>
        <v>0</v>
      </c>
      <c r="L1038" cm="1">
        <f t="array" aca="1" ref="L1038" ca="1">INDIRECT("Data!F" &amp; 1033)</f>
        <v>0</v>
      </c>
      <c r="M1038" cm="1">
        <f t="array" aca="1" ref="M1038" ca="1">INDIRECT("Data!G" &amp; 1033)</f>
        <v>0</v>
      </c>
      <c r="N1038" cm="1">
        <f t="array" aca="1" ref="N1038" ca="1">INDIRECT("Data!H" &amp; 1033)</f>
        <v>0</v>
      </c>
      <c r="O1038" cm="1">
        <f t="array" aca="1" ref="O1038" ca="1">INDIRECT("Data!I" &amp; 1033)</f>
        <v>0</v>
      </c>
      <c r="P1038" s="21" cm="1">
        <f t="array" aca="1" ref="P1038" ca="1">INDIRECT("Data!J" &amp; 1033)</f>
        <v>0</v>
      </c>
      <c r="Q1038" cm="1">
        <f t="array" aca="1" ref="Q1038" ca="1">INDIRECT("Data!K" &amp; 1033)</f>
        <v>0</v>
      </c>
      <c r="R1038" cm="1">
        <f t="array" aca="1" ref="R1038" ca="1">INDIRECT("Data!L" &amp; 1033)</f>
        <v>0</v>
      </c>
      <c r="S1038" cm="1">
        <f t="array" aca="1" ref="S1038" ca="1">INDIRECT("Data!M" &amp; 1033)</f>
        <v>0</v>
      </c>
      <c r="T1038" cm="1">
        <f t="array" aca="1" ref="T1038" ca="1">INDIRECT("Data!N" &amp; 1033)</f>
        <v>0</v>
      </c>
      <c r="U1038" cm="1">
        <f t="array" aca="1" ref="U1038" ca="1">INDIRECT("Data!O" &amp; 1033)</f>
        <v>0</v>
      </c>
      <c r="V1038" cm="1">
        <f t="array" aca="1" ref="V1038" ca="1">INDIRECT("Data!P" &amp; 1033)</f>
        <v>0</v>
      </c>
    </row>
    <row r="1039" spans="7:22" x14ac:dyDescent="0.25">
      <c r="G1039" cm="1">
        <f t="array" aca="1" ref="G1039" ca="1">INDIRECT("Data!A" &amp; 1034)</f>
        <v>0</v>
      </c>
      <c r="H1039" s="21" cm="1">
        <f t="array" aca="1" ref="H1039" ca="1">INDIRECT("Data!B" &amp; 1034)</f>
        <v>0</v>
      </c>
      <c r="I1039" s="21" cm="1">
        <f t="array" aca="1" ref="I1039" ca="1">INDIRECT("Data!C" &amp; 1034)</f>
        <v>0</v>
      </c>
      <c r="J1039" cm="1">
        <f t="array" aca="1" ref="J1039" ca="1">INDIRECT("Data!D" &amp; 1034)</f>
        <v>0</v>
      </c>
      <c r="K1039" cm="1">
        <f t="array" aca="1" ref="K1039" ca="1">INDIRECT("Data!E" &amp; 1034)</f>
        <v>0</v>
      </c>
      <c r="L1039" cm="1">
        <f t="array" aca="1" ref="L1039" ca="1">INDIRECT("Data!F" &amp; 1034)</f>
        <v>0</v>
      </c>
      <c r="M1039" cm="1">
        <f t="array" aca="1" ref="M1039" ca="1">INDIRECT("Data!G" &amp; 1034)</f>
        <v>0</v>
      </c>
      <c r="N1039" cm="1">
        <f t="array" aca="1" ref="N1039" ca="1">INDIRECT("Data!H" &amp; 1034)</f>
        <v>0</v>
      </c>
      <c r="O1039" cm="1">
        <f t="array" aca="1" ref="O1039" ca="1">INDIRECT("Data!I" &amp; 1034)</f>
        <v>0</v>
      </c>
      <c r="P1039" s="21" cm="1">
        <f t="array" aca="1" ref="P1039" ca="1">INDIRECT("Data!J" &amp; 1034)</f>
        <v>0</v>
      </c>
      <c r="Q1039" cm="1">
        <f t="array" aca="1" ref="Q1039" ca="1">INDIRECT("Data!K" &amp; 1034)</f>
        <v>0</v>
      </c>
      <c r="R1039" cm="1">
        <f t="array" aca="1" ref="R1039" ca="1">INDIRECT("Data!L" &amp; 1034)</f>
        <v>0</v>
      </c>
      <c r="S1039" cm="1">
        <f t="array" aca="1" ref="S1039" ca="1">INDIRECT("Data!M" &amp; 1034)</f>
        <v>0</v>
      </c>
      <c r="T1039" cm="1">
        <f t="array" aca="1" ref="T1039" ca="1">INDIRECT("Data!N" &amp; 1034)</f>
        <v>0</v>
      </c>
      <c r="U1039" cm="1">
        <f t="array" aca="1" ref="U1039" ca="1">INDIRECT("Data!O" &amp; 1034)</f>
        <v>0</v>
      </c>
      <c r="V1039" cm="1">
        <f t="array" aca="1" ref="V1039" ca="1">INDIRECT("Data!P" &amp; 1034)</f>
        <v>0</v>
      </c>
    </row>
    <row r="1040" spans="7:22" x14ac:dyDescent="0.25">
      <c r="G1040" cm="1">
        <f t="array" aca="1" ref="G1040" ca="1">INDIRECT("Data!A" &amp; 1035)</f>
        <v>0</v>
      </c>
      <c r="H1040" s="21" cm="1">
        <f t="array" aca="1" ref="H1040" ca="1">INDIRECT("Data!B" &amp; 1035)</f>
        <v>0</v>
      </c>
      <c r="I1040" s="21" cm="1">
        <f t="array" aca="1" ref="I1040" ca="1">INDIRECT("Data!C" &amp; 1035)</f>
        <v>0</v>
      </c>
      <c r="J1040" cm="1">
        <f t="array" aca="1" ref="J1040" ca="1">INDIRECT("Data!D" &amp; 1035)</f>
        <v>0</v>
      </c>
      <c r="K1040" cm="1">
        <f t="array" aca="1" ref="K1040" ca="1">INDIRECT("Data!E" &amp; 1035)</f>
        <v>0</v>
      </c>
      <c r="L1040" cm="1">
        <f t="array" aca="1" ref="L1040" ca="1">INDIRECT("Data!F" &amp; 1035)</f>
        <v>0</v>
      </c>
      <c r="M1040" cm="1">
        <f t="array" aca="1" ref="M1040" ca="1">INDIRECT("Data!G" &amp; 1035)</f>
        <v>0</v>
      </c>
      <c r="N1040" cm="1">
        <f t="array" aca="1" ref="N1040" ca="1">INDIRECT("Data!H" &amp; 1035)</f>
        <v>0</v>
      </c>
      <c r="O1040" cm="1">
        <f t="array" aca="1" ref="O1040" ca="1">INDIRECT("Data!I" &amp; 1035)</f>
        <v>0</v>
      </c>
      <c r="P1040" s="21" cm="1">
        <f t="array" aca="1" ref="P1040" ca="1">INDIRECT("Data!J" &amp; 1035)</f>
        <v>0</v>
      </c>
      <c r="Q1040" cm="1">
        <f t="array" aca="1" ref="Q1040" ca="1">INDIRECT("Data!K" &amp; 1035)</f>
        <v>0</v>
      </c>
      <c r="R1040" cm="1">
        <f t="array" aca="1" ref="R1040" ca="1">INDIRECT("Data!L" &amp; 1035)</f>
        <v>0</v>
      </c>
      <c r="S1040" cm="1">
        <f t="array" aca="1" ref="S1040" ca="1">INDIRECT("Data!M" &amp; 1035)</f>
        <v>0</v>
      </c>
      <c r="T1040" cm="1">
        <f t="array" aca="1" ref="T1040" ca="1">INDIRECT("Data!N" &amp; 1035)</f>
        <v>0</v>
      </c>
      <c r="U1040" cm="1">
        <f t="array" aca="1" ref="U1040" ca="1">INDIRECT("Data!O" &amp; 1035)</f>
        <v>0</v>
      </c>
      <c r="V1040" cm="1">
        <f t="array" aca="1" ref="V1040" ca="1">INDIRECT("Data!P" &amp; 1035)</f>
        <v>0</v>
      </c>
    </row>
    <row r="1041" spans="7:22" x14ac:dyDescent="0.25">
      <c r="G1041" cm="1">
        <f t="array" aca="1" ref="G1041" ca="1">INDIRECT("Data!A" &amp; 1036)</f>
        <v>0</v>
      </c>
      <c r="H1041" s="21" cm="1">
        <f t="array" aca="1" ref="H1041" ca="1">INDIRECT("Data!B" &amp; 1036)</f>
        <v>0</v>
      </c>
      <c r="I1041" s="21" cm="1">
        <f t="array" aca="1" ref="I1041" ca="1">INDIRECT("Data!C" &amp; 1036)</f>
        <v>0</v>
      </c>
      <c r="J1041" cm="1">
        <f t="array" aca="1" ref="J1041" ca="1">INDIRECT("Data!D" &amp; 1036)</f>
        <v>0</v>
      </c>
      <c r="K1041" cm="1">
        <f t="array" aca="1" ref="K1041" ca="1">INDIRECT("Data!E" &amp; 1036)</f>
        <v>0</v>
      </c>
      <c r="L1041" cm="1">
        <f t="array" aca="1" ref="L1041" ca="1">INDIRECT("Data!F" &amp; 1036)</f>
        <v>0</v>
      </c>
      <c r="M1041" cm="1">
        <f t="array" aca="1" ref="M1041" ca="1">INDIRECT("Data!G" &amp; 1036)</f>
        <v>0</v>
      </c>
      <c r="N1041" cm="1">
        <f t="array" aca="1" ref="N1041" ca="1">INDIRECT("Data!H" &amp; 1036)</f>
        <v>0</v>
      </c>
      <c r="O1041" cm="1">
        <f t="array" aca="1" ref="O1041" ca="1">INDIRECT("Data!I" &amp; 1036)</f>
        <v>0</v>
      </c>
      <c r="P1041" s="21" cm="1">
        <f t="array" aca="1" ref="P1041" ca="1">INDIRECT("Data!J" &amp; 1036)</f>
        <v>0</v>
      </c>
      <c r="Q1041" cm="1">
        <f t="array" aca="1" ref="Q1041" ca="1">INDIRECT("Data!K" &amp; 1036)</f>
        <v>0</v>
      </c>
      <c r="R1041" cm="1">
        <f t="array" aca="1" ref="R1041" ca="1">INDIRECT("Data!L" &amp; 1036)</f>
        <v>0</v>
      </c>
      <c r="S1041" cm="1">
        <f t="array" aca="1" ref="S1041" ca="1">INDIRECT("Data!M" &amp; 1036)</f>
        <v>0</v>
      </c>
      <c r="T1041" cm="1">
        <f t="array" aca="1" ref="T1041" ca="1">INDIRECT("Data!N" &amp; 1036)</f>
        <v>0</v>
      </c>
      <c r="U1041" cm="1">
        <f t="array" aca="1" ref="U1041" ca="1">INDIRECT("Data!O" &amp; 1036)</f>
        <v>0</v>
      </c>
      <c r="V1041" cm="1">
        <f t="array" aca="1" ref="V1041" ca="1">INDIRECT("Data!P" &amp; 1036)</f>
        <v>0</v>
      </c>
    </row>
    <row r="1042" spans="7:22" x14ac:dyDescent="0.25">
      <c r="G1042" cm="1">
        <f t="array" aca="1" ref="G1042" ca="1">INDIRECT("Data!A" &amp; 1037)</f>
        <v>0</v>
      </c>
      <c r="H1042" s="21" cm="1">
        <f t="array" aca="1" ref="H1042" ca="1">INDIRECT("Data!B" &amp; 1037)</f>
        <v>0</v>
      </c>
      <c r="I1042" s="21" cm="1">
        <f t="array" aca="1" ref="I1042" ca="1">INDIRECT("Data!C" &amp; 1037)</f>
        <v>0</v>
      </c>
      <c r="J1042" cm="1">
        <f t="array" aca="1" ref="J1042" ca="1">INDIRECT("Data!D" &amp; 1037)</f>
        <v>0</v>
      </c>
      <c r="K1042" cm="1">
        <f t="array" aca="1" ref="K1042" ca="1">INDIRECT("Data!E" &amp; 1037)</f>
        <v>0</v>
      </c>
      <c r="L1042" cm="1">
        <f t="array" aca="1" ref="L1042" ca="1">INDIRECT("Data!F" &amp; 1037)</f>
        <v>0</v>
      </c>
      <c r="M1042" cm="1">
        <f t="array" aca="1" ref="M1042" ca="1">INDIRECT("Data!G" &amp; 1037)</f>
        <v>0</v>
      </c>
      <c r="N1042" cm="1">
        <f t="array" aca="1" ref="N1042" ca="1">INDIRECT("Data!H" &amp; 1037)</f>
        <v>0</v>
      </c>
      <c r="O1042" cm="1">
        <f t="array" aca="1" ref="O1042" ca="1">INDIRECT("Data!I" &amp; 1037)</f>
        <v>0</v>
      </c>
      <c r="P1042" s="21" cm="1">
        <f t="array" aca="1" ref="P1042" ca="1">INDIRECT("Data!J" &amp; 1037)</f>
        <v>0</v>
      </c>
      <c r="Q1042" cm="1">
        <f t="array" aca="1" ref="Q1042" ca="1">INDIRECT("Data!K" &amp; 1037)</f>
        <v>0</v>
      </c>
      <c r="R1042" cm="1">
        <f t="array" aca="1" ref="R1042" ca="1">INDIRECT("Data!L" &amp; 1037)</f>
        <v>0</v>
      </c>
      <c r="S1042" cm="1">
        <f t="array" aca="1" ref="S1042" ca="1">INDIRECT("Data!M" &amp; 1037)</f>
        <v>0</v>
      </c>
      <c r="T1042" cm="1">
        <f t="array" aca="1" ref="T1042" ca="1">INDIRECT("Data!N" &amp; 1037)</f>
        <v>0</v>
      </c>
      <c r="U1042" cm="1">
        <f t="array" aca="1" ref="U1042" ca="1">INDIRECT("Data!O" &amp; 1037)</f>
        <v>0</v>
      </c>
      <c r="V1042" cm="1">
        <f t="array" aca="1" ref="V1042" ca="1">INDIRECT("Data!P" &amp; 1037)</f>
        <v>0</v>
      </c>
    </row>
    <row r="1043" spans="7:22" x14ac:dyDescent="0.25">
      <c r="G1043" cm="1">
        <f t="array" aca="1" ref="G1043" ca="1">INDIRECT("Data!A" &amp; 1038)</f>
        <v>0</v>
      </c>
      <c r="H1043" s="21" cm="1">
        <f t="array" aca="1" ref="H1043" ca="1">INDIRECT("Data!B" &amp; 1038)</f>
        <v>0</v>
      </c>
      <c r="I1043" s="21" cm="1">
        <f t="array" aca="1" ref="I1043" ca="1">INDIRECT("Data!C" &amp; 1038)</f>
        <v>0</v>
      </c>
      <c r="J1043" cm="1">
        <f t="array" aca="1" ref="J1043" ca="1">INDIRECT("Data!D" &amp; 1038)</f>
        <v>0</v>
      </c>
      <c r="K1043" cm="1">
        <f t="array" aca="1" ref="K1043" ca="1">INDIRECT("Data!E" &amp; 1038)</f>
        <v>0</v>
      </c>
      <c r="L1043" cm="1">
        <f t="array" aca="1" ref="L1043" ca="1">INDIRECT("Data!F" &amp; 1038)</f>
        <v>0</v>
      </c>
      <c r="M1043" cm="1">
        <f t="array" aca="1" ref="M1043" ca="1">INDIRECT("Data!G" &amp; 1038)</f>
        <v>0</v>
      </c>
      <c r="N1043" cm="1">
        <f t="array" aca="1" ref="N1043" ca="1">INDIRECT("Data!H" &amp; 1038)</f>
        <v>0</v>
      </c>
      <c r="O1043" cm="1">
        <f t="array" aca="1" ref="O1043" ca="1">INDIRECT("Data!I" &amp; 1038)</f>
        <v>0</v>
      </c>
      <c r="P1043" s="21" cm="1">
        <f t="array" aca="1" ref="P1043" ca="1">INDIRECT("Data!J" &amp; 1038)</f>
        <v>0</v>
      </c>
      <c r="Q1043" cm="1">
        <f t="array" aca="1" ref="Q1043" ca="1">INDIRECT("Data!K" &amp; 1038)</f>
        <v>0</v>
      </c>
      <c r="R1043" cm="1">
        <f t="array" aca="1" ref="R1043" ca="1">INDIRECT("Data!L" &amp; 1038)</f>
        <v>0</v>
      </c>
      <c r="S1043" cm="1">
        <f t="array" aca="1" ref="S1043" ca="1">INDIRECT("Data!M" &amp; 1038)</f>
        <v>0</v>
      </c>
      <c r="T1043" cm="1">
        <f t="array" aca="1" ref="T1043" ca="1">INDIRECT("Data!N" &amp; 1038)</f>
        <v>0</v>
      </c>
      <c r="U1043" cm="1">
        <f t="array" aca="1" ref="U1043" ca="1">INDIRECT("Data!O" &amp; 1038)</f>
        <v>0</v>
      </c>
      <c r="V1043" cm="1">
        <f t="array" aca="1" ref="V1043" ca="1">INDIRECT("Data!P" &amp; 1038)</f>
        <v>0</v>
      </c>
    </row>
    <row r="1044" spans="7:22" x14ac:dyDescent="0.25">
      <c r="G1044" cm="1">
        <f t="array" aca="1" ref="G1044" ca="1">INDIRECT("Data!A" &amp; 1039)</f>
        <v>0</v>
      </c>
      <c r="H1044" s="21" cm="1">
        <f t="array" aca="1" ref="H1044" ca="1">INDIRECT("Data!B" &amp; 1039)</f>
        <v>0</v>
      </c>
      <c r="I1044" s="21" cm="1">
        <f t="array" aca="1" ref="I1044" ca="1">INDIRECT("Data!C" &amp; 1039)</f>
        <v>0</v>
      </c>
      <c r="J1044" cm="1">
        <f t="array" aca="1" ref="J1044" ca="1">INDIRECT("Data!D" &amp; 1039)</f>
        <v>0</v>
      </c>
      <c r="K1044" cm="1">
        <f t="array" aca="1" ref="K1044" ca="1">INDIRECT("Data!E" &amp; 1039)</f>
        <v>0</v>
      </c>
      <c r="L1044" cm="1">
        <f t="array" aca="1" ref="L1044" ca="1">INDIRECT("Data!F" &amp; 1039)</f>
        <v>0</v>
      </c>
      <c r="M1044" cm="1">
        <f t="array" aca="1" ref="M1044" ca="1">INDIRECT("Data!G" &amp; 1039)</f>
        <v>0</v>
      </c>
      <c r="N1044" cm="1">
        <f t="array" aca="1" ref="N1044" ca="1">INDIRECT("Data!H" &amp; 1039)</f>
        <v>0</v>
      </c>
      <c r="O1044" cm="1">
        <f t="array" aca="1" ref="O1044" ca="1">INDIRECT("Data!I" &amp; 1039)</f>
        <v>0</v>
      </c>
      <c r="P1044" s="21" cm="1">
        <f t="array" aca="1" ref="P1044" ca="1">INDIRECT("Data!J" &amp; 1039)</f>
        <v>0</v>
      </c>
      <c r="Q1044" cm="1">
        <f t="array" aca="1" ref="Q1044" ca="1">INDIRECT("Data!K" &amp; 1039)</f>
        <v>0</v>
      </c>
      <c r="R1044" cm="1">
        <f t="array" aca="1" ref="R1044" ca="1">INDIRECT("Data!L" &amp; 1039)</f>
        <v>0</v>
      </c>
      <c r="S1044" cm="1">
        <f t="array" aca="1" ref="S1044" ca="1">INDIRECT("Data!M" &amp; 1039)</f>
        <v>0</v>
      </c>
      <c r="T1044" cm="1">
        <f t="array" aca="1" ref="T1044" ca="1">INDIRECT("Data!N" &amp; 1039)</f>
        <v>0</v>
      </c>
      <c r="U1044" cm="1">
        <f t="array" aca="1" ref="U1044" ca="1">INDIRECT("Data!O" &amp; 1039)</f>
        <v>0</v>
      </c>
      <c r="V1044" cm="1">
        <f t="array" aca="1" ref="V1044" ca="1">INDIRECT("Data!P" &amp; 1039)</f>
        <v>0</v>
      </c>
    </row>
    <row r="1045" spans="7:22" x14ac:dyDescent="0.25">
      <c r="G1045" cm="1">
        <f t="array" aca="1" ref="G1045" ca="1">INDIRECT("Data!A" &amp; 1040)</f>
        <v>0</v>
      </c>
      <c r="H1045" s="21" cm="1">
        <f t="array" aca="1" ref="H1045" ca="1">INDIRECT("Data!B" &amp; 1040)</f>
        <v>0</v>
      </c>
      <c r="I1045" s="21" cm="1">
        <f t="array" aca="1" ref="I1045" ca="1">INDIRECT("Data!C" &amp; 1040)</f>
        <v>0</v>
      </c>
      <c r="J1045" cm="1">
        <f t="array" aca="1" ref="J1045" ca="1">INDIRECT("Data!D" &amp; 1040)</f>
        <v>0</v>
      </c>
      <c r="K1045" cm="1">
        <f t="array" aca="1" ref="K1045" ca="1">INDIRECT("Data!E" &amp; 1040)</f>
        <v>0</v>
      </c>
      <c r="L1045" cm="1">
        <f t="array" aca="1" ref="L1045" ca="1">INDIRECT("Data!F" &amp; 1040)</f>
        <v>0</v>
      </c>
      <c r="M1045" cm="1">
        <f t="array" aca="1" ref="M1045" ca="1">INDIRECT("Data!G" &amp; 1040)</f>
        <v>0</v>
      </c>
      <c r="N1045" cm="1">
        <f t="array" aca="1" ref="N1045" ca="1">INDIRECT("Data!H" &amp; 1040)</f>
        <v>0</v>
      </c>
      <c r="O1045" cm="1">
        <f t="array" aca="1" ref="O1045" ca="1">INDIRECT("Data!I" &amp; 1040)</f>
        <v>0</v>
      </c>
      <c r="P1045" s="21" cm="1">
        <f t="array" aca="1" ref="P1045" ca="1">INDIRECT("Data!J" &amp; 1040)</f>
        <v>0</v>
      </c>
      <c r="Q1045" cm="1">
        <f t="array" aca="1" ref="Q1045" ca="1">INDIRECT("Data!K" &amp; 1040)</f>
        <v>0</v>
      </c>
      <c r="R1045" cm="1">
        <f t="array" aca="1" ref="R1045" ca="1">INDIRECT("Data!L" &amp; 1040)</f>
        <v>0</v>
      </c>
      <c r="S1045" cm="1">
        <f t="array" aca="1" ref="S1045" ca="1">INDIRECT("Data!M" &amp; 1040)</f>
        <v>0</v>
      </c>
      <c r="T1045" cm="1">
        <f t="array" aca="1" ref="T1045" ca="1">INDIRECT("Data!N" &amp; 1040)</f>
        <v>0</v>
      </c>
      <c r="U1045" cm="1">
        <f t="array" aca="1" ref="U1045" ca="1">INDIRECT("Data!O" &amp; 1040)</f>
        <v>0</v>
      </c>
      <c r="V1045" cm="1">
        <f t="array" aca="1" ref="V1045" ca="1">INDIRECT("Data!P" &amp; 1040)</f>
        <v>0</v>
      </c>
    </row>
    <row r="1046" spans="7:22" x14ac:dyDescent="0.25">
      <c r="G1046" cm="1">
        <f t="array" aca="1" ref="G1046" ca="1">INDIRECT("Data!A" &amp; 1041)</f>
        <v>0</v>
      </c>
      <c r="H1046" s="21" cm="1">
        <f t="array" aca="1" ref="H1046" ca="1">INDIRECT("Data!B" &amp; 1041)</f>
        <v>0</v>
      </c>
      <c r="I1046" s="21" cm="1">
        <f t="array" aca="1" ref="I1046" ca="1">INDIRECT("Data!C" &amp; 1041)</f>
        <v>0</v>
      </c>
      <c r="J1046" cm="1">
        <f t="array" aca="1" ref="J1046" ca="1">INDIRECT("Data!D" &amp; 1041)</f>
        <v>0</v>
      </c>
      <c r="K1046" cm="1">
        <f t="array" aca="1" ref="K1046" ca="1">INDIRECT("Data!E" &amp; 1041)</f>
        <v>0</v>
      </c>
      <c r="L1046" cm="1">
        <f t="array" aca="1" ref="L1046" ca="1">INDIRECT("Data!F" &amp; 1041)</f>
        <v>0</v>
      </c>
      <c r="M1046" cm="1">
        <f t="array" aca="1" ref="M1046" ca="1">INDIRECT("Data!G" &amp; 1041)</f>
        <v>0</v>
      </c>
      <c r="N1046" cm="1">
        <f t="array" aca="1" ref="N1046" ca="1">INDIRECT("Data!H" &amp; 1041)</f>
        <v>0</v>
      </c>
      <c r="O1046" cm="1">
        <f t="array" aca="1" ref="O1046" ca="1">INDIRECT("Data!I" &amp; 1041)</f>
        <v>0</v>
      </c>
      <c r="P1046" s="21" cm="1">
        <f t="array" aca="1" ref="P1046" ca="1">INDIRECT("Data!J" &amp; 1041)</f>
        <v>0</v>
      </c>
      <c r="Q1046" cm="1">
        <f t="array" aca="1" ref="Q1046" ca="1">INDIRECT("Data!K" &amp; 1041)</f>
        <v>0</v>
      </c>
      <c r="R1046" cm="1">
        <f t="array" aca="1" ref="R1046" ca="1">INDIRECT("Data!L" &amp; 1041)</f>
        <v>0</v>
      </c>
      <c r="S1046" cm="1">
        <f t="array" aca="1" ref="S1046" ca="1">INDIRECT("Data!M" &amp; 1041)</f>
        <v>0</v>
      </c>
      <c r="T1046" cm="1">
        <f t="array" aca="1" ref="T1046" ca="1">INDIRECT("Data!N" &amp; 1041)</f>
        <v>0</v>
      </c>
      <c r="U1046" cm="1">
        <f t="array" aca="1" ref="U1046" ca="1">INDIRECT("Data!O" &amp; 1041)</f>
        <v>0</v>
      </c>
      <c r="V1046" cm="1">
        <f t="array" aca="1" ref="V1046" ca="1">INDIRECT("Data!P" &amp; 1041)</f>
        <v>0</v>
      </c>
    </row>
    <row r="1047" spans="7:22" x14ac:dyDescent="0.25">
      <c r="G1047" cm="1">
        <f t="array" aca="1" ref="G1047" ca="1">INDIRECT("Data!A" &amp; 1042)</f>
        <v>0</v>
      </c>
      <c r="H1047" s="21" cm="1">
        <f t="array" aca="1" ref="H1047" ca="1">INDIRECT("Data!B" &amp; 1042)</f>
        <v>0</v>
      </c>
      <c r="I1047" s="21" cm="1">
        <f t="array" aca="1" ref="I1047" ca="1">INDIRECT("Data!C" &amp; 1042)</f>
        <v>0</v>
      </c>
      <c r="J1047" cm="1">
        <f t="array" aca="1" ref="J1047" ca="1">INDIRECT("Data!D" &amp; 1042)</f>
        <v>0</v>
      </c>
      <c r="K1047" cm="1">
        <f t="array" aca="1" ref="K1047" ca="1">INDIRECT("Data!E" &amp; 1042)</f>
        <v>0</v>
      </c>
      <c r="L1047" cm="1">
        <f t="array" aca="1" ref="L1047" ca="1">INDIRECT("Data!F" &amp; 1042)</f>
        <v>0</v>
      </c>
      <c r="M1047" cm="1">
        <f t="array" aca="1" ref="M1047" ca="1">INDIRECT("Data!G" &amp; 1042)</f>
        <v>0</v>
      </c>
      <c r="N1047" cm="1">
        <f t="array" aca="1" ref="N1047" ca="1">INDIRECT("Data!H" &amp; 1042)</f>
        <v>0</v>
      </c>
      <c r="O1047" cm="1">
        <f t="array" aca="1" ref="O1047" ca="1">INDIRECT("Data!I" &amp; 1042)</f>
        <v>0</v>
      </c>
      <c r="P1047" s="21" cm="1">
        <f t="array" aca="1" ref="P1047" ca="1">INDIRECT("Data!J" &amp; 1042)</f>
        <v>0</v>
      </c>
      <c r="Q1047" cm="1">
        <f t="array" aca="1" ref="Q1047" ca="1">INDIRECT("Data!K" &amp; 1042)</f>
        <v>0</v>
      </c>
      <c r="R1047" cm="1">
        <f t="array" aca="1" ref="R1047" ca="1">INDIRECT("Data!L" &amp; 1042)</f>
        <v>0</v>
      </c>
      <c r="S1047" cm="1">
        <f t="array" aca="1" ref="S1047" ca="1">INDIRECT("Data!M" &amp; 1042)</f>
        <v>0</v>
      </c>
      <c r="T1047" cm="1">
        <f t="array" aca="1" ref="T1047" ca="1">INDIRECT("Data!N" &amp; 1042)</f>
        <v>0</v>
      </c>
      <c r="U1047" cm="1">
        <f t="array" aca="1" ref="U1047" ca="1">INDIRECT("Data!O" &amp; 1042)</f>
        <v>0</v>
      </c>
      <c r="V1047" cm="1">
        <f t="array" aca="1" ref="V1047" ca="1">INDIRECT("Data!P" &amp; 1042)</f>
        <v>0</v>
      </c>
    </row>
    <row r="1048" spans="7:22" x14ac:dyDescent="0.25">
      <c r="G1048" cm="1">
        <f t="array" aca="1" ref="G1048" ca="1">INDIRECT("Data!A" &amp; 1043)</f>
        <v>0</v>
      </c>
      <c r="H1048" s="21" cm="1">
        <f t="array" aca="1" ref="H1048" ca="1">INDIRECT("Data!B" &amp; 1043)</f>
        <v>0</v>
      </c>
      <c r="I1048" s="21" cm="1">
        <f t="array" aca="1" ref="I1048" ca="1">INDIRECT("Data!C" &amp; 1043)</f>
        <v>0</v>
      </c>
      <c r="J1048" cm="1">
        <f t="array" aca="1" ref="J1048" ca="1">INDIRECT("Data!D" &amp; 1043)</f>
        <v>0</v>
      </c>
      <c r="K1048" cm="1">
        <f t="array" aca="1" ref="K1048" ca="1">INDIRECT("Data!E" &amp; 1043)</f>
        <v>0</v>
      </c>
      <c r="L1048" cm="1">
        <f t="array" aca="1" ref="L1048" ca="1">INDIRECT("Data!F" &amp; 1043)</f>
        <v>0</v>
      </c>
      <c r="M1048" cm="1">
        <f t="array" aca="1" ref="M1048" ca="1">INDIRECT("Data!G" &amp; 1043)</f>
        <v>0</v>
      </c>
      <c r="N1048" cm="1">
        <f t="array" aca="1" ref="N1048" ca="1">INDIRECT("Data!H" &amp; 1043)</f>
        <v>0</v>
      </c>
      <c r="O1048" cm="1">
        <f t="array" aca="1" ref="O1048" ca="1">INDIRECT("Data!I" &amp; 1043)</f>
        <v>0</v>
      </c>
      <c r="P1048" s="21" cm="1">
        <f t="array" aca="1" ref="P1048" ca="1">INDIRECT("Data!J" &amp; 1043)</f>
        <v>0</v>
      </c>
      <c r="Q1048" cm="1">
        <f t="array" aca="1" ref="Q1048" ca="1">INDIRECT("Data!K" &amp; 1043)</f>
        <v>0</v>
      </c>
      <c r="R1048" cm="1">
        <f t="array" aca="1" ref="R1048" ca="1">INDIRECT("Data!L" &amp; 1043)</f>
        <v>0</v>
      </c>
      <c r="S1048" cm="1">
        <f t="array" aca="1" ref="S1048" ca="1">INDIRECT("Data!M" &amp; 1043)</f>
        <v>0</v>
      </c>
      <c r="T1048" cm="1">
        <f t="array" aca="1" ref="T1048" ca="1">INDIRECT("Data!N" &amp; 1043)</f>
        <v>0</v>
      </c>
      <c r="U1048" cm="1">
        <f t="array" aca="1" ref="U1048" ca="1">INDIRECT("Data!O" &amp; 1043)</f>
        <v>0</v>
      </c>
      <c r="V1048" cm="1">
        <f t="array" aca="1" ref="V1048" ca="1">INDIRECT("Data!P" &amp; 1043)</f>
        <v>0</v>
      </c>
    </row>
    <row r="1049" spans="7:22" x14ac:dyDescent="0.25">
      <c r="G1049" cm="1">
        <f t="array" aca="1" ref="G1049" ca="1">INDIRECT("Data!A" &amp; 1044)</f>
        <v>0</v>
      </c>
      <c r="H1049" s="21" cm="1">
        <f t="array" aca="1" ref="H1049" ca="1">INDIRECT("Data!B" &amp; 1044)</f>
        <v>0</v>
      </c>
      <c r="I1049" s="21" cm="1">
        <f t="array" aca="1" ref="I1049" ca="1">INDIRECT("Data!C" &amp; 1044)</f>
        <v>0</v>
      </c>
      <c r="J1049" cm="1">
        <f t="array" aca="1" ref="J1049" ca="1">INDIRECT("Data!D" &amp; 1044)</f>
        <v>0</v>
      </c>
      <c r="K1049" cm="1">
        <f t="array" aca="1" ref="K1049" ca="1">INDIRECT("Data!E" &amp; 1044)</f>
        <v>0</v>
      </c>
      <c r="L1049" cm="1">
        <f t="array" aca="1" ref="L1049" ca="1">INDIRECT("Data!F" &amp; 1044)</f>
        <v>0</v>
      </c>
      <c r="M1049" cm="1">
        <f t="array" aca="1" ref="M1049" ca="1">INDIRECT("Data!G" &amp; 1044)</f>
        <v>0</v>
      </c>
      <c r="N1049" cm="1">
        <f t="array" aca="1" ref="N1049" ca="1">INDIRECT("Data!H" &amp; 1044)</f>
        <v>0</v>
      </c>
      <c r="O1049" cm="1">
        <f t="array" aca="1" ref="O1049" ca="1">INDIRECT("Data!I" &amp; 1044)</f>
        <v>0</v>
      </c>
      <c r="P1049" s="21" cm="1">
        <f t="array" aca="1" ref="P1049" ca="1">INDIRECT("Data!J" &amp; 1044)</f>
        <v>0</v>
      </c>
      <c r="Q1049" cm="1">
        <f t="array" aca="1" ref="Q1049" ca="1">INDIRECT("Data!K" &amp; 1044)</f>
        <v>0</v>
      </c>
      <c r="R1049" cm="1">
        <f t="array" aca="1" ref="R1049" ca="1">INDIRECT("Data!L" &amp; 1044)</f>
        <v>0</v>
      </c>
      <c r="S1049" cm="1">
        <f t="array" aca="1" ref="S1049" ca="1">INDIRECT("Data!M" &amp; 1044)</f>
        <v>0</v>
      </c>
      <c r="T1049" cm="1">
        <f t="array" aca="1" ref="T1049" ca="1">INDIRECT("Data!N" &amp; 1044)</f>
        <v>0</v>
      </c>
      <c r="U1049" cm="1">
        <f t="array" aca="1" ref="U1049" ca="1">INDIRECT("Data!O" &amp; 1044)</f>
        <v>0</v>
      </c>
      <c r="V1049" cm="1">
        <f t="array" aca="1" ref="V1049" ca="1">INDIRECT("Data!P" &amp; 1044)</f>
        <v>0</v>
      </c>
    </row>
    <row r="1050" spans="7:22" x14ac:dyDescent="0.25">
      <c r="G1050" cm="1">
        <f t="array" aca="1" ref="G1050" ca="1">INDIRECT("Data!A" &amp; 1045)</f>
        <v>0</v>
      </c>
      <c r="H1050" s="21" cm="1">
        <f t="array" aca="1" ref="H1050" ca="1">INDIRECT("Data!B" &amp; 1045)</f>
        <v>0</v>
      </c>
      <c r="I1050" s="21" cm="1">
        <f t="array" aca="1" ref="I1050" ca="1">INDIRECT("Data!C" &amp; 1045)</f>
        <v>0</v>
      </c>
      <c r="J1050" cm="1">
        <f t="array" aca="1" ref="J1050" ca="1">INDIRECT("Data!D" &amp; 1045)</f>
        <v>0</v>
      </c>
      <c r="K1050" cm="1">
        <f t="array" aca="1" ref="K1050" ca="1">INDIRECT("Data!E" &amp; 1045)</f>
        <v>0</v>
      </c>
      <c r="L1050" cm="1">
        <f t="array" aca="1" ref="L1050" ca="1">INDIRECT("Data!F" &amp; 1045)</f>
        <v>0</v>
      </c>
      <c r="M1050" cm="1">
        <f t="array" aca="1" ref="M1050" ca="1">INDIRECT("Data!G" &amp; 1045)</f>
        <v>0</v>
      </c>
      <c r="N1050" cm="1">
        <f t="array" aca="1" ref="N1050" ca="1">INDIRECT("Data!H" &amp; 1045)</f>
        <v>0</v>
      </c>
      <c r="O1050" cm="1">
        <f t="array" aca="1" ref="O1050" ca="1">INDIRECT("Data!I" &amp; 1045)</f>
        <v>0</v>
      </c>
      <c r="P1050" s="21" cm="1">
        <f t="array" aca="1" ref="P1050" ca="1">INDIRECT("Data!J" &amp; 1045)</f>
        <v>0</v>
      </c>
      <c r="Q1050" cm="1">
        <f t="array" aca="1" ref="Q1050" ca="1">INDIRECT("Data!K" &amp; 1045)</f>
        <v>0</v>
      </c>
      <c r="R1050" cm="1">
        <f t="array" aca="1" ref="R1050" ca="1">INDIRECT("Data!L" &amp; 1045)</f>
        <v>0</v>
      </c>
      <c r="S1050" cm="1">
        <f t="array" aca="1" ref="S1050" ca="1">INDIRECT("Data!M" &amp; 1045)</f>
        <v>0</v>
      </c>
      <c r="T1050" cm="1">
        <f t="array" aca="1" ref="T1050" ca="1">INDIRECT("Data!N" &amp; 1045)</f>
        <v>0</v>
      </c>
      <c r="U1050" cm="1">
        <f t="array" aca="1" ref="U1050" ca="1">INDIRECT("Data!O" &amp; 1045)</f>
        <v>0</v>
      </c>
      <c r="V1050" cm="1">
        <f t="array" aca="1" ref="V1050" ca="1">INDIRECT("Data!P" &amp; 1045)</f>
        <v>0</v>
      </c>
    </row>
    <row r="1051" spans="7:22" x14ac:dyDescent="0.25">
      <c r="G1051" cm="1">
        <f t="array" aca="1" ref="G1051" ca="1">INDIRECT("Data!A" &amp; 1046)</f>
        <v>0</v>
      </c>
      <c r="H1051" s="21" cm="1">
        <f t="array" aca="1" ref="H1051" ca="1">INDIRECT("Data!B" &amp; 1046)</f>
        <v>0</v>
      </c>
      <c r="I1051" s="21" cm="1">
        <f t="array" aca="1" ref="I1051" ca="1">INDIRECT("Data!C" &amp; 1046)</f>
        <v>0</v>
      </c>
      <c r="J1051" cm="1">
        <f t="array" aca="1" ref="J1051" ca="1">INDIRECT("Data!D" &amp; 1046)</f>
        <v>0</v>
      </c>
      <c r="K1051" cm="1">
        <f t="array" aca="1" ref="K1051" ca="1">INDIRECT("Data!E" &amp; 1046)</f>
        <v>0</v>
      </c>
      <c r="L1051" cm="1">
        <f t="array" aca="1" ref="L1051" ca="1">INDIRECT("Data!F" &amp; 1046)</f>
        <v>0</v>
      </c>
      <c r="M1051" cm="1">
        <f t="array" aca="1" ref="M1051" ca="1">INDIRECT("Data!G" &amp; 1046)</f>
        <v>0</v>
      </c>
      <c r="N1051" cm="1">
        <f t="array" aca="1" ref="N1051" ca="1">INDIRECT("Data!H" &amp; 1046)</f>
        <v>0</v>
      </c>
      <c r="O1051" cm="1">
        <f t="array" aca="1" ref="O1051" ca="1">INDIRECT("Data!I" &amp; 1046)</f>
        <v>0</v>
      </c>
      <c r="P1051" s="21" cm="1">
        <f t="array" aca="1" ref="P1051" ca="1">INDIRECT("Data!J" &amp; 1046)</f>
        <v>0</v>
      </c>
      <c r="Q1051" cm="1">
        <f t="array" aca="1" ref="Q1051" ca="1">INDIRECT("Data!K" &amp; 1046)</f>
        <v>0</v>
      </c>
      <c r="R1051" cm="1">
        <f t="array" aca="1" ref="R1051" ca="1">INDIRECT("Data!L" &amp; 1046)</f>
        <v>0</v>
      </c>
      <c r="S1051" cm="1">
        <f t="array" aca="1" ref="S1051" ca="1">INDIRECT("Data!M" &amp; 1046)</f>
        <v>0</v>
      </c>
      <c r="T1051" cm="1">
        <f t="array" aca="1" ref="T1051" ca="1">INDIRECT("Data!N" &amp; 1046)</f>
        <v>0</v>
      </c>
      <c r="U1051" cm="1">
        <f t="array" aca="1" ref="U1051" ca="1">INDIRECT("Data!O" &amp; 1046)</f>
        <v>0</v>
      </c>
      <c r="V1051" cm="1">
        <f t="array" aca="1" ref="V1051" ca="1">INDIRECT("Data!P" &amp; 1046)</f>
        <v>0</v>
      </c>
    </row>
    <row r="1052" spans="7:22" x14ac:dyDescent="0.25">
      <c r="G1052" cm="1">
        <f t="array" aca="1" ref="G1052" ca="1">INDIRECT("Data!A" &amp; 1047)</f>
        <v>0</v>
      </c>
      <c r="H1052" s="21" cm="1">
        <f t="array" aca="1" ref="H1052" ca="1">INDIRECT("Data!B" &amp; 1047)</f>
        <v>0</v>
      </c>
      <c r="I1052" s="21" cm="1">
        <f t="array" aca="1" ref="I1052" ca="1">INDIRECT("Data!C" &amp; 1047)</f>
        <v>0</v>
      </c>
      <c r="J1052" cm="1">
        <f t="array" aca="1" ref="J1052" ca="1">INDIRECT("Data!D" &amp; 1047)</f>
        <v>0</v>
      </c>
      <c r="K1052" cm="1">
        <f t="array" aca="1" ref="K1052" ca="1">INDIRECT("Data!E" &amp; 1047)</f>
        <v>0</v>
      </c>
      <c r="L1052" cm="1">
        <f t="array" aca="1" ref="L1052" ca="1">INDIRECT("Data!F" &amp; 1047)</f>
        <v>0</v>
      </c>
      <c r="M1052" cm="1">
        <f t="array" aca="1" ref="M1052" ca="1">INDIRECT("Data!G" &amp; 1047)</f>
        <v>0</v>
      </c>
      <c r="N1052" cm="1">
        <f t="array" aca="1" ref="N1052" ca="1">INDIRECT("Data!H" &amp; 1047)</f>
        <v>0</v>
      </c>
      <c r="O1052" cm="1">
        <f t="array" aca="1" ref="O1052" ca="1">INDIRECT("Data!I" &amp; 1047)</f>
        <v>0</v>
      </c>
      <c r="P1052" s="21" cm="1">
        <f t="array" aca="1" ref="P1052" ca="1">INDIRECT("Data!J" &amp; 1047)</f>
        <v>0</v>
      </c>
      <c r="Q1052" cm="1">
        <f t="array" aca="1" ref="Q1052" ca="1">INDIRECT("Data!K" &amp; 1047)</f>
        <v>0</v>
      </c>
      <c r="R1052" cm="1">
        <f t="array" aca="1" ref="R1052" ca="1">INDIRECT("Data!L" &amp; 1047)</f>
        <v>0</v>
      </c>
      <c r="S1052" cm="1">
        <f t="array" aca="1" ref="S1052" ca="1">INDIRECT("Data!M" &amp; 1047)</f>
        <v>0</v>
      </c>
      <c r="T1052" cm="1">
        <f t="array" aca="1" ref="T1052" ca="1">INDIRECT("Data!N" &amp; 1047)</f>
        <v>0</v>
      </c>
      <c r="U1052" cm="1">
        <f t="array" aca="1" ref="U1052" ca="1">INDIRECT("Data!O" &amp; 1047)</f>
        <v>0</v>
      </c>
      <c r="V1052" cm="1">
        <f t="array" aca="1" ref="V1052" ca="1">INDIRECT("Data!P" &amp; 1047)</f>
        <v>0</v>
      </c>
    </row>
    <row r="1053" spans="7:22" x14ac:dyDescent="0.25">
      <c r="G1053" cm="1">
        <f t="array" aca="1" ref="G1053" ca="1">INDIRECT("Data!A" &amp; 1048)</f>
        <v>0</v>
      </c>
      <c r="H1053" s="21" cm="1">
        <f t="array" aca="1" ref="H1053" ca="1">INDIRECT("Data!B" &amp; 1048)</f>
        <v>0</v>
      </c>
      <c r="I1053" s="21" cm="1">
        <f t="array" aca="1" ref="I1053" ca="1">INDIRECT("Data!C" &amp; 1048)</f>
        <v>0</v>
      </c>
      <c r="J1053" cm="1">
        <f t="array" aca="1" ref="J1053" ca="1">INDIRECT("Data!D" &amp; 1048)</f>
        <v>0</v>
      </c>
      <c r="K1053" cm="1">
        <f t="array" aca="1" ref="K1053" ca="1">INDIRECT("Data!E" &amp; 1048)</f>
        <v>0</v>
      </c>
      <c r="L1053" cm="1">
        <f t="array" aca="1" ref="L1053" ca="1">INDIRECT("Data!F" &amp; 1048)</f>
        <v>0</v>
      </c>
      <c r="M1053" cm="1">
        <f t="array" aca="1" ref="M1053" ca="1">INDIRECT("Data!G" &amp; 1048)</f>
        <v>0</v>
      </c>
      <c r="N1053" cm="1">
        <f t="array" aca="1" ref="N1053" ca="1">INDIRECT("Data!H" &amp; 1048)</f>
        <v>0</v>
      </c>
      <c r="O1053" cm="1">
        <f t="array" aca="1" ref="O1053" ca="1">INDIRECT("Data!I" &amp; 1048)</f>
        <v>0</v>
      </c>
      <c r="P1053" s="21" cm="1">
        <f t="array" aca="1" ref="P1053" ca="1">INDIRECT("Data!J" &amp; 1048)</f>
        <v>0</v>
      </c>
      <c r="Q1053" cm="1">
        <f t="array" aca="1" ref="Q1053" ca="1">INDIRECT("Data!K" &amp; 1048)</f>
        <v>0</v>
      </c>
      <c r="R1053" cm="1">
        <f t="array" aca="1" ref="R1053" ca="1">INDIRECT("Data!L" &amp; 1048)</f>
        <v>0</v>
      </c>
      <c r="S1053" cm="1">
        <f t="array" aca="1" ref="S1053" ca="1">INDIRECT("Data!M" &amp; 1048)</f>
        <v>0</v>
      </c>
      <c r="T1053" cm="1">
        <f t="array" aca="1" ref="T1053" ca="1">INDIRECT("Data!N" &amp; 1048)</f>
        <v>0</v>
      </c>
      <c r="U1053" cm="1">
        <f t="array" aca="1" ref="U1053" ca="1">INDIRECT("Data!O" &amp; 1048)</f>
        <v>0</v>
      </c>
      <c r="V1053" cm="1">
        <f t="array" aca="1" ref="V1053" ca="1">INDIRECT("Data!P" &amp; 1048)</f>
        <v>0</v>
      </c>
    </row>
    <row r="1054" spans="7:22" x14ac:dyDescent="0.25">
      <c r="G1054" cm="1">
        <f t="array" aca="1" ref="G1054" ca="1">INDIRECT("Data!A" &amp; 1049)</f>
        <v>0</v>
      </c>
      <c r="H1054" s="21" cm="1">
        <f t="array" aca="1" ref="H1054" ca="1">INDIRECT("Data!B" &amp; 1049)</f>
        <v>0</v>
      </c>
      <c r="I1054" s="21" cm="1">
        <f t="array" aca="1" ref="I1054" ca="1">INDIRECT("Data!C" &amp; 1049)</f>
        <v>0</v>
      </c>
      <c r="J1054" cm="1">
        <f t="array" aca="1" ref="J1054" ca="1">INDIRECT("Data!D" &amp; 1049)</f>
        <v>0</v>
      </c>
      <c r="K1054" cm="1">
        <f t="array" aca="1" ref="K1054" ca="1">INDIRECT("Data!E" &amp; 1049)</f>
        <v>0</v>
      </c>
      <c r="L1054" cm="1">
        <f t="array" aca="1" ref="L1054" ca="1">INDIRECT("Data!F" &amp; 1049)</f>
        <v>0</v>
      </c>
      <c r="M1054" cm="1">
        <f t="array" aca="1" ref="M1054" ca="1">INDIRECT("Data!G" &amp; 1049)</f>
        <v>0</v>
      </c>
      <c r="N1054" cm="1">
        <f t="array" aca="1" ref="N1054" ca="1">INDIRECT("Data!H" &amp; 1049)</f>
        <v>0</v>
      </c>
      <c r="O1054" cm="1">
        <f t="array" aca="1" ref="O1054" ca="1">INDIRECT("Data!I" &amp; 1049)</f>
        <v>0</v>
      </c>
      <c r="P1054" s="21" cm="1">
        <f t="array" aca="1" ref="P1054" ca="1">INDIRECT("Data!J" &amp; 1049)</f>
        <v>0</v>
      </c>
      <c r="Q1054" cm="1">
        <f t="array" aca="1" ref="Q1054" ca="1">INDIRECT("Data!K" &amp; 1049)</f>
        <v>0</v>
      </c>
      <c r="R1054" cm="1">
        <f t="array" aca="1" ref="R1054" ca="1">INDIRECT("Data!L" &amp; 1049)</f>
        <v>0</v>
      </c>
      <c r="S1054" cm="1">
        <f t="array" aca="1" ref="S1054" ca="1">INDIRECT("Data!M" &amp; 1049)</f>
        <v>0</v>
      </c>
      <c r="T1054" cm="1">
        <f t="array" aca="1" ref="T1054" ca="1">INDIRECT("Data!N" &amp; 1049)</f>
        <v>0</v>
      </c>
      <c r="U1054" cm="1">
        <f t="array" aca="1" ref="U1054" ca="1">INDIRECT("Data!O" &amp; 1049)</f>
        <v>0</v>
      </c>
      <c r="V1054" cm="1">
        <f t="array" aca="1" ref="V1054" ca="1">INDIRECT("Data!P" &amp; 1049)</f>
        <v>0</v>
      </c>
    </row>
    <row r="1055" spans="7:22" x14ac:dyDescent="0.25">
      <c r="G1055" cm="1">
        <f t="array" aca="1" ref="G1055" ca="1">INDIRECT("Data!A" &amp; 1050)</f>
        <v>0</v>
      </c>
      <c r="H1055" s="21" cm="1">
        <f t="array" aca="1" ref="H1055" ca="1">INDIRECT("Data!B" &amp; 1050)</f>
        <v>0</v>
      </c>
      <c r="I1055" s="21" cm="1">
        <f t="array" aca="1" ref="I1055" ca="1">INDIRECT("Data!C" &amp; 1050)</f>
        <v>0</v>
      </c>
      <c r="J1055" cm="1">
        <f t="array" aca="1" ref="J1055" ca="1">INDIRECT("Data!D" &amp; 1050)</f>
        <v>0</v>
      </c>
      <c r="K1055" cm="1">
        <f t="array" aca="1" ref="K1055" ca="1">INDIRECT("Data!E" &amp; 1050)</f>
        <v>0</v>
      </c>
      <c r="L1055" cm="1">
        <f t="array" aca="1" ref="L1055" ca="1">INDIRECT("Data!F" &amp; 1050)</f>
        <v>0</v>
      </c>
      <c r="M1055" cm="1">
        <f t="array" aca="1" ref="M1055" ca="1">INDIRECT("Data!G" &amp; 1050)</f>
        <v>0</v>
      </c>
      <c r="N1055" cm="1">
        <f t="array" aca="1" ref="N1055" ca="1">INDIRECT("Data!H" &amp; 1050)</f>
        <v>0</v>
      </c>
      <c r="O1055" cm="1">
        <f t="array" aca="1" ref="O1055" ca="1">INDIRECT("Data!I" &amp; 1050)</f>
        <v>0</v>
      </c>
      <c r="P1055" s="21" cm="1">
        <f t="array" aca="1" ref="P1055" ca="1">INDIRECT("Data!J" &amp; 1050)</f>
        <v>0</v>
      </c>
      <c r="Q1055" cm="1">
        <f t="array" aca="1" ref="Q1055" ca="1">INDIRECT("Data!K" &amp; 1050)</f>
        <v>0</v>
      </c>
      <c r="R1055" cm="1">
        <f t="array" aca="1" ref="R1055" ca="1">INDIRECT("Data!L" &amp; 1050)</f>
        <v>0</v>
      </c>
      <c r="S1055" cm="1">
        <f t="array" aca="1" ref="S1055" ca="1">INDIRECT("Data!M" &amp; 1050)</f>
        <v>0</v>
      </c>
      <c r="T1055" cm="1">
        <f t="array" aca="1" ref="T1055" ca="1">INDIRECT("Data!N" &amp; 1050)</f>
        <v>0</v>
      </c>
      <c r="U1055" cm="1">
        <f t="array" aca="1" ref="U1055" ca="1">INDIRECT("Data!O" &amp; 1050)</f>
        <v>0</v>
      </c>
      <c r="V1055" cm="1">
        <f t="array" aca="1" ref="V1055" ca="1">INDIRECT("Data!P" &amp; 1050)</f>
        <v>0</v>
      </c>
    </row>
    <row r="1056" spans="7:22" x14ac:dyDescent="0.25">
      <c r="G1056" cm="1">
        <f t="array" aca="1" ref="G1056" ca="1">INDIRECT("Data!A" &amp; 1051)</f>
        <v>0</v>
      </c>
      <c r="H1056" s="21" cm="1">
        <f t="array" aca="1" ref="H1056" ca="1">INDIRECT("Data!B" &amp; 1051)</f>
        <v>0</v>
      </c>
      <c r="I1056" s="21" cm="1">
        <f t="array" aca="1" ref="I1056" ca="1">INDIRECT("Data!C" &amp; 1051)</f>
        <v>0</v>
      </c>
      <c r="J1056" cm="1">
        <f t="array" aca="1" ref="J1056" ca="1">INDIRECT("Data!D" &amp; 1051)</f>
        <v>0</v>
      </c>
      <c r="K1056" cm="1">
        <f t="array" aca="1" ref="K1056" ca="1">INDIRECT("Data!E" &amp; 1051)</f>
        <v>0</v>
      </c>
      <c r="L1056" cm="1">
        <f t="array" aca="1" ref="L1056" ca="1">INDIRECT("Data!F" &amp; 1051)</f>
        <v>0</v>
      </c>
      <c r="M1056" cm="1">
        <f t="array" aca="1" ref="M1056" ca="1">INDIRECT("Data!G" &amp; 1051)</f>
        <v>0</v>
      </c>
      <c r="N1056" cm="1">
        <f t="array" aca="1" ref="N1056" ca="1">INDIRECT("Data!H" &amp; 1051)</f>
        <v>0</v>
      </c>
      <c r="O1056" cm="1">
        <f t="array" aca="1" ref="O1056" ca="1">INDIRECT("Data!I" &amp; 1051)</f>
        <v>0</v>
      </c>
      <c r="P1056" s="21" cm="1">
        <f t="array" aca="1" ref="P1056" ca="1">INDIRECT("Data!J" &amp; 1051)</f>
        <v>0</v>
      </c>
      <c r="Q1056" cm="1">
        <f t="array" aca="1" ref="Q1056" ca="1">INDIRECT("Data!K" &amp; 1051)</f>
        <v>0</v>
      </c>
      <c r="R1056" cm="1">
        <f t="array" aca="1" ref="R1056" ca="1">INDIRECT("Data!L" &amp; 1051)</f>
        <v>0</v>
      </c>
      <c r="S1056" cm="1">
        <f t="array" aca="1" ref="S1056" ca="1">INDIRECT("Data!M" &amp; 1051)</f>
        <v>0</v>
      </c>
      <c r="T1056" cm="1">
        <f t="array" aca="1" ref="T1056" ca="1">INDIRECT("Data!N" &amp; 1051)</f>
        <v>0</v>
      </c>
      <c r="U1056" cm="1">
        <f t="array" aca="1" ref="U1056" ca="1">INDIRECT("Data!O" &amp; 1051)</f>
        <v>0</v>
      </c>
      <c r="V1056" cm="1">
        <f t="array" aca="1" ref="V1056" ca="1">INDIRECT("Data!P" &amp; 1051)</f>
        <v>0</v>
      </c>
    </row>
    <row r="1057" spans="7:22" x14ac:dyDescent="0.25">
      <c r="G1057" cm="1">
        <f t="array" aca="1" ref="G1057" ca="1">INDIRECT("Data!A" &amp; 1052)</f>
        <v>0</v>
      </c>
      <c r="H1057" s="21" cm="1">
        <f t="array" aca="1" ref="H1057" ca="1">INDIRECT("Data!B" &amp; 1052)</f>
        <v>0</v>
      </c>
      <c r="I1057" s="21" cm="1">
        <f t="array" aca="1" ref="I1057" ca="1">INDIRECT("Data!C" &amp; 1052)</f>
        <v>0</v>
      </c>
      <c r="J1057" cm="1">
        <f t="array" aca="1" ref="J1057" ca="1">INDIRECT("Data!D" &amp; 1052)</f>
        <v>0</v>
      </c>
      <c r="K1057" cm="1">
        <f t="array" aca="1" ref="K1057" ca="1">INDIRECT("Data!E" &amp; 1052)</f>
        <v>0</v>
      </c>
      <c r="L1057" cm="1">
        <f t="array" aca="1" ref="L1057" ca="1">INDIRECT("Data!F" &amp; 1052)</f>
        <v>0</v>
      </c>
      <c r="M1057" cm="1">
        <f t="array" aca="1" ref="M1057" ca="1">INDIRECT("Data!G" &amp; 1052)</f>
        <v>0</v>
      </c>
      <c r="N1057" cm="1">
        <f t="array" aca="1" ref="N1057" ca="1">INDIRECT("Data!H" &amp; 1052)</f>
        <v>0</v>
      </c>
      <c r="O1057" cm="1">
        <f t="array" aca="1" ref="O1057" ca="1">INDIRECT("Data!I" &amp; 1052)</f>
        <v>0</v>
      </c>
      <c r="P1057" s="21" cm="1">
        <f t="array" aca="1" ref="P1057" ca="1">INDIRECT("Data!J" &amp; 1052)</f>
        <v>0</v>
      </c>
      <c r="Q1057" cm="1">
        <f t="array" aca="1" ref="Q1057" ca="1">INDIRECT("Data!K" &amp; 1052)</f>
        <v>0</v>
      </c>
      <c r="R1057" cm="1">
        <f t="array" aca="1" ref="R1057" ca="1">INDIRECT("Data!L" &amp; 1052)</f>
        <v>0</v>
      </c>
      <c r="S1057" cm="1">
        <f t="array" aca="1" ref="S1057" ca="1">INDIRECT("Data!M" &amp; 1052)</f>
        <v>0</v>
      </c>
      <c r="T1057" cm="1">
        <f t="array" aca="1" ref="T1057" ca="1">INDIRECT("Data!N" &amp; 1052)</f>
        <v>0</v>
      </c>
      <c r="U1057" cm="1">
        <f t="array" aca="1" ref="U1057" ca="1">INDIRECT("Data!O" &amp; 1052)</f>
        <v>0</v>
      </c>
      <c r="V1057" cm="1">
        <f t="array" aca="1" ref="V1057" ca="1">INDIRECT("Data!P" &amp; 1052)</f>
        <v>0</v>
      </c>
    </row>
    <row r="1058" spans="7:22" x14ac:dyDescent="0.25">
      <c r="G1058" cm="1">
        <f t="array" aca="1" ref="G1058" ca="1">INDIRECT("Data!A" &amp; 1053)</f>
        <v>0</v>
      </c>
      <c r="H1058" s="21" cm="1">
        <f t="array" aca="1" ref="H1058" ca="1">INDIRECT("Data!B" &amp; 1053)</f>
        <v>0</v>
      </c>
      <c r="I1058" s="21" cm="1">
        <f t="array" aca="1" ref="I1058" ca="1">INDIRECT("Data!C" &amp; 1053)</f>
        <v>0</v>
      </c>
      <c r="J1058" cm="1">
        <f t="array" aca="1" ref="J1058" ca="1">INDIRECT("Data!D" &amp; 1053)</f>
        <v>0</v>
      </c>
      <c r="K1058" cm="1">
        <f t="array" aca="1" ref="K1058" ca="1">INDIRECT("Data!E" &amp; 1053)</f>
        <v>0</v>
      </c>
      <c r="L1058" cm="1">
        <f t="array" aca="1" ref="L1058" ca="1">INDIRECT("Data!F" &amp; 1053)</f>
        <v>0</v>
      </c>
      <c r="M1058" cm="1">
        <f t="array" aca="1" ref="M1058" ca="1">INDIRECT("Data!G" &amp; 1053)</f>
        <v>0</v>
      </c>
      <c r="N1058" cm="1">
        <f t="array" aca="1" ref="N1058" ca="1">INDIRECT("Data!H" &amp; 1053)</f>
        <v>0</v>
      </c>
      <c r="O1058" cm="1">
        <f t="array" aca="1" ref="O1058" ca="1">INDIRECT("Data!I" &amp; 1053)</f>
        <v>0</v>
      </c>
      <c r="P1058" s="21" cm="1">
        <f t="array" aca="1" ref="P1058" ca="1">INDIRECT("Data!J" &amp; 1053)</f>
        <v>0</v>
      </c>
      <c r="Q1058" cm="1">
        <f t="array" aca="1" ref="Q1058" ca="1">INDIRECT("Data!K" &amp; 1053)</f>
        <v>0</v>
      </c>
      <c r="R1058" cm="1">
        <f t="array" aca="1" ref="R1058" ca="1">INDIRECT("Data!L" &amp; 1053)</f>
        <v>0</v>
      </c>
      <c r="S1058" cm="1">
        <f t="array" aca="1" ref="S1058" ca="1">INDIRECT("Data!M" &amp; 1053)</f>
        <v>0</v>
      </c>
      <c r="T1058" cm="1">
        <f t="array" aca="1" ref="T1058" ca="1">INDIRECT("Data!N" &amp; 1053)</f>
        <v>0</v>
      </c>
      <c r="U1058" cm="1">
        <f t="array" aca="1" ref="U1058" ca="1">INDIRECT("Data!O" &amp; 1053)</f>
        <v>0</v>
      </c>
      <c r="V1058" cm="1">
        <f t="array" aca="1" ref="V1058" ca="1">INDIRECT("Data!P" &amp; 1053)</f>
        <v>0</v>
      </c>
    </row>
    <row r="1059" spans="7:22" x14ac:dyDescent="0.25">
      <c r="G1059" cm="1">
        <f t="array" aca="1" ref="G1059" ca="1">INDIRECT("Data!A" &amp; 1054)</f>
        <v>0</v>
      </c>
      <c r="H1059" s="21" cm="1">
        <f t="array" aca="1" ref="H1059" ca="1">INDIRECT("Data!B" &amp; 1054)</f>
        <v>0</v>
      </c>
      <c r="I1059" s="21" cm="1">
        <f t="array" aca="1" ref="I1059" ca="1">INDIRECT("Data!C" &amp; 1054)</f>
        <v>0</v>
      </c>
      <c r="J1059" cm="1">
        <f t="array" aca="1" ref="J1059" ca="1">INDIRECT("Data!D" &amp; 1054)</f>
        <v>0</v>
      </c>
      <c r="K1059" cm="1">
        <f t="array" aca="1" ref="K1059" ca="1">INDIRECT("Data!E" &amp; 1054)</f>
        <v>0</v>
      </c>
      <c r="L1059" cm="1">
        <f t="array" aca="1" ref="L1059" ca="1">INDIRECT("Data!F" &amp; 1054)</f>
        <v>0</v>
      </c>
      <c r="M1059" cm="1">
        <f t="array" aca="1" ref="M1059" ca="1">INDIRECT("Data!G" &amp; 1054)</f>
        <v>0</v>
      </c>
      <c r="N1059" cm="1">
        <f t="array" aca="1" ref="N1059" ca="1">INDIRECT("Data!H" &amp; 1054)</f>
        <v>0</v>
      </c>
      <c r="O1059" cm="1">
        <f t="array" aca="1" ref="O1059" ca="1">INDIRECT("Data!I" &amp; 1054)</f>
        <v>0</v>
      </c>
      <c r="P1059" s="21" cm="1">
        <f t="array" aca="1" ref="P1059" ca="1">INDIRECT("Data!J" &amp; 1054)</f>
        <v>0</v>
      </c>
      <c r="Q1059" cm="1">
        <f t="array" aca="1" ref="Q1059" ca="1">INDIRECT("Data!K" &amp; 1054)</f>
        <v>0</v>
      </c>
      <c r="R1059" cm="1">
        <f t="array" aca="1" ref="R1059" ca="1">INDIRECT("Data!L" &amp; 1054)</f>
        <v>0</v>
      </c>
      <c r="S1059" cm="1">
        <f t="array" aca="1" ref="S1059" ca="1">INDIRECT("Data!M" &amp; 1054)</f>
        <v>0</v>
      </c>
      <c r="T1059" cm="1">
        <f t="array" aca="1" ref="T1059" ca="1">INDIRECT("Data!N" &amp; 1054)</f>
        <v>0</v>
      </c>
      <c r="U1059" cm="1">
        <f t="array" aca="1" ref="U1059" ca="1">INDIRECT("Data!O" &amp; 1054)</f>
        <v>0</v>
      </c>
      <c r="V1059" cm="1">
        <f t="array" aca="1" ref="V1059" ca="1">INDIRECT("Data!P" &amp; 1054)</f>
        <v>0</v>
      </c>
    </row>
    <row r="1060" spans="7:22" x14ac:dyDescent="0.25">
      <c r="G1060" cm="1">
        <f t="array" aca="1" ref="G1060" ca="1">INDIRECT("Data!A" &amp; 1055)</f>
        <v>0</v>
      </c>
      <c r="H1060" s="21" cm="1">
        <f t="array" aca="1" ref="H1060" ca="1">INDIRECT("Data!B" &amp; 1055)</f>
        <v>0</v>
      </c>
      <c r="I1060" s="21" cm="1">
        <f t="array" aca="1" ref="I1060" ca="1">INDIRECT("Data!C" &amp; 1055)</f>
        <v>0</v>
      </c>
      <c r="J1060" cm="1">
        <f t="array" aca="1" ref="J1060" ca="1">INDIRECT("Data!D" &amp; 1055)</f>
        <v>0</v>
      </c>
      <c r="K1060" cm="1">
        <f t="array" aca="1" ref="K1060" ca="1">INDIRECT("Data!E" &amp; 1055)</f>
        <v>0</v>
      </c>
      <c r="L1060" cm="1">
        <f t="array" aca="1" ref="L1060" ca="1">INDIRECT("Data!F" &amp; 1055)</f>
        <v>0</v>
      </c>
      <c r="M1060" cm="1">
        <f t="array" aca="1" ref="M1060" ca="1">INDIRECT("Data!G" &amp; 1055)</f>
        <v>0</v>
      </c>
      <c r="N1060" cm="1">
        <f t="array" aca="1" ref="N1060" ca="1">INDIRECT("Data!H" &amp; 1055)</f>
        <v>0</v>
      </c>
      <c r="O1060" cm="1">
        <f t="array" aca="1" ref="O1060" ca="1">INDIRECT("Data!I" &amp; 1055)</f>
        <v>0</v>
      </c>
      <c r="P1060" s="21" cm="1">
        <f t="array" aca="1" ref="P1060" ca="1">INDIRECT("Data!J" &amp; 1055)</f>
        <v>0</v>
      </c>
      <c r="Q1060" cm="1">
        <f t="array" aca="1" ref="Q1060" ca="1">INDIRECT("Data!K" &amp; 1055)</f>
        <v>0</v>
      </c>
      <c r="R1060" cm="1">
        <f t="array" aca="1" ref="R1060" ca="1">INDIRECT("Data!L" &amp; 1055)</f>
        <v>0</v>
      </c>
      <c r="S1060" cm="1">
        <f t="array" aca="1" ref="S1060" ca="1">INDIRECT("Data!M" &amp; 1055)</f>
        <v>0</v>
      </c>
      <c r="T1060" cm="1">
        <f t="array" aca="1" ref="T1060" ca="1">INDIRECT("Data!N" &amp; 1055)</f>
        <v>0</v>
      </c>
      <c r="U1060" cm="1">
        <f t="array" aca="1" ref="U1060" ca="1">INDIRECT("Data!O" &amp; 1055)</f>
        <v>0</v>
      </c>
      <c r="V1060" cm="1">
        <f t="array" aca="1" ref="V1060" ca="1">INDIRECT("Data!P" &amp; 1055)</f>
        <v>0</v>
      </c>
    </row>
    <row r="1061" spans="7:22" x14ac:dyDescent="0.25">
      <c r="G1061" cm="1">
        <f t="array" aca="1" ref="G1061" ca="1">INDIRECT("Data!A" &amp; 1056)</f>
        <v>0</v>
      </c>
      <c r="H1061" s="21" cm="1">
        <f t="array" aca="1" ref="H1061" ca="1">INDIRECT("Data!B" &amp; 1056)</f>
        <v>0</v>
      </c>
      <c r="I1061" s="21" cm="1">
        <f t="array" aca="1" ref="I1061" ca="1">INDIRECT("Data!C" &amp; 1056)</f>
        <v>0</v>
      </c>
      <c r="J1061" cm="1">
        <f t="array" aca="1" ref="J1061" ca="1">INDIRECT("Data!D" &amp; 1056)</f>
        <v>0</v>
      </c>
      <c r="K1061" cm="1">
        <f t="array" aca="1" ref="K1061" ca="1">INDIRECT("Data!E" &amp; 1056)</f>
        <v>0</v>
      </c>
      <c r="L1061" cm="1">
        <f t="array" aca="1" ref="L1061" ca="1">INDIRECT("Data!F" &amp; 1056)</f>
        <v>0</v>
      </c>
      <c r="M1061" cm="1">
        <f t="array" aca="1" ref="M1061" ca="1">INDIRECT("Data!G" &amp; 1056)</f>
        <v>0</v>
      </c>
      <c r="N1061" cm="1">
        <f t="array" aca="1" ref="N1061" ca="1">INDIRECT("Data!H" &amp; 1056)</f>
        <v>0</v>
      </c>
      <c r="O1061" cm="1">
        <f t="array" aca="1" ref="O1061" ca="1">INDIRECT("Data!I" &amp; 1056)</f>
        <v>0</v>
      </c>
      <c r="P1061" s="21" cm="1">
        <f t="array" aca="1" ref="P1061" ca="1">INDIRECT("Data!J" &amp; 1056)</f>
        <v>0</v>
      </c>
      <c r="Q1061" cm="1">
        <f t="array" aca="1" ref="Q1061" ca="1">INDIRECT("Data!K" &amp; 1056)</f>
        <v>0</v>
      </c>
      <c r="R1061" cm="1">
        <f t="array" aca="1" ref="R1061" ca="1">INDIRECT("Data!L" &amp; 1056)</f>
        <v>0</v>
      </c>
      <c r="S1061" cm="1">
        <f t="array" aca="1" ref="S1061" ca="1">INDIRECT("Data!M" &amp; 1056)</f>
        <v>0</v>
      </c>
      <c r="T1061" cm="1">
        <f t="array" aca="1" ref="T1061" ca="1">INDIRECT("Data!N" &amp; 1056)</f>
        <v>0</v>
      </c>
      <c r="U1061" cm="1">
        <f t="array" aca="1" ref="U1061" ca="1">INDIRECT("Data!O" &amp; 1056)</f>
        <v>0</v>
      </c>
      <c r="V1061" cm="1">
        <f t="array" aca="1" ref="V1061" ca="1">INDIRECT("Data!P" &amp; 1056)</f>
        <v>0</v>
      </c>
    </row>
    <row r="1062" spans="7:22" x14ac:dyDescent="0.25">
      <c r="G1062" cm="1">
        <f t="array" aca="1" ref="G1062" ca="1">INDIRECT("Data!A" &amp; 1057)</f>
        <v>0</v>
      </c>
      <c r="H1062" s="21" cm="1">
        <f t="array" aca="1" ref="H1062" ca="1">INDIRECT("Data!B" &amp; 1057)</f>
        <v>0</v>
      </c>
      <c r="I1062" s="21" cm="1">
        <f t="array" aca="1" ref="I1062" ca="1">INDIRECT("Data!C" &amp; 1057)</f>
        <v>0</v>
      </c>
      <c r="J1062" cm="1">
        <f t="array" aca="1" ref="J1062" ca="1">INDIRECT("Data!D" &amp; 1057)</f>
        <v>0</v>
      </c>
      <c r="K1062" cm="1">
        <f t="array" aca="1" ref="K1062" ca="1">INDIRECT("Data!E" &amp; 1057)</f>
        <v>0</v>
      </c>
      <c r="L1062" cm="1">
        <f t="array" aca="1" ref="L1062" ca="1">INDIRECT("Data!F" &amp; 1057)</f>
        <v>0</v>
      </c>
      <c r="M1062" cm="1">
        <f t="array" aca="1" ref="M1062" ca="1">INDIRECT("Data!G" &amp; 1057)</f>
        <v>0</v>
      </c>
      <c r="N1062" cm="1">
        <f t="array" aca="1" ref="N1062" ca="1">INDIRECT("Data!H" &amp; 1057)</f>
        <v>0</v>
      </c>
      <c r="O1062" cm="1">
        <f t="array" aca="1" ref="O1062" ca="1">INDIRECT("Data!I" &amp; 1057)</f>
        <v>0</v>
      </c>
      <c r="P1062" s="21" cm="1">
        <f t="array" aca="1" ref="P1062" ca="1">INDIRECT("Data!J" &amp; 1057)</f>
        <v>0</v>
      </c>
      <c r="Q1062" cm="1">
        <f t="array" aca="1" ref="Q1062" ca="1">INDIRECT("Data!K" &amp; 1057)</f>
        <v>0</v>
      </c>
      <c r="R1062" cm="1">
        <f t="array" aca="1" ref="R1062" ca="1">INDIRECT("Data!L" &amp; 1057)</f>
        <v>0</v>
      </c>
      <c r="S1062" cm="1">
        <f t="array" aca="1" ref="S1062" ca="1">INDIRECT("Data!M" &amp; 1057)</f>
        <v>0</v>
      </c>
      <c r="T1062" cm="1">
        <f t="array" aca="1" ref="T1062" ca="1">INDIRECT("Data!N" &amp; 1057)</f>
        <v>0</v>
      </c>
      <c r="U1062" cm="1">
        <f t="array" aca="1" ref="U1062" ca="1">INDIRECT("Data!O" &amp; 1057)</f>
        <v>0</v>
      </c>
      <c r="V1062" cm="1">
        <f t="array" aca="1" ref="V1062" ca="1">INDIRECT("Data!P" &amp; 1057)</f>
        <v>0</v>
      </c>
    </row>
    <row r="1063" spans="7:22" x14ac:dyDescent="0.25">
      <c r="G1063" cm="1">
        <f t="array" aca="1" ref="G1063" ca="1">INDIRECT("Data!A" &amp; 1058)</f>
        <v>0</v>
      </c>
      <c r="H1063" s="21" cm="1">
        <f t="array" aca="1" ref="H1063" ca="1">INDIRECT("Data!B" &amp; 1058)</f>
        <v>0</v>
      </c>
      <c r="I1063" s="21" cm="1">
        <f t="array" aca="1" ref="I1063" ca="1">INDIRECT("Data!C" &amp; 1058)</f>
        <v>0</v>
      </c>
      <c r="J1063" cm="1">
        <f t="array" aca="1" ref="J1063" ca="1">INDIRECT("Data!D" &amp; 1058)</f>
        <v>0</v>
      </c>
      <c r="K1063" cm="1">
        <f t="array" aca="1" ref="K1063" ca="1">INDIRECT("Data!E" &amp; 1058)</f>
        <v>0</v>
      </c>
      <c r="L1063" cm="1">
        <f t="array" aca="1" ref="L1063" ca="1">INDIRECT("Data!F" &amp; 1058)</f>
        <v>0</v>
      </c>
      <c r="M1063" cm="1">
        <f t="array" aca="1" ref="M1063" ca="1">INDIRECT("Data!G" &amp; 1058)</f>
        <v>0</v>
      </c>
      <c r="N1063" cm="1">
        <f t="array" aca="1" ref="N1063" ca="1">INDIRECT("Data!H" &amp; 1058)</f>
        <v>0</v>
      </c>
      <c r="O1063" cm="1">
        <f t="array" aca="1" ref="O1063" ca="1">INDIRECT("Data!I" &amp; 1058)</f>
        <v>0</v>
      </c>
      <c r="P1063" s="21" cm="1">
        <f t="array" aca="1" ref="P1063" ca="1">INDIRECT("Data!J" &amp; 1058)</f>
        <v>0</v>
      </c>
      <c r="Q1063" cm="1">
        <f t="array" aca="1" ref="Q1063" ca="1">INDIRECT("Data!K" &amp; 1058)</f>
        <v>0</v>
      </c>
      <c r="R1063" cm="1">
        <f t="array" aca="1" ref="R1063" ca="1">INDIRECT("Data!L" &amp; 1058)</f>
        <v>0</v>
      </c>
      <c r="S1063" cm="1">
        <f t="array" aca="1" ref="S1063" ca="1">INDIRECT("Data!M" &amp; 1058)</f>
        <v>0</v>
      </c>
      <c r="T1063" cm="1">
        <f t="array" aca="1" ref="T1063" ca="1">INDIRECT("Data!N" &amp; 1058)</f>
        <v>0</v>
      </c>
      <c r="U1063" cm="1">
        <f t="array" aca="1" ref="U1063" ca="1">INDIRECT("Data!O" &amp; 1058)</f>
        <v>0</v>
      </c>
      <c r="V1063" cm="1">
        <f t="array" aca="1" ref="V1063" ca="1">INDIRECT("Data!P" &amp; 1058)</f>
        <v>0</v>
      </c>
    </row>
    <row r="1064" spans="7:22" x14ac:dyDescent="0.25">
      <c r="G1064" cm="1">
        <f t="array" aca="1" ref="G1064" ca="1">INDIRECT("Data!A" &amp; 1059)</f>
        <v>0</v>
      </c>
      <c r="H1064" s="21" cm="1">
        <f t="array" aca="1" ref="H1064" ca="1">INDIRECT("Data!B" &amp; 1059)</f>
        <v>0</v>
      </c>
      <c r="I1064" s="21" cm="1">
        <f t="array" aca="1" ref="I1064" ca="1">INDIRECT("Data!C" &amp; 1059)</f>
        <v>0</v>
      </c>
      <c r="J1064" cm="1">
        <f t="array" aca="1" ref="J1064" ca="1">INDIRECT("Data!D" &amp; 1059)</f>
        <v>0</v>
      </c>
      <c r="K1064" cm="1">
        <f t="array" aca="1" ref="K1064" ca="1">INDIRECT("Data!E" &amp; 1059)</f>
        <v>0</v>
      </c>
      <c r="L1064" cm="1">
        <f t="array" aca="1" ref="L1064" ca="1">INDIRECT("Data!F" &amp; 1059)</f>
        <v>0</v>
      </c>
      <c r="M1064" cm="1">
        <f t="array" aca="1" ref="M1064" ca="1">INDIRECT("Data!G" &amp; 1059)</f>
        <v>0</v>
      </c>
      <c r="N1064" cm="1">
        <f t="array" aca="1" ref="N1064" ca="1">INDIRECT("Data!H" &amp; 1059)</f>
        <v>0</v>
      </c>
      <c r="O1064" cm="1">
        <f t="array" aca="1" ref="O1064" ca="1">INDIRECT("Data!I" &amp; 1059)</f>
        <v>0</v>
      </c>
      <c r="P1064" s="21" cm="1">
        <f t="array" aca="1" ref="P1064" ca="1">INDIRECT("Data!J" &amp; 1059)</f>
        <v>0</v>
      </c>
      <c r="Q1064" cm="1">
        <f t="array" aca="1" ref="Q1064" ca="1">INDIRECT("Data!K" &amp; 1059)</f>
        <v>0</v>
      </c>
      <c r="R1064" cm="1">
        <f t="array" aca="1" ref="R1064" ca="1">INDIRECT("Data!L" &amp; 1059)</f>
        <v>0</v>
      </c>
      <c r="S1064" cm="1">
        <f t="array" aca="1" ref="S1064" ca="1">INDIRECT("Data!M" &amp; 1059)</f>
        <v>0</v>
      </c>
      <c r="T1064" cm="1">
        <f t="array" aca="1" ref="T1064" ca="1">INDIRECT("Data!N" &amp; 1059)</f>
        <v>0</v>
      </c>
      <c r="U1064" cm="1">
        <f t="array" aca="1" ref="U1064" ca="1">INDIRECT("Data!O" &amp; 1059)</f>
        <v>0</v>
      </c>
      <c r="V1064" cm="1">
        <f t="array" aca="1" ref="V1064" ca="1">INDIRECT("Data!P" &amp; 1059)</f>
        <v>0</v>
      </c>
    </row>
    <row r="1065" spans="7:22" x14ac:dyDescent="0.25">
      <c r="G1065" cm="1">
        <f t="array" aca="1" ref="G1065" ca="1">INDIRECT("Data!A" &amp; 1060)</f>
        <v>0</v>
      </c>
      <c r="H1065" s="21" cm="1">
        <f t="array" aca="1" ref="H1065" ca="1">INDIRECT("Data!B" &amp; 1060)</f>
        <v>0</v>
      </c>
      <c r="I1065" s="21" cm="1">
        <f t="array" aca="1" ref="I1065" ca="1">INDIRECT("Data!C" &amp; 1060)</f>
        <v>0</v>
      </c>
      <c r="J1065" cm="1">
        <f t="array" aca="1" ref="J1065" ca="1">INDIRECT("Data!D" &amp; 1060)</f>
        <v>0</v>
      </c>
      <c r="K1065" cm="1">
        <f t="array" aca="1" ref="K1065" ca="1">INDIRECT("Data!E" &amp; 1060)</f>
        <v>0</v>
      </c>
      <c r="L1065" cm="1">
        <f t="array" aca="1" ref="L1065" ca="1">INDIRECT("Data!F" &amp; 1060)</f>
        <v>0</v>
      </c>
      <c r="M1065" cm="1">
        <f t="array" aca="1" ref="M1065" ca="1">INDIRECT("Data!G" &amp; 1060)</f>
        <v>0</v>
      </c>
      <c r="N1065" cm="1">
        <f t="array" aca="1" ref="N1065" ca="1">INDIRECT("Data!H" &amp; 1060)</f>
        <v>0</v>
      </c>
      <c r="O1065" cm="1">
        <f t="array" aca="1" ref="O1065" ca="1">INDIRECT("Data!I" &amp; 1060)</f>
        <v>0</v>
      </c>
      <c r="P1065" s="21" cm="1">
        <f t="array" aca="1" ref="P1065" ca="1">INDIRECT("Data!J" &amp; 1060)</f>
        <v>0</v>
      </c>
      <c r="Q1065" cm="1">
        <f t="array" aca="1" ref="Q1065" ca="1">INDIRECT("Data!K" &amp; 1060)</f>
        <v>0</v>
      </c>
      <c r="R1065" cm="1">
        <f t="array" aca="1" ref="R1065" ca="1">INDIRECT("Data!L" &amp; 1060)</f>
        <v>0</v>
      </c>
      <c r="S1065" cm="1">
        <f t="array" aca="1" ref="S1065" ca="1">INDIRECT("Data!M" &amp; 1060)</f>
        <v>0</v>
      </c>
      <c r="T1065" cm="1">
        <f t="array" aca="1" ref="T1065" ca="1">INDIRECT("Data!N" &amp; 1060)</f>
        <v>0</v>
      </c>
      <c r="U1065" cm="1">
        <f t="array" aca="1" ref="U1065" ca="1">INDIRECT("Data!O" &amp; 1060)</f>
        <v>0</v>
      </c>
      <c r="V1065" cm="1">
        <f t="array" aca="1" ref="V1065" ca="1">INDIRECT("Data!P" &amp; 1060)</f>
        <v>0</v>
      </c>
    </row>
    <row r="1066" spans="7:22" x14ac:dyDescent="0.25">
      <c r="G1066" cm="1">
        <f t="array" aca="1" ref="G1066" ca="1">INDIRECT("Data!A" &amp; 1061)</f>
        <v>0</v>
      </c>
      <c r="H1066" s="21" cm="1">
        <f t="array" aca="1" ref="H1066" ca="1">INDIRECT("Data!B" &amp; 1061)</f>
        <v>0</v>
      </c>
      <c r="I1066" s="21" cm="1">
        <f t="array" aca="1" ref="I1066" ca="1">INDIRECT("Data!C" &amp; 1061)</f>
        <v>0</v>
      </c>
      <c r="J1066" cm="1">
        <f t="array" aca="1" ref="J1066" ca="1">INDIRECT("Data!D" &amp; 1061)</f>
        <v>0</v>
      </c>
      <c r="K1066" cm="1">
        <f t="array" aca="1" ref="K1066" ca="1">INDIRECT("Data!E" &amp; 1061)</f>
        <v>0</v>
      </c>
      <c r="L1066" cm="1">
        <f t="array" aca="1" ref="L1066" ca="1">INDIRECT("Data!F" &amp; 1061)</f>
        <v>0</v>
      </c>
      <c r="M1066" cm="1">
        <f t="array" aca="1" ref="M1066" ca="1">INDIRECT("Data!G" &amp; 1061)</f>
        <v>0</v>
      </c>
      <c r="N1066" cm="1">
        <f t="array" aca="1" ref="N1066" ca="1">INDIRECT("Data!H" &amp; 1061)</f>
        <v>0</v>
      </c>
      <c r="O1066" cm="1">
        <f t="array" aca="1" ref="O1066" ca="1">INDIRECT("Data!I" &amp; 1061)</f>
        <v>0</v>
      </c>
      <c r="P1066" s="21" cm="1">
        <f t="array" aca="1" ref="P1066" ca="1">INDIRECT("Data!J" &amp; 1061)</f>
        <v>0</v>
      </c>
      <c r="Q1066" cm="1">
        <f t="array" aca="1" ref="Q1066" ca="1">INDIRECT("Data!K" &amp; 1061)</f>
        <v>0</v>
      </c>
      <c r="R1066" cm="1">
        <f t="array" aca="1" ref="R1066" ca="1">INDIRECT("Data!L" &amp; 1061)</f>
        <v>0</v>
      </c>
      <c r="S1066" cm="1">
        <f t="array" aca="1" ref="S1066" ca="1">INDIRECT("Data!M" &amp; 1061)</f>
        <v>0</v>
      </c>
      <c r="T1066" cm="1">
        <f t="array" aca="1" ref="T1066" ca="1">INDIRECT("Data!N" &amp; 1061)</f>
        <v>0</v>
      </c>
      <c r="U1066" cm="1">
        <f t="array" aca="1" ref="U1066" ca="1">INDIRECT("Data!O" &amp; 1061)</f>
        <v>0</v>
      </c>
      <c r="V1066" cm="1">
        <f t="array" aca="1" ref="V1066" ca="1">INDIRECT("Data!P" &amp; 1061)</f>
        <v>0</v>
      </c>
    </row>
    <row r="1067" spans="7:22" x14ac:dyDescent="0.25">
      <c r="G1067" cm="1">
        <f t="array" aca="1" ref="G1067" ca="1">INDIRECT("Data!A" &amp; 1062)</f>
        <v>0</v>
      </c>
      <c r="H1067" s="21" cm="1">
        <f t="array" aca="1" ref="H1067" ca="1">INDIRECT("Data!B" &amp; 1062)</f>
        <v>0</v>
      </c>
      <c r="I1067" s="21" cm="1">
        <f t="array" aca="1" ref="I1067" ca="1">INDIRECT("Data!C" &amp; 1062)</f>
        <v>0</v>
      </c>
      <c r="J1067" cm="1">
        <f t="array" aca="1" ref="J1067" ca="1">INDIRECT("Data!D" &amp; 1062)</f>
        <v>0</v>
      </c>
      <c r="K1067" cm="1">
        <f t="array" aca="1" ref="K1067" ca="1">INDIRECT("Data!E" &amp; 1062)</f>
        <v>0</v>
      </c>
      <c r="L1067" cm="1">
        <f t="array" aca="1" ref="L1067" ca="1">INDIRECT("Data!F" &amp; 1062)</f>
        <v>0</v>
      </c>
      <c r="M1067" cm="1">
        <f t="array" aca="1" ref="M1067" ca="1">INDIRECT("Data!G" &amp; 1062)</f>
        <v>0</v>
      </c>
      <c r="N1067" cm="1">
        <f t="array" aca="1" ref="N1067" ca="1">INDIRECT("Data!H" &amp; 1062)</f>
        <v>0</v>
      </c>
      <c r="O1067" cm="1">
        <f t="array" aca="1" ref="O1067" ca="1">INDIRECT("Data!I" &amp; 1062)</f>
        <v>0</v>
      </c>
      <c r="P1067" s="21" cm="1">
        <f t="array" aca="1" ref="P1067" ca="1">INDIRECT("Data!J" &amp; 1062)</f>
        <v>0</v>
      </c>
      <c r="Q1067" cm="1">
        <f t="array" aca="1" ref="Q1067" ca="1">INDIRECT("Data!K" &amp; 1062)</f>
        <v>0</v>
      </c>
      <c r="R1067" cm="1">
        <f t="array" aca="1" ref="R1067" ca="1">INDIRECT("Data!L" &amp; 1062)</f>
        <v>0</v>
      </c>
      <c r="S1067" cm="1">
        <f t="array" aca="1" ref="S1067" ca="1">INDIRECT("Data!M" &amp; 1062)</f>
        <v>0</v>
      </c>
      <c r="T1067" cm="1">
        <f t="array" aca="1" ref="T1067" ca="1">INDIRECT("Data!N" &amp; 1062)</f>
        <v>0</v>
      </c>
      <c r="U1067" cm="1">
        <f t="array" aca="1" ref="U1067" ca="1">INDIRECT("Data!O" &amp; 1062)</f>
        <v>0</v>
      </c>
      <c r="V1067" cm="1">
        <f t="array" aca="1" ref="V1067" ca="1">INDIRECT("Data!P" &amp; 1062)</f>
        <v>0</v>
      </c>
    </row>
    <row r="1068" spans="7:22" x14ac:dyDescent="0.25">
      <c r="G1068" cm="1">
        <f t="array" aca="1" ref="G1068" ca="1">INDIRECT("Data!A" &amp; 1063)</f>
        <v>0</v>
      </c>
      <c r="H1068" s="21" cm="1">
        <f t="array" aca="1" ref="H1068" ca="1">INDIRECT("Data!B" &amp; 1063)</f>
        <v>0</v>
      </c>
      <c r="I1068" s="21" cm="1">
        <f t="array" aca="1" ref="I1068" ca="1">INDIRECT("Data!C" &amp; 1063)</f>
        <v>0</v>
      </c>
      <c r="J1068" cm="1">
        <f t="array" aca="1" ref="J1068" ca="1">INDIRECT("Data!D" &amp; 1063)</f>
        <v>0</v>
      </c>
      <c r="K1068" cm="1">
        <f t="array" aca="1" ref="K1068" ca="1">INDIRECT("Data!E" &amp; 1063)</f>
        <v>0</v>
      </c>
      <c r="L1068" cm="1">
        <f t="array" aca="1" ref="L1068" ca="1">INDIRECT("Data!F" &amp; 1063)</f>
        <v>0</v>
      </c>
      <c r="M1068" cm="1">
        <f t="array" aca="1" ref="M1068" ca="1">INDIRECT("Data!G" &amp; 1063)</f>
        <v>0</v>
      </c>
      <c r="N1068" cm="1">
        <f t="array" aca="1" ref="N1068" ca="1">INDIRECT("Data!H" &amp; 1063)</f>
        <v>0</v>
      </c>
      <c r="O1068" cm="1">
        <f t="array" aca="1" ref="O1068" ca="1">INDIRECT("Data!I" &amp; 1063)</f>
        <v>0</v>
      </c>
      <c r="P1068" s="21" cm="1">
        <f t="array" aca="1" ref="P1068" ca="1">INDIRECT("Data!J" &amp; 1063)</f>
        <v>0</v>
      </c>
      <c r="Q1068" cm="1">
        <f t="array" aca="1" ref="Q1068" ca="1">INDIRECT("Data!K" &amp; 1063)</f>
        <v>0</v>
      </c>
      <c r="R1068" cm="1">
        <f t="array" aca="1" ref="R1068" ca="1">INDIRECT("Data!L" &amp; 1063)</f>
        <v>0</v>
      </c>
      <c r="S1068" cm="1">
        <f t="array" aca="1" ref="S1068" ca="1">INDIRECT("Data!M" &amp; 1063)</f>
        <v>0</v>
      </c>
      <c r="T1068" cm="1">
        <f t="array" aca="1" ref="T1068" ca="1">INDIRECT("Data!N" &amp; 1063)</f>
        <v>0</v>
      </c>
      <c r="U1068" cm="1">
        <f t="array" aca="1" ref="U1068" ca="1">INDIRECT("Data!O" &amp; 1063)</f>
        <v>0</v>
      </c>
      <c r="V1068" cm="1">
        <f t="array" aca="1" ref="V1068" ca="1">INDIRECT("Data!P" &amp; 1063)</f>
        <v>0</v>
      </c>
    </row>
    <row r="1069" spans="7:22" x14ac:dyDescent="0.25">
      <c r="G1069" cm="1">
        <f t="array" aca="1" ref="G1069" ca="1">INDIRECT("Data!A" &amp; 1064)</f>
        <v>0</v>
      </c>
      <c r="H1069" s="21" cm="1">
        <f t="array" aca="1" ref="H1069" ca="1">INDIRECT("Data!B" &amp; 1064)</f>
        <v>0</v>
      </c>
      <c r="I1069" s="21" cm="1">
        <f t="array" aca="1" ref="I1069" ca="1">INDIRECT("Data!C" &amp; 1064)</f>
        <v>0</v>
      </c>
      <c r="J1069" cm="1">
        <f t="array" aca="1" ref="J1069" ca="1">INDIRECT("Data!D" &amp; 1064)</f>
        <v>0</v>
      </c>
      <c r="K1069" cm="1">
        <f t="array" aca="1" ref="K1069" ca="1">INDIRECT("Data!E" &amp; 1064)</f>
        <v>0</v>
      </c>
      <c r="L1069" cm="1">
        <f t="array" aca="1" ref="L1069" ca="1">INDIRECT("Data!F" &amp; 1064)</f>
        <v>0</v>
      </c>
      <c r="M1069" cm="1">
        <f t="array" aca="1" ref="M1069" ca="1">INDIRECT("Data!G" &amp; 1064)</f>
        <v>0</v>
      </c>
      <c r="N1069" cm="1">
        <f t="array" aca="1" ref="N1069" ca="1">INDIRECT("Data!H" &amp; 1064)</f>
        <v>0</v>
      </c>
      <c r="O1069" cm="1">
        <f t="array" aca="1" ref="O1069" ca="1">INDIRECT("Data!I" &amp; 1064)</f>
        <v>0</v>
      </c>
      <c r="P1069" s="21" cm="1">
        <f t="array" aca="1" ref="P1069" ca="1">INDIRECT("Data!J" &amp; 1064)</f>
        <v>0</v>
      </c>
      <c r="Q1069" cm="1">
        <f t="array" aca="1" ref="Q1069" ca="1">INDIRECT("Data!K" &amp; 1064)</f>
        <v>0</v>
      </c>
      <c r="R1069" cm="1">
        <f t="array" aca="1" ref="R1069" ca="1">INDIRECT("Data!L" &amp; 1064)</f>
        <v>0</v>
      </c>
      <c r="S1069" cm="1">
        <f t="array" aca="1" ref="S1069" ca="1">INDIRECT("Data!M" &amp; 1064)</f>
        <v>0</v>
      </c>
      <c r="T1069" cm="1">
        <f t="array" aca="1" ref="T1069" ca="1">INDIRECT("Data!N" &amp; 1064)</f>
        <v>0</v>
      </c>
      <c r="U1069" cm="1">
        <f t="array" aca="1" ref="U1069" ca="1">INDIRECT("Data!O" &amp; 1064)</f>
        <v>0</v>
      </c>
      <c r="V1069" cm="1">
        <f t="array" aca="1" ref="V1069" ca="1">INDIRECT("Data!P" &amp; 1064)</f>
        <v>0</v>
      </c>
    </row>
    <row r="1070" spans="7:22" x14ac:dyDescent="0.25">
      <c r="G1070" cm="1">
        <f t="array" aca="1" ref="G1070" ca="1">INDIRECT("Data!A" &amp; 1065)</f>
        <v>0</v>
      </c>
      <c r="H1070" s="21" cm="1">
        <f t="array" aca="1" ref="H1070" ca="1">INDIRECT("Data!B" &amp; 1065)</f>
        <v>0</v>
      </c>
      <c r="I1070" s="21" cm="1">
        <f t="array" aca="1" ref="I1070" ca="1">INDIRECT("Data!C" &amp; 1065)</f>
        <v>0</v>
      </c>
      <c r="J1070" cm="1">
        <f t="array" aca="1" ref="J1070" ca="1">INDIRECT("Data!D" &amp; 1065)</f>
        <v>0</v>
      </c>
      <c r="K1070" cm="1">
        <f t="array" aca="1" ref="K1070" ca="1">INDIRECT("Data!E" &amp; 1065)</f>
        <v>0</v>
      </c>
      <c r="L1070" cm="1">
        <f t="array" aca="1" ref="L1070" ca="1">INDIRECT("Data!F" &amp; 1065)</f>
        <v>0</v>
      </c>
      <c r="M1070" cm="1">
        <f t="array" aca="1" ref="M1070" ca="1">INDIRECT("Data!G" &amp; 1065)</f>
        <v>0</v>
      </c>
      <c r="N1070" cm="1">
        <f t="array" aca="1" ref="N1070" ca="1">INDIRECT("Data!H" &amp; 1065)</f>
        <v>0</v>
      </c>
      <c r="O1070" cm="1">
        <f t="array" aca="1" ref="O1070" ca="1">INDIRECT("Data!I" &amp; 1065)</f>
        <v>0</v>
      </c>
      <c r="P1070" s="21" cm="1">
        <f t="array" aca="1" ref="P1070" ca="1">INDIRECT("Data!J" &amp; 1065)</f>
        <v>0</v>
      </c>
      <c r="Q1070" cm="1">
        <f t="array" aca="1" ref="Q1070" ca="1">INDIRECT("Data!K" &amp; 1065)</f>
        <v>0</v>
      </c>
      <c r="R1070" cm="1">
        <f t="array" aca="1" ref="R1070" ca="1">INDIRECT("Data!L" &amp; 1065)</f>
        <v>0</v>
      </c>
      <c r="S1070" cm="1">
        <f t="array" aca="1" ref="S1070" ca="1">INDIRECT("Data!M" &amp; 1065)</f>
        <v>0</v>
      </c>
      <c r="T1070" cm="1">
        <f t="array" aca="1" ref="T1070" ca="1">INDIRECT("Data!N" &amp; 1065)</f>
        <v>0</v>
      </c>
      <c r="U1070" cm="1">
        <f t="array" aca="1" ref="U1070" ca="1">INDIRECT("Data!O" &amp; 1065)</f>
        <v>0</v>
      </c>
      <c r="V1070" cm="1">
        <f t="array" aca="1" ref="V1070" ca="1">INDIRECT("Data!P" &amp; 1065)</f>
        <v>0</v>
      </c>
    </row>
    <row r="1071" spans="7:22" x14ac:dyDescent="0.25">
      <c r="G1071" cm="1">
        <f t="array" aca="1" ref="G1071" ca="1">INDIRECT("Data!A" &amp; 1066)</f>
        <v>0</v>
      </c>
      <c r="H1071" s="21" cm="1">
        <f t="array" aca="1" ref="H1071" ca="1">INDIRECT("Data!B" &amp; 1066)</f>
        <v>0</v>
      </c>
      <c r="I1071" s="21" cm="1">
        <f t="array" aca="1" ref="I1071" ca="1">INDIRECT("Data!C" &amp; 1066)</f>
        <v>0</v>
      </c>
      <c r="J1071" cm="1">
        <f t="array" aca="1" ref="J1071" ca="1">INDIRECT("Data!D" &amp; 1066)</f>
        <v>0</v>
      </c>
      <c r="K1071" cm="1">
        <f t="array" aca="1" ref="K1071" ca="1">INDIRECT("Data!E" &amp; 1066)</f>
        <v>0</v>
      </c>
      <c r="L1071" cm="1">
        <f t="array" aca="1" ref="L1071" ca="1">INDIRECT("Data!F" &amp; 1066)</f>
        <v>0</v>
      </c>
      <c r="M1071" cm="1">
        <f t="array" aca="1" ref="M1071" ca="1">INDIRECT("Data!G" &amp; 1066)</f>
        <v>0</v>
      </c>
      <c r="N1071" cm="1">
        <f t="array" aca="1" ref="N1071" ca="1">INDIRECT("Data!H" &amp; 1066)</f>
        <v>0</v>
      </c>
      <c r="O1071" cm="1">
        <f t="array" aca="1" ref="O1071" ca="1">INDIRECT("Data!I" &amp; 1066)</f>
        <v>0</v>
      </c>
      <c r="P1071" s="21" cm="1">
        <f t="array" aca="1" ref="P1071" ca="1">INDIRECT("Data!J" &amp; 1066)</f>
        <v>0</v>
      </c>
      <c r="Q1071" cm="1">
        <f t="array" aca="1" ref="Q1071" ca="1">INDIRECT("Data!K" &amp; 1066)</f>
        <v>0</v>
      </c>
      <c r="R1071" cm="1">
        <f t="array" aca="1" ref="R1071" ca="1">INDIRECT("Data!L" &amp; 1066)</f>
        <v>0</v>
      </c>
      <c r="S1071" cm="1">
        <f t="array" aca="1" ref="S1071" ca="1">INDIRECT("Data!M" &amp; 1066)</f>
        <v>0</v>
      </c>
      <c r="T1071" cm="1">
        <f t="array" aca="1" ref="T1071" ca="1">INDIRECT("Data!N" &amp; 1066)</f>
        <v>0</v>
      </c>
      <c r="U1071" cm="1">
        <f t="array" aca="1" ref="U1071" ca="1">INDIRECT("Data!O" &amp; 1066)</f>
        <v>0</v>
      </c>
      <c r="V1071" cm="1">
        <f t="array" aca="1" ref="V1071" ca="1">INDIRECT("Data!P" &amp; 1066)</f>
        <v>0</v>
      </c>
    </row>
    <row r="1072" spans="7:22" x14ac:dyDescent="0.25">
      <c r="G1072" cm="1">
        <f t="array" aca="1" ref="G1072" ca="1">INDIRECT("Data!A" &amp; 1067)</f>
        <v>0</v>
      </c>
      <c r="H1072" s="21" cm="1">
        <f t="array" aca="1" ref="H1072" ca="1">INDIRECT("Data!B" &amp; 1067)</f>
        <v>0</v>
      </c>
      <c r="I1072" s="21" cm="1">
        <f t="array" aca="1" ref="I1072" ca="1">INDIRECT("Data!C" &amp; 1067)</f>
        <v>0</v>
      </c>
      <c r="J1072" cm="1">
        <f t="array" aca="1" ref="J1072" ca="1">INDIRECT("Data!D" &amp; 1067)</f>
        <v>0</v>
      </c>
      <c r="K1072" cm="1">
        <f t="array" aca="1" ref="K1072" ca="1">INDIRECT("Data!E" &amp; 1067)</f>
        <v>0</v>
      </c>
      <c r="L1072" cm="1">
        <f t="array" aca="1" ref="L1072" ca="1">INDIRECT("Data!F" &amp; 1067)</f>
        <v>0</v>
      </c>
      <c r="M1072" cm="1">
        <f t="array" aca="1" ref="M1072" ca="1">INDIRECT("Data!G" &amp; 1067)</f>
        <v>0</v>
      </c>
      <c r="N1072" cm="1">
        <f t="array" aca="1" ref="N1072" ca="1">INDIRECT("Data!H" &amp; 1067)</f>
        <v>0</v>
      </c>
      <c r="O1072" cm="1">
        <f t="array" aca="1" ref="O1072" ca="1">INDIRECT("Data!I" &amp; 1067)</f>
        <v>0</v>
      </c>
      <c r="P1072" s="21" cm="1">
        <f t="array" aca="1" ref="P1072" ca="1">INDIRECT("Data!J" &amp; 1067)</f>
        <v>0</v>
      </c>
      <c r="Q1072" cm="1">
        <f t="array" aca="1" ref="Q1072" ca="1">INDIRECT("Data!K" &amp; 1067)</f>
        <v>0</v>
      </c>
      <c r="R1072" cm="1">
        <f t="array" aca="1" ref="R1072" ca="1">INDIRECT("Data!L" &amp; 1067)</f>
        <v>0</v>
      </c>
      <c r="S1072" cm="1">
        <f t="array" aca="1" ref="S1072" ca="1">INDIRECT("Data!M" &amp; 1067)</f>
        <v>0</v>
      </c>
      <c r="T1072" cm="1">
        <f t="array" aca="1" ref="T1072" ca="1">INDIRECT("Data!N" &amp; 1067)</f>
        <v>0</v>
      </c>
      <c r="U1072" cm="1">
        <f t="array" aca="1" ref="U1072" ca="1">INDIRECT("Data!O" &amp; 1067)</f>
        <v>0</v>
      </c>
      <c r="V1072" cm="1">
        <f t="array" aca="1" ref="V1072" ca="1">INDIRECT("Data!P" &amp; 1067)</f>
        <v>0</v>
      </c>
    </row>
    <row r="1073" spans="7:22" x14ac:dyDescent="0.25">
      <c r="G1073" cm="1">
        <f t="array" aca="1" ref="G1073" ca="1">INDIRECT("Data!A" &amp; 1068)</f>
        <v>0</v>
      </c>
      <c r="H1073" s="21" cm="1">
        <f t="array" aca="1" ref="H1073" ca="1">INDIRECT("Data!B" &amp; 1068)</f>
        <v>0</v>
      </c>
      <c r="I1073" s="21" cm="1">
        <f t="array" aca="1" ref="I1073" ca="1">INDIRECT("Data!C" &amp; 1068)</f>
        <v>0</v>
      </c>
      <c r="J1073" cm="1">
        <f t="array" aca="1" ref="J1073" ca="1">INDIRECT("Data!D" &amp; 1068)</f>
        <v>0</v>
      </c>
      <c r="K1073" cm="1">
        <f t="array" aca="1" ref="K1073" ca="1">INDIRECT("Data!E" &amp; 1068)</f>
        <v>0</v>
      </c>
      <c r="L1073" cm="1">
        <f t="array" aca="1" ref="L1073" ca="1">INDIRECT("Data!F" &amp; 1068)</f>
        <v>0</v>
      </c>
      <c r="M1073" cm="1">
        <f t="array" aca="1" ref="M1073" ca="1">INDIRECT("Data!G" &amp; 1068)</f>
        <v>0</v>
      </c>
      <c r="N1073" cm="1">
        <f t="array" aca="1" ref="N1073" ca="1">INDIRECT("Data!H" &amp; 1068)</f>
        <v>0</v>
      </c>
      <c r="O1073" cm="1">
        <f t="array" aca="1" ref="O1073" ca="1">INDIRECT("Data!I" &amp; 1068)</f>
        <v>0</v>
      </c>
      <c r="P1073" s="21" cm="1">
        <f t="array" aca="1" ref="P1073" ca="1">INDIRECT("Data!J" &amp; 1068)</f>
        <v>0</v>
      </c>
      <c r="Q1073" cm="1">
        <f t="array" aca="1" ref="Q1073" ca="1">INDIRECT("Data!K" &amp; 1068)</f>
        <v>0</v>
      </c>
      <c r="R1073" cm="1">
        <f t="array" aca="1" ref="R1073" ca="1">INDIRECT("Data!L" &amp; 1068)</f>
        <v>0</v>
      </c>
      <c r="S1073" cm="1">
        <f t="array" aca="1" ref="S1073" ca="1">INDIRECT("Data!M" &amp; 1068)</f>
        <v>0</v>
      </c>
      <c r="T1073" cm="1">
        <f t="array" aca="1" ref="T1073" ca="1">INDIRECT("Data!N" &amp; 1068)</f>
        <v>0</v>
      </c>
      <c r="U1073" cm="1">
        <f t="array" aca="1" ref="U1073" ca="1">INDIRECT("Data!O" &amp; 1068)</f>
        <v>0</v>
      </c>
      <c r="V1073" cm="1">
        <f t="array" aca="1" ref="V1073" ca="1">INDIRECT("Data!P" &amp; 1068)</f>
        <v>0</v>
      </c>
    </row>
    <row r="1074" spans="7:22" x14ac:dyDescent="0.25">
      <c r="G1074" cm="1">
        <f t="array" aca="1" ref="G1074" ca="1">INDIRECT("Data!A" &amp; 1069)</f>
        <v>0</v>
      </c>
      <c r="H1074" s="21" cm="1">
        <f t="array" aca="1" ref="H1074" ca="1">INDIRECT("Data!B" &amp; 1069)</f>
        <v>0</v>
      </c>
      <c r="I1074" s="21" cm="1">
        <f t="array" aca="1" ref="I1074" ca="1">INDIRECT("Data!C" &amp; 1069)</f>
        <v>0</v>
      </c>
      <c r="J1074" cm="1">
        <f t="array" aca="1" ref="J1074" ca="1">INDIRECT("Data!D" &amp; 1069)</f>
        <v>0</v>
      </c>
      <c r="K1074" cm="1">
        <f t="array" aca="1" ref="K1074" ca="1">INDIRECT("Data!E" &amp; 1069)</f>
        <v>0</v>
      </c>
      <c r="L1074" cm="1">
        <f t="array" aca="1" ref="L1074" ca="1">INDIRECT("Data!F" &amp; 1069)</f>
        <v>0</v>
      </c>
      <c r="M1074" cm="1">
        <f t="array" aca="1" ref="M1074" ca="1">INDIRECT("Data!G" &amp; 1069)</f>
        <v>0</v>
      </c>
      <c r="N1074" cm="1">
        <f t="array" aca="1" ref="N1074" ca="1">INDIRECT("Data!H" &amp; 1069)</f>
        <v>0</v>
      </c>
      <c r="O1074" cm="1">
        <f t="array" aca="1" ref="O1074" ca="1">INDIRECT("Data!I" &amp; 1069)</f>
        <v>0</v>
      </c>
      <c r="P1074" s="21" cm="1">
        <f t="array" aca="1" ref="P1074" ca="1">INDIRECT("Data!J" &amp; 1069)</f>
        <v>0</v>
      </c>
      <c r="Q1074" cm="1">
        <f t="array" aca="1" ref="Q1074" ca="1">INDIRECT("Data!K" &amp; 1069)</f>
        <v>0</v>
      </c>
      <c r="R1074" cm="1">
        <f t="array" aca="1" ref="R1074" ca="1">INDIRECT("Data!L" &amp; 1069)</f>
        <v>0</v>
      </c>
      <c r="S1074" cm="1">
        <f t="array" aca="1" ref="S1074" ca="1">INDIRECT("Data!M" &amp; 1069)</f>
        <v>0</v>
      </c>
      <c r="T1074" cm="1">
        <f t="array" aca="1" ref="T1074" ca="1">INDIRECT("Data!N" &amp; 1069)</f>
        <v>0</v>
      </c>
      <c r="U1074" cm="1">
        <f t="array" aca="1" ref="U1074" ca="1">INDIRECT("Data!O" &amp; 1069)</f>
        <v>0</v>
      </c>
      <c r="V1074" cm="1">
        <f t="array" aca="1" ref="V1074" ca="1">INDIRECT("Data!P" &amp; 1069)</f>
        <v>0</v>
      </c>
    </row>
    <row r="1075" spans="7:22" x14ac:dyDescent="0.25">
      <c r="G1075" cm="1">
        <f t="array" aca="1" ref="G1075" ca="1">INDIRECT("Data!A" &amp; 1070)</f>
        <v>0</v>
      </c>
      <c r="H1075" s="21" cm="1">
        <f t="array" aca="1" ref="H1075" ca="1">INDIRECT("Data!B" &amp; 1070)</f>
        <v>0</v>
      </c>
      <c r="I1075" s="21" cm="1">
        <f t="array" aca="1" ref="I1075" ca="1">INDIRECT("Data!C" &amp; 1070)</f>
        <v>0</v>
      </c>
      <c r="J1075" cm="1">
        <f t="array" aca="1" ref="J1075" ca="1">INDIRECT("Data!D" &amp; 1070)</f>
        <v>0</v>
      </c>
      <c r="K1075" cm="1">
        <f t="array" aca="1" ref="K1075" ca="1">INDIRECT("Data!E" &amp; 1070)</f>
        <v>0</v>
      </c>
      <c r="L1075" cm="1">
        <f t="array" aca="1" ref="L1075" ca="1">INDIRECT("Data!F" &amp; 1070)</f>
        <v>0</v>
      </c>
      <c r="M1075" cm="1">
        <f t="array" aca="1" ref="M1075" ca="1">INDIRECT("Data!G" &amp; 1070)</f>
        <v>0</v>
      </c>
      <c r="N1075" cm="1">
        <f t="array" aca="1" ref="N1075" ca="1">INDIRECT("Data!H" &amp; 1070)</f>
        <v>0</v>
      </c>
      <c r="O1075" cm="1">
        <f t="array" aca="1" ref="O1075" ca="1">INDIRECT("Data!I" &amp; 1070)</f>
        <v>0</v>
      </c>
      <c r="P1075" s="21" cm="1">
        <f t="array" aca="1" ref="P1075" ca="1">INDIRECT("Data!J" &amp; 1070)</f>
        <v>0</v>
      </c>
      <c r="Q1075" cm="1">
        <f t="array" aca="1" ref="Q1075" ca="1">INDIRECT("Data!K" &amp; 1070)</f>
        <v>0</v>
      </c>
      <c r="R1075" cm="1">
        <f t="array" aca="1" ref="R1075" ca="1">INDIRECT("Data!L" &amp; 1070)</f>
        <v>0</v>
      </c>
      <c r="S1075" cm="1">
        <f t="array" aca="1" ref="S1075" ca="1">INDIRECT("Data!M" &amp; 1070)</f>
        <v>0</v>
      </c>
      <c r="T1075" cm="1">
        <f t="array" aca="1" ref="T1075" ca="1">INDIRECT("Data!N" &amp; 1070)</f>
        <v>0</v>
      </c>
      <c r="U1075" cm="1">
        <f t="array" aca="1" ref="U1075" ca="1">INDIRECT("Data!O" &amp; 1070)</f>
        <v>0</v>
      </c>
      <c r="V1075" cm="1">
        <f t="array" aca="1" ref="V1075" ca="1">INDIRECT("Data!P" &amp; 1070)</f>
        <v>0</v>
      </c>
    </row>
    <row r="1076" spans="7:22" x14ac:dyDescent="0.25">
      <c r="G1076" cm="1">
        <f t="array" aca="1" ref="G1076" ca="1">INDIRECT("Data!A" &amp; 1071)</f>
        <v>0</v>
      </c>
      <c r="H1076" s="21" cm="1">
        <f t="array" aca="1" ref="H1076" ca="1">INDIRECT("Data!B" &amp; 1071)</f>
        <v>0</v>
      </c>
      <c r="I1076" s="21" cm="1">
        <f t="array" aca="1" ref="I1076" ca="1">INDIRECT("Data!C" &amp; 1071)</f>
        <v>0</v>
      </c>
      <c r="J1076" cm="1">
        <f t="array" aca="1" ref="J1076" ca="1">INDIRECT("Data!D" &amp; 1071)</f>
        <v>0</v>
      </c>
      <c r="K1076" cm="1">
        <f t="array" aca="1" ref="K1076" ca="1">INDIRECT("Data!E" &amp; 1071)</f>
        <v>0</v>
      </c>
      <c r="L1076" cm="1">
        <f t="array" aca="1" ref="L1076" ca="1">INDIRECT("Data!F" &amp; 1071)</f>
        <v>0</v>
      </c>
      <c r="M1076" cm="1">
        <f t="array" aca="1" ref="M1076" ca="1">INDIRECT("Data!G" &amp; 1071)</f>
        <v>0</v>
      </c>
      <c r="N1076" cm="1">
        <f t="array" aca="1" ref="N1076" ca="1">INDIRECT("Data!H" &amp; 1071)</f>
        <v>0</v>
      </c>
      <c r="O1076" cm="1">
        <f t="array" aca="1" ref="O1076" ca="1">INDIRECT("Data!I" &amp; 1071)</f>
        <v>0</v>
      </c>
      <c r="P1076" s="21" cm="1">
        <f t="array" aca="1" ref="P1076" ca="1">INDIRECT("Data!J" &amp; 1071)</f>
        <v>0</v>
      </c>
      <c r="Q1076" cm="1">
        <f t="array" aca="1" ref="Q1076" ca="1">INDIRECT("Data!K" &amp; 1071)</f>
        <v>0</v>
      </c>
      <c r="R1076" cm="1">
        <f t="array" aca="1" ref="R1076" ca="1">INDIRECT("Data!L" &amp; 1071)</f>
        <v>0</v>
      </c>
      <c r="S1076" cm="1">
        <f t="array" aca="1" ref="S1076" ca="1">INDIRECT("Data!M" &amp; 1071)</f>
        <v>0</v>
      </c>
      <c r="T1076" cm="1">
        <f t="array" aca="1" ref="T1076" ca="1">INDIRECT("Data!N" &amp; 1071)</f>
        <v>0</v>
      </c>
      <c r="U1076" cm="1">
        <f t="array" aca="1" ref="U1076" ca="1">INDIRECT("Data!O" &amp; 1071)</f>
        <v>0</v>
      </c>
      <c r="V1076" cm="1">
        <f t="array" aca="1" ref="V1076" ca="1">INDIRECT("Data!P" &amp; 1071)</f>
        <v>0</v>
      </c>
    </row>
    <row r="1077" spans="7:22" x14ac:dyDescent="0.25">
      <c r="G1077" cm="1">
        <f t="array" aca="1" ref="G1077" ca="1">INDIRECT("Data!A" &amp; 1072)</f>
        <v>0</v>
      </c>
      <c r="H1077" s="21" cm="1">
        <f t="array" aca="1" ref="H1077" ca="1">INDIRECT("Data!B" &amp; 1072)</f>
        <v>0</v>
      </c>
      <c r="I1077" s="21" cm="1">
        <f t="array" aca="1" ref="I1077" ca="1">INDIRECT("Data!C" &amp; 1072)</f>
        <v>0</v>
      </c>
      <c r="J1077" cm="1">
        <f t="array" aca="1" ref="J1077" ca="1">INDIRECT("Data!D" &amp; 1072)</f>
        <v>0</v>
      </c>
      <c r="K1077" cm="1">
        <f t="array" aca="1" ref="K1077" ca="1">INDIRECT("Data!E" &amp; 1072)</f>
        <v>0</v>
      </c>
      <c r="L1077" cm="1">
        <f t="array" aca="1" ref="L1077" ca="1">INDIRECT("Data!F" &amp; 1072)</f>
        <v>0</v>
      </c>
      <c r="M1077" cm="1">
        <f t="array" aca="1" ref="M1077" ca="1">INDIRECT("Data!G" &amp; 1072)</f>
        <v>0</v>
      </c>
      <c r="N1077" cm="1">
        <f t="array" aca="1" ref="N1077" ca="1">INDIRECT("Data!H" &amp; 1072)</f>
        <v>0</v>
      </c>
      <c r="O1077" cm="1">
        <f t="array" aca="1" ref="O1077" ca="1">INDIRECT("Data!I" &amp; 1072)</f>
        <v>0</v>
      </c>
      <c r="P1077" s="21" cm="1">
        <f t="array" aca="1" ref="P1077" ca="1">INDIRECT("Data!J" &amp; 1072)</f>
        <v>0</v>
      </c>
      <c r="Q1077" cm="1">
        <f t="array" aca="1" ref="Q1077" ca="1">INDIRECT("Data!K" &amp; 1072)</f>
        <v>0</v>
      </c>
      <c r="R1077" cm="1">
        <f t="array" aca="1" ref="R1077" ca="1">INDIRECT("Data!L" &amp; 1072)</f>
        <v>0</v>
      </c>
      <c r="S1077" cm="1">
        <f t="array" aca="1" ref="S1077" ca="1">INDIRECT("Data!M" &amp; 1072)</f>
        <v>0</v>
      </c>
      <c r="T1077" cm="1">
        <f t="array" aca="1" ref="T1077" ca="1">INDIRECT("Data!N" &amp; 1072)</f>
        <v>0</v>
      </c>
      <c r="U1077" cm="1">
        <f t="array" aca="1" ref="U1077" ca="1">INDIRECT("Data!O" &amp; 1072)</f>
        <v>0</v>
      </c>
      <c r="V1077" cm="1">
        <f t="array" aca="1" ref="V1077" ca="1">INDIRECT("Data!P" &amp; 1072)</f>
        <v>0</v>
      </c>
    </row>
    <row r="1078" spans="7:22" x14ac:dyDescent="0.25">
      <c r="G1078" cm="1">
        <f t="array" aca="1" ref="G1078" ca="1">INDIRECT("Data!A" &amp; 1073)</f>
        <v>0</v>
      </c>
      <c r="H1078" s="21" cm="1">
        <f t="array" aca="1" ref="H1078" ca="1">INDIRECT("Data!B" &amp; 1073)</f>
        <v>0</v>
      </c>
      <c r="I1078" s="21" cm="1">
        <f t="array" aca="1" ref="I1078" ca="1">INDIRECT("Data!C" &amp; 1073)</f>
        <v>0</v>
      </c>
      <c r="J1078" cm="1">
        <f t="array" aca="1" ref="J1078" ca="1">INDIRECT("Data!D" &amp; 1073)</f>
        <v>0</v>
      </c>
      <c r="K1078" cm="1">
        <f t="array" aca="1" ref="K1078" ca="1">INDIRECT("Data!E" &amp; 1073)</f>
        <v>0</v>
      </c>
      <c r="L1078" cm="1">
        <f t="array" aca="1" ref="L1078" ca="1">INDIRECT("Data!F" &amp; 1073)</f>
        <v>0</v>
      </c>
      <c r="M1078" cm="1">
        <f t="array" aca="1" ref="M1078" ca="1">INDIRECT("Data!G" &amp; 1073)</f>
        <v>0</v>
      </c>
      <c r="N1078" cm="1">
        <f t="array" aca="1" ref="N1078" ca="1">INDIRECT("Data!H" &amp; 1073)</f>
        <v>0</v>
      </c>
      <c r="O1078" cm="1">
        <f t="array" aca="1" ref="O1078" ca="1">INDIRECT("Data!I" &amp; 1073)</f>
        <v>0</v>
      </c>
      <c r="P1078" s="21" cm="1">
        <f t="array" aca="1" ref="P1078" ca="1">INDIRECT("Data!J" &amp; 1073)</f>
        <v>0</v>
      </c>
      <c r="Q1078" cm="1">
        <f t="array" aca="1" ref="Q1078" ca="1">INDIRECT("Data!K" &amp; 1073)</f>
        <v>0</v>
      </c>
      <c r="R1078" cm="1">
        <f t="array" aca="1" ref="R1078" ca="1">INDIRECT("Data!L" &amp; 1073)</f>
        <v>0</v>
      </c>
      <c r="S1078" cm="1">
        <f t="array" aca="1" ref="S1078" ca="1">INDIRECT("Data!M" &amp; 1073)</f>
        <v>0</v>
      </c>
      <c r="T1078" cm="1">
        <f t="array" aca="1" ref="T1078" ca="1">INDIRECT("Data!N" &amp; 1073)</f>
        <v>0</v>
      </c>
      <c r="U1078" cm="1">
        <f t="array" aca="1" ref="U1078" ca="1">INDIRECT("Data!O" &amp; 1073)</f>
        <v>0</v>
      </c>
      <c r="V1078" cm="1">
        <f t="array" aca="1" ref="V1078" ca="1">INDIRECT("Data!P" &amp; 1073)</f>
        <v>0</v>
      </c>
    </row>
    <row r="1079" spans="7:22" x14ac:dyDescent="0.25">
      <c r="G1079" cm="1">
        <f t="array" aca="1" ref="G1079" ca="1">INDIRECT("Data!A" &amp; 1074)</f>
        <v>0</v>
      </c>
      <c r="H1079" s="21" cm="1">
        <f t="array" aca="1" ref="H1079" ca="1">INDIRECT("Data!B" &amp; 1074)</f>
        <v>0</v>
      </c>
      <c r="I1079" s="21" cm="1">
        <f t="array" aca="1" ref="I1079" ca="1">INDIRECT("Data!C" &amp; 1074)</f>
        <v>0</v>
      </c>
      <c r="J1079" cm="1">
        <f t="array" aca="1" ref="J1079" ca="1">INDIRECT("Data!D" &amp; 1074)</f>
        <v>0</v>
      </c>
      <c r="K1079" cm="1">
        <f t="array" aca="1" ref="K1079" ca="1">INDIRECT("Data!E" &amp; 1074)</f>
        <v>0</v>
      </c>
      <c r="L1079" cm="1">
        <f t="array" aca="1" ref="L1079" ca="1">INDIRECT("Data!F" &amp; 1074)</f>
        <v>0</v>
      </c>
      <c r="M1079" cm="1">
        <f t="array" aca="1" ref="M1079" ca="1">INDIRECT("Data!G" &amp; 1074)</f>
        <v>0</v>
      </c>
      <c r="N1079" cm="1">
        <f t="array" aca="1" ref="N1079" ca="1">INDIRECT("Data!H" &amp; 1074)</f>
        <v>0</v>
      </c>
      <c r="O1079" cm="1">
        <f t="array" aca="1" ref="O1079" ca="1">INDIRECT("Data!I" &amp; 1074)</f>
        <v>0</v>
      </c>
      <c r="P1079" s="21" cm="1">
        <f t="array" aca="1" ref="P1079" ca="1">INDIRECT("Data!J" &amp; 1074)</f>
        <v>0</v>
      </c>
      <c r="Q1079" cm="1">
        <f t="array" aca="1" ref="Q1079" ca="1">INDIRECT("Data!K" &amp; 1074)</f>
        <v>0</v>
      </c>
      <c r="R1079" cm="1">
        <f t="array" aca="1" ref="R1079" ca="1">INDIRECT("Data!L" &amp; 1074)</f>
        <v>0</v>
      </c>
      <c r="S1079" cm="1">
        <f t="array" aca="1" ref="S1079" ca="1">INDIRECT("Data!M" &amp; 1074)</f>
        <v>0</v>
      </c>
      <c r="T1079" cm="1">
        <f t="array" aca="1" ref="T1079" ca="1">INDIRECT("Data!N" &amp; 1074)</f>
        <v>0</v>
      </c>
      <c r="U1079" cm="1">
        <f t="array" aca="1" ref="U1079" ca="1">INDIRECT("Data!O" &amp; 1074)</f>
        <v>0</v>
      </c>
      <c r="V1079" cm="1">
        <f t="array" aca="1" ref="V1079" ca="1">INDIRECT("Data!P" &amp; 1074)</f>
        <v>0</v>
      </c>
    </row>
    <row r="1080" spans="7:22" x14ac:dyDescent="0.25">
      <c r="G1080" cm="1">
        <f t="array" aca="1" ref="G1080" ca="1">INDIRECT("Data!A" &amp; 1075)</f>
        <v>0</v>
      </c>
      <c r="H1080" s="21" cm="1">
        <f t="array" aca="1" ref="H1080" ca="1">INDIRECT("Data!B" &amp; 1075)</f>
        <v>0</v>
      </c>
      <c r="I1080" s="21" cm="1">
        <f t="array" aca="1" ref="I1080" ca="1">INDIRECT("Data!C" &amp; 1075)</f>
        <v>0</v>
      </c>
      <c r="J1080" cm="1">
        <f t="array" aca="1" ref="J1080" ca="1">INDIRECT("Data!D" &amp; 1075)</f>
        <v>0</v>
      </c>
      <c r="K1080" cm="1">
        <f t="array" aca="1" ref="K1080" ca="1">INDIRECT("Data!E" &amp; 1075)</f>
        <v>0</v>
      </c>
      <c r="L1080" cm="1">
        <f t="array" aca="1" ref="L1080" ca="1">INDIRECT("Data!F" &amp; 1075)</f>
        <v>0</v>
      </c>
      <c r="M1080" cm="1">
        <f t="array" aca="1" ref="M1080" ca="1">INDIRECT("Data!G" &amp; 1075)</f>
        <v>0</v>
      </c>
      <c r="N1080" cm="1">
        <f t="array" aca="1" ref="N1080" ca="1">INDIRECT("Data!H" &amp; 1075)</f>
        <v>0</v>
      </c>
      <c r="O1080" cm="1">
        <f t="array" aca="1" ref="O1080" ca="1">INDIRECT("Data!I" &amp; 1075)</f>
        <v>0</v>
      </c>
      <c r="P1080" s="21" cm="1">
        <f t="array" aca="1" ref="P1080" ca="1">INDIRECT("Data!J" &amp; 1075)</f>
        <v>0</v>
      </c>
      <c r="Q1080" cm="1">
        <f t="array" aca="1" ref="Q1080" ca="1">INDIRECT("Data!K" &amp; 1075)</f>
        <v>0</v>
      </c>
      <c r="R1080" cm="1">
        <f t="array" aca="1" ref="R1080" ca="1">INDIRECT("Data!L" &amp; 1075)</f>
        <v>0</v>
      </c>
      <c r="S1080" cm="1">
        <f t="array" aca="1" ref="S1080" ca="1">INDIRECT("Data!M" &amp; 1075)</f>
        <v>0</v>
      </c>
      <c r="T1080" cm="1">
        <f t="array" aca="1" ref="T1080" ca="1">INDIRECT("Data!N" &amp; 1075)</f>
        <v>0</v>
      </c>
      <c r="U1080" cm="1">
        <f t="array" aca="1" ref="U1080" ca="1">INDIRECT("Data!O" &amp; 1075)</f>
        <v>0</v>
      </c>
      <c r="V1080" cm="1">
        <f t="array" aca="1" ref="V1080" ca="1">INDIRECT("Data!P" &amp; 1075)</f>
        <v>0</v>
      </c>
    </row>
    <row r="1081" spans="7:22" x14ac:dyDescent="0.25">
      <c r="G1081" cm="1">
        <f t="array" aca="1" ref="G1081" ca="1">INDIRECT("Data!A" &amp; 1076)</f>
        <v>0</v>
      </c>
      <c r="H1081" s="21" cm="1">
        <f t="array" aca="1" ref="H1081" ca="1">INDIRECT("Data!B" &amp; 1076)</f>
        <v>0</v>
      </c>
      <c r="I1081" s="21" cm="1">
        <f t="array" aca="1" ref="I1081" ca="1">INDIRECT("Data!C" &amp; 1076)</f>
        <v>0</v>
      </c>
      <c r="J1081" cm="1">
        <f t="array" aca="1" ref="J1081" ca="1">INDIRECT("Data!D" &amp; 1076)</f>
        <v>0</v>
      </c>
      <c r="K1081" cm="1">
        <f t="array" aca="1" ref="K1081" ca="1">INDIRECT("Data!E" &amp; 1076)</f>
        <v>0</v>
      </c>
      <c r="L1081" cm="1">
        <f t="array" aca="1" ref="L1081" ca="1">INDIRECT("Data!F" &amp; 1076)</f>
        <v>0</v>
      </c>
      <c r="M1081" cm="1">
        <f t="array" aca="1" ref="M1081" ca="1">INDIRECT("Data!G" &amp; 1076)</f>
        <v>0</v>
      </c>
      <c r="N1081" cm="1">
        <f t="array" aca="1" ref="N1081" ca="1">INDIRECT("Data!H" &amp; 1076)</f>
        <v>0</v>
      </c>
      <c r="O1081" cm="1">
        <f t="array" aca="1" ref="O1081" ca="1">INDIRECT("Data!I" &amp; 1076)</f>
        <v>0</v>
      </c>
      <c r="P1081" s="21" cm="1">
        <f t="array" aca="1" ref="P1081" ca="1">INDIRECT("Data!J" &amp; 1076)</f>
        <v>0</v>
      </c>
      <c r="Q1081" cm="1">
        <f t="array" aca="1" ref="Q1081" ca="1">INDIRECT("Data!K" &amp; 1076)</f>
        <v>0</v>
      </c>
      <c r="R1081" cm="1">
        <f t="array" aca="1" ref="R1081" ca="1">INDIRECT("Data!L" &amp; 1076)</f>
        <v>0</v>
      </c>
      <c r="S1081" cm="1">
        <f t="array" aca="1" ref="S1081" ca="1">INDIRECT("Data!M" &amp; 1076)</f>
        <v>0</v>
      </c>
      <c r="T1081" cm="1">
        <f t="array" aca="1" ref="T1081" ca="1">INDIRECT("Data!N" &amp; 1076)</f>
        <v>0</v>
      </c>
      <c r="U1081" cm="1">
        <f t="array" aca="1" ref="U1081" ca="1">INDIRECT("Data!O" &amp; 1076)</f>
        <v>0</v>
      </c>
      <c r="V1081" cm="1">
        <f t="array" aca="1" ref="V1081" ca="1">INDIRECT("Data!P" &amp; 1076)</f>
        <v>0</v>
      </c>
    </row>
    <row r="1082" spans="7:22" x14ac:dyDescent="0.25">
      <c r="G1082" cm="1">
        <f t="array" aca="1" ref="G1082" ca="1">INDIRECT("Data!A" &amp; 1077)</f>
        <v>0</v>
      </c>
      <c r="H1082" s="21" cm="1">
        <f t="array" aca="1" ref="H1082" ca="1">INDIRECT("Data!B" &amp; 1077)</f>
        <v>0</v>
      </c>
      <c r="I1082" s="21" cm="1">
        <f t="array" aca="1" ref="I1082" ca="1">INDIRECT("Data!C" &amp; 1077)</f>
        <v>0</v>
      </c>
      <c r="J1082" cm="1">
        <f t="array" aca="1" ref="J1082" ca="1">INDIRECT("Data!D" &amp; 1077)</f>
        <v>0</v>
      </c>
      <c r="K1082" cm="1">
        <f t="array" aca="1" ref="K1082" ca="1">INDIRECT("Data!E" &amp; 1077)</f>
        <v>0</v>
      </c>
      <c r="L1082" cm="1">
        <f t="array" aca="1" ref="L1082" ca="1">INDIRECT("Data!F" &amp; 1077)</f>
        <v>0</v>
      </c>
      <c r="M1082" cm="1">
        <f t="array" aca="1" ref="M1082" ca="1">INDIRECT("Data!G" &amp; 1077)</f>
        <v>0</v>
      </c>
      <c r="N1082" cm="1">
        <f t="array" aca="1" ref="N1082" ca="1">INDIRECT("Data!H" &amp; 1077)</f>
        <v>0</v>
      </c>
      <c r="O1082" cm="1">
        <f t="array" aca="1" ref="O1082" ca="1">INDIRECT("Data!I" &amp; 1077)</f>
        <v>0</v>
      </c>
      <c r="P1082" s="21" cm="1">
        <f t="array" aca="1" ref="P1082" ca="1">INDIRECT("Data!J" &amp; 1077)</f>
        <v>0</v>
      </c>
      <c r="Q1082" cm="1">
        <f t="array" aca="1" ref="Q1082" ca="1">INDIRECT("Data!K" &amp; 1077)</f>
        <v>0</v>
      </c>
      <c r="R1082" cm="1">
        <f t="array" aca="1" ref="R1082" ca="1">INDIRECT("Data!L" &amp; 1077)</f>
        <v>0</v>
      </c>
      <c r="S1082" cm="1">
        <f t="array" aca="1" ref="S1082" ca="1">INDIRECT("Data!M" &amp; 1077)</f>
        <v>0</v>
      </c>
      <c r="T1082" cm="1">
        <f t="array" aca="1" ref="T1082" ca="1">INDIRECT("Data!N" &amp; 1077)</f>
        <v>0</v>
      </c>
      <c r="U1082" cm="1">
        <f t="array" aca="1" ref="U1082" ca="1">INDIRECT("Data!O" &amp; 1077)</f>
        <v>0</v>
      </c>
      <c r="V1082" cm="1">
        <f t="array" aca="1" ref="V1082" ca="1">INDIRECT("Data!P" &amp; 1077)</f>
        <v>0</v>
      </c>
    </row>
    <row r="1083" spans="7:22" x14ac:dyDescent="0.25">
      <c r="G1083" cm="1">
        <f t="array" aca="1" ref="G1083" ca="1">INDIRECT("Data!A" &amp; 1078)</f>
        <v>0</v>
      </c>
      <c r="H1083" s="21" cm="1">
        <f t="array" aca="1" ref="H1083" ca="1">INDIRECT("Data!B" &amp; 1078)</f>
        <v>0</v>
      </c>
      <c r="I1083" s="21" cm="1">
        <f t="array" aca="1" ref="I1083" ca="1">INDIRECT("Data!C" &amp; 1078)</f>
        <v>0</v>
      </c>
      <c r="J1083" cm="1">
        <f t="array" aca="1" ref="J1083" ca="1">INDIRECT("Data!D" &amp; 1078)</f>
        <v>0</v>
      </c>
      <c r="K1083" cm="1">
        <f t="array" aca="1" ref="K1083" ca="1">INDIRECT("Data!E" &amp; 1078)</f>
        <v>0</v>
      </c>
      <c r="L1083" cm="1">
        <f t="array" aca="1" ref="L1083" ca="1">INDIRECT("Data!F" &amp; 1078)</f>
        <v>0</v>
      </c>
      <c r="M1083" cm="1">
        <f t="array" aca="1" ref="M1083" ca="1">INDIRECT("Data!G" &amp; 1078)</f>
        <v>0</v>
      </c>
      <c r="N1083" cm="1">
        <f t="array" aca="1" ref="N1083" ca="1">INDIRECT("Data!H" &amp; 1078)</f>
        <v>0</v>
      </c>
      <c r="O1083" cm="1">
        <f t="array" aca="1" ref="O1083" ca="1">INDIRECT("Data!I" &amp; 1078)</f>
        <v>0</v>
      </c>
      <c r="P1083" s="21" cm="1">
        <f t="array" aca="1" ref="P1083" ca="1">INDIRECT("Data!J" &amp; 1078)</f>
        <v>0</v>
      </c>
      <c r="Q1083" cm="1">
        <f t="array" aca="1" ref="Q1083" ca="1">INDIRECT("Data!K" &amp; 1078)</f>
        <v>0</v>
      </c>
      <c r="R1083" cm="1">
        <f t="array" aca="1" ref="R1083" ca="1">INDIRECT("Data!L" &amp; 1078)</f>
        <v>0</v>
      </c>
      <c r="S1083" cm="1">
        <f t="array" aca="1" ref="S1083" ca="1">INDIRECT("Data!M" &amp; 1078)</f>
        <v>0</v>
      </c>
      <c r="T1083" cm="1">
        <f t="array" aca="1" ref="T1083" ca="1">INDIRECT("Data!N" &amp; 1078)</f>
        <v>0</v>
      </c>
      <c r="U1083" cm="1">
        <f t="array" aca="1" ref="U1083" ca="1">INDIRECT("Data!O" &amp; 1078)</f>
        <v>0</v>
      </c>
      <c r="V1083" cm="1">
        <f t="array" aca="1" ref="V1083" ca="1">INDIRECT("Data!P" &amp; 1078)</f>
        <v>0</v>
      </c>
    </row>
    <row r="1084" spans="7:22" x14ac:dyDescent="0.25">
      <c r="G1084" cm="1">
        <f t="array" aca="1" ref="G1084" ca="1">INDIRECT("Data!A" &amp; 1079)</f>
        <v>0</v>
      </c>
      <c r="H1084" s="21" cm="1">
        <f t="array" aca="1" ref="H1084" ca="1">INDIRECT("Data!B" &amp; 1079)</f>
        <v>0</v>
      </c>
      <c r="I1084" s="21" cm="1">
        <f t="array" aca="1" ref="I1084" ca="1">INDIRECT("Data!C" &amp; 1079)</f>
        <v>0</v>
      </c>
      <c r="J1084" cm="1">
        <f t="array" aca="1" ref="J1084" ca="1">INDIRECT("Data!D" &amp; 1079)</f>
        <v>0</v>
      </c>
      <c r="K1084" cm="1">
        <f t="array" aca="1" ref="K1084" ca="1">INDIRECT("Data!E" &amp; 1079)</f>
        <v>0</v>
      </c>
      <c r="L1084" cm="1">
        <f t="array" aca="1" ref="L1084" ca="1">INDIRECT("Data!F" &amp; 1079)</f>
        <v>0</v>
      </c>
      <c r="M1084" cm="1">
        <f t="array" aca="1" ref="M1084" ca="1">INDIRECT("Data!G" &amp; 1079)</f>
        <v>0</v>
      </c>
      <c r="N1084" cm="1">
        <f t="array" aca="1" ref="N1084" ca="1">INDIRECT("Data!H" &amp; 1079)</f>
        <v>0</v>
      </c>
      <c r="O1084" cm="1">
        <f t="array" aca="1" ref="O1084" ca="1">INDIRECT("Data!I" &amp; 1079)</f>
        <v>0</v>
      </c>
      <c r="P1084" s="21" cm="1">
        <f t="array" aca="1" ref="P1084" ca="1">INDIRECT("Data!J" &amp; 1079)</f>
        <v>0</v>
      </c>
      <c r="Q1084" cm="1">
        <f t="array" aca="1" ref="Q1084" ca="1">INDIRECT("Data!K" &amp; 1079)</f>
        <v>0</v>
      </c>
      <c r="R1084" cm="1">
        <f t="array" aca="1" ref="R1084" ca="1">INDIRECT("Data!L" &amp; 1079)</f>
        <v>0</v>
      </c>
      <c r="S1084" cm="1">
        <f t="array" aca="1" ref="S1084" ca="1">INDIRECT("Data!M" &amp; 1079)</f>
        <v>0</v>
      </c>
      <c r="T1084" cm="1">
        <f t="array" aca="1" ref="T1084" ca="1">INDIRECT("Data!N" &amp; 1079)</f>
        <v>0</v>
      </c>
      <c r="U1084" cm="1">
        <f t="array" aca="1" ref="U1084" ca="1">INDIRECT("Data!O" &amp; 1079)</f>
        <v>0</v>
      </c>
      <c r="V1084" cm="1">
        <f t="array" aca="1" ref="V1084" ca="1">INDIRECT("Data!P" &amp; 1079)</f>
        <v>0</v>
      </c>
    </row>
    <row r="1085" spans="7:22" x14ac:dyDescent="0.25">
      <c r="G1085" cm="1">
        <f t="array" aca="1" ref="G1085" ca="1">INDIRECT("Data!A" &amp; 1080)</f>
        <v>0</v>
      </c>
      <c r="H1085" s="21" cm="1">
        <f t="array" aca="1" ref="H1085" ca="1">INDIRECT("Data!B" &amp; 1080)</f>
        <v>0</v>
      </c>
      <c r="I1085" s="21" cm="1">
        <f t="array" aca="1" ref="I1085" ca="1">INDIRECT("Data!C" &amp; 1080)</f>
        <v>0</v>
      </c>
      <c r="J1085" cm="1">
        <f t="array" aca="1" ref="J1085" ca="1">INDIRECT("Data!D" &amp; 1080)</f>
        <v>0</v>
      </c>
      <c r="K1085" cm="1">
        <f t="array" aca="1" ref="K1085" ca="1">INDIRECT("Data!E" &amp; 1080)</f>
        <v>0</v>
      </c>
      <c r="L1085" cm="1">
        <f t="array" aca="1" ref="L1085" ca="1">INDIRECT("Data!F" &amp; 1080)</f>
        <v>0</v>
      </c>
      <c r="M1085" cm="1">
        <f t="array" aca="1" ref="M1085" ca="1">INDIRECT("Data!G" &amp; 1080)</f>
        <v>0</v>
      </c>
      <c r="N1085" cm="1">
        <f t="array" aca="1" ref="N1085" ca="1">INDIRECT("Data!H" &amp; 1080)</f>
        <v>0</v>
      </c>
      <c r="O1085" cm="1">
        <f t="array" aca="1" ref="O1085" ca="1">INDIRECT("Data!I" &amp; 1080)</f>
        <v>0</v>
      </c>
      <c r="P1085" s="21" cm="1">
        <f t="array" aca="1" ref="P1085" ca="1">INDIRECT("Data!J" &amp; 1080)</f>
        <v>0</v>
      </c>
      <c r="Q1085" cm="1">
        <f t="array" aca="1" ref="Q1085" ca="1">INDIRECT("Data!K" &amp; 1080)</f>
        <v>0</v>
      </c>
      <c r="R1085" cm="1">
        <f t="array" aca="1" ref="R1085" ca="1">INDIRECT("Data!L" &amp; 1080)</f>
        <v>0</v>
      </c>
      <c r="S1085" cm="1">
        <f t="array" aca="1" ref="S1085" ca="1">INDIRECT("Data!M" &amp; 1080)</f>
        <v>0</v>
      </c>
      <c r="T1085" cm="1">
        <f t="array" aca="1" ref="T1085" ca="1">INDIRECT("Data!N" &amp; 1080)</f>
        <v>0</v>
      </c>
      <c r="U1085" cm="1">
        <f t="array" aca="1" ref="U1085" ca="1">INDIRECT("Data!O" &amp; 1080)</f>
        <v>0</v>
      </c>
      <c r="V1085" cm="1">
        <f t="array" aca="1" ref="V1085" ca="1">INDIRECT("Data!P" &amp; 1080)</f>
        <v>0</v>
      </c>
    </row>
    <row r="1086" spans="7:22" x14ac:dyDescent="0.25">
      <c r="G1086" cm="1">
        <f t="array" aca="1" ref="G1086" ca="1">INDIRECT("Data!A" &amp; 1081)</f>
        <v>0</v>
      </c>
      <c r="H1086" s="21" cm="1">
        <f t="array" aca="1" ref="H1086" ca="1">INDIRECT("Data!B" &amp; 1081)</f>
        <v>0</v>
      </c>
      <c r="I1086" s="21" cm="1">
        <f t="array" aca="1" ref="I1086" ca="1">INDIRECT("Data!C" &amp; 1081)</f>
        <v>0</v>
      </c>
      <c r="J1086" cm="1">
        <f t="array" aca="1" ref="J1086" ca="1">INDIRECT("Data!D" &amp; 1081)</f>
        <v>0</v>
      </c>
      <c r="K1086" cm="1">
        <f t="array" aca="1" ref="K1086" ca="1">INDIRECT("Data!E" &amp; 1081)</f>
        <v>0</v>
      </c>
      <c r="L1086" cm="1">
        <f t="array" aca="1" ref="L1086" ca="1">INDIRECT("Data!F" &amp; 1081)</f>
        <v>0</v>
      </c>
      <c r="M1086" cm="1">
        <f t="array" aca="1" ref="M1086" ca="1">INDIRECT("Data!G" &amp; 1081)</f>
        <v>0</v>
      </c>
      <c r="N1086" cm="1">
        <f t="array" aca="1" ref="N1086" ca="1">INDIRECT("Data!H" &amp; 1081)</f>
        <v>0</v>
      </c>
      <c r="O1086" cm="1">
        <f t="array" aca="1" ref="O1086" ca="1">INDIRECT("Data!I" &amp; 1081)</f>
        <v>0</v>
      </c>
      <c r="P1086" s="21" cm="1">
        <f t="array" aca="1" ref="P1086" ca="1">INDIRECT("Data!J" &amp; 1081)</f>
        <v>0</v>
      </c>
      <c r="Q1086" cm="1">
        <f t="array" aca="1" ref="Q1086" ca="1">INDIRECT("Data!K" &amp; 1081)</f>
        <v>0</v>
      </c>
      <c r="R1086" cm="1">
        <f t="array" aca="1" ref="R1086" ca="1">INDIRECT("Data!L" &amp; 1081)</f>
        <v>0</v>
      </c>
      <c r="S1086" cm="1">
        <f t="array" aca="1" ref="S1086" ca="1">INDIRECT("Data!M" &amp; 1081)</f>
        <v>0</v>
      </c>
      <c r="T1086" cm="1">
        <f t="array" aca="1" ref="T1086" ca="1">INDIRECT("Data!N" &amp; 1081)</f>
        <v>0</v>
      </c>
      <c r="U1086" cm="1">
        <f t="array" aca="1" ref="U1086" ca="1">INDIRECT("Data!O" &amp; 1081)</f>
        <v>0</v>
      </c>
      <c r="V1086" cm="1">
        <f t="array" aca="1" ref="V1086" ca="1">INDIRECT("Data!P" &amp; 1081)</f>
        <v>0</v>
      </c>
    </row>
    <row r="1087" spans="7:22" x14ac:dyDescent="0.25">
      <c r="G1087" cm="1">
        <f t="array" aca="1" ref="G1087" ca="1">INDIRECT("Data!A" &amp; 1082)</f>
        <v>0</v>
      </c>
      <c r="H1087" s="21" cm="1">
        <f t="array" aca="1" ref="H1087" ca="1">INDIRECT("Data!B" &amp; 1082)</f>
        <v>0</v>
      </c>
      <c r="I1087" s="21" cm="1">
        <f t="array" aca="1" ref="I1087" ca="1">INDIRECT("Data!C" &amp; 1082)</f>
        <v>0</v>
      </c>
      <c r="J1087" cm="1">
        <f t="array" aca="1" ref="J1087" ca="1">INDIRECT("Data!D" &amp; 1082)</f>
        <v>0</v>
      </c>
      <c r="K1087" cm="1">
        <f t="array" aca="1" ref="K1087" ca="1">INDIRECT("Data!E" &amp; 1082)</f>
        <v>0</v>
      </c>
      <c r="L1087" cm="1">
        <f t="array" aca="1" ref="L1087" ca="1">INDIRECT("Data!F" &amp; 1082)</f>
        <v>0</v>
      </c>
      <c r="M1087" cm="1">
        <f t="array" aca="1" ref="M1087" ca="1">INDIRECT("Data!G" &amp; 1082)</f>
        <v>0</v>
      </c>
      <c r="N1087" cm="1">
        <f t="array" aca="1" ref="N1087" ca="1">INDIRECT("Data!H" &amp; 1082)</f>
        <v>0</v>
      </c>
      <c r="O1087" cm="1">
        <f t="array" aca="1" ref="O1087" ca="1">INDIRECT("Data!I" &amp; 1082)</f>
        <v>0</v>
      </c>
      <c r="P1087" s="21" cm="1">
        <f t="array" aca="1" ref="P1087" ca="1">INDIRECT("Data!J" &amp; 1082)</f>
        <v>0</v>
      </c>
      <c r="Q1087" cm="1">
        <f t="array" aca="1" ref="Q1087" ca="1">INDIRECT("Data!K" &amp; 1082)</f>
        <v>0</v>
      </c>
      <c r="R1087" cm="1">
        <f t="array" aca="1" ref="R1087" ca="1">INDIRECT("Data!L" &amp; 1082)</f>
        <v>0</v>
      </c>
      <c r="S1087" cm="1">
        <f t="array" aca="1" ref="S1087" ca="1">INDIRECT("Data!M" &amp; 1082)</f>
        <v>0</v>
      </c>
      <c r="T1087" cm="1">
        <f t="array" aca="1" ref="T1087" ca="1">INDIRECT("Data!N" &amp; 1082)</f>
        <v>0</v>
      </c>
      <c r="U1087" cm="1">
        <f t="array" aca="1" ref="U1087" ca="1">INDIRECT("Data!O" &amp; 1082)</f>
        <v>0</v>
      </c>
      <c r="V1087" cm="1">
        <f t="array" aca="1" ref="V1087" ca="1">INDIRECT("Data!P" &amp; 1082)</f>
        <v>0</v>
      </c>
    </row>
    <row r="1088" spans="7:22" x14ac:dyDescent="0.25">
      <c r="G1088" cm="1">
        <f t="array" aca="1" ref="G1088" ca="1">INDIRECT("Data!A" &amp; 1083)</f>
        <v>0</v>
      </c>
      <c r="H1088" s="21" cm="1">
        <f t="array" aca="1" ref="H1088" ca="1">INDIRECT("Data!B" &amp; 1083)</f>
        <v>0</v>
      </c>
      <c r="I1088" s="21" cm="1">
        <f t="array" aca="1" ref="I1088" ca="1">INDIRECT("Data!C" &amp; 1083)</f>
        <v>0</v>
      </c>
      <c r="J1088" cm="1">
        <f t="array" aca="1" ref="J1088" ca="1">INDIRECT("Data!D" &amp; 1083)</f>
        <v>0</v>
      </c>
      <c r="K1088" cm="1">
        <f t="array" aca="1" ref="K1088" ca="1">INDIRECT("Data!E" &amp; 1083)</f>
        <v>0</v>
      </c>
      <c r="L1088" cm="1">
        <f t="array" aca="1" ref="L1088" ca="1">INDIRECT("Data!F" &amp; 1083)</f>
        <v>0</v>
      </c>
      <c r="M1088" cm="1">
        <f t="array" aca="1" ref="M1088" ca="1">INDIRECT("Data!G" &amp; 1083)</f>
        <v>0</v>
      </c>
      <c r="N1088" cm="1">
        <f t="array" aca="1" ref="N1088" ca="1">INDIRECT("Data!H" &amp; 1083)</f>
        <v>0</v>
      </c>
      <c r="O1088" cm="1">
        <f t="array" aca="1" ref="O1088" ca="1">INDIRECT("Data!I" &amp; 1083)</f>
        <v>0</v>
      </c>
      <c r="P1088" s="21" cm="1">
        <f t="array" aca="1" ref="P1088" ca="1">INDIRECT("Data!J" &amp; 1083)</f>
        <v>0</v>
      </c>
      <c r="Q1088" cm="1">
        <f t="array" aca="1" ref="Q1088" ca="1">INDIRECT("Data!K" &amp; 1083)</f>
        <v>0</v>
      </c>
      <c r="R1088" cm="1">
        <f t="array" aca="1" ref="R1088" ca="1">INDIRECT("Data!L" &amp; 1083)</f>
        <v>0</v>
      </c>
      <c r="S1088" cm="1">
        <f t="array" aca="1" ref="S1088" ca="1">INDIRECT("Data!M" &amp; 1083)</f>
        <v>0</v>
      </c>
      <c r="T1088" cm="1">
        <f t="array" aca="1" ref="T1088" ca="1">INDIRECT("Data!N" &amp; 1083)</f>
        <v>0</v>
      </c>
      <c r="U1088" cm="1">
        <f t="array" aca="1" ref="U1088" ca="1">INDIRECT("Data!O" &amp; 1083)</f>
        <v>0</v>
      </c>
      <c r="V1088" cm="1">
        <f t="array" aca="1" ref="V1088" ca="1">INDIRECT("Data!P" &amp; 1083)</f>
        <v>0</v>
      </c>
    </row>
    <row r="1089" spans="7:22" x14ac:dyDescent="0.25">
      <c r="G1089" cm="1">
        <f t="array" aca="1" ref="G1089" ca="1">INDIRECT("Data!A" &amp; 1084)</f>
        <v>0</v>
      </c>
      <c r="H1089" s="21" cm="1">
        <f t="array" aca="1" ref="H1089" ca="1">INDIRECT("Data!B" &amp; 1084)</f>
        <v>0</v>
      </c>
      <c r="I1089" s="21" cm="1">
        <f t="array" aca="1" ref="I1089" ca="1">INDIRECT("Data!C" &amp; 1084)</f>
        <v>0</v>
      </c>
      <c r="J1089" cm="1">
        <f t="array" aca="1" ref="J1089" ca="1">INDIRECT("Data!D" &amp; 1084)</f>
        <v>0</v>
      </c>
      <c r="K1089" cm="1">
        <f t="array" aca="1" ref="K1089" ca="1">INDIRECT("Data!E" &amp; 1084)</f>
        <v>0</v>
      </c>
      <c r="L1089" cm="1">
        <f t="array" aca="1" ref="L1089" ca="1">INDIRECT("Data!F" &amp; 1084)</f>
        <v>0</v>
      </c>
      <c r="M1089" cm="1">
        <f t="array" aca="1" ref="M1089" ca="1">INDIRECT("Data!G" &amp; 1084)</f>
        <v>0</v>
      </c>
      <c r="N1089" cm="1">
        <f t="array" aca="1" ref="N1089" ca="1">INDIRECT("Data!H" &amp; 1084)</f>
        <v>0</v>
      </c>
      <c r="O1089" cm="1">
        <f t="array" aca="1" ref="O1089" ca="1">INDIRECT("Data!I" &amp; 1084)</f>
        <v>0</v>
      </c>
      <c r="P1089" s="21" cm="1">
        <f t="array" aca="1" ref="P1089" ca="1">INDIRECT("Data!J" &amp; 1084)</f>
        <v>0</v>
      </c>
      <c r="Q1089" cm="1">
        <f t="array" aca="1" ref="Q1089" ca="1">INDIRECT("Data!K" &amp; 1084)</f>
        <v>0</v>
      </c>
      <c r="R1089" cm="1">
        <f t="array" aca="1" ref="R1089" ca="1">INDIRECT("Data!L" &amp; 1084)</f>
        <v>0</v>
      </c>
      <c r="S1089" cm="1">
        <f t="array" aca="1" ref="S1089" ca="1">INDIRECT("Data!M" &amp; 1084)</f>
        <v>0</v>
      </c>
      <c r="T1089" cm="1">
        <f t="array" aca="1" ref="T1089" ca="1">INDIRECT("Data!N" &amp; 1084)</f>
        <v>0</v>
      </c>
      <c r="U1089" cm="1">
        <f t="array" aca="1" ref="U1089" ca="1">INDIRECT("Data!O" &amp; 1084)</f>
        <v>0</v>
      </c>
      <c r="V1089" cm="1">
        <f t="array" aca="1" ref="V1089" ca="1">INDIRECT("Data!P" &amp; 1084)</f>
        <v>0</v>
      </c>
    </row>
    <row r="1090" spans="7:22" x14ac:dyDescent="0.25">
      <c r="G1090" cm="1">
        <f t="array" aca="1" ref="G1090" ca="1">INDIRECT("Data!A" &amp; 1085)</f>
        <v>0</v>
      </c>
      <c r="H1090" s="21" cm="1">
        <f t="array" aca="1" ref="H1090" ca="1">INDIRECT("Data!B" &amp; 1085)</f>
        <v>0</v>
      </c>
      <c r="I1090" s="21" cm="1">
        <f t="array" aca="1" ref="I1090" ca="1">INDIRECT("Data!C" &amp; 1085)</f>
        <v>0</v>
      </c>
      <c r="J1090" cm="1">
        <f t="array" aca="1" ref="J1090" ca="1">INDIRECT("Data!D" &amp; 1085)</f>
        <v>0</v>
      </c>
      <c r="K1090" cm="1">
        <f t="array" aca="1" ref="K1090" ca="1">INDIRECT("Data!E" &amp; 1085)</f>
        <v>0</v>
      </c>
      <c r="L1090" cm="1">
        <f t="array" aca="1" ref="L1090" ca="1">INDIRECT("Data!F" &amp; 1085)</f>
        <v>0</v>
      </c>
      <c r="M1090" cm="1">
        <f t="array" aca="1" ref="M1090" ca="1">INDIRECT("Data!G" &amp; 1085)</f>
        <v>0</v>
      </c>
      <c r="N1090" cm="1">
        <f t="array" aca="1" ref="N1090" ca="1">INDIRECT("Data!H" &amp; 1085)</f>
        <v>0</v>
      </c>
      <c r="O1090" cm="1">
        <f t="array" aca="1" ref="O1090" ca="1">INDIRECT("Data!I" &amp; 1085)</f>
        <v>0</v>
      </c>
      <c r="P1090" s="21" cm="1">
        <f t="array" aca="1" ref="P1090" ca="1">INDIRECT("Data!J" &amp; 1085)</f>
        <v>0</v>
      </c>
      <c r="Q1090" cm="1">
        <f t="array" aca="1" ref="Q1090" ca="1">INDIRECT("Data!K" &amp; 1085)</f>
        <v>0</v>
      </c>
      <c r="R1090" cm="1">
        <f t="array" aca="1" ref="R1090" ca="1">INDIRECT("Data!L" &amp; 1085)</f>
        <v>0</v>
      </c>
      <c r="S1090" cm="1">
        <f t="array" aca="1" ref="S1090" ca="1">INDIRECT("Data!M" &amp; 1085)</f>
        <v>0</v>
      </c>
      <c r="T1090" cm="1">
        <f t="array" aca="1" ref="T1090" ca="1">INDIRECT("Data!N" &amp; 1085)</f>
        <v>0</v>
      </c>
      <c r="U1090" cm="1">
        <f t="array" aca="1" ref="U1090" ca="1">INDIRECT("Data!O" &amp; 1085)</f>
        <v>0</v>
      </c>
      <c r="V1090" cm="1">
        <f t="array" aca="1" ref="V1090" ca="1">INDIRECT("Data!P" &amp; 1085)</f>
        <v>0</v>
      </c>
    </row>
    <row r="1091" spans="7:22" x14ac:dyDescent="0.25">
      <c r="G1091" cm="1">
        <f t="array" aca="1" ref="G1091" ca="1">INDIRECT("Data!A" &amp; 1086)</f>
        <v>0</v>
      </c>
      <c r="H1091" s="21" cm="1">
        <f t="array" aca="1" ref="H1091" ca="1">INDIRECT("Data!B" &amp; 1086)</f>
        <v>0</v>
      </c>
      <c r="I1091" s="21" cm="1">
        <f t="array" aca="1" ref="I1091" ca="1">INDIRECT("Data!C" &amp; 1086)</f>
        <v>0</v>
      </c>
      <c r="J1091" cm="1">
        <f t="array" aca="1" ref="J1091" ca="1">INDIRECT("Data!D" &amp; 1086)</f>
        <v>0</v>
      </c>
      <c r="K1091" cm="1">
        <f t="array" aca="1" ref="K1091" ca="1">INDIRECT("Data!E" &amp; 1086)</f>
        <v>0</v>
      </c>
      <c r="L1091" cm="1">
        <f t="array" aca="1" ref="L1091" ca="1">INDIRECT("Data!F" &amp; 1086)</f>
        <v>0</v>
      </c>
      <c r="M1091" cm="1">
        <f t="array" aca="1" ref="M1091" ca="1">INDIRECT("Data!G" &amp; 1086)</f>
        <v>0</v>
      </c>
      <c r="N1091" cm="1">
        <f t="array" aca="1" ref="N1091" ca="1">INDIRECT("Data!H" &amp; 1086)</f>
        <v>0</v>
      </c>
      <c r="O1091" cm="1">
        <f t="array" aca="1" ref="O1091" ca="1">INDIRECT("Data!I" &amp; 1086)</f>
        <v>0</v>
      </c>
      <c r="P1091" s="21" cm="1">
        <f t="array" aca="1" ref="P1091" ca="1">INDIRECT("Data!J" &amp; 1086)</f>
        <v>0</v>
      </c>
      <c r="Q1091" cm="1">
        <f t="array" aca="1" ref="Q1091" ca="1">INDIRECT("Data!K" &amp; 1086)</f>
        <v>0</v>
      </c>
      <c r="R1091" cm="1">
        <f t="array" aca="1" ref="R1091" ca="1">INDIRECT("Data!L" &amp; 1086)</f>
        <v>0</v>
      </c>
      <c r="S1091" cm="1">
        <f t="array" aca="1" ref="S1091" ca="1">INDIRECT("Data!M" &amp; 1086)</f>
        <v>0</v>
      </c>
      <c r="T1091" cm="1">
        <f t="array" aca="1" ref="T1091" ca="1">INDIRECT("Data!N" &amp; 1086)</f>
        <v>0</v>
      </c>
      <c r="U1091" cm="1">
        <f t="array" aca="1" ref="U1091" ca="1">INDIRECT("Data!O" &amp; 1086)</f>
        <v>0</v>
      </c>
      <c r="V1091" cm="1">
        <f t="array" aca="1" ref="V1091" ca="1">INDIRECT("Data!P" &amp; 1086)</f>
        <v>0</v>
      </c>
    </row>
    <row r="1092" spans="7:22" x14ac:dyDescent="0.25">
      <c r="G1092" cm="1">
        <f t="array" aca="1" ref="G1092" ca="1">INDIRECT("Data!A" &amp; 1087)</f>
        <v>0</v>
      </c>
      <c r="H1092" s="21" cm="1">
        <f t="array" aca="1" ref="H1092" ca="1">INDIRECT("Data!B" &amp; 1087)</f>
        <v>0</v>
      </c>
      <c r="I1092" s="21" cm="1">
        <f t="array" aca="1" ref="I1092" ca="1">INDIRECT("Data!C" &amp; 1087)</f>
        <v>0</v>
      </c>
      <c r="J1092" cm="1">
        <f t="array" aca="1" ref="J1092" ca="1">INDIRECT("Data!D" &amp; 1087)</f>
        <v>0</v>
      </c>
      <c r="K1092" cm="1">
        <f t="array" aca="1" ref="K1092" ca="1">INDIRECT("Data!E" &amp; 1087)</f>
        <v>0</v>
      </c>
      <c r="L1092" cm="1">
        <f t="array" aca="1" ref="L1092" ca="1">INDIRECT("Data!F" &amp; 1087)</f>
        <v>0</v>
      </c>
      <c r="M1092" cm="1">
        <f t="array" aca="1" ref="M1092" ca="1">INDIRECT("Data!G" &amp; 1087)</f>
        <v>0</v>
      </c>
      <c r="N1092" cm="1">
        <f t="array" aca="1" ref="N1092" ca="1">INDIRECT("Data!H" &amp; 1087)</f>
        <v>0</v>
      </c>
      <c r="O1092" cm="1">
        <f t="array" aca="1" ref="O1092" ca="1">INDIRECT("Data!I" &amp; 1087)</f>
        <v>0</v>
      </c>
      <c r="P1092" s="21" cm="1">
        <f t="array" aca="1" ref="P1092" ca="1">INDIRECT("Data!J" &amp; 1087)</f>
        <v>0</v>
      </c>
      <c r="Q1092" cm="1">
        <f t="array" aca="1" ref="Q1092" ca="1">INDIRECT("Data!K" &amp; 1087)</f>
        <v>0</v>
      </c>
      <c r="R1092" cm="1">
        <f t="array" aca="1" ref="R1092" ca="1">INDIRECT("Data!L" &amp; 1087)</f>
        <v>0</v>
      </c>
      <c r="S1092" cm="1">
        <f t="array" aca="1" ref="S1092" ca="1">INDIRECT("Data!M" &amp; 1087)</f>
        <v>0</v>
      </c>
      <c r="T1092" cm="1">
        <f t="array" aca="1" ref="T1092" ca="1">INDIRECT("Data!N" &amp; 1087)</f>
        <v>0</v>
      </c>
      <c r="U1092" cm="1">
        <f t="array" aca="1" ref="U1092" ca="1">INDIRECT("Data!O" &amp; 1087)</f>
        <v>0</v>
      </c>
      <c r="V1092" cm="1">
        <f t="array" aca="1" ref="V1092" ca="1">INDIRECT("Data!P" &amp; 1087)</f>
        <v>0</v>
      </c>
    </row>
    <row r="1093" spans="7:22" x14ac:dyDescent="0.25">
      <c r="G1093" cm="1">
        <f t="array" aca="1" ref="G1093" ca="1">INDIRECT("Data!A" &amp; 1088)</f>
        <v>0</v>
      </c>
      <c r="H1093" s="21" cm="1">
        <f t="array" aca="1" ref="H1093" ca="1">INDIRECT("Data!B" &amp; 1088)</f>
        <v>0</v>
      </c>
      <c r="I1093" s="21" cm="1">
        <f t="array" aca="1" ref="I1093" ca="1">INDIRECT("Data!C" &amp; 1088)</f>
        <v>0</v>
      </c>
      <c r="J1093" cm="1">
        <f t="array" aca="1" ref="J1093" ca="1">INDIRECT("Data!D" &amp; 1088)</f>
        <v>0</v>
      </c>
      <c r="K1093" cm="1">
        <f t="array" aca="1" ref="K1093" ca="1">INDIRECT("Data!E" &amp; 1088)</f>
        <v>0</v>
      </c>
      <c r="L1093" cm="1">
        <f t="array" aca="1" ref="L1093" ca="1">INDIRECT("Data!F" &amp; 1088)</f>
        <v>0</v>
      </c>
      <c r="M1093" cm="1">
        <f t="array" aca="1" ref="M1093" ca="1">INDIRECT("Data!G" &amp; 1088)</f>
        <v>0</v>
      </c>
      <c r="N1093" cm="1">
        <f t="array" aca="1" ref="N1093" ca="1">INDIRECT("Data!H" &amp; 1088)</f>
        <v>0</v>
      </c>
      <c r="O1093" cm="1">
        <f t="array" aca="1" ref="O1093" ca="1">INDIRECT("Data!I" &amp; 1088)</f>
        <v>0</v>
      </c>
      <c r="P1093" s="21" cm="1">
        <f t="array" aca="1" ref="P1093" ca="1">INDIRECT("Data!J" &amp; 1088)</f>
        <v>0</v>
      </c>
      <c r="Q1093" cm="1">
        <f t="array" aca="1" ref="Q1093" ca="1">INDIRECT("Data!K" &amp; 1088)</f>
        <v>0</v>
      </c>
      <c r="R1093" cm="1">
        <f t="array" aca="1" ref="R1093" ca="1">INDIRECT("Data!L" &amp; 1088)</f>
        <v>0</v>
      </c>
      <c r="S1093" cm="1">
        <f t="array" aca="1" ref="S1093" ca="1">INDIRECT("Data!M" &amp; 1088)</f>
        <v>0</v>
      </c>
      <c r="T1093" cm="1">
        <f t="array" aca="1" ref="T1093" ca="1">INDIRECT("Data!N" &amp; 1088)</f>
        <v>0</v>
      </c>
      <c r="U1093" cm="1">
        <f t="array" aca="1" ref="U1093" ca="1">INDIRECT("Data!O" &amp; 1088)</f>
        <v>0</v>
      </c>
      <c r="V1093" cm="1">
        <f t="array" aca="1" ref="V1093" ca="1">INDIRECT("Data!P" &amp; 1088)</f>
        <v>0</v>
      </c>
    </row>
    <row r="1094" spans="7:22" x14ac:dyDescent="0.25">
      <c r="G1094" cm="1">
        <f t="array" aca="1" ref="G1094" ca="1">INDIRECT("Data!A" &amp; 1089)</f>
        <v>0</v>
      </c>
      <c r="H1094" s="21" cm="1">
        <f t="array" aca="1" ref="H1094" ca="1">INDIRECT("Data!B" &amp; 1089)</f>
        <v>0</v>
      </c>
      <c r="I1094" s="21" cm="1">
        <f t="array" aca="1" ref="I1094" ca="1">INDIRECT("Data!C" &amp; 1089)</f>
        <v>0</v>
      </c>
      <c r="J1094" cm="1">
        <f t="array" aca="1" ref="J1094" ca="1">INDIRECT("Data!D" &amp; 1089)</f>
        <v>0</v>
      </c>
      <c r="K1094" cm="1">
        <f t="array" aca="1" ref="K1094" ca="1">INDIRECT("Data!E" &amp; 1089)</f>
        <v>0</v>
      </c>
      <c r="L1094" cm="1">
        <f t="array" aca="1" ref="L1094" ca="1">INDIRECT("Data!F" &amp; 1089)</f>
        <v>0</v>
      </c>
      <c r="M1094" cm="1">
        <f t="array" aca="1" ref="M1094" ca="1">INDIRECT("Data!G" &amp; 1089)</f>
        <v>0</v>
      </c>
      <c r="N1094" cm="1">
        <f t="array" aca="1" ref="N1094" ca="1">INDIRECT("Data!H" &amp; 1089)</f>
        <v>0</v>
      </c>
      <c r="O1094" cm="1">
        <f t="array" aca="1" ref="O1094" ca="1">INDIRECT("Data!I" &amp; 1089)</f>
        <v>0</v>
      </c>
      <c r="P1094" s="21" cm="1">
        <f t="array" aca="1" ref="P1094" ca="1">INDIRECT("Data!J" &amp; 1089)</f>
        <v>0</v>
      </c>
      <c r="Q1094" cm="1">
        <f t="array" aca="1" ref="Q1094" ca="1">INDIRECT("Data!K" &amp; 1089)</f>
        <v>0</v>
      </c>
      <c r="R1094" cm="1">
        <f t="array" aca="1" ref="R1094" ca="1">INDIRECT("Data!L" &amp; 1089)</f>
        <v>0</v>
      </c>
      <c r="S1094" cm="1">
        <f t="array" aca="1" ref="S1094" ca="1">INDIRECT("Data!M" &amp; 1089)</f>
        <v>0</v>
      </c>
      <c r="T1094" cm="1">
        <f t="array" aca="1" ref="T1094" ca="1">INDIRECT("Data!N" &amp; 1089)</f>
        <v>0</v>
      </c>
      <c r="U1094" cm="1">
        <f t="array" aca="1" ref="U1094" ca="1">INDIRECT("Data!O" &amp; 1089)</f>
        <v>0</v>
      </c>
      <c r="V1094" cm="1">
        <f t="array" aca="1" ref="V1094" ca="1">INDIRECT("Data!P" &amp; 1089)</f>
        <v>0</v>
      </c>
    </row>
    <row r="1095" spans="7:22" x14ac:dyDescent="0.25">
      <c r="G1095" cm="1">
        <f t="array" aca="1" ref="G1095" ca="1">INDIRECT("Data!A" &amp; 1090)</f>
        <v>0</v>
      </c>
      <c r="H1095" s="21" cm="1">
        <f t="array" aca="1" ref="H1095" ca="1">INDIRECT("Data!B" &amp; 1090)</f>
        <v>0</v>
      </c>
      <c r="I1095" s="21" cm="1">
        <f t="array" aca="1" ref="I1095" ca="1">INDIRECT("Data!C" &amp; 1090)</f>
        <v>0</v>
      </c>
      <c r="J1095" cm="1">
        <f t="array" aca="1" ref="J1095" ca="1">INDIRECT("Data!D" &amp; 1090)</f>
        <v>0</v>
      </c>
      <c r="K1095" cm="1">
        <f t="array" aca="1" ref="K1095" ca="1">INDIRECT("Data!E" &amp; 1090)</f>
        <v>0</v>
      </c>
      <c r="L1095" cm="1">
        <f t="array" aca="1" ref="L1095" ca="1">INDIRECT("Data!F" &amp; 1090)</f>
        <v>0</v>
      </c>
      <c r="M1095" cm="1">
        <f t="array" aca="1" ref="M1095" ca="1">INDIRECT("Data!G" &amp; 1090)</f>
        <v>0</v>
      </c>
      <c r="N1095" cm="1">
        <f t="array" aca="1" ref="N1095" ca="1">INDIRECT("Data!H" &amp; 1090)</f>
        <v>0</v>
      </c>
      <c r="O1095" cm="1">
        <f t="array" aca="1" ref="O1095" ca="1">INDIRECT("Data!I" &amp; 1090)</f>
        <v>0</v>
      </c>
      <c r="P1095" s="21" cm="1">
        <f t="array" aca="1" ref="P1095" ca="1">INDIRECT("Data!J" &amp; 1090)</f>
        <v>0</v>
      </c>
      <c r="Q1095" cm="1">
        <f t="array" aca="1" ref="Q1095" ca="1">INDIRECT("Data!K" &amp; 1090)</f>
        <v>0</v>
      </c>
      <c r="R1095" cm="1">
        <f t="array" aca="1" ref="R1095" ca="1">INDIRECT("Data!L" &amp; 1090)</f>
        <v>0</v>
      </c>
      <c r="S1095" cm="1">
        <f t="array" aca="1" ref="S1095" ca="1">INDIRECT("Data!M" &amp; 1090)</f>
        <v>0</v>
      </c>
      <c r="T1095" cm="1">
        <f t="array" aca="1" ref="T1095" ca="1">INDIRECT("Data!N" &amp; 1090)</f>
        <v>0</v>
      </c>
      <c r="U1095" cm="1">
        <f t="array" aca="1" ref="U1095" ca="1">INDIRECT("Data!O" &amp; 1090)</f>
        <v>0</v>
      </c>
      <c r="V1095" cm="1">
        <f t="array" aca="1" ref="V1095" ca="1">INDIRECT("Data!P" &amp; 1090)</f>
        <v>0</v>
      </c>
    </row>
    <row r="1096" spans="7:22" x14ac:dyDescent="0.25">
      <c r="G1096" cm="1">
        <f t="array" aca="1" ref="G1096" ca="1">INDIRECT("Data!A" &amp; 1091)</f>
        <v>0</v>
      </c>
      <c r="H1096" s="21" cm="1">
        <f t="array" aca="1" ref="H1096" ca="1">INDIRECT("Data!B" &amp; 1091)</f>
        <v>0</v>
      </c>
      <c r="I1096" s="21" cm="1">
        <f t="array" aca="1" ref="I1096" ca="1">INDIRECT("Data!C" &amp; 1091)</f>
        <v>0</v>
      </c>
      <c r="J1096" cm="1">
        <f t="array" aca="1" ref="J1096" ca="1">INDIRECT("Data!D" &amp; 1091)</f>
        <v>0</v>
      </c>
      <c r="K1096" cm="1">
        <f t="array" aca="1" ref="K1096" ca="1">INDIRECT("Data!E" &amp; 1091)</f>
        <v>0</v>
      </c>
      <c r="L1096" cm="1">
        <f t="array" aca="1" ref="L1096" ca="1">INDIRECT("Data!F" &amp; 1091)</f>
        <v>0</v>
      </c>
      <c r="M1096" cm="1">
        <f t="array" aca="1" ref="M1096" ca="1">INDIRECT("Data!G" &amp; 1091)</f>
        <v>0</v>
      </c>
      <c r="N1096" cm="1">
        <f t="array" aca="1" ref="N1096" ca="1">INDIRECT("Data!H" &amp; 1091)</f>
        <v>0</v>
      </c>
      <c r="O1096" cm="1">
        <f t="array" aca="1" ref="O1096" ca="1">INDIRECT("Data!I" &amp; 1091)</f>
        <v>0</v>
      </c>
      <c r="P1096" s="21" cm="1">
        <f t="array" aca="1" ref="P1096" ca="1">INDIRECT("Data!J" &amp; 1091)</f>
        <v>0</v>
      </c>
      <c r="Q1096" cm="1">
        <f t="array" aca="1" ref="Q1096" ca="1">INDIRECT("Data!K" &amp; 1091)</f>
        <v>0</v>
      </c>
      <c r="R1096" cm="1">
        <f t="array" aca="1" ref="R1096" ca="1">INDIRECT("Data!L" &amp; 1091)</f>
        <v>0</v>
      </c>
      <c r="S1096" cm="1">
        <f t="array" aca="1" ref="S1096" ca="1">INDIRECT("Data!M" &amp; 1091)</f>
        <v>0</v>
      </c>
      <c r="T1096" cm="1">
        <f t="array" aca="1" ref="T1096" ca="1">INDIRECT("Data!N" &amp; 1091)</f>
        <v>0</v>
      </c>
      <c r="U1096" cm="1">
        <f t="array" aca="1" ref="U1096" ca="1">INDIRECT("Data!O" &amp; 1091)</f>
        <v>0</v>
      </c>
      <c r="V1096" cm="1">
        <f t="array" aca="1" ref="V1096" ca="1">INDIRECT("Data!P" &amp; 1091)</f>
        <v>0</v>
      </c>
    </row>
    <row r="1097" spans="7:22" x14ac:dyDescent="0.25">
      <c r="G1097" cm="1">
        <f t="array" aca="1" ref="G1097" ca="1">INDIRECT("Data!A" &amp; 1092)</f>
        <v>0</v>
      </c>
      <c r="H1097" s="21" cm="1">
        <f t="array" aca="1" ref="H1097" ca="1">INDIRECT("Data!B" &amp; 1092)</f>
        <v>0</v>
      </c>
      <c r="I1097" s="21" cm="1">
        <f t="array" aca="1" ref="I1097" ca="1">INDIRECT("Data!C" &amp; 1092)</f>
        <v>0</v>
      </c>
      <c r="J1097" cm="1">
        <f t="array" aca="1" ref="J1097" ca="1">INDIRECT("Data!D" &amp; 1092)</f>
        <v>0</v>
      </c>
      <c r="K1097" cm="1">
        <f t="array" aca="1" ref="K1097" ca="1">INDIRECT("Data!E" &amp; 1092)</f>
        <v>0</v>
      </c>
      <c r="L1097" cm="1">
        <f t="array" aca="1" ref="L1097" ca="1">INDIRECT("Data!F" &amp; 1092)</f>
        <v>0</v>
      </c>
      <c r="M1097" cm="1">
        <f t="array" aca="1" ref="M1097" ca="1">INDIRECT("Data!G" &amp; 1092)</f>
        <v>0</v>
      </c>
      <c r="N1097" cm="1">
        <f t="array" aca="1" ref="N1097" ca="1">INDIRECT("Data!H" &amp; 1092)</f>
        <v>0</v>
      </c>
      <c r="O1097" cm="1">
        <f t="array" aca="1" ref="O1097" ca="1">INDIRECT("Data!I" &amp; 1092)</f>
        <v>0</v>
      </c>
      <c r="P1097" s="21" cm="1">
        <f t="array" aca="1" ref="P1097" ca="1">INDIRECT("Data!J" &amp; 1092)</f>
        <v>0</v>
      </c>
      <c r="Q1097" cm="1">
        <f t="array" aca="1" ref="Q1097" ca="1">INDIRECT("Data!K" &amp; 1092)</f>
        <v>0</v>
      </c>
      <c r="R1097" cm="1">
        <f t="array" aca="1" ref="R1097" ca="1">INDIRECT("Data!L" &amp; 1092)</f>
        <v>0</v>
      </c>
      <c r="S1097" cm="1">
        <f t="array" aca="1" ref="S1097" ca="1">INDIRECT("Data!M" &amp; 1092)</f>
        <v>0</v>
      </c>
      <c r="T1097" cm="1">
        <f t="array" aca="1" ref="T1097" ca="1">INDIRECT("Data!N" &amp; 1092)</f>
        <v>0</v>
      </c>
      <c r="U1097" cm="1">
        <f t="array" aca="1" ref="U1097" ca="1">INDIRECT("Data!O" &amp; 1092)</f>
        <v>0</v>
      </c>
      <c r="V1097" cm="1">
        <f t="array" aca="1" ref="V1097" ca="1">INDIRECT("Data!P" &amp; 1092)</f>
        <v>0</v>
      </c>
    </row>
    <row r="1098" spans="7:22" x14ac:dyDescent="0.25">
      <c r="G1098" cm="1">
        <f t="array" aca="1" ref="G1098" ca="1">INDIRECT("Data!A" &amp; 1093)</f>
        <v>0</v>
      </c>
      <c r="H1098" s="21" cm="1">
        <f t="array" aca="1" ref="H1098" ca="1">INDIRECT("Data!B" &amp; 1093)</f>
        <v>0</v>
      </c>
      <c r="I1098" s="21" cm="1">
        <f t="array" aca="1" ref="I1098" ca="1">INDIRECT("Data!C" &amp; 1093)</f>
        <v>0</v>
      </c>
      <c r="J1098" cm="1">
        <f t="array" aca="1" ref="J1098" ca="1">INDIRECT("Data!D" &amp; 1093)</f>
        <v>0</v>
      </c>
      <c r="K1098" cm="1">
        <f t="array" aca="1" ref="K1098" ca="1">INDIRECT("Data!E" &amp; 1093)</f>
        <v>0</v>
      </c>
      <c r="L1098" cm="1">
        <f t="array" aca="1" ref="L1098" ca="1">INDIRECT("Data!F" &amp; 1093)</f>
        <v>0</v>
      </c>
      <c r="M1098" cm="1">
        <f t="array" aca="1" ref="M1098" ca="1">INDIRECT("Data!G" &amp; 1093)</f>
        <v>0</v>
      </c>
      <c r="N1098" cm="1">
        <f t="array" aca="1" ref="N1098" ca="1">INDIRECT("Data!H" &amp; 1093)</f>
        <v>0</v>
      </c>
      <c r="O1098" cm="1">
        <f t="array" aca="1" ref="O1098" ca="1">INDIRECT("Data!I" &amp; 1093)</f>
        <v>0</v>
      </c>
      <c r="P1098" s="21" cm="1">
        <f t="array" aca="1" ref="P1098" ca="1">INDIRECT("Data!J" &amp; 1093)</f>
        <v>0</v>
      </c>
      <c r="Q1098" cm="1">
        <f t="array" aca="1" ref="Q1098" ca="1">INDIRECT("Data!K" &amp; 1093)</f>
        <v>0</v>
      </c>
      <c r="R1098" cm="1">
        <f t="array" aca="1" ref="R1098" ca="1">INDIRECT("Data!L" &amp; 1093)</f>
        <v>0</v>
      </c>
      <c r="S1098" cm="1">
        <f t="array" aca="1" ref="S1098" ca="1">INDIRECT("Data!M" &amp; 1093)</f>
        <v>0</v>
      </c>
      <c r="T1098" cm="1">
        <f t="array" aca="1" ref="T1098" ca="1">INDIRECT("Data!N" &amp; 1093)</f>
        <v>0</v>
      </c>
      <c r="U1098" cm="1">
        <f t="array" aca="1" ref="U1098" ca="1">INDIRECT("Data!O" &amp; 1093)</f>
        <v>0</v>
      </c>
      <c r="V1098" cm="1">
        <f t="array" aca="1" ref="V1098" ca="1">INDIRECT("Data!P" &amp; 1093)</f>
        <v>0</v>
      </c>
    </row>
    <row r="1099" spans="7:22" x14ac:dyDescent="0.25">
      <c r="G1099" cm="1">
        <f t="array" aca="1" ref="G1099" ca="1">INDIRECT("Data!A" &amp; 1094)</f>
        <v>0</v>
      </c>
      <c r="H1099" s="21" cm="1">
        <f t="array" aca="1" ref="H1099" ca="1">INDIRECT("Data!B" &amp; 1094)</f>
        <v>0</v>
      </c>
      <c r="I1099" s="21" cm="1">
        <f t="array" aca="1" ref="I1099" ca="1">INDIRECT("Data!C" &amp; 1094)</f>
        <v>0</v>
      </c>
      <c r="J1099" cm="1">
        <f t="array" aca="1" ref="J1099" ca="1">INDIRECT("Data!D" &amp; 1094)</f>
        <v>0</v>
      </c>
      <c r="K1099" cm="1">
        <f t="array" aca="1" ref="K1099" ca="1">INDIRECT("Data!E" &amp; 1094)</f>
        <v>0</v>
      </c>
      <c r="L1099" cm="1">
        <f t="array" aca="1" ref="L1099" ca="1">INDIRECT("Data!F" &amp; 1094)</f>
        <v>0</v>
      </c>
      <c r="M1099" cm="1">
        <f t="array" aca="1" ref="M1099" ca="1">INDIRECT("Data!G" &amp; 1094)</f>
        <v>0</v>
      </c>
      <c r="N1099" cm="1">
        <f t="array" aca="1" ref="N1099" ca="1">INDIRECT("Data!H" &amp; 1094)</f>
        <v>0</v>
      </c>
      <c r="O1099" cm="1">
        <f t="array" aca="1" ref="O1099" ca="1">INDIRECT("Data!I" &amp; 1094)</f>
        <v>0</v>
      </c>
      <c r="P1099" s="21" cm="1">
        <f t="array" aca="1" ref="P1099" ca="1">INDIRECT("Data!J" &amp; 1094)</f>
        <v>0</v>
      </c>
      <c r="Q1099" cm="1">
        <f t="array" aca="1" ref="Q1099" ca="1">INDIRECT("Data!K" &amp; 1094)</f>
        <v>0</v>
      </c>
      <c r="R1099" cm="1">
        <f t="array" aca="1" ref="R1099" ca="1">INDIRECT("Data!L" &amp; 1094)</f>
        <v>0</v>
      </c>
      <c r="S1099" cm="1">
        <f t="array" aca="1" ref="S1099" ca="1">INDIRECT("Data!M" &amp; 1094)</f>
        <v>0</v>
      </c>
      <c r="T1099" cm="1">
        <f t="array" aca="1" ref="T1099" ca="1">INDIRECT("Data!N" &amp; 1094)</f>
        <v>0</v>
      </c>
      <c r="U1099" cm="1">
        <f t="array" aca="1" ref="U1099" ca="1">INDIRECT("Data!O" &amp; 1094)</f>
        <v>0</v>
      </c>
      <c r="V1099" cm="1">
        <f t="array" aca="1" ref="V1099" ca="1">INDIRECT("Data!P" &amp; 1094)</f>
        <v>0</v>
      </c>
    </row>
    <row r="1100" spans="7:22" x14ac:dyDescent="0.25">
      <c r="G1100" cm="1">
        <f t="array" aca="1" ref="G1100" ca="1">INDIRECT("Data!A" &amp; 1095)</f>
        <v>0</v>
      </c>
      <c r="H1100" s="21" cm="1">
        <f t="array" aca="1" ref="H1100" ca="1">INDIRECT("Data!B" &amp; 1095)</f>
        <v>0</v>
      </c>
      <c r="I1100" s="21" cm="1">
        <f t="array" aca="1" ref="I1100" ca="1">INDIRECT("Data!C" &amp; 1095)</f>
        <v>0</v>
      </c>
      <c r="J1100" cm="1">
        <f t="array" aca="1" ref="J1100" ca="1">INDIRECT("Data!D" &amp; 1095)</f>
        <v>0</v>
      </c>
      <c r="K1100" cm="1">
        <f t="array" aca="1" ref="K1100" ca="1">INDIRECT("Data!E" &amp; 1095)</f>
        <v>0</v>
      </c>
      <c r="L1100" cm="1">
        <f t="array" aca="1" ref="L1100" ca="1">INDIRECT("Data!F" &amp; 1095)</f>
        <v>0</v>
      </c>
      <c r="M1100" cm="1">
        <f t="array" aca="1" ref="M1100" ca="1">INDIRECT("Data!G" &amp; 1095)</f>
        <v>0</v>
      </c>
      <c r="N1100" cm="1">
        <f t="array" aca="1" ref="N1100" ca="1">INDIRECT("Data!H" &amp; 1095)</f>
        <v>0</v>
      </c>
      <c r="O1100" cm="1">
        <f t="array" aca="1" ref="O1100" ca="1">INDIRECT("Data!I" &amp; 1095)</f>
        <v>0</v>
      </c>
      <c r="P1100" s="21" cm="1">
        <f t="array" aca="1" ref="P1100" ca="1">INDIRECT("Data!J" &amp; 1095)</f>
        <v>0</v>
      </c>
      <c r="Q1100" cm="1">
        <f t="array" aca="1" ref="Q1100" ca="1">INDIRECT("Data!K" &amp; 1095)</f>
        <v>0</v>
      </c>
      <c r="R1100" cm="1">
        <f t="array" aca="1" ref="R1100" ca="1">INDIRECT("Data!L" &amp; 1095)</f>
        <v>0</v>
      </c>
      <c r="S1100" cm="1">
        <f t="array" aca="1" ref="S1100" ca="1">INDIRECT("Data!M" &amp; 1095)</f>
        <v>0</v>
      </c>
      <c r="T1100" cm="1">
        <f t="array" aca="1" ref="T1100" ca="1">INDIRECT("Data!N" &amp; 1095)</f>
        <v>0</v>
      </c>
      <c r="U1100" cm="1">
        <f t="array" aca="1" ref="U1100" ca="1">INDIRECT("Data!O" &amp; 1095)</f>
        <v>0</v>
      </c>
      <c r="V1100" cm="1">
        <f t="array" aca="1" ref="V1100" ca="1">INDIRECT("Data!P" &amp; 1095)</f>
        <v>0</v>
      </c>
    </row>
    <row r="1101" spans="7:22" x14ac:dyDescent="0.25">
      <c r="G1101" cm="1">
        <f t="array" aca="1" ref="G1101" ca="1">INDIRECT("Data!A" &amp; 1096)</f>
        <v>0</v>
      </c>
      <c r="H1101" s="21" cm="1">
        <f t="array" aca="1" ref="H1101" ca="1">INDIRECT("Data!B" &amp; 1096)</f>
        <v>0</v>
      </c>
      <c r="I1101" s="21" cm="1">
        <f t="array" aca="1" ref="I1101" ca="1">INDIRECT("Data!C" &amp; 1096)</f>
        <v>0</v>
      </c>
      <c r="J1101" cm="1">
        <f t="array" aca="1" ref="J1101" ca="1">INDIRECT("Data!D" &amp; 1096)</f>
        <v>0</v>
      </c>
      <c r="K1101" cm="1">
        <f t="array" aca="1" ref="K1101" ca="1">INDIRECT("Data!E" &amp; 1096)</f>
        <v>0</v>
      </c>
      <c r="L1101" cm="1">
        <f t="array" aca="1" ref="L1101" ca="1">INDIRECT("Data!F" &amp; 1096)</f>
        <v>0</v>
      </c>
      <c r="M1101" cm="1">
        <f t="array" aca="1" ref="M1101" ca="1">INDIRECT("Data!G" &amp; 1096)</f>
        <v>0</v>
      </c>
      <c r="N1101" cm="1">
        <f t="array" aca="1" ref="N1101" ca="1">INDIRECT("Data!H" &amp; 1096)</f>
        <v>0</v>
      </c>
      <c r="O1101" cm="1">
        <f t="array" aca="1" ref="O1101" ca="1">INDIRECT("Data!I" &amp; 1096)</f>
        <v>0</v>
      </c>
      <c r="P1101" s="21" cm="1">
        <f t="array" aca="1" ref="P1101" ca="1">INDIRECT("Data!J" &amp; 1096)</f>
        <v>0</v>
      </c>
      <c r="Q1101" cm="1">
        <f t="array" aca="1" ref="Q1101" ca="1">INDIRECT("Data!K" &amp; 1096)</f>
        <v>0</v>
      </c>
      <c r="R1101" cm="1">
        <f t="array" aca="1" ref="R1101" ca="1">INDIRECT("Data!L" &amp; 1096)</f>
        <v>0</v>
      </c>
      <c r="S1101" cm="1">
        <f t="array" aca="1" ref="S1101" ca="1">INDIRECT("Data!M" &amp; 1096)</f>
        <v>0</v>
      </c>
      <c r="T1101" cm="1">
        <f t="array" aca="1" ref="T1101" ca="1">INDIRECT("Data!N" &amp; 1096)</f>
        <v>0</v>
      </c>
      <c r="U1101" cm="1">
        <f t="array" aca="1" ref="U1101" ca="1">INDIRECT("Data!O" &amp; 1096)</f>
        <v>0</v>
      </c>
      <c r="V1101" cm="1">
        <f t="array" aca="1" ref="V1101" ca="1">INDIRECT("Data!P" &amp; 1096)</f>
        <v>0</v>
      </c>
    </row>
    <row r="1102" spans="7:22" x14ac:dyDescent="0.25">
      <c r="G1102" cm="1">
        <f t="array" aca="1" ref="G1102" ca="1">INDIRECT("Data!A" &amp; 1097)</f>
        <v>0</v>
      </c>
      <c r="H1102" s="21" cm="1">
        <f t="array" aca="1" ref="H1102" ca="1">INDIRECT("Data!B" &amp; 1097)</f>
        <v>0</v>
      </c>
      <c r="I1102" s="21" cm="1">
        <f t="array" aca="1" ref="I1102" ca="1">INDIRECT("Data!C" &amp; 1097)</f>
        <v>0</v>
      </c>
      <c r="J1102" cm="1">
        <f t="array" aca="1" ref="J1102" ca="1">INDIRECT("Data!D" &amp; 1097)</f>
        <v>0</v>
      </c>
      <c r="K1102" cm="1">
        <f t="array" aca="1" ref="K1102" ca="1">INDIRECT("Data!E" &amp; 1097)</f>
        <v>0</v>
      </c>
      <c r="L1102" cm="1">
        <f t="array" aca="1" ref="L1102" ca="1">INDIRECT("Data!F" &amp; 1097)</f>
        <v>0</v>
      </c>
      <c r="M1102" cm="1">
        <f t="array" aca="1" ref="M1102" ca="1">INDIRECT("Data!G" &amp; 1097)</f>
        <v>0</v>
      </c>
      <c r="N1102" cm="1">
        <f t="array" aca="1" ref="N1102" ca="1">INDIRECT("Data!H" &amp; 1097)</f>
        <v>0</v>
      </c>
      <c r="O1102" cm="1">
        <f t="array" aca="1" ref="O1102" ca="1">INDIRECT("Data!I" &amp; 1097)</f>
        <v>0</v>
      </c>
      <c r="P1102" s="21" cm="1">
        <f t="array" aca="1" ref="P1102" ca="1">INDIRECT("Data!J" &amp; 1097)</f>
        <v>0</v>
      </c>
      <c r="Q1102" cm="1">
        <f t="array" aca="1" ref="Q1102" ca="1">INDIRECT("Data!K" &amp; 1097)</f>
        <v>0</v>
      </c>
      <c r="R1102" cm="1">
        <f t="array" aca="1" ref="R1102" ca="1">INDIRECT("Data!L" &amp; 1097)</f>
        <v>0</v>
      </c>
      <c r="S1102" cm="1">
        <f t="array" aca="1" ref="S1102" ca="1">INDIRECT("Data!M" &amp; 1097)</f>
        <v>0</v>
      </c>
      <c r="T1102" cm="1">
        <f t="array" aca="1" ref="T1102" ca="1">INDIRECT("Data!N" &amp; 1097)</f>
        <v>0</v>
      </c>
      <c r="U1102" cm="1">
        <f t="array" aca="1" ref="U1102" ca="1">INDIRECT("Data!O" &amp; 1097)</f>
        <v>0</v>
      </c>
      <c r="V1102" cm="1">
        <f t="array" aca="1" ref="V1102" ca="1">INDIRECT("Data!P" &amp; 1097)</f>
        <v>0</v>
      </c>
    </row>
    <row r="1103" spans="7:22" x14ac:dyDescent="0.25">
      <c r="G1103" cm="1">
        <f t="array" aca="1" ref="G1103" ca="1">INDIRECT("Data!A" &amp; 1098)</f>
        <v>0</v>
      </c>
      <c r="H1103" s="21" cm="1">
        <f t="array" aca="1" ref="H1103" ca="1">INDIRECT("Data!B" &amp; 1098)</f>
        <v>0</v>
      </c>
      <c r="I1103" s="21" cm="1">
        <f t="array" aca="1" ref="I1103" ca="1">INDIRECT("Data!C" &amp; 1098)</f>
        <v>0</v>
      </c>
      <c r="J1103" cm="1">
        <f t="array" aca="1" ref="J1103" ca="1">INDIRECT("Data!D" &amp; 1098)</f>
        <v>0</v>
      </c>
      <c r="K1103" cm="1">
        <f t="array" aca="1" ref="K1103" ca="1">INDIRECT("Data!E" &amp; 1098)</f>
        <v>0</v>
      </c>
      <c r="L1103" cm="1">
        <f t="array" aca="1" ref="L1103" ca="1">INDIRECT("Data!F" &amp; 1098)</f>
        <v>0</v>
      </c>
      <c r="M1103" cm="1">
        <f t="array" aca="1" ref="M1103" ca="1">INDIRECT("Data!G" &amp; 1098)</f>
        <v>0</v>
      </c>
      <c r="N1103" cm="1">
        <f t="array" aca="1" ref="N1103" ca="1">INDIRECT("Data!H" &amp; 1098)</f>
        <v>0</v>
      </c>
      <c r="O1103" cm="1">
        <f t="array" aca="1" ref="O1103" ca="1">INDIRECT("Data!I" &amp; 1098)</f>
        <v>0</v>
      </c>
      <c r="P1103" s="21" cm="1">
        <f t="array" aca="1" ref="P1103" ca="1">INDIRECT("Data!J" &amp; 1098)</f>
        <v>0</v>
      </c>
      <c r="Q1103" cm="1">
        <f t="array" aca="1" ref="Q1103" ca="1">INDIRECT("Data!K" &amp; 1098)</f>
        <v>0</v>
      </c>
      <c r="R1103" cm="1">
        <f t="array" aca="1" ref="R1103" ca="1">INDIRECT("Data!L" &amp; 1098)</f>
        <v>0</v>
      </c>
      <c r="S1103" cm="1">
        <f t="array" aca="1" ref="S1103" ca="1">INDIRECT("Data!M" &amp; 1098)</f>
        <v>0</v>
      </c>
      <c r="T1103" cm="1">
        <f t="array" aca="1" ref="T1103" ca="1">INDIRECT("Data!N" &amp; 1098)</f>
        <v>0</v>
      </c>
      <c r="U1103" cm="1">
        <f t="array" aca="1" ref="U1103" ca="1">INDIRECT("Data!O" &amp; 1098)</f>
        <v>0</v>
      </c>
      <c r="V1103" cm="1">
        <f t="array" aca="1" ref="V1103" ca="1">INDIRECT("Data!P" &amp; 1098)</f>
        <v>0</v>
      </c>
    </row>
    <row r="1104" spans="7:22" x14ac:dyDescent="0.25">
      <c r="G1104" cm="1">
        <f t="array" aca="1" ref="G1104" ca="1">INDIRECT("Data!A" &amp; 1099)</f>
        <v>0</v>
      </c>
      <c r="H1104" s="21" cm="1">
        <f t="array" aca="1" ref="H1104" ca="1">INDIRECT("Data!B" &amp; 1099)</f>
        <v>0</v>
      </c>
      <c r="I1104" s="21" cm="1">
        <f t="array" aca="1" ref="I1104" ca="1">INDIRECT("Data!C" &amp; 1099)</f>
        <v>0</v>
      </c>
      <c r="J1104" cm="1">
        <f t="array" aca="1" ref="J1104" ca="1">INDIRECT("Data!D" &amp; 1099)</f>
        <v>0</v>
      </c>
      <c r="K1104" cm="1">
        <f t="array" aca="1" ref="K1104" ca="1">INDIRECT("Data!E" &amp; 1099)</f>
        <v>0</v>
      </c>
      <c r="L1104" cm="1">
        <f t="array" aca="1" ref="L1104" ca="1">INDIRECT("Data!F" &amp; 1099)</f>
        <v>0</v>
      </c>
      <c r="M1104" cm="1">
        <f t="array" aca="1" ref="M1104" ca="1">INDIRECT("Data!G" &amp; 1099)</f>
        <v>0</v>
      </c>
      <c r="N1104" cm="1">
        <f t="array" aca="1" ref="N1104" ca="1">INDIRECT("Data!H" &amp; 1099)</f>
        <v>0</v>
      </c>
      <c r="O1104" cm="1">
        <f t="array" aca="1" ref="O1104" ca="1">INDIRECT("Data!I" &amp; 1099)</f>
        <v>0</v>
      </c>
      <c r="P1104" s="21" cm="1">
        <f t="array" aca="1" ref="P1104" ca="1">INDIRECT("Data!J" &amp; 1099)</f>
        <v>0</v>
      </c>
      <c r="Q1104" cm="1">
        <f t="array" aca="1" ref="Q1104" ca="1">INDIRECT("Data!K" &amp; 1099)</f>
        <v>0</v>
      </c>
      <c r="R1104" cm="1">
        <f t="array" aca="1" ref="R1104" ca="1">INDIRECT("Data!L" &amp; 1099)</f>
        <v>0</v>
      </c>
      <c r="S1104" cm="1">
        <f t="array" aca="1" ref="S1104" ca="1">INDIRECT("Data!M" &amp; 1099)</f>
        <v>0</v>
      </c>
      <c r="T1104" cm="1">
        <f t="array" aca="1" ref="T1104" ca="1">INDIRECT("Data!N" &amp; 1099)</f>
        <v>0</v>
      </c>
      <c r="U1104" cm="1">
        <f t="array" aca="1" ref="U1104" ca="1">INDIRECT("Data!O" &amp; 1099)</f>
        <v>0</v>
      </c>
      <c r="V1104" cm="1">
        <f t="array" aca="1" ref="V1104" ca="1">INDIRECT("Data!P" &amp; 1099)</f>
        <v>0</v>
      </c>
    </row>
    <row r="1105" spans="7:22" x14ac:dyDescent="0.25">
      <c r="G1105" cm="1">
        <f t="array" aca="1" ref="G1105" ca="1">INDIRECT("Data!A" &amp; 1100)</f>
        <v>0</v>
      </c>
      <c r="H1105" s="21" cm="1">
        <f t="array" aca="1" ref="H1105" ca="1">INDIRECT("Data!B" &amp; 1100)</f>
        <v>0</v>
      </c>
      <c r="I1105" s="21" cm="1">
        <f t="array" aca="1" ref="I1105" ca="1">INDIRECT("Data!C" &amp; 1100)</f>
        <v>0</v>
      </c>
      <c r="J1105" cm="1">
        <f t="array" aca="1" ref="J1105" ca="1">INDIRECT("Data!D" &amp; 1100)</f>
        <v>0</v>
      </c>
      <c r="K1105" cm="1">
        <f t="array" aca="1" ref="K1105" ca="1">INDIRECT("Data!E" &amp; 1100)</f>
        <v>0</v>
      </c>
      <c r="L1105" cm="1">
        <f t="array" aca="1" ref="L1105" ca="1">INDIRECT("Data!F" &amp; 1100)</f>
        <v>0</v>
      </c>
      <c r="M1105" cm="1">
        <f t="array" aca="1" ref="M1105" ca="1">INDIRECT("Data!G" &amp; 1100)</f>
        <v>0</v>
      </c>
      <c r="N1105" cm="1">
        <f t="array" aca="1" ref="N1105" ca="1">INDIRECT("Data!H" &amp; 1100)</f>
        <v>0</v>
      </c>
      <c r="O1105" cm="1">
        <f t="array" aca="1" ref="O1105" ca="1">INDIRECT("Data!I" &amp; 1100)</f>
        <v>0</v>
      </c>
      <c r="P1105" s="21" cm="1">
        <f t="array" aca="1" ref="P1105" ca="1">INDIRECT("Data!J" &amp; 1100)</f>
        <v>0</v>
      </c>
      <c r="Q1105" cm="1">
        <f t="array" aca="1" ref="Q1105" ca="1">INDIRECT("Data!K" &amp; 1100)</f>
        <v>0</v>
      </c>
      <c r="R1105" cm="1">
        <f t="array" aca="1" ref="R1105" ca="1">INDIRECT("Data!L" &amp; 1100)</f>
        <v>0</v>
      </c>
      <c r="S1105" cm="1">
        <f t="array" aca="1" ref="S1105" ca="1">INDIRECT("Data!M" &amp; 1100)</f>
        <v>0</v>
      </c>
      <c r="T1105" cm="1">
        <f t="array" aca="1" ref="T1105" ca="1">INDIRECT("Data!N" &amp; 1100)</f>
        <v>0</v>
      </c>
      <c r="U1105" cm="1">
        <f t="array" aca="1" ref="U1105" ca="1">INDIRECT("Data!O" &amp; 1100)</f>
        <v>0</v>
      </c>
      <c r="V1105" cm="1">
        <f t="array" aca="1" ref="V1105" ca="1">INDIRECT("Data!P" &amp; 1100)</f>
        <v>0</v>
      </c>
    </row>
    <row r="1106" spans="7:22" x14ac:dyDescent="0.25">
      <c r="G1106" cm="1">
        <f t="array" aca="1" ref="G1106" ca="1">INDIRECT("Data!A" &amp; 1101)</f>
        <v>0</v>
      </c>
      <c r="H1106" s="21" cm="1">
        <f t="array" aca="1" ref="H1106" ca="1">INDIRECT("Data!B" &amp; 1101)</f>
        <v>0</v>
      </c>
      <c r="I1106" s="21" cm="1">
        <f t="array" aca="1" ref="I1106" ca="1">INDIRECT("Data!C" &amp; 1101)</f>
        <v>0</v>
      </c>
      <c r="J1106" cm="1">
        <f t="array" aca="1" ref="J1106" ca="1">INDIRECT("Data!D" &amp; 1101)</f>
        <v>0</v>
      </c>
      <c r="K1106" cm="1">
        <f t="array" aca="1" ref="K1106" ca="1">INDIRECT("Data!E" &amp; 1101)</f>
        <v>0</v>
      </c>
      <c r="L1106" cm="1">
        <f t="array" aca="1" ref="L1106" ca="1">INDIRECT("Data!F" &amp; 1101)</f>
        <v>0</v>
      </c>
      <c r="M1106" cm="1">
        <f t="array" aca="1" ref="M1106" ca="1">INDIRECT("Data!G" &amp; 1101)</f>
        <v>0</v>
      </c>
      <c r="N1106" cm="1">
        <f t="array" aca="1" ref="N1106" ca="1">INDIRECT("Data!H" &amp; 1101)</f>
        <v>0</v>
      </c>
      <c r="O1106" cm="1">
        <f t="array" aca="1" ref="O1106" ca="1">INDIRECT("Data!I" &amp; 1101)</f>
        <v>0</v>
      </c>
      <c r="P1106" s="21" cm="1">
        <f t="array" aca="1" ref="P1106" ca="1">INDIRECT("Data!J" &amp; 1101)</f>
        <v>0</v>
      </c>
      <c r="Q1106" cm="1">
        <f t="array" aca="1" ref="Q1106" ca="1">INDIRECT("Data!K" &amp; 1101)</f>
        <v>0</v>
      </c>
      <c r="R1106" cm="1">
        <f t="array" aca="1" ref="R1106" ca="1">INDIRECT("Data!L" &amp; 1101)</f>
        <v>0</v>
      </c>
      <c r="S1106" cm="1">
        <f t="array" aca="1" ref="S1106" ca="1">INDIRECT("Data!M" &amp; 1101)</f>
        <v>0</v>
      </c>
      <c r="T1106" cm="1">
        <f t="array" aca="1" ref="T1106" ca="1">INDIRECT("Data!N" &amp; 1101)</f>
        <v>0</v>
      </c>
      <c r="U1106" cm="1">
        <f t="array" aca="1" ref="U1106" ca="1">INDIRECT("Data!O" &amp; 1101)</f>
        <v>0</v>
      </c>
      <c r="V1106" cm="1">
        <f t="array" aca="1" ref="V1106" ca="1">INDIRECT("Data!P" &amp; 1101)</f>
        <v>0</v>
      </c>
    </row>
    <row r="1107" spans="7:22" x14ac:dyDescent="0.25">
      <c r="G1107" cm="1">
        <f t="array" aca="1" ref="G1107" ca="1">INDIRECT("Data!A" &amp; 1102)</f>
        <v>0</v>
      </c>
      <c r="H1107" s="21" cm="1">
        <f t="array" aca="1" ref="H1107" ca="1">INDIRECT("Data!B" &amp; 1102)</f>
        <v>0</v>
      </c>
      <c r="I1107" s="21" cm="1">
        <f t="array" aca="1" ref="I1107" ca="1">INDIRECT("Data!C" &amp; 1102)</f>
        <v>0</v>
      </c>
      <c r="J1107" cm="1">
        <f t="array" aca="1" ref="J1107" ca="1">INDIRECT("Data!D" &amp; 1102)</f>
        <v>0</v>
      </c>
      <c r="K1107" cm="1">
        <f t="array" aca="1" ref="K1107" ca="1">INDIRECT("Data!E" &amp; 1102)</f>
        <v>0</v>
      </c>
      <c r="L1107" cm="1">
        <f t="array" aca="1" ref="L1107" ca="1">INDIRECT("Data!F" &amp; 1102)</f>
        <v>0</v>
      </c>
      <c r="M1107" cm="1">
        <f t="array" aca="1" ref="M1107" ca="1">INDIRECT("Data!G" &amp; 1102)</f>
        <v>0</v>
      </c>
      <c r="N1107" cm="1">
        <f t="array" aca="1" ref="N1107" ca="1">INDIRECT("Data!H" &amp; 1102)</f>
        <v>0</v>
      </c>
      <c r="O1107" cm="1">
        <f t="array" aca="1" ref="O1107" ca="1">INDIRECT("Data!I" &amp; 1102)</f>
        <v>0</v>
      </c>
      <c r="P1107" s="21" cm="1">
        <f t="array" aca="1" ref="P1107" ca="1">INDIRECT("Data!J" &amp; 1102)</f>
        <v>0</v>
      </c>
      <c r="Q1107" cm="1">
        <f t="array" aca="1" ref="Q1107" ca="1">INDIRECT("Data!K" &amp; 1102)</f>
        <v>0</v>
      </c>
      <c r="R1107" cm="1">
        <f t="array" aca="1" ref="R1107" ca="1">INDIRECT("Data!L" &amp; 1102)</f>
        <v>0</v>
      </c>
      <c r="S1107" cm="1">
        <f t="array" aca="1" ref="S1107" ca="1">INDIRECT("Data!M" &amp; 1102)</f>
        <v>0</v>
      </c>
      <c r="T1107" cm="1">
        <f t="array" aca="1" ref="T1107" ca="1">INDIRECT("Data!N" &amp; 1102)</f>
        <v>0</v>
      </c>
      <c r="U1107" cm="1">
        <f t="array" aca="1" ref="U1107" ca="1">INDIRECT("Data!O" &amp; 1102)</f>
        <v>0</v>
      </c>
      <c r="V1107" cm="1">
        <f t="array" aca="1" ref="V1107" ca="1">INDIRECT("Data!P" &amp; 1102)</f>
        <v>0</v>
      </c>
    </row>
    <row r="1108" spans="7:22" x14ac:dyDescent="0.25">
      <c r="G1108" cm="1">
        <f t="array" aca="1" ref="G1108" ca="1">INDIRECT("Data!A" &amp; 1103)</f>
        <v>0</v>
      </c>
      <c r="H1108" s="21" cm="1">
        <f t="array" aca="1" ref="H1108" ca="1">INDIRECT("Data!B" &amp; 1103)</f>
        <v>0</v>
      </c>
      <c r="I1108" s="21" cm="1">
        <f t="array" aca="1" ref="I1108" ca="1">INDIRECT("Data!C" &amp; 1103)</f>
        <v>0</v>
      </c>
      <c r="J1108" cm="1">
        <f t="array" aca="1" ref="J1108" ca="1">INDIRECT("Data!D" &amp; 1103)</f>
        <v>0</v>
      </c>
      <c r="K1108" cm="1">
        <f t="array" aca="1" ref="K1108" ca="1">INDIRECT("Data!E" &amp; 1103)</f>
        <v>0</v>
      </c>
      <c r="L1108" cm="1">
        <f t="array" aca="1" ref="L1108" ca="1">INDIRECT("Data!F" &amp; 1103)</f>
        <v>0</v>
      </c>
      <c r="M1108" cm="1">
        <f t="array" aca="1" ref="M1108" ca="1">INDIRECT("Data!G" &amp; 1103)</f>
        <v>0</v>
      </c>
      <c r="N1108" cm="1">
        <f t="array" aca="1" ref="N1108" ca="1">INDIRECT("Data!H" &amp; 1103)</f>
        <v>0</v>
      </c>
      <c r="O1108" cm="1">
        <f t="array" aca="1" ref="O1108" ca="1">INDIRECT("Data!I" &amp; 1103)</f>
        <v>0</v>
      </c>
      <c r="P1108" s="21" cm="1">
        <f t="array" aca="1" ref="P1108" ca="1">INDIRECT("Data!J" &amp; 1103)</f>
        <v>0</v>
      </c>
      <c r="Q1108" cm="1">
        <f t="array" aca="1" ref="Q1108" ca="1">INDIRECT("Data!K" &amp; 1103)</f>
        <v>0</v>
      </c>
      <c r="R1108" cm="1">
        <f t="array" aca="1" ref="R1108" ca="1">INDIRECT("Data!L" &amp; 1103)</f>
        <v>0</v>
      </c>
      <c r="S1108" cm="1">
        <f t="array" aca="1" ref="S1108" ca="1">INDIRECT("Data!M" &amp; 1103)</f>
        <v>0</v>
      </c>
      <c r="T1108" cm="1">
        <f t="array" aca="1" ref="T1108" ca="1">INDIRECT("Data!N" &amp; 1103)</f>
        <v>0</v>
      </c>
      <c r="U1108" cm="1">
        <f t="array" aca="1" ref="U1108" ca="1">INDIRECT("Data!O" &amp; 1103)</f>
        <v>0</v>
      </c>
      <c r="V1108" cm="1">
        <f t="array" aca="1" ref="V1108" ca="1">INDIRECT("Data!P" &amp; 1103)</f>
        <v>0</v>
      </c>
    </row>
    <row r="1109" spans="7:22" x14ac:dyDescent="0.25">
      <c r="G1109" cm="1">
        <f t="array" aca="1" ref="G1109" ca="1">INDIRECT("Data!A" &amp; 1104)</f>
        <v>0</v>
      </c>
      <c r="H1109" s="21" cm="1">
        <f t="array" aca="1" ref="H1109" ca="1">INDIRECT("Data!B" &amp; 1104)</f>
        <v>0</v>
      </c>
      <c r="I1109" s="21" cm="1">
        <f t="array" aca="1" ref="I1109" ca="1">INDIRECT("Data!C" &amp; 1104)</f>
        <v>0</v>
      </c>
      <c r="J1109" cm="1">
        <f t="array" aca="1" ref="J1109" ca="1">INDIRECT("Data!D" &amp; 1104)</f>
        <v>0</v>
      </c>
      <c r="K1109" cm="1">
        <f t="array" aca="1" ref="K1109" ca="1">INDIRECT("Data!E" &amp; 1104)</f>
        <v>0</v>
      </c>
      <c r="L1109" cm="1">
        <f t="array" aca="1" ref="L1109" ca="1">INDIRECT("Data!F" &amp; 1104)</f>
        <v>0</v>
      </c>
      <c r="M1109" cm="1">
        <f t="array" aca="1" ref="M1109" ca="1">INDIRECT("Data!G" &amp; 1104)</f>
        <v>0</v>
      </c>
      <c r="N1109" cm="1">
        <f t="array" aca="1" ref="N1109" ca="1">INDIRECT("Data!H" &amp; 1104)</f>
        <v>0</v>
      </c>
      <c r="O1109" cm="1">
        <f t="array" aca="1" ref="O1109" ca="1">INDIRECT("Data!I" &amp; 1104)</f>
        <v>0</v>
      </c>
      <c r="P1109" s="21" cm="1">
        <f t="array" aca="1" ref="P1109" ca="1">INDIRECT("Data!J" &amp; 1104)</f>
        <v>0</v>
      </c>
      <c r="Q1109" cm="1">
        <f t="array" aca="1" ref="Q1109" ca="1">INDIRECT("Data!K" &amp; 1104)</f>
        <v>0</v>
      </c>
      <c r="R1109" cm="1">
        <f t="array" aca="1" ref="R1109" ca="1">INDIRECT("Data!L" &amp; 1104)</f>
        <v>0</v>
      </c>
      <c r="S1109" cm="1">
        <f t="array" aca="1" ref="S1109" ca="1">INDIRECT("Data!M" &amp; 1104)</f>
        <v>0</v>
      </c>
      <c r="T1109" cm="1">
        <f t="array" aca="1" ref="T1109" ca="1">INDIRECT("Data!N" &amp; 1104)</f>
        <v>0</v>
      </c>
      <c r="U1109" cm="1">
        <f t="array" aca="1" ref="U1109" ca="1">INDIRECT("Data!O" &amp; 1104)</f>
        <v>0</v>
      </c>
      <c r="V1109" cm="1">
        <f t="array" aca="1" ref="V1109" ca="1">INDIRECT("Data!P" &amp; 1104)</f>
        <v>0</v>
      </c>
    </row>
    <row r="1110" spans="7:22" x14ac:dyDescent="0.25">
      <c r="G1110" cm="1">
        <f t="array" aca="1" ref="G1110" ca="1">INDIRECT("Data!A" &amp; 1105)</f>
        <v>0</v>
      </c>
      <c r="H1110" s="21" cm="1">
        <f t="array" aca="1" ref="H1110" ca="1">INDIRECT("Data!B" &amp; 1105)</f>
        <v>0</v>
      </c>
      <c r="I1110" s="21" cm="1">
        <f t="array" aca="1" ref="I1110" ca="1">INDIRECT("Data!C" &amp; 1105)</f>
        <v>0</v>
      </c>
      <c r="J1110" cm="1">
        <f t="array" aca="1" ref="J1110" ca="1">INDIRECT("Data!D" &amp; 1105)</f>
        <v>0</v>
      </c>
      <c r="K1110" cm="1">
        <f t="array" aca="1" ref="K1110" ca="1">INDIRECT("Data!E" &amp; 1105)</f>
        <v>0</v>
      </c>
      <c r="L1110" cm="1">
        <f t="array" aca="1" ref="L1110" ca="1">INDIRECT("Data!F" &amp; 1105)</f>
        <v>0</v>
      </c>
      <c r="M1110" cm="1">
        <f t="array" aca="1" ref="M1110" ca="1">INDIRECT("Data!G" &amp; 1105)</f>
        <v>0</v>
      </c>
      <c r="N1110" cm="1">
        <f t="array" aca="1" ref="N1110" ca="1">INDIRECT("Data!H" &amp; 1105)</f>
        <v>0</v>
      </c>
      <c r="O1110" cm="1">
        <f t="array" aca="1" ref="O1110" ca="1">INDIRECT("Data!I" &amp; 1105)</f>
        <v>0</v>
      </c>
      <c r="P1110" s="21" cm="1">
        <f t="array" aca="1" ref="P1110" ca="1">INDIRECT("Data!J" &amp; 1105)</f>
        <v>0</v>
      </c>
      <c r="Q1110" cm="1">
        <f t="array" aca="1" ref="Q1110" ca="1">INDIRECT("Data!K" &amp; 1105)</f>
        <v>0</v>
      </c>
      <c r="R1110" cm="1">
        <f t="array" aca="1" ref="R1110" ca="1">INDIRECT("Data!L" &amp; 1105)</f>
        <v>0</v>
      </c>
      <c r="S1110" cm="1">
        <f t="array" aca="1" ref="S1110" ca="1">INDIRECT("Data!M" &amp; 1105)</f>
        <v>0</v>
      </c>
      <c r="T1110" cm="1">
        <f t="array" aca="1" ref="T1110" ca="1">INDIRECT("Data!N" &amp; 1105)</f>
        <v>0</v>
      </c>
      <c r="U1110" cm="1">
        <f t="array" aca="1" ref="U1110" ca="1">INDIRECT("Data!O" &amp; 1105)</f>
        <v>0</v>
      </c>
      <c r="V1110" cm="1">
        <f t="array" aca="1" ref="V1110" ca="1">INDIRECT("Data!P" &amp; 1105)</f>
        <v>0</v>
      </c>
    </row>
    <row r="1111" spans="7:22" x14ac:dyDescent="0.25">
      <c r="G1111" cm="1">
        <f t="array" aca="1" ref="G1111" ca="1">INDIRECT("Data!A" &amp; 1106)</f>
        <v>0</v>
      </c>
      <c r="H1111" s="21" cm="1">
        <f t="array" aca="1" ref="H1111" ca="1">INDIRECT("Data!B" &amp; 1106)</f>
        <v>0</v>
      </c>
      <c r="I1111" s="21" cm="1">
        <f t="array" aca="1" ref="I1111" ca="1">INDIRECT("Data!C" &amp; 1106)</f>
        <v>0</v>
      </c>
      <c r="J1111" cm="1">
        <f t="array" aca="1" ref="J1111" ca="1">INDIRECT("Data!D" &amp; 1106)</f>
        <v>0</v>
      </c>
      <c r="K1111" cm="1">
        <f t="array" aca="1" ref="K1111" ca="1">INDIRECT("Data!E" &amp; 1106)</f>
        <v>0</v>
      </c>
      <c r="L1111" cm="1">
        <f t="array" aca="1" ref="L1111" ca="1">INDIRECT("Data!F" &amp; 1106)</f>
        <v>0</v>
      </c>
      <c r="M1111" cm="1">
        <f t="array" aca="1" ref="M1111" ca="1">INDIRECT("Data!G" &amp; 1106)</f>
        <v>0</v>
      </c>
      <c r="N1111" cm="1">
        <f t="array" aca="1" ref="N1111" ca="1">INDIRECT("Data!H" &amp; 1106)</f>
        <v>0</v>
      </c>
      <c r="O1111" cm="1">
        <f t="array" aca="1" ref="O1111" ca="1">INDIRECT("Data!I" &amp; 1106)</f>
        <v>0</v>
      </c>
      <c r="P1111" s="21" cm="1">
        <f t="array" aca="1" ref="P1111" ca="1">INDIRECT("Data!J" &amp; 1106)</f>
        <v>0</v>
      </c>
      <c r="Q1111" cm="1">
        <f t="array" aca="1" ref="Q1111" ca="1">INDIRECT("Data!K" &amp; 1106)</f>
        <v>0</v>
      </c>
      <c r="R1111" cm="1">
        <f t="array" aca="1" ref="R1111" ca="1">INDIRECT("Data!L" &amp; 1106)</f>
        <v>0</v>
      </c>
      <c r="S1111" cm="1">
        <f t="array" aca="1" ref="S1111" ca="1">INDIRECT("Data!M" &amp; 1106)</f>
        <v>0</v>
      </c>
      <c r="T1111" cm="1">
        <f t="array" aca="1" ref="T1111" ca="1">INDIRECT("Data!N" &amp; 1106)</f>
        <v>0</v>
      </c>
      <c r="U1111" cm="1">
        <f t="array" aca="1" ref="U1111" ca="1">INDIRECT("Data!O" &amp; 1106)</f>
        <v>0</v>
      </c>
      <c r="V1111" cm="1">
        <f t="array" aca="1" ref="V1111" ca="1">INDIRECT("Data!P" &amp; 1106)</f>
        <v>0</v>
      </c>
    </row>
    <row r="1112" spans="7:22" x14ac:dyDescent="0.25">
      <c r="G1112" cm="1">
        <f t="array" aca="1" ref="G1112" ca="1">INDIRECT("Data!A" &amp; 1107)</f>
        <v>0</v>
      </c>
      <c r="H1112" s="21" cm="1">
        <f t="array" aca="1" ref="H1112" ca="1">INDIRECT("Data!B" &amp; 1107)</f>
        <v>0</v>
      </c>
      <c r="I1112" s="21" cm="1">
        <f t="array" aca="1" ref="I1112" ca="1">INDIRECT("Data!C" &amp; 1107)</f>
        <v>0</v>
      </c>
      <c r="J1112" cm="1">
        <f t="array" aca="1" ref="J1112" ca="1">INDIRECT("Data!D" &amp; 1107)</f>
        <v>0</v>
      </c>
      <c r="K1112" cm="1">
        <f t="array" aca="1" ref="K1112" ca="1">INDIRECT("Data!E" &amp; 1107)</f>
        <v>0</v>
      </c>
      <c r="L1112" cm="1">
        <f t="array" aca="1" ref="L1112" ca="1">INDIRECT("Data!F" &amp; 1107)</f>
        <v>0</v>
      </c>
      <c r="M1112" cm="1">
        <f t="array" aca="1" ref="M1112" ca="1">INDIRECT("Data!G" &amp; 1107)</f>
        <v>0</v>
      </c>
      <c r="N1112" cm="1">
        <f t="array" aca="1" ref="N1112" ca="1">INDIRECT("Data!H" &amp; 1107)</f>
        <v>0</v>
      </c>
      <c r="O1112" cm="1">
        <f t="array" aca="1" ref="O1112" ca="1">INDIRECT("Data!I" &amp; 1107)</f>
        <v>0</v>
      </c>
      <c r="P1112" s="21" cm="1">
        <f t="array" aca="1" ref="P1112" ca="1">INDIRECT("Data!J" &amp; 1107)</f>
        <v>0</v>
      </c>
      <c r="Q1112" cm="1">
        <f t="array" aca="1" ref="Q1112" ca="1">INDIRECT("Data!K" &amp; 1107)</f>
        <v>0</v>
      </c>
      <c r="R1112" cm="1">
        <f t="array" aca="1" ref="R1112" ca="1">INDIRECT("Data!L" &amp; 1107)</f>
        <v>0</v>
      </c>
      <c r="S1112" cm="1">
        <f t="array" aca="1" ref="S1112" ca="1">INDIRECT("Data!M" &amp; 1107)</f>
        <v>0</v>
      </c>
      <c r="T1112" cm="1">
        <f t="array" aca="1" ref="T1112" ca="1">INDIRECT("Data!N" &amp; 1107)</f>
        <v>0</v>
      </c>
      <c r="U1112" cm="1">
        <f t="array" aca="1" ref="U1112" ca="1">INDIRECT("Data!O" &amp; 1107)</f>
        <v>0</v>
      </c>
      <c r="V1112" cm="1">
        <f t="array" aca="1" ref="V1112" ca="1">INDIRECT("Data!P" &amp; 1107)</f>
        <v>0</v>
      </c>
    </row>
    <row r="1113" spans="7:22" x14ac:dyDescent="0.25">
      <c r="G1113" cm="1">
        <f t="array" aca="1" ref="G1113" ca="1">INDIRECT("Data!A" &amp; 1108)</f>
        <v>0</v>
      </c>
      <c r="H1113" s="21" cm="1">
        <f t="array" aca="1" ref="H1113" ca="1">INDIRECT("Data!B" &amp; 1108)</f>
        <v>0</v>
      </c>
      <c r="I1113" s="21" cm="1">
        <f t="array" aca="1" ref="I1113" ca="1">INDIRECT("Data!C" &amp; 1108)</f>
        <v>0</v>
      </c>
      <c r="J1113" cm="1">
        <f t="array" aca="1" ref="J1113" ca="1">INDIRECT("Data!D" &amp; 1108)</f>
        <v>0</v>
      </c>
      <c r="K1113" cm="1">
        <f t="array" aca="1" ref="K1113" ca="1">INDIRECT("Data!E" &amp; 1108)</f>
        <v>0</v>
      </c>
      <c r="L1113" cm="1">
        <f t="array" aca="1" ref="L1113" ca="1">INDIRECT("Data!F" &amp; 1108)</f>
        <v>0</v>
      </c>
      <c r="M1113" cm="1">
        <f t="array" aca="1" ref="M1113" ca="1">INDIRECT("Data!G" &amp; 1108)</f>
        <v>0</v>
      </c>
      <c r="N1113" cm="1">
        <f t="array" aca="1" ref="N1113" ca="1">INDIRECT("Data!H" &amp; 1108)</f>
        <v>0</v>
      </c>
      <c r="O1113" cm="1">
        <f t="array" aca="1" ref="O1113" ca="1">INDIRECT("Data!I" &amp; 1108)</f>
        <v>0</v>
      </c>
      <c r="P1113" s="21" cm="1">
        <f t="array" aca="1" ref="P1113" ca="1">INDIRECT("Data!J" &amp; 1108)</f>
        <v>0</v>
      </c>
      <c r="Q1113" cm="1">
        <f t="array" aca="1" ref="Q1113" ca="1">INDIRECT("Data!K" &amp; 1108)</f>
        <v>0</v>
      </c>
      <c r="R1113" cm="1">
        <f t="array" aca="1" ref="R1113" ca="1">INDIRECT("Data!L" &amp; 1108)</f>
        <v>0</v>
      </c>
      <c r="S1113" cm="1">
        <f t="array" aca="1" ref="S1113" ca="1">INDIRECT("Data!M" &amp; 1108)</f>
        <v>0</v>
      </c>
      <c r="T1113" cm="1">
        <f t="array" aca="1" ref="T1113" ca="1">INDIRECT("Data!N" &amp; 1108)</f>
        <v>0</v>
      </c>
      <c r="U1113" cm="1">
        <f t="array" aca="1" ref="U1113" ca="1">INDIRECT("Data!O" &amp; 1108)</f>
        <v>0</v>
      </c>
      <c r="V1113" cm="1">
        <f t="array" aca="1" ref="V1113" ca="1">INDIRECT("Data!P" &amp; 1108)</f>
        <v>0</v>
      </c>
    </row>
    <row r="1114" spans="7:22" x14ac:dyDescent="0.25">
      <c r="G1114" cm="1">
        <f t="array" aca="1" ref="G1114" ca="1">INDIRECT("Data!A" &amp; 1109)</f>
        <v>0</v>
      </c>
      <c r="H1114" s="21" cm="1">
        <f t="array" aca="1" ref="H1114" ca="1">INDIRECT("Data!B" &amp; 1109)</f>
        <v>0</v>
      </c>
      <c r="I1114" s="21" cm="1">
        <f t="array" aca="1" ref="I1114" ca="1">INDIRECT("Data!C" &amp; 1109)</f>
        <v>0</v>
      </c>
      <c r="J1114" cm="1">
        <f t="array" aca="1" ref="J1114" ca="1">INDIRECT("Data!D" &amp; 1109)</f>
        <v>0</v>
      </c>
      <c r="K1114" cm="1">
        <f t="array" aca="1" ref="K1114" ca="1">INDIRECT("Data!E" &amp; 1109)</f>
        <v>0</v>
      </c>
      <c r="L1114" cm="1">
        <f t="array" aca="1" ref="L1114" ca="1">INDIRECT("Data!F" &amp; 1109)</f>
        <v>0</v>
      </c>
      <c r="M1114" cm="1">
        <f t="array" aca="1" ref="M1114" ca="1">INDIRECT("Data!G" &amp; 1109)</f>
        <v>0</v>
      </c>
      <c r="N1114" cm="1">
        <f t="array" aca="1" ref="N1114" ca="1">INDIRECT("Data!H" &amp; 1109)</f>
        <v>0</v>
      </c>
      <c r="O1114" cm="1">
        <f t="array" aca="1" ref="O1114" ca="1">INDIRECT("Data!I" &amp; 1109)</f>
        <v>0</v>
      </c>
      <c r="P1114" s="21" cm="1">
        <f t="array" aca="1" ref="P1114" ca="1">INDIRECT("Data!J" &amp; 1109)</f>
        <v>0</v>
      </c>
      <c r="Q1114" cm="1">
        <f t="array" aca="1" ref="Q1114" ca="1">INDIRECT("Data!K" &amp; 1109)</f>
        <v>0</v>
      </c>
      <c r="R1114" cm="1">
        <f t="array" aca="1" ref="R1114" ca="1">INDIRECT("Data!L" &amp; 1109)</f>
        <v>0</v>
      </c>
      <c r="S1114" cm="1">
        <f t="array" aca="1" ref="S1114" ca="1">INDIRECT("Data!M" &amp; 1109)</f>
        <v>0</v>
      </c>
      <c r="T1114" cm="1">
        <f t="array" aca="1" ref="T1114" ca="1">INDIRECT("Data!N" &amp; 1109)</f>
        <v>0</v>
      </c>
      <c r="U1114" cm="1">
        <f t="array" aca="1" ref="U1114" ca="1">INDIRECT("Data!O" &amp; 1109)</f>
        <v>0</v>
      </c>
      <c r="V1114" cm="1">
        <f t="array" aca="1" ref="V1114" ca="1">INDIRECT("Data!P" &amp; 1109)</f>
        <v>0</v>
      </c>
    </row>
    <row r="1115" spans="7:22" x14ac:dyDescent="0.25">
      <c r="G1115" cm="1">
        <f t="array" aca="1" ref="G1115" ca="1">INDIRECT("Data!A" &amp; 1110)</f>
        <v>0</v>
      </c>
      <c r="H1115" s="21" cm="1">
        <f t="array" aca="1" ref="H1115" ca="1">INDIRECT("Data!B" &amp; 1110)</f>
        <v>0</v>
      </c>
      <c r="I1115" s="21" cm="1">
        <f t="array" aca="1" ref="I1115" ca="1">INDIRECT("Data!C" &amp; 1110)</f>
        <v>0</v>
      </c>
      <c r="J1115" cm="1">
        <f t="array" aca="1" ref="J1115" ca="1">INDIRECT("Data!D" &amp; 1110)</f>
        <v>0</v>
      </c>
      <c r="K1115" cm="1">
        <f t="array" aca="1" ref="K1115" ca="1">INDIRECT("Data!E" &amp; 1110)</f>
        <v>0</v>
      </c>
      <c r="L1115" cm="1">
        <f t="array" aca="1" ref="L1115" ca="1">INDIRECT("Data!F" &amp; 1110)</f>
        <v>0</v>
      </c>
      <c r="M1115" cm="1">
        <f t="array" aca="1" ref="M1115" ca="1">INDIRECT("Data!G" &amp; 1110)</f>
        <v>0</v>
      </c>
      <c r="N1115" cm="1">
        <f t="array" aca="1" ref="N1115" ca="1">INDIRECT("Data!H" &amp; 1110)</f>
        <v>0</v>
      </c>
      <c r="O1115" cm="1">
        <f t="array" aca="1" ref="O1115" ca="1">INDIRECT("Data!I" &amp; 1110)</f>
        <v>0</v>
      </c>
      <c r="P1115" s="21" cm="1">
        <f t="array" aca="1" ref="P1115" ca="1">INDIRECT("Data!J" &amp; 1110)</f>
        <v>0</v>
      </c>
      <c r="Q1115" cm="1">
        <f t="array" aca="1" ref="Q1115" ca="1">INDIRECT("Data!K" &amp; 1110)</f>
        <v>0</v>
      </c>
      <c r="R1115" cm="1">
        <f t="array" aca="1" ref="R1115" ca="1">INDIRECT("Data!L" &amp; 1110)</f>
        <v>0</v>
      </c>
      <c r="S1115" cm="1">
        <f t="array" aca="1" ref="S1115" ca="1">INDIRECT("Data!M" &amp; 1110)</f>
        <v>0</v>
      </c>
      <c r="T1115" cm="1">
        <f t="array" aca="1" ref="T1115" ca="1">INDIRECT("Data!N" &amp; 1110)</f>
        <v>0</v>
      </c>
      <c r="U1115" cm="1">
        <f t="array" aca="1" ref="U1115" ca="1">INDIRECT("Data!O" &amp; 1110)</f>
        <v>0</v>
      </c>
      <c r="V1115" cm="1">
        <f t="array" aca="1" ref="V1115" ca="1">INDIRECT("Data!P" &amp; 1110)</f>
        <v>0</v>
      </c>
    </row>
    <row r="1116" spans="7:22" x14ac:dyDescent="0.25">
      <c r="G1116" cm="1">
        <f t="array" aca="1" ref="G1116" ca="1">INDIRECT("Data!A" &amp; 1111)</f>
        <v>0</v>
      </c>
      <c r="H1116" s="21" cm="1">
        <f t="array" aca="1" ref="H1116" ca="1">INDIRECT("Data!B" &amp; 1111)</f>
        <v>0</v>
      </c>
      <c r="I1116" s="21" cm="1">
        <f t="array" aca="1" ref="I1116" ca="1">INDIRECT("Data!C" &amp; 1111)</f>
        <v>0</v>
      </c>
      <c r="J1116" cm="1">
        <f t="array" aca="1" ref="J1116" ca="1">INDIRECT("Data!D" &amp; 1111)</f>
        <v>0</v>
      </c>
      <c r="K1116" cm="1">
        <f t="array" aca="1" ref="K1116" ca="1">INDIRECT("Data!E" &amp; 1111)</f>
        <v>0</v>
      </c>
      <c r="L1116" cm="1">
        <f t="array" aca="1" ref="L1116" ca="1">INDIRECT("Data!F" &amp; 1111)</f>
        <v>0</v>
      </c>
      <c r="M1116" cm="1">
        <f t="array" aca="1" ref="M1116" ca="1">INDIRECT("Data!G" &amp; 1111)</f>
        <v>0</v>
      </c>
      <c r="N1116" cm="1">
        <f t="array" aca="1" ref="N1116" ca="1">INDIRECT("Data!H" &amp; 1111)</f>
        <v>0</v>
      </c>
      <c r="O1116" cm="1">
        <f t="array" aca="1" ref="O1116" ca="1">INDIRECT("Data!I" &amp; 1111)</f>
        <v>0</v>
      </c>
      <c r="P1116" s="21" cm="1">
        <f t="array" aca="1" ref="P1116" ca="1">INDIRECT("Data!J" &amp; 1111)</f>
        <v>0</v>
      </c>
      <c r="Q1116" cm="1">
        <f t="array" aca="1" ref="Q1116" ca="1">INDIRECT("Data!K" &amp; 1111)</f>
        <v>0</v>
      </c>
      <c r="R1116" cm="1">
        <f t="array" aca="1" ref="R1116" ca="1">INDIRECT("Data!L" &amp; 1111)</f>
        <v>0</v>
      </c>
      <c r="S1116" cm="1">
        <f t="array" aca="1" ref="S1116" ca="1">INDIRECT("Data!M" &amp; 1111)</f>
        <v>0</v>
      </c>
      <c r="T1116" cm="1">
        <f t="array" aca="1" ref="T1116" ca="1">INDIRECT("Data!N" &amp; 1111)</f>
        <v>0</v>
      </c>
      <c r="U1116" cm="1">
        <f t="array" aca="1" ref="U1116" ca="1">INDIRECT("Data!O" &amp; 1111)</f>
        <v>0</v>
      </c>
      <c r="V1116" cm="1">
        <f t="array" aca="1" ref="V1116" ca="1">INDIRECT("Data!P" &amp; 1111)</f>
        <v>0</v>
      </c>
    </row>
    <row r="1117" spans="7:22" x14ac:dyDescent="0.25">
      <c r="G1117" cm="1">
        <f t="array" aca="1" ref="G1117" ca="1">INDIRECT("Data!A" &amp; 1112)</f>
        <v>0</v>
      </c>
      <c r="H1117" s="21" cm="1">
        <f t="array" aca="1" ref="H1117" ca="1">INDIRECT("Data!B" &amp; 1112)</f>
        <v>0</v>
      </c>
      <c r="I1117" s="21" cm="1">
        <f t="array" aca="1" ref="I1117" ca="1">INDIRECT("Data!C" &amp; 1112)</f>
        <v>0</v>
      </c>
      <c r="J1117" cm="1">
        <f t="array" aca="1" ref="J1117" ca="1">INDIRECT("Data!D" &amp; 1112)</f>
        <v>0</v>
      </c>
      <c r="K1117" cm="1">
        <f t="array" aca="1" ref="K1117" ca="1">INDIRECT("Data!E" &amp; 1112)</f>
        <v>0</v>
      </c>
      <c r="L1117" cm="1">
        <f t="array" aca="1" ref="L1117" ca="1">INDIRECT("Data!F" &amp; 1112)</f>
        <v>0</v>
      </c>
      <c r="M1117" cm="1">
        <f t="array" aca="1" ref="M1117" ca="1">INDIRECT("Data!G" &amp; 1112)</f>
        <v>0</v>
      </c>
      <c r="N1117" cm="1">
        <f t="array" aca="1" ref="N1117" ca="1">INDIRECT("Data!H" &amp; 1112)</f>
        <v>0</v>
      </c>
      <c r="O1117" cm="1">
        <f t="array" aca="1" ref="O1117" ca="1">INDIRECT("Data!I" &amp; 1112)</f>
        <v>0</v>
      </c>
      <c r="P1117" s="21" cm="1">
        <f t="array" aca="1" ref="P1117" ca="1">INDIRECT("Data!J" &amp; 1112)</f>
        <v>0</v>
      </c>
      <c r="Q1117" cm="1">
        <f t="array" aca="1" ref="Q1117" ca="1">INDIRECT("Data!K" &amp; 1112)</f>
        <v>0</v>
      </c>
      <c r="R1117" cm="1">
        <f t="array" aca="1" ref="R1117" ca="1">INDIRECT("Data!L" &amp; 1112)</f>
        <v>0</v>
      </c>
      <c r="S1117" cm="1">
        <f t="array" aca="1" ref="S1117" ca="1">INDIRECT("Data!M" &amp; 1112)</f>
        <v>0</v>
      </c>
      <c r="T1117" cm="1">
        <f t="array" aca="1" ref="T1117" ca="1">INDIRECT("Data!N" &amp; 1112)</f>
        <v>0</v>
      </c>
      <c r="U1117" cm="1">
        <f t="array" aca="1" ref="U1117" ca="1">INDIRECT("Data!O" &amp; 1112)</f>
        <v>0</v>
      </c>
      <c r="V1117" cm="1">
        <f t="array" aca="1" ref="V1117" ca="1">INDIRECT("Data!P" &amp; 1112)</f>
        <v>0</v>
      </c>
    </row>
    <row r="1118" spans="7:22" x14ac:dyDescent="0.25">
      <c r="G1118" cm="1">
        <f t="array" aca="1" ref="G1118" ca="1">INDIRECT("Data!A" &amp; 1113)</f>
        <v>0</v>
      </c>
      <c r="H1118" s="21" cm="1">
        <f t="array" aca="1" ref="H1118" ca="1">INDIRECT("Data!B" &amp; 1113)</f>
        <v>0</v>
      </c>
      <c r="I1118" s="21" cm="1">
        <f t="array" aca="1" ref="I1118" ca="1">INDIRECT("Data!C" &amp; 1113)</f>
        <v>0</v>
      </c>
      <c r="J1118" cm="1">
        <f t="array" aca="1" ref="J1118" ca="1">INDIRECT("Data!D" &amp; 1113)</f>
        <v>0</v>
      </c>
      <c r="K1118" cm="1">
        <f t="array" aca="1" ref="K1118" ca="1">INDIRECT("Data!E" &amp; 1113)</f>
        <v>0</v>
      </c>
      <c r="L1118" cm="1">
        <f t="array" aca="1" ref="L1118" ca="1">INDIRECT("Data!F" &amp; 1113)</f>
        <v>0</v>
      </c>
      <c r="M1118" cm="1">
        <f t="array" aca="1" ref="M1118" ca="1">INDIRECT("Data!G" &amp; 1113)</f>
        <v>0</v>
      </c>
      <c r="N1118" cm="1">
        <f t="array" aca="1" ref="N1118" ca="1">INDIRECT("Data!H" &amp; 1113)</f>
        <v>0</v>
      </c>
      <c r="O1118" cm="1">
        <f t="array" aca="1" ref="O1118" ca="1">INDIRECT("Data!I" &amp; 1113)</f>
        <v>0</v>
      </c>
      <c r="P1118" s="21" cm="1">
        <f t="array" aca="1" ref="P1118" ca="1">INDIRECT("Data!J" &amp; 1113)</f>
        <v>0</v>
      </c>
      <c r="Q1118" cm="1">
        <f t="array" aca="1" ref="Q1118" ca="1">INDIRECT("Data!K" &amp; 1113)</f>
        <v>0</v>
      </c>
      <c r="R1118" cm="1">
        <f t="array" aca="1" ref="R1118" ca="1">INDIRECT("Data!L" &amp; 1113)</f>
        <v>0</v>
      </c>
      <c r="S1118" cm="1">
        <f t="array" aca="1" ref="S1118" ca="1">INDIRECT("Data!M" &amp; 1113)</f>
        <v>0</v>
      </c>
      <c r="T1118" cm="1">
        <f t="array" aca="1" ref="T1118" ca="1">INDIRECT("Data!N" &amp; 1113)</f>
        <v>0</v>
      </c>
      <c r="U1118" cm="1">
        <f t="array" aca="1" ref="U1118" ca="1">INDIRECT("Data!O" &amp; 1113)</f>
        <v>0</v>
      </c>
      <c r="V1118" cm="1">
        <f t="array" aca="1" ref="V1118" ca="1">INDIRECT("Data!P" &amp; 1113)</f>
        <v>0</v>
      </c>
    </row>
    <row r="1119" spans="7:22" x14ac:dyDescent="0.25">
      <c r="G1119" cm="1">
        <f t="array" aca="1" ref="G1119" ca="1">INDIRECT("Data!A" &amp; 1114)</f>
        <v>0</v>
      </c>
      <c r="H1119" s="21" cm="1">
        <f t="array" aca="1" ref="H1119" ca="1">INDIRECT("Data!B" &amp; 1114)</f>
        <v>0</v>
      </c>
      <c r="I1119" s="21" cm="1">
        <f t="array" aca="1" ref="I1119" ca="1">INDIRECT("Data!C" &amp; 1114)</f>
        <v>0</v>
      </c>
      <c r="J1119" cm="1">
        <f t="array" aca="1" ref="J1119" ca="1">INDIRECT("Data!D" &amp; 1114)</f>
        <v>0</v>
      </c>
      <c r="K1119" cm="1">
        <f t="array" aca="1" ref="K1119" ca="1">INDIRECT("Data!E" &amp; 1114)</f>
        <v>0</v>
      </c>
      <c r="L1119" cm="1">
        <f t="array" aca="1" ref="L1119" ca="1">INDIRECT("Data!F" &amp; 1114)</f>
        <v>0</v>
      </c>
      <c r="M1119" cm="1">
        <f t="array" aca="1" ref="M1119" ca="1">INDIRECT("Data!G" &amp; 1114)</f>
        <v>0</v>
      </c>
      <c r="N1119" cm="1">
        <f t="array" aca="1" ref="N1119" ca="1">INDIRECT("Data!H" &amp; 1114)</f>
        <v>0</v>
      </c>
      <c r="O1119" cm="1">
        <f t="array" aca="1" ref="O1119" ca="1">INDIRECT("Data!I" &amp; 1114)</f>
        <v>0</v>
      </c>
      <c r="P1119" s="21" cm="1">
        <f t="array" aca="1" ref="P1119" ca="1">INDIRECT("Data!J" &amp; 1114)</f>
        <v>0</v>
      </c>
      <c r="Q1119" cm="1">
        <f t="array" aca="1" ref="Q1119" ca="1">INDIRECT("Data!K" &amp; 1114)</f>
        <v>0</v>
      </c>
      <c r="R1119" cm="1">
        <f t="array" aca="1" ref="R1119" ca="1">INDIRECT("Data!L" &amp; 1114)</f>
        <v>0</v>
      </c>
      <c r="S1119" cm="1">
        <f t="array" aca="1" ref="S1119" ca="1">INDIRECT("Data!M" &amp; 1114)</f>
        <v>0</v>
      </c>
      <c r="T1119" cm="1">
        <f t="array" aca="1" ref="T1119" ca="1">INDIRECT("Data!N" &amp; 1114)</f>
        <v>0</v>
      </c>
      <c r="U1119" cm="1">
        <f t="array" aca="1" ref="U1119" ca="1">INDIRECT("Data!O" &amp; 1114)</f>
        <v>0</v>
      </c>
      <c r="V1119" cm="1">
        <f t="array" aca="1" ref="V1119" ca="1">INDIRECT("Data!P" &amp; 1114)</f>
        <v>0</v>
      </c>
    </row>
    <row r="1120" spans="7:22" x14ac:dyDescent="0.25">
      <c r="G1120" cm="1">
        <f t="array" aca="1" ref="G1120" ca="1">INDIRECT("Data!A" &amp; 1115)</f>
        <v>0</v>
      </c>
      <c r="H1120" s="21" cm="1">
        <f t="array" aca="1" ref="H1120" ca="1">INDIRECT("Data!B" &amp; 1115)</f>
        <v>0</v>
      </c>
      <c r="I1120" s="21" cm="1">
        <f t="array" aca="1" ref="I1120" ca="1">INDIRECT("Data!C" &amp; 1115)</f>
        <v>0</v>
      </c>
      <c r="J1120" cm="1">
        <f t="array" aca="1" ref="J1120" ca="1">INDIRECT("Data!D" &amp; 1115)</f>
        <v>0</v>
      </c>
      <c r="K1120" cm="1">
        <f t="array" aca="1" ref="K1120" ca="1">INDIRECT("Data!E" &amp; 1115)</f>
        <v>0</v>
      </c>
      <c r="L1120" cm="1">
        <f t="array" aca="1" ref="L1120" ca="1">INDIRECT("Data!F" &amp; 1115)</f>
        <v>0</v>
      </c>
      <c r="M1120" cm="1">
        <f t="array" aca="1" ref="M1120" ca="1">INDIRECT("Data!G" &amp; 1115)</f>
        <v>0</v>
      </c>
      <c r="N1120" cm="1">
        <f t="array" aca="1" ref="N1120" ca="1">INDIRECT("Data!H" &amp; 1115)</f>
        <v>0</v>
      </c>
      <c r="O1120" cm="1">
        <f t="array" aca="1" ref="O1120" ca="1">INDIRECT("Data!I" &amp; 1115)</f>
        <v>0</v>
      </c>
      <c r="P1120" s="21" cm="1">
        <f t="array" aca="1" ref="P1120" ca="1">INDIRECT("Data!J" &amp; 1115)</f>
        <v>0</v>
      </c>
      <c r="Q1120" cm="1">
        <f t="array" aca="1" ref="Q1120" ca="1">INDIRECT("Data!K" &amp; 1115)</f>
        <v>0</v>
      </c>
      <c r="R1120" cm="1">
        <f t="array" aca="1" ref="R1120" ca="1">INDIRECT("Data!L" &amp; 1115)</f>
        <v>0</v>
      </c>
      <c r="S1120" cm="1">
        <f t="array" aca="1" ref="S1120" ca="1">INDIRECT("Data!M" &amp; 1115)</f>
        <v>0</v>
      </c>
      <c r="T1120" cm="1">
        <f t="array" aca="1" ref="T1120" ca="1">INDIRECT("Data!N" &amp; 1115)</f>
        <v>0</v>
      </c>
      <c r="U1120" cm="1">
        <f t="array" aca="1" ref="U1120" ca="1">INDIRECT("Data!O" &amp; 1115)</f>
        <v>0</v>
      </c>
      <c r="V1120" cm="1">
        <f t="array" aca="1" ref="V1120" ca="1">INDIRECT("Data!P" &amp; 1115)</f>
        <v>0</v>
      </c>
    </row>
    <row r="1121" spans="7:22" x14ac:dyDescent="0.25">
      <c r="G1121" cm="1">
        <f t="array" aca="1" ref="G1121" ca="1">INDIRECT("Data!A" &amp; 1116)</f>
        <v>0</v>
      </c>
      <c r="H1121" s="21" cm="1">
        <f t="array" aca="1" ref="H1121" ca="1">INDIRECT("Data!B" &amp; 1116)</f>
        <v>0</v>
      </c>
      <c r="I1121" s="21" cm="1">
        <f t="array" aca="1" ref="I1121" ca="1">INDIRECT("Data!C" &amp; 1116)</f>
        <v>0</v>
      </c>
      <c r="J1121" cm="1">
        <f t="array" aca="1" ref="J1121" ca="1">INDIRECT("Data!D" &amp; 1116)</f>
        <v>0</v>
      </c>
      <c r="K1121" cm="1">
        <f t="array" aca="1" ref="K1121" ca="1">INDIRECT("Data!E" &amp; 1116)</f>
        <v>0</v>
      </c>
      <c r="L1121" cm="1">
        <f t="array" aca="1" ref="L1121" ca="1">INDIRECT("Data!F" &amp; 1116)</f>
        <v>0</v>
      </c>
      <c r="M1121" cm="1">
        <f t="array" aca="1" ref="M1121" ca="1">INDIRECT("Data!G" &amp; 1116)</f>
        <v>0</v>
      </c>
      <c r="N1121" cm="1">
        <f t="array" aca="1" ref="N1121" ca="1">INDIRECT("Data!H" &amp; 1116)</f>
        <v>0</v>
      </c>
      <c r="O1121" cm="1">
        <f t="array" aca="1" ref="O1121" ca="1">INDIRECT("Data!I" &amp; 1116)</f>
        <v>0</v>
      </c>
      <c r="P1121" s="21" cm="1">
        <f t="array" aca="1" ref="P1121" ca="1">INDIRECT("Data!J" &amp; 1116)</f>
        <v>0</v>
      </c>
      <c r="Q1121" cm="1">
        <f t="array" aca="1" ref="Q1121" ca="1">INDIRECT("Data!K" &amp; 1116)</f>
        <v>0</v>
      </c>
      <c r="R1121" cm="1">
        <f t="array" aca="1" ref="R1121" ca="1">INDIRECT("Data!L" &amp; 1116)</f>
        <v>0</v>
      </c>
      <c r="S1121" cm="1">
        <f t="array" aca="1" ref="S1121" ca="1">INDIRECT("Data!M" &amp; 1116)</f>
        <v>0</v>
      </c>
      <c r="T1121" cm="1">
        <f t="array" aca="1" ref="T1121" ca="1">INDIRECT("Data!N" &amp; 1116)</f>
        <v>0</v>
      </c>
      <c r="U1121" cm="1">
        <f t="array" aca="1" ref="U1121" ca="1">INDIRECT("Data!O" &amp; 1116)</f>
        <v>0</v>
      </c>
      <c r="V1121" cm="1">
        <f t="array" aca="1" ref="V1121" ca="1">INDIRECT("Data!P" &amp; 1116)</f>
        <v>0</v>
      </c>
    </row>
    <row r="1122" spans="7:22" x14ac:dyDescent="0.25">
      <c r="G1122" cm="1">
        <f t="array" aca="1" ref="G1122" ca="1">INDIRECT("Data!A" &amp; 1117)</f>
        <v>0</v>
      </c>
      <c r="H1122" s="21" cm="1">
        <f t="array" aca="1" ref="H1122" ca="1">INDIRECT("Data!B" &amp; 1117)</f>
        <v>0</v>
      </c>
      <c r="I1122" s="21" cm="1">
        <f t="array" aca="1" ref="I1122" ca="1">INDIRECT("Data!C" &amp; 1117)</f>
        <v>0</v>
      </c>
      <c r="J1122" cm="1">
        <f t="array" aca="1" ref="J1122" ca="1">INDIRECT("Data!D" &amp; 1117)</f>
        <v>0</v>
      </c>
      <c r="K1122" cm="1">
        <f t="array" aca="1" ref="K1122" ca="1">INDIRECT("Data!E" &amp; 1117)</f>
        <v>0</v>
      </c>
      <c r="L1122" cm="1">
        <f t="array" aca="1" ref="L1122" ca="1">INDIRECT("Data!F" &amp; 1117)</f>
        <v>0</v>
      </c>
      <c r="M1122" cm="1">
        <f t="array" aca="1" ref="M1122" ca="1">INDIRECT("Data!G" &amp; 1117)</f>
        <v>0</v>
      </c>
      <c r="N1122" cm="1">
        <f t="array" aca="1" ref="N1122" ca="1">INDIRECT("Data!H" &amp; 1117)</f>
        <v>0</v>
      </c>
      <c r="O1122" cm="1">
        <f t="array" aca="1" ref="O1122" ca="1">INDIRECT("Data!I" &amp; 1117)</f>
        <v>0</v>
      </c>
      <c r="P1122" s="21" cm="1">
        <f t="array" aca="1" ref="P1122" ca="1">INDIRECT("Data!J" &amp; 1117)</f>
        <v>0</v>
      </c>
      <c r="Q1122" cm="1">
        <f t="array" aca="1" ref="Q1122" ca="1">INDIRECT("Data!K" &amp; 1117)</f>
        <v>0</v>
      </c>
      <c r="R1122" cm="1">
        <f t="array" aca="1" ref="R1122" ca="1">INDIRECT("Data!L" &amp; 1117)</f>
        <v>0</v>
      </c>
      <c r="S1122" cm="1">
        <f t="array" aca="1" ref="S1122" ca="1">INDIRECT("Data!M" &amp; 1117)</f>
        <v>0</v>
      </c>
      <c r="T1122" cm="1">
        <f t="array" aca="1" ref="T1122" ca="1">INDIRECT("Data!N" &amp; 1117)</f>
        <v>0</v>
      </c>
      <c r="U1122" cm="1">
        <f t="array" aca="1" ref="U1122" ca="1">INDIRECT("Data!O" &amp; 1117)</f>
        <v>0</v>
      </c>
      <c r="V1122" cm="1">
        <f t="array" aca="1" ref="V1122" ca="1">INDIRECT("Data!P" &amp; 1117)</f>
        <v>0</v>
      </c>
    </row>
    <row r="1123" spans="7:22" x14ac:dyDescent="0.25">
      <c r="G1123" cm="1">
        <f t="array" aca="1" ref="G1123" ca="1">INDIRECT("Data!A" &amp; 1118)</f>
        <v>0</v>
      </c>
      <c r="H1123" s="21" cm="1">
        <f t="array" aca="1" ref="H1123" ca="1">INDIRECT("Data!B" &amp; 1118)</f>
        <v>0</v>
      </c>
      <c r="I1123" s="21" cm="1">
        <f t="array" aca="1" ref="I1123" ca="1">INDIRECT("Data!C" &amp; 1118)</f>
        <v>0</v>
      </c>
      <c r="J1123" cm="1">
        <f t="array" aca="1" ref="J1123" ca="1">INDIRECT("Data!D" &amp; 1118)</f>
        <v>0</v>
      </c>
      <c r="K1123" cm="1">
        <f t="array" aca="1" ref="K1123" ca="1">INDIRECT("Data!E" &amp; 1118)</f>
        <v>0</v>
      </c>
      <c r="L1123" cm="1">
        <f t="array" aca="1" ref="L1123" ca="1">INDIRECT("Data!F" &amp; 1118)</f>
        <v>0</v>
      </c>
      <c r="M1123" cm="1">
        <f t="array" aca="1" ref="M1123" ca="1">INDIRECT("Data!G" &amp; 1118)</f>
        <v>0</v>
      </c>
      <c r="N1123" cm="1">
        <f t="array" aca="1" ref="N1123" ca="1">INDIRECT("Data!H" &amp; 1118)</f>
        <v>0</v>
      </c>
      <c r="O1123" cm="1">
        <f t="array" aca="1" ref="O1123" ca="1">INDIRECT("Data!I" &amp; 1118)</f>
        <v>0</v>
      </c>
      <c r="P1123" s="21" cm="1">
        <f t="array" aca="1" ref="P1123" ca="1">INDIRECT("Data!J" &amp; 1118)</f>
        <v>0</v>
      </c>
      <c r="Q1123" cm="1">
        <f t="array" aca="1" ref="Q1123" ca="1">INDIRECT("Data!K" &amp; 1118)</f>
        <v>0</v>
      </c>
      <c r="R1123" cm="1">
        <f t="array" aca="1" ref="R1123" ca="1">INDIRECT("Data!L" &amp; 1118)</f>
        <v>0</v>
      </c>
      <c r="S1123" cm="1">
        <f t="array" aca="1" ref="S1123" ca="1">INDIRECT("Data!M" &amp; 1118)</f>
        <v>0</v>
      </c>
      <c r="T1123" cm="1">
        <f t="array" aca="1" ref="T1123" ca="1">INDIRECT("Data!N" &amp; 1118)</f>
        <v>0</v>
      </c>
      <c r="U1123" cm="1">
        <f t="array" aca="1" ref="U1123" ca="1">INDIRECT("Data!O" &amp; 1118)</f>
        <v>0</v>
      </c>
      <c r="V1123" cm="1">
        <f t="array" aca="1" ref="V1123" ca="1">INDIRECT("Data!P" &amp; 1118)</f>
        <v>0</v>
      </c>
    </row>
    <row r="1124" spans="7:22" x14ac:dyDescent="0.25">
      <c r="G1124" cm="1">
        <f t="array" aca="1" ref="G1124" ca="1">INDIRECT("Data!A" &amp; 1119)</f>
        <v>0</v>
      </c>
      <c r="H1124" s="21" cm="1">
        <f t="array" aca="1" ref="H1124" ca="1">INDIRECT("Data!B" &amp; 1119)</f>
        <v>0</v>
      </c>
      <c r="I1124" s="21" cm="1">
        <f t="array" aca="1" ref="I1124" ca="1">INDIRECT("Data!C" &amp; 1119)</f>
        <v>0</v>
      </c>
      <c r="J1124" cm="1">
        <f t="array" aca="1" ref="J1124" ca="1">INDIRECT("Data!D" &amp; 1119)</f>
        <v>0</v>
      </c>
      <c r="K1124" cm="1">
        <f t="array" aca="1" ref="K1124" ca="1">INDIRECT("Data!E" &amp; 1119)</f>
        <v>0</v>
      </c>
      <c r="L1124" cm="1">
        <f t="array" aca="1" ref="L1124" ca="1">INDIRECT("Data!F" &amp; 1119)</f>
        <v>0</v>
      </c>
      <c r="M1124" cm="1">
        <f t="array" aca="1" ref="M1124" ca="1">INDIRECT("Data!G" &amp; 1119)</f>
        <v>0</v>
      </c>
      <c r="N1124" cm="1">
        <f t="array" aca="1" ref="N1124" ca="1">INDIRECT("Data!H" &amp; 1119)</f>
        <v>0</v>
      </c>
      <c r="O1124" cm="1">
        <f t="array" aca="1" ref="O1124" ca="1">INDIRECT("Data!I" &amp; 1119)</f>
        <v>0</v>
      </c>
      <c r="P1124" s="21" cm="1">
        <f t="array" aca="1" ref="P1124" ca="1">INDIRECT("Data!J" &amp; 1119)</f>
        <v>0</v>
      </c>
      <c r="Q1124" cm="1">
        <f t="array" aca="1" ref="Q1124" ca="1">INDIRECT("Data!K" &amp; 1119)</f>
        <v>0</v>
      </c>
      <c r="R1124" cm="1">
        <f t="array" aca="1" ref="R1124" ca="1">INDIRECT("Data!L" &amp; 1119)</f>
        <v>0</v>
      </c>
      <c r="S1124" cm="1">
        <f t="array" aca="1" ref="S1124" ca="1">INDIRECT("Data!M" &amp; 1119)</f>
        <v>0</v>
      </c>
      <c r="T1124" cm="1">
        <f t="array" aca="1" ref="T1124" ca="1">INDIRECT("Data!N" &amp; 1119)</f>
        <v>0</v>
      </c>
      <c r="U1124" cm="1">
        <f t="array" aca="1" ref="U1124" ca="1">INDIRECT("Data!O" &amp; 1119)</f>
        <v>0</v>
      </c>
      <c r="V1124" cm="1">
        <f t="array" aca="1" ref="V1124" ca="1">INDIRECT("Data!P" &amp; 1119)</f>
        <v>0</v>
      </c>
    </row>
    <row r="1125" spans="7:22" x14ac:dyDescent="0.25">
      <c r="G1125" cm="1">
        <f t="array" aca="1" ref="G1125" ca="1">INDIRECT("Data!A" &amp; 1120)</f>
        <v>0</v>
      </c>
      <c r="H1125" s="21" cm="1">
        <f t="array" aca="1" ref="H1125" ca="1">INDIRECT("Data!B" &amp; 1120)</f>
        <v>0</v>
      </c>
      <c r="I1125" s="21" cm="1">
        <f t="array" aca="1" ref="I1125" ca="1">INDIRECT("Data!C" &amp; 1120)</f>
        <v>0</v>
      </c>
      <c r="J1125" cm="1">
        <f t="array" aca="1" ref="J1125" ca="1">INDIRECT("Data!D" &amp; 1120)</f>
        <v>0</v>
      </c>
      <c r="K1125" cm="1">
        <f t="array" aca="1" ref="K1125" ca="1">INDIRECT("Data!E" &amp; 1120)</f>
        <v>0</v>
      </c>
      <c r="L1125" cm="1">
        <f t="array" aca="1" ref="L1125" ca="1">INDIRECT("Data!F" &amp; 1120)</f>
        <v>0</v>
      </c>
      <c r="M1125" cm="1">
        <f t="array" aca="1" ref="M1125" ca="1">INDIRECT("Data!G" &amp; 1120)</f>
        <v>0</v>
      </c>
      <c r="N1125" cm="1">
        <f t="array" aca="1" ref="N1125" ca="1">INDIRECT("Data!H" &amp; 1120)</f>
        <v>0</v>
      </c>
      <c r="O1125" cm="1">
        <f t="array" aca="1" ref="O1125" ca="1">INDIRECT("Data!I" &amp; 1120)</f>
        <v>0</v>
      </c>
      <c r="P1125" s="21" cm="1">
        <f t="array" aca="1" ref="P1125" ca="1">INDIRECT("Data!J" &amp; 1120)</f>
        <v>0</v>
      </c>
      <c r="Q1125" cm="1">
        <f t="array" aca="1" ref="Q1125" ca="1">INDIRECT("Data!K" &amp; 1120)</f>
        <v>0</v>
      </c>
      <c r="R1125" cm="1">
        <f t="array" aca="1" ref="R1125" ca="1">INDIRECT("Data!L" &amp; 1120)</f>
        <v>0</v>
      </c>
      <c r="S1125" cm="1">
        <f t="array" aca="1" ref="S1125" ca="1">INDIRECT("Data!M" &amp; 1120)</f>
        <v>0</v>
      </c>
      <c r="T1125" cm="1">
        <f t="array" aca="1" ref="T1125" ca="1">INDIRECT("Data!N" &amp; 1120)</f>
        <v>0</v>
      </c>
      <c r="U1125" cm="1">
        <f t="array" aca="1" ref="U1125" ca="1">INDIRECT("Data!O" &amp; 1120)</f>
        <v>0</v>
      </c>
      <c r="V1125" cm="1">
        <f t="array" aca="1" ref="V1125" ca="1">INDIRECT("Data!P" &amp; 1120)</f>
        <v>0</v>
      </c>
    </row>
    <row r="1126" spans="7:22" x14ac:dyDescent="0.25">
      <c r="G1126" cm="1">
        <f t="array" aca="1" ref="G1126" ca="1">INDIRECT("Data!A" &amp; 1121)</f>
        <v>0</v>
      </c>
      <c r="H1126" s="21" cm="1">
        <f t="array" aca="1" ref="H1126" ca="1">INDIRECT("Data!B" &amp; 1121)</f>
        <v>0</v>
      </c>
      <c r="I1126" s="21" cm="1">
        <f t="array" aca="1" ref="I1126" ca="1">INDIRECT("Data!C" &amp; 1121)</f>
        <v>0</v>
      </c>
      <c r="J1126" cm="1">
        <f t="array" aca="1" ref="J1126" ca="1">INDIRECT("Data!D" &amp; 1121)</f>
        <v>0</v>
      </c>
      <c r="K1126" cm="1">
        <f t="array" aca="1" ref="K1126" ca="1">INDIRECT("Data!E" &amp; 1121)</f>
        <v>0</v>
      </c>
      <c r="L1126" cm="1">
        <f t="array" aca="1" ref="L1126" ca="1">INDIRECT("Data!F" &amp; 1121)</f>
        <v>0</v>
      </c>
      <c r="M1126" cm="1">
        <f t="array" aca="1" ref="M1126" ca="1">INDIRECT("Data!G" &amp; 1121)</f>
        <v>0</v>
      </c>
      <c r="N1126" cm="1">
        <f t="array" aca="1" ref="N1126" ca="1">INDIRECT("Data!H" &amp; 1121)</f>
        <v>0</v>
      </c>
      <c r="O1126" cm="1">
        <f t="array" aca="1" ref="O1126" ca="1">INDIRECT("Data!I" &amp; 1121)</f>
        <v>0</v>
      </c>
      <c r="P1126" s="21" cm="1">
        <f t="array" aca="1" ref="P1126" ca="1">INDIRECT("Data!J" &amp; 1121)</f>
        <v>0</v>
      </c>
      <c r="Q1126" cm="1">
        <f t="array" aca="1" ref="Q1126" ca="1">INDIRECT("Data!K" &amp; 1121)</f>
        <v>0</v>
      </c>
      <c r="R1126" cm="1">
        <f t="array" aca="1" ref="R1126" ca="1">INDIRECT("Data!L" &amp; 1121)</f>
        <v>0</v>
      </c>
      <c r="S1126" cm="1">
        <f t="array" aca="1" ref="S1126" ca="1">INDIRECT("Data!M" &amp; 1121)</f>
        <v>0</v>
      </c>
      <c r="T1126" cm="1">
        <f t="array" aca="1" ref="T1126" ca="1">INDIRECT("Data!N" &amp; 1121)</f>
        <v>0</v>
      </c>
      <c r="U1126" cm="1">
        <f t="array" aca="1" ref="U1126" ca="1">INDIRECT("Data!O" &amp; 1121)</f>
        <v>0</v>
      </c>
      <c r="V1126" cm="1">
        <f t="array" aca="1" ref="V1126" ca="1">INDIRECT("Data!P" &amp; 1121)</f>
        <v>0</v>
      </c>
    </row>
    <row r="1127" spans="7:22" x14ac:dyDescent="0.25">
      <c r="G1127" cm="1">
        <f t="array" aca="1" ref="G1127" ca="1">INDIRECT("Data!A" &amp; 1122)</f>
        <v>0</v>
      </c>
      <c r="H1127" s="21" cm="1">
        <f t="array" aca="1" ref="H1127" ca="1">INDIRECT("Data!B" &amp; 1122)</f>
        <v>0</v>
      </c>
      <c r="I1127" s="21" cm="1">
        <f t="array" aca="1" ref="I1127" ca="1">INDIRECT("Data!C" &amp; 1122)</f>
        <v>0</v>
      </c>
      <c r="J1127" cm="1">
        <f t="array" aca="1" ref="J1127" ca="1">INDIRECT("Data!D" &amp; 1122)</f>
        <v>0</v>
      </c>
      <c r="K1127" cm="1">
        <f t="array" aca="1" ref="K1127" ca="1">INDIRECT("Data!E" &amp; 1122)</f>
        <v>0</v>
      </c>
      <c r="L1127" cm="1">
        <f t="array" aca="1" ref="L1127" ca="1">INDIRECT("Data!F" &amp; 1122)</f>
        <v>0</v>
      </c>
      <c r="M1127" cm="1">
        <f t="array" aca="1" ref="M1127" ca="1">INDIRECT("Data!G" &amp; 1122)</f>
        <v>0</v>
      </c>
      <c r="N1127" cm="1">
        <f t="array" aca="1" ref="N1127" ca="1">INDIRECT("Data!H" &amp; 1122)</f>
        <v>0</v>
      </c>
      <c r="O1127" cm="1">
        <f t="array" aca="1" ref="O1127" ca="1">INDIRECT("Data!I" &amp; 1122)</f>
        <v>0</v>
      </c>
      <c r="P1127" s="21" cm="1">
        <f t="array" aca="1" ref="P1127" ca="1">INDIRECT("Data!J" &amp; 1122)</f>
        <v>0</v>
      </c>
      <c r="Q1127" cm="1">
        <f t="array" aca="1" ref="Q1127" ca="1">INDIRECT("Data!K" &amp; 1122)</f>
        <v>0</v>
      </c>
      <c r="R1127" cm="1">
        <f t="array" aca="1" ref="R1127" ca="1">INDIRECT("Data!L" &amp; 1122)</f>
        <v>0</v>
      </c>
      <c r="S1127" cm="1">
        <f t="array" aca="1" ref="S1127" ca="1">INDIRECT("Data!M" &amp; 1122)</f>
        <v>0</v>
      </c>
      <c r="T1127" cm="1">
        <f t="array" aca="1" ref="T1127" ca="1">INDIRECT("Data!N" &amp; 1122)</f>
        <v>0</v>
      </c>
      <c r="U1127" cm="1">
        <f t="array" aca="1" ref="U1127" ca="1">INDIRECT("Data!O" &amp; 1122)</f>
        <v>0</v>
      </c>
      <c r="V1127" cm="1">
        <f t="array" aca="1" ref="V1127" ca="1">INDIRECT("Data!P" &amp; 1122)</f>
        <v>0</v>
      </c>
    </row>
    <row r="1128" spans="7:22" x14ac:dyDescent="0.25">
      <c r="G1128" cm="1">
        <f t="array" aca="1" ref="G1128" ca="1">INDIRECT("Data!A" &amp; 1123)</f>
        <v>0</v>
      </c>
      <c r="H1128" s="21" cm="1">
        <f t="array" aca="1" ref="H1128" ca="1">INDIRECT("Data!B" &amp; 1123)</f>
        <v>0</v>
      </c>
      <c r="I1128" s="21" cm="1">
        <f t="array" aca="1" ref="I1128" ca="1">INDIRECT("Data!C" &amp; 1123)</f>
        <v>0</v>
      </c>
      <c r="J1128" cm="1">
        <f t="array" aca="1" ref="J1128" ca="1">INDIRECT("Data!D" &amp; 1123)</f>
        <v>0</v>
      </c>
      <c r="K1128" cm="1">
        <f t="array" aca="1" ref="K1128" ca="1">INDIRECT("Data!E" &amp; 1123)</f>
        <v>0</v>
      </c>
      <c r="L1128" cm="1">
        <f t="array" aca="1" ref="L1128" ca="1">INDIRECT("Data!F" &amp; 1123)</f>
        <v>0</v>
      </c>
      <c r="M1128" cm="1">
        <f t="array" aca="1" ref="M1128" ca="1">INDIRECT("Data!G" &amp; 1123)</f>
        <v>0</v>
      </c>
      <c r="N1128" cm="1">
        <f t="array" aca="1" ref="N1128" ca="1">INDIRECT("Data!H" &amp; 1123)</f>
        <v>0</v>
      </c>
      <c r="O1128" cm="1">
        <f t="array" aca="1" ref="O1128" ca="1">INDIRECT("Data!I" &amp; 1123)</f>
        <v>0</v>
      </c>
      <c r="P1128" s="21" cm="1">
        <f t="array" aca="1" ref="P1128" ca="1">INDIRECT("Data!J" &amp; 1123)</f>
        <v>0</v>
      </c>
      <c r="Q1128" cm="1">
        <f t="array" aca="1" ref="Q1128" ca="1">INDIRECT("Data!K" &amp; 1123)</f>
        <v>0</v>
      </c>
      <c r="R1128" cm="1">
        <f t="array" aca="1" ref="R1128" ca="1">INDIRECT("Data!L" &amp; 1123)</f>
        <v>0</v>
      </c>
      <c r="S1128" cm="1">
        <f t="array" aca="1" ref="S1128" ca="1">INDIRECT("Data!M" &amp; 1123)</f>
        <v>0</v>
      </c>
      <c r="T1128" cm="1">
        <f t="array" aca="1" ref="T1128" ca="1">INDIRECT("Data!N" &amp; 1123)</f>
        <v>0</v>
      </c>
      <c r="U1128" cm="1">
        <f t="array" aca="1" ref="U1128" ca="1">INDIRECT("Data!O" &amp; 1123)</f>
        <v>0</v>
      </c>
      <c r="V1128" cm="1">
        <f t="array" aca="1" ref="V1128" ca="1">INDIRECT("Data!P" &amp; 1123)</f>
        <v>0</v>
      </c>
    </row>
    <row r="1129" spans="7:22" x14ac:dyDescent="0.25">
      <c r="G1129" cm="1">
        <f t="array" aca="1" ref="G1129" ca="1">INDIRECT("Data!A" &amp; 1124)</f>
        <v>0</v>
      </c>
      <c r="H1129" s="21" cm="1">
        <f t="array" aca="1" ref="H1129" ca="1">INDIRECT("Data!B" &amp; 1124)</f>
        <v>0</v>
      </c>
      <c r="I1129" s="21" cm="1">
        <f t="array" aca="1" ref="I1129" ca="1">INDIRECT("Data!C" &amp; 1124)</f>
        <v>0</v>
      </c>
      <c r="J1129" cm="1">
        <f t="array" aca="1" ref="J1129" ca="1">INDIRECT("Data!D" &amp; 1124)</f>
        <v>0</v>
      </c>
      <c r="K1129" cm="1">
        <f t="array" aca="1" ref="K1129" ca="1">INDIRECT("Data!E" &amp; 1124)</f>
        <v>0</v>
      </c>
      <c r="L1129" cm="1">
        <f t="array" aca="1" ref="L1129" ca="1">INDIRECT("Data!F" &amp; 1124)</f>
        <v>0</v>
      </c>
      <c r="M1129" cm="1">
        <f t="array" aca="1" ref="M1129" ca="1">INDIRECT("Data!G" &amp; 1124)</f>
        <v>0</v>
      </c>
      <c r="N1129" cm="1">
        <f t="array" aca="1" ref="N1129" ca="1">INDIRECT("Data!H" &amp; 1124)</f>
        <v>0</v>
      </c>
      <c r="O1129" cm="1">
        <f t="array" aca="1" ref="O1129" ca="1">INDIRECT("Data!I" &amp; 1124)</f>
        <v>0</v>
      </c>
      <c r="P1129" s="21" cm="1">
        <f t="array" aca="1" ref="P1129" ca="1">INDIRECT("Data!J" &amp; 1124)</f>
        <v>0</v>
      </c>
      <c r="Q1129" cm="1">
        <f t="array" aca="1" ref="Q1129" ca="1">INDIRECT("Data!K" &amp; 1124)</f>
        <v>0</v>
      </c>
      <c r="R1129" cm="1">
        <f t="array" aca="1" ref="R1129" ca="1">INDIRECT("Data!L" &amp; 1124)</f>
        <v>0</v>
      </c>
      <c r="S1129" cm="1">
        <f t="array" aca="1" ref="S1129" ca="1">INDIRECT("Data!M" &amp; 1124)</f>
        <v>0</v>
      </c>
      <c r="T1129" cm="1">
        <f t="array" aca="1" ref="T1129" ca="1">INDIRECT("Data!N" &amp; 1124)</f>
        <v>0</v>
      </c>
      <c r="U1129" cm="1">
        <f t="array" aca="1" ref="U1129" ca="1">INDIRECT("Data!O" &amp; 1124)</f>
        <v>0</v>
      </c>
      <c r="V1129" cm="1">
        <f t="array" aca="1" ref="V1129" ca="1">INDIRECT("Data!P" &amp; 1124)</f>
        <v>0</v>
      </c>
    </row>
    <row r="1130" spans="7:22" x14ac:dyDescent="0.25">
      <c r="G1130" cm="1">
        <f t="array" aca="1" ref="G1130" ca="1">INDIRECT("Data!A" &amp; 1125)</f>
        <v>0</v>
      </c>
      <c r="H1130" s="21" cm="1">
        <f t="array" aca="1" ref="H1130" ca="1">INDIRECT("Data!B" &amp; 1125)</f>
        <v>0</v>
      </c>
      <c r="I1130" s="21" cm="1">
        <f t="array" aca="1" ref="I1130" ca="1">INDIRECT("Data!C" &amp; 1125)</f>
        <v>0</v>
      </c>
      <c r="J1130" cm="1">
        <f t="array" aca="1" ref="J1130" ca="1">INDIRECT("Data!D" &amp; 1125)</f>
        <v>0</v>
      </c>
      <c r="K1130" cm="1">
        <f t="array" aca="1" ref="K1130" ca="1">INDIRECT("Data!E" &amp; 1125)</f>
        <v>0</v>
      </c>
      <c r="L1130" cm="1">
        <f t="array" aca="1" ref="L1130" ca="1">INDIRECT("Data!F" &amp; 1125)</f>
        <v>0</v>
      </c>
      <c r="M1130" cm="1">
        <f t="array" aca="1" ref="M1130" ca="1">INDIRECT("Data!G" &amp; 1125)</f>
        <v>0</v>
      </c>
      <c r="N1130" cm="1">
        <f t="array" aca="1" ref="N1130" ca="1">INDIRECT("Data!H" &amp; 1125)</f>
        <v>0</v>
      </c>
      <c r="O1130" cm="1">
        <f t="array" aca="1" ref="O1130" ca="1">INDIRECT("Data!I" &amp; 1125)</f>
        <v>0</v>
      </c>
      <c r="P1130" s="21" cm="1">
        <f t="array" aca="1" ref="P1130" ca="1">INDIRECT("Data!J" &amp; 1125)</f>
        <v>0</v>
      </c>
      <c r="Q1130" cm="1">
        <f t="array" aca="1" ref="Q1130" ca="1">INDIRECT("Data!K" &amp; 1125)</f>
        <v>0</v>
      </c>
      <c r="R1130" cm="1">
        <f t="array" aca="1" ref="R1130" ca="1">INDIRECT("Data!L" &amp; 1125)</f>
        <v>0</v>
      </c>
      <c r="S1130" cm="1">
        <f t="array" aca="1" ref="S1130" ca="1">INDIRECT("Data!M" &amp; 1125)</f>
        <v>0</v>
      </c>
      <c r="T1130" cm="1">
        <f t="array" aca="1" ref="T1130" ca="1">INDIRECT("Data!N" &amp; 1125)</f>
        <v>0</v>
      </c>
      <c r="U1130" cm="1">
        <f t="array" aca="1" ref="U1130" ca="1">INDIRECT("Data!O" &amp; 1125)</f>
        <v>0</v>
      </c>
      <c r="V1130" cm="1">
        <f t="array" aca="1" ref="V1130" ca="1">INDIRECT("Data!P" &amp; 1125)</f>
        <v>0</v>
      </c>
    </row>
    <row r="1131" spans="7:22" x14ac:dyDescent="0.25">
      <c r="G1131" cm="1">
        <f t="array" aca="1" ref="G1131" ca="1">INDIRECT("Data!A" &amp; 1126)</f>
        <v>0</v>
      </c>
      <c r="H1131" s="21" cm="1">
        <f t="array" aca="1" ref="H1131" ca="1">INDIRECT("Data!B" &amp; 1126)</f>
        <v>0</v>
      </c>
      <c r="I1131" s="21" cm="1">
        <f t="array" aca="1" ref="I1131" ca="1">INDIRECT("Data!C" &amp; 1126)</f>
        <v>0</v>
      </c>
      <c r="J1131" cm="1">
        <f t="array" aca="1" ref="J1131" ca="1">INDIRECT("Data!D" &amp; 1126)</f>
        <v>0</v>
      </c>
      <c r="K1131" cm="1">
        <f t="array" aca="1" ref="K1131" ca="1">INDIRECT("Data!E" &amp; 1126)</f>
        <v>0</v>
      </c>
      <c r="L1131" cm="1">
        <f t="array" aca="1" ref="L1131" ca="1">INDIRECT("Data!F" &amp; 1126)</f>
        <v>0</v>
      </c>
      <c r="M1131" cm="1">
        <f t="array" aca="1" ref="M1131" ca="1">INDIRECT("Data!G" &amp; 1126)</f>
        <v>0</v>
      </c>
      <c r="N1131" cm="1">
        <f t="array" aca="1" ref="N1131" ca="1">INDIRECT("Data!H" &amp; 1126)</f>
        <v>0</v>
      </c>
      <c r="O1131" cm="1">
        <f t="array" aca="1" ref="O1131" ca="1">INDIRECT("Data!I" &amp; 1126)</f>
        <v>0</v>
      </c>
      <c r="P1131" s="21" cm="1">
        <f t="array" aca="1" ref="P1131" ca="1">INDIRECT("Data!J" &amp; 1126)</f>
        <v>0</v>
      </c>
      <c r="Q1131" cm="1">
        <f t="array" aca="1" ref="Q1131" ca="1">INDIRECT("Data!K" &amp; 1126)</f>
        <v>0</v>
      </c>
      <c r="R1131" cm="1">
        <f t="array" aca="1" ref="R1131" ca="1">INDIRECT("Data!L" &amp; 1126)</f>
        <v>0</v>
      </c>
      <c r="S1131" cm="1">
        <f t="array" aca="1" ref="S1131" ca="1">INDIRECT("Data!M" &amp; 1126)</f>
        <v>0</v>
      </c>
      <c r="T1131" cm="1">
        <f t="array" aca="1" ref="T1131" ca="1">INDIRECT("Data!N" &amp; 1126)</f>
        <v>0</v>
      </c>
      <c r="U1131" cm="1">
        <f t="array" aca="1" ref="U1131" ca="1">INDIRECT("Data!O" &amp; 1126)</f>
        <v>0</v>
      </c>
      <c r="V1131" cm="1">
        <f t="array" aca="1" ref="V1131" ca="1">INDIRECT("Data!P" &amp; 1126)</f>
        <v>0</v>
      </c>
    </row>
    <row r="1132" spans="7:22" x14ac:dyDescent="0.25">
      <c r="G1132" cm="1">
        <f t="array" aca="1" ref="G1132" ca="1">INDIRECT("Data!A" &amp; 1127)</f>
        <v>0</v>
      </c>
      <c r="H1132" s="21" cm="1">
        <f t="array" aca="1" ref="H1132" ca="1">INDIRECT("Data!B" &amp; 1127)</f>
        <v>0</v>
      </c>
      <c r="I1132" s="21" cm="1">
        <f t="array" aca="1" ref="I1132" ca="1">INDIRECT("Data!C" &amp; 1127)</f>
        <v>0</v>
      </c>
      <c r="J1132" cm="1">
        <f t="array" aca="1" ref="J1132" ca="1">INDIRECT("Data!D" &amp; 1127)</f>
        <v>0</v>
      </c>
      <c r="K1132" cm="1">
        <f t="array" aca="1" ref="K1132" ca="1">INDIRECT("Data!E" &amp; 1127)</f>
        <v>0</v>
      </c>
      <c r="L1132" cm="1">
        <f t="array" aca="1" ref="L1132" ca="1">INDIRECT("Data!F" &amp; 1127)</f>
        <v>0</v>
      </c>
      <c r="M1132" cm="1">
        <f t="array" aca="1" ref="M1132" ca="1">INDIRECT("Data!G" &amp; 1127)</f>
        <v>0</v>
      </c>
      <c r="N1132" cm="1">
        <f t="array" aca="1" ref="N1132" ca="1">INDIRECT("Data!H" &amp; 1127)</f>
        <v>0</v>
      </c>
      <c r="O1132" cm="1">
        <f t="array" aca="1" ref="O1132" ca="1">INDIRECT("Data!I" &amp; 1127)</f>
        <v>0</v>
      </c>
      <c r="P1132" s="21" cm="1">
        <f t="array" aca="1" ref="P1132" ca="1">INDIRECT("Data!J" &amp; 1127)</f>
        <v>0</v>
      </c>
      <c r="Q1132" cm="1">
        <f t="array" aca="1" ref="Q1132" ca="1">INDIRECT("Data!K" &amp; 1127)</f>
        <v>0</v>
      </c>
      <c r="R1132" cm="1">
        <f t="array" aca="1" ref="R1132" ca="1">INDIRECT("Data!L" &amp; 1127)</f>
        <v>0</v>
      </c>
      <c r="S1132" cm="1">
        <f t="array" aca="1" ref="S1132" ca="1">INDIRECT("Data!M" &amp; 1127)</f>
        <v>0</v>
      </c>
      <c r="T1132" cm="1">
        <f t="array" aca="1" ref="T1132" ca="1">INDIRECT("Data!N" &amp; 1127)</f>
        <v>0</v>
      </c>
      <c r="U1132" cm="1">
        <f t="array" aca="1" ref="U1132" ca="1">INDIRECT("Data!O" &amp; 1127)</f>
        <v>0</v>
      </c>
      <c r="V1132" cm="1">
        <f t="array" aca="1" ref="V1132" ca="1">INDIRECT("Data!P" &amp; 1127)</f>
        <v>0</v>
      </c>
    </row>
    <row r="1133" spans="7:22" x14ac:dyDescent="0.25">
      <c r="G1133" cm="1">
        <f t="array" aca="1" ref="G1133" ca="1">INDIRECT("Data!A" &amp; 1128)</f>
        <v>0</v>
      </c>
      <c r="H1133" s="21" cm="1">
        <f t="array" aca="1" ref="H1133" ca="1">INDIRECT("Data!B" &amp; 1128)</f>
        <v>0</v>
      </c>
      <c r="I1133" s="21" cm="1">
        <f t="array" aca="1" ref="I1133" ca="1">INDIRECT("Data!C" &amp; 1128)</f>
        <v>0</v>
      </c>
      <c r="J1133" cm="1">
        <f t="array" aca="1" ref="J1133" ca="1">INDIRECT("Data!D" &amp; 1128)</f>
        <v>0</v>
      </c>
      <c r="K1133" cm="1">
        <f t="array" aca="1" ref="K1133" ca="1">INDIRECT("Data!E" &amp; 1128)</f>
        <v>0</v>
      </c>
      <c r="L1133" cm="1">
        <f t="array" aca="1" ref="L1133" ca="1">INDIRECT("Data!F" &amp; 1128)</f>
        <v>0</v>
      </c>
      <c r="M1133" cm="1">
        <f t="array" aca="1" ref="M1133" ca="1">INDIRECT("Data!G" &amp; 1128)</f>
        <v>0</v>
      </c>
      <c r="N1133" cm="1">
        <f t="array" aca="1" ref="N1133" ca="1">INDIRECT("Data!H" &amp; 1128)</f>
        <v>0</v>
      </c>
      <c r="O1133" cm="1">
        <f t="array" aca="1" ref="O1133" ca="1">INDIRECT("Data!I" &amp; 1128)</f>
        <v>0</v>
      </c>
      <c r="P1133" s="21" cm="1">
        <f t="array" aca="1" ref="P1133" ca="1">INDIRECT("Data!J" &amp; 1128)</f>
        <v>0</v>
      </c>
      <c r="Q1133" cm="1">
        <f t="array" aca="1" ref="Q1133" ca="1">INDIRECT("Data!K" &amp; 1128)</f>
        <v>0</v>
      </c>
      <c r="R1133" cm="1">
        <f t="array" aca="1" ref="R1133" ca="1">INDIRECT("Data!L" &amp; 1128)</f>
        <v>0</v>
      </c>
      <c r="S1133" cm="1">
        <f t="array" aca="1" ref="S1133" ca="1">INDIRECT("Data!M" &amp; 1128)</f>
        <v>0</v>
      </c>
      <c r="T1133" cm="1">
        <f t="array" aca="1" ref="T1133" ca="1">INDIRECT("Data!N" &amp; 1128)</f>
        <v>0</v>
      </c>
      <c r="U1133" cm="1">
        <f t="array" aca="1" ref="U1133" ca="1">INDIRECT("Data!O" &amp; 1128)</f>
        <v>0</v>
      </c>
      <c r="V1133" cm="1">
        <f t="array" aca="1" ref="V1133" ca="1">INDIRECT("Data!P" &amp; 1128)</f>
        <v>0</v>
      </c>
    </row>
    <row r="1134" spans="7:22" x14ac:dyDescent="0.25">
      <c r="G1134" cm="1">
        <f t="array" aca="1" ref="G1134" ca="1">INDIRECT("Data!A" &amp; 1129)</f>
        <v>0</v>
      </c>
      <c r="H1134" s="21" cm="1">
        <f t="array" aca="1" ref="H1134" ca="1">INDIRECT("Data!B" &amp; 1129)</f>
        <v>0</v>
      </c>
      <c r="I1134" s="21" cm="1">
        <f t="array" aca="1" ref="I1134" ca="1">INDIRECT("Data!C" &amp; 1129)</f>
        <v>0</v>
      </c>
      <c r="J1134" cm="1">
        <f t="array" aca="1" ref="J1134" ca="1">INDIRECT("Data!D" &amp; 1129)</f>
        <v>0</v>
      </c>
      <c r="K1134" cm="1">
        <f t="array" aca="1" ref="K1134" ca="1">INDIRECT("Data!E" &amp; 1129)</f>
        <v>0</v>
      </c>
      <c r="L1134" cm="1">
        <f t="array" aca="1" ref="L1134" ca="1">INDIRECT("Data!F" &amp; 1129)</f>
        <v>0</v>
      </c>
      <c r="M1134" cm="1">
        <f t="array" aca="1" ref="M1134" ca="1">INDIRECT("Data!G" &amp; 1129)</f>
        <v>0</v>
      </c>
      <c r="N1134" cm="1">
        <f t="array" aca="1" ref="N1134" ca="1">INDIRECT("Data!H" &amp; 1129)</f>
        <v>0</v>
      </c>
      <c r="O1134" cm="1">
        <f t="array" aca="1" ref="O1134" ca="1">INDIRECT("Data!I" &amp; 1129)</f>
        <v>0</v>
      </c>
      <c r="P1134" s="21" cm="1">
        <f t="array" aca="1" ref="P1134" ca="1">INDIRECT("Data!J" &amp; 1129)</f>
        <v>0</v>
      </c>
      <c r="Q1134" cm="1">
        <f t="array" aca="1" ref="Q1134" ca="1">INDIRECT("Data!K" &amp; 1129)</f>
        <v>0</v>
      </c>
      <c r="R1134" cm="1">
        <f t="array" aca="1" ref="R1134" ca="1">INDIRECT("Data!L" &amp; 1129)</f>
        <v>0</v>
      </c>
      <c r="S1134" cm="1">
        <f t="array" aca="1" ref="S1134" ca="1">INDIRECT("Data!M" &amp; 1129)</f>
        <v>0</v>
      </c>
      <c r="T1134" cm="1">
        <f t="array" aca="1" ref="T1134" ca="1">INDIRECT("Data!N" &amp; 1129)</f>
        <v>0</v>
      </c>
      <c r="U1134" cm="1">
        <f t="array" aca="1" ref="U1134" ca="1">INDIRECT("Data!O" &amp; 1129)</f>
        <v>0</v>
      </c>
      <c r="V1134" cm="1">
        <f t="array" aca="1" ref="V1134" ca="1">INDIRECT("Data!P" &amp; 1129)</f>
        <v>0</v>
      </c>
    </row>
    <row r="1135" spans="7:22" x14ac:dyDescent="0.25">
      <c r="G1135" cm="1">
        <f t="array" aca="1" ref="G1135" ca="1">INDIRECT("Data!A" &amp; 1130)</f>
        <v>0</v>
      </c>
      <c r="H1135" s="21" cm="1">
        <f t="array" aca="1" ref="H1135" ca="1">INDIRECT("Data!B" &amp; 1130)</f>
        <v>0</v>
      </c>
      <c r="I1135" s="21" cm="1">
        <f t="array" aca="1" ref="I1135" ca="1">INDIRECT("Data!C" &amp; 1130)</f>
        <v>0</v>
      </c>
      <c r="J1135" cm="1">
        <f t="array" aca="1" ref="J1135" ca="1">INDIRECT("Data!D" &amp; 1130)</f>
        <v>0</v>
      </c>
      <c r="K1135" cm="1">
        <f t="array" aca="1" ref="K1135" ca="1">INDIRECT("Data!E" &amp; 1130)</f>
        <v>0</v>
      </c>
      <c r="L1135" cm="1">
        <f t="array" aca="1" ref="L1135" ca="1">INDIRECT("Data!F" &amp; 1130)</f>
        <v>0</v>
      </c>
      <c r="M1135" cm="1">
        <f t="array" aca="1" ref="M1135" ca="1">INDIRECT("Data!G" &amp; 1130)</f>
        <v>0</v>
      </c>
      <c r="N1135" cm="1">
        <f t="array" aca="1" ref="N1135" ca="1">INDIRECT("Data!H" &amp; 1130)</f>
        <v>0</v>
      </c>
      <c r="O1135" cm="1">
        <f t="array" aca="1" ref="O1135" ca="1">INDIRECT("Data!I" &amp; 1130)</f>
        <v>0</v>
      </c>
      <c r="P1135" s="21" cm="1">
        <f t="array" aca="1" ref="P1135" ca="1">INDIRECT("Data!J" &amp; 1130)</f>
        <v>0</v>
      </c>
      <c r="Q1135" cm="1">
        <f t="array" aca="1" ref="Q1135" ca="1">INDIRECT("Data!K" &amp; 1130)</f>
        <v>0</v>
      </c>
      <c r="R1135" cm="1">
        <f t="array" aca="1" ref="R1135" ca="1">INDIRECT("Data!L" &amp; 1130)</f>
        <v>0</v>
      </c>
      <c r="S1135" cm="1">
        <f t="array" aca="1" ref="S1135" ca="1">INDIRECT("Data!M" &amp; 1130)</f>
        <v>0</v>
      </c>
      <c r="T1135" cm="1">
        <f t="array" aca="1" ref="T1135" ca="1">INDIRECT("Data!N" &amp; 1130)</f>
        <v>0</v>
      </c>
      <c r="U1135" cm="1">
        <f t="array" aca="1" ref="U1135" ca="1">INDIRECT("Data!O" &amp; 1130)</f>
        <v>0</v>
      </c>
      <c r="V1135" cm="1">
        <f t="array" aca="1" ref="V1135" ca="1">INDIRECT("Data!P" &amp; 1130)</f>
        <v>0</v>
      </c>
    </row>
    <row r="1136" spans="7:22" x14ac:dyDescent="0.25">
      <c r="G1136" cm="1">
        <f t="array" aca="1" ref="G1136" ca="1">INDIRECT("Data!A" &amp; 1131)</f>
        <v>0</v>
      </c>
      <c r="H1136" s="21" cm="1">
        <f t="array" aca="1" ref="H1136" ca="1">INDIRECT("Data!B" &amp; 1131)</f>
        <v>0</v>
      </c>
      <c r="I1136" s="21" cm="1">
        <f t="array" aca="1" ref="I1136" ca="1">INDIRECT("Data!C" &amp; 1131)</f>
        <v>0</v>
      </c>
      <c r="J1136" cm="1">
        <f t="array" aca="1" ref="J1136" ca="1">INDIRECT("Data!D" &amp; 1131)</f>
        <v>0</v>
      </c>
      <c r="K1136" cm="1">
        <f t="array" aca="1" ref="K1136" ca="1">INDIRECT("Data!E" &amp; 1131)</f>
        <v>0</v>
      </c>
      <c r="L1136" cm="1">
        <f t="array" aca="1" ref="L1136" ca="1">INDIRECT("Data!F" &amp; 1131)</f>
        <v>0</v>
      </c>
      <c r="M1136" cm="1">
        <f t="array" aca="1" ref="M1136" ca="1">INDIRECT("Data!G" &amp; 1131)</f>
        <v>0</v>
      </c>
      <c r="N1136" cm="1">
        <f t="array" aca="1" ref="N1136" ca="1">INDIRECT("Data!H" &amp; 1131)</f>
        <v>0</v>
      </c>
      <c r="O1136" cm="1">
        <f t="array" aca="1" ref="O1136" ca="1">INDIRECT("Data!I" &amp; 1131)</f>
        <v>0</v>
      </c>
      <c r="P1136" s="21" cm="1">
        <f t="array" aca="1" ref="P1136" ca="1">INDIRECT("Data!J" &amp; 1131)</f>
        <v>0</v>
      </c>
      <c r="Q1136" cm="1">
        <f t="array" aca="1" ref="Q1136" ca="1">INDIRECT("Data!K" &amp; 1131)</f>
        <v>0</v>
      </c>
      <c r="R1136" cm="1">
        <f t="array" aca="1" ref="R1136" ca="1">INDIRECT("Data!L" &amp; 1131)</f>
        <v>0</v>
      </c>
      <c r="S1136" cm="1">
        <f t="array" aca="1" ref="S1136" ca="1">INDIRECT("Data!M" &amp; 1131)</f>
        <v>0</v>
      </c>
      <c r="T1136" cm="1">
        <f t="array" aca="1" ref="T1136" ca="1">INDIRECT("Data!N" &amp; 1131)</f>
        <v>0</v>
      </c>
      <c r="U1136" cm="1">
        <f t="array" aca="1" ref="U1136" ca="1">INDIRECT("Data!O" &amp; 1131)</f>
        <v>0</v>
      </c>
      <c r="V1136" cm="1">
        <f t="array" aca="1" ref="V1136" ca="1">INDIRECT("Data!P" &amp; 1131)</f>
        <v>0</v>
      </c>
    </row>
    <row r="1137" spans="7:22" x14ac:dyDescent="0.25">
      <c r="G1137" cm="1">
        <f t="array" aca="1" ref="G1137" ca="1">INDIRECT("Data!A" &amp; 1132)</f>
        <v>0</v>
      </c>
      <c r="H1137" s="21" cm="1">
        <f t="array" aca="1" ref="H1137" ca="1">INDIRECT("Data!B" &amp; 1132)</f>
        <v>0</v>
      </c>
      <c r="I1137" s="21" cm="1">
        <f t="array" aca="1" ref="I1137" ca="1">INDIRECT("Data!C" &amp; 1132)</f>
        <v>0</v>
      </c>
      <c r="J1137" cm="1">
        <f t="array" aca="1" ref="J1137" ca="1">INDIRECT("Data!D" &amp; 1132)</f>
        <v>0</v>
      </c>
      <c r="K1137" cm="1">
        <f t="array" aca="1" ref="K1137" ca="1">INDIRECT("Data!E" &amp; 1132)</f>
        <v>0</v>
      </c>
      <c r="L1137" cm="1">
        <f t="array" aca="1" ref="L1137" ca="1">INDIRECT("Data!F" &amp; 1132)</f>
        <v>0</v>
      </c>
      <c r="M1137" cm="1">
        <f t="array" aca="1" ref="M1137" ca="1">INDIRECT("Data!G" &amp; 1132)</f>
        <v>0</v>
      </c>
      <c r="N1137" cm="1">
        <f t="array" aca="1" ref="N1137" ca="1">INDIRECT("Data!H" &amp; 1132)</f>
        <v>0</v>
      </c>
      <c r="O1137" cm="1">
        <f t="array" aca="1" ref="O1137" ca="1">INDIRECT("Data!I" &amp; 1132)</f>
        <v>0</v>
      </c>
      <c r="P1137" s="21" cm="1">
        <f t="array" aca="1" ref="P1137" ca="1">INDIRECT("Data!J" &amp; 1132)</f>
        <v>0</v>
      </c>
      <c r="Q1137" cm="1">
        <f t="array" aca="1" ref="Q1137" ca="1">INDIRECT("Data!K" &amp; 1132)</f>
        <v>0</v>
      </c>
      <c r="R1137" cm="1">
        <f t="array" aca="1" ref="R1137" ca="1">INDIRECT("Data!L" &amp; 1132)</f>
        <v>0</v>
      </c>
      <c r="S1137" cm="1">
        <f t="array" aca="1" ref="S1137" ca="1">INDIRECT("Data!M" &amp; 1132)</f>
        <v>0</v>
      </c>
      <c r="T1137" cm="1">
        <f t="array" aca="1" ref="T1137" ca="1">INDIRECT("Data!N" &amp; 1132)</f>
        <v>0</v>
      </c>
      <c r="U1137" cm="1">
        <f t="array" aca="1" ref="U1137" ca="1">INDIRECT("Data!O" &amp; 1132)</f>
        <v>0</v>
      </c>
      <c r="V1137" cm="1">
        <f t="array" aca="1" ref="V1137" ca="1">INDIRECT("Data!P" &amp; 1132)</f>
        <v>0</v>
      </c>
    </row>
    <row r="1138" spans="7:22" x14ac:dyDescent="0.25">
      <c r="G1138" cm="1">
        <f t="array" aca="1" ref="G1138" ca="1">INDIRECT("Data!A" &amp; 1133)</f>
        <v>0</v>
      </c>
      <c r="H1138" s="21" cm="1">
        <f t="array" aca="1" ref="H1138" ca="1">INDIRECT("Data!B" &amp; 1133)</f>
        <v>0</v>
      </c>
      <c r="I1138" s="21" cm="1">
        <f t="array" aca="1" ref="I1138" ca="1">INDIRECT("Data!C" &amp; 1133)</f>
        <v>0</v>
      </c>
      <c r="J1138" cm="1">
        <f t="array" aca="1" ref="J1138" ca="1">INDIRECT("Data!D" &amp; 1133)</f>
        <v>0</v>
      </c>
      <c r="K1138" cm="1">
        <f t="array" aca="1" ref="K1138" ca="1">INDIRECT("Data!E" &amp; 1133)</f>
        <v>0</v>
      </c>
      <c r="L1138" cm="1">
        <f t="array" aca="1" ref="L1138" ca="1">INDIRECT("Data!F" &amp; 1133)</f>
        <v>0</v>
      </c>
      <c r="M1138" cm="1">
        <f t="array" aca="1" ref="M1138" ca="1">INDIRECT("Data!G" &amp; 1133)</f>
        <v>0</v>
      </c>
      <c r="N1138" cm="1">
        <f t="array" aca="1" ref="N1138" ca="1">INDIRECT("Data!H" &amp; 1133)</f>
        <v>0</v>
      </c>
      <c r="O1138" cm="1">
        <f t="array" aca="1" ref="O1138" ca="1">INDIRECT("Data!I" &amp; 1133)</f>
        <v>0</v>
      </c>
      <c r="P1138" s="21" cm="1">
        <f t="array" aca="1" ref="P1138" ca="1">INDIRECT("Data!J" &amp; 1133)</f>
        <v>0</v>
      </c>
      <c r="Q1138" cm="1">
        <f t="array" aca="1" ref="Q1138" ca="1">INDIRECT("Data!K" &amp; 1133)</f>
        <v>0</v>
      </c>
      <c r="R1138" cm="1">
        <f t="array" aca="1" ref="R1138" ca="1">INDIRECT("Data!L" &amp; 1133)</f>
        <v>0</v>
      </c>
      <c r="S1138" cm="1">
        <f t="array" aca="1" ref="S1138" ca="1">INDIRECT("Data!M" &amp; 1133)</f>
        <v>0</v>
      </c>
      <c r="T1138" cm="1">
        <f t="array" aca="1" ref="T1138" ca="1">INDIRECT("Data!N" &amp; 1133)</f>
        <v>0</v>
      </c>
      <c r="U1138" cm="1">
        <f t="array" aca="1" ref="U1138" ca="1">INDIRECT("Data!O" &amp; 1133)</f>
        <v>0</v>
      </c>
      <c r="V1138" cm="1">
        <f t="array" aca="1" ref="V1138" ca="1">INDIRECT("Data!P" &amp; 1133)</f>
        <v>0</v>
      </c>
    </row>
    <row r="1139" spans="7:22" x14ac:dyDescent="0.25">
      <c r="G1139" cm="1">
        <f t="array" aca="1" ref="G1139" ca="1">INDIRECT("Data!A" &amp; 1134)</f>
        <v>0</v>
      </c>
      <c r="H1139" s="21" cm="1">
        <f t="array" aca="1" ref="H1139" ca="1">INDIRECT("Data!B" &amp; 1134)</f>
        <v>0</v>
      </c>
      <c r="I1139" s="21" cm="1">
        <f t="array" aca="1" ref="I1139" ca="1">INDIRECT("Data!C" &amp; 1134)</f>
        <v>0</v>
      </c>
      <c r="J1139" cm="1">
        <f t="array" aca="1" ref="J1139" ca="1">INDIRECT("Data!D" &amp; 1134)</f>
        <v>0</v>
      </c>
      <c r="K1139" cm="1">
        <f t="array" aca="1" ref="K1139" ca="1">INDIRECT("Data!E" &amp; 1134)</f>
        <v>0</v>
      </c>
      <c r="L1139" cm="1">
        <f t="array" aca="1" ref="L1139" ca="1">INDIRECT("Data!F" &amp; 1134)</f>
        <v>0</v>
      </c>
      <c r="M1139" cm="1">
        <f t="array" aca="1" ref="M1139" ca="1">INDIRECT("Data!G" &amp; 1134)</f>
        <v>0</v>
      </c>
      <c r="N1139" cm="1">
        <f t="array" aca="1" ref="N1139" ca="1">INDIRECT("Data!H" &amp; 1134)</f>
        <v>0</v>
      </c>
      <c r="O1139" cm="1">
        <f t="array" aca="1" ref="O1139" ca="1">INDIRECT("Data!I" &amp; 1134)</f>
        <v>0</v>
      </c>
      <c r="P1139" s="21" cm="1">
        <f t="array" aca="1" ref="P1139" ca="1">INDIRECT("Data!J" &amp; 1134)</f>
        <v>0</v>
      </c>
      <c r="Q1139" cm="1">
        <f t="array" aca="1" ref="Q1139" ca="1">INDIRECT("Data!K" &amp; 1134)</f>
        <v>0</v>
      </c>
      <c r="R1139" cm="1">
        <f t="array" aca="1" ref="R1139" ca="1">INDIRECT("Data!L" &amp; 1134)</f>
        <v>0</v>
      </c>
      <c r="S1139" cm="1">
        <f t="array" aca="1" ref="S1139" ca="1">INDIRECT("Data!M" &amp; 1134)</f>
        <v>0</v>
      </c>
      <c r="T1139" cm="1">
        <f t="array" aca="1" ref="T1139" ca="1">INDIRECT("Data!N" &amp; 1134)</f>
        <v>0</v>
      </c>
      <c r="U1139" cm="1">
        <f t="array" aca="1" ref="U1139" ca="1">INDIRECT("Data!O" &amp; 1134)</f>
        <v>0</v>
      </c>
      <c r="V1139" cm="1">
        <f t="array" aca="1" ref="V1139" ca="1">INDIRECT("Data!P" &amp; 1134)</f>
        <v>0</v>
      </c>
    </row>
    <row r="1140" spans="7:22" x14ac:dyDescent="0.25">
      <c r="G1140" cm="1">
        <f t="array" aca="1" ref="G1140" ca="1">INDIRECT("Data!A" &amp; 1135)</f>
        <v>0</v>
      </c>
      <c r="H1140" s="21" cm="1">
        <f t="array" aca="1" ref="H1140" ca="1">INDIRECT("Data!B" &amp; 1135)</f>
        <v>0</v>
      </c>
      <c r="I1140" s="21" cm="1">
        <f t="array" aca="1" ref="I1140" ca="1">INDIRECT("Data!C" &amp; 1135)</f>
        <v>0</v>
      </c>
      <c r="J1140" cm="1">
        <f t="array" aca="1" ref="J1140" ca="1">INDIRECT("Data!D" &amp; 1135)</f>
        <v>0</v>
      </c>
      <c r="K1140" cm="1">
        <f t="array" aca="1" ref="K1140" ca="1">INDIRECT("Data!E" &amp; 1135)</f>
        <v>0</v>
      </c>
      <c r="L1140" cm="1">
        <f t="array" aca="1" ref="L1140" ca="1">INDIRECT("Data!F" &amp; 1135)</f>
        <v>0</v>
      </c>
      <c r="M1140" cm="1">
        <f t="array" aca="1" ref="M1140" ca="1">INDIRECT("Data!G" &amp; 1135)</f>
        <v>0</v>
      </c>
      <c r="N1140" cm="1">
        <f t="array" aca="1" ref="N1140" ca="1">INDIRECT("Data!H" &amp; 1135)</f>
        <v>0</v>
      </c>
      <c r="O1140" cm="1">
        <f t="array" aca="1" ref="O1140" ca="1">INDIRECT("Data!I" &amp; 1135)</f>
        <v>0</v>
      </c>
      <c r="P1140" s="21" cm="1">
        <f t="array" aca="1" ref="P1140" ca="1">INDIRECT("Data!J" &amp; 1135)</f>
        <v>0</v>
      </c>
      <c r="Q1140" cm="1">
        <f t="array" aca="1" ref="Q1140" ca="1">INDIRECT("Data!K" &amp; 1135)</f>
        <v>0</v>
      </c>
      <c r="R1140" cm="1">
        <f t="array" aca="1" ref="R1140" ca="1">INDIRECT("Data!L" &amp; 1135)</f>
        <v>0</v>
      </c>
      <c r="S1140" cm="1">
        <f t="array" aca="1" ref="S1140" ca="1">INDIRECT("Data!M" &amp; 1135)</f>
        <v>0</v>
      </c>
      <c r="T1140" cm="1">
        <f t="array" aca="1" ref="T1140" ca="1">INDIRECT("Data!N" &amp; 1135)</f>
        <v>0</v>
      </c>
      <c r="U1140" cm="1">
        <f t="array" aca="1" ref="U1140" ca="1">INDIRECT("Data!O" &amp; 1135)</f>
        <v>0</v>
      </c>
      <c r="V1140" cm="1">
        <f t="array" aca="1" ref="V1140" ca="1">INDIRECT("Data!P" &amp; 1135)</f>
        <v>0</v>
      </c>
    </row>
    <row r="1141" spans="7:22" x14ac:dyDescent="0.25">
      <c r="G1141" cm="1">
        <f t="array" aca="1" ref="G1141" ca="1">INDIRECT("Data!A" &amp; 1136)</f>
        <v>0</v>
      </c>
      <c r="H1141" s="21" cm="1">
        <f t="array" aca="1" ref="H1141" ca="1">INDIRECT("Data!B" &amp; 1136)</f>
        <v>0</v>
      </c>
      <c r="I1141" s="21" cm="1">
        <f t="array" aca="1" ref="I1141" ca="1">INDIRECT("Data!C" &amp; 1136)</f>
        <v>0</v>
      </c>
      <c r="J1141" cm="1">
        <f t="array" aca="1" ref="J1141" ca="1">INDIRECT("Data!D" &amp; 1136)</f>
        <v>0</v>
      </c>
      <c r="K1141" cm="1">
        <f t="array" aca="1" ref="K1141" ca="1">INDIRECT("Data!E" &amp; 1136)</f>
        <v>0</v>
      </c>
      <c r="L1141" cm="1">
        <f t="array" aca="1" ref="L1141" ca="1">INDIRECT("Data!F" &amp; 1136)</f>
        <v>0</v>
      </c>
      <c r="M1141" cm="1">
        <f t="array" aca="1" ref="M1141" ca="1">INDIRECT("Data!G" &amp; 1136)</f>
        <v>0</v>
      </c>
      <c r="N1141" cm="1">
        <f t="array" aca="1" ref="N1141" ca="1">INDIRECT("Data!H" &amp; 1136)</f>
        <v>0</v>
      </c>
      <c r="O1141" cm="1">
        <f t="array" aca="1" ref="O1141" ca="1">INDIRECT("Data!I" &amp; 1136)</f>
        <v>0</v>
      </c>
      <c r="P1141" s="21" cm="1">
        <f t="array" aca="1" ref="P1141" ca="1">INDIRECT("Data!J" &amp; 1136)</f>
        <v>0</v>
      </c>
      <c r="Q1141" cm="1">
        <f t="array" aca="1" ref="Q1141" ca="1">INDIRECT("Data!K" &amp; 1136)</f>
        <v>0</v>
      </c>
      <c r="R1141" cm="1">
        <f t="array" aca="1" ref="R1141" ca="1">INDIRECT("Data!L" &amp; 1136)</f>
        <v>0</v>
      </c>
      <c r="S1141" cm="1">
        <f t="array" aca="1" ref="S1141" ca="1">INDIRECT("Data!M" &amp; 1136)</f>
        <v>0</v>
      </c>
      <c r="T1141" cm="1">
        <f t="array" aca="1" ref="T1141" ca="1">INDIRECT("Data!N" &amp; 1136)</f>
        <v>0</v>
      </c>
      <c r="U1141" cm="1">
        <f t="array" aca="1" ref="U1141" ca="1">INDIRECT("Data!O" &amp; 1136)</f>
        <v>0</v>
      </c>
      <c r="V1141" cm="1">
        <f t="array" aca="1" ref="V1141" ca="1">INDIRECT("Data!P" &amp; 1136)</f>
        <v>0</v>
      </c>
    </row>
    <row r="1142" spans="7:22" x14ac:dyDescent="0.25">
      <c r="G1142" cm="1">
        <f t="array" aca="1" ref="G1142" ca="1">INDIRECT("Data!A" &amp; 1137)</f>
        <v>0</v>
      </c>
      <c r="H1142" s="21" cm="1">
        <f t="array" aca="1" ref="H1142" ca="1">INDIRECT("Data!B" &amp; 1137)</f>
        <v>0</v>
      </c>
      <c r="I1142" s="21" cm="1">
        <f t="array" aca="1" ref="I1142" ca="1">INDIRECT("Data!C" &amp; 1137)</f>
        <v>0</v>
      </c>
      <c r="J1142" cm="1">
        <f t="array" aca="1" ref="J1142" ca="1">INDIRECT("Data!D" &amp; 1137)</f>
        <v>0</v>
      </c>
      <c r="K1142" cm="1">
        <f t="array" aca="1" ref="K1142" ca="1">INDIRECT("Data!E" &amp; 1137)</f>
        <v>0</v>
      </c>
      <c r="L1142" cm="1">
        <f t="array" aca="1" ref="L1142" ca="1">INDIRECT("Data!F" &amp; 1137)</f>
        <v>0</v>
      </c>
      <c r="M1142" cm="1">
        <f t="array" aca="1" ref="M1142" ca="1">INDIRECT("Data!G" &amp; 1137)</f>
        <v>0</v>
      </c>
      <c r="N1142" cm="1">
        <f t="array" aca="1" ref="N1142" ca="1">INDIRECT("Data!H" &amp; 1137)</f>
        <v>0</v>
      </c>
      <c r="O1142" cm="1">
        <f t="array" aca="1" ref="O1142" ca="1">INDIRECT("Data!I" &amp; 1137)</f>
        <v>0</v>
      </c>
      <c r="P1142" s="21" cm="1">
        <f t="array" aca="1" ref="P1142" ca="1">INDIRECT("Data!J" &amp; 1137)</f>
        <v>0</v>
      </c>
      <c r="Q1142" cm="1">
        <f t="array" aca="1" ref="Q1142" ca="1">INDIRECT("Data!K" &amp; 1137)</f>
        <v>0</v>
      </c>
      <c r="R1142" cm="1">
        <f t="array" aca="1" ref="R1142" ca="1">INDIRECT("Data!L" &amp; 1137)</f>
        <v>0</v>
      </c>
      <c r="S1142" cm="1">
        <f t="array" aca="1" ref="S1142" ca="1">INDIRECT("Data!M" &amp; 1137)</f>
        <v>0</v>
      </c>
      <c r="T1142" cm="1">
        <f t="array" aca="1" ref="T1142" ca="1">INDIRECT("Data!N" &amp; 1137)</f>
        <v>0</v>
      </c>
      <c r="U1142" cm="1">
        <f t="array" aca="1" ref="U1142" ca="1">INDIRECT("Data!O" &amp; 1137)</f>
        <v>0</v>
      </c>
      <c r="V1142" cm="1">
        <f t="array" aca="1" ref="V1142" ca="1">INDIRECT("Data!P" &amp; 1137)</f>
        <v>0</v>
      </c>
    </row>
    <row r="1143" spans="7:22" x14ac:dyDescent="0.25">
      <c r="G1143" cm="1">
        <f t="array" aca="1" ref="G1143" ca="1">INDIRECT("Data!A" &amp; 1138)</f>
        <v>0</v>
      </c>
      <c r="H1143" s="21" cm="1">
        <f t="array" aca="1" ref="H1143" ca="1">INDIRECT("Data!B" &amp; 1138)</f>
        <v>0</v>
      </c>
      <c r="I1143" s="21" cm="1">
        <f t="array" aca="1" ref="I1143" ca="1">INDIRECT("Data!C" &amp; 1138)</f>
        <v>0</v>
      </c>
      <c r="J1143" cm="1">
        <f t="array" aca="1" ref="J1143" ca="1">INDIRECT("Data!D" &amp; 1138)</f>
        <v>0</v>
      </c>
      <c r="K1143" cm="1">
        <f t="array" aca="1" ref="K1143" ca="1">INDIRECT("Data!E" &amp; 1138)</f>
        <v>0</v>
      </c>
      <c r="L1143" cm="1">
        <f t="array" aca="1" ref="L1143" ca="1">INDIRECT("Data!F" &amp; 1138)</f>
        <v>0</v>
      </c>
      <c r="M1143" cm="1">
        <f t="array" aca="1" ref="M1143" ca="1">INDIRECT("Data!G" &amp; 1138)</f>
        <v>0</v>
      </c>
      <c r="N1143" cm="1">
        <f t="array" aca="1" ref="N1143" ca="1">INDIRECT("Data!H" &amp; 1138)</f>
        <v>0</v>
      </c>
      <c r="O1143" cm="1">
        <f t="array" aca="1" ref="O1143" ca="1">INDIRECT("Data!I" &amp; 1138)</f>
        <v>0</v>
      </c>
      <c r="P1143" s="21" cm="1">
        <f t="array" aca="1" ref="P1143" ca="1">INDIRECT("Data!J" &amp; 1138)</f>
        <v>0</v>
      </c>
      <c r="Q1143" cm="1">
        <f t="array" aca="1" ref="Q1143" ca="1">INDIRECT("Data!K" &amp; 1138)</f>
        <v>0</v>
      </c>
      <c r="R1143" cm="1">
        <f t="array" aca="1" ref="R1143" ca="1">INDIRECT("Data!L" &amp; 1138)</f>
        <v>0</v>
      </c>
      <c r="S1143" cm="1">
        <f t="array" aca="1" ref="S1143" ca="1">INDIRECT("Data!M" &amp; 1138)</f>
        <v>0</v>
      </c>
      <c r="T1143" cm="1">
        <f t="array" aca="1" ref="T1143" ca="1">INDIRECT("Data!N" &amp; 1138)</f>
        <v>0</v>
      </c>
      <c r="U1143" cm="1">
        <f t="array" aca="1" ref="U1143" ca="1">INDIRECT("Data!O" &amp; 1138)</f>
        <v>0</v>
      </c>
      <c r="V1143" cm="1">
        <f t="array" aca="1" ref="V1143" ca="1">INDIRECT("Data!P" &amp; 1138)</f>
        <v>0</v>
      </c>
    </row>
    <row r="1144" spans="7:22" x14ac:dyDescent="0.25">
      <c r="G1144" cm="1">
        <f t="array" aca="1" ref="G1144" ca="1">INDIRECT("Data!A" &amp; 1139)</f>
        <v>0</v>
      </c>
      <c r="H1144" s="21" cm="1">
        <f t="array" aca="1" ref="H1144" ca="1">INDIRECT("Data!B" &amp; 1139)</f>
        <v>0</v>
      </c>
      <c r="I1144" s="21" cm="1">
        <f t="array" aca="1" ref="I1144" ca="1">INDIRECT("Data!C" &amp; 1139)</f>
        <v>0</v>
      </c>
      <c r="J1144" cm="1">
        <f t="array" aca="1" ref="J1144" ca="1">INDIRECT("Data!D" &amp; 1139)</f>
        <v>0</v>
      </c>
      <c r="K1144" cm="1">
        <f t="array" aca="1" ref="K1144" ca="1">INDIRECT("Data!E" &amp; 1139)</f>
        <v>0</v>
      </c>
      <c r="L1144" cm="1">
        <f t="array" aca="1" ref="L1144" ca="1">INDIRECT("Data!F" &amp; 1139)</f>
        <v>0</v>
      </c>
      <c r="M1144" cm="1">
        <f t="array" aca="1" ref="M1144" ca="1">INDIRECT("Data!G" &amp; 1139)</f>
        <v>0</v>
      </c>
      <c r="N1144" cm="1">
        <f t="array" aca="1" ref="N1144" ca="1">INDIRECT("Data!H" &amp; 1139)</f>
        <v>0</v>
      </c>
      <c r="O1144" cm="1">
        <f t="array" aca="1" ref="O1144" ca="1">INDIRECT("Data!I" &amp; 1139)</f>
        <v>0</v>
      </c>
      <c r="P1144" s="21" cm="1">
        <f t="array" aca="1" ref="P1144" ca="1">INDIRECT("Data!J" &amp; 1139)</f>
        <v>0</v>
      </c>
      <c r="Q1144" cm="1">
        <f t="array" aca="1" ref="Q1144" ca="1">INDIRECT("Data!K" &amp; 1139)</f>
        <v>0</v>
      </c>
      <c r="R1144" cm="1">
        <f t="array" aca="1" ref="R1144" ca="1">INDIRECT("Data!L" &amp; 1139)</f>
        <v>0</v>
      </c>
      <c r="S1144" cm="1">
        <f t="array" aca="1" ref="S1144" ca="1">INDIRECT("Data!M" &amp; 1139)</f>
        <v>0</v>
      </c>
      <c r="T1144" cm="1">
        <f t="array" aca="1" ref="T1144" ca="1">INDIRECT("Data!N" &amp; 1139)</f>
        <v>0</v>
      </c>
      <c r="U1144" cm="1">
        <f t="array" aca="1" ref="U1144" ca="1">INDIRECT("Data!O" &amp; 1139)</f>
        <v>0</v>
      </c>
      <c r="V1144" cm="1">
        <f t="array" aca="1" ref="V1144" ca="1">INDIRECT("Data!P" &amp; 1139)</f>
        <v>0</v>
      </c>
    </row>
    <row r="1145" spans="7:22" x14ac:dyDescent="0.25">
      <c r="G1145" cm="1">
        <f t="array" aca="1" ref="G1145" ca="1">INDIRECT("Data!A" &amp; 1140)</f>
        <v>0</v>
      </c>
      <c r="H1145" s="21" cm="1">
        <f t="array" aca="1" ref="H1145" ca="1">INDIRECT("Data!B" &amp; 1140)</f>
        <v>0</v>
      </c>
      <c r="I1145" s="21" cm="1">
        <f t="array" aca="1" ref="I1145" ca="1">INDIRECT("Data!C" &amp; 1140)</f>
        <v>0</v>
      </c>
      <c r="J1145" cm="1">
        <f t="array" aca="1" ref="J1145" ca="1">INDIRECT("Data!D" &amp; 1140)</f>
        <v>0</v>
      </c>
      <c r="K1145" cm="1">
        <f t="array" aca="1" ref="K1145" ca="1">INDIRECT("Data!E" &amp; 1140)</f>
        <v>0</v>
      </c>
      <c r="L1145" cm="1">
        <f t="array" aca="1" ref="L1145" ca="1">INDIRECT("Data!F" &amp; 1140)</f>
        <v>0</v>
      </c>
      <c r="M1145" cm="1">
        <f t="array" aca="1" ref="M1145" ca="1">INDIRECT("Data!G" &amp; 1140)</f>
        <v>0</v>
      </c>
      <c r="N1145" cm="1">
        <f t="array" aca="1" ref="N1145" ca="1">INDIRECT("Data!H" &amp; 1140)</f>
        <v>0</v>
      </c>
      <c r="O1145" cm="1">
        <f t="array" aca="1" ref="O1145" ca="1">INDIRECT("Data!I" &amp; 1140)</f>
        <v>0</v>
      </c>
      <c r="P1145" s="21" cm="1">
        <f t="array" aca="1" ref="P1145" ca="1">INDIRECT("Data!J" &amp; 1140)</f>
        <v>0</v>
      </c>
      <c r="Q1145" cm="1">
        <f t="array" aca="1" ref="Q1145" ca="1">INDIRECT("Data!K" &amp; 1140)</f>
        <v>0</v>
      </c>
      <c r="R1145" cm="1">
        <f t="array" aca="1" ref="R1145" ca="1">INDIRECT("Data!L" &amp; 1140)</f>
        <v>0</v>
      </c>
      <c r="S1145" cm="1">
        <f t="array" aca="1" ref="S1145" ca="1">INDIRECT("Data!M" &amp; 1140)</f>
        <v>0</v>
      </c>
      <c r="T1145" cm="1">
        <f t="array" aca="1" ref="T1145" ca="1">INDIRECT("Data!N" &amp; 1140)</f>
        <v>0</v>
      </c>
      <c r="U1145" cm="1">
        <f t="array" aca="1" ref="U1145" ca="1">INDIRECT("Data!O" &amp; 1140)</f>
        <v>0</v>
      </c>
      <c r="V1145" cm="1">
        <f t="array" aca="1" ref="V1145" ca="1">INDIRECT("Data!P" &amp; 1140)</f>
        <v>0</v>
      </c>
    </row>
    <row r="1146" spans="7:22" x14ac:dyDescent="0.25">
      <c r="G1146" cm="1">
        <f t="array" aca="1" ref="G1146" ca="1">INDIRECT("Data!A" &amp; 1141)</f>
        <v>0</v>
      </c>
      <c r="H1146" s="21" cm="1">
        <f t="array" aca="1" ref="H1146" ca="1">INDIRECT("Data!B" &amp; 1141)</f>
        <v>0</v>
      </c>
      <c r="I1146" s="21" cm="1">
        <f t="array" aca="1" ref="I1146" ca="1">INDIRECT("Data!C" &amp; 1141)</f>
        <v>0</v>
      </c>
      <c r="J1146" cm="1">
        <f t="array" aca="1" ref="J1146" ca="1">INDIRECT("Data!D" &amp; 1141)</f>
        <v>0</v>
      </c>
      <c r="K1146" cm="1">
        <f t="array" aca="1" ref="K1146" ca="1">INDIRECT("Data!E" &amp; 1141)</f>
        <v>0</v>
      </c>
      <c r="L1146" cm="1">
        <f t="array" aca="1" ref="L1146" ca="1">INDIRECT("Data!F" &amp; 1141)</f>
        <v>0</v>
      </c>
      <c r="M1146" cm="1">
        <f t="array" aca="1" ref="M1146" ca="1">INDIRECT("Data!G" &amp; 1141)</f>
        <v>0</v>
      </c>
      <c r="N1146" cm="1">
        <f t="array" aca="1" ref="N1146" ca="1">INDIRECT("Data!H" &amp; 1141)</f>
        <v>0</v>
      </c>
      <c r="O1146" cm="1">
        <f t="array" aca="1" ref="O1146" ca="1">INDIRECT("Data!I" &amp; 1141)</f>
        <v>0</v>
      </c>
      <c r="P1146" s="21" cm="1">
        <f t="array" aca="1" ref="P1146" ca="1">INDIRECT("Data!J" &amp; 1141)</f>
        <v>0</v>
      </c>
      <c r="Q1146" cm="1">
        <f t="array" aca="1" ref="Q1146" ca="1">INDIRECT("Data!K" &amp; 1141)</f>
        <v>0</v>
      </c>
      <c r="R1146" cm="1">
        <f t="array" aca="1" ref="R1146" ca="1">INDIRECT("Data!L" &amp; 1141)</f>
        <v>0</v>
      </c>
      <c r="S1146" cm="1">
        <f t="array" aca="1" ref="S1146" ca="1">INDIRECT("Data!M" &amp; 1141)</f>
        <v>0</v>
      </c>
      <c r="T1146" cm="1">
        <f t="array" aca="1" ref="T1146" ca="1">INDIRECT("Data!N" &amp; 1141)</f>
        <v>0</v>
      </c>
      <c r="U1146" cm="1">
        <f t="array" aca="1" ref="U1146" ca="1">INDIRECT("Data!O" &amp; 1141)</f>
        <v>0</v>
      </c>
      <c r="V1146" cm="1">
        <f t="array" aca="1" ref="V1146" ca="1">INDIRECT("Data!P" &amp; 1141)</f>
        <v>0</v>
      </c>
    </row>
    <row r="1147" spans="7:22" x14ac:dyDescent="0.25">
      <c r="G1147" cm="1">
        <f t="array" aca="1" ref="G1147" ca="1">INDIRECT("Data!A" &amp; 1142)</f>
        <v>0</v>
      </c>
      <c r="H1147" s="21" cm="1">
        <f t="array" aca="1" ref="H1147" ca="1">INDIRECT("Data!B" &amp; 1142)</f>
        <v>0</v>
      </c>
      <c r="I1147" s="21" cm="1">
        <f t="array" aca="1" ref="I1147" ca="1">INDIRECT("Data!C" &amp; 1142)</f>
        <v>0</v>
      </c>
      <c r="J1147" cm="1">
        <f t="array" aca="1" ref="J1147" ca="1">INDIRECT("Data!D" &amp; 1142)</f>
        <v>0</v>
      </c>
      <c r="K1147" cm="1">
        <f t="array" aca="1" ref="K1147" ca="1">INDIRECT("Data!E" &amp; 1142)</f>
        <v>0</v>
      </c>
      <c r="L1147" cm="1">
        <f t="array" aca="1" ref="L1147" ca="1">INDIRECT("Data!F" &amp; 1142)</f>
        <v>0</v>
      </c>
      <c r="M1147" cm="1">
        <f t="array" aca="1" ref="M1147" ca="1">INDIRECT("Data!G" &amp; 1142)</f>
        <v>0</v>
      </c>
      <c r="N1147" cm="1">
        <f t="array" aca="1" ref="N1147" ca="1">INDIRECT("Data!H" &amp; 1142)</f>
        <v>0</v>
      </c>
      <c r="O1147" cm="1">
        <f t="array" aca="1" ref="O1147" ca="1">INDIRECT("Data!I" &amp; 1142)</f>
        <v>0</v>
      </c>
      <c r="P1147" s="21" cm="1">
        <f t="array" aca="1" ref="P1147" ca="1">INDIRECT("Data!J" &amp; 1142)</f>
        <v>0</v>
      </c>
      <c r="Q1147" cm="1">
        <f t="array" aca="1" ref="Q1147" ca="1">INDIRECT("Data!K" &amp; 1142)</f>
        <v>0</v>
      </c>
      <c r="R1147" cm="1">
        <f t="array" aca="1" ref="R1147" ca="1">INDIRECT("Data!L" &amp; 1142)</f>
        <v>0</v>
      </c>
      <c r="S1147" cm="1">
        <f t="array" aca="1" ref="S1147" ca="1">INDIRECT("Data!M" &amp; 1142)</f>
        <v>0</v>
      </c>
      <c r="T1147" cm="1">
        <f t="array" aca="1" ref="T1147" ca="1">INDIRECT("Data!N" &amp; 1142)</f>
        <v>0</v>
      </c>
      <c r="U1147" cm="1">
        <f t="array" aca="1" ref="U1147" ca="1">INDIRECT("Data!O" &amp; 1142)</f>
        <v>0</v>
      </c>
      <c r="V1147" cm="1">
        <f t="array" aca="1" ref="V1147" ca="1">INDIRECT("Data!P" &amp; 1142)</f>
        <v>0</v>
      </c>
    </row>
    <row r="1148" spans="7:22" x14ac:dyDescent="0.25">
      <c r="G1148" cm="1">
        <f t="array" aca="1" ref="G1148" ca="1">INDIRECT("Data!A" &amp; 1143)</f>
        <v>0</v>
      </c>
      <c r="H1148" s="21" cm="1">
        <f t="array" aca="1" ref="H1148" ca="1">INDIRECT("Data!B" &amp; 1143)</f>
        <v>0</v>
      </c>
      <c r="I1148" s="21" cm="1">
        <f t="array" aca="1" ref="I1148" ca="1">INDIRECT("Data!C" &amp; 1143)</f>
        <v>0</v>
      </c>
      <c r="J1148" cm="1">
        <f t="array" aca="1" ref="J1148" ca="1">INDIRECT("Data!D" &amp; 1143)</f>
        <v>0</v>
      </c>
      <c r="K1148" cm="1">
        <f t="array" aca="1" ref="K1148" ca="1">INDIRECT("Data!E" &amp; 1143)</f>
        <v>0</v>
      </c>
      <c r="L1148" cm="1">
        <f t="array" aca="1" ref="L1148" ca="1">INDIRECT("Data!F" &amp; 1143)</f>
        <v>0</v>
      </c>
      <c r="M1148" cm="1">
        <f t="array" aca="1" ref="M1148" ca="1">INDIRECT("Data!G" &amp; 1143)</f>
        <v>0</v>
      </c>
      <c r="N1148" cm="1">
        <f t="array" aca="1" ref="N1148" ca="1">INDIRECT("Data!H" &amp; 1143)</f>
        <v>0</v>
      </c>
      <c r="O1148" cm="1">
        <f t="array" aca="1" ref="O1148" ca="1">INDIRECT("Data!I" &amp; 1143)</f>
        <v>0</v>
      </c>
      <c r="P1148" s="21" cm="1">
        <f t="array" aca="1" ref="P1148" ca="1">INDIRECT("Data!J" &amp; 1143)</f>
        <v>0</v>
      </c>
      <c r="Q1148" cm="1">
        <f t="array" aca="1" ref="Q1148" ca="1">INDIRECT("Data!K" &amp; 1143)</f>
        <v>0</v>
      </c>
      <c r="R1148" cm="1">
        <f t="array" aca="1" ref="R1148" ca="1">INDIRECT("Data!L" &amp; 1143)</f>
        <v>0</v>
      </c>
      <c r="S1148" cm="1">
        <f t="array" aca="1" ref="S1148" ca="1">INDIRECT("Data!M" &amp; 1143)</f>
        <v>0</v>
      </c>
      <c r="T1148" cm="1">
        <f t="array" aca="1" ref="T1148" ca="1">INDIRECT("Data!N" &amp; 1143)</f>
        <v>0</v>
      </c>
      <c r="U1148" cm="1">
        <f t="array" aca="1" ref="U1148" ca="1">INDIRECT("Data!O" &amp; 1143)</f>
        <v>0</v>
      </c>
      <c r="V1148" cm="1">
        <f t="array" aca="1" ref="V1148" ca="1">INDIRECT("Data!P" &amp; 1143)</f>
        <v>0</v>
      </c>
    </row>
    <row r="1149" spans="7:22" x14ac:dyDescent="0.25">
      <c r="G1149" cm="1">
        <f t="array" aca="1" ref="G1149" ca="1">INDIRECT("Data!A" &amp; 1144)</f>
        <v>0</v>
      </c>
      <c r="H1149" s="21" cm="1">
        <f t="array" aca="1" ref="H1149" ca="1">INDIRECT("Data!B" &amp; 1144)</f>
        <v>0</v>
      </c>
      <c r="I1149" s="21" cm="1">
        <f t="array" aca="1" ref="I1149" ca="1">INDIRECT("Data!C" &amp; 1144)</f>
        <v>0</v>
      </c>
      <c r="J1149" cm="1">
        <f t="array" aca="1" ref="J1149" ca="1">INDIRECT("Data!D" &amp; 1144)</f>
        <v>0</v>
      </c>
      <c r="K1149" cm="1">
        <f t="array" aca="1" ref="K1149" ca="1">INDIRECT("Data!E" &amp; 1144)</f>
        <v>0</v>
      </c>
      <c r="L1149" cm="1">
        <f t="array" aca="1" ref="L1149" ca="1">INDIRECT("Data!F" &amp; 1144)</f>
        <v>0</v>
      </c>
      <c r="M1149" cm="1">
        <f t="array" aca="1" ref="M1149" ca="1">INDIRECT("Data!G" &amp; 1144)</f>
        <v>0</v>
      </c>
      <c r="N1149" cm="1">
        <f t="array" aca="1" ref="N1149" ca="1">INDIRECT("Data!H" &amp; 1144)</f>
        <v>0</v>
      </c>
      <c r="O1149" cm="1">
        <f t="array" aca="1" ref="O1149" ca="1">INDIRECT("Data!I" &amp; 1144)</f>
        <v>0</v>
      </c>
      <c r="P1149" s="21" cm="1">
        <f t="array" aca="1" ref="P1149" ca="1">INDIRECT("Data!J" &amp; 1144)</f>
        <v>0</v>
      </c>
      <c r="Q1149" cm="1">
        <f t="array" aca="1" ref="Q1149" ca="1">INDIRECT("Data!K" &amp; 1144)</f>
        <v>0</v>
      </c>
      <c r="R1149" cm="1">
        <f t="array" aca="1" ref="R1149" ca="1">INDIRECT("Data!L" &amp; 1144)</f>
        <v>0</v>
      </c>
      <c r="S1149" cm="1">
        <f t="array" aca="1" ref="S1149" ca="1">INDIRECT("Data!M" &amp; 1144)</f>
        <v>0</v>
      </c>
      <c r="T1149" cm="1">
        <f t="array" aca="1" ref="T1149" ca="1">INDIRECT("Data!N" &amp; 1144)</f>
        <v>0</v>
      </c>
      <c r="U1149" cm="1">
        <f t="array" aca="1" ref="U1149" ca="1">INDIRECT("Data!O" &amp; 1144)</f>
        <v>0</v>
      </c>
      <c r="V1149" cm="1">
        <f t="array" aca="1" ref="V1149" ca="1">INDIRECT("Data!P" &amp; 1144)</f>
        <v>0</v>
      </c>
    </row>
    <row r="1150" spans="7:22" x14ac:dyDescent="0.25">
      <c r="G1150" cm="1">
        <f t="array" aca="1" ref="G1150" ca="1">INDIRECT("Data!A" &amp; 1145)</f>
        <v>0</v>
      </c>
      <c r="H1150" s="21" cm="1">
        <f t="array" aca="1" ref="H1150" ca="1">INDIRECT("Data!B" &amp; 1145)</f>
        <v>0</v>
      </c>
      <c r="I1150" s="21" cm="1">
        <f t="array" aca="1" ref="I1150" ca="1">INDIRECT("Data!C" &amp; 1145)</f>
        <v>0</v>
      </c>
      <c r="J1150" cm="1">
        <f t="array" aca="1" ref="J1150" ca="1">INDIRECT("Data!D" &amp; 1145)</f>
        <v>0</v>
      </c>
      <c r="K1150" cm="1">
        <f t="array" aca="1" ref="K1150" ca="1">INDIRECT("Data!E" &amp; 1145)</f>
        <v>0</v>
      </c>
      <c r="L1150" cm="1">
        <f t="array" aca="1" ref="L1150" ca="1">INDIRECT("Data!F" &amp; 1145)</f>
        <v>0</v>
      </c>
      <c r="M1150" cm="1">
        <f t="array" aca="1" ref="M1150" ca="1">INDIRECT("Data!G" &amp; 1145)</f>
        <v>0</v>
      </c>
      <c r="N1150" cm="1">
        <f t="array" aca="1" ref="N1150" ca="1">INDIRECT("Data!H" &amp; 1145)</f>
        <v>0</v>
      </c>
      <c r="O1150" cm="1">
        <f t="array" aca="1" ref="O1150" ca="1">INDIRECT("Data!I" &amp; 1145)</f>
        <v>0</v>
      </c>
      <c r="P1150" s="21" cm="1">
        <f t="array" aca="1" ref="P1150" ca="1">INDIRECT("Data!J" &amp; 1145)</f>
        <v>0</v>
      </c>
      <c r="Q1150" cm="1">
        <f t="array" aca="1" ref="Q1150" ca="1">INDIRECT("Data!K" &amp; 1145)</f>
        <v>0</v>
      </c>
      <c r="R1150" cm="1">
        <f t="array" aca="1" ref="R1150" ca="1">INDIRECT("Data!L" &amp; 1145)</f>
        <v>0</v>
      </c>
      <c r="S1150" cm="1">
        <f t="array" aca="1" ref="S1150" ca="1">INDIRECT("Data!M" &amp; 1145)</f>
        <v>0</v>
      </c>
      <c r="T1150" cm="1">
        <f t="array" aca="1" ref="T1150" ca="1">INDIRECT("Data!N" &amp; 1145)</f>
        <v>0</v>
      </c>
      <c r="U1150" cm="1">
        <f t="array" aca="1" ref="U1150" ca="1">INDIRECT("Data!O" &amp; 1145)</f>
        <v>0</v>
      </c>
      <c r="V1150" cm="1">
        <f t="array" aca="1" ref="V1150" ca="1">INDIRECT("Data!P" &amp; 1145)</f>
        <v>0</v>
      </c>
    </row>
    <row r="1151" spans="7:22" x14ac:dyDescent="0.25">
      <c r="G1151" cm="1">
        <f t="array" aca="1" ref="G1151" ca="1">INDIRECT("Data!A" &amp; 1146)</f>
        <v>0</v>
      </c>
      <c r="H1151" s="21" cm="1">
        <f t="array" aca="1" ref="H1151" ca="1">INDIRECT("Data!B" &amp; 1146)</f>
        <v>0</v>
      </c>
      <c r="I1151" s="21" cm="1">
        <f t="array" aca="1" ref="I1151" ca="1">INDIRECT("Data!C" &amp; 1146)</f>
        <v>0</v>
      </c>
      <c r="J1151" cm="1">
        <f t="array" aca="1" ref="J1151" ca="1">INDIRECT("Data!D" &amp; 1146)</f>
        <v>0</v>
      </c>
      <c r="K1151" cm="1">
        <f t="array" aca="1" ref="K1151" ca="1">INDIRECT("Data!E" &amp; 1146)</f>
        <v>0</v>
      </c>
      <c r="L1151" cm="1">
        <f t="array" aca="1" ref="L1151" ca="1">INDIRECT("Data!F" &amp; 1146)</f>
        <v>0</v>
      </c>
      <c r="M1151" cm="1">
        <f t="array" aca="1" ref="M1151" ca="1">INDIRECT("Data!G" &amp; 1146)</f>
        <v>0</v>
      </c>
      <c r="N1151" cm="1">
        <f t="array" aca="1" ref="N1151" ca="1">INDIRECT("Data!H" &amp; 1146)</f>
        <v>0</v>
      </c>
      <c r="O1151" cm="1">
        <f t="array" aca="1" ref="O1151" ca="1">INDIRECT("Data!I" &amp; 1146)</f>
        <v>0</v>
      </c>
      <c r="P1151" s="21" cm="1">
        <f t="array" aca="1" ref="P1151" ca="1">INDIRECT("Data!J" &amp; 1146)</f>
        <v>0</v>
      </c>
      <c r="Q1151" cm="1">
        <f t="array" aca="1" ref="Q1151" ca="1">INDIRECT("Data!K" &amp; 1146)</f>
        <v>0</v>
      </c>
      <c r="R1151" cm="1">
        <f t="array" aca="1" ref="R1151" ca="1">INDIRECT("Data!L" &amp; 1146)</f>
        <v>0</v>
      </c>
      <c r="S1151" cm="1">
        <f t="array" aca="1" ref="S1151" ca="1">INDIRECT("Data!M" &amp; 1146)</f>
        <v>0</v>
      </c>
      <c r="T1151" cm="1">
        <f t="array" aca="1" ref="T1151" ca="1">INDIRECT("Data!N" &amp; 1146)</f>
        <v>0</v>
      </c>
      <c r="U1151" cm="1">
        <f t="array" aca="1" ref="U1151" ca="1">INDIRECT("Data!O" &amp; 1146)</f>
        <v>0</v>
      </c>
      <c r="V1151" cm="1">
        <f t="array" aca="1" ref="V1151" ca="1">INDIRECT("Data!P" &amp; 1146)</f>
        <v>0</v>
      </c>
    </row>
    <row r="1152" spans="7:22" x14ac:dyDescent="0.25">
      <c r="G1152" cm="1">
        <f t="array" aca="1" ref="G1152" ca="1">INDIRECT("Data!A" &amp; 1147)</f>
        <v>0</v>
      </c>
      <c r="H1152" s="21" cm="1">
        <f t="array" aca="1" ref="H1152" ca="1">INDIRECT("Data!B" &amp; 1147)</f>
        <v>0</v>
      </c>
      <c r="I1152" s="21" cm="1">
        <f t="array" aca="1" ref="I1152" ca="1">INDIRECT("Data!C" &amp; 1147)</f>
        <v>0</v>
      </c>
      <c r="J1152" cm="1">
        <f t="array" aca="1" ref="J1152" ca="1">INDIRECT("Data!D" &amp; 1147)</f>
        <v>0</v>
      </c>
      <c r="K1152" cm="1">
        <f t="array" aca="1" ref="K1152" ca="1">INDIRECT("Data!E" &amp; 1147)</f>
        <v>0</v>
      </c>
      <c r="L1152" cm="1">
        <f t="array" aca="1" ref="L1152" ca="1">INDIRECT("Data!F" &amp; 1147)</f>
        <v>0</v>
      </c>
      <c r="M1152" cm="1">
        <f t="array" aca="1" ref="M1152" ca="1">INDIRECT("Data!G" &amp; 1147)</f>
        <v>0</v>
      </c>
      <c r="N1152" cm="1">
        <f t="array" aca="1" ref="N1152" ca="1">INDIRECT("Data!H" &amp; 1147)</f>
        <v>0</v>
      </c>
      <c r="O1152" cm="1">
        <f t="array" aca="1" ref="O1152" ca="1">INDIRECT("Data!I" &amp; 1147)</f>
        <v>0</v>
      </c>
      <c r="P1152" s="21" cm="1">
        <f t="array" aca="1" ref="P1152" ca="1">INDIRECT("Data!J" &amp; 1147)</f>
        <v>0</v>
      </c>
      <c r="Q1152" cm="1">
        <f t="array" aca="1" ref="Q1152" ca="1">INDIRECT("Data!K" &amp; 1147)</f>
        <v>0</v>
      </c>
      <c r="R1152" cm="1">
        <f t="array" aca="1" ref="R1152" ca="1">INDIRECT("Data!L" &amp; 1147)</f>
        <v>0</v>
      </c>
      <c r="S1152" cm="1">
        <f t="array" aca="1" ref="S1152" ca="1">INDIRECT("Data!M" &amp; 1147)</f>
        <v>0</v>
      </c>
      <c r="T1152" cm="1">
        <f t="array" aca="1" ref="T1152" ca="1">INDIRECT("Data!N" &amp; 1147)</f>
        <v>0</v>
      </c>
      <c r="U1152" cm="1">
        <f t="array" aca="1" ref="U1152" ca="1">INDIRECT("Data!O" &amp; 1147)</f>
        <v>0</v>
      </c>
      <c r="V1152" cm="1">
        <f t="array" aca="1" ref="V1152" ca="1">INDIRECT("Data!P" &amp; 1147)</f>
        <v>0</v>
      </c>
    </row>
    <row r="1153" spans="7:22" x14ac:dyDescent="0.25">
      <c r="G1153" cm="1">
        <f t="array" aca="1" ref="G1153" ca="1">INDIRECT("Data!A" &amp; 1148)</f>
        <v>0</v>
      </c>
      <c r="H1153" s="21" cm="1">
        <f t="array" aca="1" ref="H1153" ca="1">INDIRECT("Data!B" &amp; 1148)</f>
        <v>0</v>
      </c>
      <c r="I1153" s="21" cm="1">
        <f t="array" aca="1" ref="I1153" ca="1">INDIRECT("Data!C" &amp; 1148)</f>
        <v>0</v>
      </c>
      <c r="J1153" cm="1">
        <f t="array" aca="1" ref="J1153" ca="1">INDIRECT("Data!D" &amp; 1148)</f>
        <v>0</v>
      </c>
      <c r="K1153" cm="1">
        <f t="array" aca="1" ref="K1153" ca="1">INDIRECT("Data!E" &amp; 1148)</f>
        <v>0</v>
      </c>
      <c r="L1153" cm="1">
        <f t="array" aca="1" ref="L1153" ca="1">INDIRECT("Data!F" &amp; 1148)</f>
        <v>0</v>
      </c>
      <c r="M1153" cm="1">
        <f t="array" aca="1" ref="M1153" ca="1">INDIRECT("Data!G" &amp; 1148)</f>
        <v>0</v>
      </c>
      <c r="N1153" cm="1">
        <f t="array" aca="1" ref="N1153" ca="1">INDIRECT("Data!H" &amp; 1148)</f>
        <v>0</v>
      </c>
      <c r="O1153" cm="1">
        <f t="array" aca="1" ref="O1153" ca="1">INDIRECT("Data!I" &amp; 1148)</f>
        <v>0</v>
      </c>
      <c r="P1153" s="21" cm="1">
        <f t="array" aca="1" ref="P1153" ca="1">INDIRECT("Data!J" &amp; 1148)</f>
        <v>0</v>
      </c>
      <c r="Q1153" cm="1">
        <f t="array" aca="1" ref="Q1153" ca="1">INDIRECT("Data!K" &amp; 1148)</f>
        <v>0</v>
      </c>
      <c r="R1153" cm="1">
        <f t="array" aca="1" ref="R1153" ca="1">INDIRECT("Data!L" &amp; 1148)</f>
        <v>0</v>
      </c>
      <c r="S1153" cm="1">
        <f t="array" aca="1" ref="S1153" ca="1">INDIRECT("Data!M" &amp; 1148)</f>
        <v>0</v>
      </c>
      <c r="T1153" cm="1">
        <f t="array" aca="1" ref="T1153" ca="1">INDIRECT("Data!N" &amp; 1148)</f>
        <v>0</v>
      </c>
      <c r="U1153" cm="1">
        <f t="array" aca="1" ref="U1153" ca="1">INDIRECT("Data!O" &amp; 1148)</f>
        <v>0</v>
      </c>
      <c r="V1153" cm="1">
        <f t="array" aca="1" ref="V1153" ca="1">INDIRECT("Data!P" &amp; 1148)</f>
        <v>0</v>
      </c>
    </row>
    <row r="1154" spans="7:22" x14ac:dyDescent="0.25">
      <c r="G1154" cm="1">
        <f t="array" aca="1" ref="G1154" ca="1">INDIRECT("Data!A" &amp; 1149)</f>
        <v>0</v>
      </c>
      <c r="H1154" s="21" cm="1">
        <f t="array" aca="1" ref="H1154" ca="1">INDIRECT("Data!B" &amp; 1149)</f>
        <v>0</v>
      </c>
      <c r="I1154" s="21" cm="1">
        <f t="array" aca="1" ref="I1154" ca="1">INDIRECT("Data!C" &amp; 1149)</f>
        <v>0</v>
      </c>
      <c r="J1154" cm="1">
        <f t="array" aca="1" ref="J1154" ca="1">INDIRECT("Data!D" &amp; 1149)</f>
        <v>0</v>
      </c>
      <c r="K1154" cm="1">
        <f t="array" aca="1" ref="K1154" ca="1">INDIRECT("Data!E" &amp; 1149)</f>
        <v>0</v>
      </c>
      <c r="L1154" cm="1">
        <f t="array" aca="1" ref="L1154" ca="1">INDIRECT("Data!F" &amp; 1149)</f>
        <v>0</v>
      </c>
      <c r="M1154" cm="1">
        <f t="array" aca="1" ref="M1154" ca="1">INDIRECT("Data!G" &amp; 1149)</f>
        <v>0</v>
      </c>
      <c r="N1154" cm="1">
        <f t="array" aca="1" ref="N1154" ca="1">INDIRECT("Data!H" &amp; 1149)</f>
        <v>0</v>
      </c>
      <c r="O1154" cm="1">
        <f t="array" aca="1" ref="O1154" ca="1">INDIRECT("Data!I" &amp; 1149)</f>
        <v>0</v>
      </c>
      <c r="P1154" s="21" cm="1">
        <f t="array" aca="1" ref="P1154" ca="1">INDIRECT("Data!J" &amp; 1149)</f>
        <v>0</v>
      </c>
      <c r="Q1154" cm="1">
        <f t="array" aca="1" ref="Q1154" ca="1">INDIRECT("Data!K" &amp; 1149)</f>
        <v>0</v>
      </c>
      <c r="R1154" cm="1">
        <f t="array" aca="1" ref="R1154" ca="1">INDIRECT("Data!L" &amp; 1149)</f>
        <v>0</v>
      </c>
      <c r="S1154" cm="1">
        <f t="array" aca="1" ref="S1154" ca="1">INDIRECT("Data!M" &amp; 1149)</f>
        <v>0</v>
      </c>
      <c r="T1154" cm="1">
        <f t="array" aca="1" ref="T1154" ca="1">INDIRECT("Data!N" &amp; 1149)</f>
        <v>0</v>
      </c>
      <c r="U1154" cm="1">
        <f t="array" aca="1" ref="U1154" ca="1">INDIRECT("Data!O" &amp; 1149)</f>
        <v>0</v>
      </c>
      <c r="V1154" cm="1">
        <f t="array" aca="1" ref="V1154" ca="1">INDIRECT("Data!P" &amp; 1149)</f>
        <v>0</v>
      </c>
    </row>
    <row r="1155" spans="7:22" x14ac:dyDescent="0.25">
      <c r="G1155" cm="1">
        <f t="array" aca="1" ref="G1155" ca="1">INDIRECT("Data!A" &amp; 1150)</f>
        <v>0</v>
      </c>
      <c r="H1155" s="21" cm="1">
        <f t="array" aca="1" ref="H1155" ca="1">INDIRECT("Data!B" &amp; 1150)</f>
        <v>0</v>
      </c>
      <c r="I1155" s="21" cm="1">
        <f t="array" aca="1" ref="I1155" ca="1">INDIRECT("Data!C" &amp; 1150)</f>
        <v>0</v>
      </c>
      <c r="J1155" cm="1">
        <f t="array" aca="1" ref="J1155" ca="1">INDIRECT("Data!D" &amp; 1150)</f>
        <v>0</v>
      </c>
      <c r="K1155" cm="1">
        <f t="array" aca="1" ref="K1155" ca="1">INDIRECT("Data!E" &amp; 1150)</f>
        <v>0</v>
      </c>
      <c r="L1155" cm="1">
        <f t="array" aca="1" ref="L1155" ca="1">INDIRECT("Data!F" &amp; 1150)</f>
        <v>0</v>
      </c>
      <c r="M1155" cm="1">
        <f t="array" aca="1" ref="M1155" ca="1">INDIRECT("Data!G" &amp; 1150)</f>
        <v>0</v>
      </c>
      <c r="N1155" cm="1">
        <f t="array" aca="1" ref="N1155" ca="1">INDIRECT("Data!H" &amp; 1150)</f>
        <v>0</v>
      </c>
      <c r="O1155" cm="1">
        <f t="array" aca="1" ref="O1155" ca="1">INDIRECT("Data!I" &amp; 1150)</f>
        <v>0</v>
      </c>
      <c r="P1155" s="21" cm="1">
        <f t="array" aca="1" ref="P1155" ca="1">INDIRECT("Data!J" &amp; 1150)</f>
        <v>0</v>
      </c>
      <c r="Q1155" cm="1">
        <f t="array" aca="1" ref="Q1155" ca="1">INDIRECT("Data!K" &amp; 1150)</f>
        <v>0</v>
      </c>
      <c r="R1155" cm="1">
        <f t="array" aca="1" ref="R1155" ca="1">INDIRECT("Data!L" &amp; 1150)</f>
        <v>0</v>
      </c>
      <c r="S1155" cm="1">
        <f t="array" aca="1" ref="S1155" ca="1">INDIRECT("Data!M" &amp; 1150)</f>
        <v>0</v>
      </c>
      <c r="T1155" cm="1">
        <f t="array" aca="1" ref="T1155" ca="1">INDIRECT("Data!N" &amp; 1150)</f>
        <v>0</v>
      </c>
      <c r="U1155" cm="1">
        <f t="array" aca="1" ref="U1155" ca="1">INDIRECT("Data!O" &amp; 1150)</f>
        <v>0</v>
      </c>
      <c r="V1155" cm="1">
        <f t="array" aca="1" ref="V1155" ca="1">INDIRECT("Data!P" &amp; 1150)</f>
        <v>0</v>
      </c>
    </row>
    <row r="1156" spans="7:22" x14ac:dyDescent="0.25">
      <c r="G1156" cm="1">
        <f t="array" aca="1" ref="G1156" ca="1">INDIRECT("Data!A" &amp; 1151)</f>
        <v>0</v>
      </c>
      <c r="H1156" s="21" cm="1">
        <f t="array" aca="1" ref="H1156" ca="1">INDIRECT("Data!B" &amp; 1151)</f>
        <v>0</v>
      </c>
      <c r="I1156" s="21" cm="1">
        <f t="array" aca="1" ref="I1156" ca="1">INDIRECT("Data!C" &amp; 1151)</f>
        <v>0</v>
      </c>
      <c r="J1156" cm="1">
        <f t="array" aca="1" ref="J1156" ca="1">INDIRECT("Data!D" &amp; 1151)</f>
        <v>0</v>
      </c>
      <c r="K1156" cm="1">
        <f t="array" aca="1" ref="K1156" ca="1">INDIRECT("Data!E" &amp; 1151)</f>
        <v>0</v>
      </c>
      <c r="L1156" cm="1">
        <f t="array" aca="1" ref="L1156" ca="1">INDIRECT("Data!F" &amp; 1151)</f>
        <v>0</v>
      </c>
      <c r="M1156" cm="1">
        <f t="array" aca="1" ref="M1156" ca="1">INDIRECT("Data!G" &amp; 1151)</f>
        <v>0</v>
      </c>
      <c r="N1156" cm="1">
        <f t="array" aca="1" ref="N1156" ca="1">INDIRECT("Data!H" &amp; 1151)</f>
        <v>0</v>
      </c>
      <c r="O1156" cm="1">
        <f t="array" aca="1" ref="O1156" ca="1">INDIRECT("Data!I" &amp; 1151)</f>
        <v>0</v>
      </c>
      <c r="P1156" s="21" cm="1">
        <f t="array" aca="1" ref="P1156" ca="1">INDIRECT("Data!J" &amp; 1151)</f>
        <v>0</v>
      </c>
      <c r="Q1156" cm="1">
        <f t="array" aca="1" ref="Q1156" ca="1">INDIRECT("Data!K" &amp; 1151)</f>
        <v>0</v>
      </c>
      <c r="R1156" cm="1">
        <f t="array" aca="1" ref="R1156" ca="1">INDIRECT("Data!L" &amp; 1151)</f>
        <v>0</v>
      </c>
      <c r="S1156" cm="1">
        <f t="array" aca="1" ref="S1156" ca="1">INDIRECT("Data!M" &amp; 1151)</f>
        <v>0</v>
      </c>
      <c r="T1156" cm="1">
        <f t="array" aca="1" ref="T1156" ca="1">INDIRECT("Data!N" &amp; 1151)</f>
        <v>0</v>
      </c>
      <c r="U1156" cm="1">
        <f t="array" aca="1" ref="U1156" ca="1">INDIRECT("Data!O" &amp; 1151)</f>
        <v>0</v>
      </c>
      <c r="V1156" cm="1">
        <f t="array" aca="1" ref="V1156" ca="1">INDIRECT("Data!P" &amp; 1151)</f>
        <v>0</v>
      </c>
    </row>
    <row r="1157" spans="7:22" x14ac:dyDescent="0.25">
      <c r="G1157" cm="1">
        <f t="array" aca="1" ref="G1157" ca="1">INDIRECT("Data!A" &amp; 1152)</f>
        <v>0</v>
      </c>
      <c r="H1157" s="21" cm="1">
        <f t="array" aca="1" ref="H1157" ca="1">INDIRECT("Data!B" &amp; 1152)</f>
        <v>0</v>
      </c>
      <c r="I1157" s="21" cm="1">
        <f t="array" aca="1" ref="I1157" ca="1">INDIRECT("Data!C" &amp; 1152)</f>
        <v>0</v>
      </c>
      <c r="J1157" cm="1">
        <f t="array" aca="1" ref="J1157" ca="1">INDIRECT("Data!D" &amp; 1152)</f>
        <v>0</v>
      </c>
      <c r="K1157" cm="1">
        <f t="array" aca="1" ref="K1157" ca="1">INDIRECT("Data!E" &amp; 1152)</f>
        <v>0</v>
      </c>
      <c r="L1157" cm="1">
        <f t="array" aca="1" ref="L1157" ca="1">INDIRECT("Data!F" &amp; 1152)</f>
        <v>0</v>
      </c>
      <c r="M1157" cm="1">
        <f t="array" aca="1" ref="M1157" ca="1">INDIRECT("Data!G" &amp; 1152)</f>
        <v>0</v>
      </c>
      <c r="N1157" cm="1">
        <f t="array" aca="1" ref="N1157" ca="1">INDIRECT("Data!H" &amp; 1152)</f>
        <v>0</v>
      </c>
      <c r="O1157" cm="1">
        <f t="array" aca="1" ref="O1157" ca="1">INDIRECT("Data!I" &amp; 1152)</f>
        <v>0</v>
      </c>
      <c r="P1157" s="21" cm="1">
        <f t="array" aca="1" ref="P1157" ca="1">INDIRECT("Data!J" &amp; 1152)</f>
        <v>0</v>
      </c>
      <c r="Q1157" cm="1">
        <f t="array" aca="1" ref="Q1157" ca="1">INDIRECT("Data!K" &amp; 1152)</f>
        <v>0</v>
      </c>
      <c r="R1157" cm="1">
        <f t="array" aca="1" ref="R1157" ca="1">INDIRECT("Data!L" &amp; 1152)</f>
        <v>0</v>
      </c>
      <c r="S1157" cm="1">
        <f t="array" aca="1" ref="S1157" ca="1">INDIRECT("Data!M" &amp; 1152)</f>
        <v>0</v>
      </c>
      <c r="T1157" cm="1">
        <f t="array" aca="1" ref="T1157" ca="1">INDIRECT("Data!N" &amp; 1152)</f>
        <v>0</v>
      </c>
      <c r="U1157" cm="1">
        <f t="array" aca="1" ref="U1157" ca="1">INDIRECT("Data!O" &amp; 1152)</f>
        <v>0</v>
      </c>
      <c r="V1157" cm="1">
        <f t="array" aca="1" ref="V1157" ca="1">INDIRECT("Data!P" &amp; 1152)</f>
        <v>0</v>
      </c>
    </row>
    <row r="1158" spans="7:22" x14ac:dyDescent="0.25">
      <c r="G1158" cm="1">
        <f t="array" aca="1" ref="G1158" ca="1">INDIRECT("Data!A" &amp; 1153)</f>
        <v>0</v>
      </c>
      <c r="H1158" s="21" cm="1">
        <f t="array" aca="1" ref="H1158" ca="1">INDIRECT("Data!B" &amp; 1153)</f>
        <v>0</v>
      </c>
      <c r="I1158" s="21" cm="1">
        <f t="array" aca="1" ref="I1158" ca="1">INDIRECT("Data!C" &amp; 1153)</f>
        <v>0</v>
      </c>
      <c r="J1158" cm="1">
        <f t="array" aca="1" ref="J1158" ca="1">INDIRECT("Data!D" &amp; 1153)</f>
        <v>0</v>
      </c>
      <c r="K1158" cm="1">
        <f t="array" aca="1" ref="K1158" ca="1">INDIRECT("Data!E" &amp; 1153)</f>
        <v>0</v>
      </c>
      <c r="L1158" cm="1">
        <f t="array" aca="1" ref="L1158" ca="1">INDIRECT("Data!F" &amp; 1153)</f>
        <v>0</v>
      </c>
      <c r="M1158" cm="1">
        <f t="array" aca="1" ref="M1158" ca="1">INDIRECT("Data!G" &amp; 1153)</f>
        <v>0</v>
      </c>
      <c r="N1158" cm="1">
        <f t="array" aca="1" ref="N1158" ca="1">INDIRECT("Data!H" &amp; 1153)</f>
        <v>0</v>
      </c>
      <c r="O1158" cm="1">
        <f t="array" aca="1" ref="O1158" ca="1">INDIRECT("Data!I" &amp; 1153)</f>
        <v>0</v>
      </c>
      <c r="P1158" s="21" cm="1">
        <f t="array" aca="1" ref="P1158" ca="1">INDIRECT("Data!J" &amp; 1153)</f>
        <v>0</v>
      </c>
      <c r="Q1158" cm="1">
        <f t="array" aca="1" ref="Q1158" ca="1">INDIRECT("Data!K" &amp; 1153)</f>
        <v>0</v>
      </c>
      <c r="R1158" cm="1">
        <f t="array" aca="1" ref="R1158" ca="1">INDIRECT("Data!L" &amp; 1153)</f>
        <v>0</v>
      </c>
      <c r="S1158" cm="1">
        <f t="array" aca="1" ref="S1158" ca="1">INDIRECT("Data!M" &amp; 1153)</f>
        <v>0</v>
      </c>
      <c r="T1158" cm="1">
        <f t="array" aca="1" ref="T1158" ca="1">INDIRECT("Data!N" &amp; 1153)</f>
        <v>0</v>
      </c>
      <c r="U1158" cm="1">
        <f t="array" aca="1" ref="U1158" ca="1">INDIRECT("Data!O" &amp; 1153)</f>
        <v>0</v>
      </c>
      <c r="V1158" cm="1">
        <f t="array" aca="1" ref="V1158" ca="1">INDIRECT("Data!P" &amp; 1153)</f>
        <v>0</v>
      </c>
    </row>
    <row r="1159" spans="7:22" x14ac:dyDescent="0.25">
      <c r="G1159" cm="1">
        <f t="array" aca="1" ref="G1159" ca="1">INDIRECT("Data!A" &amp; 1154)</f>
        <v>0</v>
      </c>
      <c r="H1159" s="21" cm="1">
        <f t="array" aca="1" ref="H1159" ca="1">INDIRECT("Data!B" &amp; 1154)</f>
        <v>0</v>
      </c>
      <c r="I1159" s="21" cm="1">
        <f t="array" aca="1" ref="I1159" ca="1">INDIRECT("Data!C" &amp; 1154)</f>
        <v>0</v>
      </c>
      <c r="J1159" cm="1">
        <f t="array" aca="1" ref="J1159" ca="1">INDIRECT("Data!D" &amp; 1154)</f>
        <v>0</v>
      </c>
      <c r="K1159" cm="1">
        <f t="array" aca="1" ref="K1159" ca="1">INDIRECT("Data!E" &amp; 1154)</f>
        <v>0</v>
      </c>
      <c r="L1159" cm="1">
        <f t="array" aca="1" ref="L1159" ca="1">INDIRECT("Data!F" &amp; 1154)</f>
        <v>0</v>
      </c>
      <c r="M1159" cm="1">
        <f t="array" aca="1" ref="M1159" ca="1">INDIRECT("Data!G" &amp; 1154)</f>
        <v>0</v>
      </c>
      <c r="N1159" cm="1">
        <f t="array" aca="1" ref="N1159" ca="1">INDIRECT("Data!H" &amp; 1154)</f>
        <v>0</v>
      </c>
      <c r="O1159" cm="1">
        <f t="array" aca="1" ref="O1159" ca="1">INDIRECT("Data!I" &amp; 1154)</f>
        <v>0</v>
      </c>
      <c r="P1159" s="21" cm="1">
        <f t="array" aca="1" ref="P1159" ca="1">INDIRECT("Data!J" &amp; 1154)</f>
        <v>0</v>
      </c>
      <c r="Q1159" cm="1">
        <f t="array" aca="1" ref="Q1159" ca="1">INDIRECT("Data!K" &amp; 1154)</f>
        <v>0</v>
      </c>
      <c r="R1159" cm="1">
        <f t="array" aca="1" ref="R1159" ca="1">INDIRECT("Data!L" &amp; 1154)</f>
        <v>0</v>
      </c>
      <c r="S1159" cm="1">
        <f t="array" aca="1" ref="S1159" ca="1">INDIRECT("Data!M" &amp; 1154)</f>
        <v>0</v>
      </c>
      <c r="T1159" cm="1">
        <f t="array" aca="1" ref="T1159" ca="1">INDIRECT("Data!N" &amp; 1154)</f>
        <v>0</v>
      </c>
      <c r="U1159" cm="1">
        <f t="array" aca="1" ref="U1159" ca="1">INDIRECT("Data!O" &amp; 1154)</f>
        <v>0</v>
      </c>
      <c r="V1159" cm="1">
        <f t="array" aca="1" ref="V1159" ca="1">INDIRECT("Data!P" &amp; 1154)</f>
        <v>0</v>
      </c>
    </row>
    <row r="1160" spans="7:22" x14ac:dyDescent="0.25">
      <c r="G1160" cm="1">
        <f t="array" aca="1" ref="G1160" ca="1">INDIRECT("Data!A" &amp; 1155)</f>
        <v>0</v>
      </c>
      <c r="H1160" s="21" cm="1">
        <f t="array" aca="1" ref="H1160" ca="1">INDIRECT("Data!B" &amp; 1155)</f>
        <v>0</v>
      </c>
      <c r="I1160" s="21" cm="1">
        <f t="array" aca="1" ref="I1160" ca="1">INDIRECT("Data!C" &amp; 1155)</f>
        <v>0</v>
      </c>
      <c r="J1160" cm="1">
        <f t="array" aca="1" ref="J1160" ca="1">INDIRECT("Data!D" &amp; 1155)</f>
        <v>0</v>
      </c>
      <c r="K1160" cm="1">
        <f t="array" aca="1" ref="K1160" ca="1">INDIRECT("Data!E" &amp; 1155)</f>
        <v>0</v>
      </c>
      <c r="L1160" cm="1">
        <f t="array" aca="1" ref="L1160" ca="1">INDIRECT("Data!F" &amp; 1155)</f>
        <v>0</v>
      </c>
      <c r="M1160" cm="1">
        <f t="array" aca="1" ref="M1160" ca="1">INDIRECT("Data!G" &amp; 1155)</f>
        <v>0</v>
      </c>
      <c r="N1160" cm="1">
        <f t="array" aca="1" ref="N1160" ca="1">INDIRECT("Data!H" &amp; 1155)</f>
        <v>0</v>
      </c>
      <c r="O1160" cm="1">
        <f t="array" aca="1" ref="O1160" ca="1">INDIRECT("Data!I" &amp; 1155)</f>
        <v>0</v>
      </c>
      <c r="P1160" s="21" cm="1">
        <f t="array" aca="1" ref="P1160" ca="1">INDIRECT("Data!J" &amp; 1155)</f>
        <v>0</v>
      </c>
      <c r="Q1160" cm="1">
        <f t="array" aca="1" ref="Q1160" ca="1">INDIRECT("Data!K" &amp; 1155)</f>
        <v>0</v>
      </c>
      <c r="R1160" cm="1">
        <f t="array" aca="1" ref="R1160" ca="1">INDIRECT("Data!L" &amp; 1155)</f>
        <v>0</v>
      </c>
      <c r="S1160" cm="1">
        <f t="array" aca="1" ref="S1160" ca="1">INDIRECT("Data!M" &amp; 1155)</f>
        <v>0</v>
      </c>
      <c r="T1160" cm="1">
        <f t="array" aca="1" ref="T1160" ca="1">INDIRECT("Data!N" &amp; 1155)</f>
        <v>0</v>
      </c>
      <c r="U1160" cm="1">
        <f t="array" aca="1" ref="U1160" ca="1">INDIRECT("Data!O" &amp; 1155)</f>
        <v>0</v>
      </c>
      <c r="V1160" cm="1">
        <f t="array" aca="1" ref="V1160" ca="1">INDIRECT("Data!P" &amp; 1155)</f>
        <v>0</v>
      </c>
    </row>
    <row r="1161" spans="7:22" x14ac:dyDescent="0.25">
      <c r="G1161" cm="1">
        <f t="array" aca="1" ref="G1161" ca="1">INDIRECT("Data!A" &amp; 1156)</f>
        <v>0</v>
      </c>
      <c r="H1161" s="21" cm="1">
        <f t="array" aca="1" ref="H1161" ca="1">INDIRECT("Data!B" &amp; 1156)</f>
        <v>0</v>
      </c>
      <c r="I1161" s="21" cm="1">
        <f t="array" aca="1" ref="I1161" ca="1">INDIRECT("Data!C" &amp; 1156)</f>
        <v>0</v>
      </c>
      <c r="J1161" cm="1">
        <f t="array" aca="1" ref="J1161" ca="1">INDIRECT("Data!D" &amp; 1156)</f>
        <v>0</v>
      </c>
      <c r="K1161" cm="1">
        <f t="array" aca="1" ref="K1161" ca="1">INDIRECT("Data!E" &amp; 1156)</f>
        <v>0</v>
      </c>
      <c r="L1161" cm="1">
        <f t="array" aca="1" ref="L1161" ca="1">INDIRECT("Data!F" &amp; 1156)</f>
        <v>0</v>
      </c>
      <c r="M1161" cm="1">
        <f t="array" aca="1" ref="M1161" ca="1">INDIRECT("Data!G" &amp; 1156)</f>
        <v>0</v>
      </c>
      <c r="N1161" cm="1">
        <f t="array" aca="1" ref="N1161" ca="1">INDIRECT("Data!H" &amp; 1156)</f>
        <v>0</v>
      </c>
      <c r="O1161" cm="1">
        <f t="array" aca="1" ref="O1161" ca="1">INDIRECT("Data!I" &amp; 1156)</f>
        <v>0</v>
      </c>
      <c r="P1161" s="21" cm="1">
        <f t="array" aca="1" ref="P1161" ca="1">INDIRECT("Data!J" &amp; 1156)</f>
        <v>0</v>
      </c>
      <c r="Q1161" cm="1">
        <f t="array" aca="1" ref="Q1161" ca="1">INDIRECT("Data!K" &amp; 1156)</f>
        <v>0</v>
      </c>
      <c r="R1161" cm="1">
        <f t="array" aca="1" ref="R1161" ca="1">INDIRECT("Data!L" &amp; 1156)</f>
        <v>0</v>
      </c>
      <c r="S1161" cm="1">
        <f t="array" aca="1" ref="S1161" ca="1">INDIRECT("Data!M" &amp; 1156)</f>
        <v>0</v>
      </c>
      <c r="T1161" cm="1">
        <f t="array" aca="1" ref="T1161" ca="1">INDIRECT("Data!N" &amp; 1156)</f>
        <v>0</v>
      </c>
      <c r="U1161" cm="1">
        <f t="array" aca="1" ref="U1161" ca="1">INDIRECT("Data!O" &amp; 1156)</f>
        <v>0</v>
      </c>
      <c r="V1161" cm="1">
        <f t="array" aca="1" ref="V1161" ca="1">INDIRECT("Data!P" &amp; 1156)</f>
        <v>0</v>
      </c>
    </row>
    <row r="1162" spans="7:22" x14ac:dyDescent="0.25">
      <c r="G1162" cm="1">
        <f t="array" aca="1" ref="G1162" ca="1">INDIRECT("Data!A" &amp; 1157)</f>
        <v>0</v>
      </c>
      <c r="H1162" s="21" cm="1">
        <f t="array" aca="1" ref="H1162" ca="1">INDIRECT("Data!B" &amp; 1157)</f>
        <v>0</v>
      </c>
      <c r="I1162" s="21" cm="1">
        <f t="array" aca="1" ref="I1162" ca="1">INDIRECT("Data!C" &amp; 1157)</f>
        <v>0</v>
      </c>
      <c r="J1162" cm="1">
        <f t="array" aca="1" ref="J1162" ca="1">INDIRECT("Data!D" &amp; 1157)</f>
        <v>0</v>
      </c>
      <c r="K1162" cm="1">
        <f t="array" aca="1" ref="K1162" ca="1">INDIRECT("Data!E" &amp; 1157)</f>
        <v>0</v>
      </c>
      <c r="L1162" cm="1">
        <f t="array" aca="1" ref="L1162" ca="1">INDIRECT("Data!F" &amp; 1157)</f>
        <v>0</v>
      </c>
      <c r="M1162" cm="1">
        <f t="array" aca="1" ref="M1162" ca="1">INDIRECT("Data!G" &amp; 1157)</f>
        <v>0</v>
      </c>
      <c r="N1162" cm="1">
        <f t="array" aca="1" ref="N1162" ca="1">INDIRECT("Data!H" &amp; 1157)</f>
        <v>0</v>
      </c>
      <c r="O1162" cm="1">
        <f t="array" aca="1" ref="O1162" ca="1">INDIRECT("Data!I" &amp; 1157)</f>
        <v>0</v>
      </c>
      <c r="P1162" s="21" cm="1">
        <f t="array" aca="1" ref="P1162" ca="1">INDIRECT("Data!J" &amp; 1157)</f>
        <v>0</v>
      </c>
      <c r="Q1162" cm="1">
        <f t="array" aca="1" ref="Q1162" ca="1">INDIRECT("Data!K" &amp; 1157)</f>
        <v>0</v>
      </c>
      <c r="R1162" cm="1">
        <f t="array" aca="1" ref="R1162" ca="1">INDIRECT("Data!L" &amp; 1157)</f>
        <v>0</v>
      </c>
      <c r="S1162" cm="1">
        <f t="array" aca="1" ref="S1162" ca="1">INDIRECT("Data!M" &amp; 1157)</f>
        <v>0</v>
      </c>
      <c r="T1162" cm="1">
        <f t="array" aca="1" ref="T1162" ca="1">INDIRECT("Data!N" &amp; 1157)</f>
        <v>0</v>
      </c>
      <c r="U1162" cm="1">
        <f t="array" aca="1" ref="U1162" ca="1">INDIRECT("Data!O" &amp; 1157)</f>
        <v>0</v>
      </c>
      <c r="V1162" cm="1">
        <f t="array" aca="1" ref="V1162" ca="1">INDIRECT("Data!P" &amp; 1157)</f>
        <v>0</v>
      </c>
    </row>
    <row r="1163" spans="7:22" x14ac:dyDescent="0.25">
      <c r="G1163" cm="1">
        <f t="array" aca="1" ref="G1163" ca="1">INDIRECT("Data!A" &amp; 1158)</f>
        <v>0</v>
      </c>
      <c r="H1163" s="21" cm="1">
        <f t="array" aca="1" ref="H1163" ca="1">INDIRECT("Data!B" &amp; 1158)</f>
        <v>0</v>
      </c>
      <c r="I1163" s="21" cm="1">
        <f t="array" aca="1" ref="I1163" ca="1">INDIRECT("Data!C" &amp; 1158)</f>
        <v>0</v>
      </c>
      <c r="J1163" cm="1">
        <f t="array" aca="1" ref="J1163" ca="1">INDIRECT("Data!D" &amp; 1158)</f>
        <v>0</v>
      </c>
      <c r="K1163" cm="1">
        <f t="array" aca="1" ref="K1163" ca="1">INDIRECT("Data!E" &amp; 1158)</f>
        <v>0</v>
      </c>
      <c r="L1163" cm="1">
        <f t="array" aca="1" ref="L1163" ca="1">INDIRECT("Data!F" &amp; 1158)</f>
        <v>0</v>
      </c>
      <c r="M1163" cm="1">
        <f t="array" aca="1" ref="M1163" ca="1">INDIRECT("Data!G" &amp; 1158)</f>
        <v>0</v>
      </c>
      <c r="N1163" cm="1">
        <f t="array" aca="1" ref="N1163" ca="1">INDIRECT("Data!H" &amp; 1158)</f>
        <v>0</v>
      </c>
      <c r="O1163" cm="1">
        <f t="array" aca="1" ref="O1163" ca="1">INDIRECT("Data!I" &amp; 1158)</f>
        <v>0</v>
      </c>
      <c r="P1163" s="21" cm="1">
        <f t="array" aca="1" ref="P1163" ca="1">INDIRECT("Data!J" &amp; 1158)</f>
        <v>0</v>
      </c>
      <c r="Q1163" cm="1">
        <f t="array" aca="1" ref="Q1163" ca="1">INDIRECT("Data!K" &amp; 1158)</f>
        <v>0</v>
      </c>
      <c r="R1163" cm="1">
        <f t="array" aca="1" ref="R1163" ca="1">INDIRECT("Data!L" &amp; 1158)</f>
        <v>0</v>
      </c>
      <c r="S1163" cm="1">
        <f t="array" aca="1" ref="S1163" ca="1">INDIRECT("Data!M" &amp; 1158)</f>
        <v>0</v>
      </c>
      <c r="T1163" cm="1">
        <f t="array" aca="1" ref="T1163" ca="1">INDIRECT("Data!N" &amp; 1158)</f>
        <v>0</v>
      </c>
      <c r="U1163" cm="1">
        <f t="array" aca="1" ref="U1163" ca="1">INDIRECT("Data!O" &amp; 1158)</f>
        <v>0</v>
      </c>
      <c r="V1163" cm="1">
        <f t="array" aca="1" ref="V1163" ca="1">INDIRECT("Data!P" &amp; 1158)</f>
        <v>0</v>
      </c>
    </row>
    <row r="1164" spans="7:22" x14ac:dyDescent="0.25">
      <c r="G1164" cm="1">
        <f t="array" aca="1" ref="G1164" ca="1">INDIRECT("Data!A" &amp; 1159)</f>
        <v>0</v>
      </c>
      <c r="H1164" s="21" cm="1">
        <f t="array" aca="1" ref="H1164" ca="1">INDIRECT("Data!B" &amp; 1159)</f>
        <v>0</v>
      </c>
      <c r="I1164" s="21" cm="1">
        <f t="array" aca="1" ref="I1164" ca="1">INDIRECT("Data!C" &amp; 1159)</f>
        <v>0</v>
      </c>
      <c r="J1164" cm="1">
        <f t="array" aca="1" ref="J1164" ca="1">INDIRECT("Data!D" &amp; 1159)</f>
        <v>0</v>
      </c>
      <c r="K1164" cm="1">
        <f t="array" aca="1" ref="K1164" ca="1">INDIRECT("Data!E" &amp; 1159)</f>
        <v>0</v>
      </c>
      <c r="L1164" cm="1">
        <f t="array" aca="1" ref="L1164" ca="1">INDIRECT("Data!F" &amp; 1159)</f>
        <v>0</v>
      </c>
      <c r="M1164" cm="1">
        <f t="array" aca="1" ref="M1164" ca="1">INDIRECT("Data!G" &amp; 1159)</f>
        <v>0</v>
      </c>
      <c r="N1164" cm="1">
        <f t="array" aca="1" ref="N1164" ca="1">INDIRECT("Data!H" &amp; 1159)</f>
        <v>0</v>
      </c>
      <c r="O1164" cm="1">
        <f t="array" aca="1" ref="O1164" ca="1">INDIRECT("Data!I" &amp; 1159)</f>
        <v>0</v>
      </c>
      <c r="P1164" s="21" cm="1">
        <f t="array" aca="1" ref="P1164" ca="1">INDIRECT("Data!J" &amp; 1159)</f>
        <v>0</v>
      </c>
      <c r="Q1164" cm="1">
        <f t="array" aca="1" ref="Q1164" ca="1">INDIRECT("Data!K" &amp; 1159)</f>
        <v>0</v>
      </c>
      <c r="R1164" cm="1">
        <f t="array" aca="1" ref="R1164" ca="1">INDIRECT("Data!L" &amp; 1159)</f>
        <v>0</v>
      </c>
      <c r="S1164" cm="1">
        <f t="array" aca="1" ref="S1164" ca="1">INDIRECT("Data!M" &amp; 1159)</f>
        <v>0</v>
      </c>
      <c r="T1164" cm="1">
        <f t="array" aca="1" ref="T1164" ca="1">INDIRECT("Data!N" &amp; 1159)</f>
        <v>0</v>
      </c>
      <c r="U1164" cm="1">
        <f t="array" aca="1" ref="U1164" ca="1">INDIRECT("Data!O" &amp; 1159)</f>
        <v>0</v>
      </c>
      <c r="V1164" cm="1">
        <f t="array" aca="1" ref="V1164" ca="1">INDIRECT("Data!P" &amp; 1159)</f>
        <v>0</v>
      </c>
    </row>
    <row r="1165" spans="7:22" x14ac:dyDescent="0.25">
      <c r="G1165" cm="1">
        <f t="array" aca="1" ref="G1165" ca="1">INDIRECT("Data!A" &amp; 1160)</f>
        <v>0</v>
      </c>
      <c r="H1165" s="21" cm="1">
        <f t="array" aca="1" ref="H1165" ca="1">INDIRECT("Data!B" &amp; 1160)</f>
        <v>0</v>
      </c>
      <c r="I1165" s="21" cm="1">
        <f t="array" aca="1" ref="I1165" ca="1">INDIRECT("Data!C" &amp; 1160)</f>
        <v>0</v>
      </c>
      <c r="J1165" cm="1">
        <f t="array" aca="1" ref="J1165" ca="1">INDIRECT("Data!D" &amp; 1160)</f>
        <v>0</v>
      </c>
      <c r="K1165" cm="1">
        <f t="array" aca="1" ref="K1165" ca="1">INDIRECT("Data!E" &amp; 1160)</f>
        <v>0</v>
      </c>
      <c r="L1165" cm="1">
        <f t="array" aca="1" ref="L1165" ca="1">INDIRECT("Data!F" &amp; 1160)</f>
        <v>0</v>
      </c>
      <c r="M1165" cm="1">
        <f t="array" aca="1" ref="M1165" ca="1">INDIRECT("Data!G" &amp; 1160)</f>
        <v>0</v>
      </c>
      <c r="N1165" cm="1">
        <f t="array" aca="1" ref="N1165" ca="1">INDIRECT("Data!H" &amp; 1160)</f>
        <v>0</v>
      </c>
      <c r="O1165" cm="1">
        <f t="array" aca="1" ref="O1165" ca="1">INDIRECT("Data!I" &amp; 1160)</f>
        <v>0</v>
      </c>
      <c r="P1165" s="21" cm="1">
        <f t="array" aca="1" ref="P1165" ca="1">INDIRECT("Data!J" &amp; 1160)</f>
        <v>0</v>
      </c>
      <c r="Q1165" cm="1">
        <f t="array" aca="1" ref="Q1165" ca="1">INDIRECT("Data!K" &amp; 1160)</f>
        <v>0</v>
      </c>
      <c r="R1165" cm="1">
        <f t="array" aca="1" ref="R1165" ca="1">INDIRECT("Data!L" &amp; 1160)</f>
        <v>0</v>
      </c>
      <c r="S1165" cm="1">
        <f t="array" aca="1" ref="S1165" ca="1">INDIRECT("Data!M" &amp; 1160)</f>
        <v>0</v>
      </c>
      <c r="T1165" cm="1">
        <f t="array" aca="1" ref="T1165" ca="1">INDIRECT("Data!N" &amp; 1160)</f>
        <v>0</v>
      </c>
      <c r="U1165" cm="1">
        <f t="array" aca="1" ref="U1165" ca="1">INDIRECT("Data!O" &amp; 1160)</f>
        <v>0</v>
      </c>
      <c r="V1165" cm="1">
        <f t="array" aca="1" ref="V1165" ca="1">INDIRECT("Data!P" &amp; 1160)</f>
        <v>0</v>
      </c>
    </row>
    <row r="1166" spans="7:22" x14ac:dyDescent="0.25">
      <c r="G1166" cm="1">
        <f t="array" aca="1" ref="G1166" ca="1">INDIRECT("Data!A" &amp; 1161)</f>
        <v>0</v>
      </c>
      <c r="H1166" s="21" cm="1">
        <f t="array" aca="1" ref="H1166" ca="1">INDIRECT("Data!B" &amp; 1161)</f>
        <v>0</v>
      </c>
      <c r="I1166" s="21" cm="1">
        <f t="array" aca="1" ref="I1166" ca="1">INDIRECT("Data!C" &amp; 1161)</f>
        <v>0</v>
      </c>
      <c r="J1166" cm="1">
        <f t="array" aca="1" ref="J1166" ca="1">INDIRECT("Data!D" &amp; 1161)</f>
        <v>0</v>
      </c>
      <c r="K1166" cm="1">
        <f t="array" aca="1" ref="K1166" ca="1">INDIRECT("Data!E" &amp; 1161)</f>
        <v>0</v>
      </c>
      <c r="L1166" cm="1">
        <f t="array" aca="1" ref="L1166" ca="1">INDIRECT("Data!F" &amp; 1161)</f>
        <v>0</v>
      </c>
      <c r="M1166" cm="1">
        <f t="array" aca="1" ref="M1166" ca="1">INDIRECT("Data!G" &amp; 1161)</f>
        <v>0</v>
      </c>
      <c r="N1166" cm="1">
        <f t="array" aca="1" ref="N1166" ca="1">INDIRECT("Data!H" &amp; 1161)</f>
        <v>0</v>
      </c>
      <c r="O1166" cm="1">
        <f t="array" aca="1" ref="O1166" ca="1">INDIRECT("Data!I" &amp; 1161)</f>
        <v>0</v>
      </c>
      <c r="P1166" s="21" cm="1">
        <f t="array" aca="1" ref="P1166" ca="1">INDIRECT("Data!J" &amp; 1161)</f>
        <v>0</v>
      </c>
      <c r="Q1166" cm="1">
        <f t="array" aca="1" ref="Q1166" ca="1">INDIRECT("Data!K" &amp; 1161)</f>
        <v>0</v>
      </c>
      <c r="R1166" cm="1">
        <f t="array" aca="1" ref="R1166" ca="1">INDIRECT("Data!L" &amp; 1161)</f>
        <v>0</v>
      </c>
      <c r="S1166" cm="1">
        <f t="array" aca="1" ref="S1166" ca="1">INDIRECT("Data!M" &amp; 1161)</f>
        <v>0</v>
      </c>
      <c r="T1166" cm="1">
        <f t="array" aca="1" ref="T1166" ca="1">INDIRECT("Data!N" &amp; 1161)</f>
        <v>0</v>
      </c>
      <c r="U1166" cm="1">
        <f t="array" aca="1" ref="U1166" ca="1">INDIRECT("Data!O" &amp; 1161)</f>
        <v>0</v>
      </c>
      <c r="V1166" cm="1">
        <f t="array" aca="1" ref="V1166" ca="1">INDIRECT("Data!P" &amp; 1161)</f>
        <v>0</v>
      </c>
    </row>
    <row r="1167" spans="7:22" x14ac:dyDescent="0.25">
      <c r="G1167" cm="1">
        <f t="array" aca="1" ref="G1167" ca="1">INDIRECT("Data!A" &amp; 1162)</f>
        <v>0</v>
      </c>
      <c r="H1167" s="21" cm="1">
        <f t="array" aca="1" ref="H1167" ca="1">INDIRECT("Data!B" &amp; 1162)</f>
        <v>0</v>
      </c>
      <c r="I1167" s="21" cm="1">
        <f t="array" aca="1" ref="I1167" ca="1">INDIRECT("Data!C" &amp; 1162)</f>
        <v>0</v>
      </c>
      <c r="J1167" cm="1">
        <f t="array" aca="1" ref="J1167" ca="1">INDIRECT("Data!D" &amp; 1162)</f>
        <v>0</v>
      </c>
      <c r="K1167" cm="1">
        <f t="array" aca="1" ref="K1167" ca="1">INDIRECT("Data!E" &amp; 1162)</f>
        <v>0</v>
      </c>
      <c r="L1167" cm="1">
        <f t="array" aca="1" ref="L1167" ca="1">INDIRECT("Data!F" &amp; 1162)</f>
        <v>0</v>
      </c>
      <c r="M1167" cm="1">
        <f t="array" aca="1" ref="M1167" ca="1">INDIRECT("Data!G" &amp; 1162)</f>
        <v>0</v>
      </c>
      <c r="N1167" cm="1">
        <f t="array" aca="1" ref="N1167" ca="1">INDIRECT("Data!H" &amp; 1162)</f>
        <v>0</v>
      </c>
      <c r="O1167" cm="1">
        <f t="array" aca="1" ref="O1167" ca="1">INDIRECT("Data!I" &amp; 1162)</f>
        <v>0</v>
      </c>
      <c r="P1167" s="21" cm="1">
        <f t="array" aca="1" ref="P1167" ca="1">INDIRECT("Data!J" &amp; 1162)</f>
        <v>0</v>
      </c>
      <c r="Q1167" cm="1">
        <f t="array" aca="1" ref="Q1167" ca="1">INDIRECT("Data!K" &amp; 1162)</f>
        <v>0</v>
      </c>
      <c r="R1167" cm="1">
        <f t="array" aca="1" ref="R1167" ca="1">INDIRECT("Data!L" &amp; 1162)</f>
        <v>0</v>
      </c>
      <c r="S1167" cm="1">
        <f t="array" aca="1" ref="S1167" ca="1">INDIRECT("Data!M" &amp; 1162)</f>
        <v>0</v>
      </c>
      <c r="T1167" cm="1">
        <f t="array" aca="1" ref="T1167" ca="1">INDIRECT("Data!N" &amp; 1162)</f>
        <v>0</v>
      </c>
      <c r="U1167" cm="1">
        <f t="array" aca="1" ref="U1167" ca="1">INDIRECT("Data!O" &amp; 1162)</f>
        <v>0</v>
      </c>
      <c r="V1167" cm="1">
        <f t="array" aca="1" ref="V1167" ca="1">INDIRECT("Data!P" &amp; 1162)</f>
        <v>0</v>
      </c>
    </row>
    <row r="1168" spans="7:22" x14ac:dyDescent="0.25">
      <c r="G1168" cm="1">
        <f t="array" aca="1" ref="G1168" ca="1">INDIRECT("Data!A" &amp; 1163)</f>
        <v>0</v>
      </c>
      <c r="H1168" s="21" cm="1">
        <f t="array" aca="1" ref="H1168" ca="1">INDIRECT("Data!B" &amp; 1163)</f>
        <v>0</v>
      </c>
      <c r="I1168" s="21" cm="1">
        <f t="array" aca="1" ref="I1168" ca="1">INDIRECT("Data!C" &amp; 1163)</f>
        <v>0</v>
      </c>
      <c r="J1168" cm="1">
        <f t="array" aca="1" ref="J1168" ca="1">INDIRECT("Data!D" &amp; 1163)</f>
        <v>0</v>
      </c>
      <c r="K1168" cm="1">
        <f t="array" aca="1" ref="K1168" ca="1">INDIRECT("Data!E" &amp; 1163)</f>
        <v>0</v>
      </c>
      <c r="L1168" cm="1">
        <f t="array" aca="1" ref="L1168" ca="1">INDIRECT("Data!F" &amp; 1163)</f>
        <v>0</v>
      </c>
      <c r="M1168" cm="1">
        <f t="array" aca="1" ref="M1168" ca="1">INDIRECT("Data!G" &amp; 1163)</f>
        <v>0</v>
      </c>
      <c r="N1168" cm="1">
        <f t="array" aca="1" ref="N1168" ca="1">INDIRECT("Data!H" &amp; 1163)</f>
        <v>0</v>
      </c>
      <c r="O1168" cm="1">
        <f t="array" aca="1" ref="O1168" ca="1">INDIRECT("Data!I" &amp; 1163)</f>
        <v>0</v>
      </c>
      <c r="P1168" s="21" cm="1">
        <f t="array" aca="1" ref="P1168" ca="1">INDIRECT("Data!J" &amp; 1163)</f>
        <v>0</v>
      </c>
      <c r="Q1168" cm="1">
        <f t="array" aca="1" ref="Q1168" ca="1">INDIRECT("Data!K" &amp; 1163)</f>
        <v>0</v>
      </c>
      <c r="R1168" cm="1">
        <f t="array" aca="1" ref="R1168" ca="1">INDIRECT("Data!L" &amp; 1163)</f>
        <v>0</v>
      </c>
      <c r="S1168" cm="1">
        <f t="array" aca="1" ref="S1168" ca="1">INDIRECT("Data!M" &amp; 1163)</f>
        <v>0</v>
      </c>
      <c r="T1168" cm="1">
        <f t="array" aca="1" ref="T1168" ca="1">INDIRECT("Data!N" &amp; 1163)</f>
        <v>0</v>
      </c>
      <c r="U1168" cm="1">
        <f t="array" aca="1" ref="U1168" ca="1">INDIRECT("Data!O" &amp; 1163)</f>
        <v>0</v>
      </c>
      <c r="V1168" cm="1">
        <f t="array" aca="1" ref="V1168" ca="1">INDIRECT("Data!P" &amp; 1163)</f>
        <v>0</v>
      </c>
    </row>
    <row r="1169" spans="7:22" x14ac:dyDescent="0.25">
      <c r="G1169" cm="1">
        <f t="array" aca="1" ref="G1169" ca="1">INDIRECT("Data!A" &amp; 1164)</f>
        <v>0</v>
      </c>
      <c r="H1169" s="21" cm="1">
        <f t="array" aca="1" ref="H1169" ca="1">INDIRECT("Data!B" &amp; 1164)</f>
        <v>0</v>
      </c>
      <c r="I1169" s="21" cm="1">
        <f t="array" aca="1" ref="I1169" ca="1">INDIRECT("Data!C" &amp; 1164)</f>
        <v>0</v>
      </c>
      <c r="J1169" cm="1">
        <f t="array" aca="1" ref="J1169" ca="1">INDIRECT("Data!D" &amp; 1164)</f>
        <v>0</v>
      </c>
      <c r="K1169" cm="1">
        <f t="array" aca="1" ref="K1169" ca="1">INDIRECT("Data!E" &amp; 1164)</f>
        <v>0</v>
      </c>
      <c r="L1169" cm="1">
        <f t="array" aca="1" ref="L1169" ca="1">INDIRECT("Data!F" &amp; 1164)</f>
        <v>0</v>
      </c>
      <c r="M1169" cm="1">
        <f t="array" aca="1" ref="M1169" ca="1">INDIRECT("Data!G" &amp; 1164)</f>
        <v>0</v>
      </c>
      <c r="N1169" cm="1">
        <f t="array" aca="1" ref="N1169" ca="1">INDIRECT("Data!H" &amp; 1164)</f>
        <v>0</v>
      </c>
      <c r="O1169" cm="1">
        <f t="array" aca="1" ref="O1169" ca="1">INDIRECT("Data!I" &amp; 1164)</f>
        <v>0</v>
      </c>
      <c r="P1169" s="21" cm="1">
        <f t="array" aca="1" ref="P1169" ca="1">INDIRECT("Data!J" &amp; 1164)</f>
        <v>0</v>
      </c>
      <c r="Q1169" cm="1">
        <f t="array" aca="1" ref="Q1169" ca="1">INDIRECT("Data!K" &amp; 1164)</f>
        <v>0</v>
      </c>
      <c r="R1169" cm="1">
        <f t="array" aca="1" ref="R1169" ca="1">INDIRECT("Data!L" &amp; 1164)</f>
        <v>0</v>
      </c>
      <c r="S1169" cm="1">
        <f t="array" aca="1" ref="S1169" ca="1">INDIRECT("Data!M" &amp; 1164)</f>
        <v>0</v>
      </c>
      <c r="T1169" cm="1">
        <f t="array" aca="1" ref="T1169" ca="1">INDIRECT("Data!N" &amp; 1164)</f>
        <v>0</v>
      </c>
      <c r="U1169" cm="1">
        <f t="array" aca="1" ref="U1169" ca="1">INDIRECT("Data!O" &amp; 1164)</f>
        <v>0</v>
      </c>
      <c r="V1169" cm="1">
        <f t="array" aca="1" ref="V1169" ca="1">INDIRECT("Data!P" &amp; 1164)</f>
        <v>0</v>
      </c>
    </row>
    <row r="1170" spans="7:22" x14ac:dyDescent="0.25">
      <c r="G1170" cm="1">
        <f t="array" aca="1" ref="G1170" ca="1">INDIRECT("Data!A" &amp; 1165)</f>
        <v>0</v>
      </c>
      <c r="H1170" s="21" cm="1">
        <f t="array" aca="1" ref="H1170" ca="1">INDIRECT("Data!B" &amp; 1165)</f>
        <v>0</v>
      </c>
      <c r="I1170" s="21" cm="1">
        <f t="array" aca="1" ref="I1170" ca="1">INDIRECT("Data!C" &amp; 1165)</f>
        <v>0</v>
      </c>
      <c r="J1170" cm="1">
        <f t="array" aca="1" ref="J1170" ca="1">INDIRECT("Data!D" &amp; 1165)</f>
        <v>0</v>
      </c>
      <c r="K1170" cm="1">
        <f t="array" aca="1" ref="K1170" ca="1">INDIRECT("Data!E" &amp; 1165)</f>
        <v>0</v>
      </c>
      <c r="L1170" cm="1">
        <f t="array" aca="1" ref="L1170" ca="1">INDIRECT("Data!F" &amp; 1165)</f>
        <v>0</v>
      </c>
      <c r="M1170" cm="1">
        <f t="array" aca="1" ref="M1170" ca="1">INDIRECT("Data!G" &amp; 1165)</f>
        <v>0</v>
      </c>
      <c r="N1170" cm="1">
        <f t="array" aca="1" ref="N1170" ca="1">INDIRECT("Data!H" &amp; 1165)</f>
        <v>0</v>
      </c>
      <c r="O1170" cm="1">
        <f t="array" aca="1" ref="O1170" ca="1">INDIRECT("Data!I" &amp; 1165)</f>
        <v>0</v>
      </c>
      <c r="P1170" s="21" cm="1">
        <f t="array" aca="1" ref="P1170" ca="1">INDIRECT("Data!J" &amp; 1165)</f>
        <v>0</v>
      </c>
      <c r="Q1170" cm="1">
        <f t="array" aca="1" ref="Q1170" ca="1">INDIRECT("Data!K" &amp; 1165)</f>
        <v>0</v>
      </c>
      <c r="R1170" cm="1">
        <f t="array" aca="1" ref="R1170" ca="1">INDIRECT("Data!L" &amp; 1165)</f>
        <v>0</v>
      </c>
      <c r="S1170" cm="1">
        <f t="array" aca="1" ref="S1170" ca="1">INDIRECT("Data!M" &amp; 1165)</f>
        <v>0</v>
      </c>
      <c r="T1170" cm="1">
        <f t="array" aca="1" ref="T1170" ca="1">INDIRECT("Data!N" &amp; 1165)</f>
        <v>0</v>
      </c>
      <c r="U1170" cm="1">
        <f t="array" aca="1" ref="U1170" ca="1">INDIRECT("Data!O" &amp; 1165)</f>
        <v>0</v>
      </c>
      <c r="V1170" cm="1">
        <f t="array" aca="1" ref="V1170" ca="1">INDIRECT("Data!P" &amp; 1165)</f>
        <v>0</v>
      </c>
    </row>
    <row r="1171" spans="7:22" x14ac:dyDescent="0.25">
      <c r="G1171" cm="1">
        <f t="array" aca="1" ref="G1171" ca="1">INDIRECT("Data!A" &amp; 1166)</f>
        <v>0</v>
      </c>
      <c r="H1171" s="21" cm="1">
        <f t="array" aca="1" ref="H1171" ca="1">INDIRECT("Data!B" &amp; 1166)</f>
        <v>0</v>
      </c>
      <c r="I1171" s="21" cm="1">
        <f t="array" aca="1" ref="I1171" ca="1">INDIRECT("Data!C" &amp; 1166)</f>
        <v>0</v>
      </c>
      <c r="J1171" cm="1">
        <f t="array" aca="1" ref="J1171" ca="1">INDIRECT("Data!D" &amp; 1166)</f>
        <v>0</v>
      </c>
      <c r="K1171" cm="1">
        <f t="array" aca="1" ref="K1171" ca="1">INDIRECT("Data!E" &amp; 1166)</f>
        <v>0</v>
      </c>
      <c r="L1171" cm="1">
        <f t="array" aca="1" ref="L1171" ca="1">INDIRECT("Data!F" &amp; 1166)</f>
        <v>0</v>
      </c>
      <c r="M1171" cm="1">
        <f t="array" aca="1" ref="M1171" ca="1">INDIRECT("Data!G" &amp; 1166)</f>
        <v>0</v>
      </c>
      <c r="N1171" cm="1">
        <f t="array" aca="1" ref="N1171" ca="1">INDIRECT("Data!H" &amp; 1166)</f>
        <v>0</v>
      </c>
      <c r="O1171" cm="1">
        <f t="array" aca="1" ref="O1171" ca="1">INDIRECT("Data!I" &amp; 1166)</f>
        <v>0</v>
      </c>
      <c r="P1171" s="21" cm="1">
        <f t="array" aca="1" ref="P1171" ca="1">INDIRECT("Data!J" &amp; 1166)</f>
        <v>0</v>
      </c>
      <c r="Q1171" cm="1">
        <f t="array" aca="1" ref="Q1171" ca="1">INDIRECT("Data!K" &amp; 1166)</f>
        <v>0</v>
      </c>
      <c r="R1171" cm="1">
        <f t="array" aca="1" ref="R1171" ca="1">INDIRECT("Data!L" &amp; 1166)</f>
        <v>0</v>
      </c>
      <c r="S1171" cm="1">
        <f t="array" aca="1" ref="S1171" ca="1">INDIRECT("Data!M" &amp; 1166)</f>
        <v>0</v>
      </c>
      <c r="T1171" cm="1">
        <f t="array" aca="1" ref="T1171" ca="1">INDIRECT("Data!N" &amp; 1166)</f>
        <v>0</v>
      </c>
      <c r="U1171" cm="1">
        <f t="array" aca="1" ref="U1171" ca="1">INDIRECT("Data!O" &amp; 1166)</f>
        <v>0</v>
      </c>
      <c r="V1171" cm="1">
        <f t="array" aca="1" ref="V1171" ca="1">INDIRECT("Data!P" &amp; 1166)</f>
        <v>0</v>
      </c>
    </row>
    <row r="1172" spans="7:22" x14ac:dyDescent="0.25">
      <c r="G1172" cm="1">
        <f t="array" aca="1" ref="G1172" ca="1">INDIRECT("Data!A" &amp; 1167)</f>
        <v>0</v>
      </c>
      <c r="H1172" s="21" cm="1">
        <f t="array" aca="1" ref="H1172" ca="1">INDIRECT("Data!B" &amp; 1167)</f>
        <v>0</v>
      </c>
      <c r="I1172" s="21" cm="1">
        <f t="array" aca="1" ref="I1172" ca="1">INDIRECT("Data!C" &amp; 1167)</f>
        <v>0</v>
      </c>
      <c r="J1172" cm="1">
        <f t="array" aca="1" ref="J1172" ca="1">INDIRECT("Data!D" &amp; 1167)</f>
        <v>0</v>
      </c>
      <c r="K1172" cm="1">
        <f t="array" aca="1" ref="K1172" ca="1">INDIRECT("Data!E" &amp; 1167)</f>
        <v>0</v>
      </c>
      <c r="L1172" cm="1">
        <f t="array" aca="1" ref="L1172" ca="1">INDIRECT("Data!F" &amp; 1167)</f>
        <v>0</v>
      </c>
      <c r="M1172" cm="1">
        <f t="array" aca="1" ref="M1172" ca="1">INDIRECT("Data!G" &amp; 1167)</f>
        <v>0</v>
      </c>
      <c r="N1172" cm="1">
        <f t="array" aca="1" ref="N1172" ca="1">INDIRECT("Data!H" &amp; 1167)</f>
        <v>0</v>
      </c>
      <c r="O1172" cm="1">
        <f t="array" aca="1" ref="O1172" ca="1">INDIRECT("Data!I" &amp; 1167)</f>
        <v>0</v>
      </c>
      <c r="P1172" s="21" cm="1">
        <f t="array" aca="1" ref="P1172" ca="1">INDIRECT("Data!J" &amp; 1167)</f>
        <v>0</v>
      </c>
      <c r="Q1172" cm="1">
        <f t="array" aca="1" ref="Q1172" ca="1">INDIRECT("Data!K" &amp; 1167)</f>
        <v>0</v>
      </c>
      <c r="R1172" cm="1">
        <f t="array" aca="1" ref="R1172" ca="1">INDIRECT("Data!L" &amp; 1167)</f>
        <v>0</v>
      </c>
      <c r="S1172" cm="1">
        <f t="array" aca="1" ref="S1172" ca="1">INDIRECT("Data!M" &amp; 1167)</f>
        <v>0</v>
      </c>
      <c r="T1172" cm="1">
        <f t="array" aca="1" ref="T1172" ca="1">INDIRECT("Data!N" &amp; 1167)</f>
        <v>0</v>
      </c>
      <c r="U1172" cm="1">
        <f t="array" aca="1" ref="U1172" ca="1">INDIRECT("Data!O" &amp; 1167)</f>
        <v>0</v>
      </c>
      <c r="V1172" cm="1">
        <f t="array" aca="1" ref="V1172" ca="1">INDIRECT("Data!P" &amp; 1167)</f>
        <v>0</v>
      </c>
    </row>
    <row r="1173" spans="7:22" x14ac:dyDescent="0.25">
      <c r="G1173" cm="1">
        <f t="array" aca="1" ref="G1173" ca="1">INDIRECT("Data!A" &amp; 1168)</f>
        <v>0</v>
      </c>
      <c r="H1173" s="21" cm="1">
        <f t="array" aca="1" ref="H1173" ca="1">INDIRECT("Data!B" &amp; 1168)</f>
        <v>0</v>
      </c>
      <c r="I1173" s="21" cm="1">
        <f t="array" aca="1" ref="I1173" ca="1">INDIRECT("Data!C" &amp; 1168)</f>
        <v>0</v>
      </c>
      <c r="J1173" cm="1">
        <f t="array" aca="1" ref="J1173" ca="1">INDIRECT("Data!D" &amp; 1168)</f>
        <v>0</v>
      </c>
      <c r="K1173" cm="1">
        <f t="array" aca="1" ref="K1173" ca="1">INDIRECT("Data!E" &amp; 1168)</f>
        <v>0</v>
      </c>
      <c r="L1173" cm="1">
        <f t="array" aca="1" ref="L1173" ca="1">INDIRECT("Data!F" &amp; 1168)</f>
        <v>0</v>
      </c>
      <c r="M1173" cm="1">
        <f t="array" aca="1" ref="M1173" ca="1">INDIRECT("Data!G" &amp; 1168)</f>
        <v>0</v>
      </c>
      <c r="N1173" cm="1">
        <f t="array" aca="1" ref="N1173" ca="1">INDIRECT("Data!H" &amp; 1168)</f>
        <v>0</v>
      </c>
      <c r="O1173" cm="1">
        <f t="array" aca="1" ref="O1173" ca="1">INDIRECT("Data!I" &amp; 1168)</f>
        <v>0</v>
      </c>
      <c r="P1173" s="21" cm="1">
        <f t="array" aca="1" ref="P1173" ca="1">INDIRECT("Data!J" &amp; 1168)</f>
        <v>0</v>
      </c>
      <c r="Q1173" cm="1">
        <f t="array" aca="1" ref="Q1173" ca="1">INDIRECT("Data!K" &amp; 1168)</f>
        <v>0</v>
      </c>
      <c r="R1173" cm="1">
        <f t="array" aca="1" ref="R1173" ca="1">INDIRECT("Data!L" &amp; 1168)</f>
        <v>0</v>
      </c>
      <c r="S1173" cm="1">
        <f t="array" aca="1" ref="S1173" ca="1">INDIRECT("Data!M" &amp; 1168)</f>
        <v>0</v>
      </c>
      <c r="T1173" cm="1">
        <f t="array" aca="1" ref="T1173" ca="1">INDIRECT("Data!N" &amp; 1168)</f>
        <v>0</v>
      </c>
      <c r="U1173" cm="1">
        <f t="array" aca="1" ref="U1173" ca="1">INDIRECT("Data!O" &amp; 1168)</f>
        <v>0</v>
      </c>
      <c r="V1173" cm="1">
        <f t="array" aca="1" ref="V1173" ca="1">INDIRECT("Data!P" &amp; 1168)</f>
        <v>0</v>
      </c>
    </row>
    <row r="1174" spans="7:22" x14ac:dyDescent="0.25">
      <c r="G1174" cm="1">
        <f t="array" aca="1" ref="G1174" ca="1">INDIRECT("Data!A" &amp; 1169)</f>
        <v>0</v>
      </c>
      <c r="H1174" s="21" cm="1">
        <f t="array" aca="1" ref="H1174" ca="1">INDIRECT("Data!B" &amp; 1169)</f>
        <v>0</v>
      </c>
      <c r="I1174" s="21" cm="1">
        <f t="array" aca="1" ref="I1174" ca="1">INDIRECT("Data!C" &amp; 1169)</f>
        <v>0</v>
      </c>
      <c r="J1174" cm="1">
        <f t="array" aca="1" ref="J1174" ca="1">INDIRECT("Data!D" &amp; 1169)</f>
        <v>0</v>
      </c>
      <c r="K1174" cm="1">
        <f t="array" aca="1" ref="K1174" ca="1">INDIRECT("Data!E" &amp; 1169)</f>
        <v>0</v>
      </c>
      <c r="L1174" cm="1">
        <f t="array" aca="1" ref="L1174" ca="1">INDIRECT("Data!F" &amp; 1169)</f>
        <v>0</v>
      </c>
      <c r="M1174" cm="1">
        <f t="array" aca="1" ref="M1174" ca="1">INDIRECT("Data!G" &amp; 1169)</f>
        <v>0</v>
      </c>
      <c r="N1174" cm="1">
        <f t="array" aca="1" ref="N1174" ca="1">INDIRECT("Data!H" &amp; 1169)</f>
        <v>0</v>
      </c>
      <c r="O1174" cm="1">
        <f t="array" aca="1" ref="O1174" ca="1">INDIRECT("Data!I" &amp; 1169)</f>
        <v>0</v>
      </c>
      <c r="P1174" s="21" cm="1">
        <f t="array" aca="1" ref="P1174" ca="1">INDIRECT("Data!J" &amp; 1169)</f>
        <v>0</v>
      </c>
      <c r="Q1174" cm="1">
        <f t="array" aca="1" ref="Q1174" ca="1">INDIRECT("Data!K" &amp; 1169)</f>
        <v>0</v>
      </c>
      <c r="R1174" cm="1">
        <f t="array" aca="1" ref="R1174" ca="1">INDIRECT("Data!L" &amp; 1169)</f>
        <v>0</v>
      </c>
      <c r="S1174" cm="1">
        <f t="array" aca="1" ref="S1174" ca="1">INDIRECT("Data!M" &amp; 1169)</f>
        <v>0</v>
      </c>
      <c r="T1174" cm="1">
        <f t="array" aca="1" ref="T1174" ca="1">INDIRECT("Data!N" &amp; 1169)</f>
        <v>0</v>
      </c>
      <c r="U1174" cm="1">
        <f t="array" aca="1" ref="U1174" ca="1">INDIRECT("Data!O" &amp; 1169)</f>
        <v>0</v>
      </c>
      <c r="V1174" cm="1">
        <f t="array" aca="1" ref="V1174" ca="1">INDIRECT("Data!P" &amp; 1169)</f>
        <v>0</v>
      </c>
    </row>
    <row r="1175" spans="7:22" x14ac:dyDescent="0.25">
      <c r="G1175" cm="1">
        <f t="array" aca="1" ref="G1175" ca="1">INDIRECT("Data!A" &amp; 1170)</f>
        <v>0</v>
      </c>
      <c r="H1175" s="21" cm="1">
        <f t="array" aca="1" ref="H1175" ca="1">INDIRECT("Data!B" &amp; 1170)</f>
        <v>0</v>
      </c>
      <c r="I1175" s="21" cm="1">
        <f t="array" aca="1" ref="I1175" ca="1">INDIRECT("Data!C" &amp; 1170)</f>
        <v>0</v>
      </c>
      <c r="J1175" cm="1">
        <f t="array" aca="1" ref="J1175" ca="1">INDIRECT("Data!D" &amp; 1170)</f>
        <v>0</v>
      </c>
      <c r="K1175" cm="1">
        <f t="array" aca="1" ref="K1175" ca="1">INDIRECT("Data!E" &amp; 1170)</f>
        <v>0</v>
      </c>
      <c r="L1175" cm="1">
        <f t="array" aca="1" ref="L1175" ca="1">INDIRECT("Data!F" &amp; 1170)</f>
        <v>0</v>
      </c>
      <c r="M1175" cm="1">
        <f t="array" aca="1" ref="M1175" ca="1">INDIRECT("Data!G" &amp; 1170)</f>
        <v>0</v>
      </c>
      <c r="N1175" cm="1">
        <f t="array" aca="1" ref="N1175" ca="1">INDIRECT("Data!H" &amp; 1170)</f>
        <v>0</v>
      </c>
      <c r="O1175" cm="1">
        <f t="array" aca="1" ref="O1175" ca="1">INDIRECT("Data!I" &amp; 1170)</f>
        <v>0</v>
      </c>
      <c r="P1175" s="21" cm="1">
        <f t="array" aca="1" ref="P1175" ca="1">INDIRECT("Data!J" &amp; 1170)</f>
        <v>0</v>
      </c>
      <c r="Q1175" cm="1">
        <f t="array" aca="1" ref="Q1175" ca="1">INDIRECT("Data!K" &amp; 1170)</f>
        <v>0</v>
      </c>
      <c r="R1175" cm="1">
        <f t="array" aca="1" ref="R1175" ca="1">INDIRECT("Data!L" &amp; 1170)</f>
        <v>0</v>
      </c>
      <c r="S1175" cm="1">
        <f t="array" aca="1" ref="S1175" ca="1">INDIRECT("Data!M" &amp; 1170)</f>
        <v>0</v>
      </c>
      <c r="T1175" cm="1">
        <f t="array" aca="1" ref="T1175" ca="1">INDIRECT("Data!N" &amp; 1170)</f>
        <v>0</v>
      </c>
      <c r="U1175" cm="1">
        <f t="array" aca="1" ref="U1175" ca="1">INDIRECT("Data!O" &amp; 1170)</f>
        <v>0</v>
      </c>
      <c r="V1175" cm="1">
        <f t="array" aca="1" ref="V1175" ca="1">INDIRECT("Data!P" &amp; 1170)</f>
        <v>0</v>
      </c>
    </row>
    <row r="1176" spans="7:22" x14ac:dyDescent="0.25">
      <c r="G1176" cm="1">
        <f t="array" aca="1" ref="G1176" ca="1">INDIRECT("Data!A" &amp; 1171)</f>
        <v>0</v>
      </c>
      <c r="H1176" s="21" cm="1">
        <f t="array" aca="1" ref="H1176" ca="1">INDIRECT("Data!B" &amp; 1171)</f>
        <v>0</v>
      </c>
      <c r="I1176" s="21" cm="1">
        <f t="array" aca="1" ref="I1176" ca="1">INDIRECT("Data!C" &amp; 1171)</f>
        <v>0</v>
      </c>
      <c r="J1176" cm="1">
        <f t="array" aca="1" ref="J1176" ca="1">INDIRECT("Data!D" &amp; 1171)</f>
        <v>0</v>
      </c>
      <c r="K1176" cm="1">
        <f t="array" aca="1" ref="K1176" ca="1">INDIRECT("Data!E" &amp; 1171)</f>
        <v>0</v>
      </c>
      <c r="L1176" cm="1">
        <f t="array" aca="1" ref="L1176" ca="1">INDIRECT("Data!F" &amp; 1171)</f>
        <v>0</v>
      </c>
      <c r="M1176" cm="1">
        <f t="array" aca="1" ref="M1176" ca="1">INDIRECT("Data!G" &amp; 1171)</f>
        <v>0</v>
      </c>
      <c r="N1176" cm="1">
        <f t="array" aca="1" ref="N1176" ca="1">INDIRECT("Data!H" &amp; 1171)</f>
        <v>0</v>
      </c>
      <c r="O1176" cm="1">
        <f t="array" aca="1" ref="O1176" ca="1">INDIRECT("Data!I" &amp; 1171)</f>
        <v>0</v>
      </c>
      <c r="P1176" s="21" cm="1">
        <f t="array" aca="1" ref="P1176" ca="1">INDIRECT("Data!J" &amp; 1171)</f>
        <v>0</v>
      </c>
      <c r="Q1176" cm="1">
        <f t="array" aca="1" ref="Q1176" ca="1">INDIRECT("Data!K" &amp; 1171)</f>
        <v>0</v>
      </c>
      <c r="R1176" cm="1">
        <f t="array" aca="1" ref="R1176" ca="1">INDIRECT("Data!L" &amp; 1171)</f>
        <v>0</v>
      </c>
      <c r="S1176" cm="1">
        <f t="array" aca="1" ref="S1176" ca="1">INDIRECT("Data!M" &amp; 1171)</f>
        <v>0</v>
      </c>
      <c r="T1176" cm="1">
        <f t="array" aca="1" ref="T1176" ca="1">INDIRECT("Data!N" &amp; 1171)</f>
        <v>0</v>
      </c>
      <c r="U1176" cm="1">
        <f t="array" aca="1" ref="U1176" ca="1">INDIRECT("Data!O" &amp; 1171)</f>
        <v>0</v>
      </c>
      <c r="V1176" cm="1">
        <f t="array" aca="1" ref="V1176" ca="1">INDIRECT("Data!P" &amp; 1171)</f>
        <v>0</v>
      </c>
    </row>
    <row r="1177" spans="7:22" x14ac:dyDescent="0.25">
      <c r="G1177" cm="1">
        <f t="array" aca="1" ref="G1177" ca="1">INDIRECT("Data!A" &amp; 1172)</f>
        <v>0</v>
      </c>
      <c r="H1177" s="21" cm="1">
        <f t="array" aca="1" ref="H1177" ca="1">INDIRECT("Data!B" &amp; 1172)</f>
        <v>0</v>
      </c>
      <c r="I1177" s="21" cm="1">
        <f t="array" aca="1" ref="I1177" ca="1">INDIRECT("Data!C" &amp; 1172)</f>
        <v>0</v>
      </c>
      <c r="J1177" cm="1">
        <f t="array" aca="1" ref="J1177" ca="1">INDIRECT("Data!D" &amp; 1172)</f>
        <v>0</v>
      </c>
      <c r="K1177" cm="1">
        <f t="array" aca="1" ref="K1177" ca="1">INDIRECT("Data!E" &amp; 1172)</f>
        <v>0</v>
      </c>
      <c r="L1177" cm="1">
        <f t="array" aca="1" ref="L1177" ca="1">INDIRECT("Data!F" &amp; 1172)</f>
        <v>0</v>
      </c>
      <c r="M1177" cm="1">
        <f t="array" aca="1" ref="M1177" ca="1">INDIRECT("Data!G" &amp; 1172)</f>
        <v>0</v>
      </c>
      <c r="N1177" cm="1">
        <f t="array" aca="1" ref="N1177" ca="1">INDIRECT("Data!H" &amp; 1172)</f>
        <v>0</v>
      </c>
      <c r="O1177" cm="1">
        <f t="array" aca="1" ref="O1177" ca="1">INDIRECT("Data!I" &amp; 1172)</f>
        <v>0</v>
      </c>
      <c r="P1177" s="21" cm="1">
        <f t="array" aca="1" ref="P1177" ca="1">INDIRECT("Data!J" &amp; 1172)</f>
        <v>0</v>
      </c>
      <c r="Q1177" cm="1">
        <f t="array" aca="1" ref="Q1177" ca="1">INDIRECT("Data!K" &amp; 1172)</f>
        <v>0</v>
      </c>
      <c r="R1177" cm="1">
        <f t="array" aca="1" ref="R1177" ca="1">INDIRECT("Data!L" &amp; 1172)</f>
        <v>0</v>
      </c>
      <c r="S1177" cm="1">
        <f t="array" aca="1" ref="S1177" ca="1">INDIRECT("Data!M" &amp; 1172)</f>
        <v>0</v>
      </c>
      <c r="T1177" cm="1">
        <f t="array" aca="1" ref="T1177" ca="1">INDIRECT("Data!N" &amp; 1172)</f>
        <v>0</v>
      </c>
      <c r="U1177" cm="1">
        <f t="array" aca="1" ref="U1177" ca="1">INDIRECT("Data!O" &amp; 1172)</f>
        <v>0</v>
      </c>
      <c r="V1177" cm="1">
        <f t="array" aca="1" ref="V1177" ca="1">INDIRECT("Data!P" &amp; 1172)</f>
        <v>0</v>
      </c>
    </row>
    <row r="1178" spans="7:22" x14ac:dyDescent="0.25">
      <c r="G1178" cm="1">
        <f t="array" aca="1" ref="G1178" ca="1">INDIRECT("Data!A" &amp; 1173)</f>
        <v>0</v>
      </c>
      <c r="H1178" s="21" cm="1">
        <f t="array" aca="1" ref="H1178" ca="1">INDIRECT("Data!B" &amp; 1173)</f>
        <v>0</v>
      </c>
      <c r="I1178" s="21" cm="1">
        <f t="array" aca="1" ref="I1178" ca="1">INDIRECT("Data!C" &amp; 1173)</f>
        <v>0</v>
      </c>
      <c r="J1178" cm="1">
        <f t="array" aca="1" ref="J1178" ca="1">INDIRECT("Data!D" &amp; 1173)</f>
        <v>0</v>
      </c>
      <c r="K1178" cm="1">
        <f t="array" aca="1" ref="K1178" ca="1">INDIRECT("Data!E" &amp; 1173)</f>
        <v>0</v>
      </c>
      <c r="L1178" cm="1">
        <f t="array" aca="1" ref="L1178" ca="1">INDIRECT("Data!F" &amp; 1173)</f>
        <v>0</v>
      </c>
      <c r="M1178" cm="1">
        <f t="array" aca="1" ref="M1178" ca="1">INDIRECT("Data!G" &amp; 1173)</f>
        <v>0</v>
      </c>
      <c r="N1178" cm="1">
        <f t="array" aca="1" ref="N1178" ca="1">INDIRECT("Data!H" &amp; 1173)</f>
        <v>0</v>
      </c>
      <c r="O1178" cm="1">
        <f t="array" aca="1" ref="O1178" ca="1">INDIRECT("Data!I" &amp; 1173)</f>
        <v>0</v>
      </c>
      <c r="P1178" s="21" cm="1">
        <f t="array" aca="1" ref="P1178" ca="1">INDIRECT("Data!J" &amp; 1173)</f>
        <v>0</v>
      </c>
      <c r="Q1178" cm="1">
        <f t="array" aca="1" ref="Q1178" ca="1">INDIRECT("Data!K" &amp; 1173)</f>
        <v>0</v>
      </c>
      <c r="R1178" cm="1">
        <f t="array" aca="1" ref="R1178" ca="1">INDIRECT("Data!L" &amp; 1173)</f>
        <v>0</v>
      </c>
      <c r="S1178" cm="1">
        <f t="array" aca="1" ref="S1178" ca="1">INDIRECT("Data!M" &amp; 1173)</f>
        <v>0</v>
      </c>
      <c r="T1178" cm="1">
        <f t="array" aca="1" ref="T1178" ca="1">INDIRECT("Data!N" &amp; 1173)</f>
        <v>0</v>
      </c>
      <c r="U1178" cm="1">
        <f t="array" aca="1" ref="U1178" ca="1">INDIRECT("Data!O" &amp; 1173)</f>
        <v>0</v>
      </c>
      <c r="V1178" cm="1">
        <f t="array" aca="1" ref="V1178" ca="1">INDIRECT("Data!P" &amp; 1173)</f>
        <v>0</v>
      </c>
    </row>
    <row r="1179" spans="7:22" x14ac:dyDescent="0.25">
      <c r="G1179" cm="1">
        <f t="array" aca="1" ref="G1179" ca="1">INDIRECT("Data!A" &amp; 1174)</f>
        <v>0</v>
      </c>
      <c r="H1179" s="21" cm="1">
        <f t="array" aca="1" ref="H1179" ca="1">INDIRECT("Data!B" &amp; 1174)</f>
        <v>0</v>
      </c>
      <c r="I1179" s="21" cm="1">
        <f t="array" aca="1" ref="I1179" ca="1">INDIRECT("Data!C" &amp; 1174)</f>
        <v>0</v>
      </c>
      <c r="J1179" cm="1">
        <f t="array" aca="1" ref="J1179" ca="1">INDIRECT("Data!D" &amp; 1174)</f>
        <v>0</v>
      </c>
      <c r="K1179" cm="1">
        <f t="array" aca="1" ref="K1179" ca="1">INDIRECT("Data!E" &amp; 1174)</f>
        <v>0</v>
      </c>
      <c r="L1179" cm="1">
        <f t="array" aca="1" ref="L1179" ca="1">INDIRECT("Data!F" &amp; 1174)</f>
        <v>0</v>
      </c>
      <c r="M1179" cm="1">
        <f t="array" aca="1" ref="M1179" ca="1">INDIRECT("Data!G" &amp; 1174)</f>
        <v>0</v>
      </c>
      <c r="N1179" cm="1">
        <f t="array" aca="1" ref="N1179" ca="1">INDIRECT("Data!H" &amp; 1174)</f>
        <v>0</v>
      </c>
      <c r="O1179" cm="1">
        <f t="array" aca="1" ref="O1179" ca="1">INDIRECT("Data!I" &amp; 1174)</f>
        <v>0</v>
      </c>
      <c r="P1179" s="21" cm="1">
        <f t="array" aca="1" ref="P1179" ca="1">INDIRECT("Data!J" &amp; 1174)</f>
        <v>0</v>
      </c>
      <c r="Q1179" cm="1">
        <f t="array" aca="1" ref="Q1179" ca="1">INDIRECT("Data!K" &amp; 1174)</f>
        <v>0</v>
      </c>
      <c r="R1179" cm="1">
        <f t="array" aca="1" ref="R1179" ca="1">INDIRECT("Data!L" &amp; 1174)</f>
        <v>0</v>
      </c>
      <c r="S1179" cm="1">
        <f t="array" aca="1" ref="S1179" ca="1">INDIRECT("Data!M" &amp; 1174)</f>
        <v>0</v>
      </c>
      <c r="T1179" cm="1">
        <f t="array" aca="1" ref="T1179" ca="1">INDIRECT("Data!N" &amp; 1174)</f>
        <v>0</v>
      </c>
      <c r="U1179" cm="1">
        <f t="array" aca="1" ref="U1179" ca="1">INDIRECT("Data!O" &amp; 1174)</f>
        <v>0</v>
      </c>
      <c r="V1179" cm="1">
        <f t="array" aca="1" ref="V1179" ca="1">INDIRECT("Data!P" &amp; 1174)</f>
        <v>0</v>
      </c>
    </row>
    <row r="1180" spans="7:22" x14ac:dyDescent="0.25">
      <c r="G1180" cm="1">
        <f t="array" aca="1" ref="G1180" ca="1">INDIRECT("Data!A" &amp; 1175)</f>
        <v>0</v>
      </c>
      <c r="H1180" s="21" cm="1">
        <f t="array" aca="1" ref="H1180" ca="1">INDIRECT("Data!B" &amp; 1175)</f>
        <v>0</v>
      </c>
      <c r="I1180" s="21" cm="1">
        <f t="array" aca="1" ref="I1180" ca="1">INDIRECT("Data!C" &amp; 1175)</f>
        <v>0</v>
      </c>
      <c r="J1180" cm="1">
        <f t="array" aca="1" ref="J1180" ca="1">INDIRECT("Data!D" &amp; 1175)</f>
        <v>0</v>
      </c>
      <c r="K1180" cm="1">
        <f t="array" aca="1" ref="K1180" ca="1">INDIRECT("Data!E" &amp; 1175)</f>
        <v>0</v>
      </c>
      <c r="L1180" cm="1">
        <f t="array" aca="1" ref="L1180" ca="1">INDIRECT("Data!F" &amp; 1175)</f>
        <v>0</v>
      </c>
      <c r="M1180" cm="1">
        <f t="array" aca="1" ref="M1180" ca="1">INDIRECT("Data!G" &amp; 1175)</f>
        <v>0</v>
      </c>
      <c r="N1180" cm="1">
        <f t="array" aca="1" ref="N1180" ca="1">INDIRECT("Data!H" &amp; 1175)</f>
        <v>0</v>
      </c>
      <c r="O1180" cm="1">
        <f t="array" aca="1" ref="O1180" ca="1">INDIRECT("Data!I" &amp; 1175)</f>
        <v>0</v>
      </c>
      <c r="P1180" s="21" cm="1">
        <f t="array" aca="1" ref="P1180" ca="1">INDIRECT("Data!J" &amp; 1175)</f>
        <v>0</v>
      </c>
      <c r="Q1180" cm="1">
        <f t="array" aca="1" ref="Q1180" ca="1">INDIRECT("Data!K" &amp; 1175)</f>
        <v>0</v>
      </c>
      <c r="R1180" cm="1">
        <f t="array" aca="1" ref="R1180" ca="1">INDIRECT("Data!L" &amp; 1175)</f>
        <v>0</v>
      </c>
      <c r="S1180" cm="1">
        <f t="array" aca="1" ref="S1180" ca="1">INDIRECT("Data!M" &amp; 1175)</f>
        <v>0</v>
      </c>
      <c r="T1180" cm="1">
        <f t="array" aca="1" ref="T1180" ca="1">INDIRECT("Data!N" &amp; 1175)</f>
        <v>0</v>
      </c>
      <c r="U1180" cm="1">
        <f t="array" aca="1" ref="U1180" ca="1">INDIRECT("Data!O" &amp; 1175)</f>
        <v>0</v>
      </c>
      <c r="V1180" cm="1">
        <f t="array" aca="1" ref="V1180" ca="1">INDIRECT("Data!P" &amp; 1175)</f>
        <v>0</v>
      </c>
    </row>
    <row r="1181" spans="7:22" x14ac:dyDescent="0.25">
      <c r="G1181" cm="1">
        <f t="array" aca="1" ref="G1181" ca="1">INDIRECT("Data!A" &amp; 1176)</f>
        <v>0</v>
      </c>
      <c r="H1181" s="21" cm="1">
        <f t="array" aca="1" ref="H1181" ca="1">INDIRECT("Data!B" &amp; 1176)</f>
        <v>0</v>
      </c>
      <c r="I1181" s="21" cm="1">
        <f t="array" aca="1" ref="I1181" ca="1">INDIRECT("Data!C" &amp; 1176)</f>
        <v>0</v>
      </c>
      <c r="J1181" cm="1">
        <f t="array" aca="1" ref="J1181" ca="1">INDIRECT("Data!D" &amp; 1176)</f>
        <v>0</v>
      </c>
      <c r="K1181" cm="1">
        <f t="array" aca="1" ref="K1181" ca="1">INDIRECT("Data!E" &amp; 1176)</f>
        <v>0</v>
      </c>
      <c r="L1181" cm="1">
        <f t="array" aca="1" ref="L1181" ca="1">INDIRECT("Data!F" &amp; 1176)</f>
        <v>0</v>
      </c>
      <c r="M1181" cm="1">
        <f t="array" aca="1" ref="M1181" ca="1">INDIRECT("Data!G" &amp; 1176)</f>
        <v>0</v>
      </c>
      <c r="N1181" cm="1">
        <f t="array" aca="1" ref="N1181" ca="1">INDIRECT("Data!H" &amp; 1176)</f>
        <v>0</v>
      </c>
      <c r="O1181" cm="1">
        <f t="array" aca="1" ref="O1181" ca="1">INDIRECT("Data!I" &amp; 1176)</f>
        <v>0</v>
      </c>
      <c r="P1181" s="21" cm="1">
        <f t="array" aca="1" ref="P1181" ca="1">INDIRECT("Data!J" &amp; 1176)</f>
        <v>0</v>
      </c>
      <c r="Q1181" cm="1">
        <f t="array" aca="1" ref="Q1181" ca="1">INDIRECT("Data!K" &amp; 1176)</f>
        <v>0</v>
      </c>
      <c r="R1181" cm="1">
        <f t="array" aca="1" ref="R1181" ca="1">INDIRECT("Data!L" &amp; 1176)</f>
        <v>0</v>
      </c>
      <c r="S1181" cm="1">
        <f t="array" aca="1" ref="S1181" ca="1">INDIRECT("Data!M" &amp; 1176)</f>
        <v>0</v>
      </c>
      <c r="T1181" cm="1">
        <f t="array" aca="1" ref="T1181" ca="1">INDIRECT("Data!N" &amp; 1176)</f>
        <v>0</v>
      </c>
      <c r="U1181" cm="1">
        <f t="array" aca="1" ref="U1181" ca="1">INDIRECT("Data!O" &amp; 1176)</f>
        <v>0</v>
      </c>
      <c r="V1181" cm="1">
        <f t="array" aca="1" ref="V1181" ca="1">INDIRECT("Data!P" &amp; 1176)</f>
        <v>0</v>
      </c>
    </row>
    <row r="1182" spans="7:22" x14ac:dyDescent="0.25">
      <c r="G1182" cm="1">
        <f t="array" aca="1" ref="G1182" ca="1">INDIRECT("Data!A" &amp; 1177)</f>
        <v>0</v>
      </c>
      <c r="H1182" s="21" cm="1">
        <f t="array" aca="1" ref="H1182" ca="1">INDIRECT("Data!B" &amp; 1177)</f>
        <v>0</v>
      </c>
      <c r="I1182" s="21" cm="1">
        <f t="array" aca="1" ref="I1182" ca="1">INDIRECT("Data!C" &amp; 1177)</f>
        <v>0</v>
      </c>
      <c r="J1182" cm="1">
        <f t="array" aca="1" ref="J1182" ca="1">INDIRECT("Data!D" &amp; 1177)</f>
        <v>0</v>
      </c>
      <c r="K1182" cm="1">
        <f t="array" aca="1" ref="K1182" ca="1">INDIRECT("Data!E" &amp; 1177)</f>
        <v>0</v>
      </c>
      <c r="L1182" cm="1">
        <f t="array" aca="1" ref="L1182" ca="1">INDIRECT("Data!F" &amp; 1177)</f>
        <v>0</v>
      </c>
      <c r="M1182" cm="1">
        <f t="array" aca="1" ref="M1182" ca="1">INDIRECT("Data!G" &amp; 1177)</f>
        <v>0</v>
      </c>
      <c r="N1182" cm="1">
        <f t="array" aca="1" ref="N1182" ca="1">INDIRECT("Data!H" &amp; 1177)</f>
        <v>0</v>
      </c>
      <c r="O1182" cm="1">
        <f t="array" aca="1" ref="O1182" ca="1">INDIRECT("Data!I" &amp; 1177)</f>
        <v>0</v>
      </c>
      <c r="P1182" s="21" cm="1">
        <f t="array" aca="1" ref="P1182" ca="1">INDIRECT("Data!J" &amp; 1177)</f>
        <v>0</v>
      </c>
      <c r="Q1182" cm="1">
        <f t="array" aca="1" ref="Q1182" ca="1">INDIRECT("Data!K" &amp; 1177)</f>
        <v>0</v>
      </c>
      <c r="R1182" cm="1">
        <f t="array" aca="1" ref="R1182" ca="1">INDIRECT("Data!L" &amp; 1177)</f>
        <v>0</v>
      </c>
      <c r="S1182" cm="1">
        <f t="array" aca="1" ref="S1182" ca="1">INDIRECT("Data!M" &amp; 1177)</f>
        <v>0</v>
      </c>
      <c r="T1182" cm="1">
        <f t="array" aca="1" ref="T1182" ca="1">INDIRECT("Data!N" &amp; 1177)</f>
        <v>0</v>
      </c>
      <c r="U1182" cm="1">
        <f t="array" aca="1" ref="U1182" ca="1">INDIRECT("Data!O" &amp; 1177)</f>
        <v>0</v>
      </c>
      <c r="V1182" cm="1">
        <f t="array" aca="1" ref="V1182" ca="1">INDIRECT("Data!P" &amp; 1177)</f>
        <v>0</v>
      </c>
    </row>
    <row r="1183" spans="7:22" x14ac:dyDescent="0.25">
      <c r="G1183" cm="1">
        <f t="array" aca="1" ref="G1183" ca="1">INDIRECT("Data!A" &amp; 1178)</f>
        <v>0</v>
      </c>
      <c r="H1183" s="21" cm="1">
        <f t="array" aca="1" ref="H1183" ca="1">INDIRECT("Data!B" &amp; 1178)</f>
        <v>0</v>
      </c>
      <c r="I1183" s="21" cm="1">
        <f t="array" aca="1" ref="I1183" ca="1">INDIRECT("Data!C" &amp; 1178)</f>
        <v>0</v>
      </c>
      <c r="J1183" cm="1">
        <f t="array" aca="1" ref="J1183" ca="1">INDIRECT("Data!D" &amp; 1178)</f>
        <v>0</v>
      </c>
      <c r="K1183" cm="1">
        <f t="array" aca="1" ref="K1183" ca="1">INDIRECT("Data!E" &amp; 1178)</f>
        <v>0</v>
      </c>
      <c r="L1183" cm="1">
        <f t="array" aca="1" ref="L1183" ca="1">INDIRECT("Data!F" &amp; 1178)</f>
        <v>0</v>
      </c>
      <c r="M1183" cm="1">
        <f t="array" aca="1" ref="M1183" ca="1">INDIRECT("Data!G" &amp; 1178)</f>
        <v>0</v>
      </c>
      <c r="N1183" cm="1">
        <f t="array" aca="1" ref="N1183" ca="1">INDIRECT("Data!H" &amp; 1178)</f>
        <v>0</v>
      </c>
      <c r="O1183" cm="1">
        <f t="array" aca="1" ref="O1183" ca="1">INDIRECT("Data!I" &amp; 1178)</f>
        <v>0</v>
      </c>
      <c r="P1183" s="21" cm="1">
        <f t="array" aca="1" ref="P1183" ca="1">INDIRECT("Data!J" &amp; 1178)</f>
        <v>0</v>
      </c>
      <c r="Q1183" cm="1">
        <f t="array" aca="1" ref="Q1183" ca="1">INDIRECT("Data!K" &amp; 1178)</f>
        <v>0</v>
      </c>
      <c r="R1183" cm="1">
        <f t="array" aca="1" ref="R1183" ca="1">INDIRECT("Data!L" &amp; 1178)</f>
        <v>0</v>
      </c>
      <c r="S1183" cm="1">
        <f t="array" aca="1" ref="S1183" ca="1">INDIRECT("Data!M" &amp; 1178)</f>
        <v>0</v>
      </c>
      <c r="T1183" cm="1">
        <f t="array" aca="1" ref="T1183" ca="1">INDIRECT("Data!N" &amp; 1178)</f>
        <v>0</v>
      </c>
      <c r="U1183" cm="1">
        <f t="array" aca="1" ref="U1183" ca="1">INDIRECT("Data!O" &amp; 1178)</f>
        <v>0</v>
      </c>
      <c r="V1183" cm="1">
        <f t="array" aca="1" ref="V1183" ca="1">INDIRECT("Data!P" &amp; 1178)</f>
        <v>0</v>
      </c>
    </row>
    <row r="1184" spans="7:22" x14ac:dyDescent="0.25">
      <c r="G1184" cm="1">
        <f t="array" aca="1" ref="G1184" ca="1">INDIRECT("Data!A" &amp; 1179)</f>
        <v>0</v>
      </c>
      <c r="H1184" s="21" cm="1">
        <f t="array" aca="1" ref="H1184" ca="1">INDIRECT("Data!B" &amp; 1179)</f>
        <v>0</v>
      </c>
      <c r="I1184" s="21" cm="1">
        <f t="array" aca="1" ref="I1184" ca="1">INDIRECT("Data!C" &amp; 1179)</f>
        <v>0</v>
      </c>
      <c r="J1184" cm="1">
        <f t="array" aca="1" ref="J1184" ca="1">INDIRECT("Data!D" &amp; 1179)</f>
        <v>0</v>
      </c>
      <c r="K1184" cm="1">
        <f t="array" aca="1" ref="K1184" ca="1">INDIRECT("Data!E" &amp; 1179)</f>
        <v>0</v>
      </c>
      <c r="L1184" cm="1">
        <f t="array" aca="1" ref="L1184" ca="1">INDIRECT("Data!F" &amp; 1179)</f>
        <v>0</v>
      </c>
      <c r="M1184" cm="1">
        <f t="array" aca="1" ref="M1184" ca="1">INDIRECT("Data!G" &amp; 1179)</f>
        <v>0</v>
      </c>
      <c r="N1184" cm="1">
        <f t="array" aca="1" ref="N1184" ca="1">INDIRECT("Data!H" &amp; 1179)</f>
        <v>0</v>
      </c>
      <c r="O1184" cm="1">
        <f t="array" aca="1" ref="O1184" ca="1">INDIRECT("Data!I" &amp; 1179)</f>
        <v>0</v>
      </c>
      <c r="P1184" s="21" cm="1">
        <f t="array" aca="1" ref="P1184" ca="1">INDIRECT("Data!J" &amp; 1179)</f>
        <v>0</v>
      </c>
      <c r="Q1184" cm="1">
        <f t="array" aca="1" ref="Q1184" ca="1">INDIRECT("Data!K" &amp; 1179)</f>
        <v>0</v>
      </c>
      <c r="R1184" cm="1">
        <f t="array" aca="1" ref="R1184" ca="1">INDIRECT("Data!L" &amp; 1179)</f>
        <v>0</v>
      </c>
      <c r="S1184" cm="1">
        <f t="array" aca="1" ref="S1184" ca="1">INDIRECT("Data!M" &amp; 1179)</f>
        <v>0</v>
      </c>
      <c r="T1184" cm="1">
        <f t="array" aca="1" ref="T1184" ca="1">INDIRECT("Data!N" &amp; 1179)</f>
        <v>0</v>
      </c>
      <c r="U1184" cm="1">
        <f t="array" aca="1" ref="U1184" ca="1">INDIRECT("Data!O" &amp; 1179)</f>
        <v>0</v>
      </c>
      <c r="V1184" cm="1">
        <f t="array" aca="1" ref="V1184" ca="1">INDIRECT("Data!P" &amp; 1179)</f>
        <v>0</v>
      </c>
    </row>
    <row r="1185" spans="7:22" x14ac:dyDescent="0.25">
      <c r="G1185" cm="1">
        <f t="array" aca="1" ref="G1185" ca="1">INDIRECT("Data!A" &amp; 1180)</f>
        <v>0</v>
      </c>
      <c r="H1185" s="21" cm="1">
        <f t="array" aca="1" ref="H1185" ca="1">INDIRECT("Data!B" &amp; 1180)</f>
        <v>0</v>
      </c>
      <c r="I1185" s="21" cm="1">
        <f t="array" aca="1" ref="I1185" ca="1">INDIRECT("Data!C" &amp; 1180)</f>
        <v>0</v>
      </c>
      <c r="J1185" cm="1">
        <f t="array" aca="1" ref="J1185" ca="1">INDIRECT("Data!D" &amp; 1180)</f>
        <v>0</v>
      </c>
      <c r="K1185" cm="1">
        <f t="array" aca="1" ref="K1185" ca="1">INDIRECT("Data!E" &amp; 1180)</f>
        <v>0</v>
      </c>
      <c r="L1185" cm="1">
        <f t="array" aca="1" ref="L1185" ca="1">INDIRECT("Data!F" &amp; 1180)</f>
        <v>0</v>
      </c>
      <c r="M1185" cm="1">
        <f t="array" aca="1" ref="M1185" ca="1">INDIRECT("Data!G" &amp; 1180)</f>
        <v>0</v>
      </c>
      <c r="N1185" cm="1">
        <f t="array" aca="1" ref="N1185" ca="1">INDIRECT("Data!H" &amp; 1180)</f>
        <v>0</v>
      </c>
      <c r="O1185" cm="1">
        <f t="array" aca="1" ref="O1185" ca="1">INDIRECT("Data!I" &amp; 1180)</f>
        <v>0</v>
      </c>
      <c r="P1185" s="21" cm="1">
        <f t="array" aca="1" ref="P1185" ca="1">INDIRECT("Data!J" &amp; 1180)</f>
        <v>0</v>
      </c>
      <c r="Q1185" cm="1">
        <f t="array" aca="1" ref="Q1185" ca="1">INDIRECT("Data!K" &amp; 1180)</f>
        <v>0</v>
      </c>
      <c r="R1185" cm="1">
        <f t="array" aca="1" ref="R1185" ca="1">INDIRECT("Data!L" &amp; 1180)</f>
        <v>0</v>
      </c>
      <c r="S1185" cm="1">
        <f t="array" aca="1" ref="S1185" ca="1">INDIRECT("Data!M" &amp; 1180)</f>
        <v>0</v>
      </c>
      <c r="T1185" cm="1">
        <f t="array" aca="1" ref="T1185" ca="1">INDIRECT("Data!N" &amp; 1180)</f>
        <v>0</v>
      </c>
      <c r="U1185" cm="1">
        <f t="array" aca="1" ref="U1185" ca="1">INDIRECT("Data!O" &amp; 1180)</f>
        <v>0</v>
      </c>
      <c r="V1185" cm="1">
        <f t="array" aca="1" ref="V1185" ca="1">INDIRECT("Data!P" &amp; 1180)</f>
        <v>0</v>
      </c>
    </row>
    <row r="1186" spans="7:22" x14ac:dyDescent="0.25">
      <c r="G1186" cm="1">
        <f t="array" aca="1" ref="G1186" ca="1">INDIRECT("Data!A" &amp; 1181)</f>
        <v>0</v>
      </c>
      <c r="H1186" s="21" cm="1">
        <f t="array" aca="1" ref="H1186" ca="1">INDIRECT("Data!B" &amp; 1181)</f>
        <v>0</v>
      </c>
      <c r="I1186" s="21" cm="1">
        <f t="array" aca="1" ref="I1186" ca="1">INDIRECT("Data!C" &amp; 1181)</f>
        <v>0</v>
      </c>
      <c r="J1186" cm="1">
        <f t="array" aca="1" ref="J1186" ca="1">INDIRECT("Data!D" &amp; 1181)</f>
        <v>0</v>
      </c>
      <c r="K1186" cm="1">
        <f t="array" aca="1" ref="K1186" ca="1">INDIRECT("Data!E" &amp; 1181)</f>
        <v>0</v>
      </c>
      <c r="L1186" cm="1">
        <f t="array" aca="1" ref="L1186" ca="1">INDIRECT("Data!F" &amp; 1181)</f>
        <v>0</v>
      </c>
      <c r="M1186" cm="1">
        <f t="array" aca="1" ref="M1186" ca="1">INDIRECT("Data!G" &amp; 1181)</f>
        <v>0</v>
      </c>
      <c r="N1186" cm="1">
        <f t="array" aca="1" ref="N1186" ca="1">INDIRECT("Data!H" &amp; 1181)</f>
        <v>0</v>
      </c>
      <c r="O1186" cm="1">
        <f t="array" aca="1" ref="O1186" ca="1">INDIRECT("Data!I" &amp; 1181)</f>
        <v>0</v>
      </c>
      <c r="P1186" s="21" cm="1">
        <f t="array" aca="1" ref="P1186" ca="1">INDIRECT("Data!J" &amp; 1181)</f>
        <v>0</v>
      </c>
      <c r="Q1186" cm="1">
        <f t="array" aca="1" ref="Q1186" ca="1">INDIRECT("Data!K" &amp; 1181)</f>
        <v>0</v>
      </c>
      <c r="R1186" cm="1">
        <f t="array" aca="1" ref="R1186" ca="1">INDIRECT("Data!L" &amp; 1181)</f>
        <v>0</v>
      </c>
      <c r="S1186" cm="1">
        <f t="array" aca="1" ref="S1186" ca="1">INDIRECT("Data!M" &amp; 1181)</f>
        <v>0</v>
      </c>
      <c r="T1186" cm="1">
        <f t="array" aca="1" ref="T1186" ca="1">INDIRECT("Data!N" &amp; 1181)</f>
        <v>0</v>
      </c>
      <c r="U1186" cm="1">
        <f t="array" aca="1" ref="U1186" ca="1">INDIRECT("Data!O" &amp; 1181)</f>
        <v>0</v>
      </c>
      <c r="V1186" cm="1">
        <f t="array" aca="1" ref="V1186" ca="1">INDIRECT("Data!P" &amp; 1181)</f>
        <v>0</v>
      </c>
    </row>
    <row r="1187" spans="7:22" x14ac:dyDescent="0.25">
      <c r="G1187" cm="1">
        <f t="array" aca="1" ref="G1187" ca="1">INDIRECT("Data!A" &amp; 1182)</f>
        <v>0</v>
      </c>
      <c r="H1187" s="21" cm="1">
        <f t="array" aca="1" ref="H1187" ca="1">INDIRECT("Data!B" &amp; 1182)</f>
        <v>0</v>
      </c>
      <c r="I1187" s="21" cm="1">
        <f t="array" aca="1" ref="I1187" ca="1">INDIRECT("Data!C" &amp; 1182)</f>
        <v>0</v>
      </c>
      <c r="J1187" cm="1">
        <f t="array" aca="1" ref="J1187" ca="1">INDIRECT("Data!D" &amp; 1182)</f>
        <v>0</v>
      </c>
      <c r="K1187" cm="1">
        <f t="array" aca="1" ref="K1187" ca="1">INDIRECT("Data!E" &amp; 1182)</f>
        <v>0</v>
      </c>
      <c r="L1187" cm="1">
        <f t="array" aca="1" ref="L1187" ca="1">INDIRECT("Data!F" &amp; 1182)</f>
        <v>0</v>
      </c>
      <c r="M1187" cm="1">
        <f t="array" aca="1" ref="M1187" ca="1">INDIRECT("Data!G" &amp; 1182)</f>
        <v>0</v>
      </c>
      <c r="N1187" cm="1">
        <f t="array" aca="1" ref="N1187" ca="1">INDIRECT("Data!H" &amp; 1182)</f>
        <v>0</v>
      </c>
      <c r="O1187" cm="1">
        <f t="array" aca="1" ref="O1187" ca="1">INDIRECT("Data!I" &amp; 1182)</f>
        <v>0</v>
      </c>
      <c r="P1187" s="21" cm="1">
        <f t="array" aca="1" ref="P1187" ca="1">INDIRECT("Data!J" &amp; 1182)</f>
        <v>0</v>
      </c>
      <c r="Q1187" cm="1">
        <f t="array" aca="1" ref="Q1187" ca="1">INDIRECT("Data!K" &amp; 1182)</f>
        <v>0</v>
      </c>
      <c r="R1187" cm="1">
        <f t="array" aca="1" ref="R1187" ca="1">INDIRECT("Data!L" &amp; 1182)</f>
        <v>0</v>
      </c>
      <c r="S1187" cm="1">
        <f t="array" aca="1" ref="S1187" ca="1">INDIRECT("Data!M" &amp; 1182)</f>
        <v>0</v>
      </c>
      <c r="T1187" cm="1">
        <f t="array" aca="1" ref="T1187" ca="1">INDIRECT("Data!N" &amp; 1182)</f>
        <v>0</v>
      </c>
      <c r="U1187" cm="1">
        <f t="array" aca="1" ref="U1187" ca="1">INDIRECT("Data!O" &amp; 1182)</f>
        <v>0</v>
      </c>
      <c r="V1187" cm="1">
        <f t="array" aca="1" ref="V1187" ca="1">INDIRECT("Data!P" &amp; 1182)</f>
        <v>0</v>
      </c>
    </row>
    <row r="1188" spans="7:22" x14ac:dyDescent="0.25">
      <c r="G1188" cm="1">
        <f t="array" aca="1" ref="G1188" ca="1">INDIRECT("Data!A" &amp; 1183)</f>
        <v>0</v>
      </c>
      <c r="H1188" s="21" cm="1">
        <f t="array" aca="1" ref="H1188" ca="1">INDIRECT("Data!B" &amp; 1183)</f>
        <v>0</v>
      </c>
      <c r="I1188" s="21" cm="1">
        <f t="array" aca="1" ref="I1188" ca="1">INDIRECT("Data!C" &amp; 1183)</f>
        <v>0</v>
      </c>
      <c r="J1188" cm="1">
        <f t="array" aca="1" ref="J1188" ca="1">INDIRECT("Data!D" &amp; 1183)</f>
        <v>0</v>
      </c>
      <c r="K1188" cm="1">
        <f t="array" aca="1" ref="K1188" ca="1">INDIRECT("Data!E" &amp; 1183)</f>
        <v>0</v>
      </c>
      <c r="L1188" cm="1">
        <f t="array" aca="1" ref="L1188" ca="1">INDIRECT("Data!F" &amp; 1183)</f>
        <v>0</v>
      </c>
      <c r="M1188" cm="1">
        <f t="array" aca="1" ref="M1188" ca="1">INDIRECT("Data!G" &amp; 1183)</f>
        <v>0</v>
      </c>
      <c r="N1188" cm="1">
        <f t="array" aca="1" ref="N1188" ca="1">INDIRECT("Data!H" &amp; 1183)</f>
        <v>0</v>
      </c>
      <c r="O1188" cm="1">
        <f t="array" aca="1" ref="O1188" ca="1">INDIRECT("Data!I" &amp; 1183)</f>
        <v>0</v>
      </c>
      <c r="P1188" s="21" cm="1">
        <f t="array" aca="1" ref="P1188" ca="1">INDIRECT("Data!J" &amp; 1183)</f>
        <v>0</v>
      </c>
      <c r="Q1188" cm="1">
        <f t="array" aca="1" ref="Q1188" ca="1">INDIRECT("Data!K" &amp; 1183)</f>
        <v>0</v>
      </c>
      <c r="R1188" cm="1">
        <f t="array" aca="1" ref="R1188" ca="1">INDIRECT("Data!L" &amp; 1183)</f>
        <v>0</v>
      </c>
      <c r="S1188" cm="1">
        <f t="array" aca="1" ref="S1188" ca="1">INDIRECT("Data!M" &amp; 1183)</f>
        <v>0</v>
      </c>
      <c r="T1188" cm="1">
        <f t="array" aca="1" ref="T1188" ca="1">INDIRECT("Data!N" &amp; 1183)</f>
        <v>0</v>
      </c>
      <c r="U1188" cm="1">
        <f t="array" aca="1" ref="U1188" ca="1">INDIRECT("Data!O" &amp; 1183)</f>
        <v>0</v>
      </c>
      <c r="V1188" cm="1">
        <f t="array" aca="1" ref="V1188" ca="1">INDIRECT("Data!P" &amp; 1183)</f>
        <v>0</v>
      </c>
    </row>
    <row r="1189" spans="7:22" x14ac:dyDescent="0.25">
      <c r="G1189" cm="1">
        <f t="array" aca="1" ref="G1189" ca="1">INDIRECT("Data!A" &amp; 1184)</f>
        <v>0</v>
      </c>
      <c r="H1189" s="21" cm="1">
        <f t="array" aca="1" ref="H1189" ca="1">INDIRECT("Data!B" &amp; 1184)</f>
        <v>0</v>
      </c>
      <c r="I1189" s="21" cm="1">
        <f t="array" aca="1" ref="I1189" ca="1">INDIRECT("Data!C" &amp; 1184)</f>
        <v>0</v>
      </c>
      <c r="J1189" cm="1">
        <f t="array" aca="1" ref="J1189" ca="1">INDIRECT("Data!D" &amp; 1184)</f>
        <v>0</v>
      </c>
      <c r="K1189" cm="1">
        <f t="array" aca="1" ref="K1189" ca="1">INDIRECT("Data!E" &amp; 1184)</f>
        <v>0</v>
      </c>
      <c r="L1189" cm="1">
        <f t="array" aca="1" ref="L1189" ca="1">INDIRECT("Data!F" &amp; 1184)</f>
        <v>0</v>
      </c>
      <c r="M1189" cm="1">
        <f t="array" aca="1" ref="M1189" ca="1">INDIRECT("Data!G" &amp; 1184)</f>
        <v>0</v>
      </c>
      <c r="N1189" cm="1">
        <f t="array" aca="1" ref="N1189" ca="1">INDIRECT("Data!H" &amp; 1184)</f>
        <v>0</v>
      </c>
      <c r="O1189" cm="1">
        <f t="array" aca="1" ref="O1189" ca="1">INDIRECT("Data!I" &amp; 1184)</f>
        <v>0</v>
      </c>
      <c r="P1189" s="21" cm="1">
        <f t="array" aca="1" ref="P1189" ca="1">INDIRECT("Data!J" &amp; 1184)</f>
        <v>0</v>
      </c>
      <c r="Q1189" cm="1">
        <f t="array" aca="1" ref="Q1189" ca="1">INDIRECT("Data!K" &amp; 1184)</f>
        <v>0</v>
      </c>
      <c r="R1189" cm="1">
        <f t="array" aca="1" ref="R1189" ca="1">INDIRECT("Data!L" &amp; 1184)</f>
        <v>0</v>
      </c>
      <c r="S1189" cm="1">
        <f t="array" aca="1" ref="S1189" ca="1">INDIRECT("Data!M" &amp; 1184)</f>
        <v>0</v>
      </c>
      <c r="T1189" cm="1">
        <f t="array" aca="1" ref="T1189" ca="1">INDIRECT("Data!N" &amp; 1184)</f>
        <v>0</v>
      </c>
      <c r="U1189" cm="1">
        <f t="array" aca="1" ref="U1189" ca="1">INDIRECT("Data!O" &amp; 1184)</f>
        <v>0</v>
      </c>
      <c r="V1189" cm="1">
        <f t="array" aca="1" ref="V1189" ca="1">INDIRECT("Data!P" &amp; 1184)</f>
        <v>0</v>
      </c>
    </row>
    <row r="1190" spans="7:22" x14ac:dyDescent="0.25">
      <c r="G1190" cm="1">
        <f t="array" aca="1" ref="G1190" ca="1">INDIRECT("Data!A" &amp; 1185)</f>
        <v>0</v>
      </c>
      <c r="H1190" s="21" cm="1">
        <f t="array" aca="1" ref="H1190" ca="1">INDIRECT("Data!B" &amp; 1185)</f>
        <v>0</v>
      </c>
      <c r="I1190" s="21" cm="1">
        <f t="array" aca="1" ref="I1190" ca="1">INDIRECT("Data!C" &amp; 1185)</f>
        <v>0</v>
      </c>
      <c r="J1190" cm="1">
        <f t="array" aca="1" ref="J1190" ca="1">INDIRECT("Data!D" &amp; 1185)</f>
        <v>0</v>
      </c>
      <c r="K1190" cm="1">
        <f t="array" aca="1" ref="K1190" ca="1">INDIRECT("Data!E" &amp; 1185)</f>
        <v>0</v>
      </c>
      <c r="L1190" cm="1">
        <f t="array" aca="1" ref="L1190" ca="1">INDIRECT("Data!F" &amp; 1185)</f>
        <v>0</v>
      </c>
      <c r="M1190" cm="1">
        <f t="array" aca="1" ref="M1190" ca="1">INDIRECT("Data!G" &amp; 1185)</f>
        <v>0</v>
      </c>
      <c r="N1190" cm="1">
        <f t="array" aca="1" ref="N1190" ca="1">INDIRECT("Data!H" &amp; 1185)</f>
        <v>0</v>
      </c>
      <c r="O1190" cm="1">
        <f t="array" aca="1" ref="O1190" ca="1">INDIRECT("Data!I" &amp; 1185)</f>
        <v>0</v>
      </c>
      <c r="P1190" s="21" cm="1">
        <f t="array" aca="1" ref="P1190" ca="1">INDIRECT("Data!J" &amp; 1185)</f>
        <v>0</v>
      </c>
      <c r="Q1190" cm="1">
        <f t="array" aca="1" ref="Q1190" ca="1">INDIRECT("Data!K" &amp; 1185)</f>
        <v>0</v>
      </c>
      <c r="R1190" cm="1">
        <f t="array" aca="1" ref="R1190" ca="1">INDIRECT("Data!L" &amp; 1185)</f>
        <v>0</v>
      </c>
      <c r="S1190" cm="1">
        <f t="array" aca="1" ref="S1190" ca="1">INDIRECT("Data!M" &amp; 1185)</f>
        <v>0</v>
      </c>
      <c r="T1190" cm="1">
        <f t="array" aca="1" ref="T1190" ca="1">INDIRECT("Data!N" &amp; 1185)</f>
        <v>0</v>
      </c>
      <c r="U1190" cm="1">
        <f t="array" aca="1" ref="U1190" ca="1">INDIRECT("Data!O" &amp; 1185)</f>
        <v>0</v>
      </c>
      <c r="V1190" cm="1">
        <f t="array" aca="1" ref="V1190" ca="1">INDIRECT("Data!P" &amp; 1185)</f>
        <v>0</v>
      </c>
    </row>
    <row r="1191" spans="7:22" x14ac:dyDescent="0.25">
      <c r="G1191" cm="1">
        <f t="array" aca="1" ref="G1191" ca="1">INDIRECT("Data!A" &amp; 1186)</f>
        <v>0</v>
      </c>
      <c r="H1191" s="21" cm="1">
        <f t="array" aca="1" ref="H1191" ca="1">INDIRECT("Data!B" &amp; 1186)</f>
        <v>0</v>
      </c>
      <c r="I1191" s="21" cm="1">
        <f t="array" aca="1" ref="I1191" ca="1">INDIRECT("Data!C" &amp; 1186)</f>
        <v>0</v>
      </c>
      <c r="J1191" cm="1">
        <f t="array" aca="1" ref="J1191" ca="1">INDIRECT("Data!D" &amp; 1186)</f>
        <v>0</v>
      </c>
      <c r="K1191" cm="1">
        <f t="array" aca="1" ref="K1191" ca="1">INDIRECT("Data!E" &amp; 1186)</f>
        <v>0</v>
      </c>
      <c r="L1191" cm="1">
        <f t="array" aca="1" ref="L1191" ca="1">INDIRECT("Data!F" &amp; 1186)</f>
        <v>0</v>
      </c>
      <c r="M1191" cm="1">
        <f t="array" aca="1" ref="M1191" ca="1">INDIRECT("Data!G" &amp; 1186)</f>
        <v>0</v>
      </c>
      <c r="N1191" cm="1">
        <f t="array" aca="1" ref="N1191" ca="1">INDIRECT("Data!H" &amp; 1186)</f>
        <v>0</v>
      </c>
      <c r="O1191" cm="1">
        <f t="array" aca="1" ref="O1191" ca="1">INDIRECT("Data!I" &amp; 1186)</f>
        <v>0</v>
      </c>
      <c r="P1191" s="21" cm="1">
        <f t="array" aca="1" ref="P1191" ca="1">INDIRECT("Data!J" &amp; 1186)</f>
        <v>0</v>
      </c>
      <c r="Q1191" cm="1">
        <f t="array" aca="1" ref="Q1191" ca="1">INDIRECT("Data!K" &amp; 1186)</f>
        <v>0</v>
      </c>
      <c r="R1191" cm="1">
        <f t="array" aca="1" ref="R1191" ca="1">INDIRECT("Data!L" &amp; 1186)</f>
        <v>0</v>
      </c>
      <c r="S1191" cm="1">
        <f t="array" aca="1" ref="S1191" ca="1">INDIRECT("Data!M" &amp; 1186)</f>
        <v>0</v>
      </c>
      <c r="T1191" cm="1">
        <f t="array" aca="1" ref="T1191" ca="1">INDIRECT("Data!N" &amp; 1186)</f>
        <v>0</v>
      </c>
      <c r="U1191" cm="1">
        <f t="array" aca="1" ref="U1191" ca="1">INDIRECT("Data!O" &amp; 1186)</f>
        <v>0</v>
      </c>
      <c r="V1191" cm="1">
        <f t="array" aca="1" ref="V1191" ca="1">INDIRECT("Data!P" &amp; 1186)</f>
        <v>0</v>
      </c>
    </row>
    <row r="1192" spans="7:22" x14ac:dyDescent="0.25">
      <c r="G1192" cm="1">
        <f t="array" aca="1" ref="G1192" ca="1">INDIRECT("Data!A" &amp; 1187)</f>
        <v>0</v>
      </c>
      <c r="H1192" s="21" cm="1">
        <f t="array" aca="1" ref="H1192" ca="1">INDIRECT("Data!B" &amp; 1187)</f>
        <v>0</v>
      </c>
      <c r="I1192" s="21" cm="1">
        <f t="array" aca="1" ref="I1192" ca="1">INDIRECT("Data!C" &amp; 1187)</f>
        <v>0</v>
      </c>
      <c r="J1192" cm="1">
        <f t="array" aca="1" ref="J1192" ca="1">INDIRECT("Data!D" &amp; 1187)</f>
        <v>0</v>
      </c>
      <c r="K1192" cm="1">
        <f t="array" aca="1" ref="K1192" ca="1">INDIRECT("Data!E" &amp; 1187)</f>
        <v>0</v>
      </c>
      <c r="L1192" cm="1">
        <f t="array" aca="1" ref="L1192" ca="1">INDIRECT("Data!F" &amp; 1187)</f>
        <v>0</v>
      </c>
      <c r="M1192" cm="1">
        <f t="array" aca="1" ref="M1192" ca="1">INDIRECT("Data!G" &amp; 1187)</f>
        <v>0</v>
      </c>
      <c r="N1192" cm="1">
        <f t="array" aca="1" ref="N1192" ca="1">INDIRECT("Data!H" &amp; 1187)</f>
        <v>0</v>
      </c>
      <c r="O1192" cm="1">
        <f t="array" aca="1" ref="O1192" ca="1">INDIRECT("Data!I" &amp; 1187)</f>
        <v>0</v>
      </c>
      <c r="P1192" s="21" cm="1">
        <f t="array" aca="1" ref="P1192" ca="1">INDIRECT("Data!J" &amp; 1187)</f>
        <v>0</v>
      </c>
      <c r="Q1192" cm="1">
        <f t="array" aca="1" ref="Q1192" ca="1">INDIRECT("Data!K" &amp; 1187)</f>
        <v>0</v>
      </c>
      <c r="R1192" cm="1">
        <f t="array" aca="1" ref="R1192" ca="1">INDIRECT("Data!L" &amp; 1187)</f>
        <v>0</v>
      </c>
      <c r="S1192" cm="1">
        <f t="array" aca="1" ref="S1192" ca="1">INDIRECT("Data!M" &amp; 1187)</f>
        <v>0</v>
      </c>
      <c r="T1192" cm="1">
        <f t="array" aca="1" ref="T1192" ca="1">INDIRECT("Data!N" &amp; 1187)</f>
        <v>0</v>
      </c>
      <c r="U1192" cm="1">
        <f t="array" aca="1" ref="U1192" ca="1">INDIRECT("Data!O" &amp; 1187)</f>
        <v>0</v>
      </c>
      <c r="V1192" cm="1">
        <f t="array" aca="1" ref="V1192" ca="1">INDIRECT("Data!P" &amp; 1187)</f>
        <v>0</v>
      </c>
    </row>
    <row r="1193" spans="7:22" x14ac:dyDescent="0.25">
      <c r="G1193" cm="1">
        <f t="array" aca="1" ref="G1193" ca="1">INDIRECT("Data!A" &amp; 1188)</f>
        <v>0</v>
      </c>
      <c r="H1193" s="21" cm="1">
        <f t="array" aca="1" ref="H1193" ca="1">INDIRECT("Data!B" &amp; 1188)</f>
        <v>0</v>
      </c>
      <c r="I1193" s="21" cm="1">
        <f t="array" aca="1" ref="I1193" ca="1">INDIRECT("Data!C" &amp; 1188)</f>
        <v>0</v>
      </c>
      <c r="J1193" cm="1">
        <f t="array" aca="1" ref="J1193" ca="1">INDIRECT("Data!D" &amp; 1188)</f>
        <v>0</v>
      </c>
      <c r="K1193" cm="1">
        <f t="array" aca="1" ref="K1193" ca="1">INDIRECT("Data!E" &amp; 1188)</f>
        <v>0</v>
      </c>
      <c r="L1193" cm="1">
        <f t="array" aca="1" ref="L1193" ca="1">INDIRECT("Data!F" &amp; 1188)</f>
        <v>0</v>
      </c>
      <c r="M1193" cm="1">
        <f t="array" aca="1" ref="M1193" ca="1">INDIRECT("Data!G" &amp; 1188)</f>
        <v>0</v>
      </c>
      <c r="N1193" cm="1">
        <f t="array" aca="1" ref="N1193" ca="1">INDIRECT("Data!H" &amp; 1188)</f>
        <v>0</v>
      </c>
      <c r="O1193" cm="1">
        <f t="array" aca="1" ref="O1193" ca="1">INDIRECT("Data!I" &amp; 1188)</f>
        <v>0</v>
      </c>
      <c r="P1193" s="21" cm="1">
        <f t="array" aca="1" ref="P1193" ca="1">INDIRECT("Data!J" &amp; 1188)</f>
        <v>0</v>
      </c>
      <c r="Q1193" cm="1">
        <f t="array" aca="1" ref="Q1193" ca="1">INDIRECT("Data!K" &amp; 1188)</f>
        <v>0</v>
      </c>
      <c r="R1193" cm="1">
        <f t="array" aca="1" ref="R1193" ca="1">INDIRECT("Data!L" &amp; 1188)</f>
        <v>0</v>
      </c>
      <c r="S1193" cm="1">
        <f t="array" aca="1" ref="S1193" ca="1">INDIRECT("Data!M" &amp; 1188)</f>
        <v>0</v>
      </c>
      <c r="T1193" cm="1">
        <f t="array" aca="1" ref="T1193" ca="1">INDIRECT("Data!N" &amp; 1188)</f>
        <v>0</v>
      </c>
      <c r="U1193" cm="1">
        <f t="array" aca="1" ref="U1193" ca="1">INDIRECT("Data!O" &amp; 1188)</f>
        <v>0</v>
      </c>
      <c r="V1193" cm="1">
        <f t="array" aca="1" ref="V1193" ca="1">INDIRECT("Data!P" &amp; 1188)</f>
        <v>0</v>
      </c>
    </row>
    <row r="1194" spans="7:22" x14ac:dyDescent="0.25">
      <c r="G1194" cm="1">
        <f t="array" aca="1" ref="G1194" ca="1">INDIRECT("Data!A" &amp; 1189)</f>
        <v>0</v>
      </c>
      <c r="H1194" s="21" cm="1">
        <f t="array" aca="1" ref="H1194" ca="1">INDIRECT("Data!B" &amp; 1189)</f>
        <v>0</v>
      </c>
      <c r="I1194" s="21" cm="1">
        <f t="array" aca="1" ref="I1194" ca="1">INDIRECT("Data!C" &amp; 1189)</f>
        <v>0</v>
      </c>
      <c r="J1194" cm="1">
        <f t="array" aca="1" ref="J1194" ca="1">INDIRECT("Data!D" &amp; 1189)</f>
        <v>0</v>
      </c>
      <c r="K1194" cm="1">
        <f t="array" aca="1" ref="K1194" ca="1">INDIRECT("Data!E" &amp; 1189)</f>
        <v>0</v>
      </c>
      <c r="L1194" cm="1">
        <f t="array" aca="1" ref="L1194" ca="1">INDIRECT("Data!F" &amp; 1189)</f>
        <v>0</v>
      </c>
      <c r="M1194" cm="1">
        <f t="array" aca="1" ref="M1194" ca="1">INDIRECT("Data!G" &amp; 1189)</f>
        <v>0</v>
      </c>
      <c r="N1194" cm="1">
        <f t="array" aca="1" ref="N1194" ca="1">INDIRECT("Data!H" &amp; 1189)</f>
        <v>0</v>
      </c>
      <c r="O1194" cm="1">
        <f t="array" aca="1" ref="O1194" ca="1">INDIRECT("Data!I" &amp; 1189)</f>
        <v>0</v>
      </c>
      <c r="P1194" s="21" cm="1">
        <f t="array" aca="1" ref="P1194" ca="1">INDIRECT("Data!J" &amp; 1189)</f>
        <v>0</v>
      </c>
      <c r="Q1194" cm="1">
        <f t="array" aca="1" ref="Q1194" ca="1">INDIRECT("Data!K" &amp; 1189)</f>
        <v>0</v>
      </c>
      <c r="R1194" cm="1">
        <f t="array" aca="1" ref="R1194" ca="1">INDIRECT("Data!L" &amp; 1189)</f>
        <v>0</v>
      </c>
      <c r="S1194" cm="1">
        <f t="array" aca="1" ref="S1194" ca="1">INDIRECT("Data!M" &amp; 1189)</f>
        <v>0</v>
      </c>
      <c r="T1194" cm="1">
        <f t="array" aca="1" ref="T1194" ca="1">INDIRECT("Data!N" &amp; 1189)</f>
        <v>0</v>
      </c>
      <c r="U1194" cm="1">
        <f t="array" aca="1" ref="U1194" ca="1">INDIRECT("Data!O" &amp; 1189)</f>
        <v>0</v>
      </c>
      <c r="V1194" cm="1">
        <f t="array" aca="1" ref="V1194" ca="1">INDIRECT("Data!P" &amp; 1189)</f>
        <v>0</v>
      </c>
    </row>
    <row r="1195" spans="7:22" x14ac:dyDescent="0.25">
      <c r="G1195" cm="1">
        <f t="array" aca="1" ref="G1195" ca="1">INDIRECT("Data!A" &amp; 1190)</f>
        <v>0</v>
      </c>
      <c r="H1195" s="21" cm="1">
        <f t="array" aca="1" ref="H1195" ca="1">INDIRECT("Data!B" &amp; 1190)</f>
        <v>0</v>
      </c>
      <c r="I1195" s="21" cm="1">
        <f t="array" aca="1" ref="I1195" ca="1">INDIRECT("Data!C" &amp; 1190)</f>
        <v>0</v>
      </c>
      <c r="J1195" cm="1">
        <f t="array" aca="1" ref="J1195" ca="1">INDIRECT("Data!D" &amp; 1190)</f>
        <v>0</v>
      </c>
      <c r="K1195" cm="1">
        <f t="array" aca="1" ref="K1195" ca="1">INDIRECT("Data!E" &amp; 1190)</f>
        <v>0</v>
      </c>
      <c r="L1195" cm="1">
        <f t="array" aca="1" ref="L1195" ca="1">INDIRECT("Data!F" &amp; 1190)</f>
        <v>0</v>
      </c>
      <c r="M1195" cm="1">
        <f t="array" aca="1" ref="M1195" ca="1">INDIRECT("Data!G" &amp; 1190)</f>
        <v>0</v>
      </c>
      <c r="N1195" cm="1">
        <f t="array" aca="1" ref="N1195" ca="1">INDIRECT("Data!H" &amp; 1190)</f>
        <v>0</v>
      </c>
      <c r="O1195" cm="1">
        <f t="array" aca="1" ref="O1195" ca="1">INDIRECT("Data!I" &amp; 1190)</f>
        <v>0</v>
      </c>
      <c r="P1195" s="21" cm="1">
        <f t="array" aca="1" ref="P1195" ca="1">INDIRECT("Data!J" &amp; 1190)</f>
        <v>0</v>
      </c>
      <c r="Q1195" cm="1">
        <f t="array" aca="1" ref="Q1195" ca="1">INDIRECT("Data!K" &amp; 1190)</f>
        <v>0</v>
      </c>
      <c r="R1195" cm="1">
        <f t="array" aca="1" ref="R1195" ca="1">INDIRECT("Data!L" &amp; 1190)</f>
        <v>0</v>
      </c>
      <c r="S1195" cm="1">
        <f t="array" aca="1" ref="S1195" ca="1">INDIRECT("Data!M" &amp; 1190)</f>
        <v>0</v>
      </c>
      <c r="T1195" cm="1">
        <f t="array" aca="1" ref="T1195" ca="1">INDIRECT("Data!N" &amp; 1190)</f>
        <v>0</v>
      </c>
      <c r="U1195" cm="1">
        <f t="array" aca="1" ref="U1195" ca="1">INDIRECT("Data!O" &amp; 1190)</f>
        <v>0</v>
      </c>
      <c r="V1195" cm="1">
        <f t="array" aca="1" ref="V1195" ca="1">INDIRECT("Data!P" &amp; 1190)</f>
        <v>0</v>
      </c>
    </row>
    <row r="1196" spans="7:22" x14ac:dyDescent="0.25">
      <c r="G1196" cm="1">
        <f t="array" aca="1" ref="G1196" ca="1">INDIRECT("Data!A" &amp; 1191)</f>
        <v>0</v>
      </c>
      <c r="H1196" s="21" cm="1">
        <f t="array" aca="1" ref="H1196" ca="1">INDIRECT("Data!B" &amp; 1191)</f>
        <v>0</v>
      </c>
      <c r="I1196" s="21" cm="1">
        <f t="array" aca="1" ref="I1196" ca="1">INDIRECT("Data!C" &amp; 1191)</f>
        <v>0</v>
      </c>
      <c r="J1196" cm="1">
        <f t="array" aca="1" ref="J1196" ca="1">INDIRECT("Data!D" &amp; 1191)</f>
        <v>0</v>
      </c>
      <c r="K1196" cm="1">
        <f t="array" aca="1" ref="K1196" ca="1">INDIRECT("Data!E" &amp; 1191)</f>
        <v>0</v>
      </c>
      <c r="L1196" cm="1">
        <f t="array" aca="1" ref="L1196" ca="1">INDIRECT("Data!F" &amp; 1191)</f>
        <v>0</v>
      </c>
      <c r="M1196" cm="1">
        <f t="array" aca="1" ref="M1196" ca="1">INDIRECT("Data!G" &amp; 1191)</f>
        <v>0</v>
      </c>
      <c r="N1196" cm="1">
        <f t="array" aca="1" ref="N1196" ca="1">INDIRECT("Data!H" &amp; 1191)</f>
        <v>0</v>
      </c>
      <c r="O1196" cm="1">
        <f t="array" aca="1" ref="O1196" ca="1">INDIRECT("Data!I" &amp; 1191)</f>
        <v>0</v>
      </c>
      <c r="P1196" s="21" cm="1">
        <f t="array" aca="1" ref="P1196" ca="1">INDIRECT("Data!J" &amp; 1191)</f>
        <v>0</v>
      </c>
      <c r="Q1196" cm="1">
        <f t="array" aca="1" ref="Q1196" ca="1">INDIRECT("Data!K" &amp; 1191)</f>
        <v>0</v>
      </c>
      <c r="R1196" cm="1">
        <f t="array" aca="1" ref="R1196" ca="1">INDIRECT("Data!L" &amp; 1191)</f>
        <v>0</v>
      </c>
      <c r="S1196" cm="1">
        <f t="array" aca="1" ref="S1196" ca="1">INDIRECT("Data!M" &amp; 1191)</f>
        <v>0</v>
      </c>
      <c r="T1196" cm="1">
        <f t="array" aca="1" ref="T1196" ca="1">INDIRECT("Data!N" &amp; 1191)</f>
        <v>0</v>
      </c>
      <c r="U1196" cm="1">
        <f t="array" aca="1" ref="U1196" ca="1">INDIRECT("Data!O" &amp; 1191)</f>
        <v>0</v>
      </c>
      <c r="V1196" cm="1">
        <f t="array" aca="1" ref="V1196" ca="1">INDIRECT("Data!P" &amp; 1191)</f>
        <v>0</v>
      </c>
    </row>
    <row r="1197" spans="7:22" x14ac:dyDescent="0.25">
      <c r="G1197" cm="1">
        <f t="array" aca="1" ref="G1197" ca="1">INDIRECT("Data!A" &amp; 1192)</f>
        <v>0</v>
      </c>
      <c r="H1197" s="21" cm="1">
        <f t="array" aca="1" ref="H1197" ca="1">INDIRECT("Data!B" &amp; 1192)</f>
        <v>0</v>
      </c>
      <c r="I1197" s="21" cm="1">
        <f t="array" aca="1" ref="I1197" ca="1">INDIRECT("Data!C" &amp; 1192)</f>
        <v>0</v>
      </c>
      <c r="J1197" cm="1">
        <f t="array" aca="1" ref="J1197" ca="1">INDIRECT("Data!D" &amp; 1192)</f>
        <v>0</v>
      </c>
      <c r="K1197" cm="1">
        <f t="array" aca="1" ref="K1197" ca="1">INDIRECT("Data!E" &amp; 1192)</f>
        <v>0</v>
      </c>
      <c r="L1197" cm="1">
        <f t="array" aca="1" ref="L1197" ca="1">INDIRECT("Data!F" &amp; 1192)</f>
        <v>0</v>
      </c>
      <c r="M1197" cm="1">
        <f t="array" aca="1" ref="M1197" ca="1">INDIRECT("Data!G" &amp; 1192)</f>
        <v>0</v>
      </c>
      <c r="N1197" cm="1">
        <f t="array" aca="1" ref="N1197" ca="1">INDIRECT("Data!H" &amp; 1192)</f>
        <v>0</v>
      </c>
      <c r="O1197" cm="1">
        <f t="array" aca="1" ref="O1197" ca="1">INDIRECT("Data!I" &amp; 1192)</f>
        <v>0</v>
      </c>
      <c r="P1197" s="21" cm="1">
        <f t="array" aca="1" ref="P1197" ca="1">INDIRECT("Data!J" &amp; 1192)</f>
        <v>0</v>
      </c>
      <c r="Q1197" cm="1">
        <f t="array" aca="1" ref="Q1197" ca="1">INDIRECT("Data!K" &amp; 1192)</f>
        <v>0</v>
      </c>
      <c r="R1197" cm="1">
        <f t="array" aca="1" ref="R1197" ca="1">INDIRECT("Data!L" &amp; 1192)</f>
        <v>0</v>
      </c>
      <c r="S1197" cm="1">
        <f t="array" aca="1" ref="S1197" ca="1">INDIRECT("Data!M" &amp; 1192)</f>
        <v>0</v>
      </c>
      <c r="T1197" cm="1">
        <f t="array" aca="1" ref="T1197" ca="1">INDIRECT("Data!N" &amp; 1192)</f>
        <v>0</v>
      </c>
      <c r="U1197" cm="1">
        <f t="array" aca="1" ref="U1197" ca="1">INDIRECT("Data!O" &amp; 1192)</f>
        <v>0</v>
      </c>
      <c r="V1197" cm="1">
        <f t="array" aca="1" ref="V1197" ca="1">INDIRECT("Data!P" &amp; 1192)</f>
        <v>0</v>
      </c>
    </row>
    <row r="1198" spans="7:22" x14ac:dyDescent="0.25">
      <c r="G1198" cm="1">
        <f t="array" aca="1" ref="G1198" ca="1">INDIRECT("Data!A" &amp; 1193)</f>
        <v>0</v>
      </c>
      <c r="H1198" s="21" cm="1">
        <f t="array" aca="1" ref="H1198" ca="1">INDIRECT("Data!B" &amp; 1193)</f>
        <v>0</v>
      </c>
      <c r="I1198" s="21" cm="1">
        <f t="array" aca="1" ref="I1198" ca="1">INDIRECT("Data!C" &amp; 1193)</f>
        <v>0</v>
      </c>
      <c r="J1198" cm="1">
        <f t="array" aca="1" ref="J1198" ca="1">INDIRECT("Data!D" &amp; 1193)</f>
        <v>0</v>
      </c>
      <c r="K1198" cm="1">
        <f t="array" aca="1" ref="K1198" ca="1">INDIRECT("Data!E" &amp; 1193)</f>
        <v>0</v>
      </c>
      <c r="L1198" cm="1">
        <f t="array" aca="1" ref="L1198" ca="1">INDIRECT("Data!F" &amp; 1193)</f>
        <v>0</v>
      </c>
      <c r="M1198" cm="1">
        <f t="array" aca="1" ref="M1198" ca="1">INDIRECT("Data!G" &amp; 1193)</f>
        <v>0</v>
      </c>
      <c r="N1198" cm="1">
        <f t="array" aca="1" ref="N1198" ca="1">INDIRECT("Data!H" &amp; 1193)</f>
        <v>0</v>
      </c>
      <c r="O1198" cm="1">
        <f t="array" aca="1" ref="O1198" ca="1">INDIRECT("Data!I" &amp; 1193)</f>
        <v>0</v>
      </c>
      <c r="P1198" s="21" cm="1">
        <f t="array" aca="1" ref="P1198" ca="1">INDIRECT("Data!J" &amp; 1193)</f>
        <v>0</v>
      </c>
      <c r="Q1198" cm="1">
        <f t="array" aca="1" ref="Q1198" ca="1">INDIRECT("Data!K" &amp; 1193)</f>
        <v>0</v>
      </c>
      <c r="R1198" cm="1">
        <f t="array" aca="1" ref="R1198" ca="1">INDIRECT("Data!L" &amp; 1193)</f>
        <v>0</v>
      </c>
      <c r="S1198" cm="1">
        <f t="array" aca="1" ref="S1198" ca="1">INDIRECT("Data!M" &amp; 1193)</f>
        <v>0</v>
      </c>
      <c r="T1198" cm="1">
        <f t="array" aca="1" ref="T1198" ca="1">INDIRECT("Data!N" &amp; 1193)</f>
        <v>0</v>
      </c>
      <c r="U1198" cm="1">
        <f t="array" aca="1" ref="U1198" ca="1">INDIRECT("Data!O" &amp; 1193)</f>
        <v>0</v>
      </c>
      <c r="V1198" cm="1">
        <f t="array" aca="1" ref="V1198" ca="1">INDIRECT("Data!P" &amp; 1193)</f>
        <v>0</v>
      </c>
    </row>
    <row r="1199" spans="7:22" x14ac:dyDescent="0.25">
      <c r="G1199" cm="1">
        <f t="array" aca="1" ref="G1199" ca="1">INDIRECT("Data!A" &amp; 1194)</f>
        <v>0</v>
      </c>
      <c r="H1199" s="21" cm="1">
        <f t="array" aca="1" ref="H1199" ca="1">INDIRECT("Data!B" &amp; 1194)</f>
        <v>0</v>
      </c>
      <c r="I1199" s="21" cm="1">
        <f t="array" aca="1" ref="I1199" ca="1">INDIRECT("Data!C" &amp; 1194)</f>
        <v>0</v>
      </c>
      <c r="J1199" cm="1">
        <f t="array" aca="1" ref="J1199" ca="1">INDIRECT("Data!D" &amp; 1194)</f>
        <v>0</v>
      </c>
      <c r="K1199" cm="1">
        <f t="array" aca="1" ref="K1199" ca="1">INDIRECT("Data!E" &amp; 1194)</f>
        <v>0</v>
      </c>
      <c r="L1199" cm="1">
        <f t="array" aca="1" ref="L1199" ca="1">INDIRECT("Data!F" &amp; 1194)</f>
        <v>0</v>
      </c>
      <c r="M1199" cm="1">
        <f t="array" aca="1" ref="M1199" ca="1">INDIRECT("Data!G" &amp; 1194)</f>
        <v>0</v>
      </c>
      <c r="N1199" cm="1">
        <f t="array" aca="1" ref="N1199" ca="1">INDIRECT("Data!H" &amp; 1194)</f>
        <v>0</v>
      </c>
      <c r="O1199" cm="1">
        <f t="array" aca="1" ref="O1199" ca="1">INDIRECT("Data!I" &amp; 1194)</f>
        <v>0</v>
      </c>
      <c r="P1199" s="21" cm="1">
        <f t="array" aca="1" ref="P1199" ca="1">INDIRECT("Data!J" &amp; 1194)</f>
        <v>0</v>
      </c>
      <c r="Q1199" cm="1">
        <f t="array" aca="1" ref="Q1199" ca="1">INDIRECT("Data!K" &amp; 1194)</f>
        <v>0</v>
      </c>
      <c r="R1199" cm="1">
        <f t="array" aca="1" ref="R1199" ca="1">INDIRECT("Data!L" &amp; 1194)</f>
        <v>0</v>
      </c>
      <c r="S1199" cm="1">
        <f t="array" aca="1" ref="S1199" ca="1">INDIRECT("Data!M" &amp; 1194)</f>
        <v>0</v>
      </c>
      <c r="T1199" cm="1">
        <f t="array" aca="1" ref="T1199" ca="1">INDIRECT("Data!N" &amp; 1194)</f>
        <v>0</v>
      </c>
      <c r="U1199" cm="1">
        <f t="array" aca="1" ref="U1199" ca="1">INDIRECT("Data!O" &amp; 1194)</f>
        <v>0</v>
      </c>
      <c r="V1199" cm="1">
        <f t="array" aca="1" ref="V1199" ca="1">INDIRECT("Data!P" &amp; 1194)</f>
        <v>0</v>
      </c>
    </row>
    <row r="1200" spans="7:22" x14ac:dyDescent="0.25">
      <c r="G1200" cm="1">
        <f t="array" aca="1" ref="G1200" ca="1">INDIRECT("Data!A" &amp; 1195)</f>
        <v>0</v>
      </c>
      <c r="H1200" s="21" cm="1">
        <f t="array" aca="1" ref="H1200" ca="1">INDIRECT("Data!B" &amp; 1195)</f>
        <v>0</v>
      </c>
      <c r="I1200" s="21" cm="1">
        <f t="array" aca="1" ref="I1200" ca="1">INDIRECT("Data!C" &amp; 1195)</f>
        <v>0</v>
      </c>
      <c r="J1200" cm="1">
        <f t="array" aca="1" ref="J1200" ca="1">INDIRECT("Data!D" &amp; 1195)</f>
        <v>0</v>
      </c>
      <c r="K1200" cm="1">
        <f t="array" aca="1" ref="K1200" ca="1">INDIRECT("Data!E" &amp; 1195)</f>
        <v>0</v>
      </c>
      <c r="L1200" cm="1">
        <f t="array" aca="1" ref="L1200" ca="1">INDIRECT("Data!F" &amp; 1195)</f>
        <v>0</v>
      </c>
      <c r="M1200" cm="1">
        <f t="array" aca="1" ref="M1200" ca="1">INDIRECT("Data!G" &amp; 1195)</f>
        <v>0</v>
      </c>
      <c r="N1200" cm="1">
        <f t="array" aca="1" ref="N1200" ca="1">INDIRECT("Data!H" &amp; 1195)</f>
        <v>0</v>
      </c>
      <c r="O1200" cm="1">
        <f t="array" aca="1" ref="O1200" ca="1">INDIRECT("Data!I" &amp; 1195)</f>
        <v>0</v>
      </c>
      <c r="P1200" s="21" cm="1">
        <f t="array" aca="1" ref="P1200" ca="1">INDIRECT("Data!J" &amp; 1195)</f>
        <v>0</v>
      </c>
      <c r="Q1200" cm="1">
        <f t="array" aca="1" ref="Q1200" ca="1">INDIRECT("Data!K" &amp; 1195)</f>
        <v>0</v>
      </c>
      <c r="R1200" cm="1">
        <f t="array" aca="1" ref="R1200" ca="1">INDIRECT("Data!L" &amp; 1195)</f>
        <v>0</v>
      </c>
      <c r="S1200" cm="1">
        <f t="array" aca="1" ref="S1200" ca="1">INDIRECT("Data!M" &amp; 1195)</f>
        <v>0</v>
      </c>
      <c r="T1200" cm="1">
        <f t="array" aca="1" ref="T1200" ca="1">INDIRECT("Data!N" &amp; 1195)</f>
        <v>0</v>
      </c>
      <c r="U1200" cm="1">
        <f t="array" aca="1" ref="U1200" ca="1">INDIRECT("Data!O" &amp; 1195)</f>
        <v>0</v>
      </c>
      <c r="V1200" cm="1">
        <f t="array" aca="1" ref="V1200" ca="1">INDIRECT("Data!P" &amp; 1195)</f>
        <v>0</v>
      </c>
    </row>
    <row r="1201" spans="7:22" x14ac:dyDescent="0.25">
      <c r="G1201" cm="1">
        <f t="array" aca="1" ref="G1201" ca="1">INDIRECT("Data!A" &amp; 1196)</f>
        <v>0</v>
      </c>
      <c r="H1201" s="21" cm="1">
        <f t="array" aca="1" ref="H1201" ca="1">INDIRECT("Data!B" &amp; 1196)</f>
        <v>0</v>
      </c>
      <c r="I1201" s="21" cm="1">
        <f t="array" aca="1" ref="I1201" ca="1">INDIRECT("Data!C" &amp; 1196)</f>
        <v>0</v>
      </c>
      <c r="J1201" cm="1">
        <f t="array" aca="1" ref="J1201" ca="1">INDIRECT("Data!D" &amp; 1196)</f>
        <v>0</v>
      </c>
      <c r="K1201" cm="1">
        <f t="array" aca="1" ref="K1201" ca="1">INDIRECT("Data!E" &amp; 1196)</f>
        <v>0</v>
      </c>
      <c r="L1201" cm="1">
        <f t="array" aca="1" ref="L1201" ca="1">INDIRECT("Data!F" &amp; 1196)</f>
        <v>0</v>
      </c>
      <c r="M1201" cm="1">
        <f t="array" aca="1" ref="M1201" ca="1">INDIRECT("Data!G" &amp; 1196)</f>
        <v>0</v>
      </c>
      <c r="N1201" cm="1">
        <f t="array" aca="1" ref="N1201" ca="1">INDIRECT("Data!H" &amp; 1196)</f>
        <v>0</v>
      </c>
      <c r="O1201" cm="1">
        <f t="array" aca="1" ref="O1201" ca="1">INDIRECT("Data!I" &amp; 1196)</f>
        <v>0</v>
      </c>
      <c r="P1201" s="21" cm="1">
        <f t="array" aca="1" ref="P1201" ca="1">INDIRECT("Data!J" &amp; 1196)</f>
        <v>0</v>
      </c>
      <c r="Q1201" cm="1">
        <f t="array" aca="1" ref="Q1201" ca="1">INDIRECT("Data!K" &amp; 1196)</f>
        <v>0</v>
      </c>
      <c r="R1201" cm="1">
        <f t="array" aca="1" ref="R1201" ca="1">INDIRECT("Data!L" &amp; 1196)</f>
        <v>0</v>
      </c>
      <c r="S1201" cm="1">
        <f t="array" aca="1" ref="S1201" ca="1">INDIRECT("Data!M" &amp; 1196)</f>
        <v>0</v>
      </c>
      <c r="T1201" cm="1">
        <f t="array" aca="1" ref="T1201" ca="1">INDIRECT("Data!N" &amp; 1196)</f>
        <v>0</v>
      </c>
      <c r="U1201" cm="1">
        <f t="array" aca="1" ref="U1201" ca="1">INDIRECT("Data!O" &amp; 1196)</f>
        <v>0</v>
      </c>
      <c r="V1201" cm="1">
        <f t="array" aca="1" ref="V1201" ca="1">INDIRECT("Data!P" &amp; 1196)</f>
        <v>0</v>
      </c>
    </row>
    <row r="1202" spans="7:22" x14ac:dyDescent="0.25">
      <c r="G1202" cm="1">
        <f t="array" aca="1" ref="G1202" ca="1">INDIRECT("Data!A" &amp; 1197)</f>
        <v>0</v>
      </c>
      <c r="H1202" s="21" cm="1">
        <f t="array" aca="1" ref="H1202" ca="1">INDIRECT("Data!B" &amp; 1197)</f>
        <v>0</v>
      </c>
      <c r="I1202" s="21" cm="1">
        <f t="array" aca="1" ref="I1202" ca="1">INDIRECT("Data!C" &amp; 1197)</f>
        <v>0</v>
      </c>
      <c r="J1202" cm="1">
        <f t="array" aca="1" ref="J1202" ca="1">INDIRECT("Data!D" &amp; 1197)</f>
        <v>0</v>
      </c>
      <c r="K1202" cm="1">
        <f t="array" aca="1" ref="K1202" ca="1">INDIRECT("Data!E" &amp; 1197)</f>
        <v>0</v>
      </c>
      <c r="L1202" cm="1">
        <f t="array" aca="1" ref="L1202" ca="1">INDIRECT("Data!F" &amp; 1197)</f>
        <v>0</v>
      </c>
      <c r="M1202" cm="1">
        <f t="array" aca="1" ref="M1202" ca="1">INDIRECT("Data!G" &amp; 1197)</f>
        <v>0</v>
      </c>
      <c r="N1202" cm="1">
        <f t="array" aca="1" ref="N1202" ca="1">INDIRECT("Data!H" &amp; 1197)</f>
        <v>0</v>
      </c>
      <c r="O1202" cm="1">
        <f t="array" aca="1" ref="O1202" ca="1">INDIRECT("Data!I" &amp; 1197)</f>
        <v>0</v>
      </c>
      <c r="P1202" s="21" cm="1">
        <f t="array" aca="1" ref="P1202" ca="1">INDIRECT("Data!J" &amp; 1197)</f>
        <v>0</v>
      </c>
      <c r="Q1202" cm="1">
        <f t="array" aca="1" ref="Q1202" ca="1">INDIRECT("Data!K" &amp; 1197)</f>
        <v>0</v>
      </c>
      <c r="R1202" cm="1">
        <f t="array" aca="1" ref="R1202" ca="1">INDIRECT("Data!L" &amp; 1197)</f>
        <v>0</v>
      </c>
      <c r="S1202" cm="1">
        <f t="array" aca="1" ref="S1202" ca="1">INDIRECT("Data!M" &amp; 1197)</f>
        <v>0</v>
      </c>
      <c r="T1202" cm="1">
        <f t="array" aca="1" ref="T1202" ca="1">INDIRECT("Data!N" &amp; 1197)</f>
        <v>0</v>
      </c>
      <c r="U1202" cm="1">
        <f t="array" aca="1" ref="U1202" ca="1">INDIRECT("Data!O" &amp; 1197)</f>
        <v>0</v>
      </c>
      <c r="V1202" cm="1">
        <f t="array" aca="1" ref="V1202" ca="1">INDIRECT("Data!P" &amp; 1197)</f>
        <v>0</v>
      </c>
    </row>
    <row r="1203" spans="7:22" x14ac:dyDescent="0.25">
      <c r="G1203" cm="1">
        <f t="array" aca="1" ref="G1203" ca="1">INDIRECT("Data!A" &amp; 1198)</f>
        <v>0</v>
      </c>
      <c r="H1203" s="21" cm="1">
        <f t="array" aca="1" ref="H1203" ca="1">INDIRECT("Data!B" &amp; 1198)</f>
        <v>0</v>
      </c>
      <c r="I1203" s="21" cm="1">
        <f t="array" aca="1" ref="I1203" ca="1">INDIRECT("Data!C" &amp; 1198)</f>
        <v>0</v>
      </c>
      <c r="J1203" cm="1">
        <f t="array" aca="1" ref="J1203" ca="1">INDIRECT("Data!D" &amp; 1198)</f>
        <v>0</v>
      </c>
      <c r="K1203" cm="1">
        <f t="array" aca="1" ref="K1203" ca="1">INDIRECT("Data!E" &amp; 1198)</f>
        <v>0</v>
      </c>
      <c r="L1203" cm="1">
        <f t="array" aca="1" ref="L1203" ca="1">INDIRECT("Data!F" &amp; 1198)</f>
        <v>0</v>
      </c>
      <c r="M1203" cm="1">
        <f t="array" aca="1" ref="M1203" ca="1">INDIRECT("Data!G" &amp; 1198)</f>
        <v>0</v>
      </c>
      <c r="N1203" cm="1">
        <f t="array" aca="1" ref="N1203" ca="1">INDIRECT("Data!H" &amp; 1198)</f>
        <v>0</v>
      </c>
      <c r="O1203" cm="1">
        <f t="array" aca="1" ref="O1203" ca="1">INDIRECT("Data!I" &amp; 1198)</f>
        <v>0</v>
      </c>
      <c r="P1203" s="21" cm="1">
        <f t="array" aca="1" ref="P1203" ca="1">INDIRECT("Data!J" &amp; 1198)</f>
        <v>0</v>
      </c>
      <c r="Q1203" cm="1">
        <f t="array" aca="1" ref="Q1203" ca="1">INDIRECT("Data!K" &amp; 1198)</f>
        <v>0</v>
      </c>
      <c r="R1203" cm="1">
        <f t="array" aca="1" ref="R1203" ca="1">INDIRECT("Data!L" &amp; 1198)</f>
        <v>0</v>
      </c>
      <c r="S1203" cm="1">
        <f t="array" aca="1" ref="S1203" ca="1">INDIRECT("Data!M" &amp; 1198)</f>
        <v>0</v>
      </c>
      <c r="T1203" cm="1">
        <f t="array" aca="1" ref="T1203" ca="1">INDIRECT("Data!N" &amp; 1198)</f>
        <v>0</v>
      </c>
      <c r="U1203" cm="1">
        <f t="array" aca="1" ref="U1203" ca="1">INDIRECT("Data!O" &amp; 1198)</f>
        <v>0</v>
      </c>
      <c r="V1203" cm="1">
        <f t="array" aca="1" ref="V1203" ca="1">INDIRECT("Data!P" &amp; 1198)</f>
        <v>0</v>
      </c>
    </row>
    <row r="1204" spans="7:22" x14ac:dyDescent="0.25">
      <c r="G1204" cm="1">
        <f t="array" aca="1" ref="G1204" ca="1">INDIRECT("Data!A" &amp; 1199)</f>
        <v>0</v>
      </c>
      <c r="H1204" s="21" cm="1">
        <f t="array" aca="1" ref="H1204" ca="1">INDIRECT("Data!B" &amp; 1199)</f>
        <v>0</v>
      </c>
      <c r="I1204" s="21" cm="1">
        <f t="array" aca="1" ref="I1204" ca="1">INDIRECT("Data!C" &amp; 1199)</f>
        <v>0</v>
      </c>
      <c r="J1204" cm="1">
        <f t="array" aca="1" ref="J1204" ca="1">INDIRECT("Data!D" &amp; 1199)</f>
        <v>0</v>
      </c>
      <c r="K1204" cm="1">
        <f t="array" aca="1" ref="K1204" ca="1">INDIRECT("Data!E" &amp; 1199)</f>
        <v>0</v>
      </c>
      <c r="L1204" cm="1">
        <f t="array" aca="1" ref="L1204" ca="1">INDIRECT("Data!F" &amp; 1199)</f>
        <v>0</v>
      </c>
      <c r="M1204" cm="1">
        <f t="array" aca="1" ref="M1204" ca="1">INDIRECT("Data!G" &amp; 1199)</f>
        <v>0</v>
      </c>
      <c r="N1204" cm="1">
        <f t="array" aca="1" ref="N1204" ca="1">INDIRECT("Data!H" &amp; 1199)</f>
        <v>0</v>
      </c>
      <c r="O1204" cm="1">
        <f t="array" aca="1" ref="O1204" ca="1">INDIRECT("Data!I" &amp; 1199)</f>
        <v>0</v>
      </c>
      <c r="P1204" s="21" cm="1">
        <f t="array" aca="1" ref="P1204" ca="1">INDIRECT("Data!J" &amp; 1199)</f>
        <v>0</v>
      </c>
      <c r="Q1204" cm="1">
        <f t="array" aca="1" ref="Q1204" ca="1">INDIRECT("Data!K" &amp; 1199)</f>
        <v>0</v>
      </c>
      <c r="R1204" cm="1">
        <f t="array" aca="1" ref="R1204" ca="1">INDIRECT("Data!L" &amp; 1199)</f>
        <v>0</v>
      </c>
      <c r="S1204" cm="1">
        <f t="array" aca="1" ref="S1204" ca="1">INDIRECT("Data!M" &amp; 1199)</f>
        <v>0</v>
      </c>
      <c r="T1204" cm="1">
        <f t="array" aca="1" ref="T1204" ca="1">INDIRECT("Data!N" &amp; 1199)</f>
        <v>0</v>
      </c>
      <c r="U1204" cm="1">
        <f t="array" aca="1" ref="U1204" ca="1">INDIRECT("Data!O" &amp; 1199)</f>
        <v>0</v>
      </c>
      <c r="V1204" cm="1">
        <f t="array" aca="1" ref="V1204" ca="1">INDIRECT("Data!P" &amp; 1199)</f>
        <v>0</v>
      </c>
    </row>
    <row r="1205" spans="7:22" x14ac:dyDescent="0.25">
      <c r="G1205" cm="1">
        <f t="array" aca="1" ref="G1205" ca="1">INDIRECT("Data!A" &amp; 1200)</f>
        <v>0</v>
      </c>
      <c r="H1205" s="21" cm="1">
        <f t="array" aca="1" ref="H1205" ca="1">INDIRECT("Data!B" &amp; 1200)</f>
        <v>0</v>
      </c>
      <c r="I1205" s="21" cm="1">
        <f t="array" aca="1" ref="I1205" ca="1">INDIRECT("Data!C" &amp; 1200)</f>
        <v>0</v>
      </c>
      <c r="J1205" cm="1">
        <f t="array" aca="1" ref="J1205" ca="1">INDIRECT("Data!D" &amp; 1200)</f>
        <v>0</v>
      </c>
      <c r="K1205" cm="1">
        <f t="array" aca="1" ref="K1205" ca="1">INDIRECT("Data!E" &amp; 1200)</f>
        <v>0</v>
      </c>
      <c r="L1205" cm="1">
        <f t="array" aca="1" ref="L1205" ca="1">INDIRECT("Data!F" &amp; 1200)</f>
        <v>0</v>
      </c>
      <c r="M1205" cm="1">
        <f t="array" aca="1" ref="M1205" ca="1">INDIRECT("Data!G" &amp; 1200)</f>
        <v>0</v>
      </c>
      <c r="N1205" cm="1">
        <f t="array" aca="1" ref="N1205" ca="1">INDIRECT("Data!H" &amp; 1200)</f>
        <v>0</v>
      </c>
      <c r="O1205" cm="1">
        <f t="array" aca="1" ref="O1205" ca="1">INDIRECT("Data!I" &amp; 1200)</f>
        <v>0</v>
      </c>
      <c r="P1205" s="21" cm="1">
        <f t="array" aca="1" ref="P1205" ca="1">INDIRECT("Data!J" &amp; 1200)</f>
        <v>0</v>
      </c>
      <c r="Q1205" cm="1">
        <f t="array" aca="1" ref="Q1205" ca="1">INDIRECT("Data!K" &amp; 1200)</f>
        <v>0</v>
      </c>
      <c r="R1205" cm="1">
        <f t="array" aca="1" ref="R1205" ca="1">INDIRECT("Data!L" &amp; 1200)</f>
        <v>0</v>
      </c>
      <c r="S1205" cm="1">
        <f t="array" aca="1" ref="S1205" ca="1">INDIRECT("Data!M" &amp; 1200)</f>
        <v>0</v>
      </c>
      <c r="T1205" cm="1">
        <f t="array" aca="1" ref="T1205" ca="1">INDIRECT("Data!N" &amp; 1200)</f>
        <v>0</v>
      </c>
      <c r="U1205" cm="1">
        <f t="array" aca="1" ref="U1205" ca="1">INDIRECT("Data!O" &amp; 1200)</f>
        <v>0</v>
      </c>
      <c r="V1205" cm="1">
        <f t="array" aca="1" ref="V1205" ca="1">INDIRECT("Data!P" &amp; 1200)</f>
        <v>0</v>
      </c>
    </row>
    <row r="1206" spans="7:22" x14ac:dyDescent="0.25">
      <c r="G1206" cm="1">
        <f t="array" aca="1" ref="G1206" ca="1">INDIRECT("Data!A" &amp; 1201)</f>
        <v>0</v>
      </c>
      <c r="H1206" s="21" cm="1">
        <f t="array" aca="1" ref="H1206" ca="1">INDIRECT("Data!B" &amp; 1201)</f>
        <v>0</v>
      </c>
      <c r="I1206" s="21" cm="1">
        <f t="array" aca="1" ref="I1206" ca="1">INDIRECT("Data!C" &amp; 1201)</f>
        <v>0</v>
      </c>
      <c r="J1206" cm="1">
        <f t="array" aca="1" ref="J1206" ca="1">INDIRECT("Data!D" &amp; 1201)</f>
        <v>0</v>
      </c>
      <c r="K1206" cm="1">
        <f t="array" aca="1" ref="K1206" ca="1">INDIRECT("Data!E" &amp; 1201)</f>
        <v>0</v>
      </c>
      <c r="L1206" cm="1">
        <f t="array" aca="1" ref="L1206" ca="1">INDIRECT("Data!F" &amp; 1201)</f>
        <v>0</v>
      </c>
      <c r="M1206" cm="1">
        <f t="array" aca="1" ref="M1206" ca="1">INDIRECT("Data!G" &amp; 1201)</f>
        <v>0</v>
      </c>
      <c r="N1206" cm="1">
        <f t="array" aca="1" ref="N1206" ca="1">INDIRECT("Data!H" &amp; 1201)</f>
        <v>0</v>
      </c>
      <c r="O1206" cm="1">
        <f t="array" aca="1" ref="O1206" ca="1">INDIRECT("Data!I" &amp; 1201)</f>
        <v>0</v>
      </c>
      <c r="P1206" s="21" cm="1">
        <f t="array" aca="1" ref="P1206" ca="1">INDIRECT("Data!J" &amp; 1201)</f>
        <v>0</v>
      </c>
      <c r="Q1206" cm="1">
        <f t="array" aca="1" ref="Q1206" ca="1">INDIRECT("Data!K" &amp; 1201)</f>
        <v>0</v>
      </c>
      <c r="R1206" cm="1">
        <f t="array" aca="1" ref="R1206" ca="1">INDIRECT("Data!L" &amp; 1201)</f>
        <v>0</v>
      </c>
      <c r="S1206" cm="1">
        <f t="array" aca="1" ref="S1206" ca="1">INDIRECT("Data!M" &amp; 1201)</f>
        <v>0</v>
      </c>
      <c r="T1206" cm="1">
        <f t="array" aca="1" ref="T1206" ca="1">INDIRECT("Data!N" &amp; 1201)</f>
        <v>0</v>
      </c>
      <c r="U1206" cm="1">
        <f t="array" aca="1" ref="U1206" ca="1">INDIRECT("Data!O" &amp; 1201)</f>
        <v>0</v>
      </c>
      <c r="V1206" cm="1">
        <f t="array" aca="1" ref="V1206" ca="1">INDIRECT("Data!P" &amp; 1201)</f>
        <v>0</v>
      </c>
    </row>
    <row r="1207" spans="7:22" x14ac:dyDescent="0.25">
      <c r="G1207" cm="1">
        <f t="array" aca="1" ref="G1207" ca="1">INDIRECT("Data!A" &amp; 1202)</f>
        <v>0</v>
      </c>
      <c r="H1207" s="21" cm="1">
        <f t="array" aca="1" ref="H1207" ca="1">INDIRECT("Data!B" &amp; 1202)</f>
        <v>0</v>
      </c>
      <c r="I1207" s="21" cm="1">
        <f t="array" aca="1" ref="I1207" ca="1">INDIRECT("Data!C" &amp; 1202)</f>
        <v>0</v>
      </c>
      <c r="J1207" cm="1">
        <f t="array" aca="1" ref="J1207" ca="1">INDIRECT("Data!D" &amp; 1202)</f>
        <v>0</v>
      </c>
      <c r="K1207" cm="1">
        <f t="array" aca="1" ref="K1207" ca="1">INDIRECT("Data!E" &amp; 1202)</f>
        <v>0</v>
      </c>
      <c r="L1207" cm="1">
        <f t="array" aca="1" ref="L1207" ca="1">INDIRECT("Data!F" &amp; 1202)</f>
        <v>0</v>
      </c>
      <c r="M1207" cm="1">
        <f t="array" aca="1" ref="M1207" ca="1">INDIRECT("Data!G" &amp; 1202)</f>
        <v>0</v>
      </c>
      <c r="N1207" cm="1">
        <f t="array" aca="1" ref="N1207" ca="1">INDIRECT("Data!H" &amp; 1202)</f>
        <v>0</v>
      </c>
      <c r="O1207" cm="1">
        <f t="array" aca="1" ref="O1207" ca="1">INDIRECT("Data!I" &amp; 1202)</f>
        <v>0</v>
      </c>
      <c r="P1207" s="21" cm="1">
        <f t="array" aca="1" ref="P1207" ca="1">INDIRECT("Data!J" &amp; 1202)</f>
        <v>0</v>
      </c>
      <c r="Q1207" cm="1">
        <f t="array" aca="1" ref="Q1207" ca="1">INDIRECT("Data!K" &amp; 1202)</f>
        <v>0</v>
      </c>
      <c r="R1207" cm="1">
        <f t="array" aca="1" ref="R1207" ca="1">INDIRECT("Data!L" &amp; 1202)</f>
        <v>0</v>
      </c>
      <c r="S1207" cm="1">
        <f t="array" aca="1" ref="S1207" ca="1">INDIRECT("Data!M" &amp; 1202)</f>
        <v>0</v>
      </c>
      <c r="T1207" cm="1">
        <f t="array" aca="1" ref="T1207" ca="1">INDIRECT("Data!N" &amp; 1202)</f>
        <v>0</v>
      </c>
      <c r="U1207" cm="1">
        <f t="array" aca="1" ref="U1207" ca="1">INDIRECT("Data!O" &amp; 1202)</f>
        <v>0</v>
      </c>
      <c r="V1207" cm="1">
        <f t="array" aca="1" ref="V1207" ca="1">INDIRECT("Data!P" &amp; 1202)</f>
        <v>0</v>
      </c>
    </row>
    <row r="1208" spans="7:22" x14ac:dyDescent="0.25">
      <c r="G1208" cm="1">
        <f t="array" aca="1" ref="G1208" ca="1">INDIRECT("Data!A" &amp; 1203)</f>
        <v>0</v>
      </c>
      <c r="H1208" s="21" cm="1">
        <f t="array" aca="1" ref="H1208" ca="1">INDIRECT("Data!B" &amp; 1203)</f>
        <v>0</v>
      </c>
      <c r="I1208" s="21" cm="1">
        <f t="array" aca="1" ref="I1208" ca="1">INDIRECT("Data!C" &amp; 1203)</f>
        <v>0</v>
      </c>
      <c r="J1208" cm="1">
        <f t="array" aca="1" ref="J1208" ca="1">INDIRECT("Data!D" &amp; 1203)</f>
        <v>0</v>
      </c>
      <c r="K1208" cm="1">
        <f t="array" aca="1" ref="K1208" ca="1">INDIRECT("Data!E" &amp; 1203)</f>
        <v>0</v>
      </c>
      <c r="L1208" cm="1">
        <f t="array" aca="1" ref="L1208" ca="1">INDIRECT("Data!F" &amp; 1203)</f>
        <v>0</v>
      </c>
      <c r="M1208" cm="1">
        <f t="array" aca="1" ref="M1208" ca="1">INDIRECT("Data!G" &amp; 1203)</f>
        <v>0</v>
      </c>
      <c r="N1208" cm="1">
        <f t="array" aca="1" ref="N1208" ca="1">INDIRECT("Data!H" &amp; 1203)</f>
        <v>0</v>
      </c>
      <c r="O1208" cm="1">
        <f t="array" aca="1" ref="O1208" ca="1">INDIRECT("Data!I" &amp; 1203)</f>
        <v>0</v>
      </c>
      <c r="P1208" s="21" cm="1">
        <f t="array" aca="1" ref="P1208" ca="1">INDIRECT("Data!J" &amp; 1203)</f>
        <v>0</v>
      </c>
      <c r="Q1208" cm="1">
        <f t="array" aca="1" ref="Q1208" ca="1">INDIRECT("Data!K" &amp; 1203)</f>
        <v>0</v>
      </c>
      <c r="R1208" cm="1">
        <f t="array" aca="1" ref="R1208" ca="1">INDIRECT("Data!L" &amp; 1203)</f>
        <v>0</v>
      </c>
      <c r="S1208" cm="1">
        <f t="array" aca="1" ref="S1208" ca="1">INDIRECT("Data!M" &amp; 1203)</f>
        <v>0</v>
      </c>
      <c r="T1208" cm="1">
        <f t="array" aca="1" ref="T1208" ca="1">INDIRECT("Data!N" &amp; 1203)</f>
        <v>0</v>
      </c>
      <c r="U1208" cm="1">
        <f t="array" aca="1" ref="U1208" ca="1">INDIRECT("Data!O" &amp; 1203)</f>
        <v>0</v>
      </c>
      <c r="V1208" cm="1">
        <f t="array" aca="1" ref="V1208" ca="1">INDIRECT("Data!P" &amp; 1203)</f>
        <v>0</v>
      </c>
    </row>
    <row r="1209" spans="7:22" x14ac:dyDescent="0.25">
      <c r="G1209" cm="1">
        <f t="array" aca="1" ref="G1209" ca="1">INDIRECT("Data!A" &amp; 1204)</f>
        <v>0</v>
      </c>
      <c r="H1209" s="21" cm="1">
        <f t="array" aca="1" ref="H1209" ca="1">INDIRECT("Data!B" &amp; 1204)</f>
        <v>0</v>
      </c>
      <c r="I1209" s="21" cm="1">
        <f t="array" aca="1" ref="I1209" ca="1">INDIRECT("Data!C" &amp; 1204)</f>
        <v>0</v>
      </c>
      <c r="J1209" cm="1">
        <f t="array" aca="1" ref="J1209" ca="1">INDIRECT("Data!D" &amp; 1204)</f>
        <v>0</v>
      </c>
      <c r="K1209" cm="1">
        <f t="array" aca="1" ref="K1209" ca="1">INDIRECT("Data!E" &amp; 1204)</f>
        <v>0</v>
      </c>
      <c r="L1209" cm="1">
        <f t="array" aca="1" ref="L1209" ca="1">INDIRECT("Data!F" &amp; 1204)</f>
        <v>0</v>
      </c>
      <c r="M1209" cm="1">
        <f t="array" aca="1" ref="M1209" ca="1">INDIRECT("Data!G" &amp; 1204)</f>
        <v>0</v>
      </c>
      <c r="N1209" cm="1">
        <f t="array" aca="1" ref="N1209" ca="1">INDIRECT("Data!H" &amp; 1204)</f>
        <v>0</v>
      </c>
      <c r="O1209" cm="1">
        <f t="array" aca="1" ref="O1209" ca="1">INDIRECT("Data!I" &amp; 1204)</f>
        <v>0</v>
      </c>
      <c r="P1209" s="21" cm="1">
        <f t="array" aca="1" ref="P1209" ca="1">INDIRECT("Data!J" &amp; 1204)</f>
        <v>0</v>
      </c>
      <c r="Q1209" cm="1">
        <f t="array" aca="1" ref="Q1209" ca="1">INDIRECT("Data!K" &amp; 1204)</f>
        <v>0</v>
      </c>
      <c r="R1209" cm="1">
        <f t="array" aca="1" ref="R1209" ca="1">INDIRECT("Data!L" &amp; 1204)</f>
        <v>0</v>
      </c>
      <c r="S1209" cm="1">
        <f t="array" aca="1" ref="S1209" ca="1">INDIRECT("Data!M" &amp; 1204)</f>
        <v>0</v>
      </c>
      <c r="T1209" cm="1">
        <f t="array" aca="1" ref="T1209" ca="1">INDIRECT("Data!N" &amp; 1204)</f>
        <v>0</v>
      </c>
      <c r="U1209" cm="1">
        <f t="array" aca="1" ref="U1209" ca="1">INDIRECT("Data!O" &amp; 1204)</f>
        <v>0</v>
      </c>
      <c r="V1209" cm="1">
        <f t="array" aca="1" ref="V1209" ca="1">INDIRECT("Data!P" &amp; 1204)</f>
        <v>0</v>
      </c>
    </row>
    <row r="1210" spans="7:22" x14ac:dyDescent="0.25">
      <c r="G1210" cm="1">
        <f t="array" aca="1" ref="G1210" ca="1">INDIRECT("Data!A" &amp; 1205)</f>
        <v>0</v>
      </c>
      <c r="H1210" s="21" cm="1">
        <f t="array" aca="1" ref="H1210" ca="1">INDIRECT("Data!B" &amp; 1205)</f>
        <v>0</v>
      </c>
      <c r="I1210" s="21" cm="1">
        <f t="array" aca="1" ref="I1210" ca="1">INDIRECT("Data!C" &amp; 1205)</f>
        <v>0</v>
      </c>
      <c r="J1210" cm="1">
        <f t="array" aca="1" ref="J1210" ca="1">INDIRECT("Data!D" &amp; 1205)</f>
        <v>0</v>
      </c>
      <c r="K1210" cm="1">
        <f t="array" aca="1" ref="K1210" ca="1">INDIRECT("Data!E" &amp; 1205)</f>
        <v>0</v>
      </c>
      <c r="L1210" cm="1">
        <f t="array" aca="1" ref="L1210" ca="1">INDIRECT("Data!F" &amp; 1205)</f>
        <v>0</v>
      </c>
      <c r="M1210" cm="1">
        <f t="array" aca="1" ref="M1210" ca="1">INDIRECT("Data!G" &amp; 1205)</f>
        <v>0</v>
      </c>
      <c r="N1210" cm="1">
        <f t="array" aca="1" ref="N1210" ca="1">INDIRECT("Data!H" &amp; 1205)</f>
        <v>0</v>
      </c>
      <c r="O1210" cm="1">
        <f t="array" aca="1" ref="O1210" ca="1">INDIRECT("Data!I" &amp; 1205)</f>
        <v>0</v>
      </c>
      <c r="P1210" s="21" cm="1">
        <f t="array" aca="1" ref="P1210" ca="1">INDIRECT("Data!J" &amp; 1205)</f>
        <v>0</v>
      </c>
      <c r="Q1210" cm="1">
        <f t="array" aca="1" ref="Q1210" ca="1">INDIRECT("Data!K" &amp; 1205)</f>
        <v>0</v>
      </c>
      <c r="R1210" cm="1">
        <f t="array" aca="1" ref="R1210" ca="1">INDIRECT("Data!L" &amp; 1205)</f>
        <v>0</v>
      </c>
      <c r="S1210" cm="1">
        <f t="array" aca="1" ref="S1210" ca="1">INDIRECT("Data!M" &amp; 1205)</f>
        <v>0</v>
      </c>
      <c r="T1210" cm="1">
        <f t="array" aca="1" ref="T1210" ca="1">INDIRECT("Data!N" &amp; 1205)</f>
        <v>0</v>
      </c>
      <c r="U1210" cm="1">
        <f t="array" aca="1" ref="U1210" ca="1">INDIRECT("Data!O" &amp; 1205)</f>
        <v>0</v>
      </c>
      <c r="V1210" cm="1">
        <f t="array" aca="1" ref="V1210" ca="1">INDIRECT("Data!P" &amp; 1205)</f>
        <v>0</v>
      </c>
    </row>
    <row r="1211" spans="7:22" x14ac:dyDescent="0.25">
      <c r="G1211" cm="1">
        <f t="array" aca="1" ref="G1211" ca="1">INDIRECT("Data!A" &amp; 1206)</f>
        <v>0</v>
      </c>
      <c r="H1211" s="21" cm="1">
        <f t="array" aca="1" ref="H1211" ca="1">INDIRECT("Data!B" &amp; 1206)</f>
        <v>0</v>
      </c>
      <c r="I1211" s="21" cm="1">
        <f t="array" aca="1" ref="I1211" ca="1">INDIRECT("Data!C" &amp; 1206)</f>
        <v>0</v>
      </c>
      <c r="J1211" cm="1">
        <f t="array" aca="1" ref="J1211" ca="1">INDIRECT("Data!D" &amp; 1206)</f>
        <v>0</v>
      </c>
      <c r="K1211" cm="1">
        <f t="array" aca="1" ref="K1211" ca="1">INDIRECT("Data!E" &amp; 1206)</f>
        <v>0</v>
      </c>
      <c r="L1211" cm="1">
        <f t="array" aca="1" ref="L1211" ca="1">INDIRECT("Data!F" &amp; 1206)</f>
        <v>0</v>
      </c>
      <c r="M1211" cm="1">
        <f t="array" aca="1" ref="M1211" ca="1">INDIRECT("Data!G" &amp; 1206)</f>
        <v>0</v>
      </c>
      <c r="N1211" cm="1">
        <f t="array" aca="1" ref="N1211" ca="1">INDIRECT("Data!H" &amp; 1206)</f>
        <v>0</v>
      </c>
      <c r="O1211" cm="1">
        <f t="array" aca="1" ref="O1211" ca="1">INDIRECT("Data!I" &amp; 1206)</f>
        <v>0</v>
      </c>
      <c r="P1211" s="21" cm="1">
        <f t="array" aca="1" ref="P1211" ca="1">INDIRECT("Data!J" &amp; 1206)</f>
        <v>0</v>
      </c>
      <c r="Q1211" cm="1">
        <f t="array" aca="1" ref="Q1211" ca="1">INDIRECT("Data!K" &amp; 1206)</f>
        <v>0</v>
      </c>
      <c r="R1211" cm="1">
        <f t="array" aca="1" ref="R1211" ca="1">INDIRECT("Data!L" &amp; 1206)</f>
        <v>0</v>
      </c>
      <c r="S1211" cm="1">
        <f t="array" aca="1" ref="S1211" ca="1">INDIRECT("Data!M" &amp; 1206)</f>
        <v>0</v>
      </c>
      <c r="T1211" cm="1">
        <f t="array" aca="1" ref="T1211" ca="1">INDIRECT("Data!N" &amp; 1206)</f>
        <v>0</v>
      </c>
      <c r="U1211" cm="1">
        <f t="array" aca="1" ref="U1211" ca="1">INDIRECT("Data!O" &amp; 1206)</f>
        <v>0</v>
      </c>
      <c r="V1211" cm="1">
        <f t="array" aca="1" ref="V1211" ca="1">INDIRECT("Data!P" &amp; 1206)</f>
        <v>0</v>
      </c>
    </row>
    <row r="1212" spans="7:22" x14ac:dyDescent="0.25">
      <c r="G1212" cm="1">
        <f t="array" aca="1" ref="G1212" ca="1">INDIRECT("Data!A" &amp; 1207)</f>
        <v>0</v>
      </c>
      <c r="H1212" s="21" cm="1">
        <f t="array" aca="1" ref="H1212" ca="1">INDIRECT("Data!B" &amp; 1207)</f>
        <v>0</v>
      </c>
      <c r="I1212" s="21" cm="1">
        <f t="array" aca="1" ref="I1212" ca="1">INDIRECT("Data!C" &amp; 1207)</f>
        <v>0</v>
      </c>
      <c r="J1212" cm="1">
        <f t="array" aca="1" ref="J1212" ca="1">INDIRECT("Data!D" &amp; 1207)</f>
        <v>0</v>
      </c>
      <c r="K1212" cm="1">
        <f t="array" aca="1" ref="K1212" ca="1">INDIRECT("Data!E" &amp; 1207)</f>
        <v>0</v>
      </c>
      <c r="L1212" cm="1">
        <f t="array" aca="1" ref="L1212" ca="1">INDIRECT("Data!F" &amp; 1207)</f>
        <v>0</v>
      </c>
      <c r="M1212" cm="1">
        <f t="array" aca="1" ref="M1212" ca="1">INDIRECT("Data!G" &amp; 1207)</f>
        <v>0</v>
      </c>
      <c r="N1212" cm="1">
        <f t="array" aca="1" ref="N1212" ca="1">INDIRECT("Data!H" &amp; 1207)</f>
        <v>0</v>
      </c>
      <c r="O1212" cm="1">
        <f t="array" aca="1" ref="O1212" ca="1">INDIRECT("Data!I" &amp; 1207)</f>
        <v>0</v>
      </c>
      <c r="P1212" s="21" cm="1">
        <f t="array" aca="1" ref="P1212" ca="1">INDIRECT("Data!J" &amp; 1207)</f>
        <v>0</v>
      </c>
      <c r="Q1212" cm="1">
        <f t="array" aca="1" ref="Q1212" ca="1">INDIRECT("Data!K" &amp; 1207)</f>
        <v>0</v>
      </c>
      <c r="R1212" cm="1">
        <f t="array" aca="1" ref="R1212" ca="1">INDIRECT("Data!L" &amp; 1207)</f>
        <v>0</v>
      </c>
      <c r="S1212" cm="1">
        <f t="array" aca="1" ref="S1212" ca="1">INDIRECT("Data!M" &amp; 1207)</f>
        <v>0</v>
      </c>
      <c r="T1212" cm="1">
        <f t="array" aca="1" ref="T1212" ca="1">INDIRECT("Data!N" &amp; 1207)</f>
        <v>0</v>
      </c>
      <c r="U1212" cm="1">
        <f t="array" aca="1" ref="U1212" ca="1">INDIRECT("Data!O" &amp; 1207)</f>
        <v>0</v>
      </c>
      <c r="V1212" cm="1">
        <f t="array" aca="1" ref="V1212" ca="1">INDIRECT("Data!P" &amp; 1207)</f>
        <v>0</v>
      </c>
    </row>
    <row r="1213" spans="7:22" x14ac:dyDescent="0.25">
      <c r="G1213" cm="1">
        <f t="array" aca="1" ref="G1213" ca="1">INDIRECT("Data!A" &amp; 1208)</f>
        <v>0</v>
      </c>
      <c r="H1213" s="21" cm="1">
        <f t="array" aca="1" ref="H1213" ca="1">INDIRECT("Data!B" &amp; 1208)</f>
        <v>0</v>
      </c>
      <c r="I1213" s="21" cm="1">
        <f t="array" aca="1" ref="I1213" ca="1">INDIRECT("Data!C" &amp; 1208)</f>
        <v>0</v>
      </c>
      <c r="J1213" cm="1">
        <f t="array" aca="1" ref="J1213" ca="1">INDIRECT("Data!D" &amp; 1208)</f>
        <v>0</v>
      </c>
      <c r="K1213" cm="1">
        <f t="array" aca="1" ref="K1213" ca="1">INDIRECT("Data!E" &amp; 1208)</f>
        <v>0</v>
      </c>
      <c r="L1213" cm="1">
        <f t="array" aca="1" ref="L1213" ca="1">INDIRECT("Data!F" &amp; 1208)</f>
        <v>0</v>
      </c>
      <c r="M1213" cm="1">
        <f t="array" aca="1" ref="M1213" ca="1">INDIRECT("Data!G" &amp; 1208)</f>
        <v>0</v>
      </c>
      <c r="N1213" cm="1">
        <f t="array" aca="1" ref="N1213" ca="1">INDIRECT("Data!H" &amp; 1208)</f>
        <v>0</v>
      </c>
      <c r="O1213" cm="1">
        <f t="array" aca="1" ref="O1213" ca="1">INDIRECT("Data!I" &amp; 1208)</f>
        <v>0</v>
      </c>
      <c r="P1213" s="21" cm="1">
        <f t="array" aca="1" ref="P1213" ca="1">INDIRECT("Data!J" &amp; 1208)</f>
        <v>0</v>
      </c>
      <c r="Q1213" cm="1">
        <f t="array" aca="1" ref="Q1213" ca="1">INDIRECT("Data!K" &amp; 1208)</f>
        <v>0</v>
      </c>
      <c r="R1213" cm="1">
        <f t="array" aca="1" ref="R1213" ca="1">INDIRECT("Data!L" &amp; 1208)</f>
        <v>0</v>
      </c>
      <c r="S1213" cm="1">
        <f t="array" aca="1" ref="S1213" ca="1">INDIRECT("Data!M" &amp; 1208)</f>
        <v>0</v>
      </c>
      <c r="T1213" cm="1">
        <f t="array" aca="1" ref="T1213" ca="1">INDIRECT("Data!N" &amp; 1208)</f>
        <v>0</v>
      </c>
      <c r="U1213" cm="1">
        <f t="array" aca="1" ref="U1213" ca="1">INDIRECT("Data!O" &amp; 1208)</f>
        <v>0</v>
      </c>
      <c r="V1213" cm="1">
        <f t="array" aca="1" ref="V1213" ca="1">INDIRECT("Data!P" &amp; 1208)</f>
        <v>0</v>
      </c>
    </row>
    <row r="1214" spans="7:22" x14ac:dyDescent="0.25">
      <c r="G1214" cm="1">
        <f t="array" aca="1" ref="G1214" ca="1">INDIRECT("Data!A" &amp; 1209)</f>
        <v>0</v>
      </c>
      <c r="H1214" s="21" cm="1">
        <f t="array" aca="1" ref="H1214" ca="1">INDIRECT("Data!B" &amp; 1209)</f>
        <v>0</v>
      </c>
      <c r="I1214" s="21" cm="1">
        <f t="array" aca="1" ref="I1214" ca="1">INDIRECT("Data!C" &amp; 1209)</f>
        <v>0</v>
      </c>
      <c r="J1214" cm="1">
        <f t="array" aca="1" ref="J1214" ca="1">INDIRECT("Data!D" &amp; 1209)</f>
        <v>0</v>
      </c>
      <c r="K1214" cm="1">
        <f t="array" aca="1" ref="K1214" ca="1">INDIRECT("Data!E" &amp; 1209)</f>
        <v>0</v>
      </c>
      <c r="L1214" cm="1">
        <f t="array" aca="1" ref="L1214" ca="1">INDIRECT("Data!F" &amp; 1209)</f>
        <v>0</v>
      </c>
      <c r="M1214" cm="1">
        <f t="array" aca="1" ref="M1214" ca="1">INDIRECT("Data!G" &amp; 1209)</f>
        <v>0</v>
      </c>
      <c r="N1214" cm="1">
        <f t="array" aca="1" ref="N1214" ca="1">INDIRECT("Data!H" &amp; 1209)</f>
        <v>0</v>
      </c>
      <c r="O1214" cm="1">
        <f t="array" aca="1" ref="O1214" ca="1">INDIRECT("Data!I" &amp; 1209)</f>
        <v>0</v>
      </c>
      <c r="P1214" s="21" cm="1">
        <f t="array" aca="1" ref="P1214" ca="1">INDIRECT("Data!J" &amp; 1209)</f>
        <v>0</v>
      </c>
      <c r="Q1214" cm="1">
        <f t="array" aca="1" ref="Q1214" ca="1">INDIRECT("Data!K" &amp; 1209)</f>
        <v>0</v>
      </c>
      <c r="R1214" cm="1">
        <f t="array" aca="1" ref="R1214" ca="1">INDIRECT("Data!L" &amp; 1209)</f>
        <v>0</v>
      </c>
      <c r="S1214" cm="1">
        <f t="array" aca="1" ref="S1214" ca="1">INDIRECT("Data!M" &amp; 1209)</f>
        <v>0</v>
      </c>
      <c r="T1214" cm="1">
        <f t="array" aca="1" ref="T1214" ca="1">INDIRECT("Data!N" &amp; 1209)</f>
        <v>0</v>
      </c>
      <c r="U1214" cm="1">
        <f t="array" aca="1" ref="U1214" ca="1">INDIRECT("Data!O" &amp; 1209)</f>
        <v>0</v>
      </c>
      <c r="V1214" cm="1">
        <f t="array" aca="1" ref="V1214" ca="1">INDIRECT("Data!P" &amp; 1209)</f>
        <v>0</v>
      </c>
    </row>
    <row r="1215" spans="7:22" x14ac:dyDescent="0.25">
      <c r="G1215" cm="1">
        <f t="array" aca="1" ref="G1215" ca="1">INDIRECT("Data!A" &amp; 1210)</f>
        <v>0</v>
      </c>
      <c r="H1215" s="21" cm="1">
        <f t="array" aca="1" ref="H1215" ca="1">INDIRECT("Data!B" &amp; 1210)</f>
        <v>0</v>
      </c>
      <c r="I1215" s="21" cm="1">
        <f t="array" aca="1" ref="I1215" ca="1">INDIRECT("Data!C" &amp; 1210)</f>
        <v>0</v>
      </c>
      <c r="J1215" cm="1">
        <f t="array" aca="1" ref="J1215" ca="1">INDIRECT("Data!D" &amp; 1210)</f>
        <v>0</v>
      </c>
      <c r="K1215" cm="1">
        <f t="array" aca="1" ref="K1215" ca="1">INDIRECT("Data!E" &amp; 1210)</f>
        <v>0</v>
      </c>
      <c r="L1215" cm="1">
        <f t="array" aca="1" ref="L1215" ca="1">INDIRECT("Data!F" &amp; 1210)</f>
        <v>0</v>
      </c>
      <c r="M1215" cm="1">
        <f t="array" aca="1" ref="M1215" ca="1">INDIRECT("Data!G" &amp; 1210)</f>
        <v>0</v>
      </c>
      <c r="N1215" cm="1">
        <f t="array" aca="1" ref="N1215" ca="1">INDIRECT("Data!H" &amp; 1210)</f>
        <v>0</v>
      </c>
      <c r="O1215" cm="1">
        <f t="array" aca="1" ref="O1215" ca="1">INDIRECT("Data!I" &amp; 1210)</f>
        <v>0</v>
      </c>
      <c r="P1215" s="21" cm="1">
        <f t="array" aca="1" ref="P1215" ca="1">INDIRECT("Data!J" &amp; 1210)</f>
        <v>0</v>
      </c>
      <c r="Q1215" cm="1">
        <f t="array" aca="1" ref="Q1215" ca="1">INDIRECT("Data!K" &amp; 1210)</f>
        <v>0</v>
      </c>
      <c r="R1215" cm="1">
        <f t="array" aca="1" ref="R1215" ca="1">INDIRECT("Data!L" &amp; 1210)</f>
        <v>0</v>
      </c>
      <c r="S1215" cm="1">
        <f t="array" aca="1" ref="S1215" ca="1">INDIRECT("Data!M" &amp; 1210)</f>
        <v>0</v>
      </c>
      <c r="T1215" cm="1">
        <f t="array" aca="1" ref="T1215" ca="1">INDIRECT("Data!N" &amp; 1210)</f>
        <v>0</v>
      </c>
      <c r="U1215" cm="1">
        <f t="array" aca="1" ref="U1215" ca="1">INDIRECT("Data!O" &amp; 1210)</f>
        <v>0</v>
      </c>
      <c r="V1215" cm="1">
        <f t="array" aca="1" ref="V1215" ca="1">INDIRECT("Data!P" &amp; 1210)</f>
        <v>0</v>
      </c>
    </row>
    <row r="1216" spans="7:22" x14ac:dyDescent="0.25">
      <c r="G1216" cm="1">
        <f t="array" aca="1" ref="G1216" ca="1">INDIRECT("Data!A" &amp; 1211)</f>
        <v>0</v>
      </c>
      <c r="H1216" s="21" cm="1">
        <f t="array" aca="1" ref="H1216" ca="1">INDIRECT("Data!B" &amp; 1211)</f>
        <v>0</v>
      </c>
      <c r="I1216" s="21" cm="1">
        <f t="array" aca="1" ref="I1216" ca="1">INDIRECT("Data!C" &amp; 1211)</f>
        <v>0</v>
      </c>
      <c r="J1216" cm="1">
        <f t="array" aca="1" ref="J1216" ca="1">INDIRECT("Data!D" &amp; 1211)</f>
        <v>0</v>
      </c>
      <c r="K1216" cm="1">
        <f t="array" aca="1" ref="K1216" ca="1">INDIRECT("Data!E" &amp; 1211)</f>
        <v>0</v>
      </c>
      <c r="L1216" cm="1">
        <f t="array" aca="1" ref="L1216" ca="1">INDIRECT("Data!F" &amp; 1211)</f>
        <v>0</v>
      </c>
      <c r="M1216" cm="1">
        <f t="array" aca="1" ref="M1216" ca="1">INDIRECT("Data!G" &amp; 1211)</f>
        <v>0</v>
      </c>
      <c r="N1216" cm="1">
        <f t="array" aca="1" ref="N1216" ca="1">INDIRECT("Data!H" &amp; 1211)</f>
        <v>0</v>
      </c>
      <c r="O1216" cm="1">
        <f t="array" aca="1" ref="O1216" ca="1">INDIRECT("Data!I" &amp; 1211)</f>
        <v>0</v>
      </c>
      <c r="P1216" s="21" cm="1">
        <f t="array" aca="1" ref="P1216" ca="1">INDIRECT("Data!J" &amp; 1211)</f>
        <v>0</v>
      </c>
      <c r="Q1216" cm="1">
        <f t="array" aca="1" ref="Q1216" ca="1">INDIRECT("Data!K" &amp; 1211)</f>
        <v>0</v>
      </c>
      <c r="R1216" cm="1">
        <f t="array" aca="1" ref="R1216" ca="1">INDIRECT("Data!L" &amp; 1211)</f>
        <v>0</v>
      </c>
      <c r="S1216" cm="1">
        <f t="array" aca="1" ref="S1216" ca="1">INDIRECT("Data!M" &amp; 1211)</f>
        <v>0</v>
      </c>
      <c r="T1216" cm="1">
        <f t="array" aca="1" ref="T1216" ca="1">INDIRECT("Data!N" &amp; 1211)</f>
        <v>0</v>
      </c>
      <c r="U1216" cm="1">
        <f t="array" aca="1" ref="U1216" ca="1">INDIRECT("Data!O" &amp; 1211)</f>
        <v>0</v>
      </c>
      <c r="V1216" cm="1">
        <f t="array" aca="1" ref="V1216" ca="1">INDIRECT("Data!P" &amp; 1211)</f>
        <v>0</v>
      </c>
    </row>
    <row r="1217" spans="7:22" x14ac:dyDescent="0.25">
      <c r="G1217" cm="1">
        <f t="array" aca="1" ref="G1217" ca="1">INDIRECT("Data!A" &amp; 1212)</f>
        <v>0</v>
      </c>
      <c r="H1217" s="21" cm="1">
        <f t="array" aca="1" ref="H1217" ca="1">INDIRECT("Data!B" &amp; 1212)</f>
        <v>0</v>
      </c>
      <c r="I1217" s="21" cm="1">
        <f t="array" aca="1" ref="I1217" ca="1">INDIRECT("Data!C" &amp; 1212)</f>
        <v>0</v>
      </c>
      <c r="J1217" cm="1">
        <f t="array" aca="1" ref="J1217" ca="1">INDIRECT("Data!D" &amp; 1212)</f>
        <v>0</v>
      </c>
      <c r="K1217" cm="1">
        <f t="array" aca="1" ref="K1217" ca="1">INDIRECT("Data!E" &amp; 1212)</f>
        <v>0</v>
      </c>
      <c r="L1217" cm="1">
        <f t="array" aca="1" ref="L1217" ca="1">INDIRECT("Data!F" &amp; 1212)</f>
        <v>0</v>
      </c>
      <c r="M1217" cm="1">
        <f t="array" aca="1" ref="M1217" ca="1">INDIRECT("Data!G" &amp; 1212)</f>
        <v>0</v>
      </c>
      <c r="N1217" cm="1">
        <f t="array" aca="1" ref="N1217" ca="1">INDIRECT("Data!H" &amp; 1212)</f>
        <v>0</v>
      </c>
      <c r="O1217" cm="1">
        <f t="array" aca="1" ref="O1217" ca="1">INDIRECT("Data!I" &amp; 1212)</f>
        <v>0</v>
      </c>
      <c r="P1217" s="21" cm="1">
        <f t="array" aca="1" ref="P1217" ca="1">INDIRECT("Data!J" &amp; 1212)</f>
        <v>0</v>
      </c>
      <c r="Q1217" cm="1">
        <f t="array" aca="1" ref="Q1217" ca="1">INDIRECT("Data!K" &amp; 1212)</f>
        <v>0</v>
      </c>
      <c r="R1217" cm="1">
        <f t="array" aca="1" ref="R1217" ca="1">INDIRECT("Data!L" &amp; 1212)</f>
        <v>0</v>
      </c>
      <c r="S1217" cm="1">
        <f t="array" aca="1" ref="S1217" ca="1">INDIRECT("Data!M" &amp; 1212)</f>
        <v>0</v>
      </c>
      <c r="T1217" cm="1">
        <f t="array" aca="1" ref="T1217" ca="1">INDIRECT("Data!N" &amp; 1212)</f>
        <v>0</v>
      </c>
      <c r="U1217" cm="1">
        <f t="array" aca="1" ref="U1217" ca="1">INDIRECT("Data!O" &amp; 1212)</f>
        <v>0</v>
      </c>
      <c r="V1217" cm="1">
        <f t="array" aca="1" ref="V1217" ca="1">INDIRECT("Data!P" &amp; 1212)</f>
        <v>0</v>
      </c>
    </row>
    <row r="1218" spans="7:22" x14ac:dyDescent="0.25">
      <c r="G1218" cm="1">
        <f t="array" aca="1" ref="G1218" ca="1">INDIRECT("Data!A" &amp; 1213)</f>
        <v>0</v>
      </c>
      <c r="H1218" s="21" cm="1">
        <f t="array" aca="1" ref="H1218" ca="1">INDIRECT("Data!B" &amp; 1213)</f>
        <v>0</v>
      </c>
      <c r="I1218" s="21" cm="1">
        <f t="array" aca="1" ref="I1218" ca="1">INDIRECT("Data!C" &amp; 1213)</f>
        <v>0</v>
      </c>
      <c r="J1218" cm="1">
        <f t="array" aca="1" ref="J1218" ca="1">INDIRECT("Data!D" &amp; 1213)</f>
        <v>0</v>
      </c>
      <c r="K1218" cm="1">
        <f t="array" aca="1" ref="K1218" ca="1">INDIRECT("Data!E" &amp; 1213)</f>
        <v>0</v>
      </c>
      <c r="L1218" cm="1">
        <f t="array" aca="1" ref="L1218" ca="1">INDIRECT("Data!F" &amp; 1213)</f>
        <v>0</v>
      </c>
      <c r="M1218" cm="1">
        <f t="array" aca="1" ref="M1218" ca="1">INDIRECT("Data!G" &amp; 1213)</f>
        <v>0</v>
      </c>
      <c r="N1218" cm="1">
        <f t="array" aca="1" ref="N1218" ca="1">INDIRECT("Data!H" &amp; 1213)</f>
        <v>0</v>
      </c>
      <c r="O1218" cm="1">
        <f t="array" aca="1" ref="O1218" ca="1">INDIRECT("Data!I" &amp; 1213)</f>
        <v>0</v>
      </c>
      <c r="P1218" s="21" cm="1">
        <f t="array" aca="1" ref="P1218" ca="1">INDIRECT("Data!J" &amp; 1213)</f>
        <v>0</v>
      </c>
      <c r="Q1218" cm="1">
        <f t="array" aca="1" ref="Q1218" ca="1">INDIRECT("Data!K" &amp; 1213)</f>
        <v>0</v>
      </c>
      <c r="R1218" cm="1">
        <f t="array" aca="1" ref="R1218" ca="1">INDIRECT("Data!L" &amp; 1213)</f>
        <v>0</v>
      </c>
      <c r="S1218" cm="1">
        <f t="array" aca="1" ref="S1218" ca="1">INDIRECT("Data!M" &amp; 1213)</f>
        <v>0</v>
      </c>
      <c r="T1218" cm="1">
        <f t="array" aca="1" ref="T1218" ca="1">INDIRECT("Data!N" &amp; 1213)</f>
        <v>0</v>
      </c>
      <c r="U1218" cm="1">
        <f t="array" aca="1" ref="U1218" ca="1">INDIRECT("Data!O" &amp; 1213)</f>
        <v>0</v>
      </c>
      <c r="V1218" cm="1">
        <f t="array" aca="1" ref="V1218" ca="1">INDIRECT("Data!P" &amp; 1213)</f>
        <v>0</v>
      </c>
    </row>
    <row r="1219" spans="7:22" x14ac:dyDescent="0.25">
      <c r="G1219" cm="1">
        <f t="array" aca="1" ref="G1219" ca="1">INDIRECT("Data!A" &amp; 1214)</f>
        <v>0</v>
      </c>
      <c r="H1219" s="21" cm="1">
        <f t="array" aca="1" ref="H1219" ca="1">INDIRECT("Data!B" &amp; 1214)</f>
        <v>0</v>
      </c>
      <c r="I1219" s="21" cm="1">
        <f t="array" aca="1" ref="I1219" ca="1">INDIRECT("Data!C" &amp; 1214)</f>
        <v>0</v>
      </c>
      <c r="J1219" cm="1">
        <f t="array" aca="1" ref="J1219" ca="1">INDIRECT("Data!D" &amp; 1214)</f>
        <v>0</v>
      </c>
      <c r="K1219" cm="1">
        <f t="array" aca="1" ref="K1219" ca="1">INDIRECT("Data!E" &amp; 1214)</f>
        <v>0</v>
      </c>
      <c r="L1219" cm="1">
        <f t="array" aca="1" ref="L1219" ca="1">INDIRECT("Data!F" &amp; 1214)</f>
        <v>0</v>
      </c>
      <c r="M1219" cm="1">
        <f t="array" aca="1" ref="M1219" ca="1">INDIRECT("Data!G" &amp; 1214)</f>
        <v>0</v>
      </c>
      <c r="N1219" cm="1">
        <f t="array" aca="1" ref="N1219" ca="1">INDIRECT("Data!H" &amp; 1214)</f>
        <v>0</v>
      </c>
      <c r="O1219" cm="1">
        <f t="array" aca="1" ref="O1219" ca="1">INDIRECT("Data!I" &amp; 1214)</f>
        <v>0</v>
      </c>
      <c r="P1219" s="21" cm="1">
        <f t="array" aca="1" ref="P1219" ca="1">INDIRECT("Data!J" &amp; 1214)</f>
        <v>0</v>
      </c>
      <c r="Q1219" cm="1">
        <f t="array" aca="1" ref="Q1219" ca="1">INDIRECT("Data!K" &amp; 1214)</f>
        <v>0</v>
      </c>
      <c r="R1219" cm="1">
        <f t="array" aca="1" ref="R1219" ca="1">INDIRECT("Data!L" &amp; 1214)</f>
        <v>0</v>
      </c>
      <c r="S1219" cm="1">
        <f t="array" aca="1" ref="S1219" ca="1">INDIRECT("Data!M" &amp; 1214)</f>
        <v>0</v>
      </c>
      <c r="T1219" cm="1">
        <f t="array" aca="1" ref="T1219" ca="1">INDIRECT("Data!N" &amp; 1214)</f>
        <v>0</v>
      </c>
      <c r="U1219" cm="1">
        <f t="array" aca="1" ref="U1219" ca="1">INDIRECT("Data!O" &amp; 1214)</f>
        <v>0</v>
      </c>
      <c r="V1219" cm="1">
        <f t="array" aca="1" ref="V1219" ca="1">INDIRECT("Data!P" &amp; 1214)</f>
        <v>0</v>
      </c>
    </row>
    <row r="1220" spans="7:22" x14ac:dyDescent="0.25">
      <c r="G1220" cm="1">
        <f t="array" aca="1" ref="G1220" ca="1">INDIRECT("Data!A" &amp; 1215)</f>
        <v>0</v>
      </c>
      <c r="H1220" s="21" cm="1">
        <f t="array" aca="1" ref="H1220" ca="1">INDIRECT("Data!B" &amp; 1215)</f>
        <v>0</v>
      </c>
      <c r="I1220" s="21" cm="1">
        <f t="array" aca="1" ref="I1220" ca="1">INDIRECT("Data!C" &amp; 1215)</f>
        <v>0</v>
      </c>
      <c r="J1220" cm="1">
        <f t="array" aca="1" ref="J1220" ca="1">INDIRECT("Data!D" &amp; 1215)</f>
        <v>0</v>
      </c>
      <c r="K1220" cm="1">
        <f t="array" aca="1" ref="K1220" ca="1">INDIRECT("Data!E" &amp; 1215)</f>
        <v>0</v>
      </c>
      <c r="L1220" cm="1">
        <f t="array" aca="1" ref="L1220" ca="1">INDIRECT("Data!F" &amp; 1215)</f>
        <v>0</v>
      </c>
      <c r="M1220" cm="1">
        <f t="array" aca="1" ref="M1220" ca="1">INDIRECT("Data!G" &amp; 1215)</f>
        <v>0</v>
      </c>
      <c r="N1220" cm="1">
        <f t="array" aca="1" ref="N1220" ca="1">INDIRECT("Data!H" &amp; 1215)</f>
        <v>0</v>
      </c>
      <c r="O1220" cm="1">
        <f t="array" aca="1" ref="O1220" ca="1">INDIRECT("Data!I" &amp; 1215)</f>
        <v>0</v>
      </c>
      <c r="P1220" s="21" cm="1">
        <f t="array" aca="1" ref="P1220" ca="1">INDIRECT("Data!J" &amp; 1215)</f>
        <v>0</v>
      </c>
      <c r="Q1220" cm="1">
        <f t="array" aca="1" ref="Q1220" ca="1">INDIRECT("Data!K" &amp; 1215)</f>
        <v>0</v>
      </c>
      <c r="R1220" cm="1">
        <f t="array" aca="1" ref="R1220" ca="1">INDIRECT("Data!L" &amp; 1215)</f>
        <v>0</v>
      </c>
      <c r="S1220" cm="1">
        <f t="array" aca="1" ref="S1220" ca="1">INDIRECT("Data!M" &amp; 1215)</f>
        <v>0</v>
      </c>
      <c r="T1220" cm="1">
        <f t="array" aca="1" ref="T1220" ca="1">INDIRECT("Data!N" &amp; 1215)</f>
        <v>0</v>
      </c>
      <c r="U1220" cm="1">
        <f t="array" aca="1" ref="U1220" ca="1">INDIRECT("Data!O" &amp; 1215)</f>
        <v>0</v>
      </c>
      <c r="V1220" cm="1">
        <f t="array" aca="1" ref="V1220" ca="1">INDIRECT("Data!P" &amp; 1215)</f>
        <v>0</v>
      </c>
    </row>
    <row r="1221" spans="7:22" x14ac:dyDescent="0.25">
      <c r="G1221" cm="1">
        <f t="array" aca="1" ref="G1221" ca="1">INDIRECT("Data!A" &amp; 1216)</f>
        <v>0</v>
      </c>
      <c r="H1221" s="21" cm="1">
        <f t="array" aca="1" ref="H1221" ca="1">INDIRECT("Data!B" &amp; 1216)</f>
        <v>0</v>
      </c>
      <c r="I1221" s="21" cm="1">
        <f t="array" aca="1" ref="I1221" ca="1">INDIRECT("Data!C" &amp; 1216)</f>
        <v>0</v>
      </c>
      <c r="J1221" cm="1">
        <f t="array" aca="1" ref="J1221" ca="1">INDIRECT("Data!D" &amp; 1216)</f>
        <v>0</v>
      </c>
      <c r="K1221" cm="1">
        <f t="array" aca="1" ref="K1221" ca="1">INDIRECT("Data!E" &amp; 1216)</f>
        <v>0</v>
      </c>
      <c r="L1221" cm="1">
        <f t="array" aca="1" ref="L1221" ca="1">INDIRECT("Data!F" &amp; 1216)</f>
        <v>0</v>
      </c>
      <c r="M1221" cm="1">
        <f t="array" aca="1" ref="M1221" ca="1">INDIRECT("Data!G" &amp; 1216)</f>
        <v>0</v>
      </c>
      <c r="N1221" cm="1">
        <f t="array" aca="1" ref="N1221" ca="1">INDIRECT("Data!H" &amp; 1216)</f>
        <v>0</v>
      </c>
      <c r="O1221" cm="1">
        <f t="array" aca="1" ref="O1221" ca="1">INDIRECT("Data!I" &amp; 1216)</f>
        <v>0</v>
      </c>
      <c r="P1221" s="21" cm="1">
        <f t="array" aca="1" ref="P1221" ca="1">INDIRECT("Data!J" &amp; 1216)</f>
        <v>0</v>
      </c>
      <c r="Q1221" cm="1">
        <f t="array" aca="1" ref="Q1221" ca="1">INDIRECT("Data!K" &amp; 1216)</f>
        <v>0</v>
      </c>
      <c r="R1221" cm="1">
        <f t="array" aca="1" ref="R1221" ca="1">INDIRECT("Data!L" &amp; 1216)</f>
        <v>0</v>
      </c>
      <c r="S1221" cm="1">
        <f t="array" aca="1" ref="S1221" ca="1">INDIRECT("Data!M" &amp; 1216)</f>
        <v>0</v>
      </c>
      <c r="T1221" cm="1">
        <f t="array" aca="1" ref="T1221" ca="1">INDIRECT("Data!N" &amp; 1216)</f>
        <v>0</v>
      </c>
      <c r="U1221" cm="1">
        <f t="array" aca="1" ref="U1221" ca="1">INDIRECT("Data!O" &amp; 1216)</f>
        <v>0</v>
      </c>
      <c r="V1221" cm="1">
        <f t="array" aca="1" ref="V1221" ca="1">INDIRECT("Data!P" &amp; 1216)</f>
        <v>0</v>
      </c>
    </row>
    <row r="1222" spans="7:22" x14ac:dyDescent="0.25">
      <c r="G1222" cm="1">
        <f t="array" aca="1" ref="G1222" ca="1">INDIRECT("Data!A" &amp; 1217)</f>
        <v>0</v>
      </c>
      <c r="H1222" s="21" cm="1">
        <f t="array" aca="1" ref="H1222" ca="1">INDIRECT("Data!B" &amp; 1217)</f>
        <v>0</v>
      </c>
      <c r="I1222" s="21" cm="1">
        <f t="array" aca="1" ref="I1222" ca="1">INDIRECT("Data!C" &amp; 1217)</f>
        <v>0</v>
      </c>
      <c r="J1222" cm="1">
        <f t="array" aca="1" ref="J1222" ca="1">INDIRECT("Data!D" &amp; 1217)</f>
        <v>0</v>
      </c>
      <c r="K1222" cm="1">
        <f t="array" aca="1" ref="K1222" ca="1">INDIRECT("Data!E" &amp; 1217)</f>
        <v>0</v>
      </c>
      <c r="L1222" cm="1">
        <f t="array" aca="1" ref="L1222" ca="1">INDIRECT("Data!F" &amp; 1217)</f>
        <v>0</v>
      </c>
      <c r="M1222" cm="1">
        <f t="array" aca="1" ref="M1222" ca="1">INDIRECT("Data!G" &amp; 1217)</f>
        <v>0</v>
      </c>
      <c r="N1222" cm="1">
        <f t="array" aca="1" ref="N1222" ca="1">INDIRECT("Data!H" &amp; 1217)</f>
        <v>0</v>
      </c>
      <c r="O1222" cm="1">
        <f t="array" aca="1" ref="O1222" ca="1">INDIRECT("Data!I" &amp; 1217)</f>
        <v>0</v>
      </c>
      <c r="P1222" s="21" cm="1">
        <f t="array" aca="1" ref="P1222" ca="1">INDIRECT("Data!J" &amp; 1217)</f>
        <v>0</v>
      </c>
      <c r="Q1222" cm="1">
        <f t="array" aca="1" ref="Q1222" ca="1">INDIRECT("Data!K" &amp; 1217)</f>
        <v>0</v>
      </c>
      <c r="R1222" cm="1">
        <f t="array" aca="1" ref="R1222" ca="1">INDIRECT("Data!L" &amp; 1217)</f>
        <v>0</v>
      </c>
      <c r="S1222" cm="1">
        <f t="array" aca="1" ref="S1222" ca="1">INDIRECT("Data!M" &amp; 1217)</f>
        <v>0</v>
      </c>
      <c r="T1222" cm="1">
        <f t="array" aca="1" ref="T1222" ca="1">INDIRECT("Data!N" &amp; 1217)</f>
        <v>0</v>
      </c>
      <c r="U1222" cm="1">
        <f t="array" aca="1" ref="U1222" ca="1">INDIRECT("Data!O" &amp; 1217)</f>
        <v>0</v>
      </c>
      <c r="V1222" cm="1">
        <f t="array" aca="1" ref="V1222" ca="1">INDIRECT("Data!P" &amp; 1217)</f>
        <v>0</v>
      </c>
    </row>
    <row r="1223" spans="7:22" x14ac:dyDescent="0.25">
      <c r="G1223" cm="1">
        <f t="array" aca="1" ref="G1223" ca="1">INDIRECT("Data!A" &amp; 1218)</f>
        <v>0</v>
      </c>
      <c r="H1223" s="21" cm="1">
        <f t="array" aca="1" ref="H1223" ca="1">INDIRECT("Data!B" &amp; 1218)</f>
        <v>0</v>
      </c>
      <c r="I1223" s="21" cm="1">
        <f t="array" aca="1" ref="I1223" ca="1">INDIRECT("Data!C" &amp; 1218)</f>
        <v>0</v>
      </c>
      <c r="J1223" cm="1">
        <f t="array" aca="1" ref="J1223" ca="1">INDIRECT("Data!D" &amp; 1218)</f>
        <v>0</v>
      </c>
      <c r="K1223" cm="1">
        <f t="array" aca="1" ref="K1223" ca="1">INDIRECT("Data!E" &amp; 1218)</f>
        <v>0</v>
      </c>
      <c r="L1223" cm="1">
        <f t="array" aca="1" ref="L1223" ca="1">INDIRECT("Data!F" &amp; 1218)</f>
        <v>0</v>
      </c>
      <c r="M1223" cm="1">
        <f t="array" aca="1" ref="M1223" ca="1">INDIRECT("Data!G" &amp; 1218)</f>
        <v>0</v>
      </c>
      <c r="N1223" cm="1">
        <f t="array" aca="1" ref="N1223" ca="1">INDIRECT("Data!H" &amp; 1218)</f>
        <v>0</v>
      </c>
      <c r="O1223" cm="1">
        <f t="array" aca="1" ref="O1223" ca="1">INDIRECT("Data!I" &amp; 1218)</f>
        <v>0</v>
      </c>
      <c r="P1223" s="21" cm="1">
        <f t="array" aca="1" ref="P1223" ca="1">INDIRECT("Data!J" &amp; 1218)</f>
        <v>0</v>
      </c>
      <c r="Q1223" cm="1">
        <f t="array" aca="1" ref="Q1223" ca="1">INDIRECT("Data!K" &amp; 1218)</f>
        <v>0</v>
      </c>
      <c r="R1223" cm="1">
        <f t="array" aca="1" ref="R1223" ca="1">INDIRECT("Data!L" &amp; 1218)</f>
        <v>0</v>
      </c>
      <c r="S1223" cm="1">
        <f t="array" aca="1" ref="S1223" ca="1">INDIRECT("Data!M" &amp; 1218)</f>
        <v>0</v>
      </c>
      <c r="T1223" cm="1">
        <f t="array" aca="1" ref="T1223" ca="1">INDIRECT("Data!N" &amp; 1218)</f>
        <v>0</v>
      </c>
      <c r="U1223" cm="1">
        <f t="array" aca="1" ref="U1223" ca="1">INDIRECT("Data!O" &amp; 1218)</f>
        <v>0</v>
      </c>
      <c r="V1223" cm="1">
        <f t="array" aca="1" ref="V1223" ca="1">INDIRECT("Data!P" &amp; 1218)</f>
        <v>0</v>
      </c>
    </row>
    <row r="1224" spans="7:22" x14ac:dyDescent="0.25">
      <c r="G1224" cm="1">
        <f t="array" aca="1" ref="G1224" ca="1">INDIRECT("Data!A" &amp; 1219)</f>
        <v>0</v>
      </c>
      <c r="H1224" s="21" cm="1">
        <f t="array" aca="1" ref="H1224" ca="1">INDIRECT("Data!B" &amp; 1219)</f>
        <v>0</v>
      </c>
      <c r="I1224" s="21" cm="1">
        <f t="array" aca="1" ref="I1224" ca="1">INDIRECT("Data!C" &amp; 1219)</f>
        <v>0</v>
      </c>
      <c r="J1224" cm="1">
        <f t="array" aca="1" ref="J1224" ca="1">INDIRECT("Data!D" &amp; 1219)</f>
        <v>0</v>
      </c>
      <c r="K1224" cm="1">
        <f t="array" aca="1" ref="K1224" ca="1">INDIRECT("Data!E" &amp; 1219)</f>
        <v>0</v>
      </c>
      <c r="L1224" cm="1">
        <f t="array" aca="1" ref="L1224" ca="1">INDIRECT("Data!F" &amp; 1219)</f>
        <v>0</v>
      </c>
      <c r="M1224" cm="1">
        <f t="array" aca="1" ref="M1224" ca="1">INDIRECT("Data!G" &amp; 1219)</f>
        <v>0</v>
      </c>
      <c r="N1224" cm="1">
        <f t="array" aca="1" ref="N1224" ca="1">INDIRECT("Data!H" &amp; 1219)</f>
        <v>0</v>
      </c>
      <c r="O1224" cm="1">
        <f t="array" aca="1" ref="O1224" ca="1">INDIRECT("Data!I" &amp; 1219)</f>
        <v>0</v>
      </c>
      <c r="P1224" s="21" cm="1">
        <f t="array" aca="1" ref="P1224" ca="1">INDIRECT("Data!J" &amp; 1219)</f>
        <v>0</v>
      </c>
      <c r="Q1224" cm="1">
        <f t="array" aca="1" ref="Q1224" ca="1">INDIRECT("Data!K" &amp; 1219)</f>
        <v>0</v>
      </c>
      <c r="R1224" cm="1">
        <f t="array" aca="1" ref="R1224" ca="1">INDIRECT("Data!L" &amp; 1219)</f>
        <v>0</v>
      </c>
      <c r="S1224" cm="1">
        <f t="array" aca="1" ref="S1224" ca="1">INDIRECT("Data!M" &amp; 1219)</f>
        <v>0</v>
      </c>
      <c r="T1224" cm="1">
        <f t="array" aca="1" ref="T1224" ca="1">INDIRECT("Data!N" &amp; 1219)</f>
        <v>0</v>
      </c>
      <c r="U1224" cm="1">
        <f t="array" aca="1" ref="U1224" ca="1">INDIRECT("Data!O" &amp; 1219)</f>
        <v>0</v>
      </c>
      <c r="V1224" cm="1">
        <f t="array" aca="1" ref="V1224" ca="1">INDIRECT("Data!P" &amp; 1219)</f>
        <v>0</v>
      </c>
    </row>
    <row r="1225" spans="7:22" x14ac:dyDescent="0.25">
      <c r="G1225" cm="1">
        <f t="array" aca="1" ref="G1225" ca="1">INDIRECT("Data!A" &amp; 1220)</f>
        <v>0</v>
      </c>
      <c r="H1225" s="21" cm="1">
        <f t="array" aca="1" ref="H1225" ca="1">INDIRECT("Data!B" &amp; 1220)</f>
        <v>0</v>
      </c>
      <c r="I1225" s="21" cm="1">
        <f t="array" aca="1" ref="I1225" ca="1">INDIRECT("Data!C" &amp; 1220)</f>
        <v>0</v>
      </c>
      <c r="J1225" cm="1">
        <f t="array" aca="1" ref="J1225" ca="1">INDIRECT("Data!D" &amp; 1220)</f>
        <v>0</v>
      </c>
      <c r="K1225" cm="1">
        <f t="array" aca="1" ref="K1225" ca="1">INDIRECT("Data!E" &amp; 1220)</f>
        <v>0</v>
      </c>
      <c r="L1225" cm="1">
        <f t="array" aca="1" ref="L1225" ca="1">INDIRECT("Data!F" &amp; 1220)</f>
        <v>0</v>
      </c>
      <c r="M1225" cm="1">
        <f t="array" aca="1" ref="M1225" ca="1">INDIRECT("Data!G" &amp; 1220)</f>
        <v>0</v>
      </c>
      <c r="N1225" cm="1">
        <f t="array" aca="1" ref="N1225" ca="1">INDIRECT("Data!H" &amp; 1220)</f>
        <v>0</v>
      </c>
      <c r="O1225" cm="1">
        <f t="array" aca="1" ref="O1225" ca="1">INDIRECT("Data!I" &amp; 1220)</f>
        <v>0</v>
      </c>
      <c r="P1225" s="21" cm="1">
        <f t="array" aca="1" ref="P1225" ca="1">INDIRECT("Data!J" &amp; 1220)</f>
        <v>0</v>
      </c>
      <c r="Q1225" cm="1">
        <f t="array" aca="1" ref="Q1225" ca="1">INDIRECT("Data!K" &amp; 1220)</f>
        <v>0</v>
      </c>
      <c r="R1225" cm="1">
        <f t="array" aca="1" ref="R1225" ca="1">INDIRECT("Data!L" &amp; 1220)</f>
        <v>0</v>
      </c>
      <c r="S1225" cm="1">
        <f t="array" aca="1" ref="S1225" ca="1">INDIRECT("Data!M" &amp; 1220)</f>
        <v>0</v>
      </c>
      <c r="T1225" cm="1">
        <f t="array" aca="1" ref="T1225" ca="1">INDIRECT("Data!N" &amp; 1220)</f>
        <v>0</v>
      </c>
      <c r="U1225" cm="1">
        <f t="array" aca="1" ref="U1225" ca="1">INDIRECT("Data!O" &amp; 1220)</f>
        <v>0</v>
      </c>
      <c r="V1225" cm="1">
        <f t="array" aca="1" ref="V1225" ca="1">INDIRECT("Data!P" &amp; 1220)</f>
        <v>0</v>
      </c>
    </row>
    <row r="1226" spans="7:22" x14ac:dyDescent="0.25">
      <c r="G1226" cm="1">
        <f t="array" aca="1" ref="G1226" ca="1">INDIRECT("Data!A" &amp; 1221)</f>
        <v>0</v>
      </c>
      <c r="H1226" s="21" cm="1">
        <f t="array" aca="1" ref="H1226" ca="1">INDIRECT("Data!B" &amp; 1221)</f>
        <v>0</v>
      </c>
      <c r="I1226" s="21" cm="1">
        <f t="array" aca="1" ref="I1226" ca="1">INDIRECT("Data!C" &amp; 1221)</f>
        <v>0</v>
      </c>
      <c r="J1226" cm="1">
        <f t="array" aca="1" ref="J1226" ca="1">INDIRECT("Data!D" &amp; 1221)</f>
        <v>0</v>
      </c>
      <c r="K1226" cm="1">
        <f t="array" aca="1" ref="K1226" ca="1">INDIRECT("Data!E" &amp; 1221)</f>
        <v>0</v>
      </c>
      <c r="L1226" cm="1">
        <f t="array" aca="1" ref="L1226" ca="1">INDIRECT("Data!F" &amp; 1221)</f>
        <v>0</v>
      </c>
      <c r="M1226" cm="1">
        <f t="array" aca="1" ref="M1226" ca="1">INDIRECT("Data!G" &amp; 1221)</f>
        <v>0</v>
      </c>
      <c r="N1226" cm="1">
        <f t="array" aca="1" ref="N1226" ca="1">INDIRECT("Data!H" &amp; 1221)</f>
        <v>0</v>
      </c>
      <c r="O1226" cm="1">
        <f t="array" aca="1" ref="O1226" ca="1">INDIRECT("Data!I" &amp; 1221)</f>
        <v>0</v>
      </c>
      <c r="P1226" s="21" cm="1">
        <f t="array" aca="1" ref="P1226" ca="1">INDIRECT("Data!J" &amp; 1221)</f>
        <v>0</v>
      </c>
      <c r="Q1226" cm="1">
        <f t="array" aca="1" ref="Q1226" ca="1">INDIRECT("Data!K" &amp; 1221)</f>
        <v>0</v>
      </c>
      <c r="R1226" cm="1">
        <f t="array" aca="1" ref="R1226" ca="1">INDIRECT("Data!L" &amp; 1221)</f>
        <v>0</v>
      </c>
      <c r="S1226" cm="1">
        <f t="array" aca="1" ref="S1226" ca="1">INDIRECT("Data!M" &amp; 1221)</f>
        <v>0</v>
      </c>
      <c r="T1226" cm="1">
        <f t="array" aca="1" ref="T1226" ca="1">INDIRECT("Data!N" &amp; 1221)</f>
        <v>0</v>
      </c>
      <c r="U1226" cm="1">
        <f t="array" aca="1" ref="U1226" ca="1">INDIRECT("Data!O" &amp; 1221)</f>
        <v>0</v>
      </c>
      <c r="V1226" cm="1">
        <f t="array" aca="1" ref="V1226" ca="1">INDIRECT("Data!P" &amp; 1221)</f>
        <v>0</v>
      </c>
    </row>
    <row r="1227" spans="7:22" x14ac:dyDescent="0.25">
      <c r="G1227" cm="1">
        <f t="array" aca="1" ref="G1227" ca="1">INDIRECT("Data!A" &amp; 1222)</f>
        <v>0</v>
      </c>
      <c r="H1227" s="21" cm="1">
        <f t="array" aca="1" ref="H1227" ca="1">INDIRECT("Data!B" &amp; 1222)</f>
        <v>0</v>
      </c>
      <c r="I1227" s="21" cm="1">
        <f t="array" aca="1" ref="I1227" ca="1">INDIRECT("Data!C" &amp; 1222)</f>
        <v>0</v>
      </c>
      <c r="J1227" cm="1">
        <f t="array" aca="1" ref="J1227" ca="1">INDIRECT("Data!D" &amp; 1222)</f>
        <v>0</v>
      </c>
      <c r="K1227" cm="1">
        <f t="array" aca="1" ref="K1227" ca="1">INDIRECT("Data!E" &amp; 1222)</f>
        <v>0</v>
      </c>
      <c r="L1227" cm="1">
        <f t="array" aca="1" ref="L1227" ca="1">INDIRECT("Data!F" &amp; 1222)</f>
        <v>0</v>
      </c>
      <c r="M1227" cm="1">
        <f t="array" aca="1" ref="M1227" ca="1">INDIRECT("Data!G" &amp; 1222)</f>
        <v>0</v>
      </c>
      <c r="N1227" cm="1">
        <f t="array" aca="1" ref="N1227" ca="1">INDIRECT("Data!H" &amp; 1222)</f>
        <v>0</v>
      </c>
      <c r="O1227" cm="1">
        <f t="array" aca="1" ref="O1227" ca="1">INDIRECT("Data!I" &amp; 1222)</f>
        <v>0</v>
      </c>
      <c r="P1227" s="21" cm="1">
        <f t="array" aca="1" ref="P1227" ca="1">INDIRECT("Data!J" &amp; 1222)</f>
        <v>0</v>
      </c>
      <c r="Q1227" cm="1">
        <f t="array" aca="1" ref="Q1227" ca="1">INDIRECT("Data!K" &amp; 1222)</f>
        <v>0</v>
      </c>
      <c r="R1227" cm="1">
        <f t="array" aca="1" ref="R1227" ca="1">INDIRECT("Data!L" &amp; 1222)</f>
        <v>0</v>
      </c>
      <c r="S1227" cm="1">
        <f t="array" aca="1" ref="S1227" ca="1">INDIRECT("Data!M" &amp; 1222)</f>
        <v>0</v>
      </c>
      <c r="T1227" cm="1">
        <f t="array" aca="1" ref="T1227" ca="1">INDIRECT("Data!N" &amp; 1222)</f>
        <v>0</v>
      </c>
      <c r="U1227" cm="1">
        <f t="array" aca="1" ref="U1227" ca="1">INDIRECT("Data!O" &amp; 1222)</f>
        <v>0</v>
      </c>
      <c r="V1227" cm="1">
        <f t="array" aca="1" ref="V1227" ca="1">INDIRECT("Data!P" &amp; 1222)</f>
        <v>0</v>
      </c>
    </row>
    <row r="1228" spans="7:22" x14ac:dyDescent="0.25">
      <c r="G1228" cm="1">
        <f t="array" aca="1" ref="G1228" ca="1">INDIRECT("Data!A" &amp; 1223)</f>
        <v>0</v>
      </c>
      <c r="H1228" s="21" cm="1">
        <f t="array" aca="1" ref="H1228" ca="1">INDIRECT("Data!B" &amp; 1223)</f>
        <v>0</v>
      </c>
      <c r="I1228" s="21" cm="1">
        <f t="array" aca="1" ref="I1228" ca="1">INDIRECT("Data!C" &amp; 1223)</f>
        <v>0</v>
      </c>
      <c r="J1228" cm="1">
        <f t="array" aca="1" ref="J1228" ca="1">INDIRECT("Data!D" &amp; 1223)</f>
        <v>0</v>
      </c>
      <c r="K1228" cm="1">
        <f t="array" aca="1" ref="K1228" ca="1">INDIRECT("Data!E" &amp; 1223)</f>
        <v>0</v>
      </c>
      <c r="L1228" cm="1">
        <f t="array" aca="1" ref="L1228" ca="1">INDIRECT("Data!F" &amp; 1223)</f>
        <v>0</v>
      </c>
      <c r="M1228" cm="1">
        <f t="array" aca="1" ref="M1228" ca="1">INDIRECT("Data!G" &amp; 1223)</f>
        <v>0</v>
      </c>
      <c r="N1228" cm="1">
        <f t="array" aca="1" ref="N1228" ca="1">INDIRECT("Data!H" &amp; 1223)</f>
        <v>0</v>
      </c>
      <c r="O1228" cm="1">
        <f t="array" aca="1" ref="O1228" ca="1">INDIRECT("Data!I" &amp; 1223)</f>
        <v>0</v>
      </c>
      <c r="P1228" s="21" cm="1">
        <f t="array" aca="1" ref="P1228" ca="1">INDIRECT("Data!J" &amp; 1223)</f>
        <v>0</v>
      </c>
      <c r="Q1228" cm="1">
        <f t="array" aca="1" ref="Q1228" ca="1">INDIRECT("Data!K" &amp; 1223)</f>
        <v>0</v>
      </c>
      <c r="R1228" cm="1">
        <f t="array" aca="1" ref="R1228" ca="1">INDIRECT("Data!L" &amp; 1223)</f>
        <v>0</v>
      </c>
      <c r="S1228" cm="1">
        <f t="array" aca="1" ref="S1228" ca="1">INDIRECT("Data!M" &amp; 1223)</f>
        <v>0</v>
      </c>
      <c r="T1228" cm="1">
        <f t="array" aca="1" ref="T1228" ca="1">INDIRECT("Data!N" &amp; 1223)</f>
        <v>0</v>
      </c>
      <c r="U1228" cm="1">
        <f t="array" aca="1" ref="U1228" ca="1">INDIRECT("Data!O" &amp; 1223)</f>
        <v>0</v>
      </c>
      <c r="V1228" cm="1">
        <f t="array" aca="1" ref="V1228" ca="1">INDIRECT("Data!P" &amp; 1223)</f>
        <v>0</v>
      </c>
    </row>
    <row r="1229" spans="7:22" x14ac:dyDescent="0.25">
      <c r="G1229" cm="1">
        <f t="array" aca="1" ref="G1229" ca="1">INDIRECT("Data!A" &amp; 1224)</f>
        <v>0</v>
      </c>
      <c r="H1229" s="21" cm="1">
        <f t="array" aca="1" ref="H1229" ca="1">INDIRECT("Data!B" &amp; 1224)</f>
        <v>0</v>
      </c>
      <c r="I1229" s="21" cm="1">
        <f t="array" aca="1" ref="I1229" ca="1">INDIRECT("Data!C" &amp; 1224)</f>
        <v>0</v>
      </c>
      <c r="J1229" cm="1">
        <f t="array" aca="1" ref="J1229" ca="1">INDIRECT("Data!D" &amp; 1224)</f>
        <v>0</v>
      </c>
      <c r="K1229" cm="1">
        <f t="array" aca="1" ref="K1229" ca="1">INDIRECT("Data!E" &amp; 1224)</f>
        <v>0</v>
      </c>
      <c r="L1229" cm="1">
        <f t="array" aca="1" ref="L1229" ca="1">INDIRECT("Data!F" &amp; 1224)</f>
        <v>0</v>
      </c>
      <c r="M1229" cm="1">
        <f t="array" aca="1" ref="M1229" ca="1">INDIRECT("Data!G" &amp; 1224)</f>
        <v>0</v>
      </c>
      <c r="N1229" cm="1">
        <f t="array" aca="1" ref="N1229" ca="1">INDIRECT("Data!H" &amp; 1224)</f>
        <v>0</v>
      </c>
      <c r="O1229" cm="1">
        <f t="array" aca="1" ref="O1229" ca="1">INDIRECT("Data!I" &amp; 1224)</f>
        <v>0</v>
      </c>
      <c r="P1229" s="21" cm="1">
        <f t="array" aca="1" ref="P1229" ca="1">INDIRECT("Data!J" &amp; 1224)</f>
        <v>0</v>
      </c>
      <c r="Q1229" cm="1">
        <f t="array" aca="1" ref="Q1229" ca="1">INDIRECT("Data!K" &amp; 1224)</f>
        <v>0</v>
      </c>
      <c r="R1229" cm="1">
        <f t="array" aca="1" ref="R1229" ca="1">INDIRECT("Data!L" &amp; 1224)</f>
        <v>0</v>
      </c>
      <c r="S1229" cm="1">
        <f t="array" aca="1" ref="S1229" ca="1">INDIRECT("Data!M" &amp; 1224)</f>
        <v>0</v>
      </c>
      <c r="T1229" cm="1">
        <f t="array" aca="1" ref="T1229" ca="1">INDIRECT("Data!N" &amp; 1224)</f>
        <v>0</v>
      </c>
      <c r="U1229" cm="1">
        <f t="array" aca="1" ref="U1229" ca="1">INDIRECT("Data!O" &amp; 1224)</f>
        <v>0</v>
      </c>
      <c r="V1229" cm="1">
        <f t="array" aca="1" ref="V1229" ca="1">INDIRECT("Data!P" &amp; 1224)</f>
        <v>0</v>
      </c>
    </row>
    <row r="1230" spans="7:22" x14ac:dyDescent="0.25">
      <c r="G1230" cm="1">
        <f t="array" aca="1" ref="G1230" ca="1">INDIRECT("Data!A" &amp; 225)</f>
        <v>0</v>
      </c>
      <c r="H1230" s="21" cm="1">
        <f t="array" aca="1" ref="H1230" ca="1">INDIRECT("Data!B" &amp; 225)</f>
        <v>0</v>
      </c>
      <c r="I1230" s="21" cm="1">
        <f t="array" aca="1" ref="I1230" ca="1">INDIRECT("Data!C" &amp; 225)</f>
        <v>0</v>
      </c>
      <c r="J1230" cm="1">
        <f t="array" aca="1" ref="J1230" ca="1">INDIRECT("Data!D" &amp; 225)</f>
        <v>0</v>
      </c>
      <c r="K1230" cm="1">
        <f t="array" aca="1" ref="K1230" ca="1">INDIRECT("Data!E" &amp; 225)</f>
        <v>0</v>
      </c>
      <c r="L1230" cm="1">
        <f t="array" aca="1" ref="L1230" ca="1">INDIRECT("Data!F" &amp; 225)</f>
        <v>0</v>
      </c>
      <c r="M1230" cm="1">
        <f t="array" aca="1" ref="M1230" ca="1">INDIRECT("Data!G" &amp; 225)</f>
        <v>0</v>
      </c>
      <c r="N1230" cm="1">
        <f t="array" aca="1" ref="N1230" ca="1">INDIRECT("Data!H" &amp; 225)</f>
        <v>0</v>
      </c>
      <c r="O1230" cm="1">
        <f t="array" aca="1" ref="O1230" ca="1">INDIRECT("Data!I" &amp; 225)</f>
        <v>0</v>
      </c>
      <c r="P1230" s="21" cm="1">
        <f t="array" aca="1" ref="P1230" ca="1">INDIRECT("Data!J" &amp; 225)</f>
        <v>0</v>
      </c>
      <c r="Q1230" cm="1">
        <f t="array" aca="1" ref="Q1230" ca="1">INDIRECT("Data!K" &amp; 225)</f>
        <v>0</v>
      </c>
      <c r="R1230" cm="1">
        <f t="array" aca="1" ref="R1230" ca="1">INDIRECT("Data!L" &amp; 225)</f>
        <v>0</v>
      </c>
      <c r="S1230" cm="1">
        <f t="array" aca="1" ref="S1230" ca="1">INDIRECT("Data!M" &amp; 225)</f>
        <v>0</v>
      </c>
      <c r="T1230" cm="1">
        <f t="array" aca="1" ref="T1230" ca="1">INDIRECT("Data!N" &amp; 225)</f>
        <v>0</v>
      </c>
      <c r="U1230" cm="1">
        <f t="array" aca="1" ref="U1230" ca="1">INDIRECT("Data!O" &amp; 225)</f>
        <v>0</v>
      </c>
      <c r="V1230" cm="1">
        <f t="array" aca="1" ref="V1230" ca="1">INDIRECT("Data!P" &amp; 225)</f>
        <v>0</v>
      </c>
    </row>
    <row r="1231" spans="7:22" x14ac:dyDescent="0.25">
      <c r="G1231" cm="1">
        <f t="array" aca="1" ref="G1231" ca="1">INDIRECT("Data!A" &amp; 1226)</f>
        <v>0</v>
      </c>
      <c r="H1231" s="21" cm="1">
        <f t="array" aca="1" ref="H1231" ca="1">INDIRECT("Data!B" &amp; 1226)</f>
        <v>0</v>
      </c>
      <c r="I1231" s="21" cm="1">
        <f t="array" aca="1" ref="I1231" ca="1">INDIRECT("Data!C" &amp; 1226)</f>
        <v>0</v>
      </c>
      <c r="J1231" cm="1">
        <f t="array" aca="1" ref="J1231" ca="1">INDIRECT("Data!D" &amp; 1226)</f>
        <v>0</v>
      </c>
      <c r="K1231" cm="1">
        <f t="array" aca="1" ref="K1231" ca="1">INDIRECT("Data!E" &amp; 1226)</f>
        <v>0</v>
      </c>
      <c r="L1231" cm="1">
        <f t="array" aca="1" ref="L1231" ca="1">INDIRECT("Data!F" &amp; 1226)</f>
        <v>0</v>
      </c>
      <c r="M1231" cm="1">
        <f t="array" aca="1" ref="M1231" ca="1">INDIRECT("Data!G" &amp; 1226)</f>
        <v>0</v>
      </c>
      <c r="N1231" cm="1">
        <f t="array" aca="1" ref="N1231" ca="1">INDIRECT("Data!H" &amp; 1226)</f>
        <v>0</v>
      </c>
      <c r="O1231" cm="1">
        <f t="array" aca="1" ref="O1231" ca="1">INDIRECT("Data!I" &amp; 1226)</f>
        <v>0</v>
      </c>
      <c r="P1231" s="21" cm="1">
        <f t="array" aca="1" ref="P1231" ca="1">INDIRECT("Data!J" &amp; 1226)</f>
        <v>0</v>
      </c>
      <c r="Q1231" cm="1">
        <f t="array" aca="1" ref="Q1231" ca="1">INDIRECT("Data!K" &amp; 1226)</f>
        <v>0</v>
      </c>
      <c r="R1231" cm="1">
        <f t="array" aca="1" ref="R1231" ca="1">INDIRECT("Data!L" &amp; 1226)</f>
        <v>0</v>
      </c>
      <c r="S1231" cm="1">
        <f t="array" aca="1" ref="S1231" ca="1">INDIRECT("Data!M" &amp; 1226)</f>
        <v>0</v>
      </c>
      <c r="T1231" cm="1">
        <f t="array" aca="1" ref="T1231" ca="1">INDIRECT("Data!N" &amp; 1226)</f>
        <v>0</v>
      </c>
      <c r="U1231" cm="1">
        <f t="array" aca="1" ref="U1231" ca="1">INDIRECT("Data!O" &amp; 1226)</f>
        <v>0</v>
      </c>
      <c r="V1231" cm="1">
        <f t="array" aca="1" ref="V1231" ca="1">INDIRECT("Data!P" &amp; 1226)</f>
        <v>0</v>
      </c>
    </row>
    <row r="1232" spans="7:22" x14ac:dyDescent="0.25">
      <c r="G1232" cm="1">
        <f t="array" aca="1" ref="G1232" ca="1">INDIRECT("Data!A" &amp; 1227)</f>
        <v>0</v>
      </c>
      <c r="H1232" s="21" cm="1">
        <f t="array" aca="1" ref="H1232" ca="1">INDIRECT("Data!B" &amp; 1227)</f>
        <v>0</v>
      </c>
      <c r="I1232" s="21" cm="1">
        <f t="array" aca="1" ref="I1232" ca="1">INDIRECT("Data!C" &amp; 1227)</f>
        <v>0</v>
      </c>
      <c r="J1232" cm="1">
        <f t="array" aca="1" ref="J1232" ca="1">INDIRECT("Data!D" &amp; 1227)</f>
        <v>0</v>
      </c>
      <c r="K1232" cm="1">
        <f t="array" aca="1" ref="K1232" ca="1">INDIRECT("Data!E" &amp; 1227)</f>
        <v>0</v>
      </c>
      <c r="L1232" cm="1">
        <f t="array" aca="1" ref="L1232" ca="1">INDIRECT("Data!F" &amp; 1227)</f>
        <v>0</v>
      </c>
      <c r="M1232" cm="1">
        <f t="array" aca="1" ref="M1232" ca="1">INDIRECT("Data!G" &amp; 1227)</f>
        <v>0</v>
      </c>
      <c r="N1232" cm="1">
        <f t="array" aca="1" ref="N1232" ca="1">INDIRECT("Data!H" &amp; 1227)</f>
        <v>0</v>
      </c>
      <c r="O1232" cm="1">
        <f t="array" aca="1" ref="O1232" ca="1">INDIRECT("Data!I" &amp; 1227)</f>
        <v>0</v>
      </c>
      <c r="P1232" s="21" cm="1">
        <f t="array" aca="1" ref="P1232" ca="1">INDIRECT("Data!J" &amp; 1227)</f>
        <v>0</v>
      </c>
      <c r="Q1232" cm="1">
        <f t="array" aca="1" ref="Q1232" ca="1">INDIRECT("Data!K" &amp; 1227)</f>
        <v>0</v>
      </c>
      <c r="R1232" cm="1">
        <f t="array" aca="1" ref="R1232" ca="1">INDIRECT("Data!L" &amp; 1227)</f>
        <v>0</v>
      </c>
      <c r="S1232" cm="1">
        <f t="array" aca="1" ref="S1232" ca="1">INDIRECT("Data!M" &amp; 1227)</f>
        <v>0</v>
      </c>
      <c r="T1232" cm="1">
        <f t="array" aca="1" ref="T1232" ca="1">INDIRECT("Data!N" &amp; 1227)</f>
        <v>0</v>
      </c>
      <c r="U1232" cm="1">
        <f t="array" aca="1" ref="U1232" ca="1">INDIRECT("Data!O" &amp; 1227)</f>
        <v>0</v>
      </c>
      <c r="V1232" cm="1">
        <f t="array" aca="1" ref="V1232" ca="1">INDIRECT("Data!P" &amp; 1227)</f>
        <v>0</v>
      </c>
    </row>
    <row r="1233" spans="7:22" x14ac:dyDescent="0.25">
      <c r="G1233" cm="1">
        <f t="array" aca="1" ref="G1233" ca="1">INDIRECT("Data!A" &amp; 1228)</f>
        <v>0</v>
      </c>
      <c r="H1233" s="21" cm="1">
        <f t="array" aca="1" ref="H1233" ca="1">INDIRECT("Data!B" &amp; 1228)</f>
        <v>0</v>
      </c>
      <c r="I1233" s="21" cm="1">
        <f t="array" aca="1" ref="I1233" ca="1">INDIRECT("Data!C" &amp; 1228)</f>
        <v>0</v>
      </c>
      <c r="J1233" cm="1">
        <f t="array" aca="1" ref="J1233" ca="1">INDIRECT("Data!D" &amp; 1228)</f>
        <v>0</v>
      </c>
      <c r="K1233" cm="1">
        <f t="array" aca="1" ref="K1233" ca="1">INDIRECT("Data!E" &amp; 1228)</f>
        <v>0</v>
      </c>
      <c r="L1233" cm="1">
        <f t="array" aca="1" ref="L1233" ca="1">INDIRECT("Data!F" &amp; 1228)</f>
        <v>0</v>
      </c>
      <c r="M1233" cm="1">
        <f t="array" aca="1" ref="M1233" ca="1">INDIRECT("Data!G" &amp; 1228)</f>
        <v>0</v>
      </c>
      <c r="N1233" cm="1">
        <f t="array" aca="1" ref="N1233" ca="1">INDIRECT("Data!H" &amp; 1228)</f>
        <v>0</v>
      </c>
      <c r="O1233" cm="1">
        <f t="array" aca="1" ref="O1233" ca="1">INDIRECT("Data!I" &amp; 1228)</f>
        <v>0</v>
      </c>
      <c r="P1233" s="21" cm="1">
        <f t="array" aca="1" ref="P1233" ca="1">INDIRECT("Data!J" &amp; 1228)</f>
        <v>0</v>
      </c>
      <c r="Q1233" cm="1">
        <f t="array" aca="1" ref="Q1233" ca="1">INDIRECT("Data!K" &amp; 1228)</f>
        <v>0</v>
      </c>
      <c r="R1233" cm="1">
        <f t="array" aca="1" ref="R1233" ca="1">INDIRECT("Data!L" &amp; 1228)</f>
        <v>0</v>
      </c>
      <c r="S1233" cm="1">
        <f t="array" aca="1" ref="S1233" ca="1">INDIRECT("Data!M" &amp; 1228)</f>
        <v>0</v>
      </c>
      <c r="T1233" cm="1">
        <f t="array" aca="1" ref="T1233" ca="1">INDIRECT("Data!N" &amp; 1228)</f>
        <v>0</v>
      </c>
      <c r="U1233" cm="1">
        <f t="array" aca="1" ref="U1233" ca="1">INDIRECT("Data!O" &amp; 1228)</f>
        <v>0</v>
      </c>
      <c r="V1233" cm="1">
        <f t="array" aca="1" ref="V1233" ca="1">INDIRECT("Data!P" &amp; 1228)</f>
        <v>0</v>
      </c>
    </row>
    <row r="1234" spans="7:22" x14ac:dyDescent="0.25">
      <c r="G1234" cm="1">
        <f t="array" aca="1" ref="G1234" ca="1">INDIRECT("Data!A" &amp; 1229)</f>
        <v>0</v>
      </c>
      <c r="H1234" s="21" cm="1">
        <f t="array" aca="1" ref="H1234" ca="1">INDIRECT("Data!B" &amp; 1229)</f>
        <v>0</v>
      </c>
      <c r="I1234" s="21" cm="1">
        <f t="array" aca="1" ref="I1234" ca="1">INDIRECT("Data!C" &amp; 1229)</f>
        <v>0</v>
      </c>
      <c r="J1234" cm="1">
        <f t="array" aca="1" ref="J1234" ca="1">INDIRECT("Data!D" &amp; 1229)</f>
        <v>0</v>
      </c>
      <c r="K1234" cm="1">
        <f t="array" aca="1" ref="K1234" ca="1">INDIRECT("Data!E" &amp; 1229)</f>
        <v>0</v>
      </c>
      <c r="L1234" cm="1">
        <f t="array" aca="1" ref="L1234" ca="1">INDIRECT("Data!F" &amp; 1229)</f>
        <v>0</v>
      </c>
      <c r="M1234" cm="1">
        <f t="array" aca="1" ref="M1234" ca="1">INDIRECT("Data!G" &amp; 1229)</f>
        <v>0</v>
      </c>
      <c r="N1234" cm="1">
        <f t="array" aca="1" ref="N1234" ca="1">INDIRECT("Data!H" &amp; 1229)</f>
        <v>0</v>
      </c>
      <c r="O1234" cm="1">
        <f t="array" aca="1" ref="O1234" ca="1">INDIRECT("Data!I" &amp; 1229)</f>
        <v>0</v>
      </c>
      <c r="P1234" s="21" cm="1">
        <f t="array" aca="1" ref="P1234" ca="1">INDIRECT("Data!J" &amp; 1229)</f>
        <v>0</v>
      </c>
      <c r="Q1234" cm="1">
        <f t="array" aca="1" ref="Q1234" ca="1">INDIRECT("Data!K" &amp; 1229)</f>
        <v>0</v>
      </c>
      <c r="R1234" cm="1">
        <f t="array" aca="1" ref="R1234" ca="1">INDIRECT("Data!L" &amp; 1229)</f>
        <v>0</v>
      </c>
      <c r="S1234" cm="1">
        <f t="array" aca="1" ref="S1234" ca="1">INDIRECT("Data!M" &amp; 1229)</f>
        <v>0</v>
      </c>
      <c r="T1234" cm="1">
        <f t="array" aca="1" ref="T1234" ca="1">INDIRECT("Data!N" &amp; 1229)</f>
        <v>0</v>
      </c>
      <c r="U1234" cm="1">
        <f t="array" aca="1" ref="U1234" ca="1">INDIRECT("Data!O" &amp; 1229)</f>
        <v>0</v>
      </c>
      <c r="V1234" cm="1">
        <f t="array" aca="1" ref="V1234" ca="1">INDIRECT("Data!P" &amp; 1229)</f>
        <v>0</v>
      </c>
    </row>
    <row r="1235" spans="7:22" x14ac:dyDescent="0.25">
      <c r="G1235" cm="1">
        <f t="array" aca="1" ref="G1235" ca="1">INDIRECT("Data!A" &amp; 1230)</f>
        <v>0</v>
      </c>
      <c r="H1235" s="21" cm="1">
        <f t="array" aca="1" ref="H1235" ca="1">INDIRECT("Data!B" &amp; 1230)</f>
        <v>0</v>
      </c>
      <c r="I1235" s="21" cm="1">
        <f t="array" aca="1" ref="I1235" ca="1">INDIRECT("Data!C" &amp; 1230)</f>
        <v>0</v>
      </c>
      <c r="J1235" cm="1">
        <f t="array" aca="1" ref="J1235" ca="1">INDIRECT("Data!D" &amp; 1230)</f>
        <v>0</v>
      </c>
      <c r="K1235" cm="1">
        <f t="array" aca="1" ref="K1235" ca="1">INDIRECT("Data!E" &amp; 1230)</f>
        <v>0</v>
      </c>
      <c r="L1235" cm="1">
        <f t="array" aca="1" ref="L1235" ca="1">INDIRECT("Data!F" &amp; 1230)</f>
        <v>0</v>
      </c>
      <c r="M1235" cm="1">
        <f t="array" aca="1" ref="M1235" ca="1">INDIRECT("Data!G" &amp; 1230)</f>
        <v>0</v>
      </c>
      <c r="N1235" cm="1">
        <f t="array" aca="1" ref="N1235" ca="1">INDIRECT("Data!H" &amp; 1230)</f>
        <v>0</v>
      </c>
      <c r="O1235" cm="1">
        <f t="array" aca="1" ref="O1235" ca="1">INDIRECT("Data!I" &amp; 1230)</f>
        <v>0</v>
      </c>
      <c r="P1235" s="21" cm="1">
        <f t="array" aca="1" ref="P1235" ca="1">INDIRECT("Data!J" &amp; 1230)</f>
        <v>0</v>
      </c>
      <c r="Q1235" cm="1">
        <f t="array" aca="1" ref="Q1235" ca="1">INDIRECT("Data!K" &amp; 1230)</f>
        <v>0</v>
      </c>
      <c r="R1235" cm="1">
        <f t="array" aca="1" ref="R1235" ca="1">INDIRECT("Data!L" &amp; 1230)</f>
        <v>0</v>
      </c>
      <c r="S1235" cm="1">
        <f t="array" aca="1" ref="S1235" ca="1">INDIRECT("Data!M" &amp; 1230)</f>
        <v>0</v>
      </c>
      <c r="T1235" cm="1">
        <f t="array" aca="1" ref="T1235" ca="1">INDIRECT("Data!N" &amp; 1230)</f>
        <v>0</v>
      </c>
      <c r="U1235" cm="1">
        <f t="array" aca="1" ref="U1235" ca="1">INDIRECT("Data!O" &amp; 1230)</f>
        <v>0</v>
      </c>
      <c r="V1235" cm="1">
        <f t="array" aca="1" ref="V1235" ca="1">INDIRECT("Data!P" &amp; 1230)</f>
        <v>0</v>
      </c>
    </row>
    <row r="1236" spans="7:22" x14ac:dyDescent="0.25">
      <c r="G1236" cm="1">
        <f t="array" aca="1" ref="G1236" ca="1">INDIRECT("Data!A" &amp; 1231)</f>
        <v>0</v>
      </c>
      <c r="H1236" s="21" cm="1">
        <f t="array" aca="1" ref="H1236" ca="1">INDIRECT("Data!B" &amp; 1231)</f>
        <v>0</v>
      </c>
      <c r="I1236" s="21" cm="1">
        <f t="array" aca="1" ref="I1236" ca="1">INDIRECT("Data!C" &amp; 1231)</f>
        <v>0</v>
      </c>
      <c r="J1236" cm="1">
        <f t="array" aca="1" ref="J1236" ca="1">INDIRECT("Data!D" &amp; 1231)</f>
        <v>0</v>
      </c>
      <c r="K1236" cm="1">
        <f t="array" aca="1" ref="K1236" ca="1">INDIRECT("Data!E" &amp; 1231)</f>
        <v>0</v>
      </c>
      <c r="L1236" cm="1">
        <f t="array" aca="1" ref="L1236" ca="1">INDIRECT("Data!F" &amp; 1231)</f>
        <v>0</v>
      </c>
      <c r="M1236" cm="1">
        <f t="array" aca="1" ref="M1236" ca="1">INDIRECT("Data!G" &amp; 1231)</f>
        <v>0</v>
      </c>
      <c r="N1236" cm="1">
        <f t="array" aca="1" ref="N1236" ca="1">INDIRECT("Data!H" &amp; 1231)</f>
        <v>0</v>
      </c>
      <c r="O1236" cm="1">
        <f t="array" aca="1" ref="O1236" ca="1">INDIRECT("Data!I" &amp; 1231)</f>
        <v>0</v>
      </c>
      <c r="P1236" s="21" cm="1">
        <f t="array" aca="1" ref="P1236" ca="1">INDIRECT("Data!J" &amp; 1231)</f>
        <v>0</v>
      </c>
      <c r="Q1236" cm="1">
        <f t="array" aca="1" ref="Q1236" ca="1">INDIRECT("Data!K" &amp; 1231)</f>
        <v>0</v>
      </c>
      <c r="R1236" cm="1">
        <f t="array" aca="1" ref="R1236" ca="1">INDIRECT("Data!L" &amp; 1231)</f>
        <v>0</v>
      </c>
      <c r="S1236" cm="1">
        <f t="array" aca="1" ref="S1236" ca="1">INDIRECT("Data!M" &amp; 1231)</f>
        <v>0</v>
      </c>
      <c r="T1236" cm="1">
        <f t="array" aca="1" ref="T1236" ca="1">INDIRECT("Data!N" &amp; 1231)</f>
        <v>0</v>
      </c>
      <c r="U1236" cm="1">
        <f t="array" aca="1" ref="U1236" ca="1">INDIRECT("Data!O" &amp; 1231)</f>
        <v>0</v>
      </c>
      <c r="V1236" cm="1">
        <f t="array" aca="1" ref="V1236" ca="1">INDIRECT("Data!P" &amp; 1231)</f>
        <v>0</v>
      </c>
    </row>
    <row r="1237" spans="7:22" x14ac:dyDescent="0.25">
      <c r="G1237" cm="1">
        <f t="array" aca="1" ref="G1237" ca="1">INDIRECT("Data!A" &amp; 1232)</f>
        <v>0</v>
      </c>
      <c r="H1237" s="21" cm="1">
        <f t="array" aca="1" ref="H1237" ca="1">INDIRECT("Data!B" &amp; 1232)</f>
        <v>0</v>
      </c>
      <c r="I1237" s="21" cm="1">
        <f t="array" aca="1" ref="I1237" ca="1">INDIRECT("Data!C" &amp; 1232)</f>
        <v>0</v>
      </c>
      <c r="J1237" cm="1">
        <f t="array" aca="1" ref="J1237" ca="1">INDIRECT("Data!D" &amp; 1232)</f>
        <v>0</v>
      </c>
      <c r="K1237" cm="1">
        <f t="array" aca="1" ref="K1237" ca="1">INDIRECT("Data!E" &amp; 1232)</f>
        <v>0</v>
      </c>
      <c r="L1237" cm="1">
        <f t="array" aca="1" ref="L1237" ca="1">INDIRECT("Data!F" &amp; 1232)</f>
        <v>0</v>
      </c>
      <c r="M1237" cm="1">
        <f t="array" aca="1" ref="M1237" ca="1">INDIRECT("Data!G" &amp; 1232)</f>
        <v>0</v>
      </c>
      <c r="N1237" cm="1">
        <f t="array" aca="1" ref="N1237" ca="1">INDIRECT("Data!H" &amp; 1232)</f>
        <v>0</v>
      </c>
      <c r="O1237" cm="1">
        <f t="array" aca="1" ref="O1237" ca="1">INDIRECT("Data!I" &amp; 1232)</f>
        <v>0</v>
      </c>
      <c r="P1237" s="21" cm="1">
        <f t="array" aca="1" ref="P1237" ca="1">INDIRECT("Data!J" &amp; 1232)</f>
        <v>0</v>
      </c>
      <c r="Q1237" cm="1">
        <f t="array" aca="1" ref="Q1237" ca="1">INDIRECT("Data!K" &amp; 1232)</f>
        <v>0</v>
      </c>
      <c r="R1237" cm="1">
        <f t="array" aca="1" ref="R1237" ca="1">INDIRECT("Data!L" &amp; 1232)</f>
        <v>0</v>
      </c>
      <c r="S1237" cm="1">
        <f t="array" aca="1" ref="S1237" ca="1">INDIRECT("Data!M" &amp; 1232)</f>
        <v>0</v>
      </c>
      <c r="T1237" cm="1">
        <f t="array" aca="1" ref="T1237" ca="1">INDIRECT("Data!N" &amp; 1232)</f>
        <v>0</v>
      </c>
      <c r="U1237" cm="1">
        <f t="array" aca="1" ref="U1237" ca="1">INDIRECT("Data!O" &amp; 1232)</f>
        <v>0</v>
      </c>
      <c r="V1237" cm="1">
        <f t="array" aca="1" ref="V1237" ca="1">INDIRECT("Data!P" &amp; 1232)</f>
        <v>0</v>
      </c>
    </row>
    <row r="1238" spans="7:22" x14ac:dyDescent="0.25">
      <c r="G1238" cm="1">
        <f t="array" aca="1" ref="G1238" ca="1">INDIRECT("Data!A" &amp; 1233)</f>
        <v>0</v>
      </c>
      <c r="H1238" s="21" cm="1">
        <f t="array" aca="1" ref="H1238" ca="1">INDIRECT("Data!B" &amp; 1233)</f>
        <v>0</v>
      </c>
      <c r="I1238" s="21" cm="1">
        <f t="array" aca="1" ref="I1238" ca="1">INDIRECT("Data!C" &amp; 1233)</f>
        <v>0</v>
      </c>
      <c r="J1238" cm="1">
        <f t="array" aca="1" ref="J1238" ca="1">INDIRECT("Data!D" &amp; 1233)</f>
        <v>0</v>
      </c>
      <c r="K1238" cm="1">
        <f t="array" aca="1" ref="K1238" ca="1">INDIRECT("Data!E" &amp; 1233)</f>
        <v>0</v>
      </c>
      <c r="L1238" cm="1">
        <f t="array" aca="1" ref="L1238" ca="1">INDIRECT("Data!F" &amp; 1233)</f>
        <v>0</v>
      </c>
      <c r="M1238" cm="1">
        <f t="array" aca="1" ref="M1238" ca="1">INDIRECT("Data!G" &amp; 1233)</f>
        <v>0</v>
      </c>
      <c r="N1238" cm="1">
        <f t="array" aca="1" ref="N1238" ca="1">INDIRECT("Data!H" &amp; 1233)</f>
        <v>0</v>
      </c>
      <c r="O1238" cm="1">
        <f t="array" aca="1" ref="O1238" ca="1">INDIRECT("Data!I" &amp; 1233)</f>
        <v>0</v>
      </c>
      <c r="P1238" s="21" cm="1">
        <f t="array" aca="1" ref="P1238" ca="1">INDIRECT("Data!J" &amp; 1233)</f>
        <v>0</v>
      </c>
      <c r="Q1238" cm="1">
        <f t="array" aca="1" ref="Q1238" ca="1">INDIRECT("Data!K" &amp; 1233)</f>
        <v>0</v>
      </c>
      <c r="R1238" cm="1">
        <f t="array" aca="1" ref="R1238" ca="1">INDIRECT("Data!L" &amp; 1233)</f>
        <v>0</v>
      </c>
      <c r="S1238" cm="1">
        <f t="array" aca="1" ref="S1238" ca="1">INDIRECT("Data!M" &amp; 1233)</f>
        <v>0</v>
      </c>
      <c r="T1238" cm="1">
        <f t="array" aca="1" ref="T1238" ca="1">INDIRECT("Data!N" &amp; 1233)</f>
        <v>0</v>
      </c>
      <c r="U1238" cm="1">
        <f t="array" aca="1" ref="U1238" ca="1">INDIRECT("Data!O" &amp; 1233)</f>
        <v>0</v>
      </c>
      <c r="V1238" cm="1">
        <f t="array" aca="1" ref="V1238" ca="1">INDIRECT("Data!P" &amp; 1233)</f>
        <v>0</v>
      </c>
    </row>
    <row r="1239" spans="7:22" x14ac:dyDescent="0.25">
      <c r="G1239" cm="1">
        <f t="array" aca="1" ref="G1239" ca="1">INDIRECT("Data!A" &amp; 1234)</f>
        <v>0</v>
      </c>
      <c r="H1239" s="21" cm="1">
        <f t="array" aca="1" ref="H1239" ca="1">INDIRECT("Data!B" &amp; 1234)</f>
        <v>0</v>
      </c>
      <c r="I1239" s="21" cm="1">
        <f t="array" aca="1" ref="I1239" ca="1">INDIRECT("Data!C" &amp; 1234)</f>
        <v>0</v>
      </c>
      <c r="J1239" cm="1">
        <f t="array" aca="1" ref="J1239" ca="1">INDIRECT("Data!D" &amp; 1234)</f>
        <v>0</v>
      </c>
      <c r="K1239" cm="1">
        <f t="array" aca="1" ref="K1239" ca="1">INDIRECT("Data!E" &amp; 1234)</f>
        <v>0</v>
      </c>
      <c r="L1239" cm="1">
        <f t="array" aca="1" ref="L1239" ca="1">INDIRECT("Data!F" &amp; 1234)</f>
        <v>0</v>
      </c>
      <c r="M1239" cm="1">
        <f t="array" aca="1" ref="M1239" ca="1">INDIRECT("Data!G" &amp; 1234)</f>
        <v>0</v>
      </c>
      <c r="N1239" cm="1">
        <f t="array" aca="1" ref="N1239" ca="1">INDIRECT("Data!H" &amp; 1234)</f>
        <v>0</v>
      </c>
      <c r="O1239" cm="1">
        <f t="array" aca="1" ref="O1239" ca="1">INDIRECT("Data!I" &amp; 1234)</f>
        <v>0</v>
      </c>
      <c r="P1239" s="21" cm="1">
        <f t="array" aca="1" ref="P1239" ca="1">INDIRECT("Data!J" &amp; 1234)</f>
        <v>0</v>
      </c>
      <c r="Q1239" cm="1">
        <f t="array" aca="1" ref="Q1239" ca="1">INDIRECT("Data!K" &amp; 1234)</f>
        <v>0</v>
      </c>
      <c r="R1239" cm="1">
        <f t="array" aca="1" ref="R1239" ca="1">INDIRECT("Data!L" &amp; 1234)</f>
        <v>0</v>
      </c>
      <c r="S1239" cm="1">
        <f t="array" aca="1" ref="S1239" ca="1">INDIRECT("Data!M" &amp; 1234)</f>
        <v>0</v>
      </c>
      <c r="T1239" cm="1">
        <f t="array" aca="1" ref="T1239" ca="1">INDIRECT("Data!N" &amp; 1234)</f>
        <v>0</v>
      </c>
      <c r="U1239" cm="1">
        <f t="array" aca="1" ref="U1239" ca="1">INDIRECT("Data!O" &amp; 1234)</f>
        <v>0</v>
      </c>
      <c r="V1239" cm="1">
        <f t="array" aca="1" ref="V1239" ca="1">INDIRECT("Data!P" &amp; 1234)</f>
        <v>0</v>
      </c>
    </row>
    <row r="1240" spans="7:22" x14ac:dyDescent="0.25">
      <c r="G1240" cm="1">
        <f t="array" aca="1" ref="G1240" ca="1">INDIRECT("Data!A" &amp; 1235)</f>
        <v>0</v>
      </c>
      <c r="H1240" s="21" cm="1">
        <f t="array" aca="1" ref="H1240" ca="1">INDIRECT("Data!B" &amp; 1235)</f>
        <v>0</v>
      </c>
      <c r="I1240" s="21" cm="1">
        <f t="array" aca="1" ref="I1240" ca="1">INDIRECT("Data!C" &amp; 1235)</f>
        <v>0</v>
      </c>
      <c r="J1240" cm="1">
        <f t="array" aca="1" ref="J1240" ca="1">INDIRECT("Data!D" &amp; 1235)</f>
        <v>0</v>
      </c>
      <c r="K1240" cm="1">
        <f t="array" aca="1" ref="K1240" ca="1">INDIRECT("Data!E" &amp; 1235)</f>
        <v>0</v>
      </c>
      <c r="L1240" cm="1">
        <f t="array" aca="1" ref="L1240" ca="1">INDIRECT("Data!F" &amp; 1235)</f>
        <v>0</v>
      </c>
      <c r="M1240" cm="1">
        <f t="array" aca="1" ref="M1240" ca="1">INDIRECT("Data!G" &amp; 1235)</f>
        <v>0</v>
      </c>
      <c r="N1240" cm="1">
        <f t="array" aca="1" ref="N1240" ca="1">INDIRECT("Data!H" &amp; 1235)</f>
        <v>0</v>
      </c>
      <c r="O1240" cm="1">
        <f t="array" aca="1" ref="O1240" ca="1">INDIRECT("Data!I" &amp; 1235)</f>
        <v>0</v>
      </c>
      <c r="P1240" s="21" cm="1">
        <f t="array" aca="1" ref="P1240" ca="1">INDIRECT("Data!J" &amp; 1235)</f>
        <v>0</v>
      </c>
      <c r="Q1240" cm="1">
        <f t="array" aca="1" ref="Q1240" ca="1">INDIRECT("Data!K" &amp; 1235)</f>
        <v>0</v>
      </c>
      <c r="R1240" cm="1">
        <f t="array" aca="1" ref="R1240" ca="1">INDIRECT("Data!L" &amp; 1235)</f>
        <v>0</v>
      </c>
      <c r="S1240" cm="1">
        <f t="array" aca="1" ref="S1240" ca="1">INDIRECT("Data!M" &amp; 1235)</f>
        <v>0</v>
      </c>
      <c r="T1240" cm="1">
        <f t="array" aca="1" ref="T1240" ca="1">INDIRECT("Data!N" &amp; 1235)</f>
        <v>0</v>
      </c>
      <c r="U1240" cm="1">
        <f t="array" aca="1" ref="U1240" ca="1">INDIRECT("Data!O" &amp; 1235)</f>
        <v>0</v>
      </c>
      <c r="V1240" cm="1">
        <f t="array" aca="1" ref="V1240" ca="1">INDIRECT("Data!P" &amp; 1235)</f>
        <v>0</v>
      </c>
    </row>
    <row r="1241" spans="7:22" x14ac:dyDescent="0.25">
      <c r="G1241" cm="1">
        <f t="array" aca="1" ref="G1241" ca="1">INDIRECT("Data!A" &amp; 1236)</f>
        <v>0</v>
      </c>
      <c r="H1241" s="21" cm="1">
        <f t="array" aca="1" ref="H1241" ca="1">INDIRECT("Data!B" &amp; 1236)</f>
        <v>0</v>
      </c>
      <c r="I1241" s="21" cm="1">
        <f t="array" aca="1" ref="I1241" ca="1">INDIRECT("Data!C" &amp; 1236)</f>
        <v>0</v>
      </c>
      <c r="J1241" cm="1">
        <f t="array" aca="1" ref="J1241" ca="1">INDIRECT("Data!D" &amp; 1236)</f>
        <v>0</v>
      </c>
      <c r="K1241" cm="1">
        <f t="array" aca="1" ref="K1241" ca="1">INDIRECT("Data!E" &amp; 1236)</f>
        <v>0</v>
      </c>
      <c r="L1241" cm="1">
        <f t="array" aca="1" ref="L1241" ca="1">INDIRECT("Data!F" &amp; 1236)</f>
        <v>0</v>
      </c>
      <c r="M1241" cm="1">
        <f t="array" aca="1" ref="M1241" ca="1">INDIRECT("Data!G" &amp; 1236)</f>
        <v>0</v>
      </c>
      <c r="N1241" cm="1">
        <f t="array" aca="1" ref="N1241" ca="1">INDIRECT("Data!H" &amp; 1236)</f>
        <v>0</v>
      </c>
      <c r="O1241" cm="1">
        <f t="array" aca="1" ref="O1241" ca="1">INDIRECT("Data!I" &amp; 1236)</f>
        <v>0</v>
      </c>
      <c r="P1241" s="21" cm="1">
        <f t="array" aca="1" ref="P1241" ca="1">INDIRECT("Data!J" &amp; 1236)</f>
        <v>0</v>
      </c>
      <c r="Q1241" cm="1">
        <f t="array" aca="1" ref="Q1241" ca="1">INDIRECT("Data!K" &amp; 1236)</f>
        <v>0</v>
      </c>
      <c r="R1241" cm="1">
        <f t="array" aca="1" ref="R1241" ca="1">INDIRECT("Data!L" &amp; 1236)</f>
        <v>0</v>
      </c>
      <c r="S1241" cm="1">
        <f t="array" aca="1" ref="S1241" ca="1">INDIRECT("Data!M" &amp; 1236)</f>
        <v>0</v>
      </c>
      <c r="T1241" cm="1">
        <f t="array" aca="1" ref="T1241" ca="1">INDIRECT("Data!N" &amp; 1236)</f>
        <v>0</v>
      </c>
      <c r="U1241" cm="1">
        <f t="array" aca="1" ref="U1241" ca="1">INDIRECT("Data!O" &amp; 1236)</f>
        <v>0</v>
      </c>
      <c r="V1241" cm="1">
        <f t="array" aca="1" ref="V1241" ca="1">INDIRECT("Data!P" &amp; 1236)</f>
        <v>0</v>
      </c>
    </row>
    <row r="1242" spans="7:22" x14ac:dyDescent="0.25">
      <c r="G1242" cm="1">
        <f t="array" aca="1" ref="G1242" ca="1">INDIRECT("Data!A" &amp; 1237)</f>
        <v>0</v>
      </c>
      <c r="H1242" s="21" cm="1">
        <f t="array" aca="1" ref="H1242" ca="1">INDIRECT("Data!B" &amp; 1237)</f>
        <v>0</v>
      </c>
      <c r="I1242" s="21" cm="1">
        <f t="array" aca="1" ref="I1242" ca="1">INDIRECT("Data!C" &amp; 1237)</f>
        <v>0</v>
      </c>
      <c r="J1242" cm="1">
        <f t="array" aca="1" ref="J1242" ca="1">INDIRECT("Data!D" &amp; 1237)</f>
        <v>0</v>
      </c>
      <c r="K1242" cm="1">
        <f t="array" aca="1" ref="K1242" ca="1">INDIRECT("Data!E" &amp; 1237)</f>
        <v>0</v>
      </c>
      <c r="L1242" cm="1">
        <f t="array" aca="1" ref="L1242" ca="1">INDIRECT("Data!F" &amp; 1237)</f>
        <v>0</v>
      </c>
      <c r="M1242" cm="1">
        <f t="array" aca="1" ref="M1242" ca="1">INDIRECT("Data!G" &amp; 1237)</f>
        <v>0</v>
      </c>
      <c r="N1242" cm="1">
        <f t="array" aca="1" ref="N1242" ca="1">INDIRECT("Data!H" &amp; 1237)</f>
        <v>0</v>
      </c>
      <c r="O1242" cm="1">
        <f t="array" aca="1" ref="O1242" ca="1">INDIRECT("Data!I" &amp; 1237)</f>
        <v>0</v>
      </c>
      <c r="P1242" s="21" cm="1">
        <f t="array" aca="1" ref="P1242" ca="1">INDIRECT("Data!J" &amp; 1237)</f>
        <v>0</v>
      </c>
      <c r="Q1242" cm="1">
        <f t="array" aca="1" ref="Q1242" ca="1">INDIRECT("Data!K" &amp; 1237)</f>
        <v>0</v>
      </c>
      <c r="R1242" cm="1">
        <f t="array" aca="1" ref="R1242" ca="1">INDIRECT("Data!L" &amp; 1237)</f>
        <v>0</v>
      </c>
      <c r="S1242" cm="1">
        <f t="array" aca="1" ref="S1242" ca="1">INDIRECT("Data!M" &amp; 1237)</f>
        <v>0</v>
      </c>
      <c r="T1242" cm="1">
        <f t="array" aca="1" ref="T1242" ca="1">INDIRECT("Data!N" &amp; 1237)</f>
        <v>0</v>
      </c>
      <c r="U1242" cm="1">
        <f t="array" aca="1" ref="U1242" ca="1">INDIRECT("Data!O" &amp; 1237)</f>
        <v>0</v>
      </c>
      <c r="V1242" cm="1">
        <f t="array" aca="1" ref="V1242" ca="1">INDIRECT("Data!P" &amp; 1237)</f>
        <v>0</v>
      </c>
    </row>
    <row r="1243" spans="7:22" x14ac:dyDescent="0.25">
      <c r="G1243" cm="1">
        <f t="array" aca="1" ref="G1243" ca="1">INDIRECT("Data!A" &amp; 1238)</f>
        <v>0</v>
      </c>
      <c r="H1243" s="21" cm="1">
        <f t="array" aca="1" ref="H1243" ca="1">INDIRECT("Data!B" &amp; 1238)</f>
        <v>0</v>
      </c>
      <c r="I1243" s="21" cm="1">
        <f t="array" aca="1" ref="I1243" ca="1">INDIRECT("Data!C" &amp; 1238)</f>
        <v>0</v>
      </c>
      <c r="J1243" cm="1">
        <f t="array" aca="1" ref="J1243" ca="1">INDIRECT("Data!D" &amp; 1238)</f>
        <v>0</v>
      </c>
      <c r="K1243" cm="1">
        <f t="array" aca="1" ref="K1243" ca="1">INDIRECT("Data!E" &amp; 1238)</f>
        <v>0</v>
      </c>
      <c r="L1243" cm="1">
        <f t="array" aca="1" ref="L1243" ca="1">INDIRECT("Data!F" &amp; 1238)</f>
        <v>0</v>
      </c>
      <c r="M1243" cm="1">
        <f t="array" aca="1" ref="M1243" ca="1">INDIRECT("Data!G" &amp; 1238)</f>
        <v>0</v>
      </c>
      <c r="N1243" cm="1">
        <f t="array" aca="1" ref="N1243" ca="1">INDIRECT("Data!H" &amp; 1238)</f>
        <v>0</v>
      </c>
      <c r="O1243" cm="1">
        <f t="array" aca="1" ref="O1243" ca="1">INDIRECT("Data!I" &amp; 1238)</f>
        <v>0</v>
      </c>
      <c r="P1243" s="21" cm="1">
        <f t="array" aca="1" ref="P1243" ca="1">INDIRECT("Data!J" &amp; 1238)</f>
        <v>0</v>
      </c>
      <c r="Q1243" cm="1">
        <f t="array" aca="1" ref="Q1243" ca="1">INDIRECT("Data!K" &amp; 1238)</f>
        <v>0</v>
      </c>
      <c r="R1243" cm="1">
        <f t="array" aca="1" ref="R1243" ca="1">INDIRECT("Data!L" &amp; 1238)</f>
        <v>0</v>
      </c>
      <c r="S1243" cm="1">
        <f t="array" aca="1" ref="S1243" ca="1">INDIRECT("Data!M" &amp; 1238)</f>
        <v>0</v>
      </c>
      <c r="T1243" cm="1">
        <f t="array" aca="1" ref="T1243" ca="1">INDIRECT("Data!N" &amp; 1238)</f>
        <v>0</v>
      </c>
      <c r="U1243" cm="1">
        <f t="array" aca="1" ref="U1243" ca="1">INDIRECT("Data!O" &amp; 1238)</f>
        <v>0</v>
      </c>
      <c r="V1243" cm="1">
        <f t="array" aca="1" ref="V1243" ca="1">INDIRECT("Data!P" &amp; 1238)</f>
        <v>0</v>
      </c>
    </row>
    <row r="1244" spans="7:22" x14ac:dyDescent="0.25">
      <c r="G1244" cm="1">
        <f t="array" aca="1" ref="G1244" ca="1">INDIRECT("Data!A" &amp; 1239)</f>
        <v>0</v>
      </c>
      <c r="H1244" s="21" cm="1">
        <f t="array" aca="1" ref="H1244" ca="1">INDIRECT("Data!B" &amp; 1239)</f>
        <v>0</v>
      </c>
      <c r="I1244" s="21" cm="1">
        <f t="array" aca="1" ref="I1244" ca="1">INDIRECT("Data!C" &amp; 1239)</f>
        <v>0</v>
      </c>
      <c r="J1244" cm="1">
        <f t="array" aca="1" ref="J1244" ca="1">INDIRECT("Data!D" &amp; 1239)</f>
        <v>0</v>
      </c>
      <c r="K1244" cm="1">
        <f t="array" aca="1" ref="K1244" ca="1">INDIRECT("Data!E" &amp; 1239)</f>
        <v>0</v>
      </c>
      <c r="L1244" cm="1">
        <f t="array" aca="1" ref="L1244" ca="1">INDIRECT("Data!F" &amp; 1239)</f>
        <v>0</v>
      </c>
      <c r="M1244" cm="1">
        <f t="array" aca="1" ref="M1244" ca="1">INDIRECT("Data!G" &amp; 1239)</f>
        <v>0</v>
      </c>
      <c r="N1244" cm="1">
        <f t="array" aca="1" ref="N1244" ca="1">INDIRECT("Data!H" &amp; 1239)</f>
        <v>0</v>
      </c>
      <c r="O1244" cm="1">
        <f t="array" aca="1" ref="O1244" ca="1">INDIRECT("Data!I" &amp; 1239)</f>
        <v>0</v>
      </c>
      <c r="P1244" s="21" cm="1">
        <f t="array" aca="1" ref="P1244" ca="1">INDIRECT("Data!J" &amp; 1239)</f>
        <v>0</v>
      </c>
      <c r="Q1244" cm="1">
        <f t="array" aca="1" ref="Q1244" ca="1">INDIRECT("Data!K" &amp; 1239)</f>
        <v>0</v>
      </c>
      <c r="R1244" cm="1">
        <f t="array" aca="1" ref="R1244" ca="1">INDIRECT("Data!L" &amp; 1239)</f>
        <v>0</v>
      </c>
      <c r="S1244" cm="1">
        <f t="array" aca="1" ref="S1244" ca="1">INDIRECT("Data!M" &amp; 1239)</f>
        <v>0</v>
      </c>
      <c r="T1244" cm="1">
        <f t="array" aca="1" ref="T1244" ca="1">INDIRECT("Data!N" &amp; 1239)</f>
        <v>0</v>
      </c>
      <c r="U1244" cm="1">
        <f t="array" aca="1" ref="U1244" ca="1">INDIRECT("Data!O" &amp; 1239)</f>
        <v>0</v>
      </c>
      <c r="V1244" cm="1">
        <f t="array" aca="1" ref="V1244" ca="1">INDIRECT("Data!P" &amp; 1239)</f>
        <v>0</v>
      </c>
    </row>
    <row r="1245" spans="7:22" x14ac:dyDescent="0.25">
      <c r="G1245" cm="1">
        <f t="array" aca="1" ref="G1245" ca="1">INDIRECT("Data!A" &amp; 1240)</f>
        <v>0</v>
      </c>
      <c r="H1245" s="21" cm="1">
        <f t="array" aca="1" ref="H1245" ca="1">INDIRECT("Data!B" &amp; 1240)</f>
        <v>0</v>
      </c>
      <c r="I1245" s="21" cm="1">
        <f t="array" aca="1" ref="I1245" ca="1">INDIRECT("Data!C" &amp; 1240)</f>
        <v>0</v>
      </c>
      <c r="J1245" cm="1">
        <f t="array" aca="1" ref="J1245" ca="1">INDIRECT("Data!D" &amp; 1240)</f>
        <v>0</v>
      </c>
      <c r="K1245" cm="1">
        <f t="array" aca="1" ref="K1245" ca="1">INDIRECT("Data!E" &amp; 1240)</f>
        <v>0</v>
      </c>
      <c r="L1245" cm="1">
        <f t="array" aca="1" ref="L1245" ca="1">INDIRECT("Data!F" &amp; 1240)</f>
        <v>0</v>
      </c>
      <c r="M1245" cm="1">
        <f t="array" aca="1" ref="M1245" ca="1">INDIRECT("Data!G" &amp; 1240)</f>
        <v>0</v>
      </c>
      <c r="N1245" cm="1">
        <f t="array" aca="1" ref="N1245" ca="1">INDIRECT("Data!H" &amp; 1240)</f>
        <v>0</v>
      </c>
      <c r="O1245" cm="1">
        <f t="array" aca="1" ref="O1245" ca="1">INDIRECT("Data!I" &amp; 1240)</f>
        <v>0</v>
      </c>
      <c r="P1245" s="21" cm="1">
        <f t="array" aca="1" ref="P1245" ca="1">INDIRECT("Data!J" &amp; 1240)</f>
        <v>0</v>
      </c>
      <c r="Q1245" cm="1">
        <f t="array" aca="1" ref="Q1245" ca="1">INDIRECT("Data!K" &amp; 1240)</f>
        <v>0</v>
      </c>
      <c r="R1245" cm="1">
        <f t="array" aca="1" ref="R1245" ca="1">INDIRECT("Data!L" &amp; 1240)</f>
        <v>0</v>
      </c>
      <c r="S1245" cm="1">
        <f t="array" aca="1" ref="S1245" ca="1">INDIRECT("Data!M" &amp; 1240)</f>
        <v>0</v>
      </c>
      <c r="T1245" cm="1">
        <f t="array" aca="1" ref="T1245" ca="1">INDIRECT("Data!N" &amp; 1240)</f>
        <v>0</v>
      </c>
      <c r="U1245" cm="1">
        <f t="array" aca="1" ref="U1245" ca="1">INDIRECT("Data!O" &amp; 1240)</f>
        <v>0</v>
      </c>
      <c r="V1245" cm="1">
        <f t="array" aca="1" ref="V1245" ca="1">INDIRECT("Data!P" &amp; 1240)</f>
        <v>0</v>
      </c>
    </row>
    <row r="1246" spans="7:22" x14ac:dyDescent="0.25">
      <c r="G1246" cm="1">
        <f t="array" aca="1" ref="G1246" ca="1">INDIRECT("Data!A" &amp; 1241)</f>
        <v>0</v>
      </c>
      <c r="H1246" s="21" cm="1">
        <f t="array" aca="1" ref="H1246" ca="1">INDIRECT("Data!B" &amp; 1241)</f>
        <v>0</v>
      </c>
      <c r="I1246" s="21" cm="1">
        <f t="array" aca="1" ref="I1246" ca="1">INDIRECT("Data!C" &amp; 1241)</f>
        <v>0</v>
      </c>
      <c r="J1246" cm="1">
        <f t="array" aca="1" ref="J1246" ca="1">INDIRECT("Data!D" &amp; 1241)</f>
        <v>0</v>
      </c>
      <c r="K1246" cm="1">
        <f t="array" aca="1" ref="K1246" ca="1">INDIRECT("Data!E" &amp; 1241)</f>
        <v>0</v>
      </c>
      <c r="L1246" cm="1">
        <f t="array" aca="1" ref="L1246" ca="1">INDIRECT("Data!F" &amp; 1241)</f>
        <v>0</v>
      </c>
      <c r="M1246" cm="1">
        <f t="array" aca="1" ref="M1246" ca="1">INDIRECT("Data!G" &amp; 1241)</f>
        <v>0</v>
      </c>
      <c r="N1246" cm="1">
        <f t="array" aca="1" ref="N1246" ca="1">INDIRECT("Data!H" &amp; 1241)</f>
        <v>0</v>
      </c>
      <c r="O1246" cm="1">
        <f t="array" aca="1" ref="O1246" ca="1">INDIRECT("Data!I" &amp; 1241)</f>
        <v>0</v>
      </c>
      <c r="P1246" s="21" cm="1">
        <f t="array" aca="1" ref="P1246" ca="1">INDIRECT("Data!J" &amp; 1241)</f>
        <v>0</v>
      </c>
      <c r="Q1246" cm="1">
        <f t="array" aca="1" ref="Q1246" ca="1">INDIRECT("Data!K" &amp; 1241)</f>
        <v>0</v>
      </c>
      <c r="R1246" cm="1">
        <f t="array" aca="1" ref="R1246" ca="1">INDIRECT("Data!L" &amp; 1241)</f>
        <v>0</v>
      </c>
      <c r="S1246" cm="1">
        <f t="array" aca="1" ref="S1246" ca="1">INDIRECT("Data!M" &amp; 1241)</f>
        <v>0</v>
      </c>
      <c r="T1246" cm="1">
        <f t="array" aca="1" ref="T1246" ca="1">INDIRECT("Data!N" &amp; 1241)</f>
        <v>0</v>
      </c>
      <c r="U1246" cm="1">
        <f t="array" aca="1" ref="U1246" ca="1">INDIRECT("Data!O" &amp; 1241)</f>
        <v>0</v>
      </c>
      <c r="V1246" cm="1">
        <f t="array" aca="1" ref="V1246" ca="1">INDIRECT("Data!P" &amp; 1241)</f>
        <v>0</v>
      </c>
    </row>
    <row r="1247" spans="7:22" x14ac:dyDescent="0.25">
      <c r="G1247" cm="1">
        <f t="array" aca="1" ref="G1247" ca="1">INDIRECT("Data!A" &amp; 1242)</f>
        <v>0</v>
      </c>
      <c r="H1247" s="21" cm="1">
        <f t="array" aca="1" ref="H1247" ca="1">INDIRECT("Data!B" &amp; 1242)</f>
        <v>0</v>
      </c>
      <c r="I1247" s="21" cm="1">
        <f t="array" aca="1" ref="I1247" ca="1">INDIRECT("Data!C" &amp; 1242)</f>
        <v>0</v>
      </c>
      <c r="J1247" cm="1">
        <f t="array" aca="1" ref="J1247" ca="1">INDIRECT("Data!D" &amp; 1242)</f>
        <v>0</v>
      </c>
      <c r="K1247" cm="1">
        <f t="array" aca="1" ref="K1247" ca="1">INDIRECT("Data!E" &amp; 1242)</f>
        <v>0</v>
      </c>
      <c r="L1247" cm="1">
        <f t="array" aca="1" ref="L1247" ca="1">INDIRECT("Data!F" &amp; 1242)</f>
        <v>0</v>
      </c>
      <c r="M1247" cm="1">
        <f t="array" aca="1" ref="M1247" ca="1">INDIRECT("Data!G" &amp; 1242)</f>
        <v>0</v>
      </c>
      <c r="N1247" cm="1">
        <f t="array" aca="1" ref="N1247" ca="1">INDIRECT("Data!H" &amp; 1242)</f>
        <v>0</v>
      </c>
      <c r="O1247" cm="1">
        <f t="array" aca="1" ref="O1247" ca="1">INDIRECT("Data!I" &amp; 1242)</f>
        <v>0</v>
      </c>
      <c r="P1247" s="21" cm="1">
        <f t="array" aca="1" ref="P1247" ca="1">INDIRECT("Data!J" &amp; 1242)</f>
        <v>0</v>
      </c>
      <c r="Q1247" cm="1">
        <f t="array" aca="1" ref="Q1247" ca="1">INDIRECT("Data!K" &amp; 1242)</f>
        <v>0</v>
      </c>
      <c r="R1247" cm="1">
        <f t="array" aca="1" ref="R1247" ca="1">INDIRECT("Data!L" &amp; 1242)</f>
        <v>0</v>
      </c>
      <c r="S1247" cm="1">
        <f t="array" aca="1" ref="S1247" ca="1">INDIRECT("Data!M" &amp; 1242)</f>
        <v>0</v>
      </c>
      <c r="T1247" cm="1">
        <f t="array" aca="1" ref="T1247" ca="1">INDIRECT("Data!N" &amp; 1242)</f>
        <v>0</v>
      </c>
      <c r="U1247" cm="1">
        <f t="array" aca="1" ref="U1247" ca="1">INDIRECT("Data!O" &amp; 1242)</f>
        <v>0</v>
      </c>
      <c r="V1247" cm="1">
        <f t="array" aca="1" ref="V1247" ca="1">INDIRECT("Data!P" &amp; 1242)</f>
        <v>0</v>
      </c>
    </row>
    <row r="1248" spans="7:22" x14ac:dyDescent="0.25">
      <c r="G1248" cm="1">
        <f t="array" aca="1" ref="G1248" ca="1">INDIRECT("Data!A" &amp; 1243)</f>
        <v>0</v>
      </c>
      <c r="H1248" s="21" cm="1">
        <f t="array" aca="1" ref="H1248" ca="1">INDIRECT("Data!B" &amp; 1243)</f>
        <v>0</v>
      </c>
      <c r="I1248" s="21" cm="1">
        <f t="array" aca="1" ref="I1248" ca="1">INDIRECT("Data!C" &amp; 1243)</f>
        <v>0</v>
      </c>
      <c r="J1248" cm="1">
        <f t="array" aca="1" ref="J1248" ca="1">INDIRECT("Data!D" &amp; 1243)</f>
        <v>0</v>
      </c>
      <c r="K1248" cm="1">
        <f t="array" aca="1" ref="K1248" ca="1">INDIRECT("Data!E" &amp; 1243)</f>
        <v>0</v>
      </c>
      <c r="L1248" cm="1">
        <f t="array" aca="1" ref="L1248" ca="1">INDIRECT("Data!F" &amp; 1243)</f>
        <v>0</v>
      </c>
      <c r="M1248" cm="1">
        <f t="array" aca="1" ref="M1248" ca="1">INDIRECT("Data!G" &amp; 1243)</f>
        <v>0</v>
      </c>
      <c r="N1248" cm="1">
        <f t="array" aca="1" ref="N1248" ca="1">INDIRECT("Data!H" &amp; 1243)</f>
        <v>0</v>
      </c>
      <c r="O1248" cm="1">
        <f t="array" aca="1" ref="O1248" ca="1">INDIRECT("Data!I" &amp; 1243)</f>
        <v>0</v>
      </c>
      <c r="P1248" s="21" cm="1">
        <f t="array" aca="1" ref="P1248" ca="1">INDIRECT("Data!J" &amp; 1243)</f>
        <v>0</v>
      </c>
      <c r="Q1248" cm="1">
        <f t="array" aca="1" ref="Q1248" ca="1">INDIRECT("Data!K" &amp; 1243)</f>
        <v>0</v>
      </c>
      <c r="R1248" cm="1">
        <f t="array" aca="1" ref="R1248" ca="1">INDIRECT("Data!L" &amp; 1243)</f>
        <v>0</v>
      </c>
      <c r="S1248" cm="1">
        <f t="array" aca="1" ref="S1248" ca="1">INDIRECT("Data!M" &amp; 1243)</f>
        <v>0</v>
      </c>
      <c r="T1248" cm="1">
        <f t="array" aca="1" ref="T1248" ca="1">INDIRECT("Data!N" &amp; 1243)</f>
        <v>0</v>
      </c>
      <c r="U1248" cm="1">
        <f t="array" aca="1" ref="U1248" ca="1">INDIRECT("Data!O" &amp; 1243)</f>
        <v>0</v>
      </c>
      <c r="V1248" cm="1">
        <f t="array" aca="1" ref="V1248" ca="1">INDIRECT("Data!P" &amp; 1243)</f>
        <v>0</v>
      </c>
    </row>
    <row r="1249" spans="7:22" x14ac:dyDescent="0.25">
      <c r="G1249" cm="1">
        <f t="array" aca="1" ref="G1249" ca="1">INDIRECT("Data!A" &amp; 1244)</f>
        <v>0</v>
      </c>
      <c r="H1249" s="21" cm="1">
        <f t="array" aca="1" ref="H1249" ca="1">INDIRECT("Data!B" &amp; 1244)</f>
        <v>0</v>
      </c>
      <c r="I1249" s="21" cm="1">
        <f t="array" aca="1" ref="I1249" ca="1">INDIRECT("Data!C" &amp; 1244)</f>
        <v>0</v>
      </c>
      <c r="J1249" cm="1">
        <f t="array" aca="1" ref="J1249" ca="1">INDIRECT("Data!D" &amp; 1244)</f>
        <v>0</v>
      </c>
      <c r="K1249" cm="1">
        <f t="array" aca="1" ref="K1249" ca="1">INDIRECT("Data!E" &amp; 1244)</f>
        <v>0</v>
      </c>
      <c r="L1249" cm="1">
        <f t="array" aca="1" ref="L1249" ca="1">INDIRECT("Data!F" &amp; 1244)</f>
        <v>0</v>
      </c>
      <c r="M1249" cm="1">
        <f t="array" aca="1" ref="M1249" ca="1">INDIRECT("Data!G" &amp; 1244)</f>
        <v>0</v>
      </c>
      <c r="N1249" cm="1">
        <f t="array" aca="1" ref="N1249" ca="1">INDIRECT("Data!H" &amp; 1244)</f>
        <v>0</v>
      </c>
      <c r="O1249" cm="1">
        <f t="array" aca="1" ref="O1249" ca="1">INDIRECT("Data!I" &amp; 1244)</f>
        <v>0</v>
      </c>
      <c r="P1249" s="21" cm="1">
        <f t="array" aca="1" ref="P1249" ca="1">INDIRECT("Data!J" &amp; 1244)</f>
        <v>0</v>
      </c>
      <c r="Q1249" cm="1">
        <f t="array" aca="1" ref="Q1249" ca="1">INDIRECT("Data!K" &amp; 1244)</f>
        <v>0</v>
      </c>
      <c r="R1249" cm="1">
        <f t="array" aca="1" ref="R1249" ca="1">INDIRECT("Data!L" &amp; 1244)</f>
        <v>0</v>
      </c>
      <c r="S1249" cm="1">
        <f t="array" aca="1" ref="S1249" ca="1">INDIRECT("Data!M" &amp; 1244)</f>
        <v>0</v>
      </c>
      <c r="T1249" cm="1">
        <f t="array" aca="1" ref="T1249" ca="1">INDIRECT("Data!N" &amp; 1244)</f>
        <v>0</v>
      </c>
      <c r="U1249" cm="1">
        <f t="array" aca="1" ref="U1249" ca="1">INDIRECT("Data!O" &amp; 1244)</f>
        <v>0</v>
      </c>
      <c r="V1249" cm="1">
        <f t="array" aca="1" ref="V1249" ca="1">INDIRECT("Data!P" &amp; 1244)</f>
        <v>0</v>
      </c>
    </row>
    <row r="1250" spans="7:22" x14ac:dyDescent="0.25">
      <c r="G1250" cm="1">
        <f t="array" aca="1" ref="G1250" ca="1">INDIRECT("Data!A" &amp; 1245)</f>
        <v>0</v>
      </c>
      <c r="H1250" s="21" cm="1">
        <f t="array" aca="1" ref="H1250" ca="1">INDIRECT("Data!B" &amp; 1245)</f>
        <v>0</v>
      </c>
      <c r="I1250" s="21" cm="1">
        <f t="array" aca="1" ref="I1250" ca="1">INDIRECT("Data!C" &amp; 1245)</f>
        <v>0</v>
      </c>
      <c r="J1250" cm="1">
        <f t="array" aca="1" ref="J1250" ca="1">INDIRECT("Data!D" &amp; 1245)</f>
        <v>0</v>
      </c>
      <c r="K1250" cm="1">
        <f t="array" aca="1" ref="K1250" ca="1">INDIRECT("Data!E" &amp; 1245)</f>
        <v>0</v>
      </c>
      <c r="L1250" cm="1">
        <f t="array" aca="1" ref="L1250" ca="1">INDIRECT("Data!F" &amp; 1245)</f>
        <v>0</v>
      </c>
      <c r="M1250" cm="1">
        <f t="array" aca="1" ref="M1250" ca="1">INDIRECT("Data!G" &amp; 1245)</f>
        <v>0</v>
      </c>
      <c r="N1250" cm="1">
        <f t="array" aca="1" ref="N1250" ca="1">INDIRECT("Data!H" &amp; 1245)</f>
        <v>0</v>
      </c>
      <c r="O1250" cm="1">
        <f t="array" aca="1" ref="O1250" ca="1">INDIRECT("Data!I" &amp; 1245)</f>
        <v>0</v>
      </c>
      <c r="P1250" s="21" cm="1">
        <f t="array" aca="1" ref="P1250" ca="1">INDIRECT("Data!J" &amp; 1245)</f>
        <v>0</v>
      </c>
      <c r="Q1250" cm="1">
        <f t="array" aca="1" ref="Q1250" ca="1">INDIRECT("Data!K" &amp; 1245)</f>
        <v>0</v>
      </c>
      <c r="R1250" cm="1">
        <f t="array" aca="1" ref="R1250" ca="1">INDIRECT("Data!L" &amp; 1245)</f>
        <v>0</v>
      </c>
      <c r="S1250" cm="1">
        <f t="array" aca="1" ref="S1250" ca="1">INDIRECT("Data!M" &amp; 1245)</f>
        <v>0</v>
      </c>
      <c r="T1250" cm="1">
        <f t="array" aca="1" ref="T1250" ca="1">INDIRECT("Data!N" &amp; 1245)</f>
        <v>0</v>
      </c>
      <c r="U1250" cm="1">
        <f t="array" aca="1" ref="U1250" ca="1">INDIRECT("Data!O" &amp; 1245)</f>
        <v>0</v>
      </c>
      <c r="V1250" cm="1">
        <f t="array" aca="1" ref="V1250" ca="1">INDIRECT("Data!P" &amp; 1245)</f>
        <v>0</v>
      </c>
    </row>
    <row r="1251" spans="7:22" x14ac:dyDescent="0.25">
      <c r="G1251" cm="1">
        <f t="array" aca="1" ref="G1251" ca="1">INDIRECT("Data!A" &amp; 1246)</f>
        <v>0</v>
      </c>
      <c r="H1251" s="21" cm="1">
        <f t="array" aca="1" ref="H1251" ca="1">INDIRECT("Data!B" &amp; 1246)</f>
        <v>0</v>
      </c>
      <c r="I1251" s="21" cm="1">
        <f t="array" aca="1" ref="I1251" ca="1">INDIRECT("Data!C" &amp; 1246)</f>
        <v>0</v>
      </c>
      <c r="J1251" cm="1">
        <f t="array" aca="1" ref="J1251" ca="1">INDIRECT("Data!D" &amp; 1246)</f>
        <v>0</v>
      </c>
      <c r="K1251" cm="1">
        <f t="array" aca="1" ref="K1251" ca="1">INDIRECT("Data!E" &amp; 1246)</f>
        <v>0</v>
      </c>
      <c r="L1251" cm="1">
        <f t="array" aca="1" ref="L1251" ca="1">INDIRECT("Data!F" &amp; 1246)</f>
        <v>0</v>
      </c>
      <c r="M1251" cm="1">
        <f t="array" aca="1" ref="M1251" ca="1">INDIRECT("Data!G" &amp; 1246)</f>
        <v>0</v>
      </c>
      <c r="N1251" cm="1">
        <f t="array" aca="1" ref="N1251" ca="1">INDIRECT("Data!H" &amp; 1246)</f>
        <v>0</v>
      </c>
      <c r="O1251" cm="1">
        <f t="array" aca="1" ref="O1251" ca="1">INDIRECT("Data!I" &amp; 1246)</f>
        <v>0</v>
      </c>
      <c r="P1251" s="21" cm="1">
        <f t="array" aca="1" ref="P1251" ca="1">INDIRECT("Data!J" &amp; 1246)</f>
        <v>0</v>
      </c>
      <c r="Q1251" cm="1">
        <f t="array" aca="1" ref="Q1251" ca="1">INDIRECT("Data!K" &amp; 1246)</f>
        <v>0</v>
      </c>
      <c r="R1251" cm="1">
        <f t="array" aca="1" ref="R1251" ca="1">INDIRECT("Data!L" &amp; 1246)</f>
        <v>0</v>
      </c>
      <c r="S1251" cm="1">
        <f t="array" aca="1" ref="S1251" ca="1">INDIRECT("Data!M" &amp; 1246)</f>
        <v>0</v>
      </c>
      <c r="T1251" cm="1">
        <f t="array" aca="1" ref="T1251" ca="1">INDIRECT("Data!N" &amp; 1246)</f>
        <v>0</v>
      </c>
      <c r="U1251" cm="1">
        <f t="array" aca="1" ref="U1251" ca="1">INDIRECT("Data!O" &amp; 1246)</f>
        <v>0</v>
      </c>
      <c r="V1251" cm="1">
        <f t="array" aca="1" ref="V1251" ca="1">INDIRECT("Data!P" &amp; 1246)</f>
        <v>0</v>
      </c>
    </row>
    <row r="1252" spans="7:22" x14ac:dyDescent="0.25">
      <c r="G1252" cm="1">
        <f t="array" aca="1" ref="G1252" ca="1">INDIRECT("Data!A" &amp; 1247)</f>
        <v>0</v>
      </c>
      <c r="H1252" s="21" cm="1">
        <f t="array" aca="1" ref="H1252" ca="1">INDIRECT("Data!B" &amp; 1247)</f>
        <v>0</v>
      </c>
      <c r="I1252" s="21" cm="1">
        <f t="array" aca="1" ref="I1252" ca="1">INDIRECT("Data!C" &amp; 1247)</f>
        <v>0</v>
      </c>
      <c r="J1252" cm="1">
        <f t="array" aca="1" ref="J1252" ca="1">INDIRECT("Data!D" &amp; 1247)</f>
        <v>0</v>
      </c>
      <c r="K1252" cm="1">
        <f t="array" aca="1" ref="K1252" ca="1">INDIRECT("Data!E" &amp; 1247)</f>
        <v>0</v>
      </c>
      <c r="L1252" cm="1">
        <f t="array" aca="1" ref="L1252" ca="1">INDIRECT("Data!F" &amp; 1247)</f>
        <v>0</v>
      </c>
      <c r="M1252" cm="1">
        <f t="array" aca="1" ref="M1252" ca="1">INDIRECT("Data!G" &amp; 1247)</f>
        <v>0</v>
      </c>
      <c r="N1252" cm="1">
        <f t="array" aca="1" ref="N1252" ca="1">INDIRECT("Data!H" &amp; 1247)</f>
        <v>0</v>
      </c>
      <c r="O1252" cm="1">
        <f t="array" aca="1" ref="O1252" ca="1">INDIRECT("Data!I" &amp; 1247)</f>
        <v>0</v>
      </c>
      <c r="P1252" s="21" cm="1">
        <f t="array" aca="1" ref="P1252" ca="1">INDIRECT("Data!J" &amp; 1247)</f>
        <v>0</v>
      </c>
      <c r="Q1252" cm="1">
        <f t="array" aca="1" ref="Q1252" ca="1">INDIRECT("Data!K" &amp; 1247)</f>
        <v>0</v>
      </c>
      <c r="R1252" cm="1">
        <f t="array" aca="1" ref="R1252" ca="1">INDIRECT("Data!L" &amp; 1247)</f>
        <v>0</v>
      </c>
      <c r="S1252" cm="1">
        <f t="array" aca="1" ref="S1252" ca="1">INDIRECT("Data!M" &amp; 1247)</f>
        <v>0</v>
      </c>
      <c r="T1252" cm="1">
        <f t="array" aca="1" ref="T1252" ca="1">INDIRECT("Data!N" &amp; 1247)</f>
        <v>0</v>
      </c>
      <c r="U1252" cm="1">
        <f t="array" aca="1" ref="U1252" ca="1">INDIRECT("Data!O" &amp; 1247)</f>
        <v>0</v>
      </c>
      <c r="V1252" cm="1">
        <f t="array" aca="1" ref="V1252" ca="1">INDIRECT("Data!P" &amp; 1247)</f>
        <v>0</v>
      </c>
    </row>
    <row r="1253" spans="7:22" x14ac:dyDescent="0.25">
      <c r="G1253" cm="1">
        <f t="array" aca="1" ref="G1253" ca="1">INDIRECT("Data!A" &amp; 1248)</f>
        <v>0</v>
      </c>
      <c r="H1253" s="21" cm="1">
        <f t="array" aca="1" ref="H1253" ca="1">INDIRECT("Data!B" &amp; 1248)</f>
        <v>0</v>
      </c>
      <c r="I1253" s="21" cm="1">
        <f t="array" aca="1" ref="I1253" ca="1">INDIRECT("Data!C" &amp; 1248)</f>
        <v>0</v>
      </c>
      <c r="J1253" cm="1">
        <f t="array" aca="1" ref="J1253" ca="1">INDIRECT("Data!D" &amp; 1248)</f>
        <v>0</v>
      </c>
      <c r="K1253" cm="1">
        <f t="array" aca="1" ref="K1253" ca="1">INDIRECT("Data!E" &amp; 1248)</f>
        <v>0</v>
      </c>
      <c r="L1253" cm="1">
        <f t="array" aca="1" ref="L1253" ca="1">INDIRECT("Data!F" &amp; 1248)</f>
        <v>0</v>
      </c>
      <c r="M1253" cm="1">
        <f t="array" aca="1" ref="M1253" ca="1">INDIRECT("Data!G" &amp; 1248)</f>
        <v>0</v>
      </c>
      <c r="N1253" cm="1">
        <f t="array" aca="1" ref="N1253" ca="1">INDIRECT("Data!H" &amp; 1248)</f>
        <v>0</v>
      </c>
      <c r="O1253" cm="1">
        <f t="array" aca="1" ref="O1253" ca="1">INDIRECT("Data!I" &amp; 1248)</f>
        <v>0</v>
      </c>
      <c r="P1253" s="21" cm="1">
        <f t="array" aca="1" ref="P1253" ca="1">INDIRECT("Data!J" &amp; 1248)</f>
        <v>0</v>
      </c>
      <c r="Q1253" cm="1">
        <f t="array" aca="1" ref="Q1253" ca="1">INDIRECT("Data!K" &amp; 1248)</f>
        <v>0</v>
      </c>
      <c r="R1253" cm="1">
        <f t="array" aca="1" ref="R1253" ca="1">INDIRECT("Data!L" &amp; 1248)</f>
        <v>0</v>
      </c>
      <c r="S1253" cm="1">
        <f t="array" aca="1" ref="S1253" ca="1">INDIRECT("Data!M" &amp; 1248)</f>
        <v>0</v>
      </c>
      <c r="T1253" cm="1">
        <f t="array" aca="1" ref="T1253" ca="1">INDIRECT("Data!N" &amp; 1248)</f>
        <v>0</v>
      </c>
      <c r="U1253" cm="1">
        <f t="array" aca="1" ref="U1253" ca="1">INDIRECT("Data!O" &amp; 1248)</f>
        <v>0</v>
      </c>
      <c r="V1253" cm="1">
        <f t="array" aca="1" ref="V1253" ca="1">INDIRECT("Data!P" &amp; 1248)</f>
        <v>0</v>
      </c>
    </row>
    <row r="1254" spans="7:22" x14ac:dyDescent="0.25">
      <c r="G1254" cm="1">
        <f t="array" aca="1" ref="G1254" ca="1">INDIRECT("Data!A" &amp; 1249)</f>
        <v>0</v>
      </c>
      <c r="H1254" s="21" cm="1">
        <f t="array" aca="1" ref="H1254" ca="1">INDIRECT("Data!B" &amp; 1249)</f>
        <v>0</v>
      </c>
      <c r="I1254" s="21" cm="1">
        <f t="array" aca="1" ref="I1254" ca="1">INDIRECT("Data!C" &amp; 1249)</f>
        <v>0</v>
      </c>
      <c r="J1254" cm="1">
        <f t="array" aca="1" ref="J1254" ca="1">INDIRECT("Data!D" &amp; 1249)</f>
        <v>0</v>
      </c>
      <c r="K1254" cm="1">
        <f t="array" aca="1" ref="K1254" ca="1">INDIRECT("Data!E" &amp; 1249)</f>
        <v>0</v>
      </c>
      <c r="L1254" cm="1">
        <f t="array" aca="1" ref="L1254" ca="1">INDIRECT("Data!F" &amp; 1249)</f>
        <v>0</v>
      </c>
      <c r="M1254" cm="1">
        <f t="array" aca="1" ref="M1254" ca="1">INDIRECT("Data!G" &amp; 1249)</f>
        <v>0</v>
      </c>
      <c r="N1254" cm="1">
        <f t="array" aca="1" ref="N1254" ca="1">INDIRECT("Data!H" &amp; 1249)</f>
        <v>0</v>
      </c>
      <c r="O1254" cm="1">
        <f t="array" aca="1" ref="O1254" ca="1">INDIRECT("Data!I" &amp; 1249)</f>
        <v>0</v>
      </c>
      <c r="P1254" s="21" cm="1">
        <f t="array" aca="1" ref="P1254" ca="1">INDIRECT("Data!J" &amp; 1249)</f>
        <v>0</v>
      </c>
      <c r="Q1254" cm="1">
        <f t="array" aca="1" ref="Q1254" ca="1">INDIRECT("Data!K" &amp; 1249)</f>
        <v>0</v>
      </c>
      <c r="R1254" cm="1">
        <f t="array" aca="1" ref="R1254" ca="1">INDIRECT("Data!L" &amp; 1249)</f>
        <v>0</v>
      </c>
      <c r="S1254" cm="1">
        <f t="array" aca="1" ref="S1254" ca="1">INDIRECT("Data!M" &amp; 1249)</f>
        <v>0</v>
      </c>
      <c r="T1254" cm="1">
        <f t="array" aca="1" ref="T1254" ca="1">INDIRECT("Data!N" &amp; 1249)</f>
        <v>0</v>
      </c>
      <c r="U1254" cm="1">
        <f t="array" aca="1" ref="U1254" ca="1">INDIRECT("Data!O" &amp; 1249)</f>
        <v>0</v>
      </c>
      <c r="V1254" cm="1">
        <f t="array" aca="1" ref="V1254" ca="1">INDIRECT("Data!P" &amp; 1249)</f>
        <v>0</v>
      </c>
    </row>
    <row r="1255" spans="7:22" x14ac:dyDescent="0.25">
      <c r="G1255" cm="1">
        <f t="array" aca="1" ref="G1255" ca="1">INDIRECT("Data!A" &amp; 1250)</f>
        <v>0</v>
      </c>
      <c r="H1255" s="21" cm="1">
        <f t="array" aca="1" ref="H1255" ca="1">INDIRECT("Data!B" &amp; 1250)</f>
        <v>0</v>
      </c>
      <c r="I1255" s="21" cm="1">
        <f t="array" aca="1" ref="I1255" ca="1">INDIRECT("Data!C" &amp; 1250)</f>
        <v>0</v>
      </c>
      <c r="J1255" cm="1">
        <f t="array" aca="1" ref="J1255" ca="1">INDIRECT("Data!D" &amp; 1250)</f>
        <v>0</v>
      </c>
      <c r="K1255" cm="1">
        <f t="array" aca="1" ref="K1255" ca="1">INDIRECT("Data!E" &amp; 1250)</f>
        <v>0</v>
      </c>
      <c r="L1255" cm="1">
        <f t="array" aca="1" ref="L1255" ca="1">INDIRECT("Data!F" &amp; 1250)</f>
        <v>0</v>
      </c>
      <c r="M1255" cm="1">
        <f t="array" aca="1" ref="M1255" ca="1">INDIRECT("Data!G" &amp; 1250)</f>
        <v>0</v>
      </c>
      <c r="N1255" cm="1">
        <f t="array" aca="1" ref="N1255" ca="1">INDIRECT("Data!H" &amp; 1250)</f>
        <v>0</v>
      </c>
      <c r="O1255" cm="1">
        <f t="array" aca="1" ref="O1255" ca="1">INDIRECT("Data!I" &amp; 1250)</f>
        <v>0</v>
      </c>
      <c r="P1255" s="21" cm="1">
        <f t="array" aca="1" ref="P1255" ca="1">INDIRECT("Data!J" &amp; 1250)</f>
        <v>0</v>
      </c>
      <c r="Q1255" cm="1">
        <f t="array" aca="1" ref="Q1255" ca="1">INDIRECT("Data!K" &amp; 1250)</f>
        <v>0</v>
      </c>
      <c r="R1255" cm="1">
        <f t="array" aca="1" ref="R1255" ca="1">INDIRECT("Data!L" &amp; 1250)</f>
        <v>0</v>
      </c>
      <c r="S1255" cm="1">
        <f t="array" aca="1" ref="S1255" ca="1">INDIRECT("Data!M" &amp; 1250)</f>
        <v>0</v>
      </c>
      <c r="T1255" cm="1">
        <f t="array" aca="1" ref="T1255" ca="1">INDIRECT("Data!N" &amp; 1250)</f>
        <v>0</v>
      </c>
      <c r="U1255" cm="1">
        <f t="array" aca="1" ref="U1255" ca="1">INDIRECT("Data!O" &amp; 1250)</f>
        <v>0</v>
      </c>
      <c r="V1255" cm="1">
        <f t="array" aca="1" ref="V1255" ca="1">INDIRECT("Data!P" &amp; 1250)</f>
        <v>0</v>
      </c>
    </row>
    <row r="1256" spans="7:22" x14ac:dyDescent="0.25">
      <c r="G1256" cm="1">
        <f t="array" aca="1" ref="G1256" ca="1">INDIRECT("Data!A" &amp; 1251)</f>
        <v>0</v>
      </c>
      <c r="H1256" s="21" cm="1">
        <f t="array" aca="1" ref="H1256" ca="1">INDIRECT("Data!B" &amp; 1251)</f>
        <v>0</v>
      </c>
      <c r="I1256" s="21" cm="1">
        <f t="array" aca="1" ref="I1256" ca="1">INDIRECT("Data!C" &amp; 1251)</f>
        <v>0</v>
      </c>
      <c r="J1256" cm="1">
        <f t="array" aca="1" ref="J1256" ca="1">INDIRECT("Data!D" &amp; 1251)</f>
        <v>0</v>
      </c>
      <c r="K1256" cm="1">
        <f t="array" aca="1" ref="K1256" ca="1">INDIRECT("Data!E" &amp; 1251)</f>
        <v>0</v>
      </c>
      <c r="L1256" cm="1">
        <f t="array" aca="1" ref="L1256" ca="1">INDIRECT("Data!F" &amp; 1251)</f>
        <v>0</v>
      </c>
      <c r="M1256" cm="1">
        <f t="array" aca="1" ref="M1256" ca="1">INDIRECT("Data!G" &amp; 1251)</f>
        <v>0</v>
      </c>
      <c r="N1256" cm="1">
        <f t="array" aca="1" ref="N1256" ca="1">INDIRECT("Data!H" &amp; 1251)</f>
        <v>0</v>
      </c>
      <c r="O1256" cm="1">
        <f t="array" aca="1" ref="O1256" ca="1">INDIRECT("Data!I" &amp; 1251)</f>
        <v>0</v>
      </c>
      <c r="P1256" s="21" cm="1">
        <f t="array" aca="1" ref="P1256" ca="1">INDIRECT("Data!J" &amp; 1251)</f>
        <v>0</v>
      </c>
      <c r="Q1256" cm="1">
        <f t="array" aca="1" ref="Q1256" ca="1">INDIRECT("Data!K" &amp; 1251)</f>
        <v>0</v>
      </c>
      <c r="R1256" cm="1">
        <f t="array" aca="1" ref="R1256" ca="1">INDIRECT("Data!L" &amp; 1251)</f>
        <v>0</v>
      </c>
      <c r="S1256" cm="1">
        <f t="array" aca="1" ref="S1256" ca="1">INDIRECT("Data!M" &amp; 1251)</f>
        <v>0</v>
      </c>
      <c r="T1256" cm="1">
        <f t="array" aca="1" ref="T1256" ca="1">INDIRECT("Data!N" &amp; 1251)</f>
        <v>0</v>
      </c>
      <c r="U1256" cm="1">
        <f t="array" aca="1" ref="U1256" ca="1">INDIRECT("Data!O" &amp; 1251)</f>
        <v>0</v>
      </c>
      <c r="V1256" cm="1">
        <f t="array" aca="1" ref="V1256" ca="1">INDIRECT("Data!P" &amp; 1251)</f>
        <v>0</v>
      </c>
    </row>
    <row r="1257" spans="7:22" x14ac:dyDescent="0.25">
      <c r="G1257" cm="1">
        <f t="array" aca="1" ref="G1257" ca="1">INDIRECT("Data!A" &amp; 1252)</f>
        <v>0</v>
      </c>
      <c r="H1257" s="21" cm="1">
        <f t="array" aca="1" ref="H1257" ca="1">INDIRECT("Data!B" &amp; 1252)</f>
        <v>0</v>
      </c>
      <c r="I1257" s="21" cm="1">
        <f t="array" aca="1" ref="I1257" ca="1">INDIRECT("Data!C" &amp; 1252)</f>
        <v>0</v>
      </c>
      <c r="J1257" cm="1">
        <f t="array" aca="1" ref="J1257" ca="1">INDIRECT("Data!D" &amp; 1252)</f>
        <v>0</v>
      </c>
      <c r="K1257" cm="1">
        <f t="array" aca="1" ref="K1257" ca="1">INDIRECT("Data!E" &amp; 1252)</f>
        <v>0</v>
      </c>
      <c r="L1257" cm="1">
        <f t="array" aca="1" ref="L1257" ca="1">INDIRECT("Data!F" &amp; 1252)</f>
        <v>0</v>
      </c>
      <c r="M1257" cm="1">
        <f t="array" aca="1" ref="M1257" ca="1">INDIRECT("Data!G" &amp; 1252)</f>
        <v>0</v>
      </c>
      <c r="N1257" cm="1">
        <f t="array" aca="1" ref="N1257" ca="1">INDIRECT("Data!H" &amp; 1252)</f>
        <v>0</v>
      </c>
      <c r="O1257" cm="1">
        <f t="array" aca="1" ref="O1257" ca="1">INDIRECT("Data!I" &amp; 1252)</f>
        <v>0</v>
      </c>
      <c r="P1257" s="21" cm="1">
        <f t="array" aca="1" ref="P1257" ca="1">INDIRECT("Data!J" &amp; 1252)</f>
        <v>0</v>
      </c>
      <c r="Q1257" cm="1">
        <f t="array" aca="1" ref="Q1257" ca="1">INDIRECT("Data!K" &amp; 1252)</f>
        <v>0</v>
      </c>
      <c r="R1257" cm="1">
        <f t="array" aca="1" ref="R1257" ca="1">INDIRECT("Data!L" &amp; 1252)</f>
        <v>0</v>
      </c>
      <c r="S1257" cm="1">
        <f t="array" aca="1" ref="S1257" ca="1">INDIRECT("Data!M" &amp; 1252)</f>
        <v>0</v>
      </c>
      <c r="T1257" cm="1">
        <f t="array" aca="1" ref="T1257" ca="1">INDIRECT("Data!N" &amp; 1252)</f>
        <v>0</v>
      </c>
      <c r="U1257" cm="1">
        <f t="array" aca="1" ref="U1257" ca="1">INDIRECT("Data!O" &amp; 1252)</f>
        <v>0</v>
      </c>
      <c r="V1257" cm="1">
        <f t="array" aca="1" ref="V1257" ca="1">INDIRECT("Data!P" &amp; 1252)</f>
        <v>0</v>
      </c>
    </row>
    <row r="1258" spans="7:22" x14ac:dyDescent="0.25">
      <c r="G1258" cm="1">
        <f t="array" aca="1" ref="G1258" ca="1">INDIRECT("Data!A" &amp; 1253)</f>
        <v>0</v>
      </c>
      <c r="H1258" s="21" cm="1">
        <f t="array" aca="1" ref="H1258" ca="1">INDIRECT("Data!B" &amp; 1253)</f>
        <v>0</v>
      </c>
      <c r="I1258" s="21" cm="1">
        <f t="array" aca="1" ref="I1258" ca="1">INDIRECT("Data!C" &amp; 1253)</f>
        <v>0</v>
      </c>
      <c r="J1258" cm="1">
        <f t="array" aca="1" ref="J1258" ca="1">INDIRECT("Data!D" &amp; 1253)</f>
        <v>0</v>
      </c>
      <c r="K1258" cm="1">
        <f t="array" aca="1" ref="K1258" ca="1">INDIRECT("Data!E" &amp; 1253)</f>
        <v>0</v>
      </c>
      <c r="L1258" cm="1">
        <f t="array" aca="1" ref="L1258" ca="1">INDIRECT("Data!F" &amp; 1253)</f>
        <v>0</v>
      </c>
      <c r="M1258" cm="1">
        <f t="array" aca="1" ref="M1258" ca="1">INDIRECT("Data!G" &amp; 1253)</f>
        <v>0</v>
      </c>
      <c r="N1258" cm="1">
        <f t="array" aca="1" ref="N1258" ca="1">INDIRECT("Data!H" &amp; 1253)</f>
        <v>0</v>
      </c>
      <c r="O1258" cm="1">
        <f t="array" aca="1" ref="O1258" ca="1">INDIRECT("Data!I" &amp; 1253)</f>
        <v>0</v>
      </c>
      <c r="P1258" s="21" cm="1">
        <f t="array" aca="1" ref="P1258" ca="1">INDIRECT("Data!J" &amp; 1253)</f>
        <v>0</v>
      </c>
      <c r="Q1258" cm="1">
        <f t="array" aca="1" ref="Q1258" ca="1">INDIRECT("Data!K" &amp; 1253)</f>
        <v>0</v>
      </c>
      <c r="R1258" cm="1">
        <f t="array" aca="1" ref="R1258" ca="1">INDIRECT("Data!L" &amp; 1253)</f>
        <v>0</v>
      </c>
      <c r="S1258" cm="1">
        <f t="array" aca="1" ref="S1258" ca="1">INDIRECT("Data!M" &amp; 1253)</f>
        <v>0</v>
      </c>
      <c r="T1258" cm="1">
        <f t="array" aca="1" ref="T1258" ca="1">INDIRECT("Data!N" &amp; 1253)</f>
        <v>0</v>
      </c>
      <c r="U1258" cm="1">
        <f t="array" aca="1" ref="U1258" ca="1">INDIRECT("Data!O" &amp; 1253)</f>
        <v>0</v>
      </c>
      <c r="V1258" cm="1">
        <f t="array" aca="1" ref="V1258" ca="1">INDIRECT("Data!P" &amp; 1253)</f>
        <v>0</v>
      </c>
    </row>
    <row r="1259" spans="7:22" x14ac:dyDescent="0.25">
      <c r="G1259" cm="1">
        <f t="array" aca="1" ref="G1259" ca="1">INDIRECT("Data!A" &amp; 1254)</f>
        <v>0</v>
      </c>
      <c r="H1259" s="21" cm="1">
        <f t="array" aca="1" ref="H1259" ca="1">INDIRECT("Data!B" &amp; 1254)</f>
        <v>0</v>
      </c>
      <c r="I1259" s="21" cm="1">
        <f t="array" aca="1" ref="I1259" ca="1">INDIRECT("Data!C" &amp; 1254)</f>
        <v>0</v>
      </c>
      <c r="J1259" cm="1">
        <f t="array" aca="1" ref="J1259" ca="1">INDIRECT("Data!D" &amp; 1254)</f>
        <v>0</v>
      </c>
      <c r="K1259" cm="1">
        <f t="array" aca="1" ref="K1259" ca="1">INDIRECT("Data!E" &amp; 1254)</f>
        <v>0</v>
      </c>
      <c r="L1259" cm="1">
        <f t="array" aca="1" ref="L1259" ca="1">INDIRECT("Data!F" &amp; 1254)</f>
        <v>0</v>
      </c>
      <c r="M1259" cm="1">
        <f t="array" aca="1" ref="M1259" ca="1">INDIRECT("Data!G" &amp; 1254)</f>
        <v>0</v>
      </c>
      <c r="N1259" cm="1">
        <f t="array" aca="1" ref="N1259" ca="1">INDIRECT("Data!H" &amp; 1254)</f>
        <v>0</v>
      </c>
      <c r="O1259" cm="1">
        <f t="array" aca="1" ref="O1259" ca="1">INDIRECT("Data!I" &amp; 1254)</f>
        <v>0</v>
      </c>
      <c r="P1259" s="21" cm="1">
        <f t="array" aca="1" ref="P1259" ca="1">INDIRECT("Data!J" &amp; 1254)</f>
        <v>0</v>
      </c>
      <c r="Q1259" cm="1">
        <f t="array" aca="1" ref="Q1259" ca="1">INDIRECT("Data!K" &amp; 1254)</f>
        <v>0</v>
      </c>
      <c r="R1259" cm="1">
        <f t="array" aca="1" ref="R1259" ca="1">INDIRECT("Data!L" &amp; 1254)</f>
        <v>0</v>
      </c>
      <c r="S1259" cm="1">
        <f t="array" aca="1" ref="S1259" ca="1">INDIRECT("Data!M" &amp; 1254)</f>
        <v>0</v>
      </c>
      <c r="T1259" cm="1">
        <f t="array" aca="1" ref="T1259" ca="1">INDIRECT("Data!N" &amp; 1254)</f>
        <v>0</v>
      </c>
      <c r="U1259" cm="1">
        <f t="array" aca="1" ref="U1259" ca="1">INDIRECT("Data!O" &amp; 1254)</f>
        <v>0</v>
      </c>
      <c r="V1259" cm="1">
        <f t="array" aca="1" ref="V1259" ca="1">INDIRECT("Data!P" &amp; 1254)</f>
        <v>0</v>
      </c>
    </row>
    <row r="1260" spans="7:22" x14ac:dyDescent="0.25">
      <c r="G1260" cm="1">
        <f t="array" aca="1" ref="G1260" ca="1">INDIRECT("Data!A" &amp; 1255)</f>
        <v>0</v>
      </c>
      <c r="H1260" s="21" cm="1">
        <f t="array" aca="1" ref="H1260" ca="1">INDIRECT("Data!B" &amp; 1255)</f>
        <v>0</v>
      </c>
      <c r="I1260" s="21" cm="1">
        <f t="array" aca="1" ref="I1260" ca="1">INDIRECT("Data!C" &amp; 1255)</f>
        <v>0</v>
      </c>
      <c r="J1260" cm="1">
        <f t="array" aca="1" ref="J1260" ca="1">INDIRECT("Data!D" &amp; 1255)</f>
        <v>0</v>
      </c>
      <c r="K1260" cm="1">
        <f t="array" aca="1" ref="K1260" ca="1">INDIRECT("Data!E" &amp; 1255)</f>
        <v>0</v>
      </c>
      <c r="L1260" cm="1">
        <f t="array" aca="1" ref="L1260" ca="1">INDIRECT("Data!F" &amp; 1255)</f>
        <v>0</v>
      </c>
      <c r="M1260" cm="1">
        <f t="array" aca="1" ref="M1260" ca="1">INDIRECT("Data!G" &amp; 1255)</f>
        <v>0</v>
      </c>
      <c r="N1260" cm="1">
        <f t="array" aca="1" ref="N1260" ca="1">INDIRECT("Data!H" &amp; 1255)</f>
        <v>0</v>
      </c>
      <c r="O1260" cm="1">
        <f t="array" aca="1" ref="O1260" ca="1">INDIRECT("Data!I" &amp; 1255)</f>
        <v>0</v>
      </c>
      <c r="P1260" s="21" cm="1">
        <f t="array" aca="1" ref="P1260" ca="1">INDIRECT("Data!J" &amp; 1255)</f>
        <v>0</v>
      </c>
      <c r="Q1260" cm="1">
        <f t="array" aca="1" ref="Q1260" ca="1">INDIRECT("Data!K" &amp; 1255)</f>
        <v>0</v>
      </c>
      <c r="R1260" cm="1">
        <f t="array" aca="1" ref="R1260" ca="1">INDIRECT("Data!L" &amp; 1255)</f>
        <v>0</v>
      </c>
      <c r="S1260" cm="1">
        <f t="array" aca="1" ref="S1260" ca="1">INDIRECT("Data!M" &amp; 1255)</f>
        <v>0</v>
      </c>
      <c r="T1260" cm="1">
        <f t="array" aca="1" ref="T1260" ca="1">INDIRECT("Data!N" &amp; 1255)</f>
        <v>0</v>
      </c>
      <c r="U1260" cm="1">
        <f t="array" aca="1" ref="U1260" ca="1">INDIRECT("Data!O" &amp; 1255)</f>
        <v>0</v>
      </c>
      <c r="V1260" cm="1">
        <f t="array" aca="1" ref="V1260" ca="1">INDIRECT("Data!P" &amp; 1255)</f>
        <v>0</v>
      </c>
    </row>
    <row r="1261" spans="7:22" x14ac:dyDescent="0.25">
      <c r="G1261" cm="1">
        <f t="array" aca="1" ref="G1261" ca="1">INDIRECT("Data!A" &amp; 1256)</f>
        <v>0</v>
      </c>
      <c r="H1261" s="21" cm="1">
        <f t="array" aca="1" ref="H1261" ca="1">INDIRECT("Data!B" &amp; 1256)</f>
        <v>0</v>
      </c>
      <c r="I1261" s="21" cm="1">
        <f t="array" aca="1" ref="I1261" ca="1">INDIRECT("Data!C" &amp; 1256)</f>
        <v>0</v>
      </c>
      <c r="J1261" cm="1">
        <f t="array" aca="1" ref="J1261" ca="1">INDIRECT("Data!D" &amp; 1256)</f>
        <v>0</v>
      </c>
      <c r="K1261" cm="1">
        <f t="array" aca="1" ref="K1261" ca="1">INDIRECT("Data!E" &amp; 1256)</f>
        <v>0</v>
      </c>
      <c r="L1261" cm="1">
        <f t="array" aca="1" ref="L1261" ca="1">INDIRECT("Data!F" &amp; 1256)</f>
        <v>0</v>
      </c>
      <c r="M1261" cm="1">
        <f t="array" aca="1" ref="M1261" ca="1">INDIRECT("Data!G" &amp; 1256)</f>
        <v>0</v>
      </c>
      <c r="N1261" cm="1">
        <f t="array" aca="1" ref="N1261" ca="1">INDIRECT("Data!H" &amp; 1256)</f>
        <v>0</v>
      </c>
      <c r="O1261" cm="1">
        <f t="array" aca="1" ref="O1261" ca="1">INDIRECT("Data!I" &amp; 1256)</f>
        <v>0</v>
      </c>
      <c r="P1261" s="21" cm="1">
        <f t="array" aca="1" ref="P1261" ca="1">INDIRECT("Data!J" &amp; 1256)</f>
        <v>0</v>
      </c>
      <c r="Q1261" cm="1">
        <f t="array" aca="1" ref="Q1261" ca="1">INDIRECT("Data!K" &amp; 1256)</f>
        <v>0</v>
      </c>
      <c r="R1261" cm="1">
        <f t="array" aca="1" ref="R1261" ca="1">INDIRECT("Data!L" &amp; 1256)</f>
        <v>0</v>
      </c>
      <c r="S1261" cm="1">
        <f t="array" aca="1" ref="S1261" ca="1">INDIRECT("Data!M" &amp; 1256)</f>
        <v>0</v>
      </c>
      <c r="T1261" cm="1">
        <f t="array" aca="1" ref="T1261" ca="1">INDIRECT("Data!N" &amp; 1256)</f>
        <v>0</v>
      </c>
      <c r="U1261" cm="1">
        <f t="array" aca="1" ref="U1261" ca="1">INDIRECT("Data!O" &amp; 1256)</f>
        <v>0</v>
      </c>
      <c r="V1261" cm="1">
        <f t="array" aca="1" ref="V1261" ca="1">INDIRECT("Data!P" &amp; 1256)</f>
        <v>0</v>
      </c>
    </row>
    <row r="1262" spans="7:22" x14ac:dyDescent="0.25">
      <c r="G1262" cm="1">
        <f t="array" aca="1" ref="G1262" ca="1">INDIRECT("Data!A" &amp; 1257)</f>
        <v>0</v>
      </c>
      <c r="H1262" s="21" cm="1">
        <f t="array" aca="1" ref="H1262" ca="1">INDIRECT("Data!B" &amp; 1257)</f>
        <v>0</v>
      </c>
      <c r="I1262" s="21" cm="1">
        <f t="array" aca="1" ref="I1262" ca="1">INDIRECT("Data!C" &amp; 1257)</f>
        <v>0</v>
      </c>
      <c r="J1262" cm="1">
        <f t="array" aca="1" ref="J1262" ca="1">INDIRECT("Data!D" &amp; 1257)</f>
        <v>0</v>
      </c>
      <c r="K1262" cm="1">
        <f t="array" aca="1" ref="K1262" ca="1">INDIRECT("Data!E" &amp; 1257)</f>
        <v>0</v>
      </c>
      <c r="L1262" cm="1">
        <f t="array" aca="1" ref="L1262" ca="1">INDIRECT("Data!F" &amp; 1257)</f>
        <v>0</v>
      </c>
      <c r="M1262" cm="1">
        <f t="array" aca="1" ref="M1262" ca="1">INDIRECT("Data!G" &amp; 1257)</f>
        <v>0</v>
      </c>
      <c r="N1262" cm="1">
        <f t="array" aca="1" ref="N1262" ca="1">INDIRECT("Data!H" &amp; 1257)</f>
        <v>0</v>
      </c>
      <c r="O1262" cm="1">
        <f t="array" aca="1" ref="O1262" ca="1">INDIRECT("Data!I" &amp; 1257)</f>
        <v>0</v>
      </c>
      <c r="P1262" s="21" cm="1">
        <f t="array" aca="1" ref="P1262" ca="1">INDIRECT("Data!J" &amp; 1257)</f>
        <v>0</v>
      </c>
      <c r="Q1262" cm="1">
        <f t="array" aca="1" ref="Q1262" ca="1">INDIRECT("Data!K" &amp; 1257)</f>
        <v>0</v>
      </c>
      <c r="R1262" cm="1">
        <f t="array" aca="1" ref="R1262" ca="1">INDIRECT("Data!L" &amp; 1257)</f>
        <v>0</v>
      </c>
      <c r="S1262" cm="1">
        <f t="array" aca="1" ref="S1262" ca="1">INDIRECT("Data!M" &amp; 1257)</f>
        <v>0</v>
      </c>
      <c r="T1262" cm="1">
        <f t="array" aca="1" ref="T1262" ca="1">INDIRECT("Data!N" &amp; 1257)</f>
        <v>0</v>
      </c>
      <c r="U1262" cm="1">
        <f t="array" aca="1" ref="U1262" ca="1">INDIRECT("Data!O" &amp; 1257)</f>
        <v>0</v>
      </c>
      <c r="V1262" cm="1">
        <f t="array" aca="1" ref="V1262" ca="1">INDIRECT("Data!P" &amp; 1257)</f>
        <v>0</v>
      </c>
    </row>
    <row r="1263" spans="7:22" x14ac:dyDescent="0.25">
      <c r="G1263" cm="1">
        <f t="array" aca="1" ref="G1263" ca="1">INDIRECT("Data!A" &amp; 1258)</f>
        <v>0</v>
      </c>
      <c r="H1263" s="21" cm="1">
        <f t="array" aca="1" ref="H1263" ca="1">INDIRECT("Data!B" &amp; 1258)</f>
        <v>0</v>
      </c>
      <c r="I1263" s="21" cm="1">
        <f t="array" aca="1" ref="I1263" ca="1">INDIRECT("Data!C" &amp; 1258)</f>
        <v>0</v>
      </c>
      <c r="J1263" cm="1">
        <f t="array" aca="1" ref="J1263" ca="1">INDIRECT("Data!D" &amp; 1258)</f>
        <v>0</v>
      </c>
      <c r="K1263" cm="1">
        <f t="array" aca="1" ref="K1263" ca="1">INDIRECT("Data!E" &amp; 1258)</f>
        <v>0</v>
      </c>
      <c r="L1263" cm="1">
        <f t="array" aca="1" ref="L1263" ca="1">INDIRECT("Data!F" &amp; 1258)</f>
        <v>0</v>
      </c>
      <c r="M1263" cm="1">
        <f t="array" aca="1" ref="M1263" ca="1">INDIRECT("Data!G" &amp; 1258)</f>
        <v>0</v>
      </c>
      <c r="N1263" cm="1">
        <f t="array" aca="1" ref="N1263" ca="1">INDIRECT("Data!H" &amp; 1258)</f>
        <v>0</v>
      </c>
      <c r="O1263" cm="1">
        <f t="array" aca="1" ref="O1263" ca="1">INDIRECT("Data!I" &amp; 1258)</f>
        <v>0</v>
      </c>
      <c r="P1263" s="21" cm="1">
        <f t="array" aca="1" ref="P1263" ca="1">INDIRECT("Data!J" &amp; 1258)</f>
        <v>0</v>
      </c>
      <c r="Q1263" cm="1">
        <f t="array" aca="1" ref="Q1263" ca="1">INDIRECT("Data!K" &amp; 1258)</f>
        <v>0</v>
      </c>
      <c r="R1263" cm="1">
        <f t="array" aca="1" ref="R1263" ca="1">INDIRECT("Data!L" &amp; 1258)</f>
        <v>0</v>
      </c>
      <c r="S1263" cm="1">
        <f t="array" aca="1" ref="S1263" ca="1">INDIRECT("Data!M" &amp; 1258)</f>
        <v>0</v>
      </c>
      <c r="T1263" cm="1">
        <f t="array" aca="1" ref="T1263" ca="1">INDIRECT("Data!N" &amp; 1258)</f>
        <v>0</v>
      </c>
      <c r="U1263" cm="1">
        <f t="array" aca="1" ref="U1263" ca="1">INDIRECT("Data!O" &amp; 1258)</f>
        <v>0</v>
      </c>
      <c r="V1263" cm="1">
        <f t="array" aca="1" ref="V1263" ca="1">INDIRECT("Data!P" &amp; 1258)</f>
        <v>0</v>
      </c>
    </row>
    <row r="1264" spans="7:22" x14ac:dyDescent="0.25">
      <c r="G1264" cm="1">
        <f t="array" aca="1" ref="G1264" ca="1">INDIRECT("Data!A" &amp; 1259)</f>
        <v>0</v>
      </c>
      <c r="H1264" s="21" cm="1">
        <f t="array" aca="1" ref="H1264" ca="1">INDIRECT("Data!B" &amp; 1259)</f>
        <v>0</v>
      </c>
      <c r="I1264" s="21" cm="1">
        <f t="array" aca="1" ref="I1264" ca="1">INDIRECT("Data!C" &amp; 1259)</f>
        <v>0</v>
      </c>
      <c r="J1264" cm="1">
        <f t="array" aca="1" ref="J1264" ca="1">INDIRECT("Data!D" &amp; 1259)</f>
        <v>0</v>
      </c>
      <c r="K1264" cm="1">
        <f t="array" aca="1" ref="K1264" ca="1">INDIRECT("Data!E" &amp; 1259)</f>
        <v>0</v>
      </c>
      <c r="L1264" cm="1">
        <f t="array" aca="1" ref="L1264" ca="1">INDIRECT("Data!F" &amp; 1259)</f>
        <v>0</v>
      </c>
      <c r="M1264" cm="1">
        <f t="array" aca="1" ref="M1264" ca="1">INDIRECT("Data!G" &amp; 1259)</f>
        <v>0</v>
      </c>
      <c r="N1264" cm="1">
        <f t="array" aca="1" ref="N1264" ca="1">INDIRECT("Data!H" &amp; 1259)</f>
        <v>0</v>
      </c>
      <c r="O1264" cm="1">
        <f t="array" aca="1" ref="O1264" ca="1">INDIRECT("Data!I" &amp; 1259)</f>
        <v>0</v>
      </c>
      <c r="P1264" s="21" cm="1">
        <f t="array" aca="1" ref="P1264" ca="1">INDIRECT("Data!J" &amp; 1259)</f>
        <v>0</v>
      </c>
      <c r="Q1264" cm="1">
        <f t="array" aca="1" ref="Q1264" ca="1">INDIRECT("Data!K" &amp; 1259)</f>
        <v>0</v>
      </c>
      <c r="R1264" cm="1">
        <f t="array" aca="1" ref="R1264" ca="1">INDIRECT("Data!L" &amp; 1259)</f>
        <v>0</v>
      </c>
      <c r="S1264" cm="1">
        <f t="array" aca="1" ref="S1264" ca="1">INDIRECT("Data!M" &amp; 1259)</f>
        <v>0</v>
      </c>
      <c r="T1264" cm="1">
        <f t="array" aca="1" ref="T1264" ca="1">INDIRECT("Data!N" &amp; 1259)</f>
        <v>0</v>
      </c>
      <c r="U1264" cm="1">
        <f t="array" aca="1" ref="U1264" ca="1">INDIRECT("Data!O" &amp; 1259)</f>
        <v>0</v>
      </c>
      <c r="V1264" cm="1">
        <f t="array" aca="1" ref="V1264" ca="1">INDIRECT("Data!P" &amp; 1259)</f>
        <v>0</v>
      </c>
    </row>
    <row r="1265" spans="7:22" x14ac:dyDescent="0.25">
      <c r="G1265" cm="1">
        <f t="array" aca="1" ref="G1265" ca="1">INDIRECT("Data!A" &amp; 1260)</f>
        <v>0</v>
      </c>
      <c r="H1265" s="21" cm="1">
        <f t="array" aca="1" ref="H1265" ca="1">INDIRECT("Data!B" &amp; 1260)</f>
        <v>0</v>
      </c>
      <c r="I1265" s="21" cm="1">
        <f t="array" aca="1" ref="I1265" ca="1">INDIRECT("Data!C" &amp; 1260)</f>
        <v>0</v>
      </c>
      <c r="J1265" cm="1">
        <f t="array" aca="1" ref="J1265" ca="1">INDIRECT("Data!D" &amp; 1260)</f>
        <v>0</v>
      </c>
      <c r="K1265" cm="1">
        <f t="array" aca="1" ref="K1265" ca="1">INDIRECT("Data!E" &amp; 1260)</f>
        <v>0</v>
      </c>
      <c r="L1265" cm="1">
        <f t="array" aca="1" ref="L1265" ca="1">INDIRECT("Data!F" &amp; 1260)</f>
        <v>0</v>
      </c>
      <c r="M1265" cm="1">
        <f t="array" aca="1" ref="M1265" ca="1">INDIRECT("Data!G" &amp; 1260)</f>
        <v>0</v>
      </c>
      <c r="N1265" cm="1">
        <f t="array" aca="1" ref="N1265" ca="1">INDIRECT("Data!H" &amp; 1260)</f>
        <v>0</v>
      </c>
      <c r="O1265" cm="1">
        <f t="array" aca="1" ref="O1265" ca="1">INDIRECT("Data!I" &amp; 1260)</f>
        <v>0</v>
      </c>
      <c r="P1265" s="21" cm="1">
        <f t="array" aca="1" ref="P1265" ca="1">INDIRECT("Data!J" &amp; 1260)</f>
        <v>0</v>
      </c>
      <c r="Q1265" cm="1">
        <f t="array" aca="1" ref="Q1265" ca="1">INDIRECT("Data!K" &amp; 1260)</f>
        <v>0</v>
      </c>
      <c r="R1265" cm="1">
        <f t="array" aca="1" ref="R1265" ca="1">INDIRECT("Data!L" &amp; 1260)</f>
        <v>0</v>
      </c>
      <c r="S1265" cm="1">
        <f t="array" aca="1" ref="S1265" ca="1">INDIRECT("Data!M" &amp; 1260)</f>
        <v>0</v>
      </c>
      <c r="T1265" cm="1">
        <f t="array" aca="1" ref="T1265" ca="1">INDIRECT("Data!N" &amp; 1260)</f>
        <v>0</v>
      </c>
      <c r="U1265" cm="1">
        <f t="array" aca="1" ref="U1265" ca="1">INDIRECT("Data!O" &amp; 1260)</f>
        <v>0</v>
      </c>
      <c r="V1265" cm="1">
        <f t="array" aca="1" ref="V1265" ca="1">INDIRECT("Data!P" &amp; 1260)</f>
        <v>0</v>
      </c>
    </row>
    <row r="1266" spans="7:22" x14ac:dyDescent="0.25">
      <c r="G1266" cm="1">
        <f t="array" aca="1" ref="G1266" ca="1">INDIRECT("Data!A" &amp; 1261)</f>
        <v>0</v>
      </c>
      <c r="H1266" s="21" cm="1">
        <f t="array" aca="1" ref="H1266" ca="1">INDIRECT("Data!B" &amp; 1261)</f>
        <v>0</v>
      </c>
      <c r="I1266" s="21" cm="1">
        <f t="array" aca="1" ref="I1266" ca="1">INDIRECT("Data!C" &amp; 1261)</f>
        <v>0</v>
      </c>
      <c r="J1266" cm="1">
        <f t="array" aca="1" ref="J1266" ca="1">INDIRECT("Data!D" &amp; 1261)</f>
        <v>0</v>
      </c>
      <c r="K1266" cm="1">
        <f t="array" aca="1" ref="K1266" ca="1">INDIRECT("Data!E" &amp; 1261)</f>
        <v>0</v>
      </c>
      <c r="L1266" cm="1">
        <f t="array" aca="1" ref="L1266" ca="1">INDIRECT("Data!F" &amp; 1261)</f>
        <v>0</v>
      </c>
      <c r="M1266" cm="1">
        <f t="array" aca="1" ref="M1266" ca="1">INDIRECT("Data!G" &amp; 1261)</f>
        <v>0</v>
      </c>
      <c r="N1266" cm="1">
        <f t="array" aca="1" ref="N1266" ca="1">INDIRECT("Data!H" &amp; 1261)</f>
        <v>0</v>
      </c>
      <c r="O1266" cm="1">
        <f t="array" aca="1" ref="O1266" ca="1">INDIRECT("Data!I" &amp; 1261)</f>
        <v>0</v>
      </c>
      <c r="P1266" s="21" cm="1">
        <f t="array" aca="1" ref="P1266" ca="1">INDIRECT("Data!J" &amp; 1261)</f>
        <v>0</v>
      </c>
      <c r="Q1266" cm="1">
        <f t="array" aca="1" ref="Q1266" ca="1">INDIRECT("Data!K" &amp; 1261)</f>
        <v>0</v>
      </c>
      <c r="R1266" cm="1">
        <f t="array" aca="1" ref="R1266" ca="1">INDIRECT("Data!L" &amp; 1261)</f>
        <v>0</v>
      </c>
      <c r="S1266" cm="1">
        <f t="array" aca="1" ref="S1266" ca="1">INDIRECT("Data!M" &amp; 1261)</f>
        <v>0</v>
      </c>
      <c r="T1266" cm="1">
        <f t="array" aca="1" ref="T1266" ca="1">INDIRECT("Data!N" &amp; 1261)</f>
        <v>0</v>
      </c>
      <c r="U1266" cm="1">
        <f t="array" aca="1" ref="U1266" ca="1">INDIRECT("Data!O" &amp; 1261)</f>
        <v>0</v>
      </c>
      <c r="V1266" cm="1">
        <f t="array" aca="1" ref="V1266" ca="1">INDIRECT("Data!P" &amp; 1261)</f>
        <v>0</v>
      </c>
    </row>
    <row r="1267" spans="7:22" x14ac:dyDescent="0.25">
      <c r="G1267" cm="1">
        <f t="array" aca="1" ref="G1267" ca="1">INDIRECT("Data!A" &amp; 1262)</f>
        <v>0</v>
      </c>
      <c r="H1267" s="21" cm="1">
        <f t="array" aca="1" ref="H1267" ca="1">INDIRECT("Data!B" &amp; 1262)</f>
        <v>0</v>
      </c>
      <c r="I1267" s="21" cm="1">
        <f t="array" aca="1" ref="I1267" ca="1">INDIRECT("Data!C" &amp; 1262)</f>
        <v>0</v>
      </c>
      <c r="J1267" cm="1">
        <f t="array" aca="1" ref="J1267" ca="1">INDIRECT("Data!D" &amp; 1262)</f>
        <v>0</v>
      </c>
      <c r="K1267" cm="1">
        <f t="array" aca="1" ref="K1267" ca="1">INDIRECT("Data!E" &amp; 1262)</f>
        <v>0</v>
      </c>
      <c r="L1267" cm="1">
        <f t="array" aca="1" ref="L1267" ca="1">INDIRECT("Data!F" &amp; 1262)</f>
        <v>0</v>
      </c>
      <c r="M1267" cm="1">
        <f t="array" aca="1" ref="M1267" ca="1">INDIRECT("Data!G" &amp; 1262)</f>
        <v>0</v>
      </c>
      <c r="N1267" cm="1">
        <f t="array" aca="1" ref="N1267" ca="1">INDIRECT("Data!H" &amp; 1262)</f>
        <v>0</v>
      </c>
      <c r="O1267" cm="1">
        <f t="array" aca="1" ref="O1267" ca="1">INDIRECT("Data!I" &amp; 1262)</f>
        <v>0</v>
      </c>
      <c r="P1267" s="21" cm="1">
        <f t="array" aca="1" ref="P1267" ca="1">INDIRECT("Data!J" &amp; 1262)</f>
        <v>0</v>
      </c>
      <c r="Q1267" cm="1">
        <f t="array" aca="1" ref="Q1267" ca="1">INDIRECT("Data!K" &amp; 1262)</f>
        <v>0</v>
      </c>
      <c r="R1267" cm="1">
        <f t="array" aca="1" ref="R1267" ca="1">INDIRECT("Data!L" &amp; 1262)</f>
        <v>0</v>
      </c>
      <c r="S1267" cm="1">
        <f t="array" aca="1" ref="S1267" ca="1">INDIRECT("Data!M" &amp; 1262)</f>
        <v>0</v>
      </c>
      <c r="T1267" cm="1">
        <f t="array" aca="1" ref="T1267" ca="1">INDIRECT("Data!N" &amp; 1262)</f>
        <v>0</v>
      </c>
      <c r="U1267" cm="1">
        <f t="array" aca="1" ref="U1267" ca="1">INDIRECT("Data!O" &amp; 1262)</f>
        <v>0</v>
      </c>
      <c r="V1267" cm="1">
        <f t="array" aca="1" ref="V1267" ca="1">INDIRECT("Data!P" &amp; 1262)</f>
        <v>0</v>
      </c>
    </row>
    <row r="1268" spans="7:22" x14ac:dyDescent="0.25">
      <c r="G1268" cm="1">
        <f t="array" aca="1" ref="G1268" ca="1">INDIRECT("Data!A" &amp; 1263)</f>
        <v>0</v>
      </c>
      <c r="H1268" s="21" cm="1">
        <f t="array" aca="1" ref="H1268" ca="1">INDIRECT("Data!B" &amp; 1263)</f>
        <v>0</v>
      </c>
      <c r="I1268" s="21" cm="1">
        <f t="array" aca="1" ref="I1268" ca="1">INDIRECT("Data!C" &amp; 1263)</f>
        <v>0</v>
      </c>
      <c r="J1268" cm="1">
        <f t="array" aca="1" ref="J1268" ca="1">INDIRECT("Data!D" &amp; 1263)</f>
        <v>0</v>
      </c>
      <c r="K1268" cm="1">
        <f t="array" aca="1" ref="K1268" ca="1">INDIRECT("Data!E" &amp; 1263)</f>
        <v>0</v>
      </c>
      <c r="L1268" cm="1">
        <f t="array" aca="1" ref="L1268" ca="1">INDIRECT("Data!F" &amp; 1263)</f>
        <v>0</v>
      </c>
      <c r="M1268" cm="1">
        <f t="array" aca="1" ref="M1268" ca="1">INDIRECT("Data!G" &amp; 1263)</f>
        <v>0</v>
      </c>
      <c r="N1268" cm="1">
        <f t="array" aca="1" ref="N1268" ca="1">INDIRECT("Data!H" &amp; 1263)</f>
        <v>0</v>
      </c>
      <c r="O1268" cm="1">
        <f t="array" aca="1" ref="O1268" ca="1">INDIRECT("Data!I" &amp; 1263)</f>
        <v>0</v>
      </c>
      <c r="P1268" s="21" cm="1">
        <f t="array" aca="1" ref="P1268" ca="1">INDIRECT("Data!J" &amp; 1263)</f>
        <v>0</v>
      </c>
      <c r="Q1268" cm="1">
        <f t="array" aca="1" ref="Q1268" ca="1">INDIRECT("Data!K" &amp; 1263)</f>
        <v>0</v>
      </c>
      <c r="R1268" cm="1">
        <f t="array" aca="1" ref="R1268" ca="1">INDIRECT("Data!L" &amp; 1263)</f>
        <v>0</v>
      </c>
      <c r="S1268" cm="1">
        <f t="array" aca="1" ref="S1268" ca="1">INDIRECT("Data!M" &amp; 1263)</f>
        <v>0</v>
      </c>
      <c r="T1268" cm="1">
        <f t="array" aca="1" ref="T1268" ca="1">INDIRECT("Data!N" &amp; 1263)</f>
        <v>0</v>
      </c>
      <c r="U1268" cm="1">
        <f t="array" aca="1" ref="U1268" ca="1">INDIRECT("Data!O" &amp; 1263)</f>
        <v>0</v>
      </c>
      <c r="V1268" cm="1">
        <f t="array" aca="1" ref="V1268" ca="1">INDIRECT("Data!P" &amp; 1263)</f>
        <v>0</v>
      </c>
    </row>
    <row r="1269" spans="7:22" x14ac:dyDescent="0.25">
      <c r="G1269" cm="1">
        <f t="array" aca="1" ref="G1269" ca="1">INDIRECT("Data!A" &amp; 1264)</f>
        <v>0</v>
      </c>
      <c r="H1269" s="21" cm="1">
        <f t="array" aca="1" ref="H1269" ca="1">INDIRECT("Data!B" &amp; 1264)</f>
        <v>0</v>
      </c>
      <c r="I1269" s="21" cm="1">
        <f t="array" aca="1" ref="I1269" ca="1">INDIRECT("Data!C" &amp; 1264)</f>
        <v>0</v>
      </c>
      <c r="J1269" cm="1">
        <f t="array" aca="1" ref="J1269" ca="1">INDIRECT("Data!D" &amp; 1264)</f>
        <v>0</v>
      </c>
      <c r="K1269" cm="1">
        <f t="array" aca="1" ref="K1269" ca="1">INDIRECT("Data!E" &amp; 1264)</f>
        <v>0</v>
      </c>
      <c r="L1269" cm="1">
        <f t="array" aca="1" ref="L1269" ca="1">INDIRECT("Data!F" &amp; 1264)</f>
        <v>0</v>
      </c>
      <c r="M1269" cm="1">
        <f t="array" aca="1" ref="M1269" ca="1">INDIRECT("Data!G" &amp; 1264)</f>
        <v>0</v>
      </c>
      <c r="N1269" cm="1">
        <f t="array" aca="1" ref="N1269" ca="1">INDIRECT("Data!H" &amp; 1264)</f>
        <v>0</v>
      </c>
      <c r="O1269" cm="1">
        <f t="array" aca="1" ref="O1269" ca="1">INDIRECT("Data!I" &amp; 1264)</f>
        <v>0</v>
      </c>
      <c r="P1269" s="21" cm="1">
        <f t="array" aca="1" ref="P1269" ca="1">INDIRECT("Data!J" &amp; 1264)</f>
        <v>0</v>
      </c>
      <c r="Q1269" cm="1">
        <f t="array" aca="1" ref="Q1269" ca="1">INDIRECT("Data!K" &amp; 1264)</f>
        <v>0</v>
      </c>
      <c r="R1269" cm="1">
        <f t="array" aca="1" ref="R1269" ca="1">INDIRECT("Data!L" &amp; 1264)</f>
        <v>0</v>
      </c>
      <c r="S1269" cm="1">
        <f t="array" aca="1" ref="S1269" ca="1">INDIRECT("Data!M" &amp; 1264)</f>
        <v>0</v>
      </c>
      <c r="T1269" cm="1">
        <f t="array" aca="1" ref="T1269" ca="1">INDIRECT("Data!N" &amp; 1264)</f>
        <v>0</v>
      </c>
      <c r="U1269" cm="1">
        <f t="array" aca="1" ref="U1269" ca="1">INDIRECT("Data!O" &amp; 1264)</f>
        <v>0</v>
      </c>
      <c r="V1269" cm="1">
        <f t="array" aca="1" ref="V1269" ca="1">INDIRECT("Data!P" &amp; 1264)</f>
        <v>0</v>
      </c>
    </row>
    <row r="1270" spans="7:22" x14ac:dyDescent="0.25">
      <c r="G1270" cm="1">
        <f t="array" aca="1" ref="G1270" ca="1">INDIRECT("Data!A" &amp; 1265)</f>
        <v>0</v>
      </c>
      <c r="H1270" s="21" cm="1">
        <f t="array" aca="1" ref="H1270" ca="1">INDIRECT("Data!B" &amp; 1265)</f>
        <v>0</v>
      </c>
      <c r="I1270" s="21" cm="1">
        <f t="array" aca="1" ref="I1270" ca="1">INDIRECT("Data!C" &amp; 1265)</f>
        <v>0</v>
      </c>
      <c r="J1270" cm="1">
        <f t="array" aca="1" ref="J1270" ca="1">INDIRECT("Data!D" &amp; 1265)</f>
        <v>0</v>
      </c>
      <c r="K1270" cm="1">
        <f t="array" aca="1" ref="K1270" ca="1">INDIRECT("Data!E" &amp; 1265)</f>
        <v>0</v>
      </c>
      <c r="L1270" cm="1">
        <f t="array" aca="1" ref="L1270" ca="1">INDIRECT("Data!F" &amp; 1265)</f>
        <v>0</v>
      </c>
      <c r="M1270" cm="1">
        <f t="array" aca="1" ref="M1270" ca="1">INDIRECT("Data!G" &amp; 1265)</f>
        <v>0</v>
      </c>
      <c r="N1270" cm="1">
        <f t="array" aca="1" ref="N1270" ca="1">INDIRECT("Data!H" &amp; 1265)</f>
        <v>0</v>
      </c>
      <c r="O1270" cm="1">
        <f t="array" aca="1" ref="O1270" ca="1">INDIRECT("Data!I" &amp; 1265)</f>
        <v>0</v>
      </c>
      <c r="P1270" s="21" cm="1">
        <f t="array" aca="1" ref="P1270" ca="1">INDIRECT("Data!J" &amp; 1265)</f>
        <v>0</v>
      </c>
      <c r="Q1270" cm="1">
        <f t="array" aca="1" ref="Q1270" ca="1">INDIRECT("Data!K" &amp; 1265)</f>
        <v>0</v>
      </c>
      <c r="R1270" cm="1">
        <f t="array" aca="1" ref="R1270" ca="1">INDIRECT("Data!L" &amp; 1265)</f>
        <v>0</v>
      </c>
      <c r="S1270" cm="1">
        <f t="array" aca="1" ref="S1270" ca="1">INDIRECT("Data!M" &amp; 1265)</f>
        <v>0</v>
      </c>
      <c r="T1270" cm="1">
        <f t="array" aca="1" ref="T1270" ca="1">INDIRECT("Data!N" &amp; 1265)</f>
        <v>0</v>
      </c>
      <c r="U1270" cm="1">
        <f t="array" aca="1" ref="U1270" ca="1">INDIRECT("Data!O" &amp; 1265)</f>
        <v>0</v>
      </c>
      <c r="V1270" cm="1">
        <f t="array" aca="1" ref="V1270" ca="1">INDIRECT("Data!P" &amp; 1265)</f>
        <v>0</v>
      </c>
    </row>
    <row r="1271" spans="7:22" x14ac:dyDescent="0.25">
      <c r="G1271" cm="1">
        <f t="array" aca="1" ref="G1271" ca="1">INDIRECT("Data!A" &amp; 1266)</f>
        <v>0</v>
      </c>
      <c r="H1271" s="21" cm="1">
        <f t="array" aca="1" ref="H1271" ca="1">INDIRECT("Data!B" &amp; 1266)</f>
        <v>0</v>
      </c>
      <c r="I1271" s="21" cm="1">
        <f t="array" aca="1" ref="I1271" ca="1">INDIRECT("Data!C" &amp; 1266)</f>
        <v>0</v>
      </c>
      <c r="J1271" cm="1">
        <f t="array" aca="1" ref="J1271" ca="1">INDIRECT("Data!D" &amp; 1266)</f>
        <v>0</v>
      </c>
      <c r="K1271" cm="1">
        <f t="array" aca="1" ref="K1271" ca="1">INDIRECT("Data!E" &amp; 1266)</f>
        <v>0</v>
      </c>
      <c r="L1271" cm="1">
        <f t="array" aca="1" ref="L1271" ca="1">INDIRECT("Data!F" &amp; 1266)</f>
        <v>0</v>
      </c>
      <c r="M1271" cm="1">
        <f t="array" aca="1" ref="M1271" ca="1">INDIRECT("Data!G" &amp; 1266)</f>
        <v>0</v>
      </c>
      <c r="N1271" cm="1">
        <f t="array" aca="1" ref="N1271" ca="1">INDIRECT("Data!H" &amp; 1266)</f>
        <v>0</v>
      </c>
      <c r="O1271" cm="1">
        <f t="array" aca="1" ref="O1271" ca="1">INDIRECT("Data!I" &amp; 1266)</f>
        <v>0</v>
      </c>
      <c r="P1271" s="21" cm="1">
        <f t="array" aca="1" ref="P1271" ca="1">INDIRECT("Data!J" &amp; 1266)</f>
        <v>0</v>
      </c>
      <c r="Q1271" cm="1">
        <f t="array" aca="1" ref="Q1271" ca="1">INDIRECT("Data!K" &amp; 1266)</f>
        <v>0</v>
      </c>
      <c r="R1271" cm="1">
        <f t="array" aca="1" ref="R1271" ca="1">INDIRECT("Data!L" &amp; 1266)</f>
        <v>0</v>
      </c>
      <c r="S1271" cm="1">
        <f t="array" aca="1" ref="S1271" ca="1">INDIRECT("Data!M" &amp; 1266)</f>
        <v>0</v>
      </c>
      <c r="T1271" cm="1">
        <f t="array" aca="1" ref="T1271" ca="1">INDIRECT("Data!N" &amp; 1266)</f>
        <v>0</v>
      </c>
      <c r="U1271" cm="1">
        <f t="array" aca="1" ref="U1271" ca="1">INDIRECT("Data!O" &amp; 1266)</f>
        <v>0</v>
      </c>
      <c r="V1271" cm="1">
        <f t="array" aca="1" ref="V1271" ca="1">INDIRECT("Data!P" &amp; 1266)</f>
        <v>0</v>
      </c>
    </row>
    <row r="1272" spans="7:22" x14ac:dyDescent="0.25">
      <c r="G1272" cm="1">
        <f t="array" aca="1" ref="G1272" ca="1">INDIRECT("Data!A" &amp; 1267)</f>
        <v>0</v>
      </c>
      <c r="H1272" s="21" cm="1">
        <f t="array" aca="1" ref="H1272" ca="1">INDIRECT("Data!B" &amp; 1267)</f>
        <v>0</v>
      </c>
      <c r="I1272" s="21" cm="1">
        <f t="array" aca="1" ref="I1272" ca="1">INDIRECT("Data!C" &amp; 1267)</f>
        <v>0</v>
      </c>
      <c r="J1272" cm="1">
        <f t="array" aca="1" ref="J1272" ca="1">INDIRECT("Data!D" &amp; 1267)</f>
        <v>0</v>
      </c>
      <c r="K1272" cm="1">
        <f t="array" aca="1" ref="K1272" ca="1">INDIRECT("Data!E" &amp; 1267)</f>
        <v>0</v>
      </c>
      <c r="L1272" cm="1">
        <f t="array" aca="1" ref="L1272" ca="1">INDIRECT("Data!F" &amp; 1267)</f>
        <v>0</v>
      </c>
      <c r="M1272" cm="1">
        <f t="array" aca="1" ref="M1272" ca="1">INDIRECT("Data!G" &amp; 1267)</f>
        <v>0</v>
      </c>
      <c r="N1272" cm="1">
        <f t="array" aca="1" ref="N1272" ca="1">INDIRECT("Data!H" &amp; 1267)</f>
        <v>0</v>
      </c>
      <c r="O1272" cm="1">
        <f t="array" aca="1" ref="O1272" ca="1">INDIRECT("Data!I" &amp; 1267)</f>
        <v>0</v>
      </c>
      <c r="P1272" s="21" cm="1">
        <f t="array" aca="1" ref="P1272" ca="1">INDIRECT("Data!J" &amp; 1267)</f>
        <v>0</v>
      </c>
      <c r="Q1272" cm="1">
        <f t="array" aca="1" ref="Q1272" ca="1">INDIRECT("Data!K" &amp; 1267)</f>
        <v>0</v>
      </c>
      <c r="R1272" cm="1">
        <f t="array" aca="1" ref="R1272" ca="1">INDIRECT("Data!L" &amp; 1267)</f>
        <v>0</v>
      </c>
      <c r="S1272" cm="1">
        <f t="array" aca="1" ref="S1272" ca="1">INDIRECT("Data!M" &amp; 1267)</f>
        <v>0</v>
      </c>
      <c r="T1272" cm="1">
        <f t="array" aca="1" ref="T1272" ca="1">INDIRECT("Data!N" &amp; 1267)</f>
        <v>0</v>
      </c>
      <c r="U1272" cm="1">
        <f t="array" aca="1" ref="U1272" ca="1">INDIRECT("Data!O" &amp; 1267)</f>
        <v>0</v>
      </c>
      <c r="V1272" cm="1">
        <f t="array" aca="1" ref="V1272" ca="1">INDIRECT("Data!P" &amp; 1267)</f>
        <v>0</v>
      </c>
    </row>
    <row r="1273" spans="7:22" x14ac:dyDescent="0.25">
      <c r="G1273" cm="1">
        <f t="array" aca="1" ref="G1273" ca="1">INDIRECT("Data!A" &amp; 1268)</f>
        <v>0</v>
      </c>
      <c r="H1273" s="21" cm="1">
        <f t="array" aca="1" ref="H1273" ca="1">INDIRECT("Data!B" &amp; 1268)</f>
        <v>0</v>
      </c>
      <c r="I1273" s="21" cm="1">
        <f t="array" aca="1" ref="I1273" ca="1">INDIRECT("Data!C" &amp; 1268)</f>
        <v>0</v>
      </c>
      <c r="J1273" cm="1">
        <f t="array" aca="1" ref="J1273" ca="1">INDIRECT("Data!D" &amp; 1268)</f>
        <v>0</v>
      </c>
      <c r="K1273" cm="1">
        <f t="array" aca="1" ref="K1273" ca="1">INDIRECT("Data!E" &amp; 1268)</f>
        <v>0</v>
      </c>
      <c r="L1273" cm="1">
        <f t="array" aca="1" ref="L1273" ca="1">INDIRECT("Data!F" &amp; 1268)</f>
        <v>0</v>
      </c>
      <c r="M1273" cm="1">
        <f t="array" aca="1" ref="M1273" ca="1">INDIRECT("Data!G" &amp; 1268)</f>
        <v>0</v>
      </c>
      <c r="N1273" cm="1">
        <f t="array" aca="1" ref="N1273" ca="1">INDIRECT("Data!H" &amp; 1268)</f>
        <v>0</v>
      </c>
      <c r="O1273" cm="1">
        <f t="array" aca="1" ref="O1273" ca="1">INDIRECT("Data!I" &amp; 1268)</f>
        <v>0</v>
      </c>
      <c r="P1273" s="21" cm="1">
        <f t="array" aca="1" ref="P1273" ca="1">INDIRECT("Data!J" &amp; 1268)</f>
        <v>0</v>
      </c>
      <c r="Q1273" cm="1">
        <f t="array" aca="1" ref="Q1273" ca="1">INDIRECT("Data!K" &amp; 1268)</f>
        <v>0</v>
      </c>
      <c r="R1273" cm="1">
        <f t="array" aca="1" ref="R1273" ca="1">INDIRECT("Data!L" &amp; 1268)</f>
        <v>0</v>
      </c>
      <c r="S1273" cm="1">
        <f t="array" aca="1" ref="S1273" ca="1">INDIRECT("Data!M" &amp; 1268)</f>
        <v>0</v>
      </c>
      <c r="T1273" cm="1">
        <f t="array" aca="1" ref="T1273" ca="1">INDIRECT("Data!N" &amp; 1268)</f>
        <v>0</v>
      </c>
      <c r="U1273" cm="1">
        <f t="array" aca="1" ref="U1273" ca="1">INDIRECT("Data!O" &amp; 1268)</f>
        <v>0</v>
      </c>
      <c r="V1273" cm="1">
        <f t="array" aca="1" ref="V1273" ca="1">INDIRECT("Data!P" &amp; 1268)</f>
        <v>0</v>
      </c>
    </row>
    <row r="1274" spans="7:22" x14ac:dyDescent="0.25">
      <c r="G1274" cm="1">
        <f t="array" aca="1" ref="G1274" ca="1">INDIRECT("Data!A" &amp; 1269)</f>
        <v>0</v>
      </c>
      <c r="H1274" s="21" cm="1">
        <f t="array" aca="1" ref="H1274" ca="1">INDIRECT("Data!B" &amp; 1269)</f>
        <v>0</v>
      </c>
      <c r="I1274" s="21" cm="1">
        <f t="array" aca="1" ref="I1274" ca="1">INDIRECT("Data!C" &amp; 1269)</f>
        <v>0</v>
      </c>
      <c r="J1274" cm="1">
        <f t="array" aca="1" ref="J1274" ca="1">INDIRECT("Data!D" &amp; 1269)</f>
        <v>0</v>
      </c>
      <c r="K1274" cm="1">
        <f t="array" aca="1" ref="K1274" ca="1">INDIRECT("Data!E" &amp; 1269)</f>
        <v>0</v>
      </c>
      <c r="L1274" cm="1">
        <f t="array" aca="1" ref="L1274" ca="1">INDIRECT("Data!F" &amp; 1269)</f>
        <v>0</v>
      </c>
      <c r="M1274" cm="1">
        <f t="array" aca="1" ref="M1274" ca="1">INDIRECT("Data!G" &amp; 1269)</f>
        <v>0</v>
      </c>
      <c r="N1274" cm="1">
        <f t="array" aca="1" ref="N1274" ca="1">INDIRECT("Data!H" &amp; 1269)</f>
        <v>0</v>
      </c>
      <c r="O1274" cm="1">
        <f t="array" aca="1" ref="O1274" ca="1">INDIRECT("Data!I" &amp; 1269)</f>
        <v>0</v>
      </c>
      <c r="P1274" s="21" cm="1">
        <f t="array" aca="1" ref="P1274" ca="1">INDIRECT("Data!J" &amp; 1269)</f>
        <v>0</v>
      </c>
      <c r="Q1274" cm="1">
        <f t="array" aca="1" ref="Q1274" ca="1">INDIRECT("Data!K" &amp; 1269)</f>
        <v>0</v>
      </c>
      <c r="R1274" cm="1">
        <f t="array" aca="1" ref="R1274" ca="1">INDIRECT("Data!L" &amp; 1269)</f>
        <v>0</v>
      </c>
      <c r="S1274" cm="1">
        <f t="array" aca="1" ref="S1274" ca="1">INDIRECT("Data!M" &amp; 1269)</f>
        <v>0</v>
      </c>
      <c r="T1274" cm="1">
        <f t="array" aca="1" ref="T1274" ca="1">INDIRECT("Data!N" &amp; 1269)</f>
        <v>0</v>
      </c>
      <c r="U1274" cm="1">
        <f t="array" aca="1" ref="U1274" ca="1">INDIRECT("Data!O" &amp; 1269)</f>
        <v>0</v>
      </c>
      <c r="V1274" cm="1">
        <f t="array" aca="1" ref="V1274" ca="1">INDIRECT("Data!P" &amp; 1269)</f>
        <v>0</v>
      </c>
    </row>
    <row r="1275" spans="7:22" x14ac:dyDescent="0.25">
      <c r="G1275" cm="1">
        <f t="array" aca="1" ref="G1275" ca="1">INDIRECT("Data!A" &amp; 1270)</f>
        <v>0</v>
      </c>
      <c r="H1275" s="21" cm="1">
        <f t="array" aca="1" ref="H1275" ca="1">INDIRECT("Data!B" &amp; 1270)</f>
        <v>0</v>
      </c>
      <c r="I1275" s="21" cm="1">
        <f t="array" aca="1" ref="I1275" ca="1">INDIRECT("Data!C" &amp; 1270)</f>
        <v>0</v>
      </c>
      <c r="J1275" cm="1">
        <f t="array" aca="1" ref="J1275" ca="1">INDIRECT("Data!D" &amp; 1270)</f>
        <v>0</v>
      </c>
      <c r="K1275" cm="1">
        <f t="array" aca="1" ref="K1275" ca="1">INDIRECT("Data!E" &amp; 1270)</f>
        <v>0</v>
      </c>
      <c r="L1275" cm="1">
        <f t="array" aca="1" ref="L1275" ca="1">INDIRECT("Data!F" &amp; 1270)</f>
        <v>0</v>
      </c>
      <c r="M1275" cm="1">
        <f t="array" aca="1" ref="M1275" ca="1">INDIRECT("Data!G" &amp; 1270)</f>
        <v>0</v>
      </c>
      <c r="N1275" cm="1">
        <f t="array" aca="1" ref="N1275" ca="1">INDIRECT("Data!H" &amp; 1270)</f>
        <v>0</v>
      </c>
      <c r="O1275" cm="1">
        <f t="array" aca="1" ref="O1275" ca="1">INDIRECT("Data!I" &amp; 1270)</f>
        <v>0</v>
      </c>
      <c r="P1275" s="21" cm="1">
        <f t="array" aca="1" ref="P1275" ca="1">INDIRECT("Data!J" &amp; 1270)</f>
        <v>0</v>
      </c>
      <c r="Q1275" cm="1">
        <f t="array" aca="1" ref="Q1275" ca="1">INDIRECT("Data!K" &amp; 1270)</f>
        <v>0</v>
      </c>
      <c r="R1275" cm="1">
        <f t="array" aca="1" ref="R1275" ca="1">INDIRECT("Data!L" &amp; 1270)</f>
        <v>0</v>
      </c>
      <c r="S1275" cm="1">
        <f t="array" aca="1" ref="S1275" ca="1">INDIRECT("Data!M" &amp; 1270)</f>
        <v>0</v>
      </c>
      <c r="T1275" cm="1">
        <f t="array" aca="1" ref="T1275" ca="1">INDIRECT("Data!N" &amp; 1270)</f>
        <v>0</v>
      </c>
      <c r="U1275" cm="1">
        <f t="array" aca="1" ref="U1275" ca="1">INDIRECT("Data!O" &amp; 1270)</f>
        <v>0</v>
      </c>
      <c r="V1275" cm="1">
        <f t="array" aca="1" ref="V1275" ca="1">INDIRECT("Data!P" &amp; 1270)</f>
        <v>0</v>
      </c>
    </row>
    <row r="1276" spans="7:22" x14ac:dyDescent="0.25">
      <c r="G1276" cm="1">
        <f t="array" aca="1" ref="G1276" ca="1">INDIRECT("Data!A" &amp; 1271)</f>
        <v>0</v>
      </c>
      <c r="H1276" s="21" cm="1">
        <f t="array" aca="1" ref="H1276" ca="1">INDIRECT("Data!B" &amp; 1271)</f>
        <v>0</v>
      </c>
      <c r="I1276" s="21" cm="1">
        <f t="array" aca="1" ref="I1276" ca="1">INDIRECT("Data!C" &amp; 1271)</f>
        <v>0</v>
      </c>
      <c r="J1276" cm="1">
        <f t="array" aca="1" ref="J1276" ca="1">INDIRECT("Data!D" &amp; 1271)</f>
        <v>0</v>
      </c>
      <c r="K1276" cm="1">
        <f t="array" aca="1" ref="K1276" ca="1">INDIRECT("Data!E" &amp; 1271)</f>
        <v>0</v>
      </c>
      <c r="L1276" cm="1">
        <f t="array" aca="1" ref="L1276" ca="1">INDIRECT("Data!F" &amp; 1271)</f>
        <v>0</v>
      </c>
      <c r="M1276" cm="1">
        <f t="array" aca="1" ref="M1276" ca="1">INDIRECT("Data!G" &amp; 1271)</f>
        <v>0</v>
      </c>
      <c r="N1276" cm="1">
        <f t="array" aca="1" ref="N1276" ca="1">INDIRECT("Data!H" &amp; 1271)</f>
        <v>0</v>
      </c>
      <c r="O1276" cm="1">
        <f t="array" aca="1" ref="O1276" ca="1">INDIRECT("Data!I" &amp; 1271)</f>
        <v>0</v>
      </c>
      <c r="P1276" s="21" cm="1">
        <f t="array" aca="1" ref="P1276" ca="1">INDIRECT("Data!J" &amp; 1271)</f>
        <v>0</v>
      </c>
      <c r="Q1276" cm="1">
        <f t="array" aca="1" ref="Q1276" ca="1">INDIRECT("Data!K" &amp; 1271)</f>
        <v>0</v>
      </c>
      <c r="R1276" cm="1">
        <f t="array" aca="1" ref="R1276" ca="1">INDIRECT("Data!L" &amp; 1271)</f>
        <v>0</v>
      </c>
      <c r="S1276" cm="1">
        <f t="array" aca="1" ref="S1276" ca="1">INDIRECT("Data!M" &amp; 1271)</f>
        <v>0</v>
      </c>
      <c r="T1276" cm="1">
        <f t="array" aca="1" ref="T1276" ca="1">INDIRECT("Data!N" &amp; 1271)</f>
        <v>0</v>
      </c>
      <c r="U1276" cm="1">
        <f t="array" aca="1" ref="U1276" ca="1">INDIRECT("Data!O" &amp; 1271)</f>
        <v>0</v>
      </c>
      <c r="V1276" cm="1">
        <f t="array" aca="1" ref="V1276" ca="1">INDIRECT("Data!P" &amp; 1271)</f>
        <v>0</v>
      </c>
    </row>
    <row r="1277" spans="7:22" x14ac:dyDescent="0.25">
      <c r="G1277" cm="1">
        <f t="array" aca="1" ref="G1277" ca="1">INDIRECT("Data!A" &amp; 1272)</f>
        <v>0</v>
      </c>
      <c r="H1277" s="21" cm="1">
        <f t="array" aca="1" ref="H1277" ca="1">INDIRECT("Data!B" &amp; 1272)</f>
        <v>0</v>
      </c>
      <c r="I1277" s="21" cm="1">
        <f t="array" aca="1" ref="I1277" ca="1">INDIRECT("Data!C" &amp; 1272)</f>
        <v>0</v>
      </c>
      <c r="J1277" cm="1">
        <f t="array" aca="1" ref="J1277" ca="1">INDIRECT("Data!D" &amp; 1272)</f>
        <v>0</v>
      </c>
      <c r="K1277" cm="1">
        <f t="array" aca="1" ref="K1277" ca="1">INDIRECT("Data!E" &amp; 1272)</f>
        <v>0</v>
      </c>
      <c r="L1277" cm="1">
        <f t="array" aca="1" ref="L1277" ca="1">INDIRECT("Data!F" &amp; 1272)</f>
        <v>0</v>
      </c>
      <c r="M1277" cm="1">
        <f t="array" aca="1" ref="M1277" ca="1">INDIRECT("Data!G" &amp; 1272)</f>
        <v>0</v>
      </c>
      <c r="N1277" cm="1">
        <f t="array" aca="1" ref="N1277" ca="1">INDIRECT("Data!H" &amp; 1272)</f>
        <v>0</v>
      </c>
      <c r="O1277" cm="1">
        <f t="array" aca="1" ref="O1277" ca="1">INDIRECT("Data!I" &amp; 1272)</f>
        <v>0</v>
      </c>
      <c r="P1277" s="21" cm="1">
        <f t="array" aca="1" ref="P1277" ca="1">INDIRECT("Data!J" &amp; 1272)</f>
        <v>0</v>
      </c>
      <c r="Q1277" cm="1">
        <f t="array" aca="1" ref="Q1277" ca="1">INDIRECT("Data!K" &amp; 1272)</f>
        <v>0</v>
      </c>
      <c r="R1277" cm="1">
        <f t="array" aca="1" ref="R1277" ca="1">INDIRECT("Data!L" &amp; 1272)</f>
        <v>0</v>
      </c>
      <c r="S1277" cm="1">
        <f t="array" aca="1" ref="S1277" ca="1">INDIRECT("Data!M" &amp; 1272)</f>
        <v>0</v>
      </c>
      <c r="T1277" cm="1">
        <f t="array" aca="1" ref="T1277" ca="1">INDIRECT("Data!N" &amp; 1272)</f>
        <v>0</v>
      </c>
      <c r="U1277" cm="1">
        <f t="array" aca="1" ref="U1277" ca="1">INDIRECT("Data!O" &amp; 1272)</f>
        <v>0</v>
      </c>
      <c r="V1277" cm="1">
        <f t="array" aca="1" ref="V1277" ca="1">INDIRECT("Data!P" &amp; 1272)</f>
        <v>0</v>
      </c>
    </row>
    <row r="1278" spans="7:22" x14ac:dyDescent="0.25">
      <c r="G1278" cm="1">
        <f t="array" aca="1" ref="G1278" ca="1">INDIRECT("Data!A" &amp; 1273)</f>
        <v>0</v>
      </c>
      <c r="H1278" s="21" cm="1">
        <f t="array" aca="1" ref="H1278" ca="1">INDIRECT("Data!B" &amp; 1273)</f>
        <v>0</v>
      </c>
      <c r="I1278" s="21" cm="1">
        <f t="array" aca="1" ref="I1278" ca="1">INDIRECT("Data!C" &amp; 1273)</f>
        <v>0</v>
      </c>
      <c r="J1278" cm="1">
        <f t="array" aca="1" ref="J1278" ca="1">INDIRECT("Data!D" &amp; 1273)</f>
        <v>0</v>
      </c>
      <c r="K1278" cm="1">
        <f t="array" aca="1" ref="K1278" ca="1">INDIRECT("Data!E" &amp; 1273)</f>
        <v>0</v>
      </c>
      <c r="L1278" cm="1">
        <f t="array" aca="1" ref="L1278" ca="1">INDIRECT("Data!F" &amp; 1273)</f>
        <v>0</v>
      </c>
      <c r="M1278" cm="1">
        <f t="array" aca="1" ref="M1278" ca="1">INDIRECT("Data!G" &amp; 1273)</f>
        <v>0</v>
      </c>
      <c r="N1278" cm="1">
        <f t="array" aca="1" ref="N1278" ca="1">INDIRECT("Data!H" &amp; 1273)</f>
        <v>0</v>
      </c>
      <c r="O1278" cm="1">
        <f t="array" aca="1" ref="O1278" ca="1">INDIRECT("Data!I" &amp; 1273)</f>
        <v>0</v>
      </c>
      <c r="P1278" s="21" cm="1">
        <f t="array" aca="1" ref="P1278" ca="1">INDIRECT("Data!J" &amp; 1273)</f>
        <v>0</v>
      </c>
      <c r="Q1278" cm="1">
        <f t="array" aca="1" ref="Q1278" ca="1">INDIRECT("Data!K" &amp; 1273)</f>
        <v>0</v>
      </c>
      <c r="R1278" cm="1">
        <f t="array" aca="1" ref="R1278" ca="1">INDIRECT("Data!L" &amp; 1273)</f>
        <v>0</v>
      </c>
      <c r="S1278" cm="1">
        <f t="array" aca="1" ref="S1278" ca="1">INDIRECT("Data!M" &amp; 1273)</f>
        <v>0</v>
      </c>
      <c r="T1278" cm="1">
        <f t="array" aca="1" ref="T1278" ca="1">INDIRECT("Data!N" &amp; 1273)</f>
        <v>0</v>
      </c>
      <c r="U1278" cm="1">
        <f t="array" aca="1" ref="U1278" ca="1">INDIRECT("Data!O" &amp; 1273)</f>
        <v>0</v>
      </c>
      <c r="V1278" cm="1">
        <f t="array" aca="1" ref="V1278" ca="1">INDIRECT("Data!P" &amp; 1273)</f>
        <v>0</v>
      </c>
    </row>
    <row r="1279" spans="7:22" x14ac:dyDescent="0.25">
      <c r="G1279" cm="1">
        <f t="array" aca="1" ref="G1279" ca="1">INDIRECT("Data!A" &amp; 1274)</f>
        <v>0</v>
      </c>
      <c r="H1279" s="21" cm="1">
        <f t="array" aca="1" ref="H1279" ca="1">INDIRECT("Data!B" &amp; 1274)</f>
        <v>0</v>
      </c>
      <c r="I1279" s="21" cm="1">
        <f t="array" aca="1" ref="I1279" ca="1">INDIRECT("Data!C" &amp; 1274)</f>
        <v>0</v>
      </c>
      <c r="J1279" cm="1">
        <f t="array" aca="1" ref="J1279" ca="1">INDIRECT("Data!D" &amp; 1274)</f>
        <v>0</v>
      </c>
      <c r="K1279" cm="1">
        <f t="array" aca="1" ref="K1279" ca="1">INDIRECT("Data!E" &amp; 1274)</f>
        <v>0</v>
      </c>
      <c r="L1279" cm="1">
        <f t="array" aca="1" ref="L1279" ca="1">INDIRECT("Data!F" &amp; 1274)</f>
        <v>0</v>
      </c>
      <c r="M1279" cm="1">
        <f t="array" aca="1" ref="M1279" ca="1">INDIRECT("Data!G" &amp; 1274)</f>
        <v>0</v>
      </c>
      <c r="N1279" cm="1">
        <f t="array" aca="1" ref="N1279" ca="1">INDIRECT("Data!H" &amp; 1274)</f>
        <v>0</v>
      </c>
      <c r="O1279" cm="1">
        <f t="array" aca="1" ref="O1279" ca="1">INDIRECT("Data!I" &amp; 1274)</f>
        <v>0</v>
      </c>
      <c r="P1279" s="21" cm="1">
        <f t="array" aca="1" ref="P1279" ca="1">INDIRECT("Data!J" &amp; 1274)</f>
        <v>0</v>
      </c>
      <c r="Q1279" cm="1">
        <f t="array" aca="1" ref="Q1279" ca="1">INDIRECT("Data!K" &amp; 1274)</f>
        <v>0</v>
      </c>
      <c r="R1279" cm="1">
        <f t="array" aca="1" ref="R1279" ca="1">INDIRECT("Data!L" &amp; 1274)</f>
        <v>0</v>
      </c>
      <c r="S1279" cm="1">
        <f t="array" aca="1" ref="S1279" ca="1">INDIRECT("Data!M" &amp; 1274)</f>
        <v>0</v>
      </c>
      <c r="T1279" cm="1">
        <f t="array" aca="1" ref="T1279" ca="1">INDIRECT("Data!N" &amp; 1274)</f>
        <v>0</v>
      </c>
      <c r="U1279" cm="1">
        <f t="array" aca="1" ref="U1279" ca="1">INDIRECT("Data!O" &amp; 1274)</f>
        <v>0</v>
      </c>
      <c r="V1279" cm="1">
        <f t="array" aca="1" ref="V1279" ca="1">INDIRECT("Data!P" &amp; 1274)</f>
        <v>0</v>
      </c>
    </row>
    <row r="1280" spans="7:22" x14ac:dyDescent="0.25">
      <c r="G1280" cm="1">
        <f t="array" aca="1" ref="G1280" ca="1">INDIRECT("Data!A" &amp; 1275)</f>
        <v>0</v>
      </c>
      <c r="H1280" s="21" cm="1">
        <f t="array" aca="1" ref="H1280" ca="1">INDIRECT("Data!B" &amp; 1275)</f>
        <v>0</v>
      </c>
      <c r="I1280" s="21" cm="1">
        <f t="array" aca="1" ref="I1280" ca="1">INDIRECT("Data!C" &amp; 1275)</f>
        <v>0</v>
      </c>
      <c r="J1280" cm="1">
        <f t="array" aca="1" ref="J1280" ca="1">INDIRECT("Data!D" &amp; 1275)</f>
        <v>0</v>
      </c>
      <c r="K1280" cm="1">
        <f t="array" aca="1" ref="K1280" ca="1">INDIRECT("Data!E" &amp; 1275)</f>
        <v>0</v>
      </c>
      <c r="L1280" cm="1">
        <f t="array" aca="1" ref="L1280" ca="1">INDIRECT("Data!F" &amp; 1275)</f>
        <v>0</v>
      </c>
      <c r="M1280" cm="1">
        <f t="array" aca="1" ref="M1280" ca="1">INDIRECT("Data!G" &amp; 1275)</f>
        <v>0</v>
      </c>
      <c r="N1280" cm="1">
        <f t="array" aca="1" ref="N1280" ca="1">INDIRECT("Data!H" &amp; 1275)</f>
        <v>0</v>
      </c>
      <c r="O1280" cm="1">
        <f t="array" aca="1" ref="O1280" ca="1">INDIRECT("Data!I" &amp; 1275)</f>
        <v>0</v>
      </c>
      <c r="P1280" s="21" cm="1">
        <f t="array" aca="1" ref="P1280" ca="1">INDIRECT("Data!J" &amp; 1275)</f>
        <v>0</v>
      </c>
      <c r="Q1280" cm="1">
        <f t="array" aca="1" ref="Q1280" ca="1">INDIRECT("Data!K" &amp; 1275)</f>
        <v>0</v>
      </c>
      <c r="R1280" cm="1">
        <f t="array" aca="1" ref="R1280" ca="1">INDIRECT("Data!L" &amp; 1275)</f>
        <v>0</v>
      </c>
      <c r="S1280" cm="1">
        <f t="array" aca="1" ref="S1280" ca="1">INDIRECT("Data!M" &amp; 1275)</f>
        <v>0</v>
      </c>
      <c r="T1280" cm="1">
        <f t="array" aca="1" ref="T1280" ca="1">INDIRECT("Data!N" &amp; 1275)</f>
        <v>0</v>
      </c>
      <c r="U1280" cm="1">
        <f t="array" aca="1" ref="U1280" ca="1">INDIRECT("Data!O" &amp; 1275)</f>
        <v>0</v>
      </c>
      <c r="V1280" cm="1">
        <f t="array" aca="1" ref="V1280" ca="1">INDIRECT("Data!P" &amp; 1275)</f>
        <v>0</v>
      </c>
    </row>
    <row r="1281" spans="7:22" x14ac:dyDescent="0.25">
      <c r="G1281" cm="1">
        <f t="array" aca="1" ref="G1281" ca="1">INDIRECT("Data!A" &amp; 1276)</f>
        <v>0</v>
      </c>
      <c r="H1281" s="21" cm="1">
        <f t="array" aca="1" ref="H1281" ca="1">INDIRECT("Data!B" &amp; 1276)</f>
        <v>0</v>
      </c>
      <c r="I1281" s="21" cm="1">
        <f t="array" aca="1" ref="I1281" ca="1">INDIRECT("Data!C" &amp; 1276)</f>
        <v>0</v>
      </c>
      <c r="J1281" cm="1">
        <f t="array" aca="1" ref="J1281" ca="1">INDIRECT("Data!D" &amp; 1276)</f>
        <v>0</v>
      </c>
      <c r="K1281" cm="1">
        <f t="array" aca="1" ref="K1281" ca="1">INDIRECT("Data!E" &amp; 1276)</f>
        <v>0</v>
      </c>
      <c r="L1281" cm="1">
        <f t="array" aca="1" ref="L1281" ca="1">INDIRECT("Data!F" &amp; 1276)</f>
        <v>0</v>
      </c>
      <c r="M1281" cm="1">
        <f t="array" aca="1" ref="M1281" ca="1">INDIRECT("Data!G" &amp; 1276)</f>
        <v>0</v>
      </c>
      <c r="N1281" cm="1">
        <f t="array" aca="1" ref="N1281" ca="1">INDIRECT("Data!H" &amp; 1276)</f>
        <v>0</v>
      </c>
      <c r="O1281" cm="1">
        <f t="array" aca="1" ref="O1281" ca="1">INDIRECT("Data!I" &amp; 1276)</f>
        <v>0</v>
      </c>
      <c r="P1281" s="21" cm="1">
        <f t="array" aca="1" ref="P1281" ca="1">INDIRECT("Data!J" &amp; 1276)</f>
        <v>0</v>
      </c>
      <c r="Q1281" cm="1">
        <f t="array" aca="1" ref="Q1281" ca="1">INDIRECT("Data!K" &amp; 1276)</f>
        <v>0</v>
      </c>
      <c r="R1281" cm="1">
        <f t="array" aca="1" ref="R1281" ca="1">INDIRECT("Data!L" &amp; 1276)</f>
        <v>0</v>
      </c>
      <c r="S1281" cm="1">
        <f t="array" aca="1" ref="S1281" ca="1">INDIRECT("Data!M" &amp; 1276)</f>
        <v>0</v>
      </c>
      <c r="T1281" cm="1">
        <f t="array" aca="1" ref="T1281" ca="1">INDIRECT("Data!N" &amp; 1276)</f>
        <v>0</v>
      </c>
      <c r="U1281" cm="1">
        <f t="array" aca="1" ref="U1281" ca="1">INDIRECT("Data!O" &amp; 1276)</f>
        <v>0</v>
      </c>
      <c r="V1281" cm="1">
        <f t="array" aca="1" ref="V1281" ca="1">INDIRECT("Data!P" &amp; 1276)</f>
        <v>0</v>
      </c>
    </row>
    <row r="1282" spans="7:22" x14ac:dyDescent="0.25">
      <c r="G1282" cm="1">
        <f t="array" aca="1" ref="G1282" ca="1">INDIRECT("Data!A" &amp; 1277)</f>
        <v>0</v>
      </c>
      <c r="H1282" s="21" cm="1">
        <f t="array" aca="1" ref="H1282" ca="1">INDIRECT("Data!B" &amp; 1277)</f>
        <v>0</v>
      </c>
      <c r="I1282" s="21" cm="1">
        <f t="array" aca="1" ref="I1282" ca="1">INDIRECT("Data!C" &amp; 1277)</f>
        <v>0</v>
      </c>
      <c r="J1282" cm="1">
        <f t="array" aca="1" ref="J1282" ca="1">INDIRECT("Data!D" &amp; 1277)</f>
        <v>0</v>
      </c>
      <c r="K1282" cm="1">
        <f t="array" aca="1" ref="K1282" ca="1">INDIRECT("Data!E" &amp; 1277)</f>
        <v>0</v>
      </c>
      <c r="L1282" cm="1">
        <f t="array" aca="1" ref="L1282" ca="1">INDIRECT("Data!F" &amp; 1277)</f>
        <v>0</v>
      </c>
      <c r="M1282" cm="1">
        <f t="array" aca="1" ref="M1282" ca="1">INDIRECT("Data!G" &amp; 1277)</f>
        <v>0</v>
      </c>
      <c r="N1282" cm="1">
        <f t="array" aca="1" ref="N1282" ca="1">INDIRECT("Data!H" &amp; 1277)</f>
        <v>0</v>
      </c>
      <c r="O1282" cm="1">
        <f t="array" aca="1" ref="O1282" ca="1">INDIRECT("Data!I" &amp; 1277)</f>
        <v>0</v>
      </c>
      <c r="P1282" s="21" cm="1">
        <f t="array" aca="1" ref="P1282" ca="1">INDIRECT("Data!J" &amp; 1277)</f>
        <v>0</v>
      </c>
      <c r="Q1282" cm="1">
        <f t="array" aca="1" ref="Q1282" ca="1">INDIRECT("Data!K" &amp; 1277)</f>
        <v>0</v>
      </c>
      <c r="R1282" cm="1">
        <f t="array" aca="1" ref="R1282" ca="1">INDIRECT("Data!L" &amp; 1277)</f>
        <v>0</v>
      </c>
      <c r="S1282" cm="1">
        <f t="array" aca="1" ref="S1282" ca="1">INDIRECT("Data!M" &amp; 1277)</f>
        <v>0</v>
      </c>
      <c r="T1282" cm="1">
        <f t="array" aca="1" ref="T1282" ca="1">INDIRECT("Data!N" &amp; 1277)</f>
        <v>0</v>
      </c>
      <c r="U1282" cm="1">
        <f t="array" aca="1" ref="U1282" ca="1">INDIRECT("Data!O" &amp; 1277)</f>
        <v>0</v>
      </c>
      <c r="V1282" cm="1">
        <f t="array" aca="1" ref="V1282" ca="1">INDIRECT("Data!P" &amp; 1277)</f>
        <v>0</v>
      </c>
    </row>
    <row r="1283" spans="7:22" x14ac:dyDescent="0.25">
      <c r="G1283" cm="1">
        <f t="array" aca="1" ref="G1283" ca="1">INDIRECT("Data!A" &amp; 1278)</f>
        <v>0</v>
      </c>
      <c r="H1283" s="21" cm="1">
        <f t="array" aca="1" ref="H1283" ca="1">INDIRECT("Data!B" &amp; 1278)</f>
        <v>0</v>
      </c>
      <c r="I1283" s="21" cm="1">
        <f t="array" aca="1" ref="I1283" ca="1">INDIRECT("Data!C" &amp; 1278)</f>
        <v>0</v>
      </c>
      <c r="J1283" cm="1">
        <f t="array" aca="1" ref="J1283" ca="1">INDIRECT("Data!D" &amp; 1278)</f>
        <v>0</v>
      </c>
      <c r="K1283" cm="1">
        <f t="array" aca="1" ref="K1283" ca="1">INDIRECT("Data!E" &amp; 1278)</f>
        <v>0</v>
      </c>
      <c r="L1283" cm="1">
        <f t="array" aca="1" ref="L1283" ca="1">INDIRECT("Data!F" &amp; 1278)</f>
        <v>0</v>
      </c>
      <c r="M1283" cm="1">
        <f t="array" aca="1" ref="M1283" ca="1">INDIRECT("Data!G" &amp; 1278)</f>
        <v>0</v>
      </c>
      <c r="N1283" cm="1">
        <f t="array" aca="1" ref="N1283" ca="1">INDIRECT("Data!H" &amp; 1278)</f>
        <v>0</v>
      </c>
      <c r="O1283" cm="1">
        <f t="array" aca="1" ref="O1283" ca="1">INDIRECT("Data!I" &amp; 1278)</f>
        <v>0</v>
      </c>
      <c r="P1283" s="21" cm="1">
        <f t="array" aca="1" ref="P1283" ca="1">INDIRECT("Data!J" &amp; 1278)</f>
        <v>0</v>
      </c>
      <c r="Q1283" cm="1">
        <f t="array" aca="1" ref="Q1283" ca="1">INDIRECT("Data!K" &amp; 1278)</f>
        <v>0</v>
      </c>
      <c r="R1283" cm="1">
        <f t="array" aca="1" ref="R1283" ca="1">INDIRECT("Data!L" &amp; 1278)</f>
        <v>0</v>
      </c>
      <c r="S1283" cm="1">
        <f t="array" aca="1" ref="S1283" ca="1">INDIRECT("Data!M" &amp; 1278)</f>
        <v>0</v>
      </c>
      <c r="T1283" cm="1">
        <f t="array" aca="1" ref="T1283" ca="1">INDIRECT("Data!N" &amp; 1278)</f>
        <v>0</v>
      </c>
      <c r="U1283" cm="1">
        <f t="array" aca="1" ref="U1283" ca="1">INDIRECT("Data!O" &amp; 1278)</f>
        <v>0</v>
      </c>
      <c r="V1283" cm="1">
        <f t="array" aca="1" ref="V1283" ca="1">INDIRECT("Data!P" &amp; 1278)</f>
        <v>0</v>
      </c>
    </row>
    <row r="1284" spans="7:22" x14ac:dyDescent="0.25">
      <c r="G1284" cm="1">
        <f t="array" aca="1" ref="G1284" ca="1">INDIRECT("Data!A" &amp; 1279)</f>
        <v>0</v>
      </c>
      <c r="H1284" s="21" cm="1">
        <f t="array" aca="1" ref="H1284" ca="1">INDIRECT("Data!B" &amp; 1279)</f>
        <v>0</v>
      </c>
      <c r="I1284" s="21" cm="1">
        <f t="array" aca="1" ref="I1284" ca="1">INDIRECT("Data!C" &amp; 1279)</f>
        <v>0</v>
      </c>
      <c r="J1284" cm="1">
        <f t="array" aca="1" ref="J1284" ca="1">INDIRECT("Data!D" &amp; 1279)</f>
        <v>0</v>
      </c>
      <c r="K1284" cm="1">
        <f t="array" aca="1" ref="K1284" ca="1">INDIRECT("Data!E" &amp; 1279)</f>
        <v>0</v>
      </c>
      <c r="L1284" cm="1">
        <f t="array" aca="1" ref="L1284" ca="1">INDIRECT("Data!F" &amp; 1279)</f>
        <v>0</v>
      </c>
      <c r="M1284" cm="1">
        <f t="array" aca="1" ref="M1284" ca="1">INDIRECT("Data!G" &amp; 1279)</f>
        <v>0</v>
      </c>
      <c r="N1284" cm="1">
        <f t="array" aca="1" ref="N1284" ca="1">INDIRECT("Data!H" &amp; 1279)</f>
        <v>0</v>
      </c>
      <c r="O1284" cm="1">
        <f t="array" aca="1" ref="O1284" ca="1">INDIRECT("Data!I" &amp; 1279)</f>
        <v>0</v>
      </c>
      <c r="P1284" s="21" cm="1">
        <f t="array" aca="1" ref="P1284" ca="1">INDIRECT("Data!J" &amp; 1279)</f>
        <v>0</v>
      </c>
      <c r="Q1284" cm="1">
        <f t="array" aca="1" ref="Q1284" ca="1">INDIRECT("Data!K" &amp; 1279)</f>
        <v>0</v>
      </c>
      <c r="R1284" cm="1">
        <f t="array" aca="1" ref="R1284" ca="1">INDIRECT("Data!L" &amp; 1279)</f>
        <v>0</v>
      </c>
      <c r="S1284" cm="1">
        <f t="array" aca="1" ref="S1284" ca="1">INDIRECT("Data!M" &amp; 1279)</f>
        <v>0</v>
      </c>
      <c r="T1284" cm="1">
        <f t="array" aca="1" ref="T1284" ca="1">INDIRECT("Data!N" &amp; 1279)</f>
        <v>0</v>
      </c>
      <c r="U1284" cm="1">
        <f t="array" aca="1" ref="U1284" ca="1">INDIRECT("Data!O" &amp; 1279)</f>
        <v>0</v>
      </c>
      <c r="V1284" cm="1">
        <f t="array" aca="1" ref="V1284" ca="1">INDIRECT("Data!P" &amp; 1279)</f>
        <v>0</v>
      </c>
    </row>
    <row r="1285" spans="7:22" x14ac:dyDescent="0.25">
      <c r="G1285" cm="1">
        <f t="array" aca="1" ref="G1285" ca="1">INDIRECT("Data!A" &amp; 1280)</f>
        <v>0</v>
      </c>
      <c r="H1285" s="21" cm="1">
        <f t="array" aca="1" ref="H1285" ca="1">INDIRECT("Data!B" &amp; 1280)</f>
        <v>0</v>
      </c>
      <c r="I1285" s="21" cm="1">
        <f t="array" aca="1" ref="I1285" ca="1">INDIRECT("Data!C" &amp; 1280)</f>
        <v>0</v>
      </c>
      <c r="J1285" cm="1">
        <f t="array" aca="1" ref="J1285" ca="1">INDIRECT("Data!D" &amp; 1280)</f>
        <v>0</v>
      </c>
      <c r="K1285" cm="1">
        <f t="array" aca="1" ref="K1285" ca="1">INDIRECT("Data!E" &amp; 1280)</f>
        <v>0</v>
      </c>
      <c r="L1285" cm="1">
        <f t="array" aca="1" ref="L1285" ca="1">INDIRECT("Data!F" &amp; 1280)</f>
        <v>0</v>
      </c>
      <c r="M1285" cm="1">
        <f t="array" aca="1" ref="M1285" ca="1">INDIRECT("Data!G" &amp; 1280)</f>
        <v>0</v>
      </c>
      <c r="N1285" cm="1">
        <f t="array" aca="1" ref="N1285" ca="1">INDIRECT("Data!H" &amp; 1280)</f>
        <v>0</v>
      </c>
      <c r="O1285" cm="1">
        <f t="array" aca="1" ref="O1285" ca="1">INDIRECT("Data!I" &amp; 1280)</f>
        <v>0</v>
      </c>
      <c r="P1285" s="21" cm="1">
        <f t="array" aca="1" ref="P1285" ca="1">INDIRECT("Data!J" &amp; 1280)</f>
        <v>0</v>
      </c>
      <c r="Q1285" cm="1">
        <f t="array" aca="1" ref="Q1285" ca="1">INDIRECT("Data!K" &amp; 1280)</f>
        <v>0</v>
      </c>
      <c r="R1285" cm="1">
        <f t="array" aca="1" ref="R1285" ca="1">INDIRECT("Data!L" &amp; 1280)</f>
        <v>0</v>
      </c>
      <c r="S1285" cm="1">
        <f t="array" aca="1" ref="S1285" ca="1">INDIRECT("Data!M" &amp; 1280)</f>
        <v>0</v>
      </c>
      <c r="T1285" cm="1">
        <f t="array" aca="1" ref="T1285" ca="1">INDIRECT("Data!N" &amp; 1280)</f>
        <v>0</v>
      </c>
      <c r="U1285" cm="1">
        <f t="array" aca="1" ref="U1285" ca="1">INDIRECT("Data!O" &amp; 1280)</f>
        <v>0</v>
      </c>
      <c r="V1285" cm="1">
        <f t="array" aca="1" ref="V1285" ca="1">INDIRECT("Data!P" &amp; 1280)</f>
        <v>0</v>
      </c>
    </row>
    <row r="1286" spans="7:22" x14ac:dyDescent="0.25">
      <c r="G1286" cm="1">
        <f t="array" aca="1" ref="G1286" ca="1">INDIRECT("Data!A" &amp; 1281)</f>
        <v>0</v>
      </c>
      <c r="H1286" s="21" cm="1">
        <f t="array" aca="1" ref="H1286" ca="1">INDIRECT("Data!B" &amp; 1281)</f>
        <v>0</v>
      </c>
      <c r="I1286" s="21" cm="1">
        <f t="array" aca="1" ref="I1286" ca="1">INDIRECT("Data!C" &amp; 1281)</f>
        <v>0</v>
      </c>
      <c r="J1286" cm="1">
        <f t="array" aca="1" ref="J1286" ca="1">INDIRECT("Data!D" &amp; 1281)</f>
        <v>0</v>
      </c>
      <c r="K1286" cm="1">
        <f t="array" aca="1" ref="K1286" ca="1">INDIRECT("Data!E" &amp; 1281)</f>
        <v>0</v>
      </c>
      <c r="L1286" cm="1">
        <f t="array" aca="1" ref="L1286" ca="1">INDIRECT("Data!F" &amp; 1281)</f>
        <v>0</v>
      </c>
      <c r="M1286" cm="1">
        <f t="array" aca="1" ref="M1286" ca="1">INDIRECT("Data!G" &amp; 1281)</f>
        <v>0</v>
      </c>
      <c r="N1286" cm="1">
        <f t="array" aca="1" ref="N1286" ca="1">INDIRECT("Data!H" &amp; 1281)</f>
        <v>0</v>
      </c>
      <c r="O1286" cm="1">
        <f t="array" aca="1" ref="O1286" ca="1">INDIRECT("Data!I" &amp; 1281)</f>
        <v>0</v>
      </c>
      <c r="P1286" s="21" cm="1">
        <f t="array" aca="1" ref="P1286" ca="1">INDIRECT("Data!J" &amp; 1281)</f>
        <v>0</v>
      </c>
      <c r="Q1286" cm="1">
        <f t="array" aca="1" ref="Q1286" ca="1">INDIRECT("Data!K" &amp; 1281)</f>
        <v>0</v>
      </c>
      <c r="R1286" cm="1">
        <f t="array" aca="1" ref="R1286" ca="1">INDIRECT("Data!L" &amp; 1281)</f>
        <v>0</v>
      </c>
      <c r="S1286" cm="1">
        <f t="array" aca="1" ref="S1286" ca="1">INDIRECT("Data!M" &amp; 1281)</f>
        <v>0</v>
      </c>
      <c r="T1286" cm="1">
        <f t="array" aca="1" ref="T1286" ca="1">INDIRECT("Data!N" &amp; 1281)</f>
        <v>0</v>
      </c>
      <c r="U1286" cm="1">
        <f t="array" aca="1" ref="U1286" ca="1">INDIRECT("Data!O" &amp; 1281)</f>
        <v>0</v>
      </c>
      <c r="V1286" cm="1">
        <f t="array" aca="1" ref="V1286" ca="1">INDIRECT("Data!P" &amp; 1281)</f>
        <v>0</v>
      </c>
    </row>
    <row r="1287" spans="7:22" x14ac:dyDescent="0.25">
      <c r="G1287" cm="1">
        <f t="array" aca="1" ref="G1287" ca="1">INDIRECT("Data!A" &amp; 1282)</f>
        <v>0</v>
      </c>
      <c r="H1287" s="21" cm="1">
        <f t="array" aca="1" ref="H1287" ca="1">INDIRECT("Data!B" &amp; 1282)</f>
        <v>0</v>
      </c>
      <c r="I1287" s="21" cm="1">
        <f t="array" aca="1" ref="I1287" ca="1">INDIRECT("Data!C" &amp; 1282)</f>
        <v>0</v>
      </c>
      <c r="J1287" cm="1">
        <f t="array" aca="1" ref="J1287" ca="1">INDIRECT("Data!D" &amp; 1282)</f>
        <v>0</v>
      </c>
      <c r="K1287" cm="1">
        <f t="array" aca="1" ref="K1287" ca="1">INDIRECT("Data!E" &amp; 1282)</f>
        <v>0</v>
      </c>
      <c r="L1287" cm="1">
        <f t="array" aca="1" ref="L1287" ca="1">INDIRECT("Data!F" &amp; 1282)</f>
        <v>0</v>
      </c>
      <c r="M1287" cm="1">
        <f t="array" aca="1" ref="M1287" ca="1">INDIRECT("Data!G" &amp; 1282)</f>
        <v>0</v>
      </c>
      <c r="N1287" cm="1">
        <f t="array" aca="1" ref="N1287" ca="1">INDIRECT("Data!H" &amp; 1282)</f>
        <v>0</v>
      </c>
      <c r="O1287" cm="1">
        <f t="array" aca="1" ref="O1287" ca="1">INDIRECT("Data!I" &amp; 1282)</f>
        <v>0</v>
      </c>
      <c r="P1287" s="21" cm="1">
        <f t="array" aca="1" ref="P1287" ca="1">INDIRECT("Data!J" &amp; 1282)</f>
        <v>0</v>
      </c>
      <c r="Q1287" cm="1">
        <f t="array" aca="1" ref="Q1287" ca="1">INDIRECT("Data!K" &amp; 1282)</f>
        <v>0</v>
      </c>
      <c r="R1287" cm="1">
        <f t="array" aca="1" ref="R1287" ca="1">INDIRECT("Data!L" &amp; 1282)</f>
        <v>0</v>
      </c>
      <c r="S1287" cm="1">
        <f t="array" aca="1" ref="S1287" ca="1">INDIRECT("Data!M" &amp; 1282)</f>
        <v>0</v>
      </c>
      <c r="T1287" cm="1">
        <f t="array" aca="1" ref="T1287" ca="1">INDIRECT("Data!N" &amp; 1282)</f>
        <v>0</v>
      </c>
      <c r="U1287" cm="1">
        <f t="array" aca="1" ref="U1287" ca="1">INDIRECT("Data!O" &amp; 1282)</f>
        <v>0</v>
      </c>
      <c r="V1287" cm="1">
        <f t="array" aca="1" ref="V1287" ca="1">INDIRECT("Data!P" &amp; 1282)</f>
        <v>0</v>
      </c>
    </row>
    <row r="1288" spans="7:22" x14ac:dyDescent="0.25">
      <c r="G1288" cm="1">
        <f t="array" aca="1" ref="G1288" ca="1">INDIRECT("Data!A" &amp; 1283)</f>
        <v>0</v>
      </c>
      <c r="H1288" s="21" cm="1">
        <f t="array" aca="1" ref="H1288" ca="1">INDIRECT("Data!B" &amp; 1283)</f>
        <v>0</v>
      </c>
      <c r="I1288" s="21" cm="1">
        <f t="array" aca="1" ref="I1288" ca="1">INDIRECT("Data!C" &amp; 1283)</f>
        <v>0</v>
      </c>
      <c r="J1288" cm="1">
        <f t="array" aca="1" ref="J1288" ca="1">INDIRECT("Data!D" &amp; 1283)</f>
        <v>0</v>
      </c>
      <c r="K1288" cm="1">
        <f t="array" aca="1" ref="K1288" ca="1">INDIRECT("Data!E" &amp; 1283)</f>
        <v>0</v>
      </c>
      <c r="L1288" cm="1">
        <f t="array" aca="1" ref="L1288" ca="1">INDIRECT("Data!F" &amp; 1283)</f>
        <v>0</v>
      </c>
      <c r="M1288" cm="1">
        <f t="array" aca="1" ref="M1288" ca="1">INDIRECT("Data!G" &amp; 1283)</f>
        <v>0</v>
      </c>
      <c r="N1288" cm="1">
        <f t="array" aca="1" ref="N1288" ca="1">INDIRECT("Data!H" &amp; 1283)</f>
        <v>0</v>
      </c>
      <c r="O1288" cm="1">
        <f t="array" aca="1" ref="O1288" ca="1">INDIRECT("Data!I" &amp; 1283)</f>
        <v>0</v>
      </c>
      <c r="P1288" s="21" cm="1">
        <f t="array" aca="1" ref="P1288" ca="1">INDIRECT("Data!J" &amp; 1283)</f>
        <v>0</v>
      </c>
      <c r="Q1288" cm="1">
        <f t="array" aca="1" ref="Q1288" ca="1">INDIRECT("Data!K" &amp; 1283)</f>
        <v>0</v>
      </c>
      <c r="R1288" cm="1">
        <f t="array" aca="1" ref="R1288" ca="1">INDIRECT("Data!L" &amp; 1283)</f>
        <v>0</v>
      </c>
      <c r="S1288" cm="1">
        <f t="array" aca="1" ref="S1288" ca="1">INDIRECT("Data!M" &amp; 1283)</f>
        <v>0</v>
      </c>
      <c r="T1288" cm="1">
        <f t="array" aca="1" ref="T1288" ca="1">INDIRECT("Data!N" &amp; 1283)</f>
        <v>0</v>
      </c>
      <c r="U1288" cm="1">
        <f t="array" aca="1" ref="U1288" ca="1">INDIRECT("Data!O" &amp; 1283)</f>
        <v>0</v>
      </c>
      <c r="V1288" cm="1">
        <f t="array" aca="1" ref="V1288" ca="1">INDIRECT("Data!P" &amp; 1283)</f>
        <v>0</v>
      </c>
    </row>
    <row r="1289" spans="7:22" x14ac:dyDescent="0.25">
      <c r="G1289" cm="1">
        <f t="array" aca="1" ref="G1289" ca="1">INDIRECT("Data!A" &amp; 1284)</f>
        <v>0</v>
      </c>
      <c r="H1289" s="21" cm="1">
        <f t="array" aca="1" ref="H1289" ca="1">INDIRECT("Data!B" &amp; 1284)</f>
        <v>0</v>
      </c>
      <c r="I1289" s="21" cm="1">
        <f t="array" aca="1" ref="I1289" ca="1">INDIRECT("Data!C" &amp; 1284)</f>
        <v>0</v>
      </c>
      <c r="J1289" cm="1">
        <f t="array" aca="1" ref="J1289" ca="1">INDIRECT("Data!D" &amp; 1284)</f>
        <v>0</v>
      </c>
      <c r="K1289" cm="1">
        <f t="array" aca="1" ref="K1289" ca="1">INDIRECT("Data!E" &amp; 1284)</f>
        <v>0</v>
      </c>
      <c r="L1289" cm="1">
        <f t="array" aca="1" ref="L1289" ca="1">INDIRECT("Data!F" &amp; 1284)</f>
        <v>0</v>
      </c>
      <c r="M1289" cm="1">
        <f t="array" aca="1" ref="M1289" ca="1">INDIRECT("Data!G" &amp; 1284)</f>
        <v>0</v>
      </c>
      <c r="N1289" cm="1">
        <f t="array" aca="1" ref="N1289" ca="1">INDIRECT("Data!H" &amp; 1284)</f>
        <v>0</v>
      </c>
      <c r="O1289" cm="1">
        <f t="array" aca="1" ref="O1289" ca="1">INDIRECT("Data!I" &amp; 1284)</f>
        <v>0</v>
      </c>
      <c r="P1289" s="21" cm="1">
        <f t="array" aca="1" ref="P1289" ca="1">INDIRECT("Data!J" &amp; 1284)</f>
        <v>0</v>
      </c>
      <c r="Q1289" cm="1">
        <f t="array" aca="1" ref="Q1289" ca="1">INDIRECT("Data!K" &amp; 1284)</f>
        <v>0</v>
      </c>
      <c r="R1289" cm="1">
        <f t="array" aca="1" ref="R1289" ca="1">INDIRECT("Data!L" &amp; 1284)</f>
        <v>0</v>
      </c>
      <c r="S1289" cm="1">
        <f t="array" aca="1" ref="S1289" ca="1">INDIRECT("Data!M" &amp; 1284)</f>
        <v>0</v>
      </c>
      <c r="T1289" cm="1">
        <f t="array" aca="1" ref="T1289" ca="1">INDIRECT("Data!N" &amp; 1284)</f>
        <v>0</v>
      </c>
      <c r="U1289" cm="1">
        <f t="array" aca="1" ref="U1289" ca="1">INDIRECT("Data!O" &amp; 1284)</f>
        <v>0</v>
      </c>
      <c r="V1289" cm="1">
        <f t="array" aca="1" ref="V1289" ca="1">INDIRECT("Data!P" &amp; 1284)</f>
        <v>0</v>
      </c>
    </row>
    <row r="1290" spans="7:22" x14ac:dyDescent="0.25">
      <c r="G1290" cm="1">
        <f t="array" aca="1" ref="G1290" ca="1">INDIRECT("Data!A" &amp; 1285)</f>
        <v>0</v>
      </c>
      <c r="H1290" s="21" cm="1">
        <f t="array" aca="1" ref="H1290" ca="1">INDIRECT("Data!B" &amp; 1285)</f>
        <v>0</v>
      </c>
      <c r="I1290" s="21" cm="1">
        <f t="array" aca="1" ref="I1290" ca="1">INDIRECT("Data!C" &amp; 1285)</f>
        <v>0</v>
      </c>
      <c r="J1290" cm="1">
        <f t="array" aca="1" ref="J1290" ca="1">INDIRECT("Data!D" &amp; 1285)</f>
        <v>0</v>
      </c>
      <c r="K1290" cm="1">
        <f t="array" aca="1" ref="K1290" ca="1">INDIRECT("Data!E" &amp; 1285)</f>
        <v>0</v>
      </c>
      <c r="L1290" cm="1">
        <f t="array" aca="1" ref="L1290" ca="1">INDIRECT("Data!F" &amp; 1285)</f>
        <v>0</v>
      </c>
      <c r="M1290" cm="1">
        <f t="array" aca="1" ref="M1290" ca="1">INDIRECT("Data!G" &amp; 1285)</f>
        <v>0</v>
      </c>
      <c r="N1290" cm="1">
        <f t="array" aca="1" ref="N1290" ca="1">INDIRECT("Data!H" &amp; 1285)</f>
        <v>0</v>
      </c>
      <c r="O1290" cm="1">
        <f t="array" aca="1" ref="O1290" ca="1">INDIRECT("Data!I" &amp; 1285)</f>
        <v>0</v>
      </c>
      <c r="P1290" s="21" cm="1">
        <f t="array" aca="1" ref="P1290" ca="1">INDIRECT("Data!J" &amp; 1285)</f>
        <v>0</v>
      </c>
      <c r="Q1290" cm="1">
        <f t="array" aca="1" ref="Q1290" ca="1">INDIRECT("Data!K" &amp; 1285)</f>
        <v>0</v>
      </c>
      <c r="R1290" cm="1">
        <f t="array" aca="1" ref="R1290" ca="1">INDIRECT("Data!L" &amp; 1285)</f>
        <v>0</v>
      </c>
      <c r="S1290" cm="1">
        <f t="array" aca="1" ref="S1290" ca="1">INDIRECT("Data!M" &amp; 1285)</f>
        <v>0</v>
      </c>
      <c r="T1290" cm="1">
        <f t="array" aca="1" ref="T1290" ca="1">INDIRECT("Data!N" &amp; 1285)</f>
        <v>0</v>
      </c>
      <c r="U1290" cm="1">
        <f t="array" aca="1" ref="U1290" ca="1">INDIRECT("Data!O" &amp; 1285)</f>
        <v>0</v>
      </c>
      <c r="V1290" cm="1">
        <f t="array" aca="1" ref="V1290" ca="1">INDIRECT("Data!P" &amp; 1285)</f>
        <v>0</v>
      </c>
    </row>
    <row r="1291" spans="7:22" x14ac:dyDescent="0.25">
      <c r="G1291" cm="1">
        <f t="array" aca="1" ref="G1291" ca="1">INDIRECT("Data!A" &amp; 1286)</f>
        <v>0</v>
      </c>
      <c r="H1291" s="21" cm="1">
        <f t="array" aca="1" ref="H1291" ca="1">INDIRECT("Data!B" &amp; 1286)</f>
        <v>0</v>
      </c>
      <c r="I1291" s="21" cm="1">
        <f t="array" aca="1" ref="I1291" ca="1">INDIRECT("Data!C" &amp; 1286)</f>
        <v>0</v>
      </c>
      <c r="J1291" cm="1">
        <f t="array" aca="1" ref="J1291" ca="1">INDIRECT("Data!D" &amp; 1286)</f>
        <v>0</v>
      </c>
      <c r="K1291" cm="1">
        <f t="array" aca="1" ref="K1291" ca="1">INDIRECT("Data!E" &amp; 1286)</f>
        <v>0</v>
      </c>
      <c r="L1291" cm="1">
        <f t="array" aca="1" ref="L1291" ca="1">INDIRECT("Data!F" &amp; 1286)</f>
        <v>0</v>
      </c>
      <c r="M1291" cm="1">
        <f t="array" aca="1" ref="M1291" ca="1">INDIRECT("Data!G" &amp; 1286)</f>
        <v>0</v>
      </c>
      <c r="N1291" cm="1">
        <f t="array" aca="1" ref="N1291" ca="1">INDIRECT("Data!H" &amp; 1286)</f>
        <v>0</v>
      </c>
      <c r="O1291" cm="1">
        <f t="array" aca="1" ref="O1291" ca="1">INDIRECT("Data!I" &amp; 1286)</f>
        <v>0</v>
      </c>
      <c r="P1291" s="21" cm="1">
        <f t="array" aca="1" ref="P1291" ca="1">INDIRECT("Data!J" &amp; 1286)</f>
        <v>0</v>
      </c>
      <c r="Q1291" cm="1">
        <f t="array" aca="1" ref="Q1291" ca="1">INDIRECT("Data!K" &amp; 1286)</f>
        <v>0</v>
      </c>
      <c r="R1291" cm="1">
        <f t="array" aca="1" ref="R1291" ca="1">INDIRECT("Data!L" &amp; 1286)</f>
        <v>0</v>
      </c>
      <c r="S1291" cm="1">
        <f t="array" aca="1" ref="S1291" ca="1">INDIRECT("Data!M" &amp; 1286)</f>
        <v>0</v>
      </c>
      <c r="T1291" cm="1">
        <f t="array" aca="1" ref="T1291" ca="1">INDIRECT("Data!N" &amp; 1286)</f>
        <v>0</v>
      </c>
      <c r="U1291" cm="1">
        <f t="array" aca="1" ref="U1291" ca="1">INDIRECT("Data!O" &amp; 1286)</f>
        <v>0</v>
      </c>
      <c r="V1291" cm="1">
        <f t="array" aca="1" ref="V1291" ca="1">INDIRECT("Data!P" &amp; 1286)</f>
        <v>0</v>
      </c>
    </row>
    <row r="1292" spans="7:22" x14ac:dyDescent="0.25">
      <c r="G1292" cm="1">
        <f t="array" aca="1" ref="G1292" ca="1">INDIRECT("Data!A" &amp; 1287)</f>
        <v>0</v>
      </c>
      <c r="H1292" s="21" cm="1">
        <f t="array" aca="1" ref="H1292" ca="1">INDIRECT("Data!B" &amp; 1287)</f>
        <v>0</v>
      </c>
      <c r="I1292" s="21" cm="1">
        <f t="array" aca="1" ref="I1292" ca="1">INDIRECT("Data!C" &amp; 1287)</f>
        <v>0</v>
      </c>
      <c r="J1292" cm="1">
        <f t="array" aca="1" ref="J1292" ca="1">INDIRECT("Data!D" &amp; 1287)</f>
        <v>0</v>
      </c>
      <c r="K1292" cm="1">
        <f t="array" aca="1" ref="K1292" ca="1">INDIRECT("Data!E" &amp; 1287)</f>
        <v>0</v>
      </c>
      <c r="L1292" cm="1">
        <f t="array" aca="1" ref="L1292" ca="1">INDIRECT("Data!F" &amp; 1287)</f>
        <v>0</v>
      </c>
      <c r="M1292" cm="1">
        <f t="array" aca="1" ref="M1292" ca="1">INDIRECT("Data!G" &amp; 1287)</f>
        <v>0</v>
      </c>
      <c r="N1292" cm="1">
        <f t="array" aca="1" ref="N1292" ca="1">INDIRECT("Data!H" &amp; 1287)</f>
        <v>0</v>
      </c>
      <c r="O1292" cm="1">
        <f t="array" aca="1" ref="O1292" ca="1">INDIRECT("Data!I" &amp; 1287)</f>
        <v>0</v>
      </c>
      <c r="P1292" s="21" cm="1">
        <f t="array" aca="1" ref="P1292" ca="1">INDIRECT("Data!J" &amp; 1287)</f>
        <v>0</v>
      </c>
      <c r="Q1292" cm="1">
        <f t="array" aca="1" ref="Q1292" ca="1">INDIRECT("Data!K" &amp; 1287)</f>
        <v>0</v>
      </c>
      <c r="R1292" cm="1">
        <f t="array" aca="1" ref="R1292" ca="1">INDIRECT("Data!L" &amp; 1287)</f>
        <v>0</v>
      </c>
      <c r="S1292" cm="1">
        <f t="array" aca="1" ref="S1292" ca="1">INDIRECT("Data!M" &amp; 1287)</f>
        <v>0</v>
      </c>
      <c r="T1292" cm="1">
        <f t="array" aca="1" ref="T1292" ca="1">INDIRECT("Data!N" &amp; 1287)</f>
        <v>0</v>
      </c>
      <c r="U1292" cm="1">
        <f t="array" aca="1" ref="U1292" ca="1">INDIRECT("Data!O" &amp; 1287)</f>
        <v>0</v>
      </c>
      <c r="V1292" cm="1">
        <f t="array" aca="1" ref="V1292" ca="1">INDIRECT("Data!P" &amp; 1287)</f>
        <v>0</v>
      </c>
    </row>
    <row r="1293" spans="7:22" x14ac:dyDescent="0.25">
      <c r="G1293" cm="1">
        <f t="array" aca="1" ref="G1293" ca="1">INDIRECT("Data!A" &amp; 1288)</f>
        <v>0</v>
      </c>
      <c r="H1293" s="21" cm="1">
        <f t="array" aca="1" ref="H1293" ca="1">INDIRECT("Data!B" &amp; 1288)</f>
        <v>0</v>
      </c>
      <c r="I1293" s="21" cm="1">
        <f t="array" aca="1" ref="I1293" ca="1">INDIRECT("Data!C" &amp; 1288)</f>
        <v>0</v>
      </c>
      <c r="J1293" cm="1">
        <f t="array" aca="1" ref="J1293" ca="1">INDIRECT("Data!D" &amp; 1288)</f>
        <v>0</v>
      </c>
      <c r="K1293" cm="1">
        <f t="array" aca="1" ref="K1293" ca="1">INDIRECT("Data!E" &amp; 1288)</f>
        <v>0</v>
      </c>
      <c r="L1293" cm="1">
        <f t="array" aca="1" ref="L1293" ca="1">INDIRECT("Data!F" &amp; 1288)</f>
        <v>0</v>
      </c>
      <c r="M1293" cm="1">
        <f t="array" aca="1" ref="M1293" ca="1">INDIRECT("Data!G" &amp; 1288)</f>
        <v>0</v>
      </c>
      <c r="N1293" cm="1">
        <f t="array" aca="1" ref="N1293" ca="1">INDIRECT("Data!H" &amp; 1288)</f>
        <v>0</v>
      </c>
      <c r="O1293" cm="1">
        <f t="array" aca="1" ref="O1293" ca="1">INDIRECT("Data!I" &amp; 1288)</f>
        <v>0</v>
      </c>
      <c r="P1293" s="21" cm="1">
        <f t="array" aca="1" ref="P1293" ca="1">INDIRECT("Data!J" &amp; 1288)</f>
        <v>0</v>
      </c>
      <c r="Q1293" cm="1">
        <f t="array" aca="1" ref="Q1293" ca="1">INDIRECT("Data!K" &amp; 1288)</f>
        <v>0</v>
      </c>
      <c r="R1293" cm="1">
        <f t="array" aca="1" ref="R1293" ca="1">INDIRECT("Data!L" &amp; 1288)</f>
        <v>0</v>
      </c>
      <c r="S1293" cm="1">
        <f t="array" aca="1" ref="S1293" ca="1">INDIRECT("Data!M" &amp; 1288)</f>
        <v>0</v>
      </c>
      <c r="T1293" cm="1">
        <f t="array" aca="1" ref="T1293" ca="1">INDIRECT("Data!N" &amp; 1288)</f>
        <v>0</v>
      </c>
      <c r="U1293" cm="1">
        <f t="array" aca="1" ref="U1293" ca="1">INDIRECT("Data!O" &amp; 1288)</f>
        <v>0</v>
      </c>
      <c r="V1293" cm="1">
        <f t="array" aca="1" ref="V1293" ca="1">INDIRECT("Data!P" &amp; 1288)</f>
        <v>0</v>
      </c>
    </row>
    <row r="1294" spans="7:22" x14ac:dyDescent="0.25">
      <c r="G1294" cm="1">
        <f t="array" aca="1" ref="G1294" ca="1">INDIRECT("Data!A" &amp; 1289)</f>
        <v>0</v>
      </c>
      <c r="H1294" s="21" cm="1">
        <f t="array" aca="1" ref="H1294" ca="1">INDIRECT("Data!B" &amp; 1289)</f>
        <v>0</v>
      </c>
      <c r="I1294" s="21" cm="1">
        <f t="array" aca="1" ref="I1294" ca="1">INDIRECT("Data!C" &amp; 1289)</f>
        <v>0</v>
      </c>
      <c r="J1294" cm="1">
        <f t="array" aca="1" ref="J1294" ca="1">INDIRECT("Data!D" &amp; 1289)</f>
        <v>0</v>
      </c>
      <c r="K1294" cm="1">
        <f t="array" aca="1" ref="K1294" ca="1">INDIRECT("Data!E" &amp; 1289)</f>
        <v>0</v>
      </c>
      <c r="L1294" cm="1">
        <f t="array" aca="1" ref="L1294" ca="1">INDIRECT("Data!F" &amp; 1289)</f>
        <v>0</v>
      </c>
      <c r="M1294" cm="1">
        <f t="array" aca="1" ref="M1294" ca="1">INDIRECT("Data!G" &amp; 1289)</f>
        <v>0</v>
      </c>
      <c r="N1294" cm="1">
        <f t="array" aca="1" ref="N1294" ca="1">INDIRECT("Data!H" &amp; 1289)</f>
        <v>0</v>
      </c>
      <c r="O1294" cm="1">
        <f t="array" aca="1" ref="O1294" ca="1">INDIRECT("Data!I" &amp; 1289)</f>
        <v>0</v>
      </c>
      <c r="P1294" s="21" cm="1">
        <f t="array" aca="1" ref="P1294" ca="1">INDIRECT("Data!J" &amp; 1289)</f>
        <v>0</v>
      </c>
      <c r="Q1294" cm="1">
        <f t="array" aca="1" ref="Q1294" ca="1">INDIRECT("Data!K" &amp; 1289)</f>
        <v>0</v>
      </c>
      <c r="R1294" cm="1">
        <f t="array" aca="1" ref="R1294" ca="1">INDIRECT("Data!L" &amp; 1289)</f>
        <v>0</v>
      </c>
      <c r="S1294" cm="1">
        <f t="array" aca="1" ref="S1294" ca="1">INDIRECT("Data!M" &amp; 1289)</f>
        <v>0</v>
      </c>
      <c r="T1294" cm="1">
        <f t="array" aca="1" ref="T1294" ca="1">INDIRECT("Data!N" &amp; 1289)</f>
        <v>0</v>
      </c>
      <c r="U1294" cm="1">
        <f t="array" aca="1" ref="U1294" ca="1">INDIRECT("Data!O" &amp; 1289)</f>
        <v>0</v>
      </c>
      <c r="V1294" cm="1">
        <f t="array" aca="1" ref="V1294" ca="1">INDIRECT("Data!P" &amp; 1289)</f>
        <v>0</v>
      </c>
    </row>
    <row r="1295" spans="7:22" x14ac:dyDescent="0.25">
      <c r="G1295" cm="1">
        <f t="array" aca="1" ref="G1295" ca="1">INDIRECT("Data!A" &amp; 1290)</f>
        <v>0</v>
      </c>
      <c r="H1295" s="21" cm="1">
        <f t="array" aca="1" ref="H1295" ca="1">INDIRECT("Data!B" &amp; 1290)</f>
        <v>0</v>
      </c>
      <c r="I1295" s="21" cm="1">
        <f t="array" aca="1" ref="I1295" ca="1">INDIRECT("Data!C" &amp; 1290)</f>
        <v>0</v>
      </c>
      <c r="J1295" cm="1">
        <f t="array" aca="1" ref="J1295" ca="1">INDIRECT("Data!D" &amp; 1290)</f>
        <v>0</v>
      </c>
      <c r="K1295" cm="1">
        <f t="array" aca="1" ref="K1295" ca="1">INDIRECT("Data!E" &amp; 1290)</f>
        <v>0</v>
      </c>
      <c r="L1295" cm="1">
        <f t="array" aca="1" ref="L1295" ca="1">INDIRECT("Data!F" &amp; 1290)</f>
        <v>0</v>
      </c>
      <c r="M1295" cm="1">
        <f t="array" aca="1" ref="M1295" ca="1">INDIRECT("Data!G" &amp; 1290)</f>
        <v>0</v>
      </c>
      <c r="N1295" cm="1">
        <f t="array" aca="1" ref="N1295" ca="1">INDIRECT("Data!H" &amp; 1290)</f>
        <v>0</v>
      </c>
      <c r="O1295" cm="1">
        <f t="array" aca="1" ref="O1295" ca="1">INDIRECT("Data!I" &amp; 1290)</f>
        <v>0</v>
      </c>
      <c r="P1295" s="21" cm="1">
        <f t="array" aca="1" ref="P1295" ca="1">INDIRECT("Data!J" &amp; 1290)</f>
        <v>0</v>
      </c>
      <c r="Q1295" cm="1">
        <f t="array" aca="1" ref="Q1295" ca="1">INDIRECT("Data!K" &amp; 1290)</f>
        <v>0</v>
      </c>
      <c r="R1295" cm="1">
        <f t="array" aca="1" ref="R1295" ca="1">INDIRECT("Data!L" &amp; 1290)</f>
        <v>0</v>
      </c>
      <c r="S1295" cm="1">
        <f t="array" aca="1" ref="S1295" ca="1">INDIRECT("Data!M" &amp; 1290)</f>
        <v>0</v>
      </c>
      <c r="T1295" cm="1">
        <f t="array" aca="1" ref="T1295" ca="1">INDIRECT("Data!N" &amp; 1290)</f>
        <v>0</v>
      </c>
      <c r="U1295" cm="1">
        <f t="array" aca="1" ref="U1295" ca="1">INDIRECT("Data!O" &amp; 1290)</f>
        <v>0</v>
      </c>
      <c r="V1295" cm="1">
        <f t="array" aca="1" ref="V1295" ca="1">INDIRECT("Data!P" &amp; 1290)</f>
        <v>0</v>
      </c>
    </row>
    <row r="1296" spans="7:22" x14ac:dyDescent="0.25">
      <c r="G1296" cm="1">
        <f t="array" aca="1" ref="G1296" ca="1">INDIRECT("Data!A" &amp; 1291)</f>
        <v>0</v>
      </c>
      <c r="H1296" s="21" cm="1">
        <f t="array" aca="1" ref="H1296" ca="1">INDIRECT("Data!B" &amp; 1291)</f>
        <v>0</v>
      </c>
      <c r="I1296" s="21" cm="1">
        <f t="array" aca="1" ref="I1296" ca="1">INDIRECT("Data!C" &amp; 1291)</f>
        <v>0</v>
      </c>
      <c r="J1296" cm="1">
        <f t="array" aca="1" ref="J1296" ca="1">INDIRECT("Data!D" &amp; 1291)</f>
        <v>0</v>
      </c>
      <c r="K1296" cm="1">
        <f t="array" aca="1" ref="K1296" ca="1">INDIRECT("Data!E" &amp; 1291)</f>
        <v>0</v>
      </c>
      <c r="L1296" cm="1">
        <f t="array" aca="1" ref="L1296" ca="1">INDIRECT("Data!F" &amp; 1291)</f>
        <v>0</v>
      </c>
      <c r="M1296" cm="1">
        <f t="array" aca="1" ref="M1296" ca="1">INDIRECT("Data!G" &amp; 1291)</f>
        <v>0</v>
      </c>
      <c r="N1296" cm="1">
        <f t="array" aca="1" ref="N1296" ca="1">INDIRECT("Data!H" &amp; 1291)</f>
        <v>0</v>
      </c>
      <c r="O1296" cm="1">
        <f t="array" aca="1" ref="O1296" ca="1">INDIRECT("Data!I" &amp; 1291)</f>
        <v>0</v>
      </c>
      <c r="P1296" s="21" cm="1">
        <f t="array" aca="1" ref="P1296" ca="1">INDIRECT("Data!J" &amp; 1291)</f>
        <v>0</v>
      </c>
      <c r="Q1296" cm="1">
        <f t="array" aca="1" ref="Q1296" ca="1">INDIRECT("Data!K" &amp; 1291)</f>
        <v>0</v>
      </c>
      <c r="R1296" cm="1">
        <f t="array" aca="1" ref="R1296" ca="1">INDIRECT("Data!L" &amp; 1291)</f>
        <v>0</v>
      </c>
      <c r="S1296" cm="1">
        <f t="array" aca="1" ref="S1296" ca="1">INDIRECT("Data!M" &amp; 1291)</f>
        <v>0</v>
      </c>
      <c r="T1296" cm="1">
        <f t="array" aca="1" ref="T1296" ca="1">INDIRECT("Data!N" &amp; 1291)</f>
        <v>0</v>
      </c>
      <c r="U1296" cm="1">
        <f t="array" aca="1" ref="U1296" ca="1">INDIRECT("Data!O" &amp; 1291)</f>
        <v>0</v>
      </c>
      <c r="V1296" cm="1">
        <f t="array" aca="1" ref="V1296" ca="1">INDIRECT("Data!P" &amp; 1291)</f>
        <v>0</v>
      </c>
    </row>
    <row r="1297" spans="7:22" x14ac:dyDescent="0.25">
      <c r="G1297" cm="1">
        <f t="array" aca="1" ref="G1297" ca="1">INDIRECT("Data!A" &amp; 1292)</f>
        <v>0</v>
      </c>
      <c r="H1297" s="21" cm="1">
        <f t="array" aca="1" ref="H1297" ca="1">INDIRECT("Data!B" &amp; 1292)</f>
        <v>0</v>
      </c>
      <c r="I1297" s="21" cm="1">
        <f t="array" aca="1" ref="I1297" ca="1">INDIRECT("Data!C" &amp; 1292)</f>
        <v>0</v>
      </c>
      <c r="J1297" cm="1">
        <f t="array" aca="1" ref="J1297" ca="1">INDIRECT("Data!D" &amp; 1292)</f>
        <v>0</v>
      </c>
      <c r="K1297" cm="1">
        <f t="array" aca="1" ref="K1297" ca="1">INDIRECT("Data!E" &amp; 1292)</f>
        <v>0</v>
      </c>
      <c r="L1297" cm="1">
        <f t="array" aca="1" ref="L1297" ca="1">INDIRECT("Data!F" &amp; 1292)</f>
        <v>0</v>
      </c>
      <c r="M1297" cm="1">
        <f t="array" aca="1" ref="M1297" ca="1">INDIRECT("Data!G" &amp; 1292)</f>
        <v>0</v>
      </c>
      <c r="N1297" cm="1">
        <f t="array" aca="1" ref="N1297" ca="1">INDIRECT("Data!H" &amp; 1292)</f>
        <v>0</v>
      </c>
      <c r="O1297" cm="1">
        <f t="array" aca="1" ref="O1297" ca="1">INDIRECT("Data!I" &amp; 1292)</f>
        <v>0</v>
      </c>
      <c r="P1297" s="21" cm="1">
        <f t="array" aca="1" ref="P1297" ca="1">INDIRECT("Data!J" &amp; 1292)</f>
        <v>0</v>
      </c>
      <c r="Q1297" cm="1">
        <f t="array" aca="1" ref="Q1297" ca="1">INDIRECT("Data!K" &amp; 1292)</f>
        <v>0</v>
      </c>
      <c r="R1297" cm="1">
        <f t="array" aca="1" ref="R1297" ca="1">INDIRECT("Data!L" &amp; 1292)</f>
        <v>0</v>
      </c>
      <c r="S1297" cm="1">
        <f t="array" aca="1" ref="S1297" ca="1">INDIRECT("Data!M" &amp; 1292)</f>
        <v>0</v>
      </c>
      <c r="T1297" cm="1">
        <f t="array" aca="1" ref="T1297" ca="1">INDIRECT("Data!N" &amp; 1292)</f>
        <v>0</v>
      </c>
      <c r="U1297" cm="1">
        <f t="array" aca="1" ref="U1297" ca="1">INDIRECT("Data!O" &amp; 1292)</f>
        <v>0</v>
      </c>
      <c r="V1297" cm="1">
        <f t="array" aca="1" ref="V1297" ca="1">INDIRECT("Data!P" &amp; 1292)</f>
        <v>0</v>
      </c>
    </row>
    <row r="1298" spans="7:22" x14ac:dyDescent="0.25">
      <c r="G1298" cm="1">
        <f t="array" aca="1" ref="G1298" ca="1">INDIRECT("Data!A" &amp; 1293)</f>
        <v>0</v>
      </c>
      <c r="H1298" s="21" cm="1">
        <f t="array" aca="1" ref="H1298" ca="1">INDIRECT("Data!B" &amp; 1293)</f>
        <v>0</v>
      </c>
      <c r="I1298" s="21" cm="1">
        <f t="array" aca="1" ref="I1298" ca="1">INDIRECT("Data!C" &amp; 1293)</f>
        <v>0</v>
      </c>
      <c r="J1298" cm="1">
        <f t="array" aca="1" ref="J1298" ca="1">INDIRECT("Data!D" &amp; 1293)</f>
        <v>0</v>
      </c>
      <c r="K1298" cm="1">
        <f t="array" aca="1" ref="K1298" ca="1">INDIRECT("Data!E" &amp; 1293)</f>
        <v>0</v>
      </c>
      <c r="L1298" cm="1">
        <f t="array" aca="1" ref="L1298" ca="1">INDIRECT("Data!F" &amp; 1293)</f>
        <v>0</v>
      </c>
      <c r="M1298" cm="1">
        <f t="array" aca="1" ref="M1298" ca="1">INDIRECT("Data!G" &amp; 1293)</f>
        <v>0</v>
      </c>
      <c r="N1298" cm="1">
        <f t="array" aca="1" ref="N1298" ca="1">INDIRECT("Data!H" &amp; 1293)</f>
        <v>0</v>
      </c>
      <c r="O1298" cm="1">
        <f t="array" aca="1" ref="O1298" ca="1">INDIRECT("Data!I" &amp; 1293)</f>
        <v>0</v>
      </c>
      <c r="P1298" s="21" cm="1">
        <f t="array" aca="1" ref="P1298" ca="1">INDIRECT("Data!J" &amp; 1293)</f>
        <v>0</v>
      </c>
      <c r="Q1298" cm="1">
        <f t="array" aca="1" ref="Q1298" ca="1">INDIRECT("Data!K" &amp; 1293)</f>
        <v>0</v>
      </c>
      <c r="R1298" cm="1">
        <f t="array" aca="1" ref="R1298" ca="1">INDIRECT("Data!L" &amp; 1293)</f>
        <v>0</v>
      </c>
      <c r="S1298" cm="1">
        <f t="array" aca="1" ref="S1298" ca="1">INDIRECT("Data!M" &amp; 1293)</f>
        <v>0</v>
      </c>
      <c r="T1298" cm="1">
        <f t="array" aca="1" ref="T1298" ca="1">INDIRECT("Data!N" &amp; 1293)</f>
        <v>0</v>
      </c>
      <c r="U1298" cm="1">
        <f t="array" aca="1" ref="U1298" ca="1">INDIRECT("Data!O" &amp; 1293)</f>
        <v>0</v>
      </c>
      <c r="V1298" cm="1">
        <f t="array" aca="1" ref="V1298" ca="1">INDIRECT("Data!P" &amp; 1293)</f>
        <v>0</v>
      </c>
    </row>
    <row r="1299" spans="7:22" x14ac:dyDescent="0.25">
      <c r="G1299" cm="1">
        <f t="array" aca="1" ref="G1299" ca="1">INDIRECT("Data!A" &amp; 1294)</f>
        <v>0</v>
      </c>
      <c r="H1299" s="21" cm="1">
        <f t="array" aca="1" ref="H1299" ca="1">INDIRECT("Data!B" &amp; 1294)</f>
        <v>0</v>
      </c>
      <c r="I1299" s="21" cm="1">
        <f t="array" aca="1" ref="I1299" ca="1">INDIRECT("Data!C" &amp; 1294)</f>
        <v>0</v>
      </c>
      <c r="J1299" cm="1">
        <f t="array" aca="1" ref="J1299" ca="1">INDIRECT("Data!D" &amp; 1294)</f>
        <v>0</v>
      </c>
      <c r="K1299" cm="1">
        <f t="array" aca="1" ref="K1299" ca="1">INDIRECT("Data!E" &amp; 1294)</f>
        <v>0</v>
      </c>
      <c r="L1299" cm="1">
        <f t="array" aca="1" ref="L1299" ca="1">INDIRECT("Data!F" &amp; 1294)</f>
        <v>0</v>
      </c>
      <c r="M1299" cm="1">
        <f t="array" aca="1" ref="M1299" ca="1">INDIRECT("Data!G" &amp; 1294)</f>
        <v>0</v>
      </c>
      <c r="N1299" cm="1">
        <f t="array" aca="1" ref="N1299" ca="1">INDIRECT("Data!H" &amp; 1294)</f>
        <v>0</v>
      </c>
      <c r="O1299" cm="1">
        <f t="array" aca="1" ref="O1299" ca="1">INDIRECT("Data!I" &amp; 1294)</f>
        <v>0</v>
      </c>
      <c r="P1299" s="21" cm="1">
        <f t="array" aca="1" ref="P1299" ca="1">INDIRECT("Data!J" &amp; 1294)</f>
        <v>0</v>
      </c>
      <c r="Q1299" cm="1">
        <f t="array" aca="1" ref="Q1299" ca="1">INDIRECT("Data!K" &amp; 1294)</f>
        <v>0</v>
      </c>
      <c r="R1299" cm="1">
        <f t="array" aca="1" ref="R1299" ca="1">INDIRECT("Data!L" &amp; 1294)</f>
        <v>0</v>
      </c>
      <c r="S1299" cm="1">
        <f t="array" aca="1" ref="S1299" ca="1">INDIRECT("Data!M" &amp; 1294)</f>
        <v>0</v>
      </c>
      <c r="T1299" cm="1">
        <f t="array" aca="1" ref="T1299" ca="1">INDIRECT("Data!N" &amp; 1294)</f>
        <v>0</v>
      </c>
      <c r="U1299" cm="1">
        <f t="array" aca="1" ref="U1299" ca="1">INDIRECT("Data!O" &amp; 1294)</f>
        <v>0</v>
      </c>
      <c r="V1299" cm="1">
        <f t="array" aca="1" ref="V1299" ca="1">INDIRECT("Data!P" &amp; 1294)</f>
        <v>0</v>
      </c>
    </row>
    <row r="1300" spans="7:22" x14ac:dyDescent="0.25">
      <c r="G1300" cm="1">
        <f t="array" aca="1" ref="G1300" ca="1">INDIRECT("Data!A" &amp; 1295)</f>
        <v>0</v>
      </c>
      <c r="H1300" s="21" cm="1">
        <f t="array" aca="1" ref="H1300" ca="1">INDIRECT("Data!B" &amp; 1295)</f>
        <v>0</v>
      </c>
      <c r="I1300" s="21" cm="1">
        <f t="array" aca="1" ref="I1300" ca="1">INDIRECT("Data!C" &amp; 1295)</f>
        <v>0</v>
      </c>
      <c r="J1300" cm="1">
        <f t="array" aca="1" ref="J1300" ca="1">INDIRECT("Data!D" &amp; 1295)</f>
        <v>0</v>
      </c>
      <c r="K1300" cm="1">
        <f t="array" aca="1" ref="K1300" ca="1">INDIRECT("Data!E" &amp; 1295)</f>
        <v>0</v>
      </c>
      <c r="L1300" cm="1">
        <f t="array" aca="1" ref="L1300" ca="1">INDIRECT("Data!F" &amp; 1295)</f>
        <v>0</v>
      </c>
      <c r="M1300" cm="1">
        <f t="array" aca="1" ref="M1300" ca="1">INDIRECT("Data!G" &amp; 1295)</f>
        <v>0</v>
      </c>
      <c r="N1300" cm="1">
        <f t="array" aca="1" ref="N1300" ca="1">INDIRECT("Data!H" &amp; 1295)</f>
        <v>0</v>
      </c>
      <c r="O1300" cm="1">
        <f t="array" aca="1" ref="O1300" ca="1">INDIRECT("Data!I" &amp; 1295)</f>
        <v>0</v>
      </c>
      <c r="P1300" s="21" cm="1">
        <f t="array" aca="1" ref="P1300" ca="1">INDIRECT("Data!J" &amp; 1295)</f>
        <v>0</v>
      </c>
      <c r="Q1300" cm="1">
        <f t="array" aca="1" ref="Q1300" ca="1">INDIRECT("Data!K" &amp; 1295)</f>
        <v>0</v>
      </c>
      <c r="R1300" cm="1">
        <f t="array" aca="1" ref="R1300" ca="1">INDIRECT("Data!L" &amp; 1295)</f>
        <v>0</v>
      </c>
      <c r="S1300" cm="1">
        <f t="array" aca="1" ref="S1300" ca="1">INDIRECT("Data!M" &amp; 1295)</f>
        <v>0</v>
      </c>
      <c r="T1300" cm="1">
        <f t="array" aca="1" ref="T1300" ca="1">INDIRECT("Data!N" &amp; 1295)</f>
        <v>0</v>
      </c>
      <c r="U1300" cm="1">
        <f t="array" aca="1" ref="U1300" ca="1">INDIRECT("Data!O" &amp; 1295)</f>
        <v>0</v>
      </c>
      <c r="V1300" cm="1">
        <f t="array" aca="1" ref="V1300" ca="1">INDIRECT("Data!P" &amp; 1295)</f>
        <v>0</v>
      </c>
    </row>
    <row r="1301" spans="7:22" x14ac:dyDescent="0.25">
      <c r="G1301" cm="1">
        <f t="array" aca="1" ref="G1301" ca="1">INDIRECT("Data!A" &amp; 1296)</f>
        <v>0</v>
      </c>
      <c r="H1301" s="21" cm="1">
        <f t="array" aca="1" ref="H1301" ca="1">INDIRECT("Data!B" &amp; 1296)</f>
        <v>0</v>
      </c>
      <c r="I1301" s="21" cm="1">
        <f t="array" aca="1" ref="I1301" ca="1">INDIRECT("Data!C" &amp; 1296)</f>
        <v>0</v>
      </c>
      <c r="J1301" cm="1">
        <f t="array" aca="1" ref="J1301" ca="1">INDIRECT("Data!D" &amp; 1296)</f>
        <v>0</v>
      </c>
      <c r="K1301" cm="1">
        <f t="array" aca="1" ref="K1301" ca="1">INDIRECT("Data!E" &amp; 1296)</f>
        <v>0</v>
      </c>
      <c r="L1301" cm="1">
        <f t="array" aca="1" ref="L1301" ca="1">INDIRECT("Data!F" &amp; 1296)</f>
        <v>0</v>
      </c>
      <c r="M1301" cm="1">
        <f t="array" aca="1" ref="M1301" ca="1">INDIRECT("Data!G" &amp; 1296)</f>
        <v>0</v>
      </c>
      <c r="N1301" cm="1">
        <f t="array" aca="1" ref="N1301" ca="1">INDIRECT("Data!H" &amp; 1296)</f>
        <v>0</v>
      </c>
      <c r="O1301" cm="1">
        <f t="array" aca="1" ref="O1301" ca="1">INDIRECT("Data!I" &amp; 1296)</f>
        <v>0</v>
      </c>
      <c r="P1301" s="21" cm="1">
        <f t="array" aca="1" ref="P1301" ca="1">INDIRECT("Data!J" &amp; 1296)</f>
        <v>0</v>
      </c>
      <c r="Q1301" cm="1">
        <f t="array" aca="1" ref="Q1301" ca="1">INDIRECT("Data!K" &amp; 1296)</f>
        <v>0</v>
      </c>
      <c r="R1301" cm="1">
        <f t="array" aca="1" ref="R1301" ca="1">INDIRECT("Data!L" &amp; 1296)</f>
        <v>0</v>
      </c>
      <c r="S1301" cm="1">
        <f t="array" aca="1" ref="S1301" ca="1">INDIRECT("Data!M" &amp; 1296)</f>
        <v>0</v>
      </c>
      <c r="T1301" cm="1">
        <f t="array" aca="1" ref="T1301" ca="1">INDIRECT("Data!N" &amp; 1296)</f>
        <v>0</v>
      </c>
      <c r="U1301" cm="1">
        <f t="array" aca="1" ref="U1301" ca="1">INDIRECT("Data!O" &amp; 1296)</f>
        <v>0</v>
      </c>
      <c r="V1301" cm="1">
        <f t="array" aca="1" ref="V1301" ca="1">INDIRECT("Data!P" &amp; 1296)</f>
        <v>0</v>
      </c>
    </row>
    <row r="1302" spans="7:22" x14ac:dyDescent="0.25">
      <c r="G1302" cm="1">
        <f t="array" aca="1" ref="G1302" ca="1">INDIRECT("Data!A" &amp; 1297)</f>
        <v>0</v>
      </c>
      <c r="H1302" s="21" cm="1">
        <f t="array" aca="1" ref="H1302" ca="1">INDIRECT("Data!B" &amp; 1297)</f>
        <v>0</v>
      </c>
      <c r="I1302" s="21" cm="1">
        <f t="array" aca="1" ref="I1302" ca="1">INDIRECT("Data!C" &amp; 1297)</f>
        <v>0</v>
      </c>
      <c r="J1302" cm="1">
        <f t="array" aca="1" ref="J1302" ca="1">INDIRECT("Data!D" &amp; 1297)</f>
        <v>0</v>
      </c>
      <c r="K1302" cm="1">
        <f t="array" aca="1" ref="K1302" ca="1">INDIRECT("Data!E" &amp; 1297)</f>
        <v>0</v>
      </c>
      <c r="L1302" cm="1">
        <f t="array" aca="1" ref="L1302" ca="1">INDIRECT("Data!F" &amp; 1297)</f>
        <v>0</v>
      </c>
      <c r="M1302" cm="1">
        <f t="array" aca="1" ref="M1302" ca="1">INDIRECT("Data!G" &amp; 1297)</f>
        <v>0</v>
      </c>
      <c r="N1302" cm="1">
        <f t="array" aca="1" ref="N1302" ca="1">INDIRECT("Data!H" &amp; 1297)</f>
        <v>0</v>
      </c>
      <c r="O1302" cm="1">
        <f t="array" aca="1" ref="O1302" ca="1">INDIRECT("Data!I" &amp; 1297)</f>
        <v>0</v>
      </c>
      <c r="P1302" s="21" cm="1">
        <f t="array" aca="1" ref="P1302" ca="1">INDIRECT("Data!J" &amp; 1297)</f>
        <v>0</v>
      </c>
      <c r="Q1302" cm="1">
        <f t="array" aca="1" ref="Q1302" ca="1">INDIRECT("Data!K" &amp; 1297)</f>
        <v>0</v>
      </c>
      <c r="R1302" cm="1">
        <f t="array" aca="1" ref="R1302" ca="1">INDIRECT("Data!L" &amp; 1297)</f>
        <v>0</v>
      </c>
      <c r="S1302" cm="1">
        <f t="array" aca="1" ref="S1302" ca="1">INDIRECT("Data!M" &amp; 1297)</f>
        <v>0</v>
      </c>
      <c r="T1302" cm="1">
        <f t="array" aca="1" ref="T1302" ca="1">INDIRECT("Data!N" &amp; 1297)</f>
        <v>0</v>
      </c>
      <c r="U1302" cm="1">
        <f t="array" aca="1" ref="U1302" ca="1">INDIRECT("Data!O" &amp; 1297)</f>
        <v>0</v>
      </c>
      <c r="V1302" cm="1">
        <f t="array" aca="1" ref="V1302" ca="1">INDIRECT("Data!P" &amp; 1297)</f>
        <v>0</v>
      </c>
    </row>
    <row r="1303" spans="7:22" x14ac:dyDescent="0.25">
      <c r="G1303" cm="1">
        <f t="array" aca="1" ref="G1303" ca="1">INDIRECT("Data!A" &amp; 1298)</f>
        <v>0</v>
      </c>
      <c r="H1303" s="21" cm="1">
        <f t="array" aca="1" ref="H1303" ca="1">INDIRECT("Data!B" &amp; 1298)</f>
        <v>0</v>
      </c>
      <c r="I1303" s="21" cm="1">
        <f t="array" aca="1" ref="I1303" ca="1">INDIRECT("Data!C" &amp; 1298)</f>
        <v>0</v>
      </c>
      <c r="J1303" cm="1">
        <f t="array" aca="1" ref="J1303" ca="1">INDIRECT("Data!D" &amp; 1298)</f>
        <v>0</v>
      </c>
      <c r="K1303" cm="1">
        <f t="array" aca="1" ref="K1303" ca="1">INDIRECT("Data!E" &amp; 1298)</f>
        <v>0</v>
      </c>
      <c r="L1303" cm="1">
        <f t="array" aca="1" ref="L1303" ca="1">INDIRECT("Data!F" &amp; 1298)</f>
        <v>0</v>
      </c>
      <c r="M1303" cm="1">
        <f t="array" aca="1" ref="M1303" ca="1">INDIRECT("Data!G" &amp; 1298)</f>
        <v>0</v>
      </c>
      <c r="N1303" cm="1">
        <f t="array" aca="1" ref="N1303" ca="1">INDIRECT("Data!H" &amp; 1298)</f>
        <v>0</v>
      </c>
      <c r="O1303" cm="1">
        <f t="array" aca="1" ref="O1303" ca="1">INDIRECT("Data!I" &amp; 1298)</f>
        <v>0</v>
      </c>
      <c r="P1303" s="21" cm="1">
        <f t="array" aca="1" ref="P1303" ca="1">INDIRECT("Data!J" &amp; 1298)</f>
        <v>0</v>
      </c>
      <c r="Q1303" cm="1">
        <f t="array" aca="1" ref="Q1303" ca="1">INDIRECT("Data!K" &amp; 1298)</f>
        <v>0</v>
      </c>
      <c r="R1303" cm="1">
        <f t="array" aca="1" ref="R1303" ca="1">INDIRECT("Data!L" &amp; 1298)</f>
        <v>0</v>
      </c>
      <c r="S1303" cm="1">
        <f t="array" aca="1" ref="S1303" ca="1">INDIRECT("Data!M" &amp; 1298)</f>
        <v>0</v>
      </c>
      <c r="T1303" cm="1">
        <f t="array" aca="1" ref="T1303" ca="1">INDIRECT("Data!N" &amp; 1298)</f>
        <v>0</v>
      </c>
      <c r="U1303" cm="1">
        <f t="array" aca="1" ref="U1303" ca="1">INDIRECT("Data!O" &amp; 1298)</f>
        <v>0</v>
      </c>
      <c r="V1303" cm="1">
        <f t="array" aca="1" ref="V1303" ca="1">INDIRECT("Data!P" &amp; 1298)</f>
        <v>0</v>
      </c>
    </row>
    <row r="1304" spans="7:22" x14ac:dyDescent="0.25">
      <c r="G1304" cm="1">
        <f t="array" aca="1" ref="G1304" ca="1">INDIRECT("Data!A" &amp; 1299)</f>
        <v>0</v>
      </c>
      <c r="H1304" s="21" cm="1">
        <f t="array" aca="1" ref="H1304" ca="1">INDIRECT("Data!B" &amp; 1299)</f>
        <v>0</v>
      </c>
      <c r="I1304" s="21" cm="1">
        <f t="array" aca="1" ref="I1304" ca="1">INDIRECT("Data!C" &amp; 1299)</f>
        <v>0</v>
      </c>
      <c r="J1304" cm="1">
        <f t="array" aca="1" ref="J1304" ca="1">INDIRECT("Data!D" &amp; 1299)</f>
        <v>0</v>
      </c>
      <c r="K1304" cm="1">
        <f t="array" aca="1" ref="K1304" ca="1">INDIRECT("Data!E" &amp; 1299)</f>
        <v>0</v>
      </c>
      <c r="L1304" cm="1">
        <f t="array" aca="1" ref="L1304" ca="1">INDIRECT("Data!F" &amp; 1299)</f>
        <v>0</v>
      </c>
      <c r="M1304" cm="1">
        <f t="array" aca="1" ref="M1304" ca="1">INDIRECT("Data!G" &amp; 1299)</f>
        <v>0</v>
      </c>
      <c r="N1304" cm="1">
        <f t="array" aca="1" ref="N1304" ca="1">INDIRECT("Data!H" &amp; 1299)</f>
        <v>0</v>
      </c>
      <c r="O1304" cm="1">
        <f t="array" aca="1" ref="O1304" ca="1">INDIRECT("Data!I" &amp; 1299)</f>
        <v>0</v>
      </c>
      <c r="P1304" s="21" cm="1">
        <f t="array" aca="1" ref="P1304" ca="1">INDIRECT("Data!J" &amp; 1299)</f>
        <v>0</v>
      </c>
      <c r="Q1304" cm="1">
        <f t="array" aca="1" ref="Q1304" ca="1">INDIRECT("Data!K" &amp; 1299)</f>
        <v>0</v>
      </c>
      <c r="R1304" cm="1">
        <f t="array" aca="1" ref="R1304" ca="1">INDIRECT("Data!L" &amp; 1299)</f>
        <v>0</v>
      </c>
      <c r="S1304" cm="1">
        <f t="array" aca="1" ref="S1304" ca="1">INDIRECT("Data!M" &amp; 1299)</f>
        <v>0</v>
      </c>
      <c r="T1304" cm="1">
        <f t="array" aca="1" ref="T1304" ca="1">INDIRECT("Data!N" &amp; 1299)</f>
        <v>0</v>
      </c>
      <c r="U1304" cm="1">
        <f t="array" aca="1" ref="U1304" ca="1">INDIRECT("Data!O" &amp; 1299)</f>
        <v>0</v>
      </c>
      <c r="V1304" cm="1">
        <f t="array" aca="1" ref="V1304" ca="1">INDIRECT("Data!P" &amp; 1299)</f>
        <v>0</v>
      </c>
    </row>
    <row r="1305" spans="7:22" x14ac:dyDescent="0.25">
      <c r="G1305" cm="1">
        <f t="array" aca="1" ref="G1305" ca="1">INDIRECT("Data!A" &amp; 1300)</f>
        <v>0</v>
      </c>
      <c r="H1305" s="21" cm="1">
        <f t="array" aca="1" ref="H1305" ca="1">INDIRECT("Data!B" &amp; 1300)</f>
        <v>0</v>
      </c>
      <c r="I1305" s="21" cm="1">
        <f t="array" aca="1" ref="I1305" ca="1">INDIRECT("Data!C" &amp; 1300)</f>
        <v>0</v>
      </c>
      <c r="J1305" cm="1">
        <f t="array" aca="1" ref="J1305" ca="1">INDIRECT("Data!D" &amp; 1300)</f>
        <v>0</v>
      </c>
      <c r="K1305" cm="1">
        <f t="array" aca="1" ref="K1305" ca="1">INDIRECT("Data!E" &amp; 1300)</f>
        <v>0</v>
      </c>
      <c r="L1305" cm="1">
        <f t="array" aca="1" ref="L1305" ca="1">INDIRECT("Data!F" &amp; 1300)</f>
        <v>0</v>
      </c>
      <c r="M1305" cm="1">
        <f t="array" aca="1" ref="M1305" ca="1">INDIRECT("Data!G" &amp; 1300)</f>
        <v>0</v>
      </c>
      <c r="N1305" cm="1">
        <f t="array" aca="1" ref="N1305" ca="1">INDIRECT("Data!H" &amp; 1300)</f>
        <v>0</v>
      </c>
      <c r="O1305" cm="1">
        <f t="array" aca="1" ref="O1305" ca="1">INDIRECT("Data!I" &amp; 1300)</f>
        <v>0</v>
      </c>
      <c r="P1305" s="21" cm="1">
        <f t="array" aca="1" ref="P1305" ca="1">INDIRECT("Data!J" &amp; 1300)</f>
        <v>0</v>
      </c>
      <c r="Q1305" cm="1">
        <f t="array" aca="1" ref="Q1305" ca="1">INDIRECT("Data!K" &amp; 1300)</f>
        <v>0</v>
      </c>
      <c r="R1305" cm="1">
        <f t="array" aca="1" ref="R1305" ca="1">INDIRECT("Data!L" &amp; 1300)</f>
        <v>0</v>
      </c>
      <c r="S1305" cm="1">
        <f t="array" aca="1" ref="S1305" ca="1">INDIRECT("Data!M" &amp; 1300)</f>
        <v>0</v>
      </c>
      <c r="T1305" cm="1">
        <f t="array" aca="1" ref="T1305" ca="1">INDIRECT("Data!N" &amp; 1300)</f>
        <v>0</v>
      </c>
      <c r="U1305" cm="1">
        <f t="array" aca="1" ref="U1305" ca="1">INDIRECT("Data!O" &amp; 1300)</f>
        <v>0</v>
      </c>
      <c r="V1305" cm="1">
        <f t="array" aca="1" ref="V1305" ca="1">INDIRECT("Data!P" &amp; 1300)</f>
        <v>0</v>
      </c>
    </row>
    <row r="1306" spans="7:22" x14ac:dyDescent="0.25">
      <c r="G1306" cm="1">
        <f t="array" aca="1" ref="G1306" ca="1">INDIRECT("Data!A" &amp; 1301)</f>
        <v>0</v>
      </c>
      <c r="H1306" s="21" cm="1">
        <f t="array" aca="1" ref="H1306" ca="1">INDIRECT("Data!B" &amp; 1301)</f>
        <v>0</v>
      </c>
      <c r="I1306" s="21" cm="1">
        <f t="array" aca="1" ref="I1306" ca="1">INDIRECT("Data!C" &amp; 1301)</f>
        <v>0</v>
      </c>
      <c r="J1306" cm="1">
        <f t="array" aca="1" ref="J1306" ca="1">INDIRECT("Data!D" &amp; 1301)</f>
        <v>0</v>
      </c>
      <c r="K1306" cm="1">
        <f t="array" aca="1" ref="K1306" ca="1">INDIRECT("Data!E" &amp; 1301)</f>
        <v>0</v>
      </c>
      <c r="L1306" cm="1">
        <f t="array" aca="1" ref="L1306" ca="1">INDIRECT("Data!F" &amp; 1301)</f>
        <v>0</v>
      </c>
      <c r="M1306" cm="1">
        <f t="array" aca="1" ref="M1306" ca="1">INDIRECT("Data!G" &amp; 1301)</f>
        <v>0</v>
      </c>
      <c r="N1306" cm="1">
        <f t="array" aca="1" ref="N1306" ca="1">INDIRECT("Data!H" &amp; 1301)</f>
        <v>0</v>
      </c>
      <c r="O1306" cm="1">
        <f t="array" aca="1" ref="O1306" ca="1">INDIRECT("Data!I" &amp; 1301)</f>
        <v>0</v>
      </c>
      <c r="P1306" s="21" cm="1">
        <f t="array" aca="1" ref="P1306" ca="1">INDIRECT("Data!J" &amp; 1301)</f>
        <v>0</v>
      </c>
      <c r="Q1306" cm="1">
        <f t="array" aca="1" ref="Q1306" ca="1">INDIRECT("Data!K" &amp; 1301)</f>
        <v>0</v>
      </c>
      <c r="R1306" cm="1">
        <f t="array" aca="1" ref="R1306" ca="1">INDIRECT("Data!L" &amp; 1301)</f>
        <v>0</v>
      </c>
      <c r="S1306" cm="1">
        <f t="array" aca="1" ref="S1306" ca="1">INDIRECT("Data!M" &amp; 1301)</f>
        <v>0</v>
      </c>
      <c r="T1306" cm="1">
        <f t="array" aca="1" ref="T1306" ca="1">INDIRECT("Data!N" &amp; 1301)</f>
        <v>0</v>
      </c>
      <c r="U1306" cm="1">
        <f t="array" aca="1" ref="U1306" ca="1">INDIRECT("Data!O" &amp; 1301)</f>
        <v>0</v>
      </c>
      <c r="V1306" cm="1">
        <f t="array" aca="1" ref="V1306" ca="1">INDIRECT("Data!P" &amp; 1301)</f>
        <v>0</v>
      </c>
    </row>
    <row r="1307" spans="7:22" x14ac:dyDescent="0.25">
      <c r="G1307" cm="1">
        <f t="array" aca="1" ref="G1307" ca="1">INDIRECT("Data!A" &amp; 1302)</f>
        <v>0</v>
      </c>
      <c r="H1307" s="21" cm="1">
        <f t="array" aca="1" ref="H1307" ca="1">INDIRECT("Data!B" &amp; 1302)</f>
        <v>0</v>
      </c>
      <c r="I1307" s="21" cm="1">
        <f t="array" aca="1" ref="I1307" ca="1">INDIRECT("Data!C" &amp; 1302)</f>
        <v>0</v>
      </c>
      <c r="J1307" cm="1">
        <f t="array" aca="1" ref="J1307" ca="1">INDIRECT("Data!D" &amp; 1302)</f>
        <v>0</v>
      </c>
      <c r="K1307" cm="1">
        <f t="array" aca="1" ref="K1307" ca="1">INDIRECT("Data!E" &amp; 1302)</f>
        <v>0</v>
      </c>
      <c r="L1307" cm="1">
        <f t="array" aca="1" ref="L1307" ca="1">INDIRECT("Data!F" &amp; 1302)</f>
        <v>0</v>
      </c>
      <c r="M1307" cm="1">
        <f t="array" aca="1" ref="M1307" ca="1">INDIRECT("Data!G" &amp; 1302)</f>
        <v>0</v>
      </c>
      <c r="N1307" cm="1">
        <f t="array" aca="1" ref="N1307" ca="1">INDIRECT("Data!H" &amp; 1302)</f>
        <v>0</v>
      </c>
      <c r="O1307" cm="1">
        <f t="array" aca="1" ref="O1307" ca="1">INDIRECT("Data!I" &amp; 1302)</f>
        <v>0</v>
      </c>
      <c r="P1307" s="21" cm="1">
        <f t="array" aca="1" ref="P1307" ca="1">INDIRECT("Data!J" &amp; 1302)</f>
        <v>0</v>
      </c>
      <c r="Q1307" cm="1">
        <f t="array" aca="1" ref="Q1307" ca="1">INDIRECT("Data!K" &amp; 1302)</f>
        <v>0</v>
      </c>
      <c r="R1307" cm="1">
        <f t="array" aca="1" ref="R1307" ca="1">INDIRECT("Data!L" &amp; 1302)</f>
        <v>0</v>
      </c>
      <c r="S1307" cm="1">
        <f t="array" aca="1" ref="S1307" ca="1">INDIRECT("Data!M" &amp; 1302)</f>
        <v>0</v>
      </c>
      <c r="T1307" cm="1">
        <f t="array" aca="1" ref="T1307" ca="1">INDIRECT("Data!N" &amp; 1302)</f>
        <v>0</v>
      </c>
      <c r="U1307" cm="1">
        <f t="array" aca="1" ref="U1307" ca="1">INDIRECT("Data!O" &amp; 1302)</f>
        <v>0</v>
      </c>
      <c r="V1307" cm="1">
        <f t="array" aca="1" ref="V1307" ca="1">INDIRECT("Data!P" &amp; 1302)</f>
        <v>0</v>
      </c>
    </row>
    <row r="1308" spans="7:22" x14ac:dyDescent="0.25">
      <c r="G1308" cm="1">
        <f t="array" aca="1" ref="G1308" ca="1">INDIRECT("Data!A" &amp; 1303)</f>
        <v>0</v>
      </c>
      <c r="H1308" s="21" cm="1">
        <f t="array" aca="1" ref="H1308" ca="1">INDIRECT("Data!B" &amp; 1303)</f>
        <v>0</v>
      </c>
      <c r="I1308" s="21" cm="1">
        <f t="array" aca="1" ref="I1308" ca="1">INDIRECT("Data!C" &amp; 1303)</f>
        <v>0</v>
      </c>
      <c r="J1308" cm="1">
        <f t="array" aca="1" ref="J1308" ca="1">INDIRECT("Data!D" &amp; 1303)</f>
        <v>0</v>
      </c>
      <c r="K1308" cm="1">
        <f t="array" aca="1" ref="K1308" ca="1">INDIRECT("Data!E" &amp; 1303)</f>
        <v>0</v>
      </c>
      <c r="L1308" cm="1">
        <f t="array" aca="1" ref="L1308" ca="1">INDIRECT("Data!F" &amp; 1303)</f>
        <v>0</v>
      </c>
      <c r="M1308" cm="1">
        <f t="array" aca="1" ref="M1308" ca="1">INDIRECT("Data!G" &amp; 1303)</f>
        <v>0</v>
      </c>
      <c r="N1308" cm="1">
        <f t="array" aca="1" ref="N1308" ca="1">INDIRECT("Data!H" &amp; 1303)</f>
        <v>0</v>
      </c>
      <c r="O1308" cm="1">
        <f t="array" aca="1" ref="O1308" ca="1">INDIRECT("Data!I" &amp; 1303)</f>
        <v>0</v>
      </c>
      <c r="P1308" s="21" cm="1">
        <f t="array" aca="1" ref="P1308" ca="1">INDIRECT("Data!J" &amp; 1303)</f>
        <v>0</v>
      </c>
      <c r="Q1308" cm="1">
        <f t="array" aca="1" ref="Q1308" ca="1">INDIRECT("Data!K" &amp; 1303)</f>
        <v>0</v>
      </c>
      <c r="R1308" cm="1">
        <f t="array" aca="1" ref="R1308" ca="1">INDIRECT("Data!L" &amp; 1303)</f>
        <v>0</v>
      </c>
      <c r="S1308" cm="1">
        <f t="array" aca="1" ref="S1308" ca="1">INDIRECT("Data!M" &amp; 1303)</f>
        <v>0</v>
      </c>
      <c r="T1308" cm="1">
        <f t="array" aca="1" ref="T1308" ca="1">INDIRECT("Data!N" &amp; 1303)</f>
        <v>0</v>
      </c>
      <c r="U1308" cm="1">
        <f t="array" aca="1" ref="U1308" ca="1">INDIRECT("Data!O" &amp; 1303)</f>
        <v>0</v>
      </c>
      <c r="V1308" cm="1">
        <f t="array" aca="1" ref="V1308" ca="1">INDIRECT("Data!P" &amp; 1303)</f>
        <v>0</v>
      </c>
    </row>
    <row r="1309" spans="7:22" x14ac:dyDescent="0.25">
      <c r="G1309" cm="1">
        <f t="array" aca="1" ref="G1309" ca="1">INDIRECT("Data!A" &amp; 1304)</f>
        <v>0</v>
      </c>
      <c r="H1309" s="21" cm="1">
        <f t="array" aca="1" ref="H1309" ca="1">INDIRECT("Data!B" &amp; 1304)</f>
        <v>0</v>
      </c>
      <c r="I1309" s="21" cm="1">
        <f t="array" aca="1" ref="I1309" ca="1">INDIRECT("Data!C" &amp; 1304)</f>
        <v>0</v>
      </c>
      <c r="J1309" cm="1">
        <f t="array" aca="1" ref="J1309" ca="1">INDIRECT("Data!D" &amp; 1304)</f>
        <v>0</v>
      </c>
      <c r="K1309" cm="1">
        <f t="array" aca="1" ref="K1309" ca="1">INDIRECT("Data!E" &amp; 1304)</f>
        <v>0</v>
      </c>
      <c r="L1309" cm="1">
        <f t="array" aca="1" ref="L1309" ca="1">INDIRECT("Data!F" &amp; 1304)</f>
        <v>0</v>
      </c>
      <c r="M1309" cm="1">
        <f t="array" aca="1" ref="M1309" ca="1">INDIRECT("Data!G" &amp; 1304)</f>
        <v>0</v>
      </c>
      <c r="N1309" cm="1">
        <f t="array" aca="1" ref="N1309" ca="1">INDIRECT("Data!H" &amp; 1304)</f>
        <v>0</v>
      </c>
      <c r="O1309" cm="1">
        <f t="array" aca="1" ref="O1309" ca="1">INDIRECT("Data!I" &amp; 1304)</f>
        <v>0</v>
      </c>
      <c r="P1309" s="21" cm="1">
        <f t="array" aca="1" ref="P1309" ca="1">INDIRECT("Data!J" &amp; 1304)</f>
        <v>0</v>
      </c>
      <c r="Q1309" cm="1">
        <f t="array" aca="1" ref="Q1309" ca="1">INDIRECT("Data!K" &amp; 1304)</f>
        <v>0</v>
      </c>
      <c r="R1309" cm="1">
        <f t="array" aca="1" ref="R1309" ca="1">INDIRECT("Data!L" &amp; 1304)</f>
        <v>0</v>
      </c>
      <c r="S1309" cm="1">
        <f t="array" aca="1" ref="S1309" ca="1">INDIRECT("Data!M" &amp; 1304)</f>
        <v>0</v>
      </c>
      <c r="T1309" cm="1">
        <f t="array" aca="1" ref="T1309" ca="1">INDIRECT("Data!N" &amp; 1304)</f>
        <v>0</v>
      </c>
      <c r="U1309" cm="1">
        <f t="array" aca="1" ref="U1309" ca="1">INDIRECT("Data!O" &amp; 1304)</f>
        <v>0</v>
      </c>
      <c r="V1309" cm="1">
        <f t="array" aca="1" ref="V1309" ca="1">INDIRECT("Data!P" &amp; 1304)</f>
        <v>0</v>
      </c>
    </row>
    <row r="1310" spans="7:22" x14ac:dyDescent="0.25">
      <c r="G1310" cm="1">
        <f t="array" aca="1" ref="G1310" ca="1">INDIRECT("Data!A" &amp; 1305)</f>
        <v>0</v>
      </c>
      <c r="H1310" s="21" cm="1">
        <f t="array" aca="1" ref="H1310" ca="1">INDIRECT("Data!B" &amp; 1305)</f>
        <v>0</v>
      </c>
      <c r="I1310" s="21" cm="1">
        <f t="array" aca="1" ref="I1310" ca="1">INDIRECT("Data!C" &amp; 1305)</f>
        <v>0</v>
      </c>
      <c r="J1310" cm="1">
        <f t="array" aca="1" ref="J1310" ca="1">INDIRECT("Data!D" &amp; 1305)</f>
        <v>0</v>
      </c>
      <c r="K1310" cm="1">
        <f t="array" aca="1" ref="K1310" ca="1">INDIRECT("Data!E" &amp; 1305)</f>
        <v>0</v>
      </c>
      <c r="L1310" cm="1">
        <f t="array" aca="1" ref="L1310" ca="1">INDIRECT("Data!F" &amp; 1305)</f>
        <v>0</v>
      </c>
      <c r="M1310" cm="1">
        <f t="array" aca="1" ref="M1310" ca="1">INDIRECT("Data!G" &amp; 1305)</f>
        <v>0</v>
      </c>
      <c r="N1310" cm="1">
        <f t="array" aca="1" ref="N1310" ca="1">INDIRECT("Data!H" &amp; 1305)</f>
        <v>0</v>
      </c>
      <c r="O1310" cm="1">
        <f t="array" aca="1" ref="O1310" ca="1">INDIRECT("Data!I" &amp; 1305)</f>
        <v>0</v>
      </c>
      <c r="P1310" s="21" cm="1">
        <f t="array" aca="1" ref="P1310" ca="1">INDIRECT("Data!J" &amp; 1305)</f>
        <v>0</v>
      </c>
      <c r="Q1310" cm="1">
        <f t="array" aca="1" ref="Q1310" ca="1">INDIRECT("Data!K" &amp; 1305)</f>
        <v>0</v>
      </c>
      <c r="R1310" cm="1">
        <f t="array" aca="1" ref="R1310" ca="1">INDIRECT("Data!L" &amp; 1305)</f>
        <v>0</v>
      </c>
      <c r="S1310" cm="1">
        <f t="array" aca="1" ref="S1310" ca="1">INDIRECT("Data!M" &amp; 1305)</f>
        <v>0</v>
      </c>
      <c r="T1310" cm="1">
        <f t="array" aca="1" ref="T1310" ca="1">INDIRECT("Data!N" &amp; 1305)</f>
        <v>0</v>
      </c>
      <c r="U1310" cm="1">
        <f t="array" aca="1" ref="U1310" ca="1">INDIRECT("Data!O" &amp; 1305)</f>
        <v>0</v>
      </c>
      <c r="V1310" cm="1">
        <f t="array" aca="1" ref="V1310" ca="1">INDIRECT("Data!P" &amp; 1305)</f>
        <v>0</v>
      </c>
    </row>
    <row r="1311" spans="7:22" x14ac:dyDescent="0.25">
      <c r="G1311" cm="1">
        <f t="array" aca="1" ref="G1311" ca="1">INDIRECT("Data!A" &amp; 1306)</f>
        <v>0</v>
      </c>
      <c r="H1311" s="21" cm="1">
        <f t="array" aca="1" ref="H1311" ca="1">INDIRECT("Data!B" &amp; 1306)</f>
        <v>0</v>
      </c>
      <c r="I1311" s="21" cm="1">
        <f t="array" aca="1" ref="I1311" ca="1">INDIRECT("Data!C" &amp; 1306)</f>
        <v>0</v>
      </c>
      <c r="J1311" cm="1">
        <f t="array" aca="1" ref="J1311" ca="1">INDIRECT("Data!D" &amp; 1306)</f>
        <v>0</v>
      </c>
      <c r="K1311" cm="1">
        <f t="array" aca="1" ref="K1311" ca="1">INDIRECT("Data!E" &amp; 1306)</f>
        <v>0</v>
      </c>
      <c r="L1311" cm="1">
        <f t="array" aca="1" ref="L1311" ca="1">INDIRECT("Data!F" &amp; 1306)</f>
        <v>0</v>
      </c>
      <c r="M1311" cm="1">
        <f t="array" aca="1" ref="M1311" ca="1">INDIRECT("Data!G" &amp; 1306)</f>
        <v>0</v>
      </c>
      <c r="N1311" cm="1">
        <f t="array" aca="1" ref="N1311" ca="1">INDIRECT("Data!H" &amp; 1306)</f>
        <v>0</v>
      </c>
      <c r="O1311" cm="1">
        <f t="array" aca="1" ref="O1311" ca="1">INDIRECT("Data!I" &amp; 1306)</f>
        <v>0</v>
      </c>
      <c r="P1311" s="21" cm="1">
        <f t="array" aca="1" ref="P1311" ca="1">INDIRECT("Data!J" &amp; 1306)</f>
        <v>0</v>
      </c>
      <c r="Q1311" cm="1">
        <f t="array" aca="1" ref="Q1311" ca="1">INDIRECT("Data!K" &amp; 1306)</f>
        <v>0</v>
      </c>
      <c r="R1311" cm="1">
        <f t="array" aca="1" ref="R1311" ca="1">INDIRECT("Data!L" &amp; 1306)</f>
        <v>0</v>
      </c>
      <c r="S1311" cm="1">
        <f t="array" aca="1" ref="S1311" ca="1">INDIRECT("Data!M" &amp; 1306)</f>
        <v>0</v>
      </c>
      <c r="T1311" cm="1">
        <f t="array" aca="1" ref="T1311" ca="1">INDIRECT("Data!N" &amp; 1306)</f>
        <v>0</v>
      </c>
      <c r="U1311" cm="1">
        <f t="array" aca="1" ref="U1311" ca="1">INDIRECT("Data!O" &amp; 1306)</f>
        <v>0</v>
      </c>
      <c r="V1311" cm="1">
        <f t="array" aca="1" ref="V1311" ca="1">INDIRECT("Data!P" &amp; 1306)</f>
        <v>0</v>
      </c>
    </row>
    <row r="1312" spans="7:22" x14ac:dyDescent="0.25">
      <c r="G1312" cm="1">
        <f t="array" aca="1" ref="G1312" ca="1">INDIRECT("Data!A" &amp; 1307)</f>
        <v>0</v>
      </c>
      <c r="H1312" s="21" cm="1">
        <f t="array" aca="1" ref="H1312" ca="1">INDIRECT("Data!B" &amp; 1307)</f>
        <v>0</v>
      </c>
      <c r="I1312" s="21" cm="1">
        <f t="array" aca="1" ref="I1312" ca="1">INDIRECT("Data!C" &amp; 1307)</f>
        <v>0</v>
      </c>
      <c r="J1312" cm="1">
        <f t="array" aca="1" ref="J1312" ca="1">INDIRECT("Data!D" &amp; 1307)</f>
        <v>0</v>
      </c>
      <c r="K1312" cm="1">
        <f t="array" aca="1" ref="K1312" ca="1">INDIRECT("Data!E" &amp; 1307)</f>
        <v>0</v>
      </c>
      <c r="L1312" cm="1">
        <f t="array" aca="1" ref="L1312" ca="1">INDIRECT("Data!F" &amp; 1307)</f>
        <v>0</v>
      </c>
      <c r="M1312" cm="1">
        <f t="array" aca="1" ref="M1312" ca="1">INDIRECT("Data!G" &amp; 1307)</f>
        <v>0</v>
      </c>
      <c r="N1312" cm="1">
        <f t="array" aca="1" ref="N1312" ca="1">INDIRECT("Data!H" &amp; 1307)</f>
        <v>0</v>
      </c>
      <c r="O1312" cm="1">
        <f t="array" aca="1" ref="O1312" ca="1">INDIRECT("Data!I" &amp; 1307)</f>
        <v>0</v>
      </c>
      <c r="P1312" s="21" cm="1">
        <f t="array" aca="1" ref="P1312" ca="1">INDIRECT("Data!J" &amp; 1307)</f>
        <v>0</v>
      </c>
      <c r="Q1312" cm="1">
        <f t="array" aca="1" ref="Q1312" ca="1">INDIRECT("Data!K" &amp; 1307)</f>
        <v>0</v>
      </c>
      <c r="R1312" cm="1">
        <f t="array" aca="1" ref="R1312" ca="1">INDIRECT("Data!L" &amp; 1307)</f>
        <v>0</v>
      </c>
      <c r="S1312" cm="1">
        <f t="array" aca="1" ref="S1312" ca="1">INDIRECT("Data!M" &amp; 1307)</f>
        <v>0</v>
      </c>
      <c r="T1312" cm="1">
        <f t="array" aca="1" ref="T1312" ca="1">INDIRECT("Data!N" &amp; 1307)</f>
        <v>0</v>
      </c>
      <c r="U1312" cm="1">
        <f t="array" aca="1" ref="U1312" ca="1">INDIRECT("Data!O" &amp; 1307)</f>
        <v>0</v>
      </c>
      <c r="V1312" cm="1">
        <f t="array" aca="1" ref="V1312" ca="1">INDIRECT("Data!P" &amp; 1307)</f>
        <v>0</v>
      </c>
    </row>
    <row r="1313" spans="7:22" x14ac:dyDescent="0.25">
      <c r="G1313" cm="1">
        <f t="array" aca="1" ref="G1313" ca="1">INDIRECT("Data!A" &amp; 1308)</f>
        <v>0</v>
      </c>
      <c r="H1313" s="21" cm="1">
        <f t="array" aca="1" ref="H1313" ca="1">INDIRECT("Data!B" &amp; 1308)</f>
        <v>0</v>
      </c>
      <c r="I1313" s="21" cm="1">
        <f t="array" aca="1" ref="I1313" ca="1">INDIRECT("Data!C" &amp; 1308)</f>
        <v>0</v>
      </c>
      <c r="J1313" cm="1">
        <f t="array" aca="1" ref="J1313" ca="1">INDIRECT("Data!D" &amp; 1308)</f>
        <v>0</v>
      </c>
      <c r="K1313" cm="1">
        <f t="array" aca="1" ref="K1313" ca="1">INDIRECT("Data!E" &amp; 1308)</f>
        <v>0</v>
      </c>
      <c r="L1313" cm="1">
        <f t="array" aca="1" ref="L1313" ca="1">INDIRECT("Data!F" &amp; 1308)</f>
        <v>0</v>
      </c>
      <c r="M1313" cm="1">
        <f t="array" aca="1" ref="M1313" ca="1">INDIRECT("Data!G" &amp; 1308)</f>
        <v>0</v>
      </c>
      <c r="N1313" cm="1">
        <f t="array" aca="1" ref="N1313" ca="1">INDIRECT("Data!H" &amp; 1308)</f>
        <v>0</v>
      </c>
      <c r="O1313" cm="1">
        <f t="array" aca="1" ref="O1313" ca="1">INDIRECT("Data!I" &amp; 1308)</f>
        <v>0</v>
      </c>
      <c r="P1313" s="21" cm="1">
        <f t="array" aca="1" ref="P1313" ca="1">INDIRECT("Data!J" &amp; 1308)</f>
        <v>0</v>
      </c>
      <c r="Q1313" cm="1">
        <f t="array" aca="1" ref="Q1313" ca="1">INDIRECT("Data!K" &amp; 1308)</f>
        <v>0</v>
      </c>
      <c r="R1313" cm="1">
        <f t="array" aca="1" ref="R1313" ca="1">INDIRECT("Data!L" &amp; 1308)</f>
        <v>0</v>
      </c>
      <c r="S1313" cm="1">
        <f t="array" aca="1" ref="S1313" ca="1">INDIRECT("Data!M" &amp; 1308)</f>
        <v>0</v>
      </c>
      <c r="T1313" cm="1">
        <f t="array" aca="1" ref="T1313" ca="1">INDIRECT("Data!N" &amp; 1308)</f>
        <v>0</v>
      </c>
      <c r="U1313" cm="1">
        <f t="array" aca="1" ref="U1313" ca="1">INDIRECT("Data!O" &amp; 1308)</f>
        <v>0</v>
      </c>
      <c r="V1313" cm="1">
        <f t="array" aca="1" ref="V1313" ca="1">INDIRECT("Data!P" &amp; 1308)</f>
        <v>0</v>
      </c>
    </row>
    <row r="1314" spans="7:22" x14ac:dyDescent="0.25">
      <c r="G1314" cm="1">
        <f t="array" aca="1" ref="G1314" ca="1">INDIRECT("Data!A" &amp; 1309)</f>
        <v>0</v>
      </c>
      <c r="H1314" s="21" cm="1">
        <f t="array" aca="1" ref="H1314" ca="1">INDIRECT("Data!B" &amp; 1309)</f>
        <v>0</v>
      </c>
      <c r="I1314" s="21" cm="1">
        <f t="array" aca="1" ref="I1314" ca="1">INDIRECT("Data!C" &amp; 1309)</f>
        <v>0</v>
      </c>
      <c r="J1314" cm="1">
        <f t="array" aca="1" ref="J1314" ca="1">INDIRECT("Data!D" &amp; 1309)</f>
        <v>0</v>
      </c>
      <c r="K1314" cm="1">
        <f t="array" aca="1" ref="K1314" ca="1">INDIRECT("Data!E" &amp; 1309)</f>
        <v>0</v>
      </c>
      <c r="L1314" cm="1">
        <f t="array" aca="1" ref="L1314" ca="1">INDIRECT("Data!F" &amp; 1309)</f>
        <v>0</v>
      </c>
      <c r="M1314" cm="1">
        <f t="array" aca="1" ref="M1314" ca="1">INDIRECT("Data!G" &amp; 1309)</f>
        <v>0</v>
      </c>
      <c r="N1314" cm="1">
        <f t="array" aca="1" ref="N1314" ca="1">INDIRECT("Data!H" &amp; 1309)</f>
        <v>0</v>
      </c>
      <c r="O1314" cm="1">
        <f t="array" aca="1" ref="O1314" ca="1">INDIRECT("Data!I" &amp; 1309)</f>
        <v>0</v>
      </c>
      <c r="P1314" s="21" cm="1">
        <f t="array" aca="1" ref="P1314" ca="1">INDIRECT("Data!J" &amp; 1309)</f>
        <v>0</v>
      </c>
      <c r="Q1314" cm="1">
        <f t="array" aca="1" ref="Q1314" ca="1">INDIRECT("Data!K" &amp; 1309)</f>
        <v>0</v>
      </c>
      <c r="R1314" cm="1">
        <f t="array" aca="1" ref="R1314" ca="1">INDIRECT("Data!L" &amp; 1309)</f>
        <v>0</v>
      </c>
      <c r="S1314" cm="1">
        <f t="array" aca="1" ref="S1314" ca="1">INDIRECT("Data!M" &amp; 1309)</f>
        <v>0</v>
      </c>
      <c r="T1314" cm="1">
        <f t="array" aca="1" ref="T1314" ca="1">INDIRECT("Data!N" &amp; 1309)</f>
        <v>0</v>
      </c>
      <c r="U1314" cm="1">
        <f t="array" aca="1" ref="U1314" ca="1">INDIRECT("Data!O" &amp; 1309)</f>
        <v>0</v>
      </c>
      <c r="V1314" cm="1">
        <f t="array" aca="1" ref="V1314" ca="1">INDIRECT("Data!P" &amp; 1309)</f>
        <v>0</v>
      </c>
    </row>
    <row r="1315" spans="7:22" x14ac:dyDescent="0.25">
      <c r="G1315" cm="1">
        <f t="array" aca="1" ref="G1315" ca="1">INDIRECT("Data!A" &amp; 1310)</f>
        <v>0</v>
      </c>
      <c r="H1315" s="21" cm="1">
        <f t="array" aca="1" ref="H1315" ca="1">INDIRECT("Data!B" &amp; 1310)</f>
        <v>0</v>
      </c>
      <c r="I1315" s="21" cm="1">
        <f t="array" aca="1" ref="I1315" ca="1">INDIRECT("Data!C" &amp; 1310)</f>
        <v>0</v>
      </c>
      <c r="J1315" cm="1">
        <f t="array" aca="1" ref="J1315" ca="1">INDIRECT("Data!D" &amp; 1310)</f>
        <v>0</v>
      </c>
      <c r="K1315" cm="1">
        <f t="array" aca="1" ref="K1315" ca="1">INDIRECT("Data!E" &amp; 1310)</f>
        <v>0</v>
      </c>
      <c r="L1315" cm="1">
        <f t="array" aca="1" ref="L1315" ca="1">INDIRECT("Data!F" &amp; 1310)</f>
        <v>0</v>
      </c>
      <c r="M1315" cm="1">
        <f t="array" aca="1" ref="M1315" ca="1">INDIRECT("Data!G" &amp; 1310)</f>
        <v>0</v>
      </c>
      <c r="N1315" cm="1">
        <f t="array" aca="1" ref="N1315" ca="1">INDIRECT("Data!H" &amp; 1310)</f>
        <v>0</v>
      </c>
      <c r="O1315" cm="1">
        <f t="array" aca="1" ref="O1315" ca="1">INDIRECT("Data!I" &amp; 1310)</f>
        <v>0</v>
      </c>
      <c r="P1315" s="21" cm="1">
        <f t="array" aca="1" ref="P1315" ca="1">INDIRECT("Data!J" &amp; 1310)</f>
        <v>0</v>
      </c>
      <c r="Q1315" cm="1">
        <f t="array" aca="1" ref="Q1315" ca="1">INDIRECT("Data!K" &amp; 1310)</f>
        <v>0</v>
      </c>
      <c r="R1315" cm="1">
        <f t="array" aca="1" ref="R1315" ca="1">INDIRECT("Data!L" &amp; 1310)</f>
        <v>0</v>
      </c>
      <c r="S1315" cm="1">
        <f t="array" aca="1" ref="S1315" ca="1">INDIRECT("Data!M" &amp; 1310)</f>
        <v>0</v>
      </c>
      <c r="T1315" cm="1">
        <f t="array" aca="1" ref="T1315" ca="1">INDIRECT("Data!N" &amp; 1310)</f>
        <v>0</v>
      </c>
      <c r="U1315" cm="1">
        <f t="array" aca="1" ref="U1315" ca="1">INDIRECT("Data!O" &amp; 1310)</f>
        <v>0</v>
      </c>
      <c r="V1315" cm="1">
        <f t="array" aca="1" ref="V1315" ca="1">INDIRECT("Data!P" &amp; 1310)</f>
        <v>0</v>
      </c>
    </row>
    <row r="1316" spans="7:22" x14ac:dyDescent="0.25">
      <c r="G1316" cm="1">
        <f t="array" aca="1" ref="G1316" ca="1">INDIRECT("Data!A" &amp; 1311)</f>
        <v>0</v>
      </c>
      <c r="H1316" s="21" cm="1">
        <f t="array" aca="1" ref="H1316" ca="1">INDIRECT("Data!B" &amp; 1311)</f>
        <v>0</v>
      </c>
      <c r="I1316" s="21" cm="1">
        <f t="array" aca="1" ref="I1316" ca="1">INDIRECT("Data!C" &amp; 1311)</f>
        <v>0</v>
      </c>
      <c r="J1316" cm="1">
        <f t="array" aca="1" ref="J1316" ca="1">INDIRECT("Data!D" &amp; 1311)</f>
        <v>0</v>
      </c>
      <c r="K1316" cm="1">
        <f t="array" aca="1" ref="K1316" ca="1">INDIRECT("Data!E" &amp; 1311)</f>
        <v>0</v>
      </c>
      <c r="L1316" cm="1">
        <f t="array" aca="1" ref="L1316" ca="1">INDIRECT("Data!F" &amp; 1311)</f>
        <v>0</v>
      </c>
      <c r="M1316" cm="1">
        <f t="array" aca="1" ref="M1316" ca="1">INDIRECT("Data!G" &amp; 1311)</f>
        <v>0</v>
      </c>
      <c r="N1316" cm="1">
        <f t="array" aca="1" ref="N1316" ca="1">INDIRECT("Data!H" &amp; 1311)</f>
        <v>0</v>
      </c>
      <c r="O1316" cm="1">
        <f t="array" aca="1" ref="O1316" ca="1">INDIRECT("Data!I" &amp; 1311)</f>
        <v>0</v>
      </c>
      <c r="P1316" s="21" cm="1">
        <f t="array" aca="1" ref="P1316" ca="1">INDIRECT("Data!J" &amp; 1311)</f>
        <v>0</v>
      </c>
      <c r="Q1316" cm="1">
        <f t="array" aca="1" ref="Q1316" ca="1">INDIRECT("Data!K" &amp; 1311)</f>
        <v>0</v>
      </c>
      <c r="R1316" cm="1">
        <f t="array" aca="1" ref="R1316" ca="1">INDIRECT("Data!L" &amp; 1311)</f>
        <v>0</v>
      </c>
      <c r="S1316" cm="1">
        <f t="array" aca="1" ref="S1316" ca="1">INDIRECT("Data!M" &amp; 1311)</f>
        <v>0</v>
      </c>
      <c r="T1316" cm="1">
        <f t="array" aca="1" ref="T1316" ca="1">INDIRECT("Data!N" &amp; 1311)</f>
        <v>0</v>
      </c>
      <c r="U1316" cm="1">
        <f t="array" aca="1" ref="U1316" ca="1">INDIRECT("Data!O" &amp; 1311)</f>
        <v>0</v>
      </c>
      <c r="V1316" cm="1">
        <f t="array" aca="1" ref="V1316" ca="1">INDIRECT("Data!P" &amp; 1311)</f>
        <v>0</v>
      </c>
    </row>
    <row r="1317" spans="7:22" x14ac:dyDescent="0.25">
      <c r="G1317" cm="1">
        <f t="array" aca="1" ref="G1317" ca="1">INDIRECT("Data!A" &amp; 1312)</f>
        <v>0</v>
      </c>
      <c r="H1317" s="21" cm="1">
        <f t="array" aca="1" ref="H1317" ca="1">INDIRECT("Data!B" &amp; 1312)</f>
        <v>0</v>
      </c>
      <c r="I1317" s="21" cm="1">
        <f t="array" aca="1" ref="I1317" ca="1">INDIRECT("Data!C" &amp; 1312)</f>
        <v>0</v>
      </c>
      <c r="J1317" cm="1">
        <f t="array" aca="1" ref="J1317" ca="1">INDIRECT("Data!D" &amp; 1312)</f>
        <v>0</v>
      </c>
      <c r="K1317" cm="1">
        <f t="array" aca="1" ref="K1317" ca="1">INDIRECT("Data!E" &amp; 1312)</f>
        <v>0</v>
      </c>
      <c r="L1317" cm="1">
        <f t="array" aca="1" ref="L1317" ca="1">INDIRECT("Data!F" &amp; 1312)</f>
        <v>0</v>
      </c>
      <c r="M1317" cm="1">
        <f t="array" aca="1" ref="M1317" ca="1">INDIRECT("Data!G" &amp; 1312)</f>
        <v>0</v>
      </c>
      <c r="N1317" cm="1">
        <f t="array" aca="1" ref="N1317" ca="1">INDIRECT("Data!H" &amp; 1312)</f>
        <v>0</v>
      </c>
      <c r="O1317" cm="1">
        <f t="array" aca="1" ref="O1317" ca="1">INDIRECT("Data!I" &amp; 1312)</f>
        <v>0</v>
      </c>
      <c r="P1317" s="21" cm="1">
        <f t="array" aca="1" ref="P1317" ca="1">INDIRECT("Data!J" &amp; 1312)</f>
        <v>0</v>
      </c>
      <c r="Q1317" cm="1">
        <f t="array" aca="1" ref="Q1317" ca="1">INDIRECT("Data!K" &amp; 1312)</f>
        <v>0</v>
      </c>
      <c r="R1317" cm="1">
        <f t="array" aca="1" ref="R1317" ca="1">INDIRECT("Data!L" &amp; 1312)</f>
        <v>0</v>
      </c>
      <c r="S1317" cm="1">
        <f t="array" aca="1" ref="S1317" ca="1">INDIRECT("Data!M" &amp; 1312)</f>
        <v>0</v>
      </c>
      <c r="T1317" cm="1">
        <f t="array" aca="1" ref="T1317" ca="1">INDIRECT("Data!N" &amp; 1312)</f>
        <v>0</v>
      </c>
      <c r="U1317" cm="1">
        <f t="array" aca="1" ref="U1317" ca="1">INDIRECT("Data!O" &amp; 1312)</f>
        <v>0</v>
      </c>
      <c r="V1317" cm="1">
        <f t="array" aca="1" ref="V1317" ca="1">INDIRECT("Data!P" &amp; 1312)</f>
        <v>0</v>
      </c>
    </row>
    <row r="1318" spans="7:22" x14ac:dyDescent="0.25">
      <c r="G1318" cm="1">
        <f t="array" aca="1" ref="G1318" ca="1">INDIRECT("Data!A" &amp; 1313)</f>
        <v>0</v>
      </c>
      <c r="H1318" s="21" cm="1">
        <f t="array" aca="1" ref="H1318" ca="1">INDIRECT("Data!B" &amp; 1313)</f>
        <v>0</v>
      </c>
      <c r="I1318" s="21" cm="1">
        <f t="array" aca="1" ref="I1318" ca="1">INDIRECT("Data!C" &amp; 1313)</f>
        <v>0</v>
      </c>
      <c r="J1318" cm="1">
        <f t="array" aca="1" ref="J1318" ca="1">INDIRECT("Data!D" &amp; 1313)</f>
        <v>0</v>
      </c>
      <c r="K1318" cm="1">
        <f t="array" aca="1" ref="K1318" ca="1">INDIRECT("Data!E" &amp; 1313)</f>
        <v>0</v>
      </c>
      <c r="L1318" cm="1">
        <f t="array" aca="1" ref="L1318" ca="1">INDIRECT("Data!F" &amp; 1313)</f>
        <v>0</v>
      </c>
      <c r="M1318" cm="1">
        <f t="array" aca="1" ref="M1318" ca="1">INDIRECT("Data!G" &amp; 1313)</f>
        <v>0</v>
      </c>
      <c r="N1318" cm="1">
        <f t="array" aca="1" ref="N1318" ca="1">INDIRECT("Data!H" &amp; 1313)</f>
        <v>0</v>
      </c>
      <c r="O1318" cm="1">
        <f t="array" aca="1" ref="O1318" ca="1">INDIRECT("Data!I" &amp; 1313)</f>
        <v>0</v>
      </c>
      <c r="P1318" s="21" cm="1">
        <f t="array" aca="1" ref="P1318" ca="1">INDIRECT("Data!J" &amp; 1313)</f>
        <v>0</v>
      </c>
      <c r="Q1318" cm="1">
        <f t="array" aca="1" ref="Q1318" ca="1">INDIRECT("Data!K" &amp; 1313)</f>
        <v>0</v>
      </c>
      <c r="R1318" cm="1">
        <f t="array" aca="1" ref="R1318" ca="1">INDIRECT("Data!L" &amp; 1313)</f>
        <v>0</v>
      </c>
      <c r="S1318" cm="1">
        <f t="array" aca="1" ref="S1318" ca="1">INDIRECT("Data!M" &amp; 1313)</f>
        <v>0</v>
      </c>
      <c r="T1318" cm="1">
        <f t="array" aca="1" ref="T1318" ca="1">INDIRECT("Data!N" &amp; 1313)</f>
        <v>0</v>
      </c>
      <c r="U1318" cm="1">
        <f t="array" aca="1" ref="U1318" ca="1">INDIRECT("Data!O" &amp; 1313)</f>
        <v>0</v>
      </c>
      <c r="V1318" cm="1">
        <f t="array" aca="1" ref="V1318" ca="1">INDIRECT("Data!P" &amp; 1313)</f>
        <v>0</v>
      </c>
    </row>
    <row r="1319" spans="7:22" x14ac:dyDescent="0.25">
      <c r="G1319" cm="1">
        <f t="array" aca="1" ref="G1319" ca="1">INDIRECT("Data!A" &amp; 1314)</f>
        <v>0</v>
      </c>
      <c r="H1319" s="21" cm="1">
        <f t="array" aca="1" ref="H1319" ca="1">INDIRECT("Data!B" &amp; 1314)</f>
        <v>0</v>
      </c>
      <c r="I1319" s="21" cm="1">
        <f t="array" aca="1" ref="I1319" ca="1">INDIRECT("Data!C" &amp; 1314)</f>
        <v>0</v>
      </c>
      <c r="J1319" cm="1">
        <f t="array" aca="1" ref="J1319" ca="1">INDIRECT("Data!D" &amp; 1314)</f>
        <v>0</v>
      </c>
      <c r="K1319" cm="1">
        <f t="array" aca="1" ref="K1319" ca="1">INDIRECT("Data!E" &amp; 1314)</f>
        <v>0</v>
      </c>
      <c r="L1319" cm="1">
        <f t="array" aca="1" ref="L1319" ca="1">INDIRECT("Data!F" &amp; 1314)</f>
        <v>0</v>
      </c>
      <c r="M1319" cm="1">
        <f t="array" aca="1" ref="M1319" ca="1">INDIRECT("Data!G" &amp; 1314)</f>
        <v>0</v>
      </c>
      <c r="N1319" cm="1">
        <f t="array" aca="1" ref="N1319" ca="1">INDIRECT("Data!H" &amp; 1314)</f>
        <v>0</v>
      </c>
      <c r="O1319" cm="1">
        <f t="array" aca="1" ref="O1319" ca="1">INDIRECT("Data!I" &amp; 1314)</f>
        <v>0</v>
      </c>
      <c r="P1319" s="21" cm="1">
        <f t="array" aca="1" ref="P1319" ca="1">INDIRECT("Data!J" &amp; 1314)</f>
        <v>0</v>
      </c>
      <c r="Q1319" cm="1">
        <f t="array" aca="1" ref="Q1319" ca="1">INDIRECT("Data!K" &amp; 1314)</f>
        <v>0</v>
      </c>
      <c r="R1319" cm="1">
        <f t="array" aca="1" ref="R1319" ca="1">INDIRECT("Data!L" &amp; 1314)</f>
        <v>0</v>
      </c>
      <c r="S1319" cm="1">
        <f t="array" aca="1" ref="S1319" ca="1">INDIRECT("Data!M" &amp; 1314)</f>
        <v>0</v>
      </c>
      <c r="T1319" cm="1">
        <f t="array" aca="1" ref="T1319" ca="1">INDIRECT("Data!N" &amp; 1314)</f>
        <v>0</v>
      </c>
      <c r="U1319" cm="1">
        <f t="array" aca="1" ref="U1319" ca="1">INDIRECT("Data!O" &amp; 1314)</f>
        <v>0</v>
      </c>
      <c r="V1319" cm="1">
        <f t="array" aca="1" ref="V1319" ca="1">INDIRECT("Data!P" &amp; 1314)</f>
        <v>0</v>
      </c>
    </row>
    <row r="1320" spans="7:22" x14ac:dyDescent="0.25">
      <c r="G1320" cm="1">
        <f t="array" aca="1" ref="G1320" ca="1">INDIRECT("Data!A" &amp; 1315)</f>
        <v>0</v>
      </c>
      <c r="H1320" s="21" cm="1">
        <f t="array" aca="1" ref="H1320" ca="1">INDIRECT("Data!B" &amp; 1315)</f>
        <v>0</v>
      </c>
      <c r="I1320" s="21" cm="1">
        <f t="array" aca="1" ref="I1320" ca="1">INDIRECT("Data!C" &amp; 1315)</f>
        <v>0</v>
      </c>
      <c r="J1320" cm="1">
        <f t="array" aca="1" ref="J1320" ca="1">INDIRECT("Data!D" &amp; 1315)</f>
        <v>0</v>
      </c>
      <c r="K1320" cm="1">
        <f t="array" aca="1" ref="K1320" ca="1">INDIRECT("Data!E" &amp; 1315)</f>
        <v>0</v>
      </c>
      <c r="L1320" cm="1">
        <f t="array" aca="1" ref="L1320" ca="1">INDIRECT("Data!F" &amp; 1315)</f>
        <v>0</v>
      </c>
      <c r="M1320" cm="1">
        <f t="array" aca="1" ref="M1320" ca="1">INDIRECT("Data!G" &amp; 1315)</f>
        <v>0</v>
      </c>
      <c r="N1320" cm="1">
        <f t="array" aca="1" ref="N1320" ca="1">INDIRECT("Data!H" &amp; 1315)</f>
        <v>0</v>
      </c>
      <c r="O1320" cm="1">
        <f t="array" aca="1" ref="O1320" ca="1">INDIRECT("Data!I" &amp; 1315)</f>
        <v>0</v>
      </c>
      <c r="P1320" s="21" cm="1">
        <f t="array" aca="1" ref="P1320" ca="1">INDIRECT("Data!J" &amp; 1315)</f>
        <v>0</v>
      </c>
      <c r="Q1320" cm="1">
        <f t="array" aca="1" ref="Q1320" ca="1">INDIRECT("Data!K" &amp; 1315)</f>
        <v>0</v>
      </c>
      <c r="R1320" cm="1">
        <f t="array" aca="1" ref="R1320" ca="1">INDIRECT("Data!L" &amp; 1315)</f>
        <v>0</v>
      </c>
      <c r="S1320" cm="1">
        <f t="array" aca="1" ref="S1320" ca="1">INDIRECT("Data!M" &amp; 1315)</f>
        <v>0</v>
      </c>
      <c r="T1320" cm="1">
        <f t="array" aca="1" ref="T1320" ca="1">INDIRECT("Data!N" &amp; 1315)</f>
        <v>0</v>
      </c>
      <c r="U1320" cm="1">
        <f t="array" aca="1" ref="U1320" ca="1">INDIRECT("Data!O" &amp; 1315)</f>
        <v>0</v>
      </c>
      <c r="V1320" cm="1">
        <f t="array" aca="1" ref="V1320" ca="1">INDIRECT("Data!P" &amp; 1315)</f>
        <v>0</v>
      </c>
    </row>
    <row r="1321" spans="7:22" x14ac:dyDescent="0.25">
      <c r="G1321" cm="1">
        <f t="array" aca="1" ref="G1321" ca="1">INDIRECT("Data!A" &amp; 1316)</f>
        <v>0</v>
      </c>
      <c r="H1321" s="21" cm="1">
        <f t="array" aca="1" ref="H1321" ca="1">INDIRECT("Data!B" &amp; 1316)</f>
        <v>0</v>
      </c>
      <c r="I1321" s="21" cm="1">
        <f t="array" aca="1" ref="I1321" ca="1">INDIRECT("Data!C" &amp; 1316)</f>
        <v>0</v>
      </c>
      <c r="J1321" cm="1">
        <f t="array" aca="1" ref="J1321" ca="1">INDIRECT("Data!D" &amp; 1316)</f>
        <v>0</v>
      </c>
      <c r="K1321" cm="1">
        <f t="array" aca="1" ref="K1321" ca="1">INDIRECT("Data!E" &amp; 1316)</f>
        <v>0</v>
      </c>
      <c r="L1321" cm="1">
        <f t="array" aca="1" ref="L1321" ca="1">INDIRECT("Data!F" &amp; 1316)</f>
        <v>0</v>
      </c>
      <c r="M1321" cm="1">
        <f t="array" aca="1" ref="M1321" ca="1">INDIRECT("Data!G" &amp; 1316)</f>
        <v>0</v>
      </c>
      <c r="N1321" cm="1">
        <f t="array" aca="1" ref="N1321" ca="1">INDIRECT("Data!H" &amp; 1316)</f>
        <v>0</v>
      </c>
      <c r="O1321" cm="1">
        <f t="array" aca="1" ref="O1321" ca="1">INDIRECT("Data!I" &amp; 1316)</f>
        <v>0</v>
      </c>
      <c r="P1321" s="21" cm="1">
        <f t="array" aca="1" ref="P1321" ca="1">INDIRECT("Data!J" &amp; 1316)</f>
        <v>0</v>
      </c>
      <c r="Q1321" cm="1">
        <f t="array" aca="1" ref="Q1321" ca="1">INDIRECT("Data!K" &amp; 1316)</f>
        <v>0</v>
      </c>
      <c r="R1321" cm="1">
        <f t="array" aca="1" ref="R1321" ca="1">INDIRECT("Data!L" &amp; 1316)</f>
        <v>0</v>
      </c>
      <c r="S1321" cm="1">
        <f t="array" aca="1" ref="S1321" ca="1">INDIRECT("Data!M" &amp; 1316)</f>
        <v>0</v>
      </c>
      <c r="T1321" cm="1">
        <f t="array" aca="1" ref="T1321" ca="1">INDIRECT("Data!N" &amp; 1316)</f>
        <v>0</v>
      </c>
      <c r="U1321" cm="1">
        <f t="array" aca="1" ref="U1321" ca="1">INDIRECT("Data!O" &amp; 1316)</f>
        <v>0</v>
      </c>
      <c r="V1321" cm="1">
        <f t="array" aca="1" ref="V1321" ca="1">INDIRECT("Data!P" &amp; 1316)</f>
        <v>0</v>
      </c>
    </row>
    <row r="1322" spans="7:22" x14ac:dyDescent="0.25">
      <c r="G1322" cm="1">
        <f t="array" aca="1" ref="G1322" ca="1">INDIRECT("Data!A" &amp; 1317)</f>
        <v>0</v>
      </c>
      <c r="H1322" s="21" cm="1">
        <f t="array" aca="1" ref="H1322" ca="1">INDIRECT("Data!B" &amp; 1317)</f>
        <v>0</v>
      </c>
      <c r="I1322" s="21" cm="1">
        <f t="array" aca="1" ref="I1322" ca="1">INDIRECT("Data!C" &amp; 1317)</f>
        <v>0</v>
      </c>
      <c r="J1322" cm="1">
        <f t="array" aca="1" ref="J1322" ca="1">INDIRECT("Data!D" &amp; 1317)</f>
        <v>0</v>
      </c>
      <c r="K1322" cm="1">
        <f t="array" aca="1" ref="K1322" ca="1">INDIRECT("Data!E" &amp; 1317)</f>
        <v>0</v>
      </c>
      <c r="L1322" cm="1">
        <f t="array" aca="1" ref="L1322" ca="1">INDIRECT("Data!F" &amp; 1317)</f>
        <v>0</v>
      </c>
      <c r="M1322" cm="1">
        <f t="array" aca="1" ref="M1322" ca="1">INDIRECT("Data!G" &amp; 1317)</f>
        <v>0</v>
      </c>
      <c r="N1322" cm="1">
        <f t="array" aca="1" ref="N1322" ca="1">INDIRECT("Data!H" &amp; 1317)</f>
        <v>0</v>
      </c>
      <c r="O1322" cm="1">
        <f t="array" aca="1" ref="O1322" ca="1">INDIRECT("Data!I" &amp; 1317)</f>
        <v>0</v>
      </c>
      <c r="P1322" s="21" cm="1">
        <f t="array" aca="1" ref="P1322" ca="1">INDIRECT("Data!J" &amp; 1317)</f>
        <v>0</v>
      </c>
      <c r="Q1322" cm="1">
        <f t="array" aca="1" ref="Q1322" ca="1">INDIRECT("Data!K" &amp; 1317)</f>
        <v>0</v>
      </c>
      <c r="R1322" cm="1">
        <f t="array" aca="1" ref="R1322" ca="1">INDIRECT("Data!L" &amp; 1317)</f>
        <v>0</v>
      </c>
      <c r="S1322" cm="1">
        <f t="array" aca="1" ref="S1322" ca="1">INDIRECT("Data!M" &amp; 1317)</f>
        <v>0</v>
      </c>
      <c r="T1322" cm="1">
        <f t="array" aca="1" ref="T1322" ca="1">INDIRECT("Data!N" &amp; 1317)</f>
        <v>0</v>
      </c>
      <c r="U1322" cm="1">
        <f t="array" aca="1" ref="U1322" ca="1">INDIRECT("Data!O" &amp; 1317)</f>
        <v>0</v>
      </c>
      <c r="V1322" cm="1">
        <f t="array" aca="1" ref="V1322" ca="1">INDIRECT("Data!P" &amp; 1317)</f>
        <v>0</v>
      </c>
    </row>
    <row r="1323" spans="7:22" x14ac:dyDescent="0.25">
      <c r="G1323" cm="1">
        <f t="array" aca="1" ref="G1323" ca="1">INDIRECT("Data!A" &amp; 1318)</f>
        <v>0</v>
      </c>
      <c r="H1323" s="21" cm="1">
        <f t="array" aca="1" ref="H1323" ca="1">INDIRECT("Data!B" &amp; 1318)</f>
        <v>0</v>
      </c>
      <c r="I1323" s="21" cm="1">
        <f t="array" aca="1" ref="I1323" ca="1">INDIRECT("Data!C" &amp; 1318)</f>
        <v>0</v>
      </c>
      <c r="J1323" cm="1">
        <f t="array" aca="1" ref="J1323" ca="1">INDIRECT("Data!D" &amp; 1318)</f>
        <v>0</v>
      </c>
      <c r="K1323" cm="1">
        <f t="array" aca="1" ref="K1323" ca="1">INDIRECT("Data!E" &amp; 1318)</f>
        <v>0</v>
      </c>
      <c r="L1323" cm="1">
        <f t="array" aca="1" ref="L1323" ca="1">INDIRECT("Data!F" &amp; 1318)</f>
        <v>0</v>
      </c>
      <c r="M1323" cm="1">
        <f t="array" aca="1" ref="M1323" ca="1">INDIRECT("Data!G" &amp; 1318)</f>
        <v>0</v>
      </c>
      <c r="N1323" cm="1">
        <f t="array" aca="1" ref="N1323" ca="1">INDIRECT("Data!H" &amp; 1318)</f>
        <v>0</v>
      </c>
      <c r="O1323" cm="1">
        <f t="array" aca="1" ref="O1323" ca="1">INDIRECT("Data!I" &amp; 1318)</f>
        <v>0</v>
      </c>
      <c r="P1323" s="21" cm="1">
        <f t="array" aca="1" ref="P1323" ca="1">INDIRECT("Data!J" &amp; 1318)</f>
        <v>0</v>
      </c>
      <c r="Q1323" cm="1">
        <f t="array" aca="1" ref="Q1323" ca="1">INDIRECT("Data!K" &amp; 1318)</f>
        <v>0</v>
      </c>
      <c r="R1323" cm="1">
        <f t="array" aca="1" ref="R1323" ca="1">INDIRECT("Data!L" &amp; 1318)</f>
        <v>0</v>
      </c>
      <c r="S1323" cm="1">
        <f t="array" aca="1" ref="S1323" ca="1">INDIRECT("Data!M" &amp; 1318)</f>
        <v>0</v>
      </c>
      <c r="T1323" cm="1">
        <f t="array" aca="1" ref="T1323" ca="1">INDIRECT("Data!N" &amp; 1318)</f>
        <v>0</v>
      </c>
      <c r="U1323" cm="1">
        <f t="array" aca="1" ref="U1323" ca="1">INDIRECT("Data!O" &amp; 1318)</f>
        <v>0</v>
      </c>
      <c r="V1323" cm="1">
        <f t="array" aca="1" ref="V1323" ca="1">INDIRECT("Data!P" &amp; 1318)</f>
        <v>0</v>
      </c>
    </row>
    <row r="1324" spans="7:22" x14ac:dyDescent="0.25">
      <c r="G1324" cm="1">
        <f t="array" aca="1" ref="G1324" ca="1">INDIRECT("Data!A" &amp; 1319)</f>
        <v>0</v>
      </c>
      <c r="H1324" s="21" cm="1">
        <f t="array" aca="1" ref="H1324" ca="1">INDIRECT("Data!B" &amp; 1319)</f>
        <v>0</v>
      </c>
      <c r="I1324" s="21" cm="1">
        <f t="array" aca="1" ref="I1324" ca="1">INDIRECT("Data!C" &amp; 1319)</f>
        <v>0</v>
      </c>
      <c r="J1324" cm="1">
        <f t="array" aca="1" ref="J1324" ca="1">INDIRECT("Data!D" &amp; 1319)</f>
        <v>0</v>
      </c>
      <c r="K1324" cm="1">
        <f t="array" aca="1" ref="K1324" ca="1">INDIRECT("Data!E" &amp; 1319)</f>
        <v>0</v>
      </c>
      <c r="L1324" cm="1">
        <f t="array" aca="1" ref="L1324" ca="1">INDIRECT("Data!F" &amp; 1319)</f>
        <v>0</v>
      </c>
      <c r="M1324" cm="1">
        <f t="array" aca="1" ref="M1324" ca="1">INDIRECT("Data!G" &amp; 1319)</f>
        <v>0</v>
      </c>
      <c r="N1324" cm="1">
        <f t="array" aca="1" ref="N1324" ca="1">INDIRECT("Data!H" &amp; 1319)</f>
        <v>0</v>
      </c>
      <c r="O1324" cm="1">
        <f t="array" aca="1" ref="O1324" ca="1">INDIRECT("Data!I" &amp; 1319)</f>
        <v>0</v>
      </c>
      <c r="P1324" s="21" cm="1">
        <f t="array" aca="1" ref="P1324" ca="1">INDIRECT("Data!J" &amp; 1319)</f>
        <v>0</v>
      </c>
      <c r="Q1324" cm="1">
        <f t="array" aca="1" ref="Q1324" ca="1">INDIRECT("Data!K" &amp; 1319)</f>
        <v>0</v>
      </c>
      <c r="R1324" cm="1">
        <f t="array" aca="1" ref="R1324" ca="1">INDIRECT("Data!L" &amp; 1319)</f>
        <v>0</v>
      </c>
      <c r="S1324" cm="1">
        <f t="array" aca="1" ref="S1324" ca="1">INDIRECT("Data!M" &amp; 1319)</f>
        <v>0</v>
      </c>
      <c r="T1324" cm="1">
        <f t="array" aca="1" ref="T1324" ca="1">INDIRECT("Data!N" &amp; 1319)</f>
        <v>0</v>
      </c>
      <c r="U1324" cm="1">
        <f t="array" aca="1" ref="U1324" ca="1">INDIRECT("Data!O" &amp; 1319)</f>
        <v>0</v>
      </c>
      <c r="V1324" cm="1">
        <f t="array" aca="1" ref="V1324" ca="1">INDIRECT("Data!P" &amp; 1319)</f>
        <v>0</v>
      </c>
    </row>
    <row r="1325" spans="7:22" x14ac:dyDescent="0.25">
      <c r="G1325" cm="1">
        <f t="array" aca="1" ref="G1325" ca="1">INDIRECT("Data!A" &amp; 1320)</f>
        <v>0</v>
      </c>
      <c r="H1325" s="21" cm="1">
        <f t="array" aca="1" ref="H1325" ca="1">INDIRECT("Data!B" &amp; 1320)</f>
        <v>0</v>
      </c>
      <c r="I1325" s="21" cm="1">
        <f t="array" aca="1" ref="I1325" ca="1">INDIRECT("Data!C" &amp; 1320)</f>
        <v>0</v>
      </c>
      <c r="J1325" cm="1">
        <f t="array" aca="1" ref="J1325" ca="1">INDIRECT("Data!D" &amp; 1320)</f>
        <v>0</v>
      </c>
      <c r="K1325" cm="1">
        <f t="array" aca="1" ref="K1325" ca="1">INDIRECT("Data!E" &amp; 1320)</f>
        <v>0</v>
      </c>
      <c r="L1325" cm="1">
        <f t="array" aca="1" ref="L1325" ca="1">INDIRECT("Data!F" &amp; 1320)</f>
        <v>0</v>
      </c>
      <c r="M1325" cm="1">
        <f t="array" aca="1" ref="M1325" ca="1">INDIRECT("Data!G" &amp; 1320)</f>
        <v>0</v>
      </c>
      <c r="N1325" cm="1">
        <f t="array" aca="1" ref="N1325" ca="1">INDIRECT("Data!H" &amp; 1320)</f>
        <v>0</v>
      </c>
      <c r="O1325" cm="1">
        <f t="array" aca="1" ref="O1325" ca="1">INDIRECT("Data!I" &amp; 1320)</f>
        <v>0</v>
      </c>
      <c r="P1325" s="21" cm="1">
        <f t="array" aca="1" ref="P1325" ca="1">INDIRECT("Data!J" &amp; 1320)</f>
        <v>0</v>
      </c>
      <c r="Q1325" cm="1">
        <f t="array" aca="1" ref="Q1325" ca="1">INDIRECT("Data!K" &amp; 1320)</f>
        <v>0</v>
      </c>
      <c r="R1325" cm="1">
        <f t="array" aca="1" ref="R1325" ca="1">INDIRECT("Data!L" &amp; 1320)</f>
        <v>0</v>
      </c>
      <c r="S1325" cm="1">
        <f t="array" aca="1" ref="S1325" ca="1">INDIRECT("Data!M" &amp; 1320)</f>
        <v>0</v>
      </c>
      <c r="T1325" cm="1">
        <f t="array" aca="1" ref="T1325" ca="1">INDIRECT("Data!N" &amp; 1320)</f>
        <v>0</v>
      </c>
      <c r="U1325" cm="1">
        <f t="array" aca="1" ref="U1325" ca="1">INDIRECT("Data!O" &amp; 1320)</f>
        <v>0</v>
      </c>
      <c r="V1325" cm="1">
        <f t="array" aca="1" ref="V1325" ca="1">INDIRECT("Data!P" &amp; 1320)</f>
        <v>0</v>
      </c>
    </row>
    <row r="1326" spans="7:22" x14ac:dyDescent="0.25">
      <c r="G1326" cm="1">
        <f t="array" aca="1" ref="G1326" ca="1">INDIRECT("Data!A" &amp; 1321)</f>
        <v>0</v>
      </c>
      <c r="H1326" s="21" cm="1">
        <f t="array" aca="1" ref="H1326" ca="1">INDIRECT("Data!B" &amp; 1321)</f>
        <v>0</v>
      </c>
      <c r="I1326" s="21" cm="1">
        <f t="array" aca="1" ref="I1326" ca="1">INDIRECT("Data!C" &amp; 1321)</f>
        <v>0</v>
      </c>
      <c r="J1326" cm="1">
        <f t="array" aca="1" ref="J1326" ca="1">INDIRECT("Data!D" &amp; 1321)</f>
        <v>0</v>
      </c>
      <c r="K1326" cm="1">
        <f t="array" aca="1" ref="K1326" ca="1">INDIRECT("Data!E" &amp; 1321)</f>
        <v>0</v>
      </c>
      <c r="L1326" cm="1">
        <f t="array" aca="1" ref="L1326" ca="1">INDIRECT("Data!F" &amp; 1321)</f>
        <v>0</v>
      </c>
      <c r="M1326" cm="1">
        <f t="array" aca="1" ref="M1326" ca="1">INDIRECT("Data!G" &amp; 1321)</f>
        <v>0</v>
      </c>
      <c r="N1326" cm="1">
        <f t="array" aca="1" ref="N1326" ca="1">INDIRECT("Data!H" &amp; 1321)</f>
        <v>0</v>
      </c>
      <c r="O1326" cm="1">
        <f t="array" aca="1" ref="O1326" ca="1">INDIRECT("Data!I" &amp; 1321)</f>
        <v>0</v>
      </c>
      <c r="P1326" s="21" cm="1">
        <f t="array" aca="1" ref="P1326" ca="1">INDIRECT("Data!J" &amp; 1321)</f>
        <v>0</v>
      </c>
      <c r="Q1326" cm="1">
        <f t="array" aca="1" ref="Q1326" ca="1">INDIRECT("Data!K" &amp; 1321)</f>
        <v>0</v>
      </c>
      <c r="R1326" cm="1">
        <f t="array" aca="1" ref="R1326" ca="1">INDIRECT("Data!L" &amp; 1321)</f>
        <v>0</v>
      </c>
      <c r="S1326" cm="1">
        <f t="array" aca="1" ref="S1326" ca="1">INDIRECT("Data!M" &amp; 1321)</f>
        <v>0</v>
      </c>
      <c r="T1326" cm="1">
        <f t="array" aca="1" ref="T1326" ca="1">INDIRECT("Data!N" &amp; 1321)</f>
        <v>0</v>
      </c>
      <c r="U1326" cm="1">
        <f t="array" aca="1" ref="U1326" ca="1">INDIRECT("Data!O" &amp; 1321)</f>
        <v>0</v>
      </c>
      <c r="V1326" cm="1">
        <f t="array" aca="1" ref="V1326" ca="1">INDIRECT("Data!P" &amp; 1321)</f>
        <v>0</v>
      </c>
    </row>
    <row r="1327" spans="7:22" x14ac:dyDescent="0.25">
      <c r="G1327" cm="1">
        <f t="array" aca="1" ref="G1327" ca="1">INDIRECT("Data!A" &amp; 1322)</f>
        <v>0</v>
      </c>
      <c r="H1327" s="21" cm="1">
        <f t="array" aca="1" ref="H1327" ca="1">INDIRECT("Data!B" &amp; 1322)</f>
        <v>0</v>
      </c>
      <c r="I1327" s="21" cm="1">
        <f t="array" aca="1" ref="I1327" ca="1">INDIRECT("Data!C" &amp; 1322)</f>
        <v>0</v>
      </c>
      <c r="J1327" cm="1">
        <f t="array" aca="1" ref="J1327" ca="1">INDIRECT("Data!D" &amp; 1322)</f>
        <v>0</v>
      </c>
      <c r="K1327" cm="1">
        <f t="array" aca="1" ref="K1327" ca="1">INDIRECT("Data!E" &amp; 1322)</f>
        <v>0</v>
      </c>
      <c r="L1327" cm="1">
        <f t="array" aca="1" ref="L1327" ca="1">INDIRECT("Data!F" &amp; 1322)</f>
        <v>0</v>
      </c>
      <c r="M1327" cm="1">
        <f t="array" aca="1" ref="M1327" ca="1">INDIRECT("Data!G" &amp; 1322)</f>
        <v>0</v>
      </c>
      <c r="N1327" cm="1">
        <f t="array" aca="1" ref="N1327" ca="1">INDIRECT("Data!H" &amp; 1322)</f>
        <v>0</v>
      </c>
      <c r="O1327" cm="1">
        <f t="array" aca="1" ref="O1327" ca="1">INDIRECT("Data!I" &amp; 1322)</f>
        <v>0</v>
      </c>
      <c r="P1327" s="21" cm="1">
        <f t="array" aca="1" ref="P1327" ca="1">INDIRECT("Data!J" &amp; 1322)</f>
        <v>0</v>
      </c>
      <c r="Q1327" cm="1">
        <f t="array" aca="1" ref="Q1327" ca="1">INDIRECT("Data!K" &amp; 1322)</f>
        <v>0</v>
      </c>
      <c r="R1327" cm="1">
        <f t="array" aca="1" ref="R1327" ca="1">INDIRECT("Data!L" &amp; 1322)</f>
        <v>0</v>
      </c>
      <c r="S1327" cm="1">
        <f t="array" aca="1" ref="S1327" ca="1">INDIRECT("Data!M" &amp; 1322)</f>
        <v>0</v>
      </c>
      <c r="T1327" cm="1">
        <f t="array" aca="1" ref="T1327" ca="1">INDIRECT("Data!N" &amp; 1322)</f>
        <v>0</v>
      </c>
      <c r="U1327" cm="1">
        <f t="array" aca="1" ref="U1327" ca="1">INDIRECT("Data!O" &amp; 1322)</f>
        <v>0</v>
      </c>
      <c r="V1327" cm="1">
        <f t="array" aca="1" ref="V1327" ca="1">INDIRECT("Data!P" &amp; 1322)</f>
        <v>0</v>
      </c>
    </row>
    <row r="1328" spans="7:22" x14ac:dyDescent="0.25">
      <c r="G1328" cm="1">
        <f t="array" aca="1" ref="G1328" ca="1">INDIRECT("Data!A" &amp; 1323)</f>
        <v>0</v>
      </c>
      <c r="H1328" s="21" cm="1">
        <f t="array" aca="1" ref="H1328" ca="1">INDIRECT("Data!B" &amp; 1323)</f>
        <v>0</v>
      </c>
      <c r="I1328" s="21" cm="1">
        <f t="array" aca="1" ref="I1328" ca="1">INDIRECT("Data!C" &amp; 1323)</f>
        <v>0</v>
      </c>
      <c r="J1328" cm="1">
        <f t="array" aca="1" ref="J1328" ca="1">INDIRECT("Data!D" &amp; 1323)</f>
        <v>0</v>
      </c>
      <c r="K1328" cm="1">
        <f t="array" aca="1" ref="K1328" ca="1">INDIRECT("Data!E" &amp; 1323)</f>
        <v>0</v>
      </c>
      <c r="L1328" cm="1">
        <f t="array" aca="1" ref="L1328" ca="1">INDIRECT("Data!F" &amp; 1323)</f>
        <v>0</v>
      </c>
      <c r="M1328" cm="1">
        <f t="array" aca="1" ref="M1328" ca="1">INDIRECT("Data!G" &amp; 1323)</f>
        <v>0</v>
      </c>
      <c r="N1328" cm="1">
        <f t="array" aca="1" ref="N1328" ca="1">INDIRECT("Data!H" &amp; 1323)</f>
        <v>0</v>
      </c>
      <c r="O1328" cm="1">
        <f t="array" aca="1" ref="O1328" ca="1">INDIRECT("Data!I" &amp; 1323)</f>
        <v>0</v>
      </c>
      <c r="P1328" s="21" cm="1">
        <f t="array" aca="1" ref="P1328" ca="1">INDIRECT("Data!J" &amp; 1323)</f>
        <v>0</v>
      </c>
      <c r="Q1328" cm="1">
        <f t="array" aca="1" ref="Q1328" ca="1">INDIRECT("Data!K" &amp; 1323)</f>
        <v>0</v>
      </c>
      <c r="R1328" cm="1">
        <f t="array" aca="1" ref="R1328" ca="1">INDIRECT("Data!L" &amp; 1323)</f>
        <v>0</v>
      </c>
      <c r="S1328" cm="1">
        <f t="array" aca="1" ref="S1328" ca="1">INDIRECT("Data!M" &amp; 1323)</f>
        <v>0</v>
      </c>
      <c r="T1328" cm="1">
        <f t="array" aca="1" ref="T1328" ca="1">INDIRECT("Data!N" &amp; 1323)</f>
        <v>0</v>
      </c>
      <c r="U1328" cm="1">
        <f t="array" aca="1" ref="U1328" ca="1">INDIRECT("Data!O" &amp; 1323)</f>
        <v>0</v>
      </c>
      <c r="V1328" cm="1">
        <f t="array" aca="1" ref="V1328" ca="1">INDIRECT("Data!P" &amp; 1323)</f>
        <v>0</v>
      </c>
    </row>
    <row r="1329" spans="7:22" x14ac:dyDescent="0.25">
      <c r="G1329" cm="1">
        <f t="array" aca="1" ref="G1329" ca="1">INDIRECT("Data!A" &amp; 1324)</f>
        <v>0</v>
      </c>
      <c r="H1329" s="21" cm="1">
        <f t="array" aca="1" ref="H1329" ca="1">INDIRECT("Data!B" &amp; 1324)</f>
        <v>0</v>
      </c>
      <c r="I1329" s="21" cm="1">
        <f t="array" aca="1" ref="I1329" ca="1">INDIRECT("Data!C" &amp; 1324)</f>
        <v>0</v>
      </c>
      <c r="J1329" cm="1">
        <f t="array" aca="1" ref="J1329" ca="1">INDIRECT("Data!D" &amp; 1324)</f>
        <v>0</v>
      </c>
      <c r="K1329" cm="1">
        <f t="array" aca="1" ref="K1329" ca="1">INDIRECT("Data!E" &amp; 1324)</f>
        <v>0</v>
      </c>
      <c r="L1329" cm="1">
        <f t="array" aca="1" ref="L1329" ca="1">INDIRECT("Data!F" &amp; 1324)</f>
        <v>0</v>
      </c>
      <c r="M1329" cm="1">
        <f t="array" aca="1" ref="M1329" ca="1">INDIRECT("Data!G" &amp; 1324)</f>
        <v>0</v>
      </c>
      <c r="N1329" cm="1">
        <f t="array" aca="1" ref="N1329" ca="1">INDIRECT("Data!H" &amp; 1324)</f>
        <v>0</v>
      </c>
      <c r="O1329" cm="1">
        <f t="array" aca="1" ref="O1329" ca="1">INDIRECT("Data!I" &amp; 1324)</f>
        <v>0</v>
      </c>
      <c r="P1329" s="21" cm="1">
        <f t="array" aca="1" ref="P1329" ca="1">INDIRECT("Data!J" &amp; 1324)</f>
        <v>0</v>
      </c>
      <c r="Q1329" cm="1">
        <f t="array" aca="1" ref="Q1329" ca="1">INDIRECT("Data!K" &amp; 1324)</f>
        <v>0</v>
      </c>
      <c r="R1329" cm="1">
        <f t="array" aca="1" ref="R1329" ca="1">INDIRECT("Data!L" &amp; 1324)</f>
        <v>0</v>
      </c>
      <c r="S1329" cm="1">
        <f t="array" aca="1" ref="S1329" ca="1">INDIRECT("Data!M" &amp; 1324)</f>
        <v>0</v>
      </c>
      <c r="T1329" cm="1">
        <f t="array" aca="1" ref="T1329" ca="1">INDIRECT("Data!N" &amp; 1324)</f>
        <v>0</v>
      </c>
      <c r="U1329" cm="1">
        <f t="array" aca="1" ref="U1329" ca="1">INDIRECT("Data!O" &amp; 1324)</f>
        <v>0</v>
      </c>
      <c r="V1329" cm="1">
        <f t="array" aca="1" ref="V1329" ca="1">INDIRECT("Data!P" &amp; 1324)</f>
        <v>0</v>
      </c>
    </row>
    <row r="1330" spans="7:22" x14ac:dyDescent="0.25">
      <c r="G1330" cm="1">
        <f t="array" aca="1" ref="G1330" ca="1">INDIRECT("Data!A" &amp; 1325)</f>
        <v>0</v>
      </c>
      <c r="H1330" s="21" cm="1">
        <f t="array" aca="1" ref="H1330" ca="1">INDIRECT("Data!B" &amp; 1325)</f>
        <v>0</v>
      </c>
      <c r="I1330" s="21" cm="1">
        <f t="array" aca="1" ref="I1330" ca="1">INDIRECT("Data!C" &amp; 1325)</f>
        <v>0</v>
      </c>
      <c r="J1330" cm="1">
        <f t="array" aca="1" ref="J1330" ca="1">INDIRECT("Data!D" &amp; 1325)</f>
        <v>0</v>
      </c>
      <c r="K1330" cm="1">
        <f t="array" aca="1" ref="K1330" ca="1">INDIRECT("Data!E" &amp; 1325)</f>
        <v>0</v>
      </c>
      <c r="L1330" cm="1">
        <f t="array" aca="1" ref="L1330" ca="1">INDIRECT("Data!F" &amp; 1325)</f>
        <v>0</v>
      </c>
      <c r="M1330" cm="1">
        <f t="array" aca="1" ref="M1330" ca="1">INDIRECT("Data!G" &amp; 1325)</f>
        <v>0</v>
      </c>
      <c r="N1330" cm="1">
        <f t="array" aca="1" ref="N1330" ca="1">INDIRECT("Data!H" &amp; 1325)</f>
        <v>0</v>
      </c>
      <c r="O1330" cm="1">
        <f t="array" aca="1" ref="O1330" ca="1">INDIRECT("Data!I" &amp; 1325)</f>
        <v>0</v>
      </c>
      <c r="P1330" s="21" cm="1">
        <f t="array" aca="1" ref="P1330" ca="1">INDIRECT("Data!J" &amp; 1325)</f>
        <v>0</v>
      </c>
      <c r="Q1330" cm="1">
        <f t="array" aca="1" ref="Q1330" ca="1">INDIRECT("Data!K" &amp; 1325)</f>
        <v>0</v>
      </c>
      <c r="R1330" cm="1">
        <f t="array" aca="1" ref="R1330" ca="1">INDIRECT("Data!L" &amp; 1325)</f>
        <v>0</v>
      </c>
      <c r="S1330" cm="1">
        <f t="array" aca="1" ref="S1330" ca="1">INDIRECT("Data!M" &amp; 1325)</f>
        <v>0</v>
      </c>
      <c r="T1330" cm="1">
        <f t="array" aca="1" ref="T1330" ca="1">INDIRECT("Data!N" &amp; 1325)</f>
        <v>0</v>
      </c>
      <c r="U1330" cm="1">
        <f t="array" aca="1" ref="U1330" ca="1">INDIRECT("Data!O" &amp; 1325)</f>
        <v>0</v>
      </c>
      <c r="V1330" cm="1">
        <f t="array" aca="1" ref="V1330" ca="1">INDIRECT("Data!P" &amp; 1325)</f>
        <v>0</v>
      </c>
    </row>
    <row r="1331" spans="7:22" x14ac:dyDescent="0.25">
      <c r="G1331" cm="1">
        <f t="array" aca="1" ref="G1331" ca="1">INDIRECT("Data!A" &amp; 1326)</f>
        <v>0</v>
      </c>
      <c r="H1331" s="21" cm="1">
        <f t="array" aca="1" ref="H1331" ca="1">INDIRECT("Data!B" &amp; 1326)</f>
        <v>0</v>
      </c>
      <c r="I1331" s="21" cm="1">
        <f t="array" aca="1" ref="I1331" ca="1">INDIRECT("Data!C" &amp; 1326)</f>
        <v>0</v>
      </c>
      <c r="J1331" cm="1">
        <f t="array" aca="1" ref="J1331" ca="1">INDIRECT("Data!D" &amp; 1326)</f>
        <v>0</v>
      </c>
      <c r="K1331" cm="1">
        <f t="array" aca="1" ref="K1331" ca="1">INDIRECT("Data!E" &amp; 1326)</f>
        <v>0</v>
      </c>
      <c r="L1331" cm="1">
        <f t="array" aca="1" ref="L1331" ca="1">INDIRECT("Data!F" &amp; 1326)</f>
        <v>0</v>
      </c>
      <c r="M1331" cm="1">
        <f t="array" aca="1" ref="M1331" ca="1">INDIRECT("Data!G" &amp; 1326)</f>
        <v>0</v>
      </c>
      <c r="N1331" cm="1">
        <f t="array" aca="1" ref="N1331" ca="1">INDIRECT("Data!H" &amp; 1326)</f>
        <v>0</v>
      </c>
      <c r="O1331" cm="1">
        <f t="array" aca="1" ref="O1331" ca="1">INDIRECT("Data!I" &amp; 1326)</f>
        <v>0</v>
      </c>
      <c r="P1331" s="21" cm="1">
        <f t="array" aca="1" ref="P1331" ca="1">INDIRECT("Data!J" &amp; 1326)</f>
        <v>0</v>
      </c>
      <c r="Q1331" cm="1">
        <f t="array" aca="1" ref="Q1331" ca="1">INDIRECT("Data!K" &amp; 1326)</f>
        <v>0</v>
      </c>
      <c r="R1331" cm="1">
        <f t="array" aca="1" ref="R1331" ca="1">INDIRECT("Data!L" &amp; 1326)</f>
        <v>0</v>
      </c>
      <c r="S1331" cm="1">
        <f t="array" aca="1" ref="S1331" ca="1">INDIRECT("Data!M" &amp; 1326)</f>
        <v>0</v>
      </c>
      <c r="T1331" cm="1">
        <f t="array" aca="1" ref="T1331" ca="1">INDIRECT("Data!N" &amp; 1326)</f>
        <v>0</v>
      </c>
      <c r="U1331" cm="1">
        <f t="array" aca="1" ref="U1331" ca="1">INDIRECT("Data!O" &amp; 1326)</f>
        <v>0</v>
      </c>
      <c r="V1331" cm="1">
        <f t="array" aca="1" ref="V1331" ca="1">INDIRECT("Data!P" &amp; 1326)</f>
        <v>0</v>
      </c>
    </row>
    <row r="1332" spans="7:22" x14ac:dyDescent="0.25">
      <c r="G1332" cm="1">
        <f t="array" aca="1" ref="G1332" ca="1">INDIRECT("Data!A" &amp; 1327)</f>
        <v>0</v>
      </c>
      <c r="H1332" s="21" cm="1">
        <f t="array" aca="1" ref="H1332" ca="1">INDIRECT("Data!B" &amp; 1327)</f>
        <v>0</v>
      </c>
      <c r="I1332" s="21" cm="1">
        <f t="array" aca="1" ref="I1332" ca="1">INDIRECT("Data!C" &amp; 1327)</f>
        <v>0</v>
      </c>
      <c r="J1332" cm="1">
        <f t="array" aca="1" ref="J1332" ca="1">INDIRECT("Data!D" &amp; 1327)</f>
        <v>0</v>
      </c>
      <c r="K1332" cm="1">
        <f t="array" aca="1" ref="K1332" ca="1">INDIRECT("Data!E" &amp; 1327)</f>
        <v>0</v>
      </c>
      <c r="L1332" cm="1">
        <f t="array" aca="1" ref="L1332" ca="1">INDIRECT("Data!F" &amp; 1327)</f>
        <v>0</v>
      </c>
      <c r="M1332" cm="1">
        <f t="array" aca="1" ref="M1332" ca="1">INDIRECT("Data!G" &amp; 1327)</f>
        <v>0</v>
      </c>
      <c r="N1332" cm="1">
        <f t="array" aca="1" ref="N1332" ca="1">INDIRECT("Data!H" &amp; 1327)</f>
        <v>0</v>
      </c>
      <c r="O1332" cm="1">
        <f t="array" aca="1" ref="O1332" ca="1">INDIRECT("Data!I" &amp; 1327)</f>
        <v>0</v>
      </c>
      <c r="P1332" s="21" cm="1">
        <f t="array" aca="1" ref="P1332" ca="1">INDIRECT("Data!J" &amp; 1327)</f>
        <v>0</v>
      </c>
      <c r="Q1332" cm="1">
        <f t="array" aca="1" ref="Q1332" ca="1">INDIRECT("Data!K" &amp; 1327)</f>
        <v>0</v>
      </c>
      <c r="R1332" cm="1">
        <f t="array" aca="1" ref="R1332" ca="1">INDIRECT("Data!L" &amp; 1327)</f>
        <v>0</v>
      </c>
      <c r="S1332" cm="1">
        <f t="array" aca="1" ref="S1332" ca="1">INDIRECT("Data!M" &amp; 1327)</f>
        <v>0</v>
      </c>
      <c r="T1332" cm="1">
        <f t="array" aca="1" ref="T1332" ca="1">INDIRECT("Data!N" &amp; 1327)</f>
        <v>0</v>
      </c>
      <c r="U1332" cm="1">
        <f t="array" aca="1" ref="U1332" ca="1">INDIRECT("Data!O" &amp; 1327)</f>
        <v>0</v>
      </c>
      <c r="V1332" cm="1">
        <f t="array" aca="1" ref="V1332" ca="1">INDIRECT("Data!P" &amp; 1327)</f>
        <v>0</v>
      </c>
    </row>
    <row r="1333" spans="7:22" x14ac:dyDescent="0.25">
      <c r="G1333" cm="1">
        <f t="array" aca="1" ref="G1333" ca="1">INDIRECT("Data!A" &amp; 1328)</f>
        <v>0</v>
      </c>
      <c r="H1333" s="21" cm="1">
        <f t="array" aca="1" ref="H1333" ca="1">INDIRECT("Data!B" &amp; 1328)</f>
        <v>0</v>
      </c>
      <c r="I1333" s="21" cm="1">
        <f t="array" aca="1" ref="I1333" ca="1">INDIRECT("Data!C" &amp; 1328)</f>
        <v>0</v>
      </c>
      <c r="J1333" cm="1">
        <f t="array" aca="1" ref="J1333" ca="1">INDIRECT("Data!D" &amp; 1328)</f>
        <v>0</v>
      </c>
      <c r="K1333" cm="1">
        <f t="array" aca="1" ref="K1333" ca="1">INDIRECT("Data!E" &amp; 1328)</f>
        <v>0</v>
      </c>
      <c r="L1333" cm="1">
        <f t="array" aca="1" ref="L1333" ca="1">INDIRECT("Data!F" &amp; 1328)</f>
        <v>0</v>
      </c>
      <c r="M1333" cm="1">
        <f t="array" aca="1" ref="M1333" ca="1">INDIRECT("Data!G" &amp; 1328)</f>
        <v>0</v>
      </c>
      <c r="N1333" cm="1">
        <f t="array" aca="1" ref="N1333" ca="1">INDIRECT("Data!H" &amp; 1328)</f>
        <v>0</v>
      </c>
      <c r="O1333" cm="1">
        <f t="array" aca="1" ref="O1333" ca="1">INDIRECT("Data!I" &amp; 1328)</f>
        <v>0</v>
      </c>
      <c r="P1333" s="21" cm="1">
        <f t="array" aca="1" ref="P1333" ca="1">INDIRECT("Data!J" &amp; 1328)</f>
        <v>0</v>
      </c>
      <c r="Q1333" cm="1">
        <f t="array" aca="1" ref="Q1333" ca="1">INDIRECT("Data!K" &amp; 1328)</f>
        <v>0</v>
      </c>
      <c r="R1333" cm="1">
        <f t="array" aca="1" ref="R1333" ca="1">INDIRECT("Data!L" &amp; 1328)</f>
        <v>0</v>
      </c>
      <c r="S1333" cm="1">
        <f t="array" aca="1" ref="S1333" ca="1">INDIRECT("Data!M" &amp; 1328)</f>
        <v>0</v>
      </c>
      <c r="T1333" cm="1">
        <f t="array" aca="1" ref="T1333" ca="1">INDIRECT("Data!N" &amp; 1328)</f>
        <v>0</v>
      </c>
      <c r="U1333" cm="1">
        <f t="array" aca="1" ref="U1333" ca="1">INDIRECT("Data!O" &amp; 1328)</f>
        <v>0</v>
      </c>
      <c r="V1333" cm="1">
        <f t="array" aca="1" ref="V1333" ca="1">INDIRECT("Data!P" &amp; 1328)</f>
        <v>0</v>
      </c>
    </row>
    <row r="1334" spans="7:22" x14ac:dyDescent="0.25">
      <c r="G1334" cm="1">
        <f t="array" aca="1" ref="G1334" ca="1">INDIRECT("Data!A" &amp; 1329)</f>
        <v>0</v>
      </c>
      <c r="H1334" s="21" cm="1">
        <f t="array" aca="1" ref="H1334" ca="1">INDIRECT("Data!B" &amp; 1329)</f>
        <v>0</v>
      </c>
      <c r="I1334" s="21" cm="1">
        <f t="array" aca="1" ref="I1334" ca="1">INDIRECT("Data!C" &amp; 1329)</f>
        <v>0</v>
      </c>
      <c r="J1334" cm="1">
        <f t="array" aca="1" ref="J1334" ca="1">INDIRECT("Data!D" &amp; 1329)</f>
        <v>0</v>
      </c>
      <c r="K1334" cm="1">
        <f t="array" aca="1" ref="K1334" ca="1">INDIRECT("Data!E" &amp; 1329)</f>
        <v>0</v>
      </c>
      <c r="L1334" cm="1">
        <f t="array" aca="1" ref="L1334" ca="1">INDIRECT("Data!F" &amp; 1329)</f>
        <v>0</v>
      </c>
      <c r="M1334" cm="1">
        <f t="array" aca="1" ref="M1334" ca="1">INDIRECT("Data!G" &amp; 1329)</f>
        <v>0</v>
      </c>
      <c r="N1334" cm="1">
        <f t="array" aca="1" ref="N1334" ca="1">INDIRECT("Data!H" &amp; 1329)</f>
        <v>0</v>
      </c>
      <c r="O1334" cm="1">
        <f t="array" aca="1" ref="O1334" ca="1">INDIRECT("Data!I" &amp; 1329)</f>
        <v>0</v>
      </c>
      <c r="P1334" s="21" cm="1">
        <f t="array" aca="1" ref="P1334" ca="1">INDIRECT("Data!J" &amp; 1329)</f>
        <v>0</v>
      </c>
      <c r="Q1334" cm="1">
        <f t="array" aca="1" ref="Q1334" ca="1">INDIRECT("Data!K" &amp; 1329)</f>
        <v>0</v>
      </c>
      <c r="R1334" cm="1">
        <f t="array" aca="1" ref="R1334" ca="1">INDIRECT("Data!L" &amp; 1329)</f>
        <v>0</v>
      </c>
      <c r="S1334" cm="1">
        <f t="array" aca="1" ref="S1334" ca="1">INDIRECT("Data!M" &amp; 1329)</f>
        <v>0</v>
      </c>
      <c r="T1334" cm="1">
        <f t="array" aca="1" ref="T1334" ca="1">INDIRECT("Data!N" &amp; 1329)</f>
        <v>0</v>
      </c>
      <c r="U1334" cm="1">
        <f t="array" aca="1" ref="U1334" ca="1">INDIRECT("Data!O" &amp; 1329)</f>
        <v>0</v>
      </c>
      <c r="V1334" cm="1">
        <f t="array" aca="1" ref="V1334" ca="1">INDIRECT("Data!P" &amp; 1329)</f>
        <v>0</v>
      </c>
    </row>
    <row r="1335" spans="7:22" x14ac:dyDescent="0.25">
      <c r="G1335" cm="1">
        <f t="array" aca="1" ref="G1335" ca="1">INDIRECT("Data!A" &amp; 1330)</f>
        <v>0</v>
      </c>
      <c r="H1335" s="21" cm="1">
        <f t="array" aca="1" ref="H1335" ca="1">INDIRECT("Data!B" &amp; 1330)</f>
        <v>0</v>
      </c>
      <c r="I1335" s="21" cm="1">
        <f t="array" aca="1" ref="I1335" ca="1">INDIRECT("Data!C" &amp; 1330)</f>
        <v>0</v>
      </c>
      <c r="J1335" cm="1">
        <f t="array" aca="1" ref="J1335" ca="1">INDIRECT("Data!D" &amp; 1330)</f>
        <v>0</v>
      </c>
      <c r="K1335" cm="1">
        <f t="array" aca="1" ref="K1335" ca="1">INDIRECT("Data!E" &amp; 1330)</f>
        <v>0</v>
      </c>
      <c r="L1335" cm="1">
        <f t="array" aca="1" ref="L1335" ca="1">INDIRECT("Data!F" &amp; 1330)</f>
        <v>0</v>
      </c>
      <c r="M1335" cm="1">
        <f t="array" aca="1" ref="M1335" ca="1">INDIRECT("Data!G" &amp; 1330)</f>
        <v>0</v>
      </c>
      <c r="N1335" cm="1">
        <f t="array" aca="1" ref="N1335" ca="1">INDIRECT("Data!H" &amp; 1330)</f>
        <v>0</v>
      </c>
      <c r="O1335" cm="1">
        <f t="array" aca="1" ref="O1335" ca="1">INDIRECT("Data!I" &amp; 1330)</f>
        <v>0</v>
      </c>
      <c r="P1335" s="21" cm="1">
        <f t="array" aca="1" ref="P1335" ca="1">INDIRECT("Data!J" &amp; 1330)</f>
        <v>0</v>
      </c>
      <c r="Q1335" cm="1">
        <f t="array" aca="1" ref="Q1335" ca="1">INDIRECT("Data!K" &amp; 1330)</f>
        <v>0</v>
      </c>
      <c r="R1335" cm="1">
        <f t="array" aca="1" ref="R1335" ca="1">INDIRECT("Data!L" &amp; 1330)</f>
        <v>0</v>
      </c>
      <c r="S1335" cm="1">
        <f t="array" aca="1" ref="S1335" ca="1">INDIRECT("Data!M" &amp; 1330)</f>
        <v>0</v>
      </c>
      <c r="T1335" cm="1">
        <f t="array" aca="1" ref="T1335" ca="1">INDIRECT("Data!N" &amp; 1330)</f>
        <v>0</v>
      </c>
      <c r="U1335" cm="1">
        <f t="array" aca="1" ref="U1335" ca="1">INDIRECT("Data!O" &amp; 1330)</f>
        <v>0</v>
      </c>
      <c r="V1335" cm="1">
        <f t="array" aca="1" ref="V1335" ca="1">INDIRECT("Data!P" &amp; 1330)</f>
        <v>0</v>
      </c>
    </row>
    <row r="1336" spans="7:22" x14ac:dyDescent="0.25">
      <c r="G1336" cm="1">
        <f t="array" aca="1" ref="G1336" ca="1">INDIRECT("Data!A" &amp; 1331)</f>
        <v>0</v>
      </c>
      <c r="H1336" s="21" cm="1">
        <f t="array" aca="1" ref="H1336" ca="1">INDIRECT("Data!B" &amp; 1331)</f>
        <v>0</v>
      </c>
      <c r="I1336" s="21" cm="1">
        <f t="array" aca="1" ref="I1336" ca="1">INDIRECT("Data!C" &amp; 1331)</f>
        <v>0</v>
      </c>
      <c r="J1336" cm="1">
        <f t="array" aca="1" ref="J1336" ca="1">INDIRECT("Data!D" &amp; 1331)</f>
        <v>0</v>
      </c>
      <c r="K1336" cm="1">
        <f t="array" aca="1" ref="K1336" ca="1">INDIRECT("Data!E" &amp; 1331)</f>
        <v>0</v>
      </c>
      <c r="L1336" cm="1">
        <f t="array" aca="1" ref="L1336" ca="1">INDIRECT("Data!F" &amp; 1331)</f>
        <v>0</v>
      </c>
      <c r="M1336" cm="1">
        <f t="array" aca="1" ref="M1336" ca="1">INDIRECT("Data!G" &amp; 1331)</f>
        <v>0</v>
      </c>
      <c r="N1336" cm="1">
        <f t="array" aca="1" ref="N1336" ca="1">INDIRECT("Data!H" &amp; 1331)</f>
        <v>0</v>
      </c>
      <c r="O1336" cm="1">
        <f t="array" aca="1" ref="O1336" ca="1">INDIRECT("Data!I" &amp; 1331)</f>
        <v>0</v>
      </c>
      <c r="P1336" s="21" cm="1">
        <f t="array" aca="1" ref="P1336" ca="1">INDIRECT("Data!J" &amp; 1331)</f>
        <v>0</v>
      </c>
      <c r="Q1336" cm="1">
        <f t="array" aca="1" ref="Q1336" ca="1">INDIRECT("Data!K" &amp; 1331)</f>
        <v>0</v>
      </c>
      <c r="R1336" cm="1">
        <f t="array" aca="1" ref="R1336" ca="1">INDIRECT("Data!L" &amp; 1331)</f>
        <v>0</v>
      </c>
      <c r="S1336" cm="1">
        <f t="array" aca="1" ref="S1336" ca="1">INDIRECT("Data!M" &amp; 1331)</f>
        <v>0</v>
      </c>
      <c r="T1336" cm="1">
        <f t="array" aca="1" ref="T1336" ca="1">INDIRECT("Data!N" &amp; 1331)</f>
        <v>0</v>
      </c>
      <c r="U1336" cm="1">
        <f t="array" aca="1" ref="U1336" ca="1">INDIRECT("Data!O" &amp; 1331)</f>
        <v>0</v>
      </c>
      <c r="V1336" cm="1">
        <f t="array" aca="1" ref="V1336" ca="1">INDIRECT("Data!P" &amp; 1331)</f>
        <v>0</v>
      </c>
    </row>
    <row r="1337" spans="7:22" x14ac:dyDescent="0.25">
      <c r="G1337" cm="1">
        <f t="array" aca="1" ref="G1337" ca="1">INDIRECT("Data!A" &amp; 1332)</f>
        <v>0</v>
      </c>
      <c r="H1337" s="21" cm="1">
        <f t="array" aca="1" ref="H1337" ca="1">INDIRECT("Data!B" &amp; 1332)</f>
        <v>0</v>
      </c>
      <c r="I1337" s="21" cm="1">
        <f t="array" aca="1" ref="I1337" ca="1">INDIRECT("Data!C" &amp; 1332)</f>
        <v>0</v>
      </c>
      <c r="J1337" cm="1">
        <f t="array" aca="1" ref="J1337" ca="1">INDIRECT("Data!D" &amp; 1332)</f>
        <v>0</v>
      </c>
      <c r="K1337" cm="1">
        <f t="array" aca="1" ref="K1337" ca="1">INDIRECT("Data!E" &amp; 1332)</f>
        <v>0</v>
      </c>
      <c r="L1337" cm="1">
        <f t="array" aca="1" ref="L1337" ca="1">INDIRECT("Data!F" &amp; 1332)</f>
        <v>0</v>
      </c>
      <c r="M1337" cm="1">
        <f t="array" aca="1" ref="M1337" ca="1">INDIRECT("Data!G" &amp; 1332)</f>
        <v>0</v>
      </c>
      <c r="N1337" cm="1">
        <f t="array" aca="1" ref="N1337" ca="1">INDIRECT("Data!H" &amp; 1332)</f>
        <v>0</v>
      </c>
      <c r="O1337" cm="1">
        <f t="array" aca="1" ref="O1337" ca="1">INDIRECT("Data!I" &amp; 1332)</f>
        <v>0</v>
      </c>
      <c r="P1337" s="21" cm="1">
        <f t="array" aca="1" ref="P1337" ca="1">INDIRECT("Data!J" &amp; 1332)</f>
        <v>0</v>
      </c>
      <c r="Q1337" cm="1">
        <f t="array" aca="1" ref="Q1337" ca="1">INDIRECT("Data!K" &amp; 1332)</f>
        <v>0</v>
      </c>
      <c r="R1337" cm="1">
        <f t="array" aca="1" ref="R1337" ca="1">INDIRECT("Data!L" &amp; 1332)</f>
        <v>0</v>
      </c>
      <c r="S1337" cm="1">
        <f t="array" aca="1" ref="S1337" ca="1">INDIRECT("Data!M" &amp; 1332)</f>
        <v>0</v>
      </c>
      <c r="T1337" cm="1">
        <f t="array" aca="1" ref="T1337" ca="1">INDIRECT("Data!N" &amp; 1332)</f>
        <v>0</v>
      </c>
      <c r="U1337" cm="1">
        <f t="array" aca="1" ref="U1337" ca="1">INDIRECT("Data!O" &amp; 1332)</f>
        <v>0</v>
      </c>
      <c r="V1337" cm="1">
        <f t="array" aca="1" ref="V1337" ca="1">INDIRECT("Data!P" &amp; 1332)</f>
        <v>0</v>
      </c>
    </row>
    <row r="1338" spans="7:22" x14ac:dyDescent="0.25">
      <c r="G1338" cm="1">
        <f t="array" aca="1" ref="G1338" ca="1">INDIRECT("Data!A" &amp; 1333)</f>
        <v>0</v>
      </c>
      <c r="H1338" s="21" cm="1">
        <f t="array" aca="1" ref="H1338" ca="1">INDIRECT("Data!B" &amp; 1333)</f>
        <v>0</v>
      </c>
      <c r="I1338" s="21" cm="1">
        <f t="array" aca="1" ref="I1338" ca="1">INDIRECT("Data!C" &amp; 1333)</f>
        <v>0</v>
      </c>
      <c r="J1338" cm="1">
        <f t="array" aca="1" ref="J1338" ca="1">INDIRECT("Data!D" &amp; 1333)</f>
        <v>0</v>
      </c>
      <c r="K1338" cm="1">
        <f t="array" aca="1" ref="K1338" ca="1">INDIRECT("Data!E" &amp; 1333)</f>
        <v>0</v>
      </c>
      <c r="L1338" cm="1">
        <f t="array" aca="1" ref="L1338" ca="1">INDIRECT("Data!F" &amp; 1333)</f>
        <v>0</v>
      </c>
      <c r="M1338" cm="1">
        <f t="array" aca="1" ref="M1338" ca="1">INDIRECT("Data!G" &amp; 1333)</f>
        <v>0</v>
      </c>
      <c r="N1338" cm="1">
        <f t="array" aca="1" ref="N1338" ca="1">INDIRECT("Data!H" &amp; 1333)</f>
        <v>0</v>
      </c>
      <c r="O1338" cm="1">
        <f t="array" aca="1" ref="O1338" ca="1">INDIRECT("Data!I" &amp; 1333)</f>
        <v>0</v>
      </c>
      <c r="P1338" s="21" cm="1">
        <f t="array" aca="1" ref="P1338" ca="1">INDIRECT("Data!J" &amp; 1333)</f>
        <v>0</v>
      </c>
      <c r="Q1338" cm="1">
        <f t="array" aca="1" ref="Q1338" ca="1">INDIRECT("Data!K" &amp; 1333)</f>
        <v>0</v>
      </c>
      <c r="R1338" cm="1">
        <f t="array" aca="1" ref="R1338" ca="1">INDIRECT("Data!L" &amp; 1333)</f>
        <v>0</v>
      </c>
      <c r="S1338" cm="1">
        <f t="array" aca="1" ref="S1338" ca="1">INDIRECT("Data!M" &amp; 1333)</f>
        <v>0</v>
      </c>
      <c r="T1338" cm="1">
        <f t="array" aca="1" ref="T1338" ca="1">INDIRECT("Data!N" &amp; 1333)</f>
        <v>0</v>
      </c>
      <c r="U1338" cm="1">
        <f t="array" aca="1" ref="U1338" ca="1">INDIRECT("Data!O" &amp; 1333)</f>
        <v>0</v>
      </c>
      <c r="V1338" cm="1">
        <f t="array" aca="1" ref="V1338" ca="1">INDIRECT("Data!P" &amp; 1333)</f>
        <v>0</v>
      </c>
    </row>
    <row r="1339" spans="7:22" x14ac:dyDescent="0.25">
      <c r="G1339" cm="1">
        <f t="array" aca="1" ref="G1339" ca="1">INDIRECT("Data!A" &amp; 1334)</f>
        <v>0</v>
      </c>
      <c r="H1339" s="21" cm="1">
        <f t="array" aca="1" ref="H1339" ca="1">INDIRECT("Data!B" &amp; 1334)</f>
        <v>0</v>
      </c>
      <c r="I1339" s="21" cm="1">
        <f t="array" aca="1" ref="I1339" ca="1">INDIRECT("Data!C" &amp; 1334)</f>
        <v>0</v>
      </c>
      <c r="J1339" cm="1">
        <f t="array" aca="1" ref="J1339" ca="1">INDIRECT("Data!D" &amp; 1334)</f>
        <v>0</v>
      </c>
      <c r="K1339" cm="1">
        <f t="array" aca="1" ref="K1339" ca="1">INDIRECT("Data!E" &amp; 1334)</f>
        <v>0</v>
      </c>
      <c r="L1339" cm="1">
        <f t="array" aca="1" ref="L1339" ca="1">INDIRECT("Data!F" &amp; 1334)</f>
        <v>0</v>
      </c>
      <c r="M1339" cm="1">
        <f t="array" aca="1" ref="M1339" ca="1">INDIRECT("Data!G" &amp; 1334)</f>
        <v>0</v>
      </c>
      <c r="N1339" cm="1">
        <f t="array" aca="1" ref="N1339" ca="1">INDIRECT("Data!H" &amp; 1334)</f>
        <v>0</v>
      </c>
      <c r="O1339" cm="1">
        <f t="array" aca="1" ref="O1339" ca="1">INDIRECT("Data!I" &amp; 1334)</f>
        <v>0</v>
      </c>
      <c r="P1339" s="21" cm="1">
        <f t="array" aca="1" ref="P1339" ca="1">INDIRECT("Data!J" &amp; 1334)</f>
        <v>0</v>
      </c>
      <c r="Q1339" cm="1">
        <f t="array" aca="1" ref="Q1339" ca="1">INDIRECT("Data!K" &amp; 1334)</f>
        <v>0</v>
      </c>
      <c r="R1339" cm="1">
        <f t="array" aca="1" ref="R1339" ca="1">INDIRECT("Data!L" &amp; 1334)</f>
        <v>0</v>
      </c>
      <c r="S1339" cm="1">
        <f t="array" aca="1" ref="S1339" ca="1">INDIRECT("Data!M" &amp; 1334)</f>
        <v>0</v>
      </c>
      <c r="T1339" cm="1">
        <f t="array" aca="1" ref="T1339" ca="1">INDIRECT("Data!N" &amp; 1334)</f>
        <v>0</v>
      </c>
      <c r="U1339" cm="1">
        <f t="array" aca="1" ref="U1339" ca="1">INDIRECT("Data!O" &amp; 1334)</f>
        <v>0</v>
      </c>
      <c r="V1339" cm="1">
        <f t="array" aca="1" ref="V1339" ca="1">INDIRECT("Data!P" &amp; 1334)</f>
        <v>0</v>
      </c>
    </row>
    <row r="1340" spans="7:22" x14ac:dyDescent="0.25">
      <c r="G1340" cm="1">
        <f t="array" aca="1" ref="G1340" ca="1">INDIRECT("Data!A" &amp; 1335)</f>
        <v>0</v>
      </c>
      <c r="H1340" s="21" cm="1">
        <f t="array" aca="1" ref="H1340" ca="1">INDIRECT("Data!B" &amp; 1335)</f>
        <v>0</v>
      </c>
      <c r="I1340" s="21" cm="1">
        <f t="array" aca="1" ref="I1340" ca="1">INDIRECT("Data!C" &amp; 1335)</f>
        <v>0</v>
      </c>
      <c r="J1340" cm="1">
        <f t="array" aca="1" ref="J1340" ca="1">INDIRECT("Data!D" &amp; 1335)</f>
        <v>0</v>
      </c>
      <c r="K1340" cm="1">
        <f t="array" aca="1" ref="K1340" ca="1">INDIRECT("Data!E" &amp; 1335)</f>
        <v>0</v>
      </c>
      <c r="L1340" cm="1">
        <f t="array" aca="1" ref="L1340" ca="1">INDIRECT("Data!F" &amp; 1335)</f>
        <v>0</v>
      </c>
      <c r="M1340" cm="1">
        <f t="array" aca="1" ref="M1340" ca="1">INDIRECT("Data!G" &amp; 1335)</f>
        <v>0</v>
      </c>
      <c r="N1340" cm="1">
        <f t="array" aca="1" ref="N1340" ca="1">INDIRECT("Data!H" &amp; 1335)</f>
        <v>0</v>
      </c>
      <c r="O1340" cm="1">
        <f t="array" aca="1" ref="O1340" ca="1">INDIRECT("Data!I" &amp; 1335)</f>
        <v>0</v>
      </c>
      <c r="P1340" s="21" cm="1">
        <f t="array" aca="1" ref="P1340" ca="1">INDIRECT("Data!J" &amp; 1335)</f>
        <v>0</v>
      </c>
      <c r="Q1340" cm="1">
        <f t="array" aca="1" ref="Q1340" ca="1">INDIRECT("Data!K" &amp; 1335)</f>
        <v>0</v>
      </c>
      <c r="R1340" cm="1">
        <f t="array" aca="1" ref="R1340" ca="1">INDIRECT("Data!L" &amp; 1335)</f>
        <v>0</v>
      </c>
      <c r="S1340" cm="1">
        <f t="array" aca="1" ref="S1340" ca="1">INDIRECT("Data!M" &amp; 1335)</f>
        <v>0</v>
      </c>
      <c r="T1340" cm="1">
        <f t="array" aca="1" ref="T1340" ca="1">INDIRECT("Data!N" &amp; 1335)</f>
        <v>0</v>
      </c>
      <c r="U1340" cm="1">
        <f t="array" aca="1" ref="U1340" ca="1">INDIRECT("Data!O" &amp; 1335)</f>
        <v>0</v>
      </c>
      <c r="V1340" cm="1">
        <f t="array" aca="1" ref="V1340" ca="1">INDIRECT("Data!P" &amp; 1335)</f>
        <v>0</v>
      </c>
    </row>
    <row r="1341" spans="7:22" x14ac:dyDescent="0.25">
      <c r="G1341" cm="1">
        <f t="array" aca="1" ref="G1341" ca="1">INDIRECT("Data!A" &amp; 1336)</f>
        <v>0</v>
      </c>
      <c r="H1341" s="21" cm="1">
        <f t="array" aca="1" ref="H1341" ca="1">INDIRECT("Data!B" &amp; 1336)</f>
        <v>0</v>
      </c>
      <c r="I1341" s="21" cm="1">
        <f t="array" aca="1" ref="I1341" ca="1">INDIRECT("Data!C" &amp; 1336)</f>
        <v>0</v>
      </c>
      <c r="J1341" cm="1">
        <f t="array" aca="1" ref="J1341" ca="1">INDIRECT("Data!D" &amp; 1336)</f>
        <v>0</v>
      </c>
      <c r="K1341" cm="1">
        <f t="array" aca="1" ref="K1341" ca="1">INDIRECT("Data!E" &amp; 1336)</f>
        <v>0</v>
      </c>
      <c r="L1341" cm="1">
        <f t="array" aca="1" ref="L1341" ca="1">INDIRECT("Data!F" &amp; 1336)</f>
        <v>0</v>
      </c>
      <c r="M1341" cm="1">
        <f t="array" aca="1" ref="M1341" ca="1">INDIRECT("Data!G" &amp; 1336)</f>
        <v>0</v>
      </c>
      <c r="N1341" cm="1">
        <f t="array" aca="1" ref="N1341" ca="1">INDIRECT("Data!H" &amp; 1336)</f>
        <v>0</v>
      </c>
      <c r="O1341" cm="1">
        <f t="array" aca="1" ref="O1341" ca="1">INDIRECT("Data!I" &amp; 1336)</f>
        <v>0</v>
      </c>
      <c r="P1341" s="21" cm="1">
        <f t="array" aca="1" ref="P1341" ca="1">INDIRECT("Data!J" &amp; 1336)</f>
        <v>0</v>
      </c>
      <c r="Q1341" cm="1">
        <f t="array" aca="1" ref="Q1341" ca="1">INDIRECT("Data!K" &amp; 1336)</f>
        <v>0</v>
      </c>
      <c r="R1341" cm="1">
        <f t="array" aca="1" ref="R1341" ca="1">INDIRECT("Data!L" &amp; 1336)</f>
        <v>0</v>
      </c>
      <c r="S1341" cm="1">
        <f t="array" aca="1" ref="S1341" ca="1">INDIRECT("Data!M" &amp; 1336)</f>
        <v>0</v>
      </c>
      <c r="T1341" cm="1">
        <f t="array" aca="1" ref="T1341" ca="1">INDIRECT("Data!N" &amp; 1336)</f>
        <v>0</v>
      </c>
      <c r="U1341" cm="1">
        <f t="array" aca="1" ref="U1341" ca="1">INDIRECT("Data!O" &amp; 1336)</f>
        <v>0</v>
      </c>
      <c r="V1341" cm="1">
        <f t="array" aca="1" ref="V1341" ca="1">INDIRECT("Data!P" &amp; 1336)</f>
        <v>0</v>
      </c>
    </row>
    <row r="1342" spans="7:22" x14ac:dyDescent="0.25">
      <c r="G1342" cm="1">
        <f t="array" aca="1" ref="G1342" ca="1">INDIRECT("Data!A" &amp; 1337)</f>
        <v>0</v>
      </c>
      <c r="H1342" s="21" cm="1">
        <f t="array" aca="1" ref="H1342" ca="1">INDIRECT("Data!B" &amp; 1337)</f>
        <v>0</v>
      </c>
      <c r="I1342" s="21" cm="1">
        <f t="array" aca="1" ref="I1342" ca="1">INDIRECT("Data!C" &amp; 1337)</f>
        <v>0</v>
      </c>
      <c r="J1342" cm="1">
        <f t="array" aca="1" ref="J1342" ca="1">INDIRECT("Data!D" &amp; 1337)</f>
        <v>0</v>
      </c>
      <c r="K1342" cm="1">
        <f t="array" aca="1" ref="K1342" ca="1">INDIRECT("Data!E" &amp; 1337)</f>
        <v>0</v>
      </c>
      <c r="L1342" cm="1">
        <f t="array" aca="1" ref="L1342" ca="1">INDIRECT("Data!F" &amp; 1337)</f>
        <v>0</v>
      </c>
      <c r="M1342" cm="1">
        <f t="array" aca="1" ref="M1342" ca="1">INDIRECT("Data!G" &amp; 1337)</f>
        <v>0</v>
      </c>
      <c r="N1342" cm="1">
        <f t="array" aca="1" ref="N1342" ca="1">INDIRECT("Data!H" &amp; 1337)</f>
        <v>0</v>
      </c>
      <c r="O1342" cm="1">
        <f t="array" aca="1" ref="O1342" ca="1">INDIRECT("Data!I" &amp; 1337)</f>
        <v>0</v>
      </c>
      <c r="P1342" s="21" cm="1">
        <f t="array" aca="1" ref="P1342" ca="1">INDIRECT("Data!J" &amp; 1337)</f>
        <v>0</v>
      </c>
      <c r="Q1342" cm="1">
        <f t="array" aca="1" ref="Q1342" ca="1">INDIRECT("Data!K" &amp; 1337)</f>
        <v>0</v>
      </c>
      <c r="R1342" cm="1">
        <f t="array" aca="1" ref="R1342" ca="1">INDIRECT("Data!L" &amp; 1337)</f>
        <v>0</v>
      </c>
      <c r="S1342" cm="1">
        <f t="array" aca="1" ref="S1342" ca="1">INDIRECT("Data!M" &amp; 1337)</f>
        <v>0</v>
      </c>
      <c r="T1342" cm="1">
        <f t="array" aca="1" ref="T1342" ca="1">INDIRECT("Data!N" &amp; 1337)</f>
        <v>0</v>
      </c>
      <c r="U1342" cm="1">
        <f t="array" aca="1" ref="U1342" ca="1">INDIRECT("Data!O" &amp; 1337)</f>
        <v>0</v>
      </c>
      <c r="V1342" cm="1">
        <f t="array" aca="1" ref="V1342" ca="1">INDIRECT("Data!P" &amp; 1337)</f>
        <v>0</v>
      </c>
    </row>
    <row r="1343" spans="7:22" x14ac:dyDescent="0.25">
      <c r="G1343" cm="1">
        <f t="array" aca="1" ref="G1343" ca="1">INDIRECT("Data!A" &amp; 1338)</f>
        <v>0</v>
      </c>
      <c r="H1343" s="21" cm="1">
        <f t="array" aca="1" ref="H1343" ca="1">INDIRECT("Data!B" &amp; 1338)</f>
        <v>0</v>
      </c>
      <c r="I1343" s="21" cm="1">
        <f t="array" aca="1" ref="I1343" ca="1">INDIRECT("Data!C" &amp; 1338)</f>
        <v>0</v>
      </c>
      <c r="J1343" cm="1">
        <f t="array" aca="1" ref="J1343" ca="1">INDIRECT("Data!D" &amp; 1338)</f>
        <v>0</v>
      </c>
      <c r="K1343" cm="1">
        <f t="array" aca="1" ref="K1343" ca="1">INDIRECT("Data!E" &amp; 1338)</f>
        <v>0</v>
      </c>
      <c r="L1343" cm="1">
        <f t="array" aca="1" ref="L1343" ca="1">INDIRECT("Data!F" &amp; 1338)</f>
        <v>0</v>
      </c>
      <c r="M1343" cm="1">
        <f t="array" aca="1" ref="M1343" ca="1">INDIRECT("Data!G" &amp; 1338)</f>
        <v>0</v>
      </c>
      <c r="N1343" cm="1">
        <f t="array" aca="1" ref="N1343" ca="1">INDIRECT("Data!H" &amp; 1338)</f>
        <v>0</v>
      </c>
      <c r="O1343" cm="1">
        <f t="array" aca="1" ref="O1343" ca="1">INDIRECT("Data!I" &amp; 1338)</f>
        <v>0</v>
      </c>
      <c r="P1343" s="21" cm="1">
        <f t="array" aca="1" ref="P1343" ca="1">INDIRECT("Data!J" &amp; 1338)</f>
        <v>0</v>
      </c>
      <c r="Q1343" cm="1">
        <f t="array" aca="1" ref="Q1343" ca="1">INDIRECT("Data!K" &amp; 1338)</f>
        <v>0</v>
      </c>
      <c r="R1343" cm="1">
        <f t="array" aca="1" ref="R1343" ca="1">INDIRECT("Data!L" &amp; 1338)</f>
        <v>0</v>
      </c>
      <c r="S1343" cm="1">
        <f t="array" aca="1" ref="S1343" ca="1">INDIRECT("Data!M" &amp; 1338)</f>
        <v>0</v>
      </c>
      <c r="T1343" cm="1">
        <f t="array" aca="1" ref="T1343" ca="1">INDIRECT("Data!N" &amp; 1338)</f>
        <v>0</v>
      </c>
      <c r="U1343" cm="1">
        <f t="array" aca="1" ref="U1343" ca="1">INDIRECT("Data!O" &amp; 1338)</f>
        <v>0</v>
      </c>
      <c r="V1343" cm="1">
        <f t="array" aca="1" ref="V1343" ca="1">INDIRECT("Data!P" &amp; 1338)</f>
        <v>0</v>
      </c>
    </row>
    <row r="1344" spans="7:22" x14ac:dyDescent="0.25">
      <c r="G1344" cm="1">
        <f t="array" aca="1" ref="G1344" ca="1">INDIRECT("Data!A" &amp; 1339)</f>
        <v>0</v>
      </c>
      <c r="H1344" s="21" cm="1">
        <f t="array" aca="1" ref="H1344" ca="1">INDIRECT("Data!B" &amp; 1339)</f>
        <v>0</v>
      </c>
      <c r="I1344" s="21" cm="1">
        <f t="array" aca="1" ref="I1344" ca="1">INDIRECT("Data!C" &amp; 1339)</f>
        <v>0</v>
      </c>
      <c r="J1344" cm="1">
        <f t="array" aca="1" ref="J1344" ca="1">INDIRECT("Data!D" &amp; 1339)</f>
        <v>0</v>
      </c>
      <c r="K1344" cm="1">
        <f t="array" aca="1" ref="K1344" ca="1">INDIRECT("Data!E" &amp; 1339)</f>
        <v>0</v>
      </c>
      <c r="L1344" cm="1">
        <f t="array" aca="1" ref="L1344" ca="1">INDIRECT("Data!F" &amp; 1339)</f>
        <v>0</v>
      </c>
      <c r="M1344" cm="1">
        <f t="array" aca="1" ref="M1344" ca="1">INDIRECT("Data!G" &amp; 1339)</f>
        <v>0</v>
      </c>
      <c r="N1344" cm="1">
        <f t="array" aca="1" ref="N1344" ca="1">INDIRECT("Data!H" &amp; 1339)</f>
        <v>0</v>
      </c>
      <c r="O1344" cm="1">
        <f t="array" aca="1" ref="O1344" ca="1">INDIRECT("Data!I" &amp; 1339)</f>
        <v>0</v>
      </c>
      <c r="P1344" s="21" cm="1">
        <f t="array" aca="1" ref="P1344" ca="1">INDIRECT("Data!J" &amp; 1339)</f>
        <v>0</v>
      </c>
      <c r="Q1344" cm="1">
        <f t="array" aca="1" ref="Q1344" ca="1">INDIRECT("Data!K" &amp; 1339)</f>
        <v>0</v>
      </c>
      <c r="R1344" cm="1">
        <f t="array" aca="1" ref="R1344" ca="1">INDIRECT("Data!L" &amp; 1339)</f>
        <v>0</v>
      </c>
      <c r="S1344" cm="1">
        <f t="array" aca="1" ref="S1344" ca="1">INDIRECT("Data!M" &amp; 1339)</f>
        <v>0</v>
      </c>
      <c r="T1344" cm="1">
        <f t="array" aca="1" ref="T1344" ca="1">INDIRECT("Data!N" &amp; 1339)</f>
        <v>0</v>
      </c>
      <c r="U1344" cm="1">
        <f t="array" aca="1" ref="U1344" ca="1">INDIRECT("Data!O" &amp; 1339)</f>
        <v>0</v>
      </c>
      <c r="V1344" cm="1">
        <f t="array" aca="1" ref="V1344" ca="1">INDIRECT("Data!P" &amp; 1339)</f>
        <v>0</v>
      </c>
    </row>
    <row r="1345" spans="7:22" x14ac:dyDescent="0.25">
      <c r="G1345" cm="1">
        <f t="array" aca="1" ref="G1345" ca="1">INDIRECT("Data!A" &amp; 1340)</f>
        <v>0</v>
      </c>
      <c r="H1345" s="21" cm="1">
        <f t="array" aca="1" ref="H1345" ca="1">INDIRECT("Data!B" &amp; 1340)</f>
        <v>0</v>
      </c>
      <c r="I1345" s="21" cm="1">
        <f t="array" aca="1" ref="I1345" ca="1">INDIRECT("Data!C" &amp; 1340)</f>
        <v>0</v>
      </c>
      <c r="J1345" cm="1">
        <f t="array" aca="1" ref="J1345" ca="1">INDIRECT("Data!D" &amp; 1340)</f>
        <v>0</v>
      </c>
      <c r="K1345" cm="1">
        <f t="array" aca="1" ref="K1345" ca="1">INDIRECT("Data!E" &amp; 1340)</f>
        <v>0</v>
      </c>
      <c r="L1345" cm="1">
        <f t="array" aca="1" ref="L1345" ca="1">INDIRECT("Data!F" &amp; 1340)</f>
        <v>0</v>
      </c>
      <c r="M1345" cm="1">
        <f t="array" aca="1" ref="M1345" ca="1">INDIRECT("Data!G" &amp; 1340)</f>
        <v>0</v>
      </c>
      <c r="N1345" cm="1">
        <f t="array" aca="1" ref="N1345" ca="1">INDIRECT("Data!H" &amp; 1340)</f>
        <v>0</v>
      </c>
      <c r="O1345" cm="1">
        <f t="array" aca="1" ref="O1345" ca="1">INDIRECT("Data!I" &amp; 1340)</f>
        <v>0</v>
      </c>
      <c r="P1345" s="21" cm="1">
        <f t="array" aca="1" ref="P1345" ca="1">INDIRECT("Data!J" &amp; 1340)</f>
        <v>0</v>
      </c>
      <c r="Q1345" cm="1">
        <f t="array" aca="1" ref="Q1345" ca="1">INDIRECT("Data!K" &amp; 1340)</f>
        <v>0</v>
      </c>
      <c r="R1345" cm="1">
        <f t="array" aca="1" ref="R1345" ca="1">INDIRECT("Data!L" &amp; 1340)</f>
        <v>0</v>
      </c>
      <c r="S1345" cm="1">
        <f t="array" aca="1" ref="S1345" ca="1">INDIRECT("Data!M" &amp; 1340)</f>
        <v>0</v>
      </c>
      <c r="T1345" cm="1">
        <f t="array" aca="1" ref="T1345" ca="1">INDIRECT("Data!N" &amp; 1340)</f>
        <v>0</v>
      </c>
      <c r="U1345" cm="1">
        <f t="array" aca="1" ref="U1345" ca="1">INDIRECT("Data!O" &amp; 1340)</f>
        <v>0</v>
      </c>
      <c r="V1345" cm="1">
        <f t="array" aca="1" ref="V1345" ca="1">INDIRECT("Data!P" &amp; 1340)</f>
        <v>0</v>
      </c>
    </row>
    <row r="1346" spans="7:22" x14ac:dyDescent="0.25">
      <c r="G1346" cm="1">
        <f t="array" aca="1" ref="G1346" ca="1">INDIRECT("Data!A" &amp; 1341)</f>
        <v>0</v>
      </c>
      <c r="H1346" s="21" cm="1">
        <f t="array" aca="1" ref="H1346" ca="1">INDIRECT("Data!B" &amp; 1341)</f>
        <v>0</v>
      </c>
      <c r="I1346" s="21" cm="1">
        <f t="array" aca="1" ref="I1346" ca="1">INDIRECT("Data!C" &amp; 1341)</f>
        <v>0</v>
      </c>
      <c r="J1346" cm="1">
        <f t="array" aca="1" ref="J1346" ca="1">INDIRECT("Data!D" &amp; 1341)</f>
        <v>0</v>
      </c>
      <c r="K1346" cm="1">
        <f t="array" aca="1" ref="K1346" ca="1">INDIRECT("Data!E" &amp; 1341)</f>
        <v>0</v>
      </c>
      <c r="L1346" cm="1">
        <f t="array" aca="1" ref="L1346" ca="1">INDIRECT("Data!F" &amp; 1341)</f>
        <v>0</v>
      </c>
      <c r="M1346" cm="1">
        <f t="array" aca="1" ref="M1346" ca="1">INDIRECT("Data!G" &amp; 1341)</f>
        <v>0</v>
      </c>
      <c r="N1346" cm="1">
        <f t="array" aca="1" ref="N1346" ca="1">INDIRECT("Data!H" &amp; 1341)</f>
        <v>0</v>
      </c>
      <c r="O1346" cm="1">
        <f t="array" aca="1" ref="O1346" ca="1">INDIRECT("Data!I" &amp; 1341)</f>
        <v>0</v>
      </c>
      <c r="P1346" s="21" cm="1">
        <f t="array" aca="1" ref="P1346" ca="1">INDIRECT("Data!J" &amp; 1341)</f>
        <v>0</v>
      </c>
      <c r="Q1346" cm="1">
        <f t="array" aca="1" ref="Q1346" ca="1">INDIRECT("Data!K" &amp; 1341)</f>
        <v>0</v>
      </c>
      <c r="R1346" cm="1">
        <f t="array" aca="1" ref="R1346" ca="1">INDIRECT("Data!L" &amp; 1341)</f>
        <v>0</v>
      </c>
      <c r="S1346" cm="1">
        <f t="array" aca="1" ref="S1346" ca="1">INDIRECT("Data!M" &amp; 1341)</f>
        <v>0</v>
      </c>
      <c r="T1346" cm="1">
        <f t="array" aca="1" ref="T1346" ca="1">INDIRECT("Data!N" &amp; 1341)</f>
        <v>0</v>
      </c>
      <c r="U1346" cm="1">
        <f t="array" aca="1" ref="U1346" ca="1">INDIRECT("Data!O" &amp; 1341)</f>
        <v>0</v>
      </c>
      <c r="V1346" cm="1">
        <f t="array" aca="1" ref="V1346" ca="1">INDIRECT("Data!P" &amp; 1341)</f>
        <v>0</v>
      </c>
    </row>
    <row r="1347" spans="7:22" x14ac:dyDescent="0.25">
      <c r="G1347" cm="1">
        <f t="array" aca="1" ref="G1347" ca="1">INDIRECT("Data!A" &amp; 1342)</f>
        <v>0</v>
      </c>
      <c r="H1347" s="21" cm="1">
        <f t="array" aca="1" ref="H1347" ca="1">INDIRECT("Data!B" &amp; 1342)</f>
        <v>0</v>
      </c>
      <c r="I1347" s="21" cm="1">
        <f t="array" aca="1" ref="I1347" ca="1">INDIRECT("Data!C" &amp; 1342)</f>
        <v>0</v>
      </c>
      <c r="J1347" cm="1">
        <f t="array" aca="1" ref="J1347" ca="1">INDIRECT("Data!D" &amp; 1342)</f>
        <v>0</v>
      </c>
      <c r="K1347" cm="1">
        <f t="array" aca="1" ref="K1347" ca="1">INDIRECT("Data!E" &amp; 1342)</f>
        <v>0</v>
      </c>
      <c r="L1347" cm="1">
        <f t="array" aca="1" ref="L1347" ca="1">INDIRECT("Data!F" &amp; 1342)</f>
        <v>0</v>
      </c>
      <c r="M1347" cm="1">
        <f t="array" aca="1" ref="M1347" ca="1">INDIRECT("Data!G" &amp; 1342)</f>
        <v>0</v>
      </c>
      <c r="N1347" cm="1">
        <f t="array" aca="1" ref="N1347" ca="1">INDIRECT("Data!H" &amp; 1342)</f>
        <v>0</v>
      </c>
      <c r="O1347" cm="1">
        <f t="array" aca="1" ref="O1347" ca="1">INDIRECT("Data!I" &amp; 1342)</f>
        <v>0</v>
      </c>
      <c r="P1347" s="21" cm="1">
        <f t="array" aca="1" ref="P1347" ca="1">INDIRECT("Data!J" &amp; 1342)</f>
        <v>0</v>
      </c>
      <c r="Q1347" cm="1">
        <f t="array" aca="1" ref="Q1347" ca="1">INDIRECT("Data!K" &amp; 1342)</f>
        <v>0</v>
      </c>
      <c r="R1347" cm="1">
        <f t="array" aca="1" ref="R1347" ca="1">INDIRECT("Data!L" &amp; 1342)</f>
        <v>0</v>
      </c>
      <c r="S1347" cm="1">
        <f t="array" aca="1" ref="S1347" ca="1">INDIRECT("Data!M" &amp; 1342)</f>
        <v>0</v>
      </c>
      <c r="T1347" cm="1">
        <f t="array" aca="1" ref="T1347" ca="1">INDIRECT("Data!N" &amp; 1342)</f>
        <v>0</v>
      </c>
      <c r="U1347" cm="1">
        <f t="array" aca="1" ref="U1347" ca="1">INDIRECT("Data!O" &amp; 1342)</f>
        <v>0</v>
      </c>
      <c r="V1347" cm="1">
        <f t="array" aca="1" ref="V1347" ca="1">INDIRECT("Data!P" &amp; 1342)</f>
        <v>0</v>
      </c>
    </row>
    <row r="1348" spans="7:22" x14ac:dyDescent="0.25">
      <c r="G1348" cm="1">
        <f t="array" aca="1" ref="G1348" ca="1">INDIRECT("Data!A" &amp; 1343)</f>
        <v>0</v>
      </c>
      <c r="H1348" s="21" cm="1">
        <f t="array" aca="1" ref="H1348" ca="1">INDIRECT("Data!B" &amp; 1343)</f>
        <v>0</v>
      </c>
      <c r="I1348" s="21" cm="1">
        <f t="array" aca="1" ref="I1348" ca="1">INDIRECT("Data!C" &amp; 1343)</f>
        <v>0</v>
      </c>
      <c r="J1348" cm="1">
        <f t="array" aca="1" ref="J1348" ca="1">INDIRECT("Data!D" &amp; 1343)</f>
        <v>0</v>
      </c>
      <c r="K1348" cm="1">
        <f t="array" aca="1" ref="K1348" ca="1">INDIRECT("Data!E" &amp; 1343)</f>
        <v>0</v>
      </c>
      <c r="L1348" cm="1">
        <f t="array" aca="1" ref="L1348" ca="1">INDIRECT("Data!F" &amp; 1343)</f>
        <v>0</v>
      </c>
      <c r="M1348" cm="1">
        <f t="array" aca="1" ref="M1348" ca="1">INDIRECT("Data!G" &amp; 1343)</f>
        <v>0</v>
      </c>
      <c r="N1348" cm="1">
        <f t="array" aca="1" ref="N1348" ca="1">INDIRECT("Data!H" &amp; 1343)</f>
        <v>0</v>
      </c>
      <c r="O1348" cm="1">
        <f t="array" aca="1" ref="O1348" ca="1">INDIRECT("Data!I" &amp; 1343)</f>
        <v>0</v>
      </c>
      <c r="P1348" s="21" cm="1">
        <f t="array" aca="1" ref="P1348" ca="1">INDIRECT("Data!J" &amp; 1343)</f>
        <v>0</v>
      </c>
      <c r="Q1348" cm="1">
        <f t="array" aca="1" ref="Q1348" ca="1">INDIRECT("Data!K" &amp; 1343)</f>
        <v>0</v>
      </c>
      <c r="R1348" cm="1">
        <f t="array" aca="1" ref="R1348" ca="1">INDIRECT("Data!L" &amp; 1343)</f>
        <v>0</v>
      </c>
      <c r="S1348" cm="1">
        <f t="array" aca="1" ref="S1348" ca="1">INDIRECT("Data!M" &amp; 1343)</f>
        <v>0</v>
      </c>
      <c r="T1348" cm="1">
        <f t="array" aca="1" ref="T1348" ca="1">INDIRECT("Data!N" &amp; 1343)</f>
        <v>0</v>
      </c>
      <c r="U1348" cm="1">
        <f t="array" aca="1" ref="U1348" ca="1">INDIRECT("Data!O" &amp; 1343)</f>
        <v>0</v>
      </c>
      <c r="V1348" cm="1">
        <f t="array" aca="1" ref="V1348" ca="1">INDIRECT("Data!P" &amp; 1343)</f>
        <v>0</v>
      </c>
    </row>
    <row r="1349" spans="7:22" x14ac:dyDescent="0.25">
      <c r="G1349" cm="1">
        <f t="array" aca="1" ref="G1349" ca="1">INDIRECT("Data!A" &amp; 1344)</f>
        <v>0</v>
      </c>
      <c r="H1349" s="21" cm="1">
        <f t="array" aca="1" ref="H1349" ca="1">INDIRECT("Data!B" &amp; 1344)</f>
        <v>0</v>
      </c>
      <c r="I1349" s="21" cm="1">
        <f t="array" aca="1" ref="I1349" ca="1">INDIRECT("Data!C" &amp; 1344)</f>
        <v>0</v>
      </c>
      <c r="J1349" cm="1">
        <f t="array" aca="1" ref="J1349" ca="1">INDIRECT("Data!D" &amp; 1344)</f>
        <v>0</v>
      </c>
      <c r="K1349" cm="1">
        <f t="array" aca="1" ref="K1349" ca="1">INDIRECT("Data!E" &amp; 1344)</f>
        <v>0</v>
      </c>
      <c r="L1349" cm="1">
        <f t="array" aca="1" ref="L1349" ca="1">INDIRECT("Data!F" &amp; 1344)</f>
        <v>0</v>
      </c>
      <c r="M1349" cm="1">
        <f t="array" aca="1" ref="M1349" ca="1">INDIRECT("Data!G" &amp; 1344)</f>
        <v>0</v>
      </c>
      <c r="N1349" cm="1">
        <f t="array" aca="1" ref="N1349" ca="1">INDIRECT("Data!H" &amp; 1344)</f>
        <v>0</v>
      </c>
      <c r="O1349" cm="1">
        <f t="array" aca="1" ref="O1349" ca="1">INDIRECT("Data!I" &amp; 1344)</f>
        <v>0</v>
      </c>
      <c r="P1349" s="21" cm="1">
        <f t="array" aca="1" ref="P1349" ca="1">INDIRECT("Data!J" &amp; 1344)</f>
        <v>0</v>
      </c>
      <c r="Q1349" cm="1">
        <f t="array" aca="1" ref="Q1349" ca="1">INDIRECT("Data!K" &amp; 1344)</f>
        <v>0</v>
      </c>
      <c r="R1349" cm="1">
        <f t="array" aca="1" ref="R1349" ca="1">INDIRECT("Data!L" &amp; 1344)</f>
        <v>0</v>
      </c>
      <c r="S1349" cm="1">
        <f t="array" aca="1" ref="S1349" ca="1">INDIRECT("Data!M" &amp; 1344)</f>
        <v>0</v>
      </c>
      <c r="T1349" cm="1">
        <f t="array" aca="1" ref="T1349" ca="1">INDIRECT("Data!N" &amp; 1344)</f>
        <v>0</v>
      </c>
      <c r="U1349" cm="1">
        <f t="array" aca="1" ref="U1349" ca="1">INDIRECT("Data!O" &amp; 1344)</f>
        <v>0</v>
      </c>
      <c r="V1349" cm="1">
        <f t="array" aca="1" ref="V1349" ca="1">INDIRECT("Data!P" &amp; 1344)</f>
        <v>0</v>
      </c>
    </row>
    <row r="1350" spans="7:22" x14ac:dyDescent="0.25">
      <c r="G1350" cm="1">
        <f t="array" aca="1" ref="G1350" ca="1">INDIRECT("Data!A" &amp; 1345)</f>
        <v>0</v>
      </c>
      <c r="H1350" s="21" cm="1">
        <f t="array" aca="1" ref="H1350" ca="1">INDIRECT("Data!B" &amp; 1345)</f>
        <v>0</v>
      </c>
      <c r="I1350" s="21" cm="1">
        <f t="array" aca="1" ref="I1350" ca="1">INDIRECT("Data!C" &amp; 1345)</f>
        <v>0</v>
      </c>
      <c r="J1350" cm="1">
        <f t="array" aca="1" ref="J1350" ca="1">INDIRECT("Data!D" &amp; 1345)</f>
        <v>0</v>
      </c>
      <c r="K1350" cm="1">
        <f t="array" aca="1" ref="K1350" ca="1">INDIRECT("Data!E" &amp; 1345)</f>
        <v>0</v>
      </c>
      <c r="L1350" cm="1">
        <f t="array" aca="1" ref="L1350" ca="1">INDIRECT("Data!F" &amp; 1345)</f>
        <v>0</v>
      </c>
      <c r="M1350" cm="1">
        <f t="array" aca="1" ref="M1350" ca="1">INDIRECT("Data!G" &amp; 1345)</f>
        <v>0</v>
      </c>
      <c r="N1350" cm="1">
        <f t="array" aca="1" ref="N1350" ca="1">INDIRECT("Data!H" &amp; 1345)</f>
        <v>0</v>
      </c>
      <c r="O1350" cm="1">
        <f t="array" aca="1" ref="O1350" ca="1">INDIRECT("Data!I" &amp; 1345)</f>
        <v>0</v>
      </c>
      <c r="P1350" s="21" cm="1">
        <f t="array" aca="1" ref="P1350" ca="1">INDIRECT("Data!J" &amp; 1345)</f>
        <v>0</v>
      </c>
      <c r="Q1350" cm="1">
        <f t="array" aca="1" ref="Q1350" ca="1">INDIRECT("Data!K" &amp; 1345)</f>
        <v>0</v>
      </c>
      <c r="R1350" cm="1">
        <f t="array" aca="1" ref="R1350" ca="1">INDIRECT("Data!L" &amp; 1345)</f>
        <v>0</v>
      </c>
      <c r="S1350" cm="1">
        <f t="array" aca="1" ref="S1350" ca="1">INDIRECT("Data!M" &amp; 1345)</f>
        <v>0</v>
      </c>
      <c r="T1350" cm="1">
        <f t="array" aca="1" ref="T1350" ca="1">INDIRECT("Data!N" &amp; 1345)</f>
        <v>0</v>
      </c>
      <c r="U1350" cm="1">
        <f t="array" aca="1" ref="U1350" ca="1">INDIRECT("Data!O" &amp; 1345)</f>
        <v>0</v>
      </c>
      <c r="V1350" cm="1">
        <f t="array" aca="1" ref="V1350" ca="1">INDIRECT("Data!P" &amp; 1345)</f>
        <v>0</v>
      </c>
    </row>
    <row r="1351" spans="7:22" x14ac:dyDescent="0.25">
      <c r="G1351" cm="1">
        <f t="array" aca="1" ref="G1351" ca="1">INDIRECT("Data!A" &amp; 1346)</f>
        <v>0</v>
      </c>
      <c r="H1351" s="21" cm="1">
        <f t="array" aca="1" ref="H1351" ca="1">INDIRECT("Data!B" &amp; 1346)</f>
        <v>0</v>
      </c>
      <c r="I1351" s="21" cm="1">
        <f t="array" aca="1" ref="I1351" ca="1">INDIRECT("Data!C" &amp; 1346)</f>
        <v>0</v>
      </c>
      <c r="J1351" cm="1">
        <f t="array" aca="1" ref="J1351" ca="1">INDIRECT("Data!D" &amp; 1346)</f>
        <v>0</v>
      </c>
      <c r="K1351" cm="1">
        <f t="array" aca="1" ref="K1351" ca="1">INDIRECT("Data!E" &amp; 1346)</f>
        <v>0</v>
      </c>
      <c r="L1351" cm="1">
        <f t="array" aca="1" ref="L1351" ca="1">INDIRECT("Data!F" &amp; 1346)</f>
        <v>0</v>
      </c>
      <c r="M1351" cm="1">
        <f t="array" aca="1" ref="M1351" ca="1">INDIRECT("Data!G" &amp; 1346)</f>
        <v>0</v>
      </c>
      <c r="N1351" cm="1">
        <f t="array" aca="1" ref="N1351" ca="1">INDIRECT("Data!H" &amp; 1346)</f>
        <v>0</v>
      </c>
      <c r="O1351" cm="1">
        <f t="array" aca="1" ref="O1351" ca="1">INDIRECT("Data!I" &amp; 1346)</f>
        <v>0</v>
      </c>
      <c r="P1351" s="21" cm="1">
        <f t="array" aca="1" ref="P1351" ca="1">INDIRECT("Data!J" &amp; 1346)</f>
        <v>0</v>
      </c>
      <c r="Q1351" cm="1">
        <f t="array" aca="1" ref="Q1351" ca="1">INDIRECT("Data!K" &amp; 1346)</f>
        <v>0</v>
      </c>
      <c r="R1351" cm="1">
        <f t="array" aca="1" ref="R1351" ca="1">INDIRECT("Data!L" &amp; 1346)</f>
        <v>0</v>
      </c>
      <c r="S1351" cm="1">
        <f t="array" aca="1" ref="S1351" ca="1">INDIRECT("Data!M" &amp; 1346)</f>
        <v>0</v>
      </c>
      <c r="T1351" cm="1">
        <f t="array" aca="1" ref="T1351" ca="1">INDIRECT("Data!N" &amp; 1346)</f>
        <v>0</v>
      </c>
      <c r="U1351" cm="1">
        <f t="array" aca="1" ref="U1351" ca="1">INDIRECT("Data!O" &amp; 1346)</f>
        <v>0</v>
      </c>
      <c r="V1351" cm="1">
        <f t="array" aca="1" ref="V1351" ca="1">INDIRECT("Data!P" &amp; 1346)</f>
        <v>0</v>
      </c>
    </row>
    <row r="1352" spans="7:22" x14ac:dyDescent="0.25">
      <c r="G1352" cm="1">
        <f t="array" aca="1" ref="G1352" ca="1">INDIRECT("Data!A" &amp; 1347)</f>
        <v>0</v>
      </c>
      <c r="H1352" s="21" cm="1">
        <f t="array" aca="1" ref="H1352" ca="1">INDIRECT("Data!B" &amp; 1347)</f>
        <v>0</v>
      </c>
      <c r="I1352" s="21" cm="1">
        <f t="array" aca="1" ref="I1352" ca="1">INDIRECT("Data!C" &amp; 1347)</f>
        <v>0</v>
      </c>
      <c r="J1352" cm="1">
        <f t="array" aca="1" ref="J1352" ca="1">INDIRECT("Data!D" &amp; 1347)</f>
        <v>0</v>
      </c>
      <c r="K1352" cm="1">
        <f t="array" aca="1" ref="K1352" ca="1">INDIRECT("Data!E" &amp; 1347)</f>
        <v>0</v>
      </c>
      <c r="L1352" cm="1">
        <f t="array" aca="1" ref="L1352" ca="1">INDIRECT("Data!F" &amp; 1347)</f>
        <v>0</v>
      </c>
      <c r="M1352" cm="1">
        <f t="array" aca="1" ref="M1352" ca="1">INDIRECT("Data!G" &amp; 1347)</f>
        <v>0</v>
      </c>
      <c r="N1352" cm="1">
        <f t="array" aca="1" ref="N1352" ca="1">INDIRECT("Data!H" &amp; 1347)</f>
        <v>0</v>
      </c>
      <c r="O1352" cm="1">
        <f t="array" aca="1" ref="O1352" ca="1">INDIRECT("Data!I" &amp; 1347)</f>
        <v>0</v>
      </c>
      <c r="P1352" s="21" cm="1">
        <f t="array" aca="1" ref="P1352" ca="1">INDIRECT("Data!J" &amp; 1347)</f>
        <v>0</v>
      </c>
      <c r="Q1352" cm="1">
        <f t="array" aca="1" ref="Q1352" ca="1">INDIRECT("Data!K" &amp; 1347)</f>
        <v>0</v>
      </c>
      <c r="R1352" cm="1">
        <f t="array" aca="1" ref="R1352" ca="1">INDIRECT("Data!L" &amp; 1347)</f>
        <v>0</v>
      </c>
      <c r="S1352" cm="1">
        <f t="array" aca="1" ref="S1352" ca="1">INDIRECT("Data!M" &amp; 1347)</f>
        <v>0</v>
      </c>
      <c r="T1352" cm="1">
        <f t="array" aca="1" ref="T1352" ca="1">INDIRECT("Data!N" &amp; 1347)</f>
        <v>0</v>
      </c>
      <c r="U1352" cm="1">
        <f t="array" aca="1" ref="U1352" ca="1">INDIRECT("Data!O" &amp; 1347)</f>
        <v>0</v>
      </c>
      <c r="V1352" cm="1">
        <f t="array" aca="1" ref="V1352" ca="1">INDIRECT("Data!P" &amp; 1347)</f>
        <v>0</v>
      </c>
    </row>
    <row r="1353" spans="7:22" x14ac:dyDescent="0.25">
      <c r="G1353" cm="1">
        <f t="array" aca="1" ref="G1353" ca="1">INDIRECT("Data!A" &amp; 1348)</f>
        <v>0</v>
      </c>
      <c r="H1353" s="21" cm="1">
        <f t="array" aca="1" ref="H1353" ca="1">INDIRECT("Data!B" &amp; 1348)</f>
        <v>0</v>
      </c>
      <c r="I1353" s="21" cm="1">
        <f t="array" aca="1" ref="I1353" ca="1">INDIRECT("Data!C" &amp; 1348)</f>
        <v>0</v>
      </c>
      <c r="J1353" cm="1">
        <f t="array" aca="1" ref="J1353" ca="1">INDIRECT("Data!D" &amp; 1348)</f>
        <v>0</v>
      </c>
      <c r="K1353" cm="1">
        <f t="array" aca="1" ref="K1353" ca="1">INDIRECT("Data!E" &amp; 1348)</f>
        <v>0</v>
      </c>
      <c r="L1353" cm="1">
        <f t="array" aca="1" ref="L1353" ca="1">INDIRECT("Data!F" &amp; 1348)</f>
        <v>0</v>
      </c>
      <c r="M1353" cm="1">
        <f t="array" aca="1" ref="M1353" ca="1">INDIRECT("Data!G" &amp; 1348)</f>
        <v>0</v>
      </c>
      <c r="N1353" cm="1">
        <f t="array" aca="1" ref="N1353" ca="1">INDIRECT("Data!H" &amp; 1348)</f>
        <v>0</v>
      </c>
      <c r="O1353" cm="1">
        <f t="array" aca="1" ref="O1353" ca="1">INDIRECT("Data!I" &amp; 1348)</f>
        <v>0</v>
      </c>
      <c r="P1353" s="21" cm="1">
        <f t="array" aca="1" ref="P1353" ca="1">INDIRECT("Data!J" &amp; 1348)</f>
        <v>0</v>
      </c>
      <c r="Q1353" cm="1">
        <f t="array" aca="1" ref="Q1353" ca="1">INDIRECT("Data!K" &amp; 1348)</f>
        <v>0</v>
      </c>
      <c r="R1353" cm="1">
        <f t="array" aca="1" ref="R1353" ca="1">INDIRECT("Data!L" &amp; 1348)</f>
        <v>0</v>
      </c>
      <c r="S1353" cm="1">
        <f t="array" aca="1" ref="S1353" ca="1">INDIRECT("Data!M" &amp; 1348)</f>
        <v>0</v>
      </c>
      <c r="T1353" cm="1">
        <f t="array" aca="1" ref="T1353" ca="1">INDIRECT("Data!N" &amp; 1348)</f>
        <v>0</v>
      </c>
      <c r="U1353" cm="1">
        <f t="array" aca="1" ref="U1353" ca="1">INDIRECT("Data!O" &amp; 1348)</f>
        <v>0</v>
      </c>
      <c r="V1353" cm="1">
        <f t="array" aca="1" ref="V1353" ca="1">INDIRECT("Data!P" &amp; 1348)</f>
        <v>0</v>
      </c>
    </row>
    <row r="1354" spans="7:22" x14ac:dyDescent="0.25">
      <c r="G1354" cm="1">
        <f t="array" aca="1" ref="G1354" ca="1">INDIRECT("Data!A" &amp; 1349)</f>
        <v>0</v>
      </c>
      <c r="H1354" s="21" cm="1">
        <f t="array" aca="1" ref="H1354" ca="1">INDIRECT("Data!B" &amp; 1349)</f>
        <v>0</v>
      </c>
      <c r="I1354" s="21" cm="1">
        <f t="array" aca="1" ref="I1354" ca="1">INDIRECT("Data!C" &amp; 1349)</f>
        <v>0</v>
      </c>
      <c r="J1354" cm="1">
        <f t="array" aca="1" ref="J1354" ca="1">INDIRECT("Data!D" &amp; 1349)</f>
        <v>0</v>
      </c>
      <c r="K1354" cm="1">
        <f t="array" aca="1" ref="K1354" ca="1">INDIRECT("Data!E" &amp; 1349)</f>
        <v>0</v>
      </c>
      <c r="L1354" cm="1">
        <f t="array" aca="1" ref="L1354" ca="1">INDIRECT("Data!F" &amp; 1349)</f>
        <v>0</v>
      </c>
      <c r="M1354" cm="1">
        <f t="array" aca="1" ref="M1354" ca="1">INDIRECT("Data!G" &amp; 1349)</f>
        <v>0</v>
      </c>
      <c r="N1354" cm="1">
        <f t="array" aca="1" ref="N1354" ca="1">INDIRECT("Data!H" &amp; 1349)</f>
        <v>0</v>
      </c>
      <c r="O1354" cm="1">
        <f t="array" aca="1" ref="O1354" ca="1">INDIRECT("Data!I" &amp; 1349)</f>
        <v>0</v>
      </c>
      <c r="P1354" s="21" cm="1">
        <f t="array" aca="1" ref="P1354" ca="1">INDIRECT("Data!J" &amp; 1349)</f>
        <v>0</v>
      </c>
      <c r="Q1354" cm="1">
        <f t="array" aca="1" ref="Q1354" ca="1">INDIRECT("Data!K" &amp; 1349)</f>
        <v>0</v>
      </c>
      <c r="R1354" cm="1">
        <f t="array" aca="1" ref="R1354" ca="1">INDIRECT("Data!L" &amp; 1349)</f>
        <v>0</v>
      </c>
      <c r="S1354" cm="1">
        <f t="array" aca="1" ref="S1354" ca="1">INDIRECT("Data!M" &amp; 1349)</f>
        <v>0</v>
      </c>
      <c r="T1354" cm="1">
        <f t="array" aca="1" ref="T1354" ca="1">INDIRECT("Data!N" &amp; 1349)</f>
        <v>0</v>
      </c>
      <c r="U1354" cm="1">
        <f t="array" aca="1" ref="U1354" ca="1">INDIRECT("Data!O" &amp; 1349)</f>
        <v>0</v>
      </c>
      <c r="V1354" cm="1">
        <f t="array" aca="1" ref="V1354" ca="1">INDIRECT("Data!P" &amp; 1349)</f>
        <v>0</v>
      </c>
    </row>
    <row r="1355" spans="7:22" x14ac:dyDescent="0.25">
      <c r="G1355" cm="1">
        <f t="array" aca="1" ref="G1355" ca="1">INDIRECT("Data!A" &amp; 1350)</f>
        <v>0</v>
      </c>
      <c r="H1355" s="21" cm="1">
        <f t="array" aca="1" ref="H1355" ca="1">INDIRECT("Data!B" &amp; 1350)</f>
        <v>0</v>
      </c>
      <c r="I1355" s="21" cm="1">
        <f t="array" aca="1" ref="I1355" ca="1">INDIRECT("Data!C" &amp; 1350)</f>
        <v>0</v>
      </c>
      <c r="J1355" cm="1">
        <f t="array" aca="1" ref="J1355" ca="1">INDIRECT("Data!D" &amp; 1350)</f>
        <v>0</v>
      </c>
      <c r="K1355" cm="1">
        <f t="array" aca="1" ref="K1355" ca="1">INDIRECT("Data!E" &amp; 1350)</f>
        <v>0</v>
      </c>
      <c r="L1355" cm="1">
        <f t="array" aca="1" ref="L1355" ca="1">INDIRECT("Data!F" &amp; 1350)</f>
        <v>0</v>
      </c>
      <c r="M1355" cm="1">
        <f t="array" aca="1" ref="M1355" ca="1">INDIRECT("Data!G" &amp; 1350)</f>
        <v>0</v>
      </c>
      <c r="N1355" cm="1">
        <f t="array" aca="1" ref="N1355" ca="1">INDIRECT("Data!H" &amp; 1350)</f>
        <v>0</v>
      </c>
      <c r="O1355" cm="1">
        <f t="array" aca="1" ref="O1355" ca="1">INDIRECT("Data!I" &amp; 1350)</f>
        <v>0</v>
      </c>
      <c r="P1355" s="21" cm="1">
        <f t="array" aca="1" ref="P1355" ca="1">INDIRECT("Data!J" &amp; 1350)</f>
        <v>0</v>
      </c>
      <c r="Q1355" cm="1">
        <f t="array" aca="1" ref="Q1355" ca="1">INDIRECT("Data!K" &amp; 1350)</f>
        <v>0</v>
      </c>
      <c r="R1355" cm="1">
        <f t="array" aca="1" ref="R1355" ca="1">INDIRECT("Data!L" &amp; 1350)</f>
        <v>0</v>
      </c>
      <c r="S1355" cm="1">
        <f t="array" aca="1" ref="S1355" ca="1">INDIRECT("Data!M" &amp; 1350)</f>
        <v>0</v>
      </c>
      <c r="T1355" cm="1">
        <f t="array" aca="1" ref="T1355" ca="1">INDIRECT("Data!N" &amp; 1350)</f>
        <v>0</v>
      </c>
      <c r="U1355" cm="1">
        <f t="array" aca="1" ref="U1355" ca="1">INDIRECT("Data!O" &amp; 1350)</f>
        <v>0</v>
      </c>
      <c r="V1355" cm="1">
        <f t="array" aca="1" ref="V1355" ca="1">INDIRECT("Data!P" &amp; 1350)</f>
        <v>0</v>
      </c>
    </row>
    <row r="1356" spans="7:22" x14ac:dyDescent="0.25">
      <c r="G1356" cm="1">
        <f t="array" aca="1" ref="G1356" ca="1">INDIRECT("Data!A" &amp; 1351)</f>
        <v>0</v>
      </c>
      <c r="H1356" s="21" cm="1">
        <f t="array" aca="1" ref="H1356" ca="1">INDIRECT("Data!B" &amp; 1351)</f>
        <v>0</v>
      </c>
      <c r="I1356" s="21" cm="1">
        <f t="array" aca="1" ref="I1356" ca="1">INDIRECT("Data!C" &amp; 1351)</f>
        <v>0</v>
      </c>
      <c r="J1356" cm="1">
        <f t="array" aca="1" ref="J1356" ca="1">INDIRECT("Data!D" &amp; 1351)</f>
        <v>0</v>
      </c>
      <c r="K1356" cm="1">
        <f t="array" aca="1" ref="K1356" ca="1">INDIRECT("Data!E" &amp; 1351)</f>
        <v>0</v>
      </c>
      <c r="L1356" cm="1">
        <f t="array" aca="1" ref="L1356" ca="1">INDIRECT("Data!F" &amp; 1351)</f>
        <v>0</v>
      </c>
      <c r="M1356" cm="1">
        <f t="array" aca="1" ref="M1356" ca="1">INDIRECT("Data!G" &amp; 1351)</f>
        <v>0</v>
      </c>
      <c r="N1356" cm="1">
        <f t="array" aca="1" ref="N1356" ca="1">INDIRECT("Data!H" &amp; 1351)</f>
        <v>0</v>
      </c>
      <c r="O1356" cm="1">
        <f t="array" aca="1" ref="O1356" ca="1">INDIRECT("Data!I" &amp; 1351)</f>
        <v>0</v>
      </c>
      <c r="P1356" s="21" cm="1">
        <f t="array" aca="1" ref="P1356" ca="1">INDIRECT("Data!J" &amp; 1351)</f>
        <v>0</v>
      </c>
      <c r="Q1356" cm="1">
        <f t="array" aca="1" ref="Q1356" ca="1">INDIRECT("Data!K" &amp; 1351)</f>
        <v>0</v>
      </c>
      <c r="R1356" cm="1">
        <f t="array" aca="1" ref="R1356" ca="1">INDIRECT("Data!L" &amp; 1351)</f>
        <v>0</v>
      </c>
      <c r="S1356" cm="1">
        <f t="array" aca="1" ref="S1356" ca="1">INDIRECT("Data!M" &amp; 1351)</f>
        <v>0</v>
      </c>
      <c r="T1356" cm="1">
        <f t="array" aca="1" ref="T1356" ca="1">INDIRECT("Data!N" &amp; 1351)</f>
        <v>0</v>
      </c>
      <c r="U1356" cm="1">
        <f t="array" aca="1" ref="U1356" ca="1">INDIRECT("Data!O" &amp; 1351)</f>
        <v>0</v>
      </c>
      <c r="V1356" cm="1">
        <f t="array" aca="1" ref="V1356" ca="1">INDIRECT("Data!P" &amp; 1351)</f>
        <v>0</v>
      </c>
    </row>
    <row r="1357" spans="7:22" x14ac:dyDescent="0.25">
      <c r="G1357" cm="1">
        <f t="array" aca="1" ref="G1357" ca="1">INDIRECT("Data!A" &amp; 1352)</f>
        <v>0</v>
      </c>
      <c r="H1357" s="21" cm="1">
        <f t="array" aca="1" ref="H1357" ca="1">INDIRECT("Data!B" &amp; 1352)</f>
        <v>0</v>
      </c>
      <c r="I1357" s="21" cm="1">
        <f t="array" aca="1" ref="I1357" ca="1">INDIRECT("Data!C" &amp; 1352)</f>
        <v>0</v>
      </c>
      <c r="J1357" cm="1">
        <f t="array" aca="1" ref="J1357" ca="1">INDIRECT("Data!D" &amp; 1352)</f>
        <v>0</v>
      </c>
      <c r="K1357" cm="1">
        <f t="array" aca="1" ref="K1357" ca="1">INDIRECT("Data!E" &amp; 1352)</f>
        <v>0</v>
      </c>
      <c r="L1357" cm="1">
        <f t="array" aca="1" ref="L1357" ca="1">INDIRECT("Data!F" &amp; 1352)</f>
        <v>0</v>
      </c>
      <c r="M1357" cm="1">
        <f t="array" aca="1" ref="M1357" ca="1">INDIRECT("Data!G" &amp; 1352)</f>
        <v>0</v>
      </c>
      <c r="N1357" cm="1">
        <f t="array" aca="1" ref="N1357" ca="1">INDIRECT("Data!H" &amp; 1352)</f>
        <v>0</v>
      </c>
      <c r="O1357" cm="1">
        <f t="array" aca="1" ref="O1357" ca="1">INDIRECT("Data!I" &amp; 1352)</f>
        <v>0</v>
      </c>
      <c r="P1357" s="21" cm="1">
        <f t="array" aca="1" ref="P1357" ca="1">INDIRECT("Data!J" &amp; 1352)</f>
        <v>0</v>
      </c>
      <c r="Q1357" cm="1">
        <f t="array" aca="1" ref="Q1357" ca="1">INDIRECT("Data!K" &amp; 1352)</f>
        <v>0</v>
      </c>
      <c r="R1357" cm="1">
        <f t="array" aca="1" ref="R1357" ca="1">INDIRECT("Data!L" &amp; 1352)</f>
        <v>0</v>
      </c>
      <c r="S1357" cm="1">
        <f t="array" aca="1" ref="S1357" ca="1">INDIRECT("Data!M" &amp; 1352)</f>
        <v>0</v>
      </c>
      <c r="T1357" cm="1">
        <f t="array" aca="1" ref="T1357" ca="1">INDIRECT("Data!N" &amp; 1352)</f>
        <v>0</v>
      </c>
      <c r="U1357" cm="1">
        <f t="array" aca="1" ref="U1357" ca="1">INDIRECT("Data!O" &amp; 1352)</f>
        <v>0</v>
      </c>
      <c r="V1357" cm="1">
        <f t="array" aca="1" ref="V1357" ca="1">INDIRECT("Data!P" &amp; 1352)</f>
        <v>0</v>
      </c>
    </row>
    <row r="1358" spans="7:22" x14ac:dyDescent="0.25">
      <c r="G1358" cm="1">
        <f t="array" aca="1" ref="G1358" ca="1">INDIRECT("Data!A" &amp; 1353)</f>
        <v>0</v>
      </c>
      <c r="H1358" s="21" cm="1">
        <f t="array" aca="1" ref="H1358" ca="1">INDIRECT("Data!B" &amp; 1353)</f>
        <v>0</v>
      </c>
      <c r="I1358" s="21" cm="1">
        <f t="array" aca="1" ref="I1358" ca="1">INDIRECT("Data!C" &amp; 1353)</f>
        <v>0</v>
      </c>
      <c r="J1358" cm="1">
        <f t="array" aca="1" ref="J1358" ca="1">INDIRECT("Data!D" &amp; 1353)</f>
        <v>0</v>
      </c>
      <c r="K1358" cm="1">
        <f t="array" aca="1" ref="K1358" ca="1">INDIRECT("Data!E" &amp; 1353)</f>
        <v>0</v>
      </c>
      <c r="L1358" cm="1">
        <f t="array" aca="1" ref="L1358" ca="1">INDIRECT("Data!F" &amp; 1353)</f>
        <v>0</v>
      </c>
      <c r="M1358" cm="1">
        <f t="array" aca="1" ref="M1358" ca="1">INDIRECT("Data!G" &amp; 1353)</f>
        <v>0</v>
      </c>
      <c r="N1358" cm="1">
        <f t="array" aca="1" ref="N1358" ca="1">INDIRECT("Data!H" &amp; 1353)</f>
        <v>0</v>
      </c>
      <c r="O1358" cm="1">
        <f t="array" aca="1" ref="O1358" ca="1">INDIRECT("Data!I" &amp; 1353)</f>
        <v>0</v>
      </c>
      <c r="P1358" s="21" cm="1">
        <f t="array" aca="1" ref="P1358" ca="1">INDIRECT("Data!J" &amp; 1353)</f>
        <v>0</v>
      </c>
      <c r="Q1358" cm="1">
        <f t="array" aca="1" ref="Q1358" ca="1">INDIRECT("Data!K" &amp; 1353)</f>
        <v>0</v>
      </c>
      <c r="R1358" cm="1">
        <f t="array" aca="1" ref="R1358" ca="1">INDIRECT("Data!L" &amp; 1353)</f>
        <v>0</v>
      </c>
      <c r="S1358" cm="1">
        <f t="array" aca="1" ref="S1358" ca="1">INDIRECT("Data!M" &amp; 1353)</f>
        <v>0</v>
      </c>
      <c r="T1358" cm="1">
        <f t="array" aca="1" ref="T1358" ca="1">INDIRECT("Data!N" &amp; 1353)</f>
        <v>0</v>
      </c>
      <c r="U1358" cm="1">
        <f t="array" aca="1" ref="U1358" ca="1">INDIRECT("Data!O" &amp; 1353)</f>
        <v>0</v>
      </c>
      <c r="V1358" cm="1">
        <f t="array" aca="1" ref="V1358" ca="1">INDIRECT("Data!P" &amp; 1353)</f>
        <v>0</v>
      </c>
    </row>
    <row r="1359" spans="7:22" x14ac:dyDescent="0.25">
      <c r="G1359" cm="1">
        <f t="array" aca="1" ref="G1359" ca="1">INDIRECT("Data!A" &amp; 1354)</f>
        <v>0</v>
      </c>
      <c r="H1359" s="21" cm="1">
        <f t="array" aca="1" ref="H1359" ca="1">INDIRECT("Data!B" &amp; 1354)</f>
        <v>0</v>
      </c>
      <c r="I1359" s="21" cm="1">
        <f t="array" aca="1" ref="I1359" ca="1">INDIRECT("Data!C" &amp; 1354)</f>
        <v>0</v>
      </c>
      <c r="J1359" cm="1">
        <f t="array" aca="1" ref="J1359" ca="1">INDIRECT("Data!D" &amp; 1354)</f>
        <v>0</v>
      </c>
      <c r="K1359" cm="1">
        <f t="array" aca="1" ref="K1359" ca="1">INDIRECT("Data!E" &amp; 1354)</f>
        <v>0</v>
      </c>
      <c r="L1359" cm="1">
        <f t="array" aca="1" ref="L1359" ca="1">INDIRECT("Data!F" &amp; 1354)</f>
        <v>0</v>
      </c>
      <c r="M1359" cm="1">
        <f t="array" aca="1" ref="M1359" ca="1">INDIRECT("Data!G" &amp; 1354)</f>
        <v>0</v>
      </c>
      <c r="N1359" cm="1">
        <f t="array" aca="1" ref="N1359" ca="1">INDIRECT("Data!H" &amp; 1354)</f>
        <v>0</v>
      </c>
      <c r="O1359" cm="1">
        <f t="array" aca="1" ref="O1359" ca="1">INDIRECT("Data!I" &amp; 1354)</f>
        <v>0</v>
      </c>
      <c r="P1359" s="21" cm="1">
        <f t="array" aca="1" ref="P1359" ca="1">INDIRECT("Data!J" &amp; 1354)</f>
        <v>0</v>
      </c>
      <c r="Q1359" cm="1">
        <f t="array" aca="1" ref="Q1359" ca="1">INDIRECT("Data!K" &amp; 1354)</f>
        <v>0</v>
      </c>
      <c r="R1359" cm="1">
        <f t="array" aca="1" ref="R1359" ca="1">INDIRECT("Data!L" &amp; 1354)</f>
        <v>0</v>
      </c>
      <c r="S1359" cm="1">
        <f t="array" aca="1" ref="S1359" ca="1">INDIRECT("Data!M" &amp; 1354)</f>
        <v>0</v>
      </c>
      <c r="T1359" cm="1">
        <f t="array" aca="1" ref="T1359" ca="1">INDIRECT("Data!N" &amp; 1354)</f>
        <v>0</v>
      </c>
      <c r="U1359" cm="1">
        <f t="array" aca="1" ref="U1359" ca="1">INDIRECT("Data!O" &amp; 1354)</f>
        <v>0</v>
      </c>
      <c r="V1359" cm="1">
        <f t="array" aca="1" ref="V1359" ca="1">INDIRECT("Data!P" &amp; 1354)</f>
        <v>0</v>
      </c>
    </row>
    <row r="1360" spans="7:22" x14ac:dyDescent="0.25">
      <c r="G1360" cm="1">
        <f t="array" aca="1" ref="G1360" ca="1">INDIRECT("Data!A" &amp; 1355)</f>
        <v>0</v>
      </c>
      <c r="H1360" s="21" cm="1">
        <f t="array" aca="1" ref="H1360" ca="1">INDIRECT("Data!B" &amp; 1355)</f>
        <v>0</v>
      </c>
      <c r="I1360" s="21" cm="1">
        <f t="array" aca="1" ref="I1360" ca="1">INDIRECT("Data!C" &amp; 1355)</f>
        <v>0</v>
      </c>
      <c r="J1360" cm="1">
        <f t="array" aca="1" ref="J1360" ca="1">INDIRECT("Data!D" &amp; 1355)</f>
        <v>0</v>
      </c>
      <c r="K1360" cm="1">
        <f t="array" aca="1" ref="K1360" ca="1">INDIRECT("Data!E" &amp; 1355)</f>
        <v>0</v>
      </c>
      <c r="L1360" cm="1">
        <f t="array" aca="1" ref="L1360" ca="1">INDIRECT("Data!F" &amp; 1355)</f>
        <v>0</v>
      </c>
      <c r="M1360" cm="1">
        <f t="array" aca="1" ref="M1360" ca="1">INDIRECT("Data!G" &amp; 1355)</f>
        <v>0</v>
      </c>
      <c r="N1360" cm="1">
        <f t="array" aca="1" ref="N1360" ca="1">INDIRECT("Data!H" &amp; 1355)</f>
        <v>0</v>
      </c>
      <c r="O1360" cm="1">
        <f t="array" aca="1" ref="O1360" ca="1">INDIRECT("Data!I" &amp; 1355)</f>
        <v>0</v>
      </c>
      <c r="P1360" s="21" cm="1">
        <f t="array" aca="1" ref="P1360" ca="1">INDIRECT("Data!J" &amp; 1355)</f>
        <v>0</v>
      </c>
      <c r="Q1360" cm="1">
        <f t="array" aca="1" ref="Q1360" ca="1">INDIRECT("Data!K" &amp; 1355)</f>
        <v>0</v>
      </c>
      <c r="R1360" cm="1">
        <f t="array" aca="1" ref="R1360" ca="1">INDIRECT("Data!L" &amp; 1355)</f>
        <v>0</v>
      </c>
      <c r="S1360" cm="1">
        <f t="array" aca="1" ref="S1360" ca="1">INDIRECT("Data!M" &amp; 1355)</f>
        <v>0</v>
      </c>
      <c r="T1360" cm="1">
        <f t="array" aca="1" ref="T1360" ca="1">INDIRECT("Data!N" &amp; 1355)</f>
        <v>0</v>
      </c>
      <c r="U1360" cm="1">
        <f t="array" aca="1" ref="U1360" ca="1">INDIRECT("Data!O" &amp; 1355)</f>
        <v>0</v>
      </c>
      <c r="V1360" cm="1">
        <f t="array" aca="1" ref="V1360" ca="1">INDIRECT("Data!P" &amp; 1355)</f>
        <v>0</v>
      </c>
    </row>
    <row r="1361" spans="7:22" x14ac:dyDescent="0.25">
      <c r="G1361" cm="1">
        <f t="array" aca="1" ref="G1361" ca="1">INDIRECT("Data!A" &amp; 1356)</f>
        <v>0</v>
      </c>
      <c r="H1361" s="21" cm="1">
        <f t="array" aca="1" ref="H1361" ca="1">INDIRECT("Data!B" &amp; 1356)</f>
        <v>0</v>
      </c>
      <c r="I1361" s="21" cm="1">
        <f t="array" aca="1" ref="I1361" ca="1">INDIRECT("Data!C" &amp; 1356)</f>
        <v>0</v>
      </c>
      <c r="J1361" cm="1">
        <f t="array" aca="1" ref="J1361" ca="1">INDIRECT("Data!D" &amp; 1356)</f>
        <v>0</v>
      </c>
      <c r="K1361" cm="1">
        <f t="array" aca="1" ref="K1361" ca="1">INDIRECT("Data!E" &amp; 1356)</f>
        <v>0</v>
      </c>
      <c r="L1361" cm="1">
        <f t="array" aca="1" ref="L1361" ca="1">INDIRECT("Data!F" &amp; 1356)</f>
        <v>0</v>
      </c>
      <c r="M1361" cm="1">
        <f t="array" aca="1" ref="M1361" ca="1">INDIRECT("Data!G" &amp; 1356)</f>
        <v>0</v>
      </c>
      <c r="N1361" cm="1">
        <f t="array" aca="1" ref="N1361" ca="1">INDIRECT("Data!H" &amp; 1356)</f>
        <v>0</v>
      </c>
      <c r="O1361" cm="1">
        <f t="array" aca="1" ref="O1361" ca="1">INDIRECT("Data!I" &amp; 1356)</f>
        <v>0</v>
      </c>
      <c r="P1361" s="21" cm="1">
        <f t="array" aca="1" ref="P1361" ca="1">INDIRECT("Data!J" &amp; 1356)</f>
        <v>0</v>
      </c>
      <c r="Q1361" cm="1">
        <f t="array" aca="1" ref="Q1361" ca="1">INDIRECT("Data!K" &amp; 1356)</f>
        <v>0</v>
      </c>
      <c r="R1361" cm="1">
        <f t="array" aca="1" ref="R1361" ca="1">INDIRECT("Data!L" &amp; 1356)</f>
        <v>0</v>
      </c>
      <c r="S1361" cm="1">
        <f t="array" aca="1" ref="S1361" ca="1">INDIRECT("Data!M" &amp; 1356)</f>
        <v>0</v>
      </c>
      <c r="T1361" cm="1">
        <f t="array" aca="1" ref="T1361" ca="1">INDIRECT("Data!N" &amp; 1356)</f>
        <v>0</v>
      </c>
      <c r="U1361" cm="1">
        <f t="array" aca="1" ref="U1361" ca="1">INDIRECT("Data!O" &amp; 1356)</f>
        <v>0</v>
      </c>
      <c r="V1361" cm="1">
        <f t="array" aca="1" ref="V1361" ca="1">INDIRECT("Data!P" &amp; 1356)</f>
        <v>0</v>
      </c>
    </row>
    <row r="1362" spans="7:22" x14ac:dyDescent="0.25">
      <c r="G1362" cm="1">
        <f t="array" aca="1" ref="G1362" ca="1">INDIRECT("Data!A" &amp; 1357)</f>
        <v>0</v>
      </c>
      <c r="H1362" s="21" cm="1">
        <f t="array" aca="1" ref="H1362" ca="1">INDIRECT("Data!B" &amp; 1357)</f>
        <v>0</v>
      </c>
      <c r="I1362" s="21" cm="1">
        <f t="array" aca="1" ref="I1362" ca="1">INDIRECT("Data!C" &amp; 1357)</f>
        <v>0</v>
      </c>
      <c r="J1362" cm="1">
        <f t="array" aca="1" ref="J1362" ca="1">INDIRECT("Data!D" &amp; 1357)</f>
        <v>0</v>
      </c>
      <c r="K1362" cm="1">
        <f t="array" aca="1" ref="K1362" ca="1">INDIRECT("Data!E" &amp; 1357)</f>
        <v>0</v>
      </c>
      <c r="L1362" cm="1">
        <f t="array" aca="1" ref="L1362" ca="1">INDIRECT("Data!F" &amp; 1357)</f>
        <v>0</v>
      </c>
      <c r="M1362" cm="1">
        <f t="array" aca="1" ref="M1362" ca="1">INDIRECT("Data!G" &amp; 1357)</f>
        <v>0</v>
      </c>
      <c r="N1362" cm="1">
        <f t="array" aca="1" ref="N1362" ca="1">INDIRECT("Data!H" &amp; 1357)</f>
        <v>0</v>
      </c>
      <c r="O1362" cm="1">
        <f t="array" aca="1" ref="O1362" ca="1">INDIRECT("Data!I" &amp; 1357)</f>
        <v>0</v>
      </c>
      <c r="P1362" s="21" cm="1">
        <f t="array" aca="1" ref="P1362" ca="1">INDIRECT("Data!J" &amp; 1357)</f>
        <v>0</v>
      </c>
      <c r="Q1362" cm="1">
        <f t="array" aca="1" ref="Q1362" ca="1">INDIRECT("Data!K" &amp; 1357)</f>
        <v>0</v>
      </c>
      <c r="R1362" cm="1">
        <f t="array" aca="1" ref="R1362" ca="1">INDIRECT("Data!L" &amp; 1357)</f>
        <v>0</v>
      </c>
      <c r="S1362" cm="1">
        <f t="array" aca="1" ref="S1362" ca="1">INDIRECT("Data!M" &amp; 1357)</f>
        <v>0</v>
      </c>
      <c r="T1362" cm="1">
        <f t="array" aca="1" ref="T1362" ca="1">INDIRECT("Data!N" &amp; 1357)</f>
        <v>0</v>
      </c>
      <c r="U1362" cm="1">
        <f t="array" aca="1" ref="U1362" ca="1">INDIRECT("Data!O" &amp; 1357)</f>
        <v>0</v>
      </c>
      <c r="V1362" cm="1">
        <f t="array" aca="1" ref="V1362" ca="1">INDIRECT("Data!P" &amp; 1357)</f>
        <v>0</v>
      </c>
    </row>
    <row r="1363" spans="7:22" x14ac:dyDescent="0.25">
      <c r="G1363" cm="1">
        <f t="array" aca="1" ref="G1363" ca="1">INDIRECT("Data!A" &amp; 1358)</f>
        <v>0</v>
      </c>
      <c r="H1363" s="21" cm="1">
        <f t="array" aca="1" ref="H1363" ca="1">INDIRECT("Data!B" &amp; 1358)</f>
        <v>0</v>
      </c>
      <c r="I1363" s="21" cm="1">
        <f t="array" aca="1" ref="I1363" ca="1">INDIRECT("Data!C" &amp; 1358)</f>
        <v>0</v>
      </c>
      <c r="J1363" cm="1">
        <f t="array" aca="1" ref="J1363" ca="1">INDIRECT("Data!D" &amp; 1358)</f>
        <v>0</v>
      </c>
      <c r="K1363" cm="1">
        <f t="array" aca="1" ref="K1363" ca="1">INDIRECT("Data!E" &amp; 1358)</f>
        <v>0</v>
      </c>
      <c r="L1363" cm="1">
        <f t="array" aca="1" ref="L1363" ca="1">INDIRECT("Data!F" &amp; 1358)</f>
        <v>0</v>
      </c>
      <c r="M1363" cm="1">
        <f t="array" aca="1" ref="M1363" ca="1">INDIRECT("Data!G" &amp; 1358)</f>
        <v>0</v>
      </c>
      <c r="N1363" cm="1">
        <f t="array" aca="1" ref="N1363" ca="1">INDIRECT("Data!H" &amp; 1358)</f>
        <v>0</v>
      </c>
      <c r="O1363" cm="1">
        <f t="array" aca="1" ref="O1363" ca="1">INDIRECT("Data!I" &amp; 1358)</f>
        <v>0</v>
      </c>
      <c r="P1363" s="21" cm="1">
        <f t="array" aca="1" ref="P1363" ca="1">INDIRECT("Data!J" &amp; 1358)</f>
        <v>0</v>
      </c>
      <c r="Q1363" cm="1">
        <f t="array" aca="1" ref="Q1363" ca="1">INDIRECT("Data!K" &amp; 1358)</f>
        <v>0</v>
      </c>
      <c r="R1363" cm="1">
        <f t="array" aca="1" ref="R1363" ca="1">INDIRECT("Data!L" &amp; 1358)</f>
        <v>0</v>
      </c>
      <c r="S1363" cm="1">
        <f t="array" aca="1" ref="S1363" ca="1">INDIRECT("Data!M" &amp; 1358)</f>
        <v>0</v>
      </c>
      <c r="T1363" cm="1">
        <f t="array" aca="1" ref="T1363" ca="1">INDIRECT("Data!N" &amp; 1358)</f>
        <v>0</v>
      </c>
      <c r="U1363" cm="1">
        <f t="array" aca="1" ref="U1363" ca="1">INDIRECT("Data!O" &amp; 1358)</f>
        <v>0</v>
      </c>
      <c r="V1363" cm="1">
        <f t="array" aca="1" ref="V1363" ca="1">INDIRECT("Data!P" &amp; 1358)</f>
        <v>0</v>
      </c>
    </row>
    <row r="1364" spans="7:22" x14ac:dyDescent="0.25">
      <c r="G1364" cm="1">
        <f t="array" aca="1" ref="G1364" ca="1">INDIRECT("Data!A" &amp; 1359)</f>
        <v>0</v>
      </c>
      <c r="H1364" s="21" cm="1">
        <f t="array" aca="1" ref="H1364" ca="1">INDIRECT("Data!B" &amp; 1359)</f>
        <v>0</v>
      </c>
      <c r="I1364" s="21" cm="1">
        <f t="array" aca="1" ref="I1364" ca="1">INDIRECT("Data!C" &amp; 1359)</f>
        <v>0</v>
      </c>
      <c r="J1364" cm="1">
        <f t="array" aca="1" ref="J1364" ca="1">INDIRECT("Data!D" &amp; 1359)</f>
        <v>0</v>
      </c>
      <c r="K1364" cm="1">
        <f t="array" aca="1" ref="K1364" ca="1">INDIRECT("Data!E" &amp; 1359)</f>
        <v>0</v>
      </c>
      <c r="L1364" cm="1">
        <f t="array" aca="1" ref="L1364" ca="1">INDIRECT("Data!F" &amp; 1359)</f>
        <v>0</v>
      </c>
      <c r="M1364" cm="1">
        <f t="array" aca="1" ref="M1364" ca="1">INDIRECT("Data!G" &amp; 1359)</f>
        <v>0</v>
      </c>
      <c r="N1364" cm="1">
        <f t="array" aca="1" ref="N1364" ca="1">INDIRECT("Data!H" &amp; 1359)</f>
        <v>0</v>
      </c>
      <c r="O1364" cm="1">
        <f t="array" aca="1" ref="O1364" ca="1">INDIRECT("Data!I" &amp; 1359)</f>
        <v>0</v>
      </c>
      <c r="P1364" s="21" cm="1">
        <f t="array" aca="1" ref="P1364" ca="1">INDIRECT("Data!J" &amp; 1359)</f>
        <v>0</v>
      </c>
      <c r="Q1364" cm="1">
        <f t="array" aca="1" ref="Q1364" ca="1">INDIRECT("Data!K" &amp; 1359)</f>
        <v>0</v>
      </c>
      <c r="R1364" cm="1">
        <f t="array" aca="1" ref="R1364" ca="1">INDIRECT("Data!L" &amp; 1359)</f>
        <v>0</v>
      </c>
      <c r="S1364" cm="1">
        <f t="array" aca="1" ref="S1364" ca="1">INDIRECT("Data!M" &amp; 1359)</f>
        <v>0</v>
      </c>
      <c r="T1364" cm="1">
        <f t="array" aca="1" ref="T1364" ca="1">INDIRECT("Data!N" &amp; 1359)</f>
        <v>0</v>
      </c>
      <c r="U1364" cm="1">
        <f t="array" aca="1" ref="U1364" ca="1">INDIRECT("Data!O" &amp; 1359)</f>
        <v>0</v>
      </c>
      <c r="V1364" cm="1">
        <f t="array" aca="1" ref="V1364" ca="1">INDIRECT("Data!P" &amp; 1359)</f>
        <v>0</v>
      </c>
    </row>
    <row r="1365" spans="7:22" x14ac:dyDescent="0.25">
      <c r="G1365" cm="1">
        <f t="array" aca="1" ref="G1365" ca="1">INDIRECT("Data!A" &amp; 1360)</f>
        <v>0</v>
      </c>
      <c r="H1365" s="21" cm="1">
        <f t="array" aca="1" ref="H1365" ca="1">INDIRECT("Data!B" &amp; 1360)</f>
        <v>0</v>
      </c>
      <c r="I1365" s="21" cm="1">
        <f t="array" aca="1" ref="I1365" ca="1">INDIRECT("Data!C" &amp; 1360)</f>
        <v>0</v>
      </c>
      <c r="J1365" cm="1">
        <f t="array" aca="1" ref="J1365" ca="1">INDIRECT("Data!D" &amp; 1360)</f>
        <v>0</v>
      </c>
      <c r="K1365" cm="1">
        <f t="array" aca="1" ref="K1365" ca="1">INDIRECT("Data!E" &amp; 1360)</f>
        <v>0</v>
      </c>
      <c r="L1365" cm="1">
        <f t="array" aca="1" ref="L1365" ca="1">INDIRECT("Data!F" &amp; 1360)</f>
        <v>0</v>
      </c>
      <c r="M1365" cm="1">
        <f t="array" aca="1" ref="M1365" ca="1">INDIRECT("Data!G" &amp; 1360)</f>
        <v>0</v>
      </c>
      <c r="N1365" cm="1">
        <f t="array" aca="1" ref="N1365" ca="1">INDIRECT("Data!H" &amp; 1360)</f>
        <v>0</v>
      </c>
      <c r="O1365" cm="1">
        <f t="array" aca="1" ref="O1365" ca="1">INDIRECT("Data!I" &amp; 1360)</f>
        <v>0</v>
      </c>
      <c r="P1365" s="21" cm="1">
        <f t="array" aca="1" ref="P1365" ca="1">INDIRECT("Data!J" &amp; 1360)</f>
        <v>0</v>
      </c>
      <c r="Q1365" cm="1">
        <f t="array" aca="1" ref="Q1365" ca="1">INDIRECT("Data!K" &amp; 1360)</f>
        <v>0</v>
      </c>
      <c r="R1365" cm="1">
        <f t="array" aca="1" ref="R1365" ca="1">INDIRECT("Data!L" &amp; 1360)</f>
        <v>0</v>
      </c>
      <c r="S1365" cm="1">
        <f t="array" aca="1" ref="S1365" ca="1">INDIRECT("Data!M" &amp; 1360)</f>
        <v>0</v>
      </c>
      <c r="T1365" cm="1">
        <f t="array" aca="1" ref="T1365" ca="1">INDIRECT("Data!N" &amp; 1360)</f>
        <v>0</v>
      </c>
      <c r="U1365" cm="1">
        <f t="array" aca="1" ref="U1365" ca="1">INDIRECT("Data!O" &amp; 1360)</f>
        <v>0</v>
      </c>
      <c r="V1365" cm="1">
        <f t="array" aca="1" ref="V1365" ca="1">INDIRECT("Data!P" &amp; 1360)</f>
        <v>0</v>
      </c>
    </row>
    <row r="1366" spans="7:22" x14ac:dyDescent="0.25">
      <c r="G1366" cm="1">
        <f t="array" aca="1" ref="G1366" ca="1">INDIRECT("Data!A" &amp; 1361)</f>
        <v>0</v>
      </c>
      <c r="H1366" s="21" cm="1">
        <f t="array" aca="1" ref="H1366" ca="1">INDIRECT("Data!B" &amp; 1361)</f>
        <v>0</v>
      </c>
      <c r="I1366" s="21" cm="1">
        <f t="array" aca="1" ref="I1366" ca="1">INDIRECT("Data!C" &amp; 1361)</f>
        <v>0</v>
      </c>
      <c r="J1366" cm="1">
        <f t="array" aca="1" ref="J1366" ca="1">INDIRECT("Data!D" &amp; 1361)</f>
        <v>0</v>
      </c>
      <c r="K1366" cm="1">
        <f t="array" aca="1" ref="K1366" ca="1">INDIRECT("Data!E" &amp; 1361)</f>
        <v>0</v>
      </c>
      <c r="L1366" cm="1">
        <f t="array" aca="1" ref="L1366" ca="1">INDIRECT("Data!F" &amp; 1361)</f>
        <v>0</v>
      </c>
      <c r="M1366" cm="1">
        <f t="array" aca="1" ref="M1366" ca="1">INDIRECT("Data!G" &amp; 1361)</f>
        <v>0</v>
      </c>
      <c r="N1366" cm="1">
        <f t="array" aca="1" ref="N1366" ca="1">INDIRECT("Data!H" &amp; 1361)</f>
        <v>0</v>
      </c>
      <c r="O1366" cm="1">
        <f t="array" aca="1" ref="O1366" ca="1">INDIRECT("Data!I" &amp; 1361)</f>
        <v>0</v>
      </c>
      <c r="P1366" s="21" cm="1">
        <f t="array" aca="1" ref="P1366" ca="1">INDIRECT("Data!J" &amp; 1361)</f>
        <v>0</v>
      </c>
      <c r="Q1366" cm="1">
        <f t="array" aca="1" ref="Q1366" ca="1">INDIRECT("Data!K" &amp; 1361)</f>
        <v>0</v>
      </c>
      <c r="R1366" cm="1">
        <f t="array" aca="1" ref="R1366" ca="1">INDIRECT("Data!L" &amp; 1361)</f>
        <v>0</v>
      </c>
      <c r="S1366" cm="1">
        <f t="array" aca="1" ref="S1366" ca="1">INDIRECT("Data!M" &amp; 1361)</f>
        <v>0</v>
      </c>
      <c r="T1366" cm="1">
        <f t="array" aca="1" ref="T1366" ca="1">INDIRECT("Data!N" &amp; 1361)</f>
        <v>0</v>
      </c>
      <c r="U1366" cm="1">
        <f t="array" aca="1" ref="U1366" ca="1">INDIRECT("Data!O" &amp; 1361)</f>
        <v>0</v>
      </c>
      <c r="V1366" cm="1">
        <f t="array" aca="1" ref="V1366" ca="1">INDIRECT("Data!P" &amp; 1361)</f>
        <v>0</v>
      </c>
    </row>
    <row r="1367" spans="7:22" x14ac:dyDescent="0.25">
      <c r="G1367" cm="1">
        <f t="array" aca="1" ref="G1367" ca="1">INDIRECT("Data!A" &amp; 1362)</f>
        <v>0</v>
      </c>
      <c r="H1367" s="21" cm="1">
        <f t="array" aca="1" ref="H1367" ca="1">INDIRECT("Data!B" &amp; 1362)</f>
        <v>0</v>
      </c>
      <c r="I1367" s="21" cm="1">
        <f t="array" aca="1" ref="I1367" ca="1">INDIRECT("Data!C" &amp; 1362)</f>
        <v>0</v>
      </c>
      <c r="J1367" cm="1">
        <f t="array" aca="1" ref="J1367" ca="1">INDIRECT("Data!D" &amp; 1362)</f>
        <v>0</v>
      </c>
      <c r="K1367" cm="1">
        <f t="array" aca="1" ref="K1367" ca="1">INDIRECT("Data!E" &amp; 1362)</f>
        <v>0</v>
      </c>
      <c r="L1367" cm="1">
        <f t="array" aca="1" ref="L1367" ca="1">INDIRECT("Data!F" &amp; 1362)</f>
        <v>0</v>
      </c>
      <c r="M1367" cm="1">
        <f t="array" aca="1" ref="M1367" ca="1">INDIRECT("Data!G" &amp; 1362)</f>
        <v>0</v>
      </c>
      <c r="N1367" cm="1">
        <f t="array" aca="1" ref="N1367" ca="1">INDIRECT("Data!H" &amp; 1362)</f>
        <v>0</v>
      </c>
      <c r="O1367" cm="1">
        <f t="array" aca="1" ref="O1367" ca="1">INDIRECT("Data!I" &amp; 1362)</f>
        <v>0</v>
      </c>
      <c r="P1367" s="21" cm="1">
        <f t="array" aca="1" ref="P1367" ca="1">INDIRECT("Data!J" &amp; 1362)</f>
        <v>0</v>
      </c>
      <c r="Q1367" cm="1">
        <f t="array" aca="1" ref="Q1367" ca="1">INDIRECT("Data!K" &amp; 1362)</f>
        <v>0</v>
      </c>
      <c r="R1367" cm="1">
        <f t="array" aca="1" ref="R1367" ca="1">INDIRECT("Data!L" &amp; 1362)</f>
        <v>0</v>
      </c>
      <c r="S1367" cm="1">
        <f t="array" aca="1" ref="S1367" ca="1">INDIRECT("Data!M" &amp; 1362)</f>
        <v>0</v>
      </c>
      <c r="T1367" cm="1">
        <f t="array" aca="1" ref="T1367" ca="1">INDIRECT("Data!N" &amp; 1362)</f>
        <v>0</v>
      </c>
      <c r="U1367" cm="1">
        <f t="array" aca="1" ref="U1367" ca="1">INDIRECT("Data!O" &amp; 1362)</f>
        <v>0</v>
      </c>
      <c r="V1367" cm="1">
        <f t="array" aca="1" ref="V1367" ca="1">INDIRECT("Data!P" &amp; 1362)</f>
        <v>0</v>
      </c>
    </row>
    <row r="1368" spans="7:22" x14ac:dyDescent="0.25">
      <c r="G1368" cm="1">
        <f t="array" aca="1" ref="G1368" ca="1">INDIRECT("Data!A" &amp; 1363)</f>
        <v>0</v>
      </c>
      <c r="H1368" s="21" cm="1">
        <f t="array" aca="1" ref="H1368" ca="1">INDIRECT("Data!B" &amp; 1363)</f>
        <v>0</v>
      </c>
      <c r="I1368" s="21" cm="1">
        <f t="array" aca="1" ref="I1368" ca="1">INDIRECT("Data!C" &amp; 1363)</f>
        <v>0</v>
      </c>
      <c r="J1368" cm="1">
        <f t="array" aca="1" ref="J1368" ca="1">INDIRECT("Data!D" &amp; 1363)</f>
        <v>0</v>
      </c>
      <c r="K1368" cm="1">
        <f t="array" aca="1" ref="K1368" ca="1">INDIRECT("Data!E" &amp; 1363)</f>
        <v>0</v>
      </c>
      <c r="L1368" cm="1">
        <f t="array" aca="1" ref="L1368" ca="1">INDIRECT("Data!F" &amp; 1363)</f>
        <v>0</v>
      </c>
      <c r="M1368" cm="1">
        <f t="array" aca="1" ref="M1368" ca="1">INDIRECT("Data!G" &amp; 1363)</f>
        <v>0</v>
      </c>
      <c r="N1368" cm="1">
        <f t="array" aca="1" ref="N1368" ca="1">INDIRECT("Data!H" &amp; 1363)</f>
        <v>0</v>
      </c>
      <c r="O1368" cm="1">
        <f t="array" aca="1" ref="O1368" ca="1">INDIRECT("Data!I" &amp; 1363)</f>
        <v>0</v>
      </c>
      <c r="P1368" s="21" cm="1">
        <f t="array" aca="1" ref="P1368" ca="1">INDIRECT("Data!J" &amp; 1363)</f>
        <v>0</v>
      </c>
      <c r="Q1368" cm="1">
        <f t="array" aca="1" ref="Q1368" ca="1">INDIRECT("Data!K" &amp; 1363)</f>
        <v>0</v>
      </c>
      <c r="R1368" cm="1">
        <f t="array" aca="1" ref="R1368" ca="1">INDIRECT("Data!L" &amp; 1363)</f>
        <v>0</v>
      </c>
      <c r="S1368" cm="1">
        <f t="array" aca="1" ref="S1368" ca="1">INDIRECT("Data!M" &amp; 1363)</f>
        <v>0</v>
      </c>
      <c r="T1368" cm="1">
        <f t="array" aca="1" ref="T1368" ca="1">INDIRECT("Data!N" &amp; 1363)</f>
        <v>0</v>
      </c>
      <c r="U1368" cm="1">
        <f t="array" aca="1" ref="U1368" ca="1">INDIRECT("Data!O" &amp; 1363)</f>
        <v>0</v>
      </c>
      <c r="V1368" cm="1">
        <f t="array" aca="1" ref="V1368" ca="1">INDIRECT("Data!P" &amp; 1363)</f>
        <v>0</v>
      </c>
    </row>
    <row r="1369" spans="7:22" x14ac:dyDescent="0.25">
      <c r="G1369" cm="1">
        <f t="array" aca="1" ref="G1369" ca="1">INDIRECT("Data!A" &amp; 1364)</f>
        <v>0</v>
      </c>
      <c r="H1369" s="21" cm="1">
        <f t="array" aca="1" ref="H1369" ca="1">INDIRECT("Data!B" &amp; 1364)</f>
        <v>0</v>
      </c>
      <c r="I1369" s="21" cm="1">
        <f t="array" aca="1" ref="I1369" ca="1">INDIRECT("Data!C" &amp; 1364)</f>
        <v>0</v>
      </c>
      <c r="J1369" cm="1">
        <f t="array" aca="1" ref="J1369" ca="1">INDIRECT("Data!D" &amp; 1364)</f>
        <v>0</v>
      </c>
      <c r="K1369" cm="1">
        <f t="array" aca="1" ref="K1369" ca="1">INDIRECT("Data!E" &amp; 1364)</f>
        <v>0</v>
      </c>
      <c r="L1369" cm="1">
        <f t="array" aca="1" ref="L1369" ca="1">INDIRECT("Data!F" &amp; 1364)</f>
        <v>0</v>
      </c>
      <c r="M1369" cm="1">
        <f t="array" aca="1" ref="M1369" ca="1">INDIRECT("Data!G" &amp; 1364)</f>
        <v>0</v>
      </c>
      <c r="N1369" cm="1">
        <f t="array" aca="1" ref="N1369" ca="1">INDIRECT("Data!H" &amp; 1364)</f>
        <v>0</v>
      </c>
      <c r="O1369" cm="1">
        <f t="array" aca="1" ref="O1369" ca="1">INDIRECT("Data!I" &amp; 1364)</f>
        <v>0</v>
      </c>
      <c r="P1369" s="21" cm="1">
        <f t="array" aca="1" ref="P1369" ca="1">INDIRECT("Data!J" &amp; 1364)</f>
        <v>0</v>
      </c>
      <c r="Q1369" cm="1">
        <f t="array" aca="1" ref="Q1369" ca="1">INDIRECT("Data!K" &amp; 1364)</f>
        <v>0</v>
      </c>
      <c r="R1369" cm="1">
        <f t="array" aca="1" ref="R1369" ca="1">INDIRECT("Data!L" &amp; 1364)</f>
        <v>0</v>
      </c>
      <c r="S1369" cm="1">
        <f t="array" aca="1" ref="S1369" ca="1">INDIRECT("Data!M" &amp; 1364)</f>
        <v>0</v>
      </c>
      <c r="T1369" cm="1">
        <f t="array" aca="1" ref="T1369" ca="1">INDIRECT("Data!N" &amp; 1364)</f>
        <v>0</v>
      </c>
      <c r="U1369" cm="1">
        <f t="array" aca="1" ref="U1369" ca="1">INDIRECT("Data!O" &amp; 1364)</f>
        <v>0</v>
      </c>
      <c r="V1369" cm="1">
        <f t="array" aca="1" ref="V1369" ca="1">INDIRECT("Data!P" &amp; 1364)</f>
        <v>0</v>
      </c>
    </row>
    <row r="1370" spans="7:22" x14ac:dyDescent="0.25">
      <c r="G1370" cm="1">
        <f t="array" aca="1" ref="G1370" ca="1">INDIRECT("Data!A" &amp; 1365)</f>
        <v>0</v>
      </c>
      <c r="H1370" s="21" cm="1">
        <f t="array" aca="1" ref="H1370" ca="1">INDIRECT("Data!B" &amp; 1365)</f>
        <v>0</v>
      </c>
      <c r="I1370" s="21" cm="1">
        <f t="array" aca="1" ref="I1370" ca="1">INDIRECT("Data!C" &amp; 1365)</f>
        <v>0</v>
      </c>
      <c r="J1370" cm="1">
        <f t="array" aca="1" ref="J1370" ca="1">INDIRECT("Data!D" &amp; 1365)</f>
        <v>0</v>
      </c>
      <c r="K1370" cm="1">
        <f t="array" aca="1" ref="K1370" ca="1">INDIRECT("Data!E" &amp; 1365)</f>
        <v>0</v>
      </c>
      <c r="L1370" cm="1">
        <f t="array" aca="1" ref="L1370" ca="1">INDIRECT("Data!F" &amp; 1365)</f>
        <v>0</v>
      </c>
      <c r="M1370" cm="1">
        <f t="array" aca="1" ref="M1370" ca="1">INDIRECT("Data!G" &amp; 1365)</f>
        <v>0</v>
      </c>
      <c r="N1370" cm="1">
        <f t="array" aca="1" ref="N1370" ca="1">INDIRECT("Data!H" &amp; 1365)</f>
        <v>0</v>
      </c>
      <c r="O1370" cm="1">
        <f t="array" aca="1" ref="O1370" ca="1">INDIRECT("Data!I" &amp; 1365)</f>
        <v>0</v>
      </c>
      <c r="P1370" s="21" cm="1">
        <f t="array" aca="1" ref="P1370" ca="1">INDIRECT("Data!J" &amp; 1365)</f>
        <v>0</v>
      </c>
      <c r="Q1370" cm="1">
        <f t="array" aca="1" ref="Q1370" ca="1">INDIRECT("Data!K" &amp; 1365)</f>
        <v>0</v>
      </c>
      <c r="R1370" cm="1">
        <f t="array" aca="1" ref="R1370" ca="1">INDIRECT("Data!L" &amp; 1365)</f>
        <v>0</v>
      </c>
      <c r="S1370" cm="1">
        <f t="array" aca="1" ref="S1370" ca="1">INDIRECT("Data!M" &amp; 1365)</f>
        <v>0</v>
      </c>
      <c r="T1370" cm="1">
        <f t="array" aca="1" ref="T1370" ca="1">INDIRECT("Data!N" &amp; 1365)</f>
        <v>0</v>
      </c>
      <c r="U1370" cm="1">
        <f t="array" aca="1" ref="U1370" ca="1">INDIRECT("Data!O" &amp; 1365)</f>
        <v>0</v>
      </c>
      <c r="V1370" cm="1">
        <f t="array" aca="1" ref="V1370" ca="1">INDIRECT("Data!P" &amp; 1365)</f>
        <v>0</v>
      </c>
    </row>
    <row r="1371" spans="7:22" x14ac:dyDescent="0.25">
      <c r="G1371" cm="1">
        <f t="array" aca="1" ref="G1371" ca="1">INDIRECT("Data!A" &amp; 1366)</f>
        <v>0</v>
      </c>
      <c r="H1371" s="21" cm="1">
        <f t="array" aca="1" ref="H1371" ca="1">INDIRECT("Data!B" &amp; 1366)</f>
        <v>0</v>
      </c>
      <c r="I1371" s="21" cm="1">
        <f t="array" aca="1" ref="I1371" ca="1">INDIRECT("Data!C" &amp; 1366)</f>
        <v>0</v>
      </c>
      <c r="J1371" cm="1">
        <f t="array" aca="1" ref="J1371" ca="1">INDIRECT("Data!D" &amp; 1366)</f>
        <v>0</v>
      </c>
      <c r="K1371" cm="1">
        <f t="array" aca="1" ref="K1371" ca="1">INDIRECT("Data!E" &amp; 1366)</f>
        <v>0</v>
      </c>
      <c r="L1371" cm="1">
        <f t="array" aca="1" ref="L1371" ca="1">INDIRECT("Data!F" &amp; 1366)</f>
        <v>0</v>
      </c>
      <c r="M1371" cm="1">
        <f t="array" aca="1" ref="M1371" ca="1">INDIRECT("Data!G" &amp; 1366)</f>
        <v>0</v>
      </c>
      <c r="N1371" cm="1">
        <f t="array" aca="1" ref="N1371" ca="1">INDIRECT("Data!H" &amp; 1366)</f>
        <v>0</v>
      </c>
      <c r="O1371" cm="1">
        <f t="array" aca="1" ref="O1371" ca="1">INDIRECT("Data!I" &amp; 1366)</f>
        <v>0</v>
      </c>
      <c r="P1371" s="21" cm="1">
        <f t="array" aca="1" ref="P1371" ca="1">INDIRECT("Data!J" &amp; 1366)</f>
        <v>0</v>
      </c>
      <c r="Q1371" cm="1">
        <f t="array" aca="1" ref="Q1371" ca="1">INDIRECT("Data!K" &amp; 1366)</f>
        <v>0</v>
      </c>
      <c r="R1371" cm="1">
        <f t="array" aca="1" ref="R1371" ca="1">INDIRECT("Data!L" &amp; 1366)</f>
        <v>0</v>
      </c>
      <c r="S1371" cm="1">
        <f t="array" aca="1" ref="S1371" ca="1">INDIRECT("Data!M" &amp; 1366)</f>
        <v>0</v>
      </c>
      <c r="T1371" cm="1">
        <f t="array" aca="1" ref="T1371" ca="1">INDIRECT("Data!N" &amp; 1366)</f>
        <v>0</v>
      </c>
      <c r="U1371" cm="1">
        <f t="array" aca="1" ref="U1371" ca="1">INDIRECT("Data!O" &amp; 1366)</f>
        <v>0</v>
      </c>
      <c r="V1371" cm="1">
        <f t="array" aca="1" ref="V1371" ca="1">INDIRECT("Data!P" &amp; 1366)</f>
        <v>0</v>
      </c>
    </row>
    <row r="1372" spans="7:22" x14ac:dyDescent="0.25">
      <c r="G1372" cm="1">
        <f t="array" aca="1" ref="G1372" ca="1">INDIRECT("Data!A" &amp; 1367)</f>
        <v>0</v>
      </c>
      <c r="H1372" s="21" cm="1">
        <f t="array" aca="1" ref="H1372" ca="1">INDIRECT("Data!B" &amp; 1367)</f>
        <v>0</v>
      </c>
      <c r="I1372" s="21" cm="1">
        <f t="array" aca="1" ref="I1372" ca="1">INDIRECT("Data!C" &amp; 1367)</f>
        <v>0</v>
      </c>
      <c r="J1372" cm="1">
        <f t="array" aca="1" ref="J1372" ca="1">INDIRECT("Data!D" &amp; 1367)</f>
        <v>0</v>
      </c>
      <c r="K1372" cm="1">
        <f t="array" aca="1" ref="K1372" ca="1">INDIRECT("Data!E" &amp; 1367)</f>
        <v>0</v>
      </c>
      <c r="L1372" cm="1">
        <f t="array" aca="1" ref="L1372" ca="1">INDIRECT("Data!F" &amp; 1367)</f>
        <v>0</v>
      </c>
      <c r="M1372" cm="1">
        <f t="array" aca="1" ref="M1372" ca="1">INDIRECT("Data!G" &amp; 1367)</f>
        <v>0</v>
      </c>
      <c r="N1372" cm="1">
        <f t="array" aca="1" ref="N1372" ca="1">INDIRECT("Data!H" &amp; 1367)</f>
        <v>0</v>
      </c>
      <c r="O1372" cm="1">
        <f t="array" aca="1" ref="O1372" ca="1">INDIRECT("Data!I" &amp; 1367)</f>
        <v>0</v>
      </c>
      <c r="P1372" s="21" cm="1">
        <f t="array" aca="1" ref="P1372" ca="1">INDIRECT("Data!J" &amp; 1367)</f>
        <v>0</v>
      </c>
      <c r="Q1372" cm="1">
        <f t="array" aca="1" ref="Q1372" ca="1">INDIRECT("Data!K" &amp; 1367)</f>
        <v>0</v>
      </c>
      <c r="R1372" cm="1">
        <f t="array" aca="1" ref="R1372" ca="1">INDIRECT("Data!L" &amp; 1367)</f>
        <v>0</v>
      </c>
      <c r="S1372" cm="1">
        <f t="array" aca="1" ref="S1372" ca="1">INDIRECT("Data!M" &amp; 1367)</f>
        <v>0</v>
      </c>
      <c r="T1372" cm="1">
        <f t="array" aca="1" ref="T1372" ca="1">INDIRECT("Data!N" &amp; 1367)</f>
        <v>0</v>
      </c>
      <c r="U1372" cm="1">
        <f t="array" aca="1" ref="U1372" ca="1">INDIRECT("Data!O" &amp; 1367)</f>
        <v>0</v>
      </c>
      <c r="V1372" cm="1">
        <f t="array" aca="1" ref="V1372" ca="1">INDIRECT("Data!P" &amp; 1367)</f>
        <v>0</v>
      </c>
    </row>
    <row r="1373" spans="7:22" x14ac:dyDescent="0.25">
      <c r="G1373" cm="1">
        <f t="array" aca="1" ref="G1373" ca="1">INDIRECT("Data!A" &amp; 1368)</f>
        <v>0</v>
      </c>
      <c r="H1373" s="21" cm="1">
        <f t="array" aca="1" ref="H1373" ca="1">INDIRECT("Data!B" &amp; 1368)</f>
        <v>0</v>
      </c>
      <c r="I1373" s="21" cm="1">
        <f t="array" aca="1" ref="I1373" ca="1">INDIRECT("Data!C" &amp; 1368)</f>
        <v>0</v>
      </c>
      <c r="J1373" cm="1">
        <f t="array" aca="1" ref="J1373" ca="1">INDIRECT("Data!D" &amp; 1368)</f>
        <v>0</v>
      </c>
      <c r="K1373" cm="1">
        <f t="array" aca="1" ref="K1373" ca="1">INDIRECT("Data!E" &amp; 1368)</f>
        <v>0</v>
      </c>
      <c r="L1373" cm="1">
        <f t="array" aca="1" ref="L1373" ca="1">INDIRECT("Data!F" &amp; 1368)</f>
        <v>0</v>
      </c>
      <c r="M1373" cm="1">
        <f t="array" aca="1" ref="M1373" ca="1">INDIRECT("Data!G" &amp; 1368)</f>
        <v>0</v>
      </c>
      <c r="N1373" cm="1">
        <f t="array" aca="1" ref="N1373" ca="1">INDIRECT("Data!H" &amp; 1368)</f>
        <v>0</v>
      </c>
      <c r="O1373" cm="1">
        <f t="array" aca="1" ref="O1373" ca="1">INDIRECT("Data!I" &amp; 1368)</f>
        <v>0</v>
      </c>
      <c r="P1373" s="21" cm="1">
        <f t="array" aca="1" ref="P1373" ca="1">INDIRECT("Data!J" &amp; 1368)</f>
        <v>0</v>
      </c>
      <c r="Q1373" cm="1">
        <f t="array" aca="1" ref="Q1373" ca="1">INDIRECT("Data!K" &amp; 1368)</f>
        <v>0</v>
      </c>
      <c r="R1373" cm="1">
        <f t="array" aca="1" ref="R1373" ca="1">INDIRECT("Data!L" &amp; 1368)</f>
        <v>0</v>
      </c>
      <c r="S1373" cm="1">
        <f t="array" aca="1" ref="S1373" ca="1">INDIRECT("Data!M" &amp; 1368)</f>
        <v>0</v>
      </c>
      <c r="T1373" cm="1">
        <f t="array" aca="1" ref="T1373" ca="1">INDIRECT("Data!N" &amp; 1368)</f>
        <v>0</v>
      </c>
      <c r="U1373" cm="1">
        <f t="array" aca="1" ref="U1373" ca="1">INDIRECT("Data!O" &amp; 1368)</f>
        <v>0</v>
      </c>
      <c r="V1373" cm="1">
        <f t="array" aca="1" ref="V1373" ca="1">INDIRECT("Data!P" &amp; 1368)</f>
        <v>0</v>
      </c>
    </row>
    <row r="1374" spans="7:22" x14ac:dyDescent="0.25">
      <c r="G1374" cm="1">
        <f t="array" aca="1" ref="G1374" ca="1">INDIRECT("Data!A" &amp; 1369)</f>
        <v>0</v>
      </c>
      <c r="H1374" s="21" cm="1">
        <f t="array" aca="1" ref="H1374" ca="1">INDIRECT("Data!B" &amp; 1369)</f>
        <v>0</v>
      </c>
      <c r="I1374" s="21" cm="1">
        <f t="array" aca="1" ref="I1374" ca="1">INDIRECT("Data!C" &amp; 1369)</f>
        <v>0</v>
      </c>
      <c r="J1374" cm="1">
        <f t="array" aca="1" ref="J1374" ca="1">INDIRECT("Data!D" &amp; 1369)</f>
        <v>0</v>
      </c>
      <c r="K1374" cm="1">
        <f t="array" aca="1" ref="K1374" ca="1">INDIRECT("Data!E" &amp; 1369)</f>
        <v>0</v>
      </c>
      <c r="L1374" cm="1">
        <f t="array" aca="1" ref="L1374" ca="1">INDIRECT("Data!F" &amp; 1369)</f>
        <v>0</v>
      </c>
      <c r="M1374" cm="1">
        <f t="array" aca="1" ref="M1374" ca="1">INDIRECT("Data!G" &amp; 1369)</f>
        <v>0</v>
      </c>
      <c r="N1374" cm="1">
        <f t="array" aca="1" ref="N1374" ca="1">INDIRECT("Data!H" &amp; 1369)</f>
        <v>0</v>
      </c>
      <c r="O1374" cm="1">
        <f t="array" aca="1" ref="O1374" ca="1">INDIRECT("Data!I" &amp; 1369)</f>
        <v>0</v>
      </c>
      <c r="P1374" s="21" cm="1">
        <f t="array" aca="1" ref="P1374" ca="1">INDIRECT("Data!J" &amp; 1369)</f>
        <v>0</v>
      </c>
      <c r="Q1374" cm="1">
        <f t="array" aca="1" ref="Q1374" ca="1">INDIRECT("Data!K" &amp; 1369)</f>
        <v>0</v>
      </c>
      <c r="R1374" cm="1">
        <f t="array" aca="1" ref="R1374" ca="1">INDIRECT("Data!L" &amp; 1369)</f>
        <v>0</v>
      </c>
      <c r="S1374" cm="1">
        <f t="array" aca="1" ref="S1374" ca="1">INDIRECT("Data!M" &amp; 1369)</f>
        <v>0</v>
      </c>
      <c r="T1374" cm="1">
        <f t="array" aca="1" ref="T1374" ca="1">INDIRECT("Data!N" &amp; 1369)</f>
        <v>0</v>
      </c>
      <c r="U1374" cm="1">
        <f t="array" aca="1" ref="U1374" ca="1">INDIRECT("Data!O" &amp; 1369)</f>
        <v>0</v>
      </c>
      <c r="V1374" cm="1">
        <f t="array" aca="1" ref="V1374" ca="1">INDIRECT("Data!P" &amp; 1369)</f>
        <v>0</v>
      </c>
    </row>
    <row r="1375" spans="7:22" x14ac:dyDescent="0.25">
      <c r="G1375" cm="1">
        <f t="array" aca="1" ref="G1375" ca="1">INDIRECT("Data!A" &amp; 1370)</f>
        <v>0</v>
      </c>
      <c r="H1375" s="21" cm="1">
        <f t="array" aca="1" ref="H1375" ca="1">INDIRECT("Data!B" &amp; 1370)</f>
        <v>0</v>
      </c>
      <c r="I1375" s="21" cm="1">
        <f t="array" aca="1" ref="I1375" ca="1">INDIRECT("Data!C" &amp; 1370)</f>
        <v>0</v>
      </c>
      <c r="J1375" cm="1">
        <f t="array" aca="1" ref="J1375" ca="1">INDIRECT("Data!D" &amp; 1370)</f>
        <v>0</v>
      </c>
      <c r="K1375" cm="1">
        <f t="array" aca="1" ref="K1375" ca="1">INDIRECT("Data!E" &amp; 1370)</f>
        <v>0</v>
      </c>
      <c r="L1375" cm="1">
        <f t="array" aca="1" ref="L1375" ca="1">INDIRECT("Data!F" &amp; 1370)</f>
        <v>0</v>
      </c>
      <c r="M1375" cm="1">
        <f t="array" aca="1" ref="M1375" ca="1">INDIRECT("Data!G" &amp; 1370)</f>
        <v>0</v>
      </c>
      <c r="N1375" cm="1">
        <f t="array" aca="1" ref="N1375" ca="1">INDIRECT("Data!H" &amp; 1370)</f>
        <v>0</v>
      </c>
      <c r="O1375" cm="1">
        <f t="array" aca="1" ref="O1375" ca="1">INDIRECT("Data!I" &amp; 1370)</f>
        <v>0</v>
      </c>
      <c r="P1375" s="21" cm="1">
        <f t="array" aca="1" ref="P1375" ca="1">INDIRECT("Data!J" &amp; 1370)</f>
        <v>0</v>
      </c>
      <c r="Q1375" cm="1">
        <f t="array" aca="1" ref="Q1375" ca="1">INDIRECT("Data!K" &amp; 1370)</f>
        <v>0</v>
      </c>
      <c r="R1375" cm="1">
        <f t="array" aca="1" ref="R1375" ca="1">INDIRECT("Data!L" &amp; 1370)</f>
        <v>0</v>
      </c>
      <c r="S1375" cm="1">
        <f t="array" aca="1" ref="S1375" ca="1">INDIRECT("Data!M" &amp; 1370)</f>
        <v>0</v>
      </c>
      <c r="T1375" cm="1">
        <f t="array" aca="1" ref="T1375" ca="1">INDIRECT("Data!N" &amp; 1370)</f>
        <v>0</v>
      </c>
      <c r="U1375" cm="1">
        <f t="array" aca="1" ref="U1375" ca="1">INDIRECT("Data!O" &amp; 1370)</f>
        <v>0</v>
      </c>
      <c r="V1375" cm="1">
        <f t="array" aca="1" ref="V1375" ca="1">INDIRECT("Data!P" &amp; 1370)</f>
        <v>0</v>
      </c>
    </row>
    <row r="1376" spans="7:22" x14ac:dyDescent="0.25">
      <c r="G1376" cm="1">
        <f t="array" aca="1" ref="G1376" ca="1">INDIRECT("Data!A" &amp; 1371)</f>
        <v>0</v>
      </c>
      <c r="H1376" s="21" cm="1">
        <f t="array" aca="1" ref="H1376" ca="1">INDIRECT("Data!B" &amp; 1371)</f>
        <v>0</v>
      </c>
      <c r="I1376" s="21" cm="1">
        <f t="array" aca="1" ref="I1376" ca="1">INDIRECT("Data!C" &amp; 1371)</f>
        <v>0</v>
      </c>
      <c r="J1376" cm="1">
        <f t="array" aca="1" ref="J1376" ca="1">INDIRECT("Data!D" &amp; 1371)</f>
        <v>0</v>
      </c>
      <c r="K1376" cm="1">
        <f t="array" aca="1" ref="K1376" ca="1">INDIRECT("Data!E" &amp; 1371)</f>
        <v>0</v>
      </c>
      <c r="L1376" cm="1">
        <f t="array" aca="1" ref="L1376" ca="1">INDIRECT("Data!F" &amp; 1371)</f>
        <v>0</v>
      </c>
      <c r="M1376" cm="1">
        <f t="array" aca="1" ref="M1376" ca="1">INDIRECT("Data!G" &amp; 1371)</f>
        <v>0</v>
      </c>
      <c r="N1376" cm="1">
        <f t="array" aca="1" ref="N1376" ca="1">INDIRECT("Data!H" &amp; 1371)</f>
        <v>0</v>
      </c>
      <c r="O1376" cm="1">
        <f t="array" aca="1" ref="O1376" ca="1">INDIRECT("Data!I" &amp; 1371)</f>
        <v>0</v>
      </c>
      <c r="P1376" s="21" cm="1">
        <f t="array" aca="1" ref="P1376" ca="1">INDIRECT("Data!J" &amp; 1371)</f>
        <v>0</v>
      </c>
      <c r="Q1376" cm="1">
        <f t="array" aca="1" ref="Q1376" ca="1">INDIRECT("Data!K" &amp; 1371)</f>
        <v>0</v>
      </c>
      <c r="R1376" cm="1">
        <f t="array" aca="1" ref="R1376" ca="1">INDIRECT("Data!L" &amp; 1371)</f>
        <v>0</v>
      </c>
      <c r="S1376" cm="1">
        <f t="array" aca="1" ref="S1376" ca="1">INDIRECT("Data!M" &amp; 1371)</f>
        <v>0</v>
      </c>
      <c r="T1376" cm="1">
        <f t="array" aca="1" ref="T1376" ca="1">INDIRECT("Data!N" &amp; 1371)</f>
        <v>0</v>
      </c>
      <c r="U1376" cm="1">
        <f t="array" aca="1" ref="U1376" ca="1">INDIRECT("Data!O" &amp; 1371)</f>
        <v>0</v>
      </c>
      <c r="V1376" cm="1">
        <f t="array" aca="1" ref="V1376" ca="1">INDIRECT("Data!P" &amp; 1371)</f>
        <v>0</v>
      </c>
    </row>
    <row r="1377" spans="7:22" x14ac:dyDescent="0.25">
      <c r="G1377" cm="1">
        <f t="array" aca="1" ref="G1377" ca="1">INDIRECT("Data!A" &amp; 1372)</f>
        <v>0</v>
      </c>
      <c r="H1377" s="21" cm="1">
        <f t="array" aca="1" ref="H1377" ca="1">INDIRECT("Data!B" &amp; 1372)</f>
        <v>0</v>
      </c>
      <c r="I1377" s="21" cm="1">
        <f t="array" aca="1" ref="I1377" ca="1">INDIRECT("Data!C" &amp; 1372)</f>
        <v>0</v>
      </c>
      <c r="J1377" cm="1">
        <f t="array" aca="1" ref="J1377" ca="1">INDIRECT("Data!D" &amp; 1372)</f>
        <v>0</v>
      </c>
      <c r="K1377" cm="1">
        <f t="array" aca="1" ref="K1377" ca="1">INDIRECT("Data!E" &amp; 1372)</f>
        <v>0</v>
      </c>
      <c r="L1377" cm="1">
        <f t="array" aca="1" ref="L1377" ca="1">INDIRECT("Data!F" &amp; 1372)</f>
        <v>0</v>
      </c>
      <c r="M1377" cm="1">
        <f t="array" aca="1" ref="M1377" ca="1">INDIRECT("Data!G" &amp; 1372)</f>
        <v>0</v>
      </c>
      <c r="N1377" cm="1">
        <f t="array" aca="1" ref="N1377" ca="1">INDIRECT("Data!H" &amp; 1372)</f>
        <v>0</v>
      </c>
      <c r="O1377" cm="1">
        <f t="array" aca="1" ref="O1377" ca="1">INDIRECT("Data!I" &amp; 1372)</f>
        <v>0</v>
      </c>
      <c r="P1377" s="21" cm="1">
        <f t="array" aca="1" ref="P1377" ca="1">INDIRECT("Data!J" &amp; 1372)</f>
        <v>0</v>
      </c>
      <c r="Q1377" cm="1">
        <f t="array" aca="1" ref="Q1377" ca="1">INDIRECT("Data!K" &amp; 1372)</f>
        <v>0</v>
      </c>
      <c r="R1377" cm="1">
        <f t="array" aca="1" ref="R1377" ca="1">INDIRECT("Data!L" &amp; 1372)</f>
        <v>0</v>
      </c>
      <c r="S1377" cm="1">
        <f t="array" aca="1" ref="S1377" ca="1">INDIRECT("Data!M" &amp; 1372)</f>
        <v>0</v>
      </c>
      <c r="T1377" cm="1">
        <f t="array" aca="1" ref="T1377" ca="1">INDIRECT("Data!N" &amp; 1372)</f>
        <v>0</v>
      </c>
      <c r="U1377" cm="1">
        <f t="array" aca="1" ref="U1377" ca="1">INDIRECT("Data!O" &amp; 1372)</f>
        <v>0</v>
      </c>
      <c r="V1377" cm="1">
        <f t="array" aca="1" ref="V1377" ca="1">INDIRECT("Data!P" &amp; 1372)</f>
        <v>0</v>
      </c>
    </row>
    <row r="1378" spans="7:22" x14ac:dyDescent="0.25">
      <c r="G1378" cm="1">
        <f t="array" aca="1" ref="G1378" ca="1">INDIRECT("Data!A" &amp; 1373)</f>
        <v>0</v>
      </c>
      <c r="H1378" s="21" cm="1">
        <f t="array" aca="1" ref="H1378" ca="1">INDIRECT("Data!B" &amp; 1373)</f>
        <v>0</v>
      </c>
      <c r="I1378" s="21" cm="1">
        <f t="array" aca="1" ref="I1378" ca="1">INDIRECT("Data!C" &amp; 1373)</f>
        <v>0</v>
      </c>
      <c r="J1378" cm="1">
        <f t="array" aca="1" ref="J1378" ca="1">INDIRECT("Data!D" &amp; 1373)</f>
        <v>0</v>
      </c>
      <c r="K1378" cm="1">
        <f t="array" aca="1" ref="K1378" ca="1">INDIRECT("Data!E" &amp; 1373)</f>
        <v>0</v>
      </c>
      <c r="L1378" cm="1">
        <f t="array" aca="1" ref="L1378" ca="1">INDIRECT("Data!F" &amp; 1373)</f>
        <v>0</v>
      </c>
      <c r="M1378" cm="1">
        <f t="array" aca="1" ref="M1378" ca="1">INDIRECT("Data!G" &amp; 1373)</f>
        <v>0</v>
      </c>
      <c r="N1378" cm="1">
        <f t="array" aca="1" ref="N1378" ca="1">INDIRECT("Data!H" &amp; 1373)</f>
        <v>0</v>
      </c>
      <c r="O1378" cm="1">
        <f t="array" aca="1" ref="O1378" ca="1">INDIRECT("Data!I" &amp; 1373)</f>
        <v>0</v>
      </c>
      <c r="P1378" s="21" cm="1">
        <f t="array" aca="1" ref="P1378" ca="1">INDIRECT("Data!J" &amp; 1373)</f>
        <v>0</v>
      </c>
      <c r="Q1378" cm="1">
        <f t="array" aca="1" ref="Q1378" ca="1">INDIRECT("Data!K" &amp; 1373)</f>
        <v>0</v>
      </c>
      <c r="R1378" cm="1">
        <f t="array" aca="1" ref="R1378" ca="1">INDIRECT("Data!L" &amp; 1373)</f>
        <v>0</v>
      </c>
      <c r="S1378" cm="1">
        <f t="array" aca="1" ref="S1378" ca="1">INDIRECT("Data!M" &amp; 1373)</f>
        <v>0</v>
      </c>
      <c r="T1378" cm="1">
        <f t="array" aca="1" ref="T1378" ca="1">INDIRECT("Data!N" &amp; 1373)</f>
        <v>0</v>
      </c>
      <c r="U1378" cm="1">
        <f t="array" aca="1" ref="U1378" ca="1">INDIRECT("Data!O" &amp; 1373)</f>
        <v>0</v>
      </c>
      <c r="V1378" cm="1">
        <f t="array" aca="1" ref="V1378" ca="1">INDIRECT("Data!P" &amp; 1373)</f>
        <v>0</v>
      </c>
    </row>
    <row r="1379" spans="7:22" x14ac:dyDescent="0.25">
      <c r="G1379" cm="1">
        <f t="array" aca="1" ref="G1379" ca="1">INDIRECT("Data!A" &amp; 1374)</f>
        <v>0</v>
      </c>
      <c r="H1379" s="21" cm="1">
        <f t="array" aca="1" ref="H1379" ca="1">INDIRECT("Data!B" &amp; 1374)</f>
        <v>0</v>
      </c>
      <c r="I1379" s="21" cm="1">
        <f t="array" aca="1" ref="I1379" ca="1">INDIRECT("Data!C" &amp; 1374)</f>
        <v>0</v>
      </c>
      <c r="J1379" cm="1">
        <f t="array" aca="1" ref="J1379" ca="1">INDIRECT("Data!D" &amp; 1374)</f>
        <v>0</v>
      </c>
      <c r="K1379" cm="1">
        <f t="array" aca="1" ref="K1379" ca="1">INDIRECT("Data!E" &amp; 1374)</f>
        <v>0</v>
      </c>
      <c r="L1379" cm="1">
        <f t="array" aca="1" ref="L1379" ca="1">INDIRECT("Data!F" &amp; 1374)</f>
        <v>0</v>
      </c>
      <c r="M1379" cm="1">
        <f t="array" aca="1" ref="M1379" ca="1">INDIRECT("Data!G" &amp; 1374)</f>
        <v>0</v>
      </c>
      <c r="N1379" cm="1">
        <f t="array" aca="1" ref="N1379" ca="1">INDIRECT("Data!H" &amp; 1374)</f>
        <v>0</v>
      </c>
      <c r="O1379" cm="1">
        <f t="array" aca="1" ref="O1379" ca="1">INDIRECT("Data!I" &amp; 1374)</f>
        <v>0</v>
      </c>
      <c r="P1379" s="21" cm="1">
        <f t="array" aca="1" ref="P1379" ca="1">INDIRECT("Data!J" &amp; 1374)</f>
        <v>0</v>
      </c>
      <c r="Q1379" cm="1">
        <f t="array" aca="1" ref="Q1379" ca="1">INDIRECT("Data!K" &amp; 1374)</f>
        <v>0</v>
      </c>
      <c r="R1379" cm="1">
        <f t="array" aca="1" ref="R1379" ca="1">INDIRECT("Data!L" &amp; 1374)</f>
        <v>0</v>
      </c>
      <c r="S1379" cm="1">
        <f t="array" aca="1" ref="S1379" ca="1">INDIRECT("Data!M" &amp; 1374)</f>
        <v>0</v>
      </c>
      <c r="T1379" cm="1">
        <f t="array" aca="1" ref="T1379" ca="1">INDIRECT("Data!N" &amp; 1374)</f>
        <v>0</v>
      </c>
      <c r="U1379" cm="1">
        <f t="array" aca="1" ref="U1379" ca="1">INDIRECT("Data!O" &amp; 1374)</f>
        <v>0</v>
      </c>
      <c r="V1379" cm="1">
        <f t="array" aca="1" ref="V1379" ca="1">INDIRECT("Data!P" &amp; 1374)</f>
        <v>0</v>
      </c>
    </row>
    <row r="1380" spans="7:22" x14ac:dyDescent="0.25">
      <c r="G1380" cm="1">
        <f t="array" aca="1" ref="G1380" ca="1">INDIRECT("Data!A" &amp; 1375)</f>
        <v>0</v>
      </c>
      <c r="H1380" s="21" cm="1">
        <f t="array" aca="1" ref="H1380" ca="1">INDIRECT("Data!B" &amp; 1375)</f>
        <v>0</v>
      </c>
      <c r="I1380" s="21" cm="1">
        <f t="array" aca="1" ref="I1380" ca="1">INDIRECT("Data!C" &amp; 1375)</f>
        <v>0</v>
      </c>
      <c r="J1380" cm="1">
        <f t="array" aca="1" ref="J1380" ca="1">INDIRECT("Data!D" &amp; 1375)</f>
        <v>0</v>
      </c>
      <c r="K1380" cm="1">
        <f t="array" aca="1" ref="K1380" ca="1">INDIRECT("Data!E" &amp; 1375)</f>
        <v>0</v>
      </c>
      <c r="L1380" cm="1">
        <f t="array" aca="1" ref="L1380" ca="1">INDIRECT("Data!F" &amp; 1375)</f>
        <v>0</v>
      </c>
      <c r="M1380" cm="1">
        <f t="array" aca="1" ref="M1380" ca="1">INDIRECT("Data!G" &amp; 1375)</f>
        <v>0</v>
      </c>
      <c r="N1380" cm="1">
        <f t="array" aca="1" ref="N1380" ca="1">INDIRECT("Data!H" &amp; 1375)</f>
        <v>0</v>
      </c>
      <c r="O1380" cm="1">
        <f t="array" aca="1" ref="O1380" ca="1">INDIRECT("Data!I" &amp; 1375)</f>
        <v>0</v>
      </c>
      <c r="P1380" s="21" cm="1">
        <f t="array" aca="1" ref="P1380" ca="1">INDIRECT("Data!J" &amp; 1375)</f>
        <v>0</v>
      </c>
      <c r="Q1380" cm="1">
        <f t="array" aca="1" ref="Q1380" ca="1">INDIRECT("Data!K" &amp; 1375)</f>
        <v>0</v>
      </c>
      <c r="R1380" cm="1">
        <f t="array" aca="1" ref="R1380" ca="1">INDIRECT("Data!L" &amp; 1375)</f>
        <v>0</v>
      </c>
      <c r="S1380" cm="1">
        <f t="array" aca="1" ref="S1380" ca="1">INDIRECT("Data!M" &amp; 1375)</f>
        <v>0</v>
      </c>
      <c r="T1380" cm="1">
        <f t="array" aca="1" ref="T1380" ca="1">INDIRECT("Data!N" &amp; 1375)</f>
        <v>0</v>
      </c>
      <c r="U1380" cm="1">
        <f t="array" aca="1" ref="U1380" ca="1">INDIRECT("Data!O" &amp; 1375)</f>
        <v>0</v>
      </c>
      <c r="V1380" cm="1">
        <f t="array" aca="1" ref="V1380" ca="1">INDIRECT("Data!P" &amp; 1375)</f>
        <v>0</v>
      </c>
    </row>
    <row r="1381" spans="7:22" x14ac:dyDescent="0.25">
      <c r="G1381" cm="1">
        <f t="array" aca="1" ref="G1381" ca="1">INDIRECT("Data!A" &amp; 1376)</f>
        <v>0</v>
      </c>
      <c r="H1381" s="21" cm="1">
        <f t="array" aca="1" ref="H1381" ca="1">INDIRECT("Data!B" &amp; 1376)</f>
        <v>0</v>
      </c>
      <c r="I1381" s="21" cm="1">
        <f t="array" aca="1" ref="I1381" ca="1">INDIRECT("Data!C" &amp; 1376)</f>
        <v>0</v>
      </c>
      <c r="J1381" cm="1">
        <f t="array" aca="1" ref="J1381" ca="1">INDIRECT("Data!D" &amp; 1376)</f>
        <v>0</v>
      </c>
      <c r="K1381" cm="1">
        <f t="array" aca="1" ref="K1381" ca="1">INDIRECT("Data!E" &amp; 1376)</f>
        <v>0</v>
      </c>
      <c r="L1381" cm="1">
        <f t="array" aca="1" ref="L1381" ca="1">INDIRECT("Data!F" &amp; 1376)</f>
        <v>0</v>
      </c>
      <c r="M1381" cm="1">
        <f t="array" aca="1" ref="M1381" ca="1">INDIRECT("Data!G" &amp; 1376)</f>
        <v>0</v>
      </c>
      <c r="N1381" cm="1">
        <f t="array" aca="1" ref="N1381" ca="1">INDIRECT("Data!H" &amp; 1376)</f>
        <v>0</v>
      </c>
      <c r="O1381" cm="1">
        <f t="array" aca="1" ref="O1381" ca="1">INDIRECT("Data!I" &amp; 1376)</f>
        <v>0</v>
      </c>
      <c r="P1381" s="21" cm="1">
        <f t="array" aca="1" ref="P1381" ca="1">INDIRECT("Data!J" &amp; 1376)</f>
        <v>0</v>
      </c>
      <c r="Q1381" cm="1">
        <f t="array" aca="1" ref="Q1381" ca="1">INDIRECT("Data!K" &amp; 1376)</f>
        <v>0</v>
      </c>
      <c r="R1381" cm="1">
        <f t="array" aca="1" ref="R1381" ca="1">INDIRECT("Data!L" &amp; 1376)</f>
        <v>0</v>
      </c>
      <c r="S1381" cm="1">
        <f t="array" aca="1" ref="S1381" ca="1">INDIRECT("Data!M" &amp; 1376)</f>
        <v>0</v>
      </c>
      <c r="T1381" cm="1">
        <f t="array" aca="1" ref="T1381" ca="1">INDIRECT("Data!N" &amp; 1376)</f>
        <v>0</v>
      </c>
      <c r="U1381" cm="1">
        <f t="array" aca="1" ref="U1381" ca="1">INDIRECT("Data!O" &amp; 1376)</f>
        <v>0</v>
      </c>
      <c r="V1381" cm="1">
        <f t="array" aca="1" ref="V1381" ca="1">INDIRECT("Data!P" &amp; 1376)</f>
        <v>0</v>
      </c>
    </row>
    <row r="1382" spans="7:22" x14ac:dyDescent="0.25">
      <c r="G1382" cm="1">
        <f t="array" aca="1" ref="G1382" ca="1">INDIRECT("Data!A" &amp; 1377)</f>
        <v>0</v>
      </c>
      <c r="H1382" s="21" cm="1">
        <f t="array" aca="1" ref="H1382" ca="1">INDIRECT("Data!B" &amp; 1377)</f>
        <v>0</v>
      </c>
      <c r="I1382" s="21" cm="1">
        <f t="array" aca="1" ref="I1382" ca="1">INDIRECT("Data!C" &amp; 1377)</f>
        <v>0</v>
      </c>
      <c r="J1382" cm="1">
        <f t="array" aca="1" ref="J1382" ca="1">INDIRECT("Data!D" &amp; 1377)</f>
        <v>0</v>
      </c>
      <c r="K1382" cm="1">
        <f t="array" aca="1" ref="K1382" ca="1">INDIRECT("Data!E" &amp; 1377)</f>
        <v>0</v>
      </c>
      <c r="L1382" cm="1">
        <f t="array" aca="1" ref="L1382" ca="1">INDIRECT("Data!F" &amp; 1377)</f>
        <v>0</v>
      </c>
      <c r="M1382" cm="1">
        <f t="array" aca="1" ref="M1382" ca="1">INDIRECT("Data!G" &amp; 1377)</f>
        <v>0</v>
      </c>
      <c r="N1382" cm="1">
        <f t="array" aca="1" ref="N1382" ca="1">INDIRECT("Data!H" &amp; 1377)</f>
        <v>0</v>
      </c>
      <c r="O1382" cm="1">
        <f t="array" aca="1" ref="O1382" ca="1">INDIRECT("Data!I" &amp; 1377)</f>
        <v>0</v>
      </c>
      <c r="P1382" s="21" cm="1">
        <f t="array" aca="1" ref="P1382" ca="1">INDIRECT("Data!J" &amp; 1377)</f>
        <v>0</v>
      </c>
      <c r="Q1382" cm="1">
        <f t="array" aca="1" ref="Q1382" ca="1">INDIRECT("Data!K" &amp; 1377)</f>
        <v>0</v>
      </c>
      <c r="R1382" cm="1">
        <f t="array" aca="1" ref="R1382" ca="1">INDIRECT("Data!L" &amp; 1377)</f>
        <v>0</v>
      </c>
      <c r="S1382" cm="1">
        <f t="array" aca="1" ref="S1382" ca="1">INDIRECT("Data!M" &amp; 1377)</f>
        <v>0</v>
      </c>
      <c r="T1382" cm="1">
        <f t="array" aca="1" ref="T1382" ca="1">INDIRECT("Data!N" &amp; 1377)</f>
        <v>0</v>
      </c>
      <c r="U1382" cm="1">
        <f t="array" aca="1" ref="U1382" ca="1">INDIRECT("Data!O" &amp; 1377)</f>
        <v>0</v>
      </c>
      <c r="V1382" cm="1">
        <f t="array" aca="1" ref="V1382" ca="1">INDIRECT("Data!P" &amp; 1377)</f>
        <v>0</v>
      </c>
    </row>
    <row r="1383" spans="7:22" x14ac:dyDescent="0.25">
      <c r="G1383" cm="1">
        <f t="array" aca="1" ref="G1383" ca="1">INDIRECT("Data!A" &amp; 1378)</f>
        <v>0</v>
      </c>
      <c r="H1383" s="21" cm="1">
        <f t="array" aca="1" ref="H1383" ca="1">INDIRECT("Data!B" &amp; 1378)</f>
        <v>0</v>
      </c>
      <c r="I1383" s="21" cm="1">
        <f t="array" aca="1" ref="I1383" ca="1">INDIRECT("Data!C" &amp; 1378)</f>
        <v>0</v>
      </c>
      <c r="J1383" cm="1">
        <f t="array" aca="1" ref="J1383" ca="1">INDIRECT("Data!D" &amp; 1378)</f>
        <v>0</v>
      </c>
      <c r="K1383" cm="1">
        <f t="array" aca="1" ref="K1383" ca="1">INDIRECT("Data!E" &amp; 1378)</f>
        <v>0</v>
      </c>
      <c r="L1383" cm="1">
        <f t="array" aca="1" ref="L1383" ca="1">INDIRECT("Data!F" &amp; 1378)</f>
        <v>0</v>
      </c>
      <c r="M1383" cm="1">
        <f t="array" aca="1" ref="M1383" ca="1">INDIRECT("Data!G" &amp; 1378)</f>
        <v>0</v>
      </c>
      <c r="N1383" cm="1">
        <f t="array" aca="1" ref="N1383" ca="1">INDIRECT("Data!H" &amp; 1378)</f>
        <v>0</v>
      </c>
      <c r="O1383" cm="1">
        <f t="array" aca="1" ref="O1383" ca="1">INDIRECT("Data!I" &amp; 1378)</f>
        <v>0</v>
      </c>
      <c r="P1383" s="21" cm="1">
        <f t="array" aca="1" ref="P1383" ca="1">INDIRECT("Data!J" &amp; 1378)</f>
        <v>0</v>
      </c>
      <c r="Q1383" cm="1">
        <f t="array" aca="1" ref="Q1383" ca="1">INDIRECT("Data!K" &amp; 1378)</f>
        <v>0</v>
      </c>
      <c r="R1383" cm="1">
        <f t="array" aca="1" ref="R1383" ca="1">INDIRECT("Data!L" &amp; 1378)</f>
        <v>0</v>
      </c>
      <c r="S1383" cm="1">
        <f t="array" aca="1" ref="S1383" ca="1">INDIRECT("Data!M" &amp; 1378)</f>
        <v>0</v>
      </c>
      <c r="T1383" cm="1">
        <f t="array" aca="1" ref="T1383" ca="1">INDIRECT("Data!N" &amp; 1378)</f>
        <v>0</v>
      </c>
      <c r="U1383" cm="1">
        <f t="array" aca="1" ref="U1383" ca="1">INDIRECT("Data!O" &amp; 1378)</f>
        <v>0</v>
      </c>
      <c r="V1383" cm="1">
        <f t="array" aca="1" ref="V1383" ca="1">INDIRECT("Data!P" &amp; 1378)</f>
        <v>0</v>
      </c>
    </row>
    <row r="1384" spans="7:22" x14ac:dyDescent="0.25">
      <c r="G1384" cm="1">
        <f t="array" aca="1" ref="G1384" ca="1">INDIRECT("Data!A" &amp; 1379)</f>
        <v>0</v>
      </c>
      <c r="H1384" s="21" cm="1">
        <f t="array" aca="1" ref="H1384" ca="1">INDIRECT("Data!B" &amp; 1379)</f>
        <v>0</v>
      </c>
      <c r="I1384" s="21" cm="1">
        <f t="array" aca="1" ref="I1384" ca="1">INDIRECT("Data!C" &amp; 1379)</f>
        <v>0</v>
      </c>
      <c r="J1384" cm="1">
        <f t="array" aca="1" ref="J1384" ca="1">INDIRECT("Data!D" &amp; 1379)</f>
        <v>0</v>
      </c>
      <c r="K1384" cm="1">
        <f t="array" aca="1" ref="K1384" ca="1">INDIRECT("Data!E" &amp; 1379)</f>
        <v>0</v>
      </c>
      <c r="L1384" cm="1">
        <f t="array" aca="1" ref="L1384" ca="1">INDIRECT("Data!F" &amp; 1379)</f>
        <v>0</v>
      </c>
      <c r="M1384" cm="1">
        <f t="array" aca="1" ref="M1384" ca="1">INDIRECT("Data!G" &amp; 1379)</f>
        <v>0</v>
      </c>
      <c r="N1384" cm="1">
        <f t="array" aca="1" ref="N1384" ca="1">INDIRECT("Data!H" &amp; 1379)</f>
        <v>0</v>
      </c>
      <c r="O1384" cm="1">
        <f t="array" aca="1" ref="O1384" ca="1">INDIRECT("Data!I" &amp; 1379)</f>
        <v>0</v>
      </c>
      <c r="P1384" s="21" cm="1">
        <f t="array" aca="1" ref="P1384" ca="1">INDIRECT("Data!J" &amp; 1379)</f>
        <v>0</v>
      </c>
      <c r="Q1384" cm="1">
        <f t="array" aca="1" ref="Q1384" ca="1">INDIRECT("Data!K" &amp; 1379)</f>
        <v>0</v>
      </c>
      <c r="R1384" cm="1">
        <f t="array" aca="1" ref="R1384" ca="1">INDIRECT("Data!L" &amp; 1379)</f>
        <v>0</v>
      </c>
      <c r="S1384" cm="1">
        <f t="array" aca="1" ref="S1384" ca="1">INDIRECT("Data!M" &amp; 1379)</f>
        <v>0</v>
      </c>
      <c r="T1384" cm="1">
        <f t="array" aca="1" ref="T1384" ca="1">INDIRECT("Data!N" &amp; 1379)</f>
        <v>0</v>
      </c>
      <c r="U1384" cm="1">
        <f t="array" aca="1" ref="U1384" ca="1">INDIRECT("Data!O" &amp; 1379)</f>
        <v>0</v>
      </c>
      <c r="V1384" cm="1">
        <f t="array" aca="1" ref="V1384" ca="1">INDIRECT("Data!P" &amp; 1379)</f>
        <v>0</v>
      </c>
    </row>
    <row r="1385" spans="7:22" x14ac:dyDescent="0.25">
      <c r="G1385" cm="1">
        <f t="array" aca="1" ref="G1385" ca="1">INDIRECT("Data!A" &amp; 1380)</f>
        <v>0</v>
      </c>
      <c r="H1385" s="21" cm="1">
        <f t="array" aca="1" ref="H1385" ca="1">INDIRECT("Data!B" &amp; 1380)</f>
        <v>0</v>
      </c>
      <c r="I1385" s="21" cm="1">
        <f t="array" aca="1" ref="I1385" ca="1">INDIRECT("Data!C" &amp; 1380)</f>
        <v>0</v>
      </c>
      <c r="J1385" cm="1">
        <f t="array" aca="1" ref="J1385" ca="1">INDIRECT("Data!D" &amp; 1380)</f>
        <v>0</v>
      </c>
      <c r="K1385" cm="1">
        <f t="array" aca="1" ref="K1385" ca="1">INDIRECT("Data!E" &amp; 1380)</f>
        <v>0</v>
      </c>
      <c r="L1385" cm="1">
        <f t="array" aca="1" ref="L1385" ca="1">INDIRECT("Data!F" &amp; 1380)</f>
        <v>0</v>
      </c>
      <c r="M1385" cm="1">
        <f t="array" aca="1" ref="M1385" ca="1">INDIRECT("Data!G" &amp; 1380)</f>
        <v>0</v>
      </c>
      <c r="N1385" cm="1">
        <f t="array" aca="1" ref="N1385" ca="1">INDIRECT("Data!H" &amp; 1380)</f>
        <v>0</v>
      </c>
      <c r="O1385" cm="1">
        <f t="array" aca="1" ref="O1385" ca="1">INDIRECT("Data!I" &amp; 1380)</f>
        <v>0</v>
      </c>
      <c r="P1385" s="21" cm="1">
        <f t="array" aca="1" ref="P1385" ca="1">INDIRECT("Data!J" &amp; 1380)</f>
        <v>0</v>
      </c>
      <c r="Q1385" cm="1">
        <f t="array" aca="1" ref="Q1385" ca="1">INDIRECT("Data!K" &amp; 1380)</f>
        <v>0</v>
      </c>
      <c r="R1385" cm="1">
        <f t="array" aca="1" ref="R1385" ca="1">INDIRECT("Data!L" &amp; 1380)</f>
        <v>0</v>
      </c>
      <c r="S1385" cm="1">
        <f t="array" aca="1" ref="S1385" ca="1">INDIRECT("Data!M" &amp; 1380)</f>
        <v>0</v>
      </c>
      <c r="T1385" cm="1">
        <f t="array" aca="1" ref="T1385" ca="1">INDIRECT("Data!N" &amp; 1380)</f>
        <v>0</v>
      </c>
      <c r="U1385" cm="1">
        <f t="array" aca="1" ref="U1385" ca="1">INDIRECT("Data!O" &amp; 1380)</f>
        <v>0</v>
      </c>
      <c r="V1385" cm="1">
        <f t="array" aca="1" ref="V1385" ca="1">INDIRECT("Data!P" &amp; 1380)</f>
        <v>0</v>
      </c>
    </row>
    <row r="1386" spans="7:22" x14ac:dyDescent="0.25">
      <c r="G1386" cm="1">
        <f t="array" aca="1" ref="G1386" ca="1">INDIRECT("Data!A" &amp; 1381)</f>
        <v>0</v>
      </c>
      <c r="H1386" s="21" cm="1">
        <f t="array" aca="1" ref="H1386" ca="1">INDIRECT("Data!B" &amp; 1381)</f>
        <v>0</v>
      </c>
      <c r="I1386" s="21" cm="1">
        <f t="array" aca="1" ref="I1386" ca="1">INDIRECT("Data!C" &amp; 1381)</f>
        <v>0</v>
      </c>
      <c r="J1386" cm="1">
        <f t="array" aca="1" ref="J1386" ca="1">INDIRECT("Data!D" &amp; 1381)</f>
        <v>0</v>
      </c>
      <c r="K1386" cm="1">
        <f t="array" aca="1" ref="K1386" ca="1">INDIRECT("Data!E" &amp; 1381)</f>
        <v>0</v>
      </c>
      <c r="L1386" cm="1">
        <f t="array" aca="1" ref="L1386" ca="1">INDIRECT("Data!F" &amp; 1381)</f>
        <v>0</v>
      </c>
      <c r="M1386" cm="1">
        <f t="array" aca="1" ref="M1386" ca="1">INDIRECT("Data!G" &amp; 1381)</f>
        <v>0</v>
      </c>
      <c r="N1386" cm="1">
        <f t="array" aca="1" ref="N1386" ca="1">INDIRECT("Data!H" &amp; 1381)</f>
        <v>0</v>
      </c>
      <c r="O1386" cm="1">
        <f t="array" aca="1" ref="O1386" ca="1">INDIRECT("Data!I" &amp; 1381)</f>
        <v>0</v>
      </c>
      <c r="P1386" s="21" cm="1">
        <f t="array" aca="1" ref="P1386" ca="1">INDIRECT("Data!J" &amp; 1381)</f>
        <v>0</v>
      </c>
      <c r="Q1386" cm="1">
        <f t="array" aca="1" ref="Q1386" ca="1">INDIRECT("Data!K" &amp; 1381)</f>
        <v>0</v>
      </c>
      <c r="R1386" cm="1">
        <f t="array" aca="1" ref="R1386" ca="1">INDIRECT("Data!L" &amp; 1381)</f>
        <v>0</v>
      </c>
      <c r="S1386" cm="1">
        <f t="array" aca="1" ref="S1386" ca="1">INDIRECT("Data!M" &amp; 1381)</f>
        <v>0</v>
      </c>
      <c r="T1386" cm="1">
        <f t="array" aca="1" ref="T1386" ca="1">INDIRECT("Data!N" &amp; 1381)</f>
        <v>0</v>
      </c>
      <c r="U1386" cm="1">
        <f t="array" aca="1" ref="U1386" ca="1">INDIRECT("Data!O" &amp; 1381)</f>
        <v>0</v>
      </c>
      <c r="V1386" cm="1">
        <f t="array" aca="1" ref="V1386" ca="1">INDIRECT("Data!P" &amp; 1381)</f>
        <v>0</v>
      </c>
    </row>
    <row r="1387" spans="7:22" x14ac:dyDescent="0.25">
      <c r="G1387" cm="1">
        <f t="array" aca="1" ref="G1387" ca="1">INDIRECT("Data!A" &amp; 1382)</f>
        <v>0</v>
      </c>
      <c r="H1387" s="21" cm="1">
        <f t="array" aca="1" ref="H1387" ca="1">INDIRECT("Data!B" &amp; 1382)</f>
        <v>0</v>
      </c>
      <c r="I1387" s="21" cm="1">
        <f t="array" aca="1" ref="I1387" ca="1">INDIRECT("Data!C" &amp; 1382)</f>
        <v>0</v>
      </c>
      <c r="J1387" cm="1">
        <f t="array" aca="1" ref="J1387" ca="1">INDIRECT("Data!D" &amp; 1382)</f>
        <v>0</v>
      </c>
      <c r="K1387" cm="1">
        <f t="array" aca="1" ref="K1387" ca="1">INDIRECT("Data!E" &amp; 1382)</f>
        <v>0</v>
      </c>
      <c r="L1387" cm="1">
        <f t="array" aca="1" ref="L1387" ca="1">INDIRECT("Data!F" &amp; 1382)</f>
        <v>0</v>
      </c>
      <c r="M1387" cm="1">
        <f t="array" aca="1" ref="M1387" ca="1">INDIRECT("Data!G" &amp; 1382)</f>
        <v>0</v>
      </c>
      <c r="N1387" cm="1">
        <f t="array" aca="1" ref="N1387" ca="1">INDIRECT("Data!H" &amp; 1382)</f>
        <v>0</v>
      </c>
      <c r="O1387" cm="1">
        <f t="array" aca="1" ref="O1387" ca="1">INDIRECT("Data!I" &amp; 1382)</f>
        <v>0</v>
      </c>
      <c r="P1387" s="21" cm="1">
        <f t="array" aca="1" ref="P1387" ca="1">INDIRECT("Data!J" &amp; 1382)</f>
        <v>0</v>
      </c>
      <c r="Q1387" cm="1">
        <f t="array" aca="1" ref="Q1387" ca="1">INDIRECT("Data!K" &amp; 1382)</f>
        <v>0</v>
      </c>
      <c r="R1387" cm="1">
        <f t="array" aca="1" ref="R1387" ca="1">INDIRECT("Data!L" &amp; 1382)</f>
        <v>0</v>
      </c>
      <c r="S1387" cm="1">
        <f t="array" aca="1" ref="S1387" ca="1">INDIRECT("Data!M" &amp; 1382)</f>
        <v>0</v>
      </c>
      <c r="T1387" cm="1">
        <f t="array" aca="1" ref="T1387" ca="1">INDIRECT("Data!N" &amp; 1382)</f>
        <v>0</v>
      </c>
      <c r="U1387" cm="1">
        <f t="array" aca="1" ref="U1387" ca="1">INDIRECT("Data!O" &amp; 1382)</f>
        <v>0</v>
      </c>
      <c r="V1387" cm="1">
        <f t="array" aca="1" ref="V1387" ca="1">INDIRECT("Data!P" &amp; 1382)</f>
        <v>0</v>
      </c>
    </row>
    <row r="1388" spans="7:22" x14ac:dyDescent="0.25">
      <c r="G1388" cm="1">
        <f t="array" aca="1" ref="G1388" ca="1">INDIRECT("Data!A" &amp; 1383)</f>
        <v>0</v>
      </c>
      <c r="H1388" s="21" cm="1">
        <f t="array" aca="1" ref="H1388" ca="1">INDIRECT("Data!B" &amp; 1383)</f>
        <v>0</v>
      </c>
      <c r="I1388" s="21" cm="1">
        <f t="array" aca="1" ref="I1388" ca="1">INDIRECT("Data!C" &amp; 1383)</f>
        <v>0</v>
      </c>
      <c r="J1388" cm="1">
        <f t="array" aca="1" ref="J1388" ca="1">INDIRECT("Data!D" &amp; 1383)</f>
        <v>0</v>
      </c>
      <c r="K1388" cm="1">
        <f t="array" aca="1" ref="K1388" ca="1">INDIRECT("Data!E" &amp; 1383)</f>
        <v>0</v>
      </c>
      <c r="L1388" cm="1">
        <f t="array" aca="1" ref="L1388" ca="1">INDIRECT("Data!F" &amp; 1383)</f>
        <v>0</v>
      </c>
      <c r="M1388" cm="1">
        <f t="array" aca="1" ref="M1388" ca="1">INDIRECT("Data!G" &amp; 1383)</f>
        <v>0</v>
      </c>
      <c r="N1388" cm="1">
        <f t="array" aca="1" ref="N1388" ca="1">INDIRECT("Data!H" &amp; 1383)</f>
        <v>0</v>
      </c>
      <c r="O1388" cm="1">
        <f t="array" aca="1" ref="O1388" ca="1">INDIRECT("Data!I" &amp; 1383)</f>
        <v>0</v>
      </c>
      <c r="P1388" s="21" cm="1">
        <f t="array" aca="1" ref="P1388" ca="1">INDIRECT("Data!J" &amp; 1383)</f>
        <v>0</v>
      </c>
      <c r="Q1388" cm="1">
        <f t="array" aca="1" ref="Q1388" ca="1">INDIRECT("Data!K" &amp; 1383)</f>
        <v>0</v>
      </c>
      <c r="R1388" cm="1">
        <f t="array" aca="1" ref="R1388" ca="1">INDIRECT("Data!L" &amp; 1383)</f>
        <v>0</v>
      </c>
      <c r="S1388" cm="1">
        <f t="array" aca="1" ref="S1388" ca="1">INDIRECT("Data!M" &amp; 1383)</f>
        <v>0</v>
      </c>
      <c r="T1388" cm="1">
        <f t="array" aca="1" ref="T1388" ca="1">INDIRECT("Data!N" &amp; 1383)</f>
        <v>0</v>
      </c>
      <c r="U1388" cm="1">
        <f t="array" aca="1" ref="U1388" ca="1">INDIRECT("Data!O" &amp; 1383)</f>
        <v>0</v>
      </c>
      <c r="V1388" cm="1">
        <f t="array" aca="1" ref="V1388" ca="1">INDIRECT("Data!P" &amp; 1383)</f>
        <v>0</v>
      </c>
    </row>
    <row r="1389" spans="7:22" x14ac:dyDescent="0.25">
      <c r="G1389" cm="1">
        <f t="array" aca="1" ref="G1389" ca="1">INDIRECT("Data!A" &amp; 1384)</f>
        <v>0</v>
      </c>
      <c r="H1389" s="21" cm="1">
        <f t="array" aca="1" ref="H1389" ca="1">INDIRECT("Data!B" &amp; 1384)</f>
        <v>0</v>
      </c>
      <c r="I1389" s="21" cm="1">
        <f t="array" aca="1" ref="I1389" ca="1">INDIRECT("Data!C" &amp; 1384)</f>
        <v>0</v>
      </c>
      <c r="J1389" cm="1">
        <f t="array" aca="1" ref="J1389" ca="1">INDIRECT("Data!D" &amp; 1384)</f>
        <v>0</v>
      </c>
      <c r="K1389" cm="1">
        <f t="array" aca="1" ref="K1389" ca="1">INDIRECT("Data!E" &amp; 1384)</f>
        <v>0</v>
      </c>
      <c r="L1389" cm="1">
        <f t="array" aca="1" ref="L1389" ca="1">INDIRECT("Data!F" &amp; 1384)</f>
        <v>0</v>
      </c>
      <c r="M1389" cm="1">
        <f t="array" aca="1" ref="M1389" ca="1">INDIRECT("Data!G" &amp; 1384)</f>
        <v>0</v>
      </c>
      <c r="N1389" cm="1">
        <f t="array" aca="1" ref="N1389" ca="1">INDIRECT("Data!H" &amp; 1384)</f>
        <v>0</v>
      </c>
      <c r="O1389" cm="1">
        <f t="array" aca="1" ref="O1389" ca="1">INDIRECT("Data!I" &amp; 1384)</f>
        <v>0</v>
      </c>
      <c r="P1389" s="21" cm="1">
        <f t="array" aca="1" ref="P1389" ca="1">INDIRECT("Data!J" &amp; 1384)</f>
        <v>0</v>
      </c>
      <c r="Q1389" cm="1">
        <f t="array" aca="1" ref="Q1389" ca="1">INDIRECT("Data!K" &amp; 1384)</f>
        <v>0</v>
      </c>
      <c r="R1389" cm="1">
        <f t="array" aca="1" ref="R1389" ca="1">INDIRECT("Data!L" &amp; 1384)</f>
        <v>0</v>
      </c>
      <c r="S1389" cm="1">
        <f t="array" aca="1" ref="S1389" ca="1">INDIRECT("Data!M" &amp; 1384)</f>
        <v>0</v>
      </c>
      <c r="T1389" cm="1">
        <f t="array" aca="1" ref="T1389" ca="1">INDIRECT("Data!N" &amp; 1384)</f>
        <v>0</v>
      </c>
      <c r="U1389" cm="1">
        <f t="array" aca="1" ref="U1389" ca="1">INDIRECT("Data!O" &amp; 1384)</f>
        <v>0</v>
      </c>
      <c r="V1389" cm="1">
        <f t="array" aca="1" ref="V1389" ca="1">INDIRECT("Data!P" &amp; 1384)</f>
        <v>0</v>
      </c>
    </row>
    <row r="1390" spans="7:22" x14ac:dyDescent="0.25">
      <c r="G1390" cm="1">
        <f t="array" aca="1" ref="G1390" ca="1">INDIRECT("Data!A" &amp; 1385)</f>
        <v>0</v>
      </c>
      <c r="H1390" s="21" cm="1">
        <f t="array" aca="1" ref="H1390" ca="1">INDIRECT("Data!B" &amp; 1385)</f>
        <v>0</v>
      </c>
      <c r="I1390" s="21" cm="1">
        <f t="array" aca="1" ref="I1390" ca="1">INDIRECT("Data!C" &amp; 1385)</f>
        <v>0</v>
      </c>
      <c r="J1390" cm="1">
        <f t="array" aca="1" ref="J1390" ca="1">INDIRECT("Data!D" &amp; 1385)</f>
        <v>0</v>
      </c>
      <c r="K1390" cm="1">
        <f t="array" aca="1" ref="K1390" ca="1">INDIRECT("Data!E" &amp; 1385)</f>
        <v>0</v>
      </c>
      <c r="L1390" cm="1">
        <f t="array" aca="1" ref="L1390" ca="1">INDIRECT("Data!F" &amp; 1385)</f>
        <v>0</v>
      </c>
      <c r="M1390" cm="1">
        <f t="array" aca="1" ref="M1390" ca="1">INDIRECT("Data!G" &amp; 1385)</f>
        <v>0</v>
      </c>
      <c r="N1390" cm="1">
        <f t="array" aca="1" ref="N1390" ca="1">INDIRECT("Data!H" &amp; 1385)</f>
        <v>0</v>
      </c>
      <c r="O1390" cm="1">
        <f t="array" aca="1" ref="O1390" ca="1">INDIRECT("Data!I" &amp; 1385)</f>
        <v>0</v>
      </c>
      <c r="P1390" s="21" cm="1">
        <f t="array" aca="1" ref="P1390" ca="1">INDIRECT("Data!J" &amp; 1385)</f>
        <v>0</v>
      </c>
      <c r="Q1390" cm="1">
        <f t="array" aca="1" ref="Q1390" ca="1">INDIRECT("Data!K" &amp; 1385)</f>
        <v>0</v>
      </c>
      <c r="R1390" cm="1">
        <f t="array" aca="1" ref="R1390" ca="1">INDIRECT("Data!L" &amp; 1385)</f>
        <v>0</v>
      </c>
      <c r="S1390" cm="1">
        <f t="array" aca="1" ref="S1390" ca="1">INDIRECT("Data!M" &amp; 1385)</f>
        <v>0</v>
      </c>
      <c r="T1390" cm="1">
        <f t="array" aca="1" ref="T1390" ca="1">INDIRECT("Data!N" &amp; 1385)</f>
        <v>0</v>
      </c>
      <c r="U1390" cm="1">
        <f t="array" aca="1" ref="U1390" ca="1">INDIRECT("Data!O" &amp; 1385)</f>
        <v>0</v>
      </c>
      <c r="V1390" cm="1">
        <f t="array" aca="1" ref="V1390" ca="1">INDIRECT("Data!P" &amp; 1385)</f>
        <v>0</v>
      </c>
    </row>
    <row r="1391" spans="7:22" x14ac:dyDescent="0.25">
      <c r="G1391" cm="1">
        <f t="array" aca="1" ref="G1391" ca="1">INDIRECT("Data!A" &amp; 1386)</f>
        <v>0</v>
      </c>
      <c r="H1391" s="21" cm="1">
        <f t="array" aca="1" ref="H1391" ca="1">INDIRECT("Data!B" &amp; 1386)</f>
        <v>0</v>
      </c>
      <c r="I1391" s="21" cm="1">
        <f t="array" aca="1" ref="I1391" ca="1">INDIRECT("Data!C" &amp; 1386)</f>
        <v>0</v>
      </c>
      <c r="J1391" cm="1">
        <f t="array" aca="1" ref="J1391" ca="1">INDIRECT("Data!D" &amp; 1386)</f>
        <v>0</v>
      </c>
      <c r="K1391" cm="1">
        <f t="array" aca="1" ref="K1391" ca="1">INDIRECT("Data!E" &amp; 1386)</f>
        <v>0</v>
      </c>
      <c r="L1391" cm="1">
        <f t="array" aca="1" ref="L1391" ca="1">INDIRECT("Data!F" &amp; 1386)</f>
        <v>0</v>
      </c>
      <c r="M1391" cm="1">
        <f t="array" aca="1" ref="M1391" ca="1">INDIRECT("Data!G" &amp; 1386)</f>
        <v>0</v>
      </c>
      <c r="N1391" cm="1">
        <f t="array" aca="1" ref="N1391" ca="1">INDIRECT("Data!H" &amp; 1386)</f>
        <v>0</v>
      </c>
      <c r="O1391" cm="1">
        <f t="array" aca="1" ref="O1391" ca="1">INDIRECT("Data!I" &amp; 1386)</f>
        <v>0</v>
      </c>
      <c r="P1391" s="21" cm="1">
        <f t="array" aca="1" ref="P1391" ca="1">INDIRECT("Data!J" &amp; 1386)</f>
        <v>0</v>
      </c>
      <c r="Q1391" cm="1">
        <f t="array" aca="1" ref="Q1391" ca="1">INDIRECT("Data!K" &amp; 1386)</f>
        <v>0</v>
      </c>
      <c r="R1391" cm="1">
        <f t="array" aca="1" ref="R1391" ca="1">INDIRECT("Data!L" &amp; 1386)</f>
        <v>0</v>
      </c>
      <c r="S1391" cm="1">
        <f t="array" aca="1" ref="S1391" ca="1">INDIRECT("Data!M" &amp; 1386)</f>
        <v>0</v>
      </c>
      <c r="T1391" cm="1">
        <f t="array" aca="1" ref="T1391" ca="1">INDIRECT("Data!N" &amp; 1386)</f>
        <v>0</v>
      </c>
      <c r="U1391" cm="1">
        <f t="array" aca="1" ref="U1391" ca="1">INDIRECT("Data!O" &amp; 1386)</f>
        <v>0</v>
      </c>
      <c r="V1391" cm="1">
        <f t="array" aca="1" ref="V1391" ca="1">INDIRECT("Data!P" &amp; 1386)</f>
        <v>0</v>
      </c>
    </row>
    <row r="1392" spans="7:22" x14ac:dyDescent="0.25">
      <c r="G1392" cm="1">
        <f t="array" aca="1" ref="G1392" ca="1">INDIRECT("Data!A" &amp; 1387)</f>
        <v>0</v>
      </c>
      <c r="H1392" s="21" cm="1">
        <f t="array" aca="1" ref="H1392" ca="1">INDIRECT("Data!B" &amp; 1387)</f>
        <v>0</v>
      </c>
      <c r="I1392" s="21" cm="1">
        <f t="array" aca="1" ref="I1392" ca="1">INDIRECT("Data!C" &amp; 1387)</f>
        <v>0</v>
      </c>
      <c r="J1392" cm="1">
        <f t="array" aca="1" ref="J1392" ca="1">INDIRECT("Data!D" &amp; 1387)</f>
        <v>0</v>
      </c>
      <c r="K1392" cm="1">
        <f t="array" aca="1" ref="K1392" ca="1">INDIRECT("Data!E" &amp; 1387)</f>
        <v>0</v>
      </c>
      <c r="L1392" cm="1">
        <f t="array" aca="1" ref="L1392" ca="1">INDIRECT("Data!F" &amp; 1387)</f>
        <v>0</v>
      </c>
      <c r="M1392" cm="1">
        <f t="array" aca="1" ref="M1392" ca="1">INDIRECT("Data!G" &amp; 1387)</f>
        <v>0</v>
      </c>
      <c r="N1392" cm="1">
        <f t="array" aca="1" ref="N1392" ca="1">INDIRECT("Data!H" &amp; 1387)</f>
        <v>0</v>
      </c>
      <c r="O1392" cm="1">
        <f t="array" aca="1" ref="O1392" ca="1">INDIRECT("Data!I" &amp; 1387)</f>
        <v>0</v>
      </c>
      <c r="P1392" s="21" cm="1">
        <f t="array" aca="1" ref="P1392" ca="1">INDIRECT("Data!J" &amp; 1387)</f>
        <v>0</v>
      </c>
      <c r="Q1392" cm="1">
        <f t="array" aca="1" ref="Q1392" ca="1">INDIRECT("Data!K" &amp; 1387)</f>
        <v>0</v>
      </c>
      <c r="R1392" cm="1">
        <f t="array" aca="1" ref="R1392" ca="1">INDIRECT("Data!L" &amp; 1387)</f>
        <v>0</v>
      </c>
      <c r="S1392" cm="1">
        <f t="array" aca="1" ref="S1392" ca="1">INDIRECT("Data!M" &amp; 1387)</f>
        <v>0</v>
      </c>
      <c r="T1392" cm="1">
        <f t="array" aca="1" ref="T1392" ca="1">INDIRECT("Data!N" &amp; 1387)</f>
        <v>0</v>
      </c>
      <c r="U1392" cm="1">
        <f t="array" aca="1" ref="U1392" ca="1">INDIRECT("Data!O" &amp; 1387)</f>
        <v>0</v>
      </c>
      <c r="V1392" cm="1">
        <f t="array" aca="1" ref="V1392" ca="1">INDIRECT("Data!P" &amp; 1387)</f>
        <v>0</v>
      </c>
    </row>
    <row r="1393" spans="7:22" x14ac:dyDescent="0.25">
      <c r="G1393" cm="1">
        <f t="array" aca="1" ref="G1393" ca="1">INDIRECT("Data!A" &amp; 1388)</f>
        <v>0</v>
      </c>
      <c r="H1393" s="21" cm="1">
        <f t="array" aca="1" ref="H1393" ca="1">INDIRECT("Data!B" &amp; 1388)</f>
        <v>0</v>
      </c>
      <c r="I1393" s="21" cm="1">
        <f t="array" aca="1" ref="I1393" ca="1">INDIRECT("Data!C" &amp; 1388)</f>
        <v>0</v>
      </c>
      <c r="J1393" cm="1">
        <f t="array" aca="1" ref="J1393" ca="1">INDIRECT("Data!D" &amp; 1388)</f>
        <v>0</v>
      </c>
      <c r="K1393" cm="1">
        <f t="array" aca="1" ref="K1393" ca="1">INDIRECT("Data!E" &amp; 1388)</f>
        <v>0</v>
      </c>
      <c r="L1393" cm="1">
        <f t="array" aca="1" ref="L1393" ca="1">INDIRECT("Data!F" &amp; 1388)</f>
        <v>0</v>
      </c>
      <c r="M1393" cm="1">
        <f t="array" aca="1" ref="M1393" ca="1">INDIRECT("Data!G" &amp; 1388)</f>
        <v>0</v>
      </c>
      <c r="N1393" cm="1">
        <f t="array" aca="1" ref="N1393" ca="1">INDIRECT("Data!H" &amp; 1388)</f>
        <v>0</v>
      </c>
      <c r="O1393" cm="1">
        <f t="array" aca="1" ref="O1393" ca="1">INDIRECT("Data!I" &amp; 1388)</f>
        <v>0</v>
      </c>
      <c r="P1393" s="21" cm="1">
        <f t="array" aca="1" ref="P1393" ca="1">INDIRECT("Data!J" &amp; 1388)</f>
        <v>0</v>
      </c>
      <c r="Q1393" cm="1">
        <f t="array" aca="1" ref="Q1393" ca="1">INDIRECT("Data!K" &amp; 1388)</f>
        <v>0</v>
      </c>
      <c r="R1393" cm="1">
        <f t="array" aca="1" ref="R1393" ca="1">INDIRECT("Data!L" &amp; 1388)</f>
        <v>0</v>
      </c>
      <c r="S1393" cm="1">
        <f t="array" aca="1" ref="S1393" ca="1">INDIRECT("Data!M" &amp; 1388)</f>
        <v>0</v>
      </c>
      <c r="T1393" cm="1">
        <f t="array" aca="1" ref="T1393" ca="1">INDIRECT("Data!N" &amp; 1388)</f>
        <v>0</v>
      </c>
      <c r="U1393" cm="1">
        <f t="array" aca="1" ref="U1393" ca="1">INDIRECT("Data!O" &amp; 1388)</f>
        <v>0</v>
      </c>
      <c r="V1393" cm="1">
        <f t="array" aca="1" ref="V1393" ca="1">INDIRECT("Data!P" &amp; 1388)</f>
        <v>0</v>
      </c>
    </row>
    <row r="1394" spans="7:22" x14ac:dyDescent="0.25">
      <c r="G1394" cm="1">
        <f t="array" aca="1" ref="G1394" ca="1">INDIRECT("Data!A" &amp; 1389)</f>
        <v>0</v>
      </c>
      <c r="H1394" s="21" cm="1">
        <f t="array" aca="1" ref="H1394" ca="1">INDIRECT("Data!B" &amp; 1389)</f>
        <v>0</v>
      </c>
      <c r="I1394" s="21" cm="1">
        <f t="array" aca="1" ref="I1394" ca="1">INDIRECT("Data!C" &amp; 1389)</f>
        <v>0</v>
      </c>
      <c r="J1394" cm="1">
        <f t="array" aca="1" ref="J1394" ca="1">INDIRECT("Data!D" &amp; 1389)</f>
        <v>0</v>
      </c>
      <c r="K1394" cm="1">
        <f t="array" aca="1" ref="K1394" ca="1">INDIRECT("Data!E" &amp; 1389)</f>
        <v>0</v>
      </c>
      <c r="L1394" cm="1">
        <f t="array" aca="1" ref="L1394" ca="1">INDIRECT("Data!F" &amp; 1389)</f>
        <v>0</v>
      </c>
      <c r="M1394" cm="1">
        <f t="array" aca="1" ref="M1394" ca="1">INDIRECT("Data!G" &amp; 1389)</f>
        <v>0</v>
      </c>
      <c r="N1394" cm="1">
        <f t="array" aca="1" ref="N1394" ca="1">INDIRECT("Data!H" &amp; 1389)</f>
        <v>0</v>
      </c>
      <c r="O1394" cm="1">
        <f t="array" aca="1" ref="O1394" ca="1">INDIRECT("Data!I" &amp; 1389)</f>
        <v>0</v>
      </c>
      <c r="P1394" s="21" cm="1">
        <f t="array" aca="1" ref="P1394" ca="1">INDIRECT("Data!J" &amp; 1389)</f>
        <v>0</v>
      </c>
      <c r="Q1394" cm="1">
        <f t="array" aca="1" ref="Q1394" ca="1">INDIRECT("Data!K" &amp; 1389)</f>
        <v>0</v>
      </c>
      <c r="R1394" cm="1">
        <f t="array" aca="1" ref="R1394" ca="1">INDIRECT("Data!L" &amp; 1389)</f>
        <v>0</v>
      </c>
      <c r="S1394" cm="1">
        <f t="array" aca="1" ref="S1394" ca="1">INDIRECT("Data!M" &amp; 1389)</f>
        <v>0</v>
      </c>
      <c r="T1394" cm="1">
        <f t="array" aca="1" ref="T1394" ca="1">INDIRECT("Data!N" &amp; 1389)</f>
        <v>0</v>
      </c>
      <c r="U1394" cm="1">
        <f t="array" aca="1" ref="U1394" ca="1">INDIRECT("Data!O" &amp; 1389)</f>
        <v>0</v>
      </c>
      <c r="V1394" cm="1">
        <f t="array" aca="1" ref="V1394" ca="1">INDIRECT("Data!P" &amp; 1389)</f>
        <v>0</v>
      </c>
    </row>
    <row r="1395" spans="7:22" x14ac:dyDescent="0.25">
      <c r="G1395" cm="1">
        <f t="array" aca="1" ref="G1395" ca="1">INDIRECT("Data!A" &amp; 1390)</f>
        <v>0</v>
      </c>
      <c r="H1395" s="21" cm="1">
        <f t="array" aca="1" ref="H1395" ca="1">INDIRECT("Data!B" &amp; 1390)</f>
        <v>0</v>
      </c>
      <c r="I1395" s="21" cm="1">
        <f t="array" aca="1" ref="I1395" ca="1">INDIRECT("Data!C" &amp; 1390)</f>
        <v>0</v>
      </c>
      <c r="J1395" cm="1">
        <f t="array" aca="1" ref="J1395" ca="1">INDIRECT("Data!D" &amp; 1390)</f>
        <v>0</v>
      </c>
      <c r="K1395" cm="1">
        <f t="array" aca="1" ref="K1395" ca="1">INDIRECT("Data!E" &amp; 1390)</f>
        <v>0</v>
      </c>
      <c r="L1395" cm="1">
        <f t="array" aca="1" ref="L1395" ca="1">INDIRECT("Data!F" &amp; 1390)</f>
        <v>0</v>
      </c>
      <c r="M1395" cm="1">
        <f t="array" aca="1" ref="M1395" ca="1">INDIRECT("Data!G" &amp; 1390)</f>
        <v>0</v>
      </c>
      <c r="N1395" cm="1">
        <f t="array" aca="1" ref="N1395" ca="1">INDIRECT("Data!H" &amp; 1390)</f>
        <v>0</v>
      </c>
      <c r="O1395" cm="1">
        <f t="array" aca="1" ref="O1395" ca="1">INDIRECT("Data!I" &amp; 1390)</f>
        <v>0</v>
      </c>
      <c r="P1395" s="21" cm="1">
        <f t="array" aca="1" ref="P1395" ca="1">INDIRECT("Data!J" &amp; 1390)</f>
        <v>0</v>
      </c>
      <c r="Q1395" cm="1">
        <f t="array" aca="1" ref="Q1395" ca="1">INDIRECT("Data!K" &amp; 1390)</f>
        <v>0</v>
      </c>
      <c r="R1395" cm="1">
        <f t="array" aca="1" ref="R1395" ca="1">INDIRECT("Data!L" &amp; 1390)</f>
        <v>0</v>
      </c>
      <c r="S1395" cm="1">
        <f t="array" aca="1" ref="S1395" ca="1">INDIRECT("Data!M" &amp; 1390)</f>
        <v>0</v>
      </c>
      <c r="T1395" cm="1">
        <f t="array" aca="1" ref="T1395" ca="1">INDIRECT("Data!N" &amp; 1390)</f>
        <v>0</v>
      </c>
      <c r="U1395" cm="1">
        <f t="array" aca="1" ref="U1395" ca="1">INDIRECT("Data!O" &amp; 1390)</f>
        <v>0</v>
      </c>
      <c r="V1395" cm="1">
        <f t="array" aca="1" ref="V1395" ca="1">INDIRECT("Data!P" &amp; 1390)</f>
        <v>0</v>
      </c>
    </row>
    <row r="1396" spans="7:22" x14ac:dyDescent="0.25">
      <c r="G1396" cm="1">
        <f t="array" aca="1" ref="G1396" ca="1">INDIRECT("Data!A" &amp; 1391)</f>
        <v>0</v>
      </c>
      <c r="H1396" s="21" cm="1">
        <f t="array" aca="1" ref="H1396" ca="1">INDIRECT("Data!B" &amp; 1391)</f>
        <v>0</v>
      </c>
      <c r="I1396" s="21" cm="1">
        <f t="array" aca="1" ref="I1396" ca="1">INDIRECT("Data!C" &amp; 1391)</f>
        <v>0</v>
      </c>
      <c r="J1396" cm="1">
        <f t="array" aca="1" ref="J1396" ca="1">INDIRECT("Data!D" &amp; 1391)</f>
        <v>0</v>
      </c>
      <c r="K1396" cm="1">
        <f t="array" aca="1" ref="K1396" ca="1">INDIRECT("Data!E" &amp; 1391)</f>
        <v>0</v>
      </c>
      <c r="L1396" cm="1">
        <f t="array" aca="1" ref="L1396" ca="1">INDIRECT("Data!F" &amp; 1391)</f>
        <v>0</v>
      </c>
      <c r="M1396" cm="1">
        <f t="array" aca="1" ref="M1396" ca="1">INDIRECT("Data!G" &amp; 1391)</f>
        <v>0</v>
      </c>
      <c r="N1396" cm="1">
        <f t="array" aca="1" ref="N1396" ca="1">INDIRECT("Data!H" &amp; 1391)</f>
        <v>0</v>
      </c>
      <c r="O1396" cm="1">
        <f t="array" aca="1" ref="O1396" ca="1">INDIRECT("Data!I" &amp; 1391)</f>
        <v>0</v>
      </c>
      <c r="P1396" s="21" cm="1">
        <f t="array" aca="1" ref="P1396" ca="1">INDIRECT("Data!J" &amp; 1391)</f>
        <v>0</v>
      </c>
      <c r="Q1396" cm="1">
        <f t="array" aca="1" ref="Q1396" ca="1">INDIRECT("Data!K" &amp; 1391)</f>
        <v>0</v>
      </c>
      <c r="R1396" cm="1">
        <f t="array" aca="1" ref="R1396" ca="1">INDIRECT("Data!L" &amp; 1391)</f>
        <v>0</v>
      </c>
      <c r="S1396" cm="1">
        <f t="array" aca="1" ref="S1396" ca="1">INDIRECT("Data!M" &amp; 1391)</f>
        <v>0</v>
      </c>
      <c r="T1396" cm="1">
        <f t="array" aca="1" ref="T1396" ca="1">INDIRECT("Data!N" &amp; 1391)</f>
        <v>0</v>
      </c>
      <c r="U1396" cm="1">
        <f t="array" aca="1" ref="U1396" ca="1">INDIRECT("Data!O" &amp; 1391)</f>
        <v>0</v>
      </c>
      <c r="V1396" cm="1">
        <f t="array" aca="1" ref="V1396" ca="1">INDIRECT("Data!P" &amp; 1391)</f>
        <v>0</v>
      </c>
    </row>
    <row r="1397" spans="7:22" x14ac:dyDescent="0.25">
      <c r="G1397" cm="1">
        <f t="array" aca="1" ref="G1397" ca="1">INDIRECT("Data!A" &amp; 1392)</f>
        <v>0</v>
      </c>
      <c r="H1397" s="21" cm="1">
        <f t="array" aca="1" ref="H1397" ca="1">INDIRECT("Data!B" &amp; 1392)</f>
        <v>0</v>
      </c>
      <c r="I1397" s="21" cm="1">
        <f t="array" aca="1" ref="I1397" ca="1">INDIRECT("Data!C" &amp; 1392)</f>
        <v>0</v>
      </c>
      <c r="J1397" cm="1">
        <f t="array" aca="1" ref="J1397" ca="1">INDIRECT("Data!D" &amp; 1392)</f>
        <v>0</v>
      </c>
      <c r="K1397" cm="1">
        <f t="array" aca="1" ref="K1397" ca="1">INDIRECT("Data!E" &amp; 1392)</f>
        <v>0</v>
      </c>
      <c r="L1397" cm="1">
        <f t="array" aca="1" ref="L1397" ca="1">INDIRECT("Data!F" &amp; 1392)</f>
        <v>0</v>
      </c>
      <c r="M1397" cm="1">
        <f t="array" aca="1" ref="M1397" ca="1">INDIRECT("Data!G" &amp; 1392)</f>
        <v>0</v>
      </c>
      <c r="N1397" cm="1">
        <f t="array" aca="1" ref="N1397" ca="1">INDIRECT("Data!H" &amp; 1392)</f>
        <v>0</v>
      </c>
      <c r="O1397" cm="1">
        <f t="array" aca="1" ref="O1397" ca="1">INDIRECT("Data!I" &amp; 1392)</f>
        <v>0</v>
      </c>
      <c r="P1397" s="21" cm="1">
        <f t="array" aca="1" ref="P1397" ca="1">INDIRECT("Data!J" &amp; 1392)</f>
        <v>0</v>
      </c>
      <c r="Q1397" cm="1">
        <f t="array" aca="1" ref="Q1397" ca="1">INDIRECT("Data!K" &amp; 1392)</f>
        <v>0</v>
      </c>
      <c r="R1397" cm="1">
        <f t="array" aca="1" ref="R1397" ca="1">INDIRECT("Data!L" &amp; 1392)</f>
        <v>0</v>
      </c>
      <c r="S1397" cm="1">
        <f t="array" aca="1" ref="S1397" ca="1">INDIRECT("Data!M" &amp; 1392)</f>
        <v>0</v>
      </c>
      <c r="T1397" cm="1">
        <f t="array" aca="1" ref="T1397" ca="1">INDIRECT("Data!N" &amp; 1392)</f>
        <v>0</v>
      </c>
      <c r="U1397" cm="1">
        <f t="array" aca="1" ref="U1397" ca="1">INDIRECT("Data!O" &amp; 1392)</f>
        <v>0</v>
      </c>
      <c r="V1397" cm="1">
        <f t="array" aca="1" ref="V1397" ca="1">INDIRECT("Data!P" &amp; 1392)</f>
        <v>0</v>
      </c>
    </row>
    <row r="1398" spans="7:22" x14ac:dyDescent="0.25">
      <c r="G1398" cm="1">
        <f t="array" aca="1" ref="G1398" ca="1">INDIRECT("Data!A" &amp; 1393)</f>
        <v>0</v>
      </c>
      <c r="H1398" s="21" cm="1">
        <f t="array" aca="1" ref="H1398" ca="1">INDIRECT("Data!B" &amp; 1393)</f>
        <v>0</v>
      </c>
      <c r="I1398" s="21" cm="1">
        <f t="array" aca="1" ref="I1398" ca="1">INDIRECT("Data!C" &amp; 1393)</f>
        <v>0</v>
      </c>
      <c r="J1398" cm="1">
        <f t="array" aca="1" ref="J1398" ca="1">INDIRECT("Data!D" &amp; 1393)</f>
        <v>0</v>
      </c>
      <c r="K1398" cm="1">
        <f t="array" aca="1" ref="K1398" ca="1">INDIRECT("Data!E" &amp; 1393)</f>
        <v>0</v>
      </c>
      <c r="L1398" cm="1">
        <f t="array" aca="1" ref="L1398" ca="1">INDIRECT("Data!F" &amp; 1393)</f>
        <v>0</v>
      </c>
      <c r="M1398" cm="1">
        <f t="array" aca="1" ref="M1398" ca="1">INDIRECT("Data!G" &amp; 1393)</f>
        <v>0</v>
      </c>
      <c r="N1398" cm="1">
        <f t="array" aca="1" ref="N1398" ca="1">INDIRECT("Data!H" &amp; 1393)</f>
        <v>0</v>
      </c>
      <c r="O1398" cm="1">
        <f t="array" aca="1" ref="O1398" ca="1">INDIRECT("Data!I" &amp; 1393)</f>
        <v>0</v>
      </c>
      <c r="P1398" s="21" cm="1">
        <f t="array" aca="1" ref="P1398" ca="1">INDIRECT("Data!J" &amp; 1393)</f>
        <v>0</v>
      </c>
      <c r="Q1398" cm="1">
        <f t="array" aca="1" ref="Q1398" ca="1">INDIRECT("Data!K" &amp; 1393)</f>
        <v>0</v>
      </c>
      <c r="R1398" cm="1">
        <f t="array" aca="1" ref="R1398" ca="1">INDIRECT("Data!L" &amp; 1393)</f>
        <v>0</v>
      </c>
      <c r="S1398" cm="1">
        <f t="array" aca="1" ref="S1398" ca="1">INDIRECT("Data!M" &amp; 1393)</f>
        <v>0</v>
      </c>
      <c r="T1398" cm="1">
        <f t="array" aca="1" ref="T1398" ca="1">INDIRECT("Data!N" &amp; 1393)</f>
        <v>0</v>
      </c>
      <c r="U1398" cm="1">
        <f t="array" aca="1" ref="U1398" ca="1">INDIRECT("Data!O" &amp; 1393)</f>
        <v>0</v>
      </c>
      <c r="V1398" cm="1">
        <f t="array" aca="1" ref="V1398" ca="1">INDIRECT("Data!P" &amp; 1393)</f>
        <v>0</v>
      </c>
    </row>
    <row r="1399" spans="7:22" x14ac:dyDescent="0.25">
      <c r="G1399" cm="1">
        <f t="array" aca="1" ref="G1399" ca="1">INDIRECT("Data!A" &amp; 1394)</f>
        <v>0</v>
      </c>
      <c r="H1399" s="21" cm="1">
        <f t="array" aca="1" ref="H1399" ca="1">INDIRECT("Data!B" &amp; 1394)</f>
        <v>0</v>
      </c>
      <c r="I1399" s="21" cm="1">
        <f t="array" aca="1" ref="I1399" ca="1">INDIRECT("Data!C" &amp; 1394)</f>
        <v>0</v>
      </c>
      <c r="J1399" cm="1">
        <f t="array" aca="1" ref="J1399" ca="1">INDIRECT("Data!D" &amp; 1394)</f>
        <v>0</v>
      </c>
      <c r="K1399" cm="1">
        <f t="array" aca="1" ref="K1399" ca="1">INDIRECT("Data!E" &amp; 1394)</f>
        <v>0</v>
      </c>
      <c r="L1399" cm="1">
        <f t="array" aca="1" ref="L1399" ca="1">INDIRECT("Data!F" &amp; 1394)</f>
        <v>0</v>
      </c>
      <c r="M1399" cm="1">
        <f t="array" aca="1" ref="M1399" ca="1">INDIRECT("Data!G" &amp; 1394)</f>
        <v>0</v>
      </c>
      <c r="N1399" cm="1">
        <f t="array" aca="1" ref="N1399" ca="1">INDIRECT("Data!H" &amp; 1394)</f>
        <v>0</v>
      </c>
      <c r="O1399" cm="1">
        <f t="array" aca="1" ref="O1399" ca="1">INDIRECT("Data!I" &amp; 1394)</f>
        <v>0</v>
      </c>
      <c r="P1399" s="21" cm="1">
        <f t="array" aca="1" ref="P1399" ca="1">INDIRECT("Data!J" &amp; 1394)</f>
        <v>0</v>
      </c>
      <c r="Q1399" cm="1">
        <f t="array" aca="1" ref="Q1399" ca="1">INDIRECT("Data!K" &amp; 1394)</f>
        <v>0</v>
      </c>
      <c r="R1399" cm="1">
        <f t="array" aca="1" ref="R1399" ca="1">INDIRECT("Data!L" &amp; 1394)</f>
        <v>0</v>
      </c>
      <c r="S1399" cm="1">
        <f t="array" aca="1" ref="S1399" ca="1">INDIRECT("Data!M" &amp; 1394)</f>
        <v>0</v>
      </c>
      <c r="T1399" cm="1">
        <f t="array" aca="1" ref="T1399" ca="1">INDIRECT("Data!N" &amp; 1394)</f>
        <v>0</v>
      </c>
      <c r="U1399" cm="1">
        <f t="array" aca="1" ref="U1399" ca="1">INDIRECT("Data!O" &amp; 1394)</f>
        <v>0</v>
      </c>
      <c r="V1399" cm="1">
        <f t="array" aca="1" ref="V1399" ca="1">INDIRECT("Data!P" &amp; 1394)</f>
        <v>0</v>
      </c>
    </row>
    <row r="1400" spans="7:22" x14ac:dyDescent="0.25">
      <c r="G1400" cm="1">
        <f t="array" aca="1" ref="G1400" ca="1">INDIRECT("Data!A" &amp; 1395)</f>
        <v>0</v>
      </c>
      <c r="H1400" s="21" cm="1">
        <f t="array" aca="1" ref="H1400" ca="1">INDIRECT("Data!B" &amp; 1395)</f>
        <v>0</v>
      </c>
      <c r="I1400" s="21" cm="1">
        <f t="array" aca="1" ref="I1400" ca="1">INDIRECT("Data!C" &amp; 1395)</f>
        <v>0</v>
      </c>
      <c r="J1400" cm="1">
        <f t="array" aca="1" ref="J1400" ca="1">INDIRECT("Data!D" &amp; 1395)</f>
        <v>0</v>
      </c>
      <c r="K1400" cm="1">
        <f t="array" aca="1" ref="K1400" ca="1">INDIRECT("Data!E" &amp; 1395)</f>
        <v>0</v>
      </c>
      <c r="L1400" cm="1">
        <f t="array" aca="1" ref="L1400" ca="1">INDIRECT("Data!F" &amp; 1395)</f>
        <v>0</v>
      </c>
      <c r="M1400" cm="1">
        <f t="array" aca="1" ref="M1400" ca="1">INDIRECT("Data!G" &amp; 1395)</f>
        <v>0</v>
      </c>
      <c r="N1400" cm="1">
        <f t="array" aca="1" ref="N1400" ca="1">INDIRECT("Data!H" &amp; 1395)</f>
        <v>0</v>
      </c>
      <c r="O1400" cm="1">
        <f t="array" aca="1" ref="O1400" ca="1">INDIRECT("Data!I" &amp; 1395)</f>
        <v>0</v>
      </c>
      <c r="P1400" s="21" cm="1">
        <f t="array" aca="1" ref="P1400" ca="1">INDIRECT("Data!J" &amp; 1395)</f>
        <v>0</v>
      </c>
      <c r="Q1400" cm="1">
        <f t="array" aca="1" ref="Q1400" ca="1">INDIRECT("Data!K" &amp; 1395)</f>
        <v>0</v>
      </c>
      <c r="R1400" cm="1">
        <f t="array" aca="1" ref="R1400" ca="1">INDIRECT("Data!L" &amp; 1395)</f>
        <v>0</v>
      </c>
      <c r="S1400" cm="1">
        <f t="array" aca="1" ref="S1400" ca="1">INDIRECT("Data!M" &amp; 1395)</f>
        <v>0</v>
      </c>
      <c r="T1400" cm="1">
        <f t="array" aca="1" ref="T1400" ca="1">INDIRECT("Data!N" &amp; 1395)</f>
        <v>0</v>
      </c>
      <c r="U1400" cm="1">
        <f t="array" aca="1" ref="U1400" ca="1">INDIRECT("Data!O" &amp; 1395)</f>
        <v>0</v>
      </c>
      <c r="V1400" cm="1">
        <f t="array" aca="1" ref="V1400" ca="1">INDIRECT("Data!P" &amp; 1395)</f>
        <v>0</v>
      </c>
    </row>
    <row r="1401" spans="7:22" x14ac:dyDescent="0.25">
      <c r="G1401" cm="1">
        <f t="array" aca="1" ref="G1401" ca="1">INDIRECT("Data!A" &amp; 1396)</f>
        <v>0</v>
      </c>
      <c r="H1401" s="21" cm="1">
        <f t="array" aca="1" ref="H1401" ca="1">INDIRECT("Data!B" &amp; 1396)</f>
        <v>0</v>
      </c>
      <c r="I1401" s="21" cm="1">
        <f t="array" aca="1" ref="I1401" ca="1">INDIRECT("Data!C" &amp; 1396)</f>
        <v>0</v>
      </c>
      <c r="J1401" cm="1">
        <f t="array" aca="1" ref="J1401" ca="1">INDIRECT("Data!D" &amp; 1396)</f>
        <v>0</v>
      </c>
      <c r="K1401" cm="1">
        <f t="array" aca="1" ref="K1401" ca="1">INDIRECT("Data!E" &amp; 1396)</f>
        <v>0</v>
      </c>
      <c r="L1401" cm="1">
        <f t="array" aca="1" ref="L1401" ca="1">INDIRECT("Data!F" &amp; 1396)</f>
        <v>0</v>
      </c>
      <c r="M1401" cm="1">
        <f t="array" aca="1" ref="M1401" ca="1">INDIRECT("Data!G" &amp; 1396)</f>
        <v>0</v>
      </c>
      <c r="N1401" cm="1">
        <f t="array" aca="1" ref="N1401" ca="1">INDIRECT("Data!H" &amp; 1396)</f>
        <v>0</v>
      </c>
      <c r="O1401" cm="1">
        <f t="array" aca="1" ref="O1401" ca="1">INDIRECT("Data!I" &amp; 1396)</f>
        <v>0</v>
      </c>
      <c r="P1401" s="21" cm="1">
        <f t="array" aca="1" ref="P1401" ca="1">INDIRECT("Data!J" &amp; 1396)</f>
        <v>0</v>
      </c>
      <c r="Q1401" cm="1">
        <f t="array" aca="1" ref="Q1401" ca="1">INDIRECT("Data!K" &amp; 1396)</f>
        <v>0</v>
      </c>
      <c r="R1401" cm="1">
        <f t="array" aca="1" ref="R1401" ca="1">INDIRECT("Data!L" &amp; 1396)</f>
        <v>0</v>
      </c>
      <c r="S1401" cm="1">
        <f t="array" aca="1" ref="S1401" ca="1">INDIRECT("Data!M" &amp; 1396)</f>
        <v>0</v>
      </c>
      <c r="T1401" cm="1">
        <f t="array" aca="1" ref="T1401" ca="1">INDIRECT("Data!N" &amp; 1396)</f>
        <v>0</v>
      </c>
      <c r="U1401" cm="1">
        <f t="array" aca="1" ref="U1401" ca="1">INDIRECT("Data!O" &amp; 1396)</f>
        <v>0</v>
      </c>
      <c r="V1401" cm="1">
        <f t="array" aca="1" ref="V1401" ca="1">INDIRECT("Data!P" &amp; 1396)</f>
        <v>0</v>
      </c>
    </row>
    <row r="1402" spans="7:22" x14ac:dyDescent="0.25">
      <c r="G1402" cm="1">
        <f t="array" aca="1" ref="G1402" ca="1">INDIRECT("Data!A" &amp; 1397)</f>
        <v>0</v>
      </c>
      <c r="H1402" s="21" cm="1">
        <f t="array" aca="1" ref="H1402" ca="1">INDIRECT("Data!B" &amp; 1397)</f>
        <v>0</v>
      </c>
      <c r="I1402" s="21" cm="1">
        <f t="array" aca="1" ref="I1402" ca="1">INDIRECT("Data!C" &amp; 1397)</f>
        <v>0</v>
      </c>
      <c r="J1402" cm="1">
        <f t="array" aca="1" ref="J1402" ca="1">INDIRECT("Data!D" &amp; 1397)</f>
        <v>0</v>
      </c>
      <c r="K1402" cm="1">
        <f t="array" aca="1" ref="K1402" ca="1">INDIRECT("Data!E" &amp; 1397)</f>
        <v>0</v>
      </c>
      <c r="L1402" cm="1">
        <f t="array" aca="1" ref="L1402" ca="1">INDIRECT("Data!F" &amp; 1397)</f>
        <v>0</v>
      </c>
      <c r="M1402" cm="1">
        <f t="array" aca="1" ref="M1402" ca="1">INDIRECT("Data!G" &amp; 1397)</f>
        <v>0</v>
      </c>
      <c r="N1402" cm="1">
        <f t="array" aca="1" ref="N1402" ca="1">INDIRECT("Data!H" &amp; 1397)</f>
        <v>0</v>
      </c>
      <c r="O1402" cm="1">
        <f t="array" aca="1" ref="O1402" ca="1">INDIRECT("Data!I" &amp; 1397)</f>
        <v>0</v>
      </c>
      <c r="P1402" s="21" cm="1">
        <f t="array" aca="1" ref="P1402" ca="1">INDIRECT("Data!J" &amp; 1397)</f>
        <v>0</v>
      </c>
      <c r="Q1402" cm="1">
        <f t="array" aca="1" ref="Q1402" ca="1">INDIRECT("Data!K" &amp; 1397)</f>
        <v>0</v>
      </c>
      <c r="R1402" cm="1">
        <f t="array" aca="1" ref="R1402" ca="1">INDIRECT("Data!L" &amp; 1397)</f>
        <v>0</v>
      </c>
      <c r="S1402" cm="1">
        <f t="array" aca="1" ref="S1402" ca="1">INDIRECT("Data!M" &amp; 1397)</f>
        <v>0</v>
      </c>
      <c r="T1402" cm="1">
        <f t="array" aca="1" ref="T1402" ca="1">INDIRECT("Data!N" &amp; 1397)</f>
        <v>0</v>
      </c>
      <c r="U1402" cm="1">
        <f t="array" aca="1" ref="U1402" ca="1">INDIRECT("Data!O" &amp; 1397)</f>
        <v>0</v>
      </c>
      <c r="V1402" cm="1">
        <f t="array" aca="1" ref="V1402" ca="1">INDIRECT("Data!P" &amp; 1397)</f>
        <v>0</v>
      </c>
    </row>
    <row r="1403" spans="7:22" x14ac:dyDescent="0.25">
      <c r="G1403" cm="1">
        <f t="array" aca="1" ref="G1403" ca="1">INDIRECT("Data!A" &amp; 1398)</f>
        <v>0</v>
      </c>
      <c r="H1403" s="21" cm="1">
        <f t="array" aca="1" ref="H1403" ca="1">INDIRECT("Data!B" &amp; 1398)</f>
        <v>0</v>
      </c>
      <c r="I1403" s="21" cm="1">
        <f t="array" aca="1" ref="I1403" ca="1">INDIRECT("Data!C" &amp; 1398)</f>
        <v>0</v>
      </c>
      <c r="J1403" cm="1">
        <f t="array" aca="1" ref="J1403" ca="1">INDIRECT("Data!D" &amp; 1398)</f>
        <v>0</v>
      </c>
      <c r="K1403" cm="1">
        <f t="array" aca="1" ref="K1403" ca="1">INDIRECT("Data!E" &amp; 1398)</f>
        <v>0</v>
      </c>
      <c r="L1403" cm="1">
        <f t="array" aca="1" ref="L1403" ca="1">INDIRECT("Data!F" &amp; 1398)</f>
        <v>0</v>
      </c>
      <c r="M1403" cm="1">
        <f t="array" aca="1" ref="M1403" ca="1">INDIRECT("Data!G" &amp; 1398)</f>
        <v>0</v>
      </c>
      <c r="N1403" cm="1">
        <f t="array" aca="1" ref="N1403" ca="1">INDIRECT("Data!H" &amp; 1398)</f>
        <v>0</v>
      </c>
      <c r="O1403" cm="1">
        <f t="array" aca="1" ref="O1403" ca="1">INDIRECT("Data!I" &amp; 1398)</f>
        <v>0</v>
      </c>
      <c r="P1403" s="21" cm="1">
        <f t="array" aca="1" ref="P1403" ca="1">INDIRECT("Data!J" &amp; 1398)</f>
        <v>0</v>
      </c>
      <c r="Q1403" cm="1">
        <f t="array" aca="1" ref="Q1403" ca="1">INDIRECT("Data!K" &amp; 1398)</f>
        <v>0</v>
      </c>
      <c r="R1403" cm="1">
        <f t="array" aca="1" ref="R1403" ca="1">INDIRECT("Data!L" &amp; 1398)</f>
        <v>0</v>
      </c>
      <c r="S1403" cm="1">
        <f t="array" aca="1" ref="S1403" ca="1">INDIRECT("Data!M" &amp; 1398)</f>
        <v>0</v>
      </c>
      <c r="T1403" cm="1">
        <f t="array" aca="1" ref="T1403" ca="1">INDIRECT("Data!N" &amp; 1398)</f>
        <v>0</v>
      </c>
      <c r="U1403" cm="1">
        <f t="array" aca="1" ref="U1403" ca="1">INDIRECT("Data!O" &amp; 1398)</f>
        <v>0</v>
      </c>
      <c r="V1403" cm="1">
        <f t="array" aca="1" ref="V1403" ca="1">INDIRECT("Data!P" &amp; 1398)</f>
        <v>0</v>
      </c>
    </row>
    <row r="1404" spans="7:22" x14ac:dyDescent="0.25">
      <c r="G1404" cm="1">
        <f t="array" aca="1" ref="G1404" ca="1">INDIRECT("Data!A" &amp; 1399)</f>
        <v>0</v>
      </c>
      <c r="H1404" s="21" cm="1">
        <f t="array" aca="1" ref="H1404" ca="1">INDIRECT("Data!B" &amp; 1399)</f>
        <v>0</v>
      </c>
      <c r="I1404" s="21" cm="1">
        <f t="array" aca="1" ref="I1404" ca="1">INDIRECT("Data!C" &amp; 1399)</f>
        <v>0</v>
      </c>
      <c r="J1404" cm="1">
        <f t="array" aca="1" ref="J1404" ca="1">INDIRECT("Data!D" &amp; 1399)</f>
        <v>0</v>
      </c>
      <c r="K1404" cm="1">
        <f t="array" aca="1" ref="K1404" ca="1">INDIRECT("Data!E" &amp; 1399)</f>
        <v>0</v>
      </c>
      <c r="L1404" cm="1">
        <f t="array" aca="1" ref="L1404" ca="1">INDIRECT("Data!F" &amp; 1399)</f>
        <v>0</v>
      </c>
      <c r="M1404" cm="1">
        <f t="array" aca="1" ref="M1404" ca="1">INDIRECT("Data!G" &amp; 1399)</f>
        <v>0</v>
      </c>
      <c r="N1404" cm="1">
        <f t="array" aca="1" ref="N1404" ca="1">INDIRECT("Data!H" &amp; 1399)</f>
        <v>0</v>
      </c>
      <c r="O1404" cm="1">
        <f t="array" aca="1" ref="O1404" ca="1">INDIRECT("Data!I" &amp; 1399)</f>
        <v>0</v>
      </c>
      <c r="P1404" s="21" cm="1">
        <f t="array" aca="1" ref="P1404" ca="1">INDIRECT("Data!J" &amp; 1399)</f>
        <v>0</v>
      </c>
      <c r="Q1404" cm="1">
        <f t="array" aca="1" ref="Q1404" ca="1">INDIRECT("Data!K" &amp; 1399)</f>
        <v>0</v>
      </c>
      <c r="R1404" cm="1">
        <f t="array" aca="1" ref="R1404" ca="1">INDIRECT("Data!L" &amp; 1399)</f>
        <v>0</v>
      </c>
      <c r="S1404" cm="1">
        <f t="array" aca="1" ref="S1404" ca="1">INDIRECT("Data!M" &amp; 1399)</f>
        <v>0</v>
      </c>
      <c r="T1404" cm="1">
        <f t="array" aca="1" ref="T1404" ca="1">INDIRECT("Data!N" &amp; 1399)</f>
        <v>0</v>
      </c>
      <c r="U1404" cm="1">
        <f t="array" aca="1" ref="U1404" ca="1">INDIRECT("Data!O" &amp; 1399)</f>
        <v>0</v>
      </c>
      <c r="V1404" cm="1">
        <f t="array" aca="1" ref="V1404" ca="1">INDIRECT("Data!P" &amp; 1399)</f>
        <v>0</v>
      </c>
    </row>
    <row r="1405" spans="7:22" x14ac:dyDescent="0.25">
      <c r="G1405" cm="1">
        <f t="array" aca="1" ref="G1405" ca="1">INDIRECT("Data!A" &amp; 1400)</f>
        <v>0</v>
      </c>
      <c r="H1405" s="21" cm="1">
        <f t="array" aca="1" ref="H1405" ca="1">INDIRECT("Data!B" &amp; 1400)</f>
        <v>0</v>
      </c>
      <c r="I1405" s="21" cm="1">
        <f t="array" aca="1" ref="I1405" ca="1">INDIRECT("Data!C" &amp; 1400)</f>
        <v>0</v>
      </c>
      <c r="J1405" cm="1">
        <f t="array" aca="1" ref="J1405" ca="1">INDIRECT("Data!D" &amp; 1400)</f>
        <v>0</v>
      </c>
      <c r="K1405" cm="1">
        <f t="array" aca="1" ref="K1405" ca="1">INDIRECT("Data!E" &amp; 1400)</f>
        <v>0</v>
      </c>
      <c r="L1405" cm="1">
        <f t="array" aca="1" ref="L1405" ca="1">INDIRECT("Data!F" &amp; 1400)</f>
        <v>0</v>
      </c>
      <c r="M1405" cm="1">
        <f t="array" aca="1" ref="M1405" ca="1">INDIRECT("Data!G" &amp; 1400)</f>
        <v>0</v>
      </c>
      <c r="N1405" cm="1">
        <f t="array" aca="1" ref="N1405" ca="1">INDIRECT("Data!H" &amp; 1400)</f>
        <v>0</v>
      </c>
      <c r="O1405" cm="1">
        <f t="array" aca="1" ref="O1405" ca="1">INDIRECT("Data!I" &amp; 1400)</f>
        <v>0</v>
      </c>
      <c r="P1405" s="21" cm="1">
        <f t="array" aca="1" ref="P1405" ca="1">INDIRECT("Data!J" &amp; 1400)</f>
        <v>0</v>
      </c>
      <c r="Q1405" cm="1">
        <f t="array" aca="1" ref="Q1405" ca="1">INDIRECT("Data!K" &amp; 1400)</f>
        <v>0</v>
      </c>
      <c r="R1405" cm="1">
        <f t="array" aca="1" ref="R1405" ca="1">INDIRECT("Data!L" &amp; 1400)</f>
        <v>0</v>
      </c>
      <c r="S1405" cm="1">
        <f t="array" aca="1" ref="S1405" ca="1">INDIRECT("Data!M" &amp; 1400)</f>
        <v>0</v>
      </c>
      <c r="T1405" cm="1">
        <f t="array" aca="1" ref="T1405" ca="1">INDIRECT("Data!N" &amp; 1400)</f>
        <v>0</v>
      </c>
      <c r="U1405" cm="1">
        <f t="array" aca="1" ref="U1405" ca="1">INDIRECT("Data!O" &amp; 1400)</f>
        <v>0</v>
      </c>
      <c r="V1405" cm="1">
        <f t="array" aca="1" ref="V1405" ca="1">INDIRECT("Data!P" &amp; 1400)</f>
        <v>0</v>
      </c>
    </row>
    <row r="1406" spans="7:22" x14ac:dyDescent="0.25">
      <c r="G1406" cm="1">
        <f t="array" aca="1" ref="G1406" ca="1">INDIRECT("Data!A" &amp; 1401)</f>
        <v>0</v>
      </c>
      <c r="H1406" s="21" cm="1">
        <f t="array" aca="1" ref="H1406" ca="1">INDIRECT("Data!B" &amp; 1401)</f>
        <v>0</v>
      </c>
      <c r="I1406" s="21" cm="1">
        <f t="array" aca="1" ref="I1406" ca="1">INDIRECT("Data!C" &amp; 1401)</f>
        <v>0</v>
      </c>
      <c r="J1406" cm="1">
        <f t="array" aca="1" ref="J1406" ca="1">INDIRECT("Data!D" &amp; 1401)</f>
        <v>0</v>
      </c>
      <c r="K1406" cm="1">
        <f t="array" aca="1" ref="K1406" ca="1">INDIRECT("Data!E" &amp; 1401)</f>
        <v>0</v>
      </c>
      <c r="L1406" cm="1">
        <f t="array" aca="1" ref="L1406" ca="1">INDIRECT("Data!F" &amp; 1401)</f>
        <v>0</v>
      </c>
      <c r="M1406" cm="1">
        <f t="array" aca="1" ref="M1406" ca="1">INDIRECT("Data!G" &amp; 1401)</f>
        <v>0</v>
      </c>
      <c r="N1406" cm="1">
        <f t="array" aca="1" ref="N1406" ca="1">INDIRECT("Data!H" &amp; 1401)</f>
        <v>0</v>
      </c>
      <c r="O1406" cm="1">
        <f t="array" aca="1" ref="O1406" ca="1">INDIRECT("Data!I" &amp; 1401)</f>
        <v>0</v>
      </c>
      <c r="P1406" s="21" cm="1">
        <f t="array" aca="1" ref="P1406" ca="1">INDIRECT("Data!J" &amp; 1401)</f>
        <v>0</v>
      </c>
      <c r="Q1406" cm="1">
        <f t="array" aca="1" ref="Q1406" ca="1">INDIRECT("Data!K" &amp; 1401)</f>
        <v>0</v>
      </c>
      <c r="R1406" cm="1">
        <f t="array" aca="1" ref="R1406" ca="1">INDIRECT("Data!L" &amp; 1401)</f>
        <v>0</v>
      </c>
      <c r="S1406" cm="1">
        <f t="array" aca="1" ref="S1406" ca="1">INDIRECT("Data!M" &amp; 1401)</f>
        <v>0</v>
      </c>
      <c r="T1406" cm="1">
        <f t="array" aca="1" ref="T1406" ca="1">INDIRECT("Data!N" &amp; 1401)</f>
        <v>0</v>
      </c>
      <c r="U1406" cm="1">
        <f t="array" aca="1" ref="U1406" ca="1">INDIRECT("Data!O" &amp; 1401)</f>
        <v>0</v>
      </c>
      <c r="V1406" cm="1">
        <f t="array" aca="1" ref="V1406" ca="1">INDIRECT("Data!P" &amp; 1401)</f>
        <v>0</v>
      </c>
    </row>
    <row r="1407" spans="7:22" x14ac:dyDescent="0.25">
      <c r="G1407" cm="1">
        <f t="array" aca="1" ref="G1407" ca="1">INDIRECT("Data!A" &amp; 1402)</f>
        <v>0</v>
      </c>
      <c r="H1407" s="21" cm="1">
        <f t="array" aca="1" ref="H1407" ca="1">INDIRECT("Data!B" &amp; 1402)</f>
        <v>0</v>
      </c>
      <c r="I1407" s="21" cm="1">
        <f t="array" aca="1" ref="I1407" ca="1">INDIRECT("Data!C" &amp; 1402)</f>
        <v>0</v>
      </c>
      <c r="J1407" cm="1">
        <f t="array" aca="1" ref="J1407" ca="1">INDIRECT("Data!D" &amp; 1402)</f>
        <v>0</v>
      </c>
      <c r="K1407" cm="1">
        <f t="array" aca="1" ref="K1407" ca="1">INDIRECT("Data!E" &amp; 1402)</f>
        <v>0</v>
      </c>
      <c r="L1407" cm="1">
        <f t="array" aca="1" ref="L1407" ca="1">INDIRECT("Data!F" &amp; 1402)</f>
        <v>0</v>
      </c>
      <c r="M1407" cm="1">
        <f t="array" aca="1" ref="M1407" ca="1">INDIRECT("Data!G" &amp; 1402)</f>
        <v>0</v>
      </c>
      <c r="N1407" cm="1">
        <f t="array" aca="1" ref="N1407" ca="1">INDIRECT("Data!H" &amp; 1402)</f>
        <v>0</v>
      </c>
      <c r="O1407" cm="1">
        <f t="array" aca="1" ref="O1407" ca="1">INDIRECT("Data!I" &amp; 1402)</f>
        <v>0</v>
      </c>
      <c r="P1407" s="21" cm="1">
        <f t="array" aca="1" ref="P1407" ca="1">INDIRECT("Data!J" &amp; 1402)</f>
        <v>0</v>
      </c>
      <c r="Q1407" cm="1">
        <f t="array" aca="1" ref="Q1407" ca="1">INDIRECT("Data!K" &amp; 1402)</f>
        <v>0</v>
      </c>
      <c r="R1407" cm="1">
        <f t="array" aca="1" ref="R1407" ca="1">INDIRECT("Data!L" &amp; 1402)</f>
        <v>0</v>
      </c>
      <c r="S1407" cm="1">
        <f t="array" aca="1" ref="S1407" ca="1">INDIRECT("Data!M" &amp; 1402)</f>
        <v>0</v>
      </c>
      <c r="T1407" cm="1">
        <f t="array" aca="1" ref="T1407" ca="1">INDIRECT("Data!N" &amp; 1402)</f>
        <v>0</v>
      </c>
      <c r="U1407" cm="1">
        <f t="array" aca="1" ref="U1407" ca="1">INDIRECT("Data!O" &amp; 1402)</f>
        <v>0</v>
      </c>
      <c r="V1407" cm="1">
        <f t="array" aca="1" ref="V1407" ca="1">INDIRECT("Data!P" &amp; 1402)</f>
        <v>0</v>
      </c>
    </row>
    <row r="1408" spans="7:22" x14ac:dyDescent="0.25">
      <c r="G1408" cm="1">
        <f t="array" aca="1" ref="G1408" ca="1">INDIRECT("Data!A" &amp; 1403)</f>
        <v>0</v>
      </c>
      <c r="H1408" s="21" cm="1">
        <f t="array" aca="1" ref="H1408" ca="1">INDIRECT("Data!B" &amp; 1403)</f>
        <v>0</v>
      </c>
      <c r="I1408" s="21" cm="1">
        <f t="array" aca="1" ref="I1408" ca="1">INDIRECT("Data!C" &amp; 1403)</f>
        <v>0</v>
      </c>
      <c r="J1408" cm="1">
        <f t="array" aca="1" ref="J1408" ca="1">INDIRECT("Data!D" &amp; 1403)</f>
        <v>0</v>
      </c>
      <c r="K1408" cm="1">
        <f t="array" aca="1" ref="K1408" ca="1">INDIRECT("Data!E" &amp; 1403)</f>
        <v>0</v>
      </c>
      <c r="L1408" cm="1">
        <f t="array" aca="1" ref="L1408" ca="1">INDIRECT("Data!F" &amp; 1403)</f>
        <v>0</v>
      </c>
      <c r="M1408" cm="1">
        <f t="array" aca="1" ref="M1408" ca="1">INDIRECT("Data!G" &amp; 1403)</f>
        <v>0</v>
      </c>
      <c r="N1408" cm="1">
        <f t="array" aca="1" ref="N1408" ca="1">INDIRECT("Data!H" &amp; 1403)</f>
        <v>0</v>
      </c>
      <c r="O1408" cm="1">
        <f t="array" aca="1" ref="O1408" ca="1">INDIRECT("Data!I" &amp; 1403)</f>
        <v>0</v>
      </c>
      <c r="P1408" s="21" cm="1">
        <f t="array" aca="1" ref="P1408" ca="1">INDIRECT("Data!J" &amp; 1403)</f>
        <v>0</v>
      </c>
      <c r="Q1408" cm="1">
        <f t="array" aca="1" ref="Q1408" ca="1">INDIRECT("Data!K" &amp; 1403)</f>
        <v>0</v>
      </c>
      <c r="R1408" cm="1">
        <f t="array" aca="1" ref="R1408" ca="1">INDIRECT("Data!L" &amp; 1403)</f>
        <v>0</v>
      </c>
      <c r="S1408" cm="1">
        <f t="array" aca="1" ref="S1408" ca="1">INDIRECT("Data!M" &amp; 1403)</f>
        <v>0</v>
      </c>
      <c r="T1408" cm="1">
        <f t="array" aca="1" ref="T1408" ca="1">INDIRECT("Data!N" &amp; 1403)</f>
        <v>0</v>
      </c>
      <c r="U1408" cm="1">
        <f t="array" aca="1" ref="U1408" ca="1">INDIRECT("Data!O" &amp; 1403)</f>
        <v>0</v>
      </c>
      <c r="V1408" cm="1">
        <f t="array" aca="1" ref="V1408" ca="1">INDIRECT("Data!P" &amp; 1403)</f>
        <v>0</v>
      </c>
    </row>
    <row r="1409" spans="7:22" x14ac:dyDescent="0.25">
      <c r="G1409" cm="1">
        <f t="array" aca="1" ref="G1409" ca="1">INDIRECT("Data!A" &amp; 1404)</f>
        <v>0</v>
      </c>
      <c r="H1409" s="21" cm="1">
        <f t="array" aca="1" ref="H1409" ca="1">INDIRECT("Data!B" &amp; 1404)</f>
        <v>0</v>
      </c>
      <c r="I1409" s="21" cm="1">
        <f t="array" aca="1" ref="I1409" ca="1">INDIRECT("Data!C" &amp; 1404)</f>
        <v>0</v>
      </c>
      <c r="J1409" cm="1">
        <f t="array" aca="1" ref="J1409" ca="1">INDIRECT("Data!D" &amp; 1404)</f>
        <v>0</v>
      </c>
      <c r="K1409" cm="1">
        <f t="array" aca="1" ref="K1409" ca="1">INDIRECT("Data!E" &amp; 1404)</f>
        <v>0</v>
      </c>
      <c r="L1409" cm="1">
        <f t="array" aca="1" ref="L1409" ca="1">INDIRECT("Data!F" &amp; 1404)</f>
        <v>0</v>
      </c>
      <c r="M1409" cm="1">
        <f t="array" aca="1" ref="M1409" ca="1">INDIRECT("Data!G" &amp; 1404)</f>
        <v>0</v>
      </c>
      <c r="N1409" cm="1">
        <f t="array" aca="1" ref="N1409" ca="1">INDIRECT("Data!H" &amp; 1404)</f>
        <v>0</v>
      </c>
      <c r="O1409" cm="1">
        <f t="array" aca="1" ref="O1409" ca="1">INDIRECT("Data!I" &amp; 1404)</f>
        <v>0</v>
      </c>
      <c r="P1409" s="21" cm="1">
        <f t="array" aca="1" ref="P1409" ca="1">INDIRECT("Data!J" &amp; 1404)</f>
        <v>0</v>
      </c>
      <c r="Q1409" cm="1">
        <f t="array" aca="1" ref="Q1409" ca="1">INDIRECT("Data!K" &amp; 1404)</f>
        <v>0</v>
      </c>
      <c r="R1409" cm="1">
        <f t="array" aca="1" ref="R1409" ca="1">INDIRECT("Data!L" &amp; 1404)</f>
        <v>0</v>
      </c>
      <c r="S1409" cm="1">
        <f t="array" aca="1" ref="S1409" ca="1">INDIRECT("Data!M" &amp; 1404)</f>
        <v>0</v>
      </c>
      <c r="T1409" cm="1">
        <f t="array" aca="1" ref="T1409" ca="1">INDIRECT("Data!N" &amp; 1404)</f>
        <v>0</v>
      </c>
      <c r="U1409" cm="1">
        <f t="array" aca="1" ref="U1409" ca="1">INDIRECT("Data!O" &amp; 1404)</f>
        <v>0</v>
      </c>
      <c r="V1409" cm="1">
        <f t="array" aca="1" ref="V1409" ca="1">INDIRECT("Data!P" &amp; 1404)</f>
        <v>0</v>
      </c>
    </row>
    <row r="1410" spans="7:22" x14ac:dyDescent="0.25">
      <c r="G1410" cm="1">
        <f t="array" aca="1" ref="G1410" ca="1">INDIRECT("Data!A" &amp; 1405)</f>
        <v>0</v>
      </c>
      <c r="H1410" s="21" cm="1">
        <f t="array" aca="1" ref="H1410" ca="1">INDIRECT("Data!B" &amp; 1405)</f>
        <v>0</v>
      </c>
      <c r="I1410" s="21" cm="1">
        <f t="array" aca="1" ref="I1410" ca="1">INDIRECT("Data!C" &amp; 1405)</f>
        <v>0</v>
      </c>
      <c r="J1410" cm="1">
        <f t="array" aca="1" ref="J1410" ca="1">INDIRECT("Data!D" &amp; 1405)</f>
        <v>0</v>
      </c>
      <c r="K1410" cm="1">
        <f t="array" aca="1" ref="K1410" ca="1">INDIRECT("Data!E" &amp; 1405)</f>
        <v>0</v>
      </c>
      <c r="L1410" cm="1">
        <f t="array" aca="1" ref="L1410" ca="1">INDIRECT("Data!F" &amp; 1405)</f>
        <v>0</v>
      </c>
      <c r="M1410" cm="1">
        <f t="array" aca="1" ref="M1410" ca="1">INDIRECT("Data!G" &amp; 1405)</f>
        <v>0</v>
      </c>
      <c r="N1410" cm="1">
        <f t="array" aca="1" ref="N1410" ca="1">INDIRECT("Data!H" &amp; 1405)</f>
        <v>0</v>
      </c>
      <c r="O1410" cm="1">
        <f t="array" aca="1" ref="O1410" ca="1">INDIRECT("Data!I" &amp; 1405)</f>
        <v>0</v>
      </c>
      <c r="P1410" s="21" cm="1">
        <f t="array" aca="1" ref="P1410" ca="1">INDIRECT("Data!J" &amp; 1405)</f>
        <v>0</v>
      </c>
      <c r="Q1410" cm="1">
        <f t="array" aca="1" ref="Q1410" ca="1">INDIRECT("Data!K" &amp; 1405)</f>
        <v>0</v>
      </c>
      <c r="R1410" cm="1">
        <f t="array" aca="1" ref="R1410" ca="1">INDIRECT("Data!L" &amp; 1405)</f>
        <v>0</v>
      </c>
      <c r="S1410" cm="1">
        <f t="array" aca="1" ref="S1410" ca="1">INDIRECT("Data!M" &amp; 1405)</f>
        <v>0</v>
      </c>
      <c r="T1410" cm="1">
        <f t="array" aca="1" ref="T1410" ca="1">INDIRECT("Data!N" &amp; 1405)</f>
        <v>0</v>
      </c>
      <c r="U1410" cm="1">
        <f t="array" aca="1" ref="U1410" ca="1">INDIRECT("Data!O" &amp; 1405)</f>
        <v>0</v>
      </c>
      <c r="V1410" cm="1">
        <f t="array" aca="1" ref="V1410" ca="1">INDIRECT("Data!P" &amp; 1405)</f>
        <v>0</v>
      </c>
    </row>
    <row r="1411" spans="7:22" x14ac:dyDescent="0.25">
      <c r="G1411" cm="1">
        <f t="array" aca="1" ref="G1411" ca="1">INDIRECT("Data!A" &amp; 1406)</f>
        <v>0</v>
      </c>
      <c r="H1411" s="21" cm="1">
        <f t="array" aca="1" ref="H1411" ca="1">INDIRECT("Data!B" &amp; 1406)</f>
        <v>0</v>
      </c>
      <c r="I1411" s="21" cm="1">
        <f t="array" aca="1" ref="I1411" ca="1">INDIRECT("Data!C" &amp; 1406)</f>
        <v>0</v>
      </c>
      <c r="J1411" cm="1">
        <f t="array" aca="1" ref="J1411" ca="1">INDIRECT("Data!D" &amp; 1406)</f>
        <v>0</v>
      </c>
      <c r="K1411" cm="1">
        <f t="array" aca="1" ref="K1411" ca="1">INDIRECT("Data!E" &amp; 1406)</f>
        <v>0</v>
      </c>
      <c r="L1411" cm="1">
        <f t="array" aca="1" ref="L1411" ca="1">INDIRECT("Data!F" &amp; 1406)</f>
        <v>0</v>
      </c>
      <c r="M1411" cm="1">
        <f t="array" aca="1" ref="M1411" ca="1">INDIRECT("Data!G" &amp; 1406)</f>
        <v>0</v>
      </c>
      <c r="N1411" cm="1">
        <f t="array" aca="1" ref="N1411" ca="1">INDIRECT("Data!H" &amp; 1406)</f>
        <v>0</v>
      </c>
      <c r="O1411" cm="1">
        <f t="array" aca="1" ref="O1411" ca="1">INDIRECT("Data!I" &amp; 1406)</f>
        <v>0</v>
      </c>
      <c r="P1411" s="21" cm="1">
        <f t="array" aca="1" ref="P1411" ca="1">INDIRECT("Data!J" &amp; 1406)</f>
        <v>0</v>
      </c>
      <c r="Q1411" cm="1">
        <f t="array" aca="1" ref="Q1411" ca="1">INDIRECT("Data!K" &amp; 1406)</f>
        <v>0</v>
      </c>
      <c r="R1411" cm="1">
        <f t="array" aca="1" ref="R1411" ca="1">INDIRECT("Data!L" &amp; 1406)</f>
        <v>0</v>
      </c>
      <c r="S1411" cm="1">
        <f t="array" aca="1" ref="S1411" ca="1">INDIRECT("Data!M" &amp; 1406)</f>
        <v>0</v>
      </c>
      <c r="T1411" cm="1">
        <f t="array" aca="1" ref="T1411" ca="1">INDIRECT("Data!N" &amp; 1406)</f>
        <v>0</v>
      </c>
      <c r="U1411" cm="1">
        <f t="array" aca="1" ref="U1411" ca="1">INDIRECT("Data!O" &amp; 1406)</f>
        <v>0</v>
      </c>
      <c r="V1411" cm="1">
        <f t="array" aca="1" ref="V1411" ca="1">INDIRECT("Data!P" &amp; 1406)</f>
        <v>0</v>
      </c>
    </row>
    <row r="1412" spans="7:22" x14ac:dyDescent="0.25">
      <c r="G1412" cm="1">
        <f t="array" aca="1" ref="G1412" ca="1">INDIRECT("Data!A" &amp; 1407)</f>
        <v>0</v>
      </c>
      <c r="H1412" s="21" cm="1">
        <f t="array" aca="1" ref="H1412" ca="1">INDIRECT("Data!B" &amp; 1407)</f>
        <v>0</v>
      </c>
      <c r="I1412" s="21" cm="1">
        <f t="array" aca="1" ref="I1412" ca="1">INDIRECT("Data!C" &amp; 1407)</f>
        <v>0</v>
      </c>
      <c r="J1412" cm="1">
        <f t="array" aca="1" ref="J1412" ca="1">INDIRECT("Data!D" &amp; 1407)</f>
        <v>0</v>
      </c>
      <c r="K1412" cm="1">
        <f t="array" aca="1" ref="K1412" ca="1">INDIRECT("Data!E" &amp; 1407)</f>
        <v>0</v>
      </c>
      <c r="L1412" cm="1">
        <f t="array" aca="1" ref="L1412" ca="1">INDIRECT("Data!F" &amp; 1407)</f>
        <v>0</v>
      </c>
      <c r="M1412" cm="1">
        <f t="array" aca="1" ref="M1412" ca="1">INDIRECT("Data!G" &amp; 1407)</f>
        <v>0</v>
      </c>
      <c r="N1412" cm="1">
        <f t="array" aca="1" ref="N1412" ca="1">INDIRECT("Data!H" &amp; 1407)</f>
        <v>0</v>
      </c>
      <c r="O1412" cm="1">
        <f t="array" aca="1" ref="O1412" ca="1">INDIRECT("Data!I" &amp; 1407)</f>
        <v>0</v>
      </c>
      <c r="P1412" s="21" cm="1">
        <f t="array" aca="1" ref="P1412" ca="1">INDIRECT("Data!J" &amp; 1407)</f>
        <v>0</v>
      </c>
      <c r="Q1412" cm="1">
        <f t="array" aca="1" ref="Q1412" ca="1">INDIRECT("Data!K" &amp; 1407)</f>
        <v>0</v>
      </c>
      <c r="R1412" cm="1">
        <f t="array" aca="1" ref="R1412" ca="1">INDIRECT("Data!L" &amp; 1407)</f>
        <v>0</v>
      </c>
      <c r="S1412" cm="1">
        <f t="array" aca="1" ref="S1412" ca="1">INDIRECT("Data!M" &amp; 1407)</f>
        <v>0</v>
      </c>
      <c r="T1412" cm="1">
        <f t="array" aca="1" ref="T1412" ca="1">INDIRECT("Data!N" &amp; 1407)</f>
        <v>0</v>
      </c>
      <c r="U1412" cm="1">
        <f t="array" aca="1" ref="U1412" ca="1">INDIRECT("Data!O" &amp; 1407)</f>
        <v>0</v>
      </c>
      <c r="V1412" cm="1">
        <f t="array" aca="1" ref="V1412" ca="1">INDIRECT("Data!P" &amp; 1407)</f>
        <v>0</v>
      </c>
    </row>
    <row r="1413" spans="7:22" x14ac:dyDescent="0.25">
      <c r="G1413" cm="1">
        <f t="array" aca="1" ref="G1413" ca="1">INDIRECT("Data!A" &amp; 1408)</f>
        <v>0</v>
      </c>
      <c r="H1413" s="21" cm="1">
        <f t="array" aca="1" ref="H1413" ca="1">INDIRECT("Data!B" &amp; 1408)</f>
        <v>0</v>
      </c>
      <c r="I1413" s="21" cm="1">
        <f t="array" aca="1" ref="I1413" ca="1">INDIRECT("Data!C" &amp; 1408)</f>
        <v>0</v>
      </c>
      <c r="J1413" cm="1">
        <f t="array" aca="1" ref="J1413" ca="1">INDIRECT("Data!D" &amp; 1408)</f>
        <v>0</v>
      </c>
      <c r="K1413" cm="1">
        <f t="array" aca="1" ref="K1413" ca="1">INDIRECT("Data!E" &amp; 1408)</f>
        <v>0</v>
      </c>
      <c r="L1413" cm="1">
        <f t="array" aca="1" ref="L1413" ca="1">INDIRECT("Data!F" &amp; 1408)</f>
        <v>0</v>
      </c>
      <c r="M1413" cm="1">
        <f t="array" aca="1" ref="M1413" ca="1">INDIRECT("Data!G" &amp; 1408)</f>
        <v>0</v>
      </c>
      <c r="N1413" cm="1">
        <f t="array" aca="1" ref="N1413" ca="1">INDIRECT("Data!H" &amp; 1408)</f>
        <v>0</v>
      </c>
      <c r="O1413" cm="1">
        <f t="array" aca="1" ref="O1413" ca="1">INDIRECT("Data!I" &amp; 1408)</f>
        <v>0</v>
      </c>
      <c r="P1413" s="21" cm="1">
        <f t="array" aca="1" ref="P1413" ca="1">INDIRECT("Data!J" &amp; 1408)</f>
        <v>0</v>
      </c>
      <c r="Q1413" cm="1">
        <f t="array" aca="1" ref="Q1413" ca="1">INDIRECT("Data!K" &amp; 1408)</f>
        <v>0</v>
      </c>
      <c r="R1413" cm="1">
        <f t="array" aca="1" ref="R1413" ca="1">INDIRECT("Data!L" &amp; 1408)</f>
        <v>0</v>
      </c>
      <c r="S1413" cm="1">
        <f t="array" aca="1" ref="S1413" ca="1">INDIRECT("Data!M" &amp; 1408)</f>
        <v>0</v>
      </c>
      <c r="T1413" cm="1">
        <f t="array" aca="1" ref="T1413" ca="1">INDIRECT("Data!N" &amp; 1408)</f>
        <v>0</v>
      </c>
      <c r="U1413" cm="1">
        <f t="array" aca="1" ref="U1413" ca="1">INDIRECT("Data!O" &amp; 1408)</f>
        <v>0</v>
      </c>
      <c r="V1413" cm="1">
        <f t="array" aca="1" ref="V1413" ca="1">INDIRECT("Data!P" &amp; 1408)</f>
        <v>0</v>
      </c>
    </row>
    <row r="1414" spans="7:22" x14ac:dyDescent="0.25">
      <c r="G1414" cm="1">
        <f t="array" aca="1" ref="G1414" ca="1">INDIRECT("Data!A" &amp; 1409)</f>
        <v>0</v>
      </c>
      <c r="H1414" s="21" cm="1">
        <f t="array" aca="1" ref="H1414" ca="1">INDIRECT("Data!B" &amp; 1409)</f>
        <v>0</v>
      </c>
      <c r="I1414" s="21" cm="1">
        <f t="array" aca="1" ref="I1414" ca="1">INDIRECT("Data!C" &amp; 1409)</f>
        <v>0</v>
      </c>
      <c r="J1414" cm="1">
        <f t="array" aca="1" ref="J1414" ca="1">INDIRECT("Data!D" &amp; 1409)</f>
        <v>0</v>
      </c>
      <c r="K1414" cm="1">
        <f t="array" aca="1" ref="K1414" ca="1">INDIRECT("Data!E" &amp; 1409)</f>
        <v>0</v>
      </c>
      <c r="L1414" cm="1">
        <f t="array" aca="1" ref="L1414" ca="1">INDIRECT("Data!F" &amp; 1409)</f>
        <v>0</v>
      </c>
      <c r="M1414" cm="1">
        <f t="array" aca="1" ref="M1414" ca="1">INDIRECT("Data!G" &amp; 1409)</f>
        <v>0</v>
      </c>
      <c r="N1414" cm="1">
        <f t="array" aca="1" ref="N1414" ca="1">INDIRECT("Data!H" &amp; 1409)</f>
        <v>0</v>
      </c>
      <c r="O1414" cm="1">
        <f t="array" aca="1" ref="O1414" ca="1">INDIRECT("Data!I" &amp; 1409)</f>
        <v>0</v>
      </c>
      <c r="P1414" s="21" cm="1">
        <f t="array" aca="1" ref="P1414" ca="1">INDIRECT("Data!J" &amp; 1409)</f>
        <v>0</v>
      </c>
      <c r="Q1414" cm="1">
        <f t="array" aca="1" ref="Q1414" ca="1">INDIRECT("Data!K" &amp; 1409)</f>
        <v>0</v>
      </c>
      <c r="R1414" cm="1">
        <f t="array" aca="1" ref="R1414" ca="1">INDIRECT("Data!L" &amp; 1409)</f>
        <v>0</v>
      </c>
      <c r="S1414" cm="1">
        <f t="array" aca="1" ref="S1414" ca="1">INDIRECT("Data!M" &amp; 1409)</f>
        <v>0</v>
      </c>
      <c r="T1414" cm="1">
        <f t="array" aca="1" ref="T1414" ca="1">INDIRECT("Data!N" &amp; 1409)</f>
        <v>0</v>
      </c>
      <c r="U1414" cm="1">
        <f t="array" aca="1" ref="U1414" ca="1">INDIRECT("Data!O" &amp; 1409)</f>
        <v>0</v>
      </c>
      <c r="V1414" cm="1">
        <f t="array" aca="1" ref="V1414" ca="1">INDIRECT("Data!P" &amp; 1409)</f>
        <v>0</v>
      </c>
    </row>
    <row r="1415" spans="7:22" x14ac:dyDescent="0.25">
      <c r="G1415" cm="1">
        <f t="array" aca="1" ref="G1415" ca="1">INDIRECT("Data!A" &amp; 1410)</f>
        <v>0</v>
      </c>
      <c r="H1415" s="21" cm="1">
        <f t="array" aca="1" ref="H1415" ca="1">INDIRECT("Data!B" &amp; 1410)</f>
        <v>0</v>
      </c>
      <c r="I1415" s="21" cm="1">
        <f t="array" aca="1" ref="I1415" ca="1">INDIRECT("Data!C" &amp; 1410)</f>
        <v>0</v>
      </c>
      <c r="J1415" cm="1">
        <f t="array" aca="1" ref="J1415" ca="1">INDIRECT("Data!D" &amp; 1410)</f>
        <v>0</v>
      </c>
      <c r="K1415" cm="1">
        <f t="array" aca="1" ref="K1415" ca="1">INDIRECT("Data!E" &amp; 1410)</f>
        <v>0</v>
      </c>
      <c r="L1415" cm="1">
        <f t="array" aca="1" ref="L1415" ca="1">INDIRECT("Data!F" &amp; 1410)</f>
        <v>0</v>
      </c>
      <c r="M1415" cm="1">
        <f t="array" aca="1" ref="M1415" ca="1">INDIRECT("Data!G" &amp; 1410)</f>
        <v>0</v>
      </c>
      <c r="N1415" cm="1">
        <f t="array" aca="1" ref="N1415" ca="1">INDIRECT("Data!H" &amp; 1410)</f>
        <v>0</v>
      </c>
      <c r="O1415" cm="1">
        <f t="array" aca="1" ref="O1415" ca="1">INDIRECT("Data!I" &amp; 1410)</f>
        <v>0</v>
      </c>
      <c r="P1415" s="21" cm="1">
        <f t="array" aca="1" ref="P1415" ca="1">INDIRECT("Data!J" &amp; 1410)</f>
        <v>0</v>
      </c>
      <c r="Q1415" cm="1">
        <f t="array" aca="1" ref="Q1415" ca="1">INDIRECT("Data!K" &amp; 1410)</f>
        <v>0</v>
      </c>
      <c r="R1415" cm="1">
        <f t="array" aca="1" ref="R1415" ca="1">INDIRECT("Data!L" &amp; 1410)</f>
        <v>0</v>
      </c>
      <c r="S1415" cm="1">
        <f t="array" aca="1" ref="S1415" ca="1">INDIRECT("Data!M" &amp; 1410)</f>
        <v>0</v>
      </c>
      <c r="T1415" cm="1">
        <f t="array" aca="1" ref="T1415" ca="1">INDIRECT("Data!N" &amp; 1410)</f>
        <v>0</v>
      </c>
      <c r="U1415" cm="1">
        <f t="array" aca="1" ref="U1415" ca="1">INDIRECT("Data!O" &amp; 1410)</f>
        <v>0</v>
      </c>
      <c r="V1415" cm="1">
        <f t="array" aca="1" ref="V1415" ca="1">INDIRECT("Data!P" &amp; 1410)</f>
        <v>0</v>
      </c>
    </row>
    <row r="1416" spans="7:22" x14ac:dyDescent="0.25">
      <c r="G1416" cm="1">
        <f t="array" aca="1" ref="G1416" ca="1">INDIRECT("Data!A" &amp; 1411)</f>
        <v>0</v>
      </c>
      <c r="H1416" s="21" cm="1">
        <f t="array" aca="1" ref="H1416" ca="1">INDIRECT("Data!B" &amp; 1411)</f>
        <v>0</v>
      </c>
      <c r="I1416" s="21" cm="1">
        <f t="array" aca="1" ref="I1416" ca="1">INDIRECT("Data!C" &amp; 1411)</f>
        <v>0</v>
      </c>
      <c r="J1416" cm="1">
        <f t="array" aca="1" ref="J1416" ca="1">INDIRECT("Data!D" &amp; 1411)</f>
        <v>0</v>
      </c>
      <c r="K1416" cm="1">
        <f t="array" aca="1" ref="K1416" ca="1">INDIRECT("Data!E" &amp; 1411)</f>
        <v>0</v>
      </c>
      <c r="L1416" cm="1">
        <f t="array" aca="1" ref="L1416" ca="1">INDIRECT("Data!F" &amp; 1411)</f>
        <v>0</v>
      </c>
      <c r="M1416" cm="1">
        <f t="array" aca="1" ref="M1416" ca="1">INDIRECT("Data!G" &amp; 1411)</f>
        <v>0</v>
      </c>
      <c r="N1416" cm="1">
        <f t="array" aca="1" ref="N1416" ca="1">INDIRECT("Data!H" &amp; 1411)</f>
        <v>0</v>
      </c>
      <c r="O1416" cm="1">
        <f t="array" aca="1" ref="O1416" ca="1">INDIRECT("Data!I" &amp; 1411)</f>
        <v>0</v>
      </c>
      <c r="P1416" s="21" cm="1">
        <f t="array" aca="1" ref="P1416" ca="1">INDIRECT("Data!J" &amp; 1411)</f>
        <v>0</v>
      </c>
      <c r="Q1416" cm="1">
        <f t="array" aca="1" ref="Q1416" ca="1">INDIRECT("Data!K" &amp; 1411)</f>
        <v>0</v>
      </c>
      <c r="R1416" cm="1">
        <f t="array" aca="1" ref="R1416" ca="1">INDIRECT("Data!L" &amp; 1411)</f>
        <v>0</v>
      </c>
      <c r="S1416" cm="1">
        <f t="array" aca="1" ref="S1416" ca="1">INDIRECT("Data!M" &amp; 1411)</f>
        <v>0</v>
      </c>
      <c r="T1416" cm="1">
        <f t="array" aca="1" ref="T1416" ca="1">INDIRECT("Data!N" &amp; 1411)</f>
        <v>0</v>
      </c>
      <c r="U1416" cm="1">
        <f t="array" aca="1" ref="U1416" ca="1">INDIRECT("Data!O" &amp; 1411)</f>
        <v>0</v>
      </c>
      <c r="V1416" cm="1">
        <f t="array" aca="1" ref="V1416" ca="1">INDIRECT("Data!P" &amp; 1411)</f>
        <v>0</v>
      </c>
    </row>
    <row r="1417" spans="7:22" x14ac:dyDescent="0.25">
      <c r="G1417" cm="1">
        <f t="array" aca="1" ref="G1417" ca="1">INDIRECT("Data!A" &amp; 1412)</f>
        <v>0</v>
      </c>
      <c r="H1417" s="21" cm="1">
        <f t="array" aca="1" ref="H1417" ca="1">INDIRECT("Data!B" &amp; 1412)</f>
        <v>0</v>
      </c>
      <c r="I1417" s="21" cm="1">
        <f t="array" aca="1" ref="I1417" ca="1">INDIRECT("Data!C" &amp; 1412)</f>
        <v>0</v>
      </c>
      <c r="J1417" cm="1">
        <f t="array" aca="1" ref="J1417" ca="1">INDIRECT("Data!D" &amp; 1412)</f>
        <v>0</v>
      </c>
      <c r="K1417" cm="1">
        <f t="array" aca="1" ref="K1417" ca="1">INDIRECT("Data!E" &amp; 1412)</f>
        <v>0</v>
      </c>
      <c r="L1417" cm="1">
        <f t="array" aca="1" ref="L1417" ca="1">INDIRECT("Data!F" &amp; 1412)</f>
        <v>0</v>
      </c>
      <c r="M1417" cm="1">
        <f t="array" aca="1" ref="M1417" ca="1">INDIRECT("Data!G" &amp; 1412)</f>
        <v>0</v>
      </c>
      <c r="N1417" cm="1">
        <f t="array" aca="1" ref="N1417" ca="1">INDIRECT("Data!H" &amp; 1412)</f>
        <v>0</v>
      </c>
      <c r="O1417" cm="1">
        <f t="array" aca="1" ref="O1417" ca="1">INDIRECT("Data!I" &amp; 1412)</f>
        <v>0</v>
      </c>
      <c r="P1417" s="21" cm="1">
        <f t="array" aca="1" ref="P1417" ca="1">INDIRECT("Data!J" &amp; 1412)</f>
        <v>0</v>
      </c>
      <c r="Q1417" cm="1">
        <f t="array" aca="1" ref="Q1417" ca="1">INDIRECT("Data!K" &amp; 1412)</f>
        <v>0</v>
      </c>
      <c r="R1417" cm="1">
        <f t="array" aca="1" ref="R1417" ca="1">INDIRECT("Data!L" &amp; 1412)</f>
        <v>0</v>
      </c>
      <c r="S1417" cm="1">
        <f t="array" aca="1" ref="S1417" ca="1">INDIRECT("Data!M" &amp; 1412)</f>
        <v>0</v>
      </c>
      <c r="T1417" cm="1">
        <f t="array" aca="1" ref="T1417" ca="1">INDIRECT("Data!N" &amp; 1412)</f>
        <v>0</v>
      </c>
      <c r="U1417" cm="1">
        <f t="array" aca="1" ref="U1417" ca="1">INDIRECT("Data!O" &amp; 1412)</f>
        <v>0</v>
      </c>
      <c r="V1417" cm="1">
        <f t="array" aca="1" ref="V1417" ca="1">INDIRECT("Data!P" &amp; 1412)</f>
        <v>0</v>
      </c>
    </row>
    <row r="1418" spans="7:22" x14ac:dyDescent="0.25">
      <c r="G1418" cm="1">
        <f t="array" aca="1" ref="G1418" ca="1">INDIRECT("Data!A" &amp; 1413)</f>
        <v>0</v>
      </c>
      <c r="H1418" s="21" cm="1">
        <f t="array" aca="1" ref="H1418" ca="1">INDIRECT("Data!B" &amp; 1413)</f>
        <v>0</v>
      </c>
      <c r="I1418" s="21" cm="1">
        <f t="array" aca="1" ref="I1418" ca="1">INDIRECT("Data!C" &amp; 1413)</f>
        <v>0</v>
      </c>
      <c r="J1418" cm="1">
        <f t="array" aca="1" ref="J1418" ca="1">INDIRECT("Data!D" &amp; 1413)</f>
        <v>0</v>
      </c>
      <c r="K1418" cm="1">
        <f t="array" aca="1" ref="K1418" ca="1">INDIRECT("Data!E" &amp; 1413)</f>
        <v>0</v>
      </c>
      <c r="L1418" cm="1">
        <f t="array" aca="1" ref="L1418" ca="1">INDIRECT("Data!F" &amp; 1413)</f>
        <v>0</v>
      </c>
      <c r="M1418" cm="1">
        <f t="array" aca="1" ref="M1418" ca="1">INDIRECT("Data!G" &amp; 1413)</f>
        <v>0</v>
      </c>
      <c r="N1418" cm="1">
        <f t="array" aca="1" ref="N1418" ca="1">INDIRECT("Data!H" &amp; 1413)</f>
        <v>0</v>
      </c>
      <c r="O1418" cm="1">
        <f t="array" aca="1" ref="O1418" ca="1">INDIRECT("Data!I" &amp; 1413)</f>
        <v>0</v>
      </c>
      <c r="P1418" s="21" cm="1">
        <f t="array" aca="1" ref="P1418" ca="1">INDIRECT("Data!J" &amp; 1413)</f>
        <v>0</v>
      </c>
      <c r="Q1418" cm="1">
        <f t="array" aca="1" ref="Q1418" ca="1">INDIRECT("Data!K" &amp; 1413)</f>
        <v>0</v>
      </c>
      <c r="R1418" cm="1">
        <f t="array" aca="1" ref="R1418" ca="1">INDIRECT("Data!L" &amp; 1413)</f>
        <v>0</v>
      </c>
      <c r="S1418" cm="1">
        <f t="array" aca="1" ref="S1418" ca="1">INDIRECT("Data!M" &amp; 1413)</f>
        <v>0</v>
      </c>
      <c r="T1418" cm="1">
        <f t="array" aca="1" ref="T1418" ca="1">INDIRECT("Data!N" &amp; 1413)</f>
        <v>0</v>
      </c>
      <c r="U1418" cm="1">
        <f t="array" aca="1" ref="U1418" ca="1">INDIRECT("Data!O" &amp; 1413)</f>
        <v>0</v>
      </c>
      <c r="V1418" cm="1">
        <f t="array" aca="1" ref="V1418" ca="1">INDIRECT("Data!P" &amp; 1413)</f>
        <v>0</v>
      </c>
    </row>
    <row r="1419" spans="7:22" x14ac:dyDescent="0.25">
      <c r="G1419" cm="1">
        <f t="array" aca="1" ref="G1419" ca="1">INDIRECT("Data!A" &amp; 1414)</f>
        <v>0</v>
      </c>
      <c r="H1419" s="21" cm="1">
        <f t="array" aca="1" ref="H1419" ca="1">INDIRECT("Data!B" &amp; 1414)</f>
        <v>0</v>
      </c>
      <c r="I1419" s="21" cm="1">
        <f t="array" aca="1" ref="I1419" ca="1">INDIRECT("Data!C" &amp; 1414)</f>
        <v>0</v>
      </c>
      <c r="J1419" cm="1">
        <f t="array" aca="1" ref="J1419" ca="1">INDIRECT("Data!D" &amp; 1414)</f>
        <v>0</v>
      </c>
      <c r="K1419" cm="1">
        <f t="array" aca="1" ref="K1419" ca="1">INDIRECT("Data!E" &amp; 1414)</f>
        <v>0</v>
      </c>
      <c r="L1419" cm="1">
        <f t="array" aca="1" ref="L1419" ca="1">INDIRECT("Data!F" &amp; 1414)</f>
        <v>0</v>
      </c>
      <c r="M1419" cm="1">
        <f t="array" aca="1" ref="M1419" ca="1">INDIRECT("Data!G" &amp; 1414)</f>
        <v>0</v>
      </c>
      <c r="N1419" cm="1">
        <f t="array" aca="1" ref="N1419" ca="1">INDIRECT("Data!H" &amp; 1414)</f>
        <v>0</v>
      </c>
      <c r="O1419" cm="1">
        <f t="array" aca="1" ref="O1419" ca="1">INDIRECT("Data!I" &amp; 1414)</f>
        <v>0</v>
      </c>
      <c r="P1419" s="21" cm="1">
        <f t="array" aca="1" ref="P1419" ca="1">INDIRECT("Data!J" &amp; 1414)</f>
        <v>0</v>
      </c>
      <c r="Q1419" cm="1">
        <f t="array" aca="1" ref="Q1419" ca="1">INDIRECT("Data!K" &amp; 1414)</f>
        <v>0</v>
      </c>
      <c r="R1419" cm="1">
        <f t="array" aca="1" ref="R1419" ca="1">INDIRECT("Data!L" &amp; 1414)</f>
        <v>0</v>
      </c>
      <c r="S1419" cm="1">
        <f t="array" aca="1" ref="S1419" ca="1">INDIRECT("Data!M" &amp; 1414)</f>
        <v>0</v>
      </c>
      <c r="T1419" cm="1">
        <f t="array" aca="1" ref="T1419" ca="1">INDIRECT("Data!N" &amp; 1414)</f>
        <v>0</v>
      </c>
      <c r="U1419" cm="1">
        <f t="array" aca="1" ref="U1419" ca="1">INDIRECT("Data!O" &amp; 1414)</f>
        <v>0</v>
      </c>
      <c r="V1419" cm="1">
        <f t="array" aca="1" ref="V1419" ca="1">INDIRECT("Data!P" &amp; 1414)</f>
        <v>0</v>
      </c>
    </row>
    <row r="1420" spans="7:22" x14ac:dyDescent="0.25">
      <c r="G1420" cm="1">
        <f t="array" aca="1" ref="G1420" ca="1">INDIRECT("Data!A" &amp; 1415)</f>
        <v>0</v>
      </c>
      <c r="H1420" s="21" cm="1">
        <f t="array" aca="1" ref="H1420" ca="1">INDIRECT("Data!B" &amp; 1415)</f>
        <v>0</v>
      </c>
      <c r="I1420" s="21" cm="1">
        <f t="array" aca="1" ref="I1420" ca="1">INDIRECT("Data!C" &amp; 1415)</f>
        <v>0</v>
      </c>
      <c r="J1420" cm="1">
        <f t="array" aca="1" ref="J1420" ca="1">INDIRECT("Data!D" &amp; 1415)</f>
        <v>0</v>
      </c>
      <c r="K1420" cm="1">
        <f t="array" aca="1" ref="K1420" ca="1">INDIRECT("Data!E" &amp; 1415)</f>
        <v>0</v>
      </c>
      <c r="L1420" cm="1">
        <f t="array" aca="1" ref="L1420" ca="1">INDIRECT("Data!F" &amp; 1415)</f>
        <v>0</v>
      </c>
      <c r="M1420" cm="1">
        <f t="array" aca="1" ref="M1420" ca="1">INDIRECT("Data!G" &amp; 1415)</f>
        <v>0</v>
      </c>
      <c r="N1420" cm="1">
        <f t="array" aca="1" ref="N1420" ca="1">INDIRECT("Data!H" &amp; 1415)</f>
        <v>0</v>
      </c>
      <c r="O1420" cm="1">
        <f t="array" aca="1" ref="O1420" ca="1">INDIRECT("Data!I" &amp; 1415)</f>
        <v>0</v>
      </c>
      <c r="P1420" s="21" cm="1">
        <f t="array" aca="1" ref="P1420" ca="1">INDIRECT("Data!J" &amp; 1415)</f>
        <v>0</v>
      </c>
      <c r="Q1420" cm="1">
        <f t="array" aca="1" ref="Q1420" ca="1">INDIRECT("Data!K" &amp; 1415)</f>
        <v>0</v>
      </c>
      <c r="R1420" cm="1">
        <f t="array" aca="1" ref="R1420" ca="1">INDIRECT("Data!L" &amp; 1415)</f>
        <v>0</v>
      </c>
      <c r="S1420" cm="1">
        <f t="array" aca="1" ref="S1420" ca="1">INDIRECT("Data!M" &amp; 1415)</f>
        <v>0</v>
      </c>
      <c r="T1420" cm="1">
        <f t="array" aca="1" ref="T1420" ca="1">INDIRECT("Data!N" &amp; 1415)</f>
        <v>0</v>
      </c>
      <c r="U1420" cm="1">
        <f t="array" aca="1" ref="U1420" ca="1">INDIRECT("Data!O" &amp; 1415)</f>
        <v>0</v>
      </c>
      <c r="V1420" cm="1">
        <f t="array" aca="1" ref="V1420" ca="1">INDIRECT("Data!P" &amp; 1415)</f>
        <v>0</v>
      </c>
    </row>
    <row r="1421" spans="7:22" x14ac:dyDescent="0.25">
      <c r="G1421" cm="1">
        <f t="array" aca="1" ref="G1421" ca="1">INDIRECT("Data!A" &amp; 1416)</f>
        <v>0</v>
      </c>
      <c r="H1421" s="21" cm="1">
        <f t="array" aca="1" ref="H1421" ca="1">INDIRECT("Data!B" &amp; 1416)</f>
        <v>0</v>
      </c>
      <c r="I1421" s="21" cm="1">
        <f t="array" aca="1" ref="I1421" ca="1">INDIRECT("Data!C" &amp; 1416)</f>
        <v>0</v>
      </c>
      <c r="J1421" cm="1">
        <f t="array" aca="1" ref="J1421" ca="1">INDIRECT("Data!D" &amp; 1416)</f>
        <v>0</v>
      </c>
      <c r="K1421" cm="1">
        <f t="array" aca="1" ref="K1421" ca="1">INDIRECT("Data!E" &amp; 1416)</f>
        <v>0</v>
      </c>
      <c r="L1421" cm="1">
        <f t="array" aca="1" ref="L1421" ca="1">INDIRECT("Data!F" &amp; 1416)</f>
        <v>0</v>
      </c>
      <c r="M1421" cm="1">
        <f t="array" aca="1" ref="M1421" ca="1">INDIRECT("Data!G" &amp; 1416)</f>
        <v>0</v>
      </c>
      <c r="N1421" cm="1">
        <f t="array" aca="1" ref="N1421" ca="1">INDIRECT("Data!H" &amp; 1416)</f>
        <v>0</v>
      </c>
      <c r="O1421" cm="1">
        <f t="array" aca="1" ref="O1421" ca="1">INDIRECT("Data!I" &amp; 1416)</f>
        <v>0</v>
      </c>
      <c r="P1421" s="21" cm="1">
        <f t="array" aca="1" ref="P1421" ca="1">INDIRECT("Data!J" &amp; 1416)</f>
        <v>0</v>
      </c>
      <c r="Q1421" cm="1">
        <f t="array" aca="1" ref="Q1421" ca="1">INDIRECT("Data!K" &amp; 1416)</f>
        <v>0</v>
      </c>
      <c r="R1421" cm="1">
        <f t="array" aca="1" ref="R1421" ca="1">INDIRECT("Data!L" &amp; 1416)</f>
        <v>0</v>
      </c>
      <c r="S1421" cm="1">
        <f t="array" aca="1" ref="S1421" ca="1">INDIRECT("Data!M" &amp; 1416)</f>
        <v>0</v>
      </c>
      <c r="T1421" cm="1">
        <f t="array" aca="1" ref="T1421" ca="1">INDIRECT("Data!N" &amp; 1416)</f>
        <v>0</v>
      </c>
      <c r="U1421" cm="1">
        <f t="array" aca="1" ref="U1421" ca="1">INDIRECT("Data!O" &amp; 1416)</f>
        <v>0</v>
      </c>
      <c r="V1421" cm="1">
        <f t="array" aca="1" ref="V1421" ca="1">INDIRECT("Data!P" &amp; 1416)</f>
        <v>0</v>
      </c>
    </row>
    <row r="1422" spans="7:22" x14ac:dyDescent="0.25">
      <c r="G1422" cm="1">
        <f t="array" aca="1" ref="G1422" ca="1">INDIRECT("Data!A" &amp; 1417)</f>
        <v>0</v>
      </c>
      <c r="H1422" s="21" cm="1">
        <f t="array" aca="1" ref="H1422" ca="1">INDIRECT("Data!B" &amp; 1417)</f>
        <v>0</v>
      </c>
      <c r="I1422" s="21" cm="1">
        <f t="array" aca="1" ref="I1422" ca="1">INDIRECT("Data!C" &amp; 1417)</f>
        <v>0</v>
      </c>
      <c r="J1422" cm="1">
        <f t="array" aca="1" ref="J1422" ca="1">INDIRECT("Data!D" &amp; 1417)</f>
        <v>0</v>
      </c>
      <c r="K1422" cm="1">
        <f t="array" aca="1" ref="K1422" ca="1">INDIRECT("Data!E" &amp; 1417)</f>
        <v>0</v>
      </c>
      <c r="L1422" cm="1">
        <f t="array" aca="1" ref="L1422" ca="1">INDIRECT("Data!F" &amp; 1417)</f>
        <v>0</v>
      </c>
      <c r="M1422" cm="1">
        <f t="array" aca="1" ref="M1422" ca="1">INDIRECT("Data!G" &amp; 1417)</f>
        <v>0</v>
      </c>
      <c r="N1422" cm="1">
        <f t="array" aca="1" ref="N1422" ca="1">INDIRECT("Data!H" &amp; 1417)</f>
        <v>0</v>
      </c>
      <c r="O1422" cm="1">
        <f t="array" aca="1" ref="O1422" ca="1">INDIRECT("Data!I" &amp; 1417)</f>
        <v>0</v>
      </c>
      <c r="P1422" s="21" cm="1">
        <f t="array" aca="1" ref="P1422" ca="1">INDIRECT("Data!J" &amp; 1417)</f>
        <v>0</v>
      </c>
      <c r="Q1422" cm="1">
        <f t="array" aca="1" ref="Q1422" ca="1">INDIRECT("Data!K" &amp; 1417)</f>
        <v>0</v>
      </c>
      <c r="R1422" cm="1">
        <f t="array" aca="1" ref="R1422" ca="1">INDIRECT("Data!L" &amp; 1417)</f>
        <v>0</v>
      </c>
      <c r="S1422" cm="1">
        <f t="array" aca="1" ref="S1422" ca="1">INDIRECT("Data!M" &amp; 1417)</f>
        <v>0</v>
      </c>
      <c r="T1422" cm="1">
        <f t="array" aca="1" ref="T1422" ca="1">INDIRECT("Data!N" &amp; 1417)</f>
        <v>0</v>
      </c>
      <c r="U1422" cm="1">
        <f t="array" aca="1" ref="U1422" ca="1">INDIRECT("Data!O" &amp; 1417)</f>
        <v>0</v>
      </c>
      <c r="V1422" cm="1">
        <f t="array" aca="1" ref="V1422" ca="1">INDIRECT("Data!P" &amp; 1417)</f>
        <v>0</v>
      </c>
    </row>
    <row r="1423" spans="7:22" x14ac:dyDescent="0.25">
      <c r="G1423" cm="1">
        <f t="array" aca="1" ref="G1423" ca="1">INDIRECT("Data!A" &amp; 1418)</f>
        <v>0</v>
      </c>
      <c r="H1423" s="21" cm="1">
        <f t="array" aca="1" ref="H1423" ca="1">INDIRECT("Data!B" &amp; 1418)</f>
        <v>0</v>
      </c>
      <c r="I1423" s="21" cm="1">
        <f t="array" aca="1" ref="I1423" ca="1">INDIRECT("Data!C" &amp; 1418)</f>
        <v>0</v>
      </c>
      <c r="J1423" cm="1">
        <f t="array" aca="1" ref="J1423" ca="1">INDIRECT("Data!D" &amp; 1418)</f>
        <v>0</v>
      </c>
      <c r="K1423" cm="1">
        <f t="array" aca="1" ref="K1423" ca="1">INDIRECT("Data!E" &amp; 1418)</f>
        <v>0</v>
      </c>
      <c r="L1423" cm="1">
        <f t="array" aca="1" ref="L1423" ca="1">INDIRECT("Data!F" &amp; 1418)</f>
        <v>0</v>
      </c>
      <c r="M1423" cm="1">
        <f t="array" aca="1" ref="M1423" ca="1">INDIRECT("Data!G" &amp; 1418)</f>
        <v>0</v>
      </c>
      <c r="N1423" cm="1">
        <f t="array" aca="1" ref="N1423" ca="1">INDIRECT("Data!H" &amp; 1418)</f>
        <v>0</v>
      </c>
      <c r="O1423" cm="1">
        <f t="array" aca="1" ref="O1423" ca="1">INDIRECT("Data!I" &amp; 1418)</f>
        <v>0</v>
      </c>
      <c r="P1423" s="21" cm="1">
        <f t="array" aca="1" ref="P1423" ca="1">INDIRECT("Data!J" &amp; 1418)</f>
        <v>0</v>
      </c>
      <c r="Q1423" cm="1">
        <f t="array" aca="1" ref="Q1423" ca="1">INDIRECT("Data!K" &amp; 1418)</f>
        <v>0</v>
      </c>
      <c r="R1423" cm="1">
        <f t="array" aca="1" ref="R1423" ca="1">INDIRECT("Data!L" &amp; 1418)</f>
        <v>0</v>
      </c>
      <c r="S1423" cm="1">
        <f t="array" aca="1" ref="S1423" ca="1">INDIRECT("Data!M" &amp; 1418)</f>
        <v>0</v>
      </c>
      <c r="T1423" cm="1">
        <f t="array" aca="1" ref="T1423" ca="1">INDIRECT("Data!N" &amp; 1418)</f>
        <v>0</v>
      </c>
      <c r="U1423" cm="1">
        <f t="array" aca="1" ref="U1423" ca="1">INDIRECT("Data!O" &amp; 1418)</f>
        <v>0</v>
      </c>
      <c r="V1423" cm="1">
        <f t="array" aca="1" ref="V1423" ca="1">INDIRECT("Data!P" &amp; 1418)</f>
        <v>0</v>
      </c>
    </row>
    <row r="1424" spans="7:22" x14ac:dyDescent="0.25">
      <c r="G1424" cm="1">
        <f t="array" aca="1" ref="G1424" ca="1">INDIRECT("Data!A" &amp; 1419)</f>
        <v>0</v>
      </c>
      <c r="H1424" s="21" cm="1">
        <f t="array" aca="1" ref="H1424" ca="1">INDIRECT("Data!B" &amp; 1419)</f>
        <v>0</v>
      </c>
      <c r="I1424" s="21" cm="1">
        <f t="array" aca="1" ref="I1424" ca="1">INDIRECT("Data!C" &amp; 1419)</f>
        <v>0</v>
      </c>
      <c r="J1424" cm="1">
        <f t="array" aca="1" ref="J1424" ca="1">INDIRECT("Data!D" &amp; 1419)</f>
        <v>0</v>
      </c>
      <c r="K1424" cm="1">
        <f t="array" aca="1" ref="K1424" ca="1">INDIRECT("Data!E" &amp; 1419)</f>
        <v>0</v>
      </c>
      <c r="L1424" cm="1">
        <f t="array" aca="1" ref="L1424" ca="1">INDIRECT("Data!F" &amp; 1419)</f>
        <v>0</v>
      </c>
      <c r="M1424" cm="1">
        <f t="array" aca="1" ref="M1424" ca="1">INDIRECT("Data!G" &amp; 1419)</f>
        <v>0</v>
      </c>
      <c r="N1424" cm="1">
        <f t="array" aca="1" ref="N1424" ca="1">INDIRECT("Data!H" &amp; 1419)</f>
        <v>0</v>
      </c>
      <c r="O1424" cm="1">
        <f t="array" aca="1" ref="O1424" ca="1">INDIRECT("Data!I" &amp; 1419)</f>
        <v>0</v>
      </c>
      <c r="P1424" s="21" cm="1">
        <f t="array" aca="1" ref="P1424" ca="1">INDIRECT("Data!J" &amp; 1419)</f>
        <v>0</v>
      </c>
      <c r="Q1424" cm="1">
        <f t="array" aca="1" ref="Q1424" ca="1">INDIRECT("Data!K" &amp; 1419)</f>
        <v>0</v>
      </c>
      <c r="R1424" cm="1">
        <f t="array" aca="1" ref="R1424" ca="1">INDIRECT("Data!L" &amp; 1419)</f>
        <v>0</v>
      </c>
      <c r="S1424" cm="1">
        <f t="array" aca="1" ref="S1424" ca="1">INDIRECT("Data!M" &amp; 1419)</f>
        <v>0</v>
      </c>
      <c r="T1424" cm="1">
        <f t="array" aca="1" ref="T1424" ca="1">INDIRECT("Data!N" &amp; 1419)</f>
        <v>0</v>
      </c>
      <c r="U1424" cm="1">
        <f t="array" aca="1" ref="U1424" ca="1">INDIRECT("Data!O" &amp; 1419)</f>
        <v>0</v>
      </c>
      <c r="V1424" cm="1">
        <f t="array" aca="1" ref="V1424" ca="1">INDIRECT("Data!P" &amp; 1419)</f>
        <v>0</v>
      </c>
    </row>
    <row r="1425" spans="7:22" x14ac:dyDescent="0.25">
      <c r="G1425" cm="1">
        <f t="array" aca="1" ref="G1425" ca="1">INDIRECT("Data!A" &amp; 1420)</f>
        <v>0</v>
      </c>
      <c r="H1425" s="21" cm="1">
        <f t="array" aca="1" ref="H1425" ca="1">INDIRECT("Data!B" &amp; 1420)</f>
        <v>0</v>
      </c>
      <c r="I1425" s="21" cm="1">
        <f t="array" aca="1" ref="I1425" ca="1">INDIRECT("Data!C" &amp; 1420)</f>
        <v>0</v>
      </c>
      <c r="J1425" cm="1">
        <f t="array" aca="1" ref="J1425" ca="1">INDIRECT("Data!D" &amp; 1420)</f>
        <v>0</v>
      </c>
      <c r="K1425" cm="1">
        <f t="array" aca="1" ref="K1425" ca="1">INDIRECT("Data!E" &amp; 1420)</f>
        <v>0</v>
      </c>
      <c r="L1425" cm="1">
        <f t="array" aca="1" ref="L1425" ca="1">INDIRECT("Data!F" &amp; 1420)</f>
        <v>0</v>
      </c>
      <c r="M1425" cm="1">
        <f t="array" aca="1" ref="M1425" ca="1">INDIRECT("Data!G" &amp; 1420)</f>
        <v>0</v>
      </c>
      <c r="N1425" cm="1">
        <f t="array" aca="1" ref="N1425" ca="1">INDIRECT("Data!H" &amp; 1420)</f>
        <v>0</v>
      </c>
      <c r="O1425" cm="1">
        <f t="array" aca="1" ref="O1425" ca="1">INDIRECT("Data!I" &amp; 1420)</f>
        <v>0</v>
      </c>
      <c r="P1425" s="21" cm="1">
        <f t="array" aca="1" ref="P1425" ca="1">INDIRECT("Data!J" &amp; 1420)</f>
        <v>0</v>
      </c>
      <c r="Q1425" cm="1">
        <f t="array" aca="1" ref="Q1425" ca="1">INDIRECT("Data!K" &amp; 1420)</f>
        <v>0</v>
      </c>
      <c r="R1425" cm="1">
        <f t="array" aca="1" ref="R1425" ca="1">INDIRECT("Data!L" &amp; 1420)</f>
        <v>0</v>
      </c>
      <c r="S1425" cm="1">
        <f t="array" aca="1" ref="S1425" ca="1">INDIRECT("Data!M" &amp; 1420)</f>
        <v>0</v>
      </c>
      <c r="T1425" cm="1">
        <f t="array" aca="1" ref="T1425" ca="1">INDIRECT("Data!N" &amp; 1420)</f>
        <v>0</v>
      </c>
      <c r="U1425" cm="1">
        <f t="array" aca="1" ref="U1425" ca="1">INDIRECT("Data!O" &amp; 1420)</f>
        <v>0</v>
      </c>
      <c r="V1425" cm="1">
        <f t="array" aca="1" ref="V1425" ca="1">INDIRECT("Data!P" &amp; 1420)</f>
        <v>0</v>
      </c>
    </row>
    <row r="1426" spans="7:22" x14ac:dyDescent="0.25">
      <c r="G1426" cm="1">
        <f t="array" aca="1" ref="G1426" ca="1">INDIRECT("Data!A" &amp; 1421)</f>
        <v>0</v>
      </c>
      <c r="H1426" s="21" cm="1">
        <f t="array" aca="1" ref="H1426" ca="1">INDIRECT("Data!B" &amp; 1421)</f>
        <v>0</v>
      </c>
      <c r="I1426" s="21" cm="1">
        <f t="array" aca="1" ref="I1426" ca="1">INDIRECT("Data!C" &amp; 1421)</f>
        <v>0</v>
      </c>
      <c r="J1426" cm="1">
        <f t="array" aca="1" ref="J1426" ca="1">INDIRECT("Data!D" &amp; 1421)</f>
        <v>0</v>
      </c>
      <c r="K1426" cm="1">
        <f t="array" aca="1" ref="K1426" ca="1">INDIRECT("Data!E" &amp; 1421)</f>
        <v>0</v>
      </c>
      <c r="L1426" cm="1">
        <f t="array" aca="1" ref="L1426" ca="1">INDIRECT("Data!F" &amp; 1421)</f>
        <v>0</v>
      </c>
      <c r="M1426" cm="1">
        <f t="array" aca="1" ref="M1426" ca="1">INDIRECT("Data!G" &amp; 1421)</f>
        <v>0</v>
      </c>
      <c r="N1426" cm="1">
        <f t="array" aca="1" ref="N1426" ca="1">INDIRECT("Data!H" &amp; 1421)</f>
        <v>0</v>
      </c>
      <c r="O1426" cm="1">
        <f t="array" aca="1" ref="O1426" ca="1">INDIRECT("Data!I" &amp; 1421)</f>
        <v>0</v>
      </c>
      <c r="P1426" s="21" cm="1">
        <f t="array" aca="1" ref="P1426" ca="1">INDIRECT("Data!J" &amp; 1421)</f>
        <v>0</v>
      </c>
      <c r="Q1426" cm="1">
        <f t="array" aca="1" ref="Q1426" ca="1">INDIRECT("Data!K" &amp; 1421)</f>
        <v>0</v>
      </c>
      <c r="R1426" cm="1">
        <f t="array" aca="1" ref="R1426" ca="1">INDIRECT("Data!L" &amp; 1421)</f>
        <v>0</v>
      </c>
      <c r="S1426" cm="1">
        <f t="array" aca="1" ref="S1426" ca="1">INDIRECT("Data!M" &amp; 1421)</f>
        <v>0</v>
      </c>
      <c r="T1426" cm="1">
        <f t="array" aca="1" ref="T1426" ca="1">INDIRECT("Data!N" &amp; 1421)</f>
        <v>0</v>
      </c>
      <c r="U1426" cm="1">
        <f t="array" aca="1" ref="U1426" ca="1">INDIRECT("Data!O" &amp; 1421)</f>
        <v>0</v>
      </c>
      <c r="V1426" cm="1">
        <f t="array" aca="1" ref="V1426" ca="1">INDIRECT("Data!P" &amp; 1421)</f>
        <v>0</v>
      </c>
    </row>
    <row r="1427" spans="7:22" x14ac:dyDescent="0.25">
      <c r="G1427" cm="1">
        <f t="array" aca="1" ref="G1427" ca="1">INDIRECT("Data!A" &amp; 1422)</f>
        <v>0</v>
      </c>
      <c r="H1427" s="21" cm="1">
        <f t="array" aca="1" ref="H1427" ca="1">INDIRECT("Data!B" &amp; 1422)</f>
        <v>0</v>
      </c>
      <c r="I1427" s="21" cm="1">
        <f t="array" aca="1" ref="I1427" ca="1">INDIRECT("Data!C" &amp; 1422)</f>
        <v>0</v>
      </c>
      <c r="J1427" cm="1">
        <f t="array" aca="1" ref="J1427" ca="1">INDIRECT("Data!D" &amp; 1422)</f>
        <v>0</v>
      </c>
      <c r="K1427" cm="1">
        <f t="array" aca="1" ref="K1427" ca="1">INDIRECT("Data!E" &amp; 1422)</f>
        <v>0</v>
      </c>
      <c r="L1427" cm="1">
        <f t="array" aca="1" ref="L1427" ca="1">INDIRECT("Data!F" &amp; 1422)</f>
        <v>0</v>
      </c>
      <c r="M1427" cm="1">
        <f t="array" aca="1" ref="M1427" ca="1">INDIRECT("Data!G" &amp; 1422)</f>
        <v>0</v>
      </c>
      <c r="N1427" cm="1">
        <f t="array" aca="1" ref="N1427" ca="1">INDIRECT("Data!H" &amp; 1422)</f>
        <v>0</v>
      </c>
      <c r="O1427" cm="1">
        <f t="array" aca="1" ref="O1427" ca="1">INDIRECT("Data!I" &amp; 1422)</f>
        <v>0</v>
      </c>
      <c r="P1427" s="21" cm="1">
        <f t="array" aca="1" ref="P1427" ca="1">INDIRECT("Data!J" &amp; 1422)</f>
        <v>0</v>
      </c>
      <c r="Q1427" cm="1">
        <f t="array" aca="1" ref="Q1427" ca="1">INDIRECT("Data!K" &amp; 1422)</f>
        <v>0</v>
      </c>
      <c r="R1427" cm="1">
        <f t="array" aca="1" ref="R1427" ca="1">INDIRECT("Data!L" &amp; 1422)</f>
        <v>0</v>
      </c>
      <c r="S1427" cm="1">
        <f t="array" aca="1" ref="S1427" ca="1">INDIRECT("Data!M" &amp; 1422)</f>
        <v>0</v>
      </c>
      <c r="T1427" cm="1">
        <f t="array" aca="1" ref="T1427" ca="1">INDIRECT("Data!N" &amp; 1422)</f>
        <v>0</v>
      </c>
      <c r="U1427" cm="1">
        <f t="array" aca="1" ref="U1427" ca="1">INDIRECT("Data!O" &amp; 1422)</f>
        <v>0</v>
      </c>
      <c r="V1427" cm="1">
        <f t="array" aca="1" ref="V1427" ca="1">INDIRECT("Data!P" &amp; 1422)</f>
        <v>0</v>
      </c>
    </row>
    <row r="1428" spans="7:22" x14ac:dyDescent="0.25">
      <c r="G1428" cm="1">
        <f t="array" aca="1" ref="G1428" ca="1">INDIRECT("Data!A" &amp; 1423)</f>
        <v>0</v>
      </c>
      <c r="H1428" s="21" cm="1">
        <f t="array" aca="1" ref="H1428" ca="1">INDIRECT("Data!B" &amp; 1423)</f>
        <v>0</v>
      </c>
      <c r="I1428" s="21" cm="1">
        <f t="array" aca="1" ref="I1428" ca="1">INDIRECT("Data!C" &amp; 1423)</f>
        <v>0</v>
      </c>
      <c r="J1428" cm="1">
        <f t="array" aca="1" ref="J1428" ca="1">INDIRECT("Data!D" &amp; 1423)</f>
        <v>0</v>
      </c>
      <c r="K1428" cm="1">
        <f t="array" aca="1" ref="K1428" ca="1">INDIRECT("Data!E" &amp; 1423)</f>
        <v>0</v>
      </c>
      <c r="L1428" cm="1">
        <f t="array" aca="1" ref="L1428" ca="1">INDIRECT("Data!F" &amp; 1423)</f>
        <v>0</v>
      </c>
      <c r="M1428" cm="1">
        <f t="array" aca="1" ref="M1428" ca="1">INDIRECT("Data!G" &amp; 1423)</f>
        <v>0</v>
      </c>
      <c r="N1428" cm="1">
        <f t="array" aca="1" ref="N1428" ca="1">INDIRECT("Data!H" &amp; 1423)</f>
        <v>0</v>
      </c>
      <c r="O1428" cm="1">
        <f t="array" aca="1" ref="O1428" ca="1">INDIRECT("Data!I" &amp; 1423)</f>
        <v>0</v>
      </c>
      <c r="P1428" s="21" cm="1">
        <f t="array" aca="1" ref="P1428" ca="1">INDIRECT("Data!J" &amp; 1423)</f>
        <v>0</v>
      </c>
      <c r="Q1428" cm="1">
        <f t="array" aca="1" ref="Q1428" ca="1">INDIRECT("Data!K" &amp; 1423)</f>
        <v>0</v>
      </c>
      <c r="R1428" cm="1">
        <f t="array" aca="1" ref="R1428" ca="1">INDIRECT("Data!L" &amp; 1423)</f>
        <v>0</v>
      </c>
      <c r="S1428" cm="1">
        <f t="array" aca="1" ref="S1428" ca="1">INDIRECT("Data!M" &amp; 1423)</f>
        <v>0</v>
      </c>
      <c r="T1428" cm="1">
        <f t="array" aca="1" ref="T1428" ca="1">INDIRECT("Data!N" &amp; 1423)</f>
        <v>0</v>
      </c>
      <c r="U1428" cm="1">
        <f t="array" aca="1" ref="U1428" ca="1">INDIRECT("Data!O" &amp; 1423)</f>
        <v>0</v>
      </c>
      <c r="V1428" cm="1">
        <f t="array" aca="1" ref="V1428" ca="1">INDIRECT("Data!P" &amp; 1423)</f>
        <v>0</v>
      </c>
    </row>
    <row r="1429" spans="7:22" x14ac:dyDescent="0.25">
      <c r="G1429" cm="1">
        <f t="array" aca="1" ref="G1429" ca="1">INDIRECT("Data!A" &amp; 1424)</f>
        <v>0</v>
      </c>
      <c r="H1429" s="21" cm="1">
        <f t="array" aca="1" ref="H1429" ca="1">INDIRECT("Data!B" &amp; 1424)</f>
        <v>0</v>
      </c>
      <c r="I1429" s="21" cm="1">
        <f t="array" aca="1" ref="I1429" ca="1">INDIRECT("Data!C" &amp; 1424)</f>
        <v>0</v>
      </c>
      <c r="J1429" cm="1">
        <f t="array" aca="1" ref="J1429" ca="1">INDIRECT("Data!D" &amp; 1424)</f>
        <v>0</v>
      </c>
      <c r="K1429" cm="1">
        <f t="array" aca="1" ref="K1429" ca="1">INDIRECT("Data!E" &amp; 1424)</f>
        <v>0</v>
      </c>
      <c r="L1429" cm="1">
        <f t="array" aca="1" ref="L1429" ca="1">INDIRECT("Data!F" &amp; 1424)</f>
        <v>0</v>
      </c>
      <c r="M1429" cm="1">
        <f t="array" aca="1" ref="M1429" ca="1">INDIRECT("Data!G" &amp; 1424)</f>
        <v>0</v>
      </c>
      <c r="N1429" cm="1">
        <f t="array" aca="1" ref="N1429" ca="1">INDIRECT("Data!H" &amp; 1424)</f>
        <v>0</v>
      </c>
      <c r="O1429" cm="1">
        <f t="array" aca="1" ref="O1429" ca="1">INDIRECT("Data!I" &amp; 1424)</f>
        <v>0</v>
      </c>
      <c r="P1429" s="21" cm="1">
        <f t="array" aca="1" ref="P1429" ca="1">INDIRECT("Data!J" &amp; 1424)</f>
        <v>0</v>
      </c>
      <c r="Q1429" cm="1">
        <f t="array" aca="1" ref="Q1429" ca="1">INDIRECT("Data!K" &amp; 1424)</f>
        <v>0</v>
      </c>
      <c r="R1429" cm="1">
        <f t="array" aca="1" ref="R1429" ca="1">INDIRECT("Data!L" &amp; 1424)</f>
        <v>0</v>
      </c>
      <c r="S1429" cm="1">
        <f t="array" aca="1" ref="S1429" ca="1">INDIRECT("Data!M" &amp; 1424)</f>
        <v>0</v>
      </c>
      <c r="T1429" cm="1">
        <f t="array" aca="1" ref="T1429" ca="1">INDIRECT("Data!N" &amp; 1424)</f>
        <v>0</v>
      </c>
      <c r="U1429" cm="1">
        <f t="array" aca="1" ref="U1429" ca="1">INDIRECT("Data!O" &amp; 1424)</f>
        <v>0</v>
      </c>
      <c r="V1429" cm="1">
        <f t="array" aca="1" ref="V1429" ca="1">INDIRECT("Data!P" &amp; 1424)</f>
        <v>0</v>
      </c>
    </row>
    <row r="1430" spans="7:22" x14ac:dyDescent="0.25">
      <c r="G1430" cm="1">
        <f t="array" aca="1" ref="G1430" ca="1">INDIRECT("Data!A" &amp; 1425)</f>
        <v>0</v>
      </c>
      <c r="H1430" s="21" cm="1">
        <f t="array" aca="1" ref="H1430" ca="1">INDIRECT("Data!B" &amp; 1425)</f>
        <v>0</v>
      </c>
      <c r="I1430" s="21" cm="1">
        <f t="array" aca="1" ref="I1430" ca="1">INDIRECT("Data!C" &amp; 1425)</f>
        <v>0</v>
      </c>
      <c r="J1430" cm="1">
        <f t="array" aca="1" ref="J1430" ca="1">INDIRECT("Data!D" &amp; 1425)</f>
        <v>0</v>
      </c>
      <c r="K1430" cm="1">
        <f t="array" aca="1" ref="K1430" ca="1">INDIRECT("Data!E" &amp; 1425)</f>
        <v>0</v>
      </c>
      <c r="L1430" cm="1">
        <f t="array" aca="1" ref="L1430" ca="1">INDIRECT("Data!F" &amp; 1425)</f>
        <v>0</v>
      </c>
      <c r="M1430" cm="1">
        <f t="array" aca="1" ref="M1430" ca="1">INDIRECT("Data!G" &amp; 1425)</f>
        <v>0</v>
      </c>
      <c r="N1430" cm="1">
        <f t="array" aca="1" ref="N1430" ca="1">INDIRECT("Data!H" &amp; 1425)</f>
        <v>0</v>
      </c>
      <c r="O1430" cm="1">
        <f t="array" aca="1" ref="O1430" ca="1">INDIRECT("Data!I" &amp; 1425)</f>
        <v>0</v>
      </c>
      <c r="P1430" s="21" cm="1">
        <f t="array" aca="1" ref="P1430" ca="1">INDIRECT("Data!J" &amp; 1425)</f>
        <v>0</v>
      </c>
      <c r="Q1430" cm="1">
        <f t="array" aca="1" ref="Q1430" ca="1">INDIRECT("Data!K" &amp; 1425)</f>
        <v>0</v>
      </c>
      <c r="R1430" cm="1">
        <f t="array" aca="1" ref="R1430" ca="1">INDIRECT("Data!L" &amp; 1425)</f>
        <v>0</v>
      </c>
      <c r="S1430" cm="1">
        <f t="array" aca="1" ref="S1430" ca="1">INDIRECT("Data!M" &amp; 1425)</f>
        <v>0</v>
      </c>
      <c r="T1430" cm="1">
        <f t="array" aca="1" ref="T1430" ca="1">INDIRECT("Data!N" &amp; 1425)</f>
        <v>0</v>
      </c>
      <c r="U1430" cm="1">
        <f t="array" aca="1" ref="U1430" ca="1">INDIRECT("Data!O" &amp; 1425)</f>
        <v>0</v>
      </c>
      <c r="V1430" cm="1">
        <f t="array" aca="1" ref="V1430" ca="1">INDIRECT("Data!P" &amp; 1425)</f>
        <v>0</v>
      </c>
    </row>
    <row r="1431" spans="7:22" x14ac:dyDescent="0.25">
      <c r="G1431" cm="1">
        <f t="array" aca="1" ref="G1431" ca="1">INDIRECT("Data!A" &amp; 1426)</f>
        <v>0</v>
      </c>
      <c r="H1431" s="21" cm="1">
        <f t="array" aca="1" ref="H1431" ca="1">INDIRECT("Data!B" &amp; 1426)</f>
        <v>0</v>
      </c>
      <c r="I1431" s="21" cm="1">
        <f t="array" aca="1" ref="I1431" ca="1">INDIRECT("Data!C" &amp; 1426)</f>
        <v>0</v>
      </c>
      <c r="J1431" cm="1">
        <f t="array" aca="1" ref="J1431" ca="1">INDIRECT("Data!D" &amp; 1426)</f>
        <v>0</v>
      </c>
      <c r="K1431" cm="1">
        <f t="array" aca="1" ref="K1431" ca="1">INDIRECT("Data!E" &amp; 1426)</f>
        <v>0</v>
      </c>
      <c r="L1431" cm="1">
        <f t="array" aca="1" ref="L1431" ca="1">INDIRECT("Data!F" &amp; 1426)</f>
        <v>0</v>
      </c>
      <c r="M1431" cm="1">
        <f t="array" aca="1" ref="M1431" ca="1">INDIRECT("Data!G" &amp; 1426)</f>
        <v>0</v>
      </c>
      <c r="N1431" cm="1">
        <f t="array" aca="1" ref="N1431" ca="1">INDIRECT("Data!H" &amp; 1426)</f>
        <v>0</v>
      </c>
      <c r="O1431" cm="1">
        <f t="array" aca="1" ref="O1431" ca="1">INDIRECT("Data!I" &amp; 1426)</f>
        <v>0</v>
      </c>
      <c r="P1431" s="21" cm="1">
        <f t="array" aca="1" ref="P1431" ca="1">INDIRECT("Data!J" &amp; 1426)</f>
        <v>0</v>
      </c>
      <c r="Q1431" cm="1">
        <f t="array" aca="1" ref="Q1431" ca="1">INDIRECT("Data!K" &amp; 1426)</f>
        <v>0</v>
      </c>
      <c r="R1431" cm="1">
        <f t="array" aca="1" ref="R1431" ca="1">INDIRECT("Data!L" &amp; 1426)</f>
        <v>0</v>
      </c>
      <c r="S1431" cm="1">
        <f t="array" aca="1" ref="S1431" ca="1">INDIRECT("Data!M" &amp; 1426)</f>
        <v>0</v>
      </c>
      <c r="T1431" cm="1">
        <f t="array" aca="1" ref="T1431" ca="1">INDIRECT("Data!N" &amp; 1426)</f>
        <v>0</v>
      </c>
      <c r="U1431" cm="1">
        <f t="array" aca="1" ref="U1431" ca="1">INDIRECT("Data!O" &amp; 1426)</f>
        <v>0</v>
      </c>
      <c r="V1431" cm="1">
        <f t="array" aca="1" ref="V1431" ca="1">INDIRECT("Data!P" &amp; 1426)</f>
        <v>0</v>
      </c>
    </row>
    <row r="1432" spans="7:22" x14ac:dyDescent="0.25">
      <c r="G1432" cm="1">
        <f t="array" aca="1" ref="G1432" ca="1">INDIRECT("Data!A" &amp; 1427)</f>
        <v>0</v>
      </c>
      <c r="H1432" s="21" cm="1">
        <f t="array" aca="1" ref="H1432" ca="1">INDIRECT("Data!B" &amp; 1427)</f>
        <v>0</v>
      </c>
      <c r="I1432" s="21" cm="1">
        <f t="array" aca="1" ref="I1432" ca="1">INDIRECT("Data!C" &amp; 1427)</f>
        <v>0</v>
      </c>
      <c r="J1432" cm="1">
        <f t="array" aca="1" ref="J1432" ca="1">INDIRECT("Data!D" &amp; 1427)</f>
        <v>0</v>
      </c>
      <c r="K1432" cm="1">
        <f t="array" aca="1" ref="K1432" ca="1">INDIRECT("Data!E" &amp; 1427)</f>
        <v>0</v>
      </c>
      <c r="L1432" cm="1">
        <f t="array" aca="1" ref="L1432" ca="1">INDIRECT("Data!F" &amp; 1427)</f>
        <v>0</v>
      </c>
      <c r="M1432" cm="1">
        <f t="array" aca="1" ref="M1432" ca="1">INDIRECT("Data!G" &amp; 1427)</f>
        <v>0</v>
      </c>
      <c r="N1432" cm="1">
        <f t="array" aca="1" ref="N1432" ca="1">INDIRECT("Data!H" &amp; 1427)</f>
        <v>0</v>
      </c>
      <c r="O1432" cm="1">
        <f t="array" aca="1" ref="O1432" ca="1">INDIRECT("Data!I" &amp; 1427)</f>
        <v>0</v>
      </c>
      <c r="P1432" s="21" cm="1">
        <f t="array" aca="1" ref="P1432" ca="1">INDIRECT("Data!J" &amp; 1427)</f>
        <v>0</v>
      </c>
      <c r="Q1432" cm="1">
        <f t="array" aca="1" ref="Q1432" ca="1">INDIRECT("Data!K" &amp; 1427)</f>
        <v>0</v>
      </c>
      <c r="R1432" cm="1">
        <f t="array" aca="1" ref="R1432" ca="1">INDIRECT("Data!L" &amp; 1427)</f>
        <v>0</v>
      </c>
      <c r="S1432" cm="1">
        <f t="array" aca="1" ref="S1432" ca="1">INDIRECT("Data!M" &amp; 1427)</f>
        <v>0</v>
      </c>
      <c r="T1432" cm="1">
        <f t="array" aca="1" ref="T1432" ca="1">INDIRECT("Data!N" &amp; 1427)</f>
        <v>0</v>
      </c>
      <c r="U1432" cm="1">
        <f t="array" aca="1" ref="U1432" ca="1">INDIRECT("Data!O" &amp; 1427)</f>
        <v>0</v>
      </c>
      <c r="V1432" cm="1">
        <f t="array" aca="1" ref="V1432" ca="1">INDIRECT("Data!P" &amp; 1427)</f>
        <v>0</v>
      </c>
    </row>
    <row r="1433" spans="7:22" x14ac:dyDescent="0.25">
      <c r="G1433" cm="1">
        <f t="array" aca="1" ref="G1433" ca="1">INDIRECT("Data!A" &amp; 1428)</f>
        <v>0</v>
      </c>
      <c r="H1433" s="21" cm="1">
        <f t="array" aca="1" ref="H1433" ca="1">INDIRECT("Data!B" &amp; 1428)</f>
        <v>0</v>
      </c>
      <c r="I1433" s="21" cm="1">
        <f t="array" aca="1" ref="I1433" ca="1">INDIRECT("Data!C" &amp; 1428)</f>
        <v>0</v>
      </c>
      <c r="J1433" cm="1">
        <f t="array" aca="1" ref="J1433" ca="1">INDIRECT("Data!D" &amp; 1428)</f>
        <v>0</v>
      </c>
      <c r="K1433" cm="1">
        <f t="array" aca="1" ref="K1433" ca="1">INDIRECT("Data!E" &amp; 1428)</f>
        <v>0</v>
      </c>
      <c r="L1433" cm="1">
        <f t="array" aca="1" ref="L1433" ca="1">INDIRECT("Data!F" &amp; 1428)</f>
        <v>0</v>
      </c>
      <c r="M1433" cm="1">
        <f t="array" aca="1" ref="M1433" ca="1">INDIRECT("Data!G" &amp; 1428)</f>
        <v>0</v>
      </c>
      <c r="N1433" cm="1">
        <f t="array" aca="1" ref="N1433" ca="1">INDIRECT("Data!H" &amp; 1428)</f>
        <v>0</v>
      </c>
      <c r="O1433" cm="1">
        <f t="array" aca="1" ref="O1433" ca="1">INDIRECT("Data!I" &amp; 1428)</f>
        <v>0</v>
      </c>
      <c r="P1433" s="21" cm="1">
        <f t="array" aca="1" ref="P1433" ca="1">INDIRECT("Data!J" &amp; 1428)</f>
        <v>0</v>
      </c>
      <c r="Q1433" cm="1">
        <f t="array" aca="1" ref="Q1433" ca="1">INDIRECT("Data!K" &amp; 1428)</f>
        <v>0</v>
      </c>
      <c r="R1433" cm="1">
        <f t="array" aca="1" ref="R1433" ca="1">INDIRECT("Data!L" &amp; 1428)</f>
        <v>0</v>
      </c>
      <c r="S1433" cm="1">
        <f t="array" aca="1" ref="S1433" ca="1">INDIRECT("Data!M" &amp; 1428)</f>
        <v>0</v>
      </c>
      <c r="T1433" cm="1">
        <f t="array" aca="1" ref="T1433" ca="1">INDIRECT("Data!N" &amp; 1428)</f>
        <v>0</v>
      </c>
      <c r="U1433" cm="1">
        <f t="array" aca="1" ref="U1433" ca="1">INDIRECT("Data!O" &amp; 1428)</f>
        <v>0</v>
      </c>
      <c r="V1433" cm="1">
        <f t="array" aca="1" ref="V1433" ca="1">INDIRECT("Data!P" &amp; 1428)</f>
        <v>0</v>
      </c>
    </row>
    <row r="1434" spans="7:22" x14ac:dyDescent="0.25">
      <c r="G1434" cm="1">
        <f t="array" aca="1" ref="G1434" ca="1">INDIRECT("Data!A" &amp; 1429)</f>
        <v>0</v>
      </c>
      <c r="H1434" s="21" cm="1">
        <f t="array" aca="1" ref="H1434" ca="1">INDIRECT("Data!B" &amp; 1429)</f>
        <v>0</v>
      </c>
      <c r="I1434" s="21" cm="1">
        <f t="array" aca="1" ref="I1434" ca="1">INDIRECT("Data!C" &amp; 1429)</f>
        <v>0</v>
      </c>
      <c r="J1434" cm="1">
        <f t="array" aca="1" ref="J1434" ca="1">INDIRECT("Data!D" &amp; 1429)</f>
        <v>0</v>
      </c>
      <c r="K1434" cm="1">
        <f t="array" aca="1" ref="K1434" ca="1">INDIRECT("Data!E" &amp; 1429)</f>
        <v>0</v>
      </c>
      <c r="L1434" cm="1">
        <f t="array" aca="1" ref="L1434" ca="1">INDIRECT("Data!F" &amp; 1429)</f>
        <v>0</v>
      </c>
      <c r="M1434" cm="1">
        <f t="array" aca="1" ref="M1434" ca="1">INDIRECT("Data!G" &amp; 1429)</f>
        <v>0</v>
      </c>
      <c r="N1434" cm="1">
        <f t="array" aca="1" ref="N1434" ca="1">INDIRECT("Data!H" &amp; 1429)</f>
        <v>0</v>
      </c>
      <c r="O1434" cm="1">
        <f t="array" aca="1" ref="O1434" ca="1">INDIRECT("Data!I" &amp; 1429)</f>
        <v>0</v>
      </c>
      <c r="P1434" s="21" cm="1">
        <f t="array" aca="1" ref="P1434" ca="1">INDIRECT("Data!J" &amp; 1429)</f>
        <v>0</v>
      </c>
      <c r="Q1434" cm="1">
        <f t="array" aca="1" ref="Q1434" ca="1">INDIRECT("Data!K" &amp; 1429)</f>
        <v>0</v>
      </c>
      <c r="R1434" cm="1">
        <f t="array" aca="1" ref="R1434" ca="1">INDIRECT("Data!L" &amp; 1429)</f>
        <v>0</v>
      </c>
      <c r="S1434" cm="1">
        <f t="array" aca="1" ref="S1434" ca="1">INDIRECT("Data!M" &amp; 1429)</f>
        <v>0</v>
      </c>
      <c r="T1434" cm="1">
        <f t="array" aca="1" ref="T1434" ca="1">INDIRECT("Data!N" &amp; 1429)</f>
        <v>0</v>
      </c>
      <c r="U1434" cm="1">
        <f t="array" aca="1" ref="U1434" ca="1">INDIRECT("Data!O" &amp; 1429)</f>
        <v>0</v>
      </c>
      <c r="V1434" cm="1">
        <f t="array" aca="1" ref="V1434" ca="1">INDIRECT("Data!P" &amp; 1429)</f>
        <v>0</v>
      </c>
    </row>
    <row r="1435" spans="7:22" x14ac:dyDescent="0.25">
      <c r="G1435" cm="1">
        <f t="array" aca="1" ref="G1435" ca="1">INDIRECT("Data!A" &amp; 1430)</f>
        <v>0</v>
      </c>
      <c r="H1435" s="21" cm="1">
        <f t="array" aca="1" ref="H1435" ca="1">INDIRECT("Data!B" &amp; 1430)</f>
        <v>0</v>
      </c>
      <c r="I1435" s="21" cm="1">
        <f t="array" aca="1" ref="I1435" ca="1">INDIRECT("Data!C" &amp; 1430)</f>
        <v>0</v>
      </c>
      <c r="J1435" cm="1">
        <f t="array" aca="1" ref="J1435" ca="1">INDIRECT("Data!D" &amp; 1430)</f>
        <v>0</v>
      </c>
      <c r="K1435" cm="1">
        <f t="array" aca="1" ref="K1435" ca="1">INDIRECT("Data!E" &amp; 1430)</f>
        <v>0</v>
      </c>
      <c r="L1435" cm="1">
        <f t="array" aca="1" ref="L1435" ca="1">INDIRECT("Data!F" &amp; 1430)</f>
        <v>0</v>
      </c>
      <c r="M1435" cm="1">
        <f t="array" aca="1" ref="M1435" ca="1">INDIRECT("Data!G" &amp; 1430)</f>
        <v>0</v>
      </c>
      <c r="N1435" cm="1">
        <f t="array" aca="1" ref="N1435" ca="1">INDIRECT("Data!H" &amp; 1430)</f>
        <v>0</v>
      </c>
      <c r="O1435" cm="1">
        <f t="array" aca="1" ref="O1435" ca="1">INDIRECT("Data!I" &amp; 1430)</f>
        <v>0</v>
      </c>
      <c r="P1435" s="21" cm="1">
        <f t="array" aca="1" ref="P1435" ca="1">INDIRECT("Data!J" &amp; 1430)</f>
        <v>0</v>
      </c>
      <c r="Q1435" cm="1">
        <f t="array" aca="1" ref="Q1435" ca="1">INDIRECT("Data!K" &amp; 1430)</f>
        <v>0</v>
      </c>
      <c r="R1435" cm="1">
        <f t="array" aca="1" ref="R1435" ca="1">INDIRECT("Data!L" &amp; 1430)</f>
        <v>0</v>
      </c>
      <c r="S1435" cm="1">
        <f t="array" aca="1" ref="S1435" ca="1">INDIRECT("Data!M" &amp; 1430)</f>
        <v>0</v>
      </c>
      <c r="T1435" cm="1">
        <f t="array" aca="1" ref="T1435" ca="1">INDIRECT("Data!N" &amp; 1430)</f>
        <v>0</v>
      </c>
      <c r="U1435" cm="1">
        <f t="array" aca="1" ref="U1435" ca="1">INDIRECT("Data!O" &amp; 1430)</f>
        <v>0</v>
      </c>
      <c r="V1435" cm="1">
        <f t="array" aca="1" ref="V1435" ca="1">INDIRECT("Data!P" &amp; 1430)</f>
        <v>0</v>
      </c>
    </row>
    <row r="1436" spans="7:22" x14ac:dyDescent="0.25">
      <c r="G1436" cm="1">
        <f t="array" aca="1" ref="G1436" ca="1">INDIRECT("Data!A" &amp; 1431)</f>
        <v>0</v>
      </c>
      <c r="H1436" s="21" cm="1">
        <f t="array" aca="1" ref="H1436" ca="1">INDIRECT("Data!B" &amp; 1431)</f>
        <v>0</v>
      </c>
      <c r="I1436" s="21" cm="1">
        <f t="array" aca="1" ref="I1436" ca="1">INDIRECT("Data!C" &amp; 1431)</f>
        <v>0</v>
      </c>
      <c r="J1436" cm="1">
        <f t="array" aca="1" ref="J1436" ca="1">INDIRECT("Data!D" &amp; 1431)</f>
        <v>0</v>
      </c>
      <c r="K1436" cm="1">
        <f t="array" aca="1" ref="K1436" ca="1">INDIRECT("Data!E" &amp; 1431)</f>
        <v>0</v>
      </c>
      <c r="L1436" cm="1">
        <f t="array" aca="1" ref="L1436" ca="1">INDIRECT("Data!F" &amp; 1431)</f>
        <v>0</v>
      </c>
      <c r="M1436" cm="1">
        <f t="array" aca="1" ref="M1436" ca="1">INDIRECT("Data!G" &amp; 1431)</f>
        <v>0</v>
      </c>
      <c r="N1436" cm="1">
        <f t="array" aca="1" ref="N1436" ca="1">INDIRECT("Data!H" &amp; 1431)</f>
        <v>0</v>
      </c>
      <c r="O1436" cm="1">
        <f t="array" aca="1" ref="O1436" ca="1">INDIRECT("Data!I" &amp; 1431)</f>
        <v>0</v>
      </c>
      <c r="P1436" s="21" cm="1">
        <f t="array" aca="1" ref="P1436" ca="1">INDIRECT("Data!J" &amp; 1431)</f>
        <v>0</v>
      </c>
      <c r="Q1436" cm="1">
        <f t="array" aca="1" ref="Q1436" ca="1">INDIRECT("Data!K" &amp; 1431)</f>
        <v>0</v>
      </c>
      <c r="R1436" cm="1">
        <f t="array" aca="1" ref="R1436" ca="1">INDIRECT("Data!L" &amp; 1431)</f>
        <v>0</v>
      </c>
      <c r="S1436" cm="1">
        <f t="array" aca="1" ref="S1436" ca="1">INDIRECT("Data!M" &amp; 1431)</f>
        <v>0</v>
      </c>
      <c r="T1436" cm="1">
        <f t="array" aca="1" ref="T1436" ca="1">INDIRECT("Data!N" &amp; 1431)</f>
        <v>0</v>
      </c>
      <c r="U1436" cm="1">
        <f t="array" aca="1" ref="U1436" ca="1">INDIRECT("Data!O" &amp; 1431)</f>
        <v>0</v>
      </c>
      <c r="V1436" cm="1">
        <f t="array" aca="1" ref="V1436" ca="1">INDIRECT("Data!P" &amp; 1431)</f>
        <v>0</v>
      </c>
    </row>
    <row r="1437" spans="7:22" x14ac:dyDescent="0.25">
      <c r="G1437" cm="1">
        <f t="array" aca="1" ref="G1437" ca="1">INDIRECT("Data!A" &amp; 1432)</f>
        <v>0</v>
      </c>
      <c r="H1437" s="21" cm="1">
        <f t="array" aca="1" ref="H1437" ca="1">INDIRECT("Data!B" &amp; 1432)</f>
        <v>0</v>
      </c>
      <c r="I1437" s="21" cm="1">
        <f t="array" aca="1" ref="I1437" ca="1">INDIRECT("Data!C" &amp; 1432)</f>
        <v>0</v>
      </c>
      <c r="J1437" cm="1">
        <f t="array" aca="1" ref="J1437" ca="1">INDIRECT("Data!D" &amp; 1432)</f>
        <v>0</v>
      </c>
      <c r="K1437" cm="1">
        <f t="array" aca="1" ref="K1437" ca="1">INDIRECT("Data!E" &amp; 1432)</f>
        <v>0</v>
      </c>
      <c r="L1437" cm="1">
        <f t="array" aca="1" ref="L1437" ca="1">INDIRECT("Data!F" &amp; 1432)</f>
        <v>0</v>
      </c>
      <c r="M1437" cm="1">
        <f t="array" aca="1" ref="M1437" ca="1">INDIRECT("Data!G" &amp; 1432)</f>
        <v>0</v>
      </c>
      <c r="N1437" cm="1">
        <f t="array" aca="1" ref="N1437" ca="1">INDIRECT("Data!H" &amp; 1432)</f>
        <v>0</v>
      </c>
      <c r="O1437" cm="1">
        <f t="array" aca="1" ref="O1437" ca="1">INDIRECT("Data!I" &amp; 1432)</f>
        <v>0</v>
      </c>
      <c r="P1437" s="21" cm="1">
        <f t="array" aca="1" ref="P1437" ca="1">INDIRECT("Data!J" &amp; 1432)</f>
        <v>0</v>
      </c>
      <c r="Q1437" cm="1">
        <f t="array" aca="1" ref="Q1437" ca="1">INDIRECT("Data!K" &amp; 1432)</f>
        <v>0</v>
      </c>
      <c r="R1437" cm="1">
        <f t="array" aca="1" ref="R1437" ca="1">INDIRECT("Data!L" &amp; 1432)</f>
        <v>0</v>
      </c>
      <c r="S1437" cm="1">
        <f t="array" aca="1" ref="S1437" ca="1">INDIRECT("Data!M" &amp; 1432)</f>
        <v>0</v>
      </c>
      <c r="T1437" cm="1">
        <f t="array" aca="1" ref="T1437" ca="1">INDIRECT("Data!N" &amp; 1432)</f>
        <v>0</v>
      </c>
      <c r="U1437" cm="1">
        <f t="array" aca="1" ref="U1437" ca="1">INDIRECT("Data!O" &amp; 1432)</f>
        <v>0</v>
      </c>
      <c r="V1437" cm="1">
        <f t="array" aca="1" ref="V1437" ca="1">INDIRECT("Data!P" &amp; 1432)</f>
        <v>0</v>
      </c>
    </row>
    <row r="1438" spans="7:22" x14ac:dyDescent="0.25">
      <c r="G1438" cm="1">
        <f t="array" aca="1" ref="G1438" ca="1">INDIRECT("Data!A" &amp; 1433)</f>
        <v>0</v>
      </c>
      <c r="H1438" s="21" cm="1">
        <f t="array" aca="1" ref="H1438" ca="1">INDIRECT("Data!B" &amp; 1433)</f>
        <v>0</v>
      </c>
      <c r="I1438" s="21" cm="1">
        <f t="array" aca="1" ref="I1438" ca="1">INDIRECT("Data!C" &amp; 1433)</f>
        <v>0</v>
      </c>
      <c r="J1438" cm="1">
        <f t="array" aca="1" ref="J1438" ca="1">INDIRECT("Data!D" &amp; 1433)</f>
        <v>0</v>
      </c>
      <c r="K1438" cm="1">
        <f t="array" aca="1" ref="K1438" ca="1">INDIRECT("Data!E" &amp; 1433)</f>
        <v>0</v>
      </c>
      <c r="L1438" cm="1">
        <f t="array" aca="1" ref="L1438" ca="1">INDIRECT("Data!F" &amp; 1433)</f>
        <v>0</v>
      </c>
      <c r="M1438" cm="1">
        <f t="array" aca="1" ref="M1438" ca="1">INDIRECT("Data!G" &amp; 1433)</f>
        <v>0</v>
      </c>
      <c r="N1438" cm="1">
        <f t="array" aca="1" ref="N1438" ca="1">INDIRECT("Data!H" &amp; 1433)</f>
        <v>0</v>
      </c>
      <c r="O1438" cm="1">
        <f t="array" aca="1" ref="O1438" ca="1">INDIRECT("Data!I" &amp; 1433)</f>
        <v>0</v>
      </c>
      <c r="P1438" s="21" cm="1">
        <f t="array" aca="1" ref="P1438" ca="1">INDIRECT("Data!J" &amp; 1433)</f>
        <v>0</v>
      </c>
      <c r="Q1438" cm="1">
        <f t="array" aca="1" ref="Q1438" ca="1">INDIRECT("Data!K" &amp; 1433)</f>
        <v>0</v>
      </c>
      <c r="R1438" cm="1">
        <f t="array" aca="1" ref="R1438" ca="1">INDIRECT("Data!L" &amp; 1433)</f>
        <v>0</v>
      </c>
      <c r="S1438" cm="1">
        <f t="array" aca="1" ref="S1438" ca="1">INDIRECT("Data!M" &amp; 1433)</f>
        <v>0</v>
      </c>
      <c r="T1438" cm="1">
        <f t="array" aca="1" ref="T1438" ca="1">INDIRECT("Data!N" &amp; 1433)</f>
        <v>0</v>
      </c>
      <c r="U1438" cm="1">
        <f t="array" aca="1" ref="U1438" ca="1">INDIRECT("Data!O" &amp; 1433)</f>
        <v>0</v>
      </c>
      <c r="V1438" cm="1">
        <f t="array" aca="1" ref="V1438" ca="1">INDIRECT("Data!P" &amp; 1433)</f>
        <v>0</v>
      </c>
    </row>
    <row r="1439" spans="7:22" x14ac:dyDescent="0.25">
      <c r="G1439" cm="1">
        <f t="array" aca="1" ref="G1439" ca="1">INDIRECT("Data!A" &amp; 1434)</f>
        <v>0</v>
      </c>
      <c r="H1439" s="21" cm="1">
        <f t="array" aca="1" ref="H1439" ca="1">INDIRECT("Data!B" &amp; 1434)</f>
        <v>0</v>
      </c>
      <c r="I1439" s="21" cm="1">
        <f t="array" aca="1" ref="I1439" ca="1">INDIRECT("Data!C" &amp; 1434)</f>
        <v>0</v>
      </c>
      <c r="J1439" cm="1">
        <f t="array" aca="1" ref="J1439" ca="1">INDIRECT("Data!D" &amp; 1434)</f>
        <v>0</v>
      </c>
      <c r="K1439" cm="1">
        <f t="array" aca="1" ref="K1439" ca="1">INDIRECT("Data!E" &amp; 1434)</f>
        <v>0</v>
      </c>
      <c r="L1439" cm="1">
        <f t="array" aca="1" ref="L1439" ca="1">INDIRECT("Data!F" &amp; 1434)</f>
        <v>0</v>
      </c>
      <c r="M1439" cm="1">
        <f t="array" aca="1" ref="M1439" ca="1">INDIRECT("Data!G" &amp; 1434)</f>
        <v>0</v>
      </c>
      <c r="N1439" cm="1">
        <f t="array" aca="1" ref="N1439" ca="1">INDIRECT("Data!H" &amp; 1434)</f>
        <v>0</v>
      </c>
      <c r="O1439" cm="1">
        <f t="array" aca="1" ref="O1439" ca="1">INDIRECT("Data!I" &amp; 1434)</f>
        <v>0</v>
      </c>
      <c r="P1439" s="21" cm="1">
        <f t="array" aca="1" ref="P1439" ca="1">INDIRECT("Data!J" &amp; 1434)</f>
        <v>0</v>
      </c>
      <c r="Q1439" cm="1">
        <f t="array" aca="1" ref="Q1439" ca="1">INDIRECT("Data!K" &amp; 1434)</f>
        <v>0</v>
      </c>
      <c r="R1439" cm="1">
        <f t="array" aca="1" ref="R1439" ca="1">INDIRECT("Data!L" &amp; 1434)</f>
        <v>0</v>
      </c>
      <c r="S1439" cm="1">
        <f t="array" aca="1" ref="S1439" ca="1">INDIRECT("Data!M" &amp; 1434)</f>
        <v>0</v>
      </c>
      <c r="T1439" cm="1">
        <f t="array" aca="1" ref="T1439" ca="1">INDIRECT("Data!N" &amp; 1434)</f>
        <v>0</v>
      </c>
      <c r="U1439" cm="1">
        <f t="array" aca="1" ref="U1439" ca="1">INDIRECT("Data!O" &amp; 1434)</f>
        <v>0</v>
      </c>
      <c r="V1439" cm="1">
        <f t="array" aca="1" ref="V1439" ca="1">INDIRECT("Data!P" &amp; 1434)</f>
        <v>0</v>
      </c>
    </row>
    <row r="1440" spans="7:22" x14ac:dyDescent="0.25">
      <c r="G1440" cm="1">
        <f t="array" aca="1" ref="G1440" ca="1">INDIRECT("Data!A" &amp; 1435)</f>
        <v>0</v>
      </c>
      <c r="H1440" s="21" cm="1">
        <f t="array" aca="1" ref="H1440" ca="1">INDIRECT("Data!B" &amp; 1435)</f>
        <v>0</v>
      </c>
      <c r="I1440" s="21" cm="1">
        <f t="array" aca="1" ref="I1440" ca="1">INDIRECT("Data!C" &amp; 1435)</f>
        <v>0</v>
      </c>
      <c r="J1440" cm="1">
        <f t="array" aca="1" ref="J1440" ca="1">INDIRECT("Data!D" &amp; 1435)</f>
        <v>0</v>
      </c>
      <c r="K1440" cm="1">
        <f t="array" aca="1" ref="K1440" ca="1">INDIRECT("Data!E" &amp; 1435)</f>
        <v>0</v>
      </c>
      <c r="L1440" cm="1">
        <f t="array" aca="1" ref="L1440" ca="1">INDIRECT("Data!F" &amp; 1435)</f>
        <v>0</v>
      </c>
      <c r="M1440" cm="1">
        <f t="array" aca="1" ref="M1440" ca="1">INDIRECT("Data!G" &amp; 1435)</f>
        <v>0</v>
      </c>
      <c r="N1440" cm="1">
        <f t="array" aca="1" ref="N1440" ca="1">INDIRECT("Data!H" &amp; 1435)</f>
        <v>0</v>
      </c>
      <c r="O1440" cm="1">
        <f t="array" aca="1" ref="O1440" ca="1">INDIRECT("Data!I" &amp; 1435)</f>
        <v>0</v>
      </c>
      <c r="P1440" s="21" cm="1">
        <f t="array" aca="1" ref="P1440" ca="1">INDIRECT("Data!J" &amp; 1435)</f>
        <v>0</v>
      </c>
      <c r="Q1440" cm="1">
        <f t="array" aca="1" ref="Q1440" ca="1">INDIRECT("Data!K" &amp; 1435)</f>
        <v>0</v>
      </c>
      <c r="R1440" cm="1">
        <f t="array" aca="1" ref="R1440" ca="1">INDIRECT("Data!L" &amp; 1435)</f>
        <v>0</v>
      </c>
      <c r="S1440" cm="1">
        <f t="array" aca="1" ref="S1440" ca="1">INDIRECT("Data!M" &amp; 1435)</f>
        <v>0</v>
      </c>
      <c r="T1440" cm="1">
        <f t="array" aca="1" ref="T1440" ca="1">INDIRECT("Data!N" &amp; 1435)</f>
        <v>0</v>
      </c>
      <c r="U1440" cm="1">
        <f t="array" aca="1" ref="U1440" ca="1">INDIRECT("Data!O" &amp; 1435)</f>
        <v>0</v>
      </c>
      <c r="V1440" cm="1">
        <f t="array" aca="1" ref="V1440" ca="1">INDIRECT("Data!P" &amp; 1435)</f>
        <v>0</v>
      </c>
    </row>
    <row r="1441" spans="7:22" x14ac:dyDescent="0.25">
      <c r="G1441" cm="1">
        <f t="array" aca="1" ref="G1441" ca="1">INDIRECT("Data!A" &amp; 1436)</f>
        <v>0</v>
      </c>
      <c r="H1441" s="21" cm="1">
        <f t="array" aca="1" ref="H1441" ca="1">INDIRECT("Data!B" &amp; 1436)</f>
        <v>0</v>
      </c>
      <c r="I1441" s="21" cm="1">
        <f t="array" aca="1" ref="I1441" ca="1">INDIRECT("Data!C" &amp; 1436)</f>
        <v>0</v>
      </c>
      <c r="J1441" cm="1">
        <f t="array" aca="1" ref="J1441" ca="1">INDIRECT("Data!D" &amp; 1436)</f>
        <v>0</v>
      </c>
      <c r="K1441" cm="1">
        <f t="array" aca="1" ref="K1441" ca="1">INDIRECT("Data!E" &amp; 1436)</f>
        <v>0</v>
      </c>
      <c r="L1441" cm="1">
        <f t="array" aca="1" ref="L1441" ca="1">INDIRECT("Data!F" &amp; 1436)</f>
        <v>0</v>
      </c>
      <c r="M1441" cm="1">
        <f t="array" aca="1" ref="M1441" ca="1">INDIRECT("Data!G" &amp; 1436)</f>
        <v>0</v>
      </c>
      <c r="N1441" cm="1">
        <f t="array" aca="1" ref="N1441" ca="1">INDIRECT("Data!H" &amp; 1436)</f>
        <v>0</v>
      </c>
      <c r="O1441" cm="1">
        <f t="array" aca="1" ref="O1441" ca="1">INDIRECT("Data!I" &amp; 1436)</f>
        <v>0</v>
      </c>
      <c r="P1441" s="21" cm="1">
        <f t="array" aca="1" ref="P1441" ca="1">INDIRECT("Data!J" &amp; 1436)</f>
        <v>0</v>
      </c>
      <c r="Q1441" cm="1">
        <f t="array" aca="1" ref="Q1441" ca="1">INDIRECT("Data!K" &amp; 1436)</f>
        <v>0</v>
      </c>
      <c r="R1441" cm="1">
        <f t="array" aca="1" ref="R1441" ca="1">INDIRECT("Data!L" &amp; 1436)</f>
        <v>0</v>
      </c>
      <c r="S1441" cm="1">
        <f t="array" aca="1" ref="S1441" ca="1">INDIRECT("Data!M" &amp; 1436)</f>
        <v>0</v>
      </c>
      <c r="T1441" cm="1">
        <f t="array" aca="1" ref="T1441" ca="1">INDIRECT("Data!N" &amp; 1436)</f>
        <v>0</v>
      </c>
      <c r="U1441" cm="1">
        <f t="array" aca="1" ref="U1441" ca="1">INDIRECT("Data!O" &amp; 1436)</f>
        <v>0</v>
      </c>
      <c r="V1441" cm="1">
        <f t="array" aca="1" ref="V1441" ca="1">INDIRECT("Data!P" &amp; 1436)</f>
        <v>0</v>
      </c>
    </row>
    <row r="1442" spans="7:22" x14ac:dyDescent="0.25">
      <c r="G1442" cm="1">
        <f t="array" aca="1" ref="G1442" ca="1">INDIRECT("Data!A" &amp; 1437)</f>
        <v>0</v>
      </c>
      <c r="H1442" s="21" cm="1">
        <f t="array" aca="1" ref="H1442" ca="1">INDIRECT("Data!B" &amp; 1437)</f>
        <v>0</v>
      </c>
      <c r="I1442" s="21" cm="1">
        <f t="array" aca="1" ref="I1442" ca="1">INDIRECT("Data!C" &amp; 1437)</f>
        <v>0</v>
      </c>
      <c r="J1442" cm="1">
        <f t="array" aca="1" ref="J1442" ca="1">INDIRECT("Data!D" &amp; 1437)</f>
        <v>0</v>
      </c>
      <c r="K1442" cm="1">
        <f t="array" aca="1" ref="K1442" ca="1">INDIRECT("Data!E" &amp; 1437)</f>
        <v>0</v>
      </c>
      <c r="L1442" cm="1">
        <f t="array" aca="1" ref="L1442" ca="1">INDIRECT("Data!F" &amp; 1437)</f>
        <v>0</v>
      </c>
      <c r="M1442" cm="1">
        <f t="array" aca="1" ref="M1442" ca="1">INDIRECT("Data!G" &amp; 1437)</f>
        <v>0</v>
      </c>
      <c r="N1442" cm="1">
        <f t="array" aca="1" ref="N1442" ca="1">INDIRECT("Data!H" &amp; 1437)</f>
        <v>0</v>
      </c>
      <c r="O1442" cm="1">
        <f t="array" aca="1" ref="O1442" ca="1">INDIRECT("Data!I" &amp; 1437)</f>
        <v>0</v>
      </c>
      <c r="P1442" s="21" cm="1">
        <f t="array" aca="1" ref="P1442" ca="1">INDIRECT("Data!J" &amp; 1437)</f>
        <v>0</v>
      </c>
      <c r="Q1442" cm="1">
        <f t="array" aca="1" ref="Q1442" ca="1">INDIRECT("Data!K" &amp; 1437)</f>
        <v>0</v>
      </c>
      <c r="R1442" cm="1">
        <f t="array" aca="1" ref="R1442" ca="1">INDIRECT("Data!L" &amp; 1437)</f>
        <v>0</v>
      </c>
      <c r="S1442" cm="1">
        <f t="array" aca="1" ref="S1442" ca="1">INDIRECT("Data!M" &amp; 1437)</f>
        <v>0</v>
      </c>
      <c r="T1442" cm="1">
        <f t="array" aca="1" ref="T1442" ca="1">INDIRECT("Data!N" &amp; 1437)</f>
        <v>0</v>
      </c>
      <c r="U1442" cm="1">
        <f t="array" aca="1" ref="U1442" ca="1">INDIRECT("Data!O" &amp; 1437)</f>
        <v>0</v>
      </c>
      <c r="V1442" cm="1">
        <f t="array" aca="1" ref="V1442" ca="1">INDIRECT("Data!P" &amp; 1437)</f>
        <v>0</v>
      </c>
    </row>
    <row r="1443" spans="7:22" x14ac:dyDescent="0.25">
      <c r="G1443" cm="1">
        <f t="array" aca="1" ref="G1443" ca="1">INDIRECT("Data!A" &amp; 1438)</f>
        <v>0</v>
      </c>
      <c r="H1443" s="21" cm="1">
        <f t="array" aca="1" ref="H1443" ca="1">INDIRECT("Data!B" &amp; 1438)</f>
        <v>0</v>
      </c>
      <c r="I1443" s="21" cm="1">
        <f t="array" aca="1" ref="I1443" ca="1">INDIRECT("Data!C" &amp; 1438)</f>
        <v>0</v>
      </c>
      <c r="J1443" cm="1">
        <f t="array" aca="1" ref="J1443" ca="1">INDIRECT("Data!D" &amp; 1438)</f>
        <v>0</v>
      </c>
      <c r="K1443" cm="1">
        <f t="array" aca="1" ref="K1443" ca="1">INDIRECT("Data!E" &amp; 1438)</f>
        <v>0</v>
      </c>
      <c r="L1443" cm="1">
        <f t="array" aca="1" ref="L1443" ca="1">INDIRECT("Data!F" &amp; 1438)</f>
        <v>0</v>
      </c>
      <c r="M1443" cm="1">
        <f t="array" aca="1" ref="M1443" ca="1">INDIRECT("Data!G" &amp; 1438)</f>
        <v>0</v>
      </c>
      <c r="N1443" cm="1">
        <f t="array" aca="1" ref="N1443" ca="1">INDIRECT("Data!H" &amp; 1438)</f>
        <v>0</v>
      </c>
      <c r="O1443" cm="1">
        <f t="array" aca="1" ref="O1443" ca="1">INDIRECT("Data!I" &amp; 1438)</f>
        <v>0</v>
      </c>
      <c r="P1443" s="21" cm="1">
        <f t="array" aca="1" ref="P1443" ca="1">INDIRECT("Data!J" &amp; 1438)</f>
        <v>0</v>
      </c>
      <c r="Q1443" cm="1">
        <f t="array" aca="1" ref="Q1443" ca="1">INDIRECT("Data!K" &amp; 1438)</f>
        <v>0</v>
      </c>
      <c r="R1443" cm="1">
        <f t="array" aca="1" ref="R1443" ca="1">INDIRECT("Data!L" &amp; 1438)</f>
        <v>0</v>
      </c>
      <c r="S1443" cm="1">
        <f t="array" aca="1" ref="S1443" ca="1">INDIRECT("Data!M" &amp; 1438)</f>
        <v>0</v>
      </c>
      <c r="T1443" cm="1">
        <f t="array" aca="1" ref="T1443" ca="1">INDIRECT("Data!N" &amp; 1438)</f>
        <v>0</v>
      </c>
      <c r="U1443" cm="1">
        <f t="array" aca="1" ref="U1443" ca="1">INDIRECT("Data!O" &amp; 1438)</f>
        <v>0</v>
      </c>
      <c r="V1443" cm="1">
        <f t="array" aca="1" ref="V1443" ca="1">INDIRECT("Data!P" &amp; 1438)</f>
        <v>0</v>
      </c>
    </row>
    <row r="1444" spans="7:22" x14ac:dyDescent="0.25">
      <c r="G1444" cm="1">
        <f t="array" aca="1" ref="G1444" ca="1">INDIRECT("Data!A" &amp; 1439)</f>
        <v>0</v>
      </c>
      <c r="H1444" s="21" cm="1">
        <f t="array" aca="1" ref="H1444" ca="1">INDIRECT("Data!B" &amp; 1439)</f>
        <v>0</v>
      </c>
      <c r="I1444" s="21" cm="1">
        <f t="array" aca="1" ref="I1444" ca="1">INDIRECT("Data!C" &amp; 1439)</f>
        <v>0</v>
      </c>
      <c r="J1444" cm="1">
        <f t="array" aca="1" ref="J1444" ca="1">INDIRECT("Data!D" &amp; 1439)</f>
        <v>0</v>
      </c>
      <c r="K1444" cm="1">
        <f t="array" aca="1" ref="K1444" ca="1">INDIRECT("Data!E" &amp; 1439)</f>
        <v>0</v>
      </c>
      <c r="L1444" cm="1">
        <f t="array" aca="1" ref="L1444" ca="1">INDIRECT("Data!F" &amp; 1439)</f>
        <v>0</v>
      </c>
      <c r="M1444" cm="1">
        <f t="array" aca="1" ref="M1444" ca="1">INDIRECT("Data!G" &amp; 1439)</f>
        <v>0</v>
      </c>
      <c r="N1444" cm="1">
        <f t="array" aca="1" ref="N1444" ca="1">INDIRECT("Data!H" &amp; 1439)</f>
        <v>0</v>
      </c>
      <c r="O1444" cm="1">
        <f t="array" aca="1" ref="O1444" ca="1">INDIRECT("Data!I" &amp; 1439)</f>
        <v>0</v>
      </c>
      <c r="P1444" s="21" cm="1">
        <f t="array" aca="1" ref="P1444" ca="1">INDIRECT("Data!J" &amp; 1439)</f>
        <v>0</v>
      </c>
      <c r="Q1444" cm="1">
        <f t="array" aca="1" ref="Q1444" ca="1">INDIRECT("Data!K" &amp; 1439)</f>
        <v>0</v>
      </c>
      <c r="R1444" cm="1">
        <f t="array" aca="1" ref="R1444" ca="1">INDIRECT("Data!L" &amp; 1439)</f>
        <v>0</v>
      </c>
      <c r="S1444" cm="1">
        <f t="array" aca="1" ref="S1444" ca="1">INDIRECT("Data!M" &amp; 1439)</f>
        <v>0</v>
      </c>
      <c r="T1444" cm="1">
        <f t="array" aca="1" ref="T1444" ca="1">INDIRECT("Data!N" &amp; 1439)</f>
        <v>0</v>
      </c>
      <c r="U1444" cm="1">
        <f t="array" aca="1" ref="U1444" ca="1">INDIRECT("Data!O" &amp; 1439)</f>
        <v>0</v>
      </c>
      <c r="V1444" cm="1">
        <f t="array" aca="1" ref="V1444" ca="1">INDIRECT("Data!P" &amp; 1439)</f>
        <v>0</v>
      </c>
    </row>
    <row r="1445" spans="7:22" x14ac:dyDescent="0.25">
      <c r="G1445" cm="1">
        <f t="array" aca="1" ref="G1445" ca="1">INDIRECT("Data!A" &amp; 1440)</f>
        <v>0</v>
      </c>
      <c r="H1445" s="21" cm="1">
        <f t="array" aca="1" ref="H1445" ca="1">INDIRECT("Data!B" &amp; 1440)</f>
        <v>0</v>
      </c>
      <c r="I1445" s="21" cm="1">
        <f t="array" aca="1" ref="I1445" ca="1">INDIRECT("Data!C" &amp; 1440)</f>
        <v>0</v>
      </c>
      <c r="J1445" cm="1">
        <f t="array" aca="1" ref="J1445" ca="1">INDIRECT("Data!D" &amp; 1440)</f>
        <v>0</v>
      </c>
      <c r="K1445" cm="1">
        <f t="array" aca="1" ref="K1445" ca="1">INDIRECT("Data!E" &amp; 1440)</f>
        <v>0</v>
      </c>
      <c r="L1445" cm="1">
        <f t="array" aca="1" ref="L1445" ca="1">INDIRECT("Data!F" &amp; 1440)</f>
        <v>0</v>
      </c>
      <c r="M1445" cm="1">
        <f t="array" aca="1" ref="M1445" ca="1">INDIRECT("Data!G" &amp; 1440)</f>
        <v>0</v>
      </c>
      <c r="N1445" cm="1">
        <f t="array" aca="1" ref="N1445" ca="1">INDIRECT("Data!H" &amp; 1440)</f>
        <v>0</v>
      </c>
      <c r="O1445" cm="1">
        <f t="array" aca="1" ref="O1445" ca="1">INDIRECT("Data!I" &amp; 1440)</f>
        <v>0</v>
      </c>
      <c r="P1445" s="21" cm="1">
        <f t="array" aca="1" ref="P1445" ca="1">INDIRECT("Data!J" &amp; 1440)</f>
        <v>0</v>
      </c>
      <c r="Q1445" cm="1">
        <f t="array" aca="1" ref="Q1445" ca="1">INDIRECT("Data!K" &amp; 1440)</f>
        <v>0</v>
      </c>
      <c r="R1445" cm="1">
        <f t="array" aca="1" ref="R1445" ca="1">INDIRECT("Data!L" &amp; 1440)</f>
        <v>0</v>
      </c>
      <c r="S1445" cm="1">
        <f t="array" aca="1" ref="S1445" ca="1">INDIRECT("Data!M" &amp; 1440)</f>
        <v>0</v>
      </c>
      <c r="T1445" cm="1">
        <f t="array" aca="1" ref="T1445" ca="1">INDIRECT("Data!N" &amp; 1440)</f>
        <v>0</v>
      </c>
      <c r="U1445" cm="1">
        <f t="array" aca="1" ref="U1445" ca="1">INDIRECT("Data!O" &amp; 1440)</f>
        <v>0</v>
      </c>
      <c r="V1445" cm="1">
        <f t="array" aca="1" ref="V1445" ca="1">INDIRECT("Data!P" &amp; 1440)</f>
        <v>0</v>
      </c>
    </row>
    <row r="1446" spans="7:22" x14ac:dyDescent="0.25">
      <c r="G1446" cm="1">
        <f t="array" aca="1" ref="G1446" ca="1">INDIRECT("Data!A" &amp; 1441)</f>
        <v>0</v>
      </c>
      <c r="H1446" s="21" cm="1">
        <f t="array" aca="1" ref="H1446" ca="1">INDIRECT("Data!B" &amp; 1441)</f>
        <v>0</v>
      </c>
      <c r="I1446" s="21" cm="1">
        <f t="array" aca="1" ref="I1446" ca="1">INDIRECT("Data!C" &amp; 1441)</f>
        <v>0</v>
      </c>
      <c r="J1446" cm="1">
        <f t="array" aca="1" ref="J1446" ca="1">INDIRECT("Data!D" &amp; 1441)</f>
        <v>0</v>
      </c>
      <c r="K1446" cm="1">
        <f t="array" aca="1" ref="K1446" ca="1">INDIRECT("Data!E" &amp; 1441)</f>
        <v>0</v>
      </c>
      <c r="L1446" cm="1">
        <f t="array" aca="1" ref="L1446" ca="1">INDIRECT("Data!F" &amp; 1441)</f>
        <v>0</v>
      </c>
      <c r="M1446" cm="1">
        <f t="array" aca="1" ref="M1446" ca="1">INDIRECT("Data!G" &amp; 1441)</f>
        <v>0</v>
      </c>
      <c r="N1446" cm="1">
        <f t="array" aca="1" ref="N1446" ca="1">INDIRECT("Data!H" &amp; 1441)</f>
        <v>0</v>
      </c>
      <c r="O1446" cm="1">
        <f t="array" aca="1" ref="O1446" ca="1">INDIRECT("Data!I" &amp; 1441)</f>
        <v>0</v>
      </c>
      <c r="P1446" s="21" cm="1">
        <f t="array" aca="1" ref="P1446" ca="1">INDIRECT("Data!J" &amp; 1441)</f>
        <v>0</v>
      </c>
      <c r="Q1446" cm="1">
        <f t="array" aca="1" ref="Q1446" ca="1">INDIRECT("Data!K" &amp; 1441)</f>
        <v>0</v>
      </c>
      <c r="R1446" cm="1">
        <f t="array" aca="1" ref="R1446" ca="1">INDIRECT("Data!L" &amp; 1441)</f>
        <v>0</v>
      </c>
      <c r="S1446" cm="1">
        <f t="array" aca="1" ref="S1446" ca="1">INDIRECT("Data!M" &amp; 1441)</f>
        <v>0</v>
      </c>
      <c r="T1446" cm="1">
        <f t="array" aca="1" ref="T1446" ca="1">INDIRECT("Data!N" &amp; 1441)</f>
        <v>0</v>
      </c>
      <c r="U1446" cm="1">
        <f t="array" aca="1" ref="U1446" ca="1">INDIRECT("Data!O" &amp; 1441)</f>
        <v>0</v>
      </c>
      <c r="V1446" cm="1">
        <f t="array" aca="1" ref="V1446" ca="1">INDIRECT("Data!P" &amp; 1441)</f>
        <v>0</v>
      </c>
    </row>
    <row r="1447" spans="7:22" x14ac:dyDescent="0.25">
      <c r="G1447" cm="1">
        <f t="array" aca="1" ref="G1447" ca="1">INDIRECT("Data!A" &amp; 1442)</f>
        <v>0</v>
      </c>
      <c r="H1447" s="21" cm="1">
        <f t="array" aca="1" ref="H1447" ca="1">INDIRECT("Data!B" &amp; 1442)</f>
        <v>0</v>
      </c>
      <c r="I1447" s="21" cm="1">
        <f t="array" aca="1" ref="I1447" ca="1">INDIRECT("Data!C" &amp; 1442)</f>
        <v>0</v>
      </c>
      <c r="J1447" cm="1">
        <f t="array" aca="1" ref="J1447" ca="1">INDIRECT("Data!D" &amp; 1442)</f>
        <v>0</v>
      </c>
      <c r="K1447" cm="1">
        <f t="array" aca="1" ref="K1447" ca="1">INDIRECT("Data!E" &amp; 1442)</f>
        <v>0</v>
      </c>
      <c r="L1447" cm="1">
        <f t="array" aca="1" ref="L1447" ca="1">INDIRECT("Data!F" &amp; 1442)</f>
        <v>0</v>
      </c>
      <c r="M1447" cm="1">
        <f t="array" aca="1" ref="M1447" ca="1">INDIRECT("Data!G" &amp; 1442)</f>
        <v>0</v>
      </c>
      <c r="N1447" cm="1">
        <f t="array" aca="1" ref="N1447" ca="1">INDIRECT("Data!H" &amp; 1442)</f>
        <v>0</v>
      </c>
      <c r="O1447" cm="1">
        <f t="array" aca="1" ref="O1447" ca="1">INDIRECT("Data!I" &amp; 1442)</f>
        <v>0</v>
      </c>
      <c r="P1447" s="21" cm="1">
        <f t="array" aca="1" ref="P1447" ca="1">INDIRECT("Data!J" &amp; 1442)</f>
        <v>0</v>
      </c>
      <c r="Q1447" cm="1">
        <f t="array" aca="1" ref="Q1447" ca="1">INDIRECT("Data!K" &amp; 1442)</f>
        <v>0</v>
      </c>
      <c r="R1447" cm="1">
        <f t="array" aca="1" ref="R1447" ca="1">INDIRECT("Data!L" &amp; 1442)</f>
        <v>0</v>
      </c>
      <c r="S1447" cm="1">
        <f t="array" aca="1" ref="S1447" ca="1">INDIRECT("Data!M" &amp; 1442)</f>
        <v>0</v>
      </c>
      <c r="T1447" cm="1">
        <f t="array" aca="1" ref="T1447" ca="1">INDIRECT("Data!N" &amp; 1442)</f>
        <v>0</v>
      </c>
      <c r="U1447" cm="1">
        <f t="array" aca="1" ref="U1447" ca="1">INDIRECT("Data!O" &amp; 1442)</f>
        <v>0</v>
      </c>
      <c r="V1447" cm="1">
        <f t="array" aca="1" ref="V1447" ca="1">INDIRECT("Data!P" &amp; 1442)</f>
        <v>0</v>
      </c>
    </row>
    <row r="1448" spans="7:22" x14ac:dyDescent="0.25">
      <c r="G1448" cm="1">
        <f t="array" aca="1" ref="G1448" ca="1">INDIRECT("Data!A" &amp; 1443)</f>
        <v>0</v>
      </c>
      <c r="H1448" s="21" cm="1">
        <f t="array" aca="1" ref="H1448" ca="1">INDIRECT("Data!B" &amp; 1443)</f>
        <v>0</v>
      </c>
      <c r="I1448" s="21" cm="1">
        <f t="array" aca="1" ref="I1448" ca="1">INDIRECT("Data!C" &amp; 1443)</f>
        <v>0</v>
      </c>
      <c r="J1448" cm="1">
        <f t="array" aca="1" ref="J1448" ca="1">INDIRECT("Data!D" &amp; 1443)</f>
        <v>0</v>
      </c>
      <c r="K1448" cm="1">
        <f t="array" aca="1" ref="K1448" ca="1">INDIRECT("Data!E" &amp; 1443)</f>
        <v>0</v>
      </c>
      <c r="L1448" cm="1">
        <f t="array" aca="1" ref="L1448" ca="1">INDIRECT("Data!F" &amp; 1443)</f>
        <v>0</v>
      </c>
      <c r="M1448" cm="1">
        <f t="array" aca="1" ref="M1448" ca="1">INDIRECT("Data!G" &amp; 1443)</f>
        <v>0</v>
      </c>
      <c r="N1448" cm="1">
        <f t="array" aca="1" ref="N1448" ca="1">INDIRECT("Data!H" &amp; 1443)</f>
        <v>0</v>
      </c>
      <c r="O1448" cm="1">
        <f t="array" aca="1" ref="O1448" ca="1">INDIRECT("Data!I" &amp; 1443)</f>
        <v>0</v>
      </c>
      <c r="P1448" s="21" cm="1">
        <f t="array" aca="1" ref="P1448" ca="1">INDIRECT("Data!J" &amp; 1443)</f>
        <v>0</v>
      </c>
      <c r="Q1448" cm="1">
        <f t="array" aca="1" ref="Q1448" ca="1">INDIRECT("Data!K" &amp; 1443)</f>
        <v>0</v>
      </c>
      <c r="R1448" cm="1">
        <f t="array" aca="1" ref="R1448" ca="1">INDIRECT("Data!L" &amp; 1443)</f>
        <v>0</v>
      </c>
      <c r="S1448" cm="1">
        <f t="array" aca="1" ref="S1448" ca="1">INDIRECT("Data!M" &amp; 1443)</f>
        <v>0</v>
      </c>
      <c r="T1448" cm="1">
        <f t="array" aca="1" ref="T1448" ca="1">INDIRECT("Data!N" &amp; 1443)</f>
        <v>0</v>
      </c>
      <c r="U1448" cm="1">
        <f t="array" aca="1" ref="U1448" ca="1">INDIRECT("Data!O" &amp; 1443)</f>
        <v>0</v>
      </c>
      <c r="V1448" cm="1">
        <f t="array" aca="1" ref="V1448" ca="1">INDIRECT("Data!P" &amp; 1443)</f>
        <v>0</v>
      </c>
    </row>
    <row r="1449" spans="7:22" x14ac:dyDescent="0.25">
      <c r="G1449" cm="1">
        <f t="array" aca="1" ref="G1449" ca="1">INDIRECT("Data!A" &amp; 1444)</f>
        <v>0</v>
      </c>
      <c r="H1449" s="21" cm="1">
        <f t="array" aca="1" ref="H1449" ca="1">INDIRECT("Data!B" &amp; 1444)</f>
        <v>0</v>
      </c>
      <c r="I1449" s="21" cm="1">
        <f t="array" aca="1" ref="I1449" ca="1">INDIRECT("Data!C" &amp; 1444)</f>
        <v>0</v>
      </c>
      <c r="J1449" cm="1">
        <f t="array" aca="1" ref="J1449" ca="1">INDIRECT("Data!D" &amp; 1444)</f>
        <v>0</v>
      </c>
      <c r="K1449" cm="1">
        <f t="array" aca="1" ref="K1449" ca="1">INDIRECT("Data!E" &amp; 1444)</f>
        <v>0</v>
      </c>
      <c r="L1449" cm="1">
        <f t="array" aca="1" ref="L1449" ca="1">INDIRECT("Data!F" &amp; 1444)</f>
        <v>0</v>
      </c>
      <c r="M1449" cm="1">
        <f t="array" aca="1" ref="M1449" ca="1">INDIRECT("Data!G" &amp; 1444)</f>
        <v>0</v>
      </c>
      <c r="N1449" cm="1">
        <f t="array" aca="1" ref="N1449" ca="1">INDIRECT("Data!H" &amp; 1444)</f>
        <v>0</v>
      </c>
      <c r="O1449" cm="1">
        <f t="array" aca="1" ref="O1449" ca="1">INDIRECT("Data!I" &amp; 1444)</f>
        <v>0</v>
      </c>
      <c r="P1449" s="21" cm="1">
        <f t="array" aca="1" ref="P1449" ca="1">INDIRECT("Data!J" &amp; 1444)</f>
        <v>0</v>
      </c>
      <c r="Q1449" cm="1">
        <f t="array" aca="1" ref="Q1449" ca="1">INDIRECT("Data!K" &amp; 1444)</f>
        <v>0</v>
      </c>
      <c r="R1449" cm="1">
        <f t="array" aca="1" ref="R1449" ca="1">INDIRECT("Data!L" &amp; 1444)</f>
        <v>0</v>
      </c>
      <c r="S1449" cm="1">
        <f t="array" aca="1" ref="S1449" ca="1">INDIRECT("Data!M" &amp; 1444)</f>
        <v>0</v>
      </c>
      <c r="T1449" cm="1">
        <f t="array" aca="1" ref="T1449" ca="1">INDIRECT("Data!N" &amp; 1444)</f>
        <v>0</v>
      </c>
      <c r="U1449" cm="1">
        <f t="array" aca="1" ref="U1449" ca="1">INDIRECT("Data!O" &amp; 1444)</f>
        <v>0</v>
      </c>
      <c r="V1449" cm="1">
        <f t="array" aca="1" ref="V1449" ca="1">INDIRECT("Data!P" &amp; 1444)</f>
        <v>0</v>
      </c>
    </row>
    <row r="1450" spans="7:22" x14ac:dyDescent="0.25">
      <c r="G1450" cm="1">
        <f t="array" aca="1" ref="G1450" ca="1">INDIRECT("Data!A" &amp; 1445)</f>
        <v>0</v>
      </c>
      <c r="H1450" s="21" cm="1">
        <f t="array" aca="1" ref="H1450" ca="1">INDIRECT("Data!B" &amp; 1445)</f>
        <v>0</v>
      </c>
      <c r="I1450" s="21" cm="1">
        <f t="array" aca="1" ref="I1450" ca="1">INDIRECT("Data!C" &amp; 1445)</f>
        <v>0</v>
      </c>
      <c r="J1450" cm="1">
        <f t="array" aca="1" ref="J1450" ca="1">INDIRECT("Data!D" &amp; 1445)</f>
        <v>0</v>
      </c>
      <c r="K1450" cm="1">
        <f t="array" aca="1" ref="K1450" ca="1">INDIRECT("Data!E" &amp; 1445)</f>
        <v>0</v>
      </c>
      <c r="L1450" cm="1">
        <f t="array" aca="1" ref="L1450" ca="1">INDIRECT("Data!F" &amp; 1445)</f>
        <v>0</v>
      </c>
      <c r="M1450" cm="1">
        <f t="array" aca="1" ref="M1450" ca="1">INDIRECT("Data!G" &amp; 1445)</f>
        <v>0</v>
      </c>
      <c r="N1450" cm="1">
        <f t="array" aca="1" ref="N1450" ca="1">INDIRECT("Data!H" &amp; 1445)</f>
        <v>0</v>
      </c>
      <c r="O1450" cm="1">
        <f t="array" aca="1" ref="O1450" ca="1">INDIRECT("Data!I" &amp; 1445)</f>
        <v>0</v>
      </c>
      <c r="P1450" s="21" cm="1">
        <f t="array" aca="1" ref="P1450" ca="1">INDIRECT("Data!J" &amp; 1445)</f>
        <v>0</v>
      </c>
      <c r="Q1450" cm="1">
        <f t="array" aca="1" ref="Q1450" ca="1">INDIRECT("Data!K" &amp; 1445)</f>
        <v>0</v>
      </c>
      <c r="R1450" cm="1">
        <f t="array" aca="1" ref="R1450" ca="1">INDIRECT("Data!L" &amp; 1445)</f>
        <v>0</v>
      </c>
      <c r="S1450" cm="1">
        <f t="array" aca="1" ref="S1450" ca="1">INDIRECT("Data!M" &amp; 1445)</f>
        <v>0</v>
      </c>
      <c r="T1450" cm="1">
        <f t="array" aca="1" ref="T1450" ca="1">INDIRECT("Data!N" &amp; 1445)</f>
        <v>0</v>
      </c>
      <c r="U1450" cm="1">
        <f t="array" aca="1" ref="U1450" ca="1">INDIRECT("Data!O" &amp; 1445)</f>
        <v>0</v>
      </c>
      <c r="V1450" cm="1">
        <f t="array" aca="1" ref="V1450" ca="1">INDIRECT("Data!P" &amp; 1445)</f>
        <v>0</v>
      </c>
    </row>
    <row r="1451" spans="7:22" x14ac:dyDescent="0.25">
      <c r="G1451" cm="1">
        <f t="array" aca="1" ref="G1451" ca="1">INDIRECT("Data!A" &amp; 1446)</f>
        <v>0</v>
      </c>
      <c r="H1451" s="21" cm="1">
        <f t="array" aca="1" ref="H1451" ca="1">INDIRECT("Data!B" &amp; 1446)</f>
        <v>0</v>
      </c>
      <c r="I1451" s="21" cm="1">
        <f t="array" aca="1" ref="I1451" ca="1">INDIRECT("Data!C" &amp; 1446)</f>
        <v>0</v>
      </c>
      <c r="J1451" cm="1">
        <f t="array" aca="1" ref="J1451" ca="1">INDIRECT("Data!D" &amp; 1446)</f>
        <v>0</v>
      </c>
      <c r="K1451" cm="1">
        <f t="array" aca="1" ref="K1451" ca="1">INDIRECT("Data!E" &amp; 1446)</f>
        <v>0</v>
      </c>
      <c r="L1451" cm="1">
        <f t="array" aca="1" ref="L1451" ca="1">INDIRECT("Data!F" &amp; 1446)</f>
        <v>0</v>
      </c>
      <c r="M1451" cm="1">
        <f t="array" aca="1" ref="M1451" ca="1">INDIRECT("Data!G" &amp; 1446)</f>
        <v>0</v>
      </c>
      <c r="N1451" cm="1">
        <f t="array" aca="1" ref="N1451" ca="1">INDIRECT("Data!H" &amp; 1446)</f>
        <v>0</v>
      </c>
      <c r="O1451" cm="1">
        <f t="array" aca="1" ref="O1451" ca="1">INDIRECT("Data!I" &amp; 1446)</f>
        <v>0</v>
      </c>
      <c r="P1451" s="21" cm="1">
        <f t="array" aca="1" ref="P1451" ca="1">INDIRECT("Data!J" &amp; 1446)</f>
        <v>0</v>
      </c>
      <c r="Q1451" cm="1">
        <f t="array" aca="1" ref="Q1451" ca="1">INDIRECT("Data!K" &amp; 1446)</f>
        <v>0</v>
      </c>
      <c r="R1451" cm="1">
        <f t="array" aca="1" ref="R1451" ca="1">INDIRECT("Data!L" &amp; 1446)</f>
        <v>0</v>
      </c>
      <c r="S1451" cm="1">
        <f t="array" aca="1" ref="S1451" ca="1">INDIRECT("Data!M" &amp; 1446)</f>
        <v>0</v>
      </c>
      <c r="T1451" cm="1">
        <f t="array" aca="1" ref="T1451" ca="1">INDIRECT("Data!N" &amp; 1446)</f>
        <v>0</v>
      </c>
      <c r="U1451" cm="1">
        <f t="array" aca="1" ref="U1451" ca="1">INDIRECT("Data!O" &amp; 1446)</f>
        <v>0</v>
      </c>
      <c r="V1451" cm="1">
        <f t="array" aca="1" ref="V1451" ca="1">INDIRECT("Data!P" &amp; 1446)</f>
        <v>0</v>
      </c>
    </row>
    <row r="1452" spans="7:22" x14ac:dyDescent="0.25">
      <c r="G1452" cm="1">
        <f t="array" aca="1" ref="G1452" ca="1">INDIRECT("Data!A" &amp; 1447)</f>
        <v>0</v>
      </c>
      <c r="H1452" s="21" cm="1">
        <f t="array" aca="1" ref="H1452" ca="1">INDIRECT("Data!B" &amp; 1447)</f>
        <v>0</v>
      </c>
      <c r="I1452" s="21" cm="1">
        <f t="array" aca="1" ref="I1452" ca="1">INDIRECT("Data!C" &amp; 1447)</f>
        <v>0</v>
      </c>
      <c r="J1452" cm="1">
        <f t="array" aca="1" ref="J1452" ca="1">INDIRECT("Data!D" &amp; 1447)</f>
        <v>0</v>
      </c>
      <c r="K1452" cm="1">
        <f t="array" aca="1" ref="K1452" ca="1">INDIRECT("Data!E" &amp; 1447)</f>
        <v>0</v>
      </c>
      <c r="L1452" cm="1">
        <f t="array" aca="1" ref="L1452" ca="1">INDIRECT("Data!F" &amp; 1447)</f>
        <v>0</v>
      </c>
      <c r="M1452" cm="1">
        <f t="array" aca="1" ref="M1452" ca="1">INDIRECT("Data!G" &amp; 1447)</f>
        <v>0</v>
      </c>
      <c r="N1452" cm="1">
        <f t="array" aca="1" ref="N1452" ca="1">INDIRECT("Data!H" &amp; 1447)</f>
        <v>0</v>
      </c>
      <c r="O1452" cm="1">
        <f t="array" aca="1" ref="O1452" ca="1">INDIRECT("Data!I" &amp; 1447)</f>
        <v>0</v>
      </c>
      <c r="P1452" s="21" cm="1">
        <f t="array" aca="1" ref="P1452" ca="1">INDIRECT("Data!J" &amp; 1447)</f>
        <v>0</v>
      </c>
      <c r="Q1452" cm="1">
        <f t="array" aca="1" ref="Q1452" ca="1">INDIRECT("Data!K" &amp; 1447)</f>
        <v>0</v>
      </c>
      <c r="R1452" cm="1">
        <f t="array" aca="1" ref="R1452" ca="1">INDIRECT("Data!L" &amp; 1447)</f>
        <v>0</v>
      </c>
      <c r="S1452" cm="1">
        <f t="array" aca="1" ref="S1452" ca="1">INDIRECT("Data!M" &amp; 1447)</f>
        <v>0</v>
      </c>
      <c r="T1452" cm="1">
        <f t="array" aca="1" ref="T1452" ca="1">INDIRECT("Data!N" &amp; 1447)</f>
        <v>0</v>
      </c>
      <c r="U1452" cm="1">
        <f t="array" aca="1" ref="U1452" ca="1">INDIRECT("Data!O" &amp; 1447)</f>
        <v>0</v>
      </c>
      <c r="V1452" cm="1">
        <f t="array" aca="1" ref="V1452" ca="1">INDIRECT("Data!P" &amp; 1447)</f>
        <v>0</v>
      </c>
    </row>
    <row r="1453" spans="7:22" x14ac:dyDescent="0.25">
      <c r="G1453" cm="1">
        <f t="array" aca="1" ref="G1453" ca="1">INDIRECT("Data!A" &amp; 1448)</f>
        <v>0</v>
      </c>
      <c r="H1453" s="21" cm="1">
        <f t="array" aca="1" ref="H1453" ca="1">INDIRECT("Data!B" &amp; 1448)</f>
        <v>0</v>
      </c>
      <c r="I1453" s="21" cm="1">
        <f t="array" aca="1" ref="I1453" ca="1">INDIRECT("Data!C" &amp; 1448)</f>
        <v>0</v>
      </c>
      <c r="J1453" cm="1">
        <f t="array" aca="1" ref="J1453" ca="1">INDIRECT("Data!D" &amp; 1448)</f>
        <v>0</v>
      </c>
      <c r="K1453" cm="1">
        <f t="array" aca="1" ref="K1453" ca="1">INDIRECT("Data!E" &amp; 1448)</f>
        <v>0</v>
      </c>
      <c r="L1453" cm="1">
        <f t="array" aca="1" ref="L1453" ca="1">INDIRECT("Data!F" &amp; 1448)</f>
        <v>0</v>
      </c>
      <c r="M1453" cm="1">
        <f t="array" aca="1" ref="M1453" ca="1">INDIRECT("Data!G" &amp; 1448)</f>
        <v>0</v>
      </c>
      <c r="N1453" cm="1">
        <f t="array" aca="1" ref="N1453" ca="1">INDIRECT("Data!H" &amp; 1448)</f>
        <v>0</v>
      </c>
      <c r="O1453" cm="1">
        <f t="array" aca="1" ref="O1453" ca="1">INDIRECT("Data!I" &amp; 1448)</f>
        <v>0</v>
      </c>
      <c r="P1453" s="21" cm="1">
        <f t="array" aca="1" ref="P1453" ca="1">INDIRECT("Data!J" &amp; 1448)</f>
        <v>0</v>
      </c>
      <c r="Q1453" cm="1">
        <f t="array" aca="1" ref="Q1453" ca="1">INDIRECT("Data!K" &amp; 1448)</f>
        <v>0</v>
      </c>
      <c r="R1453" cm="1">
        <f t="array" aca="1" ref="R1453" ca="1">INDIRECT("Data!L" &amp; 1448)</f>
        <v>0</v>
      </c>
      <c r="S1453" cm="1">
        <f t="array" aca="1" ref="S1453" ca="1">INDIRECT("Data!M" &amp; 1448)</f>
        <v>0</v>
      </c>
      <c r="T1453" cm="1">
        <f t="array" aca="1" ref="T1453" ca="1">INDIRECT("Data!N" &amp; 1448)</f>
        <v>0</v>
      </c>
      <c r="U1453" cm="1">
        <f t="array" aca="1" ref="U1453" ca="1">INDIRECT("Data!O" &amp; 1448)</f>
        <v>0</v>
      </c>
      <c r="V1453" cm="1">
        <f t="array" aca="1" ref="V1453" ca="1">INDIRECT("Data!P" &amp; 1448)</f>
        <v>0</v>
      </c>
    </row>
    <row r="1454" spans="7:22" x14ac:dyDescent="0.25">
      <c r="G1454" cm="1">
        <f t="array" aca="1" ref="G1454" ca="1">INDIRECT("Data!A" &amp; 1449)</f>
        <v>0</v>
      </c>
      <c r="H1454" s="21" cm="1">
        <f t="array" aca="1" ref="H1454" ca="1">INDIRECT("Data!B" &amp; 1449)</f>
        <v>0</v>
      </c>
      <c r="I1454" s="21" cm="1">
        <f t="array" aca="1" ref="I1454" ca="1">INDIRECT("Data!C" &amp; 1449)</f>
        <v>0</v>
      </c>
      <c r="J1454" cm="1">
        <f t="array" aca="1" ref="J1454" ca="1">INDIRECT("Data!D" &amp; 1449)</f>
        <v>0</v>
      </c>
      <c r="K1454" cm="1">
        <f t="array" aca="1" ref="K1454" ca="1">INDIRECT("Data!E" &amp; 1449)</f>
        <v>0</v>
      </c>
      <c r="L1454" cm="1">
        <f t="array" aca="1" ref="L1454" ca="1">INDIRECT("Data!F" &amp; 1449)</f>
        <v>0</v>
      </c>
      <c r="M1454" cm="1">
        <f t="array" aca="1" ref="M1454" ca="1">INDIRECT("Data!G" &amp; 1449)</f>
        <v>0</v>
      </c>
      <c r="N1454" cm="1">
        <f t="array" aca="1" ref="N1454" ca="1">INDIRECT("Data!H" &amp; 1449)</f>
        <v>0</v>
      </c>
      <c r="O1454" cm="1">
        <f t="array" aca="1" ref="O1454" ca="1">INDIRECT("Data!I" &amp; 1449)</f>
        <v>0</v>
      </c>
      <c r="P1454" s="21" cm="1">
        <f t="array" aca="1" ref="P1454" ca="1">INDIRECT("Data!J" &amp; 1449)</f>
        <v>0</v>
      </c>
      <c r="Q1454" cm="1">
        <f t="array" aca="1" ref="Q1454" ca="1">INDIRECT("Data!K" &amp; 1449)</f>
        <v>0</v>
      </c>
      <c r="R1454" cm="1">
        <f t="array" aca="1" ref="R1454" ca="1">INDIRECT("Data!L" &amp; 1449)</f>
        <v>0</v>
      </c>
      <c r="S1454" cm="1">
        <f t="array" aca="1" ref="S1454" ca="1">INDIRECT("Data!M" &amp; 1449)</f>
        <v>0</v>
      </c>
      <c r="T1454" cm="1">
        <f t="array" aca="1" ref="T1454" ca="1">INDIRECT("Data!N" &amp; 1449)</f>
        <v>0</v>
      </c>
      <c r="U1454" cm="1">
        <f t="array" aca="1" ref="U1454" ca="1">INDIRECT("Data!O" &amp; 1449)</f>
        <v>0</v>
      </c>
      <c r="V1454" cm="1">
        <f t="array" aca="1" ref="V1454" ca="1">INDIRECT("Data!P" &amp; 1449)</f>
        <v>0</v>
      </c>
    </row>
    <row r="1455" spans="7:22" x14ac:dyDescent="0.25">
      <c r="G1455" cm="1">
        <f t="array" aca="1" ref="G1455" ca="1">INDIRECT("Data!A" &amp; 1450)</f>
        <v>0</v>
      </c>
      <c r="H1455" s="21" cm="1">
        <f t="array" aca="1" ref="H1455" ca="1">INDIRECT("Data!B" &amp; 1450)</f>
        <v>0</v>
      </c>
      <c r="I1455" s="21" cm="1">
        <f t="array" aca="1" ref="I1455" ca="1">INDIRECT("Data!C" &amp; 1450)</f>
        <v>0</v>
      </c>
      <c r="J1455" cm="1">
        <f t="array" aca="1" ref="J1455" ca="1">INDIRECT("Data!D" &amp; 1450)</f>
        <v>0</v>
      </c>
      <c r="K1455" cm="1">
        <f t="array" aca="1" ref="K1455" ca="1">INDIRECT("Data!E" &amp; 1450)</f>
        <v>0</v>
      </c>
      <c r="L1455" cm="1">
        <f t="array" aca="1" ref="L1455" ca="1">INDIRECT("Data!F" &amp; 1450)</f>
        <v>0</v>
      </c>
      <c r="M1455" cm="1">
        <f t="array" aca="1" ref="M1455" ca="1">INDIRECT("Data!G" &amp; 1450)</f>
        <v>0</v>
      </c>
      <c r="N1455" cm="1">
        <f t="array" aca="1" ref="N1455" ca="1">INDIRECT("Data!H" &amp; 1450)</f>
        <v>0</v>
      </c>
      <c r="O1455" cm="1">
        <f t="array" aca="1" ref="O1455" ca="1">INDIRECT("Data!I" &amp; 1450)</f>
        <v>0</v>
      </c>
      <c r="P1455" s="21" cm="1">
        <f t="array" aca="1" ref="P1455" ca="1">INDIRECT("Data!J" &amp; 1450)</f>
        <v>0</v>
      </c>
      <c r="Q1455" cm="1">
        <f t="array" aca="1" ref="Q1455" ca="1">INDIRECT("Data!K" &amp; 1450)</f>
        <v>0</v>
      </c>
      <c r="R1455" cm="1">
        <f t="array" aca="1" ref="R1455" ca="1">INDIRECT("Data!L" &amp; 1450)</f>
        <v>0</v>
      </c>
      <c r="S1455" cm="1">
        <f t="array" aca="1" ref="S1455" ca="1">INDIRECT("Data!M" &amp; 1450)</f>
        <v>0</v>
      </c>
      <c r="T1455" cm="1">
        <f t="array" aca="1" ref="T1455" ca="1">INDIRECT("Data!N" &amp; 1450)</f>
        <v>0</v>
      </c>
      <c r="U1455" cm="1">
        <f t="array" aca="1" ref="U1455" ca="1">INDIRECT("Data!O" &amp; 1450)</f>
        <v>0</v>
      </c>
      <c r="V1455" cm="1">
        <f t="array" aca="1" ref="V1455" ca="1">INDIRECT("Data!P" &amp; 1450)</f>
        <v>0</v>
      </c>
    </row>
    <row r="1456" spans="7:22" x14ac:dyDescent="0.25">
      <c r="G1456" cm="1">
        <f t="array" aca="1" ref="G1456" ca="1">INDIRECT("Data!A" &amp; 1451)</f>
        <v>0</v>
      </c>
      <c r="H1456" s="21" cm="1">
        <f t="array" aca="1" ref="H1456" ca="1">INDIRECT("Data!B" &amp; 1451)</f>
        <v>0</v>
      </c>
      <c r="I1456" s="21" cm="1">
        <f t="array" aca="1" ref="I1456" ca="1">INDIRECT("Data!C" &amp; 1451)</f>
        <v>0</v>
      </c>
      <c r="J1456" cm="1">
        <f t="array" aca="1" ref="J1456" ca="1">INDIRECT("Data!D" &amp; 1451)</f>
        <v>0</v>
      </c>
      <c r="K1456" cm="1">
        <f t="array" aca="1" ref="K1456" ca="1">INDIRECT("Data!E" &amp; 1451)</f>
        <v>0</v>
      </c>
      <c r="L1456" cm="1">
        <f t="array" aca="1" ref="L1456" ca="1">INDIRECT("Data!F" &amp; 1451)</f>
        <v>0</v>
      </c>
      <c r="M1456" cm="1">
        <f t="array" aca="1" ref="M1456" ca="1">INDIRECT("Data!G" &amp; 1451)</f>
        <v>0</v>
      </c>
      <c r="N1456" cm="1">
        <f t="array" aca="1" ref="N1456" ca="1">INDIRECT("Data!H" &amp; 1451)</f>
        <v>0</v>
      </c>
      <c r="O1456" cm="1">
        <f t="array" aca="1" ref="O1456" ca="1">INDIRECT("Data!I" &amp; 1451)</f>
        <v>0</v>
      </c>
      <c r="P1456" s="21" cm="1">
        <f t="array" aca="1" ref="P1456" ca="1">INDIRECT("Data!J" &amp; 1451)</f>
        <v>0</v>
      </c>
      <c r="Q1456" cm="1">
        <f t="array" aca="1" ref="Q1456" ca="1">INDIRECT("Data!K" &amp; 1451)</f>
        <v>0</v>
      </c>
      <c r="R1456" cm="1">
        <f t="array" aca="1" ref="R1456" ca="1">INDIRECT("Data!L" &amp; 1451)</f>
        <v>0</v>
      </c>
      <c r="S1456" cm="1">
        <f t="array" aca="1" ref="S1456" ca="1">INDIRECT("Data!M" &amp; 1451)</f>
        <v>0</v>
      </c>
      <c r="T1456" cm="1">
        <f t="array" aca="1" ref="T1456" ca="1">INDIRECT("Data!N" &amp; 1451)</f>
        <v>0</v>
      </c>
      <c r="U1456" cm="1">
        <f t="array" aca="1" ref="U1456" ca="1">INDIRECT("Data!O" &amp; 1451)</f>
        <v>0</v>
      </c>
      <c r="V1456" cm="1">
        <f t="array" aca="1" ref="V1456" ca="1">INDIRECT("Data!P" &amp; 1451)</f>
        <v>0</v>
      </c>
    </row>
    <row r="1457" spans="7:22" x14ac:dyDescent="0.25">
      <c r="G1457" cm="1">
        <f t="array" aca="1" ref="G1457" ca="1">INDIRECT("Data!A" &amp; 1452)</f>
        <v>0</v>
      </c>
      <c r="H1457" s="21" cm="1">
        <f t="array" aca="1" ref="H1457" ca="1">INDIRECT("Data!B" &amp; 1452)</f>
        <v>0</v>
      </c>
      <c r="I1457" s="21" cm="1">
        <f t="array" aca="1" ref="I1457" ca="1">INDIRECT("Data!C" &amp; 1452)</f>
        <v>0</v>
      </c>
      <c r="J1457" cm="1">
        <f t="array" aca="1" ref="J1457" ca="1">INDIRECT("Data!D" &amp; 1452)</f>
        <v>0</v>
      </c>
      <c r="K1457" cm="1">
        <f t="array" aca="1" ref="K1457" ca="1">INDIRECT("Data!E" &amp; 1452)</f>
        <v>0</v>
      </c>
      <c r="L1457" cm="1">
        <f t="array" aca="1" ref="L1457" ca="1">INDIRECT("Data!F" &amp; 1452)</f>
        <v>0</v>
      </c>
      <c r="M1457" cm="1">
        <f t="array" aca="1" ref="M1457" ca="1">INDIRECT("Data!G" &amp; 1452)</f>
        <v>0</v>
      </c>
      <c r="N1457" cm="1">
        <f t="array" aca="1" ref="N1457" ca="1">INDIRECT("Data!H" &amp; 1452)</f>
        <v>0</v>
      </c>
      <c r="O1457" cm="1">
        <f t="array" aca="1" ref="O1457" ca="1">INDIRECT("Data!I" &amp; 1452)</f>
        <v>0</v>
      </c>
      <c r="P1457" s="21" cm="1">
        <f t="array" aca="1" ref="P1457" ca="1">INDIRECT("Data!J" &amp; 1452)</f>
        <v>0</v>
      </c>
      <c r="Q1457" cm="1">
        <f t="array" aca="1" ref="Q1457" ca="1">INDIRECT("Data!K" &amp; 1452)</f>
        <v>0</v>
      </c>
      <c r="R1457" cm="1">
        <f t="array" aca="1" ref="R1457" ca="1">INDIRECT("Data!L" &amp; 1452)</f>
        <v>0</v>
      </c>
      <c r="S1457" cm="1">
        <f t="array" aca="1" ref="S1457" ca="1">INDIRECT("Data!M" &amp; 1452)</f>
        <v>0</v>
      </c>
      <c r="T1457" cm="1">
        <f t="array" aca="1" ref="T1457" ca="1">INDIRECT("Data!N" &amp; 1452)</f>
        <v>0</v>
      </c>
      <c r="U1457" cm="1">
        <f t="array" aca="1" ref="U1457" ca="1">INDIRECT("Data!O" &amp; 1452)</f>
        <v>0</v>
      </c>
      <c r="V1457" cm="1">
        <f t="array" aca="1" ref="V1457" ca="1">INDIRECT("Data!P" &amp; 1452)</f>
        <v>0</v>
      </c>
    </row>
    <row r="1458" spans="7:22" x14ac:dyDescent="0.25">
      <c r="G1458" cm="1">
        <f t="array" aca="1" ref="G1458" ca="1">INDIRECT("Data!A" &amp; 1453)</f>
        <v>0</v>
      </c>
      <c r="H1458" s="21" cm="1">
        <f t="array" aca="1" ref="H1458" ca="1">INDIRECT("Data!B" &amp; 1453)</f>
        <v>0</v>
      </c>
      <c r="I1458" s="21" cm="1">
        <f t="array" aca="1" ref="I1458" ca="1">INDIRECT("Data!C" &amp; 1453)</f>
        <v>0</v>
      </c>
      <c r="J1458" cm="1">
        <f t="array" aca="1" ref="J1458" ca="1">INDIRECT("Data!D" &amp; 1453)</f>
        <v>0</v>
      </c>
      <c r="K1458" cm="1">
        <f t="array" aca="1" ref="K1458" ca="1">INDIRECT("Data!E" &amp; 1453)</f>
        <v>0</v>
      </c>
      <c r="L1458" cm="1">
        <f t="array" aca="1" ref="L1458" ca="1">INDIRECT("Data!F" &amp; 1453)</f>
        <v>0</v>
      </c>
      <c r="M1458" cm="1">
        <f t="array" aca="1" ref="M1458" ca="1">INDIRECT("Data!G" &amp; 1453)</f>
        <v>0</v>
      </c>
      <c r="N1458" cm="1">
        <f t="array" aca="1" ref="N1458" ca="1">INDIRECT("Data!H" &amp; 1453)</f>
        <v>0</v>
      </c>
      <c r="O1458" cm="1">
        <f t="array" aca="1" ref="O1458" ca="1">INDIRECT("Data!I" &amp; 1453)</f>
        <v>0</v>
      </c>
      <c r="P1458" s="21" cm="1">
        <f t="array" aca="1" ref="P1458" ca="1">INDIRECT("Data!J" &amp; 1453)</f>
        <v>0</v>
      </c>
      <c r="Q1458" cm="1">
        <f t="array" aca="1" ref="Q1458" ca="1">INDIRECT("Data!K" &amp; 1453)</f>
        <v>0</v>
      </c>
      <c r="R1458" cm="1">
        <f t="array" aca="1" ref="R1458" ca="1">INDIRECT("Data!L" &amp; 1453)</f>
        <v>0</v>
      </c>
      <c r="S1458" cm="1">
        <f t="array" aca="1" ref="S1458" ca="1">INDIRECT("Data!M" &amp; 1453)</f>
        <v>0</v>
      </c>
      <c r="T1458" cm="1">
        <f t="array" aca="1" ref="T1458" ca="1">INDIRECT("Data!N" &amp; 1453)</f>
        <v>0</v>
      </c>
      <c r="U1458" cm="1">
        <f t="array" aca="1" ref="U1458" ca="1">INDIRECT("Data!O" &amp; 1453)</f>
        <v>0</v>
      </c>
      <c r="V1458" cm="1">
        <f t="array" aca="1" ref="V1458" ca="1">INDIRECT("Data!P" &amp; 1453)</f>
        <v>0</v>
      </c>
    </row>
    <row r="1459" spans="7:22" x14ac:dyDescent="0.25">
      <c r="G1459" cm="1">
        <f t="array" aca="1" ref="G1459" ca="1">INDIRECT("Data!A" &amp; 1454)</f>
        <v>0</v>
      </c>
      <c r="H1459" s="21" cm="1">
        <f t="array" aca="1" ref="H1459" ca="1">INDIRECT("Data!B" &amp; 1454)</f>
        <v>0</v>
      </c>
      <c r="I1459" s="21" cm="1">
        <f t="array" aca="1" ref="I1459" ca="1">INDIRECT("Data!C" &amp; 1454)</f>
        <v>0</v>
      </c>
      <c r="J1459" cm="1">
        <f t="array" aca="1" ref="J1459" ca="1">INDIRECT("Data!D" &amp; 1454)</f>
        <v>0</v>
      </c>
      <c r="K1459" cm="1">
        <f t="array" aca="1" ref="K1459" ca="1">INDIRECT("Data!E" &amp; 1454)</f>
        <v>0</v>
      </c>
      <c r="L1459" cm="1">
        <f t="array" aca="1" ref="L1459" ca="1">INDIRECT("Data!F" &amp; 1454)</f>
        <v>0</v>
      </c>
      <c r="M1459" cm="1">
        <f t="array" aca="1" ref="M1459" ca="1">INDIRECT("Data!G" &amp; 1454)</f>
        <v>0</v>
      </c>
      <c r="N1459" cm="1">
        <f t="array" aca="1" ref="N1459" ca="1">INDIRECT("Data!H" &amp; 1454)</f>
        <v>0</v>
      </c>
      <c r="O1459" cm="1">
        <f t="array" aca="1" ref="O1459" ca="1">INDIRECT("Data!I" &amp; 1454)</f>
        <v>0</v>
      </c>
      <c r="P1459" s="21" cm="1">
        <f t="array" aca="1" ref="P1459" ca="1">INDIRECT("Data!J" &amp; 1454)</f>
        <v>0</v>
      </c>
      <c r="Q1459" cm="1">
        <f t="array" aca="1" ref="Q1459" ca="1">INDIRECT("Data!K" &amp; 1454)</f>
        <v>0</v>
      </c>
      <c r="R1459" cm="1">
        <f t="array" aca="1" ref="R1459" ca="1">INDIRECT("Data!L" &amp; 1454)</f>
        <v>0</v>
      </c>
      <c r="S1459" cm="1">
        <f t="array" aca="1" ref="S1459" ca="1">INDIRECT("Data!M" &amp; 1454)</f>
        <v>0</v>
      </c>
      <c r="T1459" cm="1">
        <f t="array" aca="1" ref="T1459" ca="1">INDIRECT("Data!N" &amp; 1454)</f>
        <v>0</v>
      </c>
      <c r="U1459" cm="1">
        <f t="array" aca="1" ref="U1459" ca="1">INDIRECT("Data!O" &amp; 1454)</f>
        <v>0</v>
      </c>
      <c r="V1459" cm="1">
        <f t="array" aca="1" ref="V1459" ca="1">INDIRECT("Data!P" &amp; 1454)</f>
        <v>0</v>
      </c>
    </row>
    <row r="1460" spans="7:22" x14ac:dyDescent="0.25">
      <c r="G1460" cm="1">
        <f t="array" aca="1" ref="G1460" ca="1">INDIRECT("Data!A" &amp; 1455)</f>
        <v>0</v>
      </c>
      <c r="H1460" s="21" cm="1">
        <f t="array" aca="1" ref="H1460" ca="1">INDIRECT("Data!B" &amp; 1455)</f>
        <v>0</v>
      </c>
      <c r="I1460" s="21" cm="1">
        <f t="array" aca="1" ref="I1460" ca="1">INDIRECT("Data!C" &amp; 1455)</f>
        <v>0</v>
      </c>
      <c r="J1460" cm="1">
        <f t="array" aca="1" ref="J1460" ca="1">INDIRECT("Data!D" &amp; 1455)</f>
        <v>0</v>
      </c>
      <c r="K1460" cm="1">
        <f t="array" aca="1" ref="K1460" ca="1">INDIRECT("Data!E" &amp; 1455)</f>
        <v>0</v>
      </c>
      <c r="L1460" cm="1">
        <f t="array" aca="1" ref="L1460" ca="1">INDIRECT("Data!F" &amp; 1455)</f>
        <v>0</v>
      </c>
      <c r="M1460" cm="1">
        <f t="array" aca="1" ref="M1460" ca="1">INDIRECT("Data!G" &amp; 1455)</f>
        <v>0</v>
      </c>
      <c r="N1460" cm="1">
        <f t="array" aca="1" ref="N1460" ca="1">INDIRECT("Data!H" &amp; 1455)</f>
        <v>0</v>
      </c>
      <c r="O1460" cm="1">
        <f t="array" aca="1" ref="O1460" ca="1">INDIRECT("Data!I" &amp; 1455)</f>
        <v>0</v>
      </c>
      <c r="P1460" s="21" cm="1">
        <f t="array" aca="1" ref="P1460" ca="1">INDIRECT("Data!J" &amp; 1455)</f>
        <v>0</v>
      </c>
      <c r="Q1460" cm="1">
        <f t="array" aca="1" ref="Q1460" ca="1">INDIRECT("Data!K" &amp; 1455)</f>
        <v>0</v>
      </c>
      <c r="R1460" cm="1">
        <f t="array" aca="1" ref="R1460" ca="1">INDIRECT("Data!L" &amp; 1455)</f>
        <v>0</v>
      </c>
      <c r="S1460" cm="1">
        <f t="array" aca="1" ref="S1460" ca="1">INDIRECT("Data!M" &amp; 1455)</f>
        <v>0</v>
      </c>
      <c r="T1460" cm="1">
        <f t="array" aca="1" ref="T1460" ca="1">INDIRECT("Data!N" &amp; 1455)</f>
        <v>0</v>
      </c>
      <c r="U1460" cm="1">
        <f t="array" aca="1" ref="U1460" ca="1">INDIRECT("Data!O" &amp; 1455)</f>
        <v>0</v>
      </c>
      <c r="V1460" cm="1">
        <f t="array" aca="1" ref="V1460" ca="1">INDIRECT("Data!P" &amp; 1455)</f>
        <v>0</v>
      </c>
    </row>
    <row r="1461" spans="7:22" x14ac:dyDescent="0.25">
      <c r="G1461" cm="1">
        <f t="array" aca="1" ref="G1461" ca="1">INDIRECT("Data!A" &amp; 1456)</f>
        <v>0</v>
      </c>
      <c r="H1461" s="21" cm="1">
        <f t="array" aca="1" ref="H1461" ca="1">INDIRECT("Data!B" &amp; 1456)</f>
        <v>0</v>
      </c>
      <c r="I1461" s="21" cm="1">
        <f t="array" aca="1" ref="I1461" ca="1">INDIRECT("Data!C" &amp; 1456)</f>
        <v>0</v>
      </c>
      <c r="J1461" cm="1">
        <f t="array" aca="1" ref="J1461" ca="1">INDIRECT("Data!D" &amp; 1456)</f>
        <v>0</v>
      </c>
      <c r="K1461" cm="1">
        <f t="array" aca="1" ref="K1461" ca="1">INDIRECT("Data!E" &amp; 1456)</f>
        <v>0</v>
      </c>
      <c r="L1461" cm="1">
        <f t="array" aca="1" ref="L1461" ca="1">INDIRECT("Data!F" &amp; 1456)</f>
        <v>0</v>
      </c>
      <c r="M1461" cm="1">
        <f t="array" aca="1" ref="M1461" ca="1">INDIRECT("Data!G" &amp; 1456)</f>
        <v>0</v>
      </c>
      <c r="N1461" cm="1">
        <f t="array" aca="1" ref="N1461" ca="1">INDIRECT("Data!H" &amp; 1456)</f>
        <v>0</v>
      </c>
      <c r="O1461" cm="1">
        <f t="array" aca="1" ref="O1461" ca="1">INDIRECT("Data!I" &amp; 1456)</f>
        <v>0</v>
      </c>
      <c r="P1461" s="21" cm="1">
        <f t="array" aca="1" ref="P1461" ca="1">INDIRECT("Data!J" &amp; 1456)</f>
        <v>0</v>
      </c>
      <c r="Q1461" cm="1">
        <f t="array" aca="1" ref="Q1461" ca="1">INDIRECT("Data!K" &amp; 1456)</f>
        <v>0</v>
      </c>
      <c r="R1461" cm="1">
        <f t="array" aca="1" ref="R1461" ca="1">INDIRECT("Data!L" &amp; 1456)</f>
        <v>0</v>
      </c>
      <c r="S1461" cm="1">
        <f t="array" aca="1" ref="S1461" ca="1">INDIRECT("Data!M" &amp; 1456)</f>
        <v>0</v>
      </c>
      <c r="T1461" cm="1">
        <f t="array" aca="1" ref="T1461" ca="1">INDIRECT("Data!N" &amp; 1456)</f>
        <v>0</v>
      </c>
      <c r="U1461" cm="1">
        <f t="array" aca="1" ref="U1461" ca="1">INDIRECT("Data!O" &amp; 1456)</f>
        <v>0</v>
      </c>
      <c r="V1461" cm="1">
        <f t="array" aca="1" ref="V1461" ca="1">INDIRECT("Data!P" &amp; 1456)</f>
        <v>0</v>
      </c>
    </row>
    <row r="1462" spans="7:22" x14ac:dyDescent="0.25">
      <c r="G1462" cm="1">
        <f t="array" aca="1" ref="G1462" ca="1">INDIRECT("Data!A" &amp; 1457)</f>
        <v>0</v>
      </c>
      <c r="H1462" s="21" cm="1">
        <f t="array" aca="1" ref="H1462" ca="1">INDIRECT("Data!B" &amp; 1457)</f>
        <v>0</v>
      </c>
      <c r="I1462" s="21" cm="1">
        <f t="array" aca="1" ref="I1462" ca="1">INDIRECT("Data!C" &amp; 1457)</f>
        <v>0</v>
      </c>
      <c r="J1462" cm="1">
        <f t="array" aca="1" ref="J1462" ca="1">INDIRECT("Data!D" &amp; 1457)</f>
        <v>0</v>
      </c>
      <c r="K1462" cm="1">
        <f t="array" aca="1" ref="K1462" ca="1">INDIRECT("Data!E" &amp; 1457)</f>
        <v>0</v>
      </c>
      <c r="L1462" cm="1">
        <f t="array" aca="1" ref="L1462" ca="1">INDIRECT("Data!F" &amp; 1457)</f>
        <v>0</v>
      </c>
      <c r="M1462" cm="1">
        <f t="array" aca="1" ref="M1462" ca="1">INDIRECT("Data!G" &amp; 1457)</f>
        <v>0</v>
      </c>
      <c r="N1462" cm="1">
        <f t="array" aca="1" ref="N1462" ca="1">INDIRECT("Data!H" &amp; 1457)</f>
        <v>0</v>
      </c>
      <c r="O1462" cm="1">
        <f t="array" aca="1" ref="O1462" ca="1">INDIRECT("Data!I" &amp; 1457)</f>
        <v>0</v>
      </c>
      <c r="P1462" s="21" cm="1">
        <f t="array" aca="1" ref="P1462" ca="1">INDIRECT("Data!J" &amp; 1457)</f>
        <v>0</v>
      </c>
      <c r="Q1462" cm="1">
        <f t="array" aca="1" ref="Q1462" ca="1">INDIRECT("Data!K" &amp; 1457)</f>
        <v>0</v>
      </c>
      <c r="R1462" cm="1">
        <f t="array" aca="1" ref="R1462" ca="1">INDIRECT("Data!L" &amp; 1457)</f>
        <v>0</v>
      </c>
      <c r="S1462" cm="1">
        <f t="array" aca="1" ref="S1462" ca="1">INDIRECT("Data!M" &amp; 1457)</f>
        <v>0</v>
      </c>
      <c r="T1462" cm="1">
        <f t="array" aca="1" ref="T1462" ca="1">INDIRECT("Data!N" &amp; 1457)</f>
        <v>0</v>
      </c>
      <c r="U1462" cm="1">
        <f t="array" aca="1" ref="U1462" ca="1">INDIRECT("Data!O" &amp; 1457)</f>
        <v>0</v>
      </c>
      <c r="V1462" cm="1">
        <f t="array" aca="1" ref="V1462" ca="1">INDIRECT("Data!P" &amp; 1457)</f>
        <v>0</v>
      </c>
    </row>
    <row r="1463" spans="7:22" x14ac:dyDescent="0.25">
      <c r="G1463" cm="1">
        <f t="array" aca="1" ref="G1463" ca="1">INDIRECT("Data!A" &amp; 1458)</f>
        <v>0</v>
      </c>
      <c r="H1463" s="21" cm="1">
        <f t="array" aca="1" ref="H1463" ca="1">INDIRECT("Data!B" &amp; 1458)</f>
        <v>0</v>
      </c>
      <c r="I1463" s="21" cm="1">
        <f t="array" aca="1" ref="I1463" ca="1">INDIRECT("Data!C" &amp; 1458)</f>
        <v>0</v>
      </c>
      <c r="J1463" cm="1">
        <f t="array" aca="1" ref="J1463" ca="1">INDIRECT("Data!D" &amp; 1458)</f>
        <v>0</v>
      </c>
      <c r="K1463" cm="1">
        <f t="array" aca="1" ref="K1463" ca="1">INDIRECT("Data!E" &amp; 1458)</f>
        <v>0</v>
      </c>
      <c r="L1463" cm="1">
        <f t="array" aca="1" ref="L1463" ca="1">INDIRECT("Data!F" &amp; 1458)</f>
        <v>0</v>
      </c>
      <c r="M1463" cm="1">
        <f t="array" aca="1" ref="M1463" ca="1">INDIRECT("Data!G" &amp; 1458)</f>
        <v>0</v>
      </c>
      <c r="N1463" cm="1">
        <f t="array" aca="1" ref="N1463" ca="1">INDIRECT("Data!H" &amp; 1458)</f>
        <v>0</v>
      </c>
      <c r="O1463" cm="1">
        <f t="array" aca="1" ref="O1463" ca="1">INDIRECT("Data!I" &amp; 1458)</f>
        <v>0</v>
      </c>
      <c r="P1463" s="21" cm="1">
        <f t="array" aca="1" ref="P1463" ca="1">INDIRECT("Data!J" &amp; 1458)</f>
        <v>0</v>
      </c>
      <c r="Q1463" cm="1">
        <f t="array" aca="1" ref="Q1463" ca="1">INDIRECT("Data!K" &amp; 1458)</f>
        <v>0</v>
      </c>
      <c r="R1463" cm="1">
        <f t="array" aca="1" ref="R1463" ca="1">INDIRECT("Data!L" &amp; 1458)</f>
        <v>0</v>
      </c>
      <c r="S1463" cm="1">
        <f t="array" aca="1" ref="S1463" ca="1">INDIRECT("Data!M" &amp; 1458)</f>
        <v>0</v>
      </c>
      <c r="T1463" cm="1">
        <f t="array" aca="1" ref="T1463" ca="1">INDIRECT("Data!N" &amp; 1458)</f>
        <v>0</v>
      </c>
      <c r="U1463" cm="1">
        <f t="array" aca="1" ref="U1463" ca="1">INDIRECT("Data!O" &amp; 1458)</f>
        <v>0</v>
      </c>
      <c r="V1463" cm="1">
        <f t="array" aca="1" ref="V1463" ca="1">INDIRECT("Data!P" &amp; 1458)</f>
        <v>0</v>
      </c>
    </row>
    <row r="1464" spans="7:22" x14ac:dyDescent="0.25">
      <c r="G1464" cm="1">
        <f t="array" aca="1" ref="G1464" ca="1">INDIRECT("Data!A" &amp; 1459)</f>
        <v>0</v>
      </c>
      <c r="H1464" s="21" cm="1">
        <f t="array" aca="1" ref="H1464" ca="1">INDIRECT("Data!B" &amp; 1459)</f>
        <v>0</v>
      </c>
      <c r="I1464" s="21" cm="1">
        <f t="array" aca="1" ref="I1464" ca="1">INDIRECT("Data!C" &amp; 1459)</f>
        <v>0</v>
      </c>
      <c r="J1464" cm="1">
        <f t="array" aca="1" ref="J1464" ca="1">INDIRECT("Data!D" &amp; 1459)</f>
        <v>0</v>
      </c>
      <c r="K1464" cm="1">
        <f t="array" aca="1" ref="K1464" ca="1">INDIRECT("Data!E" &amp; 1459)</f>
        <v>0</v>
      </c>
      <c r="L1464" cm="1">
        <f t="array" aca="1" ref="L1464" ca="1">INDIRECT("Data!F" &amp; 1459)</f>
        <v>0</v>
      </c>
      <c r="M1464" cm="1">
        <f t="array" aca="1" ref="M1464" ca="1">INDIRECT("Data!G" &amp; 1459)</f>
        <v>0</v>
      </c>
      <c r="N1464" cm="1">
        <f t="array" aca="1" ref="N1464" ca="1">INDIRECT("Data!H" &amp; 1459)</f>
        <v>0</v>
      </c>
      <c r="O1464" cm="1">
        <f t="array" aca="1" ref="O1464" ca="1">INDIRECT("Data!I" &amp; 1459)</f>
        <v>0</v>
      </c>
      <c r="P1464" s="21" cm="1">
        <f t="array" aca="1" ref="P1464" ca="1">INDIRECT("Data!J" &amp; 1459)</f>
        <v>0</v>
      </c>
      <c r="Q1464" cm="1">
        <f t="array" aca="1" ref="Q1464" ca="1">INDIRECT("Data!K" &amp; 1459)</f>
        <v>0</v>
      </c>
      <c r="R1464" cm="1">
        <f t="array" aca="1" ref="R1464" ca="1">INDIRECT("Data!L" &amp; 1459)</f>
        <v>0</v>
      </c>
      <c r="S1464" cm="1">
        <f t="array" aca="1" ref="S1464" ca="1">INDIRECT("Data!M" &amp; 1459)</f>
        <v>0</v>
      </c>
      <c r="T1464" cm="1">
        <f t="array" aca="1" ref="T1464" ca="1">INDIRECT("Data!N" &amp; 1459)</f>
        <v>0</v>
      </c>
      <c r="U1464" cm="1">
        <f t="array" aca="1" ref="U1464" ca="1">INDIRECT("Data!O" &amp; 1459)</f>
        <v>0</v>
      </c>
      <c r="V1464" cm="1">
        <f t="array" aca="1" ref="V1464" ca="1">INDIRECT("Data!P" &amp; 1459)</f>
        <v>0</v>
      </c>
    </row>
    <row r="1465" spans="7:22" x14ac:dyDescent="0.25">
      <c r="G1465" cm="1">
        <f t="array" aca="1" ref="G1465" ca="1">INDIRECT("Data!A" &amp; 1460)</f>
        <v>0</v>
      </c>
      <c r="H1465" s="21" cm="1">
        <f t="array" aca="1" ref="H1465" ca="1">INDIRECT("Data!B" &amp; 1460)</f>
        <v>0</v>
      </c>
      <c r="I1465" s="21" cm="1">
        <f t="array" aca="1" ref="I1465" ca="1">INDIRECT("Data!C" &amp; 1460)</f>
        <v>0</v>
      </c>
      <c r="J1465" cm="1">
        <f t="array" aca="1" ref="J1465" ca="1">INDIRECT("Data!D" &amp; 1460)</f>
        <v>0</v>
      </c>
      <c r="K1465" cm="1">
        <f t="array" aca="1" ref="K1465" ca="1">INDIRECT("Data!E" &amp; 1460)</f>
        <v>0</v>
      </c>
      <c r="L1465" cm="1">
        <f t="array" aca="1" ref="L1465" ca="1">INDIRECT("Data!F" &amp; 1460)</f>
        <v>0</v>
      </c>
      <c r="M1465" cm="1">
        <f t="array" aca="1" ref="M1465" ca="1">INDIRECT("Data!G" &amp; 1460)</f>
        <v>0</v>
      </c>
      <c r="N1465" cm="1">
        <f t="array" aca="1" ref="N1465" ca="1">INDIRECT("Data!H" &amp; 1460)</f>
        <v>0</v>
      </c>
      <c r="O1465" cm="1">
        <f t="array" aca="1" ref="O1465" ca="1">INDIRECT("Data!I" &amp; 1460)</f>
        <v>0</v>
      </c>
      <c r="P1465" s="21" cm="1">
        <f t="array" aca="1" ref="P1465" ca="1">INDIRECT("Data!J" &amp; 1460)</f>
        <v>0</v>
      </c>
      <c r="Q1465" cm="1">
        <f t="array" aca="1" ref="Q1465" ca="1">INDIRECT("Data!K" &amp; 1460)</f>
        <v>0</v>
      </c>
      <c r="R1465" cm="1">
        <f t="array" aca="1" ref="R1465" ca="1">INDIRECT("Data!L" &amp; 1460)</f>
        <v>0</v>
      </c>
      <c r="S1465" cm="1">
        <f t="array" aca="1" ref="S1465" ca="1">INDIRECT("Data!M" &amp; 1460)</f>
        <v>0</v>
      </c>
      <c r="T1465" cm="1">
        <f t="array" aca="1" ref="T1465" ca="1">INDIRECT("Data!N" &amp; 1460)</f>
        <v>0</v>
      </c>
      <c r="U1465" cm="1">
        <f t="array" aca="1" ref="U1465" ca="1">INDIRECT("Data!O" &amp; 1460)</f>
        <v>0</v>
      </c>
      <c r="V1465" cm="1">
        <f t="array" aca="1" ref="V1465" ca="1">INDIRECT("Data!P" &amp; 1460)</f>
        <v>0</v>
      </c>
    </row>
    <row r="1466" spans="7:22" x14ac:dyDescent="0.25">
      <c r="G1466" cm="1">
        <f t="array" aca="1" ref="G1466" ca="1">INDIRECT("Data!A" &amp; 1461)</f>
        <v>0</v>
      </c>
      <c r="H1466" s="21" cm="1">
        <f t="array" aca="1" ref="H1466" ca="1">INDIRECT("Data!B" &amp; 1461)</f>
        <v>0</v>
      </c>
      <c r="I1466" s="21" cm="1">
        <f t="array" aca="1" ref="I1466" ca="1">INDIRECT("Data!C" &amp; 1461)</f>
        <v>0</v>
      </c>
      <c r="J1466" cm="1">
        <f t="array" aca="1" ref="J1466" ca="1">INDIRECT("Data!D" &amp; 1461)</f>
        <v>0</v>
      </c>
      <c r="K1466" cm="1">
        <f t="array" aca="1" ref="K1466" ca="1">INDIRECT("Data!E" &amp; 1461)</f>
        <v>0</v>
      </c>
      <c r="L1466" cm="1">
        <f t="array" aca="1" ref="L1466" ca="1">INDIRECT("Data!F" &amp; 1461)</f>
        <v>0</v>
      </c>
      <c r="M1466" cm="1">
        <f t="array" aca="1" ref="M1466" ca="1">INDIRECT("Data!G" &amp; 1461)</f>
        <v>0</v>
      </c>
      <c r="N1466" cm="1">
        <f t="array" aca="1" ref="N1466" ca="1">INDIRECT("Data!H" &amp; 1461)</f>
        <v>0</v>
      </c>
      <c r="O1466" cm="1">
        <f t="array" aca="1" ref="O1466" ca="1">INDIRECT("Data!I" &amp; 1461)</f>
        <v>0</v>
      </c>
      <c r="P1466" s="21" cm="1">
        <f t="array" aca="1" ref="P1466" ca="1">INDIRECT("Data!J" &amp; 1461)</f>
        <v>0</v>
      </c>
      <c r="Q1466" cm="1">
        <f t="array" aca="1" ref="Q1466" ca="1">INDIRECT("Data!K" &amp; 1461)</f>
        <v>0</v>
      </c>
      <c r="R1466" cm="1">
        <f t="array" aca="1" ref="R1466" ca="1">INDIRECT("Data!L" &amp; 1461)</f>
        <v>0</v>
      </c>
      <c r="S1466" cm="1">
        <f t="array" aca="1" ref="S1466" ca="1">INDIRECT("Data!M" &amp; 1461)</f>
        <v>0</v>
      </c>
      <c r="T1466" cm="1">
        <f t="array" aca="1" ref="T1466" ca="1">INDIRECT("Data!N" &amp; 1461)</f>
        <v>0</v>
      </c>
      <c r="U1466" cm="1">
        <f t="array" aca="1" ref="U1466" ca="1">INDIRECT("Data!O" &amp; 1461)</f>
        <v>0</v>
      </c>
      <c r="V1466" cm="1">
        <f t="array" aca="1" ref="V1466" ca="1">INDIRECT("Data!P" &amp; 1461)</f>
        <v>0</v>
      </c>
    </row>
    <row r="1467" spans="7:22" x14ac:dyDescent="0.25">
      <c r="G1467" cm="1">
        <f t="array" aca="1" ref="G1467" ca="1">INDIRECT("Data!A" &amp; 1462)</f>
        <v>0</v>
      </c>
      <c r="H1467" s="21" cm="1">
        <f t="array" aca="1" ref="H1467" ca="1">INDIRECT("Data!B" &amp; 1462)</f>
        <v>0</v>
      </c>
      <c r="I1467" s="21" cm="1">
        <f t="array" aca="1" ref="I1467" ca="1">INDIRECT("Data!C" &amp; 1462)</f>
        <v>0</v>
      </c>
      <c r="J1467" cm="1">
        <f t="array" aca="1" ref="J1467" ca="1">INDIRECT("Data!D" &amp; 1462)</f>
        <v>0</v>
      </c>
      <c r="K1467" cm="1">
        <f t="array" aca="1" ref="K1467" ca="1">INDIRECT("Data!E" &amp; 1462)</f>
        <v>0</v>
      </c>
      <c r="L1467" cm="1">
        <f t="array" aca="1" ref="L1467" ca="1">INDIRECT("Data!F" &amp; 1462)</f>
        <v>0</v>
      </c>
      <c r="M1467" cm="1">
        <f t="array" aca="1" ref="M1467" ca="1">INDIRECT("Data!G" &amp; 1462)</f>
        <v>0</v>
      </c>
      <c r="N1467" cm="1">
        <f t="array" aca="1" ref="N1467" ca="1">INDIRECT("Data!H" &amp; 1462)</f>
        <v>0</v>
      </c>
      <c r="O1467" cm="1">
        <f t="array" aca="1" ref="O1467" ca="1">INDIRECT("Data!I" &amp; 1462)</f>
        <v>0</v>
      </c>
      <c r="P1467" s="21" cm="1">
        <f t="array" aca="1" ref="P1467" ca="1">INDIRECT("Data!J" &amp; 1462)</f>
        <v>0</v>
      </c>
      <c r="Q1467" cm="1">
        <f t="array" aca="1" ref="Q1467" ca="1">INDIRECT("Data!K" &amp; 1462)</f>
        <v>0</v>
      </c>
      <c r="R1467" cm="1">
        <f t="array" aca="1" ref="R1467" ca="1">INDIRECT("Data!L" &amp; 1462)</f>
        <v>0</v>
      </c>
      <c r="S1467" cm="1">
        <f t="array" aca="1" ref="S1467" ca="1">INDIRECT("Data!M" &amp; 1462)</f>
        <v>0</v>
      </c>
      <c r="T1467" cm="1">
        <f t="array" aca="1" ref="T1467" ca="1">INDIRECT("Data!N" &amp; 1462)</f>
        <v>0</v>
      </c>
      <c r="U1467" cm="1">
        <f t="array" aca="1" ref="U1467" ca="1">INDIRECT("Data!O" &amp; 1462)</f>
        <v>0</v>
      </c>
      <c r="V1467" cm="1">
        <f t="array" aca="1" ref="V1467" ca="1">INDIRECT("Data!P" &amp; 1462)</f>
        <v>0</v>
      </c>
    </row>
    <row r="1468" spans="7:22" x14ac:dyDescent="0.25">
      <c r="G1468" cm="1">
        <f t="array" aca="1" ref="G1468" ca="1">INDIRECT("Data!A" &amp; 1463)</f>
        <v>0</v>
      </c>
      <c r="H1468" s="21" cm="1">
        <f t="array" aca="1" ref="H1468" ca="1">INDIRECT("Data!B" &amp; 1463)</f>
        <v>0</v>
      </c>
      <c r="I1468" s="21" cm="1">
        <f t="array" aca="1" ref="I1468" ca="1">INDIRECT("Data!C" &amp; 1463)</f>
        <v>0</v>
      </c>
      <c r="J1468" cm="1">
        <f t="array" aca="1" ref="J1468" ca="1">INDIRECT("Data!D" &amp; 1463)</f>
        <v>0</v>
      </c>
      <c r="K1468" cm="1">
        <f t="array" aca="1" ref="K1468" ca="1">INDIRECT("Data!E" &amp; 1463)</f>
        <v>0</v>
      </c>
      <c r="L1468" cm="1">
        <f t="array" aca="1" ref="L1468" ca="1">INDIRECT("Data!F" &amp; 1463)</f>
        <v>0</v>
      </c>
      <c r="M1468" cm="1">
        <f t="array" aca="1" ref="M1468" ca="1">INDIRECT("Data!G" &amp; 1463)</f>
        <v>0</v>
      </c>
      <c r="N1468" cm="1">
        <f t="array" aca="1" ref="N1468" ca="1">INDIRECT("Data!H" &amp; 1463)</f>
        <v>0</v>
      </c>
      <c r="O1468" cm="1">
        <f t="array" aca="1" ref="O1468" ca="1">INDIRECT("Data!I" &amp; 1463)</f>
        <v>0</v>
      </c>
      <c r="P1468" s="21" cm="1">
        <f t="array" aca="1" ref="P1468" ca="1">INDIRECT("Data!J" &amp; 1463)</f>
        <v>0</v>
      </c>
      <c r="Q1468" cm="1">
        <f t="array" aca="1" ref="Q1468" ca="1">INDIRECT("Data!K" &amp; 1463)</f>
        <v>0</v>
      </c>
      <c r="R1468" cm="1">
        <f t="array" aca="1" ref="R1468" ca="1">INDIRECT("Data!L" &amp; 1463)</f>
        <v>0</v>
      </c>
      <c r="S1468" cm="1">
        <f t="array" aca="1" ref="S1468" ca="1">INDIRECT("Data!M" &amp; 1463)</f>
        <v>0</v>
      </c>
      <c r="T1468" cm="1">
        <f t="array" aca="1" ref="T1468" ca="1">INDIRECT("Data!N" &amp; 1463)</f>
        <v>0</v>
      </c>
      <c r="U1468" cm="1">
        <f t="array" aca="1" ref="U1468" ca="1">INDIRECT("Data!O" &amp; 1463)</f>
        <v>0</v>
      </c>
      <c r="V1468" cm="1">
        <f t="array" aca="1" ref="V1468" ca="1">INDIRECT("Data!P" &amp; 1463)</f>
        <v>0</v>
      </c>
    </row>
    <row r="1469" spans="7:22" x14ac:dyDescent="0.25">
      <c r="G1469" cm="1">
        <f t="array" aca="1" ref="G1469" ca="1">INDIRECT("Data!A" &amp; 1464)</f>
        <v>0</v>
      </c>
      <c r="H1469" s="21" cm="1">
        <f t="array" aca="1" ref="H1469" ca="1">INDIRECT("Data!B" &amp; 1464)</f>
        <v>0</v>
      </c>
      <c r="I1469" s="21" cm="1">
        <f t="array" aca="1" ref="I1469" ca="1">INDIRECT("Data!C" &amp; 1464)</f>
        <v>0</v>
      </c>
      <c r="J1469" cm="1">
        <f t="array" aca="1" ref="J1469" ca="1">INDIRECT("Data!D" &amp; 1464)</f>
        <v>0</v>
      </c>
      <c r="K1469" cm="1">
        <f t="array" aca="1" ref="K1469" ca="1">INDIRECT("Data!E" &amp; 1464)</f>
        <v>0</v>
      </c>
      <c r="L1469" cm="1">
        <f t="array" aca="1" ref="L1469" ca="1">INDIRECT("Data!F" &amp; 1464)</f>
        <v>0</v>
      </c>
      <c r="M1469" cm="1">
        <f t="array" aca="1" ref="M1469" ca="1">INDIRECT("Data!G" &amp; 1464)</f>
        <v>0</v>
      </c>
      <c r="N1469" cm="1">
        <f t="array" aca="1" ref="N1469" ca="1">INDIRECT("Data!H" &amp; 1464)</f>
        <v>0</v>
      </c>
      <c r="O1469" cm="1">
        <f t="array" aca="1" ref="O1469" ca="1">INDIRECT("Data!I" &amp; 1464)</f>
        <v>0</v>
      </c>
      <c r="P1469" s="21" cm="1">
        <f t="array" aca="1" ref="P1469" ca="1">INDIRECT("Data!J" &amp; 1464)</f>
        <v>0</v>
      </c>
      <c r="Q1469" cm="1">
        <f t="array" aca="1" ref="Q1469" ca="1">INDIRECT("Data!K" &amp; 1464)</f>
        <v>0</v>
      </c>
      <c r="R1469" cm="1">
        <f t="array" aca="1" ref="R1469" ca="1">INDIRECT("Data!L" &amp; 1464)</f>
        <v>0</v>
      </c>
      <c r="S1469" cm="1">
        <f t="array" aca="1" ref="S1469" ca="1">INDIRECT("Data!M" &amp; 1464)</f>
        <v>0</v>
      </c>
      <c r="T1469" cm="1">
        <f t="array" aca="1" ref="T1469" ca="1">INDIRECT("Data!N" &amp; 1464)</f>
        <v>0</v>
      </c>
      <c r="U1469" cm="1">
        <f t="array" aca="1" ref="U1469" ca="1">INDIRECT("Data!O" &amp; 1464)</f>
        <v>0</v>
      </c>
      <c r="V1469" cm="1">
        <f t="array" aca="1" ref="V1469" ca="1">INDIRECT("Data!P" &amp; 1464)</f>
        <v>0</v>
      </c>
    </row>
    <row r="1470" spans="7:22" x14ac:dyDescent="0.25">
      <c r="G1470" cm="1">
        <f t="array" aca="1" ref="G1470" ca="1">INDIRECT("Data!A" &amp; 1465)</f>
        <v>0</v>
      </c>
      <c r="H1470" s="21" cm="1">
        <f t="array" aca="1" ref="H1470" ca="1">INDIRECT("Data!B" &amp; 1465)</f>
        <v>0</v>
      </c>
      <c r="I1470" s="21" cm="1">
        <f t="array" aca="1" ref="I1470" ca="1">INDIRECT("Data!C" &amp; 1465)</f>
        <v>0</v>
      </c>
      <c r="J1470" cm="1">
        <f t="array" aca="1" ref="J1470" ca="1">INDIRECT("Data!D" &amp; 1465)</f>
        <v>0</v>
      </c>
      <c r="K1470" cm="1">
        <f t="array" aca="1" ref="K1470" ca="1">INDIRECT("Data!E" &amp; 1465)</f>
        <v>0</v>
      </c>
      <c r="L1470" cm="1">
        <f t="array" aca="1" ref="L1470" ca="1">INDIRECT("Data!F" &amp; 1465)</f>
        <v>0</v>
      </c>
      <c r="M1470" cm="1">
        <f t="array" aca="1" ref="M1470" ca="1">INDIRECT("Data!G" &amp; 1465)</f>
        <v>0</v>
      </c>
      <c r="N1470" cm="1">
        <f t="array" aca="1" ref="N1470" ca="1">INDIRECT("Data!H" &amp; 1465)</f>
        <v>0</v>
      </c>
      <c r="O1470" cm="1">
        <f t="array" aca="1" ref="O1470" ca="1">INDIRECT("Data!I" &amp; 1465)</f>
        <v>0</v>
      </c>
      <c r="P1470" s="21" cm="1">
        <f t="array" aca="1" ref="P1470" ca="1">INDIRECT("Data!J" &amp; 1465)</f>
        <v>0</v>
      </c>
      <c r="Q1470" cm="1">
        <f t="array" aca="1" ref="Q1470" ca="1">INDIRECT("Data!K" &amp; 1465)</f>
        <v>0</v>
      </c>
      <c r="R1470" cm="1">
        <f t="array" aca="1" ref="R1470" ca="1">INDIRECT("Data!L" &amp; 1465)</f>
        <v>0</v>
      </c>
      <c r="S1470" cm="1">
        <f t="array" aca="1" ref="S1470" ca="1">INDIRECT("Data!M" &amp; 1465)</f>
        <v>0</v>
      </c>
      <c r="T1470" cm="1">
        <f t="array" aca="1" ref="T1470" ca="1">INDIRECT("Data!N" &amp; 1465)</f>
        <v>0</v>
      </c>
      <c r="U1470" cm="1">
        <f t="array" aca="1" ref="U1470" ca="1">INDIRECT("Data!O" &amp; 1465)</f>
        <v>0</v>
      </c>
      <c r="V1470" cm="1">
        <f t="array" aca="1" ref="V1470" ca="1">INDIRECT("Data!P" &amp; 1465)</f>
        <v>0</v>
      </c>
    </row>
    <row r="1471" spans="7:22" x14ac:dyDescent="0.25">
      <c r="G1471" cm="1">
        <f t="array" aca="1" ref="G1471" ca="1">INDIRECT("Data!A" &amp; 1466)</f>
        <v>0</v>
      </c>
      <c r="H1471" s="21" cm="1">
        <f t="array" aca="1" ref="H1471" ca="1">INDIRECT("Data!B" &amp; 1466)</f>
        <v>0</v>
      </c>
      <c r="I1471" s="21" cm="1">
        <f t="array" aca="1" ref="I1471" ca="1">INDIRECT("Data!C" &amp; 1466)</f>
        <v>0</v>
      </c>
      <c r="J1471" cm="1">
        <f t="array" aca="1" ref="J1471" ca="1">INDIRECT("Data!D" &amp; 1466)</f>
        <v>0</v>
      </c>
      <c r="K1471" cm="1">
        <f t="array" aca="1" ref="K1471" ca="1">INDIRECT("Data!E" &amp; 1466)</f>
        <v>0</v>
      </c>
      <c r="L1471" cm="1">
        <f t="array" aca="1" ref="L1471" ca="1">INDIRECT("Data!F" &amp; 1466)</f>
        <v>0</v>
      </c>
      <c r="M1471" cm="1">
        <f t="array" aca="1" ref="M1471" ca="1">INDIRECT("Data!G" &amp; 1466)</f>
        <v>0</v>
      </c>
      <c r="N1471" cm="1">
        <f t="array" aca="1" ref="N1471" ca="1">INDIRECT("Data!H" &amp; 1466)</f>
        <v>0</v>
      </c>
      <c r="O1471" cm="1">
        <f t="array" aca="1" ref="O1471" ca="1">INDIRECT("Data!I" &amp; 1466)</f>
        <v>0</v>
      </c>
      <c r="P1471" s="21" cm="1">
        <f t="array" aca="1" ref="P1471" ca="1">INDIRECT("Data!J" &amp; 1466)</f>
        <v>0</v>
      </c>
      <c r="Q1471" cm="1">
        <f t="array" aca="1" ref="Q1471" ca="1">INDIRECT("Data!K" &amp; 1466)</f>
        <v>0</v>
      </c>
      <c r="R1471" cm="1">
        <f t="array" aca="1" ref="R1471" ca="1">INDIRECT("Data!L" &amp; 1466)</f>
        <v>0</v>
      </c>
      <c r="S1471" cm="1">
        <f t="array" aca="1" ref="S1471" ca="1">INDIRECT("Data!M" &amp; 1466)</f>
        <v>0</v>
      </c>
      <c r="T1471" cm="1">
        <f t="array" aca="1" ref="T1471" ca="1">INDIRECT("Data!N" &amp; 1466)</f>
        <v>0</v>
      </c>
      <c r="U1471" cm="1">
        <f t="array" aca="1" ref="U1471" ca="1">INDIRECT("Data!O" &amp; 1466)</f>
        <v>0</v>
      </c>
      <c r="V1471" cm="1">
        <f t="array" aca="1" ref="V1471" ca="1">INDIRECT("Data!P" &amp; 1466)</f>
        <v>0</v>
      </c>
    </row>
    <row r="1472" spans="7:22" x14ac:dyDescent="0.25">
      <c r="G1472" cm="1">
        <f t="array" aca="1" ref="G1472" ca="1">INDIRECT("Data!A" &amp; 1467)</f>
        <v>0</v>
      </c>
      <c r="H1472" s="21" cm="1">
        <f t="array" aca="1" ref="H1472" ca="1">INDIRECT("Data!B" &amp; 1467)</f>
        <v>0</v>
      </c>
      <c r="I1472" s="21" cm="1">
        <f t="array" aca="1" ref="I1472" ca="1">INDIRECT("Data!C" &amp; 1467)</f>
        <v>0</v>
      </c>
      <c r="J1472" cm="1">
        <f t="array" aca="1" ref="J1472" ca="1">INDIRECT("Data!D" &amp; 1467)</f>
        <v>0</v>
      </c>
      <c r="K1472" cm="1">
        <f t="array" aca="1" ref="K1472" ca="1">INDIRECT("Data!E" &amp; 1467)</f>
        <v>0</v>
      </c>
      <c r="L1472" cm="1">
        <f t="array" aca="1" ref="L1472" ca="1">INDIRECT("Data!F" &amp; 1467)</f>
        <v>0</v>
      </c>
      <c r="M1472" cm="1">
        <f t="array" aca="1" ref="M1472" ca="1">INDIRECT("Data!G" &amp; 1467)</f>
        <v>0</v>
      </c>
      <c r="N1472" cm="1">
        <f t="array" aca="1" ref="N1472" ca="1">INDIRECT("Data!H" &amp; 1467)</f>
        <v>0</v>
      </c>
      <c r="O1472" cm="1">
        <f t="array" aca="1" ref="O1472" ca="1">INDIRECT("Data!I" &amp; 1467)</f>
        <v>0</v>
      </c>
      <c r="P1472" s="21" cm="1">
        <f t="array" aca="1" ref="P1472" ca="1">INDIRECT("Data!J" &amp; 1467)</f>
        <v>0</v>
      </c>
      <c r="Q1472" cm="1">
        <f t="array" aca="1" ref="Q1472" ca="1">INDIRECT("Data!K" &amp; 1467)</f>
        <v>0</v>
      </c>
      <c r="R1472" cm="1">
        <f t="array" aca="1" ref="R1472" ca="1">INDIRECT("Data!L" &amp; 1467)</f>
        <v>0</v>
      </c>
      <c r="S1472" cm="1">
        <f t="array" aca="1" ref="S1472" ca="1">INDIRECT("Data!M" &amp; 1467)</f>
        <v>0</v>
      </c>
      <c r="T1472" cm="1">
        <f t="array" aca="1" ref="T1472" ca="1">INDIRECT("Data!N" &amp; 1467)</f>
        <v>0</v>
      </c>
      <c r="U1472" cm="1">
        <f t="array" aca="1" ref="U1472" ca="1">INDIRECT("Data!O" &amp; 1467)</f>
        <v>0</v>
      </c>
      <c r="V1472" cm="1">
        <f t="array" aca="1" ref="V1472" ca="1">INDIRECT("Data!P" &amp; 1467)</f>
        <v>0</v>
      </c>
    </row>
    <row r="1473" spans="7:22" x14ac:dyDescent="0.25">
      <c r="G1473" cm="1">
        <f t="array" aca="1" ref="G1473" ca="1">INDIRECT("Data!A" &amp; 1468)</f>
        <v>0</v>
      </c>
      <c r="H1473" s="21" cm="1">
        <f t="array" aca="1" ref="H1473" ca="1">INDIRECT("Data!B" &amp; 1468)</f>
        <v>0</v>
      </c>
      <c r="I1473" s="21" cm="1">
        <f t="array" aca="1" ref="I1473" ca="1">INDIRECT("Data!C" &amp; 1468)</f>
        <v>0</v>
      </c>
      <c r="J1473" cm="1">
        <f t="array" aca="1" ref="J1473" ca="1">INDIRECT("Data!D" &amp; 1468)</f>
        <v>0</v>
      </c>
      <c r="K1473" cm="1">
        <f t="array" aca="1" ref="K1473" ca="1">INDIRECT("Data!E" &amp; 1468)</f>
        <v>0</v>
      </c>
      <c r="L1473" cm="1">
        <f t="array" aca="1" ref="L1473" ca="1">INDIRECT("Data!F" &amp; 1468)</f>
        <v>0</v>
      </c>
      <c r="M1473" cm="1">
        <f t="array" aca="1" ref="M1473" ca="1">INDIRECT("Data!G" &amp; 1468)</f>
        <v>0</v>
      </c>
      <c r="N1473" cm="1">
        <f t="array" aca="1" ref="N1473" ca="1">INDIRECT("Data!H" &amp; 1468)</f>
        <v>0</v>
      </c>
      <c r="O1473" cm="1">
        <f t="array" aca="1" ref="O1473" ca="1">INDIRECT("Data!I" &amp; 1468)</f>
        <v>0</v>
      </c>
      <c r="P1473" s="21" cm="1">
        <f t="array" aca="1" ref="P1473" ca="1">INDIRECT("Data!J" &amp; 1468)</f>
        <v>0</v>
      </c>
      <c r="Q1473" cm="1">
        <f t="array" aca="1" ref="Q1473" ca="1">INDIRECT("Data!K" &amp; 1468)</f>
        <v>0</v>
      </c>
      <c r="R1473" cm="1">
        <f t="array" aca="1" ref="R1473" ca="1">INDIRECT("Data!L" &amp; 1468)</f>
        <v>0</v>
      </c>
      <c r="S1473" cm="1">
        <f t="array" aca="1" ref="S1473" ca="1">INDIRECT("Data!M" &amp; 1468)</f>
        <v>0</v>
      </c>
      <c r="T1473" cm="1">
        <f t="array" aca="1" ref="T1473" ca="1">INDIRECT("Data!N" &amp; 1468)</f>
        <v>0</v>
      </c>
      <c r="U1473" cm="1">
        <f t="array" aca="1" ref="U1473" ca="1">INDIRECT("Data!O" &amp; 1468)</f>
        <v>0</v>
      </c>
      <c r="V1473" cm="1">
        <f t="array" aca="1" ref="V1473" ca="1">INDIRECT("Data!P" &amp; 1468)</f>
        <v>0</v>
      </c>
    </row>
    <row r="1474" spans="7:22" x14ac:dyDescent="0.25">
      <c r="G1474" cm="1">
        <f t="array" aca="1" ref="G1474" ca="1">INDIRECT("Data!A" &amp; 1469)</f>
        <v>0</v>
      </c>
      <c r="H1474" s="21" cm="1">
        <f t="array" aca="1" ref="H1474" ca="1">INDIRECT("Data!B" &amp; 1469)</f>
        <v>0</v>
      </c>
      <c r="I1474" s="21" cm="1">
        <f t="array" aca="1" ref="I1474" ca="1">INDIRECT("Data!C" &amp; 1469)</f>
        <v>0</v>
      </c>
      <c r="J1474" cm="1">
        <f t="array" aca="1" ref="J1474" ca="1">INDIRECT("Data!D" &amp; 1469)</f>
        <v>0</v>
      </c>
      <c r="K1474" cm="1">
        <f t="array" aca="1" ref="K1474" ca="1">INDIRECT("Data!E" &amp; 1469)</f>
        <v>0</v>
      </c>
      <c r="L1474" cm="1">
        <f t="array" aca="1" ref="L1474" ca="1">INDIRECT("Data!F" &amp; 1469)</f>
        <v>0</v>
      </c>
      <c r="M1474" cm="1">
        <f t="array" aca="1" ref="M1474" ca="1">INDIRECT("Data!G" &amp; 1469)</f>
        <v>0</v>
      </c>
      <c r="N1474" cm="1">
        <f t="array" aca="1" ref="N1474" ca="1">INDIRECT("Data!H" &amp; 1469)</f>
        <v>0</v>
      </c>
      <c r="O1474" cm="1">
        <f t="array" aca="1" ref="O1474" ca="1">INDIRECT("Data!I" &amp; 1469)</f>
        <v>0</v>
      </c>
      <c r="P1474" s="21" cm="1">
        <f t="array" aca="1" ref="P1474" ca="1">INDIRECT("Data!J" &amp; 1469)</f>
        <v>0</v>
      </c>
      <c r="Q1474" cm="1">
        <f t="array" aca="1" ref="Q1474" ca="1">INDIRECT("Data!K" &amp; 1469)</f>
        <v>0</v>
      </c>
      <c r="R1474" cm="1">
        <f t="array" aca="1" ref="R1474" ca="1">INDIRECT("Data!L" &amp; 1469)</f>
        <v>0</v>
      </c>
      <c r="S1474" cm="1">
        <f t="array" aca="1" ref="S1474" ca="1">INDIRECT("Data!M" &amp; 1469)</f>
        <v>0</v>
      </c>
      <c r="T1474" cm="1">
        <f t="array" aca="1" ref="T1474" ca="1">INDIRECT("Data!N" &amp; 1469)</f>
        <v>0</v>
      </c>
      <c r="U1474" cm="1">
        <f t="array" aca="1" ref="U1474" ca="1">INDIRECT("Data!O" &amp; 1469)</f>
        <v>0</v>
      </c>
      <c r="V1474" cm="1">
        <f t="array" aca="1" ref="V1474" ca="1">INDIRECT("Data!P" &amp; 1469)</f>
        <v>0</v>
      </c>
    </row>
    <row r="1475" spans="7:22" x14ac:dyDescent="0.25">
      <c r="G1475" cm="1">
        <f t="array" aca="1" ref="G1475" ca="1">INDIRECT("Data!A" &amp; 1470)</f>
        <v>0</v>
      </c>
      <c r="H1475" s="21" cm="1">
        <f t="array" aca="1" ref="H1475" ca="1">INDIRECT("Data!B" &amp; 1470)</f>
        <v>0</v>
      </c>
      <c r="I1475" s="21" cm="1">
        <f t="array" aca="1" ref="I1475" ca="1">INDIRECT("Data!C" &amp; 1470)</f>
        <v>0</v>
      </c>
      <c r="J1475" cm="1">
        <f t="array" aca="1" ref="J1475" ca="1">INDIRECT("Data!D" &amp; 1470)</f>
        <v>0</v>
      </c>
      <c r="K1475" cm="1">
        <f t="array" aca="1" ref="K1475" ca="1">INDIRECT("Data!E" &amp; 1470)</f>
        <v>0</v>
      </c>
      <c r="L1475" cm="1">
        <f t="array" aca="1" ref="L1475" ca="1">INDIRECT("Data!F" &amp; 1470)</f>
        <v>0</v>
      </c>
      <c r="M1475" cm="1">
        <f t="array" aca="1" ref="M1475" ca="1">INDIRECT("Data!G" &amp; 1470)</f>
        <v>0</v>
      </c>
      <c r="N1475" cm="1">
        <f t="array" aca="1" ref="N1475" ca="1">INDIRECT("Data!H" &amp; 1470)</f>
        <v>0</v>
      </c>
      <c r="O1475" cm="1">
        <f t="array" aca="1" ref="O1475" ca="1">INDIRECT("Data!I" &amp; 1470)</f>
        <v>0</v>
      </c>
      <c r="P1475" s="21" cm="1">
        <f t="array" aca="1" ref="P1475" ca="1">INDIRECT("Data!J" &amp; 1470)</f>
        <v>0</v>
      </c>
      <c r="Q1475" cm="1">
        <f t="array" aca="1" ref="Q1475" ca="1">INDIRECT("Data!K" &amp; 1470)</f>
        <v>0</v>
      </c>
      <c r="R1475" cm="1">
        <f t="array" aca="1" ref="R1475" ca="1">INDIRECT("Data!L" &amp; 1470)</f>
        <v>0</v>
      </c>
      <c r="S1475" cm="1">
        <f t="array" aca="1" ref="S1475" ca="1">INDIRECT("Data!M" &amp; 1470)</f>
        <v>0</v>
      </c>
      <c r="T1475" cm="1">
        <f t="array" aca="1" ref="T1475" ca="1">INDIRECT("Data!N" &amp; 1470)</f>
        <v>0</v>
      </c>
      <c r="U1475" cm="1">
        <f t="array" aca="1" ref="U1475" ca="1">INDIRECT("Data!O" &amp; 1470)</f>
        <v>0</v>
      </c>
      <c r="V1475" cm="1">
        <f t="array" aca="1" ref="V1475" ca="1">INDIRECT("Data!P" &amp; 1470)</f>
        <v>0</v>
      </c>
    </row>
    <row r="1476" spans="7:22" x14ac:dyDescent="0.25">
      <c r="G1476" cm="1">
        <f t="array" aca="1" ref="G1476" ca="1">INDIRECT("Data!A" &amp; 1471)</f>
        <v>0</v>
      </c>
      <c r="H1476" s="21" cm="1">
        <f t="array" aca="1" ref="H1476" ca="1">INDIRECT("Data!B" &amp; 1471)</f>
        <v>0</v>
      </c>
      <c r="I1476" s="21" cm="1">
        <f t="array" aca="1" ref="I1476" ca="1">INDIRECT("Data!C" &amp; 1471)</f>
        <v>0</v>
      </c>
      <c r="J1476" cm="1">
        <f t="array" aca="1" ref="J1476" ca="1">INDIRECT("Data!D" &amp; 1471)</f>
        <v>0</v>
      </c>
      <c r="K1476" cm="1">
        <f t="array" aca="1" ref="K1476" ca="1">INDIRECT("Data!E" &amp; 1471)</f>
        <v>0</v>
      </c>
      <c r="L1476" cm="1">
        <f t="array" aca="1" ref="L1476" ca="1">INDIRECT("Data!F" &amp; 1471)</f>
        <v>0</v>
      </c>
      <c r="M1476" cm="1">
        <f t="array" aca="1" ref="M1476" ca="1">INDIRECT("Data!G" &amp; 1471)</f>
        <v>0</v>
      </c>
      <c r="N1476" cm="1">
        <f t="array" aca="1" ref="N1476" ca="1">INDIRECT("Data!H" &amp; 1471)</f>
        <v>0</v>
      </c>
      <c r="O1476" cm="1">
        <f t="array" aca="1" ref="O1476" ca="1">INDIRECT("Data!I" &amp; 1471)</f>
        <v>0</v>
      </c>
      <c r="P1476" s="21" cm="1">
        <f t="array" aca="1" ref="P1476" ca="1">INDIRECT("Data!J" &amp; 1471)</f>
        <v>0</v>
      </c>
      <c r="Q1476" cm="1">
        <f t="array" aca="1" ref="Q1476" ca="1">INDIRECT("Data!K" &amp; 1471)</f>
        <v>0</v>
      </c>
      <c r="R1476" cm="1">
        <f t="array" aca="1" ref="R1476" ca="1">INDIRECT("Data!L" &amp; 1471)</f>
        <v>0</v>
      </c>
      <c r="S1476" cm="1">
        <f t="array" aca="1" ref="S1476" ca="1">INDIRECT("Data!M" &amp; 1471)</f>
        <v>0</v>
      </c>
      <c r="T1476" cm="1">
        <f t="array" aca="1" ref="T1476" ca="1">INDIRECT("Data!N" &amp; 1471)</f>
        <v>0</v>
      </c>
      <c r="U1476" cm="1">
        <f t="array" aca="1" ref="U1476" ca="1">INDIRECT("Data!O" &amp; 1471)</f>
        <v>0</v>
      </c>
      <c r="V1476" cm="1">
        <f t="array" aca="1" ref="V1476" ca="1">INDIRECT("Data!P" &amp; 1471)</f>
        <v>0</v>
      </c>
    </row>
    <row r="1477" spans="7:22" x14ac:dyDescent="0.25">
      <c r="G1477" cm="1">
        <f t="array" aca="1" ref="G1477" ca="1">INDIRECT("Data!A" &amp; 1472)</f>
        <v>0</v>
      </c>
      <c r="H1477" s="21" cm="1">
        <f t="array" aca="1" ref="H1477" ca="1">INDIRECT("Data!B" &amp; 1472)</f>
        <v>0</v>
      </c>
      <c r="I1477" s="21" cm="1">
        <f t="array" aca="1" ref="I1477" ca="1">INDIRECT("Data!C" &amp; 1472)</f>
        <v>0</v>
      </c>
      <c r="J1477" cm="1">
        <f t="array" aca="1" ref="J1477" ca="1">INDIRECT("Data!D" &amp; 1472)</f>
        <v>0</v>
      </c>
      <c r="K1477" cm="1">
        <f t="array" aca="1" ref="K1477" ca="1">INDIRECT("Data!E" &amp; 1472)</f>
        <v>0</v>
      </c>
      <c r="L1477" cm="1">
        <f t="array" aca="1" ref="L1477" ca="1">INDIRECT("Data!F" &amp; 1472)</f>
        <v>0</v>
      </c>
      <c r="M1477" cm="1">
        <f t="array" aca="1" ref="M1477" ca="1">INDIRECT("Data!G" &amp; 1472)</f>
        <v>0</v>
      </c>
      <c r="N1477" cm="1">
        <f t="array" aca="1" ref="N1477" ca="1">INDIRECT("Data!H" &amp; 1472)</f>
        <v>0</v>
      </c>
      <c r="O1477" cm="1">
        <f t="array" aca="1" ref="O1477" ca="1">INDIRECT("Data!I" &amp; 1472)</f>
        <v>0</v>
      </c>
      <c r="P1477" s="21" cm="1">
        <f t="array" aca="1" ref="P1477" ca="1">INDIRECT("Data!J" &amp; 1472)</f>
        <v>0</v>
      </c>
      <c r="Q1477" cm="1">
        <f t="array" aca="1" ref="Q1477" ca="1">INDIRECT("Data!K" &amp; 1472)</f>
        <v>0</v>
      </c>
      <c r="R1477" cm="1">
        <f t="array" aca="1" ref="R1477" ca="1">INDIRECT("Data!L" &amp; 1472)</f>
        <v>0</v>
      </c>
      <c r="S1477" cm="1">
        <f t="array" aca="1" ref="S1477" ca="1">INDIRECT("Data!M" &amp; 1472)</f>
        <v>0</v>
      </c>
      <c r="T1477" cm="1">
        <f t="array" aca="1" ref="T1477" ca="1">INDIRECT("Data!N" &amp; 1472)</f>
        <v>0</v>
      </c>
      <c r="U1477" cm="1">
        <f t="array" aca="1" ref="U1477" ca="1">INDIRECT("Data!O" &amp; 1472)</f>
        <v>0</v>
      </c>
      <c r="V1477" cm="1">
        <f t="array" aca="1" ref="V1477" ca="1">INDIRECT("Data!P" &amp; 1472)</f>
        <v>0</v>
      </c>
    </row>
    <row r="1478" spans="7:22" x14ac:dyDescent="0.25">
      <c r="G1478" cm="1">
        <f t="array" aca="1" ref="G1478" ca="1">INDIRECT("Data!A" &amp; 1473)</f>
        <v>0</v>
      </c>
      <c r="H1478" s="21" cm="1">
        <f t="array" aca="1" ref="H1478" ca="1">INDIRECT("Data!B" &amp; 1473)</f>
        <v>0</v>
      </c>
      <c r="I1478" s="21" cm="1">
        <f t="array" aca="1" ref="I1478" ca="1">INDIRECT("Data!C" &amp; 1473)</f>
        <v>0</v>
      </c>
      <c r="J1478" cm="1">
        <f t="array" aca="1" ref="J1478" ca="1">INDIRECT("Data!D" &amp; 1473)</f>
        <v>0</v>
      </c>
      <c r="K1478" cm="1">
        <f t="array" aca="1" ref="K1478" ca="1">INDIRECT("Data!E" &amp; 1473)</f>
        <v>0</v>
      </c>
      <c r="L1478" cm="1">
        <f t="array" aca="1" ref="L1478" ca="1">INDIRECT("Data!F" &amp; 1473)</f>
        <v>0</v>
      </c>
      <c r="M1478" cm="1">
        <f t="array" aca="1" ref="M1478" ca="1">INDIRECT("Data!G" &amp; 1473)</f>
        <v>0</v>
      </c>
      <c r="N1478" cm="1">
        <f t="array" aca="1" ref="N1478" ca="1">INDIRECT("Data!H" &amp; 1473)</f>
        <v>0</v>
      </c>
      <c r="O1478" cm="1">
        <f t="array" aca="1" ref="O1478" ca="1">INDIRECT("Data!I" &amp; 1473)</f>
        <v>0</v>
      </c>
      <c r="P1478" s="21" cm="1">
        <f t="array" aca="1" ref="P1478" ca="1">INDIRECT("Data!J" &amp; 1473)</f>
        <v>0</v>
      </c>
      <c r="Q1478" cm="1">
        <f t="array" aca="1" ref="Q1478" ca="1">INDIRECT("Data!K" &amp; 1473)</f>
        <v>0</v>
      </c>
      <c r="R1478" cm="1">
        <f t="array" aca="1" ref="R1478" ca="1">INDIRECT("Data!L" &amp; 1473)</f>
        <v>0</v>
      </c>
      <c r="S1478" cm="1">
        <f t="array" aca="1" ref="S1478" ca="1">INDIRECT("Data!M" &amp; 1473)</f>
        <v>0</v>
      </c>
      <c r="T1478" cm="1">
        <f t="array" aca="1" ref="T1478" ca="1">INDIRECT("Data!N" &amp; 1473)</f>
        <v>0</v>
      </c>
      <c r="U1478" cm="1">
        <f t="array" aca="1" ref="U1478" ca="1">INDIRECT("Data!O" &amp; 1473)</f>
        <v>0</v>
      </c>
      <c r="V1478" cm="1">
        <f t="array" aca="1" ref="V1478" ca="1">INDIRECT("Data!P" &amp; 1473)</f>
        <v>0</v>
      </c>
    </row>
    <row r="1479" spans="7:22" x14ac:dyDescent="0.25">
      <c r="G1479" cm="1">
        <f t="array" aca="1" ref="G1479" ca="1">INDIRECT("Data!A" &amp; 1474)</f>
        <v>0</v>
      </c>
      <c r="H1479" s="21" cm="1">
        <f t="array" aca="1" ref="H1479" ca="1">INDIRECT("Data!B" &amp; 1474)</f>
        <v>0</v>
      </c>
      <c r="I1479" s="21" cm="1">
        <f t="array" aca="1" ref="I1479" ca="1">INDIRECT("Data!C" &amp; 1474)</f>
        <v>0</v>
      </c>
      <c r="J1479" cm="1">
        <f t="array" aca="1" ref="J1479" ca="1">INDIRECT("Data!D" &amp; 1474)</f>
        <v>0</v>
      </c>
      <c r="K1479" cm="1">
        <f t="array" aca="1" ref="K1479" ca="1">INDIRECT("Data!E" &amp; 1474)</f>
        <v>0</v>
      </c>
      <c r="L1479" cm="1">
        <f t="array" aca="1" ref="L1479" ca="1">INDIRECT("Data!F" &amp; 1474)</f>
        <v>0</v>
      </c>
      <c r="M1479" cm="1">
        <f t="array" aca="1" ref="M1479" ca="1">INDIRECT("Data!G" &amp; 1474)</f>
        <v>0</v>
      </c>
      <c r="N1479" cm="1">
        <f t="array" aca="1" ref="N1479" ca="1">INDIRECT("Data!H" &amp; 1474)</f>
        <v>0</v>
      </c>
      <c r="O1479" cm="1">
        <f t="array" aca="1" ref="O1479" ca="1">INDIRECT("Data!I" &amp; 1474)</f>
        <v>0</v>
      </c>
      <c r="P1479" s="21" cm="1">
        <f t="array" aca="1" ref="P1479" ca="1">INDIRECT("Data!J" &amp; 1474)</f>
        <v>0</v>
      </c>
      <c r="Q1479" cm="1">
        <f t="array" aca="1" ref="Q1479" ca="1">INDIRECT("Data!K" &amp; 1474)</f>
        <v>0</v>
      </c>
      <c r="R1479" cm="1">
        <f t="array" aca="1" ref="R1479" ca="1">INDIRECT("Data!L" &amp; 1474)</f>
        <v>0</v>
      </c>
      <c r="S1479" cm="1">
        <f t="array" aca="1" ref="S1479" ca="1">INDIRECT("Data!M" &amp; 1474)</f>
        <v>0</v>
      </c>
      <c r="T1479" cm="1">
        <f t="array" aca="1" ref="T1479" ca="1">INDIRECT("Data!N" &amp; 1474)</f>
        <v>0</v>
      </c>
      <c r="U1479" cm="1">
        <f t="array" aca="1" ref="U1479" ca="1">INDIRECT("Data!O" &amp; 1474)</f>
        <v>0</v>
      </c>
      <c r="V1479" cm="1">
        <f t="array" aca="1" ref="V1479" ca="1">INDIRECT("Data!P" &amp; 1474)</f>
        <v>0</v>
      </c>
    </row>
    <row r="1480" spans="7:22" x14ac:dyDescent="0.25">
      <c r="G1480" cm="1">
        <f t="array" aca="1" ref="G1480" ca="1">INDIRECT("Data!A" &amp; 1475)</f>
        <v>0</v>
      </c>
      <c r="H1480" s="21" cm="1">
        <f t="array" aca="1" ref="H1480" ca="1">INDIRECT("Data!B" &amp; 1475)</f>
        <v>0</v>
      </c>
      <c r="I1480" s="21" cm="1">
        <f t="array" aca="1" ref="I1480" ca="1">INDIRECT("Data!C" &amp; 1475)</f>
        <v>0</v>
      </c>
      <c r="J1480" cm="1">
        <f t="array" aca="1" ref="J1480" ca="1">INDIRECT("Data!D" &amp; 1475)</f>
        <v>0</v>
      </c>
      <c r="K1480" cm="1">
        <f t="array" aca="1" ref="K1480" ca="1">INDIRECT("Data!E" &amp; 1475)</f>
        <v>0</v>
      </c>
      <c r="L1480" cm="1">
        <f t="array" aca="1" ref="L1480" ca="1">INDIRECT("Data!F" &amp; 1475)</f>
        <v>0</v>
      </c>
      <c r="M1480" cm="1">
        <f t="array" aca="1" ref="M1480" ca="1">INDIRECT("Data!G" &amp; 1475)</f>
        <v>0</v>
      </c>
      <c r="N1480" cm="1">
        <f t="array" aca="1" ref="N1480" ca="1">INDIRECT("Data!H" &amp; 1475)</f>
        <v>0</v>
      </c>
      <c r="O1480" cm="1">
        <f t="array" aca="1" ref="O1480" ca="1">INDIRECT("Data!I" &amp; 1475)</f>
        <v>0</v>
      </c>
      <c r="P1480" s="21" cm="1">
        <f t="array" aca="1" ref="P1480" ca="1">INDIRECT("Data!J" &amp; 1475)</f>
        <v>0</v>
      </c>
      <c r="Q1480" cm="1">
        <f t="array" aca="1" ref="Q1480" ca="1">INDIRECT("Data!K" &amp; 1475)</f>
        <v>0</v>
      </c>
      <c r="R1480" cm="1">
        <f t="array" aca="1" ref="R1480" ca="1">INDIRECT("Data!L" &amp; 1475)</f>
        <v>0</v>
      </c>
      <c r="S1480" cm="1">
        <f t="array" aca="1" ref="S1480" ca="1">INDIRECT("Data!M" &amp; 1475)</f>
        <v>0</v>
      </c>
      <c r="T1480" cm="1">
        <f t="array" aca="1" ref="T1480" ca="1">INDIRECT("Data!N" &amp; 1475)</f>
        <v>0</v>
      </c>
      <c r="U1480" cm="1">
        <f t="array" aca="1" ref="U1480" ca="1">INDIRECT("Data!O" &amp; 1475)</f>
        <v>0</v>
      </c>
      <c r="V1480" cm="1">
        <f t="array" aca="1" ref="V1480" ca="1">INDIRECT("Data!P" &amp; 1475)</f>
        <v>0</v>
      </c>
    </row>
    <row r="1481" spans="7:22" x14ac:dyDescent="0.25">
      <c r="G1481" cm="1">
        <f t="array" aca="1" ref="G1481" ca="1">INDIRECT("Data!A" &amp; 1476)</f>
        <v>0</v>
      </c>
      <c r="H1481" s="21" cm="1">
        <f t="array" aca="1" ref="H1481" ca="1">INDIRECT("Data!B" &amp; 1476)</f>
        <v>0</v>
      </c>
      <c r="I1481" s="21" cm="1">
        <f t="array" aca="1" ref="I1481" ca="1">INDIRECT("Data!C" &amp; 1476)</f>
        <v>0</v>
      </c>
      <c r="J1481" cm="1">
        <f t="array" aca="1" ref="J1481" ca="1">INDIRECT("Data!D" &amp; 1476)</f>
        <v>0</v>
      </c>
      <c r="K1481" cm="1">
        <f t="array" aca="1" ref="K1481" ca="1">INDIRECT("Data!E" &amp; 1476)</f>
        <v>0</v>
      </c>
      <c r="L1481" cm="1">
        <f t="array" aca="1" ref="L1481" ca="1">INDIRECT("Data!F" &amp; 1476)</f>
        <v>0</v>
      </c>
      <c r="M1481" cm="1">
        <f t="array" aca="1" ref="M1481" ca="1">INDIRECT("Data!G" &amp; 1476)</f>
        <v>0</v>
      </c>
      <c r="N1481" cm="1">
        <f t="array" aca="1" ref="N1481" ca="1">INDIRECT("Data!H" &amp; 1476)</f>
        <v>0</v>
      </c>
      <c r="O1481" cm="1">
        <f t="array" aca="1" ref="O1481" ca="1">INDIRECT("Data!I" &amp; 1476)</f>
        <v>0</v>
      </c>
      <c r="P1481" s="21" cm="1">
        <f t="array" aca="1" ref="P1481" ca="1">INDIRECT("Data!J" &amp; 1476)</f>
        <v>0</v>
      </c>
      <c r="Q1481" cm="1">
        <f t="array" aca="1" ref="Q1481" ca="1">INDIRECT("Data!K" &amp; 1476)</f>
        <v>0</v>
      </c>
      <c r="R1481" cm="1">
        <f t="array" aca="1" ref="R1481" ca="1">INDIRECT("Data!L" &amp; 1476)</f>
        <v>0</v>
      </c>
      <c r="S1481" cm="1">
        <f t="array" aca="1" ref="S1481" ca="1">INDIRECT("Data!M" &amp; 1476)</f>
        <v>0</v>
      </c>
      <c r="T1481" cm="1">
        <f t="array" aca="1" ref="T1481" ca="1">INDIRECT("Data!N" &amp; 1476)</f>
        <v>0</v>
      </c>
      <c r="U1481" cm="1">
        <f t="array" aca="1" ref="U1481" ca="1">INDIRECT("Data!O" &amp; 1476)</f>
        <v>0</v>
      </c>
      <c r="V1481" cm="1">
        <f t="array" aca="1" ref="V1481" ca="1">INDIRECT("Data!P" &amp; 1476)</f>
        <v>0</v>
      </c>
    </row>
    <row r="1482" spans="7:22" x14ac:dyDescent="0.25">
      <c r="G1482" cm="1">
        <f t="array" aca="1" ref="G1482" ca="1">INDIRECT("Data!A" &amp; 1477)</f>
        <v>0</v>
      </c>
      <c r="H1482" s="21" cm="1">
        <f t="array" aca="1" ref="H1482" ca="1">INDIRECT("Data!B" &amp; 1477)</f>
        <v>0</v>
      </c>
      <c r="I1482" s="21" cm="1">
        <f t="array" aca="1" ref="I1482" ca="1">INDIRECT("Data!C" &amp; 1477)</f>
        <v>0</v>
      </c>
      <c r="J1482" cm="1">
        <f t="array" aca="1" ref="J1482" ca="1">INDIRECT("Data!D" &amp; 1477)</f>
        <v>0</v>
      </c>
      <c r="K1482" cm="1">
        <f t="array" aca="1" ref="K1482" ca="1">INDIRECT("Data!E" &amp; 1477)</f>
        <v>0</v>
      </c>
      <c r="L1482" cm="1">
        <f t="array" aca="1" ref="L1482" ca="1">INDIRECT("Data!F" &amp; 1477)</f>
        <v>0</v>
      </c>
      <c r="M1482" cm="1">
        <f t="array" aca="1" ref="M1482" ca="1">INDIRECT("Data!G" &amp; 1477)</f>
        <v>0</v>
      </c>
      <c r="N1482" cm="1">
        <f t="array" aca="1" ref="N1482" ca="1">INDIRECT("Data!H" &amp; 1477)</f>
        <v>0</v>
      </c>
      <c r="O1482" cm="1">
        <f t="array" aca="1" ref="O1482" ca="1">INDIRECT("Data!I" &amp; 1477)</f>
        <v>0</v>
      </c>
      <c r="P1482" s="21" cm="1">
        <f t="array" aca="1" ref="P1482" ca="1">INDIRECT("Data!J" &amp; 1477)</f>
        <v>0</v>
      </c>
      <c r="Q1482" cm="1">
        <f t="array" aca="1" ref="Q1482" ca="1">INDIRECT("Data!K" &amp; 1477)</f>
        <v>0</v>
      </c>
      <c r="R1482" cm="1">
        <f t="array" aca="1" ref="R1482" ca="1">INDIRECT("Data!L" &amp; 1477)</f>
        <v>0</v>
      </c>
      <c r="S1482" cm="1">
        <f t="array" aca="1" ref="S1482" ca="1">INDIRECT("Data!M" &amp; 1477)</f>
        <v>0</v>
      </c>
      <c r="T1482" cm="1">
        <f t="array" aca="1" ref="T1482" ca="1">INDIRECT("Data!N" &amp; 1477)</f>
        <v>0</v>
      </c>
      <c r="U1482" cm="1">
        <f t="array" aca="1" ref="U1482" ca="1">INDIRECT("Data!O" &amp; 1477)</f>
        <v>0</v>
      </c>
      <c r="V1482" cm="1">
        <f t="array" aca="1" ref="V1482" ca="1">INDIRECT("Data!P" &amp; 1477)</f>
        <v>0</v>
      </c>
    </row>
    <row r="1483" spans="7:22" x14ac:dyDescent="0.25">
      <c r="G1483" cm="1">
        <f t="array" aca="1" ref="G1483" ca="1">INDIRECT("Data!A" &amp; 1478)</f>
        <v>0</v>
      </c>
      <c r="H1483" s="21" cm="1">
        <f t="array" aca="1" ref="H1483" ca="1">INDIRECT("Data!B" &amp; 1478)</f>
        <v>0</v>
      </c>
      <c r="I1483" s="21" cm="1">
        <f t="array" aca="1" ref="I1483" ca="1">INDIRECT("Data!C" &amp; 1478)</f>
        <v>0</v>
      </c>
      <c r="J1483" cm="1">
        <f t="array" aca="1" ref="J1483" ca="1">INDIRECT("Data!D" &amp; 1478)</f>
        <v>0</v>
      </c>
      <c r="K1483" cm="1">
        <f t="array" aca="1" ref="K1483" ca="1">INDIRECT("Data!E" &amp; 1478)</f>
        <v>0</v>
      </c>
      <c r="L1483" cm="1">
        <f t="array" aca="1" ref="L1483" ca="1">INDIRECT("Data!F" &amp; 1478)</f>
        <v>0</v>
      </c>
      <c r="M1483" cm="1">
        <f t="array" aca="1" ref="M1483" ca="1">INDIRECT("Data!G" &amp; 1478)</f>
        <v>0</v>
      </c>
      <c r="N1483" cm="1">
        <f t="array" aca="1" ref="N1483" ca="1">INDIRECT("Data!H" &amp; 1478)</f>
        <v>0</v>
      </c>
      <c r="O1483" cm="1">
        <f t="array" aca="1" ref="O1483" ca="1">INDIRECT("Data!I" &amp; 1478)</f>
        <v>0</v>
      </c>
      <c r="P1483" s="21" cm="1">
        <f t="array" aca="1" ref="P1483" ca="1">INDIRECT("Data!J" &amp; 1478)</f>
        <v>0</v>
      </c>
      <c r="Q1483" cm="1">
        <f t="array" aca="1" ref="Q1483" ca="1">INDIRECT("Data!K" &amp; 1478)</f>
        <v>0</v>
      </c>
      <c r="R1483" cm="1">
        <f t="array" aca="1" ref="R1483" ca="1">INDIRECT("Data!L" &amp; 1478)</f>
        <v>0</v>
      </c>
      <c r="S1483" cm="1">
        <f t="array" aca="1" ref="S1483" ca="1">INDIRECT("Data!M" &amp; 1478)</f>
        <v>0</v>
      </c>
      <c r="T1483" cm="1">
        <f t="array" aca="1" ref="T1483" ca="1">INDIRECT("Data!N" &amp; 1478)</f>
        <v>0</v>
      </c>
      <c r="U1483" cm="1">
        <f t="array" aca="1" ref="U1483" ca="1">INDIRECT("Data!O" &amp; 1478)</f>
        <v>0</v>
      </c>
      <c r="V1483" cm="1">
        <f t="array" aca="1" ref="V1483" ca="1">INDIRECT("Data!P" &amp; 1478)</f>
        <v>0</v>
      </c>
    </row>
    <row r="1484" spans="7:22" x14ac:dyDescent="0.25">
      <c r="G1484" cm="1">
        <f t="array" aca="1" ref="G1484" ca="1">INDIRECT("Data!A" &amp; 1479)</f>
        <v>0</v>
      </c>
      <c r="H1484" s="21" cm="1">
        <f t="array" aca="1" ref="H1484" ca="1">INDIRECT("Data!B" &amp; 1479)</f>
        <v>0</v>
      </c>
      <c r="I1484" s="21" cm="1">
        <f t="array" aca="1" ref="I1484" ca="1">INDIRECT("Data!C" &amp; 1479)</f>
        <v>0</v>
      </c>
      <c r="J1484" cm="1">
        <f t="array" aca="1" ref="J1484" ca="1">INDIRECT("Data!D" &amp; 1479)</f>
        <v>0</v>
      </c>
      <c r="K1484" cm="1">
        <f t="array" aca="1" ref="K1484" ca="1">INDIRECT("Data!E" &amp; 1479)</f>
        <v>0</v>
      </c>
      <c r="L1484" cm="1">
        <f t="array" aca="1" ref="L1484" ca="1">INDIRECT("Data!F" &amp; 1479)</f>
        <v>0</v>
      </c>
      <c r="M1484" cm="1">
        <f t="array" aca="1" ref="M1484" ca="1">INDIRECT("Data!G" &amp; 1479)</f>
        <v>0</v>
      </c>
      <c r="N1484" cm="1">
        <f t="array" aca="1" ref="N1484" ca="1">INDIRECT("Data!H" &amp; 1479)</f>
        <v>0</v>
      </c>
      <c r="O1484" cm="1">
        <f t="array" aca="1" ref="O1484" ca="1">INDIRECT("Data!I" &amp; 1479)</f>
        <v>0</v>
      </c>
      <c r="P1484" s="21" cm="1">
        <f t="array" aca="1" ref="P1484" ca="1">INDIRECT("Data!J" &amp; 1479)</f>
        <v>0</v>
      </c>
      <c r="Q1484" cm="1">
        <f t="array" aca="1" ref="Q1484" ca="1">INDIRECT("Data!K" &amp; 1479)</f>
        <v>0</v>
      </c>
      <c r="R1484" cm="1">
        <f t="array" aca="1" ref="R1484" ca="1">INDIRECT("Data!L" &amp; 1479)</f>
        <v>0</v>
      </c>
      <c r="S1484" cm="1">
        <f t="array" aca="1" ref="S1484" ca="1">INDIRECT("Data!M" &amp; 1479)</f>
        <v>0</v>
      </c>
      <c r="T1484" cm="1">
        <f t="array" aca="1" ref="T1484" ca="1">INDIRECT("Data!N" &amp; 1479)</f>
        <v>0</v>
      </c>
      <c r="U1484" cm="1">
        <f t="array" aca="1" ref="U1484" ca="1">INDIRECT("Data!O" &amp; 1479)</f>
        <v>0</v>
      </c>
      <c r="V1484" cm="1">
        <f t="array" aca="1" ref="V1484" ca="1">INDIRECT("Data!P" &amp; 1479)</f>
        <v>0</v>
      </c>
    </row>
    <row r="1485" spans="7:22" x14ac:dyDescent="0.25">
      <c r="G1485" cm="1">
        <f t="array" aca="1" ref="G1485" ca="1">INDIRECT("Data!A" &amp; 1480)</f>
        <v>0</v>
      </c>
      <c r="H1485" s="21" cm="1">
        <f t="array" aca="1" ref="H1485" ca="1">INDIRECT("Data!B" &amp; 1480)</f>
        <v>0</v>
      </c>
      <c r="I1485" s="21" cm="1">
        <f t="array" aca="1" ref="I1485" ca="1">INDIRECT("Data!C" &amp; 1480)</f>
        <v>0</v>
      </c>
      <c r="J1485" cm="1">
        <f t="array" aca="1" ref="J1485" ca="1">INDIRECT("Data!D" &amp; 1480)</f>
        <v>0</v>
      </c>
      <c r="K1485" cm="1">
        <f t="array" aca="1" ref="K1485" ca="1">INDIRECT("Data!E" &amp; 1480)</f>
        <v>0</v>
      </c>
      <c r="L1485" cm="1">
        <f t="array" aca="1" ref="L1485" ca="1">INDIRECT("Data!F" &amp; 1480)</f>
        <v>0</v>
      </c>
      <c r="M1485" cm="1">
        <f t="array" aca="1" ref="M1485" ca="1">INDIRECT("Data!G" &amp; 1480)</f>
        <v>0</v>
      </c>
      <c r="N1485" cm="1">
        <f t="array" aca="1" ref="N1485" ca="1">INDIRECT("Data!H" &amp; 1480)</f>
        <v>0</v>
      </c>
      <c r="O1485" cm="1">
        <f t="array" aca="1" ref="O1485" ca="1">INDIRECT("Data!I" &amp; 1480)</f>
        <v>0</v>
      </c>
      <c r="P1485" s="21" cm="1">
        <f t="array" aca="1" ref="P1485" ca="1">INDIRECT("Data!J" &amp; 1480)</f>
        <v>0</v>
      </c>
      <c r="Q1485" cm="1">
        <f t="array" aca="1" ref="Q1485" ca="1">INDIRECT("Data!K" &amp; 1480)</f>
        <v>0</v>
      </c>
      <c r="R1485" cm="1">
        <f t="array" aca="1" ref="R1485" ca="1">INDIRECT("Data!L" &amp; 1480)</f>
        <v>0</v>
      </c>
      <c r="S1485" cm="1">
        <f t="array" aca="1" ref="S1485" ca="1">INDIRECT("Data!M" &amp; 1480)</f>
        <v>0</v>
      </c>
      <c r="T1485" cm="1">
        <f t="array" aca="1" ref="T1485" ca="1">INDIRECT("Data!N" &amp; 1480)</f>
        <v>0</v>
      </c>
      <c r="U1485" cm="1">
        <f t="array" aca="1" ref="U1485" ca="1">INDIRECT("Data!O" &amp; 1480)</f>
        <v>0</v>
      </c>
      <c r="V1485" cm="1">
        <f t="array" aca="1" ref="V1485" ca="1">INDIRECT("Data!P" &amp; 1480)</f>
        <v>0</v>
      </c>
    </row>
    <row r="1486" spans="7:22" x14ac:dyDescent="0.25">
      <c r="G1486" cm="1">
        <f t="array" aca="1" ref="G1486" ca="1">INDIRECT("Data!A" &amp; 1481)</f>
        <v>0</v>
      </c>
      <c r="H1486" s="21" cm="1">
        <f t="array" aca="1" ref="H1486" ca="1">INDIRECT("Data!B" &amp; 1481)</f>
        <v>0</v>
      </c>
      <c r="I1486" s="21" cm="1">
        <f t="array" aca="1" ref="I1486" ca="1">INDIRECT("Data!C" &amp; 1481)</f>
        <v>0</v>
      </c>
      <c r="J1486" cm="1">
        <f t="array" aca="1" ref="J1486" ca="1">INDIRECT("Data!D" &amp; 1481)</f>
        <v>0</v>
      </c>
      <c r="K1486" cm="1">
        <f t="array" aca="1" ref="K1486" ca="1">INDIRECT("Data!E" &amp; 1481)</f>
        <v>0</v>
      </c>
      <c r="L1486" cm="1">
        <f t="array" aca="1" ref="L1486" ca="1">INDIRECT("Data!F" &amp; 1481)</f>
        <v>0</v>
      </c>
      <c r="M1486" cm="1">
        <f t="array" aca="1" ref="M1486" ca="1">INDIRECT("Data!G" &amp; 1481)</f>
        <v>0</v>
      </c>
      <c r="N1486" cm="1">
        <f t="array" aca="1" ref="N1486" ca="1">INDIRECT("Data!H" &amp; 1481)</f>
        <v>0</v>
      </c>
      <c r="O1486" cm="1">
        <f t="array" aca="1" ref="O1486" ca="1">INDIRECT("Data!I" &amp; 1481)</f>
        <v>0</v>
      </c>
      <c r="P1486" s="21" cm="1">
        <f t="array" aca="1" ref="P1486" ca="1">INDIRECT("Data!J" &amp; 1481)</f>
        <v>0</v>
      </c>
      <c r="Q1486" cm="1">
        <f t="array" aca="1" ref="Q1486" ca="1">INDIRECT("Data!K" &amp; 1481)</f>
        <v>0</v>
      </c>
      <c r="R1486" cm="1">
        <f t="array" aca="1" ref="R1486" ca="1">INDIRECT("Data!L" &amp; 1481)</f>
        <v>0</v>
      </c>
      <c r="S1486" cm="1">
        <f t="array" aca="1" ref="S1486" ca="1">INDIRECT("Data!M" &amp; 1481)</f>
        <v>0</v>
      </c>
      <c r="T1486" cm="1">
        <f t="array" aca="1" ref="T1486" ca="1">INDIRECT("Data!N" &amp; 1481)</f>
        <v>0</v>
      </c>
      <c r="U1486" cm="1">
        <f t="array" aca="1" ref="U1486" ca="1">INDIRECT("Data!O" &amp; 1481)</f>
        <v>0</v>
      </c>
      <c r="V1486" cm="1">
        <f t="array" aca="1" ref="V1486" ca="1">INDIRECT("Data!P" &amp; 1481)</f>
        <v>0</v>
      </c>
    </row>
    <row r="1487" spans="7:22" x14ac:dyDescent="0.25">
      <c r="G1487" cm="1">
        <f t="array" aca="1" ref="G1487" ca="1">INDIRECT("Data!A" &amp; 1482)</f>
        <v>0</v>
      </c>
      <c r="H1487" s="21" cm="1">
        <f t="array" aca="1" ref="H1487" ca="1">INDIRECT("Data!B" &amp; 1482)</f>
        <v>0</v>
      </c>
      <c r="I1487" s="21" cm="1">
        <f t="array" aca="1" ref="I1487" ca="1">INDIRECT("Data!C" &amp; 1482)</f>
        <v>0</v>
      </c>
      <c r="J1487" cm="1">
        <f t="array" aca="1" ref="J1487" ca="1">INDIRECT("Data!D" &amp; 1482)</f>
        <v>0</v>
      </c>
      <c r="K1487" cm="1">
        <f t="array" aca="1" ref="K1487" ca="1">INDIRECT("Data!E" &amp; 1482)</f>
        <v>0</v>
      </c>
      <c r="L1487" cm="1">
        <f t="array" aca="1" ref="L1487" ca="1">INDIRECT("Data!F" &amp; 1482)</f>
        <v>0</v>
      </c>
      <c r="M1487" cm="1">
        <f t="array" aca="1" ref="M1487" ca="1">INDIRECT("Data!G" &amp; 1482)</f>
        <v>0</v>
      </c>
      <c r="N1487" cm="1">
        <f t="array" aca="1" ref="N1487" ca="1">INDIRECT("Data!H" &amp; 1482)</f>
        <v>0</v>
      </c>
      <c r="O1487" cm="1">
        <f t="array" aca="1" ref="O1487" ca="1">INDIRECT("Data!I" &amp; 1482)</f>
        <v>0</v>
      </c>
      <c r="P1487" s="21" cm="1">
        <f t="array" aca="1" ref="P1487" ca="1">INDIRECT("Data!J" &amp; 1482)</f>
        <v>0</v>
      </c>
      <c r="Q1487" cm="1">
        <f t="array" aca="1" ref="Q1487" ca="1">INDIRECT("Data!K" &amp; 1482)</f>
        <v>0</v>
      </c>
      <c r="R1487" cm="1">
        <f t="array" aca="1" ref="R1487" ca="1">INDIRECT("Data!L" &amp; 1482)</f>
        <v>0</v>
      </c>
      <c r="S1487" cm="1">
        <f t="array" aca="1" ref="S1487" ca="1">INDIRECT("Data!M" &amp; 1482)</f>
        <v>0</v>
      </c>
      <c r="T1487" cm="1">
        <f t="array" aca="1" ref="T1487" ca="1">INDIRECT("Data!N" &amp; 1482)</f>
        <v>0</v>
      </c>
      <c r="U1487" cm="1">
        <f t="array" aca="1" ref="U1487" ca="1">INDIRECT("Data!O" &amp; 1482)</f>
        <v>0</v>
      </c>
      <c r="V1487" cm="1">
        <f t="array" aca="1" ref="V1487" ca="1">INDIRECT("Data!P" &amp; 1482)</f>
        <v>0</v>
      </c>
    </row>
    <row r="1488" spans="7:22" x14ac:dyDescent="0.25">
      <c r="G1488" cm="1">
        <f t="array" aca="1" ref="G1488" ca="1">INDIRECT("Data!A" &amp; 1483)</f>
        <v>0</v>
      </c>
      <c r="H1488" s="21" cm="1">
        <f t="array" aca="1" ref="H1488" ca="1">INDIRECT("Data!B" &amp; 1483)</f>
        <v>0</v>
      </c>
      <c r="I1488" s="21" cm="1">
        <f t="array" aca="1" ref="I1488" ca="1">INDIRECT("Data!C" &amp; 1483)</f>
        <v>0</v>
      </c>
      <c r="J1488" cm="1">
        <f t="array" aca="1" ref="J1488" ca="1">INDIRECT("Data!D" &amp; 1483)</f>
        <v>0</v>
      </c>
      <c r="K1488" cm="1">
        <f t="array" aca="1" ref="K1488" ca="1">INDIRECT("Data!E" &amp; 1483)</f>
        <v>0</v>
      </c>
      <c r="L1488" cm="1">
        <f t="array" aca="1" ref="L1488" ca="1">INDIRECT("Data!F" &amp; 1483)</f>
        <v>0</v>
      </c>
      <c r="M1488" cm="1">
        <f t="array" aca="1" ref="M1488" ca="1">INDIRECT("Data!G" &amp; 1483)</f>
        <v>0</v>
      </c>
      <c r="N1488" cm="1">
        <f t="array" aca="1" ref="N1488" ca="1">INDIRECT("Data!H" &amp; 1483)</f>
        <v>0</v>
      </c>
      <c r="O1488" cm="1">
        <f t="array" aca="1" ref="O1488" ca="1">INDIRECT("Data!I" &amp; 1483)</f>
        <v>0</v>
      </c>
      <c r="P1488" s="21" cm="1">
        <f t="array" aca="1" ref="P1488" ca="1">INDIRECT("Data!J" &amp; 1483)</f>
        <v>0</v>
      </c>
      <c r="Q1488" cm="1">
        <f t="array" aca="1" ref="Q1488" ca="1">INDIRECT("Data!K" &amp; 1483)</f>
        <v>0</v>
      </c>
      <c r="R1488" cm="1">
        <f t="array" aca="1" ref="R1488" ca="1">INDIRECT("Data!L" &amp; 1483)</f>
        <v>0</v>
      </c>
      <c r="S1488" cm="1">
        <f t="array" aca="1" ref="S1488" ca="1">INDIRECT("Data!M" &amp; 1483)</f>
        <v>0</v>
      </c>
      <c r="T1488" cm="1">
        <f t="array" aca="1" ref="T1488" ca="1">INDIRECT("Data!N" &amp; 1483)</f>
        <v>0</v>
      </c>
      <c r="U1488" cm="1">
        <f t="array" aca="1" ref="U1488" ca="1">INDIRECT("Data!O" &amp; 1483)</f>
        <v>0</v>
      </c>
      <c r="V1488" cm="1">
        <f t="array" aca="1" ref="V1488" ca="1">INDIRECT("Data!P" &amp; 1483)</f>
        <v>0</v>
      </c>
    </row>
    <row r="1489" spans="7:22" x14ac:dyDescent="0.25">
      <c r="G1489" cm="1">
        <f t="array" aca="1" ref="G1489" ca="1">INDIRECT("Data!A" &amp; 1484)</f>
        <v>0</v>
      </c>
      <c r="H1489" s="21" cm="1">
        <f t="array" aca="1" ref="H1489" ca="1">INDIRECT("Data!B" &amp; 1484)</f>
        <v>0</v>
      </c>
      <c r="I1489" s="21" cm="1">
        <f t="array" aca="1" ref="I1489" ca="1">INDIRECT("Data!C" &amp; 1484)</f>
        <v>0</v>
      </c>
      <c r="J1489" cm="1">
        <f t="array" aca="1" ref="J1489" ca="1">INDIRECT("Data!D" &amp; 1484)</f>
        <v>0</v>
      </c>
      <c r="K1489" cm="1">
        <f t="array" aca="1" ref="K1489" ca="1">INDIRECT("Data!E" &amp; 1484)</f>
        <v>0</v>
      </c>
      <c r="L1489" cm="1">
        <f t="array" aca="1" ref="L1489" ca="1">INDIRECT("Data!F" &amp; 1484)</f>
        <v>0</v>
      </c>
      <c r="M1489" cm="1">
        <f t="array" aca="1" ref="M1489" ca="1">INDIRECT("Data!G" &amp; 1484)</f>
        <v>0</v>
      </c>
      <c r="N1489" cm="1">
        <f t="array" aca="1" ref="N1489" ca="1">INDIRECT("Data!H" &amp; 1484)</f>
        <v>0</v>
      </c>
      <c r="O1489" cm="1">
        <f t="array" aca="1" ref="O1489" ca="1">INDIRECT("Data!I" &amp; 1484)</f>
        <v>0</v>
      </c>
      <c r="P1489" s="21" cm="1">
        <f t="array" aca="1" ref="P1489" ca="1">INDIRECT("Data!J" &amp; 1484)</f>
        <v>0</v>
      </c>
      <c r="Q1489" cm="1">
        <f t="array" aca="1" ref="Q1489" ca="1">INDIRECT("Data!K" &amp; 1484)</f>
        <v>0</v>
      </c>
      <c r="R1489" cm="1">
        <f t="array" aca="1" ref="R1489" ca="1">INDIRECT("Data!L" &amp; 1484)</f>
        <v>0</v>
      </c>
      <c r="S1489" cm="1">
        <f t="array" aca="1" ref="S1489" ca="1">INDIRECT("Data!M" &amp; 1484)</f>
        <v>0</v>
      </c>
      <c r="T1489" cm="1">
        <f t="array" aca="1" ref="T1489" ca="1">INDIRECT("Data!N" &amp; 1484)</f>
        <v>0</v>
      </c>
      <c r="U1489" cm="1">
        <f t="array" aca="1" ref="U1489" ca="1">INDIRECT("Data!O" &amp; 1484)</f>
        <v>0</v>
      </c>
      <c r="V1489" cm="1">
        <f t="array" aca="1" ref="V1489" ca="1">INDIRECT("Data!P" &amp; 1484)</f>
        <v>0</v>
      </c>
    </row>
    <row r="1490" spans="7:22" x14ac:dyDescent="0.25">
      <c r="G1490" cm="1">
        <f t="array" aca="1" ref="G1490" ca="1">INDIRECT("Data!A" &amp; 1485)</f>
        <v>0</v>
      </c>
      <c r="H1490" s="21" cm="1">
        <f t="array" aca="1" ref="H1490" ca="1">INDIRECT("Data!B" &amp; 1485)</f>
        <v>0</v>
      </c>
      <c r="I1490" s="21" cm="1">
        <f t="array" aca="1" ref="I1490" ca="1">INDIRECT("Data!C" &amp; 1485)</f>
        <v>0</v>
      </c>
      <c r="J1490" cm="1">
        <f t="array" aca="1" ref="J1490" ca="1">INDIRECT("Data!D" &amp; 1485)</f>
        <v>0</v>
      </c>
      <c r="K1490" cm="1">
        <f t="array" aca="1" ref="K1490" ca="1">INDIRECT("Data!E" &amp; 1485)</f>
        <v>0</v>
      </c>
      <c r="L1490" cm="1">
        <f t="array" aca="1" ref="L1490" ca="1">INDIRECT("Data!F" &amp; 1485)</f>
        <v>0</v>
      </c>
      <c r="M1490" cm="1">
        <f t="array" aca="1" ref="M1490" ca="1">INDIRECT("Data!G" &amp; 1485)</f>
        <v>0</v>
      </c>
      <c r="N1490" cm="1">
        <f t="array" aca="1" ref="N1490" ca="1">INDIRECT("Data!H" &amp; 1485)</f>
        <v>0</v>
      </c>
      <c r="O1490" cm="1">
        <f t="array" aca="1" ref="O1490" ca="1">INDIRECT("Data!I" &amp; 1485)</f>
        <v>0</v>
      </c>
      <c r="P1490" s="21" cm="1">
        <f t="array" aca="1" ref="P1490" ca="1">INDIRECT("Data!J" &amp; 1485)</f>
        <v>0</v>
      </c>
      <c r="Q1490" cm="1">
        <f t="array" aca="1" ref="Q1490" ca="1">INDIRECT("Data!K" &amp; 1485)</f>
        <v>0</v>
      </c>
      <c r="R1490" cm="1">
        <f t="array" aca="1" ref="R1490" ca="1">INDIRECT("Data!L" &amp; 1485)</f>
        <v>0</v>
      </c>
      <c r="S1490" cm="1">
        <f t="array" aca="1" ref="S1490" ca="1">INDIRECT("Data!M" &amp; 1485)</f>
        <v>0</v>
      </c>
      <c r="T1490" cm="1">
        <f t="array" aca="1" ref="T1490" ca="1">INDIRECT("Data!N" &amp; 1485)</f>
        <v>0</v>
      </c>
      <c r="U1490" cm="1">
        <f t="array" aca="1" ref="U1490" ca="1">INDIRECT("Data!O" &amp; 1485)</f>
        <v>0</v>
      </c>
      <c r="V1490" cm="1">
        <f t="array" aca="1" ref="V1490" ca="1">INDIRECT("Data!P" &amp; 1485)</f>
        <v>0</v>
      </c>
    </row>
    <row r="1491" spans="7:22" x14ac:dyDescent="0.25">
      <c r="G1491" cm="1">
        <f t="array" aca="1" ref="G1491" ca="1">INDIRECT("Data!A" &amp; 1486)</f>
        <v>0</v>
      </c>
      <c r="H1491" s="21" cm="1">
        <f t="array" aca="1" ref="H1491" ca="1">INDIRECT("Data!B" &amp; 1486)</f>
        <v>0</v>
      </c>
      <c r="I1491" s="21" cm="1">
        <f t="array" aca="1" ref="I1491" ca="1">INDIRECT("Data!C" &amp; 1486)</f>
        <v>0</v>
      </c>
      <c r="J1491" cm="1">
        <f t="array" aca="1" ref="J1491" ca="1">INDIRECT("Data!D" &amp; 1486)</f>
        <v>0</v>
      </c>
      <c r="K1491" cm="1">
        <f t="array" aca="1" ref="K1491" ca="1">INDIRECT("Data!E" &amp; 1486)</f>
        <v>0</v>
      </c>
      <c r="L1491" cm="1">
        <f t="array" aca="1" ref="L1491" ca="1">INDIRECT("Data!F" &amp; 1486)</f>
        <v>0</v>
      </c>
      <c r="M1491" cm="1">
        <f t="array" aca="1" ref="M1491" ca="1">INDIRECT("Data!G" &amp; 1486)</f>
        <v>0</v>
      </c>
      <c r="N1491" cm="1">
        <f t="array" aca="1" ref="N1491" ca="1">INDIRECT("Data!H" &amp; 1486)</f>
        <v>0</v>
      </c>
      <c r="O1491" cm="1">
        <f t="array" aca="1" ref="O1491" ca="1">INDIRECT("Data!I" &amp; 1486)</f>
        <v>0</v>
      </c>
      <c r="P1491" s="21" cm="1">
        <f t="array" aca="1" ref="P1491" ca="1">INDIRECT("Data!J" &amp; 1486)</f>
        <v>0</v>
      </c>
      <c r="Q1491" cm="1">
        <f t="array" aca="1" ref="Q1491" ca="1">INDIRECT("Data!K" &amp; 1486)</f>
        <v>0</v>
      </c>
      <c r="R1491" cm="1">
        <f t="array" aca="1" ref="R1491" ca="1">INDIRECT("Data!L" &amp; 1486)</f>
        <v>0</v>
      </c>
      <c r="S1491" cm="1">
        <f t="array" aca="1" ref="S1491" ca="1">INDIRECT("Data!M" &amp; 1486)</f>
        <v>0</v>
      </c>
      <c r="T1491" cm="1">
        <f t="array" aca="1" ref="T1491" ca="1">INDIRECT("Data!N" &amp; 1486)</f>
        <v>0</v>
      </c>
      <c r="U1491" cm="1">
        <f t="array" aca="1" ref="U1491" ca="1">INDIRECT("Data!O" &amp; 1486)</f>
        <v>0</v>
      </c>
      <c r="V1491" cm="1">
        <f t="array" aca="1" ref="V1491" ca="1">INDIRECT("Data!P" &amp; 1486)</f>
        <v>0</v>
      </c>
    </row>
    <row r="1492" spans="7:22" x14ac:dyDescent="0.25">
      <c r="G1492" cm="1">
        <f t="array" aca="1" ref="G1492" ca="1">INDIRECT("Data!A" &amp; 1487)</f>
        <v>0</v>
      </c>
      <c r="H1492" s="21" cm="1">
        <f t="array" aca="1" ref="H1492" ca="1">INDIRECT("Data!B" &amp; 1487)</f>
        <v>0</v>
      </c>
      <c r="I1492" s="21" cm="1">
        <f t="array" aca="1" ref="I1492" ca="1">INDIRECT("Data!C" &amp; 1487)</f>
        <v>0</v>
      </c>
      <c r="J1492" cm="1">
        <f t="array" aca="1" ref="J1492" ca="1">INDIRECT("Data!D" &amp; 1487)</f>
        <v>0</v>
      </c>
      <c r="K1492" cm="1">
        <f t="array" aca="1" ref="K1492" ca="1">INDIRECT("Data!E" &amp; 1487)</f>
        <v>0</v>
      </c>
      <c r="L1492" cm="1">
        <f t="array" aca="1" ref="L1492" ca="1">INDIRECT("Data!F" &amp; 1487)</f>
        <v>0</v>
      </c>
      <c r="M1492" cm="1">
        <f t="array" aca="1" ref="M1492" ca="1">INDIRECT("Data!G" &amp; 1487)</f>
        <v>0</v>
      </c>
      <c r="N1492" cm="1">
        <f t="array" aca="1" ref="N1492" ca="1">INDIRECT("Data!H" &amp; 1487)</f>
        <v>0</v>
      </c>
      <c r="O1492" cm="1">
        <f t="array" aca="1" ref="O1492" ca="1">INDIRECT("Data!I" &amp; 1487)</f>
        <v>0</v>
      </c>
      <c r="P1492" s="21" cm="1">
        <f t="array" aca="1" ref="P1492" ca="1">INDIRECT("Data!J" &amp; 1487)</f>
        <v>0</v>
      </c>
      <c r="Q1492" cm="1">
        <f t="array" aca="1" ref="Q1492" ca="1">INDIRECT("Data!K" &amp; 1487)</f>
        <v>0</v>
      </c>
      <c r="R1492" cm="1">
        <f t="array" aca="1" ref="R1492" ca="1">INDIRECT("Data!L" &amp; 1487)</f>
        <v>0</v>
      </c>
      <c r="S1492" cm="1">
        <f t="array" aca="1" ref="S1492" ca="1">INDIRECT("Data!M" &amp; 1487)</f>
        <v>0</v>
      </c>
      <c r="T1492" cm="1">
        <f t="array" aca="1" ref="T1492" ca="1">INDIRECT("Data!N" &amp; 1487)</f>
        <v>0</v>
      </c>
      <c r="U1492" cm="1">
        <f t="array" aca="1" ref="U1492" ca="1">INDIRECT("Data!O" &amp; 1487)</f>
        <v>0</v>
      </c>
      <c r="V1492" cm="1">
        <f t="array" aca="1" ref="V1492" ca="1">INDIRECT("Data!P" &amp; 1487)</f>
        <v>0</v>
      </c>
    </row>
    <row r="1493" spans="7:22" x14ac:dyDescent="0.25">
      <c r="G1493" cm="1">
        <f t="array" aca="1" ref="G1493" ca="1">INDIRECT("Data!A" &amp; 1488)</f>
        <v>0</v>
      </c>
      <c r="H1493" s="21" cm="1">
        <f t="array" aca="1" ref="H1493" ca="1">INDIRECT("Data!B" &amp; 1488)</f>
        <v>0</v>
      </c>
      <c r="I1493" s="21" cm="1">
        <f t="array" aca="1" ref="I1493" ca="1">INDIRECT("Data!C" &amp; 1488)</f>
        <v>0</v>
      </c>
      <c r="J1493" cm="1">
        <f t="array" aca="1" ref="J1493" ca="1">INDIRECT("Data!D" &amp; 1488)</f>
        <v>0</v>
      </c>
      <c r="K1493" cm="1">
        <f t="array" aca="1" ref="K1493" ca="1">INDIRECT("Data!E" &amp; 1488)</f>
        <v>0</v>
      </c>
      <c r="L1493" cm="1">
        <f t="array" aca="1" ref="L1493" ca="1">INDIRECT("Data!F" &amp; 1488)</f>
        <v>0</v>
      </c>
      <c r="M1493" cm="1">
        <f t="array" aca="1" ref="M1493" ca="1">INDIRECT("Data!G" &amp; 1488)</f>
        <v>0</v>
      </c>
      <c r="N1493" cm="1">
        <f t="array" aca="1" ref="N1493" ca="1">INDIRECT("Data!H" &amp; 1488)</f>
        <v>0</v>
      </c>
      <c r="O1493" cm="1">
        <f t="array" aca="1" ref="O1493" ca="1">INDIRECT("Data!I" &amp; 1488)</f>
        <v>0</v>
      </c>
      <c r="P1493" s="21" cm="1">
        <f t="array" aca="1" ref="P1493" ca="1">INDIRECT("Data!J" &amp; 1488)</f>
        <v>0</v>
      </c>
      <c r="Q1493" cm="1">
        <f t="array" aca="1" ref="Q1493" ca="1">INDIRECT("Data!K" &amp; 1488)</f>
        <v>0</v>
      </c>
      <c r="R1493" cm="1">
        <f t="array" aca="1" ref="R1493" ca="1">INDIRECT("Data!L" &amp; 1488)</f>
        <v>0</v>
      </c>
      <c r="S1493" cm="1">
        <f t="array" aca="1" ref="S1493" ca="1">INDIRECT("Data!M" &amp; 1488)</f>
        <v>0</v>
      </c>
      <c r="T1493" cm="1">
        <f t="array" aca="1" ref="T1493" ca="1">INDIRECT("Data!N" &amp; 1488)</f>
        <v>0</v>
      </c>
      <c r="U1493" cm="1">
        <f t="array" aca="1" ref="U1493" ca="1">INDIRECT("Data!O" &amp; 1488)</f>
        <v>0</v>
      </c>
      <c r="V1493" cm="1">
        <f t="array" aca="1" ref="V1493" ca="1">INDIRECT("Data!P" &amp; 1488)</f>
        <v>0</v>
      </c>
    </row>
    <row r="1494" spans="7:22" x14ac:dyDescent="0.25">
      <c r="G1494" cm="1">
        <f t="array" aca="1" ref="G1494" ca="1">INDIRECT("Data!A" &amp; 1489)</f>
        <v>0</v>
      </c>
      <c r="H1494" s="21" cm="1">
        <f t="array" aca="1" ref="H1494" ca="1">INDIRECT("Data!B" &amp; 1489)</f>
        <v>0</v>
      </c>
      <c r="I1494" s="21" cm="1">
        <f t="array" aca="1" ref="I1494" ca="1">INDIRECT("Data!C" &amp; 1489)</f>
        <v>0</v>
      </c>
      <c r="J1494" cm="1">
        <f t="array" aca="1" ref="J1494" ca="1">INDIRECT("Data!D" &amp; 1489)</f>
        <v>0</v>
      </c>
      <c r="K1494" cm="1">
        <f t="array" aca="1" ref="K1494" ca="1">INDIRECT("Data!E" &amp; 1489)</f>
        <v>0</v>
      </c>
      <c r="L1494" cm="1">
        <f t="array" aca="1" ref="L1494" ca="1">INDIRECT("Data!F" &amp; 1489)</f>
        <v>0</v>
      </c>
      <c r="M1494" cm="1">
        <f t="array" aca="1" ref="M1494" ca="1">INDIRECT("Data!G" &amp; 1489)</f>
        <v>0</v>
      </c>
      <c r="N1494" cm="1">
        <f t="array" aca="1" ref="N1494" ca="1">INDIRECT("Data!H" &amp; 1489)</f>
        <v>0</v>
      </c>
      <c r="O1494" cm="1">
        <f t="array" aca="1" ref="O1494" ca="1">INDIRECT("Data!I" &amp; 1489)</f>
        <v>0</v>
      </c>
      <c r="P1494" s="21" cm="1">
        <f t="array" aca="1" ref="P1494" ca="1">INDIRECT("Data!J" &amp; 1489)</f>
        <v>0</v>
      </c>
      <c r="Q1494" cm="1">
        <f t="array" aca="1" ref="Q1494" ca="1">INDIRECT("Data!K" &amp; 1489)</f>
        <v>0</v>
      </c>
      <c r="R1494" cm="1">
        <f t="array" aca="1" ref="R1494" ca="1">INDIRECT("Data!L" &amp; 1489)</f>
        <v>0</v>
      </c>
      <c r="S1494" cm="1">
        <f t="array" aca="1" ref="S1494" ca="1">INDIRECT("Data!M" &amp; 1489)</f>
        <v>0</v>
      </c>
      <c r="T1494" cm="1">
        <f t="array" aca="1" ref="T1494" ca="1">INDIRECT("Data!N" &amp; 1489)</f>
        <v>0</v>
      </c>
      <c r="U1494" cm="1">
        <f t="array" aca="1" ref="U1494" ca="1">INDIRECT("Data!O" &amp; 1489)</f>
        <v>0</v>
      </c>
      <c r="V1494" cm="1">
        <f t="array" aca="1" ref="V1494" ca="1">INDIRECT("Data!P" &amp; 1489)</f>
        <v>0</v>
      </c>
    </row>
    <row r="1495" spans="7:22" x14ac:dyDescent="0.25">
      <c r="G1495" cm="1">
        <f t="array" aca="1" ref="G1495" ca="1">INDIRECT("Data!A" &amp; 1490)</f>
        <v>0</v>
      </c>
      <c r="H1495" s="21" cm="1">
        <f t="array" aca="1" ref="H1495" ca="1">INDIRECT("Data!B" &amp; 1490)</f>
        <v>0</v>
      </c>
      <c r="I1495" s="21" cm="1">
        <f t="array" aca="1" ref="I1495" ca="1">INDIRECT("Data!C" &amp; 1490)</f>
        <v>0</v>
      </c>
      <c r="J1495" cm="1">
        <f t="array" aca="1" ref="J1495" ca="1">INDIRECT("Data!D" &amp; 1490)</f>
        <v>0</v>
      </c>
      <c r="K1495" cm="1">
        <f t="array" aca="1" ref="K1495" ca="1">INDIRECT("Data!E" &amp; 1490)</f>
        <v>0</v>
      </c>
      <c r="L1495" cm="1">
        <f t="array" aca="1" ref="L1495" ca="1">INDIRECT("Data!F" &amp; 1490)</f>
        <v>0</v>
      </c>
      <c r="M1495" cm="1">
        <f t="array" aca="1" ref="M1495" ca="1">INDIRECT("Data!G" &amp; 1490)</f>
        <v>0</v>
      </c>
      <c r="N1495" cm="1">
        <f t="array" aca="1" ref="N1495" ca="1">INDIRECT("Data!H" &amp; 1490)</f>
        <v>0</v>
      </c>
      <c r="O1495" cm="1">
        <f t="array" aca="1" ref="O1495" ca="1">INDIRECT("Data!I" &amp; 1490)</f>
        <v>0</v>
      </c>
      <c r="P1495" s="21" cm="1">
        <f t="array" aca="1" ref="P1495" ca="1">INDIRECT("Data!J" &amp; 1490)</f>
        <v>0</v>
      </c>
      <c r="Q1495" cm="1">
        <f t="array" aca="1" ref="Q1495" ca="1">INDIRECT("Data!K" &amp; 1490)</f>
        <v>0</v>
      </c>
      <c r="R1495" cm="1">
        <f t="array" aca="1" ref="R1495" ca="1">INDIRECT("Data!L" &amp; 1490)</f>
        <v>0</v>
      </c>
      <c r="S1495" cm="1">
        <f t="array" aca="1" ref="S1495" ca="1">INDIRECT("Data!M" &amp; 1490)</f>
        <v>0</v>
      </c>
      <c r="T1495" cm="1">
        <f t="array" aca="1" ref="T1495" ca="1">INDIRECT("Data!N" &amp; 1490)</f>
        <v>0</v>
      </c>
      <c r="U1495" cm="1">
        <f t="array" aca="1" ref="U1495" ca="1">INDIRECT("Data!O" &amp; 1490)</f>
        <v>0</v>
      </c>
      <c r="V1495" cm="1">
        <f t="array" aca="1" ref="V1495" ca="1">INDIRECT("Data!P" &amp; 1490)</f>
        <v>0</v>
      </c>
    </row>
    <row r="1496" spans="7:22" x14ac:dyDescent="0.25">
      <c r="G1496" cm="1">
        <f t="array" aca="1" ref="G1496" ca="1">INDIRECT("Data!A" &amp; 1491)</f>
        <v>0</v>
      </c>
      <c r="H1496" s="21" cm="1">
        <f t="array" aca="1" ref="H1496" ca="1">INDIRECT("Data!B" &amp; 1491)</f>
        <v>0</v>
      </c>
      <c r="I1496" s="21" cm="1">
        <f t="array" aca="1" ref="I1496" ca="1">INDIRECT("Data!C" &amp; 1491)</f>
        <v>0</v>
      </c>
      <c r="J1496" cm="1">
        <f t="array" aca="1" ref="J1496" ca="1">INDIRECT("Data!D" &amp; 1491)</f>
        <v>0</v>
      </c>
      <c r="K1496" cm="1">
        <f t="array" aca="1" ref="K1496" ca="1">INDIRECT("Data!E" &amp; 1491)</f>
        <v>0</v>
      </c>
      <c r="L1496" cm="1">
        <f t="array" aca="1" ref="L1496" ca="1">INDIRECT("Data!F" &amp; 1491)</f>
        <v>0</v>
      </c>
      <c r="M1496" cm="1">
        <f t="array" aca="1" ref="M1496" ca="1">INDIRECT("Data!G" &amp; 1491)</f>
        <v>0</v>
      </c>
      <c r="N1496" cm="1">
        <f t="array" aca="1" ref="N1496" ca="1">INDIRECT("Data!H" &amp; 1491)</f>
        <v>0</v>
      </c>
      <c r="O1496" cm="1">
        <f t="array" aca="1" ref="O1496" ca="1">INDIRECT("Data!I" &amp; 1491)</f>
        <v>0</v>
      </c>
      <c r="P1496" s="21" cm="1">
        <f t="array" aca="1" ref="P1496" ca="1">INDIRECT("Data!J" &amp; 1491)</f>
        <v>0</v>
      </c>
      <c r="Q1496" cm="1">
        <f t="array" aca="1" ref="Q1496" ca="1">INDIRECT("Data!K" &amp; 1491)</f>
        <v>0</v>
      </c>
      <c r="R1496" cm="1">
        <f t="array" aca="1" ref="R1496" ca="1">INDIRECT("Data!L" &amp; 1491)</f>
        <v>0</v>
      </c>
      <c r="S1496" cm="1">
        <f t="array" aca="1" ref="S1496" ca="1">INDIRECT("Data!M" &amp; 1491)</f>
        <v>0</v>
      </c>
      <c r="T1496" cm="1">
        <f t="array" aca="1" ref="T1496" ca="1">INDIRECT("Data!N" &amp; 1491)</f>
        <v>0</v>
      </c>
      <c r="U1496" cm="1">
        <f t="array" aca="1" ref="U1496" ca="1">INDIRECT("Data!O" &amp; 1491)</f>
        <v>0</v>
      </c>
      <c r="V1496" cm="1">
        <f t="array" aca="1" ref="V1496" ca="1">INDIRECT("Data!P" &amp; 1491)</f>
        <v>0</v>
      </c>
    </row>
    <row r="1497" spans="7:22" x14ac:dyDescent="0.25">
      <c r="G1497" cm="1">
        <f t="array" aca="1" ref="G1497" ca="1">INDIRECT("Data!A" &amp; 1492)</f>
        <v>0</v>
      </c>
      <c r="H1497" s="21" cm="1">
        <f t="array" aca="1" ref="H1497" ca="1">INDIRECT("Data!B" &amp; 1492)</f>
        <v>0</v>
      </c>
      <c r="I1497" s="21" cm="1">
        <f t="array" aca="1" ref="I1497" ca="1">INDIRECT("Data!C" &amp; 1492)</f>
        <v>0</v>
      </c>
      <c r="J1497" cm="1">
        <f t="array" aca="1" ref="J1497" ca="1">INDIRECT("Data!D" &amp; 1492)</f>
        <v>0</v>
      </c>
      <c r="K1497" cm="1">
        <f t="array" aca="1" ref="K1497" ca="1">INDIRECT("Data!E" &amp; 1492)</f>
        <v>0</v>
      </c>
      <c r="L1497" cm="1">
        <f t="array" aca="1" ref="L1497" ca="1">INDIRECT("Data!F" &amp; 1492)</f>
        <v>0</v>
      </c>
      <c r="M1497" cm="1">
        <f t="array" aca="1" ref="M1497" ca="1">INDIRECT("Data!G" &amp; 1492)</f>
        <v>0</v>
      </c>
      <c r="N1497" cm="1">
        <f t="array" aca="1" ref="N1497" ca="1">INDIRECT("Data!H" &amp; 1492)</f>
        <v>0</v>
      </c>
      <c r="O1497" cm="1">
        <f t="array" aca="1" ref="O1497" ca="1">INDIRECT("Data!I" &amp; 1492)</f>
        <v>0</v>
      </c>
      <c r="P1497" s="21" cm="1">
        <f t="array" aca="1" ref="P1497" ca="1">INDIRECT("Data!J" &amp; 1492)</f>
        <v>0</v>
      </c>
      <c r="Q1497" cm="1">
        <f t="array" aca="1" ref="Q1497" ca="1">INDIRECT("Data!K" &amp; 1492)</f>
        <v>0</v>
      </c>
      <c r="R1497" cm="1">
        <f t="array" aca="1" ref="R1497" ca="1">INDIRECT("Data!L" &amp; 1492)</f>
        <v>0</v>
      </c>
      <c r="S1497" cm="1">
        <f t="array" aca="1" ref="S1497" ca="1">INDIRECT("Data!M" &amp; 1492)</f>
        <v>0</v>
      </c>
      <c r="T1497" cm="1">
        <f t="array" aca="1" ref="T1497" ca="1">INDIRECT("Data!N" &amp; 1492)</f>
        <v>0</v>
      </c>
      <c r="U1497" cm="1">
        <f t="array" aca="1" ref="U1497" ca="1">INDIRECT("Data!O" &amp; 1492)</f>
        <v>0</v>
      </c>
      <c r="V1497" cm="1">
        <f t="array" aca="1" ref="V1497" ca="1">INDIRECT("Data!P" &amp; 1492)</f>
        <v>0</v>
      </c>
    </row>
    <row r="1498" spans="7:22" x14ac:dyDescent="0.25">
      <c r="G1498" cm="1">
        <f t="array" aca="1" ref="G1498" ca="1">INDIRECT("Data!A" &amp; 1493)</f>
        <v>0</v>
      </c>
      <c r="H1498" s="21" cm="1">
        <f t="array" aca="1" ref="H1498" ca="1">INDIRECT("Data!B" &amp; 1493)</f>
        <v>0</v>
      </c>
      <c r="I1498" s="21" cm="1">
        <f t="array" aca="1" ref="I1498" ca="1">INDIRECT("Data!C" &amp; 1493)</f>
        <v>0</v>
      </c>
      <c r="J1498" cm="1">
        <f t="array" aca="1" ref="J1498" ca="1">INDIRECT("Data!D" &amp; 1493)</f>
        <v>0</v>
      </c>
      <c r="K1498" cm="1">
        <f t="array" aca="1" ref="K1498" ca="1">INDIRECT("Data!E" &amp; 1493)</f>
        <v>0</v>
      </c>
      <c r="L1498" cm="1">
        <f t="array" aca="1" ref="L1498" ca="1">INDIRECT("Data!F" &amp; 1493)</f>
        <v>0</v>
      </c>
      <c r="M1498" cm="1">
        <f t="array" aca="1" ref="M1498" ca="1">INDIRECT("Data!G" &amp; 1493)</f>
        <v>0</v>
      </c>
      <c r="N1498" cm="1">
        <f t="array" aca="1" ref="N1498" ca="1">INDIRECT("Data!H" &amp; 1493)</f>
        <v>0</v>
      </c>
      <c r="O1498" cm="1">
        <f t="array" aca="1" ref="O1498" ca="1">INDIRECT("Data!I" &amp; 1493)</f>
        <v>0</v>
      </c>
      <c r="P1498" s="21" cm="1">
        <f t="array" aca="1" ref="P1498" ca="1">INDIRECT("Data!J" &amp; 1493)</f>
        <v>0</v>
      </c>
      <c r="Q1498" cm="1">
        <f t="array" aca="1" ref="Q1498" ca="1">INDIRECT("Data!K" &amp; 1493)</f>
        <v>0</v>
      </c>
      <c r="R1498" cm="1">
        <f t="array" aca="1" ref="R1498" ca="1">INDIRECT("Data!L" &amp; 1493)</f>
        <v>0</v>
      </c>
      <c r="S1498" cm="1">
        <f t="array" aca="1" ref="S1498" ca="1">INDIRECT("Data!M" &amp; 1493)</f>
        <v>0</v>
      </c>
      <c r="T1498" cm="1">
        <f t="array" aca="1" ref="T1498" ca="1">INDIRECT("Data!N" &amp; 1493)</f>
        <v>0</v>
      </c>
      <c r="U1498" cm="1">
        <f t="array" aca="1" ref="U1498" ca="1">INDIRECT("Data!O" &amp; 1493)</f>
        <v>0</v>
      </c>
      <c r="V1498" cm="1">
        <f t="array" aca="1" ref="V1498" ca="1">INDIRECT("Data!P" &amp; 1493)</f>
        <v>0</v>
      </c>
    </row>
    <row r="1499" spans="7:22" x14ac:dyDescent="0.25">
      <c r="G1499" cm="1">
        <f t="array" aca="1" ref="G1499" ca="1">INDIRECT("Data!A" &amp; 1494)</f>
        <v>0</v>
      </c>
      <c r="H1499" s="21" cm="1">
        <f t="array" aca="1" ref="H1499" ca="1">INDIRECT("Data!B" &amp; 1494)</f>
        <v>0</v>
      </c>
      <c r="I1499" s="21" cm="1">
        <f t="array" aca="1" ref="I1499" ca="1">INDIRECT("Data!C" &amp; 1494)</f>
        <v>0</v>
      </c>
      <c r="J1499" cm="1">
        <f t="array" aca="1" ref="J1499" ca="1">INDIRECT("Data!D" &amp; 1494)</f>
        <v>0</v>
      </c>
      <c r="K1499" cm="1">
        <f t="array" aca="1" ref="K1499" ca="1">INDIRECT("Data!E" &amp; 1494)</f>
        <v>0</v>
      </c>
      <c r="L1499" cm="1">
        <f t="array" aca="1" ref="L1499" ca="1">INDIRECT("Data!F" &amp; 1494)</f>
        <v>0</v>
      </c>
      <c r="M1499" cm="1">
        <f t="array" aca="1" ref="M1499" ca="1">INDIRECT("Data!G" &amp; 1494)</f>
        <v>0</v>
      </c>
      <c r="N1499" cm="1">
        <f t="array" aca="1" ref="N1499" ca="1">INDIRECT("Data!H" &amp; 1494)</f>
        <v>0</v>
      </c>
      <c r="O1499" cm="1">
        <f t="array" aca="1" ref="O1499" ca="1">INDIRECT("Data!I" &amp; 1494)</f>
        <v>0</v>
      </c>
      <c r="P1499" s="21" cm="1">
        <f t="array" aca="1" ref="P1499" ca="1">INDIRECT("Data!J" &amp; 1494)</f>
        <v>0</v>
      </c>
      <c r="Q1499" cm="1">
        <f t="array" aca="1" ref="Q1499" ca="1">INDIRECT("Data!K" &amp; 1494)</f>
        <v>0</v>
      </c>
      <c r="R1499" cm="1">
        <f t="array" aca="1" ref="R1499" ca="1">INDIRECT("Data!L" &amp; 1494)</f>
        <v>0</v>
      </c>
      <c r="S1499" cm="1">
        <f t="array" aca="1" ref="S1499" ca="1">INDIRECT("Data!M" &amp; 1494)</f>
        <v>0</v>
      </c>
      <c r="T1499" cm="1">
        <f t="array" aca="1" ref="T1499" ca="1">INDIRECT("Data!N" &amp; 1494)</f>
        <v>0</v>
      </c>
      <c r="U1499" cm="1">
        <f t="array" aca="1" ref="U1499" ca="1">INDIRECT("Data!O" &amp; 1494)</f>
        <v>0</v>
      </c>
      <c r="V1499" cm="1">
        <f t="array" aca="1" ref="V1499" ca="1">INDIRECT("Data!P" &amp; 1494)</f>
        <v>0</v>
      </c>
    </row>
    <row r="1500" spans="7:22" x14ac:dyDescent="0.25">
      <c r="G1500" cm="1">
        <f t="array" aca="1" ref="G1500" ca="1">INDIRECT("Data!A" &amp; 1495)</f>
        <v>0</v>
      </c>
      <c r="H1500" s="21" cm="1">
        <f t="array" aca="1" ref="H1500" ca="1">INDIRECT("Data!B" &amp; 1495)</f>
        <v>0</v>
      </c>
      <c r="I1500" s="21" cm="1">
        <f t="array" aca="1" ref="I1500" ca="1">INDIRECT("Data!C" &amp; 1495)</f>
        <v>0</v>
      </c>
      <c r="J1500" cm="1">
        <f t="array" aca="1" ref="J1500" ca="1">INDIRECT("Data!D" &amp; 1495)</f>
        <v>0</v>
      </c>
      <c r="K1500" cm="1">
        <f t="array" aca="1" ref="K1500" ca="1">INDIRECT("Data!E" &amp; 1495)</f>
        <v>0</v>
      </c>
      <c r="L1500" cm="1">
        <f t="array" aca="1" ref="L1500" ca="1">INDIRECT("Data!F" &amp; 1495)</f>
        <v>0</v>
      </c>
      <c r="M1500" cm="1">
        <f t="array" aca="1" ref="M1500" ca="1">INDIRECT("Data!G" &amp; 1495)</f>
        <v>0</v>
      </c>
      <c r="N1500" cm="1">
        <f t="array" aca="1" ref="N1500" ca="1">INDIRECT("Data!H" &amp; 1495)</f>
        <v>0</v>
      </c>
      <c r="O1500" cm="1">
        <f t="array" aca="1" ref="O1500" ca="1">INDIRECT("Data!I" &amp; 1495)</f>
        <v>0</v>
      </c>
      <c r="P1500" s="21" cm="1">
        <f t="array" aca="1" ref="P1500" ca="1">INDIRECT("Data!J" &amp; 1495)</f>
        <v>0</v>
      </c>
      <c r="Q1500" cm="1">
        <f t="array" aca="1" ref="Q1500" ca="1">INDIRECT("Data!K" &amp; 1495)</f>
        <v>0</v>
      </c>
      <c r="R1500" cm="1">
        <f t="array" aca="1" ref="R1500" ca="1">INDIRECT("Data!L" &amp; 1495)</f>
        <v>0</v>
      </c>
      <c r="S1500" cm="1">
        <f t="array" aca="1" ref="S1500" ca="1">INDIRECT("Data!M" &amp; 1495)</f>
        <v>0</v>
      </c>
      <c r="T1500" cm="1">
        <f t="array" aca="1" ref="T1500" ca="1">INDIRECT("Data!N" &amp; 1495)</f>
        <v>0</v>
      </c>
      <c r="U1500" cm="1">
        <f t="array" aca="1" ref="U1500" ca="1">INDIRECT("Data!O" &amp; 1495)</f>
        <v>0</v>
      </c>
      <c r="V1500" cm="1">
        <f t="array" aca="1" ref="V1500" ca="1">INDIRECT("Data!P" &amp; 1495)</f>
        <v>0</v>
      </c>
    </row>
    <row r="1501" spans="7:22" x14ac:dyDescent="0.25">
      <c r="G1501" cm="1">
        <f t="array" aca="1" ref="G1501" ca="1">INDIRECT("Data!A" &amp; 1496)</f>
        <v>0</v>
      </c>
      <c r="H1501" s="21" cm="1">
        <f t="array" aca="1" ref="H1501" ca="1">INDIRECT("Data!B" &amp; 1496)</f>
        <v>0</v>
      </c>
      <c r="I1501" s="21" cm="1">
        <f t="array" aca="1" ref="I1501" ca="1">INDIRECT("Data!C" &amp; 1496)</f>
        <v>0</v>
      </c>
      <c r="J1501" cm="1">
        <f t="array" aca="1" ref="J1501" ca="1">INDIRECT("Data!D" &amp; 1496)</f>
        <v>0</v>
      </c>
      <c r="K1501" cm="1">
        <f t="array" aca="1" ref="K1501" ca="1">INDIRECT("Data!E" &amp; 1496)</f>
        <v>0</v>
      </c>
      <c r="L1501" cm="1">
        <f t="array" aca="1" ref="L1501" ca="1">INDIRECT("Data!F" &amp; 1496)</f>
        <v>0</v>
      </c>
      <c r="M1501" cm="1">
        <f t="array" aca="1" ref="M1501" ca="1">INDIRECT("Data!G" &amp; 1496)</f>
        <v>0</v>
      </c>
      <c r="N1501" cm="1">
        <f t="array" aca="1" ref="N1501" ca="1">INDIRECT("Data!H" &amp; 1496)</f>
        <v>0</v>
      </c>
      <c r="O1501" cm="1">
        <f t="array" aca="1" ref="O1501" ca="1">INDIRECT("Data!I" &amp; 1496)</f>
        <v>0</v>
      </c>
      <c r="P1501" s="21" cm="1">
        <f t="array" aca="1" ref="P1501" ca="1">INDIRECT("Data!J" &amp; 1496)</f>
        <v>0</v>
      </c>
      <c r="Q1501" cm="1">
        <f t="array" aca="1" ref="Q1501" ca="1">INDIRECT("Data!K" &amp; 1496)</f>
        <v>0</v>
      </c>
      <c r="R1501" cm="1">
        <f t="array" aca="1" ref="R1501" ca="1">INDIRECT("Data!L" &amp; 1496)</f>
        <v>0</v>
      </c>
      <c r="S1501" cm="1">
        <f t="array" aca="1" ref="S1501" ca="1">INDIRECT("Data!M" &amp; 1496)</f>
        <v>0</v>
      </c>
      <c r="T1501" cm="1">
        <f t="array" aca="1" ref="T1501" ca="1">INDIRECT("Data!N" &amp; 1496)</f>
        <v>0</v>
      </c>
      <c r="U1501" cm="1">
        <f t="array" aca="1" ref="U1501" ca="1">INDIRECT("Data!O" &amp; 1496)</f>
        <v>0</v>
      </c>
      <c r="V1501" cm="1">
        <f t="array" aca="1" ref="V1501" ca="1">INDIRECT("Data!P" &amp; 1496)</f>
        <v>0</v>
      </c>
    </row>
    <row r="1502" spans="7:22" x14ac:dyDescent="0.25">
      <c r="G1502" cm="1">
        <f t="array" aca="1" ref="G1502" ca="1">INDIRECT("Data!A" &amp; 1497)</f>
        <v>0</v>
      </c>
      <c r="H1502" s="21" cm="1">
        <f t="array" aca="1" ref="H1502" ca="1">INDIRECT("Data!B" &amp; 1497)</f>
        <v>0</v>
      </c>
      <c r="I1502" s="21" cm="1">
        <f t="array" aca="1" ref="I1502" ca="1">INDIRECT("Data!C" &amp; 1497)</f>
        <v>0</v>
      </c>
      <c r="J1502" cm="1">
        <f t="array" aca="1" ref="J1502" ca="1">INDIRECT("Data!D" &amp; 1497)</f>
        <v>0</v>
      </c>
      <c r="K1502" cm="1">
        <f t="array" aca="1" ref="K1502" ca="1">INDIRECT("Data!E" &amp; 1497)</f>
        <v>0</v>
      </c>
      <c r="L1502" cm="1">
        <f t="array" aca="1" ref="L1502" ca="1">INDIRECT("Data!F" &amp; 1497)</f>
        <v>0</v>
      </c>
      <c r="M1502" cm="1">
        <f t="array" aca="1" ref="M1502" ca="1">INDIRECT("Data!G" &amp; 1497)</f>
        <v>0</v>
      </c>
      <c r="N1502" cm="1">
        <f t="array" aca="1" ref="N1502" ca="1">INDIRECT("Data!H" &amp; 1497)</f>
        <v>0</v>
      </c>
      <c r="O1502" cm="1">
        <f t="array" aca="1" ref="O1502" ca="1">INDIRECT("Data!I" &amp; 1497)</f>
        <v>0</v>
      </c>
      <c r="P1502" s="21" cm="1">
        <f t="array" aca="1" ref="P1502" ca="1">INDIRECT("Data!J" &amp; 1497)</f>
        <v>0</v>
      </c>
      <c r="Q1502" cm="1">
        <f t="array" aca="1" ref="Q1502" ca="1">INDIRECT("Data!K" &amp; 1497)</f>
        <v>0</v>
      </c>
      <c r="R1502" cm="1">
        <f t="array" aca="1" ref="R1502" ca="1">INDIRECT("Data!L" &amp; 1497)</f>
        <v>0</v>
      </c>
      <c r="S1502" cm="1">
        <f t="array" aca="1" ref="S1502" ca="1">INDIRECT("Data!M" &amp; 1497)</f>
        <v>0</v>
      </c>
      <c r="T1502" cm="1">
        <f t="array" aca="1" ref="T1502" ca="1">INDIRECT("Data!N" &amp; 1497)</f>
        <v>0</v>
      </c>
      <c r="U1502" cm="1">
        <f t="array" aca="1" ref="U1502" ca="1">INDIRECT("Data!O" &amp; 1497)</f>
        <v>0</v>
      </c>
      <c r="V1502" cm="1">
        <f t="array" aca="1" ref="V1502" ca="1">INDIRECT("Data!P" &amp; 1497)</f>
        <v>0</v>
      </c>
    </row>
    <row r="1503" spans="7:22" x14ac:dyDescent="0.25">
      <c r="G1503" cm="1">
        <f t="array" aca="1" ref="G1503" ca="1">INDIRECT("Data!A" &amp; 1498)</f>
        <v>0</v>
      </c>
      <c r="H1503" s="21" cm="1">
        <f t="array" aca="1" ref="H1503" ca="1">INDIRECT("Data!B" &amp; 1498)</f>
        <v>0</v>
      </c>
      <c r="I1503" s="21" cm="1">
        <f t="array" aca="1" ref="I1503" ca="1">INDIRECT("Data!C" &amp; 1498)</f>
        <v>0</v>
      </c>
      <c r="J1503" cm="1">
        <f t="array" aca="1" ref="J1503" ca="1">INDIRECT("Data!D" &amp; 1498)</f>
        <v>0</v>
      </c>
      <c r="K1503" cm="1">
        <f t="array" aca="1" ref="K1503" ca="1">INDIRECT("Data!E" &amp; 1498)</f>
        <v>0</v>
      </c>
      <c r="L1503" cm="1">
        <f t="array" aca="1" ref="L1503" ca="1">INDIRECT("Data!F" &amp; 1498)</f>
        <v>0</v>
      </c>
      <c r="M1503" cm="1">
        <f t="array" aca="1" ref="M1503" ca="1">INDIRECT("Data!G" &amp; 1498)</f>
        <v>0</v>
      </c>
      <c r="N1503" cm="1">
        <f t="array" aca="1" ref="N1503" ca="1">INDIRECT("Data!H" &amp; 1498)</f>
        <v>0</v>
      </c>
      <c r="O1503" cm="1">
        <f t="array" aca="1" ref="O1503" ca="1">INDIRECT("Data!I" &amp; 1498)</f>
        <v>0</v>
      </c>
      <c r="P1503" s="21" cm="1">
        <f t="array" aca="1" ref="P1503" ca="1">INDIRECT("Data!J" &amp; 1498)</f>
        <v>0</v>
      </c>
      <c r="Q1503" cm="1">
        <f t="array" aca="1" ref="Q1503" ca="1">INDIRECT("Data!K" &amp; 1498)</f>
        <v>0</v>
      </c>
      <c r="R1503" cm="1">
        <f t="array" aca="1" ref="R1503" ca="1">INDIRECT("Data!L" &amp; 1498)</f>
        <v>0</v>
      </c>
      <c r="S1503" cm="1">
        <f t="array" aca="1" ref="S1503" ca="1">INDIRECT("Data!M" &amp; 1498)</f>
        <v>0</v>
      </c>
      <c r="T1503" cm="1">
        <f t="array" aca="1" ref="T1503" ca="1">INDIRECT("Data!N" &amp; 1498)</f>
        <v>0</v>
      </c>
      <c r="U1503" cm="1">
        <f t="array" aca="1" ref="U1503" ca="1">INDIRECT("Data!O" &amp; 1498)</f>
        <v>0</v>
      </c>
      <c r="V1503" cm="1">
        <f t="array" aca="1" ref="V1503" ca="1">INDIRECT("Data!P" &amp; 1498)</f>
        <v>0</v>
      </c>
    </row>
    <row r="1504" spans="7:22" x14ac:dyDescent="0.25">
      <c r="G1504" cm="1">
        <f t="array" aca="1" ref="G1504" ca="1">INDIRECT("Data!A" &amp; 1499)</f>
        <v>0</v>
      </c>
      <c r="H1504" s="21" cm="1">
        <f t="array" aca="1" ref="H1504" ca="1">INDIRECT("Data!B" &amp; 1499)</f>
        <v>0</v>
      </c>
      <c r="I1504" s="21" cm="1">
        <f t="array" aca="1" ref="I1504" ca="1">INDIRECT("Data!C" &amp; 1499)</f>
        <v>0</v>
      </c>
      <c r="J1504" cm="1">
        <f t="array" aca="1" ref="J1504" ca="1">INDIRECT("Data!D" &amp; 1499)</f>
        <v>0</v>
      </c>
      <c r="K1504" cm="1">
        <f t="array" aca="1" ref="K1504" ca="1">INDIRECT("Data!E" &amp; 1499)</f>
        <v>0</v>
      </c>
      <c r="L1504" cm="1">
        <f t="array" aca="1" ref="L1504" ca="1">INDIRECT("Data!F" &amp; 1499)</f>
        <v>0</v>
      </c>
      <c r="M1504" cm="1">
        <f t="array" aca="1" ref="M1504" ca="1">INDIRECT("Data!G" &amp; 1499)</f>
        <v>0</v>
      </c>
      <c r="N1504" cm="1">
        <f t="array" aca="1" ref="N1504" ca="1">INDIRECT("Data!H" &amp; 1499)</f>
        <v>0</v>
      </c>
      <c r="O1504" cm="1">
        <f t="array" aca="1" ref="O1504" ca="1">INDIRECT("Data!I" &amp; 1499)</f>
        <v>0</v>
      </c>
      <c r="P1504" s="21" cm="1">
        <f t="array" aca="1" ref="P1504" ca="1">INDIRECT("Data!J" &amp; 1499)</f>
        <v>0</v>
      </c>
      <c r="Q1504" cm="1">
        <f t="array" aca="1" ref="Q1504" ca="1">INDIRECT("Data!K" &amp; 1499)</f>
        <v>0</v>
      </c>
      <c r="R1504" cm="1">
        <f t="array" aca="1" ref="R1504" ca="1">INDIRECT("Data!L" &amp; 1499)</f>
        <v>0</v>
      </c>
      <c r="S1504" cm="1">
        <f t="array" aca="1" ref="S1504" ca="1">INDIRECT("Data!M" &amp; 1499)</f>
        <v>0</v>
      </c>
      <c r="T1504" cm="1">
        <f t="array" aca="1" ref="T1504" ca="1">INDIRECT("Data!N" &amp; 1499)</f>
        <v>0</v>
      </c>
      <c r="U1504" cm="1">
        <f t="array" aca="1" ref="U1504" ca="1">INDIRECT("Data!O" &amp; 1499)</f>
        <v>0</v>
      </c>
      <c r="V1504" cm="1">
        <f t="array" aca="1" ref="V1504" ca="1">INDIRECT("Data!P" &amp; 1499)</f>
        <v>0</v>
      </c>
    </row>
    <row r="1505" spans="7:22" x14ac:dyDescent="0.25">
      <c r="G1505" cm="1">
        <f t="array" aca="1" ref="G1505" ca="1">INDIRECT("Data!A" &amp; 1500)</f>
        <v>0</v>
      </c>
      <c r="H1505" s="21" cm="1">
        <f t="array" aca="1" ref="H1505" ca="1">INDIRECT("Data!B" &amp; 1500)</f>
        <v>0</v>
      </c>
      <c r="I1505" s="21" cm="1">
        <f t="array" aca="1" ref="I1505" ca="1">INDIRECT("Data!C" &amp; 1500)</f>
        <v>0</v>
      </c>
      <c r="J1505" cm="1">
        <f t="array" aca="1" ref="J1505" ca="1">INDIRECT("Data!D" &amp; 1500)</f>
        <v>0</v>
      </c>
      <c r="K1505" cm="1">
        <f t="array" aca="1" ref="K1505" ca="1">INDIRECT("Data!E" &amp; 1500)</f>
        <v>0</v>
      </c>
      <c r="L1505" cm="1">
        <f t="array" aca="1" ref="L1505" ca="1">INDIRECT("Data!F" &amp; 1500)</f>
        <v>0</v>
      </c>
      <c r="M1505" cm="1">
        <f t="array" aca="1" ref="M1505" ca="1">INDIRECT("Data!G" &amp; 1500)</f>
        <v>0</v>
      </c>
      <c r="N1505" cm="1">
        <f t="array" aca="1" ref="N1505" ca="1">INDIRECT("Data!H" &amp; 1500)</f>
        <v>0</v>
      </c>
      <c r="O1505" cm="1">
        <f t="array" aca="1" ref="O1505" ca="1">INDIRECT("Data!I" &amp; 1500)</f>
        <v>0</v>
      </c>
      <c r="P1505" s="21" cm="1">
        <f t="array" aca="1" ref="P1505" ca="1">INDIRECT("Data!J" &amp; 1500)</f>
        <v>0</v>
      </c>
      <c r="Q1505" cm="1">
        <f t="array" aca="1" ref="Q1505" ca="1">INDIRECT("Data!K" &amp; 1500)</f>
        <v>0</v>
      </c>
      <c r="R1505" cm="1">
        <f t="array" aca="1" ref="R1505" ca="1">INDIRECT("Data!L" &amp; 1500)</f>
        <v>0</v>
      </c>
      <c r="S1505" cm="1">
        <f t="array" aca="1" ref="S1505" ca="1">INDIRECT("Data!M" &amp; 1500)</f>
        <v>0</v>
      </c>
      <c r="T1505" cm="1">
        <f t="array" aca="1" ref="T1505" ca="1">INDIRECT("Data!N" &amp; 1500)</f>
        <v>0</v>
      </c>
      <c r="U1505" cm="1">
        <f t="array" aca="1" ref="U1505" ca="1">INDIRECT("Data!O" &amp; 1500)</f>
        <v>0</v>
      </c>
      <c r="V1505" cm="1">
        <f t="array" aca="1" ref="V1505" ca="1">INDIRECT("Data!P" &amp; 1500)</f>
        <v>0</v>
      </c>
    </row>
    <row r="1506" spans="7:22" x14ac:dyDescent="0.25">
      <c r="G1506" cm="1">
        <f t="array" aca="1" ref="G1506" ca="1">INDIRECT("Data!A" &amp; 1501)</f>
        <v>0</v>
      </c>
      <c r="H1506" s="21" cm="1">
        <f t="array" aca="1" ref="H1506" ca="1">INDIRECT("Data!B" &amp; 1501)</f>
        <v>0</v>
      </c>
      <c r="I1506" s="21" cm="1">
        <f t="array" aca="1" ref="I1506" ca="1">INDIRECT("Data!C" &amp; 1501)</f>
        <v>0</v>
      </c>
      <c r="J1506" cm="1">
        <f t="array" aca="1" ref="J1506" ca="1">INDIRECT("Data!D" &amp; 1501)</f>
        <v>0</v>
      </c>
      <c r="K1506" cm="1">
        <f t="array" aca="1" ref="K1506" ca="1">INDIRECT("Data!E" &amp; 1501)</f>
        <v>0</v>
      </c>
      <c r="L1506" cm="1">
        <f t="array" aca="1" ref="L1506" ca="1">INDIRECT("Data!F" &amp; 1501)</f>
        <v>0</v>
      </c>
      <c r="M1506" cm="1">
        <f t="array" aca="1" ref="M1506" ca="1">INDIRECT("Data!G" &amp; 1501)</f>
        <v>0</v>
      </c>
      <c r="N1506" cm="1">
        <f t="array" aca="1" ref="N1506" ca="1">INDIRECT("Data!H" &amp; 1501)</f>
        <v>0</v>
      </c>
      <c r="O1506" cm="1">
        <f t="array" aca="1" ref="O1506" ca="1">INDIRECT("Data!I" &amp; 1501)</f>
        <v>0</v>
      </c>
      <c r="P1506" s="21" cm="1">
        <f t="array" aca="1" ref="P1506" ca="1">INDIRECT("Data!J" &amp; 1501)</f>
        <v>0</v>
      </c>
      <c r="Q1506" cm="1">
        <f t="array" aca="1" ref="Q1506" ca="1">INDIRECT("Data!K" &amp; 1501)</f>
        <v>0</v>
      </c>
      <c r="R1506" cm="1">
        <f t="array" aca="1" ref="R1506" ca="1">INDIRECT("Data!L" &amp; 1501)</f>
        <v>0</v>
      </c>
      <c r="S1506" cm="1">
        <f t="array" aca="1" ref="S1506" ca="1">INDIRECT("Data!M" &amp; 1501)</f>
        <v>0</v>
      </c>
      <c r="T1506" cm="1">
        <f t="array" aca="1" ref="T1506" ca="1">INDIRECT("Data!N" &amp; 1501)</f>
        <v>0</v>
      </c>
      <c r="U1506" cm="1">
        <f t="array" aca="1" ref="U1506" ca="1">INDIRECT("Data!O" &amp; 1501)</f>
        <v>0</v>
      </c>
      <c r="V1506" cm="1">
        <f t="array" aca="1" ref="V1506" ca="1">INDIRECT("Data!P" &amp; 1501)</f>
        <v>0</v>
      </c>
    </row>
    <row r="1507" spans="7:22" x14ac:dyDescent="0.25">
      <c r="G1507" cm="1">
        <f t="array" aca="1" ref="G1507" ca="1">INDIRECT("Data!A" &amp; 1502)</f>
        <v>0</v>
      </c>
      <c r="H1507" s="21" cm="1">
        <f t="array" aca="1" ref="H1507" ca="1">INDIRECT("Data!B" &amp; 1502)</f>
        <v>0</v>
      </c>
      <c r="I1507" s="21" cm="1">
        <f t="array" aca="1" ref="I1507" ca="1">INDIRECT("Data!C" &amp; 1502)</f>
        <v>0</v>
      </c>
      <c r="J1507" cm="1">
        <f t="array" aca="1" ref="J1507" ca="1">INDIRECT("Data!D" &amp; 1502)</f>
        <v>0</v>
      </c>
      <c r="K1507" cm="1">
        <f t="array" aca="1" ref="K1507" ca="1">INDIRECT("Data!E" &amp; 1502)</f>
        <v>0</v>
      </c>
      <c r="L1507" cm="1">
        <f t="array" aca="1" ref="L1507" ca="1">INDIRECT("Data!F" &amp; 1502)</f>
        <v>0</v>
      </c>
      <c r="M1507" cm="1">
        <f t="array" aca="1" ref="M1507" ca="1">INDIRECT("Data!G" &amp; 1502)</f>
        <v>0</v>
      </c>
      <c r="N1507" cm="1">
        <f t="array" aca="1" ref="N1507" ca="1">INDIRECT("Data!H" &amp; 1502)</f>
        <v>0</v>
      </c>
      <c r="O1507" cm="1">
        <f t="array" aca="1" ref="O1507" ca="1">INDIRECT("Data!I" &amp; 1502)</f>
        <v>0</v>
      </c>
      <c r="P1507" s="21" cm="1">
        <f t="array" aca="1" ref="P1507" ca="1">INDIRECT("Data!J" &amp; 1502)</f>
        <v>0</v>
      </c>
      <c r="Q1507" cm="1">
        <f t="array" aca="1" ref="Q1507" ca="1">INDIRECT("Data!K" &amp; 1502)</f>
        <v>0</v>
      </c>
      <c r="R1507" cm="1">
        <f t="array" aca="1" ref="R1507" ca="1">INDIRECT("Data!L" &amp; 1502)</f>
        <v>0</v>
      </c>
      <c r="S1507" cm="1">
        <f t="array" aca="1" ref="S1507" ca="1">INDIRECT("Data!M" &amp; 1502)</f>
        <v>0</v>
      </c>
      <c r="T1507" cm="1">
        <f t="array" aca="1" ref="T1507" ca="1">INDIRECT("Data!N" &amp; 1502)</f>
        <v>0</v>
      </c>
      <c r="U1507" cm="1">
        <f t="array" aca="1" ref="U1507" ca="1">INDIRECT("Data!O" &amp; 1502)</f>
        <v>0</v>
      </c>
      <c r="V1507" cm="1">
        <f t="array" aca="1" ref="V1507" ca="1">INDIRECT("Data!P" &amp; 1502)</f>
        <v>0</v>
      </c>
    </row>
    <row r="1508" spans="7:22" x14ac:dyDescent="0.25">
      <c r="G1508" cm="1">
        <f t="array" aca="1" ref="G1508" ca="1">INDIRECT("Data!A" &amp; 1503)</f>
        <v>0</v>
      </c>
      <c r="H1508" s="21" cm="1">
        <f t="array" aca="1" ref="H1508" ca="1">INDIRECT("Data!B" &amp; 1503)</f>
        <v>0</v>
      </c>
      <c r="I1508" s="21" cm="1">
        <f t="array" aca="1" ref="I1508" ca="1">INDIRECT("Data!C" &amp; 1503)</f>
        <v>0</v>
      </c>
      <c r="J1508" cm="1">
        <f t="array" aca="1" ref="J1508" ca="1">INDIRECT("Data!D" &amp; 1503)</f>
        <v>0</v>
      </c>
      <c r="K1508" cm="1">
        <f t="array" aca="1" ref="K1508" ca="1">INDIRECT("Data!E" &amp; 1503)</f>
        <v>0</v>
      </c>
      <c r="L1508" cm="1">
        <f t="array" aca="1" ref="L1508" ca="1">INDIRECT("Data!F" &amp; 1503)</f>
        <v>0</v>
      </c>
      <c r="M1508" cm="1">
        <f t="array" aca="1" ref="M1508" ca="1">INDIRECT("Data!G" &amp; 1503)</f>
        <v>0</v>
      </c>
      <c r="N1508" cm="1">
        <f t="array" aca="1" ref="N1508" ca="1">INDIRECT("Data!H" &amp; 1503)</f>
        <v>0</v>
      </c>
      <c r="O1508" cm="1">
        <f t="array" aca="1" ref="O1508" ca="1">INDIRECT("Data!I" &amp; 1503)</f>
        <v>0</v>
      </c>
      <c r="P1508" s="21" cm="1">
        <f t="array" aca="1" ref="P1508" ca="1">INDIRECT("Data!J" &amp; 1503)</f>
        <v>0</v>
      </c>
      <c r="Q1508" cm="1">
        <f t="array" aca="1" ref="Q1508" ca="1">INDIRECT("Data!K" &amp; 1503)</f>
        <v>0</v>
      </c>
      <c r="R1508" cm="1">
        <f t="array" aca="1" ref="R1508" ca="1">INDIRECT("Data!L" &amp; 1503)</f>
        <v>0</v>
      </c>
      <c r="S1508" cm="1">
        <f t="array" aca="1" ref="S1508" ca="1">INDIRECT("Data!M" &amp; 1503)</f>
        <v>0</v>
      </c>
      <c r="T1508" cm="1">
        <f t="array" aca="1" ref="T1508" ca="1">INDIRECT("Data!N" &amp; 1503)</f>
        <v>0</v>
      </c>
      <c r="U1508" cm="1">
        <f t="array" aca="1" ref="U1508" ca="1">INDIRECT("Data!O" &amp; 1503)</f>
        <v>0</v>
      </c>
      <c r="V1508" cm="1">
        <f t="array" aca="1" ref="V1508" ca="1">INDIRECT("Data!P" &amp; 1503)</f>
        <v>0</v>
      </c>
    </row>
    <row r="1509" spans="7:22" x14ac:dyDescent="0.25">
      <c r="G1509" cm="1">
        <f t="array" aca="1" ref="G1509" ca="1">INDIRECT("Data!A" &amp; 1504)</f>
        <v>0</v>
      </c>
      <c r="H1509" s="21" cm="1">
        <f t="array" aca="1" ref="H1509" ca="1">INDIRECT("Data!B" &amp; 1504)</f>
        <v>0</v>
      </c>
      <c r="I1509" s="21" cm="1">
        <f t="array" aca="1" ref="I1509" ca="1">INDIRECT("Data!C" &amp; 1504)</f>
        <v>0</v>
      </c>
      <c r="J1509" cm="1">
        <f t="array" aca="1" ref="J1509" ca="1">INDIRECT("Data!D" &amp; 1504)</f>
        <v>0</v>
      </c>
      <c r="K1509" cm="1">
        <f t="array" aca="1" ref="K1509" ca="1">INDIRECT("Data!E" &amp; 1504)</f>
        <v>0</v>
      </c>
      <c r="L1509" cm="1">
        <f t="array" aca="1" ref="L1509" ca="1">INDIRECT("Data!F" &amp; 1504)</f>
        <v>0</v>
      </c>
      <c r="M1509" cm="1">
        <f t="array" aca="1" ref="M1509" ca="1">INDIRECT("Data!G" &amp; 1504)</f>
        <v>0</v>
      </c>
      <c r="N1509" cm="1">
        <f t="array" aca="1" ref="N1509" ca="1">INDIRECT("Data!H" &amp; 1504)</f>
        <v>0</v>
      </c>
      <c r="O1509" cm="1">
        <f t="array" aca="1" ref="O1509" ca="1">INDIRECT("Data!I" &amp; 1504)</f>
        <v>0</v>
      </c>
      <c r="P1509" s="21" cm="1">
        <f t="array" aca="1" ref="P1509" ca="1">INDIRECT("Data!J" &amp; 1504)</f>
        <v>0</v>
      </c>
      <c r="Q1509" cm="1">
        <f t="array" aca="1" ref="Q1509" ca="1">INDIRECT("Data!K" &amp; 1504)</f>
        <v>0</v>
      </c>
      <c r="R1509" cm="1">
        <f t="array" aca="1" ref="R1509" ca="1">INDIRECT("Data!L" &amp; 1504)</f>
        <v>0</v>
      </c>
      <c r="S1509" cm="1">
        <f t="array" aca="1" ref="S1509" ca="1">INDIRECT("Data!M" &amp; 1504)</f>
        <v>0</v>
      </c>
      <c r="T1509" cm="1">
        <f t="array" aca="1" ref="T1509" ca="1">INDIRECT("Data!N" &amp; 1504)</f>
        <v>0</v>
      </c>
      <c r="U1509" cm="1">
        <f t="array" aca="1" ref="U1509" ca="1">INDIRECT("Data!O" &amp; 1504)</f>
        <v>0</v>
      </c>
      <c r="V1509" cm="1">
        <f t="array" aca="1" ref="V1509" ca="1">INDIRECT("Data!P" &amp; 1504)</f>
        <v>0</v>
      </c>
    </row>
    <row r="1510" spans="7:22" x14ac:dyDescent="0.25">
      <c r="G1510" cm="1">
        <f t="array" aca="1" ref="G1510" ca="1">INDIRECT("Data!A" &amp; 1505)</f>
        <v>0</v>
      </c>
      <c r="H1510" s="21" cm="1">
        <f t="array" aca="1" ref="H1510" ca="1">INDIRECT("Data!B" &amp; 1505)</f>
        <v>0</v>
      </c>
      <c r="I1510" s="21" cm="1">
        <f t="array" aca="1" ref="I1510" ca="1">INDIRECT("Data!C" &amp; 1505)</f>
        <v>0</v>
      </c>
      <c r="J1510" cm="1">
        <f t="array" aca="1" ref="J1510" ca="1">INDIRECT("Data!D" &amp; 1505)</f>
        <v>0</v>
      </c>
      <c r="K1510" cm="1">
        <f t="array" aca="1" ref="K1510" ca="1">INDIRECT("Data!E" &amp; 1505)</f>
        <v>0</v>
      </c>
      <c r="L1510" cm="1">
        <f t="array" aca="1" ref="L1510" ca="1">INDIRECT("Data!F" &amp; 1505)</f>
        <v>0</v>
      </c>
      <c r="M1510" cm="1">
        <f t="array" aca="1" ref="M1510" ca="1">INDIRECT("Data!G" &amp; 1505)</f>
        <v>0</v>
      </c>
      <c r="N1510" cm="1">
        <f t="array" aca="1" ref="N1510" ca="1">INDIRECT("Data!H" &amp; 1505)</f>
        <v>0</v>
      </c>
      <c r="O1510" cm="1">
        <f t="array" aca="1" ref="O1510" ca="1">INDIRECT("Data!I" &amp; 1505)</f>
        <v>0</v>
      </c>
      <c r="P1510" s="21" cm="1">
        <f t="array" aca="1" ref="P1510" ca="1">INDIRECT("Data!J" &amp; 1505)</f>
        <v>0</v>
      </c>
      <c r="Q1510" cm="1">
        <f t="array" aca="1" ref="Q1510" ca="1">INDIRECT("Data!K" &amp; 1505)</f>
        <v>0</v>
      </c>
      <c r="R1510" cm="1">
        <f t="array" aca="1" ref="R1510" ca="1">INDIRECT("Data!L" &amp; 1505)</f>
        <v>0</v>
      </c>
      <c r="S1510" cm="1">
        <f t="array" aca="1" ref="S1510" ca="1">INDIRECT("Data!M" &amp; 1505)</f>
        <v>0</v>
      </c>
      <c r="T1510" cm="1">
        <f t="array" aca="1" ref="T1510" ca="1">INDIRECT("Data!N" &amp; 1505)</f>
        <v>0</v>
      </c>
      <c r="U1510" cm="1">
        <f t="array" aca="1" ref="U1510" ca="1">INDIRECT("Data!O" &amp; 1505)</f>
        <v>0</v>
      </c>
      <c r="V1510" cm="1">
        <f t="array" aca="1" ref="V1510" ca="1">INDIRECT("Data!P" &amp; 1505)</f>
        <v>0</v>
      </c>
    </row>
    <row r="1511" spans="7:22" x14ac:dyDescent="0.25">
      <c r="G1511" cm="1">
        <f t="array" aca="1" ref="G1511" ca="1">INDIRECT("Data!A" &amp; 1506)</f>
        <v>0</v>
      </c>
      <c r="H1511" s="21" cm="1">
        <f t="array" aca="1" ref="H1511" ca="1">INDIRECT("Data!B" &amp; 1506)</f>
        <v>0</v>
      </c>
      <c r="I1511" s="21" cm="1">
        <f t="array" aca="1" ref="I1511" ca="1">INDIRECT("Data!C" &amp; 1506)</f>
        <v>0</v>
      </c>
      <c r="J1511" cm="1">
        <f t="array" aca="1" ref="J1511" ca="1">INDIRECT("Data!D" &amp; 1506)</f>
        <v>0</v>
      </c>
      <c r="K1511" cm="1">
        <f t="array" aca="1" ref="K1511" ca="1">INDIRECT("Data!E" &amp; 1506)</f>
        <v>0</v>
      </c>
      <c r="L1511" cm="1">
        <f t="array" aca="1" ref="L1511" ca="1">INDIRECT("Data!F" &amp; 1506)</f>
        <v>0</v>
      </c>
      <c r="M1511" cm="1">
        <f t="array" aca="1" ref="M1511" ca="1">INDIRECT("Data!G" &amp; 1506)</f>
        <v>0</v>
      </c>
      <c r="N1511" cm="1">
        <f t="array" aca="1" ref="N1511" ca="1">INDIRECT("Data!H" &amp; 1506)</f>
        <v>0</v>
      </c>
      <c r="O1511" cm="1">
        <f t="array" aca="1" ref="O1511" ca="1">INDIRECT("Data!I" &amp; 1506)</f>
        <v>0</v>
      </c>
      <c r="P1511" s="21" cm="1">
        <f t="array" aca="1" ref="P1511" ca="1">INDIRECT("Data!J" &amp; 1506)</f>
        <v>0</v>
      </c>
      <c r="Q1511" cm="1">
        <f t="array" aca="1" ref="Q1511" ca="1">INDIRECT("Data!K" &amp; 1506)</f>
        <v>0</v>
      </c>
      <c r="R1511" cm="1">
        <f t="array" aca="1" ref="R1511" ca="1">INDIRECT("Data!L" &amp; 1506)</f>
        <v>0</v>
      </c>
      <c r="S1511" cm="1">
        <f t="array" aca="1" ref="S1511" ca="1">INDIRECT("Data!M" &amp; 1506)</f>
        <v>0</v>
      </c>
      <c r="T1511" cm="1">
        <f t="array" aca="1" ref="T1511" ca="1">INDIRECT("Data!N" &amp; 1506)</f>
        <v>0</v>
      </c>
      <c r="U1511" cm="1">
        <f t="array" aca="1" ref="U1511" ca="1">INDIRECT("Data!O" &amp; 1506)</f>
        <v>0</v>
      </c>
      <c r="V1511" cm="1">
        <f t="array" aca="1" ref="V1511" ca="1">INDIRECT("Data!P" &amp; 1506)</f>
        <v>0</v>
      </c>
    </row>
    <row r="1512" spans="7:22" x14ac:dyDescent="0.25">
      <c r="G1512" cm="1">
        <f t="array" aca="1" ref="G1512" ca="1">INDIRECT("Data!A" &amp; 1507)</f>
        <v>0</v>
      </c>
      <c r="H1512" s="21" cm="1">
        <f t="array" aca="1" ref="H1512" ca="1">INDIRECT("Data!B" &amp; 1507)</f>
        <v>0</v>
      </c>
      <c r="I1512" s="21" cm="1">
        <f t="array" aca="1" ref="I1512" ca="1">INDIRECT("Data!C" &amp; 1507)</f>
        <v>0</v>
      </c>
      <c r="J1512" cm="1">
        <f t="array" aca="1" ref="J1512" ca="1">INDIRECT("Data!D" &amp; 1507)</f>
        <v>0</v>
      </c>
      <c r="K1512" cm="1">
        <f t="array" aca="1" ref="K1512" ca="1">INDIRECT("Data!E" &amp; 1507)</f>
        <v>0</v>
      </c>
      <c r="L1512" cm="1">
        <f t="array" aca="1" ref="L1512" ca="1">INDIRECT("Data!F" &amp; 1507)</f>
        <v>0</v>
      </c>
      <c r="M1512" cm="1">
        <f t="array" aca="1" ref="M1512" ca="1">INDIRECT("Data!G" &amp; 1507)</f>
        <v>0</v>
      </c>
      <c r="N1512" cm="1">
        <f t="array" aca="1" ref="N1512" ca="1">INDIRECT("Data!H" &amp; 1507)</f>
        <v>0</v>
      </c>
      <c r="O1512" cm="1">
        <f t="array" aca="1" ref="O1512" ca="1">INDIRECT("Data!I" &amp; 1507)</f>
        <v>0</v>
      </c>
      <c r="P1512" s="21" cm="1">
        <f t="array" aca="1" ref="P1512" ca="1">INDIRECT("Data!J" &amp; 1507)</f>
        <v>0</v>
      </c>
      <c r="Q1512" cm="1">
        <f t="array" aca="1" ref="Q1512" ca="1">INDIRECT("Data!K" &amp; 1507)</f>
        <v>0</v>
      </c>
      <c r="R1512" cm="1">
        <f t="array" aca="1" ref="R1512" ca="1">INDIRECT("Data!L" &amp; 1507)</f>
        <v>0</v>
      </c>
      <c r="S1512" cm="1">
        <f t="array" aca="1" ref="S1512" ca="1">INDIRECT("Data!M" &amp; 1507)</f>
        <v>0</v>
      </c>
      <c r="T1512" cm="1">
        <f t="array" aca="1" ref="T1512" ca="1">INDIRECT("Data!N" &amp; 1507)</f>
        <v>0</v>
      </c>
      <c r="U1512" cm="1">
        <f t="array" aca="1" ref="U1512" ca="1">INDIRECT("Data!O" &amp; 1507)</f>
        <v>0</v>
      </c>
      <c r="V1512" cm="1">
        <f t="array" aca="1" ref="V1512" ca="1">INDIRECT("Data!P" &amp; 1507)</f>
        <v>0</v>
      </c>
    </row>
    <row r="1513" spans="7:22" x14ac:dyDescent="0.25">
      <c r="G1513" cm="1">
        <f t="array" aca="1" ref="G1513" ca="1">INDIRECT("Data!A" &amp; 1508)</f>
        <v>0</v>
      </c>
      <c r="H1513" s="21" cm="1">
        <f t="array" aca="1" ref="H1513" ca="1">INDIRECT("Data!B" &amp; 1508)</f>
        <v>0</v>
      </c>
      <c r="I1513" s="21" cm="1">
        <f t="array" aca="1" ref="I1513" ca="1">INDIRECT("Data!C" &amp; 1508)</f>
        <v>0</v>
      </c>
      <c r="J1513" cm="1">
        <f t="array" aca="1" ref="J1513" ca="1">INDIRECT("Data!D" &amp; 1508)</f>
        <v>0</v>
      </c>
      <c r="K1513" cm="1">
        <f t="array" aca="1" ref="K1513" ca="1">INDIRECT("Data!E" &amp; 1508)</f>
        <v>0</v>
      </c>
      <c r="L1513" cm="1">
        <f t="array" aca="1" ref="L1513" ca="1">INDIRECT("Data!F" &amp; 1508)</f>
        <v>0</v>
      </c>
      <c r="M1513" cm="1">
        <f t="array" aca="1" ref="M1513" ca="1">INDIRECT("Data!G" &amp; 1508)</f>
        <v>0</v>
      </c>
      <c r="N1513" cm="1">
        <f t="array" aca="1" ref="N1513" ca="1">INDIRECT("Data!H" &amp; 1508)</f>
        <v>0</v>
      </c>
      <c r="O1513" cm="1">
        <f t="array" aca="1" ref="O1513" ca="1">INDIRECT("Data!I" &amp; 1508)</f>
        <v>0</v>
      </c>
      <c r="P1513" s="21" cm="1">
        <f t="array" aca="1" ref="P1513" ca="1">INDIRECT("Data!J" &amp; 1508)</f>
        <v>0</v>
      </c>
      <c r="Q1513" cm="1">
        <f t="array" aca="1" ref="Q1513" ca="1">INDIRECT("Data!K" &amp; 1508)</f>
        <v>0</v>
      </c>
      <c r="R1513" cm="1">
        <f t="array" aca="1" ref="R1513" ca="1">INDIRECT("Data!L" &amp; 1508)</f>
        <v>0</v>
      </c>
      <c r="S1513" cm="1">
        <f t="array" aca="1" ref="S1513" ca="1">INDIRECT("Data!M" &amp; 1508)</f>
        <v>0</v>
      </c>
      <c r="T1513" cm="1">
        <f t="array" aca="1" ref="T1513" ca="1">INDIRECT("Data!N" &amp; 1508)</f>
        <v>0</v>
      </c>
      <c r="U1513" cm="1">
        <f t="array" aca="1" ref="U1513" ca="1">INDIRECT("Data!O" &amp; 1508)</f>
        <v>0</v>
      </c>
      <c r="V1513" cm="1">
        <f t="array" aca="1" ref="V1513" ca="1">INDIRECT("Data!P" &amp; 1508)</f>
        <v>0</v>
      </c>
    </row>
    <row r="1514" spans="7:22" x14ac:dyDescent="0.25">
      <c r="G1514" cm="1">
        <f t="array" aca="1" ref="G1514" ca="1">INDIRECT("Data!A" &amp; 1509)</f>
        <v>0</v>
      </c>
      <c r="H1514" s="21" cm="1">
        <f t="array" aca="1" ref="H1514" ca="1">INDIRECT("Data!B" &amp; 1509)</f>
        <v>0</v>
      </c>
      <c r="I1514" s="21" cm="1">
        <f t="array" aca="1" ref="I1514" ca="1">INDIRECT("Data!C" &amp; 1509)</f>
        <v>0</v>
      </c>
      <c r="J1514" cm="1">
        <f t="array" aca="1" ref="J1514" ca="1">INDIRECT("Data!D" &amp; 1509)</f>
        <v>0</v>
      </c>
      <c r="K1514" cm="1">
        <f t="array" aca="1" ref="K1514" ca="1">INDIRECT("Data!E" &amp; 1509)</f>
        <v>0</v>
      </c>
      <c r="L1514" cm="1">
        <f t="array" aca="1" ref="L1514" ca="1">INDIRECT("Data!F" &amp; 1509)</f>
        <v>0</v>
      </c>
      <c r="M1514" cm="1">
        <f t="array" aca="1" ref="M1514" ca="1">INDIRECT("Data!G" &amp; 1509)</f>
        <v>0</v>
      </c>
      <c r="N1514" cm="1">
        <f t="array" aca="1" ref="N1514" ca="1">INDIRECT("Data!H" &amp; 1509)</f>
        <v>0</v>
      </c>
      <c r="O1514" cm="1">
        <f t="array" aca="1" ref="O1514" ca="1">INDIRECT("Data!I" &amp; 1509)</f>
        <v>0</v>
      </c>
      <c r="P1514" s="21" cm="1">
        <f t="array" aca="1" ref="P1514" ca="1">INDIRECT("Data!J" &amp; 1509)</f>
        <v>0</v>
      </c>
      <c r="Q1514" cm="1">
        <f t="array" aca="1" ref="Q1514" ca="1">INDIRECT("Data!K" &amp; 1509)</f>
        <v>0</v>
      </c>
      <c r="R1514" cm="1">
        <f t="array" aca="1" ref="R1514" ca="1">INDIRECT("Data!L" &amp; 1509)</f>
        <v>0</v>
      </c>
      <c r="S1514" cm="1">
        <f t="array" aca="1" ref="S1514" ca="1">INDIRECT("Data!M" &amp; 1509)</f>
        <v>0</v>
      </c>
      <c r="T1514" cm="1">
        <f t="array" aca="1" ref="T1514" ca="1">INDIRECT("Data!N" &amp; 1509)</f>
        <v>0</v>
      </c>
      <c r="U1514" cm="1">
        <f t="array" aca="1" ref="U1514" ca="1">INDIRECT("Data!O" &amp; 1509)</f>
        <v>0</v>
      </c>
      <c r="V1514" cm="1">
        <f t="array" aca="1" ref="V1514" ca="1">INDIRECT("Data!P" &amp; 1509)</f>
        <v>0</v>
      </c>
    </row>
    <row r="1515" spans="7:22" x14ac:dyDescent="0.25">
      <c r="G1515" cm="1">
        <f t="array" aca="1" ref="G1515" ca="1">INDIRECT("Data!A" &amp; 1510)</f>
        <v>0</v>
      </c>
      <c r="H1515" s="21" cm="1">
        <f t="array" aca="1" ref="H1515" ca="1">INDIRECT("Data!B" &amp; 1510)</f>
        <v>0</v>
      </c>
      <c r="I1515" s="21" cm="1">
        <f t="array" aca="1" ref="I1515" ca="1">INDIRECT("Data!C" &amp; 1510)</f>
        <v>0</v>
      </c>
      <c r="J1515" cm="1">
        <f t="array" aca="1" ref="J1515" ca="1">INDIRECT("Data!D" &amp; 1510)</f>
        <v>0</v>
      </c>
      <c r="K1515" cm="1">
        <f t="array" aca="1" ref="K1515" ca="1">INDIRECT("Data!E" &amp; 1510)</f>
        <v>0</v>
      </c>
      <c r="L1515" cm="1">
        <f t="array" aca="1" ref="L1515" ca="1">INDIRECT("Data!F" &amp; 1510)</f>
        <v>0</v>
      </c>
      <c r="M1515" cm="1">
        <f t="array" aca="1" ref="M1515" ca="1">INDIRECT("Data!G" &amp; 1510)</f>
        <v>0</v>
      </c>
      <c r="N1515" cm="1">
        <f t="array" aca="1" ref="N1515" ca="1">INDIRECT("Data!H" &amp; 1510)</f>
        <v>0</v>
      </c>
      <c r="O1515" cm="1">
        <f t="array" aca="1" ref="O1515" ca="1">INDIRECT("Data!I" &amp; 1510)</f>
        <v>0</v>
      </c>
      <c r="P1515" s="21" cm="1">
        <f t="array" aca="1" ref="P1515" ca="1">INDIRECT("Data!J" &amp; 1510)</f>
        <v>0</v>
      </c>
      <c r="Q1515" cm="1">
        <f t="array" aca="1" ref="Q1515" ca="1">INDIRECT("Data!K" &amp; 1510)</f>
        <v>0</v>
      </c>
      <c r="R1515" cm="1">
        <f t="array" aca="1" ref="R1515" ca="1">INDIRECT("Data!L" &amp; 1510)</f>
        <v>0</v>
      </c>
      <c r="S1515" cm="1">
        <f t="array" aca="1" ref="S1515" ca="1">INDIRECT("Data!M" &amp; 1510)</f>
        <v>0</v>
      </c>
      <c r="T1515" cm="1">
        <f t="array" aca="1" ref="T1515" ca="1">INDIRECT("Data!N" &amp; 1510)</f>
        <v>0</v>
      </c>
      <c r="U1515" cm="1">
        <f t="array" aca="1" ref="U1515" ca="1">INDIRECT("Data!O" &amp; 1510)</f>
        <v>0</v>
      </c>
      <c r="V1515" cm="1">
        <f t="array" aca="1" ref="V1515" ca="1">INDIRECT("Data!P" &amp; 1510)</f>
        <v>0</v>
      </c>
    </row>
    <row r="1516" spans="7:22" x14ac:dyDescent="0.25">
      <c r="G1516" cm="1">
        <f t="array" aca="1" ref="G1516" ca="1">INDIRECT("Data!A" &amp; 1511)</f>
        <v>0</v>
      </c>
      <c r="H1516" s="21" cm="1">
        <f t="array" aca="1" ref="H1516" ca="1">INDIRECT("Data!B" &amp; 1511)</f>
        <v>0</v>
      </c>
      <c r="I1516" s="21" cm="1">
        <f t="array" aca="1" ref="I1516" ca="1">INDIRECT("Data!C" &amp; 1511)</f>
        <v>0</v>
      </c>
      <c r="J1516" cm="1">
        <f t="array" aca="1" ref="J1516" ca="1">INDIRECT("Data!D" &amp; 1511)</f>
        <v>0</v>
      </c>
      <c r="K1516" cm="1">
        <f t="array" aca="1" ref="K1516" ca="1">INDIRECT("Data!E" &amp; 1511)</f>
        <v>0</v>
      </c>
      <c r="L1516" cm="1">
        <f t="array" aca="1" ref="L1516" ca="1">INDIRECT("Data!F" &amp; 1511)</f>
        <v>0</v>
      </c>
      <c r="M1516" cm="1">
        <f t="array" aca="1" ref="M1516" ca="1">INDIRECT("Data!G" &amp; 1511)</f>
        <v>0</v>
      </c>
      <c r="N1516" cm="1">
        <f t="array" aca="1" ref="N1516" ca="1">INDIRECT("Data!H" &amp; 1511)</f>
        <v>0</v>
      </c>
      <c r="O1516" cm="1">
        <f t="array" aca="1" ref="O1516" ca="1">INDIRECT("Data!I" &amp; 1511)</f>
        <v>0</v>
      </c>
      <c r="P1516" s="21" cm="1">
        <f t="array" aca="1" ref="P1516" ca="1">INDIRECT("Data!J" &amp; 1511)</f>
        <v>0</v>
      </c>
      <c r="Q1516" cm="1">
        <f t="array" aca="1" ref="Q1516" ca="1">INDIRECT("Data!K" &amp; 1511)</f>
        <v>0</v>
      </c>
      <c r="R1516" cm="1">
        <f t="array" aca="1" ref="R1516" ca="1">INDIRECT("Data!L" &amp; 1511)</f>
        <v>0</v>
      </c>
      <c r="S1516" cm="1">
        <f t="array" aca="1" ref="S1516" ca="1">INDIRECT("Data!M" &amp; 1511)</f>
        <v>0</v>
      </c>
      <c r="T1516" cm="1">
        <f t="array" aca="1" ref="T1516" ca="1">INDIRECT("Data!N" &amp; 1511)</f>
        <v>0</v>
      </c>
      <c r="U1516" cm="1">
        <f t="array" aca="1" ref="U1516" ca="1">INDIRECT("Data!O" &amp; 1511)</f>
        <v>0</v>
      </c>
      <c r="V1516" cm="1">
        <f t="array" aca="1" ref="V1516" ca="1">INDIRECT("Data!P" &amp; 1511)</f>
        <v>0</v>
      </c>
    </row>
    <row r="1517" spans="7:22" x14ac:dyDescent="0.25">
      <c r="G1517" cm="1">
        <f t="array" aca="1" ref="G1517" ca="1">INDIRECT("Data!A" &amp; 1512)</f>
        <v>0</v>
      </c>
      <c r="H1517" s="21" cm="1">
        <f t="array" aca="1" ref="H1517" ca="1">INDIRECT("Data!B" &amp; 1512)</f>
        <v>0</v>
      </c>
      <c r="I1517" s="21" cm="1">
        <f t="array" aca="1" ref="I1517" ca="1">INDIRECT("Data!C" &amp; 1512)</f>
        <v>0</v>
      </c>
      <c r="J1517" cm="1">
        <f t="array" aca="1" ref="J1517" ca="1">INDIRECT("Data!D" &amp; 1512)</f>
        <v>0</v>
      </c>
      <c r="K1517" cm="1">
        <f t="array" aca="1" ref="K1517" ca="1">INDIRECT("Data!E" &amp; 1512)</f>
        <v>0</v>
      </c>
      <c r="L1517" cm="1">
        <f t="array" aca="1" ref="L1517" ca="1">INDIRECT("Data!F" &amp; 1512)</f>
        <v>0</v>
      </c>
      <c r="M1517" cm="1">
        <f t="array" aca="1" ref="M1517" ca="1">INDIRECT("Data!G" &amp; 1512)</f>
        <v>0</v>
      </c>
      <c r="N1517" cm="1">
        <f t="array" aca="1" ref="N1517" ca="1">INDIRECT("Data!H" &amp; 1512)</f>
        <v>0</v>
      </c>
      <c r="O1517" cm="1">
        <f t="array" aca="1" ref="O1517" ca="1">INDIRECT("Data!I" &amp; 1512)</f>
        <v>0</v>
      </c>
      <c r="P1517" s="21" cm="1">
        <f t="array" aca="1" ref="P1517" ca="1">INDIRECT("Data!J" &amp; 1512)</f>
        <v>0</v>
      </c>
      <c r="Q1517" cm="1">
        <f t="array" aca="1" ref="Q1517" ca="1">INDIRECT("Data!K" &amp; 1512)</f>
        <v>0</v>
      </c>
      <c r="R1517" cm="1">
        <f t="array" aca="1" ref="R1517" ca="1">INDIRECT("Data!L" &amp; 1512)</f>
        <v>0</v>
      </c>
      <c r="S1517" cm="1">
        <f t="array" aca="1" ref="S1517" ca="1">INDIRECT("Data!M" &amp; 1512)</f>
        <v>0</v>
      </c>
      <c r="T1517" cm="1">
        <f t="array" aca="1" ref="T1517" ca="1">INDIRECT("Data!N" &amp; 1512)</f>
        <v>0</v>
      </c>
      <c r="U1517" cm="1">
        <f t="array" aca="1" ref="U1517" ca="1">INDIRECT("Data!O" &amp; 1512)</f>
        <v>0</v>
      </c>
      <c r="V1517" cm="1">
        <f t="array" aca="1" ref="V1517" ca="1">INDIRECT("Data!P" &amp; 1512)</f>
        <v>0</v>
      </c>
    </row>
    <row r="1518" spans="7:22" x14ac:dyDescent="0.25">
      <c r="G1518" cm="1">
        <f t="array" aca="1" ref="G1518" ca="1">INDIRECT("Data!A" &amp; 1513)</f>
        <v>0</v>
      </c>
      <c r="H1518" s="21" cm="1">
        <f t="array" aca="1" ref="H1518" ca="1">INDIRECT("Data!B" &amp; 1513)</f>
        <v>0</v>
      </c>
      <c r="I1518" s="21" cm="1">
        <f t="array" aca="1" ref="I1518" ca="1">INDIRECT("Data!C" &amp; 1513)</f>
        <v>0</v>
      </c>
      <c r="J1518" cm="1">
        <f t="array" aca="1" ref="J1518" ca="1">INDIRECT("Data!D" &amp; 1513)</f>
        <v>0</v>
      </c>
      <c r="K1518" cm="1">
        <f t="array" aca="1" ref="K1518" ca="1">INDIRECT("Data!E" &amp; 1513)</f>
        <v>0</v>
      </c>
      <c r="L1518" cm="1">
        <f t="array" aca="1" ref="L1518" ca="1">INDIRECT("Data!F" &amp; 1513)</f>
        <v>0</v>
      </c>
      <c r="M1518" cm="1">
        <f t="array" aca="1" ref="M1518" ca="1">INDIRECT("Data!G" &amp; 1513)</f>
        <v>0</v>
      </c>
      <c r="N1518" cm="1">
        <f t="array" aca="1" ref="N1518" ca="1">INDIRECT("Data!H" &amp; 1513)</f>
        <v>0</v>
      </c>
      <c r="O1518" cm="1">
        <f t="array" aca="1" ref="O1518" ca="1">INDIRECT("Data!I" &amp; 1513)</f>
        <v>0</v>
      </c>
      <c r="P1518" s="21" cm="1">
        <f t="array" aca="1" ref="P1518" ca="1">INDIRECT("Data!J" &amp; 1513)</f>
        <v>0</v>
      </c>
      <c r="Q1518" cm="1">
        <f t="array" aca="1" ref="Q1518" ca="1">INDIRECT("Data!K" &amp; 1513)</f>
        <v>0</v>
      </c>
      <c r="R1518" cm="1">
        <f t="array" aca="1" ref="R1518" ca="1">INDIRECT("Data!L" &amp; 1513)</f>
        <v>0</v>
      </c>
      <c r="S1518" cm="1">
        <f t="array" aca="1" ref="S1518" ca="1">INDIRECT("Data!M" &amp; 1513)</f>
        <v>0</v>
      </c>
      <c r="T1518" cm="1">
        <f t="array" aca="1" ref="T1518" ca="1">INDIRECT("Data!N" &amp; 1513)</f>
        <v>0</v>
      </c>
      <c r="U1518" cm="1">
        <f t="array" aca="1" ref="U1518" ca="1">INDIRECT("Data!O" &amp; 1513)</f>
        <v>0</v>
      </c>
      <c r="V1518" cm="1">
        <f t="array" aca="1" ref="V1518" ca="1">INDIRECT("Data!P" &amp; 1513)</f>
        <v>0</v>
      </c>
    </row>
    <row r="1519" spans="7:22" x14ac:dyDescent="0.25">
      <c r="G1519" cm="1">
        <f t="array" aca="1" ref="G1519" ca="1">INDIRECT("Data!A" &amp; 1514)</f>
        <v>0</v>
      </c>
      <c r="H1519" s="21" cm="1">
        <f t="array" aca="1" ref="H1519" ca="1">INDIRECT("Data!B" &amp; 1514)</f>
        <v>0</v>
      </c>
      <c r="I1519" s="21" cm="1">
        <f t="array" aca="1" ref="I1519" ca="1">INDIRECT("Data!C" &amp; 1514)</f>
        <v>0</v>
      </c>
      <c r="J1519" cm="1">
        <f t="array" aca="1" ref="J1519" ca="1">INDIRECT("Data!D" &amp; 1514)</f>
        <v>0</v>
      </c>
      <c r="K1519" cm="1">
        <f t="array" aca="1" ref="K1519" ca="1">INDIRECT("Data!E" &amp; 1514)</f>
        <v>0</v>
      </c>
      <c r="L1519" cm="1">
        <f t="array" aca="1" ref="L1519" ca="1">INDIRECT("Data!F" &amp; 1514)</f>
        <v>0</v>
      </c>
      <c r="M1519" cm="1">
        <f t="array" aca="1" ref="M1519" ca="1">INDIRECT("Data!G" &amp; 1514)</f>
        <v>0</v>
      </c>
      <c r="N1519" cm="1">
        <f t="array" aca="1" ref="N1519" ca="1">INDIRECT("Data!H" &amp; 1514)</f>
        <v>0</v>
      </c>
      <c r="O1519" cm="1">
        <f t="array" aca="1" ref="O1519" ca="1">INDIRECT("Data!I" &amp; 1514)</f>
        <v>0</v>
      </c>
      <c r="P1519" s="21" cm="1">
        <f t="array" aca="1" ref="P1519" ca="1">INDIRECT("Data!J" &amp; 1514)</f>
        <v>0</v>
      </c>
      <c r="Q1519" cm="1">
        <f t="array" aca="1" ref="Q1519" ca="1">INDIRECT("Data!K" &amp; 1514)</f>
        <v>0</v>
      </c>
      <c r="R1519" cm="1">
        <f t="array" aca="1" ref="R1519" ca="1">INDIRECT("Data!L" &amp; 1514)</f>
        <v>0</v>
      </c>
      <c r="S1519" cm="1">
        <f t="array" aca="1" ref="S1519" ca="1">INDIRECT("Data!M" &amp; 1514)</f>
        <v>0</v>
      </c>
      <c r="T1519" cm="1">
        <f t="array" aca="1" ref="T1519" ca="1">INDIRECT("Data!N" &amp; 1514)</f>
        <v>0</v>
      </c>
      <c r="U1519" cm="1">
        <f t="array" aca="1" ref="U1519" ca="1">INDIRECT("Data!O" &amp; 1514)</f>
        <v>0</v>
      </c>
      <c r="V1519" cm="1">
        <f t="array" aca="1" ref="V1519" ca="1">INDIRECT("Data!P" &amp; 1514)</f>
        <v>0</v>
      </c>
    </row>
    <row r="1520" spans="7:22" x14ac:dyDescent="0.25">
      <c r="G1520" cm="1">
        <f t="array" aca="1" ref="G1520" ca="1">INDIRECT("Data!A" &amp; 1515)</f>
        <v>0</v>
      </c>
      <c r="H1520" s="21" cm="1">
        <f t="array" aca="1" ref="H1520" ca="1">INDIRECT("Data!B" &amp; 1515)</f>
        <v>0</v>
      </c>
      <c r="I1520" s="21" cm="1">
        <f t="array" aca="1" ref="I1520" ca="1">INDIRECT("Data!C" &amp; 1515)</f>
        <v>0</v>
      </c>
      <c r="J1520" cm="1">
        <f t="array" aca="1" ref="J1520" ca="1">INDIRECT("Data!D" &amp; 1515)</f>
        <v>0</v>
      </c>
      <c r="K1520" cm="1">
        <f t="array" aca="1" ref="K1520" ca="1">INDIRECT("Data!E" &amp; 1515)</f>
        <v>0</v>
      </c>
      <c r="L1520" cm="1">
        <f t="array" aca="1" ref="L1520" ca="1">INDIRECT("Data!F" &amp; 1515)</f>
        <v>0</v>
      </c>
      <c r="M1520" cm="1">
        <f t="array" aca="1" ref="M1520" ca="1">INDIRECT("Data!G" &amp; 1515)</f>
        <v>0</v>
      </c>
      <c r="N1520" cm="1">
        <f t="array" aca="1" ref="N1520" ca="1">INDIRECT("Data!H" &amp; 1515)</f>
        <v>0</v>
      </c>
      <c r="O1520" cm="1">
        <f t="array" aca="1" ref="O1520" ca="1">INDIRECT("Data!I" &amp; 1515)</f>
        <v>0</v>
      </c>
      <c r="P1520" s="21" cm="1">
        <f t="array" aca="1" ref="P1520" ca="1">INDIRECT("Data!J" &amp; 1515)</f>
        <v>0</v>
      </c>
      <c r="Q1520" cm="1">
        <f t="array" aca="1" ref="Q1520" ca="1">INDIRECT("Data!K" &amp; 1515)</f>
        <v>0</v>
      </c>
      <c r="R1520" cm="1">
        <f t="array" aca="1" ref="R1520" ca="1">INDIRECT("Data!L" &amp; 1515)</f>
        <v>0</v>
      </c>
      <c r="S1520" cm="1">
        <f t="array" aca="1" ref="S1520" ca="1">INDIRECT("Data!M" &amp; 1515)</f>
        <v>0</v>
      </c>
      <c r="T1520" cm="1">
        <f t="array" aca="1" ref="T1520" ca="1">INDIRECT("Data!N" &amp; 1515)</f>
        <v>0</v>
      </c>
      <c r="U1520" cm="1">
        <f t="array" aca="1" ref="U1520" ca="1">INDIRECT("Data!O" &amp; 1515)</f>
        <v>0</v>
      </c>
      <c r="V1520" cm="1">
        <f t="array" aca="1" ref="V1520" ca="1">INDIRECT("Data!P" &amp; 1515)</f>
        <v>0</v>
      </c>
    </row>
    <row r="1521" spans="7:22" x14ac:dyDescent="0.25">
      <c r="G1521" cm="1">
        <f t="array" aca="1" ref="G1521" ca="1">INDIRECT("Data!A" &amp; 1516)</f>
        <v>0</v>
      </c>
      <c r="H1521" s="21" cm="1">
        <f t="array" aca="1" ref="H1521" ca="1">INDIRECT("Data!B" &amp; 1516)</f>
        <v>0</v>
      </c>
      <c r="I1521" s="21" cm="1">
        <f t="array" aca="1" ref="I1521" ca="1">INDIRECT("Data!C" &amp; 1516)</f>
        <v>0</v>
      </c>
      <c r="J1521" cm="1">
        <f t="array" aca="1" ref="J1521" ca="1">INDIRECT("Data!D" &amp; 1516)</f>
        <v>0</v>
      </c>
      <c r="K1521" cm="1">
        <f t="array" aca="1" ref="K1521" ca="1">INDIRECT("Data!E" &amp; 1516)</f>
        <v>0</v>
      </c>
      <c r="L1521" cm="1">
        <f t="array" aca="1" ref="L1521" ca="1">INDIRECT("Data!F" &amp; 1516)</f>
        <v>0</v>
      </c>
      <c r="M1521" cm="1">
        <f t="array" aca="1" ref="M1521" ca="1">INDIRECT("Data!G" &amp; 1516)</f>
        <v>0</v>
      </c>
      <c r="N1521" cm="1">
        <f t="array" aca="1" ref="N1521" ca="1">INDIRECT("Data!H" &amp; 1516)</f>
        <v>0</v>
      </c>
      <c r="O1521" cm="1">
        <f t="array" aca="1" ref="O1521" ca="1">INDIRECT("Data!I" &amp; 1516)</f>
        <v>0</v>
      </c>
      <c r="P1521" s="21" cm="1">
        <f t="array" aca="1" ref="P1521" ca="1">INDIRECT("Data!J" &amp; 1516)</f>
        <v>0</v>
      </c>
      <c r="Q1521" cm="1">
        <f t="array" aca="1" ref="Q1521" ca="1">INDIRECT("Data!K" &amp; 1516)</f>
        <v>0</v>
      </c>
      <c r="R1521" cm="1">
        <f t="array" aca="1" ref="R1521" ca="1">INDIRECT("Data!L" &amp; 1516)</f>
        <v>0</v>
      </c>
      <c r="S1521" cm="1">
        <f t="array" aca="1" ref="S1521" ca="1">INDIRECT("Data!M" &amp; 1516)</f>
        <v>0</v>
      </c>
      <c r="T1521" cm="1">
        <f t="array" aca="1" ref="T1521" ca="1">INDIRECT("Data!N" &amp; 1516)</f>
        <v>0</v>
      </c>
      <c r="U1521" cm="1">
        <f t="array" aca="1" ref="U1521" ca="1">INDIRECT("Data!O" &amp; 1516)</f>
        <v>0</v>
      </c>
      <c r="V1521" cm="1">
        <f t="array" aca="1" ref="V1521" ca="1">INDIRECT("Data!P" &amp; 1516)</f>
        <v>0</v>
      </c>
    </row>
    <row r="1522" spans="7:22" x14ac:dyDescent="0.25">
      <c r="G1522" cm="1">
        <f t="array" aca="1" ref="G1522" ca="1">INDIRECT("Data!A" &amp; 1517)</f>
        <v>0</v>
      </c>
      <c r="H1522" s="21" cm="1">
        <f t="array" aca="1" ref="H1522" ca="1">INDIRECT("Data!B" &amp; 1517)</f>
        <v>0</v>
      </c>
      <c r="I1522" s="21" cm="1">
        <f t="array" aca="1" ref="I1522" ca="1">INDIRECT("Data!C" &amp; 1517)</f>
        <v>0</v>
      </c>
      <c r="J1522" cm="1">
        <f t="array" aca="1" ref="J1522" ca="1">INDIRECT("Data!D" &amp; 1517)</f>
        <v>0</v>
      </c>
      <c r="K1522" cm="1">
        <f t="array" aca="1" ref="K1522" ca="1">INDIRECT("Data!E" &amp; 1517)</f>
        <v>0</v>
      </c>
      <c r="L1522" cm="1">
        <f t="array" aca="1" ref="L1522" ca="1">INDIRECT("Data!F" &amp; 1517)</f>
        <v>0</v>
      </c>
      <c r="M1522" cm="1">
        <f t="array" aca="1" ref="M1522" ca="1">INDIRECT("Data!G" &amp; 1517)</f>
        <v>0</v>
      </c>
      <c r="N1522" cm="1">
        <f t="array" aca="1" ref="N1522" ca="1">INDIRECT("Data!H" &amp; 1517)</f>
        <v>0</v>
      </c>
      <c r="O1522" cm="1">
        <f t="array" aca="1" ref="O1522" ca="1">INDIRECT("Data!I" &amp; 1517)</f>
        <v>0</v>
      </c>
      <c r="P1522" s="21" cm="1">
        <f t="array" aca="1" ref="P1522" ca="1">INDIRECT("Data!J" &amp; 1517)</f>
        <v>0</v>
      </c>
      <c r="Q1522" cm="1">
        <f t="array" aca="1" ref="Q1522" ca="1">INDIRECT("Data!K" &amp; 1517)</f>
        <v>0</v>
      </c>
      <c r="R1522" cm="1">
        <f t="array" aca="1" ref="R1522" ca="1">INDIRECT("Data!L" &amp; 1517)</f>
        <v>0</v>
      </c>
      <c r="S1522" cm="1">
        <f t="array" aca="1" ref="S1522" ca="1">INDIRECT("Data!M" &amp; 1517)</f>
        <v>0</v>
      </c>
      <c r="T1522" cm="1">
        <f t="array" aca="1" ref="T1522" ca="1">INDIRECT("Data!N" &amp; 1517)</f>
        <v>0</v>
      </c>
      <c r="U1522" cm="1">
        <f t="array" aca="1" ref="U1522" ca="1">INDIRECT("Data!O" &amp; 1517)</f>
        <v>0</v>
      </c>
      <c r="V1522" cm="1">
        <f t="array" aca="1" ref="V1522" ca="1">INDIRECT("Data!P" &amp; 1517)</f>
        <v>0</v>
      </c>
    </row>
    <row r="1523" spans="7:22" x14ac:dyDescent="0.25">
      <c r="G1523" cm="1">
        <f t="array" aca="1" ref="G1523" ca="1">INDIRECT("Data!A" &amp; 1518)</f>
        <v>0</v>
      </c>
      <c r="H1523" s="21" cm="1">
        <f t="array" aca="1" ref="H1523" ca="1">INDIRECT("Data!B" &amp; 1518)</f>
        <v>0</v>
      </c>
      <c r="I1523" s="21" cm="1">
        <f t="array" aca="1" ref="I1523" ca="1">INDIRECT("Data!C" &amp; 1518)</f>
        <v>0</v>
      </c>
      <c r="J1523" cm="1">
        <f t="array" aca="1" ref="J1523" ca="1">INDIRECT("Data!D" &amp; 1518)</f>
        <v>0</v>
      </c>
      <c r="K1523" cm="1">
        <f t="array" aca="1" ref="K1523" ca="1">INDIRECT("Data!E" &amp; 1518)</f>
        <v>0</v>
      </c>
      <c r="L1523" cm="1">
        <f t="array" aca="1" ref="L1523" ca="1">INDIRECT("Data!F" &amp; 1518)</f>
        <v>0</v>
      </c>
      <c r="M1523" cm="1">
        <f t="array" aca="1" ref="M1523" ca="1">INDIRECT("Data!G" &amp; 1518)</f>
        <v>0</v>
      </c>
      <c r="N1523" cm="1">
        <f t="array" aca="1" ref="N1523" ca="1">INDIRECT("Data!H" &amp; 1518)</f>
        <v>0</v>
      </c>
      <c r="O1523" cm="1">
        <f t="array" aca="1" ref="O1523" ca="1">INDIRECT("Data!I" &amp; 1518)</f>
        <v>0</v>
      </c>
      <c r="P1523" s="21" cm="1">
        <f t="array" aca="1" ref="P1523" ca="1">INDIRECT("Data!J" &amp; 1518)</f>
        <v>0</v>
      </c>
      <c r="Q1523" cm="1">
        <f t="array" aca="1" ref="Q1523" ca="1">INDIRECT("Data!K" &amp; 1518)</f>
        <v>0</v>
      </c>
      <c r="R1523" cm="1">
        <f t="array" aca="1" ref="R1523" ca="1">INDIRECT("Data!L" &amp; 1518)</f>
        <v>0</v>
      </c>
      <c r="S1523" cm="1">
        <f t="array" aca="1" ref="S1523" ca="1">INDIRECT("Data!M" &amp; 1518)</f>
        <v>0</v>
      </c>
      <c r="T1523" cm="1">
        <f t="array" aca="1" ref="T1523" ca="1">INDIRECT("Data!N" &amp; 1518)</f>
        <v>0</v>
      </c>
      <c r="U1523" cm="1">
        <f t="array" aca="1" ref="U1523" ca="1">INDIRECT("Data!O" &amp; 1518)</f>
        <v>0</v>
      </c>
      <c r="V1523" cm="1">
        <f t="array" aca="1" ref="V1523" ca="1">INDIRECT("Data!P" &amp; 1518)</f>
        <v>0</v>
      </c>
    </row>
    <row r="1524" spans="7:22" x14ac:dyDescent="0.25">
      <c r="G1524" cm="1">
        <f t="array" aca="1" ref="G1524" ca="1">INDIRECT("Data!A" &amp; 1519)</f>
        <v>0</v>
      </c>
      <c r="H1524" s="21" cm="1">
        <f t="array" aca="1" ref="H1524" ca="1">INDIRECT("Data!B" &amp; 1519)</f>
        <v>0</v>
      </c>
      <c r="I1524" s="21" cm="1">
        <f t="array" aca="1" ref="I1524" ca="1">INDIRECT("Data!C" &amp; 1519)</f>
        <v>0</v>
      </c>
      <c r="J1524" cm="1">
        <f t="array" aca="1" ref="J1524" ca="1">INDIRECT("Data!D" &amp; 1519)</f>
        <v>0</v>
      </c>
      <c r="K1524" cm="1">
        <f t="array" aca="1" ref="K1524" ca="1">INDIRECT("Data!E" &amp; 1519)</f>
        <v>0</v>
      </c>
      <c r="L1524" cm="1">
        <f t="array" aca="1" ref="L1524" ca="1">INDIRECT("Data!F" &amp; 1519)</f>
        <v>0</v>
      </c>
      <c r="M1524" cm="1">
        <f t="array" aca="1" ref="M1524" ca="1">INDIRECT("Data!G" &amp; 1519)</f>
        <v>0</v>
      </c>
      <c r="N1524" cm="1">
        <f t="array" aca="1" ref="N1524" ca="1">INDIRECT("Data!H" &amp; 1519)</f>
        <v>0</v>
      </c>
      <c r="O1524" cm="1">
        <f t="array" aca="1" ref="O1524" ca="1">INDIRECT("Data!I" &amp; 1519)</f>
        <v>0</v>
      </c>
      <c r="P1524" s="21" cm="1">
        <f t="array" aca="1" ref="P1524" ca="1">INDIRECT("Data!J" &amp; 1519)</f>
        <v>0</v>
      </c>
      <c r="Q1524" cm="1">
        <f t="array" aca="1" ref="Q1524" ca="1">INDIRECT("Data!K" &amp; 1519)</f>
        <v>0</v>
      </c>
      <c r="R1524" cm="1">
        <f t="array" aca="1" ref="R1524" ca="1">INDIRECT("Data!L" &amp; 1519)</f>
        <v>0</v>
      </c>
      <c r="S1524" cm="1">
        <f t="array" aca="1" ref="S1524" ca="1">INDIRECT("Data!M" &amp; 1519)</f>
        <v>0</v>
      </c>
      <c r="T1524" cm="1">
        <f t="array" aca="1" ref="T1524" ca="1">INDIRECT("Data!N" &amp; 1519)</f>
        <v>0</v>
      </c>
      <c r="U1524" cm="1">
        <f t="array" aca="1" ref="U1524" ca="1">INDIRECT("Data!O" &amp; 1519)</f>
        <v>0</v>
      </c>
      <c r="V1524" cm="1">
        <f t="array" aca="1" ref="V1524" ca="1">INDIRECT("Data!P" &amp; 1519)</f>
        <v>0</v>
      </c>
    </row>
    <row r="1525" spans="7:22" x14ac:dyDescent="0.25">
      <c r="G1525" cm="1">
        <f t="array" aca="1" ref="G1525" ca="1">INDIRECT("Data!A" &amp; 1520)</f>
        <v>0</v>
      </c>
      <c r="H1525" s="21" cm="1">
        <f t="array" aca="1" ref="H1525" ca="1">INDIRECT("Data!B" &amp; 1520)</f>
        <v>0</v>
      </c>
      <c r="I1525" s="21" cm="1">
        <f t="array" aca="1" ref="I1525" ca="1">INDIRECT("Data!C" &amp; 1520)</f>
        <v>0</v>
      </c>
      <c r="J1525" cm="1">
        <f t="array" aca="1" ref="J1525" ca="1">INDIRECT("Data!D" &amp; 1520)</f>
        <v>0</v>
      </c>
      <c r="K1525" cm="1">
        <f t="array" aca="1" ref="K1525" ca="1">INDIRECT("Data!E" &amp; 1520)</f>
        <v>0</v>
      </c>
      <c r="L1525" cm="1">
        <f t="array" aca="1" ref="L1525" ca="1">INDIRECT("Data!F" &amp; 1520)</f>
        <v>0</v>
      </c>
      <c r="M1525" cm="1">
        <f t="array" aca="1" ref="M1525" ca="1">INDIRECT("Data!G" &amp; 1520)</f>
        <v>0</v>
      </c>
      <c r="N1525" cm="1">
        <f t="array" aca="1" ref="N1525" ca="1">INDIRECT("Data!H" &amp; 1520)</f>
        <v>0</v>
      </c>
      <c r="O1525" cm="1">
        <f t="array" aca="1" ref="O1525" ca="1">INDIRECT("Data!I" &amp; 1520)</f>
        <v>0</v>
      </c>
      <c r="P1525" s="21" cm="1">
        <f t="array" aca="1" ref="P1525" ca="1">INDIRECT("Data!J" &amp; 1520)</f>
        <v>0</v>
      </c>
      <c r="Q1525" cm="1">
        <f t="array" aca="1" ref="Q1525" ca="1">INDIRECT("Data!K" &amp; 1520)</f>
        <v>0</v>
      </c>
      <c r="R1525" cm="1">
        <f t="array" aca="1" ref="R1525" ca="1">INDIRECT("Data!L" &amp; 1520)</f>
        <v>0</v>
      </c>
      <c r="S1525" cm="1">
        <f t="array" aca="1" ref="S1525" ca="1">INDIRECT("Data!M" &amp; 1520)</f>
        <v>0</v>
      </c>
      <c r="T1525" cm="1">
        <f t="array" aca="1" ref="T1525" ca="1">INDIRECT("Data!N" &amp; 1520)</f>
        <v>0</v>
      </c>
      <c r="U1525" cm="1">
        <f t="array" aca="1" ref="U1525" ca="1">INDIRECT("Data!O" &amp; 1520)</f>
        <v>0</v>
      </c>
      <c r="V1525" cm="1">
        <f t="array" aca="1" ref="V1525" ca="1">INDIRECT("Data!P" &amp; 1520)</f>
        <v>0</v>
      </c>
    </row>
    <row r="1526" spans="7:22" x14ac:dyDescent="0.25">
      <c r="G1526" cm="1">
        <f t="array" aca="1" ref="G1526" ca="1">INDIRECT("Data!A" &amp; 1521)</f>
        <v>0</v>
      </c>
      <c r="H1526" s="21" cm="1">
        <f t="array" aca="1" ref="H1526" ca="1">INDIRECT("Data!B" &amp; 1521)</f>
        <v>0</v>
      </c>
      <c r="I1526" s="21" cm="1">
        <f t="array" aca="1" ref="I1526" ca="1">INDIRECT("Data!C" &amp; 1521)</f>
        <v>0</v>
      </c>
      <c r="J1526" cm="1">
        <f t="array" aca="1" ref="J1526" ca="1">INDIRECT("Data!D" &amp; 1521)</f>
        <v>0</v>
      </c>
      <c r="K1526" cm="1">
        <f t="array" aca="1" ref="K1526" ca="1">INDIRECT("Data!E" &amp; 1521)</f>
        <v>0</v>
      </c>
      <c r="L1526" cm="1">
        <f t="array" aca="1" ref="L1526" ca="1">INDIRECT("Data!F" &amp; 1521)</f>
        <v>0</v>
      </c>
      <c r="M1526" cm="1">
        <f t="array" aca="1" ref="M1526" ca="1">INDIRECT("Data!G" &amp; 1521)</f>
        <v>0</v>
      </c>
      <c r="N1526" cm="1">
        <f t="array" aca="1" ref="N1526" ca="1">INDIRECT("Data!H" &amp; 1521)</f>
        <v>0</v>
      </c>
      <c r="O1526" cm="1">
        <f t="array" aca="1" ref="O1526" ca="1">INDIRECT("Data!I" &amp; 1521)</f>
        <v>0</v>
      </c>
      <c r="P1526" s="21" cm="1">
        <f t="array" aca="1" ref="P1526" ca="1">INDIRECT("Data!J" &amp; 1521)</f>
        <v>0</v>
      </c>
      <c r="Q1526" cm="1">
        <f t="array" aca="1" ref="Q1526" ca="1">INDIRECT("Data!K" &amp; 1521)</f>
        <v>0</v>
      </c>
      <c r="R1526" cm="1">
        <f t="array" aca="1" ref="R1526" ca="1">INDIRECT("Data!L" &amp; 1521)</f>
        <v>0</v>
      </c>
      <c r="S1526" cm="1">
        <f t="array" aca="1" ref="S1526" ca="1">INDIRECT("Data!M" &amp; 1521)</f>
        <v>0</v>
      </c>
      <c r="T1526" cm="1">
        <f t="array" aca="1" ref="T1526" ca="1">INDIRECT("Data!N" &amp; 1521)</f>
        <v>0</v>
      </c>
      <c r="U1526" cm="1">
        <f t="array" aca="1" ref="U1526" ca="1">INDIRECT("Data!O" &amp; 1521)</f>
        <v>0</v>
      </c>
      <c r="V1526" cm="1">
        <f t="array" aca="1" ref="V1526" ca="1">INDIRECT("Data!P" &amp; 1521)</f>
        <v>0</v>
      </c>
    </row>
    <row r="1527" spans="7:22" x14ac:dyDescent="0.25">
      <c r="G1527" cm="1">
        <f t="array" aca="1" ref="G1527" ca="1">INDIRECT("Data!A" &amp; 1522)</f>
        <v>0</v>
      </c>
      <c r="H1527" s="21" cm="1">
        <f t="array" aca="1" ref="H1527" ca="1">INDIRECT("Data!B" &amp; 1522)</f>
        <v>0</v>
      </c>
      <c r="I1527" s="21" cm="1">
        <f t="array" aca="1" ref="I1527" ca="1">INDIRECT("Data!C" &amp; 1522)</f>
        <v>0</v>
      </c>
      <c r="J1527" cm="1">
        <f t="array" aca="1" ref="J1527" ca="1">INDIRECT("Data!D" &amp; 1522)</f>
        <v>0</v>
      </c>
      <c r="K1527" cm="1">
        <f t="array" aca="1" ref="K1527" ca="1">INDIRECT("Data!E" &amp; 1522)</f>
        <v>0</v>
      </c>
      <c r="L1527" cm="1">
        <f t="array" aca="1" ref="L1527" ca="1">INDIRECT("Data!F" &amp; 1522)</f>
        <v>0</v>
      </c>
      <c r="M1527" cm="1">
        <f t="array" aca="1" ref="M1527" ca="1">INDIRECT("Data!G" &amp; 1522)</f>
        <v>0</v>
      </c>
      <c r="N1527" cm="1">
        <f t="array" aca="1" ref="N1527" ca="1">INDIRECT("Data!H" &amp; 1522)</f>
        <v>0</v>
      </c>
      <c r="O1527" cm="1">
        <f t="array" aca="1" ref="O1527" ca="1">INDIRECT("Data!I" &amp; 1522)</f>
        <v>0</v>
      </c>
      <c r="P1527" s="21" cm="1">
        <f t="array" aca="1" ref="P1527" ca="1">INDIRECT("Data!J" &amp; 1522)</f>
        <v>0</v>
      </c>
      <c r="Q1527" cm="1">
        <f t="array" aca="1" ref="Q1527" ca="1">INDIRECT("Data!K" &amp; 1522)</f>
        <v>0</v>
      </c>
      <c r="R1527" cm="1">
        <f t="array" aca="1" ref="R1527" ca="1">INDIRECT("Data!L" &amp; 1522)</f>
        <v>0</v>
      </c>
      <c r="S1527" cm="1">
        <f t="array" aca="1" ref="S1527" ca="1">INDIRECT("Data!M" &amp; 1522)</f>
        <v>0</v>
      </c>
      <c r="T1527" cm="1">
        <f t="array" aca="1" ref="T1527" ca="1">INDIRECT("Data!N" &amp; 1522)</f>
        <v>0</v>
      </c>
      <c r="U1527" cm="1">
        <f t="array" aca="1" ref="U1527" ca="1">INDIRECT("Data!O" &amp; 1522)</f>
        <v>0</v>
      </c>
      <c r="V1527" cm="1">
        <f t="array" aca="1" ref="V1527" ca="1">INDIRECT("Data!P" &amp; 1522)</f>
        <v>0</v>
      </c>
    </row>
    <row r="1528" spans="7:22" x14ac:dyDescent="0.25">
      <c r="G1528" cm="1">
        <f t="array" aca="1" ref="G1528" ca="1">INDIRECT("Data!A" &amp; 1523)</f>
        <v>0</v>
      </c>
      <c r="H1528" s="21" cm="1">
        <f t="array" aca="1" ref="H1528" ca="1">INDIRECT("Data!B" &amp; 1523)</f>
        <v>0</v>
      </c>
      <c r="I1528" s="21" cm="1">
        <f t="array" aca="1" ref="I1528" ca="1">INDIRECT("Data!C" &amp; 1523)</f>
        <v>0</v>
      </c>
      <c r="J1528" cm="1">
        <f t="array" aca="1" ref="J1528" ca="1">INDIRECT("Data!D" &amp; 1523)</f>
        <v>0</v>
      </c>
      <c r="K1528" cm="1">
        <f t="array" aca="1" ref="K1528" ca="1">INDIRECT("Data!E" &amp; 1523)</f>
        <v>0</v>
      </c>
      <c r="L1528" cm="1">
        <f t="array" aca="1" ref="L1528" ca="1">INDIRECT("Data!F" &amp; 1523)</f>
        <v>0</v>
      </c>
      <c r="M1528" cm="1">
        <f t="array" aca="1" ref="M1528" ca="1">INDIRECT("Data!G" &amp; 1523)</f>
        <v>0</v>
      </c>
      <c r="N1528" cm="1">
        <f t="array" aca="1" ref="N1528" ca="1">INDIRECT("Data!H" &amp; 1523)</f>
        <v>0</v>
      </c>
      <c r="O1528" cm="1">
        <f t="array" aca="1" ref="O1528" ca="1">INDIRECT("Data!I" &amp; 1523)</f>
        <v>0</v>
      </c>
      <c r="P1528" s="21" cm="1">
        <f t="array" aca="1" ref="P1528" ca="1">INDIRECT("Data!J" &amp; 1523)</f>
        <v>0</v>
      </c>
      <c r="Q1528" cm="1">
        <f t="array" aca="1" ref="Q1528" ca="1">INDIRECT("Data!K" &amp; 1523)</f>
        <v>0</v>
      </c>
      <c r="R1528" cm="1">
        <f t="array" aca="1" ref="R1528" ca="1">INDIRECT("Data!L" &amp; 1523)</f>
        <v>0</v>
      </c>
      <c r="S1528" cm="1">
        <f t="array" aca="1" ref="S1528" ca="1">INDIRECT("Data!M" &amp; 1523)</f>
        <v>0</v>
      </c>
      <c r="T1528" cm="1">
        <f t="array" aca="1" ref="T1528" ca="1">INDIRECT("Data!N" &amp; 1523)</f>
        <v>0</v>
      </c>
      <c r="U1528" cm="1">
        <f t="array" aca="1" ref="U1528" ca="1">INDIRECT("Data!O" &amp; 1523)</f>
        <v>0</v>
      </c>
      <c r="V1528" cm="1">
        <f t="array" aca="1" ref="V1528" ca="1">INDIRECT("Data!P" &amp; 1523)</f>
        <v>0</v>
      </c>
    </row>
    <row r="1529" spans="7:22" x14ac:dyDescent="0.25">
      <c r="G1529" cm="1">
        <f t="array" aca="1" ref="G1529" ca="1">INDIRECT("Data!A" &amp; 1524)</f>
        <v>0</v>
      </c>
      <c r="H1529" s="21" cm="1">
        <f t="array" aca="1" ref="H1529" ca="1">INDIRECT("Data!B" &amp; 1524)</f>
        <v>0</v>
      </c>
      <c r="I1529" s="21" cm="1">
        <f t="array" aca="1" ref="I1529" ca="1">INDIRECT("Data!C" &amp; 1524)</f>
        <v>0</v>
      </c>
      <c r="J1529" cm="1">
        <f t="array" aca="1" ref="J1529" ca="1">INDIRECT("Data!D" &amp; 1524)</f>
        <v>0</v>
      </c>
      <c r="K1529" cm="1">
        <f t="array" aca="1" ref="K1529" ca="1">INDIRECT("Data!E" &amp; 1524)</f>
        <v>0</v>
      </c>
      <c r="L1529" cm="1">
        <f t="array" aca="1" ref="L1529" ca="1">INDIRECT("Data!F" &amp; 1524)</f>
        <v>0</v>
      </c>
      <c r="M1529" cm="1">
        <f t="array" aca="1" ref="M1529" ca="1">INDIRECT("Data!G" &amp; 1524)</f>
        <v>0</v>
      </c>
      <c r="N1529" cm="1">
        <f t="array" aca="1" ref="N1529" ca="1">INDIRECT("Data!H" &amp; 1524)</f>
        <v>0</v>
      </c>
      <c r="O1529" cm="1">
        <f t="array" aca="1" ref="O1529" ca="1">INDIRECT("Data!I" &amp; 1524)</f>
        <v>0</v>
      </c>
      <c r="P1529" s="21" cm="1">
        <f t="array" aca="1" ref="P1529" ca="1">INDIRECT("Data!J" &amp; 1524)</f>
        <v>0</v>
      </c>
      <c r="Q1529" cm="1">
        <f t="array" aca="1" ref="Q1529" ca="1">INDIRECT("Data!K" &amp; 1524)</f>
        <v>0</v>
      </c>
      <c r="R1529" cm="1">
        <f t="array" aca="1" ref="R1529" ca="1">INDIRECT("Data!L" &amp; 1524)</f>
        <v>0</v>
      </c>
      <c r="S1529" cm="1">
        <f t="array" aca="1" ref="S1529" ca="1">INDIRECT("Data!M" &amp; 1524)</f>
        <v>0</v>
      </c>
      <c r="T1529" cm="1">
        <f t="array" aca="1" ref="T1529" ca="1">INDIRECT("Data!N" &amp; 1524)</f>
        <v>0</v>
      </c>
      <c r="U1529" cm="1">
        <f t="array" aca="1" ref="U1529" ca="1">INDIRECT("Data!O" &amp; 1524)</f>
        <v>0</v>
      </c>
      <c r="V1529" cm="1">
        <f t="array" aca="1" ref="V1529" ca="1">INDIRECT("Data!P" &amp; 1524)</f>
        <v>0</v>
      </c>
    </row>
    <row r="1530" spans="7:22" x14ac:dyDescent="0.25">
      <c r="G1530" cm="1">
        <f t="array" aca="1" ref="G1530" ca="1">INDIRECT("Data!A" &amp; 1525)</f>
        <v>0</v>
      </c>
      <c r="H1530" s="21" cm="1">
        <f t="array" aca="1" ref="H1530" ca="1">INDIRECT("Data!B" &amp; 1525)</f>
        <v>0</v>
      </c>
      <c r="I1530" s="21" cm="1">
        <f t="array" aca="1" ref="I1530" ca="1">INDIRECT("Data!C" &amp; 1525)</f>
        <v>0</v>
      </c>
      <c r="J1530" cm="1">
        <f t="array" aca="1" ref="J1530" ca="1">INDIRECT("Data!D" &amp; 1525)</f>
        <v>0</v>
      </c>
      <c r="K1530" cm="1">
        <f t="array" aca="1" ref="K1530" ca="1">INDIRECT("Data!E" &amp; 1525)</f>
        <v>0</v>
      </c>
      <c r="L1530" cm="1">
        <f t="array" aca="1" ref="L1530" ca="1">INDIRECT("Data!F" &amp; 1525)</f>
        <v>0</v>
      </c>
      <c r="M1530" cm="1">
        <f t="array" aca="1" ref="M1530" ca="1">INDIRECT("Data!G" &amp; 1525)</f>
        <v>0</v>
      </c>
      <c r="N1530" cm="1">
        <f t="array" aca="1" ref="N1530" ca="1">INDIRECT("Data!H" &amp; 1525)</f>
        <v>0</v>
      </c>
      <c r="O1530" cm="1">
        <f t="array" aca="1" ref="O1530" ca="1">INDIRECT("Data!I" &amp; 1525)</f>
        <v>0</v>
      </c>
      <c r="P1530" s="21" cm="1">
        <f t="array" aca="1" ref="P1530" ca="1">INDIRECT("Data!J" &amp; 1525)</f>
        <v>0</v>
      </c>
      <c r="Q1530" cm="1">
        <f t="array" aca="1" ref="Q1530" ca="1">INDIRECT("Data!K" &amp; 1525)</f>
        <v>0</v>
      </c>
      <c r="R1530" cm="1">
        <f t="array" aca="1" ref="R1530" ca="1">INDIRECT("Data!L" &amp; 1525)</f>
        <v>0</v>
      </c>
      <c r="S1530" cm="1">
        <f t="array" aca="1" ref="S1530" ca="1">INDIRECT("Data!M" &amp; 1525)</f>
        <v>0</v>
      </c>
      <c r="T1530" cm="1">
        <f t="array" aca="1" ref="T1530" ca="1">INDIRECT("Data!N" &amp; 1525)</f>
        <v>0</v>
      </c>
      <c r="U1530" cm="1">
        <f t="array" aca="1" ref="U1530" ca="1">INDIRECT("Data!O" &amp; 1525)</f>
        <v>0</v>
      </c>
      <c r="V1530" cm="1">
        <f t="array" aca="1" ref="V1530" ca="1">INDIRECT("Data!P" &amp; 1525)</f>
        <v>0</v>
      </c>
    </row>
    <row r="1531" spans="7:22" x14ac:dyDescent="0.25">
      <c r="G1531" cm="1">
        <f t="array" aca="1" ref="G1531" ca="1">INDIRECT("Data!A" &amp; 1526)</f>
        <v>0</v>
      </c>
      <c r="H1531" s="21" cm="1">
        <f t="array" aca="1" ref="H1531" ca="1">INDIRECT("Data!B" &amp; 1526)</f>
        <v>0</v>
      </c>
      <c r="I1531" s="21" cm="1">
        <f t="array" aca="1" ref="I1531" ca="1">INDIRECT("Data!C" &amp; 1526)</f>
        <v>0</v>
      </c>
      <c r="J1531" cm="1">
        <f t="array" aca="1" ref="J1531" ca="1">INDIRECT("Data!D" &amp; 1526)</f>
        <v>0</v>
      </c>
      <c r="K1531" cm="1">
        <f t="array" aca="1" ref="K1531" ca="1">INDIRECT("Data!E" &amp; 1526)</f>
        <v>0</v>
      </c>
      <c r="L1531" cm="1">
        <f t="array" aca="1" ref="L1531" ca="1">INDIRECT("Data!F" &amp; 1526)</f>
        <v>0</v>
      </c>
      <c r="M1531" cm="1">
        <f t="array" aca="1" ref="M1531" ca="1">INDIRECT("Data!G" &amp; 1526)</f>
        <v>0</v>
      </c>
      <c r="N1531" cm="1">
        <f t="array" aca="1" ref="N1531" ca="1">INDIRECT("Data!H" &amp; 1526)</f>
        <v>0</v>
      </c>
      <c r="O1531" cm="1">
        <f t="array" aca="1" ref="O1531" ca="1">INDIRECT("Data!I" &amp; 1526)</f>
        <v>0</v>
      </c>
      <c r="P1531" s="21" cm="1">
        <f t="array" aca="1" ref="P1531" ca="1">INDIRECT("Data!J" &amp; 1526)</f>
        <v>0</v>
      </c>
      <c r="Q1531" cm="1">
        <f t="array" aca="1" ref="Q1531" ca="1">INDIRECT("Data!K" &amp; 1526)</f>
        <v>0</v>
      </c>
      <c r="R1531" cm="1">
        <f t="array" aca="1" ref="R1531" ca="1">INDIRECT("Data!L" &amp; 1526)</f>
        <v>0</v>
      </c>
      <c r="S1531" cm="1">
        <f t="array" aca="1" ref="S1531" ca="1">INDIRECT("Data!M" &amp; 1526)</f>
        <v>0</v>
      </c>
      <c r="T1531" cm="1">
        <f t="array" aca="1" ref="T1531" ca="1">INDIRECT("Data!N" &amp; 1526)</f>
        <v>0</v>
      </c>
      <c r="U1531" cm="1">
        <f t="array" aca="1" ref="U1531" ca="1">INDIRECT("Data!O" &amp; 1526)</f>
        <v>0</v>
      </c>
      <c r="V1531" cm="1">
        <f t="array" aca="1" ref="V1531" ca="1">INDIRECT("Data!P" &amp; 1526)</f>
        <v>0</v>
      </c>
    </row>
    <row r="1532" spans="7:22" x14ac:dyDescent="0.25">
      <c r="G1532" cm="1">
        <f t="array" aca="1" ref="G1532" ca="1">INDIRECT("Data!A" &amp; 1527)</f>
        <v>0</v>
      </c>
      <c r="H1532" s="21" cm="1">
        <f t="array" aca="1" ref="H1532" ca="1">INDIRECT("Data!B" &amp; 1527)</f>
        <v>0</v>
      </c>
      <c r="I1532" s="21" cm="1">
        <f t="array" aca="1" ref="I1532" ca="1">INDIRECT("Data!C" &amp; 1527)</f>
        <v>0</v>
      </c>
      <c r="J1532" cm="1">
        <f t="array" aca="1" ref="J1532" ca="1">INDIRECT("Data!D" &amp; 1527)</f>
        <v>0</v>
      </c>
      <c r="K1532" cm="1">
        <f t="array" aca="1" ref="K1532" ca="1">INDIRECT("Data!E" &amp; 1527)</f>
        <v>0</v>
      </c>
      <c r="L1532" cm="1">
        <f t="array" aca="1" ref="L1532" ca="1">INDIRECT("Data!F" &amp; 1527)</f>
        <v>0</v>
      </c>
      <c r="M1532" cm="1">
        <f t="array" aca="1" ref="M1532" ca="1">INDIRECT("Data!G" &amp; 1527)</f>
        <v>0</v>
      </c>
      <c r="N1532" cm="1">
        <f t="array" aca="1" ref="N1532" ca="1">INDIRECT("Data!H" &amp; 1527)</f>
        <v>0</v>
      </c>
      <c r="O1532" cm="1">
        <f t="array" aca="1" ref="O1532" ca="1">INDIRECT("Data!I" &amp; 1527)</f>
        <v>0</v>
      </c>
      <c r="P1532" s="21" cm="1">
        <f t="array" aca="1" ref="P1532" ca="1">INDIRECT("Data!J" &amp; 1527)</f>
        <v>0</v>
      </c>
      <c r="Q1532" cm="1">
        <f t="array" aca="1" ref="Q1532" ca="1">INDIRECT("Data!K" &amp; 1527)</f>
        <v>0</v>
      </c>
      <c r="R1532" cm="1">
        <f t="array" aca="1" ref="R1532" ca="1">INDIRECT("Data!L" &amp; 1527)</f>
        <v>0</v>
      </c>
      <c r="S1532" cm="1">
        <f t="array" aca="1" ref="S1532" ca="1">INDIRECT("Data!M" &amp; 1527)</f>
        <v>0</v>
      </c>
      <c r="T1532" cm="1">
        <f t="array" aca="1" ref="T1532" ca="1">INDIRECT("Data!N" &amp; 1527)</f>
        <v>0</v>
      </c>
      <c r="U1532" cm="1">
        <f t="array" aca="1" ref="U1532" ca="1">INDIRECT("Data!O" &amp; 1527)</f>
        <v>0</v>
      </c>
      <c r="V1532" cm="1">
        <f t="array" aca="1" ref="V1532" ca="1">INDIRECT("Data!P" &amp; 1527)</f>
        <v>0</v>
      </c>
    </row>
    <row r="1533" spans="7:22" x14ac:dyDescent="0.25">
      <c r="G1533" cm="1">
        <f t="array" aca="1" ref="G1533" ca="1">INDIRECT("Data!A" &amp; 1528)</f>
        <v>0</v>
      </c>
      <c r="H1533" s="21" cm="1">
        <f t="array" aca="1" ref="H1533" ca="1">INDIRECT("Data!B" &amp; 1528)</f>
        <v>0</v>
      </c>
      <c r="I1533" s="21" cm="1">
        <f t="array" aca="1" ref="I1533" ca="1">INDIRECT("Data!C" &amp; 1528)</f>
        <v>0</v>
      </c>
      <c r="J1533" cm="1">
        <f t="array" aca="1" ref="J1533" ca="1">INDIRECT("Data!D" &amp; 1528)</f>
        <v>0</v>
      </c>
      <c r="K1533" cm="1">
        <f t="array" aca="1" ref="K1533" ca="1">INDIRECT("Data!E" &amp; 1528)</f>
        <v>0</v>
      </c>
      <c r="L1533" cm="1">
        <f t="array" aca="1" ref="L1533" ca="1">INDIRECT("Data!F" &amp; 1528)</f>
        <v>0</v>
      </c>
      <c r="M1533" cm="1">
        <f t="array" aca="1" ref="M1533" ca="1">INDIRECT("Data!G" &amp; 1528)</f>
        <v>0</v>
      </c>
      <c r="N1533" cm="1">
        <f t="array" aca="1" ref="N1533" ca="1">INDIRECT("Data!H" &amp; 1528)</f>
        <v>0</v>
      </c>
      <c r="O1533" cm="1">
        <f t="array" aca="1" ref="O1533" ca="1">INDIRECT("Data!I" &amp; 1528)</f>
        <v>0</v>
      </c>
      <c r="P1533" s="21" cm="1">
        <f t="array" aca="1" ref="P1533" ca="1">INDIRECT("Data!J" &amp; 1528)</f>
        <v>0</v>
      </c>
      <c r="Q1533" cm="1">
        <f t="array" aca="1" ref="Q1533" ca="1">INDIRECT("Data!K" &amp; 1528)</f>
        <v>0</v>
      </c>
      <c r="R1533" cm="1">
        <f t="array" aca="1" ref="R1533" ca="1">INDIRECT("Data!L" &amp; 1528)</f>
        <v>0</v>
      </c>
      <c r="S1533" cm="1">
        <f t="array" aca="1" ref="S1533" ca="1">INDIRECT("Data!M" &amp; 1528)</f>
        <v>0</v>
      </c>
      <c r="T1533" cm="1">
        <f t="array" aca="1" ref="T1533" ca="1">INDIRECT("Data!N" &amp; 1528)</f>
        <v>0</v>
      </c>
      <c r="U1533" cm="1">
        <f t="array" aca="1" ref="U1533" ca="1">INDIRECT("Data!O" &amp; 1528)</f>
        <v>0</v>
      </c>
      <c r="V1533" cm="1">
        <f t="array" aca="1" ref="V1533" ca="1">INDIRECT("Data!P" &amp; 1528)</f>
        <v>0</v>
      </c>
    </row>
    <row r="1534" spans="7:22" x14ac:dyDescent="0.25">
      <c r="G1534" cm="1">
        <f t="array" aca="1" ref="G1534" ca="1">INDIRECT("Data!A" &amp; 1529)</f>
        <v>0</v>
      </c>
      <c r="H1534" s="21" cm="1">
        <f t="array" aca="1" ref="H1534" ca="1">INDIRECT("Data!B" &amp; 1529)</f>
        <v>0</v>
      </c>
      <c r="I1534" s="21" cm="1">
        <f t="array" aca="1" ref="I1534" ca="1">INDIRECT("Data!C" &amp; 1529)</f>
        <v>0</v>
      </c>
      <c r="J1534" cm="1">
        <f t="array" aca="1" ref="J1534" ca="1">INDIRECT("Data!D" &amp; 1529)</f>
        <v>0</v>
      </c>
      <c r="K1534" cm="1">
        <f t="array" aca="1" ref="K1534" ca="1">INDIRECT("Data!E" &amp; 1529)</f>
        <v>0</v>
      </c>
      <c r="L1534" cm="1">
        <f t="array" aca="1" ref="L1534" ca="1">INDIRECT("Data!F" &amp; 1529)</f>
        <v>0</v>
      </c>
      <c r="M1534" cm="1">
        <f t="array" aca="1" ref="M1534" ca="1">INDIRECT("Data!G" &amp; 1529)</f>
        <v>0</v>
      </c>
      <c r="N1534" cm="1">
        <f t="array" aca="1" ref="N1534" ca="1">INDIRECT("Data!H" &amp; 1529)</f>
        <v>0</v>
      </c>
      <c r="O1534" cm="1">
        <f t="array" aca="1" ref="O1534" ca="1">INDIRECT("Data!I" &amp; 1529)</f>
        <v>0</v>
      </c>
      <c r="P1534" s="21" cm="1">
        <f t="array" aca="1" ref="P1534" ca="1">INDIRECT("Data!J" &amp; 1529)</f>
        <v>0</v>
      </c>
      <c r="Q1534" cm="1">
        <f t="array" aca="1" ref="Q1534" ca="1">INDIRECT("Data!K" &amp; 1529)</f>
        <v>0</v>
      </c>
      <c r="R1534" cm="1">
        <f t="array" aca="1" ref="R1534" ca="1">INDIRECT("Data!L" &amp; 1529)</f>
        <v>0</v>
      </c>
      <c r="S1534" cm="1">
        <f t="array" aca="1" ref="S1534" ca="1">INDIRECT("Data!M" &amp; 1529)</f>
        <v>0</v>
      </c>
      <c r="T1534" cm="1">
        <f t="array" aca="1" ref="T1534" ca="1">INDIRECT("Data!N" &amp; 1529)</f>
        <v>0</v>
      </c>
      <c r="U1534" cm="1">
        <f t="array" aca="1" ref="U1534" ca="1">INDIRECT("Data!O" &amp; 1529)</f>
        <v>0</v>
      </c>
      <c r="V1534" cm="1">
        <f t="array" aca="1" ref="V1534" ca="1">INDIRECT("Data!P" &amp; 1529)</f>
        <v>0</v>
      </c>
    </row>
    <row r="1535" spans="7:22" x14ac:dyDescent="0.25">
      <c r="G1535" cm="1">
        <f t="array" aca="1" ref="G1535" ca="1">INDIRECT("Data!A" &amp; 1530)</f>
        <v>0</v>
      </c>
      <c r="H1535" s="21" cm="1">
        <f t="array" aca="1" ref="H1535" ca="1">INDIRECT("Data!B" &amp; 1530)</f>
        <v>0</v>
      </c>
      <c r="I1535" s="21" cm="1">
        <f t="array" aca="1" ref="I1535" ca="1">INDIRECT("Data!C" &amp; 1530)</f>
        <v>0</v>
      </c>
      <c r="J1535" cm="1">
        <f t="array" aca="1" ref="J1535" ca="1">INDIRECT("Data!D" &amp; 1530)</f>
        <v>0</v>
      </c>
      <c r="K1535" cm="1">
        <f t="array" aca="1" ref="K1535" ca="1">INDIRECT("Data!E" &amp; 1530)</f>
        <v>0</v>
      </c>
      <c r="L1535" cm="1">
        <f t="array" aca="1" ref="L1535" ca="1">INDIRECT("Data!F" &amp; 1530)</f>
        <v>0</v>
      </c>
      <c r="M1535" cm="1">
        <f t="array" aca="1" ref="M1535" ca="1">INDIRECT("Data!G" &amp; 1530)</f>
        <v>0</v>
      </c>
      <c r="N1535" cm="1">
        <f t="array" aca="1" ref="N1535" ca="1">INDIRECT("Data!H" &amp; 1530)</f>
        <v>0</v>
      </c>
      <c r="O1535" cm="1">
        <f t="array" aca="1" ref="O1535" ca="1">INDIRECT("Data!I" &amp; 1530)</f>
        <v>0</v>
      </c>
      <c r="P1535" s="21" cm="1">
        <f t="array" aca="1" ref="P1535" ca="1">INDIRECT("Data!J" &amp; 1530)</f>
        <v>0</v>
      </c>
      <c r="Q1535" cm="1">
        <f t="array" aca="1" ref="Q1535" ca="1">INDIRECT("Data!K" &amp; 1530)</f>
        <v>0</v>
      </c>
      <c r="R1535" cm="1">
        <f t="array" aca="1" ref="R1535" ca="1">INDIRECT("Data!L" &amp; 1530)</f>
        <v>0</v>
      </c>
      <c r="S1535" cm="1">
        <f t="array" aca="1" ref="S1535" ca="1">INDIRECT("Data!M" &amp; 1530)</f>
        <v>0</v>
      </c>
      <c r="T1535" cm="1">
        <f t="array" aca="1" ref="T1535" ca="1">INDIRECT("Data!N" &amp; 1530)</f>
        <v>0</v>
      </c>
      <c r="U1535" cm="1">
        <f t="array" aca="1" ref="U1535" ca="1">INDIRECT("Data!O" &amp; 1530)</f>
        <v>0</v>
      </c>
      <c r="V1535" cm="1">
        <f t="array" aca="1" ref="V1535" ca="1">INDIRECT("Data!P" &amp; 1530)</f>
        <v>0</v>
      </c>
    </row>
    <row r="1536" spans="7:22" x14ac:dyDescent="0.25">
      <c r="G1536" cm="1">
        <f t="array" aca="1" ref="G1536" ca="1">INDIRECT("Data!A" &amp; 1531)</f>
        <v>0</v>
      </c>
      <c r="H1536" s="21" cm="1">
        <f t="array" aca="1" ref="H1536" ca="1">INDIRECT("Data!B" &amp; 1531)</f>
        <v>0</v>
      </c>
      <c r="I1536" s="21" cm="1">
        <f t="array" aca="1" ref="I1536" ca="1">INDIRECT("Data!C" &amp; 1531)</f>
        <v>0</v>
      </c>
      <c r="J1536" cm="1">
        <f t="array" aca="1" ref="J1536" ca="1">INDIRECT("Data!D" &amp; 1531)</f>
        <v>0</v>
      </c>
      <c r="K1536" cm="1">
        <f t="array" aca="1" ref="K1536" ca="1">INDIRECT("Data!E" &amp; 1531)</f>
        <v>0</v>
      </c>
      <c r="L1536" cm="1">
        <f t="array" aca="1" ref="L1536" ca="1">INDIRECT("Data!F" &amp; 1531)</f>
        <v>0</v>
      </c>
      <c r="M1536" cm="1">
        <f t="array" aca="1" ref="M1536" ca="1">INDIRECT("Data!G" &amp; 1531)</f>
        <v>0</v>
      </c>
      <c r="N1536" cm="1">
        <f t="array" aca="1" ref="N1536" ca="1">INDIRECT("Data!H" &amp; 1531)</f>
        <v>0</v>
      </c>
      <c r="O1536" cm="1">
        <f t="array" aca="1" ref="O1536" ca="1">INDIRECT("Data!I" &amp; 1531)</f>
        <v>0</v>
      </c>
      <c r="P1536" s="21" cm="1">
        <f t="array" aca="1" ref="P1536" ca="1">INDIRECT("Data!J" &amp; 1531)</f>
        <v>0</v>
      </c>
      <c r="Q1536" cm="1">
        <f t="array" aca="1" ref="Q1536" ca="1">INDIRECT("Data!K" &amp; 1531)</f>
        <v>0</v>
      </c>
      <c r="R1536" cm="1">
        <f t="array" aca="1" ref="R1536" ca="1">INDIRECT("Data!L" &amp; 1531)</f>
        <v>0</v>
      </c>
      <c r="S1536" cm="1">
        <f t="array" aca="1" ref="S1536" ca="1">INDIRECT("Data!M" &amp; 1531)</f>
        <v>0</v>
      </c>
      <c r="T1536" cm="1">
        <f t="array" aca="1" ref="T1536" ca="1">INDIRECT("Data!N" &amp; 1531)</f>
        <v>0</v>
      </c>
      <c r="U1536" cm="1">
        <f t="array" aca="1" ref="U1536" ca="1">INDIRECT("Data!O" &amp; 1531)</f>
        <v>0</v>
      </c>
      <c r="V1536" cm="1">
        <f t="array" aca="1" ref="V1536" ca="1">INDIRECT("Data!P" &amp; 1531)</f>
        <v>0</v>
      </c>
    </row>
    <row r="1537" spans="7:22" x14ac:dyDescent="0.25">
      <c r="G1537" cm="1">
        <f t="array" aca="1" ref="G1537" ca="1">INDIRECT("Data!A" &amp; 1532)</f>
        <v>0</v>
      </c>
      <c r="H1537" s="21" cm="1">
        <f t="array" aca="1" ref="H1537" ca="1">INDIRECT("Data!B" &amp; 1532)</f>
        <v>0</v>
      </c>
      <c r="I1537" s="21" cm="1">
        <f t="array" aca="1" ref="I1537" ca="1">INDIRECT("Data!C" &amp; 1532)</f>
        <v>0</v>
      </c>
      <c r="J1537" cm="1">
        <f t="array" aca="1" ref="J1537" ca="1">INDIRECT("Data!D" &amp; 1532)</f>
        <v>0</v>
      </c>
      <c r="K1537" cm="1">
        <f t="array" aca="1" ref="K1537" ca="1">INDIRECT("Data!E" &amp; 1532)</f>
        <v>0</v>
      </c>
      <c r="L1537" cm="1">
        <f t="array" aca="1" ref="L1537" ca="1">INDIRECT("Data!F" &amp; 1532)</f>
        <v>0</v>
      </c>
      <c r="M1537" cm="1">
        <f t="array" aca="1" ref="M1537" ca="1">INDIRECT("Data!G" &amp; 1532)</f>
        <v>0</v>
      </c>
      <c r="N1537" cm="1">
        <f t="array" aca="1" ref="N1537" ca="1">INDIRECT("Data!H" &amp; 1532)</f>
        <v>0</v>
      </c>
      <c r="O1537" cm="1">
        <f t="array" aca="1" ref="O1537" ca="1">INDIRECT("Data!I" &amp; 1532)</f>
        <v>0</v>
      </c>
      <c r="P1537" s="21" cm="1">
        <f t="array" aca="1" ref="P1537" ca="1">INDIRECT("Data!J" &amp; 1532)</f>
        <v>0</v>
      </c>
      <c r="Q1537" cm="1">
        <f t="array" aca="1" ref="Q1537" ca="1">INDIRECT("Data!K" &amp; 1532)</f>
        <v>0</v>
      </c>
      <c r="R1537" cm="1">
        <f t="array" aca="1" ref="R1537" ca="1">INDIRECT("Data!L" &amp; 1532)</f>
        <v>0</v>
      </c>
      <c r="S1537" cm="1">
        <f t="array" aca="1" ref="S1537" ca="1">INDIRECT("Data!M" &amp; 1532)</f>
        <v>0</v>
      </c>
      <c r="T1537" cm="1">
        <f t="array" aca="1" ref="T1537" ca="1">INDIRECT("Data!N" &amp; 1532)</f>
        <v>0</v>
      </c>
      <c r="U1537" cm="1">
        <f t="array" aca="1" ref="U1537" ca="1">INDIRECT("Data!O" &amp; 1532)</f>
        <v>0</v>
      </c>
      <c r="V1537" cm="1">
        <f t="array" aca="1" ref="V1537" ca="1">INDIRECT("Data!P" &amp; 1532)</f>
        <v>0</v>
      </c>
    </row>
    <row r="1538" spans="7:22" x14ac:dyDescent="0.25">
      <c r="G1538" cm="1">
        <f t="array" aca="1" ref="G1538" ca="1">INDIRECT("Data!A" &amp; 1533)</f>
        <v>0</v>
      </c>
      <c r="H1538" s="21" cm="1">
        <f t="array" aca="1" ref="H1538" ca="1">INDIRECT("Data!B" &amp; 1533)</f>
        <v>0</v>
      </c>
      <c r="I1538" s="21" cm="1">
        <f t="array" aca="1" ref="I1538" ca="1">INDIRECT("Data!C" &amp; 1533)</f>
        <v>0</v>
      </c>
      <c r="J1538" cm="1">
        <f t="array" aca="1" ref="J1538" ca="1">INDIRECT("Data!D" &amp; 1533)</f>
        <v>0</v>
      </c>
      <c r="K1538" cm="1">
        <f t="array" aca="1" ref="K1538" ca="1">INDIRECT("Data!E" &amp; 1533)</f>
        <v>0</v>
      </c>
      <c r="L1538" cm="1">
        <f t="array" aca="1" ref="L1538" ca="1">INDIRECT("Data!F" &amp; 1533)</f>
        <v>0</v>
      </c>
      <c r="M1538" cm="1">
        <f t="array" aca="1" ref="M1538" ca="1">INDIRECT("Data!G" &amp; 1533)</f>
        <v>0</v>
      </c>
      <c r="N1538" cm="1">
        <f t="array" aca="1" ref="N1538" ca="1">INDIRECT("Data!H" &amp; 1533)</f>
        <v>0</v>
      </c>
      <c r="O1538" cm="1">
        <f t="array" aca="1" ref="O1538" ca="1">INDIRECT("Data!I" &amp; 1533)</f>
        <v>0</v>
      </c>
      <c r="P1538" s="21" cm="1">
        <f t="array" aca="1" ref="P1538" ca="1">INDIRECT("Data!J" &amp; 1533)</f>
        <v>0</v>
      </c>
      <c r="Q1538" cm="1">
        <f t="array" aca="1" ref="Q1538" ca="1">INDIRECT("Data!K" &amp; 1533)</f>
        <v>0</v>
      </c>
      <c r="R1538" cm="1">
        <f t="array" aca="1" ref="R1538" ca="1">INDIRECT("Data!L" &amp; 1533)</f>
        <v>0</v>
      </c>
      <c r="S1538" cm="1">
        <f t="array" aca="1" ref="S1538" ca="1">INDIRECT("Data!M" &amp; 1533)</f>
        <v>0</v>
      </c>
      <c r="T1538" cm="1">
        <f t="array" aca="1" ref="T1538" ca="1">INDIRECT("Data!N" &amp; 1533)</f>
        <v>0</v>
      </c>
      <c r="U1538" cm="1">
        <f t="array" aca="1" ref="U1538" ca="1">INDIRECT("Data!O" &amp; 1533)</f>
        <v>0</v>
      </c>
      <c r="V1538" cm="1">
        <f t="array" aca="1" ref="V1538" ca="1">INDIRECT("Data!P" &amp; 1533)</f>
        <v>0</v>
      </c>
    </row>
    <row r="1539" spans="7:22" x14ac:dyDescent="0.25">
      <c r="G1539" cm="1">
        <f t="array" aca="1" ref="G1539" ca="1">INDIRECT("Data!A" &amp; 1534)</f>
        <v>0</v>
      </c>
      <c r="H1539" s="21" cm="1">
        <f t="array" aca="1" ref="H1539" ca="1">INDIRECT("Data!B" &amp; 1534)</f>
        <v>0</v>
      </c>
      <c r="I1539" s="21" cm="1">
        <f t="array" aca="1" ref="I1539" ca="1">INDIRECT("Data!C" &amp; 1534)</f>
        <v>0</v>
      </c>
      <c r="J1539" cm="1">
        <f t="array" aca="1" ref="J1539" ca="1">INDIRECT("Data!D" &amp; 1534)</f>
        <v>0</v>
      </c>
      <c r="K1539" cm="1">
        <f t="array" aca="1" ref="K1539" ca="1">INDIRECT("Data!E" &amp; 1534)</f>
        <v>0</v>
      </c>
      <c r="L1539" cm="1">
        <f t="array" aca="1" ref="L1539" ca="1">INDIRECT("Data!F" &amp; 1534)</f>
        <v>0</v>
      </c>
      <c r="M1539" cm="1">
        <f t="array" aca="1" ref="M1539" ca="1">INDIRECT("Data!G" &amp; 1534)</f>
        <v>0</v>
      </c>
      <c r="N1539" cm="1">
        <f t="array" aca="1" ref="N1539" ca="1">INDIRECT("Data!H" &amp; 1534)</f>
        <v>0</v>
      </c>
      <c r="O1539" cm="1">
        <f t="array" aca="1" ref="O1539" ca="1">INDIRECT("Data!I" &amp; 1534)</f>
        <v>0</v>
      </c>
      <c r="P1539" s="21" cm="1">
        <f t="array" aca="1" ref="P1539" ca="1">INDIRECT("Data!J" &amp; 1534)</f>
        <v>0</v>
      </c>
      <c r="Q1539" cm="1">
        <f t="array" aca="1" ref="Q1539" ca="1">INDIRECT("Data!K" &amp; 1534)</f>
        <v>0</v>
      </c>
      <c r="R1539" cm="1">
        <f t="array" aca="1" ref="R1539" ca="1">INDIRECT("Data!L" &amp; 1534)</f>
        <v>0</v>
      </c>
      <c r="S1539" cm="1">
        <f t="array" aca="1" ref="S1539" ca="1">INDIRECT("Data!M" &amp; 1534)</f>
        <v>0</v>
      </c>
      <c r="T1539" cm="1">
        <f t="array" aca="1" ref="T1539" ca="1">INDIRECT("Data!N" &amp; 1534)</f>
        <v>0</v>
      </c>
      <c r="U1539" cm="1">
        <f t="array" aca="1" ref="U1539" ca="1">INDIRECT("Data!O" &amp; 1534)</f>
        <v>0</v>
      </c>
      <c r="V1539" cm="1">
        <f t="array" aca="1" ref="V1539" ca="1">INDIRECT("Data!P" &amp; 1534)</f>
        <v>0</v>
      </c>
    </row>
    <row r="1540" spans="7:22" x14ac:dyDescent="0.25">
      <c r="G1540" cm="1">
        <f t="array" aca="1" ref="G1540" ca="1">INDIRECT("Data!A" &amp; 1535)</f>
        <v>0</v>
      </c>
      <c r="H1540" s="21" cm="1">
        <f t="array" aca="1" ref="H1540" ca="1">INDIRECT("Data!B" &amp; 1535)</f>
        <v>0</v>
      </c>
      <c r="I1540" s="21" cm="1">
        <f t="array" aca="1" ref="I1540" ca="1">INDIRECT("Data!C" &amp; 1535)</f>
        <v>0</v>
      </c>
      <c r="J1540" cm="1">
        <f t="array" aca="1" ref="J1540" ca="1">INDIRECT("Data!D" &amp; 1535)</f>
        <v>0</v>
      </c>
      <c r="K1540" cm="1">
        <f t="array" aca="1" ref="K1540" ca="1">INDIRECT("Data!E" &amp; 1535)</f>
        <v>0</v>
      </c>
      <c r="L1540" cm="1">
        <f t="array" aca="1" ref="L1540" ca="1">INDIRECT("Data!F" &amp; 1535)</f>
        <v>0</v>
      </c>
      <c r="M1540" cm="1">
        <f t="array" aca="1" ref="M1540" ca="1">INDIRECT("Data!G" &amp; 1535)</f>
        <v>0</v>
      </c>
      <c r="N1540" cm="1">
        <f t="array" aca="1" ref="N1540" ca="1">INDIRECT("Data!H" &amp; 1535)</f>
        <v>0</v>
      </c>
      <c r="O1540" cm="1">
        <f t="array" aca="1" ref="O1540" ca="1">INDIRECT("Data!I" &amp; 1535)</f>
        <v>0</v>
      </c>
      <c r="P1540" s="21" cm="1">
        <f t="array" aca="1" ref="P1540" ca="1">INDIRECT("Data!J" &amp; 1535)</f>
        <v>0</v>
      </c>
      <c r="Q1540" cm="1">
        <f t="array" aca="1" ref="Q1540" ca="1">INDIRECT("Data!K" &amp; 1535)</f>
        <v>0</v>
      </c>
      <c r="R1540" cm="1">
        <f t="array" aca="1" ref="R1540" ca="1">INDIRECT("Data!L" &amp; 1535)</f>
        <v>0</v>
      </c>
      <c r="S1540" cm="1">
        <f t="array" aca="1" ref="S1540" ca="1">INDIRECT("Data!M" &amp; 1535)</f>
        <v>0</v>
      </c>
      <c r="T1540" cm="1">
        <f t="array" aca="1" ref="T1540" ca="1">INDIRECT("Data!N" &amp; 1535)</f>
        <v>0</v>
      </c>
      <c r="U1540" cm="1">
        <f t="array" aca="1" ref="U1540" ca="1">INDIRECT("Data!O" &amp; 1535)</f>
        <v>0</v>
      </c>
      <c r="V1540" cm="1">
        <f t="array" aca="1" ref="V1540" ca="1">INDIRECT("Data!P" &amp; 1535)</f>
        <v>0</v>
      </c>
    </row>
    <row r="1541" spans="7:22" x14ac:dyDescent="0.25">
      <c r="G1541" cm="1">
        <f t="array" aca="1" ref="G1541" ca="1">INDIRECT("Data!A" &amp; 1536)</f>
        <v>0</v>
      </c>
      <c r="H1541" s="21" cm="1">
        <f t="array" aca="1" ref="H1541" ca="1">INDIRECT("Data!B" &amp; 1536)</f>
        <v>0</v>
      </c>
      <c r="I1541" s="21" cm="1">
        <f t="array" aca="1" ref="I1541" ca="1">INDIRECT("Data!C" &amp; 1536)</f>
        <v>0</v>
      </c>
      <c r="J1541" cm="1">
        <f t="array" aca="1" ref="J1541" ca="1">INDIRECT("Data!D" &amp; 1536)</f>
        <v>0</v>
      </c>
      <c r="K1541" cm="1">
        <f t="array" aca="1" ref="K1541" ca="1">INDIRECT("Data!E" &amp; 1536)</f>
        <v>0</v>
      </c>
      <c r="L1541" cm="1">
        <f t="array" aca="1" ref="L1541" ca="1">INDIRECT("Data!F" &amp; 1536)</f>
        <v>0</v>
      </c>
      <c r="M1541" cm="1">
        <f t="array" aca="1" ref="M1541" ca="1">INDIRECT("Data!G" &amp; 1536)</f>
        <v>0</v>
      </c>
      <c r="N1541" cm="1">
        <f t="array" aca="1" ref="N1541" ca="1">INDIRECT("Data!H" &amp; 1536)</f>
        <v>0</v>
      </c>
      <c r="O1541" cm="1">
        <f t="array" aca="1" ref="O1541" ca="1">INDIRECT("Data!I" &amp; 1536)</f>
        <v>0</v>
      </c>
      <c r="P1541" s="21" cm="1">
        <f t="array" aca="1" ref="P1541" ca="1">INDIRECT("Data!J" &amp; 1536)</f>
        <v>0</v>
      </c>
      <c r="Q1541" cm="1">
        <f t="array" aca="1" ref="Q1541" ca="1">INDIRECT("Data!K" &amp; 1536)</f>
        <v>0</v>
      </c>
      <c r="R1541" cm="1">
        <f t="array" aca="1" ref="R1541" ca="1">INDIRECT("Data!L" &amp; 1536)</f>
        <v>0</v>
      </c>
      <c r="S1541" cm="1">
        <f t="array" aca="1" ref="S1541" ca="1">INDIRECT("Data!M" &amp; 1536)</f>
        <v>0</v>
      </c>
      <c r="T1541" cm="1">
        <f t="array" aca="1" ref="T1541" ca="1">INDIRECT("Data!N" &amp; 1536)</f>
        <v>0</v>
      </c>
      <c r="U1541" cm="1">
        <f t="array" aca="1" ref="U1541" ca="1">INDIRECT("Data!O" &amp; 1536)</f>
        <v>0</v>
      </c>
      <c r="V1541" cm="1">
        <f t="array" aca="1" ref="V1541" ca="1">INDIRECT("Data!P" &amp; 1536)</f>
        <v>0</v>
      </c>
    </row>
    <row r="1542" spans="7:22" x14ac:dyDescent="0.25">
      <c r="G1542" cm="1">
        <f t="array" aca="1" ref="G1542" ca="1">INDIRECT("Data!A" &amp; 1537)</f>
        <v>0</v>
      </c>
      <c r="H1542" s="21" cm="1">
        <f t="array" aca="1" ref="H1542" ca="1">INDIRECT("Data!B" &amp; 1537)</f>
        <v>0</v>
      </c>
      <c r="I1542" s="21" cm="1">
        <f t="array" aca="1" ref="I1542" ca="1">INDIRECT("Data!C" &amp; 1537)</f>
        <v>0</v>
      </c>
      <c r="J1542" cm="1">
        <f t="array" aca="1" ref="J1542" ca="1">INDIRECT("Data!D" &amp; 1537)</f>
        <v>0</v>
      </c>
      <c r="K1542" cm="1">
        <f t="array" aca="1" ref="K1542" ca="1">INDIRECT("Data!E" &amp; 1537)</f>
        <v>0</v>
      </c>
      <c r="L1542" cm="1">
        <f t="array" aca="1" ref="L1542" ca="1">INDIRECT("Data!F" &amp; 1537)</f>
        <v>0</v>
      </c>
      <c r="M1542" cm="1">
        <f t="array" aca="1" ref="M1542" ca="1">INDIRECT("Data!G" &amp; 1537)</f>
        <v>0</v>
      </c>
      <c r="N1542" cm="1">
        <f t="array" aca="1" ref="N1542" ca="1">INDIRECT("Data!H" &amp; 1537)</f>
        <v>0</v>
      </c>
      <c r="O1542" cm="1">
        <f t="array" aca="1" ref="O1542" ca="1">INDIRECT("Data!I" &amp; 1537)</f>
        <v>0</v>
      </c>
      <c r="P1542" s="21" cm="1">
        <f t="array" aca="1" ref="P1542" ca="1">INDIRECT("Data!J" &amp; 1537)</f>
        <v>0</v>
      </c>
      <c r="Q1542" cm="1">
        <f t="array" aca="1" ref="Q1542" ca="1">INDIRECT("Data!K" &amp; 1537)</f>
        <v>0</v>
      </c>
      <c r="R1542" cm="1">
        <f t="array" aca="1" ref="R1542" ca="1">INDIRECT("Data!L" &amp; 1537)</f>
        <v>0</v>
      </c>
      <c r="S1542" cm="1">
        <f t="array" aca="1" ref="S1542" ca="1">INDIRECT("Data!M" &amp; 1537)</f>
        <v>0</v>
      </c>
      <c r="T1542" cm="1">
        <f t="array" aca="1" ref="T1542" ca="1">INDIRECT("Data!N" &amp; 1537)</f>
        <v>0</v>
      </c>
      <c r="U1542" cm="1">
        <f t="array" aca="1" ref="U1542" ca="1">INDIRECT("Data!O" &amp; 1537)</f>
        <v>0</v>
      </c>
      <c r="V1542" cm="1">
        <f t="array" aca="1" ref="V1542" ca="1">INDIRECT("Data!P" &amp; 1537)</f>
        <v>0</v>
      </c>
    </row>
    <row r="1543" spans="7:22" x14ac:dyDescent="0.25">
      <c r="G1543" cm="1">
        <f t="array" aca="1" ref="G1543" ca="1">INDIRECT("Data!A" &amp; 1538)</f>
        <v>0</v>
      </c>
      <c r="H1543" s="21" cm="1">
        <f t="array" aca="1" ref="H1543" ca="1">INDIRECT("Data!B" &amp; 1538)</f>
        <v>0</v>
      </c>
      <c r="I1543" s="21" cm="1">
        <f t="array" aca="1" ref="I1543" ca="1">INDIRECT("Data!C" &amp; 1538)</f>
        <v>0</v>
      </c>
      <c r="J1543" cm="1">
        <f t="array" aca="1" ref="J1543" ca="1">INDIRECT("Data!D" &amp; 1538)</f>
        <v>0</v>
      </c>
      <c r="K1543" cm="1">
        <f t="array" aca="1" ref="K1543" ca="1">INDIRECT("Data!E" &amp; 1538)</f>
        <v>0</v>
      </c>
      <c r="L1543" cm="1">
        <f t="array" aca="1" ref="L1543" ca="1">INDIRECT("Data!F" &amp; 1538)</f>
        <v>0</v>
      </c>
      <c r="M1543" cm="1">
        <f t="array" aca="1" ref="M1543" ca="1">INDIRECT("Data!G" &amp; 1538)</f>
        <v>0</v>
      </c>
      <c r="N1543" cm="1">
        <f t="array" aca="1" ref="N1543" ca="1">INDIRECT("Data!H" &amp; 1538)</f>
        <v>0</v>
      </c>
      <c r="O1543" cm="1">
        <f t="array" aca="1" ref="O1543" ca="1">INDIRECT("Data!I" &amp; 1538)</f>
        <v>0</v>
      </c>
      <c r="P1543" s="21" cm="1">
        <f t="array" aca="1" ref="P1543" ca="1">INDIRECT("Data!J" &amp; 1538)</f>
        <v>0</v>
      </c>
      <c r="Q1543" cm="1">
        <f t="array" aca="1" ref="Q1543" ca="1">INDIRECT("Data!K" &amp; 1538)</f>
        <v>0</v>
      </c>
      <c r="R1543" cm="1">
        <f t="array" aca="1" ref="R1543" ca="1">INDIRECT("Data!L" &amp; 1538)</f>
        <v>0</v>
      </c>
      <c r="S1543" cm="1">
        <f t="array" aca="1" ref="S1543" ca="1">INDIRECT("Data!M" &amp; 1538)</f>
        <v>0</v>
      </c>
      <c r="T1543" cm="1">
        <f t="array" aca="1" ref="T1543" ca="1">INDIRECT("Data!N" &amp; 1538)</f>
        <v>0</v>
      </c>
      <c r="U1543" cm="1">
        <f t="array" aca="1" ref="U1543" ca="1">INDIRECT("Data!O" &amp; 1538)</f>
        <v>0</v>
      </c>
      <c r="V1543" cm="1">
        <f t="array" aca="1" ref="V1543" ca="1">INDIRECT("Data!P" &amp; 1538)</f>
        <v>0</v>
      </c>
    </row>
    <row r="1544" spans="7:22" x14ac:dyDescent="0.25">
      <c r="G1544" cm="1">
        <f t="array" aca="1" ref="G1544" ca="1">INDIRECT("Data!A" &amp; 1539)</f>
        <v>0</v>
      </c>
      <c r="H1544" s="21" cm="1">
        <f t="array" aca="1" ref="H1544" ca="1">INDIRECT("Data!B" &amp; 1539)</f>
        <v>0</v>
      </c>
      <c r="I1544" s="21" cm="1">
        <f t="array" aca="1" ref="I1544" ca="1">INDIRECT("Data!C" &amp; 1539)</f>
        <v>0</v>
      </c>
      <c r="J1544" cm="1">
        <f t="array" aca="1" ref="J1544" ca="1">INDIRECT("Data!D" &amp; 1539)</f>
        <v>0</v>
      </c>
      <c r="K1544" cm="1">
        <f t="array" aca="1" ref="K1544" ca="1">INDIRECT("Data!E" &amp; 1539)</f>
        <v>0</v>
      </c>
      <c r="L1544" cm="1">
        <f t="array" aca="1" ref="L1544" ca="1">INDIRECT("Data!F" &amp; 1539)</f>
        <v>0</v>
      </c>
      <c r="M1544" cm="1">
        <f t="array" aca="1" ref="M1544" ca="1">INDIRECT("Data!G" &amp; 1539)</f>
        <v>0</v>
      </c>
      <c r="N1544" cm="1">
        <f t="array" aca="1" ref="N1544" ca="1">INDIRECT("Data!H" &amp; 1539)</f>
        <v>0</v>
      </c>
      <c r="O1544" cm="1">
        <f t="array" aca="1" ref="O1544" ca="1">INDIRECT("Data!I" &amp; 1539)</f>
        <v>0</v>
      </c>
      <c r="P1544" s="21" cm="1">
        <f t="array" aca="1" ref="P1544" ca="1">INDIRECT("Data!J" &amp; 1539)</f>
        <v>0</v>
      </c>
      <c r="Q1544" cm="1">
        <f t="array" aca="1" ref="Q1544" ca="1">INDIRECT("Data!K" &amp; 1539)</f>
        <v>0</v>
      </c>
      <c r="R1544" cm="1">
        <f t="array" aca="1" ref="R1544" ca="1">INDIRECT("Data!L" &amp; 1539)</f>
        <v>0</v>
      </c>
      <c r="S1544" cm="1">
        <f t="array" aca="1" ref="S1544" ca="1">INDIRECT("Data!M" &amp; 1539)</f>
        <v>0</v>
      </c>
      <c r="T1544" cm="1">
        <f t="array" aca="1" ref="T1544" ca="1">INDIRECT("Data!N" &amp; 1539)</f>
        <v>0</v>
      </c>
      <c r="U1544" cm="1">
        <f t="array" aca="1" ref="U1544" ca="1">INDIRECT("Data!O" &amp; 1539)</f>
        <v>0</v>
      </c>
      <c r="V1544" cm="1">
        <f t="array" aca="1" ref="V1544" ca="1">INDIRECT("Data!P" &amp; 1539)</f>
        <v>0</v>
      </c>
    </row>
    <row r="1545" spans="7:22" x14ac:dyDescent="0.25">
      <c r="G1545" cm="1">
        <f t="array" aca="1" ref="G1545" ca="1">INDIRECT("Data!A" &amp; 1540)</f>
        <v>0</v>
      </c>
      <c r="H1545" s="21" cm="1">
        <f t="array" aca="1" ref="H1545" ca="1">INDIRECT("Data!B" &amp; 1540)</f>
        <v>0</v>
      </c>
      <c r="I1545" s="21" cm="1">
        <f t="array" aca="1" ref="I1545" ca="1">INDIRECT("Data!C" &amp; 1540)</f>
        <v>0</v>
      </c>
      <c r="J1545" cm="1">
        <f t="array" aca="1" ref="J1545" ca="1">INDIRECT("Data!D" &amp; 1540)</f>
        <v>0</v>
      </c>
      <c r="K1545" cm="1">
        <f t="array" aca="1" ref="K1545" ca="1">INDIRECT("Data!E" &amp; 1540)</f>
        <v>0</v>
      </c>
      <c r="L1545" cm="1">
        <f t="array" aca="1" ref="L1545" ca="1">INDIRECT("Data!F" &amp; 1540)</f>
        <v>0</v>
      </c>
      <c r="M1545" cm="1">
        <f t="array" aca="1" ref="M1545" ca="1">INDIRECT("Data!G" &amp; 1540)</f>
        <v>0</v>
      </c>
      <c r="N1545" cm="1">
        <f t="array" aca="1" ref="N1545" ca="1">INDIRECT("Data!H" &amp; 1540)</f>
        <v>0</v>
      </c>
      <c r="O1545" cm="1">
        <f t="array" aca="1" ref="O1545" ca="1">INDIRECT("Data!I" &amp; 1540)</f>
        <v>0</v>
      </c>
      <c r="P1545" s="21" cm="1">
        <f t="array" aca="1" ref="P1545" ca="1">INDIRECT("Data!J" &amp; 1540)</f>
        <v>0</v>
      </c>
      <c r="Q1545" cm="1">
        <f t="array" aca="1" ref="Q1545" ca="1">INDIRECT("Data!K" &amp; 1540)</f>
        <v>0</v>
      </c>
      <c r="R1545" cm="1">
        <f t="array" aca="1" ref="R1545" ca="1">INDIRECT("Data!L" &amp; 1540)</f>
        <v>0</v>
      </c>
      <c r="S1545" cm="1">
        <f t="array" aca="1" ref="S1545" ca="1">INDIRECT("Data!M" &amp; 1540)</f>
        <v>0</v>
      </c>
      <c r="T1545" cm="1">
        <f t="array" aca="1" ref="T1545" ca="1">INDIRECT("Data!N" &amp; 1540)</f>
        <v>0</v>
      </c>
      <c r="U1545" cm="1">
        <f t="array" aca="1" ref="U1545" ca="1">INDIRECT("Data!O" &amp; 1540)</f>
        <v>0</v>
      </c>
      <c r="V1545" cm="1">
        <f t="array" aca="1" ref="V1545" ca="1">INDIRECT("Data!P" &amp; 1540)</f>
        <v>0</v>
      </c>
    </row>
    <row r="1546" spans="7:22" x14ac:dyDescent="0.25">
      <c r="G1546" cm="1">
        <f t="array" aca="1" ref="G1546" ca="1">INDIRECT("Data!A" &amp; 1541)</f>
        <v>0</v>
      </c>
      <c r="H1546" s="21" cm="1">
        <f t="array" aca="1" ref="H1546" ca="1">INDIRECT("Data!B" &amp; 1541)</f>
        <v>0</v>
      </c>
      <c r="I1546" s="21" cm="1">
        <f t="array" aca="1" ref="I1546" ca="1">INDIRECT("Data!C" &amp; 1541)</f>
        <v>0</v>
      </c>
      <c r="J1546" cm="1">
        <f t="array" aca="1" ref="J1546" ca="1">INDIRECT("Data!D" &amp; 1541)</f>
        <v>0</v>
      </c>
      <c r="K1546" cm="1">
        <f t="array" aca="1" ref="K1546" ca="1">INDIRECT("Data!E" &amp; 1541)</f>
        <v>0</v>
      </c>
      <c r="L1546" cm="1">
        <f t="array" aca="1" ref="L1546" ca="1">INDIRECT("Data!F" &amp; 1541)</f>
        <v>0</v>
      </c>
      <c r="M1546" cm="1">
        <f t="array" aca="1" ref="M1546" ca="1">INDIRECT("Data!G" &amp; 1541)</f>
        <v>0</v>
      </c>
      <c r="N1546" cm="1">
        <f t="array" aca="1" ref="N1546" ca="1">INDIRECT("Data!H" &amp; 1541)</f>
        <v>0</v>
      </c>
      <c r="O1546" cm="1">
        <f t="array" aca="1" ref="O1546" ca="1">INDIRECT("Data!I" &amp; 1541)</f>
        <v>0</v>
      </c>
      <c r="P1546" s="21" cm="1">
        <f t="array" aca="1" ref="P1546" ca="1">INDIRECT("Data!J" &amp; 1541)</f>
        <v>0</v>
      </c>
      <c r="Q1546" cm="1">
        <f t="array" aca="1" ref="Q1546" ca="1">INDIRECT("Data!K" &amp; 1541)</f>
        <v>0</v>
      </c>
      <c r="R1546" cm="1">
        <f t="array" aca="1" ref="R1546" ca="1">INDIRECT("Data!L" &amp; 1541)</f>
        <v>0</v>
      </c>
      <c r="S1546" cm="1">
        <f t="array" aca="1" ref="S1546" ca="1">INDIRECT("Data!M" &amp; 1541)</f>
        <v>0</v>
      </c>
      <c r="T1546" cm="1">
        <f t="array" aca="1" ref="T1546" ca="1">INDIRECT("Data!N" &amp; 1541)</f>
        <v>0</v>
      </c>
      <c r="U1546" cm="1">
        <f t="array" aca="1" ref="U1546" ca="1">INDIRECT("Data!O" &amp; 1541)</f>
        <v>0</v>
      </c>
      <c r="V1546" cm="1">
        <f t="array" aca="1" ref="V1546" ca="1">INDIRECT("Data!P" &amp; 1541)</f>
        <v>0</v>
      </c>
    </row>
    <row r="1547" spans="7:22" x14ac:dyDescent="0.25">
      <c r="G1547" cm="1">
        <f t="array" aca="1" ref="G1547" ca="1">INDIRECT("Data!A" &amp; 1542)</f>
        <v>0</v>
      </c>
      <c r="H1547" s="21" cm="1">
        <f t="array" aca="1" ref="H1547" ca="1">INDIRECT("Data!B" &amp; 1542)</f>
        <v>0</v>
      </c>
      <c r="I1547" s="21" cm="1">
        <f t="array" aca="1" ref="I1547" ca="1">INDIRECT("Data!C" &amp; 1542)</f>
        <v>0</v>
      </c>
      <c r="J1547" cm="1">
        <f t="array" aca="1" ref="J1547" ca="1">INDIRECT("Data!D" &amp; 1542)</f>
        <v>0</v>
      </c>
      <c r="K1547" cm="1">
        <f t="array" aca="1" ref="K1547" ca="1">INDIRECT("Data!E" &amp; 1542)</f>
        <v>0</v>
      </c>
      <c r="L1547" cm="1">
        <f t="array" aca="1" ref="L1547" ca="1">INDIRECT("Data!F" &amp; 1542)</f>
        <v>0</v>
      </c>
      <c r="M1547" cm="1">
        <f t="array" aca="1" ref="M1547" ca="1">INDIRECT("Data!G" &amp; 1542)</f>
        <v>0</v>
      </c>
      <c r="N1547" cm="1">
        <f t="array" aca="1" ref="N1547" ca="1">INDIRECT("Data!H" &amp; 1542)</f>
        <v>0</v>
      </c>
      <c r="O1547" cm="1">
        <f t="array" aca="1" ref="O1547" ca="1">INDIRECT("Data!I" &amp; 1542)</f>
        <v>0</v>
      </c>
      <c r="P1547" s="21" cm="1">
        <f t="array" aca="1" ref="P1547" ca="1">INDIRECT("Data!J" &amp; 1542)</f>
        <v>0</v>
      </c>
      <c r="Q1547" cm="1">
        <f t="array" aca="1" ref="Q1547" ca="1">INDIRECT("Data!K" &amp; 1542)</f>
        <v>0</v>
      </c>
      <c r="R1547" cm="1">
        <f t="array" aca="1" ref="R1547" ca="1">INDIRECT("Data!L" &amp; 1542)</f>
        <v>0</v>
      </c>
      <c r="S1547" cm="1">
        <f t="array" aca="1" ref="S1547" ca="1">INDIRECT("Data!M" &amp; 1542)</f>
        <v>0</v>
      </c>
      <c r="T1547" cm="1">
        <f t="array" aca="1" ref="T1547" ca="1">INDIRECT("Data!N" &amp; 1542)</f>
        <v>0</v>
      </c>
      <c r="U1547" cm="1">
        <f t="array" aca="1" ref="U1547" ca="1">INDIRECT("Data!O" &amp; 1542)</f>
        <v>0</v>
      </c>
      <c r="V1547" cm="1">
        <f t="array" aca="1" ref="V1547" ca="1">INDIRECT("Data!P" &amp; 1542)</f>
        <v>0</v>
      </c>
    </row>
    <row r="1548" spans="7:22" x14ac:dyDescent="0.25">
      <c r="G1548" cm="1">
        <f t="array" aca="1" ref="G1548" ca="1">INDIRECT("Data!A" &amp; 1543)</f>
        <v>0</v>
      </c>
      <c r="H1548" s="21" cm="1">
        <f t="array" aca="1" ref="H1548" ca="1">INDIRECT("Data!B" &amp; 1543)</f>
        <v>0</v>
      </c>
      <c r="I1548" s="21" cm="1">
        <f t="array" aca="1" ref="I1548" ca="1">INDIRECT("Data!C" &amp; 1543)</f>
        <v>0</v>
      </c>
      <c r="J1548" cm="1">
        <f t="array" aca="1" ref="J1548" ca="1">INDIRECT("Data!D" &amp; 1543)</f>
        <v>0</v>
      </c>
      <c r="K1548" cm="1">
        <f t="array" aca="1" ref="K1548" ca="1">INDIRECT("Data!E" &amp; 1543)</f>
        <v>0</v>
      </c>
      <c r="L1548" cm="1">
        <f t="array" aca="1" ref="L1548" ca="1">INDIRECT("Data!F" &amp; 1543)</f>
        <v>0</v>
      </c>
      <c r="M1548" cm="1">
        <f t="array" aca="1" ref="M1548" ca="1">INDIRECT("Data!G" &amp; 1543)</f>
        <v>0</v>
      </c>
      <c r="N1548" cm="1">
        <f t="array" aca="1" ref="N1548" ca="1">INDIRECT("Data!H" &amp; 1543)</f>
        <v>0</v>
      </c>
      <c r="O1548" cm="1">
        <f t="array" aca="1" ref="O1548" ca="1">INDIRECT("Data!I" &amp; 1543)</f>
        <v>0</v>
      </c>
      <c r="P1548" s="21" cm="1">
        <f t="array" aca="1" ref="P1548" ca="1">INDIRECT("Data!J" &amp; 1543)</f>
        <v>0</v>
      </c>
      <c r="Q1548" cm="1">
        <f t="array" aca="1" ref="Q1548" ca="1">INDIRECT("Data!K" &amp; 1543)</f>
        <v>0</v>
      </c>
      <c r="R1548" cm="1">
        <f t="array" aca="1" ref="R1548" ca="1">INDIRECT("Data!L" &amp; 1543)</f>
        <v>0</v>
      </c>
      <c r="S1548" cm="1">
        <f t="array" aca="1" ref="S1548" ca="1">INDIRECT("Data!M" &amp; 1543)</f>
        <v>0</v>
      </c>
      <c r="T1548" cm="1">
        <f t="array" aca="1" ref="T1548" ca="1">INDIRECT("Data!N" &amp; 1543)</f>
        <v>0</v>
      </c>
      <c r="U1548" cm="1">
        <f t="array" aca="1" ref="U1548" ca="1">INDIRECT("Data!O" &amp; 1543)</f>
        <v>0</v>
      </c>
      <c r="V1548" cm="1">
        <f t="array" aca="1" ref="V1548" ca="1">INDIRECT("Data!P" &amp; 1543)</f>
        <v>0</v>
      </c>
    </row>
    <row r="1549" spans="7:22" x14ac:dyDescent="0.25">
      <c r="G1549" cm="1">
        <f t="array" aca="1" ref="G1549" ca="1">INDIRECT("Data!A" &amp; 1544)</f>
        <v>0</v>
      </c>
      <c r="H1549" s="21" cm="1">
        <f t="array" aca="1" ref="H1549" ca="1">INDIRECT("Data!B" &amp; 1544)</f>
        <v>0</v>
      </c>
      <c r="I1549" s="21" cm="1">
        <f t="array" aca="1" ref="I1549" ca="1">INDIRECT("Data!C" &amp; 1544)</f>
        <v>0</v>
      </c>
      <c r="J1549" cm="1">
        <f t="array" aca="1" ref="J1549" ca="1">INDIRECT("Data!D" &amp; 1544)</f>
        <v>0</v>
      </c>
      <c r="K1549" cm="1">
        <f t="array" aca="1" ref="K1549" ca="1">INDIRECT("Data!E" &amp; 1544)</f>
        <v>0</v>
      </c>
      <c r="L1549" cm="1">
        <f t="array" aca="1" ref="L1549" ca="1">INDIRECT("Data!F" &amp; 1544)</f>
        <v>0</v>
      </c>
      <c r="M1549" cm="1">
        <f t="array" aca="1" ref="M1549" ca="1">INDIRECT("Data!G" &amp; 1544)</f>
        <v>0</v>
      </c>
      <c r="N1549" cm="1">
        <f t="array" aca="1" ref="N1549" ca="1">INDIRECT("Data!H" &amp; 1544)</f>
        <v>0</v>
      </c>
      <c r="O1549" cm="1">
        <f t="array" aca="1" ref="O1549" ca="1">INDIRECT("Data!I" &amp; 1544)</f>
        <v>0</v>
      </c>
      <c r="P1549" s="21" cm="1">
        <f t="array" aca="1" ref="P1549" ca="1">INDIRECT("Data!J" &amp; 1544)</f>
        <v>0</v>
      </c>
      <c r="Q1549" cm="1">
        <f t="array" aca="1" ref="Q1549" ca="1">INDIRECT("Data!K" &amp; 1544)</f>
        <v>0</v>
      </c>
      <c r="R1549" cm="1">
        <f t="array" aca="1" ref="R1549" ca="1">INDIRECT("Data!L" &amp; 1544)</f>
        <v>0</v>
      </c>
      <c r="S1549" cm="1">
        <f t="array" aca="1" ref="S1549" ca="1">INDIRECT("Data!M" &amp; 1544)</f>
        <v>0</v>
      </c>
      <c r="T1549" cm="1">
        <f t="array" aca="1" ref="T1549" ca="1">INDIRECT("Data!N" &amp; 1544)</f>
        <v>0</v>
      </c>
      <c r="U1549" cm="1">
        <f t="array" aca="1" ref="U1549" ca="1">INDIRECT("Data!O" &amp; 1544)</f>
        <v>0</v>
      </c>
      <c r="V1549" cm="1">
        <f t="array" aca="1" ref="V1549" ca="1">INDIRECT("Data!P" &amp; 1544)</f>
        <v>0</v>
      </c>
    </row>
    <row r="1550" spans="7:22" x14ac:dyDescent="0.25">
      <c r="G1550" cm="1">
        <f t="array" aca="1" ref="G1550" ca="1">INDIRECT("Data!A" &amp; 1545)</f>
        <v>0</v>
      </c>
      <c r="H1550" s="21" cm="1">
        <f t="array" aca="1" ref="H1550" ca="1">INDIRECT("Data!B" &amp; 1545)</f>
        <v>0</v>
      </c>
      <c r="I1550" s="21" cm="1">
        <f t="array" aca="1" ref="I1550" ca="1">INDIRECT("Data!C" &amp; 1545)</f>
        <v>0</v>
      </c>
      <c r="J1550" cm="1">
        <f t="array" aca="1" ref="J1550" ca="1">INDIRECT("Data!D" &amp; 1545)</f>
        <v>0</v>
      </c>
      <c r="K1550" cm="1">
        <f t="array" aca="1" ref="K1550" ca="1">INDIRECT("Data!E" &amp; 1545)</f>
        <v>0</v>
      </c>
      <c r="L1550" cm="1">
        <f t="array" aca="1" ref="L1550" ca="1">INDIRECT("Data!F" &amp; 1545)</f>
        <v>0</v>
      </c>
      <c r="M1550" cm="1">
        <f t="array" aca="1" ref="M1550" ca="1">INDIRECT("Data!G" &amp; 1545)</f>
        <v>0</v>
      </c>
      <c r="N1550" cm="1">
        <f t="array" aca="1" ref="N1550" ca="1">INDIRECT("Data!H" &amp; 1545)</f>
        <v>0</v>
      </c>
      <c r="O1550" cm="1">
        <f t="array" aca="1" ref="O1550" ca="1">INDIRECT("Data!I" &amp; 1545)</f>
        <v>0</v>
      </c>
      <c r="P1550" s="21" cm="1">
        <f t="array" aca="1" ref="P1550" ca="1">INDIRECT("Data!J" &amp; 1545)</f>
        <v>0</v>
      </c>
      <c r="Q1550" cm="1">
        <f t="array" aca="1" ref="Q1550" ca="1">INDIRECT("Data!K" &amp; 1545)</f>
        <v>0</v>
      </c>
      <c r="R1550" cm="1">
        <f t="array" aca="1" ref="R1550" ca="1">INDIRECT("Data!L" &amp; 1545)</f>
        <v>0</v>
      </c>
      <c r="S1550" cm="1">
        <f t="array" aca="1" ref="S1550" ca="1">INDIRECT("Data!M" &amp; 1545)</f>
        <v>0</v>
      </c>
      <c r="T1550" cm="1">
        <f t="array" aca="1" ref="T1550" ca="1">INDIRECT("Data!N" &amp; 1545)</f>
        <v>0</v>
      </c>
      <c r="U1550" cm="1">
        <f t="array" aca="1" ref="U1550" ca="1">INDIRECT("Data!O" &amp; 1545)</f>
        <v>0</v>
      </c>
      <c r="V1550" cm="1">
        <f t="array" aca="1" ref="V1550" ca="1">INDIRECT("Data!P" &amp; 1545)</f>
        <v>0</v>
      </c>
    </row>
    <row r="1551" spans="7:22" x14ac:dyDescent="0.25">
      <c r="G1551" cm="1">
        <f t="array" aca="1" ref="G1551" ca="1">INDIRECT("Data!A" &amp; 1546)</f>
        <v>0</v>
      </c>
      <c r="H1551" s="21" cm="1">
        <f t="array" aca="1" ref="H1551" ca="1">INDIRECT("Data!B" &amp; 1546)</f>
        <v>0</v>
      </c>
      <c r="I1551" s="21" cm="1">
        <f t="array" aca="1" ref="I1551" ca="1">INDIRECT("Data!C" &amp; 1546)</f>
        <v>0</v>
      </c>
      <c r="J1551" cm="1">
        <f t="array" aca="1" ref="J1551" ca="1">INDIRECT("Data!D" &amp; 1546)</f>
        <v>0</v>
      </c>
      <c r="K1551" cm="1">
        <f t="array" aca="1" ref="K1551" ca="1">INDIRECT("Data!E" &amp; 1546)</f>
        <v>0</v>
      </c>
      <c r="L1551" cm="1">
        <f t="array" aca="1" ref="L1551" ca="1">INDIRECT("Data!F" &amp; 1546)</f>
        <v>0</v>
      </c>
      <c r="M1551" cm="1">
        <f t="array" aca="1" ref="M1551" ca="1">INDIRECT("Data!G" &amp; 1546)</f>
        <v>0</v>
      </c>
      <c r="N1551" cm="1">
        <f t="array" aca="1" ref="N1551" ca="1">INDIRECT("Data!H" &amp; 1546)</f>
        <v>0</v>
      </c>
      <c r="O1551" cm="1">
        <f t="array" aca="1" ref="O1551" ca="1">INDIRECT("Data!I" &amp; 1546)</f>
        <v>0</v>
      </c>
      <c r="P1551" s="21" cm="1">
        <f t="array" aca="1" ref="P1551" ca="1">INDIRECT("Data!J" &amp; 1546)</f>
        <v>0</v>
      </c>
      <c r="Q1551" cm="1">
        <f t="array" aca="1" ref="Q1551" ca="1">INDIRECT("Data!K" &amp; 1546)</f>
        <v>0</v>
      </c>
      <c r="R1551" cm="1">
        <f t="array" aca="1" ref="R1551" ca="1">INDIRECT("Data!L" &amp; 1546)</f>
        <v>0</v>
      </c>
      <c r="S1551" cm="1">
        <f t="array" aca="1" ref="S1551" ca="1">INDIRECT("Data!M" &amp; 1546)</f>
        <v>0</v>
      </c>
      <c r="T1551" cm="1">
        <f t="array" aca="1" ref="T1551" ca="1">INDIRECT("Data!N" &amp; 1546)</f>
        <v>0</v>
      </c>
      <c r="U1551" cm="1">
        <f t="array" aca="1" ref="U1551" ca="1">INDIRECT("Data!O" &amp; 1546)</f>
        <v>0</v>
      </c>
      <c r="V1551" cm="1">
        <f t="array" aca="1" ref="V1551" ca="1">INDIRECT("Data!P" &amp; 1546)</f>
        <v>0</v>
      </c>
    </row>
    <row r="1552" spans="7:22" x14ac:dyDescent="0.25">
      <c r="G1552" cm="1">
        <f t="array" aca="1" ref="G1552" ca="1">INDIRECT("Data!A" &amp; 1547)</f>
        <v>0</v>
      </c>
      <c r="H1552" s="21" cm="1">
        <f t="array" aca="1" ref="H1552" ca="1">INDIRECT("Data!B" &amp; 1547)</f>
        <v>0</v>
      </c>
      <c r="I1552" s="21" cm="1">
        <f t="array" aca="1" ref="I1552" ca="1">INDIRECT("Data!C" &amp; 1547)</f>
        <v>0</v>
      </c>
      <c r="J1552" cm="1">
        <f t="array" aca="1" ref="J1552" ca="1">INDIRECT("Data!D" &amp; 1547)</f>
        <v>0</v>
      </c>
      <c r="K1552" cm="1">
        <f t="array" aca="1" ref="K1552" ca="1">INDIRECT("Data!E" &amp; 1547)</f>
        <v>0</v>
      </c>
      <c r="L1552" cm="1">
        <f t="array" aca="1" ref="L1552" ca="1">INDIRECT("Data!F" &amp; 1547)</f>
        <v>0</v>
      </c>
      <c r="M1552" cm="1">
        <f t="array" aca="1" ref="M1552" ca="1">INDIRECT("Data!G" &amp; 1547)</f>
        <v>0</v>
      </c>
      <c r="N1552" cm="1">
        <f t="array" aca="1" ref="N1552" ca="1">INDIRECT("Data!H" &amp; 1547)</f>
        <v>0</v>
      </c>
      <c r="O1552" cm="1">
        <f t="array" aca="1" ref="O1552" ca="1">INDIRECT("Data!I" &amp; 1547)</f>
        <v>0</v>
      </c>
      <c r="P1552" s="21" cm="1">
        <f t="array" aca="1" ref="P1552" ca="1">INDIRECT("Data!J" &amp; 1547)</f>
        <v>0</v>
      </c>
      <c r="Q1552" cm="1">
        <f t="array" aca="1" ref="Q1552" ca="1">INDIRECT("Data!K" &amp; 1547)</f>
        <v>0</v>
      </c>
      <c r="R1552" cm="1">
        <f t="array" aca="1" ref="R1552" ca="1">INDIRECT("Data!L" &amp; 1547)</f>
        <v>0</v>
      </c>
      <c r="S1552" cm="1">
        <f t="array" aca="1" ref="S1552" ca="1">INDIRECT("Data!M" &amp; 1547)</f>
        <v>0</v>
      </c>
      <c r="T1552" cm="1">
        <f t="array" aca="1" ref="T1552" ca="1">INDIRECT("Data!N" &amp; 1547)</f>
        <v>0</v>
      </c>
      <c r="U1552" cm="1">
        <f t="array" aca="1" ref="U1552" ca="1">INDIRECT("Data!O" &amp; 1547)</f>
        <v>0</v>
      </c>
      <c r="V1552" cm="1">
        <f t="array" aca="1" ref="V1552" ca="1">INDIRECT("Data!P" &amp; 1547)</f>
        <v>0</v>
      </c>
    </row>
    <row r="1553" spans="7:22" x14ac:dyDescent="0.25">
      <c r="G1553" cm="1">
        <f t="array" aca="1" ref="G1553" ca="1">INDIRECT("Data!A" &amp; 1548)</f>
        <v>0</v>
      </c>
      <c r="H1553" s="21" cm="1">
        <f t="array" aca="1" ref="H1553" ca="1">INDIRECT("Data!B" &amp; 1548)</f>
        <v>0</v>
      </c>
      <c r="I1553" s="21" cm="1">
        <f t="array" aca="1" ref="I1553" ca="1">INDIRECT("Data!C" &amp; 1548)</f>
        <v>0</v>
      </c>
      <c r="J1553" cm="1">
        <f t="array" aca="1" ref="J1553" ca="1">INDIRECT("Data!D" &amp; 1548)</f>
        <v>0</v>
      </c>
      <c r="K1553" cm="1">
        <f t="array" aca="1" ref="K1553" ca="1">INDIRECT("Data!E" &amp; 1548)</f>
        <v>0</v>
      </c>
      <c r="L1553" cm="1">
        <f t="array" aca="1" ref="L1553" ca="1">INDIRECT("Data!F" &amp; 1548)</f>
        <v>0</v>
      </c>
      <c r="M1553" cm="1">
        <f t="array" aca="1" ref="M1553" ca="1">INDIRECT("Data!G" &amp; 1548)</f>
        <v>0</v>
      </c>
      <c r="N1553" cm="1">
        <f t="array" aca="1" ref="N1553" ca="1">INDIRECT("Data!H" &amp; 1548)</f>
        <v>0</v>
      </c>
      <c r="O1553" cm="1">
        <f t="array" aca="1" ref="O1553" ca="1">INDIRECT("Data!I" &amp; 1548)</f>
        <v>0</v>
      </c>
      <c r="P1553" s="21" cm="1">
        <f t="array" aca="1" ref="P1553" ca="1">INDIRECT("Data!J" &amp; 1548)</f>
        <v>0</v>
      </c>
      <c r="Q1553" cm="1">
        <f t="array" aca="1" ref="Q1553" ca="1">INDIRECT("Data!K" &amp; 1548)</f>
        <v>0</v>
      </c>
      <c r="R1553" cm="1">
        <f t="array" aca="1" ref="R1553" ca="1">INDIRECT("Data!L" &amp; 1548)</f>
        <v>0</v>
      </c>
      <c r="S1553" cm="1">
        <f t="array" aca="1" ref="S1553" ca="1">INDIRECT("Data!M" &amp; 1548)</f>
        <v>0</v>
      </c>
      <c r="T1553" cm="1">
        <f t="array" aca="1" ref="T1553" ca="1">INDIRECT("Data!N" &amp; 1548)</f>
        <v>0</v>
      </c>
      <c r="U1553" cm="1">
        <f t="array" aca="1" ref="U1553" ca="1">INDIRECT("Data!O" &amp; 1548)</f>
        <v>0</v>
      </c>
      <c r="V1553" cm="1">
        <f t="array" aca="1" ref="V1553" ca="1">INDIRECT("Data!P" &amp; 1548)</f>
        <v>0</v>
      </c>
    </row>
    <row r="1554" spans="7:22" x14ac:dyDescent="0.25">
      <c r="G1554" cm="1">
        <f t="array" aca="1" ref="G1554" ca="1">INDIRECT("Data!A" &amp; 1549)</f>
        <v>0</v>
      </c>
      <c r="H1554" s="21" cm="1">
        <f t="array" aca="1" ref="H1554" ca="1">INDIRECT("Data!B" &amp; 1549)</f>
        <v>0</v>
      </c>
      <c r="I1554" s="21" cm="1">
        <f t="array" aca="1" ref="I1554" ca="1">INDIRECT("Data!C" &amp; 1549)</f>
        <v>0</v>
      </c>
      <c r="J1554" cm="1">
        <f t="array" aca="1" ref="J1554" ca="1">INDIRECT("Data!D" &amp; 1549)</f>
        <v>0</v>
      </c>
      <c r="K1554" cm="1">
        <f t="array" aca="1" ref="K1554" ca="1">INDIRECT("Data!E" &amp; 1549)</f>
        <v>0</v>
      </c>
      <c r="L1554" cm="1">
        <f t="array" aca="1" ref="L1554" ca="1">INDIRECT("Data!F" &amp; 1549)</f>
        <v>0</v>
      </c>
      <c r="M1554" cm="1">
        <f t="array" aca="1" ref="M1554" ca="1">INDIRECT("Data!G" &amp; 1549)</f>
        <v>0</v>
      </c>
      <c r="N1554" cm="1">
        <f t="array" aca="1" ref="N1554" ca="1">INDIRECT("Data!H" &amp; 1549)</f>
        <v>0</v>
      </c>
      <c r="O1554" cm="1">
        <f t="array" aca="1" ref="O1554" ca="1">INDIRECT("Data!I" &amp; 1549)</f>
        <v>0</v>
      </c>
      <c r="P1554" s="21" cm="1">
        <f t="array" aca="1" ref="P1554" ca="1">INDIRECT("Data!J" &amp; 1549)</f>
        <v>0</v>
      </c>
      <c r="Q1554" cm="1">
        <f t="array" aca="1" ref="Q1554" ca="1">INDIRECT("Data!K" &amp; 1549)</f>
        <v>0</v>
      </c>
      <c r="R1554" cm="1">
        <f t="array" aca="1" ref="R1554" ca="1">INDIRECT("Data!L" &amp; 1549)</f>
        <v>0</v>
      </c>
      <c r="S1554" cm="1">
        <f t="array" aca="1" ref="S1554" ca="1">INDIRECT("Data!M" &amp; 1549)</f>
        <v>0</v>
      </c>
      <c r="T1554" cm="1">
        <f t="array" aca="1" ref="T1554" ca="1">INDIRECT("Data!N" &amp; 1549)</f>
        <v>0</v>
      </c>
      <c r="U1554" cm="1">
        <f t="array" aca="1" ref="U1554" ca="1">INDIRECT("Data!O" &amp; 1549)</f>
        <v>0</v>
      </c>
      <c r="V1554" cm="1">
        <f t="array" aca="1" ref="V1554" ca="1">INDIRECT("Data!P" &amp; 1549)</f>
        <v>0</v>
      </c>
    </row>
    <row r="1555" spans="7:22" x14ac:dyDescent="0.25">
      <c r="G1555" cm="1">
        <f t="array" aca="1" ref="G1555" ca="1">INDIRECT("Data!A" &amp; 1550)</f>
        <v>0</v>
      </c>
      <c r="H1555" s="21" cm="1">
        <f t="array" aca="1" ref="H1555" ca="1">INDIRECT("Data!B" &amp; 1550)</f>
        <v>0</v>
      </c>
      <c r="I1555" s="21" cm="1">
        <f t="array" aca="1" ref="I1555" ca="1">INDIRECT("Data!C" &amp; 1550)</f>
        <v>0</v>
      </c>
      <c r="J1555" cm="1">
        <f t="array" aca="1" ref="J1555" ca="1">INDIRECT("Data!D" &amp; 1550)</f>
        <v>0</v>
      </c>
      <c r="K1555" cm="1">
        <f t="array" aca="1" ref="K1555" ca="1">INDIRECT("Data!E" &amp; 1550)</f>
        <v>0</v>
      </c>
      <c r="L1555" cm="1">
        <f t="array" aca="1" ref="L1555" ca="1">INDIRECT("Data!F" &amp; 1550)</f>
        <v>0</v>
      </c>
      <c r="M1555" cm="1">
        <f t="array" aca="1" ref="M1555" ca="1">INDIRECT("Data!G" &amp; 1550)</f>
        <v>0</v>
      </c>
      <c r="N1555" cm="1">
        <f t="array" aca="1" ref="N1555" ca="1">INDIRECT("Data!H" &amp; 1550)</f>
        <v>0</v>
      </c>
      <c r="O1555" cm="1">
        <f t="array" aca="1" ref="O1555" ca="1">INDIRECT("Data!I" &amp; 1550)</f>
        <v>0</v>
      </c>
      <c r="P1555" s="21" cm="1">
        <f t="array" aca="1" ref="P1555" ca="1">INDIRECT("Data!J" &amp; 1550)</f>
        <v>0</v>
      </c>
      <c r="Q1555" cm="1">
        <f t="array" aca="1" ref="Q1555" ca="1">INDIRECT("Data!K" &amp; 1550)</f>
        <v>0</v>
      </c>
      <c r="R1555" cm="1">
        <f t="array" aca="1" ref="R1555" ca="1">INDIRECT("Data!L" &amp; 1550)</f>
        <v>0</v>
      </c>
      <c r="S1555" cm="1">
        <f t="array" aca="1" ref="S1555" ca="1">INDIRECT("Data!M" &amp; 1550)</f>
        <v>0</v>
      </c>
      <c r="T1555" cm="1">
        <f t="array" aca="1" ref="T1555" ca="1">INDIRECT("Data!N" &amp; 1550)</f>
        <v>0</v>
      </c>
      <c r="U1555" cm="1">
        <f t="array" aca="1" ref="U1555" ca="1">INDIRECT("Data!O" &amp; 1550)</f>
        <v>0</v>
      </c>
      <c r="V1555" cm="1">
        <f t="array" aca="1" ref="V1555" ca="1">INDIRECT("Data!P" &amp; 1550)</f>
        <v>0</v>
      </c>
    </row>
    <row r="1556" spans="7:22" x14ac:dyDescent="0.25">
      <c r="G1556" cm="1">
        <f t="array" aca="1" ref="G1556" ca="1">INDIRECT("Data!A" &amp; 1551)</f>
        <v>0</v>
      </c>
      <c r="H1556" s="21" cm="1">
        <f t="array" aca="1" ref="H1556" ca="1">INDIRECT("Data!B" &amp; 1551)</f>
        <v>0</v>
      </c>
      <c r="I1556" s="21" cm="1">
        <f t="array" aca="1" ref="I1556" ca="1">INDIRECT("Data!C" &amp; 1551)</f>
        <v>0</v>
      </c>
      <c r="J1556" cm="1">
        <f t="array" aca="1" ref="J1556" ca="1">INDIRECT("Data!D" &amp; 1551)</f>
        <v>0</v>
      </c>
      <c r="K1556" cm="1">
        <f t="array" aca="1" ref="K1556" ca="1">INDIRECT("Data!E" &amp; 1551)</f>
        <v>0</v>
      </c>
      <c r="L1556" cm="1">
        <f t="array" aca="1" ref="L1556" ca="1">INDIRECT("Data!F" &amp; 1551)</f>
        <v>0</v>
      </c>
      <c r="M1556" cm="1">
        <f t="array" aca="1" ref="M1556" ca="1">INDIRECT("Data!G" &amp; 1551)</f>
        <v>0</v>
      </c>
      <c r="N1556" cm="1">
        <f t="array" aca="1" ref="N1556" ca="1">INDIRECT("Data!H" &amp; 1551)</f>
        <v>0</v>
      </c>
      <c r="O1556" cm="1">
        <f t="array" aca="1" ref="O1556" ca="1">INDIRECT("Data!I" &amp; 1551)</f>
        <v>0</v>
      </c>
      <c r="P1556" s="21" cm="1">
        <f t="array" aca="1" ref="P1556" ca="1">INDIRECT("Data!J" &amp; 1551)</f>
        <v>0</v>
      </c>
      <c r="Q1556" cm="1">
        <f t="array" aca="1" ref="Q1556" ca="1">INDIRECT("Data!K" &amp; 1551)</f>
        <v>0</v>
      </c>
      <c r="R1556" cm="1">
        <f t="array" aca="1" ref="R1556" ca="1">INDIRECT("Data!L" &amp; 1551)</f>
        <v>0</v>
      </c>
      <c r="S1556" cm="1">
        <f t="array" aca="1" ref="S1556" ca="1">INDIRECT("Data!M" &amp; 1551)</f>
        <v>0</v>
      </c>
      <c r="T1556" cm="1">
        <f t="array" aca="1" ref="T1556" ca="1">INDIRECT("Data!N" &amp; 1551)</f>
        <v>0</v>
      </c>
      <c r="U1556" cm="1">
        <f t="array" aca="1" ref="U1556" ca="1">INDIRECT("Data!O" &amp; 1551)</f>
        <v>0</v>
      </c>
      <c r="V1556" cm="1">
        <f t="array" aca="1" ref="V1556" ca="1">INDIRECT("Data!P" &amp; 1551)</f>
        <v>0</v>
      </c>
    </row>
    <row r="1557" spans="7:22" x14ac:dyDescent="0.25">
      <c r="G1557" cm="1">
        <f t="array" aca="1" ref="G1557" ca="1">INDIRECT("Data!A" &amp; 1552)</f>
        <v>0</v>
      </c>
      <c r="H1557" s="21" cm="1">
        <f t="array" aca="1" ref="H1557" ca="1">INDIRECT("Data!B" &amp; 1552)</f>
        <v>0</v>
      </c>
      <c r="I1557" s="21" cm="1">
        <f t="array" aca="1" ref="I1557" ca="1">INDIRECT("Data!C" &amp; 1552)</f>
        <v>0</v>
      </c>
      <c r="J1557" cm="1">
        <f t="array" aca="1" ref="J1557" ca="1">INDIRECT("Data!D" &amp; 1552)</f>
        <v>0</v>
      </c>
      <c r="K1557" cm="1">
        <f t="array" aca="1" ref="K1557" ca="1">INDIRECT("Data!E" &amp; 1552)</f>
        <v>0</v>
      </c>
      <c r="L1557" cm="1">
        <f t="array" aca="1" ref="L1557" ca="1">INDIRECT("Data!F" &amp; 1552)</f>
        <v>0</v>
      </c>
      <c r="M1557" cm="1">
        <f t="array" aca="1" ref="M1557" ca="1">INDIRECT("Data!G" &amp; 1552)</f>
        <v>0</v>
      </c>
      <c r="N1557" cm="1">
        <f t="array" aca="1" ref="N1557" ca="1">INDIRECT("Data!H" &amp; 1552)</f>
        <v>0</v>
      </c>
      <c r="O1557" cm="1">
        <f t="array" aca="1" ref="O1557" ca="1">INDIRECT("Data!I" &amp; 1552)</f>
        <v>0</v>
      </c>
      <c r="P1557" s="21" cm="1">
        <f t="array" aca="1" ref="P1557" ca="1">INDIRECT("Data!J" &amp; 1552)</f>
        <v>0</v>
      </c>
      <c r="Q1557" cm="1">
        <f t="array" aca="1" ref="Q1557" ca="1">INDIRECT("Data!K" &amp; 1552)</f>
        <v>0</v>
      </c>
      <c r="R1557" cm="1">
        <f t="array" aca="1" ref="R1557" ca="1">INDIRECT("Data!L" &amp; 1552)</f>
        <v>0</v>
      </c>
      <c r="S1557" cm="1">
        <f t="array" aca="1" ref="S1557" ca="1">INDIRECT("Data!M" &amp; 1552)</f>
        <v>0</v>
      </c>
      <c r="T1557" cm="1">
        <f t="array" aca="1" ref="T1557" ca="1">INDIRECT("Data!N" &amp; 1552)</f>
        <v>0</v>
      </c>
      <c r="U1557" cm="1">
        <f t="array" aca="1" ref="U1557" ca="1">INDIRECT("Data!O" &amp; 1552)</f>
        <v>0</v>
      </c>
      <c r="V1557" cm="1">
        <f t="array" aca="1" ref="V1557" ca="1">INDIRECT("Data!P" &amp; 1552)</f>
        <v>0</v>
      </c>
    </row>
    <row r="1558" spans="7:22" x14ac:dyDescent="0.25">
      <c r="G1558" cm="1">
        <f t="array" aca="1" ref="G1558" ca="1">INDIRECT("Data!A" &amp; 1553)</f>
        <v>0</v>
      </c>
      <c r="H1558" s="21" cm="1">
        <f t="array" aca="1" ref="H1558" ca="1">INDIRECT("Data!B" &amp; 1553)</f>
        <v>0</v>
      </c>
      <c r="I1558" s="21" cm="1">
        <f t="array" aca="1" ref="I1558" ca="1">INDIRECT("Data!C" &amp; 1553)</f>
        <v>0</v>
      </c>
      <c r="J1558" cm="1">
        <f t="array" aca="1" ref="J1558" ca="1">INDIRECT("Data!D" &amp; 1553)</f>
        <v>0</v>
      </c>
      <c r="K1558" cm="1">
        <f t="array" aca="1" ref="K1558" ca="1">INDIRECT("Data!E" &amp; 1553)</f>
        <v>0</v>
      </c>
      <c r="L1558" cm="1">
        <f t="array" aca="1" ref="L1558" ca="1">INDIRECT("Data!F" &amp; 1553)</f>
        <v>0</v>
      </c>
      <c r="M1558" cm="1">
        <f t="array" aca="1" ref="M1558" ca="1">INDIRECT("Data!G" &amp; 1553)</f>
        <v>0</v>
      </c>
      <c r="N1558" cm="1">
        <f t="array" aca="1" ref="N1558" ca="1">INDIRECT("Data!H" &amp; 1553)</f>
        <v>0</v>
      </c>
      <c r="O1558" cm="1">
        <f t="array" aca="1" ref="O1558" ca="1">INDIRECT("Data!I" &amp; 1553)</f>
        <v>0</v>
      </c>
      <c r="P1558" s="21" cm="1">
        <f t="array" aca="1" ref="P1558" ca="1">INDIRECT("Data!J" &amp; 1553)</f>
        <v>0</v>
      </c>
      <c r="Q1558" cm="1">
        <f t="array" aca="1" ref="Q1558" ca="1">INDIRECT("Data!K" &amp; 1553)</f>
        <v>0</v>
      </c>
      <c r="R1558" cm="1">
        <f t="array" aca="1" ref="R1558" ca="1">INDIRECT("Data!L" &amp; 1553)</f>
        <v>0</v>
      </c>
      <c r="S1558" cm="1">
        <f t="array" aca="1" ref="S1558" ca="1">INDIRECT("Data!M" &amp; 1553)</f>
        <v>0</v>
      </c>
      <c r="T1558" cm="1">
        <f t="array" aca="1" ref="T1558" ca="1">INDIRECT("Data!N" &amp; 1553)</f>
        <v>0</v>
      </c>
      <c r="U1558" cm="1">
        <f t="array" aca="1" ref="U1558" ca="1">INDIRECT("Data!O" &amp; 1553)</f>
        <v>0</v>
      </c>
      <c r="V1558" cm="1">
        <f t="array" aca="1" ref="V1558" ca="1">INDIRECT("Data!P" &amp; 1553)</f>
        <v>0</v>
      </c>
    </row>
    <row r="1559" spans="7:22" x14ac:dyDescent="0.25">
      <c r="G1559" cm="1">
        <f t="array" aca="1" ref="G1559" ca="1">INDIRECT("Data!A" &amp; 1554)</f>
        <v>0</v>
      </c>
      <c r="H1559" s="21" cm="1">
        <f t="array" aca="1" ref="H1559" ca="1">INDIRECT("Data!B" &amp; 1554)</f>
        <v>0</v>
      </c>
      <c r="I1559" s="21" cm="1">
        <f t="array" aca="1" ref="I1559" ca="1">INDIRECT("Data!C" &amp; 1554)</f>
        <v>0</v>
      </c>
      <c r="J1559" cm="1">
        <f t="array" aca="1" ref="J1559" ca="1">INDIRECT("Data!D" &amp; 1554)</f>
        <v>0</v>
      </c>
      <c r="K1559" cm="1">
        <f t="array" aca="1" ref="K1559" ca="1">INDIRECT("Data!E" &amp; 1554)</f>
        <v>0</v>
      </c>
      <c r="L1559" cm="1">
        <f t="array" aca="1" ref="L1559" ca="1">INDIRECT("Data!F" &amp; 1554)</f>
        <v>0</v>
      </c>
      <c r="M1559" cm="1">
        <f t="array" aca="1" ref="M1559" ca="1">INDIRECT("Data!G" &amp; 1554)</f>
        <v>0</v>
      </c>
      <c r="N1559" cm="1">
        <f t="array" aca="1" ref="N1559" ca="1">INDIRECT("Data!H" &amp; 1554)</f>
        <v>0</v>
      </c>
      <c r="O1559" cm="1">
        <f t="array" aca="1" ref="O1559" ca="1">INDIRECT("Data!I" &amp; 1554)</f>
        <v>0</v>
      </c>
      <c r="P1559" s="21" cm="1">
        <f t="array" aca="1" ref="P1559" ca="1">INDIRECT("Data!J" &amp; 1554)</f>
        <v>0</v>
      </c>
      <c r="Q1559" cm="1">
        <f t="array" aca="1" ref="Q1559" ca="1">INDIRECT("Data!K" &amp; 1554)</f>
        <v>0</v>
      </c>
      <c r="R1559" cm="1">
        <f t="array" aca="1" ref="R1559" ca="1">INDIRECT("Data!L" &amp; 1554)</f>
        <v>0</v>
      </c>
      <c r="S1559" cm="1">
        <f t="array" aca="1" ref="S1559" ca="1">INDIRECT("Data!M" &amp; 1554)</f>
        <v>0</v>
      </c>
      <c r="T1559" cm="1">
        <f t="array" aca="1" ref="T1559" ca="1">INDIRECT("Data!N" &amp; 1554)</f>
        <v>0</v>
      </c>
      <c r="U1559" cm="1">
        <f t="array" aca="1" ref="U1559" ca="1">INDIRECT("Data!O" &amp; 1554)</f>
        <v>0</v>
      </c>
      <c r="V1559" cm="1">
        <f t="array" aca="1" ref="V1559" ca="1">INDIRECT("Data!P" &amp; 1554)</f>
        <v>0</v>
      </c>
    </row>
    <row r="1560" spans="7:22" x14ac:dyDescent="0.25">
      <c r="G1560" cm="1">
        <f t="array" aca="1" ref="G1560" ca="1">INDIRECT("Data!A" &amp; 1555)</f>
        <v>0</v>
      </c>
      <c r="H1560" s="21" cm="1">
        <f t="array" aca="1" ref="H1560" ca="1">INDIRECT("Data!B" &amp; 1555)</f>
        <v>0</v>
      </c>
      <c r="I1560" s="21" cm="1">
        <f t="array" aca="1" ref="I1560" ca="1">INDIRECT("Data!C" &amp; 1555)</f>
        <v>0</v>
      </c>
      <c r="J1560" cm="1">
        <f t="array" aca="1" ref="J1560" ca="1">INDIRECT("Data!D" &amp; 1555)</f>
        <v>0</v>
      </c>
      <c r="K1560" cm="1">
        <f t="array" aca="1" ref="K1560" ca="1">INDIRECT("Data!E" &amp; 1555)</f>
        <v>0</v>
      </c>
      <c r="L1560" cm="1">
        <f t="array" aca="1" ref="L1560" ca="1">INDIRECT("Data!F" &amp; 1555)</f>
        <v>0</v>
      </c>
      <c r="M1560" cm="1">
        <f t="array" aca="1" ref="M1560" ca="1">INDIRECT("Data!G" &amp; 1555)</f>
        <v>0</v>
      </c>
      <c r="N1560" cm="1">
        <f t="array" aca="1" ref="N1560" ca="1">INDIRECT("Data!H" &amp; 1555)</f>
        <v>0</v>
      </c>
      <c r="O1560" cm="1">
        <f t="array" aca="1" ref="O1560" ca="1">INDIRECT("Data!I" &amp; 1555)</f>
        <v>0</v>
      </c>
      <c r="P1560" s="21" cm="1">
        <f t="array" aca="1" ref="P1560" ca="1">INDIRECT("Data!J" &amp; 1555)</f>
        <v>0</v>
      </c>
      <c r="Q1560" cm="1">
        <f t="array" aca="1" ref="Q1560" ca="1">INDIRECT("Data!K" &amp; 1555)</f>
        <v>0</v>
      </c>
      <c r="R1560" cm="1">
        <f t="array" aca="1" ref="R1560" ca="1">INDIRECT("Data!L" &amp; 1555)</f>
        <v>0</v>
      </c>
      <c r="S1560" cm="1">
        <f t="array" aca="1" ref="S1560" ca="1">INDIRECT("Data!M" &amp; 1555)</f>
        <v>0</v>
      </c>
      <c r="T1560" cm="1">
        <f t="array" aca="1" ref="T1560" ca="1">INDIRECT("Data!N" &amp; 1555)</f>
        <v>0</v>
      </c>
      <c r="U1560" cm="1">
        <f t="array" aca="1" ref="U1560" ca="1">INDIRECT("Data!O" &amp; 1555)</f>
        <v>0</v>
      </c>
      <c r="V1560" cm="1">
        <f t="array" aca="1" ref="V1560" ca="1">INDIRECT("Data!P" &amp; 1555)</f>
        <v>0</v>
      </c>
    </row>
    <row r="1561" spans="7:22" x14ac:dyDescent="0.25">
      <c r="G1561" cm="1">
        <f t="array" aca="1" ref="G1561" ca="1">INDIRECT("Data!A" &amp; 1556)</f>
        <v>0</v>
      </c>
      <c r="H1561" s="21" cm="1">
        <f t="array" aca="1" ref="H1561" ca="1">INDIRECT("Data!B" &amp; 1556)</f>
        <v>0</v>
      </c>
      <c r="I1561" s="21" cm="1">
        <f t="array" aca="1" ref="I1561" ca="1">INDIRECT("Data!C" &amp; 1556)</f>
        <v>0</v>
      </c>
      <c r="J1561" cm="1">
        <f t="array" aca="1" ref="J1561" ca="1">INDIRECT("Data!D" &amp; 1556)</f>
        <v>0</v>
      </c>
      <c r="K1561" cm="1">
        <f t="array" aca="1" ref="K1561" ca="1">INDIRECT("Data!E" &amp; 1556)</f>
        <v>0</v>
      </c>
      <c r="L1561" cm="1">
        <f t="array" aca="1" ref="L1561" ca="1">INDIRECT("Data!F" &amp; 1556)</f>
        <v>0</v>
      </c>
      <c r="M1561" cm="1">
        <f t="array" aca="1" ref="M1561" ca="1">INDIRECT("Data!G" &amp; 1556)</f>
        <v>0</v>
      </c>
      <c r="N1561" cm="1">
        <f t="array" aca="1" ref="N1561" ca="1">INDIRECT("Data!H" &amp; 1556)</f>
        <v>0</v>
      </c>
      <c r="O1561" cm="1">
        <f t="array" aca="1" ref="O1561" ca="1">INDIRECT("Data!I" &amp; 1556)</f>
        <v>0</v>
      </c>
      <c r="P1561" s="21" cm="1">
        <f t="array" aca="1" ref="P1561" ca="1">INDIRECT("Data!J" &amp; 1556)</f>
        <v>0</v>
      </c>
      <c r="Q1561" cm="1">
        <f t="array" aca="1" ref="Q1561" ca="1">INDIRECT("Data!K" &amp; 1556)</f>
        <v>0</v>
      </c>
      <c r="R1561" cm="1">
        <f t="array" aca="1" ref="R1561" ca="1">INDIRECT("Data!L" &amp; 1556)</f>
        <v>0</v>
      </c>
      <c r="S1561" cm="1">
        <f t="array" aca="1" ref="S1561" ca="1">INDIRECT("Data!M" &amp; 1556)</f>
        <v>0</v>
      </c>
      <c r="T1561" cm="1">
        <f t="array" aca="1" ref="T1561" ca="1">INDIRECT("Data!N" &amp; 1556)</f>
        <v>0</v>
      </c>
      <c r="U1561" cm="1">
        <f t="array" aca="1" ref="U1561" ca="1">INDIRECT("Data!O" &amp; 1556)</f>
        <v>0</v>
      </c>
      <c r="V1561" cm="1">
        <f t="array" aca="1" ref="V1561" ca="1">INDIRECT("Data!P" &amp; 1556)</f>
        <v>0</v>
      </c>
    </row>
    <row r="1562" spans="7:22" x14ac:dyDescent="0.25">
      <c r="G1562" cm="1">
        <f t="array" aca="1" ref="G1562" ca="1">INDIRECT("Data!A" &amp; 1557)</f>
        <v>0</v>
      </c>
      <c r="H1562" s="21" cm="1">
        <f t="array" aca="1" ref="H1562" ca="1">INDIRECT("Data!B" &amp; 1557)</f>
        <v>0</v>
      </c>
      <c r="I1562" s="21" cm="1">
        <f t="array" aca="1" ref="I1562" ca="1">INDIRECT("Data!C" &amp; 1557)</f>
        <v>0</v>
      </c>
      <c r="J1562" cm="1">
        <f t="array" aca="1" ref="J1562" ca="1">INDIRECT("Data!D" &amp; 1557)</f>
        <v>0</v>
      </c>
      <c r="K1562" cm="1">
        <f t="array" aca="1" ref="K1562" ca="1">INDIRECT("Data!E" &amp; 1557)</f>
        <v>0</v>
      </c>
      <c r="L1562" cm="1">
        <f t="array" aca="1" ref="L1562" ca="1">INDIRECT("Data!F" &amp; 1557)</f>
        <v>0</v>
      </c>
      <c r="M1562" cm="1">
        <f t="array" aca="1" ref="M1562" ca="1">INDIRECT("Data!G" &amp; 1557)</f>
        <v>0</v>
      </c>
      <c r="N1562" cm="1">
        <f t="array" aca="1" ref="N1562" ca="1">INDIRECT("Data!H" &amp; 1557)</f>
        <v>0</v>
      </c>
      <c r="O1562" cm="1">
        <f t="array" aca="1" ref="O1562" ca="1">INDIRECT("Data!I" &amp; 1557)</f>
        <v>0</v>
      </c>
      <c r="P1562" s="21" cm="1">
        <f t="array" aca="1" ref="P1562" ca="1">INDIRECT("Data!J" &amp; 1557)</f>
        <v>0</v>
      </c>
      <c r="Q1562" cm="1">
        <f t="array" aca="1" ref="Q1562" ca="1">INDIRECT("Data!K" &amp; 1557)</f>
        <v>0</v>
      </c>
      <c r="R1562" cm="1">
        <f t="array" aca="1" ref="R1562" ca="1">INDIRECT("Data!L" &amp; 1557)</f>
        <v>0</v>
      </c>
      <c r="S1562" cm="1">
        <f t="array" aca="1" ref="S1562" ca="1">INDIRECT("Data!M" &amp; 1557)</f>
        <v>0</v>
      </c>
      <c r="T1562" cm="1">
        <f t="array" aca="1" ref="T1562" ca="1">INDIRECT("Data!N" &amp; 1557)</f>
        <v>0</v>
      </c>
      <c r="U1562" cm="1">
        <f t="array" aca="1" ref="U1562" ca="1">INDIRECT("Data!O" &amp; 1557)</f>
        <v>0</v>
      </c>
      <c r="V1562" cm="1">
        <f t="array" aca="1" ref="V1562" ca="1">INDIRECT("Data!P" &amp; 1557)</f>
        <v>0</v>
      </c>
    </row>
    <row r="1563" spans="7:22" x14ac:dyDescent="0.25">
      <c r="G1563" cm="1">
        <f t="array" aca="1" ref="G1563" ca="1">INDIRECT("Data!A" &amp; 1558)</f>
        <v>0</v>
      </c>
      <c r="H1563" s="21" cm="1">
        <f t="array" aca="1" ref="H1563" ca="1">INDIRECT("Data!B" &amp; 1558)</f>
        <v>0</v>
      </c>
      <c r="I1563" s="21" cm="1">
        <f t="array" aca="1" ref="I1563" ca="1">INDIRECT("Data!C" &amp; 1558)</f>
        <v>0</v>
      </c>
      <c r="J1563" cm="1">
        <f t="array" aca="1" ref="J1563" ca="1">INDIRECT("Data!D" &amp; 1558)</f>
        <v>0</v>
      </c>
      <c r="K1563" cm="1">
        <f t="array" aca="1" ref="K1563" ca="1">INDIRECT("Data!E" &amp; 1558)</f>
        <v>0</v>
      </c>
      <c r="L1563" cm="1">
        <f t="array" aca="1" ref="L1563" ca="1">INDIRECT("Data!F" &amp; 1558)</f>
        <v>0</v>
      </c>
      <c r="M1563" cm="1">
        <f t="array" aca="1" ref="M1563" ca="1">INDIRECT("Data!G" &amp; 1558)</f>
        <v>0</v>
      </c>
      <c r="N1563" cm="1">
        <f t="array" aca="1" ref="N1563" ca="1">INDIRECT("Data!H" &amp; 1558)</f>
        <v>0</v>
      </c>
      <c r="O1563" cm="1">
        <f t="array" aca="1" ref="O1563" ca="1">INDIRECT("Data!I" &amp; 1558)</f>
        <v>0</v>
      </c>
      <c r="P1563" s="21" cm="1">
        <f t="array" aca="1" ref="P1563" ca="1">INDIRECT("Data!J" &amp; 1558)</f>
        <v>0</v>
      </c>
      <c r="Q1563" cm="1">
        <f t="array" aca="1" ref="Q1563" ca="1">INDIRECT("Data!K" &amp; 1558)</f>
        <v>0</v>
      </c>
      <c r="R1563" cm="1">
        <f t="array" aca="1" ref="R1563" ca="1">INDIRECT("Data!L" &amp; 1558)</f>
        <v>0</v>
      </c>
      <c r="S1563" cm="1">
        <f t="array" aca="1" ref="S1563" ca="1">INDIRECT("Data!M" &amp; 1558)</f>
        <v>0</v>
      </c>
      <c r="T1563" cm="1">
        <f t="array" aca="1" ref="T1563" ca="1">INDIRECT("Data!N" &amp; 1558)</f>
        <v>0</v>
      </c>
      <c r="U1563" cm="1">
        <f t="array" aca="1" ref="U1563" ca="1">INDIRECT("Data!O" &amp; 1558)</f>
        <v>0</v>
      </c>
      <c r="V1563" cm="1">
        <f t="array" aca="1" ref="V1563" ca="1">INDIRECT("Data!P" &amp; 1558)</f>
        <v>0</v>
      </c>
    </row>
    <row r="1564" spans="7:22" x14ac:dyDescent="0.25">
      <c r="G1564" cm="1">
        <f t="array" aca="1" ref="G1564" ca="1">INDIRECT("Data!A" &amp; 1559)</f>
        <v>0</v>
      </c>
      <c r="H1564" s="21" cm="1">
        <f t="array" aca="1" ref="H1564" ca="1">INDIRECT("Data!B" &amp; 1559)</f>
        <v>0</v>
      </c>
      <c r="I1564" s="21" cm="1">
        <f t="array" aca="1" ref="I1564" ca="1">INDIRECT("Data!C" &amp; 1559)</f>
        <v>0</v>
      </c>
      <c r="J1564" cm="1">
        <f t="array" aca="1" ref="J1564" ca="1">INDIRECT("Data!D" &amp; 1559)</f>
        <v>0</v>
      </c>
      <c r="K1564" cm="1">
        <f t="array" aca="1" ref="K1564" ca="1">INDIRECT("Data!E" &amp; 1559)</f>
        <v>0</v>
      </c>
      <c r="L1564" cm="1">
        <f t="array" aca="1" ref="L1564" ca="1">INDIRECT("Data!F" &amp; 1559)</f>
        <v>0</v>
      </c>
      <c r="M1564" cm="1">
        <f t="array" aca="1" ref="M1564" ca="1">INDIRECT("Data!G" &amp; 1559)</f>
        <v>0</v>
      </c>
      <c r="N1564" cm="1">
        <f t="array" aca="1" ref="N1564" ca="1">INDIRECT("Data!H" &amp; 1559)</f>
        <v>0</v>
      </c>
      <c r="O1564" cm="1">
        <f t="array" aca="1" ref="O1564" ca="1">INDIRECT("Data!I" &amp; 1559)</f>
        <v>0</v>
      </c>
      <c r="P1564" s="21" cm="1">
        <f t="array" aca="1" ref="P1564" ca="1">INDIRECT("Data!J" &amp; 1559)</f>
        <v>0</v>
      </c>
      <c r="Q1564" cm="1">
        <f t="array" aca="1" ref="Q1564" ca="1">INDIRECT("Data!K" &amp; 1559)</f>
        <v>0</v>
      </c>
      <c r="R1564" cm="1">
        <f t="array" aca="1" ref="R1564" ca="1">INDIRECT("Data!L" &amp; 1559)</f>
        <v>0</v>
      </c>
      <c r="S1564" cm="1">
        <f t="array" aca="1" ref="S1564" ca="1">INDIRECT("Data!M" &amp; 1559)</f>
        <v>0</v>
      </c>
      <c r="T1564" cm="1">
        <f t="array" aca="1" ref="T1564" ca="1">INDIRECT("Data!N" &amp; 1559)</f>
        <v>0</v>
      </c>
      <c r="U1564" cm="1">
        <f t="array" aca="1" ref="U1564" ca="1">INDIRECT("Data!O" &amp; 1559)</f>
        <v>0</v>
      </c>
      <c r="V1564" cm="1">
        <f t="array" aca="1" ref="V1564" ca="1">INDIRECT("Data!P" &amp; 1559)</f>
        <v>0</v>
      </c>
    </row>
    <row r="1565" spans="7:22" x14ac:dyDescent="0.25">
      <c r="G1565" cm="1">
        <f t="array" aca="1" ref="G1565" ca="1">INDIRECT("Data!A" &amp; 1560)</f>
        <v>0</v>
      </c>
      <c r="H1565" s="21" cm="1">
        <f t="array" aca="1" ref="H1565" ca="1">INDIRECT("Data!B" &amp; 1560)</f>
        <v>0</v>
      </c>
      <c r="I1565" s="21" cm="1">
        <f t="array" aca="1" ref="I1565" ca="1">INDIRECT("Data!C" &amp; 1560)</f>
        <v>0</v>
      </c>
      <c r="J1565" cm="1">
        <f t="array" aca="1" ref="J1565" ca="1">INDIRECT("Data!D" &amp; 1560)</f>
        <v>0</v>
      </c>
      <c r="K1565" cm="1">
        <f t="array" aca="1" ref="K1565" ca="1">INDIRECT("Data!E" &amp; 1560)</f>
        <v>0</v>
      </c>
      <c r="L1565" cm="1">
        <f t="array" aca="1" ref="L1565" ca="1">INDIRECT("Data!F" &amp; 1560)</f>
        <v>0</v>
      </c>
      <c r="M1565" cm="1">
        <f t="array" aca="1" ref="M1565" ca="1">INDIRECT("Data!G" &amp; 1560)</f>
        <v>0</v>
      </c>
      <c r="N1565" cm="1">
        <f t="array" aca="1" ref="N1565" ca="1">INDIRECT("Data!H" &amp; 1560)</f>
        <v>0</v>
      </c>
      <c r="O1565" cm="1">
        <f t="array" aca="1" ref="O1565" ca="1">INDIRECT("Data!I" &amp; 1560)</f>
        <v>0</v>
      </c>
      <c r="P1565" s="21" cm="1">
        <f t="array" aca="1" ref="P1565" ca="1">INDIRECT("Data!J" &amp; 1560)</f>
        <v>0</v>
      </c>
      <c r="Q1565" cm="1">
        <f t="array" aca="1" ref="Q1565" ca="1">INDIRECT("Data!K" &amp; 1560)</f>
        <v>0</v>
      </c>
      <c r="R1565" cm="1">
        <f t="array" aca="1" ref="R1565" ca="1">INDIRECT("Data!L" &amp; 1560)</f>
        <v>0</v>
      </c>
      <c r="S1565" cm="1">
        <f t="array" aca="1" ref="S1565" ca="1">INDIRECT("Data!M" &amp; 1560)</f>
        <v>0</v>
      </c>
      <c r="T1565" cm="1">
        <f t="array" aca="1" ref="T1565" ca="1">INDIRECT("Data!N" &amp; 1560)</f>
        <v>0</v>
      </c>
      <c r="U1565" cm="1">
        <f t="array" aca="1" ref="U1565" ca="1">INDIRECT("Data!O" &amp; 1560)</f>
        <v>0</v>
      </c>
      <c r="V1565" cm="1">
        <f t="array" aca="1" ref="V1565" ca="1">INDIRECT("Data!P" &amp; 1560)</f>
        <v>0</v>
      </c>
    </row>
    <row r="1566" spans="7:22" x14ac:dyDescent="0.25">
      <c r="G1566" cm="1">
        <f t="array" aca="1" ref="G1566" ca="1">INDIRECT("Data!A" &amp; 1561)</f>
        <v>0</v>
      </c>
      <c r="H1566" s="21" cm="1">
        <f t="array" aca="1" ref="H1566" ca="1">INDIRECT("Data!B" &amp; 1561)</f>
        <v>0</v>
      </c>
      <c r="I1566" s="21" cm="1">
        <f t="array" aca="1" ref="I1566" ca="1">INDIRECT("Data!C" &amp; 1561)</f>
        <v>0</v>
      </c>
      <c r="J1566" cm="1">
        <f t="array" aca="1" ref="J1566" ca="1">INDIRECT("Data!D" &amp; 1561)</f>
        <v>0</v>
      </c>
      <c r="K1566" cm="1">
        <f t="array" aca="1" ref="K1566" ca="1">INDIRECT("Data!E" &amp; 1561)</f>
        <v>0</v>
      </c>
      <c r="L1566" cm="1">
        <f t="array" aca="1" ref="L1566" ca="1">INDIRECT("Data!F" &amp; 1561)</f>
        <v>0</v>
      </c>
      <c r="M1566" cm="1">
        <f t="array" aca="1" ref="M1566" ca="1">INDIRECT("Data!G" &amp; 1561)</f>
        <v>0</v>
      </c>
      <c r="N1566" cm="1">
        <f t="array" aca="1" ref="N1566" ca="1">INDIRECT("Data!H" &amp; 1561)</f>
        <v>0</v>
      </c>
      <c r="O1566" cm="1">
        <f t="array" aca="1" ref="O1566" ca="1">INDIRECT("Data!I" &amp; 1561)</f>
        <v>0</v>
      </c>
      <c r="P1566" s="21" cm="1">
        <f t="array" aca="1" ref="P1566" ca="1">INDIRECT("Data!J" &amp; 1561)</f>
        <v>0</v>
      </c>
      <c r="Q1566" cm="1">
        <f t="array" aca="1" ref="Q1566" ca="1">INDIRECT("Data!K" &amp; 1561)</f>
        <v>0</v>
      </c>
      <c r="R1566" cm="1">
        <f t="array" aca="1" ref="R1566" ca="1">INDIRECT("Data!L" &amp; 1561)</f>
        <v>0</v>
      </c>
      <c r="S1566" cm="1">
        <f t="array" aca="1" ref="S1566" ca="1">INDIRECT("Data!M" &amp; 1561)</f>
        <v>0</v>
      </c>
      <c r="T1566" cm="1">
        <f t="array" aca="1" ref="T1566" ca="1">INDIRECT("Data!N" &amp; 1561)</f>
        <v>0</v>
      </c>
      <c r="U1566" cm="1">
        <f t="array" aca="1" ref="U1566" ca="1">INDIRECT("Data!O" &amp; 1561)</f>
        <v>0</v>
      </c>
      <c r="V1566" cm="1">
        <f t="array" aca="1" ref="V1566" ca="1">INDIRECT("Data!P" &amp; 1561)</f>
        <v>0</v>
      </c>
    </row>
    <row r="1567" spans="7:22" x14ac:dyDescent="0.25">
      <c r="G1567" cm="1">
        <f t="array" aca="1" ref="G1567" ca="1">INDIRECT("Data!A" &amp; 1562)</f>
        <v>0</v>
      </c>
      <c r="H1567" s="21" cm="1">
        <f t="array" aca="1" ref="H1567" ca="1">INDIRECT("Data!B" &amp; 1562)</f>
        <v>0</v>
      </c>
      <c r="I1567" s="21" cm="1">
        <f t="array" aca="1" ref="I1567" ca="1">INDIRECT("Data!C" &amp; 1562)</f>
        <v>0</v>
      </c>
      <c r="J1567" cm="1">
        <f t="array" aca="1" ref="J1567" ca="1">INDIRECT("Data!D" &amp; 1562)</f>
        <v>0</v>
      </c>
      <c r="K1567" cm="1">
        <f t="array" aca="1" ref="K1567" ca="1">INDIRECT("Data!E" &amp; 1562)</f>
        <v>0</v>
      </c>
      <c r="L1567" cm="1">
        <f t="array" aca="1" ref="L1567" ca="1">INDIRECT("Data!F" &amp; 1562)</f>
        <v>0</v>
      </c>
      <c r="M1567" cm="1">
        <f t="array" aca="1" ref="M1567" ca="1">INDIRECT("Data!G" &amp; 1562)</f>
        <v>0</v>
      </c>
      <c r="N1567" cm="1">
        <f t="array" aca="1" ref="N1567" ca="1">INDIRECT("Data!H" &amp; 1562)</f>
        <v>0</v>
      </c>
      <c r="O1567" cm="1">
        <f t="array" aca="1" ref="O1567" ca="1">INDIRECT("Data!I" &amp; 1562)</f>
        <v>0</v>
      </c>
      <c r="P1567" s="21" cm="1">
        <f t="array" aca="1" ref="P1567" ca="1">INDIRECT("Data!J" &amp; 1562)</f>
        <v>0</v>
      </c>
      <c r="Q1567" cm="1">
        <f t="array" aca="1" ref="Q1567" ca="1">INDIRECT("Data!K" &amp; 1562)</f>
        <v>0</v>
      </c>
      <c r="R1567" cm="1">
        <f t="array" aca="1" ref="R1567" ca="1">INDIRECT("Data!L" &amp; 1562)</f>
        <v>0</v>
      </c>
      <c r="S1567" cm="1">
        <f t="array" aca="1" ref="S1567" ca="1">INDIRECT("Data!M" &amp; 1562)</f>
        <v>0</v>
      </c>
      <c r="T1567" cm="1">
        <f t="array" aca="1" ref="T1567" ca="1">INDIRECT("Data!N" &amp; 1562)</f>
        <v>0</v>
      </c>
      <c r="U1567" cm="1">
        <f t="array" aca="1" ref="U1567" ca="1">INDIRECT("Data!O" &amp; 1562)</f>
        <v>0</v>
      </c>
      <c r="V1567" cm="1">
        <f t="array" aca="1" ref="V1567" ca="1">INDIRECT("Data!P" &amp; 1562)</f>
        <v>0</v>
      </c>
    </row>
    <row r="1568" spans="7:22" x14ac:dyDescent="0.25">
      <c r="G1568" cm="1">
        <f t="array" aca="1" ref="G1568" ca="1">INDIRECT("Data!A" &amp; 1563)</f>
        <v>0</v>
      </c>
      <c r="H1568" s="21" cm="1">
        <f t="array" aca="1" ref="H1568" ca="1">INDIRECT("Data!B" &amp; 1563)</f>
        <v>0</v>
      </c>
      <c r="I1568" s="21" cm="1">
        <f t="array" aca="1" ref="I1568" ca="1">INDIRECT("Data!C" &amp; 1563)</f>
        <v>0</v>
      </c>
      <c r="J1568" cm="1">
        <f t="array" aca="1" ref="J1568" ca="1">INDIRECT("Data!D" &amp; 1563)</f>
        <v>0</v>
      </c>
      <c r="K1568" cm="1">
        <f t="array" aca="1" ref="K1568" ca="1">INDIRECT("Data!E" &amp; 1563)</f>
        <v>0</v>
      </c>
      <c r="L1568" cm="1">
        <f t="array" aca="1" ref="L1568" ca="1">INDIRECT("Data!F" &amp; 1563)</f>
        <v>0</v>
      </c>
      <c r="M1568" cm="1">
        <f t="array" aca="1" ref="M1568" ca="1">INDIRECT("Data!G" &amp; 1563)</f>
        <v>0</v>
      </c>
      <c r="N1568" cm="1">
        <f t="array" aca="1" ref="N1568" ca="1">INDIRECT("Data!H" &amp; 1563)</f>
        <v>0</v>
      </c>
      <c r="O1568" cm="1">
        <f t="array" aca="1" ref="O1568" ca="1">INDIRECT("Data!I" &amp; 1563)</f>
        <v>0</v>
      </c>
      <c r="P1568" s="21" cm="1">
        <f t="array" aca="1" ref="P1568" ca="1">INDIRECT("Data!J" &amp; 1563)</f>
        <v>0</v>
      </c>
      <c r="Q1568" cm="1">
        <f t="array" aca="1" ref="Q1568" ca="1">INDIRECT("Data!K" &amp; 1563)</f>
        <v>0</v>
      </c>
      <c r="R1568" cm="1">
        <f t="array" aca="1" ref="R1568" ca="1">INDIRECT("Data!L" &amp; 1563)</f>
        <v>0</v>
      </c>
      <c r="S1568" cm="1">
        <f t="array" aca="1" ref="S1568" ca="1">INDIRECT("Data!M" &amp; 1563)</f>
        <v>0</v>
      </c>
      <c r="T1568" cm="1">
        <f t="array" aca="1" ref="T1568" ca="1">INDIRECT("Data!N" &amp; 1563)</f>
        <v>0</v>
      </c>
      <c r="U1568" cm="1">
        <f t="array" aca="1" ref="U1568" ca="1">INDIRECT("Data!O" &amp; 1563)</f>
        <v>0</v>
      </c>
      <c r="V1568" cm="1">
        <f t="array" aca="1" ref="V1568" ca="1">INDIRECT("Data!P" &amp; 1563)</f>
        <v>0</v>
      </c>
    </row>
    <row r="1569" spans="7:22" x14ac:dyDescent="0.25">
      <c r="G1569" cm="1">
        <f t="array" aca="1" ref="G1569" ca="1">INDIRECT("Data!A" &amp; 1564)</f>
        <v>0</v>
      </c>
      <c r="H1569" s="21" cm="1">
        <f t="array" aca="1" ref="H1569" ca="1">INDIRECT("Data!B" &amp; 1564)</f>
        <v>0</v>
      </c>
      <c r="I1569" s="21" cm="1">
        <f t="array" aca="1" ref="I1569" ca="1">INDIRECT("Data!C" &amp; 1564)</f>
        <v>0</v>
      </c>
      <c r="J1569" cm="1">
        <f t="array" aca="1" ref="J1569" ca="1">INDIRECT("Data!D" &amp; 1564)</f>
        <v>0</v>
      </c>
      <c r="K1569" cm="1">
        <f t="array" aca="1" ref="K1569" ca="1">INDIRECT("Data!E" &amp; 1564)</f>
        <v>0</v>
      </c>
      <c r="L1569" cm="1">
        <f t="array" aca="1" ref="L1569" ca="1">INDIRECT("Data!F" &amp; 1564)</f>
        <v>0</v>
      </c>
      <c r="M1569" cm="1">
        <f t="array" aca="1" ref="M1569" ca="1">INDIRECT("Data!G" &amp; 1564)</f>
        <v>0</v>
      </c>
      <c r="N1569" cm="1">
        <f t="array" aca="1" ref="N1569" ca="1">INDIRECT("Data!H" &amp; 1564)</f>
        <v>0</v>
      </c>
      <c r="O1569" cm="1">
        <f t="array" aca="1" ref="O1569" ca="1">INDIRECT("Data!I" &amp; 1564)</f>
        <v>0</v>
      </c>
      <c r="P1569" s="21" cm="1">
        <f t="array" aca="1" ref="P1569" ca="1">INDIRECT("Data!J" &amp; 1564)</f>
        <v>0</v>
      </c>
      <c r="Q1569" cm="1">
        <f t="array" aca="1" ref="Q1569" ca="1">INDIRECT("Data!K" &amp; 1564)</f>
        <v>0</v>
      </c>
      <c r="R1569" cm="1">
        <f t="array" aca="1" ref="R1569" ca="1">INDIRECT("Data!L" &amp; 1564)</f>
        <v>0</v>
      </c>
      <c r="S1569" cm="1">
        <f t="array" aca="1" ref="S1569" ca="1">INDIRECT("Data!M" &amp; 1564)</f>
        <v>0</v>
      </c>
      <c r="T1569" cm="1">
        <f t="array" aca="1" ref="T1569" ca="1">INDIRECT("Data!N" &amp; 1564)</f>
        <v>0</v>
      </c>
      <c r="U1569" cm="1">
        <f t="array" aca="1" ref="U1569" ca="1">INDIRECT("Data!O" &amp; 1564)</f>
        <v>0</v>
      </c>
      <c r="V1569" cm="1">
        <f t="array" aca="1" ref="V1569" ca="1">INDIRECT("Data!P" &amp; 1564)</f>
        <v>0</v>
      </c>
    </row>
    <row r="1570" spans="7:22" x14ac:dyDescent="0.25">
      <c r="G1570" cm="1">
        <f t="array" aca="1" ref="G1570" ca="1">INDIRECT("Data!A" &amp; 1565)</f>
        <v>0</v>
      </c>
      <c r="H1570" s="21" cm="1">
        <f t="array" aca="1" ref="H1570" ca="1">INDIRECT("Data!B" &amp; 1565)</f>
        <v>0</v>
      </c>
      <c r="I1570" s="21" cm="1">
        <f t="array" aca="1" ref="I1570" ca="1">INDIRECT("Data!C" &amp; 1565)</f>
        <v>0</v>
      </c>
      <c r="J1570" cm="1">
        <f t="array" aca="1" ref="J1570" ca="1">INDIRECT("Data!D" &amp; 1565)</f>
        <v>0</v>
      </c>
      <c r="K1570" cm="1">
        <f t="array" aca="1" ref="K1570" ca="1">INDIRECT("Data!E" &amp; 1565)</f>
        <v>0</v>
      </c>
      <c r="L1570" cm="1">
        <f t="array" aca="1" ref="L1570" ca="1">INDIRECT("Data!F" &amp; 1565)</f>
        <v>0</v>
      </c>
      <c r="M1570" cm="1">
        <f t="array" aca="1" ref="M1570" ca="1">INDIRECT("Data!G" &amp; 1565)</f>
        <v>0</v>
      </c>
      <c r="N1570" cm="1">
        <f t="array" aca="1" ref="N1570" ca="1">INDIRECT("Data!H" &amp; 1565)</f>
        <v>0</v>
      </c>
      <c r="O1570" cm="1">
        <f t="array" aca="1" ref="O1570" ca="1">INDIRECT("Data!I" &amp; 1565)</f>
        <v>0</v>
      </c>
      <c r="P1570" s="21" cm="1">
        <f t="array" aca="1" ref="P1570" ca="1">INDIRECT("Data!J" &amp; 1565)</f>
        <v>0</v>
      </c>
      <c r="Q1570" cm="1">
        <f t="array" aca="1" ref="Q1570" ca="1">INDIRECT("Data!K" &amp; 1565)</f>
        <v>0</v>
      </c>
      <c r="R1570" cm="1">
        <f t="array" aca="1" ref="R1570" ca="1">INDIRECT("Data!L" &amp; 1565)</f>
        <v>0</v>
      </c>
      <c r="S1570" cm="1">
        <f t="array" aca="1" ref="S1570" ca="1">INDIRECT("Data!M" &amp; 1565)</f>
        <v>0</v>
      </c>
      <c r="T1570" cm="1">
        <f t="array" aca="1" ref="T1570" ca="1">INDIRECT("Data!N" &amp; 1565)</f>
        <v>0</v>
      </c>
      <c r="U1570" cm="1">
        <f t="array" aca="1" ref="U1570" ca="1">INDIRECT("Data!O" &amp; 1565)</f>
        <v>0</v>
      </c>
      <c r="V1570" cm="1">
        <f t="array" aca="1" ref="V1570" ca="1">INDIRECT("Data!P" &amp; 1565)</f>
        <v>0</v>
      </c>
    </row>
    <row r="1571" spans="7:22" x14ac:dyDescent="0.25">
      <c r="G1571" cm="1">
        <f t="array" aca="1" ref="G1571" ca="1">INDIRECT("Data!A" &amp; 1566)</f>
        <v>0</v>
      </c>
      <c r="H1571" s="21" cm="1">
        <f t="array" aca="1" ref="H1571" ca="1">INDIRECT("Data!B" &amp; 1566)</f>
        <v>0</v>
      </c>
      <c r="I1571" s="21" cm="1">
        <f t="array" aca="1" ref="I1571" ca="1">INDIRECT("Data!C" &amp; 1566)</f>
        <v>0</v>
      </c>
      <c r="J1571" cm="1">
        <f t="array" aca="1" ref="J1571" ca="1">INDIRECT("Data!D" &amp; 1566)</f>
        <v>0</v>
      </c>
      <c r="K1571" cm="1">
        <f t="array" aca="1" ref="K1571" ca="1">INDIRECT("Data!E" &amp; 1566)</f>
        <v>0</v>
      </c>
      <c r="L1571" cm="1">
        <f t="array" aca="1" ref="L1571" ca="1">INDIRECT("Data!F" &amp; 1566)</f>
        <v>0</v>
      </c>
      <c r="M1571" cm="1">
        <f t="array" aca="1" ref="M1571" ca="1">INDIRECT("Data!G" &amp; 1566)</f>
        <v>0</v>
      </c>
      <c r="N1571" cm="1">
        <f t="array" aca="1" ref="N1571" ca="1">INDIRECT("Data!H" &amp; 1566)</f>
        <v>0</v>
      </c>
      <c r="O1571" cm="1">
        <f t="array" aca="1" ref="O1571" ca="1">INDIRECT("Data!I" &amp; 1566)</f>
        <v>0</v>
      </c>
      <c r="P1571" s="21" cm="1">
        <f t="array" aca="1" ref="P1571" ca="1">INDIRECT("Data!J" &amp; 1566)</f>
        <v>0</v>
      </c>
      <c r="Q1571" cm="1">
        <f t="array" aca="1" ref="Q1571" ca="1">INDIRECT("Data!K" &amp; 1566)</f>
        <v>0</v>
      </c>
      <c r="R1571" cm="1">
        <f t="array" aca="1" ref="R1571" ca="1">INDIRECT("Data!L" &amp; 1566)</f>
        <v>0</v>
      </c>
      <c r="S1571" cm="1">
        <f t="array" aca="1" ref="S1571" ca="1">INDIRECT("Data!M" &amp; 1566)</f>
        <v>0</v>
      </c>
      <c r="T1571" cm="1">
        <f t="array" aca="1" ref="T1571" ca="1">INDIRECT("Data!N" &amp; 1566)</f>
        <v>0</v>
      </c>
      <c r="U1571" cm="1">
        <f t="array" aca="1" ref="U1571" ca="1">INDIRECT("Data!O" &amp; 1566)</f>
        <v>0</v>
      </c>
      <c r="V1571" cm="1">
        <f t="array" aca="1" ref="V1571" ca="1">INDIRECT("Data!P" &amp; 1566)</f>
        <v>0</v>
      </c>
    </row>
    <row r="1572" spans="7:22" x14ac:dyDescent="0.25">
      <c r="G1572" cm="1">
        <f t="array" aca="1" ref="G1572" ca="1">INDIRECT("Data!A" &amp; 1567)</f>
        <v>0</v>
      </c>
      <c r="H1572" s="21" cm="1">
        <f t="array" aca="1" ref="H1572" ca="1">INDIRECT("Data!B" &amp; 1567)</f>
        <v>0</v>
      </c>
      <c r="I1572" s="21" cm="1">
        <f t="array" aca="1" ref="I1572" ca="1">INDIRECT("Data!C" &amp; 1567)</f>
        <v>0</v>
      </c>
      <c r="J1572" cm="1">
        <f t="array" aca="1" ref="J1572" ca="1">INDIRECT("Data!D" &amp; 1567)</f>
        <v>0</v>
      </c>
      <c r="K1572" cm="1">
        <f t="array" aca="1" ref="K1572" ca="1">INDIRECT("Data!E" &amp; 1567)</f>
        <v>0</v>
      </c>
      <c r="L1572" cm="1">
        <f t="array" aca="1" ref="L1572" ca="1">INDIRECT("Data!F" &amp; 1567)</f>
        <v>0</v>
      </c>
      <c r="M1572" cm="1">
        <f t="array" aca="1" ref="M1572" ca="1">INDIRECT("Data!G" &amp; 1567)</f>
        <v>0</v>
      </c>
      <c r="N1572" cm="1">
        <f t="array" aca="1" ref="N1572" ca="1">INDIRECT("Data!H" &amp; 1567)</f>
        <v>0</v>
      </c>
      <c r="O1572" cm="1">
        <f t="array" aca="1" ref="O1572" ca="1">INDIRECT("Data!I" &amp; 1567)</f>
        <v>0</v>
      </c>
      <c r="P1572" s="21" cm="1">
        <f t="array" aca="1" ref="P1572" ca="1">INDIRECT("Data!J" &amp; 1567)</f>
        <v>0</v>
      </c>
      <c r="Q1572" cm="1">
        <f t="array" aca="1" ref="Q1572" ca="1">INDIRECT("Data!K" &amp; 1567)</f>
        <v>0</v>
      </c>
      <c r="R1572" cm="1">
        <f t="array" aca="1" ref="R1572" ca="1">INDIRECT("Data!L" &amp; 1567)</f>
        <v>0</v>
      </c>
      <c r="S1572" cm="1">
        <f t="array" aca="1" ref="S1572" ca="1">INDIRECT("Data!M" &amp; 1567)</f>
        <v>0</v>
      </c>
      <c r="T1572" cm="1">
        <f t="array" aca="1" ref="T1572" ca="1">INDIRECT("Data!N" &amp; 1567)</f>
        <v>0</v>
      </c>
      <c r="U1572" cm="1">
        <f t="array" aca="1" ref="U1572" ca="1">INDIRECT("Data!O" &amp; 1567)</f>
        <v>0</v>
      </c>
      <c r="V1572" cm="1">
        <f t="array" aca="1" ref="V1572" ca="1">INDIRECT("Data!P" &amp; 1567)</f>
        <v>0</v>
      </c>
    </row>
    <row r="1573" spans="7:22" x14ac:dyDescent="0.25">
      <c r="G1573" cm="1">
        <f t="array" aca="1" ref="G1573" ca="1">INDIRECT("Data!A" &amp; 1568)</f>
        <v>0</v>
      </c>
      <c r="H1573" s="21" cm="1">
        <f t="array" aca="1" ref="H1573" ca="1">INDIRECT("Data!B" &amp; 1568)</f>
        <v>0</v>
      </c>
      <c r="I1573" s="21" cm="1">
        <f t="array" aca="1" ref="I1573" ca="1">INDIRECT("Data!C" &amp; 1568)</f>
        <v>0</v>
      </c>
      <c r="J1573" cm="1">
        <f t="array" aca="1" ref="J1573" ca="1">INDIRECT("Data!D" &amp; 1568)</f>
        <v>0</v>
      </c>
      <c r="K1573" cm="1">
        <f t="array" aca="1" ref="K1573" ca="1">INDIRECT("Data!E" &amp; 1568)</f>
        <v>0</v>
      </c>
      <c r="L1573" cm="1">
        <f t="array" aca="1" ref="L1573" ca="1">INDIRECT("Data!F" &amp; 1568)</f>
        <v>0</v>
      </c>
      <c r="M1573" cm="1">
        <f t="array" aca="1" ref="M1573" ca="1">INDIRECT("Data!G" &amp; 1568)</f>
        <v>0</v>
      </c>
      <c r="N1573" cm="1">
        <f t="array" aca="1" ref="N1573" ca="1">INDIRECT("Data!H" &amp; 1568)</f>
        <v>0</v>
      </c>
      <c r="O1573" cm="1">
        <f t="array" aca="1" ref="O1573" ca="1">INDIRECT("Data!I" &amp; 1568)</f>
        <v>0</v>
      </c>
      <c r="P1573" s="21" cm="1">
        <f t="array" aca="1" ref="P1573" ca="1">INDIRECT("Data!J" &amp; 1568)</f>
        <v>0</v>
      </c>
      <c r="Q1573" cm="1">
        <f t="array" aca="1" ref="Q1573" ca="1">INDIRECT("Data!K" &amp; 1568)</f>
        <v>0</v>
      </c>
      <c r="R1573" cm="1">
        <f t="array" aca="1" ref="R1573" ca="1">INDIRECT("Data!L" &amp; 1568)</f>
        <v>0</v>
      </c>
      <c r="S1573" cm="1">
        <f t="array" aca="1" ref="S1573" ca="1">INDIRECT("Data!M" &amp; 1568)</f>
        <v>0</v>
      </c>
      <c r="T1573" cm="1">
        <f t="array" aca="1" ref="T1573" ca="1">INDIRECT("Data!N" &amp; 1568)</f>
        <v>0</v>
      </c>
      <c r="U1573" cm="1">
        <f t="array" aca="1" ref="U1573" ca="1">INDIRECT("Data!O" &amp; 1568)</f>
        <v>0</v>
      </c>
      <c r="V1573" cm="1">
        <f t="array" aca="1" ref="V1573" ca="1">INDIRECT("Data!P" &amp; 1568)</f>
        <v>0</v>
      </c>
    </row>
    <row r="1574" spans="7:22" x14ac:dyDescent="0.25">
      <c r="G1574" cm="1">
        <f t="array" aca="1" ref="G1574" ca="1">INDIRECT("Data!A" &amp; 1569)</f>
        <v>0</v>
      </c>
      <c r="H1574" s="21" cm="1">
        <f t="array" aca="1" ref="H1574" ca="1">INDIRECT("Data!B" &amp; 1569)</f>
        <v>0</v>
      </c>
      <c r="I1574" s="21" cm="1">
        <f t="array" aca="1" ref="I1574" ca="1">INDIRECT("Data!C" &amp; 1569)</f>
        <v>0</v>
      </c>
      <c r="J1574" cm="1">
        <f t="array" aca="1" ref="J1574" ca="1">INDIRECT("Data!D" &amp; 1569)</f>
        <v>0</v>
      </c>
      <c r="K1574" cm="1">
        <f t="array" aca="1" ref="K1574" ca="1">INDIRECT("Data!E" &amp; 1569)</f>
        <v>0</v>
      </c>
      <c r="L1574" cm="1">
        <f t="array" aca="1" ref="L1574" ca="1">INDIRECT("Data!F" &amp; 1569)</f>
        <v>0</v>
      </c>
      <c r="M1574" cm="1">
        <f t="array" aca="1" ref="M1574" ca="1">INDIRECT("Data!G" &amp; 1569)</f>
        <v>0</v>
      </c>
      <c r="N1574" cm="1">
        <f t="array" aca="1" ref="N1574" ca="1">INDIRECT("Data!H" &amp; 1569)</f>
        <v>0</v>
      </c>
      <c r="O1574" cm="1">
        <f t="array" aca="1" ref="O1574" ca="1">INDIRECT("Data!I" &amp; 1569)</f>
        <v>0</v>
      </c>
      <c r="P1574" s="21" cm="1">
        <f t="array" aca="1" ref="P1574" ca="1">INDIRECT("Data!J" &amp; 1569)</f>
        <v>0</v>
      </c>
      <c r="Q1574" cm="1">
        <f t="array" aca="1" ref="Q1574" ca="1">INDIRECT("Data!K" &amp; 1569)</f>
        <v>0</v>
      </c>
      <c r="R1574" cm="1">
        <f t="array" aca="1" ref="R1574" ca="1">INDIRECT("Data!L" &amp; 1569)</f>
        <v>0</v>
      </c>
      <c r="S1574" cm="1">
        <f t="array" aca="1" ref="S1574" ca="1">INDIRECT("Data!M" &amp; 1569)</f>
        <v>0</v>
      </c>
      <c r="T1574" cm="1">
        <f t="array" aca="1" ref="T1574" ca="1">INDIRECT("Data!N" &amp; 1569)</f>
        <v>0</v>
      </c>
      <c r="U1574" cm="1">
        <f t="array" aca="1" ref="U1574" ca="1">INDIRECT("Data!O" &amp; 1569)</f>
        <v>0</v>
      </c>
      <c r="V1574" cm="1">
        <f t="array" aca="1" ref="V1574" ca="1">INDIRECT("Data!P" &amp; 1569)</f>
        <v>0</v>
      </c>
    </row>
    <row r="1575" spans="7:22" x14ac:dyDescent="0.25">
      <c r="G1575" cm="1">
        <f t="array" aca="1" ref="G1575" ca="1">INDIRECT("Data!A" &amp; 1570)</f>
        <v>0</v>
      </c>
      <c r="H1575" s="21" cm="1">
        <f t="array" aca="1" ref="H1575" ca="1">INDIRECT("Data!B" &amp; 1570)</f>
        <v>0</v>
      </c>
      <c r="I1575" s="21" cm="1">
        <f t="array" aca="1" ref="I1575" ca="1">INDIRECT("Data!C" &amp; 1570)</f>
        <v>0</v>
      </c>
      <c r="J1575" cm="1">
        <f t="array" aca="1" ref="J1575" ca="1">INDIRECT("Data!D" &amp; 1570)</f>
        <v>0</v>
      </c>
      <c r="K1575" cm="1">
        <f t="array" aca="1" ref="K1575" ca="1">INDIRECT("Data!E" &amp; 1570)</f>
        <v>0</v>
      </c>
      <c r="L1575" cm="1">
        <f t="array" aca="1" ref="L1575" ca="1">INDIRECT("Data!F" &amp; 1570)</f>
        <v>0</v>
      </c>
      <c r="M1575" cm="1">
        <f t="array" aca="1" ref="M1575" ca="1">INDIRECT("Data!G" &amp; 1570)</f>
        <v>0</v>
      </c>
      <c r="N1575" cm="1">
        <f t="array" aca="1" ref="N1575" ca="1">INDIRECT("Data!H" &amp; 1570)</f>
        <v>0</v>
      </c>
      <c r="O1575" cm="1">
        <f t="array" aca="1" ref="O1575" ca="1">INDIRECT("Data!I" &amp; 1570)</f>
        <v>0</v>
      </c>
      <c r="P1575" s="21" cm="1">
        <f t="array" aca="1" ref="P1575" ca="1">INDIRECT("Data!J" &amp; 1570)</f>
        <v>0</v>
      </c>
      <c r="Q1575" cm="1">
        <f t="array" aca="1" ref="Q1575" ca="1">INDIRECT("Data!K" &amp; 1570)</f>
        <v>0</v>
      </c>
      <c r="R1575" cm="1">
        <f t="array" aca="1" ref="R1575" ca="1">INDIRECT("Data!L" &amp; 1570)</f>
        <v>0</v>
      </c>
      <c r="S1575" cm="1">
        <f t="array" aca="1" ref="S1575" ca="1">INDIRECT("Data!M" &amp; 1570)</f>
        <v>0</v>
      </c>
      <c r="T1575" cm="1">
        <f t="array" aca="1" ref="T1575" ca="1">INDIRECT("Data!N" &amp; 1570)</f>
        <v>0</v>
      </c>
      <c r="U1575" cm="1">
        <f t="array" aca="1" ref="U1575" ca="1">INDIRECT("Data!O" &amp; 1570)</f>
        <v>0</v>
      </c>
      <c r="V1575" cm="1">
        <f t="array" aca="1" ref="V1575" ca="1">INDIRECT("Data!P" &amp; 1570)</f>
        <v>0</v>
      </c>
    </row>
    <row r="1576" spans="7:22" x14ac:dyDescent="0.25">
      <c r="G1576" cm="1">
        <f t="array" aca="1" ref="G1576" ca="1">INDIRECT("Data!A" &amp; 1571)</f>
        <v>0</v>
      </c>
      <c r="H1576" s="21" cm="1">
        <f t="array" aca="1" ref="H1576" ca="1">INDIRECT("Data!B" &amp; 1571)</f>
        <v>0</v>
      </c>
      <c r="I1576" s="21" cm="1">
        <f t="array" aca="1" ref="I1576" ca="1">INDIRECT("Data!C" &amp; 1571)</f>
        <v>0</v>
      </c>
      <c r="J1576" cm="1">
        <f t="array" aca="1" ref="J1576" ca="1">INDIRECT("Data!D" &amp; 1571)</f>
        <v>0</v>
      </c>
      <c r="K1576" cm="1">
        <f t="array" aca="1" ref="K1576" ca="1">INDIRECT("Data!E" &amp; 1571)</f>
        <v>0</v>
      </c>
      <c r="L1576" cm="1">
        <f t="array" aca="1" ref="L1576" ca="1">INDIRECT("Data!F" &amp; 1571)</f>
        <v>0</v>
      </c>
      <c r="M1576" cm="1">
        <f t="array" aca="1" ref="M1576" ca="1">INDIRECT("Data!G" &amp; 1571)</f>
        <v>0</v>
      </c>
      <c r="N1576" cm="1">
        <f t="array" aca="1" ref="N1576" ca="1">INDIRECT("Data!H" &amp; 1571)</f>
        <v>0</v>
      </c>
      <c r="O1576" cm="1">
        <f t="array" aca="1" ref="O1576" ca="1">INDIRECT("Data!I" &amp; 1571)</f>
        <v>0</v>
      </c>
      <c r="P1576" s="21" cm="1">
        <f t="array" aca="1" ref="P1576" ca="1">INDIRECT("Data!J" &amp; 1571)</f>
        <v>0</v>
      </c>
      <c r="Q1576" cm="1">
        <f t="array" aca="1" ref="Q1576" ca="1">INDIRECT("Data!K" &amp; 1571)</f>
        <v>0</v>
      </c>
      <c r="R1576" cm="1">
        <f t="array" aca="1" ref="R1576" ca="1">INDIRECT("Data!L" &amp; 1571)</f>
        <v>0</v>
      </c>
      <c r="S1576" cm="1">
        <f t="array" aca="1" ref="S1576" ca="1">INDIRECT("Data!M" &amp; 1571)</f>
        <v>0</v>
      </c>
      <c r="T1576" cm="1">
        <f t="array" aca="1" ref="T1576" ca="1">INDIRECT("Data!N" &amp; 1571)</f>
        <v>0</v>
      </c>
      <c r="U1576" cm="1">
        <f t="array" aca="1" ref="U1576" ca="1">INDIRECT("Data!O" &amp; 1571)</f>
        <v>0</v>
      </c>
      <c r="V1576" cm="1">
        <f t="array" aca="1" ref="V1576" ca="1">INDIRECT("Data!P" &amp; 1571)</f>
        <v>0</v>
      </c>
    </row>
    <row r="1577" spans="7:22" x14ac:dyDescent="0.25">
      <c r="G1577" cm="1">
        <f t="array" aca="1" ref="G1577" ca="1">INDIRECT("Data!A" &amp; 1572)</f>
        <v>0</v>
      </c>
      <c r="H1577" s="21" cm="1">
        <f t="array" aca="1" ref="H1577" ca="1">INDIRECT("Data!B" &amp; 1572)</f>
        <v>0</v>
      </c>
      <c r="I1577" s="21" cm="1">
        <f t="array" aca="1" ref="I1577" ca="1">INDIRECT("Data!C" &amp; 1572)</f>
        <v>0</v>
      </c>
      <c r="J1577" cm="1">
        <f t="array" aca="1" ref="J1577" ca="1">INDIRECT("Data!D" &amp; 1572)</f>
        <v>0</v>
      </c>
      <c r="K1577" cm="1">
        <f t="array" aca="1" ref="K1577" ca="1">INDIRECT("Data!E" &amp; 1572)</f>
        <v>0</v>
      </c>
      <c r="L1577" cm="1">
        <f t="array" aca="1" ref="L1577" ca="1">INDIRECT("Data!F" &amp; 1572)</f>
        <v>0</v>
      </c>
      <c r="M1577" cm="1">
        <f t="array" aca="1" ref="M1577" ca="1">INDIRECT("Data!G" &amp; 1572)</f>
        <v>0</v>
      </c>
      <c r="N1577" cm="1">
        <f t="array" aca="1" ref="N1577" ca="1">INDIRECT("Data!H" &amp; 1572)</f>
        <v>0</v>
      </c>
      <c r="O1577" cm="1">
        <f t="array" aca="1" ref="O1577" ca="1">INDIRECT("Data!I" &amp; 1572)</f>
        <v>0</v>
      </c>
      <c r="P1577" s="21" cm="1">
        <f t="array" aca="1" ref="P1577" ca="1">INDIRECT("Data!J" &amp; 1572)</f>
        <v>0</v>
      </c>
      <c r="Q1577" cm="1">
        <f t="array" aca="1" ref="Q1577" ca="1">INDIRECT("Data!K" &amp; 1572)</f>
        <v>0</v>
      </c>
      <c r="R1577" cm="1">
        <f t="array" aca="1" ref="R1577" ca="1">INDIRECT("Data!L" &amp; 1572)</f>
        <v>0</v>
      </c>
      <c r="S1577" cm="1">
        <f t="array" aca="1" ref="S1577" ca="1">INDIRECT("Data!M" &amp; 1572)</f>
        <v>0</v>
      </c>
      <c r="T1577" cm="1">
        <f t="array" aca="1" ref="T1577" ca="1">INDIRECT("Data!N" &amp; 1572)</f>
        <v>0</v>
      </c>
      <c r="U1577" cm="1">
        <f t="array" aca="1" ref="U1577" ca="1">INDIRECT("Data!O" &amp; 1572)</f>
        <v>0</v>
      </c>
      <c r="V1577" cm="1">
        <f t="array" aca="1" ref="V1577" ca="1">INDIRECT("Data!P" &amp; 1572)</f>
        <v>0</v>
      </c>
    </row>
    <row r="1578" spans="7:22" x14ac:dyDescent="0.25">
      <c r="G1578" cm="1">
        <f t="array" aca="1" ref="G1578" ca="1">INDIRECT("Data!A"&amp;1573)</f>
        <v>0</v>
      </c>
      <c r="H1578" s="21" cm="1">
        <f t="array" aca="1" ref="H1578" ca="1">INDIRECT("Data!B"&amp;1573)</f>
        <v>0</v>
      </c>
      <c r="I1578" s="21" cm="1">
        <f t="array" aca="1" ref="I1578" ca="1">INDIRECT("Data!C"&amp;1573)</f>
        <v>0</v>
      </c>
      <c r="J1578" cm="1">
        <f t="array" aca="1" ref="J1578" ca="1">INDIRECT("Data!D"&amp;1573)</f>
        <v>0</v>
      </c>
      <c r="K1578" cm="1">
        <f t="array" aca="1" ref="K1578" ca="1">INDIRECT("Data!E"&amp;1573)</f>
        <v>0</v>
      </c>
      <c r="L1578" cm="1">
        <f t="array" aca="1" ref="L1578" ca="1">INDIRECT("Data!F"&amp;1573)</f>
        <v>0</v>
      </c>
      <c r="M1578" cm="1">
        <f t="array" aca="1" ref="M1578" ca="1">INDIRECT("Data!G"&amp;1573)</f>
        <v>0</v>
      </c>
      <c r="N1578" cm="1">
        <f t="array" aca="1" ref="N1578" ca="1">INDIRECT("Data!H"&amp;1573)</f>
        <v>0</v>
      </c>
      <c r="O1578" cm="1">
        <f t="array" aca="1" ref="O1578" ca="1">INDIRECT("Data!I"&amp;1573)</f>
        <v>0</v>
      </c>
      <c r="P1578" s="21" cm="1">
        <f t="array" aca="1" ref="P1578" ca="1">INDIRECT("Data!J"&amp;1573)</f>
        <v>0</v>
      </c>
      <c r="Q1578" cm="1">
        <f t="array" aca="1" ref="Q1578" ca="1">INDIRECT("Data!K"&amp;1573)</f>
        <v>0</v>
      </c>
      <c r="R1578" cm="1">
        <f t="array" aca="1" ref="R1578" ca="1">INDIRECT("Data!L"&amp;1573)</f>
        <v>0</v>
      </c>
      <c r="S1578" cm="1">
        <f t="array" aca="1" ref="S1578" ca="1">INDIRECT("Data!M"&amp;1573)</f>
        <v>0</v>
      </c>
      <c r="T1578" cm="1">
        <f t="array" aca="1" ref="T1578" ca="1">INDIRECT("Data!N"&amp;1573)</f>
        <v>0</v>
      </c>
      <c r="U1578" cm="1">
        <f t="array" aca="1" ref="U1578" ca="1">INDIRECT("Data!O"&amp;1573)</f>
        <v>0</v>
      </c>
      <c r="V1578" cm="1">
        <f t="array" aca="1" ref="V1578" ca="1">INDIRECT("Data!P"&amp;1573)</f>
        <v>0</v>
      </c>
    </row>
    <row r="1579" spans="7:22" x14ac:dyDescent="0.25">
      <c r="G1579" cm="1">
        <f t="array" aca="1" ref="G1579" ca="1">INDIRECT("Data!A" &amp; 1574)</f>
        <v>0</v>
      </c>
      <c r="H1579" s="21" cm="1">
        <f t="array" aca="1" ref="H1579" ca="1">INDIRECT("Data!B" &amp; 1574)</f>
        <v>0</v>
      </c>
      <c r="I1579" s="21" cm="1">
        <f t="array" aca="1" ref="I1579" ca="1">INDIRECT("Data!C" &amp; 1574)</f>
        <v>0</v>
      </c>
      <c r="J1579" cm="1">
        <f t="array" aca="1" ref="J1579" ca="1">INDIRECT("Data!D" &amp; 1574)</f>
        <v>0</v>
      </c>
      <c r="K1579" cm="1">
        <f t="array" aca="1" ref="K1579" ca="1">INDIRECT("Data!E" &amp; 1574)</f>
        <v>0</v>
      </c>
      <c r="L1579" cm="1">
        <f t="array" aca="1" ref="L1579" ca="1">INDIRECT("Data!F" &amp; 1574)</f>
        <v>0</v>
      </c>
      <c r="M1579" cm="1">
        <f t="array" aca="1" ref="M1579" ca="1">INDIRECT("Data!G" &amp; 1574)</f>
        <v>0</v>
      </c>
      <c r="N1579" cm="1">
        <f t="array" aca="1" ref="N1579" ca="1">INDIRECT("Data!H" &amp; 1574)</f>
        <v>0</v>
      </c>
      <c r="O1579" cm="1">
        <f t="array" aca="1" ref="O1579" ca="1">INDIRECT("Data!I" &amp; 1574)</f>
        <v>0</v>
      </c>
      <c r="P1579" s="21" cm="1">
        <f t="array" aca="1" ref="P1579" ca="1">INDIRECT("Data!J" &amp; 1574)</f>
        <v>0</v>
      </c>
      <c r="Q1579" cm="1">
        <f t="array" aca="1" ref="Q1579" ca="1">INDIRECT("Data!K" &amp; 1574)</f>
        <v>0</v>
      </c>
      <c r="R1579" cm="1">
        <f t="array" aca="1" ref="R1579" ca="1">INDIRECT("Data!L" &amp; 1574)</f>
        <v>0</v>
      </c>
      <c r="S1579" cm="1">
        <f t="array" aca="1" ref="S1579" ca="1">INDIRECT("Data!M" &amp; 1574)</f>
        <v>0</v>
      </c>
      <c r="T1579" cm="1">
        <f t="array" aca="1" ref="T1579" ca="1">INDIRECT("Data!N" &amp; 1574)</f>
        <v>0</v>
      </c>
      <c r="U1579" cm="1">
        <f t="array" aca="1" ref="U1579" ca="1">INDIRECT("Data!O" &amp; 1574)</f>
        <v>0</v>
      </c>
      <c r="V1579" cm="1">
        <f t="array" aca="1" ref="V1579" ca="1">INDIRECT("Data!P" &amp; 1574)</f>
        <v>0</v>
      </c>
    </row>
    <row r="1580" spans="7:22" x14ac:dyDescent="0.25">
      <c r="G1580" cm="1">
        <f t="array" aca="1" ref="G1580" ca="1">INDIRECT("Data!A" &amp; 1575)</f>
        <v>0</v>
      </c>
      <c r="H1580" s="21" cm="1">
        <f t="array" aca="1" ref="H1580" ca="1">INDIRECT("Data!B" &amp; 1575)</f>
        <v>0</v>
      </c>
      <c r="I1580" s="21" cm="1">
        <f t="array" aca="1" ref="I1580" ca="1">INDIRECT("Data!C" &amp; 1575)</f>
        <v>0</v>
      </c>
      <c r="J1580" cm="1">
        <f t="array" aca="1" ref="J1580" ca="1">INDIRECT("Data!D" &amp; 1575)</f>
        <v>0</v>
      </c>
      <c r="K1580" cm="1">
        <f t="array" aca="1" ref="K1580" ca="1">INDIRECT("Data!E" &amp; 1575)</f>
        <v>0</v>
      </c>
      <c r="L1580" cm="1">
        <f t="array" aca="1" ref="L1580" ca="1">INDIRECT("Data!F" &amp; 1575)</f>
        <v>0</v>
      </c>
      <c r="M1580" cm="1">
        <f t="array" aca="1" ref="M1580" ca="1">INDIRECT("Data!G" &amp; 1575)</f>
        <v>0</v>
      </c>
      <c r="N1580" cm="1">
        <f t="array" aca="1" ref="N1580" ca="1">INDIRECT("Data!H" &amp; 1575)</f>
        <v>0</v>
      </c>
      <c r="O1580" cm="1">
        <f t="array" aca="1" ref="O1580" ca="1">INDIRECT("Data!I" &amp; 1575)</f>
        <v>0</v>
      </c>
      <c r="P1580" s="21" cm="1">
        <f t="array" aca="1" ref="P1580" ca="1">INDIRECT("Data!J" &amp; 1575)</f>
        <v>0</v>
      </c>
      <c r="Q1580" cm="1">
        <f t="array" aca="1" ref="Q1580" ca="1">INDIRECT("Data!K" &amp; 1575)</f>
        <v>0</v>
      </c>
      <c r="R1580" cm="1">
        <f t="array" aca="1" ref="R1580" ca="1">INDIRECT("Data!L" &amp; 1575)</f>
        <v>0</v>
      </c>
      <c r="S1580" cm="1">
        <f t="array" aca="1" ref="S1580" ca="1">INDIRECT("Data!M" &amp; 1575)</f>
        <v>0</v>
      </c>
      <c r="T1580" cm="1">
        <f t="array" aca="1" ref="T1580" ca="1">INDIRECT("Data!N" &amp; 1575)</f>
        <v>0</v>
      </c>
      <c r="U1580" cm="1">
        <f t="array" aca="1" ref="U1580" ca="1">INDIRECT("Data!O" &amp; 1575)</f>
        <v>0</v>
      </c>
      <c r="V1580" cm="1">
        <f t="array" aca="1" ref="V1580" ca="1">INDIRECT("Data!P" &amp; 1575)</f>
        <v>0</v>
      </c>
    </row>
    <row r="1581" spans="7:22" x14ac:dyDescent="0.25">
      <c r="G1581" cm="1">
        <f t="array" aca="1" ref="G1581" ca="1">INDIRECT("Data!A" &amp; 1576)</f>
        <v>0</v>
      </c>
      <c r="H1581" s="21" cm="1">
        <f t="array" aca="1" ref="H1581" ca="1">INDIRECT("Data!B" &amp; 1576)</f>
        <v>0</v>
      </c>
      <c r="I1581" s="21" cm="1">
        <f t="array" aca="1" ref="I1581" ca="1">INDIRECT("Data!C" &amp; 1576)</f>
        <v>0</v>
      </c>
      <c r="J1581" cm="1">
        <f t="array" aca="1" ref="J1581" ca="1">INDIRECT("Data!D" &amp; 1576)</f>
        <v>0</v>
      </c>
      <c r="K1581" cm="1">
        <f t="array" aca="1" ref="K1581" ca="1">INDIRECT("Data!E" &amp; 1576)</f>
        <v>0</v>
      </c>
      <c r="L1581" cm="1">
        <f t="array" aca="1" ref="L1581" ca="1">INDIRECT("Data!F" &amp; 1576)</f>
        <v>0</v>
      </c>
      <c r="M1581" cm="1">
        <f t="array" aca="1" ref="M1581" ca="1">INDIRECT("Data!G" &amp; 1576)</f>
        <v>0</v>
      </c>
      <c r="N1581" cm="1">
        <f t="array" aca="1" ref="N1581" ca="1">INDIRECT("Data!H" &amp; 1576)</f>
        <v>0</v>
      </c>
      <c r="O1581" cm="1">
        <f t="array" aca="1" ref="O1581" ca="1">INDIRECT("Data!I" &amp; 1576)</f>
        <v>0</v>
      </c>
      <c r="P1581" s="21" cm="1">
        <f t="array" aca="1" ref="P1581" ca="1">INDIRECT("Data!J" &amp; 1576)</f>
        <v>0</v>
      </c>
      <c r="Q1581" cm="1">
        <f t="array" aca="1" ref="Q1581" ca="1">INDIRECT("Data!K" &amp; 1576)</f>
        <v>0</v>
      </c>
      <c r="R1581" cm="1">
        <f t="array" aca="1" ref="R1581" ca="1">INDIRECT("Data!L" &amp; 1576)</f>
        <v>0</v>
      </c>
      <c r="S1581" cm="1">
        <f t="array" aca="1" ref="S1581" ca="1">INDIRECT("Data!M" &amp; 1576)</f>
        <v>0</v>
      </c>
      <c r="T1581" cm="1">
        <f t="array" aca="1" ref="T1581" ca="1">INDIRECT("Data!N" &amp; 1576)</f>
        <v>0</v>
      </c>
      <c r="U1581" cm="1">
        <f t="array" aca="1" ref="U1581" ca="1">INDIRECT("Data!O" &amp; 1576)</f>
        <v>0</v>
      </c>
      <c r="V1581" cm="1">
        <f t="array" aca="1" ref="V1581" ca="1">INDIRECT("Data!P" &amp; 1576)</f>
        <v>0</v>
      </c>
    </row>
    <row r="1582" spans="7:22" x14ac:dyDescent="0.25">
      <c r="G1582" cm="1">
        <f t="array" aca="1" ref="G1582" ca="1">INDIRECT("Data!A" &amp; 1577)</f>
        <v>0</v>
      </c>
      <c r="H1582" s="21" cm="1">
        <f t="array" aca="1" ref="H1582" ca="1">INDIRECT("Data!B" &amp; 1577)</f>
        <v>0</v>
      </c>
      <c r="I1582" s="21" cm="1">
        <f t="array" aca="1" ref="I1582" ca="1">INDIRECT("Data!C" &amp; 1577)</f>
        <v>0</v>
      </c>
      <c r="J1582" cm="1">
        <f t="array" aca="1" ref="J1582" ca="1">INDIRECT("Data!D" &amp; 1577)</f>
        <v>0</v>
      </c>
      <c r="K1582" cm="1">
        <f t="array" aca="1" ref="K1582" ca="1">INDIRECT("Data!E" &amp; 1577)</f>
        <v>0</v>
      </c>
      <c r="L1582" cm="1">
        <f t="array" aca="1" ref="L1582" ca="1">INDIRECT("Data!F" &amp; 1577)</f>
        <v>0</v>
      </c>
      <c r="M1582" cm="1">
        <f t="array" aca="1" ref="M1582" ca="1">INDIRECT("Data!G" &amp; 1577)</f>
        <v>0</v>
      </c>
      <c r="N1582" cm="1">
        <f t="array" aca="1" ref="N1582" ca="1">INDIRECT("Data!H" &amp; 1577)</f>
        <v>0</v>
      </c>
      <c r="O1582" cm="1">
        <f t="array" aca="1" ref="O1582" ca="1">INDIRECT("Data!I" &amp; 1577)</f>
        <v>0</v>
      </c>
      <c r="P1582" s="21" cm="1">
        <f t="array" aca="1" ref="P1582" ca="1">INDIRECT("Data!J" &amp; 1577)</f>
        <v>0</v>
      </c>
      <c r="Q1582" cm="1">
        <f t="array" aca="1" ref="Q1582" ca="1">INDIRECT("Data!K" &amp; 1577)</f>
        <v>0</v>
      </c>
      <c r="R1582" cm="1">
        <f t="array" aca="1" ref="R1582" ca="1">INDIRECT("Data!L" &amp; 1577)</f>
        <v>0</v>
      </c>
      <c r="S1582" cm="1">
        <f t="array" aca="1" ref="S1582" ca="1">INDIRECT("Data!M" &amp; 1577)</f>
        <v>0</v>
      </c>
      <c r="T1582" cm="1">
        <f t="array" aca="1" ref="T1582" ca="1">INDIRECT("Data!N" &amp; 1577)</f>
        <v>0</v>
      </c>
      <c r="U1582" cm="1">
        <f t="array" aca="1" ref="U1582" ca="1">INDIRECT("Data!O" &amp; 1577)</f>
        <v>0</v>
      </c>
      <c r="V1582" cm="1">
        <f t="array" aca="1" ref="V1582" ca="1">INDIRECT("Data!P" &amp; 1577)</f>
        <v>0</v>
      </c>
    </row>
    <row r="1583" spans="7:22" x14ac:dyDescent="0.25">
      <c r="G1583" cm="1">
        <f t="array" aca="1" ref="G1583" ca="1">INDIRECT("Data!A" &amp; 1578)</f>
        <v>0</v>
      </c>
      <c r="H1583" s="21" cm="1">
        <f t="array" aca="1" ref="H1583" ca="1">INDIRECT("Data!B" &amp; 1578)</f>
        <v>0</v>
      </c>
      <c r="I1583" s="21" cm="1">
        <f t="array" aca="1" ref="I1583" ca="1">INDIRECT("Data!C" &amp; 1578)</f>
        <v>0</v>
      </c>
      <c r="J1583" cm="1">
        <f t="array" aca="1" ref="J1583" ca="1">INDIRECT("Data!D" &amp; 1578)</f>
        <v>0</v>
      </c>
      <c r="K1583" cm="1">
        <f t="array" aca="1" ref="K1583" ca="1">INDIRECT("Data!E" &amp; 1578)</f>
        <v>0</v>
      </c>
      <c r="L1583" cm="1">
        <f t="array" aca="1" ref="L1583" ca="1">INDIRECT("Data!F" &amp; 1578)</f>
        <v>0</v>
      </c>
      <c r="M1583" cm="1">
        <f t="array" aca="1" ref="M1583" ca="1">INDIRECT("Data!G" &amp; 1578)</f>
        <v>0</v>
      </c>
      <c r="N1583" cm="1">
        <f t="array" aca="1" ref="N1583" ca="1">INDIRECT("Data!H" &amp; 1578)</f>
        <v>0</v>
      </c>
      <c r="O1583" cm="1">
        <f t="array" aca="1" ref="O1583" ca="1">INDIRECT("Data!I" &amp; 1578)</f>
        <v>0</v>
      </c>
      <c r="P1583" s="21" cm="1">
        <f t="array" aca="1" ref="P1583" ca="1">INDIRECT("Data!J" &amp; 1578)</f>
        <v>0</v>
      </c>
      <c r="Q1583" cm="1">
        <f t="array" aca="1" ref="Q1583" ca="1">INDIRECT("Data!K" &amp; 1578)</f>
        <v>0</v>
      </c>
      <c r="R1583" cm="1">
        <f t="array" aca="1" ref="R1583" ca="1">INDIRECT("Data!L" &amp; 1578)</f>
        <v>0</v>
      </c>
      <c r="S1583" cm="1">
        <f t="array" aca="1" ref="S1583" ca="1">INDIRECT("Data!M" &amp; 1578)</f>
        <v>0</v>
      </c>
      <c r="T1583" cm="1">
        <f t="array" aca="1" ref="T1583" ca="1">INDIRECT("Data!N" &amp; 1578)</f>
        <v>0</v>
      </c>
      <c r="U1583" cm="1">
        <f t="array" aca="1" ref="U1583" ca="1">INDIRECT("Data!O" &amp; 1578)</f>
        <v>0</v>
      </c>
      <c r="V1583" cm="1">
        <f t="array" aca="1" ref="V1583" ca="1">INDIRECT("Data!P" &amp; 1578)</f>
        <v>0</v>
      </c>
    </row>
    <row r="1584" spans="7:22" x14ac:dyDescent="0.25">
      <c r="G1584" cm="1">
        <f t="array" aca="1" ref="G1584" ca="1">INDIRECT("Data!A" &amp; 1579)</f>
        <v>0</v>
      </c>
      <c r="H1584" s="21" cm="1">
        <f t="array" aca="1" ref="H1584" ca="1">INDIRECT("Data!B" &amp; 1579)</f>
        <v>0</v>
      </c>
      <c r="I1584" s="21" cm="1">
        <f t="array" aca="1" ref="I1584" ca="1">INDIRECT("Data!C" &amp; 1579)</f>
        <v>0</v>
      </c>
      <c r="J1584" cm="1">
        <f t="array" aca="1" ref="J1584" ca="1">INDIRECT("Data!D" &amp; 1579)</f>
        <v>0</v>
      </c>
      <c r="K1584" cm="1">
        <f t="array" aca="1" ref="K1584" ca="1">INDIRECT("Data!E" &amp; 1579)</f>
        <v>0</v>
      </c>
      <c r="L1584" cm="1">
        <f t="array" aca="1" ref="L1584" ca="1">INDIRECT("Data!F" &amp; 1579)</f>
        <v>0</v>
      </c>
      <c r="M1584" cm="1">
        <f t="array" aca="1" ref="M1584" ca="1">INDIRECT("Data!G" &amp; 1579)</f>
        <v>0</v>
      </c>
      <c r="N1584" cm="1">
        <f t="array" aca="1" ref="N1584" ca="1">INDIRECT("Data!H" &amp; 1579)</f>
        <v>0</v>
      </c>
      <c r="O1584" cm="1">
        <f t="array" aca="1" ref="O1584" ca="1">INDIRECT("Data!I" &amp; 1579)</f>
        <v>0</v>
      </c>
      <c r="P1584" s="21" cm="1">
        <f t="array" aca="1" ref="P1584" ca="1">INDIRECT("Data!J" &amp; 1579)</f>
        <v>0</v>
      </c>
      <c r="Q1584" cm="1">
        <f t="array" aca="1" ref="Q1584" ca="1">INDIRECT("Data!K" &amp; 1579)</f>
        <v>0</v>
      </c>
      <c r="R1584" cm="1">
        <f t="array" aca="1" ref="R1584" ca="1">INDIRECT("Data!L" &amp; 1579)</f>
        <v>0</v>
      </c>
      <c r="S1584" cm="1">
        <f t="array" aca="1" ref="S1584" ca="1">INDIRECT("Data!M" &amp; 1579)</f>
        <v>0</v>
      </c>
      <c r="T1584" cm="1">
        <f t="array" aca="1" ref="T1584" ca="1">INDIRECT("Data!N" &amp; 1579)</f>
        <v>0</v>
      </c>
      <c r="U1584" cm="1">
        <f t="array" aca="1" ref="U1584" ca="1">INDIRECT("Data!O" &amp; 1579)</f>
        <v>0</v>
      </c>
      <c r="V1584" cm="1">
        <f t="array" aca="1" ref="V1584" ca="1">INDIRECT("Data!P" &amp; 1579)</f>
        <v>0</v>
      </c>
    </row>
    <row r="1585" spans="7:22" x14ac:dyDescent="0.25">
      <c r="G1585" cm="1">
        <f t="array" aca="1" ref="G1585" ca="1">INDIRECT("Data!A" &amp; 1580)</f>
        <v>0</v>
      </c>
      <c r="H1585" s="21" cm="1">
        <f t="array" aca="1" ref="H1585" ca="1">INDIRECT("Data!B" &amp; 1580)</f>
        <v>0</v>
      </c>
      <c r="I1585" s="21" cm="1">
        <f t="array" aca="1" ref="I1585" ca="1">INDIRECT("Data!C" &amp; 1580)</f>
        <v>0</v>
      </c>
      <c r="J1585" cm="1">
        <f t="array" aca="1" ref="J1585" ca="1">INDIRECT("Data!D" &amp; 1580)</f>
        <v>0</v>
      </c>
      <c r="K1585" cm="1">
        <f t="array" aca="1" ref="K1585" ca="1">INDIRECT("Data!E" &amp; 1580)</f>
        <v>0</v>
      </c>
      <c r="L1585" cm="1">
        <f t="array" aca="1" ref="L1585" ca="1">INDIRECT("Data!F" &amp; 1580)</f>
        <v>0</v>
      </c>
      <c r="M1585" cm="1">
        <f t="array" aca="1" ref="M1585" ca="1">INDIRECT("Data!G" &amp; 1580)</f>
        <v>0</v>
      </c>
      <c r="N1585" cm="1">
        <f t="array" aca="1" ref="N1585" ca="1">INDIRECT("Data!H" &amp; 1580)</f>
        <v>0</v>
      </c>
      <c r="O1585" cm="1">
        <f t="array" aca="1" ref="O1585" ca="1">INDIRECT("Data!I" &amp; 1580)</f>
        <v>0</v>
      </c>
      <c r="P1585" s="21" cm="1">
        <f t="array" aca="1" ref="P1585" ca="1">INDIRECT("Data!J" &amp; 1580)</f>
        <v>0</v>
      </c>
      <c r="Q1585" cm="1">
        <f t="array" aca="1" ref="Q1585" ca="1">INDIRECT("Data!K" &amp; 1580)</f>
        <v>0</v>
      </c>
      <c r="R1585" cm="1">
        <f t="array" aca="1" ref="R1585" ca="1">INDIRECT("Data!L" &amp; 1580)</f>
        <v>0</v>
      </c>
      <c r="S1585" cm="1">
        <f t="array" aca="1" ref="S1585" ca="1">INDIRECT("Data!M" &amp; 1580)</f>
        <v>0</v>
      </c>
      <c r="T1585" cm="1">
        <f t="array" aca="1" ref="T1585" ca="1">INDIRECT("Data!N" &amp; 1580)</f>
        <v>0</v>
      </c>
      <c r="U1585" cm="1">
        <f t="array" aca="1" ref="U1585" ca="1">INDIRECT("Data!O" &amp; 1580)</f>
        <v>0</v>
      </c>
      <c r="V1585" cm="1">
        <f t="array" aca="1" ref="V1585" ca="1">INDIRECT("Data!P" &amp; 1580)</f>
        <v>0</v>
      </c>
    </row>
    <row r="1586" spans="7:22" x14ac:dyDescent="0.25">
      <c r="G1586" cm="1">
        <f t="array" aca="1" ref="G1586" ca="1">INDIRECT("Data!A" &amp; 1581)</f>
        <v>0</v>
      </c>
      <c r="H1586" s="21" cm="1">
        <f t="array" aca="1" ref="H1586" ca="1">INDIRECT("Data!B" &amp; 1581)</f>
        <v>0</v>
      </c>
      <c r="I1586" s="21" cm="1">
        <f t="array" aca="1" ref="I1586" ca="1">INDIRECT("Data!C" &amp; 1581)</f>
        <v>0</v>
      </c>
      <c r="J1586" cm="1">
        <f t="array" aca="1" ref="J1586" ca="1">INDIRECT("Data!D" &amp; 1581)</f>
        <v>0</v>
      </c>
      <c r="K1586" cm="1">
        <f t="array" aca="1" ref="K1586" ca="1">INDIRECT("Data!E" &amp; 1581)</f>
        <v>0</v>
      </c>
      <c r="L1586" cm="1">
        <f t="array" aca="1" ref="L1586" ca="1">INDIRECT("Data!F" &amp; 1581)</f>
        <v>0</v>
      </c>
      <c r="M1586" cm="1">
        <f t="array" aca="1" ref="M1586" ca="1">INDIRECT("Data!G" &amp; 1581)</f>
        <v>0</v>
      </c>
      <c r="N1586" cm="1">
        <f t="array" aca="1" ref="N1586" ca="1">INDIRECT("Data!H" &amp; 1581)</f>
        <v>0</v>
      </c>
      <c r="O1586" cm="1">
        <f t="array" aca="1" ref="O1586" ca="1">INDIRECT("Data!I" &amp; 1581)</f>
        <v>0</v>
      </c>
      <c r="P1586" s="21" cm="1">
        <f t="array" aca="1" ref="P1586" ca="1">INDIRECT("Data!J" &amp; 1581)</f>
        <v>0</v>
      </c>
      <c r="Q1586" cm="1">
        <f t="array" aca="1" ref="Q1586" ca="1">INDIRECT("Data!K" &amp; 1581)</f>
        <v>0</v>
      </c>
      <c r="R1586" cm="1">
        <f t="array" aca="1" ref="R1586" ca="1">INDIRECT("Data!L" &amp; 1581)</f>
        <v>0</v>
      </c>
      <c r="S1586" cm="1">
        <f t="array" aca="1" ref="S1586" ca="1">INDIRECT("Data!M" &amp; 1581)</f>
        <v>0</v>
      </c>
      <c r="T1586" cm="1">
        <f t="array" aca="1" ref="T1586" ca="1">INDIRECT("Data!N" &amp; 1581)</f>
        <v>0</v>
      </c>
      <c r="U1586" cm="1">
        <f t="array" aca="1" ref="U1586" ca="1">INDIRECT("Data!O" &amp; 1581)</f>
        <v>0</v>
      </c>
      <c r="V1586" cm="1">
        <f t="array" aca="1" ref="V1586" ca="1">INDIRECT("Data!P" &amp; 1581)</f>
        <v>0</v>
      </c>
    </row>
    <row r="1587" spans="7:22" x14ac:dyDescent="0.25">
      <c r="G1587" cm="1">
        <f t="array" aca="1" ref="G1587" ca="1">INDIRECT("Data!A" &amp; 1582)</f>
        <v>0</v>
      </c>
      <c r="H1587" s="21" cm="1">
        <f t="array" aca="1" ref="H1587" ca="1">INDIRECT("Data!B" &amp; 1582)</f>
        <v>0</v>
      </c>
      <c r="I1587" s="21" cm="1">
        <f t="array" aca="1" ref="I1587" ca="1">INDIRECT("Data!C" &amp; 1582)</f>
        <v>0</v>
      </c>
      <c r="J1587" cm="1">
        <f t="array" aca="1" ref="J1587" ca="1">INDIRECT("Data!D" &amp; 1582)</f>
        <v>0</v>
      </c>
      <c r="K1587" cm="1">
        <f t="array" aca="1" ref="K1587" ca="1">INDIRECT("Data!E" &amp; 1582)</f>
        <v>0</v>
      </c>
      <c r="L1587" cm="1">
        <f t="array" aca="1" ref="L1587" ca="1">INDIRECT("Data!F" &amp; 1582)</f>
        <v>0</v>
      </c>
      <c r="M1587" cm="1">
        <f t="array" aca="1" ref="M1587" ca="1">INDIRECT("Data!G" &amp; 1582)</f>
        <v>0</v>
      </c>
      <c r="N1587" cm="1">
        <f t="array" aca="1" ref="N1587" ca="1">INDIRECT("Data!H" &amp; 1582)</f>
        <v>0</v>
      </c>
      <c r="O1587" cm="1">
        <f t="array" aca="1" ref="O1587" ca="1">INDIRECT("Data!I" &amp; 1582)</f>
        <v>0</v>
      </c>
      <c r="P1587" s="21" cm="1">
        <f t="array" aca="1" ref="P1587" ca="1">INDIRECT("Data!J" &amp; 1582)</f>
        <v>0</v>
      </c>
      <c r="Q1587" cm="1">
        <f t="array" aca="1" ref="Q1587" ca="1">INDIRECT("Data!K" &amp; 1582)</f>
        <v>0</v>
      </c>
      <c r="R1587" cm="1">
        <f t="array" aca="1" ref="R1587" ca="1">INDIRECT("Data!L" &amp; 1582)</f>
        <v>0</v>
      </c>
      <c r="S1587" cm="1">
        <f t="array" aca="1" ref="S1587" ca="1">INDIRECT("Data!M" &amp; 1582)</f>
        <v>0</v>
      </c>
      <c r="T1587" cm="1">
        <f t="array" aca="1" ref="T1587" ca="1">INDIRECT("Data!N" &amp; 1582)</f>
        <v>0</v>
      </c>
      <c r="U1587" cm="1">
        <f t="array" aca="1" ref="U1587" ca="1">INDIRECT("Data!O" &amp; 1582)</f>
        <v>0</v>
      </c>
      <c r="V1587" cm="1">
        <f t="array" aca="1" ref="V1587" ca="1">INDIRECT("Data!P" &amp; 1582)</f>
        <v>0</v>
      </c>
    </row>
    <row r="1588" spans="7:22" x14ac:dyDescent="0.25">
      <c r="G1588" cm="1">
        <f t="array" aca="1" ref="G1588" ca="1">INDIRECT("Data!A" &amp; 1583)</f>
        <v>0</v>
      </c>
      <c r="H1588" s="21" cm="1">
        <f t="array" aca="1" ref="H1588" ca="1">INDIRECT("Data!B" &amp; 1583)</f>
        <v>0</v>
      </c>
      <c r="I1588" s="21" cm="1">
        <f t="array" aca="1" ref="I1588" ca="1">INDIRECT("Data!C" &amp; 1583)</f>
        <v>0</v>
      </c>
      <c r="J1588" cm="1">
        <f t="array" aca="1" ref="J1588" ca="1">INDIRECT("Data!D" &amp; 1583)</f>
        <v>0</v>
      </c>
      <c r="K1588" cm="1">
        <f t="array" aca="1" ref="K1588" ca="1">INDIRECT("Data!E" &amp; 1583)</f>
        <v>0</v>
      </c>
      <c r="L1588" cm="1">
        <f t="array" aca="1" ref="L1588" ca="1">INDIRECT("Data!F" &amp; 1583)</f>
        <v>0</v>
      </c>
      <c r="M1588" cm="1">
        <f t="array" aca="1" ref="M1588" ca="1">INDIRECT("Data!G" &amp; 1583)</f>
        <v>0</v>
      </c>
      <c r="N1588" cm="1">
        <f t="array" aca="1" ref="N1588" ca="1">INDIRECT("Data!H" &amp; 1583)</f>
        <v>0</v>
      </c>
      <c r="O1588" cm="1">
        <f t="array" aca="1" ref="O1588" ca="1">INDIRECT("Data!I" &amp; 1583)</f>
        <v>0</v>
      </c>
      <c r="P1588" s="21" cm="1">
        <f t="array" aca="1" ref="P1588" ca="1">INDIRECT("Data!J" &amp; 1583)</f>
        <v>0</v>
      </c>
      <c r="Q1588" cm="1">
        <f t="array" aca="1" ref="Q1588" ca="1">INDIRECT("Data!K" &amp; 1583)</f>
        <v>0</v>
      </c>
      <c r="R1588" cm="1">
        <f t="array" aca="1" ref="R1588" ca="1">INDIRECT("Data!L" &amp; 1583)</f>
        <v>0</v>
      </c>
      <c r="S1588" cm="1">
        <f t="array" aca="1" ref="S1588" ca="1">INDIRECT("Data!M" &amp; 1583)</f>
        <v>0</v>
      </c>
      <c r="T1588" cm="1">
        <f t="array" aca="1" ref="T1588" ca="1">INDIRECT("Data!N" &amp; 1583)</f>
        <v>0</v>
      </c>
      <c r="U1588" cm="1">
        <f t="array" aca="1" ref="U1588" ca="1">INDIRECT("Data!O" &amp; 1583)</f>
        <v>0</v>
      </c>
      <c r="V1588" cm="1">
        <f t="array" aca="1" ref="V1588" ca="1">INDIRECT("Data!P" &amp; 1583)</f>
        <v>0</v>
      </c>
    </row>
    <row r="1589" spans="7:22" x14ac:dyDescent="0.25">
      <c r="G1589" cm="1">
        <f t="array" aca="1" ref="G1589" ca="1">INDIRECT("Data!A" &amp; 1584)</f>
        <v>0</v>
      </c>
      <c r="H1589" s="21" cm="1">
        <f t="array" aca="1" ref="H1589" ca="1">INDIRECT("Data!B" &amp; 1584)</f>
        <v>0</v>
      </c>
      <c r="I1589" s="21" cm="1">
        <f t="array" aca="1" ref="I1589" ca="1">INDIRECT("Data!C" &amp; 1584)</f>
        <v>0</v>
      </c>
      <c r="J1589" cm="1">
        <f t="array" aca="1" ref="J1589" ca="1">INDIRECT("Data!D" &amp; 1584)</f>
        <v>0</v>
      </c>
      <c r="K1589" cm="1">
        <f t="array" aca="1" ref="K1589" ca="1">INDIRECT("Data!E" &amp; 1584)</f>
        <v>0</v>
      </c>
      <c r="L1589" cm="1">
        <f t="array" aca="1" ref="L1589" ca="1">INDIRECT("Data!F" &amp; 1584)</f>
        <v>0</v>
      </c>
      <c r="M1589" cm="1">
        <f t="array" aca="1" ref="M1589" ca="1">INDIRECT("Data!G" &amp; 1584)</f>
        <v>0</v>
      </c>
      <c r="N1589" cm="1">
        <f t="array" aca="1" ref="N1589" ca="1">INDIRECT("Data!H" &amp; 1584)</f>
        <v>0</v>
      </c>
      <c r="O1589" cm="1">
        <f t="array" aca="1" ref="O1589" ca="1">INDIRECT("Data!I" &amp; 1584)</f>
        <v>0</v>
      </c>
      <c r="P1589" s="21" cm="1">
        <f t="array" aca="1" ref="P1589" ca="1">INDIRECT("Data!J" &amp; 1584)</f>
        <v>0</v>
      </c>
      <c r="Q1589" cm="1">
        <f t="array" aca="1" ref="Q1589" ca="1">INDIRECT("Data!K" &amp; 1584)</f>
        <v>0</v>
      </c>
      <c r="R1589" cm="1">
        <f t="array" aca="1" ref="R1589" ca="1">INDIRECT("Data!L" &amp; 1584)</f>
        <v>0</v>
      </c>
      <c r="S1589" cm="1">
        <f t="array" aca="1" ref="S1589" ca="1">INDIRECT("Data!M" &amp; 1584)</f>
        <v>0</v>
      </c>
      <c r="T1589" cm="1">
        <f t="array" aca="1" ref="T1589" ca="1">INDIRECT("Data!N" &amp; 1584)</f>
        <v>0</v>
      </c>
      <c r="U1589" cm="1">
        <f t="array" aca="1" ref="U1589" ca="1">INDIRECT("Data!O" &amp; 1584)</f>
        <v>0</v>
      </c>
      <c r="V1589" cm="1">
        <f t="array" aca="1" ref="V1589" ca="1">INDIRECT("Data!P" &amp; 1584)</f>
        <v>0</v>
      </c>
    </row>
    <row r="1590" spans="7:22" x14ac:dyDescent="0.25">
      <c r="G1590" cm="1">
        <f t="array" aca="1" ref="G1590" ca="1">INDIRECT("Data!A" &amp; 1585)</f>
        <v>0</v>
      </c>
      <c r="H1590" s="21" cm="1">
        <f t="array" aca="1" ref="H1590" ca="1">INDIRECT("Data!B" &amp; 1585)</f>
        <v>0</v>
      </c>
      <c r="I1590" s="21" cm="1">
        <f t="array" aca="1" ref="I1590" ca="1">INDIRECT("Data!C" &amp; 1585)</f>
        <v>0</v>
      </c>
      <c r="J1590" cm="1">
        <f t="array" aca="1" ref="J1590" ca="1">INDIRECT("Data!D" &amp; 1585)</f>
        <v>0</v>
      </c>
      <c r="K1590" cm="1">
        <f t="array" aca="1" ref="K1590" ca="1">INDIRECT("Data!E" &amp; 1585)</f>
        <v>0</v>
      </c>
      <c r="L1590" cm="1">
        <f t="array" aca="1" ref="L1590" ca="1">INDIRECT("Data!F" &amp; 1585)</f>
        <v>0</v>
      </c>
      <c r="M1590" cm="1">
        <f t="array" aca="1" ref="M1590" ca="1">INDIRECT("Data!G" &amp; 1585)</f>
        <v>0</v>
      </c>
      <c r="N1590" cm="1">
        <f t="array" aca="1" ref="N1590" ca="1">INDIRECT("Data!H" &amp; 1585)</f>
        <v>0</v>
      </c>
      <c r="O1590" cm="1">
        <f t="array" aca="1" ref="O1590" ca="1">INDIRECT("Data!I" &amp; 1585)</f>
        <v>0</v>
      </c>
      <c r="P1590" s="21" cm="1">
        <f t="array" aca="1" ref="P1590" ca="1">INDIRECT("Data!J" &amp; 1585)</f>
        <v>0</v>
      </c>
      <c r="Q1590" cm="1">
        <f t="array" aca="1" ref="Q1590" ca="1">INDIRECT("Data!K" &amp; 1585)</f>
        <v>0</v>
      </c>
      <c r="R1590" cm="1">
        <f t="array" aca="1" ref="R1590" ca="1">INDIRECT("Data!L" &amp; 1585)</f>
        <v>0</v>
      </c>
      <c r="S1590" cm="1">
        <f t="array" aca="1" ref="S1590" ca="1">INDIRECT("Data!M" &amp; 1585)</f>
        <v>0</v>
      </c>
      <c r="T1590" cm="1">
        <f t="array" aca="1" ref="T1590" ca="1">INDIRECT("Data!N" &amp; 1585)</f>
        <v>0</v>
      </c>
      <c r="U1590" cm="1">
        <f t="array" aca="1" ref="U1590" ca="1">INDIRECT("Data!O" &amp; 1585)</f>
        <v>0</v>
      </c>
      <c r="V1590" cm="1">
        <f t="array" aca="1" ref="V1590" ca="1">INDIRECT("Data!P" &amp; 1585)</f>
        <v>0</v>
      </c>
    </row>
    <row r="1591" spans="7:22" x14ac:dyDescent="0.25">
      <c r="G1591" cm="1">
        <f t="array" aca="1" ref="G1591" ca="1">INDIRECT("Data!A" &amp; 1586)</f>
        <v>0</v>
      </c>
      <c r="H1591" s="21" cm="1">
        <f t="array" aca="1" ref="H1591" ca="1">INDIRECT("Data!B" &amp; 1586)</f>
        <v>0</v>
      </c>
      <c r="I1591" s="21" cm="1">
        <f t="array" aca="1" ref="I1591" ca="1">INDIRECT("Data!C" &amp; 1586)</f>
        <v>0</v>
      </c>
      <c r="J1591" cm="1">
        <f t="array" aca="1" ref="J1591" ca="1">INDIRECT("Data!D" &amp; 1586)</f>
        <v>0</v>
      </c>
      <c r="K1591" cm="1">
        <f t="array" aca="1" ref="K1591" ca="1">INDIRECT("Data!E" &amp; 1586)</f>
        <v>0</v>
      </c>
      <c r="L1591" cm="1">
        <f t="array" aca="1" ref="L1591" ca="1">INDIRECT("Data!F" &amp; 1586)</f>
        <v>0</v>
      </c>
      <c r="M1591" cm="1">
        <f t="array" aca="1" ref="M1591" ca="1">INDIRECT("Data!G" &amp; 1586)</f>
        <v>0</v>
      </c>
      <c r="N1591" cm="1">
        <f t="array" aca="1" ref="N1591" ca="1">INDIRECT("Data!H" &amp; 1586)</f>
        <v>0</v>
      </c>
      <c r="O1591" cm="1">
        <f t="array" aca="1" ref="O1591" ca="1">INDIRECT("Data!I" &amp; 1586)</f>
        <v>0</v>
      </c>
      <c r="P1591" s="21" cm="1">
        <f t="array" aca="1" ref="P1591" ca="1">INDIRECT("Data!J" &amp; 1586)</f>
        <v>0</v>
      </c>
      <c r="Q1591" cm="1">
        <f t="array" aca="1" ref="Q1591" ca="1">INDIRECT("Data!K" &amp; 1586)</f>
        <v>0</v>
      </c>
      <c r="R1591" cm="1">
        <f t="array" aca="1" ref="R1591" ca="1">INDIRECT("Data!L" &amp; 1586)</f>
        <v>0</v>
      </c>
      <c r="S1591" cm="1">
        <f t="array" aca="1" ref="S1591" ca="1">INDIRECT("Data!M" &amp; 1586)</f>
        <v>0</v>
      </c>
      <c r="T1591" cm="1">
        <f t="array" aca="1" ref="T1591" ca="1">INDIRECT("Data!N" &amp; 1586)</f>
        <v>0</v>
      </c>
      <c r="U1591" cm="1">
        <f t="array" aca="1" ref="U1591" ca="1">INDIRECT("Data!O" &amp; 1586)</f>
        <v>0</v>
      </c>
      <c r="V1591" cm="1">
        <f t="array" aca="1" ref="V1591" ca="1">INDIRECT("Data!P" &amp; 1586)</f>
        <v>0</v>
      </c>
    </row>
    <row r="1592" spans="7:22" x14ac:dyDescent="0.25">
      <c r="G1592" cm="1">
        <f t="array" aca="1" ref="G1592" ca="1">INDIRECT("Data!A" &amp; 1587)</f>
        <v>0</v>
      </c>
      <c r="H1592" s="21" cm="1">
        <f t="array" aca="1" ref="H1592" ca="1">INDIRECT("Data!B" &amp; 1587)</f>
        <v>0</v>
      </c>
      <c r="I1592" s="21" cm="1">
        <f t="array" aca="1" ref="I1592" ca="1">INDIRECT("Data!C" &amp; 1587)</f>
        <v>0</v>
      </c>
      <c r="J1592" cm="1">
        <f t="array" aca="1" ref="J1592" ca="1">INDIRECT("Data!D" &amp; 1587)</f>
        <v>0</v>
      </c>
      <c r="K1592" cm="1">
        <f t="array" aca="1" ref="K1592" ca="1">INDIRECT("Data!E" &amp; 1587)</f>
        <v>0</v>
      </c>
      <c r="L1592" cm="1">
        <f t="array" aca="1" ref="L1592" ca="1">INDIRECT("Data!F" &amp; 1587)</f>
        <v>0</v>
      </c>
      <c r="M1592" cm="1">
        <f t="array" aca="1" ref="M1592" ca="1">INDIRECT("Data!G" &amp; 1587)</f>
        <v>0</v>
      </c>
      <c r="N1592" cm="1">
        <f t="array" aca="1" ref="N1592" ca="1">INDIRECT("Data!H" &amp; 1587)</f>
        <v>0</v>
      </c>
      <c r="O1592" cm="1">
        <f t="array" aca="1" ref="O1592" ca="1">INDIRECT("Data!I" &amp; 1587)</f>
        <v>0</v>
      </c>
      <c r="P1592" s="21" cm="1">
        <f t="array" aca="1" ref="P1592" ca="1">INDIRECT("Data!J" &amp; 1587)</f>
        <v>0</v>
      </c>
      <c r="Q1592" cm="1">
        <f t="array" aca="1" ref="Q1592" ca="1">INDIRECT("Data!K" &amp; 1587)</f>
        <v>0</v>
      </c>
      <c r="R1592" cm="1">
        <f t="array" aca="1" ref="R1592" ca="1">INDIRECT("Data!L" &amp; 1587)</f>
        <v>0</v>
      </c>
      <c r="S1592" cm="1">
        <f t="array" aca="1" ref="S1592" ca="1">INDIRECT("Data!M" &amp; 1587)</f>
        <v>0</v>
      </c>
      <c r="T1592" cm="1">
        <f t="array" aca="1" ref="T1592" ca="1">INDIRECT("Data!N" &amp; 1587)</f>
        <v>0</v>
      </c>
      <c r="U1592" cm="1">
        <f t="array" aca="1" ref="U1592" ca="1">INDIRECT("Data!O" &amp; 1587)</f>
        <v>0</v>
      </c>
      <c r="V1592" cm="1">
        <f t="array" aca="1" ref="V1592" ca="1">INDIRECT("Data!P" &amp; 1587)</f>
        <v>0</v>
      </c>
    </row>
    <row r="1593" spans="7:22" x14ac:dyDescent="0.25">
      <c r="G1593" cm="1">
        <f t="array" aca="1" ref="G1593" ca="1">INDIRECT("Data!A" &amp; 1588)</f>
        <v>0</v>
      </c>
      <c r="H1593" s="21" cm="1">
        <f t="array" aca="1" ref="H1593" ca="1">INDIRECT("Data!B" &amp; 1588)</f>
        <v>0</v>
      </c>
      <c r="I1593" s="21" cm="1">
        <f t="array" aca="1" ref="I1593" ca="1">INDIRECT("Data!C" &amp; 1588)</f>
        <v>0</v>
      </c>
      <c r="J1593" cm="1">
        <f t="array" aca="1" ref="J1593" ca="1">INDIRECT("Data!D" &amp; 1588)</f>
        <v>0</v>
      </c>
      <c r="K1593" cm="1">
        <f t="array" aca="1" ref="K1593" ca="1">INDIRECT("Data!E" &amp; 1588)</f>
        <v>0</v>
      </c>
      <c r="L1593" cm="1">
        <f t="array" aca="1" ref="L1593" ca="1">INDIRECT("Data!F" &amp; 1588)</f>
        <v>0</v>
      </c>
      <c r="M1593" cm="1">
        <f t="array" aca="1" ref="M1593" ca="1">INDIRECT("Data!G" &amp; 1588)</f>
        <v>0</v>
      </c>
      <c r="N1593" cm="1">
        <f t="array" aca="1" ref="N1593" ca="1">INDIRECT("Data!H" &amp; 1588)</f>
        <v>0</v>
      </c>
      <c r="O1593" cm="1">
        <f t="array" aca="1" ref="O1593" ca="1">INDIRECT("Data!I" &amp; 1588)</f>
        <v>0</v>
      </c>
      <c r="P1593" s="21" cm="1">
        <f t="array" aca="1" ref="P1593" ca="1">INDIRECT("Data!J" &amp; 1588)</f>
        <v>0</v>
      </c>
      <c r="Q1593" cm="1">
        <f t="array" aca="1" ref="Q1593" ca="1">INDIRECT("Data!K" &amp; 1588)</f>
        <v>0</v>
      </c>
      <c r="R1593" cm="1">
        <f t="array" aca="1" ref="R1593" ca="1">INDIRECT("Data!L" &amp; 1588)</f>
        <v>0</v>
      </c>
      <c r="S1593" cm="1">
        <f t="array" aca="1" ref="S1593" ca="1">INDIRECT("Data!M" &amp; 1588)</f>
        <v>0</v>
      </c>
      <c r="T1593" cm="1">
        <f t="array" aca="1" ref="T1593" ca="1">INDIRECT("Data!N" &amp; 1588)</f>
        <v>0</v>
      </c>
      <c r="U1593" cm="1">
        <f t="array" aca="1" ref="U1593" ca="1">INDIRECT("Data!O" &amp; 1588)</f>
        <v>0</v>
      </c>
      <c r="V1593" cm="1">
        <f t="array" aca="1" ref="V1593" ca="1">INDIRECT("Data!P" &amp; 1588)</f>
        <v>0</v>
      </c>
    </row>
    <row r="1594" spans="7:22" x14ac:dyDescent="0.25">
      <c r="G1594" cm="1">
        <f t="array" aca="1" ref="G1594" ca="1">INDIRECT("Data!A" &amp; 1589)</f>
        <v>0</v>
      </c>
      <c r="H1594" s="21" cm="1">
        <f t="array" aca="1" ref="H1594" ca="1">INDIRECT("Data!B" &amp; 1589)</f>
        <v>0</v>
      </c>
      <c r="I1594" s="21" cm="1">
        <f t="array" aca="1" ref="I1594" ca="1">INDIRECT("Data!C" &amp; 1589)</f>
        <v>0</v>
      </c>
      <c r="J1594" cm="1">
        <f t="array" aca="1" ref="J1594" ca="1">INDIRECT("Data!D" &amp; 1589)</f>
        <v>0</v>
      </c>
      <c r="K1594" cm="1">
        <f t="array" aca="1" ref="K1594" ca="1">INDIRECT("Data!E" &amp; 1589)</f>
        <v>0</v>
      </c>
      <c r="L1594" cm="1">
        <f t="array" aca="1" ref="L1594" ca="1">INDIRECT("Data!F" &amp; 1589)</f>
        <v>0</v>
      </c>
      <c r="M1594" cm="1">
        <f t="array" aca="1" ref="M1594" ca="1">INDIRECT("Data!G" &amp; 1589)</f>
        <v>0</v>
      </c>
      <c r="N1594" cm="1">
        <f t="array" aca="1" ref="N1594" ca="1">INDIRECT("Data!H" &amp; 1589)</f>
        <v>0</v>
      </c>
      <c r="O1594" cm="1">
        <f t="array" aca="1" ref="O1594" ca="1">INDIRECT("Data!I" &amp; 1589)</f>
        <v>0</v>
      </c>
      <c r="P1594" s="21" cm="1">
        <f t="array" aca="1" ref="P1594" ca="1">INDIRECT("Data!J" &amp; 1589)</f>
        <v>0</v>
      </c>
      <c r="Q1594" cm="1">
        <f t="array" aca="1" ref="Q1594" ca="1">INDIRECT("Data!K" &amp; 1589)</f>
        <v>0</v>
      </c>
      <c r="R1594" cm="1">
        <f t="array" aca="1" ref="R1594" ca="1">INDIRECT("Data!L" &amp; 1589)</f>
        <v>0</v>
      </c>
      <c r="S1594" cm="1">
        <f t="array" aca="1" ref="S1594" ca="1">INDIRECT("Data!M" &amp; 1589)</f>
        <v>0</v>
      </c>
      <c r="T1594" cm="1">
        <f t="array" aca="1" ref="T1594" ca="1">INDIRECT("Data!N" &amp; 1589)</f>
        <v>0</v>
      </c>
      <c r="U1594" cm="1">
        <f t="array" aca="1" ref="U1594" ca="1">INDIRECT("Data!O" &amp; 1589)</f>
        <v>0</v>
      </c>
      <c r="V1594" cm="1">
        <f t="array" aca="1" ref="V1594" ca="1">INDIRECT("Data!P" &amp; 1589)</f>
        <v>0</v>
      </c>
    </row>
    <row r="1595" spans="7:22" x14ac:dyDescent="0.25">
      <c r="G1595" cm="1">
        <f t="array" aca="1" ref="G1595" ca="1">INDIRECT("Data!A" &amp; 1590)</f>
        <v>0</v>
      </c>
      <c r="H1595" s="21" cm="1">
        <f t="array" aca="1" ref="H1595" ca="1">INDIRECT("Data!B" &amp; 1590)</f>
        <v>0</v>
      </c>
      <c r="I1595" s="21" cm="1">
        <f t="array" aca="1" ref="I1595" ca="1">INDIRECT("Data!C" &amp; 1590)</f>
        <v>0</v>
      </c>
      <c r="J1595" cm="1">
        <f t="array" aca="1" ref="J1595" ca="1">INDIRECT("Data!D" &amp; 1590)</f>
        <v>0</v>
      </c>
      <c r="K1595" cm="1">
        <f t="array" aca="1" ref="K1595" ca="1">INDIRECT("Data!E" &amp; 1590)</f>
        <v>0</v>
      </c>
      <c r="L1595" cm="1">
        <f t="array" aca="1" ref="L1595" ca="1">INDIRECT("Data!F" &amp; 1590)</f>
        <v>0</v>
      </c>
      <c r="M1595" cm="1">
        <f t="array" aca="1" ref="M1595" ca="1">INDIRECT("Data!G" &amp; 1590)</f>
        <v>0</v>
      </c>
      <c r="N1595" cm="1">
        <f t="array" aca="1" ref="N1595" ca="1">INDIRECT("Data!H" &amp; 1590)</f>
        <v>0</v>
      </c>
      <c r="O1595" cm="1">
        <f t="array" aca="1" ref="O1595" ca="1">INDIRECT("Data!I" &amp; 1590)</f>
        <v>0</v>
      </c>
      <c r="P1595" s="21" cm="1">
        <f t="array" aca="1" ref="P1595" ca="1">INDIRECT("Data!J" &amp; 1590)</f>
        <v>0</v>
      </c>
      <c r="Q1595" cm="1">
        <f t="array" aca="1" ref="Q1595" ca="1">INDIRECT("Data!K" &amp; 1590)</f>
        <v>0</v>
      </c>
      <c r="R1595" cm="1">
        <f t="array" aca="1" ref="R1595" ca="1">INDIRECT("Data!L" &amp; 1590)</f>
        <v>0</v>
      </c>
      <c r="S1595" cm="1">
        <f t="array" aca="1" ref="S1595" ca="1">INDIRECT("Data!M" &amp; 1590)</f>
        <v>0</v>
      </c>
      <c r="T1595" cm="1">
        <f t="array" aca="1" ref="T1595" ca="1">INDIRECT("Data!N" &amp; 1590)</f>
        <v>0</v>
      </c>
      <c r="U1595" cm="1">
        <f t="array" aca="1" ref="U1595" ca="1">INDIRECT("Data!O" &amp; 1590)</f>
        <v>0</v>
      </c>
      <c r="V1595" cm="1">
        <f t="array" aca="1" ref="V1595" ca="1">INDIRECT("Data!P" &amp; 1590)</f>
        <v>0</v>
      </c>
    </row>
    <row r="1596" spans="7:22" x14ac:dyDescent="0.25">
      <c r="G1596" cm="1">
        <f t="array" aca="1" ref="G1596" ca="1">INDIRECT("Data!A" &amp; 1591)</f>
        <v>0</v>
      </c>
      <c r="H1596" s="21" cm="1">
        <f t="array" aca="1" ref="H1596" ca="1">INDIRECT("Data!B" &amp; 1591)</f>
        <v>0</v>
      </c>
      <c r="I1596" s="21" cm="1">
        <f t="array" aca="1" ref="I1596" ca="1">INDIRECT("Data!C" &amp; 1591)</f>
        <v>0</v>
      </c>
      <c r="J1596" cm="1">
        <f t="array" aca="1" ref="J1596" ca="1">INDIRECT("Data!D" &amp; 1591)</f>
        <v>0</v>
      </c>
      <c r="K1596" cm="1">
        <f t="array" aca="1" ref="K1596" ca="1">INDIRECT("Data!E" &amp; 1591)</f>
        <v>0</v>
      </c>
      <c r="L1596" cm="1">
        <f t="array" aca="1" ref="L1596" ca="1">INDIRECT("Data!F" &amp; 1591)</f>
        <v>0</v>
      </c>
      <c r="M1596" cm="1">
        <f t="array" aca="1" ref="M1596" ca="1">INDIRECT("Data!G" &amp; 1591)</f>
        <v>0</v>
      </c>
      <c r="N1596" cm="1">
        <f t="array" aca="1" ref="N1596" ca="1">INDIRECT("Data!H" &amp; 1591)</f>
        <v>0</v>
      </c>
      <c r="O1596" cm="1">
        <f t="array" aca="1" ref="O1596" ca="1">INDIRECT("Data!I" &amp; 1591)</f>
        <v>0</v>
      </c>
      <c r="P1596" s="21" cm="1">
        <f t="array" aca="1" ref="P1596" ca="1">INDIRECT("Data!J" &amp; 1591)</f>
        <v>0</v>
      </c>
      <c r="Q1596" cm="1">
        <f t="array" aca="1" ref="Q1596" ca="1">INDIRECT("Data!K" &amp; 1591)</f>
        <v>0</v>
      </c>
      <c r="R1596" cm="1">
        <f t="array" aca="1" ref="R1596" ca="1">INDIRECT("Data!L" &amp; 1591)</f>
        <v>0</v>
      </c>
      <c r="S1596" cm="1">
        <f t="array" aca="1" ref="S1596" ca="1">INDIRECT("Data!M" &amp; 1591)</f>
        <v>0</v>
      </c>
      <c r="T1596" cm="1">
        <f t="array" aca="1" ref="T1596" ca="1">INDIRECT("Data!N" &amp; 1591)</f>
        <v>0</v>
      </c>
      <c r="U1596" cm="1">
        <f t="array" aca="1" ref="U1596" ca="1">INDIRECT("Data!O" &amp; 1591)</f>
        <v>0</v>
      </c>
      <c r="V1596" cm="1">
        <f t="array" aca="1" ref="V1596" ca="1">INDIRECT("Data!P" &amp; 1591)</f>
        <v>0</v>
      </c>
    </row>
    <row r="1597" spans="7:22" x14ac:dyDescent="0.25">
      <c r="G1597" cm="1">
        <f t="array" aca="1" ref="G1597" ca="1">INDIRECT("Data!A" &amp; 1592)</f>
        <v>0</v>
      </c>
      <c r="H1597" s="21" cm="1">
        <f t="array" aca="1" ref="H1597" ca="1">INDIRECT("Data!B" &amp; 1592)</f>
        <v>0</v>
      </c>
      <c r="I1597" s="21" cm="1">
        <f t="array" aca="1" ref="I1597" ca="1">INDIRECT("Data!C" &amp; 1592)</f>
        <v>0</v>
      </c>
      <c r="J1597" cm="1">
        <f t="array" aca="1" ref="J1597" ca="1">INDIRECT("Data!D" &amp; 1592)</f>
        <v>0</v>
      </c>
      <c r="K1597" cm="1">
        <f t="array" aca="1" ref="K1597" ca="1">INDIRECT("Data!E" &amp; 1592)</f>
        <v>0</v>
      </c>
      <c r="L1597" cm="1">
        <f t="array" aca="1" ref="L1597" ca="1">INDIRECT("Data!F" &amp; 1592)</f>
        <v>0</v>
      </c>
      <c r="M1597" cm="1">
        <f t="array" aca="1" ref="M1597" ca="1">INDIRECT("Data!G" &amp; 1592)</f>
        <v>0</v>
      </c>
      <c r="N1597" cm="1">
        <f t="array" aca="1" ref="N1597" ca="1">INDIRECT("Data!H" &amp; 1592)</f>
        <v>0</v>
      </c>
      <c r="O1597" cm="1">
        <f t="array" aca="1" ref="O1597" ca="1">INDIRECT("Data!I" &amp; 1592)</f>
        <v>0</v>
      </c>
      <c r="P1597" s="21" cm="1">
        <f t="array" aca="1" ref="P1597" ca="1">INDIRECT("Data!J" &amp; 1592)</f>
        <v>0</v>
      </c>
      <c r="Q1597" cm="1">
        <f t="array" aca="1" ref="Q1597" ca="1">INDIRECT("Data!K" &amp; 1592)</f>
        <v>0</v>
      </c>
      <c r="R1597" cm="1">
        <f t="array" aca="1" ref="R1597" ca="1">INDIRECT("Data!L" &amp; 1592)</f>
        <v>0</v>
      </c>
      <c r="S1597" cm="1">
        <f t="array" aca="1" ref="S1597" ca="1">INDIRECT("Data!M" &amp; 1592)</f>
        <v>0</v>
      </c>
      <c r="T1597" cm="1">
        <f t="array" aca="1" ref="T1597" ca="1">INDIRECT("Data!N" &amp; 1592)</f>
        <v>0</v>
      </c>
      <c r="U1597" cm="1">
        <f t="array" aca="1" ref="U1597" ca="1">INDIRECT("Data!O" &amp; 1592)</f>
        <v>0</v>
      </c>
      <c r="V1597" cm="1">
        <f t="array" aca="1" ref="V1597" ca="1">INDIRECT("Data!P" &amp; 1592)</f>
        <v>0</v>
      </c>
    </row>
    <row r="1598" spans="7:22" x14ac:dyDescent="0.25">
      <c r="G1598" cm="1">
        <f t="array" aca="1" ref="G1598" ca="1">INDIRECT("Data!A" &amp; 1593)</f>
        <v>0</v>
      </c>
      <c r="H1598" s="21" cm="1">
        <f t="array" aca="1" ref="H1598" ca="1">INDIRECT("Data!B" &amp; 1593)</f>
        <v>0</v>
      </c>
      <c r="I1598" s="21" cm="1">
        <f t="array" aca="1" ref="I1598" ca="1">INDIRECT("Data!C" &amp; 1593)</f>
        <v>0</v>
      </c>
      <c r="J1598" cm="1">
        <f t="array" aca="1" ref="J1598" ca="1">INDIRECT("Data!D" &amp; 1593)</f>
        <v>0</v>
      </c>
      <c r="K1598" cm="1">
        <f t="array" aca="1" ref="K1598" ca="1">INDIRECT("Data!E" &amp; 1593)</f>
        <v>0</v>
      </c>
      <c r="L1598" cm="1">
        <f t="array" aca="1" ref="L1598" ca="1">INDIRECT("Data!F" &amp; 1593)</f>
        <v>0</v>
      </c>
      <c r="M1598" cm="1">
        <f t="array" aca="1" ref="M1598" ca="1">INDIRECT("Data!G" &amp; 1593)</f>
        <v>0</v>
      </c>
      <c r="N1598" cm="1">
        <f t="array" aca="1" ref="N1598" ca="1">INDIRECT("Data!H" &amp; 1593)</f>
        <v>0</v>
      </c>
      <c r="O1598" cm="1">
        <f t="array" aca="1" ref="O1598" ca="1">INDIRECT("Data!I" &amp; 1593)</f>
        <v>0</v>
      </c>
      <c r="P1598" s="21" cm="1">
        <f t="array" aca="1" ref="P1598" ca="1">INDIRECT("Data!J" &amp; 1593)</f>
        <v>0</v>
      </c>
      <c r="Q1598" cm="1">
        <f t="array" aca="1" ref="Q1598" ca="1">INDIRECT("Data!K" &amp; 1593)</f>
        <v>0</v>
      </c>
      <c r="R1598" cm="1">
        <f t="array" aca="1" ref="R1598" ca="1">INDIRECT("Data!L" &amp; 1593)</f>
        <v>0</v>
      </c>
      <c r="S1598" cm="1">
        <f t="array" aca="1" ref="S1598" ca="1">INDIRECT("Data!M" &amp; 1593)</f>
        <v>0</v>
      </c>
      <c r="T1598" cm="1">
        <f t="array" aca="1" ref="T1598" ca="1">INDIRECT("Data!N" &amp; 1593)</f>
        <v>0</v>
      </c>
      <c r="U1598" cm="1">
        <f t="array" aca="1" ref="U1598" ca="1">INDIRECT("Data!O" &amp; 1593)</f>
        <v>0</v>
      </c>
      <c r="V1598" cm="1">
        <f t="array" aca="1" ref="V1598" ca="1">INDIRECT("Data!P" &amp; 1593)</f>
        <v>0</v>
      </c>
    </row>
    <row r="1599" spans="7:22" x14ac:dyDescent="0.25">
      <c r="G1599" cm="1">
        <f t="array" aca="1" ref="G1599" ca="1">INDIRECT("Data!A" &amp; 1594)</f>
        <v>0</v>
      </c>
      <c r="H1599" s="21" cm="1">
        <f t="array" aca="1" ref="H1599" ca="1">INDIRECT("Data!B" &amp; 1594)</f>
        <v>0</v>
      </c>
      <c r="I1599" s="21" cm="1">
        <f t="array" aca="1" ref="I1599" ca="1">INDIRECT("Data!C" &amp; 1594)</f>
        <v>0</v>
      </c>
      <c r="J1599" cm="1">
        <f t="array" aca="1" ref="J1599" ca="1">INDIRECT("Data!D" &amp; 1594)</f>
        <v>0</v>
      </c>
      <c r="K1599" cm="1">
        <f t="array" aca="1" ref="K1599" ca="1">INDIRECT("Data!E" &amp; 1594)</f>
        <v>0</v>
      </c>
      <c r="L1599" cm="1">
        <f t="array" aca="1" ref="L1599" ca="1">INDIRECT("Data!F" &amp; 1594)</f>
        <v>0</v>
      </c>
      <c r="M1599" cm="1">
        <f t="array" aca="1" ref="M1599" ca="1">INDIRECT("Data!G" &amp; 1594)</f>
        <v>0</v>
      </c>
      <c r="N1599" cm="1">
        <f t="array" aca="1" ref="N1599" ca="1">INDIRECT("Data!H" &amp; 1594)</f>
        <v>0</v>
      </c>
      <c r="O1599" cm="1">
        <f t="array" aca="1" ref="O1599" ca="1">INDIRECT("Data!I" &amp; 1594)</f>
        <v>0</v>
      </c>
      <c r="P1599" s="21" cm="1">
        <f t="array" aca="1" ref="P1599" ca="1">INDIRECT("Data!J" &amp; 1594)</f>
        <v>0</v>
      </c>
      <c r="Q1599" cm="1">
        <f t="array" aca="1" ref="Q1599" ca="1">INDIRECT("Data!K" &amp; 1594)</f>
        <v>0</v>
      </c>
      <c r="R1599" cm="1">
        <f t="array" aca="1" ref="R1599" ca="1">INDIRECT("Data!L" &amp; 1594)</f>
        <v>0</v>
      </c>
      <c r="S1599" cm="1">
        <f t="array" aca="1" ref="S1599" ca="1">INDIRECT("Data!M" &amp; 1594)</f>
        <v>0</v>
      </c>
      <c r="T1599" cm="1">
        <f t="array" aca="1" ref="T1599" ca="1">INDIRECT("Data!N" &amp; 1594)</f>
        <v>0</v>
      </c>
      <c r="U1599" cm="1">
        <f t="array" aca="1" ref="U1599" ca="1">INDIRECT("Data!O" &amp; 1594)</f>
        <v>0</v>
      </c>
      <c r="V1599" cm="1">
        <f t="array" aca="1" ref="V1599" ca="1">INDIRECT("Data!P" &amp; 1594)</f>
        <v>0</v>
      </c>
    </row>
    <row r="1600" spans="7:22" x14ac:dyDescent="0.25">
      <c r="G1600" cm="1">
        <f t="array" aca="1" ref="G1600" ca="1">INDIRECT("Data!A" &amp; 1595)</f>
        <v>0</v>
      </c>
      <c r="H1600" s="21" cm="1">
        <f t="array" aca="1" ref="H1600" ca="1">INDIRECT("Data!B" &amp; 1595)</f>
        <v>0</v>
      </c>
      <c r="I1600" s="21" cm="1">
        <f t="array" aca="1" ref="I1600" ca="1">INDIRECT("Data!C" &amp; 1595)</f>
        <v>0</v>
      </c>
      <c r="J1600" cm="1">
        <f t="array" aca="1" ref="J1600" ca="1">INDIRECT("Data!D" &amp; 1595)</f>
        <v>0</v>
      </c>
      <c r="K1600" cm="1">
        <f t="array" aca="1" ref="K1600" ca="1">INDIRECT("Data!E" &amp; 1595)</f>
        <v>0</v>
      </c>
      <c r="L1600" cm="1">
        <f t="array" aca="1" ref="L1600" ca="1">INDIRECT("Data!F" &amp; 1595)</f>
        <v>0</v>
      </c>
      <c r="M1600" cm="1">
        <f t="array" aca="1" ref="M1600" ca="1">INDIRECT("Data!G" &amp; 1595)</f>
        <v>0</v>
      </c>
      <c r="N1600" cm="1">
        <f t="array" aca="1" ref="N1600" ca="1">INDIRECT("Data!H" &amp; 1595)</f>
        <v>0</v>
      </c>
      <c r="O1600" cm="1">
        <f t="array" aca="1" ref="O1600" ca="1">INDIRECT("Data!I" &amp; 1595)</f>
        <v>0</v>
      </c>
      <c r="P1600" s="21" cm="1">
        <f t="array" aca="1" ref="P1600" ca="1">INDIRECT("Data!J" &amp; 1595)</f>
        <v>0</v>
      </c>
      <c r="Q1600" cm="1">
        <f t="array" aca="1" ref="Q1600" ca="1">INDIRECT("Data!K" &amp; 1595)</f>
        <v>0</v>
      </c>
      <c r="R1600" cm="1">
        <f t="array" aca="1" ref="R1600" ca="1">INDIRECT("Data!L" &amp; 1595)</f>
        <v>0</v>
      </c>
      <c r="S1600" cm="1">
        <f t="array" aca="1" ref="S1600" ca="1">INDIRECT("Data!M" &amp; 1595)</f>
        <v>0</v>
      </c>
      <c r="T1600" cm="1">
        <f t="array" aca="1" ref="T1600" ca="1">INDIRECT("Data!N" &amp; 1595)</f>
        <v>0</v>
      </c>
      <c r="U1600" cm="1">
        <f t="array" aca="1" ref="U1600" ca="1">INDIRECT("Data!O" &amp; 1595)</f>
        <v>0</v>
      </c>
      <c r="V1600" cm="1">
        <f t="array" aca="1" ref="V1600" ca="1">INDIRECT("Data!P" &amp; 1595)</f>
        <v>0</v>
      </c>
    </row>
    <row r="1601" spans="7:22" x14ac:dyDescent="0.25">
      <c r="G1601" cm="1">
        <f t="array" aca="1" ref="G1601" ca="1">INDIRECT("Data!A" &amp; 1596)</f>
        <v>0</v>
      </c>
      <c r="H1601" s="21" cm="1">
        <f t="array" aca="1" ref="H1601" ca="1">INDIRECT("Data!B" &amp; 1596)</f>
        <v>0</v>
      </c>
      <c r="I1601" s="21" cm="1">
        <f t="array" aca="1" ref="I1601" ca="1">INDIRECT("Data!C" &amp; 1596)</f>
        <v>0</v>
      </c>
      <c r="J1601" cm="1">
        <f t="array" aca="1" ref="J1601" ca="1">INDIRECT("Data!D" &amp; 1596)</f>
        <v>0</v>
      </c>
      <c r="K1601" cm="1">
        <f t="array" aca="1" ref="K1601" ca="1">INDIRECT("Data!E" &amp; 1596)</f>
        <v>0</v>
      </c>
      <c r="L1601" cm="1">
        <f t="array" aca="1" ref="L1601" ca="1">INDIRECT("Data!F" &amp; 1596)</f>
        <v>0</v>
      </c>
      <c r="M1601" cm="1">
        <f t="array" aca="1" ref="M1601" ca="1">INDIRECT("Data!G" &amp; 1596)</f>
        <v>0</v>
      </c>
      <c r="N1601" cm="1">
        <f t="array" aca="1" ref="N1601" ca="1">INDIRECT("Data!H" &amp; 1596)</f>
        <v>0</v>
      </c>
      <c r="O1601" cm="1">
        <f t="array" aca="1" ref="O1601" ca="1">INDIRECT("Data!I" &amp; 1596)</f>
        <v>0</v>
      </c>
      <c r="P1601" s="21" cm="1">
        <f t="array" aca="1" ref="P1601" ca="1">INDIRECT("Data!J" &amp; 1596)</f>
        <v>0</v>
      </c>
      <c r="Q1601" cm="1">
        <f t="array" aca="1" ref="Q1601" ca="1">INDIRECT("Data!K" &amp; 1596)</f>
        <v>0</v>
      </c>
      <c r="R1601" cm="1">
        <f t="array" aca="1" ref="R1601" ca="1">INDIRECT("Data!L" &amp; 1596)</f>
        <v>0</v>
      </c>
      <c r="S1601" cm="1">
        <f t="array" aca="1" ref="S1601" ca="1">INDIRECT("Data!M" &amp; 1596)</f>
        <v>0</v>
      </c>
      <c r="T1601" cm="1">
        <f t="array" aca="1" ref="T1601" ca="1">INDIRECT("Data!N" &amp; 1596)</f>
        <v>0</v>
      </c>
      <c r="U1601" cm="1">
        <f t="array" aca="1" ref="U1601" ca="1">INDIRECT("Data!O" &amp; 1596)</f>
        <v>0</v>
      </c>
      <c r="V1601" cm="1">
        <f t="array" aca="1" ref="V1601" ca="1">INDIRECT("Data!P" &amp; 1596)</f>
        <v>0</v>
      </c>
    </row>
    <row r="1602" spans="7:22" x14ac:dyDescent="0.25">
      <c r="G1602" cm="1">
        <f t="array" aca="1" ref="G1602" ca="1">INDIRECT("Data!A" &amp; 1597)</f>
        <v>0</v>
      </c>
      <c r="H1602" s="21" cm="1">
        <f t="array" aca="1" ref="H1602" ca="1">INDIRECT("Data!B" &amp; 1597)</f>
        <v>0</v>
      </c>
      <c r="I1602" s="21" cm="1">
        <f t="array" aca="1" ref="I1602" ca="1">INDIRECT("Data!C" &amp; 1597)</f>
        <v>0</v>
      </c>
      <c r="J1602" cm="1">
        <f t="array" aca="1" ref="J1602" ca="1">INDIRECT("Data!D" &amp; 1597)</f>
        <v>0</v>
      </c>
      <c r="K1602" cm="1">
        <f t="array" aca="1" ref="K1602" ca="1">INDIRECT("Data!E" &amp; 1597)</f>
        <v>0</v>
      </c>
      <c r="L1602" cm="1">
        <f t="array" aca="1" ref="L1602" ca="1">INDIRECT("Data!F" &amp; 1597)</f>
        <v>0</v>
      </c>
      <c r="M1602" cm="1">
        <f t="array" aca="1" ref="M1602" ca="1">INDIRECT("Data!G" &amp; 1597)</f>
        <v>0</v>
      </c>
      <c r="N1602" cm="1">
        <f t="array" aca="1" ref="N1602" ca="1">INDIRECT("Data!H" &amp; 1597)</f>
        <v>0</v>
      </c>
      <c r="O1602" cm="1">
        <f t="array" aca="1" ref="O1602" ca="1">INDIRECT("Data!I" &amp; 1597)</f>
        <v>0</v>
      </c>
      <c r="P1602" s="21" cm="1">
        <f t="array" aca="1" ref="P1602" ca="1">INDIRECT("Data!J" &amp; 1597)</f>
        <v>0</v>
      </c>
      <c r="Q1602" cm="1">
        <f t="array" aca="1" ref="Q1602" ca="1">INDIRECT("Data!K" &amp; 1597)</f>
        <v>0</v>
      </c>
      <c r="R1602" cm="1">
        <f t="array" aca="1" ref="R1602" ca="1">INDIRECT("Data!L" &amp; 1597)</f>
        <v>0</v>
      </c>
      <c r="S1602" cm="1">
        <f t="array" aca="1" ref="S1602" ca="1">INDIRECT("Data!M" &amp; 1597)</f>
        <v>0</v>
      </c>
      <c r="T1602" cm="1">
        <f t="array" aca="1" ref="T1602" ca="1">INDIRECT("Data!N" &amp; 1597)</f>
        <v>0</v>
      </c>
      <c r="U1602" cm="1">
        <f t="array" aca="1" ref="U1602" ca="1">INDIRECT("Data!O" &amp; 1597)</f>
        <v>0</v>
      </c>
      <c r="V1602" cm="1">
        <f t="array" aca="1" ref="V1602" ca="1">INDIRECT("Data!P" &amp; 1597)</f>
        <v>0</v>
      </c>
    </row>
    <row r="1603" spans="7:22" x14ac:dyDescent="0.25">
      <c r="G1603" cm="1">
        <f t="array" aca="1" ref="G1603" ca="1">INDIRECT("Data!A" &amp; 1598)</f>
        <v>0</v>
      </c>
      <c r="H1603" s="21" cm="1">
        <f t="array" aca="1" ref="H1603" ca="1">INDIRECT("Data!B" &amp; 1598)</f>
        <v>0</v>
      </c>
      <c r="I1603" s="21" cm="1">
        <f t="array" aca="1" ref="I1603" ca="1">INDIRECT("Data!C" &amp; 1598)</f>
        <v>0</v>
      </c>
      <c r="J1603" cm="1">
        <f t="array" aca="1" ref="J1603" ca="1">INDIRECT("Data!D" &amp; 1598)</f>
        <v>0</v>
      </c>
      <c r="K1603" cm="1">
        <f t="array" aca="1" ref="K1603" ca="1">INDIRECT("Data!E" &amp; 1598)</f>
        <v>0</v>
      </c>
      <c r="L1603" cm="1">
        <f t="array" aca="1" ref="L1603" ca="1">INDIRECT("Data!F" &amp; 1598)</f>
        <v>0</v>
      </c>
      <c r="M1603" cm="1">
        <f t="array" aca="1" ref="M1603" ca="1">INDIRECT("Data!G" &amp; 1598)</f>
        <v>0</v>
      </c>
      <c r="N1603" cm="1">
        <f t="array" aca="1" ref="N1603" ca="1">INDIRECT("Data!H" &amp; 1598)</f>
        <v>0</v>
      </c>
      <c r="O1603" cm="1">
        <f t="array" aca="1" ref="O1603" ca="1">INDIRECT("Data!I" &amp; 1598)</f>
        <v>0</v>
      </c>
      <c r="P1603" s="21" cm="1">
        <f t="array" aca="1" ref="P1603" ca="1">INDIRECT("Data!J" &amp; 1598)</f>
        <v>0</v>
      </c>
      <c r="Q1603" cm="1">
        <f t="array" aca="1" ref="Q1603" ca="1">INDIRECT("Data!K" &amp; 1598)</f>
        <v>0</v>
      </c>
      <c r="R1603" cm="1">
        <f t="array" aca="1" ref="R1603" ca="1">INDIRECT("Data!L" &amp; 1598)</f>
        <v>0</v>
      </c>
      <c r="S1603" cm="1">
        <f t="array" aca="1" ref="S1603" ca="1">INDIRECT("Data!M" &amp; 1598)</f>
        <v>0</v>
      </c>
      <c r="T1603" cm="1">
        <f t="array" aca="1" ref="T1603" ca="1">INDIRECT("Data!N" &amp; 1598)</f>
        <v>0</v>
      </c>
      <c r="U1603" cm="1">
        <f t="array" aca="1" ref="U1603" ca="1">INDIRECT("Data!O" &amp; 1598)</f>
        <v>0</v>
      </c>
      <c r="V1603" cm="1">
        <f t="array" aca="1" ref="V1603" ca="1">INDIRECT("Data!P" &amp; 1598)</f>
        <v>0</v>
      </c>
    </row>
    <row r="1604" spans="7:22" x14ac:dyDescent="0.25">
      <c r="G1604" cm="1">
        <f t="array" aca="1" ref="G1604" ca="1">INDIRECT("Data!A" &amp; 1599)</f>
        <v>0</v>
      </c>
      <c r="H1604" s="21" cm="1">
        <f t="array" aca="1" ref="H1604" ca="1">INDIRECT("Data!B" &amp; 1599)</f>
        <v>0</v>
      </c>
      <c r="I1604" s="21" cm="1">
        <f t="array" aca="1" ref="I1604" ca="1">INDIRECT("Data!C" &amp; 1599)</f>
        <v>0</v>
      </c>
      <c r="J1604" cm="1">
        <f t="array" aca="1" ref="J1604" ca="1">INDIRECT("Data!D" &amp; 1599)</f>
        <v>0</v>
      </c>
      <c r="K1604" cm="1">
        <f t="array" aca="1" ref="K1604" ca="1">INDIRECT("Data!E" &amp; 1599)</f>
        <v>0</v>
      </c>
      <c r="L1604" cm="1">
        <f t="array" aca="1" ref="L1604" ca="1">INDIRECT("Data!F" &amp; 1599)</f>
        <v>0</v>
      </c>
      <c r="M1604" cm="1">
        <f t="array" aca="1" ref="M1604" ca="1">INDIRECT("Data!G" &amp; 1599)</f>
        <v>0</v>
      </c>
      <c r="N1604" cm="1">
        <f t="array" aca="1" ref="N1604" ca="1">INDIRECT("Data!H" &amp; 1599)</f>
        <v>0</v>
      </c>
      <c r="O1604" cm="1">
        <f t="array" aca="1" ref="O1604" ca="1">INDIRECT("Data!I" &amp; 1599)</f>
        <v>0</v>
      </c>
      <c r="P1604" s="21" cm="1">
        <f t="array" aca="1" ref="P1604" ca="1">INDIRECT("Data!J" &amp; 1599)</f>
        <v>0</v>
      </c>
      <c r="Q1604" cm="1">
        <f t="array" aca="1" ref="Q1604" ca="1">INDIRECT("Data!K" &amp; 1599)</f>
        <v>0</v>
      </c>
      <c r="R1604" cm="1">
        <f t="array" aca="1" ref="R1604" ca="1">INDIRECT("Data!L" &amp; 1599)</f>
        <v>0</v>
      </c>
      <c r="S1604" cm="1">
        <f t="array" aca="1" ref="S1604" ca="1">INDIRECT("Data!M" &amp; 1599)</f>
        <v>0</v>
      </c>
      <c r="T1604" cm="1">
        <f t="array" aca="1" ref="T1604" ca="1">INDIRECT("Data!N" &amp; 1599)</f>
        <v>0</v>
      </c>
      <c r="U1604" cm="1">
        <f t="array" aca="1" ref="U1604" ca="1">INDIRECT("Data!O" &amp; 1599)</f>
        <v>0</v>
      </c>
      <c r="V1604" cm="1">
        <f t="array" aca="1" ref="V1604" ca="1">INDIRECT("Data!P" &amp; 1599)</f>
        <v>0</v>
      </c>
    </row>
    <row r="1605" spans="7:22" x14ac:dyDescent="0.25">
      <c r="G1605" cm="1">
        <f t="array" aca="1" ref="G1605" ca="1">INDIRECT("Data!A" &amp; 1600)</f>
        <v>0</v>
      </c>
      <c r="H1605" s="21" cm="1">
        <f t="array" aca="1" ref="H1605" ca="1">INDIRECT("Data!B" &amp; 1600)</f>
        <v>0</v>
      </c>
      <c r="I1605" s="21" cm="1">
        <f t="array" aca="1" ref="I1605" ca="1">INDIRECT("Data!C" &amp; 1600)</f>
        <v>0</v>
      </c>
      <c r="J1605" cm="1">
        <f t="array" aca="1" ref="J1605" ca="1">INDIRECT("Data!D" &amp; 1600)</f>
        <v>0</v>
      </c>
      <c r="K1605" cm="1">
        <f t="array" aca="1" ref="K1605" ca="1">INDIRECT("Data!E" &amp; 1600)</f>
        <v>0</v>
      </c>
      <c r="L1605" cm="1">
        <f t="array" aca="1" ref="L1605" ca="1">INDIRECT("Data!F" &amp; 1600)</f>
        <v>0</v>
      </c>
      <c r="M1605" cm="1">
        <f t="array" aca="1" ref="M1605" ca="1">INDIRECT("Data!G" &amp; 1600)</f>
        <v>0</v>
      </c>
      <c r="N1605" cm="1">
        <f t="array" aca="1" ref="N1605" ca="1">INDIRECT("Data!H" &amp; 1600)</f>
        <v>0</v>
      </c>
      <c r="O1605" cm="1">
        <f t="array" aca="1" ref="O1605" ca="1">INDIRECT("Data!I" &amp; 1600)</f>
        <v>0</v>
      </c>
      <c r="P1605" s="21" cm="1">
        <f t="array" aca="1" ref="P1605" ca="1">INDIRECT("Data!J" &amp; 1600)</f>
        <v>0</v>
      </c>
      <c r="Q1605" cm="1">
        <f t="array" aca="1" ref="Q1605" ca="1">INDIRECT("Data!K" &amp; 1600)</f>
        <v>0</v>
      </c>
      <c r="R1605" cm="1">
        <f t="array" aca="1" ref="R1605" ca="1">INDIRECT("Data!L" &amp; 1600)</f>
        <v>0</v>
      </c>
      <c r="S1605" cm="1">
        <f t="array" aca="1" ref="S1605" ca="1">INDIRECT("Data!M" &amp; 1600)</f>
        <v>0</v>
      </c>
      <c r="T1605" cm="1">
        <f t="array" aca="1" ref="T1605" ca="1">INDIRECT("Data!N" &amp; 1600)</f>
        <v>0</v>
      </c>
      <c r="U1605" cm="1">
        <f t="array" aca="1" ref="U1605" ca="1">INDIRECT("Data!O" &amp; 1600)</f>
        <v>0</v>
      </c>
      <c r="V1605" cm="1">
        <f t="array" aca="1" ref="V1605" ca="1">INDIRECT("Data!P" &amp; 1600)</f>
        <v>0</v>
      </c>
    </row>
    <row r="1606" spans="7:22" x14ac:dyDescent="0.25">
      <c r="G1606" cm="1">
        <f t="array" aca="1" ref="G1606" ca="1">INDIRECT("Data!A" &amp; 1601)</f>
        <v>0</v>
      </c>
      <c r="H1606" s="21" cm="1">
        <f t="array" aca="1" ref="H1606" ca="1">INDIRECT("Data!B" &amp; 1601)</f>
        <v>0</v>
      </c>
      <c r="I1606" s="21" cm="1">
        <f t="array" aca="1" ref="I1606" ca="1">INDIRECT("Data!C" &amp; 1601)</f>
        <v>0</v>
      </c>
      <c r="J1606" cm="1">
        <f t="array" aca="1" ref="J1606" ca="1">INDIRECT("Data!D" &amp; 1601)</f>
        <v>0</v>
      </c>
      <c r="K1606" cm="1">
        <f t="array" aca="1" ref="K1606" ca="1">INDIRECT("Data!E" &amp; 1601)</f>
        <v>0</v>
      </c>
      <c r="L1606" cm="1">
        <f t="array" aca="1" ref="L1606" ca="1">INDIRECT("Data!F" &amp; 1601)</f>
        <v>0</v>
      </c>
      <c r="M1606" cm="1">
        <f t="array" aca="1" ref="M1606" ca="1">INDIRECT("Data!G" &amp; 1601)</f>
        <v>0</v>
      </c>
      <c r="N1606" cm="1">
        <f t="array" aca="1" ref="N1606" ca="1">INDIRECT("Data!H" &amp; 1601)</f>
        <v>0</v>
      </c>
      <c r="O1606" cm="1">
        <f t="array" aca="1" ref="O1606" ca="1">INDIRECT("Data!I" &amp; 1601)</f>
        <v>0</v>
      </c>
      <c r="P1606" s="21" cm="1">
        <f t="array" aca="1" ref="P1606" ca="1">INDIRECT("Data!J" &amp; 1601)</f>
        <v>0</v>
      </c>
      <c r="Q1606" cm="1">
        <f t="array" aca="1" ref="Q1606" ca="1">INDIRECT("Data!K" &amp; 1601)</f>
        <v>0</v>
      </c>
      <c r="R1606" cm="1">
        <f t="array" aca="1" ref="R1606" ca="1">INDIRECT("Data!L" &amp; 1601)</f>
        <v>0</v>
      </c>
      <c r="S1606" cm="1">
        <f t="array" aca="1" ref="S1606" ca="1">INDIRECT("Data!M" &amp; 1601)</f>
        <v>0</v>
      </c>
      <c r="T1606" cm="1">
        <f t="array" aca="1" ref="T1606" ca="1">INDIRECT("Data!N" &amp; 1601)</f>
        <v>0</v>
      </c>
      <c r="U1606" cm="1">
        <f t="array" aca="1" ref="U1606" ca="1">INDIRECT("Data!O" &amp; 1601)</f>
        <v>0</v>
      </c>
      <c r="V1606" cm="1">
        <f t="array" aca="1" ref="V1606" ca="1">INDIRECT("Data!P" &amp; 1601)</f>
        <v>0</v>
      </c>
    </row>
    <row r="1607" spans="7:22" x14ac:dyDescent="0.25">
      <c r="G1607" cm="1">
        <f t="array" aca="1" ref="G1607" ca="1">INDIRECT("Data!A" &amp; 1602)</f>
        <v>0</v>
      </c>
      <c r="H1607" s="21" cm="1">
        <f t="array" aca="1" ref="H1607" ca="1">INDIRECT("Data!B" &amp; 1602)</f>
        <v>0</v>
      </c>
      <c r="I1607" s="21" cm="1">
        <f t="array" aca="1" ref="I1607" ca="1">INDIRECT("Data!C" &amp; 1602)</f>
        <v>0</v>
      </c>
      <c r="J1607" cm="1">
        <f t="array" aca="1" ref="J1607" ca="1">INDIRECT("Data!D" &amp; 1602)</f>
        <v>0</v>
      </c>
      <c r="K1607" cm="1">
        <f t="array" aca="1" ref="K1607" ca="1">INDIRECT("Data!E" &amp; 1602)</f>
        <v>0</v>
      </c>
      <c r="L1607" cm="1">
        <f t="array" aca="1" ref="L1607" ca="1">INDIRECT("Data!F" &amp; 1602)</f>
        <v>0</v>
      </c>
      <c r="M1607" cm="1">
        <f t="array" aca="1" ref="M1607" ca="1">INDIRECT("Data!G" &amp; 1602)</f>
        <v>0</v>
      </c>
      <c r="N1607" cm="1">
        <f t="array" aca="1" ref="N1607" ca="1">INDIRECT("Data!H" &amp; 1602)</f>
        <v>0</v>
      </c>
      <c r="O1607" cm="1">
        <f t="array" aca="1" ref="O1607" ca="1">INDIRECT("Data!I" &amp; 1602)</f>
        <v>0</v>
      </c>
      <c r="P1607" s="21" cm="1">
        <f t="array" aca="1" ref="P1607" ca="1">INDIRECT("Data!J" &amp; 1602)</f>
        <v>0</v>
      </c>
      <c r="Q1607" cm="1">
        <f t="array" aca="1" ref="Q1607" ca="1">INDIRECT("Data!K" &amp; 1602)</f>
        <v>0</v>
      </c>
      <c r="R1607" cm="1">
        <f t="array" aca="1" ref="R1607" ca="1">INDIRECT("Data!L" &amp; 1602)</f>
        <v>0</v>
      </c>
      <c r="S1607" cm="1">
        <f t="array" aca="1" ref="S1607" ca="1">INDIRECT("Data!M" &amp; 1602)</f>
        <v>0</v>
      </c>
      <c r="T1607" cm="1">
        <f t="array" aca="1" ref="T1607" ca="1">INDIRECT("Data!N" &amp; 1602)</f>
        <v>0</v>
      </c>
      <c r="U1607" cm="1">
        <f t="array" aca="1" ref="U1607" ca="1">INDIRECT("Data!O" &amp; 1602)</f>
        <v>0</v>
      </c>
      <c r="V1607" cm="1">
        <f t="array" aca="1" ref="V1607" ca="1">INDIRECT("Data!P" &amp; 1602)</f>
        <v>0</v>
      </c>
    </row>
    <row r="1608" spans="7:22" x14ac:dyDescent="0.25">
      <c r="G1608" cm="1">
        <f t="array" aca="1" ref="G1608" ca="1">INDIRECT("Data!A" &amp; 1603)</f>
        <v>0</v>
      </c>
      <c r="H1608" s="21" cm="1">
        <f t="array" aca="1" ref="H1608" ca="1">INDIRECT("Data!B" &amp; 1603)</f>
        <v>0</v>
      </c>
      <c r="I1608" s="21" cm="1">
        <f t="array" aca="1" ref="I1608" ca="1">INDIRECT("Data!C" &amp; 1603)</f>
        <v>0</v>
      </c>
      <c r="J1608" cm="1">
        <f t="array" aca="1" ref="J1608" ca="1">INDIRECT("Data!D" &amp; 1603)</f>
        <v>0</v>
      </c>
      <c r="K1608" cm="1">
        <f t="array" aca="1" ref="K1608" ca="1">INDIRECT("Data!E" &amp; 1603)</f>
        <v>0</v>
      </c>
      <c r="L1608" cm="1">
        <f t="array" aca="1" ref="L1608" ca="1">INDIRECT("Data!F" &amp; 1603)</f>
        <v>0</v>
      </c>
      <c r="M1608" cm="1">
        <f t="array" aca="1" ref="M1608" ca="1">INDIRECT("Data!G" &amp; 1603)</f>
        <v>0</v>
      </c>
      <c r="N1608" cm="1">
        <f t="array" aca="1" ref="N1608" ca="1">INDIRECT("Data!H" &amp; 1603)</f>
        <v>0</v>
      </c>
      <c r="O1608" cm="1">
        <f t="array" aca="1" ref="O1608" ca="1">INDIRECT("Data!I" &amp; 1603)</f>
        <v>0</v>
      </c>
      <c r="P1608" s="21" cm="1">
        <f t="array" aca="1" ref="P1608" ca="1">INDIRECT("Data!J" &amp; 1603)</f>
        <v>0</v>
      </c>
      <c r="Q1608" cm="1">
        <f t="array" aca="1" ref="Q1608" ca="1">INDIRECT("Data!K" &amp; 1603)</f>
        <v>0</v>
      </c>
      <c r="R1608" cm="1">
        <f t="array" aca="1" ref="R1608" ca="1">INDIRECT("Data!L" &amp; 1603)</f>
        <v>0</v>
      </c>
      <c r="S1608" cm="1">
        <f t="array" aca="1" ref="S1608" ca="1">INDIRECT("Data!M" &amp; 1603)</f>
        <v>0</v>
      </c>
      <c r="T1608" cm="1">
        <f t="array" aca="1" ref="T1608" ca="1">INDIRECT("Data!N" &amp; 1603)</f>
        <v>0</v>
      </c>
      <c r="U1608" cm="1">
        <f t="array" aca="1" ref="U1608" ca="1">INDIRECT("Data!O" &amp; 1603)</f>
        <v>0</v>
      </c>
      <c r="V1608" cm="1">
        <f t="array" aca="1" ref="V1608" ca="1">INDIRECT("Data!P" &amp; 1603)</f>
        <v>0</v>
      </c>
    </row>
    <row r="1609" spans="7:22" x14ac:dyDescent="0.25">
      <c r="G1609" cm="1">
        <f t="array" aca="1" ref="G1609" ca="1">INDIRECT("Data!A" &amp; 1604)</f>
        <v>0</v>
      </c>
      <c r="H1609" s="21" cm="1">
        <f t="array" aca="1" ref="H1609" ca="1">INDIRECT("Data!B" &amp; 1604)</f>
        <v>0</v>
      </c>
      <c r="I1609" s="21" cm="1">
        <f t="array" aca="1" ref="I1609" ca="1">INDIRECT("Data!C" &amp; 1604)</f>
        <v>0</v>
      </c>
      <c r="J1609" cm="1">
        <f t="array" aca="1" ref="J1609" ca="1">INDIRECT("Data!D" &amp; 1604)</f>
        <v>0</v>
      </c>
      <c r="K1609" cm="1">
        <f t="array" aca="1" ref="K1609" ca="1">INDIRECT("Data!E" &amp; 1604)</f>
        <v>0</v>
      </c>
      <c r="L1609" cm="1">
        <f t="array" aca="1" ref="L1609" ca="1">INDIRECT("Data!F" &amp; 1604)</f>
        <v>0</v>
      </c>
      <c r="M1609" cm="1">
        <f t="array" aca="1" ref="M1609" ca="1">INDIRECT("Data!G" &amp; 1604)</f>
        <v>0</v>
      </c>
      <c r="N1609" cm="1">
        <f t="array" aca="1" ref="N1609" ca="1">INDIRECT("Data!H" &amp; 1604)</f>
        <v>0</v>
      </c>
      <c r="O1609" cm="1">
        <f t="array" aca="1" ref="O1609" ca="1">INDIRECT("Data!I" &amp; 1604)</f>
        <v>0</v>
      </c>
      <c r="P1609" s="21" cm="1">
        <f t="array" aca="1" ref="P1609" ca="1">INDIRECT("Data!J" &amp; 1604)</f>
        <v>0</v>
      </c>
      <c r="Q1609" cm="1">
        <f t="array" aca="1" ref="Q1609" ca="1">INDIRECT("Data!K" &amp; 1604)</f>
        <v>0</v>
      </c>
      <c r="R1609" cm="1">
        <f t="array" aca="1" ref="R1609" ca="1">INDIRECT("Data!L" &amp; 1604)</f>
        <v>0</v>
      </c>
      <c r="S1609" cm="1">
        <f t="array" aca="1" ref="S1609" ca="1">INDIRECT("Data!M" &amp; 1604)</f>
        <v>0</v>
      </c>
      <c r="T1609" cm="1">
        <f t="array" aca="1" ref="T1609" ca="1">INDIRECT("Data!N" &amp; 1604)</f>
        <v>0</v>
      </c>
      <c r="U1609" cm="1">
        <f t="array" aca="1" ref="U1609" ca="1">INDIRECT("Data!O" &amp; 1604)</f>
        <v>0</v>
      </c>
      <c r="V1609" cm="1">
        <f t="array" aca="1" ref="V1609" ca="1">INDIRECT("Data!P" &amp; 1604)</f>
        <v>0</v>
      </c>
    </row>
    <row r="1610" spans="7:22" x14ac:dyDescent="0.25">
      <c r="G1610" cm="1">
        <f t="array" aca="1" ref="G1610" ca="1">INDIRECT("Data!A" &amp; 1605)</f>
        <v>0</v>
      </c>
      <c r="H1610" s="21" cm="1">
        <f t="array" aca="1" ref="H1610" ca="1">INDIRECT("Data!B" &amp; 1605)</f>
        <v>0</v>
      </c>
      <c r="I1610" s="21" cm="1">
        <f t="array" aca="1" ref="I1610" ca="1">INDIRECT("Data!C" &amp; 1605)</f>
        <v>0</v>
      </c>
      <c r="J1610" cm="1">
        <f t="array" aca="1" ref="J1610" ca="1">INDIRECT("Data!D" &amp; 1605)</f>
        <v>0</v>
      </c>
      <c r="K1610" cm="1">
        <f t="array" aca="1" ref="K1610" ca="1">INDIRECT("Data!E" &amp; 1605)</f>
        <v>0</v>
      </c>
      <c r="L1610" cm="1">
        <f t="array" aca="1" ref="L1610" ca="1">INDIRECT("Data!F" &amp; 1605)</f>
        <v>0</v>
      </c>
      <c r="M1610" cm="1">
        <f t="array" aca="1" ref="M1610" ca="1">INDIRECT("Data!G" &amp; 1605)</f>
        <v>0</v>
      </c>
      <c r="N1610" cm="1">
        <f t="array" aca="1" ref="N1610" ca="1">INDIRECT("Data!H" &amp; 1605)</f>
        <v>0</v>
      </c>
      <c r="O1610" cm="1">
        <f t="array" aca="1" ref="O1610" ca="1">INDIRECT("Data!I" &amp; 1605)</f>
        <v>0</v>
      </c>
      <c r="P1610" s="21" cm="1">
        <f t="array" aca="1" ref="P1610" ca="1">INDIRECT("Data!J" &amp; 1605)</f>
        <v>0</v>
      </c>
      <c r="Q1610" cm="1">
        <f t="array" aca="1" ref="Q1610" ca="1">INDIRECT("Data!K" &amp; 1605)</f>
        <v>0</v>
      </c>
      <c r="R1610" cm="1">
        <f t="array" aca="1" ref="R1610" ca="1">INDIRECT("Data!L" &amp; 1605)</f>
        <v>0</v>
      </c>
      <c r="S1610" cm="1">
        <f t="array" aca="1" ref="S1610" ca="1">INDIRECT("Data!M" &amp; 1605)</f>
        <v>0</v>
      </c>
      <c r="T1610" cm="1">
        <f t="array" aca="1" ref="T1610" ca="1">INDIRECT("Data!N" &amp; 1605)</f>
        <v>0</v>
      </c>
      <c r="U1610" cm="1">
        <f t="array" aca="1" ref="U1610" ca="1">INDIRECT("Data!O" &amp; 1605)</f>
        <v>0</v>
      </c>
      <c r="V1610" cm="1">
        <f t="array" aca="1" ref="V1610" ca="1">INDIRECT("Data!P" &amp; 1605)</f>
        <v>0</v>
      </c>
    </row>
    <row r="1611" spans="7:22" x14ac:dyDescent="0.25">
      <c r="G1611" cm="1">
        <f t="array" aca="1" ref="G1611" ca="1">INDIRECT("Data!A" &amp; 1606)</f>
        <v>0</v>
      </c>
      <c r="H1611" s="21" cm="1">
        <f t="array" aca="1" ref="H1611" ca="1">INDIRECT("Data!B" &amp; 1606)</f>
        <v>0</v>
      </c>
      <c r="I1611" s="21" cm="1">
        <f t="array" aca="1" ref="I1611" ca="1">INDIRECT("Data!C" &amp; 1606)</f>
        <v>0</v>
      </c>
      <c r="J1611" cm="1">
        <f t="array" aca="1" ref="J1611" ca="1">INDIRECT("Data!D" &amp; 1606)</f>
        <v>0</v>
      </c>
      <c r="K1611" cm="1">
        <f t="array" aca="1" ref="K1611" ca="1">INDIRECT("Data!E" &amp; 1606)</f>
        <v>0</v>
      </c>
      <c r="L1611" cm="1">
        <f t="array" aca="1" ref="L1611" ca="1">INDIRECT("Data!F" &amp; 1606)</f>
        <v>0</v>
      </c>
      <c r="M1611" cm="1">
        <f t="array" aca="1" ref="M1611" ca="1">INDIRECT("Data!G" &amp; 1606)</f>
        <v>0</v>
      </c>
      <c r="N1611" cm="1">
        <f t="array" aca="1" ref="N1611" ca="1">INDIRECT("Data!H" &amp; 1606)</f>
        <v>0</v>
      </c>
      <c r="O1611" cm="1">
        <f t="array" aca="1" ref="O1611" ca="1">INDIRECT("Data!I" &amp; 1606)</f>
        <v>0</v>
      </c>
      <c r="P1611" s="21" cm="1">
        <f t="array" aca="1" ref="P1611" ca="1">INDIRECT("Data!J" &amp; 1606)</f>
        <v>0</v>
      </c>
      <c r="Q1611" cm="1">
        <f t="array" aca="1" ref="Q1611" ca="1">INDIRECT("Data!K" &amp; 1606)</f>
        <v>0</v>
      </c>
      <c r="R1611" cm="1">
        <f t="array" aca="1" ref="R1611" ca="1">INDIRECT("Data!L" &amp; 1606)</f>
        <v>0</v>
      </c>
      <c r="S1611" cm="1">
        <f t="array" aca="1" ref="S1611" ca="1">INDIRECT("Data!M" &amp; 1606)</f>
        <v>0</v>
      </c>
      <c r="T1611" cm="1">
        <f t="array" aca="1" ref="T1611" ca="1">INDIRECT("Data!N" &amp; 1606)</f>
        <v>0</v>
      </c>
      <c r="U1611" cm="1">
        <f t="array" aca="1" ref="U1611" ca="1">INDIRECT("Data!O" &amp; 1606)</f>
        <v>0</v>
      </c>
      <c r="V1611" cm="1">
        <f t="array" aca="1" ref="V1611" ca="1">INDIRECT("Data!P" &amp; 1606)</f>
        <v>0</v>
      </c>
    </row>
    <row r="1612" spans="7:22" x14ac:dyDescent="0.25">
      <c r="G1612" cm="1">
        <f t="array" aca="1" ref="G1612" ca="1">INDIRECT("Data!A" &amp; 1607)</f>
        <v>0</v>
      </c>
      <c r="H1612" s="21" cm="1">
        <f t="array" aca="1" ref="H1612" ca="1">INDIRECT("Data!B" &amp; 1607)</f>
        <v>0</v>
      </c>
      <c r="I1612" s="21" cm="1">
        <f t="array" aca="1" ref="I1612" ca="1">INDIRECT("Data!C" &amp; 1607)</f>
        <v>0</v>
      </c>
      <c r="J1612" cm="1">
        <f t="array" aca="1" ref="J1612" ca="1">INDIRECT("Data!D" &amp; 1607)</f>
        <v>0</v>
      </c>
      <c r="K1612" cm="1">
        <f t="array" aca="1" ref="K1612" ca="1">INDIRECT("Data!E" &amp; 1607)</f>
        <v>0</v>
      </c>
      <c r="L1612" cm="1">
        <f t="array" aca="1" ref="L1612" ca="1">INDIRECT("Data!F" &amp; 1607)</f>
        <v>0</v>
      </c>
      <c r="M1612" cm="1">
        <f t="array" aca="1" ref="M1612" ca="1">INDIRECT("Data!G" &amp; 1607)</f>
        <v>0</v>
      </c>
      <c r="N1612" cm="1">
        <f t="array" aca="1" ref="N1612" ca="1">INDIRECT("Data!H" &amp; 1607)</f>
        <v>0</v>
      </c>
      <c r="O1612" cm="1">
        <f t="array" aca="1" ref="O1612" ca="1">INDIRECT("Data!I" &amp; 1607)</f>
        <v>0</v>
      </c>
      <c r="P1612" s="21" cm="1">
        <f t="array" aca="1" ref="P1612" ca="1">INDIRECT("Data!J" &amp; 1607)</f>
        <v>0</v>
      </c>
      <c r="Q1612" cm="1">
        <f t="array" aca="1" ref="Q1612" ca="1">INDIRECT("Data!K" &amp; 1607)</f>
        <v>0</v>
      </c>
      <c r="R1612" cm="1">
        <f t="array" aca="1" ref="R1612" ca="1">INDIRECT("Data!L" &amp; 1607)</f>
        <v>0</v>
      </c>
      <c r="S1612" cm="1">
        <f t="array" aca="1" ref="S1612" ca="1">INDIRECT("Data!M" &amp; 1607)</f>
        <v>0</v>
      </c>
      <c r="T1612" cm="1">
        <f t="array" aca="1" ref="T1612" ca="1">INDIRECT("Data!N" &amp; 1607)</f>
        <v>0</v>
      </c>
      <c r="U1612" cm="1">
        <f t="array" aca="1" ref="U1612" ca="1">INDIRECT("Data!O" &amp; 1607)</f>
        <v>0</v>
      </c>
      <c r="V1612" cm="1">
        <f t="array" aca="1" ref="V1612" ca="1">INDIRECT("Data!P" &amp; 1607)</f>
        <v>0</v>
      </c>
    </row>
    <row r="1613" spans="7:22" x14ac:dyDescent="0.25">
      <c r="G1613" cm="1">
        <f t="array" aca="1" ref="G1613" ca="1">INDIRECT("Data!A" &amp; 1608)</f>
        <v>0</v>
      </c>
      <c r="H1613" s="21" cm="1">
        <f t="array" aca="1" ref="H1613" ca="1">INDIRECT("Data!B" &amp; 1608)</f>
        <v>0</v>
      </c>
      <c r="I1613" s="21" cm="1">
        <f t="array" aca="1" ref="I1613" ca="1">INDIRECT("Data!C" &amp; 1608)</f>
        <v>0</v>
      </c>
      <c r="J1613" cm="1">
        <f t="array" aca="1" ref="J1613" ca="1">INDIRECT("Data!D" &amp; 1608)</f>
        <v>0</v>
      </c>
      <c r="K1613" cm="1">
        <f t="array" aca="1" ref="K1613" ca="1">INDIRECT("Data!E" &amp; 1608)</f>
        <v>0</v>
      </c>
      <c r="L1613" cm="1">
        <f t="array" aca="1" ref="L1613" ca="1">INDIRECT("Data!F" &amp; 1608)</f>
        <v>0</v>
      </c>
      <c r="M1613" cm="1">
        <f t="array" aca="1" ref="M1613" ca="1">INDIRECT("Data!G" &amp; 1608)</f>
        <v>0</v>
      </c>
      <c r="N1613" cm="1">
        <f t="array" aca="1" ref="N1613" ca="1">INDIRECT("Data!H" &amp; 1608)</f>
        <v>0</v>
      </c>
      <c r="O1613" cm="1">
        <f t="array" aca="1" ref="O1613" ca="1">INDIRECT("Data!I" &amp; 1608)</f>
        <v>0</v>
      </c>
      <c r="P1613" s="21" cm="1">
        <f t="array" aca="1" ref="P1613" ca="1">INDIRECT("Data!J" &amp; 1608)</f>
        <v>0</v>
      </c>
      <c r="Q1613" cm="1">
        <f t="array" aca="1" ref="Q1613" ca="1">INDIRECT("Data!K" &amp; 1608)</f>
        <v>0</v>
      </c>
      <c r="R1613" cm="1">
        <f t="array" aca="1" ref="R1613" ca="1">INDIRECT("Data!L" &amp; 1608)</f>
        <v>0</v>
      </c>
      <c r="S1613" cm="1">
        <f t="array" aca="1" ref="S1613" ca="1">INDIRECT("Data!M" &amp; 1608)</f>
        <v>0</v>
      </c>
      <c r="T1613" cm="1">
        <f t="array" aca="1" ref="T1613" ca="1">INDIRECT("Data!N" &amp; 1608)</f>
        <v>0</v>
      </c>
      <c r="U1613" cm="1">
        <f t="array" aca="1" ref="U1613" ca="1">INDIRECT("Data!O" &amp; 1608)</f>
        <v>0</v>
      </c>
      <c r="V1613" cm="1">
        <f t="array" aca="1" ref="V1613" ca="1">INDIRECT("Data!P" &amp; 1608)</f>
        <v>0</v>
      </c>
    </row>
    <row r="1614" spans="7:22" x14ac:dyDescent="0.25">
      <c r="G1614" cm="1">
        <f t="array" aca="1" ref="G1614" ca="1">INDIRECT("Data!A" &amp; 1609)</f>
        <v>0</v>
      </c>
      <c r="H1614" s="21" cm="1">
        <f t="array" aca="1" ref="H1614" ca="1">INDIRECT("Data!B" &amp; 1609)</f>
        <v>0</v>
      </c>
      <c r="I1614" s="21" cm="1">
        <f t="array" aca="1" ref="I1614" ca="1">INDIRECT("Data!C" &amp; 1609)</f>
        <v>0</v>
      </c>
      <c r="J1614" cm="1">
        <f t="array" aca="1" ref="J1614" ca="1">INDIRECT("Data!D" &amp; 1609)</f>
        <v>0</v>
      </c>
      <c r="K1614" cm="1">
        <f t="array" aca="1" ref="K1614" ca="1">INDIRECT("Data!E" &amp; 1609)</f>
        <v>0</v>
      </c>
      <c r="L1614" cm="1">
        <f t="array" aca="1" ref="L1614" ca="1">INDIRECT("Data!F" &amp; 1609)</f>
        <v>0</v>
      </c>
      <c r="M1614" cm="1">
        <f t="array" aca="1" ref="M1614" ca="1">INDIRECT("Data!G" &amp; 1609)</f>
        <v>0</v>
      </c>
      <c r="N1614" cm="1">
        <f t="array" aca="1" ref="N1614" ca="1">INDIRECT("Data!H" &amp; 1609)</f>
        <v>0</v>
      </c>
      <c r="O1614" cm="1">
        <f t="array" aca="1" ref="O1614" ca="1">INDIRECT("Data!I" &amp; 1609)</f>
        <v>0</v>
      </c>
      <c r="P1614" s="21" cm="1">
        <f t="array" aca="1" ref="P1614" ca="1">INDIRECT("Data!J" &amp; 1609)</f>
        <v>0</v>
      </c>
      <c r="Q1614" cm="1">
        <f t="array" aca="1" ref="Q1614" ca="1">INDIRECT("Data!K" &amp; 1609)</f>
        <v>0</v>
      </c>
      <c r="R1614" cm="1">
        <f t="array" aca="1" ref="R1614" ca="1">INDIRECT("Data!L" &amp; 1609)</f>
        <v>0</v>
      </c>
      <c r="S1614" cm="1">
        <f t="array" aca="1" ref="S1614" ca="1">INDIRECT("Data!M" &amp; 1609)</f>
        <v>0</v>
      </c>
      <c r="T1614" cm="1">
        <f t="array" aca="1" ref="T1614" ca="1">INDIRECT("Data!N" &amp; 1609)</f>
        <v>0</v>
      </c>
      <c r="U1614" cm="1">
        <f t="array" aca="1" ref="U1614" ca="1">INDIRECT("Data!O" &amp; 1609)</f>
        <v>0</v>
      </c>
      <c r="V1614" cm="1">
        <f t="array" aca="1" ref="V1614" ca="1">INDIRECT("Data!P" &amp; 1609)</f>
        <v>0</v>
      </c>
    </row>
    <row r="1615" spans="7:22" x14ac:dyDescent="0.25">
      <c r="G1615" cm="1">
        <f t="array" aca="1" ref="G1615" ca="1">INDIRECT("Data!A" &amp; 1610)</f>
        <v>0</v>
      </c>
      <c r="H1615" s="21" cm="1">
        <f t="array" aca="1" ref="H1615" ca="1">INDIRECT("Data!B" &amp; 1610)</f>
        <v>0</v>
      </c>
      <c r="I1615" s="21" cm="1">
        <f t="array" aca="1" ref="I1615" ca="1">INDIRECT("Data!C" &amp; 1610)</f>
        <v>0</v>
      </c>
      <c r="J1615" cm="1">
        <f t="array" aca="1" ref="J1615" ca="1">INDIRECT("Data!D" &amp; 1610)</f>
        <v>0</v>
      </c>
      <c r="K1615" cm="1">
        <f t="array" aca="1" ref="K1615" ca="1">INDIRECT("Data!E" &amp; 1610)</f>
        <v>0</v>
      </c>
      <c r="L1615" cm="1">
        <f t="array" aca="1" ref="L1615" ca="1">INDIRECT("Data!F" &amp; 1610)</f>
        <v>0</v>
      </c>
      <c r="M1615" cm="1">
        <f t="array" aca="1" ref="M1615" ca="1">INDIRECT("Data!G" &amp; 1610)</f>
        <v>0</v>
      </c>
      <c r="N1615" cm="1">
        <f t="array" aca="1" ref="N1615" ca="1">INDIRECT("Data!H" &amp; 1610)</f>
        <v>0</v>
      </c>
      <c r="O1615" cm="1">
        <f t="array" aca="1" ref="O1615" ca="1">INDIRECT("Data!I" &amp; 1610)</f>
        <v>0</v>
      </c>
      <c r="P1615" s="21" cm="1">
        <f t="array" aca="1" ref="P1615" ca="1">INDIRECT("Data!J" &amp; 1610)</f>
        <v>0</v>
      </c>
      <c r="Q1615" cm="1">
        <f t="array" aca="1" ref="Q1615" ca="1">INDIRECT("Data!K" &amp; 1610)</f>
        <v>0</v>
      </c>
      <c r="R1615" cm="1">
        <f t="array" aca="1" ref="R1615" ca="1">INDIRECT("Data!L" &amp; 1610)</f>
        <v>0</v>
      </c>
      <c r="S1615" cm="1">
        <f t="array" aca="1" ref="S1615" ca="1">INDIRECT("Data!M" &amp; 1610)</f>
        <v>0</v>
      </c>
      <c r="T1615" cm="1">
        <f t="array" aca="1" ref="T1615" ca="1">INDIRECT("Data!N" &amp; 1610)</f>
        <v>0</v>
      </c>
      <c r="U1615" cm="1">
        <f t="array" aca="1" ref="U1615" ca="1">INDIRECT("Data!O" &amp; 1610)</f>
        <v>0</v>
      </c>
      <c r="V1615" cm="1">
        <f t="array" aca="1" ref="V1615" ca="1">INDIRECT("Data!P" &amp; 1610)</f>
        <v>0</v>
      </c>
    </row>
    <row r="1616" spans="7:22" x14ac:dyDescent="0.25">
      <c r="G1616" cm="1">
        <f t="array" aca="1" ref="G1616" ca="1">INDIRECT("Data!A" &amp; 1611)</f>
        <v>0</v>
      </c>
      <c r="H1616" s="21" cm="1">
        <f t="array" aca="1" ref="H1616" ca="1">INDIRECT("Data!B" &amp; 1611)</f>
        <v>0</v>
      </c>
      <c r="I1616" s="21" cm="1">
        <f t="array" aca="1" ref="I1616" ca="1">INDIRECT("Data!C" &amp; 1611)</f>
        <v>0</v>
      </c>
      <c r="J1616" cm="1">
        <f t="array" aca="1" ref="J1616" ca="1">INDIRECT("Data!D" &amp; 1611)</f>
        <v>0</v>
      </c>
      <c r="K1616" cm="1">
        <f t="array" aca="1" ref="K1616" ca="1">INDIRECT("Data!E" &amp; 1611)</f>
        <v>0</v>
      </c>
      <c r="L1616" cm="1">
        <f t="array" aca="1" ref="L1616" ca="1">INDIRECT("Data!F" &amp; 1611)</f>
        <v>0</v>
      </c>
      <c r="M1616" cm="1">
        <f t="array" aca="1" ref="M1616" ca="1">INDIRECT("Data!G" &amp; 1611)</f>
        <v>0</v>
      </c>
      <c r="N1616" cm="1">
        <f t="array" aca="1" ref="N1616" ca="1">INDIRECT("Data!H" &amp; 1611)</f>
        <v>0</v>
      </c>
      <c r="O1616" cm="1">
        <f t="array" aca="1" ref="O1616" ca="1">INDIRECT("Data!I" &amp; 1611)</f>
        <v>0</v>
      </c>
      <c r="P1616" s="21" cm="1">
        <f t="array" aca="1" ref="P1616" ca="1">INDIRECT("Data!J" &amp; 1611)</f>
        <v>0</v>
      </c>
      <c r="Q1616" cm="1">
        <f t="array" aca="1" ref="Q1616" ca="1">INDIRECT("Data!K" &amp; 1611)</f>
        <v>0</v>
      </c>
      <c r="R1616" cm="1">
        <f t="array" aca="1" ref="R1616" ca="1">INDIRECT("Data!L" &amp; 1611)</f>
        <v>0</v>
      </c>
      <c r="S1616" cm="1">
        <f t="array" aca="1" ref="S1616" ca="1">INDIRECT("Data!M" &amp; 1611)</f>
        <v>0</v>
      </c>
      <c r="T1616" cm="1">
        <f t="array" aca="1" ref="T1616" ca="1">INDIRECT("Data!N" &amp; 1611)</f>
        <v>0</v>
      </c>
      <c r="U1616" cm="1">
        <f t="array" aca="1" ref="U1616" ca="1">INDIRECT("Data!O" &amp; 1611)</f>
        <v>0</v>
      </c>
      <c r="V1616" cm="1">
        <f t="array" aca="1" ref="V1616" ca="1">INDIRECT("Data!P" &amp; 1611)</f>
        <v>0</v>
      </c>
    </row>
    <row r="1617" spans="7:22" x14ac:dyDescent="0.25">
      <c r="G1617" cm="1">
        <f t="array" aca="1" ref="G1617" ca="1">INDIRECT("Data!A" &amp; 1612)</f>
        <v>0</v>
      </c>
      <c r="H1617" s="21" cm="1">
        <f t="array" aca="1" ref="H1617" ca="1">INDIRECT("Data!B" &amp; 1612)</f>
        <v>0</v>
      </c>
      <c r="I1617" s="21" cm="1">
        <f t="array" aca="1" ref="I1617" ca="1">INDIRECT("Data!C" &amp; 1612)</f>
        <v>0</v>
      </c>
      <c r="J1617" cm="1">
        <f t="array" aca="1" ref="J1617" ca="1">INDIRECT("Data!D" &amp; 1612)</f>
        <v>0</v>
      </c>
      <c r="K1617" cm="1">
        <f t="array" aca="1" ref="K1617" ca="1">INDIRECT("Data!E" &amp; 1612)</f>
        <v>0</v>
      </c>
      <c r="L1617" cm="1">
        <f t="array" aca="1" ref="L1617" ca="1">INDIRECT("Data!F" &amp; 1612)</f>
        <v>0</v>
      </c>
      <c r="M1617" cm="1">
        <f t="array" aca="1" ref="M1617" ca="1">INDIRECT("Data!G" &amp; 1612)</f>
        <v>0</v>
      </c>
      <c r="N1617" cm="1">
        <f t="array" aca="1" ref="N1617" ca="1">INDIRECT("Data!H" &amp; 1612)</f>
        <v>0</v>
      </c>
      <c r="O1617" cm="1">
        <f t="array" aca="1" ref="O1617" ca="1">INDIRECT("Data!I" &amp; 1612)</f>
        <v>0</v>
      </c>
      <c r="P1617" s="21" cm="1">
        <f t="array" aca="1" ref="P1617" ca="1">INDIRECT("Data!J" &amp; 1612)</f>
        <v>0</v>
      </c>
      <c r="Q1617" cm="1">
        <f t="array" aca="1" ref="Q1617" ca="1">INDIRECT("Data!K" &amp; 1612)</f>
        <v>0</v>
      </c>
      <c r="R1617" cm="1">
        <f t="array" aca="1" ref="R1617" ca="1">INDIRECT("Data!L" &amp; 1612)</f>
        <v>0</v>
      </c>
      <c r="S1617" cm="1">
        <f t="array" aca="1" ref="S1617" ca="1">INDIRECT("Data!M" &amp; 1612)</f>
        <v>0</v>
      </c>
      <c r="T1617" cm="1">
        <f t="array" aca="1" ref="T1617" ca="1">INDIRECT("Data!N" &amp; 1612)</f>
        <v>0</v>
      </c>
      <c r="U1617" cm="1">
        <f t="array" aca="1" ref="U1617" ca="1">INDIRECT("Data!O" &amp; 1612)</f>
        <v>0</v>
      </c>
      <c r="V1617" cm="1">
        <f t="array" aca="1" ref="V1617" ca="1">INDIRECT("Data!P" &amp; 1612)</f>
        <v>0</v>
      </c>
    </row>
    <row r="1618" spans="7:22" x14ac:dyDescent="0.25">
      <c r="G1618" cm="1">
        <f t="array" aca="1" ref="G1618" ca="1">INDIRECT("Data!A" &amp; 1613)</f>
        <v>0</v>
      </c>
      <c r="H1618" s="21" cm="1">
        <f t="array" aca="1" ref="H1618" ca="1">INDIRECT("Data!B" &amp; 1613)</f>
        <v>0</v>
      </c>
      <c r="I1618" s="21" cm="1">
        <f t="array" aca="1" ref="I1618" ca="1">INDIRECT("Data!C" &amp; 1613)</f>
        <v>0</v>
      </c>
      <c r="J1618" cm="1">
        <f t="array" aca="1" ref="J1618" ca="1">INDIRECT("Data!D" &amp; 1613)</f>
        <v>0</v>
      </c>
      <c r="K1618" cm="1">
        <f t="array" aca="1" ref="K1618" ca="1">INDIRECT("Data!E" &amp; 1613)</f>
        <v>0</v>
      </c>
      <c r="L1618" cm="1">
        <f t="array" aca="1" ref="L1618" ca="1">INDIRECT("Data!F" &amp; 1613)</f>
        <v>0</v>
      </c>
      <c r="M1618" cm="1">
        <f t="array" aca="1" ref="M1618" ca="1">INDIRECT("Data!G" &amp; 1613)</f>
        <v>0</v>
      </c>
      <c r="N1618" cm="1">
        <f t="array" aca="1" ref="N1618" ca="1">INDIRECT("Data!H" &amp; 1613)</f>
        <v>0</v>
      </c>
      <c r="O1618" cm="1">
        <f t="array" aca="1" ref="O1618" ca="1">INDIRECT("Data!I" &amp; 1613)</f>
        <v>0</v>
      </c>
      <c r="P1618" s="21" cm="1">
        <f t="array" aca="1" ref="P1618" ca="1">INDIRECT("Data!J" &amp; 1613)</f>
        <v>0</v>
      </c>
      <c r="Q1618" cm="1">
        <f t="array" aca="1" ref="Q1618" ca="1">INDIRECT("Data!K" &amp; 1613)</f>
        <v>0</v>
      </c>
      <c r="R1618" cm="1">
        <f t="array" aca="1" ref="R1618" ca="1">INDIRECT("Data!L" &amp; 1613)</f>
        <v>0</v>
      </c>
      <c r="S1618" cm="1">
        <f t="array" aca="1" ref="S1618" ca="1">INDIRECT("Data!M" &amp; 1613)</f>
        <v>0</v>
      </c>
      <c r="T1618" cm="1">
        <f t="array" aca="1" ref="T1618" ca="1">INDIRECT("Data!N" &amp; 1613)</f>
        <v>0</v>
      </c>
      <c r="U1618" cm="1">
        <f t="array" aca="1" ref="U1618" ca="1">INDIRECT("Data!O" &amp; 1613)</f>
        <v>0</v>
      </c>
      <c r="V1618" cm="1">
        <f t="array" aca="1" ref="V1618" ca="1">INDIRECT("Data!P" &amp; 1613)</f>
        <v>0</v>
      </c>
    </row>
    <row r="1619" spans="7:22" x14ac:dyDescent="0.25">
      <c r="G1619" cm="1">
        <f t="array" aca="1" ref="G1619" ca="1">INDIRECT("Data!A" &amp; 1614)</f>
        <v>0</v>
      </c>
      <c r="H1619" s="21" cm="1">
        <f t="array" aca="1" ref="H1619" ca="1">INDIRECT("Data!B" &amp; 1614)</f>
        <v>0</v>
      </c>
      <c r="I1619" s="21" cm="1">
        <f t="array" aca="1" ref="I1619" ca="1">INDIRECT("Data!C" &amp; 1614)</f>
        <v>0</v>
      </c>
      <c r="J1619" cm="1">
        <f t="array" aca="1" ref="J1619" ca="1">INDIRECT("Data!D" &amp; 1614)</f>
        <v>0</v>
      </c>
      <c r="K1619" cm="1">
        <f t="array" aca="1" ref="K1619" ca="1">INDIRECT("Data!E" &amp; 1614)</f>
        <v>0</v>
      </c>
      <c r="L1619" cm="1">
        <f t="array" aca="1" ref="L1619" ca="1">INDIRECT("Data!F" &amp; 1614)</f>
        <v>0</v>
      </c>
      <c r="M1619" cm="1">
        <f t="array" aca="1" ref="M1619" ca="1">INDIRECT("Data!G" &amp; 1614)</f>
        <v>0</v>
      </c>
      <c r="N1619" cm="1">
        <f t="array" aca="1" ref="N1619" ca="1">INDIRECT("Data!H" &amp; 1614)</f>
        <v>0</v>
      </c>
      <c r="O1619" cm="1">
        <f t="array" aca="1" ref="O1619" ca="1">INDIRECT("Data!I" &amp; 1614)</f>
        <v>0</v>
      </c>
      <c r="P1619" s="21" cm="1">
        <f t="array" aca="1" ref="P1619" ca="1">INDIRECT("Data!J" &amp; 1614)</f>
        <v>0</v>
      </c>
      <c r="Q1619" cm="1">
        <f t="array" aca="1" ref="Q1619" ca="1">INDIRECT("Data!K" &amp; 1614)</f>
        <v>0</v>
      </c>
      <c r="R1619" cm="1">
        <f t="array" aca="1" ref="R1619" ca="1">INDIRECT("Data!L" &amp; 1614)</f>
        <v>0</v>
      </c>
      <c r="S1619" cm="1">
        <f t="array" aca="1" ref="S1619" ca="1">INDIRECT("Data!M" &amp; 1614)</f>
        <v>0</v>
      </c>
      <c r="T1619" cm="1">
        <f t="array" aca="1" ref="T1619" ca="1">INDIRECT("Data!N" &amp; 1614)</f>
        <v>0</v>
      </c>
      <c r="U1619" cm="1">
        <f t="array" aca="1" ref="U1619" ca="1">INDIRECT("Data!O" &amp; 1614)</f>
        <v>0</v>
      </c>
      <c r="V1619" cm="1">
        <f t="array" aca="1" ref="V1619" ca="1">INDIRECT("Data!P" &amp; 1614)</f>
        <v>0</v>
      </c>
    </row>
    <row r="1620" spans="7:22" x14ac:dyDescent="0.25">
      <c r="G1620" cm="1">
        <f t="array" aca="1" ref="G1620" ca="1">INDIRECT("Data!A" &amp; 1615)</f>
        <v>0</v>
      </c>
      <c r="H1620" s="21" cm="1">
        <f t="array" aca="1" ref="H1620" ca="1">INDIRECT("Data!B" &amp; 1615)</f>
        <v>0</v>
      </c>
      <c r="I1620" s="21" cm="1">
        <f t="array" aca="1" ref="I1620" ca="1">INDIRECT("Data!C" &amp; 1615)</f>
        <v>0</v>
      </c>
      <c r="J1620" cm="1">
        <f t="array" aca="1" ref="J1620" ca="1">INDIRECT("Data!D" &amp; 1615)</f>
        <v>0</v>
      </c>
      <c r="K1620" cm="1">
        <f t="array" aca="1" ref="K1620" ca="1">INDIRECT("Data!E" &amp; 1615)</f>
        <v>0</v>
      </c>
      <c r="L1620" cm="1">
        <f t="array" aca="1" ref="L1620" ca="1">INDIRECT("Data!F" &amp; 1615)</f>
        <v>0</v>
      </c>
      <c r="M1620" cm="1">
        <f t="array" aca="1" ref="M1620" ca="1">INDIRECT("Data!G" &amp; 1615)</f>
        <v>0</v>
      </c>
      <c r="N1620" cm="1">
        <f t="array" aca="1" ref="N1620" ca="1">INDIRECT("Data!H" &amp; 1615)</f>
        <v>0</v>
      </c>
      <c r="O1620" cm="1">
        <f t="array" aca="1" ref="O1620" ca="1">INDIRECT("Data!I" &amp; 1615)</f>
        <v>0</v>
      </c>
      <c r="P1620" s="21" cm="1">
        <f t="array" aca="1" ref="P1620" ca="1">INDIRECT("Data!J" &amp; 1615)</f>
        <v>0</v>
      </c>
      <c r="Q1620" cm="1">
        <f t="array" aca="1" ref="Q1620" ca="1">INDIRECT("Data!K" &amp; 1615)</f>
        <v>0</v>
      </c>
      <c r="R1620" cm="1">
        <f t="array" aca="1" ref="R1620" ca="1">INDIRECT("Data!L" &amp; 1615)</f>
        <v>0</v>
      </c>
      <c r="S1620" cm="1">
        <f t="array" aca="1" ref="S1620" ca="1">INDIRECT("Data!M" &amp; 1615)</f>
        <v>0</v>
      </c>
      <c r="T1620" cm="1">
        <f t="array" aca="1" ref="T1620" ca="1">INDIRECT("Data!N" &amp; 1615)</f>
        <v>0</v>
      </c>
      <c r="U1620" cm="1">
        <f t="array" aca="1" ref="U1620" ca="1">INDIRECT("Data!O" &amp; 1615)</f>
        <v>0</v>
      </c>
      <c r="V1620" cm="1">
        <f t="array" aca="1" ref="V1620" ca="1">INDIRECT("Data!P" &amp; 1615)</f>
        <v>0</v>
      </c>
    </row>
    <row r="1621" spans="7:22" x14ac:dyDescent="0.25">
      <c r="G1621" cm="1">
        <f t="array" aca="1" ref="G1621" ca="1">INDIRECT("Data!A" &amp; 1616)</f>
        <v>0</v>
      </c>
      <c r="H1621" s="21" cm="1">
        <f t="array" aca="1" ref="H1621" ca="1">INDIRECT("Data!B" &amp; 1616)</f>
        <v>0</v>
      </c>
      <c r="I1621" s="21" cm="1">
        <f t="array" aca="1" ref="I1621" ca="1">INDIRECT("Data!C" &amp; 1616)</f>
        <v>0</v>
      </c>
      <c r="J1621" cm="1">
        <f t="array" aca="1" ref="J1621" ca="1">INDIRECT("Data!D" &amp; 1616)</f>
        <v>0</v>
      </c>
      <c r="K1621" cm="1">
        <f t="array" aca="1" ref="K1621" ca="1">INDIRECT("Data!E" &amp; 1616)</f>
        <v>0</v>
      </c>
      <c r="L1621" cm="1">
        <f t="array" aca="1" ref="L1621" ca="1">INDIRECT("Data!F" &amp; 1616)</f>
        <v>0</v>
      </c>
      <c r="M1621" cm="1">
        <f t="array" aca="1" ref="M1621" ca="1">INDIRECT("Data!G" &amp; 1616)</f>
        <v>0</v>
      </c>
      <c r="N1621" cm="1">
        <f t="array" aca="1" ref="N1621" ca="1">INDIRECT("Data!H" &amp; 1616)</f>
        <v>0</v>
      </c>
      <c r="O1621" cm="1">
        <f t="array" aca="1" ref="O1621" ca="1">INDIRECT("Data!I" &amp; 1616)</f>
        <v>0</v>
      </c>
      <c r="P1621" s="21" cm="1">
        <f t="array" aca="1" ref="P1621" ca="1">INDIRECT("Data!J" &amp; 1616)</f>
        <v>0</v>
      </c>
      <c r="Q1621" cm="1">
        <f t="array" aca="1" ref="Q1621" ca="1">INDIRECT("Data!K" &amp; 1616)</f>
        <v>0</v>
      </c>
      <c r="R1621" cm="1">
        <f t="array" aca="1" ref="R1621" ca="1">INDIRECT("Data!L" &amp; 1616)</f>
        <v>0</v>
      </c>
      <c r="S1621" cm="1">
        <f t="array" aca="1" ref="S1621" ca="1">INDIRECT("Data!M" &amp; 1616)</f>
        <v>0</v>
      </c>
      <c r="T1621" cm="1">
        <f t="array" aca="1" ref="T1621" ca="1">INDIRECT("Data!N" &amp; 1616)</f>
        <v>0</v>
      </c>
      <c r="U1621" cm="1">
        <f t="array" aca="1" ref="U1621" ca="1">INDIRECT("Data!O" &amp; 1616)</f>
        <v>0</v>
      </c>
      <c r="V1621" cm="1">
        <f t="array" aca="1" ref="V1621" ca="1">INDIRECT("Data!P" &amp; 1616)</f>
        <v>0</v>
      </c>
    </row>
    <row r="1622" spans="7:22" x14ac:dyDescent="0.25">
      <c r="G1622" cm="1">
        <f t="array" aca="1" ref="G1622" ca="1">INDIRECT("Data!A" &amp; 1617)</f>
        <v>0</v>
      </c>
      <c r="H1622" s="21" cm="1">
        <f t="array" aca="1" ref="H1622" ca="1">INDIRECT("Data!B" &amp; 1617)</f>
        <v>0</v>
      </c>
      <c r="I1622" s="21" cm="1">
        <f t="array" aca="1" ref="I1622" ca="1">INDIRECT("Data!C" &amp; 1617)</f>
        <v>0</v>
      </c>
      <c r="J1622" cm="1">
        <f t="array" aca="1" ref="J1622" ca="1">INDIRECT("Data!D" &amp; 1617)</f>
        <v>0</v>
      </c>
      <c r="K1622" cm="1">
        <f t="array" aca="1" ref="K1622" ca="1">INDIRECT("Data!E" &amp; 1617)</f>
        <v>0</v>
      </c>
      <c r="L1622" cm="1">
        <f t="array" aca="1" ref="L1622" ca="1">INDIRECT("Data!F" &amp; 1617)</f>
        <v>0</v>
      </c>
      <c r="M1622" cm="1">
        <f t="array" aca="1" ref="M1622" ca="1">INDIRECT("Data!G" &amp; 1617)</f>
        <v>0</v>
      </c>
      <c r="N1622" cm="1">
        <f t="array" aca="1" ref="N1622" ca="1">INDIRECT("Data!H" &amp; 1617)</f>
        <v>0</v>
      </c>
      <c r="O1622" cm="1">
        <f t="array" aca="1" ref="O1622" ca="1">INDIRECT("Data!I" &amp; 1617)</f>
        <v>0</v>
      </c>
      <c r="P1622" s="21" cm="1">
        <f t="array" aca="1" ref="P1622" ca="1">INDIRECT("Data!J" &amp; 1617)</f>
        <v>0</v>
      </c>
      <c r="Q1622" cm="1">
        <f t="array" aca="1" ref="Q1622" ca="1">INDIRECT("Data!K" &amp; 1617)</f>
        <v>0</v>
      </c>
      <c r="R1622" cm="1">
        <f t="array" aca="1" ref="R1622" ca="1">INDIRECT("Data!L" &amp; 1617)</f>
        <v>0</v>
      </c>
      <c r="S1622" cm="1">
        <f t="array" aca="1" ref="S1622" ca="1">INDIRECT("Data!M" &amp; 1617)</f>
        <v>0</v>
      </c>
      <c r="T1622" cm="1">
        <f t="array" aca="1" ref="T1622" ca="1">INDIRECT("Data!N" &amp; 1617)</f>
        <v>0</v>
      </c>
      <c r="U1622" cm="1">
        <f t="array" aca="1" ref="U1622" ca="1">INDIRECT("Data!O" &amp; 1617)</f>
        <v>0</v>
      </c>
      <c r="V1622" cm="1">
        <f t="array" aca="1" ref="V1622" ca="1">INDIRECT("Data!P" &amp; 1617)</f>
        <v>0</v>
      </c>
    </row>
    <row r="1623" spans="7:22" x14ac:dyDescent="0.25">
      <c r="G1623" cm="1">
        <f t="array" aca="1" ref="G1623" ca="1">INDIRECT("Data!A" &amp; 1618)</f>
        <v>0</v>
      </c>
      <c r="H1623" s="21" cm="1">
        <f t="array" aca="1" ref="H1623" ca="1">INDIRECT("Data!B" &amp; 1618)</f>
        <v>0</v>
      </c>
      <c r="I1623" s="21" cm="1">
        <f t="array" aca="1" ref="I1623" ca="1">INDIRECT("Data!C" &amp; 1618)</f>
        <v>0</v>
      </c>
      <c r="J1623" cm="1">
        <f t="array" aca="1" ref="J1623" ca="1">INDIRECT("Data!D" &amp; 1618)</f>
        <v>0</v>
      </c>
      <c r="K1623" cm="1">
        <f t="array" aca="1" ref="K1623" ca="1">INDIRECT("Data!E" &amp; 1618)</f>
        <v>0</v>
      </c>
      <c r="L1623" cm="1">
        <f t="array" aca="1" ref="L1623" ca="1">INDIRECT("Data!F" &amp; 1618)</f>
        <v>0</v>
      </c>
      <c r="M1623" cm="1">
        <f t="array" aca="1" ref="M1623" ca="1">INDIRECT("Data!G" &amp; 1618)</f>
        <v>0</v>
      </c>
      <c r="N1623" cm="1">
        <f t="array" aca="1" ref="N1623" ca="1">INDIRECT("Data!H" &amp; 1618)</f>
        <v>0</v>
      </c>
      <c r="O1623" cm="1">
        <f t="array" aca="1" ref="O1623" ca="1">INDIRECT("Data!I" &amp; 1618)</f>
        <v>0</v>
      </c>
      <c r="P1623" s="21" cm="1">
        <f t="array" aca="1" ref="P1623" ca="1">INDIRECT("Data!J" &amp; 1618)</f>
        <v>0</v>
      </c>
      <c r="Q1623" cm="1">
        <f t="array" aca="1" ref="Q1623" ca="1">INDIRECT("Data!K" &amp; 1618)</f>
        <v>0</v>
      </c>
      <c r="R1623" cm="1">
        <f t="array" aca="1" ref="R1623" ca="1">INDIRECT("Data!L" &amp; 1618)</f>
        <v>0</v>
      </c>
      <c r="S1623" cm="1">
        <f t="array" aca="1" ref="S1623" ca="1">INDIRECT("Data!M" &amp; 1618)</f>
        <v>0</v>
      </c>
      <c r="T1623" cm="1">
        <f t="array" aca="1" ref="T1623" ca="1">INDIRECT("Data!N" &amp; 1618)</f>
        <v>0</v>
      </c>
      <c r="U1623" cm="1">
        <f t="array" aca="1" ref="U1623" ca="1">INDIRECT("Data!O" &amp; 1618)</f>
        <v>0</v>
      </c>
      <c r="V1623" cm="1">
        <f t="array" aca="1" ref="V1623" ca="1">INDIRECT("Data!P" &amp; 1618)</f>
        <v>0</v>
      </c>
    </row>
    <row r="1624" spans="7:22" x14ac:dyDescent="0.25">
      <c r="G1624" cm="1">
        <f t="array" aca="1" ref="G1624" ca="1">INDIRECT("Data!A" &amp; 1619)</f>
        <v>0</v>
      </c>
      <c r="H1624" s="21" cm="1">
        <f t="array" aca="1" ref="H1624" ca="1">INDIRECT("Data!B" &amp; 1619)</f>
        <v>0</v>
      </c>
      <c r="I1624" s="21" cm="1">
        <f t="array" aca="1" ref="I1624" ca="1">INDIRECT("Data!C" &amp; 1619)</f>
        <v>0</v>
      </c>
      <c r="J1624" cm="1">
        <f t="array" aca="1" ref="J1624" ca="1">INDIRECT("Data!D" &amp; 1619)</f>
        <v>0</v>
      </c>
      <c r="K1624" cm="1">
        <f t="array" aca="1" ref="K1624" ca="1">INDIRECT("Data!E" &amp; 1619)</f>
        <v>0</v>
      </c>
      <c r="L1624" cm="1">
        <f t="array" aca="1" ref="L1624" ca="1">INDIRECT("Data!F" &amp; 1619)</f>
        <v>0</v>
      </c>
      <c r="M1624" cm="1">
        <f t="array" aca="1" ref="M1624" ca="1">INDIRECT("Data!G" &amp; 1619)</f>
        <v>0</v>
      </c>
      <c r="N1624" cm="1">
        <f t="array" aca="1" ref="N1624" ca="1">INDIRECT("Data!H" &amp; 1619)</f>
        <v>0</v>
      </c>
      <c r="O1624" cm="1">
        <f t="array" aca="1" ref="O1624" ca="1">INDIRECT("Data!I" &amp; 1619)</f>
        <v>0</v>
      </c>
      <c r="P1624" s="21" cm="1">
        <f t="array" aca="1" ref="P1624" ca="1">INDIRECT("Data!J" &amp; 1619)</f>
        <v>0</v>
      </c>
      <c r="Q1624" cm="1">
        <f t="array" aca="1" ref="Q1624" ca="1">INDIRECT("Data!K" &amp; 1619)</f>
        <v>0</v>
      </c>
      <c r="R1624" cm="1">
        <f t="array" aca="1" ref="R1624" ca="1">INDIRECT("Data!L" &amp; 1619)</f>
        <v>0</v>
      </c>
      <c r="S1624" cm="1">
        <f t="array" aca="1" ref="S1624" ca="1">INDIRECT("Data!M" &amp; 1619)</f>
        <v>0</v>
      </c>
      <c r="T1624" cm="1">
        <f t="array" aca="1" ref="T1624" ca="1">INDIRECT("Data!N" &amp; 1619)</f>
        <v>0</v>
      </c>
      <c r="U1624" cm="1">
        <f t="array" aca="1" ref="U1624" ca="1">INDIRECT("Data!O" &amp; 1619)</f>
        <v>0</v>
      </c>
      <c r="V1624" cm="1">
        <f t="array" aca="1" ref="V1624" ca="1">INDIRECT("Data!P" &amp; 1619)</f>
        <v>0</v>
      </c>
    </row>
    <row r="1625" spans="7:22" x14ac:dyDescent="0.25">
      <c r="G1625" cm="1">
        <f t="array" aca="1" ref="G1625" ca="1">INDIRECT("Data!A" &amp; 1620)</f>
        <v>0</v>
      </c>
      <c r="H1625" s="21" cm="1">
        <f t="array" aca="1" ref="H1625" ca="1">INDIRECT("Data!B" &amp; 1620)</f>
        <v>0</v>
      </c>
      <c r="I1625" s="21" cm="1">
        <f t="array" aca="1" ref="I1625" ca="1">INDIRECT("Data!C" &amp; 1620)</f>
        <v>0</v>
      </c>
      <c r="J1625" cm="1">
        <f t="array" aca="1" ref="J1625" ca="1">INDIRECT("Data!D" &amp; 1620)</f>
        <v>0</v>
      </c>
      <c r="K1625" cm="1">
        <f t="array" aca="1" ref="K1625" ca="1">INDIRECT("Data!E" &amp; 1620)</f>
        <v>0</v>
      </c>
      <c r="L1625" cm="1">
        <f t="array" aca="1" ref="L1625" ca="1">INDIRECT("Data!F" &amp; 1620)</f>
        <v>0</v>
      </c>
      <c r="M1625" cm="1">
        <f t="array" aca="1" ref="M1625" ca="1">INDIRECT("Data!G" &amp; 1620)</f>
        <v>0</v>
      </c>
      <c r="N1625" cm="1">
        <f t="array" aca="1" ref="N1625" ca="1">INDIRECT("Data!H" &amp; 1620)</f>
        <v>0</v>
      </c>
      <c r="O1625" cm="1">
        <f t="array" aca="1" ref="O1625" ca="1">INDIRECT("Data!I" &amp; 1620)</f>
        <v>0</v>
      </c>
      <c r="P1625" s="21" cm="1">
        <f t="array" aca="1" ref="P1625" ca="1">INDIRECT("Data!J" &amp; 1620)</f>
        <v>0</v>
      </c>
      <c r="Q1625" cm="1">
        <f t="array" aca="1" ref="Q1625" ca="1">INDIRECT("Data!K" &amp; 1620)</f>
        <v>0</v>
      </c>
      <c r="R1625" cm="1">
        <f t="array" aca="1" ref="R1625" ca="1">INDIRECT("Data!L" &amp; 1620)</f>
        <v>0</v>
      </c>
      <c r="S1625" cm="1">
        <f t="array" aca="1" ref="S1625" ca="1">INDIRECT("Data!M" &amp; 1620)</f>
        <v>0</v>
      </c>
      <c r="T1625" cm="1">
        <f t="array" aca="1" ref="T1625" ca="1">INDIRECT("Data!N" &amp; 1620)</f>
        <v>0</v>
      </c>
      <c r="U1625" cm="1">
        <f t="array" aca="1" ref="U1625" ca="1">INDIRECT("Data!O" &amp; 1620)</f>
        <v>0</v>
      </c>
      <c r="V1625" cm="1">
        <f t="array" aca="1" ref="V1625" ca="1">INDIRECT("Data!P" &amp; 1620)</f>
        <v>0</v>
      </c>
    </row>
    <row r="1626" spans="7:22" x14ac:dyDescent="0.25">
      <c r="G1626" cm="1">
        <f t="array" aca="1" ref="G1626" ca="1">INDIRECT("Data!A" &amp; 1621)</f>
        <v>0</v>
      </c>
      <c r="H1626" s="21" cm="1">
        <f t="array" aca="1" ref="H1626" ca="1">INDIRECT("Data!B" &amp; 1621)</f>
        <v>0</v>
      </c>
      <c r="I1626" s="21" cm="1">
        <f t="array" aca="1" ref="I1626" ca="1">INDIRECT("Data!C" &amp; 1621)</f>
        <v>0</v>
      </c>
      <c r="J1626" cm="1">
        <f t="array" aca="1" ref="J1626" ca="1">INDIRECT("Data!D" &amp; 1621)</f>
        <v>0</v>
      </c>
      <c r="K1626" cm="1">
        <f t="array" aca="1" ref="K1626" ca="1">INDIRECT("Data!E" &amp; 1621)</f>
        <v>0</v>
      </c>
      <c r="L1626" cm="1">
        <f t="array" aca="1" ref="L1626" ca="1">INDIRECT("Data!F" &amp; 1621)</f>
        <v>0</v>
      </c>
      <c r="M1626" cm="1">
        <f t="array" aca="1" ref="M1626" ca="1">INDIRECT("Data!G" &amp; 1621)</f>
        <v>0</v>
      </c>
      <c r="N1626" cm="1">
        <f t="array" aca="1" ref="N1626" ca="1">INDIRECT("Data!H" &amp; 1621)</f>
        <v>0</v>
      </c>
      <c r="O1626" cm="1">
        <f t="array" aca="1" ref="O1626" ca="1">INDIRECT("Data!I" &amp; 1621)</f>
        <v>0</v>
      </c>
      <c r="P1626" s="21" cm="1">
        <f t="array" aca="1" ref="P1626" ca="1">INDIRECT("Data!J" &amp; 1621)</f>
        <v>0</v>
      </c>
      <c r="Q1626" cm="1">
        <f t="array" aca="1" ref="Q1626" ca="1">INDIRECT("Data!K" &amp; 1621)</f>
        <v>0</v>
      </c>
      <c r="R1626" cm="1">
        <f t="array" aca="1" ref="R1626" ca="1">INDIRECT("Data!L" &amp; 1621)</f>
        <v>0</v>
      </c>
      <c r="S1626" cm="1">
        <f t="array" aca="1" ref="S1626" ca="1">INDIRECT("Data!M" &amp; 1621)</f>
        <v>0</v>
      </c>
      <c r="T1626" cm="1">
        <f t="array" aca="1" ref="T1626" ca="1">INDIRECT("Data!N" &amp; 1621)</f>
        <v>0</v>
      </c>
      <c r="U1626" cm="1">
        <f t="array" aca="1" ref="U1626" ca="1">INDIRECT("Data!O" &amp; 1621)</f>
        <v>0</v>
      </c>
      <c r="V1626" cm="1">
        <f t="array" aca="1" ref="V1626" ca="1">INDIRECT("Data!P" &amp; 1621)</f>
        <v>0</v>
      </c>
    </row>
    <row r="1627" spans="7:22" x14ac:dyDescent="0.25">
      <c r="G1627" cm="1">
        <f t="array" aca="1" ref="G1627" ca="1">INDIRECT("Data!A" &amp; 1622)</f>
        <v>0</v>
      </c>
      <c r="H1627" s="21" cm="1">
        <f t="array" aca="1" ref="H1627" ca="1">INDIRECT("Data!B" &amp; 1622)</f>
        <v>0</v>
      </c>
      <c r="I1627" s="21" cm="1">
        <f t="array" aca="1" ref="I1627" ca="1">INDIRECT("Data!C" &amp; 1622)</f>
        <v>0</v>
      </c>
      <c r="J1627" cm="1">
        <f t="array" aca="1" ref="J1627" ca="1">INDIRECT("Data!D" &amp; 1622)</f>
        <v>0</v>
      </c>
      <c r="K1627" cm="1">
        <f t="array" aca="1" ref="K1627" ca="1">INDIRECT("Data!E" &amp; 1622)</f>
        <v>0</v>
      </c>
      <c r="L1627" cm="1">
        <f t="array" aca="1" ref="L1627" ca="1">INDIRECT("Data!F" &amp; 1622)</f>
        <v>0</v>
      </c>
      <c r="M1627" cm="1">
        <f t="array" aca="1" ref="M1627" ca="1">INDIRECT("Data!G" &amp; 1622)</f>
        <v>0</v>
      </c>
      <c r="N1627" cm="1">
        <f t="array" aca="1" ref="N1627" ca="1">INDIRECT("Data!H" &amp; 1622)</f>
        <v>0</v>
      </c>
      <c r="O1627" cm="1">
        <f t="array" aca="1" ref="O1627" ca="1">INDIRECT("Data!I" &amp; 1622)</f>
        <v>0</v>
      </c>
      <c r="P1627" s="21" cm="1">
        <f t="array" aca="1" ref="P1627" ca="1">INDIRECT("Data!J" &amp; 1622)</f>
        <v>0</v>
      </c>
      <c r="Q1627" cm="1">
        <f t="array" aca="1" ref="Q1627" ca="1">INDIRECT("Data!K" &amp; 1622)</f>
        <v>0</v>
      </c>
      <c r="R1627" cm="1">
        <f t="array" aca="1" ref="R1627" ca="1">INDIRECT("Data!L" &amp; 1622)</f>
        <v>0</v>
      </c>
      <c r="S1627" cm="1">
        <f t="array" aca="1" ref="S1627" ca="1">INDIRECT("Data!M" &amp; 1622)</f>
        <v>0</v>
      </c>
      <c r="T1627" cm="1">
        <f t="array" aca="1" ref="T1627" ca="1">INDIRECT("Data!N" &amp; 1622)</f>
        <v>0</v>
      </c>
      <c r="U1627" cm="1">
        <f t="array" aca="1" ref="U1627" ca="1">INDIRECT("Data!O" &amp; 1622)</f>
        <v>0</v>
      </c>
      <c r="V1627" cm="1">
        <f t="array" aca="1" ref="V1627" ca="1">INDIRECT("Data!P" &amp; 1622)</f>
        <v>0</v>
      </c>
    </row>
    <row r="1628" spans="7:22" x14ac:dyDescent="0.25">
      <c r="G1628" cm="1">
        <f t="array" aca="1" ref="G1628" ca="1">INDIRECT("Data!A" &amp; 1623)</f>
        <v>0</v>
      </c>
      <c r="H1628" s="21" cm="1">
        <f t="array" aca="1" ref="H1628" ca="1">INDIRECT("Data!B" &amp; 1623)</f>
        <v>0</v>
      </c>
      <c r="I1628" s="21" cm="1">
        <f t="array" aca="1" ref="I1628" ca="1">INDIRECT("Data!C" &amp; 1623)</f>
        <v>0</v>
      </c>
      <c r="J1628" cm="1">
        <f t="array" aca="1" ref="J1628" ca="1">INDIRECT("Data!D" &amp; 1623)</f>
        <v>0</v>
      </c>
      <c r="K1628" cm="1">
        <f t="array" aca="1" ref="K1628" ca="1">INDIRECT("Data!E" &amp; 1623)</f>
        <v>0</v>
      </c>
      <c r="L1628" cm="1">
        <f t="array" aca="1" ref="L1628" ca="1">INDIRECT("Data!F" &amp; 1623)</f>
        <v>0</v>
      </c>
      <c r="M1628" cm="1">
        <f t="array" aca="1" ref="M1628" ca="1">INDIRECT("Data!G" &amp; 1623)</f>
        <v>0</v>
      </c>
      <c r="N1628" cm="1">
        <f t="array" aca="1" ref="N1628" ca="1">INDIRECT("Data!H" &amp; 1623)</f>
        <v>0</v>
      </c>
      <c r="O1628" cm="1">
        <f t="array" aca="1" ref="O1628" ca="1">INDIRECT("Data!I" &amp; 1623)</f>
        <v>0</v>
      </c>
      <c r="P1628" s="21" cm="1">
        <f t="array" aca="1" ref="P1628" ca="1">INDIRECT("Data!J" &amp; 1623)</f>
        <v>0</v>
      </c>
      <c r="Q1628" cm="1">
        <f t="array" aca="1" ref="Q1628" ca="1">INDIRECT("Data!K" &amp; 1623)</f>
        <v>0</v>
      </c>
      <c r="R1628" cm="1">
        <f t="array" aca="1" ref="R1628" ca="1">INDIRECT("Data!L" &amp; 1623)</f>
        <v>0</v>
      </c>
      <c r="S1628" cm="1">
        <f t="array" aca="1" ref="S1628" ca="1">INDIRECT("Data!M" &amp; 1623)</f>
        <v>0</v>
      </c>
      <c r="T1628" cm="1">
        <f t="array" aca="1" ref="T1628" ca="1">INDIRECT("Data!N" &amp; 1623)</f>
        <v>0</v>
      </c>
      <c r="U1628" cm="1">
        <f t="array" aca="1" ref="U1628" ca="1">INDIRECT("Data!O" &amp; 1623)</f>
        <v>0</v>
      </c>
      <c r="V1628" cm="1">
        <f t="array" aca="1" ref="V1628" ca="1">INDIRECT("Data!P" &amp; 1623)</f>
        <v>0</v>
      </c>
    </row>
    <row r="1629" spans="7:22" x14ac:dyDescent="0.25">
      <c r="G1629" cm="1">
        <f t="array" aca="1" ref="G1629" ca="1">INDIRECT("Data!A" &amp; 1624)</f>
        <v>0</v>
      </c>
      <c r="H1629" s="21" cm="1">
        <f t="array" aca="1" ref="H1629" ca="1">INDIRECT("Data!B" &amp; 1624)</f>
        <v>0</v>
      </c>
      <c r="I1629" s="21" cm="1">
        <f t="array" aca="1" ref="I1629" ca="1">INDIRECT("Data!C" &amp; 1624)</f>
        <v>0</v>
      </c>
      <c r="J1629" cm="1">
        <f t="array" aca="1" ref="J1629" ca="1">INDIRECT("Data!D" &amp; 1624)</f>
        <v>0</v>
      </c>
      <c r="K1629" cm="1">
        <f t="array" aca="1" ref="K1629" ca="1">INDIRECT("Data!E" &amp; 1624)</f>
        <v>0</v>
      </c>
      <c r="L1629" cm="1">
        <f t="array" aca="1" ref="L1629" ca="1">INDIRECT("Data!F" &amp; 1624)</f>
        <v>0</v>
      </c>
      <c r="M1629" cm="1">
        <f t="array" aca="1" ref="M1629" ca="1">INDIRECT("Data!G" &amp; 1624)</f>
        <v>0</v>
      </c>
      <c r="N1629" cm="1">
        <f t="array" aca="1" ref="N1629" ca="1">INDIRECT("Data!H" &amp; 1624)</f>
        <v>0</v>
      </c>
      <c r="O1629" cm="1">
        <f t="array" aca="1" ref="O1629" ca="1">INDIRECT("Data!I" &amp; 1624)</f>
        <v>0</v>
      </c>
      <c r="P1629" s="21" cm="1">
        <f t="array" aca="1" ref="P1629" ca="1">INDIRECT("Data!J" &amp; 1624)</f>
        <v>0</v>
      </c>
      <c r="Q1629" cm="1">
        <f t="array" aca="1" ref="Q1629" ca="1">INDIRECT("Data!K" &amp; 1624)</f>
        <v>0</v>
      </c>
      <c r="R1629" cm="1">
        <f t="array" aca="1" ref="R1629" ca="1">INDIRECT("Data!L" &amp; 1624)</f>
        <v>0</v>
      </c>
      <c r="S1629" cm="1">
        <f t="array" aca="1" ref="S1629" ca="1">INDIRECT("Data!M" &amp; 1624)</f>
        <v>0</v>
      </c>
      <c r="T1629" cm="1">
        <f t="array" aca="1" ref="T1629" ca="1">INDIRECT("Data!N" &amp; 1624)</f>
        <v>0</v>
      </c>
      <c r="U1629" cm="1">
        <f t="array" aca="1" ref="U1629" ca="1">INDIRECT("Data!O" &amp; 1624)</f>
        <v>0</v>
      </c>
      <c r="V1629" cm="1">
        <f t="array" aca="1" ref="V1629" ca="1">INDIRECT("Data!P" &amp; 1624)</f>
        <v>0</v>
      </c>
    </row>
    <row r="1630" spans="7:22" x14ac:dyDescent="0.25">
      <c r="G1630" cm="1">
        <f t="array" aca="1" ref="G1630" ca="1">INDIRECT("Data!A" &amp; 1625)</f>
        <v>0</v>
      </c>
      <c r="H1630" s="21" cm="1">
        <f t="array" aca="1" ref="H1630" ca="1">INDIRECT("Data!B" &amp; 1625)</f>
        <v>0</v>
      </c>
      <c r="I1630" s="21" cm="1">
        <f t="array" aca="1" ref="I1630" ca="1">INDIRECT("Data!C" &amp; 1625)</f>
        <v>0</v>
      </c>
      <c r="J1630" cm="1">
        <f t="array" aca="1" ref="J1630" ca="1">INDIRECT("Data!D" &amp; 1625)</f>
        <v>0</v>
      </c>
      <c r="K1630" cm="1">
        <f t="array" aca="1" ref="K1630" ca="1">INDIRECT("Data!E" &amp; 1625)</f>
        <v>0</v>
      </c>
      <c r="L1630" cm="1">
        <f t="array" aca="1" ref="L1630" ca="1">INDIRECT("Data!F" &amp; 1625)</f>
        <v>0</v>
      </c>
      <c r="M1630" cm="1">
        <f t="array" aca="1" ref="M1630" ca="1">INDIRECT("Data!G" &amp; 1625)</f>
        <v>0</v>
      </c>
      <c r="N1630" cm="1">
        <f t="array" aca="1" ref="N1630" ca="1">INDIRECT("Data!H" &amp; 1625)</f>
        <v>0</v>
      </c>
      <c r="O1630" cm="1">
        <f t="array" aca="1" ref="O1630" ca="1">INDIRECT("Data!I" &amp; 1625)</f>
        <v>0</v>
      </c>
      <c r="P1630" s="21" cm="1">
        <f t="array" aca="1" ref="P1630" ca="1">INDIRECT("Data!J" &amp; 1625)</f>
        <v>0</v>
      </c>
      <c r="Q1630" cm="1">
        <f t="array" aca="1" ref="Q1630" ca="1">INDIRECT("Data!K" &amp; 1625)</f>
        <v>0</v>
      </c>
      <c r="R1630" cm="1">
        <f t="array" aca="1" ref="R1630" ca="1">INDIRECT("Data!L" &amp; 1625)</f>
        <v>0</v>
      </c>
      <c r="S1630" cm="1">
        <f t="array" aca="1" ref="S1630" ca="1">INDIRECT("Data!M" &amp; 1625)</f>
        <v>0</v>
      </c>
      <c r="T1630" cm="1">
        <f t="array" aca="1" ref="T1630" ca="1">INDIRECT("Data!N" &amp; 1625)</f>
        <v>0</v>
      </c>
      <c r="U1630" cm="1">
        <f t="array" aca="1" ref="U1630" ca="1">INDIRECT("Data!O" &amp; 1625)</f>
        <v>0</v>
      </c>
      <c r="V1630" cm="1">
        <f t="array" aca="1" ref="V1630" ca="1">INDIRECT("Data!P" &amp; 1625)</f>
        <v>0</v>
      </c>
    </row>
    <row r="1631" spans="7:22" x14ac:dyDescent="0.25">
      <c r="G1631" cm="1">
        <f t="array" aca="1" ref="G1631" ca="1">INDIRECT("Data!A" &amp; 1626)</f>
        <v>0</v>
      </c>
      <c r="H1631" s="21" cm="1">
        <f t="array" aca="1" ref="H1631" ca="1">INDIRECT("Data!B" &amp; 1626)</f>
        <v>0</v>
      </c>
      <c r="I1631" s="21" cm="1">
        <f t="array" aca="1" ref="I1631" ca="1">INDIRECT("Data!C" &amp; 1626)</f>
        <v>0</v>
      </c>
      <c r="J1631" cm="1">
        <f t="array" aca="1" ref="J1631" ca="1">INDIRECT("Data!D" &amp; 1626)</f>
        <v>0</v>
      </c>
      <c r="K1631" cm="1">
        <f t="array" aca="1" ref="K1631" ca="1">INDIRECT("Data!E" &amp; 1626)</f>
        <v>0</v>
      </c>
      <c r="L1631" cm="1">
        <f t="array" aca="1" ref="L1631" ca="1">INDIRECT("Data!F" &amp; 1626)</f>
        <v>0</v>
      </c>
      <c r="M1631" cm="1">
        <f t="array" aca="1" ref="M1631" ca="1">INDIRECT("Data!G" &amp; 1626)</f>
        <v>0</v>
      </c>
      <c r="N1631" cm="1">
        <f t="array" aca="1" ref="N1631" ca="1">INDIRECT("Data!H" &amp; 1626)</f>
        <v>0</v>
      </c>
      <c r="O1631" cm="1">
        <f t="array" aca="1" ref="O1631" ca="1">INDIRECT("Data!I" &amp; 1626)</f>
        <v>0</v>
      </c>
      <c r="P1631" s="21" cm="1">
        <f t="array" aca="1" ref="P1631" ca="1">INDIRECT("Data!J" &amp; 1626)</f>
        <v>0</v>
      </c>
      <c r="Q1631" cm="1">
        <f t="array" aca="1" ref="Q1631" ca="1">INDIRECT("Data!K" &amp; 1626)</f>
        <v>0</v>
      </c>
      <c r="R1631" cm="1">
        <f t="array" aca="1" ref="R1631" ca="1">INDIRECT("Data!L" &amp; 1626)</f>
        <v>0</v>
      </c>
      <c r="S1631" cm="1">
        <f t="array" aca="1" ref="S1631" ca="1">INDIRECT("Data!M" &amp; 1626)</f>
        <v>0</v>
      </c>
      <c r="T1631" cm="1">
        <f t="array" aca="1" ref="T1631" ca="1">INDIRECT("Data!N" &amp; 1626)</f>
        <v>0</v>
      </c>
      <c r="U1631" cm="1">
        <f t="array" aca="1" ref="U1631" ca="1">INDIRECT("Data!O" &amp; 1626)</f>
        <v>0</v>
      </c>
      <c r="V1631" cm="1">
        <f t="array" aca="1" ref="V1631" ca="1">INDIRECT("Data!P" &amp; 1626)</f>
        <v>0</v>
      </c>
    </row>
    <row r="1632" spans="7:22" x14ac:dyDescent="0.25">
      <c r="G1632" cm="1">
        <f t="array" aca="1" ref="G1632" ca="1">INDIRECT("Data!A" &amp; 1627)</f>
        <v>0</v>
      </c>
      <c r="H1632" s="21" cm="1">
        <f t="array" aca="1" ref="H1632" ca="1">INDIRECT("Data!B" &amp; 1627)</f>
        <v>0</v>
      </c>
      <c r="I1632" s="21" cm="1">
        <f t="array" aca="1" ref="I1632" ca="1">INDIRECT("Data!C" &amp; 1627)</f>
        <v>0</v>
      </c>
      <c r="J1632" cm="1">
        <f t="array" aca="1" ref="J1632" ca="1">INDIRECT("Data!D" &amp; 1627)</f>
        <v>0</v>
      </c>
      <c r="K1632" cm="1">
        <f t="array" aca="1" ref="K1632" ca="1">INDIRECT("Data!E" &amp; 1627)</f>
        <v>0</v>
      </c>
      <c r="L1632" cm="1">
        <f t="array" aca="1" ref="L1632" ca="1">INDIRECT("Data!F" &amp; 1627)</f>
        <v>0</v>
      </c>
      <c r="M1632" cm="1">
        <f t="array" aca="1" ref="M1632" ca="1">INDIRECT("Data!G" &amp; 1627)</f>
        <v>0</v>
      </c>
      <c r="N1632" cm="1">
        <f t="array" aca="1" ref="N1632" ca="1">INDIRECT("Data!H" &amp; 1627)</f>
        <v>0</v>
      </c>
      <c r="O1632" cm="1">
        <f t="array" aca="1" ref="O1632" ca="1">INDIRECT("Data!I" &amp; 1627)</f>
        <v>0</v>
      </c>
      <c r="P1632" s="21" cm="1">
        <f t="array" aca="1" ref="P1632" ca="1">INDIRECT("Data!J" &amp; 1627)</f>
        <v>0</v>
      </c>
      <c r="Q1632" cm="1">
        <f t="array" aca="1" ref="Q1632" ca="1">INDIRECT("Data!K" &amp; 1627)</f>
        <v>0</v>
      </c>
      <c r="R1632" cm="1">
        <f t="array" aca="1" ref="R1632" ca="1">INDIRECT("Data!L" &amp; 1627)</f>
        <v>0</v>
      </c>
      <c r="S1632" cm="1">
        <f t="array" aca="1" ref="S1632" ca="1">INDIRECT("Data!M" &amp; 1627)</f>
        <v>0</v>
      </c>
      <c r="T1632" cm="1">
        <f t="array" aca="1" ref="T1632" ca="1">INDIRECT("Data!N" &amp; 1627)</f>
        <v>0</v>
      </c>
      <c r="U1632" cm="1">
        <f t="array" aca="1" ref="U1632" ca="1">INDIRECT("Data!O" &amp; 1627)</f>
        <v>0</v>
      </c>
      <c r="V1632" cm="1">
        <f t="array" aca="1" ref="V1632" ca="1">INDIRECT("Data!P" &amp; 1627)</f>
        <v>0</v>
      </c>
    </row>
    <row r="1633" spans="7:22" x14ac:dyDescent="0.25">
      <c r="G1633" cm="1">
        <f t="array" aca="1" ref="G1633" ca="1">INDIRECT("Data!A" &amp; 1628)</f>
        <v>0</v>
      </c>
      <c r="H1633" s="21" cm="1">
        <f t="array" aca="1" ref="H1633" ca="1">INDIRECT("Data!B" &amp; 1628)</f>
        <v>0</v>
      </c>
      <c r="I1633" s="21" cm="1">
        <f t="array" aca="1" ref="I1633" ca="1">INDIRECT("Data!C" &amp; 1628)</f>
        <v>0</v>
      </c>
      <c r="J1633" cm="1">
        <f t="array" aca="1" ref="J1633" ca="1">INDIRECT("Data!D" &amp; 1628)</f>
        <v>0</v>
      </c>
      <c r="K1633" cm="1">
        <f t="array" aca="1" ref="K1633" ca="1">INDIRECT("Data!E" &amp; 1628)</f>
        <v>0</v>
      </c>
      <c r="L1633" cm="1">
        <f t="array" aca="1" ref="L1633" ca="1">INDIRECT("Data!F" &amp; 1628)</f>
        <v>0</v>
      </c>
      <c r="M1633" cm="1">
        <f t="array" aca="1" ref="M1633" ca="1">INDIRECT("Data!G" &amp; 1628)</f>
        <v>0</v>
      </c>
      <c r="N1633" cm="1">
        <f t="array" aca="1" ref="N1633" ca="1">INDIRECT("Data!H" &amp; 1628)</f>
        <v>0</v>
      </c>
      <c r="O1633" cm="1">
        <f t="array" aca="1" ref="O1633" ca="1">INDIRECT("Data!I" &amp; 1628)</f>
        <v>0</v>
      </c>
      <c r="P1633" s="21" cm="1">
        <f t="array" aca="1" ref="P1633" ca="1">INDIRECT("Data!J" &amp; 1628)</f>
        <v>0</v>
      </c>
      <c r="Q1633" cm="1">
        <f t="array" aca="1" ref="Q1633" ca="1">INDIRECT("Data!K" &amp; 1628)</f>
        <v>0</v>
      </c>
      <c r="R1633" cm="1">
        <f t="array" aca="1" ref="R1633" ca="1">INDIRECT("Data!L" &amp; 1628)</f>
        <v>0</v>
      </c>
      <c r="S1633" cm="1">
        <f t="array" aca="1" ref="S1633" ca="1">INDIRECT("Data!M" &amp; 1628)</f>
        <v>0</v>
      </c>
      <c r="T1633" cm="1">
        <f t="array" aca="1" ref="T1633" ca="1">INDIRECT("Data!N" &amp; 1628)</f>
        <v>0</v>
      </c>
      <c r="U1633" cm="1">
        <f t="array" aca="1" ref="U1633" ca="1">INDIRECT("Data!O" &amp; 1628)</f>
        <v>0</v>
      </c>
      <c r="V1633" cm="1">
        <f t="array" aca="1" ref="V1633" ca="1">INDIRECT("Data!P" &amp; 1628)</f>
        <v>0</v>
      </c>
    </row>
    <row r="1634" spans="7:22" x14ac:dyDescent="0.25">
      <c r="G1634" cm="1">
        <f t="array" aca="1" ref="G1634" ca="1">INDIRECT("Data!A" &amp; 1629)</f>
        <v>0</v>
      </c>
      <c r="H1634" s="21" cm="1">
        <f t="array" aca="1" ref="H1634" ca="1">INDIRECT("Data!B" &amp; 1629)</f>
        <v>0</v>
      </c>
      <c r="I1634" s="21" cm="1">
        <f t="array" aca="1" ref="I1634" ca="1">INDIRECT("Data!C" &amp; 1629)</f>
        <v>0</v>
      </c>
      <c r="J1634" cm="1">
        <f t="array" aca="1" ref="J1634" ca="1">INDIRECT("Data!D" &amp; 1629)</f>
        <v>0</v>
      </c>
      <c r="K1634" cm="1">
        <f t="array" aca="1" ref="K1634" ca="1">INDIRECT("Data!E" &amp; 1629)</f>
        <v>0</v>
      </c>
      <c r="L1634" cm="1">
        <f t="array" aca="1" ref="L1634" ca="1">INDIRECT("Data!F" &amp; 1629)</f>
        <v>0</v>
      </c>
      <c r="M1634" cm="1">
        <f t="array" aca="1" ref="M1634" ca="1">INDIRECT("Data!G" &amp; 1629)</f>
        <v>0</v>
      </c>
      <c r="N1634" cm="1">
        <f t="array" aca="1" ref="N1634" ca="1">INDIRECT("Data!H" &amp; 1629)</f>
        <v>0</v>
      </c>
      <c r="O1634" cm="1">
        <f t="array" aca="1" ref="O1634" ca="1">INDIRECT("Data!I" &amp; 1629)</f>
        <v>0</v>
      </c>
      <c r="P1634" s="21" cm="1">
        <f t="array" aca="1" ref="P1634" ca="1">INDIRECT("Data!J" &amp; 1629)</f>
        <v>0</v>
      </c>
      <c r="Q1634" cm="1">
        <f t="array" aca="1" ref="Q1634" ca="1">INDIRECT("Data!K" &amp; 1629)</f>
        <v>0</v>
      </c>
      <c r="R1634" cm="1">
        <f t="array" aca="1" ref="R1634" ca="1">INDIRECT("Data!L" &amp; 1629)</f>
        <v>0</v>
      </c>
      <c r="S1634" cm="1">
        <f t="array" aca="1" ref="S1634" ca="1">INDIRECT("Data!M" &amp; 1629)</f>
        <v>0</v>
      </c>
      <c r="T1634" cm="1">
        <f t="array" aca="1" ref="T1634" ca="1">INDIRECT("Data!N" &amp; 1629)</f>
        <v>0</v>
      </c>
      <c r="U1634" cm="1">
        <f t="array" aca="1" ref="U1634" ca="1">INDIRECT("Data!O" &amp; 1629)</f>
        <v>0</v>
      </c>
      <c r="V1634" cm="1">
        <f t="array" aca="1" ref="V1634" ca="1">INDIRECT("Data!P" &amp; 1629)</f>
        <v>0</v>
      </c>
    </row>
    <row r="1635" spans="7:22" x14ac:dyDescent="0.25">
      <c r="G1635" cm="1">
        <f t="array" aca="1" ref="G1635" ca="1">INDIRECT("Data!A" &amp; 1630)</f>
        <v>0</v>
      </c>
      <c r="H1635" s="21" cm="1">
        <f t="array" aca="1" ref="H1635" ca="1">INDIRECT("Data!B" &amp; 1630)</f>
        <v>0</v>
      </c>
      <c r="I1635" s="21" cm="1">
        <f t="array" aca="1" ref="I1635" ca="1">INDIRECT("Data!C" &amp; 1630)</f>
        <v>0</v>
      </c>
      <c r="J1635" cm="1">
        <f t="array" aca="1" ref="J1635" ca="1">INDIRECT("Data!D" &amp; 1630)</f>
        <v>0</v>
      </c>
      <c r="K1635" cm="1">
        <f t="array" aca="1" ref="K1635" ca="1">INDIRECT("Data!E" &amp; 1630)</f>
        <v>0</v>
      </c>
      <c r="L1635" cm="1">
        <f t="array" aca="1" ref="L1635" ca="1">INDIRECT("Data!F" &amp; 1630)</f>
        <v>0</v>
      </c>
      <c r="M1635" cm="1">
        <f t="array" aca="1" ref="M1635" ca="1">INDIRECT("Data!G" &amp; 1630)</f>
        <v>0</v>
      </c>
      <c r="N1635" cm="1">
        <f t="array" aca="1" ref="N1635" ca="1">INDIRECT("Data!H" &amp; 1630)</f>
        <v>0</v>
      </c>
      <c r="O1635" cm="1">
        <f t="array" aca="1" ref="O1635" ca="1">INDIRECT("Data!I" &amp; 1630)</f>
        <v>0</v>
      </c>
      <c r="P1635" s="21" cm="1">
        <f t="array" aca="1" ref="P1635" ca="1">INDIRECT("Data!J" &amp; 1630)</f>
        <v>0</v>
      </c>
      <c r="Q1635" cm="1">
        <f t="array" aca="1" ref="Q1635" ca="1">INDIRECT("Data!K" &amp; 1630)</f>
        <v>0</v>
      </c>
      <c r="R1635" cm="1">
        <f t="array" aca="1" ref="R1635" ca="1">INDIRECT("Data!L" &amp; 1630)</f>
        <v>0</v>
      </c>
      <c r="S1635" cm="1">
        <f t="array" aca="1" ref="S1635" ca="1">INDIRECT("Data!M" &amp; 1630)</f>
        <v>0</v>
      </c>
      <c r="T1635" cm="1">
        <f t="array" aca="1" ref="T1635" ca="1">INDIRECT("Data!N" &amp; 1630)</f>
        <v>0</v>
      </c>
      <c r="U1635" cm="1">
        <f t="array" aca="1" ref="U1635" ca="1">INDIRECT("Data!O" &amp; 1630)</f>
        <v>0</v>
      </c>
      <c r="V1635" cm="1">
        <f t="array" aca="1" ref="V1635" ca="1">INDIRECT("Data!P" &amp; 1630)</f>
        <v>0</v>
      </c>
    </row>
    <row r="1636" spans="7:22" x14ac:dyDescent="0.25">
      <c r="G1636" cm="1">
        <f t="array" aca="1" ref="G1636" ca="1">INDIRECT("Data!A" &amp; 1631)</f>
        <v>0</v>
      </c>
      <c r="H1636" s="21" cm="1">
        <f t="array" aca="1" ref="H1636" ca="1">INDIRECT("Data!B" &amp; 1631)</f>
        <v>0</v>
      </c>
      <c r="I1636" s="21" cm="1">
        <f t="array" aca="1" ref="I1636" ca="1">INDIRECT("Data!C" &amp; 1631)</f>
        <v>0</v>
      </c>
      <c r="J1636" cm="1">
        <f t="array" aca="1" ref="J1636" ca="1">INDIRECT("Data!D" &amp; 1631)</f>
        <v>0</v>
      </c>
      <c r="K1636" cm="1">
        <f t="array" aca="1" ref="K1636" ca="1">INDIRECT("Data!E" &amp; 1631)</f>
        <v>0</v>
      </c>
      <c r="L1636" cm="1">
        <f t="array" aca="1" ref="L1636" ca="1">INDIRECT("Data!F" &amp; 1631)</f>
        <v>0</v>
      </c>
      <c r="M1636" cm="1">
        <f t="array" aca="1" ref="M1636" ca="1">INDIRECT("Data!G" &amp; 1631)</f>
        <v>0</v>
      </c>
      <c r="N1636" cm="1">
        <f t="array" aca="1" ref="N1636" ca="1">INDIRECT("Data!H" &amp; 1631)</f>
        <v>0</v>
      </c>
      <c r="O1636" cm="1">
        <f t="array" aca="1" ref="O1636" ca="1">INDIRECT("Data!I" &amp; 1631)</f>
        <v>0</v>
      </c>
      <c r="P1636" s="21" cm="1">
        <f t="array" aca="1" ref="P1636" ca="1">INDIRECT("Data!J" &amp; 1631)</f>
        <v>0</v>
      </c>
      <c r="Q1636" cm="1">
        <f t="array" aca="1" ref="Q1636" ca="1">INDIRECT("Data!K" &amp; 1631)</f>
        <v>0</v>
      </c>
      <c r="R1636" cm="1">
        <f t="array" aca="1" ref="R1636" ca="1">INDIRECT("Data!L" &amp; 1631)</f>
        <v>0</v>
      </c>
      <c r="S1636" cm="1">
        <f t="array" aca="1" ref="S1636" ca="1">INDIRECT("Data!M" &amp; 1631)</f>
        <v>0</v>
      </c>
      <c r="T1636" cm="1">
        <f t="array" aca="1" ref="T1636" ca="1">INDIRECT("Data!N" &amp; 1631)</f>
        <v>0</v>
      </c>
      <c r="U1636" cm="1">
        <f t="array" aca="1" ref="U1636" ca="1">INDIRECT("Data!O" &amp; 1631)</f>
        <v>0</v>
      </c>
      <c r="V1636" cm="1">
        <f t="array" aca="1" ref="V1636" ca="1">INDIRECT("Data!P" &amp; 1631)</f>
        <v>0</v>
      </c>
    </row>
    <row r="1637" spans="7:22" x14ac:dyDescent="0.25">
      <c r="G1637" cm="1">
        <f t="array" aca="1" ref="G1637" ca="1">INDIRECT("Data!A" &amp; 1632)</f>
        <v>0</v>
      </c>
      <c r="H1637" s="21" cm="1">
        <f t="array" aca="1" ref="H1637" ca="1">INDIRECT("Data!B" &amp; 1632)</f>
        <v>0</v>
      </c>
      <c r="I1637" s="21" cm="1">
        <f t="array" aca="1" ref="I1637" ca="1">INDIRECT("Data!C" &amp; 1632)</f>
        <v>0</v>
      </c>
      <c r="J1637" cm="1">
        <f t="array" aca="1" ref="J1637" ca="1">INDIRECT("Data!D" &amp; 1632)</f>
        <v>0</v>
      </c>
      <c r="K1637" cm="1">
        <f t="array" aca="1" ref="K1637" ca="1">INDIRECT("Data!E" &amp; 1632)</f>
        <v>0</v>
      </c>
      <c r="L1637" cm="1">
        <f t="array" aca="1" ref="L1637" ca="1">INDIRECT("Data!F" &amp; 1632)</f>
        <v>0</v>
      </c>
      <c r="M1637" cm="1">
        <f t="array" aca="1" ref="M1637" ca="1">INDIRECT("Data!G" &amp; 1632)</f>
        <v>0</v>
      </c>
      <c r="N1637" cm="1">
        <f t="array" aca="1" ref="N1637" ca="1">INDIRECT("Data!H" &amp; 1632)</f>
        <v>0</v>
      </c>
      <c r="O1637" cm="1">
        <f t="array" aca="1" ref="O1637" ca="1">INDIRECT("Data!I" &amp; 1632)</f>
        <v>0</v>
      </c>
      <c r="P1637" s="21" cm="1">
        <f t="array" aca="1" ref="P1637" ca="1">INDIRECT("Data!J" &amp; 1632)</f>
        <v>0</v>
      </c>
      <c r="Q1637" cm="1">
        <f t="array" aca="1" ref="Q1637" ca="1">INDIRECT("Data!K" &amp; 1632)</f>
        <v>0</v>
      </c>
      <c r="R1637" cm="1">
        <f t="array" aca="1" ref="R1637" ca="1">INDIRECT("Data!L" &amp; 1632)</f>
        <v>0</v>
      </c>
      <c r="S1637" cm="1">
        <f t="array" aca="1" ref="S1637" ca="1">INDIRECT("Data!M" &amp; 1632)</f>
        <v>0</v>
      </c>
      <c r="T1637" cm="1">
        <f t="array" aca="1" ref="T1637" ca="1">INDIRECT("Data!N" &amp; 1632)</f>
        <v>0</v>
      </c>
      <c r="U1637" cm="1">
        <f t="array" aca="1" ref="U1637" ca="1">INDIRECT("Data!O" &amp; 1632)</f>
        <v>0</v>
      </c>
      <c r="V1637" cm="1">
        <f t="array" aca="1" ref="V1637" ca="1">INDIRECT("Data!P" &amp; 1632)</f>
        <v>0</v>
      </c>
    </row>
    <row r="1638" spans="7:22" x14ac:dyDescent="0.25">
      <c r="G1638" cm="1">
        <f t="array" aca="1" ref="G1638" ca="1">INDIRECT("Data!A" &amp; 1633)</f>
        <v>0</v>
      </c>
      <c r="H1638" s="21" cm="1">
        <f t="array" aca="1" ref="H1638" ca="1">INDIRECT("Data!B" &amp; 1633)</f>
        <v>0</v>
      </c>
      <c r="I1638" s="21" cm="1">
        <f t="array" aca="1" ref="I1638" ca="1">INDIRECT("Data!C" &amp; 1633)</f>
        <v>0</v>
      </c>
      <c r="J1638" cm="1">
        <f t="array" aca="1" ref="J1638" ca="1">INDIRECT("Data!D" &amp; 1633)</f>
        <v>0</v>
      </c>
      <c r="K1638" cm="1">
        <f t="array" aca="1" ref="K1638" ca="1">INDIRECT("Data!E" &amp; 1633)</f>
        <v>0</v>
      </c>
      <c r="L1638" cm="1">
        <f t="array" aca="1" ref="L1638" ca="1">INDIRECT("Data!F" &amp; 1633)</f>
        <v>0</v>
      </c>
      <c r="M1638" cm="1">
        <f t="array" aca="1" ref="M1638" ca="1">INDIRECT("Data!G" &amp; 1633)</f>
        <v>0</v>
      </c>
      <c r="N1638" cm="1">
        <f t="array" aca="1" ref="N1638" ca="1">INDIRECT("Data!H" &amp; 1633)</f>
        <v>0</v>
      </c>
      <c r="O1638" cm="1">
        <f t="array" aca="1" ref="O1638" ca="1">INDIRECT("Data!I" &amp; 1633)</f>
        <v>0</v>
      </c>
      <c r="P1638" s="21" cm="1">
        <f t="array" aca="1" ref="P1638" ca="1">INDIRECT("Data!J" &amp; 1633)</f>
        <v>0</v>
      </c>
      <c r="Q1638" cm="1">
        <f t="array" aca="1" ref="Q1638" ca="1">INDIRECT("Data!K" &amp; 1633)</f>
        <v>0</v>
      </c>
      <c r="R1638" cm="1">
        <f t="array" aca="1" ref="R1638" ca="1">INDIRECT("Data!L" &amp; 1633)</f>
        <v>0</v>
      </c>
      <c r="S1638" cm="1">
        <f t="array" aca="1" ref="S1638" ca="1">INDIRECT("Data!M" &amp; 1633)</f>
        <v>0</v>
      </c>
      <c r="T1638" cm="1">
        <f t="array" aca="1" ref="T1638" ca="1">INDIRECT("Data!N" &amp; 1633)</f>
        <v>0</v>
      </c>
      <c r="U1638" cm="1">
        <f t="array" aca="1" ref="U1638" ca="1">INDIRECT("Data!O" &amp; 1633)</f>
        <v>0</v>
      </c>
      <c r="V1638" cm="1">
        <f t="array" aca="1" ref="V1638" ca="1">INDIRECT("Data!P" &amp; 1633)</f>
        <v>0</v>
      </c>
    </row>
    <row r="1639" spans="7:22" x14ac:dyDescent="0.25">
      <c r="G1639" cm="1">
        <f t="array" aca="1" ref="G1639" ca="1">INDIRECT("Data!A" &amp; 1634)</f>
        <v>0</v>
      </c>
      <c r="H1639" s="21" cm="1">
        <f t="array" aca="1" ref="H1639" ca="1">INDIRECT("Data!B" &amp; 1634)</f>
        <v>0</v>
      </c>
      <c r="I1639" s="21" cm="1">
        <f t="array" aca="1" ref="I1639" ca="1">INDIRECT("Data!C" &amp; 1634)</f>
        <v>0</v>
      </c>
      <c r="J1639" cm="1">
        <f t="array" aca="1" ref="J1639" ca="1">INDIRECT("Data!D" &amp; 1634)</f>
        <v>0</v>
      </c>
      <c r="K1639" cm="1">
        <f t="array" aca="1" ref="K1639" ca="1">INDIRECT("Data!E" &amp; 1634)</f>
        <v>0</v>
      </c>
      <c r="L1639" cm="1">
        <f t="array" aca="1" ref="L1639" ca="1">INDIRECT("Data!F" &amp; 1634)</f>
        <v>0</v>
      </c>
      <c r="M1639" cm="1">
        <f t="array" aca="1" ref="M1639" ca="1">INDIRECT("Data!G" &amp; 1634)</f>
        <v>0</v>
      </c>
      <c r="N1639" cm="1">
        <f t="array" aca="1" ref="N1639" ca="1">INDIRECT("Data!H" &amp; 1634)</f>
        <v>0</v>
      </c>
      <c r="O1639" cm="1">
        <f t="array" aca="1" ref="O1639" ca="1">INDIRECT("Data!I" &amp; 1634)</f>
        <v>0</v>
      </c>
      <c r="P1639" s="21" cm="1">
        <f t="array" aca="1" ref="P1639" ca="1">INDIRECT("Data!J" &amp; 1634)</f>
        <v>0</v>
      </c>
      <c r="Q1639" cm="1">
        <f t="array" aca="1" ref="Q1639" ca="1">INDIRECT("Data!K" &amp; 1634)</f>
        <v>0</v>
      </c>
      <c r="R1639" cm="1">
        <f t="array" aca="1" ref="R1639" ca="1">INDIRECT("Data!L" &amp; 1634)</f>
        <v>0</v>
      </c>
      <c r="S1639" cm="1">
        <f t="array" aca="1" ref="S1639" ca="1">INDIRECT("Data!M" &amp; 1634)</f>
        <v>0</v>
      </c>
      <c r="T1639" cm="1">
        <f t="array" aca="1" ref="T1639" ca="1">INDIRECT("Data!N" &amp; 1634)</f>
        <v>0</v>
      </c>
      <c r="U1639" cm="1">
        <f t="array" aca="1" ref="U1639" ca="1">INDIRECT("Data!O" &amp; 1634)</f>
        <v>0</v>
      </c>
      <c r="V1639" cm="1">
        <f t="array" aca="1" ref="V1639" ca="1">INDIRECT("Data!P" &amp; 1634)</f>
        <v>0</v>
      </c>
    </row>
    <row r="1640" spans="7:22" x14ac:dyDescent="0.25">
      <c r="G1640" cm="1">
        <f t="array" aca="1" ref="G1640" ca="1">INDIRECT("Data!A" &amp; 1635)</f>
        <v>0</v>
      </c>
      <c r="H1640" s="21" cm="1">
        <f t="array" aca="1" ref="H1640" ca="1">INDIRECT("Data!B" &amp; 1635)</f>
        <v>0</v>
      </c>
      <c r="I1640" s="21" cm="1">
        <f t="array" aca="1" ref="I1640" ca="1">INDIRECT("Data!C" &amp; 1635)</f>
        <v>0</v>
      </c>
      <c r="J1640" cm="1">
        <f t="array" aca="1" ref="J1640" ca="1">INDIRECT("Data!D" &amp; 1635)</f>
        <v>0</v>
      </c>
      <c r="K1640" cm="1">
        <f t="array" aca="1" ref="K1640" ca="1">INDIRECT("Data!E" &amp; 1635)</f>
        <v>0</v>
      </c>
      <c r="L1640" cm="1">
        <f t="array" aca="1" ref="L1640" ca="1">INDIRECT("Data!F" &amp; 1635)</f>
        <v>0</v>
      </c>
      <c r="M1640" cm="1">
        <f t="array" aca="1" ref="M1640" ca="1">INDIRECT("Data!G" &amp; 1635)</f>
        <v>0</v>
      </c>
      <c r="N1640" cm="1">
        <f t="array" aca="1" ref="N1640" ca="1">INDIRECT("Data!H" &amp; 1635)</f>
        <v>0</v>
      </c>
      <c r="O1640" cm="1">
        <f t="array" aca="1" ref="O1640" ca="1">INDIRECT("Data!I" &amp; 1635)</f>
        <v>0</v>
      </c>
      <c r="P1640" s="21" cm="1">
        <f t="array" aca="1" ref="P1640" ca="1">INDIRECT("Data!J" &amp; 1635)</f>
        <v>0</v>
      </c>
      <c r="Q1640" cm="1">
        <f t="array" aca="1" ref="Q1640" ca="1">INDIRECT("Data!K" &amp; 1635)</f>
        <v>0</v>
      </c>
      <c r="R1640" cm="1">
        <f t="array" aca="1" ref="R1640" ca="1">INDIRECT("Data!L" &amp; 1635)</f>
        <v>0</v>
      </c>
      <c r="S1640" cm="1">
        <f t="array" aca="1" ref="S1640" ca="1">INDIRECT("Data!M" &amp; 1635)</f>
        <v>0</v>
      </c>
      <c r="T1640" cm="1">
        <f t="array" aca="1" ref="T1640" ca="1">INDIRECT("Data!N" &amp; 1635)</f>
        <v>0</v>
      </c>
      <c r="U1640" cm="1">
        <f t="array" aca="1" ref="U1640" ca="1">INDIRECT("Data!O" &amp; 1635)</f>
        <v>0</v>
      </c>
      <c r="V1640" cm="1">
        <f t="array" aca="1" ref="V1640" ca="1">INDIRECT("Data!P" &amp; 1635)</f>
        <v>0</v>
      </c>
    </row>
    <row r="1641" spans="7:22" x14ac:dyDescent="0.25">
      <c r="G1641" cm="1">
        <f t="array" aca="1" ref="G1641" ca="1">INDIRECT("Data!A" &amp; 1636)</f>
        <v>0</v>
      </c>
      <c r="H1641" s="21" cm="1">
        <f t="array" aca="1" ref="H1641" ca="1">INDIRECT("Data!B" &amp; 1636)</f>
        <v>0</v>
      </c>
      <c r="I1641" s="21" cm="1">
        <f t="array" aca="1" ref="I1641" ca="1">INDIRECT("Data!C" &amp; 1636)</f>
        <v>0</v>
      </c>
      <c r="J1641" cm="1">
        <f t="array" aca="1" ref="J1641" ca="1">INDIRECT("Data!D" &amp; 1636)</f>
        <v>0</v>
      </c>
      <c r="K1641" cm="1">
        <f t="array" aca="1" ref="K1641" ca="1">INDIRECT("Data!E" &amp; 1636)</f>
        <v>0</v>
      </c>
      <c r="L1641" cm="1">
        <f t="array" aca="1" ref="L1641" ca="1">INDIRECT("Data!F" &amp; 1636)</f>
        <v>0</v>
      </c>
      <c r="M1641" cm="1">
        <f t="array" aca="1" ref="M1641" ca="1">INDIRECT("Data!G" &amp; 1636)</f>
        <v>0</v>
      </c>
      <c r="N1641" cm="1">
        <f t="array" aca="1" ref="N1641" ca="1">INDIRECT("Data!H" &amp; 1636)</f>
        <v>0</v>
      </c>
      <c r="O1641" cm="1">
        <f t="array" aca="1" ref="O1641" ca="1">INDIRECT("Data!I" &amp; 1636)</f>
        <v>0</v>
      </c>
      <c r="P1641" s="21" cm="1">
        <f t="array" aca="1" ref="P1641" ca="1">INDIRECT("Data!J" &amp; 1636)</f>
        <v>0</v>
      </c>
      <c r="Q1641" cm="1">
        <f t="array" aca="1" ref="Q1641" ca="1">INDIRECT("Data!K" &amp; 1636)</f>
        <v>0</v>
      </c>
      <c r="R1641" cm="1">
        <f t="array" aca="1" ref="R1641" ca="1">INDIRECT("Data!L" &amp; 1636)</f>
        <v>0</v>
      </c>
      <c r="S1641" cm="1">
        <f t="array" aca="1" ref="S1641" ca="1">INDIRECT("Data!M" &amp; 1636)</f>
        <v>0</v>
      </c>
      <c r="T1641" cm="1">
        <f t="array" aca="1" ref="T1641" ca="1">INDIRECT("Data!N" &amp; 1636)</f>
        <v>0</v>
      </c>
      <c r="U1641" cm="1">
        <f t="array" aca="1" ref="U1641" ca="1">INDIRECT("Data!O" &amp; 1636)</f>
        <v>0</v>
      </c>
      <c r="V1641" cm="1">
        <f t="array" aca="1" ref="V1641" ca="1">INDIRECT("Data!P" &amp; 1636)</f>
        <v>0</v>
      </c>
    </row>
    <row r="1642" spans="7:22" x14ac:dyDescent="0.25">
      <c r="G1642" cm="1">
        <f t="array" aca="1" ref="G1642" ca="1">INDIRECT("Data!A" &amp; 1637)</f>
        <v>0</v>
      </c>
      <c r="H1642" s="21" cm="1">
        <f t="array" aca="1" ref="H1642" ca="1">INDIRECT("Data!B" &amp; 1637)</f>
        <v>0</v>
      </c>
      <c r="I1642" s="21" cm="1">
        <f t="array" aca="1" ref="I1642" ca="1">INDIRECT("Data!C" &amp; 1637)</f>
        <v>0</v>
      </c>
      <c r="J1642" cm="1">
        <f t="array" aca="1" ref="J1642" ca="1">INDIRECT("Data!D" &amp; 1637)</f>
        <v>0</v>
      </c>
      <c r="K1642" cm="1">
        <f t="array" aca="1" ref="K1642" ca="1">INDIRECT("Data!E" &amp; 1637)</f>
        <v>0</v>
      </c>
      <c r="L1642" cm="1">
        <f t="array" aca="1" ref="L1642" ca="1">INDIRECT("Data!F" &amp; 1637)</f>
        <v>0</v>
      </c>
      <c r="M1642" cm="1">
        <f t="array" aca="1" ref="M1642" ca="1">INDIRECT("Data!G" &amp; 1637)</f>
        <v>0</v>
      </c>
      <c r="N1642" cm="1">
        <f t="array" aca="1" ref="N1642" ca="1">INDIRECT("Data!H" &amp; 1637)</f>
        <v>0</v>
      </c>
      <c r="O1642" cm="1">
        <f t="array" aca="1" ref="O1642" ca="1">INDIRECT("Data!I" &amp; 1637)</f>
        <v>0</v>
      </c>
      <c r="P1642" s="21" cm="1">
        <f t="array" aca="1" ref="P1642" ca="1">INDIRECT("Data!J" &amp; 1637)</f>
        <v>0</v>
      </c>
      <c r="Q1642" cm="1">
        <f t="array" aca="1" ref="Q1642" ca="1">INDIRECT("Data!K" &amp; 1637)</f>
        <v>0</v>
      </c>
      <c r="R1642" cm="1">
        <f t="array" aca="1" ref="R1642" ca="1">INDIRECT("Data!L" &amp; 1637)</f>
        <v>0</v>
      </c>
      <c r="S1642" cm="1">
        <f t="array" aca="1" ref="S1642" ca="1">INDIRECT("Data!M" &amp; 1637)</f>
        <v>0</v>
      </c>
      <c r="T1642" cm="1">
        <f t="array" aca="1" ref="T1642" ca="1">INDIRECT("Data!N" &amp; 1637)</f>
        <v>0</v>
      </c>
      <c r="U1642" cm="1">
        <f t="array" aca="1" ref="U1642" ca="1">INDIRECT("Data!O" &amp; 1637)</f>
        <v>0</v>
      </c>
      <c r="V1642" cm="1">
        <f t="array" aca="1" ref="V1642" ca="1">INDIRECT("Data!P" &amp; 1637)</f>
        <v>0</v>
      </c>
    </row>
    <row r="1643" spans="7:22" x14ac:dyDescent="0.25">
      <c r="G1643" cm="1">
        <f t="array" aca="1" ref="G1643" ca="1">INDIRECT("Data!A" &amp; 1638)</f>
        <v>0</v>
      </c>
      <c r="H1643" s="21" cm="1">
        <f t="array" aca="1" ref="H1643" ca="1">INDIRECT("Data!B" &amp; 1638)</f>
        <v>0</v>
      </c>
      <c r="I1643" s="21" cm="1">
        <f t="array" aca="1" ref="I1643" ca="1">INDIRECT("Data!C" &amp; 1638)</f>
        <v>0</v>
      </c>
      <c r="J1643" cm="1">
        <f t="array" aca="1" ref="J1643" ca="1">INDIRECT("Data!D" &amp; 1638)</f>
        <v>0</v>
      </c>
      <c r="K1643" cm="1">
        <f t="array" aca="1" ref="K1643" ca="1">INDIRECT("Data!E" &amp; 1638)</f>
        <v>0</v>
      </c>
      <c r="L1643" cm="1">
        <f t="array" aca="1" ref="L1643" ca="1">INDIRECT("Data!F" &amp; 1638)</f>
        <v>0</v>
      </c>
      <c r="M1643" cm="1">
        <f t="array" aca="1" ref="M1643" ca="1">INDIRECT("Data!G" &amp; 1638)</f>
        <v>0</v>
      </c>
      <c r="N1643" cm="1">
        <f t="array" aca="1" ref="N1643" ca="1">INDIRECT("Data!H" &amp; 1638)</f>
        <v>0</v>
      </c>
      <c r="O1643" cm="1">
        <f t="array" aca="1" ref="O1643" ca="1">INDIRECT("Data!I" &amp; 1638)</f>
        <v>0</v>
      </c>
      <c r="P1643" s="21" cm="1">
        <f t="array" aca="1" ref="P1643" ca="1">INDIRECT("Data!J" &amp; 1638)</f>
        <v>0</v>
      </c>
      <c r="Q1643" cm="1">
        <f t="array" aca="1" ref="Q1643" ca="1">INDIRECT("Data!K" &amp; 1638)</f>
        <v>0</v>
      </c>
      <c r="R1643" cm="1">
        <f t="array" aca="1" ref="R1643" ca="1">INDIRECT("Data!L" &amp; 1638)</f>
        <v>0</v>
      </c>
      <c r="S1643" cm="1">
        <f t="array" aca="1" ref="S1643" ca="1">INDIRECT("Data!M" &amp; 1638)</f>
        <v>0</v>
      </c>
      <c r="T1643" cm="1">
        <f t="array" aca="1" ref="T1643" ca="1">INDIRECT("Data!N" &amp; 1638)</f>
        <v>0</v>
      </c>
      <c r="U1643" cm="1">
        <f t="array" aca="1" ref="U1643" ca="1">INDIRECT("Data!O" &amp; 1638)</f>
        <v>0</v>
      </c>
      <c r="V1643" cm="1">
        <f t="array" aca="1" ref="V1643" ca="1">INDIRECT("Data!P" &amp; 1638)</f>
        <v>0</v>
      </c>
    </row>
    <row r="1644" spans="7:22" x14ac:dyDescent="0.25">
      <c r="G1644" cm="1">
        <f t="array" aca="1" ref="G1644" ca="1">INDIRECT("Data!A" &amp; 1639)</f>
        <v>0</v>
      </c>
      <c r="H1644" s="21" cm="1">
        <f t="array" aca="1" ref="H1644" ca="1">INDIRECT("Data!B" &amp; 1639)</f>
        <v>0</v>
      </c>
      <c r="I1644" s="21" cm="1">
        <f t="array" aca="1" ref="I1644" ca="1">INDIRECT("Data!C" &amp; 1639)</f>
        <v>0</v>
      </c>
      <c r="J1644" cm="1">
        <f t="array" aca="1" ref="J1644" ca="1">INDIRECT("Data!D" &amp; 1639)</f>
        <v>0</v>
      </c>
      <c r="K1644" cm="1">
        <f t="array" aca="1" ref="K1644" ca="1">INDIRECT("Data!E" &amp; 1639)</f>
        <v>0</v>
      </c>
      <c r="L1644" cm="1">
        <f t="array" aca="1" ref="L1644" ca="1">INDIRECT("Data!F" &amp; 1639)</f>
        <v>0</v>
      </c>
      <c r="M1644" cm="1">
        <f t="array" aca="1" ref="M1644" ca="1">INDIRECT("Data!G" &amp; 1639)</f>
        <v>0</v>
      </c>
      <c r="N1644" cm="1">
        <f t="array" aca="1" ref="N1644" ca="1">INDIRECT("Data!H" &amp; 1639)</f>
        <v>0</v>
      </c>
      <c r="O1644" cm="1">
        <f t="array" aca="1" ref="O1644" ca="1">INDIRECT("Data!I" &amp; 1639)</f>
        <v>0</v>
      </c>
      <c r="P1644" s="21" cm="1">
        <f t="array" aca="1" ref="P1644" ca="1">INDIRECT("Data!J" &amp; 1639)</f>
        <v>0</v>
      </c>
      <c r="Q1644" cm="1">
        <f t="array" aca="1" ref="Q1644" ca="1">INDIRECT("Data!K" &amp; 1639)</f>
        <v>0</v>
      </c>
      <c r="R1644" cm="1">
        <f t="array" aca="1" ref="R1644" ca="1">INDIRECT("Data!L" &amp; 1639)</f>
        <v>0</v>
      </c>
      <c r="S1644" cm="1">
        <f t="array" aca="1" ref="S1644" ca="1">INDIRECT("Data!M" &amp; 1639)</f>
        <v>0</v>
      </c>
      <c r="T1644" cm="1">
        <f t="array" aca="1" ref="T1644" ca="1">INDIRECT("Data!N" &amp; 1639)</f>
        <v>0</v>
      </c>
      <c r="U1644" cm="1">
        <f t="array" aca="1" ref="U1644" ca="1">INDIRECT("Data!O" &amp; 1639)</f>
        <v>0</v>
      </c>
      <c r="V1644" cm="1">
        <f t="array" aca="1" ref="V1644" ca="1">INDIRECT("Data!P" &amp; 1639)</f>
        <v>0</v>
      </c>
    </row>
    <row r="1645" spans="7:22" x14ac:dyDescent="0.25">
      <c r="G1645" cm="1">
        <f t="array" aca="1" ref="G1645" ca="1">INDIRECT("Data!A" &amp; 1640)</f>
        <v>0</v>
      </c>
      <c r="H1645" s="21" cm="1">
        <f t="array" aca="1" ref="H1645" ca="1">INDIRECT("Data!B" &amp; 1640)</f>
        <v>0</v>
      </c>
      <c r="I1645" s="21" cm="1">
        <f t="array" aca="1" ref="I1645" ca="1">INDIRECT("Data!C" &amp; 1640)</f>
        <v>0</v>
      </c>
      <c r="J1645" cm="1">
        <f t="array" aca="1" ref="J1645" ca="1">INDIRECT("Data!D" &amp; 1640)</f>
        <v>0</v>
      </c>
      <c r="K1645" cm="1">
        <f t="array" aca="1" ref="K1645" ca="1">INDIRECT("Data!E" &amp; 1640)</f>
        <v>0</v>
      </c>
      <c r="L1645" cm="1">
        <f t="array" aca="1" ref="L1645" ca="1">INDIRECT("Data!F" &amp; 1640)</f>
        <v>0</v>
      </c>
      <c r="M1645" cm="1">
        <f t="array" aca="1" ref="M1645" ca="1">INDIRECT("Data!G" &amp; 1640)</f>
        <v>0</v>
      </c>
      <c r="N1645" cm="1">
        <f t="array" aca="1" ref="N1645" ca="1">INDIRECT("Data!H" &amp; 1640)</f>
        <v>0</v>
      </c>
      <c r="O1645" cm="1">
        <f t="array" aca="1" ref="O1645" ca="1">INDIRECT("Data!I" &amp; 1640)</f>
        <v>0</v>
      </c>
      <c r="P1645" s="21" cm="1">
        <f t="array" aca="1" ref="P1645" ca="1">INDIRECT("Data!J" &amp; 1640)</f>
        <v>0</v>
      </c>
      <c r="Q1645" cm="1">
        <f t="array" aca="1" ref="Q1645" ca="1">INDIRECT("Data!K" &amp; 1640)</f>
        <v>0</v>
      </c>
      <c r="R1645" cm="1">
        <f t="array" aca="1" ref="R1645" ca="1">INDIRECT("Data!L" &amp; 1640)</f>
        <v>0</v>
      </c>
      <c r="S1645" cm="1">
        <f t="array" aca="1" ref="S1645" ca="1">INDIRECT("Data!M" &amp; 1640)</f>
        <v>0</v>
      </c>
      <c r="T1645" cm="1">
        <f t="array" aca="1" ref="T1645" ca="1">INDIRECT("Data!N" &amp; 1640)</f>
        <v>0</v>
      </c>
      <c r="U1645" cm="1">
        <f t="array" aca="1" ref="U1645" ca="1">INDIRECT("Data!O" &amp; 1640)</f>
        <v>0</v>
      </c>
      <c r="V1645" cm="1">
        <f t="array" aca="1" ref="V1645" ca="1">INDIRECT("Data!P" &amp; 1640)</f>
        <v>0</v>
      </c>
    </row>
    <row r="1646" spans="7:22" x14ac:dyDescent="0.25">
      <c r="G1646" cm="1">
        <f t="array" aca="1" ref="G1646" ca="1">INDIRECT("Data!A" &amp; 1641)</f>
        <v>0</v>
      </c>
      <c r="H1646" s="21" cm="1">
        <f t="array" aca="1" ref="H1646" ca="1">INDIRECT("Data!B" &amp; 1641)</f>
        <v>0</v>
      </c>
      <c r="I1646" s="21" cm="1">
        <f t="array" aca="1" ref="I1646" ca="1">INDIRECT("Data!C" &amp; 1641)</f>
        <v>0</v>
      </c>
      <c r="J1646" cm="1">
        <f t="array" aca="1" ref="J1646" ca="1">INDIRECT("Data!D" &amp; 1641)</f>
        <v>0</v>
      </c>
      <c r="K1646" cm="1">
        <f t="array" aca="1" ref="K1646" ca="1">INDIRECT("Data!E" &amp; 1641)</f>
        <v>0</v>
      </c>
      <c r="L1646" cm="1">
        <f t="array" aca="1" ref="L1646" ca="1">INDIRECT("Data!F" &amp; 1641)</f>
        <v>0</v>
      </c>
      <c r="M1646" cm="1">
        <f t="array" aca="1" ref="M1646" ca="1">INDIRECT("Data!G" &amp; 1641)</f>
        <v>0</v>
      </c>
      <c r="N1646" cm="1">
        <f t="array" aca="1" ref="N1646" ca="1">INDIRECT("Data!H" &amp; 1641)</f>
        <v>0</v>
      </c>
      <c r="O1646" cm="1">
        <f t="array" aca="1" ref="O1646" ca="1">INDIRECT("Data!I" &amp; 1641)</f>
        <v>0</v>
      </c>
      <c r="P1646" s="21" cm="1">
        <f t="array" aca="1" ref="P1646" ca="1">INDIRECT("Data!J" &amp; 1641)</f>
        <v>0</v>
      </c>
      <c r="Q1646" cm="1">
        <f t="array" aca="1" ref="Q1646" ca="1">INDIRECT("Data!K" &amp; 1641)</f>
        <v>0</v>
      </c>
      <c r="R1646" cm="1">
        <f t="array" aca="1" ref="R1646" ca="1">INDIRECT("Data!L" &amp; 1641)</f>
        <v>0</v>
      </c>
      <c r="S1646" cm="1">
        <f t="array" aca="1" ref="S1646" ca="1">INDIRECT("Data!M" &amp; 1641)</f>
        <v>0</v>
      </c>
      <c r="T1646" cm="1">
        <f t="array" aca="1" ref="T1646" ca="1">INDIRECT("Data!N" &amp; 1641)</f>
        <v>0</v>
      </c>
      <c r="U1646" cm="1">
        <f t="array" aca="1" ref="U1646" ca="1">INDIRECT("Data!O" &amp; 1641)</f>
        <v>0</v>
      </c>
      <c r="V1646" cm="1">
        <f t="array" aca="1" ref="V1646" ca="1">INDIRECT("Data!P" &amp; 1641)</f>
        <v>0</v>
      </c>
    </row>
    <row r="1647" spans="7:22" x14ac:dyDescent="0.25">
      <c r="G1647" cm="1">
        <f t="array" aca="1" ref="G1647" ca="1">INDIRECT("Data!A" &amp; 1642)</f>
        <v>0</v>
      </c>
      <c r="H1647" s="21" cm="1">
        <f t="array" aca="1" ref="H1647" ca="1">INDIRECT("Data!B" &amp; 1642)</f>
        <v>0</v>
      </c>
      <c r="I1647" s="21" cm="1">
        <f t="array" aca="1" ref="I1647" ca="1">INDIRECT("Data!C" &amp; 1642)</f>
        <v>0</v>
      </c>
      <c r="J1647" cm="1">
        <f t="array" aca="1" ref="J1647" ca="1">INDIRECT("Data!D" &amp; 1642)</f>
        <v>0</v>
      </c>
      <c r="K1647" cm="1">
        <f t="array" aca="1" ref="K1647" ca="1">INDIRECT("Data!E" &amp; 1642)</f>
        <v>0</v>
      </c>
      <c r="L1647" cm="1">
        <f t="array" aca="1" ref="L1647" ca="1">INDIRECT("Data!F" &amp; 1642)</f>
        <v>0</v>
      </c>
      <c r="M1647" cm="1">
        <f t="array" aca="1" ref="M1647" ca="1">INDIRECT("Data!G" &amp; 1642)</f>
        <v>0</v>
      </c>
      <c r="N1647" cm="1">
        <f t="array" aca="1" ref="N1647" ca="1">INDIRECT("Data!H" &amp; 1642)</f>
        <v>0</v>
      </c>
      <c r="O1647" cm="1">
        <f t="array" aca="1" ref="O1647" ca="1">INDIRECT("Data!I" &amp; 1642)</f>
        <v>0</v>
      </c>
      <c r="P1647" s="21" cm="1">
        <f t="array" aca="1" ref="P1647" ca="1">INDIRECT("Data!J" &amp; 1642)</f>
        <v>0</v>
      </c>
      <c r="Q1647" cm="1">
        <f t="array" aca="1" ref="Q1647" ca="1">INDIRECT("Data!K" &amp; 1642)</f>
        <v>0</v>
      </c>
      <c r="R1647" cm="1">
        <f t="array" aca="1" ref="R1647" ca="1">INDIRECT("Data!L" &amp; 1642)</f>
        <v>0</v>
      </c>
      <c r="S1647" cm="1">
        <f t="array" aca="1" ref="S1647" ca="1">INDIRECT("Data!M" &amp; 1642)</f>
        <v>0</v>
      </c>
      <c r="T1647" cm="1">
        <f t="array" aca="1" ref="T1647" ca="1">INDIRECT("Data!N" &amp; 1642)</f>
        <v>0</v>
      </c>
      <c r="U1647" cm="1">
        <f t="array" aca="1" ref="U1647" ca="1">INDIRECT("Data!O" &amp; 1642)</f>
        <v>0</v>
      </c>
      <c r="V1647" cm="1">
        <f t="array" aca="1" ref="V1647" ca="1">INDIRECT("Data!P" &amp; 1642)</f>
        <v>0</v>
      </c>
    </row>
    <row r="1648" spans="7:22" x14ac:dyDescent="0.25">
      <c r="G1648" cm="1">
        <f t="array" aca="1" ref="G1648" ca="1">INDIRECT("Data!A" &amp; 1643)</f>
        <v>0</v>
      </c>
      <c r="H1648" s="21" cm="1">
        <f t="array" aca="1" ref="H1648" ca="1">INDIRECT("Data!B" &amp; 1643)</f>
        <v>0</v>
      </c>
      <c r="I1648" s="21" cm="1">
        <f t="array" aca="1" ref="I1648" ca="1">INDIRECT("Data!C" &amp; 1643)</f>
        <v>0</v>
      </c>
      <c r="J1648" cm="1">
        <f t="array" aca="1" ref="J1648" ca="1">INDIRECT("Data!D" &amp; 1643)</f>
        <v>0</v>
      </c>
      <c r="K1648" cm="1">
        <f t="array" aca="1" ref="K1648" ca="1">INDIRECT("Data!E" &amp; 1643)</f>
        <v>0</v>
      </c>
      <c r="L1648" cm="1">
        <f t="array" aca="1" ref="L1648" ca="1">INDIRECT("Data!F" &amp; 1643)</f>
        <v>0</v>
      </c>
      <c r="M1648" cm="1">
        <f t="array" aca="1" ref="M1648" ca="1">INDIRECT("Data!G" &amp; 1643)</f>
        <v>0</v>
      </c>
      <c r="N1648" cm="1">
        <f t="array" aca="1" ref="N1648" ca="1">INDIRECT("Data!H" &amp; 1643)</f>
        <v>0</v>
      </c>
      <c r="O1648" cm="1">
        <f t="array" aca="1" ref="O1648" ca="1">INDIRECT("Data!I" &amp; 1643)</f>
        <v>0</v>
      </c>
      <c r="P1648" s="21" cm="1">
        <f t="array" aca="1" ref="P1648" ca="1">INDIRECT("Data!J" &amp; 1643)</f>
        <v>0</v>
      </c>
      <c r="Q1648" cm="1">
        <f t="array" aca="1" ref="Q1648" ca="1">INDIRECT("Data!K" &amp; 1643)</f>
        <v>0</v>
      </c>
      <c r="R1648" cm="1">
        <f t="array" aca="1" ref="R1648" ca="1">INDIRECT("Data!L" &amp; 1643)</f>
        <v>0</v>
      </c>
      <c r="S1648" cm="1">
        <f t="array" aca="1" ref="S1648" ca="1">INDIRECT("Data!M" &amp; 1643)</f>
        <v>0</v>
      </c>
      <c r="T1648" cm="1">
        <f t="array" aca="1" ref="T1648" ca="1">INDIRECT("Data!N" &amp; 1643)</f>
        <v>0</v>
      </c>
      <c r="U1648" cm="1">
        <f t="array" aca="1" ref="U1648" ca="1">INDIRECT("Data!O" &amp; 1643)</f>
        <v>0</v>
      </c>
      <c r="V1648" cm="1">
        <f t="array" aca="1" ref="V1648" ca="1">INDIRECT("Data!P" &amp; 1643)</f>
        <v>0</v>
      </c>
    </row>
    <row r="1649" spans="7:22" x14ac:dyDescent="0.25">
      <c r="G1649" cm="1">
        <f t="array" aca="1" ref="G1649" ca="1">INDIRECT("Data!A" &amp; 1644)</f>
        <v>0</v>
      </c>
      <c r="H1649" s="21" cm="1">
        <f t="array" aca="1" ref="H1649" ca="1">INDIRECT("Data!B" &amp; 1644)</f>
        <v>0</v>
      </c>
      <c r="I1649" s="21" cm="1">
        <f t="array" aca="1" ref="I1649" ca="1">INDIRECT("Data!C" &amp; 1644)</f>
        <v>0</v>
      </c>
      <c r="J1649" cm="1">
        <f t="array" aca="1" ref="J1649" ca="1">INDIRECT("Data!D" &amp; 1644)</f>
        <v>0</v>
      </c>
      <c r="K1649" cm="1">
        <f t="array" aca="1" ref="K1649" ca="1">INDIRECT("Data!E" &amp; 1644)</f>
        <v>0</v>
      </c>
      <c r="L1649" cm="1">
        <f t="array" aca="1" ref="L1649" ca="1">INDIRECT("Data!F" &amp; 1644)</f>
        <v>0</v>
      </c>
      <c r="M1649" cm="1">
        <f t="array" aca="1" ref="M1649" ca="1">INDIRECT("Data!G" &amp; 1644)</f>
        <v>0</v>
      </c>
      <c r="N1649" cm="1">
        <f t="array" aca="1" ref="N1649" ca="1">INDIRECT("Data!H" &amp; 1644)</f>
        <v>0</v>
      </c>
      <c r="O1649" cm="1">
        <f t="array" aca="1" ref="O1649" ca="1">INDIRECT("Data!I" &amp; 1644)</f>
        <v>0</v>
      </c>
      <c r="P1649" s="21" cm="1">
        <f t="array" aca="1" ref="P1649" ca="1">INDIRECT("Data!J" &amp; 1644)</f>
        <v>0</v>
      </c>
      <c r="Q1649" cm="1">
        <f t="array" aca="1" ref="Q1649" ca="1">INDIRECT("Data!K" &amp; 1644)</f>
        <v>0</v>
      </c>
      <c r="R1649" cm="1">
        <f t="array" aca="1" ref="R1649" ca="1">INDIRECT("Data!L" &amp; 1644)</f>
        <v>0</v>
      </c>
      <c r="S1649" cm="1">
        <f t="array" aca="1" ref="S1649" ca="1">INDIRECT("Data!M" &amp; 1644)</f>
        <v>0</v>
      </c>
      <c r="T1649" cm="1">
        <f t="array" aca="1" ref="T1649" ca="1">INDIRECT("Data!N" &amp; 1644)</f>
        <v>0</v>
      </c>
      <c r="U1649" cm="1">
        <f t="array" aca="1" ref="U1649" ca="1">INDIRECT("Data!O" &amp; 1644)</f>
        <v>0</v>
      </c>
      <c r="V1649" cm="1">
        <f t="array" aca="1" ref="V1649" ca="1">INDIRECT("Data!P" &amp; 1644)</f>
        <v>0</v>
      </c>
    </row>
    <row r="1650" spans="7:22" x14ac:dyDescent="0.25">
      <c r="G1650" cm="1">
        <f t="array" aca="1" ref="G1650" ca="1">INDIRECT("Data!A" &amp; 1645)</f>
        <v>0</v>
      </c>
      <c r="H1650" s="21" cm="1">
        <f t="array" aca="1" ref="H1650" ca="1">INDIRECT("Data!B" &amp; 1645)</f>
        <v>0</v>
      </c>
      <c r="I1650" s="21" cm="1">
        <f t="array" aca="1" ref="I1650" ca="1">INDIRECT("Data!C" &amp; 1645)</f>
        <v>0</v>
      </c>
      <c r="J1650" cm="1">
        <f t="array" aca="1" ref="J1650" ca="1">INDIRECT("Data!D" &amp; 1645)</f>
        <v>0</v>
      </c>
      <c r="K1650" cm="1">
        <f t="array" aca="1" ref="K1650" ca="1">INDIRECT("Data!E" &amp; 1645)</f>
        <v>0</v>
      </c>
      <c r="L1650" cm="1">
        <f t="array" aca="1" ref="L1650" ca="1">INDIRECT("Data!F" &amp; 1645)</f>
        <v>0</v>
      </c>
      <c r="M1650" cm="1">
        <f t="array" aca="1" ref="M1650" ca="1">INDIRECT("Data!G" &amp; 1645)</f>
        <v>0</v>
      </c>
      <c r="N1650" cm="1">
        <f t="array" aca="1" ref="N1650" ca="1">INDIRECT("Data!H" &amp; 1645)</f>
        <v>0</v>
      </c>
      <c r="O1650" cm="1">
        <f t="array" aca="1" ref="O1650" ca="1">INDIRECT("Data!I" &amp; 1645)</f>
        <v>0</v>
      </c>
      <c r="P1650" s="21" cm="1">
        <f t="array" aca="1" ref="P1650" ca="1">INDIRECT("Data!J" &amp; 1645)</f>
        <v>0</v>
      </c>
      <c r="Q1650" cm="1">
        <f t="array" aca="1" ref="Q1650" ca="1">INDIRECT("Data!K" &amp; 1645)</f>
        <v>0</v>
      </c>
      <c r="R1650" cm="1">
        <f t="array" aca="1" ref="R1650" ca="1">INDIRECT("Data!L" &amp; 1645)</f>
        <v>0</v>
      </c>
      <c r="S1650" cm="1">
        <f t="array" aca="1" ref="S1650" ca="1">INDIRECT("Data!M" &amp; 1645)</f>
        <v>0</v>
      </c>
      <c r="T1650" cm="1">
        <f t="array" aca="1" ref="T1650" ca="1">INDIRECT("Data!N" &amp; 1645)</f>
        <v>0</v>
      </c>
      <c r="U1650" cm="1">
        <f t="array" aca="1" ref="U1650" ca="1">INDIRECT("Data!O" &amp; 1645)</f>
        <v>0</v>
      </c>
      <c r="V1650" cm="1">
        <f t="array" aca="1" ref="V1650" ca="1">INDIRECT("Data!P" &amp; 1645)</f>
        <v>0</v>
      </c>
    </row>
    <row r="1651" spans="7:22" x14ac:dyDescent="0.25">
      <c r="G1651" cm="1">
        <f t="array" aca="1" ref="G1651" ca="1">INDIRECT("Data!A" &amp; 1646)</f>
        <v>0</v>
      </c>
      <c r="H1651" s="21" cm="1">
        <f t="array" aca="1" ref="H1651" ca="1">INDIRECT("Data!B" &amp; 1646)</f>
        <v>0</v>
      </c>
      <c r="I1651" s="21" cm="1">
        <f t="array" aca="1" ref="I1651" ca="1">INDIRECT("Data!C" &amp; 1646)</f>
        <v>0</v>
      </c>
      <c r="J1651" cm="1">
        <f t="array" aca="1" ref="J1651" ca="1">INDIRECT("Data!D" &amp; 1646)</f>
        <v>0</v>
      </c>
      <c r="K1651" cm="1">
        <f t="array" aca="1" ref="K1651" ca="1">INDIRECT("Data!E" &amp; 1646)</f>
        <v>0</v>
      </c>
      <c r="L1651" cm="1">
        <f t="array" aca="1" ref="L1651" ca="1">INDIRECT("Data!F" &amp; 1646)</f>
        <v>0</v>
      </c>
      <c r="M1651" cm="1">
        <f t="array" aca="1" ref="M1651" ca="1">INDIRECT("Data!G" &amp; 1646)</f>
        <v>0</v>
      </c>
      <c r="N1651" cm="1">
        <f t="array" aca="1" ref="N1651" ca="1">INDIRECT("Data!H" &amp; 1646)</f>
        <v>0</v>
      </c>
      <c r="O1651" cm="1">
        <f t="array" aca="1" ref="O1651" ca="1">INDIRECT("Data!I" &amp; 1646)</f>
        <v>0</v>
      </c>
      <c r="P1651" s="21" cm="1">
        <f t="array" aca="1" ref="P1651" ca="1">INDIRECT("Data!J" &amp; 1646)</f>
        <v>0</v>
      </c>
      <c r="Q1651" cm="1">
        <f t="array" aca="1" ref="Q1651" ca="1">INDIRECT("Data!K" &amp; 1646)</f>
        <v>0</v>
      </c>
      <c r="R1651" cm="1">
        <f t="array" aca="1" ref="R1651" ca="1">INDIRECT("Data!L" &amp; 1646)</f>
        <v>0</v>
      </c>
      <c r="S1651" cm="1">
        <f t="array" aca="1" ref="S1651" ca="1">INDIRECT("Data!M" &amp; 1646)</f>
        <v>0</v>
      </c>
      <c r="T1651" cm="1">
        <f t="array" aca="1" ref="T1651" ca="1">INDIRECT("Data!N" &amp; 1646)</f>
        <v>0</v>
      </c>
      <c r="U1651" cm="1">
        <f t="array" aca="1" ref="U1651" ca="1">INDIRECT("Data!O" &amp; 1646)</f>
        <v>0</v>
      </c>
      <c r="V1651" cm="1">
        <f t="array" aca="1" ref="V1651" ca="1">INDIRECT("Data!P" &amp; 1646)</f>
        <v>0</v>
      </c>
    </row>
    <row r="1652" spans="7:22" x14ac:dyDescent="0.25">
      <c r="G1652" cm="1">
        <f t="array" aca="1" ref="G1652" ca="1">INDIRECT("Data!A" &amp; 1647)</f>
        <v>0</v>
      </c>
      <c r="H1652" s="21" cm="1">
        <f t="array" aca="1" ref="H1652" ca="1">INDIRECT("Data!B" &amp; 1647)</f>
        <v>0</v>
      </c>
      <c r="I1652" s="21" cm="1">
        <f t="array" aca="1" ref="I1652" ca="1">INDIRECT("Data!C" &amp; 1647)</f>
        <v>0</v>
      </c>
      <c r="J1652" cm="1">
        <f t="array" aca="1" ref="J1652" ca="1">INDIRECT("Data!D" &amp; 1647)</f>
        <v>0</v>
      </c>
      <c r="K1652" cm="1">
        <f t="array" aca="1" ref="K1652" ca="1">INDIRECT("Data!E" &amp; 1647)</f>
        <v>0</v>
      </c>
      <c r="L1652" cm="1">
        <f t="array" aca="1" ref="L1652" ca="1">INDIRECT("Data!F" &amp; 1647)</f>
        <v>0</v>
      </c>
      <c r="M1652" cm="1">
        <f t="array" aca="1" ref="M1652" ca="1">INDIRECT("Data!G" &amp; 1647)</f>
        <v>0</v>
      </c>
      <c r="N1652" cm="1">
        <f t="array" aca="1" ref="N1652" ca="1">INDIRECT("Data!H" &amp; 1647)</f>
        <v>0</v>
      </c>
      <c r="O1652" cm="1">
        <f t="array" aca="1" ref="O1652" ca="1">INDIRECT("Data!I" &amp; 1647)</f>
        <v>0</v>
      </c>
      <c r="P1652" s="21" cm="1">
        <f t="array" aca="1" ref="P1652" ca="1">INDIRECT("Data!J" &amp; 1647)</f>
        <v>0</v>
      </c>
      <c r="Q1652" cm="1">
        <f t="array" aca="1" ref="Q1652" ca="1">INDIRECT("Data!K" &amp; 1647)</f>
        <v>0</v>
      </c>
      <c r="R1652" cm="1">
        <f t="array" aca="1" ref="R1652" ca="1">INDIRECT("Data!L" &amp; 1647)</f>
        <v>0</v>
      </c>
      <c r="S1652" cm="1">
        <f t="array" aca="1" ref="S1652" ca="1">INDIRECT("Data!M" &amp; 1647)</f>
        <v>0</v>
      </c>
      <c r="T1652" cm="1">
        <f t="array" aca="1" ref="T1652" ca="1">INDIRECT("Data!N" &amp; 1647)</f>
        <v>0</v>
      </c>
      <c r="U1652" cm="1">
        <f t="array" aca="1" ref="U1652" ca="1">INDIRECT("Data!O" &amp; 1647)</f>
        <v>0</v>
      </c>
      <c r="V1652" cm="1">
        <f t="array" aca="1" ref="V1652" ca="1">INDIRECT("Data!P" &amp; 1647)</f>
        <v>0</v>
      </c>
    </row>
    <row r="1653" spans="7:22" x14ac:dyDescent="0.25">
      <c r="G1653" cm="1">
        <f t="array" aca="1" ref="G1653" ca="1">INDIRECT("Data!A" &amp; 1648)</f>
        <v>0</v>
      </c>
      <c r="H1653" s="21" cm="1">
        <f t="array" aca="1" ref="H1653" ca="1">INDIRECT("Data!B" &amp; 1648)</f>
        <v>0</v>
      </c>
      <c r="I1653" s="21" cm="1">
        <f t="array" aca="1" ref="I1653" ca="1">INDIRECT("Data!C" &amp; 1648)</f>
        <v>0</v>
      </c>
      <c r="J1653" cm="1">
        <f t="array" aca="1" ref="J1653" ca="1">INDIRECT("Data!D" &amp; 1648)</f>
        <v>0</v>
      </c>
      <c r="K1653" cm="1">
        <f t="array" aca="1" ref="K1653" ca="1">INDIRECT("Data!E" &amp; 1648)</f>
        <v>0</v>
      </c>
      <c r="L1653" cm="1">
        <f t="array" aca="1" ref="L1653" ca="1">INDIRECT("Data!F" &amp; 1648)</f>
        <v>0</v>
      </c>
      <c r="M1653" cm="1">
        <f t="array" aca="1" ref="M1653" ca="1">INDIRECT("Data!G" &amp; 1648)</f>
        <v>0</v>
      </c>
      <c r="N1653" cm="1">
        <f t="array" aca="1" ref="N1653" ca="1">INDIRECT("Data!H" &amp; 1648)</f>
        <v>0</v>
      </c>
      <c r="O1653" cm="1">
        <f t="array" aca="1" ref="O1653" ca="1">INDIRECT("Data!I" &amp; 1648)</f>
        <v>0</v>
      </c>
      <c r="P1653" s="21" cm="1">
        <f t="array" aca="1" ref="P1653" ca="1">INDIRECT("Data!J" &amp; 1648)</f>
        <v>0</v>
      </c>
      <c r="Q1653" cm="1">
        <f t="array" aca="1" ref="Q1653" ca="1">INDIRECT("Data!K" &amp; 1648)</f>
        <v>0</v>
      </c>
      <c r="R1653" cm="1">
        <f t="array" aca="1" ref="R1653" ca="1">INDIRECT("Data!L" &amp; 1648)</f>
        <v>0</v>
      </c>
      <c r="S1653" cm="1">
        <f t="array" aca="1" ref="S1653" ca="1">INDIRECT("Data!M" &amp; 1648)</f>
        <v>0</v>
      </c>
      <c r="T1653" cm="1">
        <f t="array" aca="1" ref="T1653" ca="1">INDIRECT("Data!N" &amp; 1648)</f>
        <v>0</v>
      </c>
      <c r="U1653" cm="1">
        <f t="array" aca="1" ref="U1653" ca="1">INDIRECT("Data!O" &amp; 1648)</f>
        <v>0</v>
      </c>
      <c r="V1653" cm="1">
        <f t="array" aca="1" ref="V1653" ca="1">INDIRECT("Data!P" &amp; 1648)</f>
        <v>0</v>
      </c>
    </row>
    <row r="1654" spans="7:22" x14ac:dyDescent="0.25">
      <c r="G1654" cm="1">
        <f t="array" aca="1" ref="G1654" ca="1">INDIRECT("Data!A" &amp; 1649)</f>
        <v>0</v>
      </c>
      <c r="H1654" s="21" cm="1">
        <f t="array" aca="1" ref="H1654" ca="1">INDIRECT("Data!B" &amp; 1649)</f>
        <v>0</v>
      </c>
      <c r="I1654" s="21" cm="1">
        <f t="array" aca="1" ref="I1654" ca="1">INDIRECT("Data!C" &amp; 1649)</f>
        <v>0</v>
      </c>
      <c r="J1654" cm="1">
        <f t="array" aca="1" ref="J1654" ca="1">INDIRECT("Data!D" &amp; 1649)</f>
        <v>0</v>
      </c>
      <c r="K1654" cm="1">
        <f t="array" aca="1" ref="K1654" ca="1">INDIRECT("Data!E" &amp; 1649)</f>
        <v>0</v>
      </c>
      <c r="L1654" cm="1">
        <f t="array" aca="1" ref="L1654" ca="1">INDIRECT("Data!F" &amp; 1649)</f>
        <v>0</v>
      </c>
      <c r="M1654" cm="1">
        <f t="array" aca="1" ref="M1654" ca="1">INDIRECT("Data!G" &amp; 1649)</f>
        <v>0</v>
      </c>
      <c r="N1654" cm="1">
        <f t="array" aca="1" ref="N1654" ca="1">INDIRECT("Data!H" &amp; 1649)</f>
        <v>0</v>
      </c>
      <c r="O1654" cm="1">
        <f t="array" aca="1" ref="O1654" ca="1">INDIRECT("Data!I" &amp; 1649)</f>
        <v>0</v>
      </c>
      <c r="P1654" s="21" cm="1">
        <f t="array" aca="1" ref="P1654" ca="1">INDIRECT("Data!J" &amp; 1649)</f>
        <v>0</v>
      </c>
      <c r="Q1654" cm="1">
        <f t="array" aca="1" ref="Q1654" ca="1">INDIRECT("Data!K" &amp; 1649)</f>
        <v>0</v>
      </c>
      <c r="R1654" cm="1">
        <f t="array" aca="1" ref="R1654" ca="1">INDIRECT("Data!L" &amp; 1649)</f>
        <v>0</v>
      </c>
      <c r="S1654" cm="1">
        <f t="array" aca="1" ref="S1654" ca="1">INDIRECT("Data!M" &amp; 1649)</f>
        <v>0</v>
      </c>
      <c r="T1654" cm="1">
        <f t="array" aca="1" ref="T1654" ca="1">INDIRECT("Data!N" &amp; 1649)</f>
        <v>0</v>
      </c>
      <c r="U1654" cm="1">
        <f t="array" aca="1" ref="U1654" ca="1">INDIRECT("Data!O" &amp; 1649)</f>
        <v>0</v>
      </c>
      <c r="V1654" cm="1">
        <f t="array" aca="1" ref="V1654" ca="1">INDIRECT("Data!P" &amp; 1649)</f>
        <v>0</v>
      </c>
    </row>
    <row r="1655" spans="7:22" x14ac:dyDescent="0.25">
      <c r="G1655" cm="1">
        <f t="array" aca="1" ref="G1655" ca="1">INDIRECT("Data!A" &amp; 1650)</f>
        <v>0</v>
      </c>
      <c r="H1655" s="21" cm="1">
        <f t="array" aca="1" ref="H1655" ca="1">INDIRECT("Data!B" &amp; 1650)</f>
        <v>0</v>
      </c>
      <c r="I1655" s="21" cm="1">
        <f t="array" aca="1" ref="I1655" ca="1">INDIRECT("Data!C" &amp; 1650)</f>
        <v>0</v>
      </c>
      <c r="J1655" cm="1">
        <f t="array" aca="1" ref="J1655" ca="1">INDIRECT("Data!D" &amp; 1650)</f>
        <v>0</v>
      </c>
      <c r="K1655" cm="1">
        <f t="array" aca="1" ref="K1655" ca="1">INDIRECT("Data!E" &amp; 1650)</f>
        <v>0</v>
      </c>
      <c r="L1655" cm="1">
        <f t="array" aca="1" ref="L1655" ca="1">INDIRECT("Data!F" &amp; 1650)</f>
        <v>0</v>
      </c>
      <c r="M1655" cm="1">
        <f t="array" aca="1" ref="M1655" ca="1">INDIRECT("Data!G" &amp; 1650)</f>
        <v>0</v>
      </c>
      <c r="N1655" cm="1">
        <f t="array" aca="1" ref="N1655" ca="1">INDIRECT("Data!H" &amp; 1650)</f>
        <v>0</v>
      </c>
      <c r="O1655" cm="1">
        <f t="array" aca="1" ref="O1655" ca="1">INDIRECT("Data!I" &amp; 1650)</f>
        <v>0</v>
      </c>
      <c r="P1655" s="21" cm="1">
        <f t="array" aca="1" ref="P1655" ca="1">INDIRECT("Data!J" &amp; 1650)</f>
        <v>0</v>
      </c>
      <c r="Q1655" cm="1">
        <f t="array" aca="1" ref="Q1655" ca="1">INDIRECT("Data!K" &amp; 1650)</f>
        <v>0</v>
      </c>
      <c r="R1655" cm="1">
        <f t="array" aca="1" ref="R1655" ca="1">INDIRECT("Data!L" &amp; 1650)</f>
        <v>0</v>
      </c>
      <c r="S1655" cm="1">
        <f t="array" aca="1" ref="S1655" ca="1">INDIRECT("Data!M" &amp; 1650)</f>
        <v>0</v>
      </c>
      <c r="T1655" cm="1">
        <f t="array" aca="1" ref="T1655" ca="1">INDIRECT("Data!N" &amp; 1650)</f>
        <v>0</v>
      </c>
      <c r="U1655" cm="1">
        <f t="array" aca="1" ref="U1655" ca="1">INDIRECT("Data!O" &amp; 1650)</f>
        <v>0</v>
      </c>
      <c r="V1655" cm="1">
        <f t="array" aca="1" ref="V1655" ca="1">INDIRECT("Data!P" &amp; 1650)</f>
        <v>0</v>
      </c>
    </row>
    <row r="1656" spans="7:22" x14ac:dyDescent="0.25">
      <c r="G1656" cm="1">
        <f t="array" aca="1" ref="G1656" ca="1">INDIRECT("Data!A" &amp; 1651)</f>
        <v>0</v>
      </c>
      <c r="H1656" s="21" cm="1">
        <f t="array" aca="1" ref="H1656" ca="1">INDIRECT("Data!B" &amp; 1651)</f>
        <v>0</v>
      </c>
      <c r="I1656" s="21" cm="1">
        <f t="array" aca="1" ref="I1656" ca="1">INDIRECT("Data!C" &amp; 1651)</f>
        <v>0</v>
      </c>
      <c r="J1656" cm="1">
        <f t="array" aca="1" ref="J1656" ca="1">INDIRECT("Data!D" &amp; 1651)</f>
        <v>0</v>
      </c>
      <c r="K1656" cm="1">
        <f t="array" aca="1" ref="K1656" ca="1">INDIRECT("Data!E" &amp; 1651)</f>
        <v>0</v>
      </c>
      <c r="L1656" cm="1">
        <f t="array" aca="1" ref="L1656" ca="1">INDIRECT("Data!F" &amp; 1651)</f>
        <v>0</v>
      </c>
      <c r="M1656" cm="1">
        <f t="array" aca="1" ref="M1656" ca="1">INDIRECT("Data!G" &amp; 1651)</f>
        <v>0</v>
      </c>
      <c r="N1656" cm="1">
        <f t="array" aca="1" ref="N1656" ca="1">INDIRECT("Data!H" &amp; 1651)</f>
        <v>0</v>
      </c>
      <c r="O1656" cm="1">
        <f t="array" aca="1" ref="O1656" ca="1">INDIRECT("Data!I" &amp; 1651)</f>
        <v>0</v>
      </c>
      <c r="P1656" s="21" cm="1">
        <f t="array" aca="1" ref="P1656" ca="1">INDIRECT("Data!J" &amp; 1651)</f>
        <v>0</v>
      </c>
      <c r="Q1656" cm="1">
        <f t="array" aca="1" ref="Q1656" ca="1">INDIRECT("Data!K" &amp; 1651)</f>
        <v>0</v>
      </c>
      <c r="R1656" cm="1">
        <f t="array" aca="1" ref="R1656" ca="1">INDIRECT("Data!L" &amp; 1651)</f>
        <v>0</v>
      </c>
      <c r="S1656" cm="1">
        <f t="array" aca="1" ref="S1656" ca="1">INDIRECT("Data!M" &amp; 1651)</f>
        <v>0</v>
      </c>
      <c r="T1656" cm="1">
        <f t="array" aca="1" ref="T1656" ca="1">INDIRECT("Data!N" &amp; 1651)</f>
        <v>0</v>
      </c>
      <c r="U1656" cm="1">
        <f t="array" aca="1" ref="U1656" ca="1">INDIRECT("Data!O" &amp; 1651)</f>
        <v>0</v>
      </c>
      <c r="V1656" cm="1">
        <f t="array" aca="1" ref="V1656" ca="1">INDIRECT("Data!P" &amp; 1651)</f>
        <v>0</v>
      </c>
    </row>
    <row r="1657" spans="7:22" x14ac:dyDescent="0.25">
      <c r="G1657" cm="1">
        <f t="array" aca="1" ref="G1657" ca="1">INDIRECT("Data!A" &amp; 1652)</f>
        <v>0</v>
      </c>
      <c r="H1657" s="21" cm="1">
        <f t="array" aca="1" ref="H1657" ca="1">INDIRECT("Data!B" &amp; 1652)</f>
        <v>0</v>
      </c>
      <c r="I1657" s="21" cm="1">
        <f t="array" aca="1" ref="I1657" ca="1">INDIRECT("Data!C" &amp; 1652)</f>
        <v>0</v>
      </c>
      <c r="J1657" cm="1">
        <f t="array" aca="1" ref="J1657" ca="1">INDIRECT("Data!D" &amp; 1652)</f>
        <v>0</v>
      </c>
      <c r="K1657" cm="1">
        <f t="array" aca="1" ref="K1657" ca="1">INDIRECT("Data!E" &amp; 1652)</f>
        <v>0</v>
      </c>
      <c r="L1657" cm="1">
        <f t="array" aca="1" ref="L1657" ca="1">INDIRECT("Data!F" &amp; 1652)</f>
        <v>0</v>
      </c>
      <c r="M1657" cm="1">
        <f t="array" aca="1" ref="M1657" ca="1">INDIRECT("Data!G" &amp; 1652)</f>
        <v>0</v>
      </c>
      <c r="N1657" cm="1">
        <f t="array" aca="1" ref="N1657" ca="1">INDIRECT("Data!H" &amp; 1652)</f>
        <v>0</v>
      </c>
      <c r="O1657" cm="1">
        <f t="array" aca="1" ref="O1657" ca="1">INDIRECT("Data!I" &amp; 1652)</f>
        <v>0</v>
      </c>
      <c r="P1657" s="21" cm="1">
        <f t="array" aca="1" ref="P1657" ca="1">INDIRECT("Data!J" &amp; 1652)</f>
        <v>0</v>
      </c>
      <c r="Q1657" cm="1">
        <f t="array" aca="1" ref="Q1657" ca="1">INDIRECT("Data!K" &amp; 1652)</f>
        <v>0</v>
      </c>
      <c r="R1657" cm="1">
        <f t="array" aca="1" ref="R1657" ca="1">INDIRECT("Data!L" &amp; 1652)</f>
        <v>0</v>
      </c>
      <c r="S1657" cm="1">
        <f t="array" aca="1" ref="S1657" ca="1">INDIRECT("Data!M" &amp; 1652)</f>
        <v>0</v>
      </c>
      <c r="T1657" cm="1">
        <f t="array" aca="1" ref="T1657" ca="1">INDIRECT("Data!N" &amp; 1652)</f>
        <v>0</v>
      </c>
      <c r="U1657" cm="1">
        <f t="array" aca="1" ref="U1657" ca="1">INDIRECT("Data!O" &amp; 1652)</f>
        <v>0</v>
      </c>
      <c r="V1657" cm="1">
        <f t="array" aca="1" ref="V1657" ca="1">INDIRECT("Data!P" &amp; 1652)</f>
        <v>0</v>
      </c>
    </row>
    <row r="1658" spans="7:22" x14ac:dyDescent="0.25">
      <c r="G1658" cm="1">
        <f t="array" aca="1" ref="G1658" ca="1">INDIRECT("Data!A" &amp; 1653)</f>
        <v>0</v>
      </c>
      <c r="H1658" s="21" cm="1">
        <f t="array" aca="1" ref="H1658" ca="1">INDIRECT("Data!B" &amp; 1653)</f>
        <v>0</v>
      </c>
      <c r="I1658" s="21" cm="1">
        <f t="array" aca="1" ref="I1658" ca="1">INDIRECT("Data!C" &amp; 1653)</f>
        <v>0</v>
      </c>
      <c r="J1658" cm="1">
        <f t="array" aca="1" ref="J1658" ca="1">INDIRECT("Data!D" &amp; 1653)</f>
        <v>0</v>
      </c>
      <c r="K1658" cm="1">
        <f t="array" aca="1" ref="K1658" ca="1">INDIRECT("Data!E" &amp; 1653)</f>
        <v>0</v>
      </c>
      <c r="L1658" cm="1">
        <f t="array" aca="1" ref="L1658" ca="1">INDIRECT("Data!F" &amp; 1653)</f>
        <v>0</v>
      </c>
      <c r="M1658" cm="1">
        <f t="array" aca="1" ref="M1658" ca="1">INDIRECT("Data!G" &amp; 1653)</f>
        <v>0</v>
      </c>
      <c r="N1658" cm="1">
        <f t="array" aca="1" ref="N1658" ca="1">INDIRECT("Data!H" &amp; 1653)</f>
        <v>0</v>
      </c>
      <c r="O1658" cm="1">
        <f t="array" aca="1" ref="O1658" ca="1">INDIRECT("Data!I" &amp; 1653)</f>
        <v>0</v>
      </c>
      <c r="P1658" s="21" cm="1">
        <f t="array" aca="1" ref="P1658" ca="1">INDIRECT("Data!J" &amp; 1653)</f>
        <v>0</v>
      </c>
      <c r="Q1658" cm="1">
        <f t="array" aca="1" ref="Q1658" ca="1">INDIRECT("Data!K" &amp; 1653)</f>
        <v>0</v>
      </c>
      <c r="R1658" cm="1">
        <f t="array" aca="1" ref="R1658" ca="1">INDIRECT("Data!L" &amp; 1653)</f>
        <v>0</v>
      </c>
      <c r="S1658" cm="1">
        <f t="array" aca="1" ref="S1658" ca="1">INDIRECT("Data!M" &amp; 1653)</f>
        <v>0</v>
      </c>
      <c r="T1658" cm="1">
        <f t="array" aca="1" ref="T1658" ca="1">INDIRECT("Data!N" &amp; 1653)</f>
        <v>0</v>
      </c>
      <c r="U1658" cm="1">
        <f t="array" aca="1" ref="U1658" ca="1">INDIRECT("Data!O" &amp; 1653)</f>
        <v>0</v>
      </c>
      <c r="V1658" cm="1">
        <f t="array" aca="1" ref="V1658" ca="1">INDIRECT("Data!P" &amp; 1653)</f>
        <v>0</v>
      </c>
    </row>
    <row r="1659" spans="7:22" x14ac:dyDescent="0.25">
      <c r="G1659" cm="1">
        <f t="array" aca="1" ref="G1659" ca="1">INDIRECT("Data!A" &amp; 1654)</f>
        <v>0</v>
      </c>
      <c r="H1659" s="21" cm="1">
        <f t="array" aca="1" ref="H1659" ca="1">INDIRECT("Data!B" &amp; 1654)</f>
        <v>0</v>
      </c>
      <c r="I1659" s="21" cm="1">
        <f t="array" aca="1" ref="I1659" ca="1">INDIRECT("Data!C" &amp; 1654)</f>
        <v>0</v>
      </c>
      <c r="J1659" cm="1">
        <f t="array" aca="1" ref="J1659" ca="1">INDIRECT("Data!D" &amp; 1654)</f>
        <v>0</v>
      </c>
      <c r="K1659" cm="1">
        <f t="array" aca="1" ref="K1659" ca="1">INDIRECT("Data!E" &amp; 1654)</f>
        <v>0</v>
      </c>
      <c r="L1659" cm="1">
        <f t="array" aca="1" ref="L1659" ca="1">INDIRECT("Data!F" &amp; 1654)</f>
        <v>0</v>
      </c>
      <c r="M1659" cm="1">
        <f t="array" aca="1" ref="M1659" ca="1">INDIRECT("Data!G" &amp; 1654)</f>
        <v>0</v>
      </c>
      <c r="N1659" cm="1">
        <f t="array" aca="1" ref="N1659" ca="1">INDIRECT("Data!H" &amp; 1654)</f>
        <v>0</v>
      </c>
      <c r="O1659" cm="1">
        <f t="array" aca="1" ref="O1659" ca="1">INDIRECT("Data!I" &amp; 1654)</f>
        <v>0</v>
      </c>
      <c r="P1659" s="21" cm="1">
        <f t="array" aca="1" ref="P1659" ca="1">INDIRECT("Data!J" &amp; 1654)</f>
        <v>0</v>
      </c>
      <c r="Q1659" cm="1">
        <f t="array" aca="1" ref="Q1659" ca="1">INDIRECT("Data!K" &amp; 1654)</f>
        <v>0</v>
      </c>
      <c r="R1659" cm="1">
        <f t="array" aca="1" ref="R1659" ca="1">INDIRECT("Data!L" &amp; 1654)</f>
        <v>0</v>
      </c>
      <c r="S1659" cm="1">
        <f t="array" aca="1" ref="S1659" ca="1">INDIRECT("Data!M" &amp; 1654)</f>
        <v>0</v>
      </c>
      <c r="T1659" cm="1">
        <f t="array" aca="1" ref="T1659" ca="1">INDIRECT("Data!N" &amp; 1654)</f>
        <v>0</v>
      </c>
      <c r="U1659" cm="1">
        <f t="array" aca="1" ref="U1659" ca="1">INDIRECT("Data!O" &amp; 1654)</f>
        <v>0</v>
      </c>
      <c r="V1659" cm="1">
        <f t="array" aca="1" ref="V1659" ca="1">INDIRECT("Data!P" &amp; 1654)</f>
        <v>0</v>
      </c>
    </row>
    <row r="1660" spans="7:22" x14ac:dyDescent="0.25">
      <c r="G1660" cm="1">
        <f t="array" aca="1" ref="G1660" ca="1">INDIRECT("Data!A" &amp; 1655)</f>
        <v>0</v>
      </c>
      <c r="H1660" s="21" cm="1">
        <f t="array" aca="1" ref="H1660" ca="1">INDIRECT("Data!B" &amp; 1655)</f>
        <v>0</v>
      </c>
      <c r="I1660" s="21" cm="1">
        <f t="array" aca="1" ref="I1660" ca="1">INDIRECT("Data!C" &amp; 1655)</f>
        <v>0</v>
      </c>
      <c r="J1660" cm="1">
        <f t="array" aca="1" ref="J1660" ca="1">INDIRECT("Data!D" &amp; 1655)</f>
        <v>0</v>
      </c>
      <c r="K1660" cm="1">
        <f t="array" aca="1" ref="K1660" ca="1">INDIRECT("Data!E" &amp; 1655)</f>
        <v>0</v>
      </c>
      <c r="L1660" cm="1">
        <f t="array" aca="1" ref="L1660" ca="1">INDIRECT("Data!F" &amp; 1655)</f>
        <v>0</v>
      </c>
      <c r="M1660" cm="1">
        <f t="array" aca="1" ref="M1660" ca="1">INDIRECT("Data!G" &amp; 1655)</f>
        <v>0</v>
      </c>
      <c r="N1660" cm="1">
        <f t="array" aca="1" ref="N1660" ca="1">INDIRECT("Data!H" &amp; 1655)</f>
        <v>0</v>
      </c>
      <c r="O1660" cm="1">
        <f t="array" aca="1" ref="O1660" ca="1">INDIRECT("Data!I" &amp; 1655)</f>
        <v>0</v>
      </c>
      <c r="P1660" s="21" cm="1">
        <f t="array" aca="1" ref="P1660" ca="1">INDIRECT("Data!J" &amp; 1655)</f>
        <v>0</v>
      </c>
      <c r="Q1660" cm="1">
        <f t="array" aca="1" ref="Q1660" ca="1">INDIRECT("Data!K" &amp; 1655)</f>
        <v>0</v>
      </c>
      <c r="R1660" cm="1">
        <f t="array" aca="1" ref="R1660" ca="1">INDIRECT("Data!L" &amp; 1655)</f>
        <v>0</v>
      </c>
      <c r="S1660" cm="1">
        <f t="array" aca="1" ref="S1660" ca="1">INDIRECT("Data!M" &amp; 1655)</f>
        <v>0</v>
      </c>
      <c r="T1660" cm="1">
        <f t="array" aca="1" ref="T1660" ca="1">INDIRECT("Data!N" &amp; 1655)</f>
        <v>0</v>
      </c>
      <c r="U1660" cm="1">
        <f t="array" aca="1" ref="U1660" ca="1">INDIRECT("Data!O" &amp; 1655)</f>
        <v>0</v>
      </c>
      <c r="V1660" cm="1">
        <f t="array" aca="1" ref="V1660" ca="1">INDIRECT("Data!P" &amp; 1655)</f>
        <v>0</v>
      </c>
    </row>
    <row r="1661" spans="7:22" x14ac:dyDescent="0.25">
      <c r="G1661" cm="1">
        <f t="array" aca="1" ref="G1661" ca="1">INDIRECT("Data!A" &amp; 1656)</f>
        <v>0</v>
      </c>
      <c r="H1661" s="21" cm="1">
        <f t="array" aca="1" ref="H1661" ca="1">INDIRECT("Data!B" &amp; 1656)</f>
        <v>0</v>
      </c>
      <c r="I1661" s="21" cm="1">
        <f t="array" aca="1" ref="I1661" ca="1">INDIRECT("Data!C" &amp; 1656)</f>
        <v>0</v>
      </c>
      <c r="J1661" cm="1">
        <f t="array" aca="1" ref="J1661" ca="1">INDIRECT("Data!D" &amp; 1656)</f>
        <v>0</v>
      </c>
      <c r="K1661" cm="1">
        <f t="array" aca="1" ref="K1661" ca="1">INDIRECT("Data!E" &amp; 1656)</f>
        <v>0</v>
      </c>
      <c r="L1661" cm="1">
        <f t="array" aca="1" ref="L1661" ca="1">INDIRECT("Data!F" &amp; 1656)</f>
        <v>0</v>
      </c>
      <c r="M1661" cm="1">
        <f t="array" aca="1" ref="M1661" ca="1">INDIRECT("Data!G" &amp; 1656)</f>
        <v>0</v>
      </c>
      <c r="N1661" cm="1">
        <f t="array" aca="1" ref="N1661" ca="1">INDIRECT("Data!H" &amp; 1656)</f>
        <v>0</v>
      </c>
      <c r="O1661" cm="1">
        <f t="array" aca="1" ref="O1661" ca="1">INDIRECT("Data!I" &amp; 1656)</f>
        <v>0</v>
      </c>
      <c r="P1661" s="21" cm="1">
        <f t="array" aca="1" ref="P1661" ca="1">INDIRECT("Data!J" &amp; 1656)</f>
        <v>0</v>
      </c>
      <c r="Q1661" cm="1">
        <f t="array" aca="1" ref="Q1661" ca="1">INDIRECT("Data!K" &amp; 1656)</f>
        <v>0</v>
      </c>
      <c r="R1661" cm="1">
        <f t="array" aca="1" ref="R1661" ca="1">INDIRECT("Data!L" &amp; 1656)</f>
        <v>0</v>
      </c>
      <c r="S1661" cm="1">
        <f t="array" aca="1" ref="S1661" ca="1">INDIRECT("Data!M" &amp; 1656)</f>
        <v>0</v>
      </c>
      <c r="T1661" cm="1">
        <f t="array" aca="1" ref="T1661" ca="1">INDIRECT("Data!N" &amp; 1656)</f>
        <v>0</v>
      </c>
      <c r="U1661" cm="1">
        <f t="array" aca="1" ref="U1661" ca="1">INDIRECT("Data!O" &amp; 1656)</f>
        <v>0</v>
      </c>
      <c r="V1661" cm="1">
        <f t="array" aca="1" ref="V1661" ca="1">INDIRECT("Data!P" &amp; 1656)</f>
        <v>0</v>
      </c>
    </row>
    <row r="1662" spans="7:22" x14ac:dyDescent="0.25">
      <c r="G1662" cm="1">
        <f t="array" aca="1" ref="G1662" ca="1">INDIRECT("Data!A" &amp; 1657)</f>
        <v>0</v>
      </c>
      <c r="H1662" s="21" cm="1">
        <f t="array" aca="1" ref="H1662" ca="1">INDIRECT("Data!B" &amp; 1657)</f>
        <v>0</v>
      </c>
      <c r="I1662" s="21" cm="1">
        <f t="array" aca="1" ref="I1662" ca="1">INDIRECT("Data!C" &amp; 1657)</f>
        <v>0</v>
      </c>
      <c r="J1662" cm="1">
        <f t="array" aca="1" ref="J1662" ca="1">INDIRECT("Data!D" &amp; 1657)</f>
        <v>0</v>
      </c>
      <c r="K1662" cm="1">
        <f t="array" aca="1" ref="K1662" ca="1">INDIRECT("Data!E" &amp; 1657)</f>
        <v>0</v>
      </c>
      <c r="L1662" cm="1">
        <f t="array" aca="1" ref="L1662" ca="1">INDIRECT("Data!F" &amp; 1657)</f>
        <v>0</v>
      </c>
      <c r="M1662" cm="1">
        <f t="array" aca="1" ref="M1662" ca="1">INDIRECT("Data!G" &amp; 1657)</f>
        <v>0</v>
      </c>
      <c r="N1662" cm="1">
        <f t="array" aca="1" ref="N1662" ca="1">INDIRECT("Data!H" &amp; 1657)</f>
        <v>0</v>
      </c>
      <c r="O1662" cm="1">
        <f t="array" aca="1" ref="O1662" ca="1">INDIRECT("Data!I" &amp; 1657)</f>
        <v>0</v>
      </c>
      <c r="P1662" s="21" cm="1">
        <f t="array" aca="1" ref="P1662" ca="1">INDIRECT("Data!J" &amp; 1657)</f>
        <v>0</v>
      </c>
      <c r="Q1662" cm="1">
        <f t="array" aca="1" ref="Q1662" ca="1">INDIRECT("Data!K" &amp; 1657)</f>
        <v>0</v>
      </c>
      <c r="R1662" cm="1">
        <f t="array" aca="1" ref="R1662" ca="1">INDIRECT("Data!L" &amp; 1657)</f>
        <v>0</v>
      </c>
      <c r="S1662" cm="1">
        <f t="array" aca="1" ref="S1662" ca="1">INDIRECT("Data!M" &amp; 1657)</f>
        <v>0</v>
      </c>
      <c r="T1662" cm="1">
        <f t="array" aca="1" ref="T1662" ca="1">INDIRECT("Data!N" &amp; 1657)</f>
        <v>0</v>
      </c>
      <c r="U1662" cm="1">
        <f t="array" aca="1" ref="U1662" ca="1">INDIRECT("Data!O" &amp; 1657)</f>
        <v>0</v>
      </c>
      <c r="V1662" cm="1">
        <f t="array" aca="1" ref="V1662" ca="1">INDIRECT("Data!P" &amp; 1657)</f>
        <v>0</v>
      </c>
    </row>
    <row r="1663" spans="7:22" x14ac:dyDescent="0.25">
      <c r="G1663" cm="1">
        <f t="array" aca="1" ref="G1663" ca="1">INDIRECT("Data!A" &amp; 1658)</f>
        <v>0</v>
      </c>
      <c r="H1663" s="21" cm="1">
        <f t="array" aca="1" ref="H1663" ca="1">INDIRECT("Data!B" &amp; 1658)</f>
        <v>0</v>
      </c>
      <c r="I1663" s="21" cm="1">
        <f t="array" aca="1" ref="I1663" ca="1">INDIRECT("Data!C" &amp; 1658)</f>
        <v>0</v>
      </c>
      <c r="J1663" cm="1">
        <f t="array" aca="1" ref="J1663" ca="1">INDIRECT("Data!D" &amp; 1658)</f>
        <v>0</v>
      </c>
      <c r="K1663" cm="1">
        <f t="array" aca="1" ref="K1663" ca="1">INDIRECT("Data!E" &amp; 1658)</f>
        <v>0</v>
      </c>
      <c r="L1663" cm="1">
        <f t="array" aca="1" ref="L1663" ca="1">INDIRECT("Data!F" &amp; 1658)</f>
        <v>0</v>
      </c>
      <c r="M1663" cm="1">
        <f t="array" aca="1" ref="M1663" ca="1">INDIRECT("Data!G" &amp; 1658)</f>
        <v>0</v>
      </c>
      <c r="N1663" cm="1">
        <f t="array" aca="1" ref="N1663" ca="1">INDIRECT("Data!H" &amp; 1658)</f>
        <v>0</v>
      </c>
      <c r="O1663" cm="1">
        <f t="array" aca="1" ref="O1663" ca="1">INDIRECT("Data!I" &amp; 1658)</f>
        <v>0</v>
      </c>
      <c r="P1663" s="21" cm="1">
        <f t="array" aca="1" ref="P1663" ca="1">INDIRECT("Data!J" &amp; 1658)</f>
        <v>0</v>
      </c>
      <c r="Q1663" cm="1">
        <f t="array" aca="1" ref="Q1663" ca="1">INDIRECT("Data!K" &amp; 1658)</f>
        <v>0</v>
      </c>
      <c r="R1663" cm="1">
        <f t="array" aca="1" ref="R1663" ca="1">INDIRECT("Data!L" &amp; 1658)</f>
        <v>0</v>
      </c>
      <c r="S1663" cm="1">
        <f t="array" aca="1" ref="S1663" ca="1">INDIRECT("Data!M" &amp; 1658)</f>
        <v>0</v>
      </c>
      <c r="T1663" cm="1">
        <f t="array" aca="1" ref="T1663" ca="1">INDIRECT("Data!N" &amp; 1658)</f>
        <v>0</v>
      </c>
      <c r="U1663" cm="1">
        <f t="array" aca="1" ref="U1663" ca="1">INDIRECT("Data!O" &amp; 1658)</f>
        <v>0</v>
      </c>
      <c r="V1663" cm="1">
        <f t="array" aca="1" ref="V1663" ca="1">INDIRECT("Data!P" &amp; 1658)</f>
        <v>0</v>
      </c>
    </row>
    <row r="1664" spans="7:22" x14ac:dyDescent="0.25">
      <c r="G1664" cm="1">
        <f t="array" aca="1" ref="G1664" ca="1">INDIRECT("Data!A" &amp; 1659)</f>
        <v>0</v>
      </c>
      <c r="H1664" s="21" cm="1">
        <f t="array" aca="1" ref="H1664" ca="1">INDIRECT("Data!B" &amp; 1659)</f>
        <v>0</v>
      </c>
      <c r="I1664" s="21" cm="1">
        <f t="array" aca="1" ref="I1664" ca="1">INDIRECT("Data!C" &amp; 1659)</f>
        <v>0</v>
      </c>
      <c r="J1664" cm="1">
        <f t="array" aca="1" ref="J1664" ca="1">INDIRECT("Data!D" &amp; 1659)</f>
        <v>0</v>
      </c>
      <c r="K1664" cm="1">
        <f t="array" aca="1" ref="K1664" ca="1">INDIRECT("Data!E" &amp; 1659)</f>
        <v>0</v>
      </c>
      <c r="L1664" cm="1">
        <f t="array" aca="1" ref="L1664" ca="1">INDIRECT("Data!F" &amp; 1659)</f>
        <v>0</v>
      </c>
      <c r="M1664" cm="1">
        <f t="array" aca="1" ref="M1664" ca="1">INDIRECT("Data!G" &amp; 1659)</f>
        <v>0</v>
      </c>
      <c r="N1664" cm="1">
        <f t="array" aca="1" ref="N1664" ca="1">INDIRECT("Data!H" &amp; 1659)</f>
        <v>0</v>
      </c>
      <c r="O1664" cm="1">
        <f t="array" aca="1" ref="O1664" ca="1">INDIRECT("Data!I" &amp; 1659)</f>
        <v>0</v>
      </c>
      <c r="P1664" s="21" cm="1">
        <f t="array" aca="1" ref="P1664" ca="1">INDIRECT("Data!J" &amp; 1659)</f>
        <v>0</v>
      </c>
      <c r="Q1664" cm="1">
        <f t="array" aca="1" ref="Q1664" ca="1">INDIRECT("Data!K" &amp; 1659)</f>
        <v>0</v>
      </c>
      <c r="R1664" cm="1">
        <f t="array" aca="1" ref="R1664" ca="1">INDIRECT("Data!L" &amp; 1659)</f>
        <v>0</v>
      </c>
      <c r="S1664" cm="1">
        <f t="array" aca="1" ref="S1664" ca="1">INDIRECT("Data!M" &amp; 1659)</f>
        <v>0</v>
      </c>
      <c r="T1664" cm="1">
        <f t="array" aca="1" ref="T1664" ca="1">INDIRECT("Data!N" &amp; 1659)</f>
        <v>0</v>
      </c>
      <c r="U1664" cm="1">
        <f t="array" aca="1" ref="U1664" ca="1">INDIRECT("Data!O" &amp; 1659)</f>
        <v>0</v>
      </c>
      <c r="V1664" cm="1">
        <f t="array" aca="1" ref="V1664" ca="1">INDIRECT("Data!P" &amp; 1659)</f>
        <v>0</v>
      </c>
    </row>
    <row r="1665" spans="7:22" x14ac:dyDescent="0.25">
      <c r="G1665" cm="1">
        <f t="array" aca="1" ref="G1665" ca="1">INDIRECT("Data!A" &amp; 1660)</f>
        <v>0</v>
      </c>
      <c r="H1665" s="21" cm="1">
        <f t="array" aca="1" ref="H1665" ca="1">INDIRECT("Data!B" &amp; 1660)</f>
        <v>0</v>
      </c>
      <c r="I1665" s="21" cm="1">
        <f t="array" aca="1" ref="I1665" ca="1">INDIRECT("Data!C" &amp; 1660)</f>
        <v>0</v>
      </c>
      <c r="J1665" cm="1">
        <f t="array" aca="1" ref="J1665" ca="1">INDIRECT("Data!D" &amp; 1660)</f>
        <v>0</v>
      </c>
      <c r="K1665" cm="1">
        <f t="array" aca="1" ref="K1665" ca="1">INDIRECT("Data!E" &amp; 1660)</f>
        <v>0</v>
      </c>
      <c r="L1665" cm="1">
        <f t="array" aca="1" ref="L1665" ca="1">INDIRECT("Data!F" &amp; 1660)</f>
        <v>0</v>
      </c>
      <c r="M1665" cm="1">
        <f t="array" aca="1" ref="M1665" ca="1">INDIRECT("Data!G" &amp; 1660)</f>
        <v>0</v>
      </c>
      <c r="N1665" cm="1">
        <f t="array" aca="1" ref="N1665" ca="1">INDIRECT("Data!H" &amp; 1660)</f>
        <v>0</v>
      </c>
      <c r="O1665" cm="1">
        <f t="array" aca="1" ref="O1665" ca="1">INDIRECT("Data!I" &amp; 1660)</f>
        <v>0</v>
      </c>
      <c r="P1665" s="21" cm="1">
        <f t="array" aca="1" ref="P1665" ca="1">INDIRECT("Data!J" &amp; 1660)</f>
        <v>0</v>
      </c>
      <c r="Q1665" cm="1">
        <f t="array" aca="1" ref="Q1665" ca="1">INDIRECT("Data!K" &amp; 1660)</f>
        <v>0</v>
      </c>
      <c r="R1665" cm="1">
        <f t="array" aca="1" ref="R1665" ca="1">INDIRECT("Data!L" &amp; 1660)</f>
        <v>0</v>
      </c>
      <c r="S1665" cm="1">
        <f t="array" aca="1" ref="S1665" ca="1">INDIRECT("Data!M" &amp; 1660)</f>
        <v>0</v>
      </c>
      <c r="T1665" cm="1">
        <f t="array" aca="1" ref="T1665" ca="1">INDIRECT("Data!N" &amp; 1660)</f>
        <v>0</v>
      </c>
      <c r="U1665" cm="1">
        <f t="array" aca="1" ref="U1665" ca="1">INDIRECT("Data!O" &amp; 1660)</f>
        <v>0</v>
      </c>
      <c r="V1665" cm="1">
        <f t="array" aca="1" ref="V1665" ca="1">INDIRECT("Data!P" &amp; 1660)</f>
        <v>0</v>
      </c>
    </row>
    <row r="1666" spans="7:22" x14ac:dyDescent="0.25">
      <c r="G1666" cm="1">
        <f t="array" aca="1" ref="G1666" ca="1">INDIRECT("Data!A" &amp; 1661)</f>
        <v>0</v>
      </c>
      <c r="H1666" s="21" cm="1">
        <f t="array" aca="1" ref="H1666" ca="1">INDIRECT("Data!B" &amp; 1661)</f>
        <v>0</v>
      </c>
      <c r="I1666" s="21" cm="1">
        <f t="array" aca="1" ref="I1666" ca="1">INDIRECT("Data!C" &amp; 1661)</f>
        <v>0</v>
      </c>
      <c r="J1666" cm="1">
        <f t="array" aca="1" ref="J1666" ca="1">INDIRECT("Data!D" &amp; 1661)</f>
        <v>0</v>
      </c>
      <c r="K1666" cm="1">
        <f t="array" aca="1" ref="K1666" ca="1">INDIRECT("Data!E" &amp; 1661)</f>
        <v>0</v>
      </c>
      <c r="L1666" cm="1">
        <f t="array" aca="1" ref="L1666" ca="1">INDIRECT("Data!F" &amp; 1661)</f>
        <v>0</v>
      </c>
      <c r="M1666" cm="1">
        <f t="array" aca="1" ref="M1666" ca="1">INDIRECT("Data!G" &amp; 1661)</f>
        <v>0</v>
      </c>
      <c r="N1666" cm="1">
        <f t="array" aca="1" ref="N1666" ca="1">INDIRECT("Data!H" &amp; 1661)</f>
        <v>0</v>
      </c>
      <c r="O1666" cm="1">
        <f t="array" aca="1" ref="O1666" ca="1">INDIRECT("Data!I" &amp; 1661)</f>
        <v>0</v>
      </c>
      <c r="P1666" s="21" cm="1">
        <f t="array" aca="1" ref="P1666" ca="1">INDIRECT("Data!J" &amp; 1661)</f>
        <v>0</v>
      </c>
      <c r="Q1666" cm="1">
        <f t="array" aca="1" ref="Q1666" ca="1">INDIRECT("Data!K" &amp; 1661)</f>
        <v>0</v>
      </c>
      <c r="R1666" cm="1">
        <f t="array" aca="1" ref="R1666" ca="1">INDIRECT("Data!L" &amp; 1661)</f>
        <v>0</v>
      </c>
      <c r="S1666" cm="1">
        <f t="array" aca="1" ref="S1666" ca="1">INDIRECT("Data!M" &amp; 1661)</f>
        <v>0</v>
      </c>
      <c r="T1666" cm="1">
        <f t="array" aca="1" ref="T1666" ca="1">INDIRECT("Data!N" &amp; 1661)</f>
        <v>0</v>
      </c>
      <c r="U1666" cm="1">
        <f t="array" aca="1" ref="U1666" ca="1">INDIRECT("Data!O" &amp; 1661)</f>
        <v>0</v>
      </c>
      <c r="V1666" cm="1">
        <f t="array" aca="1" ref="V1666" ca="1">INDIRECT("Data!P" &amp; 1661)</f>
        <v>0</v>
      </c>
    </row>
    <row r="1667" spans="7:22" x14ac:dyDescent="0.25">
      <c r="G1667" cm="1">
        <f t="array" aca="1" ref="G1667" ca="1">INDIRECT("Data!A" &amp; 1662)</f>
        <v>0</v>
      </c>
      <c r="H1667" s="21" cm="1">
        <f t="array" aca="1" ref="H1667" ca="1">INDIRECT("Data!B" &amp; 1662)</f>
        <v>0</v>
      </c>
      <c r="I1667" s="21" cm="1">
        <f t="array" aca="1" ref="I1667" ca="1">INDIRECT("Data!C" &amp; 1662)</f>
        <v>0</v>
      </c>
      <c r="J1667" cm="1">
        <f t="array" aca="1" ref="J1667" ca="1">INDIRECT("Data!D" &amp; 1662)</f>
        <v>0</v>
      </c>
      <c r="K1667" cm="1">
        <f t="array" aca="1" ref="K1667" ca="1">INDIRECT("Data!E" &amp; 1662)</f>
        <v>0</v>
      </c>
      <c r="L1667" cm="1">
        <f t="array" aca="1" ref="L1667" ca="1">INDIRECT("Data!F" &amp; 1662)</f>
        <v>0</v>
      </c>
      <c r="M1667" cm="1">
        <f t="array" aca="1" ref="M1667" ca="1">INDIRECT("Data!G" &amp; 1662)</f>
        <v>0</v>
      </c>
      <c r="N1667" cm="1">
        <f t="array" aca="1" ref="N1667" ca="1">INDIRECT("Data!H" &amp; 1662)</f>
        <v>0</v>
      </c>
      <c r="O1667" cm="1">
        <f t="array" aca="1" ref="O1667" ca="1">INDIRECT("Data!I" &amp; 1662)</f>
        <v>0</v>
      </c>
      <c r="P1667" s="21" cm="1">
        <f t="array" aca="1" ref="P1667" ca="1">INDIRECT("Data!J" &amp; 1662)</f>
        <v>0</v>
      </c>
      <c r="Q1667" cm="1">
        <f t="array" aca="1" ref="Q1667" ca="1">INDIRECT("Data!K" &amp; 1662)</f>
        <v>0</v>
      </c>
      <c r="R1667" cm="1">
        <f t="array" aca="1" ref="R1667" ca="1">INDIRECT("Data!L" &amp; 1662)</f>
        <v>0</v>
      </c>
      <c r="S1667" cm="1">
        <f t="array" aca="1" ref="S1667" ca="1">INDIRECT("Data!M" &amp; 1662)</f>
        <v>0</v>
      </c>
      <c r="T1667" cm="1">
        <f t="array" aca="1" ref="T1667" ca="1">INDIRECT("Data!N" &amp; 1662)</f>
        <v>0</v>
      </c>
      <c r="U1667" cm="1">
        <f t="array" aca="1" ref="U1667" ca="1">INDIRECT("Data!O" &amp; 1662)</f>
        <v>0</v>
      </c>
      <c r="V1667" cm="1">
        <f t="array" aca="1" ref="V1667" ca="1">INDIRECT("Data!P" &amp; 1662)</f>
        <v>0</v>
      </c>
    </row>
    <row r="1668" spans="7:22" x14ac:dyDescent="0.25">
      <c r="G1668" cm="1">
        <f t="array" aca="1" ref="G1668" ca="1">INDIRECT("Data!A" &amp; 1663)</f>
        <v>0</v>
      </c>
      <c r="H1668" s="21" cm="1">
        <f t="array" aca="1" ref="H1668" ca="1">INDIRECT("Data!B" &amp; 1663)</f>
        <v>0</v>
      </c>
      <c r="I1668" s="21" cm="1">
        <f t="array" aca="1" ref="I1668" ca="1">INDIRECT("Data!C" &amp; 1663)</f>
        <v>0</v>
      </c>
      <c r="J1668" cm="1">
        <f t="array" aca="1" ref="J1668" ca="1">INDIRECT("Data!D" &amp; 1663)</f>
        <v>0</v>
      </c>
      <c r="K1668" cm="1">
        <f t="array" aca="1" ref="K1668" ca="1">INDIRECT("Data!E" &amp; 1663)</f>
        <v>0</v>
      </c>
      <c r="L1668" cm="1">
        <f t="array" aca="1" ref="L1668" ca="1">INDIRECT("Data!F" &amp; 1663)</f>
        <v>0</v>
      </c>
      <c r="M1668" cm="1">
        <f t="array" aca="1" ref="M1668" ca="1">INDIRECT("Data!G" &amp; 1663)</f>
        <v>0</v>
      </c>
      <c r="N1668" cm="1">
        <f t="array" aca="1" ref="N1668" ca="1">INDIRECT("Data!H" &amp; 1663)</f>
        <v>0</v>
      </c>
      <c r="O1668" cm="1">
        <f t="array" aca="1" ref="O1668" ca="1">INDIRECT("Data!I" &amp; 1663)</f>
        <v>0</v>
      </c>
      <c r="P1668" s="21" cm="1">
        <f t="array" aca="1" ref="P1668" ca="1">INDIRECT("Data!J" &amp; 1663)</f>
        <v>0</v>
      </c>
      <c r="Q1668" cm="1">
        <f t="array" aca="1" ref="Q1668" ca="1">INDIRECT("Data!K" &amp; 1663)</f>
        <v>0</v>
      </c>
      <c r="R1668" cm="1">
        <f t="array" aca="1" ref="R1668" ca="1">INDIRECT("Data!L" &amp; 1663)</f>
        <v>0</v>
      </c>
      <c r="S1668" cm="1">
        <f t="array" aca="1" ref="S1668" ca="1">INDIRECT("Data!M" &amp; 1663)</f>
        <v>0</v>
      </c>
      <c r="T1668" cm="1">
        <f t="array" aca="1" ref="T1668" ca="1">INDIRECT("Data!N" &amp; 1663)</f>
        <v>0</v>
      </c>
      <c r="U1668" cm="1">
        <f t="array" aca="1" ref="U1668" ca="1">INDIRECT("Data!O" &amp; 1663)</f>
        <v>0</v>
      </c>
      <c r="V1668" cm="1">
        <f t="array" aca="1" ref="V1668" ca="1">INDIRECT("Data!P" &amp; 1663)</f>
        <v>0</v>
      </c>
    </row>
    <row r="1669" spans="7:22" x14ac:dyDescent="0.25">
      <c r="G1669" cm="1">
        <f t="array" aca="1" ref="G1669" ca="1">INDIRECT("Data!A" &amp; 1664)</f>
        <v>0</v>
      </c>
      <c r="H1669" s="21" cm="1">
        <f t="array" aca="1" ref="H1669" ca="1">INDIRECT("Data!B" &amp; 1664)</f>
        <v>0</v>
      </c>
      <c r="I1669" s="21" cm="1">
        <f t="array" aca="1" ref="I1669" ca="1">INDIRECT("Data!C" &amp; 1664)</f>
        <v>0</v>
      </c>
      <c r="J1669" cm="1">
        <f t="array" aca="1" ref="J1669" ca="1">INDIRECT("Data!D" &amp; 1664)</f>
        <v>0</v>
      </c>
      <c r="K1669" cm="1">
        <f t="array" aca="1" ref="K1669" ca="1">INDIRECT("Data!E" &amp; 1664)</f>
        <v>0</v>
      </c>
      <c r="L1669" cm="1">
        <f t="array" aca="1" ref="L1669" ca="1">INDIRECT("Data!F" &amp; 1664)</f>
        <v>0</v>
      </c>
      <c r="M1669" cm="1">
        <f t="array" aca="1" ref="M1669" ca="1">INDIRECT("Data!G" &amp; 1664)</f>
        <v>0</v>
      </c>
      <c r="N1669" cm="1">
        <f t="array" aca="1" ref="N1669" ca="1">INDIRECT("Data!H" &amp; 1664)</f>
        <v>0</v>
      </c>
      <c r="O1669" cm="1">
        <f t="array" aca="1" ref="O1669" ca="1">INDIRECT("Data!I" &amp; 1664)</f>
        <v>0</v>
      </c>
      <c r="P1669" s="21" cm="1">
        <f t="array" aca="1" ref="P1669" ca="1">INDIRECT("Data!J" &amp; 1664)</f>
        <v>0</v>
      </c>
      <c r="Q1669" cm="1">
        <f t="array" aca="1" ref="Q1669" ca="1">INDIRECT("Data!K" &amp; 1664)</f>
        <v>0</v>
      </c>
      <c r="R1669" cm="1">
        <f t="array" aca="1" ref="R1669" ca="1">INDIRECT("Data!L" &amp; 1664)</f>
        <v>0</v>
      </c>
      <c r="S1669" cm="1">
        <f t="array" aca="1" ref="S1669" ca="1">INDIRECT("Data!M" &amp; 1664)</f>
        <v>0</v>
      </c>
      <c r="T1669" cm="1">
        <f t="array" aca="1" ref="T1669" ca="1">INDIRECT("Data!N" &amp; 1664)</f>
        <v>0</v>
      </c>
      <c r="U1669" cm="1">
        <f t="array" aca="1" ref="U1669" ca="1">INDIRECT("Data!O" &amp; 1664)</f>
        <v>0</v>
      </c>
      <c r="V1669" cm="1">
        <f t="array" aca="1" ref="V1669" ca="1">INDIRECT("Data!P" &amp; 1664)</f>
        <v>0</v>
      </c>
    </row>
    <row r="1670" spans="7:22" x14ac:dyDescent="0.25">
      <c r="G1670" cm="1">
        <f t="array" aca="1" ref="G1670" ca="1">INDIRECT("Data!A" &amp; 1665)</f>
        <v>0</v>
      </c>
      <c r="H1670" s="21" cm="1">
        <f t="array" aca="1" ref="H1670" ca="1">INDIRECT("Data!B" &amp; 1665)</f>
        <v>0</v>
      </c>
      <c r="I1670" s="21" cm="1">
        <f t="array" aca="1" ref="I1670" ca="1">INDIRECT("Data!C" &amp; 1665)</f>
        <v>0</v>
      </c>
      <c r="J1670" cm="1">
        <f t="array" aca="1" ref="J1670" ca="1">INDIRECT("Data!D" &amp; 1665)</f>
        <v>0</v>
      </c>
      <c r="K1670" cm="1">
        <f t="array" aca="1" ref="K1670" ca="1">INDIRECT("Data!E" &amp; 1665)</f>
        <v>0</v>
      </c>
      <c r="L1670" cm="1">
        <f t="array" aca="1" ref="L1670" ca="1">INDIRECT("Data!F" &amp; 1665)</f>
        <v>0</v>
      </c>
      <c r="M1670" cm="1">
        <f t="array" aca="1" ref="M1670" ca="1">INDIRECT("Data!G" &amp; 1665)</f>
        <v>0</v>
      </c>
      <c r="N1670" cm="1">
        <f t="array" aca="1" ref="N1670" ca="1">INDIRECT("Data!H" &amp; 1665)</f>
        <v>0</v>
      </c>
      <c r="O1670" cm="1">
        <f t="array" aca="1" ref="O1670" ca="1">INDIRECT("Data!I" &amp; 1665)</f>
        <v>0</v>
      </c>
      <c r="P1670" s="21" cm="1">
        <f t="array" aca="1" ref="P1670" ca="1">INDIRECT("Data!J" &amp; 1665)</f>
        <v>0</v>
      </c>
      <c r="Q1670" cm="1">
        <f t="array" aca="1" ref="Q1670" ca="1">INDIRECT("Data!K" &amp; 1665)</f>
        <v>0</v>
      </c>
      <c r="R1670" cm="1">
        <f t="array" aca="1" ref="R1670" ca="1">INDIRECT("Data!L" &amp; 1665)</f>
        <v>0</v>
      </c>
      <c r="S1670" cm="1">
        <f t="array" aca="1" ref="S1670" ca="1">INDIRECT("Data!M" &amp; 1665)</f>
        <v>0</v>
      </c>
      <c r="T1670" cm="1">
        <f t="array" aca="1" ref="T1670" ca="1">INDIRECT("Data!N" &amp; 1665)</f>
        <v>0</v>
      </c>
      <c r="U1670" cm="1">
        <f t="array" aca="1" ref="U1670" ca="1">INDIRECT("Data!O" &amp; 1665)</f>
        <v>0</v>
      </c>
      <c r="V1670" cm="1">
        <f t="array" aca="1" ref="V1670" ca="1">INDIRECT("Data!P" &amp; 1665)</f>
        <v>0</v>
      </c>
    </row>
    <row r="1671" spans="7:22" x14ac:dyDescent="0.25">
      <c r="G1671" cm="1">
        <f t="array" aca="1" ref="G1671" ca="1">INDIRECT("Data!A" &amp; 1666)</f>
        <v>0</v>
      </c>
      <c r="H1671" s="21" cm="1">
        <f t="array" aca="1" ref="H1671" ca="1">INDIRECT("Data!B" &amp; 1666)</f>
        <v>0</v>
      </c>
      <c r="I1671" s="21" cm="1">
        <f t="array" aca="1" ref="I1671" ca="1">INDIRECT("Data!C" &amp; 1666)</f>
        <v>0</v>
      </c>
      <c r="J1671" cm="1">
        <f t="array" aca="1" ref="J1671" ca="1">INDIRECT("Data!D" &amp; 1666)</f>
        <v>0</v>
      </c>
      <c r="K1671" cm="1">
        <f t="array" aca="1" ref="K1671" ca="1">INDIRECT("Data!E" &amp; 1666)</f>
        <v>0</v>
      </c>
      <c r="L1671" cm="1">
        <f t="array" aca="1" ref="L1671" ca="1">INDIRECT("Data!F" &amp; 1666)</f>
        <v>0</v>
      </c>
      <c r="M1671" cm="1">
        <f t="array" aca="1" ref="M1671" ca="1">INDIRECT("Data!G" &amp; 1666)</f>
        <v>0</v>
      </c>
      <c r="N1671" cm="1">
        <f t="array" aca="1" ref="N1671" ca="1">INDIRECT("Data!H" &amp; 1666)</f>
        <v>0</v>
      </c>
      <c r="O1671" cm="1">
        <f t="array" aca="1" ref="O1671" ca="1">INDIRECT("Data!I" &amp; 1666)</f>
        <v>0</v>
      </c>
      <c r="P1671" s="21" cm="1">
        <f t="array" aca="1" ref="P1671" ca="1">INDIRECT("Data!J" &amp; 1666)</f>
        <v>0</v>
      </c>
      <c r="Q1671" cm="1">
        <f t="array" aca="1" ref="Q1671" ca="1">INDIRECT("Data!K" &amp; 1666)</f>
        <v>0</v>
      </c>
      <c r="R1671" cm="1">
        <f t="array" aca="1" ref="R1671" ca="1">INDIRECT("Data!L" &amp; 1666)</f>
        <v>0</v>
      </c>
      <c r="S1671" cm="1">
        <f t="array" aca="1" ref="S1671" ca="1">INDIRECT("Data!M" &amp; 1666)</f>
        <v>0</v>
      </c>
      <c r="T1671" cm="1">
        <f t="array" aca="1" ref="T1671" ca="1">INDIRECT("Data!N" &amp; 1666)</f>
        <v>0</v>
      </c>
      <c r="U1671" cm="1">
        <f t="array" aca="1" ref="U1671" ca="1">INDIRECT("Data!O" &amp; 1666)</f>
        <v>0</v>
      </c>
      <c r="V1671" cm="1">
        <f t="array" aca="1" ref="V1671" ca="1">INDIRECT("Data!P" &amp; 1666)</f>
        <v>0</v>
      </c>
    </row>
    <row r="1672" spans="7:22" x14ac:dyDescent="0.25">
      <c r="G1672" cm="1">
        <f t="array" aca="1" ref="G1672" ca="1">INDIRECT("Data!A" &amp; 1667)</f>
        <v>0</v>
      </c>
      <c r="H1672" s="21" cm="1">
        <f t="array" aca="1" ref="H1672" ca="1">INDIRECT("Data!B" &amp; 1667)</f>
        <v>0</v>
      </c>
      <c r="I1672" s="21" cm="1">
        <f t="array" aca="1" ref="I1672" ca="1">INDIRECT("Data!C" &amp; 1667)</f>
        <v>0</v>
      </c>
      <c r="J1672" cm="1">
        <f t="array" aca="1" ref="J1672" ca="1">INDIRECT("Data!D" &amp; 1667)</f>
        <v>0</v>
      </c>
      <c r="K1672" cm="1">
        <f t="array" aca="1" ref="K1672" ca="1">INDIRECT("Data!E" &amp; 1667)</f>
        <v>0</v>
      </c>
      <c r="L1672" cm="1">
        <f t="array" aca="1" ref="L1672" ca="1">INDIRECT("Data!F" &amp; 1667)</f>
        <v>0</v>
      </c>
      <c r="M1672" cm="1">
        <f t="array" aca="1" ref="M1672" ca="1">INDIRECT("Data!G" &amp; 1667)</f>
        <v>0</v>
      </c>
      <c r="N1672" cm="1">
        <f t="array" aca="1" ref="N1672" ca="1">INDIRECT("Data!H" &amp; 1667)</f>
        <v>0</v>
      </c>
      <c r="O1672" cm="1">
        <f t="array" aca="1" ref="O1672" ca="1">INDIRECT("Data!I" &amp; 1667)</f>
        <v>0</v>
      </c>
      <c r="P1672" s="21" cm="1">
        <f t="array" aca="1" ref="P1672" ca="1">INDIRECT("Data!J" &amp; 1667)</f>
        <v>0</v>
      </c>
      <c r="Q1672" cm="1">
        <f t="array" aca="1" ref="Q1672" ca="1">INDIRECT("Data!K" &amp; 1667)</f>
        <v>0</v>
      </c>
      <c r="R1672" cm="1">
        <f t="array" aca="1" ref="R1672" ca="1">INDIRECT("Data!L" &amp; 1667)</f>
        <v>0</v>
      </c>
      <c r="S1672" cm="1">
        <f t="array" aca="1" ref="S1672" ca="1">INDIRECT("Data!M" &amp; 1667)</f>
        <v>0</v>
      </c>
      <c r="T1672" cm="1">
        <f t="array" aca="1" ref="T1672" ca="1">INDIRECT("Data!N" &amp; 1667)</f>
        <v>0</v>
      </c>
      <c r="U1672" cm="1">
        <f t="array" aca="1" ref="U1672" ca="1">INDIRECT("Data!O" &amp; 1667)</f>
        <v>0</v>
      </c>
      <c r="V1672" cm="1">
        <f t="array" aca="1" ref="V1672" ca="1">INDIRECT("Data!P" &amp; 1667)</f>
        <v>0</v>
      </c>
    </row>
    <row r="1673" spans="7:22" x14ac:dyDescent="0.25">
      <c r="G1673" cm="1">
        <f t="array" aca="1" ref="G1673" ca="1">INDIRECT("Data!A" &amp; 1668)</f>
        <v>0</v>
      </c>
      <c r="H1673" s="21" cm="1">
        <f t="array" aca="1" ref="H1673" ca="1">INDIRECT("Data!B" &amp; 1668)</f>
        <v>0</v>
      </c>
      <c r="I1673" s="21" cm="1">
        <f t="array" aca="1" ref="I1673" ca="1">INDIRECT("Data!C" &amp; 1668)</f>
        <v>0</v>
      </c>
      <c r="J1673" cm="1">
        <f t="array" aca="1" ref="J1673" ca="1">INDIRECT("Data!D" &amp; 1668)</f>
        <v>0</v>
      </c>
      <c r="K1673" cm="1">
        <f t="array" aca="1" ref="K1673" ca="1">INDIRECT("Data!E" &amp; 1668)</f>
        <v>0</v>
      </c>
      <c r="L1673" cm="1">
        <f t="array" aca="1" ref="L1673" ca="1">INDIRECT("Data!F" &amp; 1668)</f>
        <v>0</v>
      </c>
      <c r="M1673" cm="1">
        <f t="array" aca="1" ref="M1673" ca="1">INDIRECT("Data!G" &amp; 1668)</f>
        <v>0</v>
      </c>
      <c r="N1673" cm="1">
        <f t="array" aca="1" ref="N1673" ca="1">INDIRECT("Data!H" &amp; 1668)</f>
        <v>0</v>
      </c>
      <c r="O1673" cm="1">
        <f t="array" aca="1" ref="O1673" ca="1">INDIRECT("Data!I" &amp; 1668)</f>
        <v>0</v>
      </c>
      <c r="P1673" s="21" cm="1">
        <f t="array" aca="1" ref="P1673" ca="1">INDIRECT("Data!J" &amp; 1668)</f>
        <v>0</v>
      </c>
      <c r="Q1673" cm="1">
        <f t="array" aca="1" ref="Q1673" ca="1">INDIRECT("Data!K" &amp; 1668)</f>
        <v>0</v>
      </c>
      <c r="R1673" cm="1">
        <f t="array" aca="1" ref="R1673" ca="1">INDIRECT("Data!L" &amp; 1668)</f>
        <v>0</v>
      </c>
      <c r="S1673" cm="1">
        <f t="array" aca="1" ref="S1673" ca="1">INDIRECT("Data!M" &amp; 1668)</f>
        <v>0</v>
      </c>
      <c r="T1673" cm="1">
        <f t="array" aca="1" ref="T1673" ca="1">INDIRECT("Data!N" &amp; 1668)</f>
        <v>0</v>
      </c>
      <c r="U1673" cm="1">
        <f t="array" aca="1" ref="U1673" ca="1">INDIRECT("Data!O" &amp; 1668)</f>
        <v>0</v>
      </c>
      <c r="V1673" cm="1">
        <f t="array" aca="1" ref="V1673" ca="1">INDIRECT("Data!P" &amp; 1668)</f>
        <v>0</v>
      </c>
    </row>
    <row r="1674" spans="7:22" x14ac:dyDescent="0.25">
      <c r="G1674" cm="1">
        <f t="array" aca="1" ref="G1674" ca="1">INDIRECT("Data!A" &amp; 1669)</f>
        <v>0</v>
      </c>
      <c r="H1674" s="21" cm="1">
        <f t="array" aca="1" ref="H1674" ca="1">INDIRECT("Data!B" &amp; 1669)</f>
        <v>0</v>
      </c>
      <c r="I1674" s="21" cm="1">
        <f t="array" aca="1" ref="I1674" ca="1">INDIRECT("Data!C" &amp; 1669)</f>
        <v>0</v>
      </c>
      <c r="J1674" cm="1">
        <f t="array" aca="1" ref="J1674" ca="1">INDIRECT("Data!D" &amp; 1669)</f>
        <v>0</v>
      </c>
      <c r="K1674" cm="1">
        <f t="array" aca="1" ref="K1674" ca="1">INDIRECT("Data!E" &amp; 1669)</f>
        <v>0</v>
      </c>
      <c r="L1674" cm="1">
        <f t="array" aca="1" ref="L1674" ca="1">INDIRECT("Data!F" &amp; 1669)</f>
        <v>0</v>
      </c>
      <c r="M1674" cm="1">
        <f t="array" aca="1" ref="M1674" ca="1">INDIRECT("Data!G" &amp; 1669)</f>
        <v>0</v>
      </c>
      <c r="N1674" cm="1">
        <f t="array" aca="1" ref="N1674" ca="1">INDIRECT("Data!H" &amp; 1669)</f>
        <v>0</v>
      </c>
      <c r="O1674" cm="1">
        <f t="array" aca="1" ref="O1674" ca="1">INDIRECT("Data!I" &amp; 1669)</f>
        <v>0</v>
      </c>
      <c r="P1674" s="21" cm="1">
        <f t="array" aca="1" ref="P1674" ca="1">INDIRECT("Data!J" &amp; 1669)</f>
        <v>0</v>
      </c>
      <c r="Q1674" cm="1">
        <f t="array" aca="1" ref="Q1674" ca="1">INDIRECT("Data!K" &amp; 1669)</f>
        <v>0</v>
      </c>
      <c r="R1674" cm="1">
        <f t="array" aca="1" ref="R1674" ca="1">INDIRECT("Data!L" &amp; 1669)</f>
        <v>0</v>
      </c>
      <c r="S1674" cm="1">
        <f t="array" aca="1" ref="S1674" ca="1">INDIRECT("Data!M" &amp; 1669)</f>
        <v>0</v>
      </c>
      <c r="T1674" cm="1">
        <f t="array" aca="1" ref="T1674" ca="1">INDIRECT("Data!N" &amp; 1669)</f>
        <v>0</v>
      </c>
      <c r="U1674" cm="1">
        <f t="array" aca="1" ref="U1674" ca="1">INDIRECT("Data!O" &amp; 1669)</f>
        <v>0</v>
      </c>
      <c r="V1674" cm="1">
        <f t="array" aca="1" ref="V1674" ca="1">INDIRECT("Data!P" &amp; 1669)</f>
        <v>0</v>
      </c>
    </row>
    <row r="1675" spans="7:22" x14ac:dyDescent="0.25">
      <c r="G1675" cm="1">
        <f t="array" aca="1" ref="G1675" ca="1">INDIRECT("Data!A" &amp; 1670)</f>
        <v>0</v>
      </c>
      <c r="H1675" s="21" cm="1">
        <f t="array" aca="1" ref="H1675" ca="1">INDIRECT("Data!B" &amp; 1670)</f>
        <v>0</v>
      </c>
      <c r="I1675" s="21" cm="1">
        <f t="array" aca="1" ref="I1675" ca="1">INDIRECT("Data!C" &amp; 1670)</f>
        <v>0</v>
      </c>
      <c r="J1675" cm="1">
        <f t="array" aca="1" ref="J1675" ca="1">INDIRECT("Data!D" &amp; 1670)</f>
        <v>0</v>
      </c>
      <c r="K1675" cm="1">
        <f t="array" aca="1" ref="K1675" ca="1">INDIRECT("Data!E" &amp; 1670)</f>
        <v>0</v>
      </c>
      <c r="L1675" cm="1">
        <f t="array" aca="1" ref="L1675" ca="1">INDIRECT("Data!F" &amp; 1670)</f>
        <v>0</v>
      </c>
      <c r="M1675" cm="1">
        <f t="array" aca="1" ref="M1675" ca="1">INDIRECT("Data!G" &amp; 1670)</f>
        <v>0</v>
      </c>
      <c r="N1675" cm="1">
        <f t="array" aca="1" ref="N1675" ca="1">INDIRECT("Data!H" &amp; 1670)</f>
        <v>0</v>
      </c>
      <c r="O1675" cm="1">
        <f t="array" aca="1" ref="O1675" ca="1">INDIRECT("Data!I" &amp; 1670)</f>
        <v>0</v>
      </c>
      <c r="P1675" s="21" cm="1">
        <f t="array" aca="1" ref="P1675" ca="1">INDIRECT("Data!J" &amp; 1670)</f>
        <v>0</v>
      </c>
      <c r="Q1675" cm="1">
        <f t="array" aca="1" ref="Q1675" ca="1">INDIRECT("Data!K" &amp; 1670)</f>
        <v>0</v>
      </c>
      <c r="R1675" cm="1">
        <f t="array" aca="1" ref="R1675" ca="1">INDIRECT("Data!L" &amp; 1670)</f>
        <v>0</v>
      </c>
      <c r="S1675" cm="1">
        <f t="array" aca="1" ref="S1675" ca="1">INDIRECT("Data!M" &amp; 1670)</f>
        <v>0</v>
      </c>
      <c r="T1675" cm="1">
        <f t="array" aca="1" ref="T1675" ca="1">INDIRECT("Data!N" &amp; 1670)</f>
        <v>0</v>
      </c>
      <c r="U1675" cm="1">
        <f t="array" aca="1" ref="U1675" ca="1">INDIRECT("Data!O" &amp; 1670)</f>
        <v>0</v>
      </c>
      <c r="V1675" cm="1">
        <f t="array" aca="1" ref="V1675" ca="1">INDIRECT("Data!P" &amp; 1670)</f>
        <v>0</v>
      </c>
    </row>
    <row r="1676" spans="7:22" x14ac:dyDescent="0.25">
      <c r="G1676" cm="1">
        <f t="array" aca="1" ref="G1676" ca="1">INDIRECT("Data!A" &amp; 1671)</f>
        <v>0</v>
      </c>
      <c r="H1676" s="21" cm="1">
        <f t="array" aca="1" ref="H1676" ca="1">INDIRECT("Data!B" &amp; 1671)</f>
        <v>0</v>
      </c>
      <c r="I1676" s="21" cm="1">
        <f t="array" aca="1" ref="I1676" ca="1">INDIRECT("Data!C" &amp; 1671)</f>
        <v>0</v>
      </c>
      <c r="J1676" cm="1">
        <f t="array" aca="1" ref="J1676" ca="1">INDIRECT("Data!D" &amp; 1671)</f>
        <v>0</v>
      </c>
      <c r="K1676" cm="1">
        <f t="array" aca="1" ref="K1676" ca="1">INDIRECT("Data!E" &amp; 1671)</f>
        <v>0</v>
      </c>
      <c r="L1676" cm="1">
        <f t="array" aca="1" ref="L1676" ca="1">INDIRECT("Data!F" &amp; 1671)</f>
        <v>0</v>
      </c>
      <c r="M1676" cm="1">
        <f t="array" aca="1" ref="M1676" ca="1">INDIRECT("Data!G" &amp; 1671)</f>
        <v>0</v>
      </c>
      <c r="N1676" cm="1">
        <f t="array" aca="1" ref="N1676" ca="1">INDIRECT("Data!H" &amp; 1671)</f>
        <v>0</v>
      </c>
      <c r="O1676" cm="1">
        <f t="array" aca="1" ref="O1676" ca="1">INDIRECT("Data!I" &amp; 1671)</f>
        <v>0</v>
      </c>
      <c r="P1676" s="21" cm="1">
        <f t="array" aca="1" ref="P1676" ca="1">INDIRECT("Data!J" &amp; 1671)</f>
        <v>0</v>
      </c>
      <c r="Q1676" cm="1">
        <f t="array" aca="1" ref="Q1676" ca="1">INDIRECT("Data!K" &amp; 1671)</f>
        <v>0</v>
      </c>
      <c r="R1676" cm="1">
        <f t="array" aca="1" ref="R1676" ca="1">INDIRECT("Data!L" &amp; 1671)</f>
        <v>0</v>
      </c>
      <c r="S1676" cm="1">
        <f t="array" aca="1" ref="S1676" ca="1">INDIRECT("Data!M" &amp; 1671)</f>
        <v>0</v>
      </c>
      <c r="T1676" cm="1">
        <f t="array" aca="1" ref="T1676" ca="1">INDIRECT("Data!N" &amp; 1671)</f>
        <v>0</v>
      </c>
      <c r="U1676" cm="1">
        <f t="array" aca="1" ref="U1676" ca="1">INDIRECT("Data!O" &amp; 1671)</f>
        <v>0</v>
      </c>
      <c r="V1676" cm="1">
        <f t="array" aca="1" ref="V1676" ca="1">INDIRECT("Data!P" &amp; 1671)</f>
        <v>0</v>
      </c>
    </row>
    <row r="1677" spans="7:22" x14ac:dyDescent="0.25">
      <c r="G1677" cm="1">
        <f t="array" aca="1" ref="G1677" ca="1">INDIRECT("Data!A" &amp; 1672)</f>
        <v>0</v>
      </c>
      <c r="H1677" s="21" cm="1">
        <f t="array" aca="1" ref="H1677" ca="1">INDIRECT("Data!B" &amp; 1672)</f>
        <v>0</v>
      </c>
      <c r="I1677" s="21" cm="1">
        <f t="array" aca="1" ref="I1677" ca="1">INDIRECT("Data!C" &amp; 1672)</f>
        <v>0</v>
      </c>
      <c r="J1677" cm="1">
        <f t="array" aca="1" ref="J1677" ca="1">INDIRECT("Data!D" &amp; 1672)</f>
        <v>0</v>
      </c>
      <c r="K1677" cm="1">
        <f t="array" aca="1" ref="K1677" ca="1">INDIRECT("Data!E" &amp; 1672)</f>
        <v>0</v>
      </c>
      <c r="L1677" cm="1">
        <f t="array" aca="1" ref="L1677" ca="1">INDIRECT("Data!F" &amp; 1672)</f>
        <v>0</v>
      </c>
      <c r="M1677" cm="1">
        <f t="array" aca="1" ref="M1677" ca="1">INDIRECT("Data!G" &amp; 1672)</f>
        <v>0</v>
      </c>
      <c r="N1677" cm="1">
        <f t="array" aca="1" ref="N1677" ca="1">INDIRECT("Data!H" &amp; 1672)</f>
        <v>0</v>
      </c>
      <c r="O1677" cm="1">
        <f t="array" aca="1" ref="O1677" ca="1">INDIRECT("Data!I" &amp; 1672)</f>
        <v>0</v>
      </c>
      <c r="P1677" s="21" cm="1">
        <f t="array" aca="1" ref="P1677" ca="1">INDIRECT("Data!J" &amp; 1672)</f>
        <v>0</v>
      </c>
      <c r="Q1677" cm="1">
        <f t="array" aca="1" ref="Q1677" ca="1">INDIRECT("Data!K" &amp; 1672)</f>
        <v>0</v>
      </c>
      <c r="R1677" cm="1">
        <f t="array" aca="1" ref="R1677" ca="1">INDIRECT("Data!L" &amp; 1672)</f>
        <v>0</v>
      </c>
      <c r="S1677" cm="1">
        <f t="array" aca="1" ref="S1677" ca="1">INDIRECT("Data!M" &amp; 1672)</f>
        <v>0</v>
      </c>
      <c r="T1677" cm="1">
        <f t="array" aca="1" ref="T1677" ca="1">INDIRECT("Data!N" &amp; 1672)</f>
        <v>0</v>
      </c>
      <c r="U1677" cm="1">
        <f t="array" aca="1" ref="U1677" ca="1">INDIRECT("Data!O" &amp; 1672)</f>
        <v>0</v>
      </c>
      <c r="V1677" cm="1">
        <f t="array" aca="1" ref="V1677" ca="1">INDIRECT("Data!P" &amp; 1672)</f>
        <v>0</v>
      </c>
    </row>
    <row r="1678" spans="7:22" x14ac:dyDescent="0.25">
      <c r="G1678" cm="1">
        <f t="array" aca="1" ref="G1678" ca="1">INDIRECT("Data!A" &amp; 1673)</f>
        <v>0</v>
      </c>
      <c r="H1678" s="21" cm="1">
        <f t="array" aca="1" ref="H1678" ca="1">INDIRECT("Data!B" &amp; 1673)</f>
        <v>0</v>
      </c>
      <c r="I1678" s="21" cm="1">
        <f t="array" aca="1" ref="I1678" ca="1">INDIRECT("Data!C" &amp; 1673)</f>
        <v>0</v>
      </c>
      <c r="J1678" cm="1">
        <f t="array" aca="1" ref="J1678" ca="1">INDIRECT("Data!D" &amp; 1673)</f>
        <v>0</v>
      </c>
      <c r="K1678" cm="1">
        <f t="array" aca="1" ref="K1678" ca="1">INDIRECT("Data!E" &amp; 1673)</f>
        <v>0</v>
      </c>
      <c r="L1678" cm="1">
        <f t="array" aca="1" ref="L1678" ca="1">INDIRECT("Data!F" &amp; 1673)</f>
        <v>0</v>
      </c>
      <c r="M1678" cm="1">
        <f t="array" aca="1" ref="M1678" ca="1">INDIRECT("Data!G" &amp; 1673)</f>
        <v>0</v>
      </c>
      <c r="N1678" cm="1">
        <f t="array" aca="1" ref="N1678" ca="1">INDIRECT("Data!H" &amp; 1673)</f>
        <v>0</v>
      </c>
      <c r="O1678" cm="1">
        <f t="array" aca="1" ref="O1678" ca="1">INDIRECT("Data!I" &amp; 1673)</f>
        <v>0</v>
      </c>
      <c r="P1678" s="21" cm="1">
        <f t="array" aca="1" ref="P1678" ca="1">INDIRECT("Data!J" &amp; 1673)</f>
        <v>0</v>
      </c>
      <c r="Q1678" cm="1">
        <f t="array" aca="1" ref="Q1678" ca="1">INDIRECT("Data!K" &amp; 1673)</f>
        <v>0</v>
      </c>
      <c r="R1678" cm="1">
        <f t="array" aca="1" ref="R1678" ca="1">INDIRECT("Data!L" &amp; 1673)</f>
        <v>0</v>
      </c>
      <c r="S1678" cm="1">
        <f t="array" aca="1" ref="S1678" ca="1">INDIRECT("Data!M" &amp; 1673)</f>
        <v>0</v>
      </c>
      <c r="T1678" cm="1">
        <f t="array" aca="1" ref="T1678" ca="1">INDIRECT("Data!N" &amp; 1673)</f>
        <v>0</v>
      </c>
      <c r="U1678" cm="1">
        <f t="array" aca="1" ref="U1678" ca="1">INDIRECT("Data!O" &amp; 1673)</f>
        <v>0</v>
      </c>
      <c r="V1678" cm="1">
        <f t="array" aca="1" ref="V1678" ca="1">INDIRECT("Data!P" &amp; 1673)</f>
        <v>0</v>
      </c>
    </row>
    <row r="1679" spans="7:22" x14ac:dyDescent="0.25">
      <c r="G1679" cm="1">
        <f t="array" aca="1" ref="G1679" ca="1">INDIRECT("Data!A" &amp; 1674)</f>
        <v>0</v>
      </c>
      <c r="H1679" s="21" cm="1">
        <f t="array" aca="1" ref="H1679" ca="1">INDIRECT("Data!B" &amp; 1674)</f>
        <v>0</v>
      </c>
      <c r="I1679" s="21" cm="1">
        <f t="array" aca="1" ref="I1679" ca="1">INDIRECT("Data!C" &amp; 1674)</f>
        <v>0</v>
      </c>
      <c r="J1679" cm="1">
        <f t="array" aca="1" ref="J1679" ca="1">INDIRECT("Data!D" &amp; 1674)</f>
        <v>0</v>
      </c>
      <c r="K1679" cm="1">
        <f t="array" aca="1" ref="K1679" ca="1">INDIRECT("Data!E" &amp; 1674)</f>
        <v>0</v>
      </c>
      <c r="L1679" cm="1">
        <f t="array" aca="1" ref="L1679" ca="1">INDIRECT("Data!F" &amp; 1674)</f>
        <v>0</v>
      </c>
      <c r="M1679" cm="1">
        <f t="array" aca="1" ref="M1679" ca="1">INDIRECT("Data!G" &amp; 1674)</f>
        <v>0</v>
      </c>
      <c r="N1679" cm="1">
        <f t="array" aca="1" ref="N1679" ca="1">INDIRECT("Data!H" &amp; 1674)</f>
        <v>0</v>
      </c>
      <c r="O1679" cm="1">
        <f t="array" aca="1" ref="O1679" ca="1">INDIRECT("Data!I" &amp; 1674)</f>
        <v>0</v>
      </c>
      <c r="P1679" s="21" cm="1">
        <f t="array" aca="1" ref="P1679" ca="1">INDIRECT("Data!J" &amp; 1674)</f>
        <v>0</v>
      </c>
      <c r="Q1679" cm="1">
        <f t="array" aca="1" ref="Q1679" ca="1">INDIRECT("Data!K" &amp; 1674)</f>
        <v>0</v>
      </c>
      <c r="R1679" cm="1">
        <f t="array" aca="1" ref="R1679" ca="1">INDIRECT("Data!L" &amp; 1674)</f>
        <v>0</v>
      </c>
      <c r="S1679" cm="1">
        <f t="array" aca="1" ref="S1679" ca="1">INDIRECT("Data!M" &amp; 1674)</f>
        <v>0</v>
      </c>
      <c r="T1679" cm="1">
        <f t="array" aca="1" ref="T1679" ca="1">INDIRECT("Data!N" &amp; 1674)</f>
        <v>0</v>
      </c>
      <c r="U1679" cm="1">
        <f t="array" aca="1" ref="U1679" ca="1">INDIRECT("Data!O" &amp; 1674)</f>
        <v>0</v>
      </c>
      <c r="V1679" cm="1">
        <f t="array" aca="1" ref="V1679" ca="1">INDIRECT("Data!P" &amp; 1674)</f>
        <v>0</v>
      </c>
    </row>
    <row r="1680" spans="7:22" x14ac:dyDescent="0.25">
      <c r="G1680" cm="1">
        <f t="array" aca="1" ref="G1680" ca="1">INDIRECT("Data!A" &amp; 1675)</f>
        <v>0</v>
      </c>
      <c r="H1680" s="21" cm="1">
        <f t="array" aca="1" ref="H1680" ca="1">INDIRECT("Data!B" &amp; 1675)</f>
        <v>0</v>
      </c>
      <c r="I1680" s="21" cm="1">
        <f t="array" aca="1" ref="I1680" ca="1">INDIRECT("Data!C" &amp; 1675)</f>
        <v>0</v>
      </c>
      <c r="J1680" cm="1">
        <f t="array" aca="1" ref="J1680" ca="1">INDIRECT("Data!D" &amp; 1675)</f>
        <v>0</v>
      </c>
      <c r="K1680" cm="1">
        <f t="array" aca="1" ref="K1680" ca="1">INDIRECT("Data!E" &amp; 1675)</f>
        <v>0</v>
      </c>
      <c r="L1680" cm="1">
        <f t="array" aca="1" ref="L1680" ca="1">INDIRECT("Data!F" &amp; 1675)</f>
        <v>0</v>
      </c>
      <c r="M1680" cm="1">
        <f t="array" aca="1" ref="M1680" ca="1">INDIRECT("Data!G" &amp; 1675)</f>
        <v>0</v>
      </c>
      <c r="N1680" cm="1">
        <f t="array" aca="1" ref="N1680" ca="1">INDIRECT("Data!H" &amp; 1675)</f>
        <v>0</v>
      </c>
      <c r="O1680" cm="1">
        <f t="array" aca="1" ref="O1680" ca="1">INDIRECT("Data!I" &amp; 1675)</f>
        <v>0</v>
      </c>
      <c r="P1680" s="21" cm="1">
        <f t="array" aca="1" ref="P1680" ca="1">INDIRECT("Data!J" &amp; 1675)</f>
        <v>0</v>
      </c>
      <c r="Q1680" cm="1">
        <f t="array" aca="1" ref="Q1680" ca="1">INDIRECT("Data!K" &amp; 1675)</f>
        <v>0</v>
      </c>
      <c r="R1680" cm="1">
        <f t="array" aca="1" ref="R1680" ca="1">INDIRECT("Data!L" &amp; 1675)</f>
        <v>0</v>
      </c>
      <c r="S1680" cm="1">
        <f t="array" aca="1" ref="S1680" ca="1">INDIRECT("Data!M" &amp; 1675)</f>
        <v>0</v>
      </c>
      <c r="T1680" cm="1">
        <f t="array" aca="1" ref="T1680" ca="1">INDIRECT("Data!N" &amp; 1675)</f>
        <v>0</v>
      </c>
      <c r="U1680" cm="1">
        <f t="array" aca="1" ref="U1680" ca="1">INDIRECT("Data!O" &amp; 1675)</f>
        <v>0</v>
      </c>
      <c r="V1680" cm="1">
        <f t="array" aca="1" ref="V1680" ca="1">INDIRECT("Data!P" &amp; 1675)</f>
        <v>0</v>
      </c>
    </row>
    <row r="1681" spans="7:22" x14ac:dyDescent="0.25">
      <c r="G1681" cm="1">
        <f t="array" aca="1" ref="G1681" ca="1">INDIRECT("Data!A" &amp; 1676)</f>
        <v>0</v>
      </c>
      <c r="H1681" s="21" cm="1">
        <f t="array" aca="1" ref="H1681" ca="1">INDIRECT("Data!B" &amp; 1676)</f>
        <v>0</v>
      </c>
      <c r="I1681" s="21" cm="1">
        <f t="array" aca="1" ref="I1681" ca="1">INDIRECT("Data!C" &amp; 1676)</f>
        <v>0</v>
      </c>
      <c r="J1681" cm="1">
        <f t="array" aca="1" ref="J1681" ca="1">INDIRECT("Data!D" &amp; 1676)</f>
        <v>0</v>
      </c>
      <c r="K1681" cm="1">
        <f t="array" aca="1" ref="K1681" ca="1">INDIRECT("Data!E" &amp; 1676)</f>
        <v>0</v>
      </c>
      <c r="L1681" cm="1">
        <f t="array" aca="1" ref="L1681" ca="1">INDIRECT("Data!F" &amp; 1676)</f>
        <v>0</v>
      </c>
      <c r="M1681" cm="1">
        <f t="array" aca="1" ref="M1681" ca="1">INDIRECT("Data!G" &amp; 1676)</f>
        <v>0</v>
      </c>
      <c r="N1681" cm="1">
        <f t="array" aca="1" ref="N1681" ca="1">INDIRECT("Data!H" &amp; 1676)</f>
        <v>0</v>
      </c>
      <c r="O1681" cm="1">
        <f t="array" aca="1" ref="O1681" ca="1">INDIRECT("Data!I" &amp; 1676)</f>
        <v>0</v>
      </c>
      <c r="P1681" s="21" cm="1">
        <f t="array" aca="1" ref="P1681" ca="1">INDIRECT("Data!J" &amp; 1676)</f>
        <v>0</v>
      </c>
      <c r="Q1681" cm="1">
        <f t="array" aca="1" ref="Q1681" ca="1">INDIRECT("Data!K" &amp; 1676)</f>
        <v>0</v>
      </c>
      <c r="R1681" cm="1">
        <f t="array" aca="1" ref="R1681" ca="1">INDIRECT("Data!L" &amp; 1676)</f>
        <v>0</v>
      </c>
      <c r="S1681" cm="1">
        <f t="array" aca="1" ref="S1681" ca="1">INDIRECT("Data!M" &amp; 1676)</f>
        <v>0</v>
      </c>
      <c r="T1681" cm="1">
        <f t="array" aca="1" ref="T1681" ca="1">INDIRECT("Data!N" &amp; 1676)</f>
        <v>0</v>
      </c>
      <c r="U1681" cm="1">
        <f t="array" aca="1" ref="U1681" ca="1">INDIRECT("Data!O" &amp; 1676)</f>
        <v>0</v>
      </c>
      <c r="V1681" cm="1">
        <f t="array" aca="1" ref="V1681" ca="1">INDIRECT("Data!P" &amp; 1676)</f>
        <v>0</v>
      </c>
    </row>
    <row r="1682" spans="7:22" x14ac:dyDescent="0.25">
      <c r="G1682" cm="1">
        <f t="array" aca="1" ref="G1682" ca="1">INDIRECT("Data!A" &amp; 1677)</f>
        <v>0</v>
      </c>
      <c r="H1682" s="21" cm="1">
        <f t="array" aca="1" ref="H1682" ca="1">INDIRECT("Data!B" &amp; 1677)</f>
        <v>0</v>
      </c>
      <c r="I1682" s="21" cm="1">
        <f t="array" aca="1" ref="I1682" ca="1">INDIRECT("Data!C" &amp; 1677)</f>
        <v>0</v>
      </c>
      <c r="J1682" cm="1">
        <f t="array" aca="1" ref="J1682" ca="1">INDIRECT("Data!D" &amp; 1677)</f>
        <v>0</v>
      </c>
      <c r="K1682" cm="1">
        <f t="array" aca="1" ref="K1682" ca="1">INDIRECT("Data!E" &amp; 1677)</f>
        <v>0</v>
      </c>
      <c r="L1682" cm="1">
        <f t="array" aca="1" ref="L1682" ca="1">INDIRECT("Data!F" &amp; 1677)</f>
        <v>0</v>
      </c>
      <c r="M1682" cm="1">
        <f t="array" aca="1" ref="M1682" ca="1">INDIRECT("Data!G" &amp; 1677)</f>
        <v>0</v>
      </c>
      <c r="N1682" cm="1">
        <f t="array" aca="1" ref="N1682" ca="1">INDIRECT("Data!H" &amp; 1677)</f>
        <v>0</v>
      </c>
      <c r="O1682" cm="1">
        <f t="array" aca="1" ref="O1682" ca="1">INDIRECT("Data!I" &amp; 1677)</f>
        <v>0</v>
      </c>
      <c r="P1682" s="21" cm="1">
        <f t="array" aca="1" ref="P1682" ca="1">INDIRECT("Data!J" &amp; 1677)</f>
        <v>0</v>
      </c>
      <c r="Q1682" cm="1">
        <f t="array" aca="1" ref="Q1682" ca="1">INDIRECT("Data!K" &amp; 1677)</f>
        <v>0</v>
      </c>
      <c r="R1682" cm="1">
        <f t="array" aca="1" ref="R1682" ca="1">INDIRECT("Data!L" &amp; 1677)</f>
        <v>0</v>
      </c>
      <c r="S1682" cm="1">
        <f t="array" aca="1" ref="S1682" ca="1">INDIRECT("Data!M" &amp; 1677)</f>
        <v>0</v>
      </c>
      <c r="T1682" cm="1">
        <f t="array" aca="1" ref="T1682" ca="1">INDIRECT("Data!N" &amp; 1677)</f>
        <v>0</v>
      </c>
      <c r="U1682" cm="1">
        <f t="array" aca="1" ref="U1682" ca="1">INDIRECT("Data!O" &amp; 1677)</f>
        <v>0</v>
      </c>
      <c r="V1682" cm="1">
        <f t="array" aca="1" ref="V1682" ca="1">INDIRECT("Data!P" &amp; 1677)</f>
        <v>0</v>
      </c>
    </row>
    <row r="1683" spans="7:22" x14ac:dyDescent="0.25">
      <c r="G1683" cm="1">
        <f t="array" aca="1" ref="G1683" ca="1">INDIRECT("Data!A" &amp; 1678)</f>
        <v>0</v>
      </c>
      <c r="H1683" s="21" cm="1">
        <f t="array" aca="1" ref="H1683" ca="1">INDIRECT("Data!B" &amp; 1678)</f>
        <v>0</v>
      </c>
      <c r="I1683" s="21" cm="1">
        <f t="array" aca="1" ref="I1683" ca="1">INDIRECT("Data!C" &amp; 1678)</f>
        <v>0</v>
      </c>
      <c r="J1683" cm="1">
        <f t="array" aca="1" ref="J1683" ca="1">INDIRECT("Data!D" &amp; 1678)</f>
        <v>0</v>
      </c>
      <c r="K1683" cm="1">
        <f t="array" aca="1" ref="K1683" ca="1">INDIRECT("Data!E" &amp; 1678)</f>
        <v>0</v>
      </c>
      <c r="L1683" cm="1">
        <f t="array" aca="1" ref="L1683" ca="1">INDIRECT("Data!F" &amp; 1678)</f>
        <v>0</v>
      </c>
      <c r="M1683" cm="1">
        <f t="array" aca="1" ref="M1683" ca="1">INDIRECT("Data!G" &amp; 1678)</f>
        <v>0</v>
      </c>
      <c r="N1683" cm="1">
        <f t="array" aca="1" ref="N1683" ca="1">INDIRECT("Data!H" &amp; 1678)</f>
        <v>0</v>
      </c>
      <c r="O1683" cm="1">
        <f t="array" aca="1" ref="O1683" ca="1">INDIRECT("Data!I" &amp; 1678)</f>
        <v>0</v>
      </c>
      <c r="P1683" s="21" cm="1">
        <f t="array" aca="1" ref="P1683" ca="1">INDIRECT("Data!J" &amp; 1678)</f>
        <v>0</v>
      </c>
      <c r="Q1683" cm="1">
        <f t="array" aca="1" ref="Q1683" ca="1">INDIRECT("Data!K" &amp; 1678)</f>
        <v>0</v>
      </c>
      <c r="R1683" cm="1">
        <f t="array" aca="1" ref="R1683" ca="1">INDIRECT("Data!L" &amp; 1678)</f>
        <v>0</v>
      </c>
      <c r="S1683" cm="1">
        <f t="array" aca="1" ref="S1683" ca="1">INDIRECT("Data!M" &amp; 1678)</f>
        <v>0</v>
      </c>
      <c r="T1683" cm="1">
        <f t="array" aca="1" ref="T1683" ca="1">INDIRECT("Data!N" &amp; 1678)</f>
        <v>0</v>
      </c>
      <c r="U1683" cm="1">
        <f t="array" aca="1" ref="U1683" ca="1">INDIRECT("Data!O" &amp; 1678)</f>
        <v>0</v>
      </c>
      <c r="V1683" cm="1">
        <f t="array" aca="1" ref="V1683" ca="1">INDIRECT("Data!P" &amp; 1678)</f>
        <v>0</v>
      </c>
    </row>
    <row r="1684" spans="7:22" x14ac:dyDescent="0.25">
      <c r="G1684" cm="1">
        <f t="array" aca="1" ref="G1684" ca="1">INDIRECT("Data!A" &amp; 1679)</f>
        <v>0</v>
      </c>
      <c r="H1684" s="21" cm="1">
        <f t="array" aca="1" ref="H1684" ca="1">INDIRECT("Data!B" &amp; 1679)</f>
        <v>0</v>
      </c>
      <c r="I1684" s="21" cm="1">
        <f t="array" aca="1" ref="I1684" ca="1">INDIRECT("Data!C" &amp; 1679)</f>
        <v>0</v>
      </c>
      <c r="J1684" cm="1">
        <f t="array" aca="1" ref="J1684" ca="1">INDIRECT("Data!D" &amp; 1679)</f>
        <v>0</v>
      </c>
      <c r="K1684" cm="1">
        <f t="array" aca="1" ref="K1684" ca="1">INDIRECT("Data!E" &amp; 1679)</f>
        <v>0</v>
      </c>
      <c r="L1684" cm="1">
        <f t="array" aca="1" ref="L1684" ca="1">INDIRECT("Data!F" &amp; 1679)</f>
        <v>0</v>
      </c>
      <c r="M1684" cm="1">
        <f t="array" aca="1" ref="M1684" ca="1">INDIRECT("Data!G" &amp; 1679)</f>
        <v>0</v>
      </c>
      <c r="N1684" cm="1">
        <f t="array" aca="1" ref="N1684" ca="1">INDIRECT("Data!H" &amp; 1679)</f>
        <v>0</v>
      </c>
      <c r="O1684" cm="1">
        <f t="array" aca="1" ref="O1684" ca="1">INDIRECT("Data!I" &amp; 1679)</f>
        <v>0</v>
      </c>
      <c r="P1684" s="21" cm="1">
        <f t="array" aca="1" ref="P1684" ca="1">INDIRECT("Data!J" &amp; 1679)</f>
        <v>0</v>
      </c>
      <c r="Q1684" cm="1">
        <f t="array" aca="1" ref="Q1684" ca="1">INDIRECT("Data!K" &amp; 1679)</f>
        <v>0</v>
      </c>
      <c r="R1684" cm="1">
        <f t="array" aca="1" ref="R1684" ca="1">INDIRECT("Data!L" &amp; 1679)</f>
        <v>0</v>
      </c>
      <c r="S1684" cm="1">
        <f t="array" aca="1" ref="S1684" ca="1">INDIRECT("Data!M" &amp; 1679)</f>
        <v>0</v>
      </c>
      <c r="T1684" cm="1">
        <f t="array" aca="1" ref="T1684" ca="1">INDIRECT("Data!N" &amp; 1679)</f>
        <v>0</v>
      </c>
      <c r="U1684" cm="1">
        <f t="array" aca="1" ref="U1684" ca="1">INDIRECT("Data!O" &amp; 1679)</f>
        <v>0</v>
      </c>
      <c r="V1684" cm="1">
        <f t="array" aca="1" ref="V1684" ca="1">INDIRECT("Data!P" &amp; 1679)</f>
        <v>0</v>
      </c>
    </row>
    <row r="1685" spans="7:22" x14ac:dyDescent="0.25">
      <c r="G1685" cm="1">
        <f t="array" aca="1" ref="G1685" ca="1">INDIRECT("Data!A" &amp; 1680)</f>
        <v>0</v>
      </c>
      <c r="H1685" s="21" cm="1">
        <f t="array" aca="1" ref="H1685" ca="1">INDIRECT("Data!B" &amp; 1680)</f>
        <v>0</v>
      </c>
      <c r="I1685" s="21" cm="1">
        <f t="array" aca="1" ref="I1685" ca="1">INDIRECT("Data!C" &amp; 1680)</f>
        <v>0</v>
      </c>
      <c r="J1685" cm="1">
        <f t="array" aca="1" ref="J1685" ca="1">INDIRECT("Data!D" &amp; 1680)</f>
        <v>0</v>
      </c>
      <c r="K1685" cm="1">
        <f t="array" aca="1" ref="K1685" ca="1">INDIRECT("Data!E" &amp; 1680)</f>
        <v>0</v>
      </c>
      <c r="L1685" cm="1">
        <f t="array" aca="1" ref="L1685" ca="1">INDIRECT("Data!F" &amp; 1680)</f>
        <v>0</v>
      </c>
      <c r="M1685" cm="1">
        <f t="array" aca="1" ref="M1685" ca="1">INDIRECT("Data!G" &amp; 1680)</f>
        <v>0</v>
      </c>
      <c r="N1685" cm="1">
        <f t="array" aca="1" ref="N1685" ca="1">INDIRECT("Data!H" &amp; 1680)</f>
        <v>0</v>
      </c>
      <c r="O1685" cm="1">
        <f t="array" aca="1" ref="O1685" ca="1">INDIRECT("Data!I" &amp; 1680)</f>
        <v>0</v>
      </c>
      <c r="P1685" s="21" cm="1">
        <f t="array" aca="1" ref="P1685" ca="1">INDIRECT("Data!J" &amp; 1680)</f>
        <v>0</v>
      </c>
      <c r="Q1685" cm="1">
        <f t="array" aca="1" ref="Q1685" ca="1">INDIRECT("Data!K" &amp; 1680)</f>
        <v>0</v>
      </c>
      <c r="R1685" cm="1">
        <f t="array" aca="1" ref="R1685" ca="1">INDIRECT("Data!L" &amp; 1680)</f>
        <v>0</v>
      </c>
      <c r="S1685" cm="1">
        <f t="array" aca="1" ref="S1685" ca="1">INDIRECT("Data!M" &amp; 1680)</f>
        <v>0</v>
      </c>
      <c r="T1685" cm="1">
        <f t="array" aca="1" ref="T1685" ca="1">INDIRECT("Data!N" &amp; 1680)</f>
        <v>0</v>
      </c>
      <c r="U1685" cm="1">
        <f t="array" aca="1" ref="U1685" ca="1">INDIRECT("Data!O" &amp; 1680)</f>
        <v>0</v>
      </c>
      <c r="V1685" cm="1">
        <f t="array" aca="1" ref="V1685" ca="1">INDIRECT("Data!P" &amp; 1680)</f>
        <v>0</v>
      </c>
    </row>
    <row r="1686" spans="7:22" x14ac:dyDescent="0.25">
      <c r="G1686" cm="1">
        <f t="array" aca="1" ref="G1686" ca="1">INDIRECT("Data!A" &amp; 1681)</f>
        <v>0</v>
      </c>
      <c r="H1686" s="21" cm="1">
        <f t="array" aca="1" ref="H1686" ca="1">INDIRECT("Data!B" &amp; 1681)</f>
        <v>0</v>
      </c>
      <c r="I1686" s="21" cm="1">
        <f t="array" aca="1" ref="I1686" ca="1">INDIRECT("Data!C" &amp; 1681)</f>
        <v>0</v>
      </c>
      <c r="J1686" cm="1">
        <f t="array" aca="1" ref="J1686" ca="1">INDIRECT("Data!D" &amp; 1681)</f>
        <v>0</v>
      </c>
      <c r="K1686" cm="1">
        <f t="array" aca="1" ref="K1686" ca="1">INDIRECT("Data!E" &amp; 1681)</f>
        <v>0</v>
      </c>
      <c r="L1686" cm="1">
        <f t="array" aca="1" ref="L1686" ca="1">INDIRECT("Data!F" &amp; 1681)</f>
        <v>0</v>
      </c>
      <c r="M1686" cm="1">
        <f t="array" aca="1" ref="M1686" ca="1">INDIRECT("Data!G" &amp; 1681)</f>
        <v>0</v>
      </c>
      <c r="N1686" cm="1">
        <f t="array" aca="1" ref="N1686" ca="1">INDIRECT("Data!H" &amp; 1681)</f>
        <v>0</v>
      </c>
      <c r="O1686" cm="1">
        <f t="array" aca="1" ref="O1686" ca="1">INDIRECT("Data!I" &amp; 1681)</f>
        <v>0</v>
      </c>
      <c r="P1686" s="21" cm="1">
        <f t="array" aca="1" ref="P1686" ca="1">INDIRECT("Data!J" &amp; 1681)</f>
        <v>0</v>
      </c>
      <c r="Q1686" cm="1">
        <f t="array" aca="1" ref="Q1686" ca="1">INDIRECT("Data!K" &amp; 1681)</f>
        <v>0</v>
      </c>
      <c r="R1686" cm="1">
        <f t="array" aca="1" ref="R1686" ca="1">INDIRECT("Data!L" &amp; 1681)</f>
        <v>0</v>
      </c>
      <c r="S1686" cm="1">
        <f t="array" aca="1" ref="S1686" ca="1">INDIRECT("Data!M" &amp; 1681)</f>
        <v>0</v>
      </c>
      <c r="T1686" cm="1">
        <f t="array" aca="1" ref="T1686" ca="1">INDIRECT("Data!N" &amp; 1681)</f>
        <v>0</v>
      </c>
      <c r="U1686" cm="1">
        <f t="array" aca="1" ref="U1686" ca="1">INDIRECT("Data!O" &amp; 1681)</f>
        <v>0</v>
      </c>
      <c r="V1686" cm="1">
        <f t="array" aca="1" ref="V1686" ca="1">INDIRECT("Data!P" &amp; 1681)</f>
        <v>0</v>
      </c>
    </row>
    <row r="1687" spans="7:22" x14ac:dyDescent="0.25">
      <c r="G1687" cm="1">
        <f t="array" aca="1" ref="G1687" ca="1">INDIRECT("Data!A" &amp; 1682)</f>
        <v>0</v>
      </c>
      <c r="H1687" s="21" cm="1">
        <f t="array" aca="1" ref="H1687" ca="1">INDIRECT("Data!B" &amp; 1682)</f>
        <v>0</v>
      </c>
      <c r="I1687" s="21" cm="1">
        <f t="array" aca="1" ref="I1687" ca="1">INDIRECT("Data!C" &amp; 1682)</f>
        <v>0</v>
      </c>
      <c r="J1687" cm="1">
        <f t="array" aca="1" ref="J1687" ca="1">INDIRECT("Data!D" &amp; 1682)</f>
        <v>0</v>
      </c>
      <c r="K1687" cm="1">
        <f t="array" aca="1" ref="K1687" ca="1">INDIRECT("Data!E" &amp; 1682)</f>
        <v>0</v>
      </c>
      <c r="L1687" cm="1">
        <f t="array" aca="1" ref="L1687" ca="1">INDIRECT("Data!F" &amp; 1682)</f>
        <v>0</v>
      </c>
      <c r="M1687" cm="1">
        <f t="array" aca="1" ref="M1687" ca="1">INDIRECT("Data!G" &amp; 1682)</f>
        <v>0</v>
      </c>
      <c r="N1687" cm="1">
        <f t="array" aca="1" ref="N1687" ca="1">INDIRECT("Data!H" &amp; 1682)</f>
        <v>0</v>
      </c>
      <c r="O1687" cm="1">
        <f t="array" aca="1" ref="O1687" ca="1">INDIRECT("Data!I" &amp; 1682)</f>
        <v>0</v>
      </c>
      <c r="P1687" s="21" cm="1">
        <f t="array" aca="1" ref="P1687" ca="1">INDIRECT("Data!J" &amp; 1682)</f>
        <v>0</v>
      </c>
      <c r="Q1687" cm="1">
        <f t="array" aca="1" ref="Q1687" ca="1">INDIRECT("Data!K" &amp; 1682)</f>
        <v>0</v>
      </c>
      <c r="R1687" cm="1">
        <f t="array" aca="1" ref="R1687" ca="1">INDIRECT("Data!L" &amp; 1682)</f>
        <v>0</v>
      </c>
      <c r="S1687" cm="1">
        <f t="array" aca="1" ref="S1687" ca="1">INDIRECT("Data!M" &amp; 1682)</f>
        <v>0</v>
      </c>
      <c r="T1687" cm="1">
        <f t="array" aca="1" ref="T1687" ca="1">INDIRECT("Data!N" &amp; 1682)</f>
        <v>0</v>
      </c>
      <c r="U1687" cm="1">
        <f t="array" aca="1" ref="U1687" ca="1">INDIRECT("Data!O" &amp; 1682)</f>
        <v>0</v>
      </c>
      <c r="V1687" cm="1">
        <f t="array" aca="1" ref="V1687" ca="1">INDIRECT("Data!P" &amp; 1682)</f>
        <v>0</v>
      </c>
    </row>
    <row r="1688" spans="7:22" x14ac:dyDescent="0.25">
      <c r="G1688" cm="1">
        <f t="array" aca="1" ref="G1688" ca="1">INDIRECT("Data!A" &amp; 1683)</f>
        <v>0</v>
      </c>
      <c r="H1688" s="21" cm="1">
        <f t="array" aca="1" ref="H1688" ca="1">INDIRECT("Data!B" &amp; 1683)</f>
        <v>0</v>
      </c>
      <c r="I1688" s="21" cm="1">
        <f t="array" aca="1" ref="I1688" ca="1">INDIRECT("Data!C" &amp; 1683)</f>
        <v>0</v>
      </c>
      <c r="J1688" cm="1">
        <f t="array" aca="1" ref="J1688" ca="1">INDIRECT("Data!D" &amp; 1683)</f>
        <v>0</v>
      </c>
      <c r="K1688" cm="1">
        <f t="array" aca="1" ref="K1688" ca="1">INDIRECT("Data!E" &amp; 1683)</f>
        <v>0</v>
      </c>
      <c r="L1688" cm="1">
        <f t="array" aca="1" ref="L1688" ca="1">INDIRECT("Data!F" &amp; 1683)</f>
        <v>0</v>
      </c>
      <c r="M1688" cm="1">
        <f t="array" aca="1" ref="M1688" ca="1">INDIRECT("Data!G" &amp; 1683)</f>
        <v>0</v>
      </c>
      <c r="N1688" cm="1">
        <f t="array" aca="1" ref="N1688" ca="1">INDIRECT("Data!H" &amp; 1683)</f>
        <v>0</v>
      </c>
      <c r="O1688" cm="1">
        <f t="array" aca="1" ref="O1688" ca="1">INDIRECT("Data!I" &amp; 1683)</f>
        <v>0</v>
      </c>
      <c r="P1688" s="21" cm="1">
        <f t="array" aca="1" ref="P1688" ca="1">INDIRECT("Data!J" &amp; 1683)</f>
        <v>0</v>
      </c>
      <c r="Q1688" cm="1">
        <f t="array" aca="1" ref="Q1688" ca="1">INDIRECT("Data!K" &amp; 1683)</f>
        <v>0</v>
      </c>
      <c r="R1688" cm="1">
        <f t="array" aca="1" ref="R1688" ca="1">INDIRECT("Data!L" &amp; 1683)</f>
        <v>0</v>
      </c>
      <c r="S1688" cm="1">
        <f t="array" aca="1" ref="S1688" ca="1">INDIRECT("Data!M" &amp; 1683)</f>
        <v>0</v>
      </c>
      <c r="T1688" cm="1">
        <f t="array" aca="1" ref="T1688" ca="1">INDIRECT("Data!N" &amp; 1683)</f>
        <v>0</v>
      </c>
      <c r="U1688" cm="1">
        <f t="array" aca="1" ref="U1688" ca="1">INDIRECT("Data!O" &amp; 1683)</f>
        <v>0</v>
      </c>
      <c r="V1688" cm="1">
        <f t="array" aca="1" ref="V1688" ca="1">INDIRECT("Data!P" &amp; 1683)</f>
        <v>0</v>
      </c>
    </row>
    <row r="1689" spans="7:22" x14ac:dyDescent="0.25">
      <c r="G1689" cm="1">
        <f t="array" aca="1" ref="G1689" ca="1">INDIRECT("Data!A" &amp; 1684)</f>
        <v>0</v>
      </c>
      <c r="H1689" s="21" cm="1">
        <f t="array" aca="1" ref="H1689" ca="1">INDIRECT("Data!B" &amp; 1684)</f>
        <v>0</v>
      </c>
      <c r="I1689" s="21" cm="1">
        <f t="array" aca="1" ref="I1689" ca="1">INDIRECT("Data!C" &amp; 1684)</f>
        <v>0</v>
      </c>
      <c r="J1689" cm="1">
        <f t="array" aca="1" ref="J1689" ca="1">INDIRECT("Data!D" &amp; 1684)</f>
        <v>0</v>
      </c>
      <c r="K1689" cm="1">
        <f t="array" aca="1" ref="K1689" ca="1">INDIRECT("Data!E" &amp; 1684)</f>
        <v>0</v>
      </c>
      <c r="L1689" cm="1">
        <f t="array" aca="1" ref="L1689" ca="1">INDIRECT("Data!F" &amp; 1684)</f>
        <v>0</v>
      </c>
      <c r="M1689" cm="1">
        <f t="array" aca="1" ref="M1689" ca="1">INDIRECT("Data!G" &amp; 1684)</f>
        <v>0</v>
      </c>
      <c r="N1689" cm="1">
        <f t="array" aca="1" ref="N1689" ca="1">INDIRECT("Data!H" &amp; 1684)</f>
        <v>0</v>
      </c>
      <c r="O1689" cm="1">
        <f t="array" aca="1" ref="O1689" ca="1">INDIRECT("Data!I" &amp; 1684)</f>
        <v>0</v>
      </c>
      <c r="P1689" s="21" cm="1">
        <f t="array" aca="1" ref="P1689" ca="1">INDIRECT("Data!J" &amp; 1684)</f>
        <v>0</v>
      </c>
      <c r="Q1689" cm="1">
        <f t="array" aca="1" ref="Q1689" ca="1">INDIRECT("Data!K" &amp; 1684)</f>
        <v>0</v>
      </c>
      <c r="R1689" cm="1">
        <f t="array" aca="1" ref="R1689" ca="1">INDIRECT("Data!L" &amp; 1684)</f>
        <v>0</v>
      </c>
      <c r="S1689" cm="1">
        <f t="array" aca="1" ref="S1689" ca="1">INDIRECT("Data!M" &amp; 1684)</f>
        <v>0</v>
      </c>
      <c r="T1689" cm="1">
        <f t="array" aca="1" ref="T1689" ca="1">INDIRECT("Data!N" &amp; 1684)</f>
        <v>0</v>
      </c>
      <c r="U1689" cm="1">
        <f t="array" aca="1" ref="U1689" ca="1">INDIRECT("Data!O" &amp; 1684)</f>
        <v>0</v>
      </c>
      <c r="V1689" cm="1">
        <f t="array" aca="1" ref="V1689" ca="1">INDIRECT("Data!P" &amp; 1684)</f>
        <v>0</v>
      </c>
    </row>
    <row r="1690" spans="7:22" x14ac:dyDescent="0.25">
      <c r="G1690" cm="1">
        <f t="array" aca="1" ref="G1690" ca="1">INDIRECT("Data!A" &amp; 1685)</f>
        <v>0</v>
      </c>
      <c r="H1690" s="21" cm="1">
        <f t="array" aca="1" ref="H1690" ca="1">INDIRECT("Data!B" &amp; 1685)</f>
        <v>0</v>
      </c>
      <c r="I1690" s="21" cm="1">
        <f t="array" aca="1" ref="I1690" ca="1">INDIRECT("Data!C" &amp; 1685)</f>
        <v>0</v>
      </c>
      <c r="J1690" cm="1">
        <f t="array" aca="1" ref="J1690" ca="1">INDIRECT("Data!D" &amp; 1685)</f>
        <v>0</v>
      </c>
      <c r="K1690" cm="1">
        <f t="array" aca="1" ref="K1690" ca="1">INDIRECT("Data!E" &amp; 1685)</f>
        <v>0</v>
      </c>
      <c r="L1690" cm="1">
        <f t="array" aca="1" ref="L1690" ca="1">INDIRECT("Data!F" &amp; 1685)</f>
        <v>0</v>
      </c>
      <c r="M1690" cm="1">
        <f t="array" aca="1" ref="M1690" ca="1">INDIRECT("Data!G" &amp; 1685)</f>
        <v>0</v>
      </c>
      <c r="N1690" cm="1">
        <f t="array" aca="1" ref="N1690" ca="1">INDIRECT("Data!H" &amp; 1685)</f>
        <v>0</v>
      </c>
      <c r="O1690" cm="1">
        <f t="array" aca="1" ref="O1690" ca="1">INDIRECT("Data!I" &amp; 1685)</f>
        <v>0</v>
      </c>
      <c r="P1690" s="21" cm="1">
        <f t="array" aca="1" ref="P1690" ca="1">INDIRECT("Data!J" &amp; 1685)</f>
        <v>0</v>
      </c>
      <c r="Q1690" cm="1">
        <f t="array" aca="1" ref="Q1690" ca="1">INDIRECT("Data!K" &amp; 1685)</f>
        <v>0</v>
      </c>
      <c r="R1690" cm="1">
        <f t="array" aca="1" ref="R1690" ca="1">INDIRECT("Data!L" &amp; 1685)</f>
        <v>0</v>
      </c>
      <c r="S1690" cm="1">
        <f t="array" aca="1" ref="S1690" ca="1">INDIRECT("Data!M" &amp; 1685)</f>
        <v>0</v>
      </c>
      <c r="T1690" cm="1">
        <f t="array" aca="1" ref="T1690" ca="1">INDIRECT("Data!N" &amp; 1685)</f>
        <v>0</v>
      </c>
      <c r="U1690" cm="1">
        <f t="array" aca="1" ref="U1690" ca="1">INDIRECT("Data!O" &amp; 1685)</f>
        <v>0</v>
      </c>
      <c r="V1690" cm="1">
        <f t="array" aca="1" ref="V1690" ca="1">INDIRECT("Data!P" &amp; 1685)</f>
        <v>0</v>
      </c>
    </row>
    <row r="1691" spans="7:22" x14ac:dyDescent="0.25">
      <c r="G1691" cm="1">
        <f t="array" aca="1" ref="G1691" ca="1">INDIRECT("Data!A" &amp; 1686)</f>
        <v>0</v>
      </c>
      <c r="H1691" s="21" cm="1">
        <f t="array" aca="1" ref="H1691" ca="1">INDIRECT("Data!B" &amp; 1686)</f>
        <v>0</v>
      </c>
      <c r="I1691" s="21" cm="1">
        <f t="array" aca="1" ref="I1691" ca="1">INDIRECT("Data!C" &amp; 1686)</f>
        <v>0</v>
      </c>
      <c r="J1691" cm="1">
        <f t="array" aca="1" ref="J1691" ca="1">INDIRECT("Data!D" &amp; 1686)</f>
        <v>0</v>
      </c>
      <c r="K1691" cm="1">
        <f t="array" aca="1" ref="K1691" ca="1">INDIRECT("Data!E" &amp; 1686)</f>
        <v>0</v>
      </c>
      <c r="L1691" cm="1">
        <f t="array" aca="1" ref="L1691" ca="1">INDIRECT("Data!F" &amp; 1686)</f>
        <v>0</v>
      </c>
      <c r="M1691" cm="1">
        <f t="array" aca="1" ref="M1691" ca="1">INDIRECT("Data!G" &amp; 1686)</f>
        <v>0</v>
      </c>
      <c r="N1691" cm="1">
        <f t="array" aca="1" ref="N1691" ca="1">INDIRECT("Data!H" &amp; 1686)</f>
        <v>0</v>
      </c>
      <c r="O1691" cm="1">
        <f t="array" aca="1" ref="O1691" ca="1">INDIRECT("Data!I" &amp; 1686)</f>
        <v>0</v>
      </c>
      <c r="P1691" s="21" cm="1">
        <f t="array" aca="1" ref="P1691" ca="1">INDIRECT("Data!J" &amp; 1686)</f>
        <v>0</v>
      </c>
      <c r="Q1691" cm="1">
        <f t="array" aca="1" ref="Q1691" ca="1">INDIRECT("Data!K" &amp; 1686)</f>
        <v>0</v>
      </c>
      <c r="R1691" cm="1">
        <f t="array" aca="1" ref="R1691" ca="1">INDIRECT("Data!L" &amp; 1686)</f>
        <v>0</v>
      </c>
      <c r="S1691" cm="1">
        <f t="array" aca="1" ref="S1691" ca="1">INDIRECT("Data!M" &amp; 1686)</f>
        <v>0</v>
      </c>
      <c r="T1691" cm="1">
        <f t="array" aca="1" ref="T1691" ca="1">INDIRECT("Data!N" &amp; 1686)</f>
        <v>0</v>
      </c>
      <c r="U1691" cm="1">
        <f t="array" aca="1" ref="U1691" ca="1">INDIRECT("Data!O" &amp; 1686)</f>
        <v>0</v>
      </c>
      <c r="V1691" cm="1">
        <f t="array" aca="1" ref="V1691" ca="1">INDIRECT("Data!P" &amp; 1686)</f>
        <v>0</v>
      </c>
    </row>
    <row r="1692" spans="7:22" x14ac:dyDescent="0.25">
      <c r="G1692" cm="1">
        <f t="array" aca="1" ref="G1692" ca="1">INDIRECT("Data!A" &amp; 1687)</f>
        <v>0</v>
      </c>
      <c r="H1692" s="21" cm="1">
        <f t="array" aca="1" ref="H1692" ca="1">INDIRECT("Data!B" &amp; 1687)</f>
        <v>0</v>
      </c>
      <c r="I1692" s="21" cm="1">
        <f t="array" aca="1" ref="I1692" ca="1">INDIRECT("Data!C" &amp; 1687)</f>
        <v>0</v>
      </c>
      <c r="J1692" cm="1">
        <f t="array" aca="1" ref="J1692" ca="1">INDIRECT("Data!D" &amp; 1687)</f>
        <v>0</v>
      </c>
      <c r="K1692" cm="1">
        <f t="array" aca="1" ref="K1692" ca="1">INDIRECT("Data!E" &amp; 1687)</f>
        <v>0</v>
      </c>
      <c r="L1692" cm="1">
        <f t="array" aca="1" ref="L1692" ca="1">INDIRECT("Data!F" &amp; 1687)</f>
        <v>0</v>
      </c>
      <c r="M1692" cm="1">
        <f t="array" aca="1" ref="M1692" ca="1">INDIRECT("Data!G" &amp; 1687)</f>
        <v>0</v>
      </c>
      <c r="N1692" cm="1">
        <f t="array" aca="1" ref="N1692" ca="1">INDIRECT("Data!H" &amp; 1687)</f>
        <v>0</v>
      </c>
      <c r="O1692" cm="1">
        <f t="array" aca="1" ref="O1692" ca="1">INDIRECT("Data!I" &amp; 1687)</f>
        <v>0</v>
      </c>
      <c r="P1692" s="21" cm="1">
        <f t="array" aca="1" ref="P1692" ca="1">INDIRECT("Data!J" &amp; 1687)</f>
        <v>0</v>
      </c>
      <c r="Q1692" cm="1">
        <f t="array" aca="1" ref="Q1692" ca="1">INDIRECT("Data!K" &amp; 1687)</f>
        <v>0</v>
      </c>
      <c r="R1692" cm="1">
        <f t="array" aca="1" ref="R1692" ca="1">INDIRECT("Data!L" &amp; 1687)</f>
        <v>0</v>
      </c>
      <c r="S1692" cm="1">
        <f t="array" aca="1" ref="S1692" ca="1">INDIRECT("Data!M" &amp; 1687)</f>
        <v>0</v>
      </c>
      <c r="T1692" cm="1">
        <f t="array" aca="1" ref="T1692" ca="1">INDIRECT("Data!N" &amp; 1687)</f>
        <v>0</v>
      </c>
      <c r="U1692" cm="1">
        <f t="array" aca="1" ref="U1692" ca="1">INDIRECT("Data!O" &amp; 1687)</f>
        <v>0</v>
      </c>
      <c r="V1692" cm="1">
        <f t="array" aca="1" ref="V1692" ca="1">INDIRECT("Data!P" &amp; 1687)</f>
        <v>0</v>
      </c>
    </row>
    <row r="1693" spans="7:22" x14ac:dyDescent="0.25">
      <c r="G1693" cm="1">
        <f t="array" aca="1" ref="G1693" ca="1">INDIRECT("Data!A" &amp; 1688)</f>
        <v>0</v>
      </c>
      <c r="H1693" s="21" cm="1">
        <f t="array" aca="1" ref="H1693" ca="1">INDIRECT("Data!B" &amp; 1688)</f>
        <v>0</v>
      </c>
      <c r="I1693" s="21" cm="1">
        <f t="array" aca="1" ref="I1693" ca="1">INDIRECT("Data!C" &amp; 1688)</f>
        <v>0</v>
      </c>
      <c r="J1693" cm="1">
        <f t="array" aca="1" ref="J1693" ca="1">INDIRECT("Data!D" &amp; 1688)</f>
        <v>0</v>
      </c>
      <c r="K1693" cm="1">
        <f t="array" aca="1" ref="K1693" ca="1">INDIRECT("Data!E" &amp; 1688)</f>
        <v>0</v>
      </c>
      <c r="L1693" cm="1">
        <f t="array" aca="1" ref="L1693" ca="1">INDIRECT("Data!F" &amp; 1688)</f>
        <v>0</v>
      </c>
      <c r="M1693" cm="1">
        <f t="array" aca="1" ref="M1693" ca="1">INDIRECT("Data!G" &amp; 1688)</f>
        <v>0</v>
      </c>
      <c r="N1693" cm="1">
        <f t="array" aca="1" ref="N1693" ca="1">INDIRECT("Data!H" &amp; 1688)</f>
        <v>0</v>
      </c>
      <c r="O1693" cm="1">
        <f t="array" aca="1" ref="O1693" ca="1">INDIRECT("Data!I" &amp; 1688)</f>
        <v>0</v>
      </c>
      <c r="P1693" s="21" cm="1">
        <f t="array" aca="1" ref="P1693" ca="1">INDIRECT("Data!J" &amp; 1688)</f>
        <v>0</v>
      </c>
      <c r="Q1693" cm="1">
        <f t="array" aca="1" ref="Q1693" ca="1">INDIRECT("Data!K" &amp; 1688)</f>
        <v>0</v>
      </c>
      <c r="R1693" cm="1">
        <f t="array" aca="1" ref="R1693" ca="1">INDIRECT("Data!L" &amp; 1688)</f>
        <v>0</v>
      </c>
      <c r="S1693" cm="1">
        <f t="array" aca="1" ref="S1693" ca="1">INDIRECT("Data!M" &amp; 1688)</f>
        <v>0</v>
      </c>
      <c r="T1693" cm="1">
        <f t="array" aca="1" ref="T1693" ca="1">INDIRECT("Data!N" &amp; 1688)</f>
        <v>0</v>
      </c>
      <c r="U1693" cm="1">
        <f t="array" aca="1" ref="U1693" ca="1">INDIRECT("Data!O" &amp; 1688)</f>
        <v>0</v>
      </c>
      <c r="V1693" cm="1">
        <f t="array" aca="1" ref="V1693" ca="1">INDIRECT("Data!P" &amp; 1688)</f>
        <v>0</v>
      </c>
    </row>
    <row r="1694" spans="7:22" x14ac:dyDescent="0.25">
      <c r="G1694" cm="1">
        <f t="array" aca="1" ref="G1694" ca="1">INDIRECT("Data!A" &amp; 1689)</f>
        <v>0</v>
      </c>
      <c r="H1694" s="21" cm="1">
        <f t="array" aca="1" ref="H1694" ca="1">INDIRECT("Data!B" &amp; 1689)</f>
        <v>0</v>
      </c>
      <c r="I1694" s="21" cm="1">
        <f t="array" aca="1" ref="I1694" ca="1">INDIRECT("Data!C" &amp; 1689)</f>
        <v>0</v>
      </c>
      <c r="J1694" cm="1">
        <f t="array" aca="1" ref="J1694" ca="1">INDIRECT("Data!D" &amp; 1689)</f>
        <v>0</v>
      </c>
      <c r="K1694" cm="1">
        <f t="array" aca="1" ref="K1694" ca="1">INDIRECT("Data!E" &amp; 1689)</f>
        <v>0</v>
      </c>
      <c r="L1694" cm="1">
        <f t="array" aca="1" ref="L1694" ca="1">INDIRECT("Data!F" &amp; 1689)</f>
        <v>0</v>
      </c>
      <c r="M1694" cm="1">
        <f t="array" aca="1" ref="M1694" ca="1">INDIRECT("Data!G" &amp; 1689)</f>
        <v>0</v>
      </c>
      <c r="N1694" cm="1">
        <f t="array" aca="1" ref="N1694" ca="1">INDIRECT("Data!H" &amp; 1689)</f>
        <v>0</v>
      </c>
      <c r="O1694" cm="1">
        <f t="array" aca="1" ref="O1694" ca="1">INDIRECT("Data!I" &amp; 1689)</f>
        <v>0</v>
      </c>
      <c r="P1694" s="21" cm="1">
        <f t="array" aca="1" ref="P1694" ca="1">INDIRECT("Data!J" &amp; 1689)</f>
        <v>0</v>
      </c>
      <c r="Q1694" cm="1">
        <f t="array" aca="1" ref="Q1694" ca="1">INDIRECT("Data!K" &amp; 1689)</f>
        <v>0</v>
      </c>
      <c r="R1694" cm="1">
        <f t="array" aca="1" ref="R1694" ca="1">INDIRECT("Data!L" &amp; 1689)</f>
        <v>0</v>
      </c>
      <c r="S1694" cm="1">
        <f t="array" aca="1" ref="S1694" ca="1">INDIRECT("Data!M" &amp; 1689)</f>
        <v>0</v>
      </c>
      <c r="T1694" cm="1">
        <f t="array" aca="1" ref="T1694" ca="1">INDIRECT("Data!N" &amp; 1689)</f>
        <v>0</v>
      </c>
      <c r="U1694" cm="1">
        <f t="array" aca="1" ref="U1694" ca="1">INDIRECT("Data!O" &amp; 1689)</f>
        <v>0</v>
      </c>
      <c r="V1694" cm="1">
        <f t="array" aca="1" ref="V1694" ca="1">INDIRECT("Data!P" &amp; 1689)</f>
        <v>0</v>
      </c>
    </row>
    <row r="1695" spans="7:22" x14ac:dyDescent="0.25">
      <c r="G1695" cm="1">
        <f t="array" aca="1" ref="G1695" ca="1">INDIRECT("Data!A" &amp; 1690)</f>
        <v>0</v>
      </c>
      <c r="H1695" s="21" cm="1">
        <f t="array" aca="1" ref="H1695" ca="1">INDIRECT("Data!B" &amp; 1690)</f>
        <v>0</v>
      </c>
      <c r="I1695" s="21" cm="1">
        <f t="array" aca="1" ref="I1695" ca="1">INDIRECT("Data!C" &amp; 1690)</f>
        <v>0</v>
      </c>
      <c r="J1695" cm="1">
        <f t="array" aca="1" ref="J1695" ca="1">INDIRECT("Data!D" &amp; 1690)</f>
        <v>0</v>
      </c>
      <c r="K1695" cm="1">
        <f t="array" aca="1" ref="K1695" ca="1">INDIRECT("Data!E" &amp; 1690)</f>
        <v>0</v>
      </c>
      <c r="L1695" cm="1">
        <f t="array" aca="1" ref="L1695" ca="1">INDIRECT("Data!F" &amp; 1690)</f>
        <v>0</v>
      </c>
      <c r="M1695" cm="1">
        <f t="array" aca="1" ref="M1695" ca="1">INDIRECT("Data!G" &amp; 1690)</f>
        <v>0</v>
      </c>
      <c r="N1695" cm="1">
        <f t="array" aca="1" ref="N1695" ca="1">INDIRECT("Data!H" &amp; 1690)</f>
        <v>0</v>
      </c>
      <c r="O1695" cm="1">
        <f t="array" aca="1" ref="O1695" ca="1">INDIRECT("Data!I" &amp; 1690)</f>
        <v>0</v>
      </c>
      <c r="P1695" s="21" cm="1">
        <f t="array" aca="1" ref="P1695" ca="1">INDIRECT("Data!J" &amp; 1690)</f>
        <v>0</v>
      </c>
      <c r="Q1695" cm="1">
        <f t="array" aca="1" ref="Q1695" ca="1">INDIRECT("Data!K" &amp; 1690)</f>
        <v>0</v>
      </c>
      <c r="R1695" cm="1">
        <f t="array" aca="1" ref="R1695" ca="1">INDIRECT("Data!L" &amp; 1690)</f>
        <v>0</v>
      </c>
      <c r="S1695" cm="1">
        <f t="array" aca="1" ref="S1695" ca="1">INDIRECT("Data!M" &amp; 1690)</f>
        <v>0</v>
      </c>
      <c r="T1695" cm="1">
        <f t="array" aca="1" ref="T1695" ca="1">INDIRECT("Data!N" &amp; 1690)</f>
        <v>0</v>
      </c>
      <c r="U1695" cm="1">
        <f t="array" aca="1" ref="U1695" ca="1">INDIRECT("Data!O" &amp; 1690)</f>
        <v>0</v>
      </c>
      <c r="V1695" cm="1">
        <f t="array" aca="1" ref="V1695" ca="1">INDIRECT("Data!P" &amp; 1690)</f>
        <v>0</v>
      </c>
    </row>
    <row r="1696" spans="7:22" x14ac:dyDescent="0.25">
      <c r="G1696" cm="1">
        <f t="array" aca="1" ref="G1696" ca="1">INDIRECT("Data!A" &amp; 1691)</f>
        <v>0</v>
      </c>
      <c r="H1696" s="21" cm="1">
        <f t="array" aca="1" ref="H1696" ca="1">INDIRECT("Data!B" &amp; 1691)</f>
        <v>0</v>
      </c>
      <c r="I1696" s="21" cm="1">
        <f t="array" aca="1" ref="I1696" ca="1">INDIRECT("Data!C" &amp; 1691)</f>
        <v>0</v>
      </c>
      <c r="J1696" cm="1">
        <f t="array" aca="1" ref="J1696" ca="1">INDIRECT("Data!D" &amp; 1691)</f>
        <v>0</v>
      </c>
      <c r="K1696" cm="1">
        <f t="array" aca="1" ref="K1696" ca="1">INDIRECT("Data!E" &amp; 1691)</f>
        <v>0</v>
      </c>
      <c r="L1696" cm="1">
        <f t="array" aca="1" ref="L1696" ca="1">INDIRECT("Data!F" &amp; 1691)</f>
        <v>0</v>
      </c>
      <c r="M1696" cm="1">
        <f t="array" aca="1" ref="M1696" ca="1">INDIRECT("Data!G" &amp; 1691)</f>
        <v>0</v>
      </c>
      <c r="N1696" cm="1">
        <f t="array" aca="1" ref="N1696" ca="1">INDIRECT("Data!H" &amp; 1691)</f>
        <v>0</v>
      </c>
      <c r="O1696" cm="1">
        <f t="array" aca="1" ref="O1696" ca="1">INDIRECT("Data!I" &amp; 1691)</f>
        <v>0</v>
      </c>
      <c r="P1696" s="21" cm="1">
        <f t="array" aca="1" ref="P1696" ca="1">INDIRECT("Data!J" &amp; 1691)</f>
        <v>0</v>
      </c>
      <c r="Q1696" cm="1">
        <f t="array" aca="1" ref="Q1696" ca="1">INDIRECT("Data!K" &amp; 1691)</f>
        <v>0</v>
      </c>
      <c r="R1696" cm="1">
        <f t="array" aca="1" ref="R1696" ca="1">INDIRECT("Data!L" &amp; 1691)</f>
        <v>0</v>
      </c>
      <c r="S1696" cm="1">
        <f t="array" aca="1" ref="S1696" ca="1">INDIRECT("Data!M" &amp; 1691)</f>
        <v>0</v>
      </c>
      <c r="T1696" cm="1">
        <f t="array" aca="1" ref="T1696" ca="1">INDIRECT("Data!N" &amp; 1691)</f>
        <v>0</v>
      </c>
      <c r="U1696" cm="1">
        <f t="array" aca="1" ref="U1696" ca="1">INDIRECT("Data!O" &amp; 1691)</f>
        <v>0</v>
      </c>
      <c r="V1696" cm="1">
        <f t="array" aca="1" ref="V1696" ca="1">INDIRECT("Data!P" &amp; 1691)</f>
        <v>0</v>
      </c>
    </row>
    <row r="1697" spans="7:22" x14ac:dyDescent="0.25">
      <c r="G1697" cm="1">
        <f t="array" aca="1" ref="G1697" ca="1">INDIRECT("Data!A" &amp; 1692)</f>
        <v>0</v>
      </c>
      <c r="H1697" s="21" cm="1">
        <f t="array" aca="1" ref="H1697" ca="1">INDIRECT("Data!B" &amp; 1692)</f>
        <v>0</v>
      </c>
      <c r="I1697" s="21" cm="1">
        <f t="array" aca="1" ref="I1697" ca="1">INDIRECT("Data!C" &amp; 1692)</f>
        <v>0</v>
      </c>
      <c r="J1697" cm="1">
        <f t="array" aca="1" ref="J1697" ca="1">INDIRECT("Data!D" &amp; 1692)</f>
        <v>0</v>
      </c>
      <c r="K1697" cm="1">
        <f t="array" aca="1" ref="K1697" ca="1">INDIRECT("Data!E" &amp; 1692)</f>
        <v>0</v>
      </c>
      <c r="L1697" cm="1">
        <f t="array" aca="1" ref="L1697" ca="1">INDIRECT("Data!F" &amp; 1692)</f>
        <v>0</v>
      </c>
      <c r="M1697" cm="1">
        <f t="array" aca="1" ref="M1697" ca="1">INDIRECT("Data!G" &amp; 1692)</f>
        <v>0</v>
      </c>
      <c r="N1697" cm="1">
        <f t="array" aca="1" ref="N1697" ca="1">INDIRECT("Data!H" &amp; 1692)</f>
        <v>0</v>
      </c>
      <c r="O1697" cm="1">
        <f t="array" aca="1" ref="O1697" ca="1">INDIRECT("Data!I" &amp; 1692)</f>
        <v>0</v>
      </c>
      <c r="P1697" s="21" cm="1">
        <f t="array" aca="1" ref="P1697" ca="1">INDIRECT("Data!J" &amp; 1692)</f>
        <v>0</v>
      </c>
      <c r="Q1697" cm="1">
        <f t="array" aca="1" ref="Q1697" ca="1">INDIRECT("Data!K" &amp; 1692)</f>
        <v>0</v>
      </c>
      <c r="R1697" cm="1">
        <f t="array" aca="1" ref="R1697" ca="1">INDIRECT("Data!L" &amp; 1692)</f>
        <v>0</v>
      </c>
      <c r="S1697" cm="1">
        <f t="array" aca="1" ref="S1697" ca="1">INDIRECT("Data!M" &amp; 1692)</f>
        <v>0</v>
      </c>
      <c r="T1697" cm="1">
        <f t="array" aca="1" ref="T1697" ca="1">INDIRECT("Data!N" &amp; 1692)</f>
        <v>0</v>
      </c>
      <c r="U1697" cm="1">
        <f t="array" aca="1" ref="U1697" ca="1">INDIRECT("Data!O" &amp; 1692)</f>
        <v>0</v>
      </c>
      <c r="V1697" cm="1">
        <f t="array" aca="1" ref="V1697" ca="1">INDIRECT("Data!P" &amp; 1692)</f>
        <v>0</v>
      </c>
    </row>
    <row r="1698" spans="7:22" x14ac:dyDescent="0.25">
      <c r="G1698" cm="1">
        <f t="array" aca="1" ref="G1698" ca="1">INDIRECT("Data!A" &amp; 1693)</f>
        <v>0</v>
      </c>
      <c r="H1698" s="21" cm="1">
        <f t="array" aca="1" ref="H1698" ca="1">INDIRECT("Data!B" &amp; 1693)</f>
        <v>0</v>
      </c>
      <c r="I1698" s="21" cm="1">
        <f t="array" aca="1" ref="I1698" ca="1">INDIRECT("Data!C" &amp; 1693)</f>
        <v>0</v>
      </c>
      <c r="J1698" cm="1">
        <f t="array" aca="1" ref="J1698" ca="1">INDIRECT("Data!D" &amp; 1693)</f>
        <v>0</v>
      </c>
      <c r="K1698" cm="1">
        <f t="array" aca="1" ref="K1698" ca="1">INDIRECT("Data!E" &amp; 1693)</f>
        <v>0</v>
      </c>
      <c r="L1698" cm="1">
        <f t="array" aca="1" ref="L1698" ca="1">INDIRECT("Data!F" &amp; 1693)</f>
        <v>0</v>
      </c>
      <c r="M1698" cm="1">
        <f t="array" aca="1" ref="M1698" ca="1">INDIRECT("Data!G" &amp; 1693)</f>
        <v>0</v>
      </c>
      <c r="N1698" cm="1">
        <f t="array" aca="1" ref="N1698" ca="1">INDIRECT("Data!H" &amp; 1693)</f>
        <v>0</v>
      </c>
      <c r="O1698" cm="1">
        <f t="array" aca="1" ref="O1698" ca="1">INDIRECT("Data!I" &amp; 1693)</f>
        <v>0</v>
      </c>
      <c r="P1698" s="21" cm="1">
        <f t="array" aca="1" ref="P1698" ca="1">INDIRECT("Data!J" &amp; 1693)</f>
        <v>0</v>
      </c>
      <c r="Q1698" cm="1">
        <f t="array" aca="1" ref="Q1698" ca="1">INDIRECT("Data!K" &amp; 1693)</f>
        <v>0</v>
      </c>
      <c r="R1698" cm="1">
        <f t="array" aca="1" ref="R1698" ca="1">INDIRECT("Data!L" &amp; 1693)</f>
        <v>0</v>
      </c>
      <c r="S1698" cm="1">
        <f t="array" aca="1" ref="S1698" ca="1">INDIRECT("Data!M" &amp; 1693)</f>
        <v>0</v>
      </c>
      <c r="T1698" cm="1">
        <f t="array" aca="1" ref="T1698" ca="1">INDIRECT("Data!N" &amp; 1693)</f>
        <v>0</v>
      </c>
      <c r="U1698" cm="1">
        <f t="array" aca="1" ref="U1698" ca="1">INDIRECT("Data!O" &amp; 1693)</f>
        <v>0</v>
      </c>
      <c r="V1698" cm="1">
        <f t="array" aca="1" ref="V1698" ca="1">INDIRECT("Data!P" &amp; 1693)</f>
        <v>0</v>
      </c>
    </row>
    <row r="1699" spans="7:22" x14ac:dyDescent="0.25">
      <c r="G1699" cm="1">
        <f t="array" aca="1" ref="G1699" ca="1">INDIRECT("Data!A" &amp; 1694)</f>
        <v>0</v>
      </c>
      <c r="H1699" s="21" cm="1">
        <f t="array" aca="1" ref="H1699" ca="1">INDIRECT("Data!B" &amp; 1694)</f>
        <v>0</v>
      </c>
      <c r="I1699" s="21" cm="1">
        <f t="array" aca="1" ref="I1699" ca="1">INDIRECT("Data!C" &amp; 1694)</f>
        <v>0</v>
      </c>
      <c r="J1699" cm="1">
        <f t="array" aca="1" ref="J1699" ca="1">INDIRECT("Data!D" &amp; 1694)</f>
        <v>0</v>
      </c>
      <c r="K1699" cm="1">
        <f t="array" aca="1" ref="K1699" ca="1">INDIRECT("Data!E" &amp; 1694)</f>
        <v>0</v>
      </c>
      <c r="L1699" cm="1">
        <f t="array" aca="1" ref="L1699" ca="1">INDIRECT("Data!F" &amp; 1694)</f>
        <v>0</v>
      </c>
      <c r="M1699" cm="1">
        <f t="array" aca="1" ref="M1699" ca="1">INDIRECT("Data!G" &amp; 1694)</f>
        <v>0</v>
      </c>
      <c r="N1699" cm="1">
        <f t="array" aca="1" ref="N1699" ca="1">INDIRECT("Data!H" &amp; 1694)</f>
        <v>0</v>
      </c>
      <c r="O1699" cm="1">
        <f t="array" aca="1" ref="O1699" ca="1">INDIRECT("Data!I" &amp; 1694)</f>
        <v>0</v>
      </c>
      <c r="P1699" s="21" cm="1">
        <f t="array" aca="1" ref="P1699" ca="1">INDIRECT("Data!J" &amp; 1694)</f>
        <v>0</v>
      </c>
      <c r="Q1699" cm="1">
        <f t="array" aca="1" ref="Q1699" ca="1">INDIRECT("Data!K" &amp; 1694)</f>
        <v>0</v>
      </c>
      <c r="R1699" cm="1">
        <f t="array" aca="1" ref="R1699" ca="1">INDIRECT("Data!L" &amp; 1694)</f>
        <v>0</v>
      </c>
      <c r="S1699" cm="1">
        <f t="array" aca="1" ref="S1699" ca="1">INDIRECT("Data!M" &amp; 1694)</f>
        <v>0</v>
      </c>
      <c r="T1699" cm="1">
        <f t="array" aca="1" ref="T1699" ca="1">INDIRECT("Data!N" &amp; 1694)</f>
        <v>0</v>
      </c>
      <c r="U1699" cm="1">
        <f t="array" aca="1" ref="U1699" ca="1">INDIRECT("Data!O" &amp; 1694)</f>
        <v>0</v>
      </c>
      <c r="V1699" cm="1">
        <f t="array" aca="1" ref="V1699" ca="1">INDIRECT("Data!P" &amp; 1694)</f>
        <v>0</v>
      </c>
    </row>
    <row r="1700" spans="7:22" x14ac:dyDescent="0.25">
      <c r="G1700" cm="1">
        <f t="array" aca="1" ref="G1700" ca="1">INDIRECT("Data!A" &amp; 1695)</f>
        <v>0</v>
      </c>
      <c r="H1700" s="21" cm="1">
        <f t="array" aca="1" ref="H1700" ca="1">INDIRECT("Data!B" &amp; 1695)</f>
        <v>0</v>
      </c>
      <c r="I1700" s="21" cm="1">
        <f t="array" aca="1" ref="I1700" ca="1">INDIRECT("Data!C" &amp; 1695)</f>
        <v>0</v>
      </c>
      <c r="J1700" cm="1">
        <f t="array" aca="1" ref="J1700" ca="1">INDIRECT("Data!D" &amp; 1695)</f>
        <v>0</v>
      </c>
      <c r="K1700" cm="1">
        <f t="array" aca="1" ref="K1700" ca="1">INDIRECT("Data!E" &amp; 1695)</f>
        <v>0</v>
      </c>
      <c r="L1700" cm="1">
        <f t="array" aca="1" ref="L1700" ca="1">INDIRECT("Data!F" &amp; 1695)</f>
        <v>0</v>
      </c>
      <c r="M1700" cm="1">
        <f t="array" aca="1" ref="M1700" ca="1">INDIRECT("Data!G" &amp; 1695)</f>
        <v>0</v>
      </c>
      <c r="N1700" cm="1">
        <f t="array" aca="1" ref="N1700" ca="1">INDIRECT("Data!H" &amp; 1695)</f>
        <v>0</v>
      </c>
      <c r="O1700" cm="1">
        <f t="array" aca="1" ref="O1700" ca="1">INDIRECT("Data!I" &amp; 1695)</f>
        <v>0</v>
      </c>
      <c r="P1700" s="21" cm="1">
        <f t="array" aca="1" ref="P1700" ca="1">INDIRECT("Data!J" &amp; 1695)</f>
        <v>0</v>
      </c>
      <c r="Q1700" cm="1">
        <f t="array" aca="1" ref="Q1700" ca="1">INDIRECT("Data!K" &amp; 1695)</f>
        <v>0</v>
      </c>
      <c r="R1700" cm="1">
        <f t="array" aca="1" ref="R1700" ca="1">INDIRECT("Data!L" &amp; 1695)</f>
        <v>0</v>
      </c>
      <c r="S1700" cm="1">
        <f t="array" aca="1" ref="S1700" ca="1">INDIRECT("Data!M" &amp; 1695)</f>
        <v>0</v>
      </c>
      <c r="T1700" cm="1">
        <f t="array" aca="1" ref="T1700" ca="1">INDIRECT("Data!N" &amp; 1695)</f>
        <v>0</v>
      </c>
      <c r="U1700" cm="1">
        <f t="array" aca="1" ref="U1700" ca="1">INDIRECT("Data!O" &amp; 1695)</f>
        <v>0</v>
      </c>
      <c r="V1700" cm="1">
        <f t="array" aca="1" ref="V1700" ca="1">INDIRECT("Data!P" &amp; 1695)</f>
        <v>0</v>
      </c>
    </row>
    <row r="1701" spans="7:22" x14ac:dyDescent="0.25">
      <c r="G1701" cm="1">
        <f t="array" aca="1" ref="G1701" ca="1">INDIRECT("Data!A" &amp; 1696)</f>
        <v>0</v>
      </c>
      <c r="H1701" s="21" cm="1">
        <f t="array" aca="1" ref="H1701" ca="1">INDIRECT("Data!B" &amp; 1696)</f>
        <v>0</v>
      </c>
      <c r="I1701" s="21" cm="1">
        <f t="array" aca="1" ref="I1701" ca="1">INDIRECT("Data!C" &amp; 1696)</f>
        <v>0</v>
      </c>
      <c r="J1701" cm="1">
        <f t="array" aca="1" ref="J1701" ca="1">INDIRECT("Data!D" &amp; 1696)</f>
        <v>0</v>
      </c>
      <c r="K1701" cm="1">
        <f t="array" aca="1" ref="K1701" ca="1">INDIRECT("Data!E" &amp; 1696)</f>
        <v>0</v>
      </c>
      <c r="L1701" cm="1">
        <f t="array" aca="1" ref="L1701" ca="1">INDIRECT("Data!F" &amp; 1696)</f>
        <v>0</v>
      </c>
      <c r="M1701" cm="1">
        <f t="array" aca="1" ref="M1701" ca="1">INDIRECT("Data!G" &amp; 1696)</f>
        <v>0</v>
      </c>
      <c r="N1701" cm="1">
        <f t="array" aca="1" ref="N1701" ca="1">INDIRECT("Data!H" &amp; 1696)</f>
        <v>0</v>
      </c>
      <c r="O1701" cm="1">
        <f t="array" aca="1" ref="O1701" ca="1">INDIRECT("Data!I" &amp; 1696)</f>
        <v>0</v>
      </c>
      <c r="P1701" s="21" cm="1">
        <f t="array" aca="1" ref="P1701" ca="1">INDIRECT("Data!J" &amp; 1696)</f>
        <v>0</v>
      </c>
      <c r="Q1701" cm="1">
        <f t="array" aca="1" ref="Q1701" ca="1">INDIRECT("Data!K" &amp; 1696)</f>
        <v>0</v>
      </c>
      <c r="R1701" cm="1">
        <f t="array" aca="1" ref="R1701" ca="1">INDIRECT("Data!L" &amp; 1696)</f>
        <v>0</v>
      </c>
      <c r="S1701" cm="1">
        <f t="array" aca="1" ref="S1701" ca="1">INDIRECT("Data!M" &amp; 1696)</f>
        <v>0</v>
      </c>
      <c r="T1701" cm="1">
        <f t="array" aca="1" ref="T1701" ca="1">INDIRECT("Data!N" &amp; 1696)</f>
        <v>0</v>
      </c>
      <c r="U1701" cm="1">
        <f t="array" aca="1" ref="U1701" ca="1">INDIRECT("Data!O" &amp; 1696)</f>
        <v>0</v>
      </c>
      <c r="V1701" cm="1">
        <f t="array" aca="1" ref="V1701" ca="1">INDIRECT("Data!P" &amp; 1696)</f>
        <v>0</v>
      </c>
    </row>
    <row r="1702" spans="7:22" x14ac:dyDescent="0.25">
      <c r="G1702" cm="1">
        <f t="array" aca="1" ref="G1702" ca="1">INDIRECT("Data!A" &amp; 1697)</f>
        <v>0</v>
      </c>
      <c r="H1702" s="21" cm="1">
        <f t="array" aca="1" ref="H1702" ca="1">INDIRECT("Data!B" &amp; 1697)</f>
        <v>0</v>
      </c>
      <c r="I1702" s="21" cm="1">
        <f t="array" aca="1" ref="I1702" ca="1">INDIRECT("Data!C" &amp; 1697)</f>
        <v>0</v>
      </c>
      <c r="J1702" cm="1">
        <f t="array" aca="1" ref="J1702" ca="1">INDIRECT("Data!D" &amp; 1697)</f>
        <v>0</v>
      </c>
      <c r="K1702" cm="1">
        <f t="array" aca="1" ref="K1702" ca="1">INDIRECT("Data!E" &amp; 1697)</f>
        <v>0</v>
      </c>
      <c r="L1702" cm="1">
        <f t="array" aca="1" ref="L1702" ca="1">INDIRECT("Data!F" &amp; 1697)</f>
        <v>0</v>
      </c>
      <c r="M1702" cm="1">
        <f t="array" aca="1" ref="M1702" ca="1">INDIRECT("Data!G" &amp; 1697)</f>
        <v>0</v>
      </c>
      <c r="N1702" cm="1">
        <f t="array" aca="1" ref="N1702" ca="1">INDIRECT("Data!H" &amp; 1697)</f>
        <v>0</v>
      </c>
      <c r="O1702" cm="1">
        <f t="array" aca="1" ref="O1702" ca="1">INDIRECT("Data!I" &amp; 1697)</f>
        <v>0</v>
      </c>
      <c r="P1702" s="21" cm="1">
        <f t="array" aca="1" ref="P1702" ca="1">INDIRECT("Data!J" &amp; 1697)</f>
        <v>0</v>
      </c>
      <c r="Q1702" cm="1">
        <f t="array" aca="1" ref="Q1702" ca="1">INDIRECT("Data!K" &amp; 1697)</f>
        <v>0</v>
      </c>
      <c r="R1702" cm="1">
        <f t="array" aca="1" ref="R1702" ca="1">INDIRECT("Data!L" &amp; 1697)</f>
        <v>0</v>
      </c>
      <c r="S1702" cm="1">
        <f t="array" aca="1" ref="S1702" ca="1">INDIRECT("Data!M" &amp; 1697)</f>
        <v>0</v>
      </c>
      <c r="T1702" cm="1">
        <f t="array" aca="1" ref="T1702" ca="1">INDIRECT("Data!N" &amp; 1697)</f>
        <v>0</v>
      </c>
      <c r="U1702" cm="1">
        <f t="array" aca="1" ref="U1702" ca="1">INDIRECT("Data!O" &amp; 1697)</f>
        <v>0</v>
      </c>
      <c r="V1702" cm="1">
        <f t="array" aca="1" ref="V1702" ca="1">INDIRECT("Data!P" &amp; 1697)</f>
        <v>0</v>
      </c>
    </row>
    <row r="1703" spans="7:22" x14ac:dyDescent="0.25">
      <c r="G1703" cm="1">
        <f t="array" aca="1" ref="G1703" ca="1">INDIRECT("Data!A"&amp;1698)</f>
        <v>0</v>
      </c>
      <c r="H1703" s="21" cm="1">
        <f t="array" aca="1" ref="H1703" ca="1">INDIRECT("Data!B"&amp;1698)</f>
        <v>0</v>
      </c>
      <c r="I1703" s="21" cm="1">
        <f t="array" aca="1" ref="I1703" ca="1">INDIRECT("Data!C"&amp;1698)</f>
        <v>0</v>
      </c>
      <c r="J1703" cm="1">
        <f t="array" aca="1" ref="J1703" ca="1">INDIRECT("Data!D"&amp;1698)</f>
        <v>0</v>
      </c>
      <c r="K1703" cm="1">
        <f t="array" aca="1" ref="K1703" ca="1">INDIRECT("Data!E"&amp;1698)</f>
        <v>0</v>
      </c>
      <c r="L1703" cm="1">
        <f t="array" aca="1" ref="L1703" ca="1">INDIRECT("Data!F"&amp;1698)</f>
        <v>0</v>
      </c>
      <c r="M1703" cm="1">
        <f t="array" aca="1" ref="M1703" ca="1">INDIRECT("Data!G"&amp;1698)</f>
        <v>0</v>
      </c>
      <c r="N1703" cm="1">
        <f t="array" aca="1" ref="N1703" ca="1">INDIRECT("Data!H"&amp;1698)</f>
        <v>0</v>
      </c>
      <c r="O1703" cm="1">
        <f t="array" aca="1" ref="O1703" ca="1">INDIRECT("Data!I"&amp;1698)</f>
        <v>0</v>
      </c>
      <c r="P1703" s="21" cm="1">
        <f t="array" aca="1" ref="P1703" ca="1">INDIRECT("Data!J"&amp;1698)</f>
        <v>0</v>
      </c>
      <c r="Q1703" cm="1">
        <f t="array" aca="1" ref="Q1703" ca="1">INDIRECT("Data!K"&amp;1698)</f>
        <v>0</v>
      </c>
      <c r="R1703" cm="1">
        <f t="array" aca="1" ref="R1703" ca="1">INDIRECT("Data!L"&amp;1698)</f>
        <v>0</v>
      </c>
      <c r="S1703" cm="1">
        <f t="array" aca="1" ref="S1703" ca="1">INDIRECT("Data!M"&amp;1698)</f>
        <v>0</v>
      </c>
      <c r="T1703" cm="1">
        <f t="array" aca="1" ref="T1703" ca="1">INDIRECT("Data!N"&amp;1698)</f>
        <v>0</v>
      </c>
      <c r="U1703" cm="1">
        <f t="array" aca="1" ref="U1703" ca="1">INDIRECT("Data!O"&amp;1698)</f>
        <v>0</v>
      </c>
      <c r="V1703" cm="1">
        <f t="array" aca="1" ref="V1703" ca="1">INDIRECT("Data!P"&amp;1698)</f>
        <v>0</v>
      </c>
    </row>
    <row r="1704" spans="7:22" x14ac:dyDescent="0.25">
      <c r="G1704" cm="1">
        <f t="array" aca="1" ref="G1704" ca="1">INDIRECT("Data!A" &amp; 1699)</f>
        <v>0</v>
      </c>
      <c r="H1704" s="21" cm="1">
        <f t="array" aca="1" ref="H1704" ca="1">INDIRECT("Data!B" &amp; 1699)</f>
        <v>0</v>
      </c>
      <c r="I1704" s="21" cm="1">
        <f t="array" aca="1" ref="I1704" ca="1">INDIRECT("Data!C" &amp; 1699)</f>
        <v>0</v>
      </c>
      <c r="J1704" cm="1">
        <f t="array" aca="1" ref="J1704" ca="1">INDIRECT("Data!D" &amp; 1699)</f>
        <v>0</v>
      </c>
      <c r="K1704" cm="1">
        <f t="array" aca="1" ref="K1704" ca="1">INDIRECT("Data!E" &amp; 1699)</f>
        <v>0</v>
      </c>
      <c r="L1704" cm="1">
        <f t="array" aca="1" ref="L1704" ca="1">INDIRECT("Data!F" &amp; 1699)</f>
        <v>0</v>
      </c>
      <c r="M1704" cm="1">
        <f t="array" aca="1" ref="M1704" ca="1">INDIRECT("Data!G" &amp; 1699)</f>
        <v>0</v>
      </c>
      <c r="N1704" cm="1">
        <f t="array" aca="1" ref="N1704" ca="1">INDIRECT("Data!H" &amp; 1699)</f>
        <v>0</v>
      </c>
      <c r="O1704" cm="1">
        <f t="array" aca="1" ref="O1704" ca="1">INDIRECT("Data!I" &amp; 1699)</f>
        <v>0</v>
      </c>
      <c r="P1704" s="21" cm="1">
        <f t="array" aca="1" ref="P1704" ca="1">INDIRECT("Data!J" &amp; 1699)</f>
        <v>0</v>
      </c>
      <c r="Q1704" cm="1">
        <f t="array" aca="1" ref="Q1704" ca="1">INDIRECT("Data!K" &amp; 1699)</f>
        <v>0</v>
      </c>
      <c r="R1704" cm="1">
        <f t="array" aca="1" ref="R1704" ca="1">INDIRECT("Data!L" &amp; 1699)</f>
        <v>0</v>
      </c>
      <c r="S1704" cm="1">
        <f t="array" aca="1" ref="S1704" ca="1">INDIRECT("Data!M" &amp; 1699)</f>
        <v>0</v>
      </c>
      <c r="T1704" cm="1">
        <f t="array" aca="1" ref="T1704" ca="1">INDIRECT("Data!N" &amp; 1699)</f>
        <v>0</v>
      </c>
      <c r="U1704" cm="1">
        <f t="array" aca="1" ref="U1704" ca="1">INDIRECT("Data!O" &amp; 1699)</f>
        <v>0</v>
      </c>
      <c r="V1704" cm="1">
        <f t="array" aca="1" ref="V1704" ca="1">INDIRECT("Data!P" &amp; 1699)</f>
        <v>0</v>
      </c>
    </row>
    <row r="1705" spans="7:22" x14ac:dyDescent="0.25">
      <c r="G1705" cm="1">
        <f t="array" aca="1" ref="G1705" ca="1">INDIRECT("Data!A" &amp; 1700)</f>
        <v>0</v>
      </c>
      <c r="H1705" s="21" cm="1">
        <f t="array" aca="1" ref="H1705" ca="1">INDIRECT("Data!B" &amp; 1700)</f>
        <v>0</v>
      </c>
      <c r="I1705" s="21" cm="1">
        <f t="array" aca="1" ref="I1705" ca="1">INDIRECT("Data!C" &amp; 1700)</f>
        <v>0</v>
      </c>
      <c r="J1705" cm="1">
        <f t="array" aca="1" ref="J1705" ca="1">INDIRECT("Data!D" &amp; 1700)</f>
        <v>0</v>
      </c>
      <c r="K1705" cm="1">
        <f t="array" aca="1" ref="K1705" ca="1">INDIRECT("Data!E" &amp; 1700)</f>
        <v>0</v>
      </c>
      <c r="L1705" cm="1">
        <f t="array" aca="1" ref="L1705" ca="1">INDIRECT("Data!F" &amp; 1700)</f>
        <v>0</v>
      </c>
      <c r="M1705" cm="1">
        <f t="array" aca="1" ref="M1705" ca="1">INDIRECT("Data!G" &amp; 1700)</f>
        <v>0</v>
      </c>
      <c r="N1705" cm="1">
        <f t="array" aca="1" ref="N1705" ca="1">INDIRECT("Data!H" &amp; 1700)</f>
        <v>0</v>
      </c>
      <c r="O1705" cm="1">
        <f t="array" aca="1" ref="O1705" ca="1">INDIRECT("Data!I" &amp; 1700)</f>
        <v>0</v>
      </c>
      <c r="P1705" s="21" cm="1">
        <f t="array" aca="1" ref="P1705" ca="1">INDIRECT("Data!J" &amp; 1700)</f>
        <v>0</v>
      </c>
      <c r="Q1705" cm="1">
        <f t="array" aca="1" ref="Q1705" ca="1">INDIRECT("Data!K" &amp; 1700)</f>
        <v>0</v>
      </c>
      <c r="R1705" cm="1">
        <f t="array" aca="1" ref="R1705" ca="1">INDIRECT("Data!L" &amp; 1700)</f>
        <v>0</v>
      </c>
      <c r="S1705" cm="1">
        <f t="array" aca="1" ref="S1705" ca="1">INDIRECT("Data!M" &amp; 1700)</f>
        <v>0</v>
      </c>
      <c r="T1705" cm="1">
        <f t="array" aca="1" ref="T1705" ca="1">INDIRECT("Data!N" &amp; 1700)</f>
        <v>0</v>
      </c>
      <c r="U1705" cm="1">
        <f t="array" aca="1" ref="U1705" ca="1">INDIRECT("Data!O" &amp; 1700)</f>
        <v>0</v>
      </c>
      <c r="V1705" cm="1">
        <f t="array" aca="1" ref="V1705" ca="1">INDIRECT("Data!P" &amp; 1700)</f>
        <v>0</v>
      </c>
    </row>
    <row r="1706" spans="7:22" x14ac:dyDescent="0.25">
      <c r="G1706" cm="1">
        <f t="array" aca="1" ref="G1706" ca="1">INDIRECT("Data!A" &amp; 1701)</f>
        <v>0</v>
      </c>
      <c r="H1706" s="21" cm="1">
        <f t="array" aca="1" ref="H1706" ca="1">INDIRECT("Data!B" &amp; 1701)</f>
        <v>0</v>
      </c>
      <c r="I1706" s="21" cm="1">
        <f t="array" aca="1" ref="I1706" ca="1">INDIRECT("Data!C" &amp; 1701)</f>
        <v>0</v>
      </c>
      <c r="J1706" cm="1">
        <f t="array" aca="1" ref="J1706" ca="1">INDIRECT("Data!D" &amp; 1701)</f>
        <v>0</v>
      </c>
      <c r="K1706" cm="1">
        <f t="array" aca="1" ref="K1706" ca="1">INDIRECT("Data!E" &amp; 1701)</f>
        <v>0</v>
      </c>
      <c r="L1706" cm="1">
        <f t="array" aca="1" ref="L1706" ca="1">INDIRECT("Data!F" &amp; 1701)</f>
        <v>0</v>
      </c>
      <c r="M1706" cm="1">
        <f t="array" aca="1" ref="M1706" ca="1">INDIRECT("Data!G" &amp; 1701)</f>
        <v>0</v>
      </c>
      <c r="N1706" cm="1">
        <f t="array" aca="1" ref="N1706" ca="1">INDIRECT("Data!H" &amp; 1701)</f>
        <v>0</v>
      </c>
      <c r="O1706" cm="1">
        <f t="array" aca="1" ref="O1706" ca="1">INDIRECT("Data!I" &amp; 1701)</f>
        <v>0</v>
      </c>
      <c r="P1706" s="21" cm="1">
        <f t="array" aca="1" ref="P1706" ca="1">INDIRECT("Data!J" &amp; 1701)</f>
        <v>0</v>
      </c>
      <c r="Q1706" cm="1">
        <f t="array" aca="1" ref="Q1706" ca="1">INDIRECT("Data!K" &amp; 1701)</f>
        <v>0</v>
      </c>
      <c r="R1706" cm="1">
        <f t="array" aca="1" ref="R1706" ca="1">INDIRECT("Data!L" &amp; 1701)</f>
        <v>0</v>
      </c>
      <c r="S1706" cm="1">
        <f t="array" aca="1" ref="S1706" ca="1">INDIRECT("Data!M" &amp; 1701)</f>
        <v>0</v>
      </c>
      <c r="T1706" cm="1">
        <f t="array" aca="1" ref="T1706" ca="1">INDIRECT("Data!N" &amp; 1701)</f>
        <v>0</v>
      </c>
      <c r="U1706" cm="1">
        <f t="array" aca="1" ref="U1706" ca="1">INDIRECT("Data!O" &amp; 1701)</f>
        <v>0</v>
      </c>
      <c r="V1706" cm="1">
        <f t="array" aca="1" ref="V1706" ca="1">INDIRECT("Data!P" &amp; 1701)</f>
        <v>0</v>
      </c>
    </row>
    <row r="1707" spans="7:22" x14ac:dyDescent="0.25">
      <c r="G1707" cm="1">
        <f t="array" aca="1" ref="G1707" ca="1">INDIRECT("Data!A" &amp; 1702)</f>
        <v>0</v>
      </c>
      <c r="H1707" s="21" cm="1">
        <f t="array" aca="1" ref="H1707" ca="1">INDIRECT("Data!B" &amp; 1702)</f>
        <v>0</v>
      </c>
      <c r="I1707" s="21" cm="1">
        <f t="array" aca="1" ref="I1707" ca="1">INDIRECT("Data!C" &amp; 1702)</f>
        <v>0</v>
      </c>
      <c r="J1707" cm="1">
        <f t="array" aca="1" ref="J1707" ca="1">INDIRECT("Data!D" &amp; 1702)</f>
        <v>0</v>
      </c>
      <c r="K1707" cm="1">
        <f t="array" aca="1" ref="K1707" ca="1">INDIRECT("Data!E" &amp; 1702)</f>
        <v>0</v>
      </c>
      <c r="L1707" cm="1">
        <f t="array" aca="1" ref="L1707" ca="1">INDIRECT("Data!F" &amp; 1702)</f>
        <v>0</v>
      </c>
      <c r="M1707" cm="1">
        <f t="array" aca="1" ref="M1707" ca="1">INDIRECT("Data!G" &amp; 1702)</f>
        <v>0</v>
      </c>
      <c r="N1707" cm="1">
        <f t="array" aca="1" ref="N1707" ca="1">INDIRECT("Data!H" &amp; 1702)</f>
        <v>0</v>
      </c>
      <c r="O1707" cm="1">
        <f t="array" aca="1" ref="O1707" ca="1">INDIRECT("Data!I" &amp; 1702)</f>
        <v>0</v>
      </c>
      <c r="P1707" s="21" cm="1">
        <f t="array" aca="1" ref="P1707" ca="1">INDIRECT("Data!J" &amp; 1702)</f>
        <v>0</v>
      </c>
      <c r="Q1707" cm="1">
        <f t="array" aca="1" ref="Q1707" ca="1">INDIRECT("Data!K" &amp; 1702)</f>
        <v>0</v>
      </c>
      <c r="R1707" cm="1">
        <f t="array" aca="1" ref="R1707" ca="1">INDIRECT("Data!L" &amp; 1702)</f>
        <v>0</v>
      </c>
      <c r="S1707" cm="1">
        <f t="array" aca="1" ref="S1707" ca="1">INDIRECT("Data!M" &amp; 1702)</f>
        <v>0</v>
      </c>
      <c r="T1707" cm="1">
        <f t="array" aca="1" ref="T1707" ca="1">INDIRECT("Data!N" &amp; 1702)</f>
        <v>0</v>
      </c>
      <c r="U1707" cm="1">
        <f t="array" aca="1" ref="U1707" ca="1">INDIRECT("Data!O" &amp; 1702)</f>
        <v>0</v>
      </c>
      <c r="V1707" cm="1">
        <f t="array" aca="1" ref="V1707" ca="1">INDIRECT("Data!P" &amp; 1702)</f>
        <v>0</v>
      </c>
    </row>
    <row r="1708" spans="7:22" x14ac:dyDescent="0.25">
      <c r="G1708" cm="1">
        <f t="array" aca="1" ref="G1708" ca="1">INDIRECT("Data!A" &amp; 1703)</f>
        <v>0</v>
      </c>
      <c r="H1708" s="21" cm="1">
        <f t="array" aca="1" ref="H1708" ca="1">INDIRECT("Data!B" &amp; 1703)</f>
        <v>0</v>
      </c>
      <c r="I1708" s="21" cm="1">
        <f t="array" aca="1" ref="I1708" ca="1">INDIRECT("Data!C" &amp; 1703)</f>
        <v>0</v>
      </c>
      <c r="J1708" cm="1">
        <f t="array" aca="1" ref="J1708" ca="1">INDIRECT("Data!D" &amp; 1703)</f>
        <v>0</v>
      </c>
      <c r="K1708" cm="1">
        <f t="array" aca="1" ref="K1708" ca="1">INDIRECT("Data!E" &amp; 1703)</f>
        <v>0</v>
      </c>
      <c r="L1708" cm="1">
        <f t="array" aca="1" ref="L1708" ca="1">INDIRECT("Data!F" &amp; 1703)</f>
        <v>0</v>
      </c>
      <c r="M1708" cm="1">
        <f t="array" aca="1" ref="M1708" ca="1">INDIRECT("Data!G" &amp; 1703)</f>
        <v>0</v>
      </c>
      <c r="N1708" cm="1">
        <f t="array" aca="1" ref="N1708" ca="1">INDIRECT("Data!H" &amp; 1703)</f>
        <v>0</v>
      </c>
      <c r="O1708" cm="1">
        <f t="array" aca="1" ref="O1708" ca="1">INDIRECT("Data!I" &amp; 1703)</f>
        <v>0</v>
      </c>
      <c r="P1708" s="21" cm="1">
        <f t="array" aca="1" ref="P1708" ca="1">INDIRECT("Data!J" &amp; 1703)</f>
        <v>0</v>
      </c>
      <c r="Q1708" cm="1">
        <f t="array" aca="1" ref="Q1708" ca="1">INDIRECT("Data!K" &amp; 1703)</f>
        <v>0</v>
      </c>
      <c r="R1708" cm="1">
        <f t="array" aca="1" ref="R1708" ca="1">INDIRECT("Data!L" &amp; 1703)</f>
        <v>0</v>
      </c>
      <c r="S1708" cm="1">
        <f t="array" aca="1" ref="S1708" ca="1">INDIRECT("Data!M" &amp; 1703)</f>
        <v>0</v>
      </c>
      <c r="T1708" cm="1">
        <f t="array" aca="1" ref="T1708" ca="1">INDIRECT("Data!N" &amp; 1703)</f>
        <v>0</v>
      </c>
      <c r="U1708" cm="1">
        <f t="array" aca="1" ref="U1708" ca="1">INDIRECT("Data!O" &amp; 1703)</f>
        <v>0</v>
      </c>
      <c r="V1708" cm="1">
        <f t="array" aca="1" ref="V1708" ca="1">INDIRECT("Data!P" &amp; 1703)</f>
        <v>0</v>
      </c>
    </row>
    <row r="1709" spans="7:22" x14ac:dyDescent="0.25">
      <c r="G1709" cm="1">
        <f t="array" aca="1" ref="G1709" ca="1">INDIRECT("Data!A" &amp; 1704)</f>
        <v>0</v>
      </c>
      <c r="H1709" s="21" cm="1">
        <f t="array" aca="1" ref="H1709" ca="1">INDIRECT("Data!B" &amp; 1704)</f>
        <v>0</v>
      </c>
      <c r="I1709" s="21" cm="1">
        <f t="array" aca="1" ref="I1709" ca="1">INDIRECT("Data!C" &amp; 1704)</f>
        <v>0</v>
      </c>
      <c r="J1709" cm="1">
        <f t="array" aca="1" ref="J1709" ca="1">INDIRECT("Data!D" &amp; 1704)</f>
        <v>0</v>
      </c>
      <c r="K1709" cm="1">
        <f t="array" aca="1" ref="K1709" ca="1">INDIRECT("Data!E" &amp; 1704)</f>
        <v>0</v>
      </c>
      <c r="L1709" cm="1">
        <f t="array" aca="1" ref="L1709" ca="1">INDIRECT("Data!F" &amp; 1704)</f>
        <v>0</v>
      </c>
      <c r="M1709" cm="1">
        <f t="array" aca="1" ref="M1709" ca="1">INDIRECT("Data!G" &amp; 1704)</f>
        <v>0</v>
      </c>
      <c r="N1709" cm="1">
        <f t="array" aca="1" ref="N1709" ca="1">INDIRECT("Data!H" &amp; 1704)</f>
        <v>0</v>
      </c>
      <c r="O1709" cm="1">
        <f t="array" aca="1" ref="O1709" ca="1">INDIRECT("Data!I" &amp; 1704)</f>
        <v>0</v>
      </c>
      <c r="P1709" s="21" cm="1">
        <f t="array" aca="1" ref="P1709" ca="1">INDIRECT("Data!J" &amp; 1704)</f>
        <v>0</v>
      </c>
      <c r="Q1709" cm="1">
        <f t="array" aca="1" ref="Q1709" ca="1">INDIRECT("Data!K" &amp; 1704)</f>
        <v>0</v>
      </c>
      <c r="R1709" cm="1">
        <f t="array" aca="1" ref="R1709" ca="1">INDIRECT("Data!L" &amp; 1704)</f>
        <v>0</v>
      </c>
      <c r="S1709" cm="1">
        <f t="array" aca="1" ref="S1709" ca="1">INDIRECT("Data!M" &amp; 1704)</f>
        <v>0</v>
      </c>
      <c r="T1709" cm="1">
        <f t="array" aca="1" ref="T1709" ca="1">INDIRECT("Data!N" &amp; 1704)</f>
        <v>0</v>
      </c>
      <c r="U1709" cm="1">
        <f t="array" aca="1" ref="U1709" ca="1">INDIRECT("Data!O" &amp; 1704)</f>
        <v>0</v>
      </c>
      <c r="V1709" cm="1">
        <f t="array" aca="1" ref="V1709" ca="1">INDIRECT("Data!P" &amp; 1704)</f>
        <v>0</v>
      </c>
    </row>
    <row r="1710" spans="7:22" x14ac:dyDescent="0.25">
      <c r="G1710" cm="1">
        <f t="array" aca="1" ref="G1710" ca="1">INDIRECT("Data!A" &amp; 1705)</f>
        <v>0</v>
      </c>
      <c r="H1710" s="21" cm="1">
        <f t="array" aca="1" ref="H1710" ca="1">INDIRECT("Data!B" &amp; 1705)</f>
        <v>0</v>
      </c>
      <c r="I1710" s="21" cm="1">
        <f t="array" aca="1" ref="I1710" ca="1">INDIRECT("Data!C" &amp; 1705)</f>
        <v>0</v>
      </c>
      <c r="J1710" cm="1">
        <f t="array" aca="1" ref="J1710" ca="1">INDIRECT("Data!D" &amp; 1705)</f>
        <v>0</v>
      </c>
      <c r="K1710" cm="1">
        <f t="array" aca="1" ref="K1710" ca="1">INDIRECT("Data!E" &amp; 1705)</f>
        <v>0</v>
      </c>
      <c r="L1710" cm="1">
        <f t="array" aca="1" ref="L1710" ca="1">INDIRECT("Data!F" &amp; 1705)</f>
        <v>0</v>
      </c>
      <c r="M1710" cm="1">
        <f t="array" aca="1" ref="M1710" ca="1">INDIRECT("Data!G" &amp; 1705)</f>
        <v>0</v>
      </c>
      <c r="N1710" cm="1">
        <f t="array" aca="1" ref="N1710" ca="1">INDIRECT("Data!H" &amp; 1705)</f>
        <v>0</v>
      </c>
      <c r="O1710" cm="1">
        <f t="array" aca="1" ref="O1710" ca="1">INDIRECT("Data!I" &amp; 1705)</f>
        <v>0</v>
      </c>
      <c r="P1710" s="21" cm="1">
        <f t="array" aca="1" ref="P1710" ca="1">INDIRECT("Data!J" &amp; 1705)</f>
        <v>0</v>
      </c>
      <c r="Q1710" cm="1">
        <f t="array" aca="1" ref="Q1710" ca="1">INDIRECT("Data!K" &amp; 1705)</f>
        <v>0</v>
      </c>
      <c r="R1710" cm="1">
        <f t="array" aca="1" ref="R1710" ca="1">INDIRECT("Data!L" &amp; 1705)</f>
        <v>0</v>
      </c>
      <c r="S1710" cm="1">
        <f t="array" aca="1" ref="S1710" ca="1">INDIRECT("Data!M" &amp; 1705)</f>
        <v>0</v>
      </c>
      <c r="T1710" cm="1">
        <f t="array" aca="1" ref="T1710" ca="1">INDIRECT("Data!N" &amp; 1705)</f>
        <v>0</v>
      </c>
      <c r="U1710" cm="1">
        <f t="array" aca="1" ref="U1710" ca="1">INDIRECT("Data!O" &amp; 1705)</f>
        <v>0</v>
      </c>
      <c r="V1710" cm="1">
        <f t="array" aca="1" ref="V1710" ca="1">INDIRECT("Data!P" &amp; 1705)</f>
        <v>0</v>
      </c>
    </row>
    <row r="1711" spans="7:22" x14ac:dyDescent="0.25">
      <c r="G1711" cm="1">
        <f t="array" aca="1" ref="G1711" ca="1">INDIRECT("Data!A" &amp; 1706)</f>
        <v>0</v>
      </c>
      <c r="H1711" s="21" cm="1">
        <f t="array" aca="1" ref="H1711" ca="1">INDIRECT("Data!B" &amp; 1706)</f>
        <v>0</v>
      </c>
      <c r="I1711" s="21" cm="1">
        <f t="array" aca="1" ref="I1711" ca="1">INDIRECT("Data!C" &amp; 1706)</f>
        <v>0</v>
      </c>
      <c r="J1711" cm="1">
        <f t="array" aca="1" ref="J1711" ca="1">INDIRECT("Data!D" &amp; 1706)</f>
        <v>0</v>
      </c>
      <c r="K1711" cm="1">
        <f t="array" aca="1" ref="K1711" ca="1">INDIRECT("Data!E" &amp; 1706)</f>
        <v>0</v>
      </c>
      <c r="L1711" cm="1">
        <f t="array" aca="1" ref="L1711" ca="1">INDIRECT("Data!F" &amp; 1706)</f>
        <v>0</v>
      </c>
      <c r="M1711" cm="1">
        <f t="array" aca="1" ref="M1711" ca="1">INDIRECT("Data!G" &amp; 1706)</f>
        <v>0</v>
      </c>
      <c r="N1711" cm="1">
        <f t="array" aca="1" ref="N1711" ca="1">INDIRECT("Data!H" &amp; 1706)</f>
        <v>0</v>
      </c>
      <c r="O1711" cm="1">
        <f t="array" aca="1" ref="O1711" ca="1">INDIRECT("Data!I" &amp; 1706)</f>
        <v>0</v>
      </c>
      <c r="P1711" s="21" cm="1">
        <f t="array" aca="1" ref="P1711" ca="1">INDIRECT("Data!J" &amp; 1706)</f>
        <v>0</v>
      </c>
      <c r="Q1711" cm="1">
        <f t="array" aca="1" ref="Q1711" ca="1">INDIRECT("Data!K" &amp; 1706)</f>
        <v>0</v>
      </c>
      <c r="R1711" cm="1">
        <f t="array" aca="1" ref="R1711" ca="1">INDIRECT("Data!L" &amp; 1706)</f>
        <v>0</v>
      </c>
      <c r="S1711" cm="1">
        <f t="array" aca="1" ref="S1711" ca="1">INDIRECT("Data!M" &amp; 1706)</f>
        <v>0</v>
      </c>
      <c r="T1711" cm="1">
        <f t="array" aca="1" ref="T1711" ca="1">INDIRECT("Data!N" &amp; 1706)</f>
        <v>0</v>
      </c>
      <c r="U1711" cm="1">
        <f t="array" aca="1" ref="U1711" ca="1">INDIRECT("Data!O" &amp; 1706)</f>
        <v>0</v>
      </c>
      <c r="V1711" cm="1">
        <f t="array" aca="1" ref="V1711" ca="1">INDIRECT("Data!P" &amp; 1706)</f>
        <v>0</v>
      </c>
    </row>
    <row r="1712" spans="7:22" x14ac:dyDescent="0.25">
      <c r="G1712" cm="1">
        <f t="array" aca="1" ref="G1712" ca="1">INDIRECT("Data!A" &amp; 1707)</f>
        <v>0</v>
      </c>
      <c r="H1712" s="21" cm="1">
        <f t="array" aca="1" ref="H1712" ca="1">INDIRECT("Data!B" &amp; 1707)</f>
        <v>0</v>
      </c>
      <c r="I1712" s="21" cm="1">
        <f t="array" aca="1" ref="I1712" ca="1">INDIRECT("Data!C" &amp; 1707)</f>
        <v>0</v>
      </c>
      <c r="J1712" cm="1">
        <f t="array" aca="1" ref="J1712" ca="1">INDIRECT("Data!D" &amp; 1707)</f>
        <v>0</v>
      </c>
      <c r="K1712" cm="1">
        <f t="array" aca="1" ref="K1712" ca="1">INDIRECT("Data!E" &amp; 1707)</f>
        <v>0</v>
      </c>
      <c r="L1712" cm="1">
        <f t="array" aca="1" ref="L1712" ca="1">INDIRECT("Data!F" &amp; 1707)</f>
        <v>0</v>
      </c>
      <c r="M1712" cm="1">
        <f t="array" aca="1" ref="M1712" ca="1">INDIRECT("Data!G" &amp; 1707)</f>
        <v>0</v>
      </c>
      <c r="N1712" cm="1">
        <f t="array" aca="1" ref="N1712" ca="1">INDIRECT("Data!H" &amp; 1707)</f>
        <v>0</v>
      </c>
      <c r="O1712" cm="1">
        <f t="array" aca="1" ref="O1712" ca="1">INDIRECT("Data!I" &amp; 1707)</f>
        <v>0</v>
      </c>
      <c r="P1712" s="21" cm="1">
        <f t="array" aca="1" ref="P1712" ca="1">INDIRECT("Data!J" &amp; 1707)</f>
        <v>0</v>
      </c>
      <c r="Q1712" cm="1">
        <f t="array" aca="1" ref="Q1712" ca="1">INDIRECT("Data!K" &amp; 1707)</f>
        <v>0</v>
      </c>
      <c r="R1712" cm="1">
        <f t="array" aca="1" ref="R1712" ca="1">INDIRECT("Data!L" &amp; 1707)</f>
        <v>0</v>
      </c>
      <c r="S1712" cm="1">
        <f t="array" aca="1" ref="S1712" ca="1">INDIRECT("Data!M" &amp; 1707)</f>
        <v>0</v>
      </c>
      <c r="T1712" cm="1">
        <f t="array" aca="1" ref="T1712" ca="1">INDIRECT("Data!N" &amp; 1707)</f>
        <v>0</v>
      </c>
      <c r="U1712" cm="1">
        <f t="array" aca="1" ref="U1712" ca="1">INDIRECT("Data!O" &amp; 1707)</f>
        <v>0</v>
      </c>
      <c r="V1712" cm="1">
        <f t="array" aca="1" ref="V1712" ca="1">INDIRECT("Data!P" &amp; 1707)</f>
        <v>0</v>
      </c>
    </row>
    <row r="1713" spans="7:22" x14ac:dyDescent="0.25">
      <c r="G1713" cm="1">
        <f t="array" aca="1" ref="G1713" ca="1">INDIRECT("Data!A" &amp; 1708)</f>
        <v>0</v>
      </c>
      <c r="H1713" s="21" cm="1">
        <f t="array" aca="1" ref="H1713" ca="1">INDIRECT("Data!B" &amp; 1708)</f>
        <v>0</v>
      </c>
      <c r="I1713" s="21" cm="1">
        <f t="array" aca="1" ref="I1713" ca="1">INDIRECT("Data!C" &amp; 1708)</f>
        <v>0</v>
      </c>
      <c r="J1713" cm="1">
        <f t="array" aca="1" ref="J1713" ca="1">INDIRECT("Data!D" &amp; 1708)</f>
        <v>0</v>
      </c>
      <c r="K1713" cm="1">
        <f t="array" aca="1" ref="K1713" ca="1">INDIRECT("Data!E" &amp; 1708)</f>
        <v>0</v>
      </c>
      <c r="L1713" cm="1">
        <f t="array" aca="1" ref="L1713" ca="1">INDIRECT("Data!F" &amp; 1708)</f>
        <v>0</v>
      </c>
      <c r="M1713" cm="1">
        <f t="array" aca="1" ref="M1713" ca="1">INDIRECT("Data!G" &amp; 1708)</f>
        <v>0</v>
      </c>
      <c r="N1713" cm="1">
        <f t="array" aca="1" ref="N1713" ca="1">INDIRECT("Data!H" &amp; 1708)</f>
        <v>0</v>
      </c>
      <c r="O1713" cm="1">
        <f t="array" aca="1" ref="O1713" ca="1">INDIRECT("Data!I" &amp; 1708)</f>
        <v>0</v>
      </c>
      <c r="P1713" s="21" cm="1">
        <f t="array" aca="1" ref="P1713" ca="1">INDIRECT("Data!J" &amp; 1708)</f>
        <v>0</v>
      </c>
      <c r="Q1713" cm="1">
        <f t="array" aca="1" ref="Q1713" ca="1">INDIRECT("Data!K" &amp; 1708)</f>
        <v>0</v>
      </c>
      <c r="R1713" cm="1">
        <f t="array" aca="1" ref="R1713" ca="1">INDIRECT("Data!L" &amp; 1708)</f>
        <v>0</v>
      </c>
      <c r="S1713" cm="1">
        <f t="array" aca="1" ref="S1713" ca="1">INDIRECT("Data!M" &amp; 1708)</f>
        <v>0</v>
      </c>
      <c r="T1713" cm="1">
        <f t="array" aca="1" ref="T1713" ca="1">INDIRECT("Data!N" &amp; 1708)</f>
        <v>0</v>
      </c>
      <c r="U1713" cm="1">
        <f t="array" aca="1" ref="U1713" ca="1">INDIRECT("Data!O" &amp; 1708)</f>
        <v>0</v>
      </c>
      <c r="V1713" cm="1">
        <f t="array" aca="1" ref="V1713" ca="1">INDIRECT("Data!P" &amp; 1708)</f>
        <v>0</v>
      </c>
    </row>
    <row r="1714" spans="7:22" x14ac:dyDescent="0.25">
      <c r="G1714" cm="1">
        <f t="array" aca="1" ref="G1714" ca="1">INDIRECT("Data!A" &amp; 1709)</f>
        <v>0</v>
      </c>
      <c r="H1714" s="21" cm="1">
        <f t="array" aca="1" ref="H1714" ca="1">INDIRECT("Data!B" &amp; 1709)</f>
        <v>0</v>
      </c>
      <c r="I1714" s="21" cm="1">
        <f t="array" aca="1" ref="I1714" ca="1">INDIRECT("Data!C" &amp; 1709)</f>
        <v>0</v>
      </c>
      <c r="J1714" cm="1">
        <f t="array" aca="1" ref="J1714" ca="1">INDIRECT("Data!D" &amp; 1709)</f>
        <v>0</v>
      </c>
      <c r="K1714" cm="1">
        <f t="array" aca="1" ref="K1714" ca="1">INDIRECT("Data!E" &amp; 1709)</f>
        <v>0</v>
      </c>
      <c r="L1714" cm="1">
        <f t="array" aca="1" ref="L1714" ca="1">INDIRECT("Data!F" &amp; 1709)</f>
        <v>0</v>
      </c>
      <c r="M1714" cm="1">
        <f t="array" aca="1" ref="M1714" ca="1">INDIRECT("Data!G" &amp; 1709)</f>
        <v>0</v>
      </c>
      <c r="N1714" cm="1">
        <f t="array" aca="1" ref="N1714" ca="1">INDIRECT("Data!H" &amp; 1709)</f>
        <v>0</v>
      </c>
      <c r="O1714" cm="1">
        <f t="array" aca="1" ref="O1714" ca="1">INDIRECT("Data!I" &amp; 1709)</f>
        <v>0</v>
      </c>
      <c r="P1714" s="21" cm="1">
        <f t="array" aca="1" ref="P1714" ca="1">INDIRECT("Data!J" &amp; 1709)</f>
        <v>0</v>
      </c>
      <c r="Q1714" cm="1">
        <f t="array" aca="1" ref="Q1714" ca="1">INDIRECT("Data!K" &amp; 1709)</f>
        <v>0</v>
      </c>
      <c r="R1714" cm="1">
        <f t="array" aca="1" ref="R1714" ca="1">INDIRECT("Data!L" &amp; 1709)</f>
        <v>0</v>
      </c>
      <c r="S1714" cm="1">
        <f t="array" aca="1" ref="S1714" ca="1">INDIRECT("Data!M" &amp; 1709)</f>
        <v>0</v>
      </c>
      <c r="T1714" cm="1">
        <f t="array" aca="1" ref="T1714" ca="1">INDIRECT("Data!N" &amp; 1709)</f>
        <v>0</v>
      </c>
      <c r="U1714" cm="1">
        <f t="array" aca="1" ref="U1714" ca="1">INDIRECT("Data!O" &amp; 1709)</f>
        <v>0</v>
      </c>
      <c r="V1714" cm="1">
        <f t="array" aca="1" ref="V1714" ca="1">INDIRECT("Data!P" &amp; 1709)</f>
        <v>0</v>
      </c>
    </row>
    <row r="1715" spans="7:22" x14ac:dyDescent="0.25">
      <c r="G1715" cm="1">
        <f t="array" aca="1" ref="G1715" ca="1">INDIRECT("Data!A" &amp; 1710)</f>
        <v>0</v>
      </c>
      <c r="H1715" s="21" cm="1">
        <f t="array" aca="1" ref="H1715" ca="1">INDIRECT("Data!B" &amp; 1710)</f>
        <v>0</v>
      </c>
      <c r="I1715" s="21" cm="1">
        <f t="array" aca="1" ref="I1715" ca="1">INDIRECT("Data!C" &amp; 1710)</f>
        <v>0</v>
      </c>
      <c r="J1715" cm="1">
        <f t="array" aca="1" ref="J1715" ca="1">INDIRECT("Data!D" &amp; 1710)</f>
        <v>0</v>
      </c>
      <c r="K1715" cm="1">
        <f t="array" aca="1" ref="K1715" ca="1">INDIRECT("Data!E" &amp; 1710)</f>
        <v>0</v>
      </c>
      <c r="L1715" cm="1">
        <f t="array" aca="1" ref="L1715" ca="1">INDIRECT("Data!F" &amp; 1710)</f>
        <v>0</v>
      </c>
      <c r="M1715" cm="1">
        <f t="array" aca="1" ref="M1715" ca="1">INDIRECT("Data!G" &amp; 1710)</f>
        <v>0</v>
      </c>
      <c r="N1715" cm="1">
        <f t="array" aca="1" ref="N1715" ca="1">INDIRECT("Data!H" &amp; 1710)</f>
        <v>0</v>
      </c>
      <c r="O1715" cm="1">
        <f t="array" aca="1" ref="O1715" ca="1">INDIRECT("Data!I" &amp; 1710)</f>
        <v>0</v>
      </c>
      <c r="P1715" s="21" cm="1">
        <f t="array" aca="1" ref="P1715" ca="1">INDIRECT("Data!J" &amp; 1710)</f>
        <v>0</v>
      </c>
      <c r="Q1715" cm="1">
        <f t="array" aca="1" ref="Q1715" ca="1">INDIRECT("Data!K" &amp; 1710)</f>
        <v>0</v>
      </c>
      <c r="R1715" cm="1">
        <f t="array" aca="1" ref="R1715" ca="1">INDIRECT("Data!L" &amp; 1710)</f>
        <v>0</v>
      </c>
      <c r="S1715" cm="1">
        <f t="array" aca="1" ref="S1715" ca="1">INDIRECT("Data!M" &amp; 1710)</f>
        <v>0</v>
      </c>
      <c r="T1715" cm="1">
        <f t="array" aca="1" ref="T1715" ca="1">INDIRECT("Data!N" &amp; 1710)</f>
        <v>0</v>
      </c>
      <c r="U1715" cm="1">
        <f t="array" aca="1" ref="U1715" ca="1">INDIRECT("Data!O" &amp; 1710)</f>
        <v>0</v>
      </c>
      <c r="V1715" cm="1">
        <f t="array" aca="1" ref="V1715" ca="1">INDIRECT("Data!P" &amp; 1710)</f>
        <v>0</v>
      </c>
    </row>
    <row r="1716" spans="7:22" x14ac:dyDescent="0.25">
      <c r="G1716" cm="1">
        <f t="array" aca="1" ref="G1716" ca="1">INDIRECT("Data!A" &amp; 1711)</f>
        <v>0</v>
      </c>
      <c r="H1716" s="21" cm="1">
        <f t="array" aca="1" ref="H1716" ca="1">INDIRECT("Data!B" &amp; 1711)</f>
        <v>0</v>
      </c>
      <c r="I1716" s="21" cm="1">
        <f t="array" aca="1" ref="I1716" ca="1">INDIRECT("Data!C" &amp; 1711)</f>
        <v>0</v>
      </c>
      <c r="J1716" cm="1">
        <f t="array" aca="1" ref="J1716" ca="1">INDIRECT("Data!D" &amp; 1711)</f>
        <v>0</v>
      </c>
      <c r="K1716" cm="1">
        <f t="array" aca="1" ref="K1716" ca="1">INDIRECT("Data!E" &amp; 1711)</f>
        <v>0</v>
      </c>
      <c r="L1716" cm="1">
        <f t="array" aca="1" ref="L1716" ca="1">INDIRECT("Data!F" &amp; 1711)</f>
        <v>0</v>
      </c>
      <c r="M1716" cm="1">
        <f t="array" aca="1" ref="M1716" ca="1">INDIRECT("Data!G" &amp; 1711)</f>
        <v>0</v>
      </c>
      <c r="N1716" cm="1">
        <f t="array" aca="1" ref="N1716" ca="1">INDIRECT("Data!H" &amp; 1711)</f>
        <v>0</v>
      </c>
      <c r="O1716" cm="1">
        <f t="array" aca="1" ref="O1716" ca="1">INDIRECT("Data!I" &amp; 1711)</f>
        <v>0</v>
      </c>
      <c r="P1716" s="21" cm="1">
        <f t="array" aca="1" ref="P1716" ca="1">INDIRECT("Data!J" &amp; 1711)</f>
        <v>0</v>
      </c>
      <c r="Q1716" cm="1">
        <f t="array" aca="1" ref="Q1716" ca="1">INDIRECT("Data!K" &amp; 1711)</f>
        <v>0</v>
      </c>
      <c r="R1716" cm="1">
        <f t="array" aca="1" ref="R1716" ca="1">INDIRECT("Data!L" &amp; 1711)</f>
        <v>0</v>
      </c>
      <c r="S1716" cm="1">
        <f t="array" aca="1" ref="S1716" ca="1">INDIRECT("Data!M" &amp; 1711)</f>
        <v>0</v>
      </c>
      <c r="T1716" cm="1">
        <f t="array" aca="1" ref="T1716" ca="1">INDIRECT("Data!N" &amp; 1711)</f>
        <v>0</v>
      </c>
      <c r="U1716" cm="1">
        <f t="array" aca="1" ref="U1716" ca="1">INDIRECT("Data!O" &amp; 1711)</f>
        <v>0</v>
      </c>
      <c r="V1716" cm="1">
        <f t="array" aca="1" ref="V1716" ca="1">INDIRECT("Data!P" &amp; 1711)</f>
        <v>0</v>
      </c>
    </row>
    <row r="1717" spans="7:22" x14ac:dyDescent="0.25">
      <c r="G1717" cm="1">
        <f t="array" aca="1" ref="G1717" ca="1">INDIRECT("Data!A" &amp; 1712)</f>
        <v>0</v>
      </c>
      <c r="H1717" s="21" cm="1">
        <f t="array" aca="1" ref="H1717" ca="1">INDIRECT("Data!B" &amp; 1712)</f>
        <v>0</v>
      </c>
      <c r="I1717" s="21" cm="1">
        <f t="array" aca="1" ref="I1717" ca="1">INDIRECT("Data!C" &amp; 1712)</f>
        <v>0</v>
      </c>
      <c r="J1717" cm="1">
        <f t="array" aca="1" ref="J1717" ca="1">INDIRECT("Data!D" &amp; 1712)</f>
        <v>0</v>
      </c>
      <c r="K1717" cm="1">
        <f t="array" aca="1" ref="K1717" ca="1">INDIRECT("Data!E" &amp; 1712)</f>
        <v>0</v>
      </c>
      <c r="L1717" cm="1">
        <f t="array" aca="1" ref="L1717" ca="1">INDIRECT("Data!F" &amp; 1712)</f>
        <v>0</v>
      </c>
      <c r="M1717" cm="1">
        <f t="array" aca="1" ref="M1717" ca="1">INDIRECT("Data!G" &amp; 1712)</f>
        <v>0</v>
      </c>
      <c r="N1717" cm="1">
        <f t="array" aca="1" ref="N1717" ca="1">INDIRECT("Data!H" &amp; 1712)</f>
        <v>0</v>
      </c>
      <c r="O1717" cm="1">
        <f t="array" aca="1" ref="O1717" ca="1">INDIRECT("Data!I" &amp; 1712)</f>
        <v>0</v>
      </c>
      <c r="P1717" s="21" cm="1">
        <f t="array" aca="1" ref="P1717" ca="1">INDIRECT("Data!J" &amp; 1712)</f>
        <v>0</v>
      </c>
      <c r="Q1717" cm="1">
        <f t="array" aca="1" ref="Q1717" ca="1">INDIRECT("Data!K" &amp; 1712)</f>
        <v>0</v>
      </c>
      <c r="R1717" cm="1">
        <f t="array" aca="1" ref="R1717" ca="1">INDIRECT("Data!L" &amp; 1712)</f>
        <v>0</v>
      </c>
      <c r="S1717" cm="1">
        <f t="array" aca="1" ref="S1717" ca="1">INDIRECT("Data!M" &amp; 1712)</f>
        <v>0</v>
      </c>
      <c r="T1717" cm="1">
        <f t="array" aca="1" ref="T1717" ca="1">INDIRECT("Data!N" &amp; 1712)</f>
        <v>0</v>
      </c>
      <c r="U1717" cm="1">
        <f t="array" aca="1" ref="U1717" ca="1">INDIRECT("Data!O" &amp; 1712)</f>
        <v>0</v>
      </c>
      <c r="V1717" cm="1">
        <f t="array" aca="1" ref="V1717" ca="1">INDIRECT("Data!P" &amp; 1712)</f>
        <v>0</v>
      </c>
    </row>
    <row r="1718" spans="7:22" x14ac:dyDescent="0.25">
      <c r="G1718" cm="1">
        <f t="array" aca="1" ref="G1718" ca="1">INDIRECT("Data!A" &amp; 1713)</f>
        <v>0</v>
      </c>
      <c r="H1718" s="21" cm="1">
        <f t="array" aca="1" ref="H1718" ca="1">INDIRECT("Data!B" &amp; 1713)</f>
        <v>0</v>
      </c>
      <c r="I1718" s="21" cm="1">
        <f t="array" aca="1" ref="I1718" ca="1">INDIRECT("Data!C" &amp; 1713)</f>
        <v>0</v>
      </c>
      <c r="J1718" cm="1">
        <f t="array" aca="1" ref="J1718" ca="1">INDIRECT("Data!D" &amp; 1713)</f>
        <v>0</v>
      </c>
      <c r="K1718" cm="1">
        <f t="array" aca="1" ref="K1718" ca="1">INDIRECT("Data!E" &amp; 1713)</f>
        <v>0</v>
      </c>
      <c r="L1718" cm="1">
        <f t="array" aca="1" ref="L1718" ca="1">INDIRECT("Data!F" &amp; 1713)</f>
        <v>0</v>
      </c>
      <c r="M1718" cm="1">
        <f t="array" aca="1" ref="M1718" ca="1">INDIRECT("Data!G" &amp; 1713)</f>
        <v>0</v>
      </c>
      <c r="N1718" cm="1">
        <f t="array" aca="1" ref="N1718" ca="1">INDIRECT("Data!H" &amp; 1713)</f>
        <v>0</v>
      </c>
      <c r="O1718" cm="1">
        <f t="array" aca="1" ref="O1718" ca="1">INDIRECT("Data!I" &amp; 1713)</f>
        <v>0</v>
      </c>
      <c r="P1718" s="21" cm="1">
        <f t="array" aca="1" ref="P1718" ca="1">INDIRECT("Data!J" &amp; 1713)</f>
        <v>0</v>
      </c>
      <c r="Q1718" cm="1">
        <f t="array" aca="1" ref="Q1718" ca="1">INDIRECT("Data!K" &amp; 1713)</f>
        <v>0</v>
      </c>
      <c r="R1718" cm="1">
        <f t="array" aca="1" ref="R1718" ca="1">INDIRECT("Data!L" &amp; 1713)</f>
        <v>0</v>
      </c>
      <c r="S1718" cm="1">
        <f t="array" aca="1" ref="S1718" ca="1">INDIRECT("Data!M" &amp; 1713)</f>
        <v>0</v>
      </c>
      <c r="T1718" cm="1">
        <f t="array" aca="1" ref="T1718" ca="1">INDIRECT("Data!N" &amp; 1713)</f>
        <v>0</v>
      </c>
      <c r="U1718" cm="1">
        <f t="array" aca="1" ref="U1718" ca="1">INDIRECT("Data!O" &amp; 1713)</f>
        <v>0</v>
      </c>
      <c r="V1718" cm="1">
        <f t="array" aca="1" ref="V1718" ca="1">INDIRECT("Data!P" &amp; 1713)</f>
        <v>0</v>
      </c>
    </row>
    <row r="1719" spans="7:22" x14ac:dyDescent="0.25">
      <c r="G1719" cm="1">
        <f t="array" aca="1" ref="G1719" ca="1">INDIRECT("Data!A" &amp; 1714)</f>
        <v>0</v>
      </c>
      <c r="H1719" s="21" cm="1">
        <f t="array" aca="1" ref="H1719" ca="1">INDIRECT("Data!B" &amp; 1714)</f>
        <v>0</v>
      </c>
      <c r="I1719" s="21" cm="1">
        <f t="array" aca="1" ref="I1719" ca="1">INDIRECT("Data!C" &amp; 1714)</f>
        <v>0</v>
      </c>
      <c r="J1719" cm="1">
        <f t="array" aca="1" ref="J1719" ca="1">INDIRECT("Data!D" &amp; 1714)</f>
        <v>0</v>
      </c>
      <c r="K1719" cm="1">
        <f t="array" aca="1" ref="K1719" ca="1">INDIRECT("Data!E" &amp; 1714)</f>
        <v>0</v>
      </c>
      <c r="L1719" cm="1">
        <f t="array" aca="1" ref="L1719" ca="1">INDIRECT("Data!F" &amp; 1714)</f>
        <v>0</v>
      </c>
      <c r="M1719" cm="1">
        <f t="array" aca="1" ref="M1719" ca="1">INDIRECT("Data!G" &amp; 1714)</f>
        <v>0</v>
      </c>
      <c r="N1719" cm="1">
        <f t="array" aca="1" ref="N1719" ca="1">INDIRECT("Data!H" &amp; 1714)</f>
        <v>0</v>
      </c>
      <c r="O1719" cm="1">
        <f t="array" aca="1" ref="O1719" ca="1">INDIRECT("Data!I" &amp; 1714)</f>
        <v>0</v>
      </c>
      <c r="P1719" s="21" cm="1">
        <f t="array" aca="1" ref="P1719" ca="1">INDIRECT("Data!J" &amp; 1714)</f>
        <v>0</v>
      </c>
      <c r="Q1719" cm="1">
        <f t="array" aca="1" ref="Q1719" ca="1">INDIRECT("Data!K" &amp; 1714)</f>
        <v>0</v>
      </c>
      <c r="R1719" cm="1">
        <f t="array" aca="1" ref="R1719" ca="1">INDIRECT("Data!L" &amp; 1714)</f>
        <v>0</v>
      </c>
      <c r="S1719" cm="1">
        <f t="array" aca="1" ref="S1719" ca="1">INDIRECT("Data!M" &amp; 1714)</f>
        <v>0</v>
      </c>
      <c r="T1719" cm="1">
        <f t="array" aca="1" ref="T1719" ca="1">INDIRECT("Data!N" &amp; 1714)</f>
        <v>0</v>
      </c>
      <c r="U1719" cm="1">
        <f t="array" aca="1" ref="U1719" ca="1">INDIRECT("Data!O" &amp; 1714)</f>
        <v>0</v>
      </c>
      <c r="V1719" cm="1">
        <f t="array" aca="1" ref="V1719" ca="1">INDIRECT("Data!P" &amp; 1714)</f>
        <v>0</v>
      </c>
    </row>
    <row r="1720" spans="7:22" x14ac:dyDescent="0.25">
      <c r="G1720" cm="1">
        <f t="array" aca="1" ref="G1720" ca="1">INDIRECT("Data!A" &amp; 1715)</f>
        <v>0</v>
      </c>
      <c r="H1720" s="21" cm="1">
        <f t="array" aca="1" ref="H1720" ca="1">INDIRECT("Data!B" &amp; 1715)</f>
        <v>0</v>
      </c>
      <c r="I1720" s="21" cm="1">
        <f t="array" aca="1" ref="I1720" ca="1">INDIRECT("Data!C" &amp; 1715)</f>
        <v>0</v>
      </c>
      <c r="J1720" cm="1">
        <f t="array" aca="1" ref="J1720" ca="1">INDIRECT("Data!D" &amp; 1715)</f>
        <v>0</v>
      </c>
      <c r="K1720" cm="1">
        <f t="array" aca="1" ref="K1720" ca="1">INDIRECT("Data!E" &amp; 1715)</f>
        <v>0</v>
      </c>
      <c r="L1720" cm="1">
        <f t="array" aca="1" ref="L1720" ca="1">INDIRECT("Data!F" &amp; 1715)</f>
        <v>0</v>
      </c>
      <c r="M1720" cm="1">
        <f t="array" aca="1" ref="M1720" ca="1">INDIRECT("Data!G" &amp; 1715)</f>
        <v>0</v>
      </c>
      <c r="N1720" cm="1">
        <f t="array" aca="1" ref="N1720" ca="1">INDIRECT("Data!H" &amp; 1715)</f>
        <v>0</v>
      </c>
      <c r="O1720" cm="1">
        <f t="array" aca="1" ref="O1720" ca="1">INDIRECT("Data!I" &amp; 1715)</f>
        <v>0</v>
      </c>
      <c r="P1720" s="21" cm="1">
        <f t="array" aca="1" ref="P1720" ca="1">INDIRECT("Data!J" &amp; 1715)</f>
        <v>0</v>
      </c>
      <c r="Q1720" cm="1">
        <f t="array" aca="1" ref="Q1720" ca="1">INDIRECT("Data!K" &amp; 1715)</f>
        <v>0</v>
      </c>
      <c r="R1720" cm="1">
        <f t="array" aca="1" ref="R1720" ca="1">INDIRECT("Data!L" &amp; 1715)</f>
        <v>0</v>
      </c>
      <c r="S1720" cm="1">
        <f t="array" aca="1" ref="S1720" ca="1">INDIRECT("Data!M" &amp; 1715)</f>
        <v>0</v>
      </c>
      <c r="T1720" cm="1">
        <f t="array" aca="1" ref="T1720" ca="1">INDIRECT("Data!N" &amp; 1715)</f>
        <v>0</v>
      </c>
      <c r="U1720" cm="1">
        <f t="array" aca="1" ref="U1720" ca="1">INDIRECT("Data!O" &amp; 1715)</f>
        <v>0</v>
      </c>
      <c r="V1720" cm="1">
        <f t="array" aca="1" ref="V1720" ca="1">INDIRECT("Data!P" &amp; 1715)</f>
        <v>0</v>
      </c>
    </row>
    <row r="1721" spans="7:22" x14ac:dyDescent="0.25">
      <c r="G1721" cm="1">
        <f t="array" aca="1" ref="G1721" ca="1">INDIRECT("Data!A" &amp; 1716)</f>
        <v>0</v>
      </c>
      <c r="H1721" s="21" cm="1">
        <f t="array" aca="1" ref="H1721" ca="1">INDIRECT("Data!B" &amp; 1716)</f>
        <v>0</v>
      </c>
      <c r="I1721" s="21" cm="1">
        <f t="array" aca="1" ref="I1721" ca="1">INDIRECT("Data!C" &amp; 1716)</f>
        <v>0</v>
      </c>
      <c r="J1721" cm="1">
        <f t="array" aca="1" ref="J1721" ca="1">INDIRECT("Data!D" &amp; 1716)</f>
        <v>0</v>
      </c>
      <c r="K1721" cm="1">
        <f t="array" aca="1" ref="K1721" ca="1">INDIRECT("Data!E" &amp; 1716)</f>
        <v>0</v>
      </c>
      <c r="L1721" cm="1">
        <f t="array" aca="1" ref="L1721" ca="1">INDIRECT("Data!F" &amp; 1716)</f>
        <v>0</v>
      </c>
      <c r="M1721" cm="1">
        <f t="array" aca="1" ref="M1721" ca="1">INDIRECT("Data!G" &amp; 1716)</f>
        <v>0</v>
      </c>
      <c r="N1721" cm="1">
        <f t="array" aca="1" ref="N1721" ca="1">INDIRECT("Data!H" &amp; 1716)</f>
        <v>0</v>
      </c>
      <c r="O1721" cm="1">
        <f t="array" aca="1" ref="O1721" ca="1">INDIRECT("Data!I" &amp; 1716)</f>
        <v>0</v>
      </c>
      <c r="P1721" s="21" cm="1">
        <f t="array" aca="1" ref="P1721" ca="1">INDIRECT("Data!J" &amp; 1716)</f>
        <v>0</v>
      </c>
      <c r="Q1721" cm="1">
        <f t="array" aca="1" ref="Q1721" ca="1">INDIRECT("Data!K" &amp; 1716)</f>
        <v>0</v>
      </c>
      <c r="R1721" cm="1">
        <f t="array" aca="1" ref="R1721" ca="1">INDIRECT("Data!L" &amp; 1716)</f>
        <v>0</v>
      </c>
      <c r="S1721" cm="1">
        <f t="array" aca="1" ref="S1721" ca="1">INDIRECT("Data!M" &amp; 1716)</f>
        <v>0</v>
      </c>
      <c r="T1721" cm="1">
        <f t="array" aca="1" ref="T1721" ca="1">INDIRECT("Data!N" &amp; 1716)</f>
        <v>0</v>
      </c>
      <c r="U1721" cm="1">
        <f t="array" aca="1" ref="U1721" ca="1">INDIRECT("Data!O" &amp; 1716)</f>
        <v>0</v>
      </c>
      <c r="V1721" cm="1">
        <f t="array" aca="1" ref="V1721" ca="1">INDIRECT("Data!P" &amp; 1716)</f>
        <v>0</v>
      </c>
    </row>
    <row r="1722" spans="7:22" x14ac:dyDescent="0.25">
      <c r="G1722" cm="1">
        <f t="array" aca="1" ref="G1722" ca="1">INDIRECT("Data!A" &amp; 1717)</f>
        <v>0</v>
      </c>
      <c r="H1722" s="21" cm="1">
        <f t="array" aca="1" ref="H1722" ca="1">INDIRECT("Data!B" &amp; 1717)</f>
        <v>0</v>
      </c>
      <c r="I1722" s="21" cm="1">
        <f t="array" aca="1" ref="I1722" ca="1">INDIRECT("Data!C" &amp; 1717)</f>
        <v>0</v>
      </c>
      <c r="J1722" cm="1">
        <f t="array" aca="1" ref="J1722" ca="1">INDIRECT("Data!D" &amp; 1717)</f>
        <v>0</v>
      </c>
      <c r="K1722" cm="1">
        <f t="array" aca="1" ref="K1722" ca="1">INDIRECT("Data!E" &amp; 1717)</f>
        <v>0</v>
      </c>
      <c r="L1722" cm="1">
        <f t="array" aca="1" ref="L1722" ca="1">INDIRECT("Data!F" &amp; 1717)</f>
        <v>0</v>
      </c>
      <c r="M1722" cm="1">
        <f t="array" aca="1" ref="M1722" ca="1">INDIRECT("Data!G" &amp; 1717)</f>
        <v>0</v>
      </c>
      <c r="N1722" cm="1">
        <f t="array" aca="1" ref="N1722" ca="1">INDIRECT("Data!H" &amp; 1717)</f>
        <v>0</v>
      </c>
      <c r="O1722" cm="1">
        <f t="array" aca="1" ref="O1722" ca="1">INDIRECT("Data!I" &amp; 1717)</f>
        <v>0</v>
      </c>
      <c r="P1722" s="21" cm="1">
        <f t="array" aca="1" ref="P1722" ca="1">INDIRECT("Data!J" &amp; 1717)</f>
        <v>0</v>
      </c>
      <c r="Q1722" cm="1">
        <f t="array" aca="1" ref="Q1722" ca="1">INDIRECT("Data!K" &amp; 1717)</f>
        <v>0</v>
      </c>
      <c r="R1722" cm="1">
        <f t="array" aca="1" ref="R1722" ca="1">INDIRECT("Data!L" &amp; 1717)</f>
        <v>0</v>
      </c>
      <c r="S1722" cm="1">
        <f t="array" aca="1" ref="S1722" ca="1">INDIRECT("Data!M" &amp; 1717)</f>
        <v>0</v>
      </c>
      <c r="T1722" cm="1">
        <f t="array" aca="1" ref="T1722" ca="1">INDIRECT("Data!N" &amp; 1717)</f>
        <v>0</v>
      </c>
      <c r="U1722" cm="1">
        <f t="array" aca="1" ref="U1722" ca="1">INDIRECT("Data!O" &amp; 1717)</f>
        <v>0</v>
      </c>
      <c r="V1722" cm="1">
        <f t="array" aca="1" ref="V1722" ca="1">INDIRECT("Data!P" &amp; 1717)</f>
        <v>0</v>
      </c>
    </row>
    <row r="1723" spans="7:22" x14ac:dyDescent="0.25">
      <c r="G1723" cm="1">
        <f t="array" aca="1" ref="G1723" ca="1">INDIRECT("Data!A" &amp; 1718)</f>
        <v>0</v>
      </c>
      <c r="H1723" s="21" cm="1">
        <f t="array" aca="1" ref="H1723" ca="1">INDIRECT("Data!B" &amp; 1718)</f>
        <v>0</v>
      </c>
      <c r="I1723" s="21" cm="1">
        <f t="array" aca="1" ref="I1723" ca="1">INDIRECT("Data!C" &amp; 1718)</f>
        <v>0</v>
      </c>
      <c r="J1723" cm="1">
        <f t="array" aca="1" ref="J1723" ca="1">INDIRECT("Data!D" &amp; 1718)</f>
        <v>0</v>
      </c>
      <c r="K1723" cm="1">
        <f t="array" aca="1" ref="K1723" ca="1">INDIRECT("Data!E" &amp; 1718)</f>
        <v>0</v>
      </c>
      <c r="L1723" cm="1">
        <f t="array" aca="1" ref="L1723" ca="1">INDIRECT("Data!F" &amp; 1718)</f>
        <v>0</v>
      </c>
      <c r="M1723" cm="1">
        <f t="array" aca="1" ref="M1723" ca="1">INDIRECT("Data!G" &amp; 1718)</f>
        <v>0</v>
      </c>
      <c r="N1723" cm="1">
        <f t="array" aca="1" ref="N1723" ca="1">INDIRECT("Data!H" &amp; 1718)</f>
        <v>0</v>
      </c>
      <c r="O1723" cm="1">
        <f t="array" aca="1" ref="O1723" ca="1">INDIRECT("Data!I" &amp; 1718)</f>
        <v>0</v>
      </c>
      <c r="P1723" s="21" cm="1">
        <f t="array" aca="1" ref="P1723" ca="1">INDIRECT("Data!J" &amp; 1718)</f>
        <v>0</v>
      </c>
      <c r="Q1723" cm="1">
        <f t="array" aca="1" ref="Q1723" ca="1">INDIRECT("Data!K" &amp; 1718)</f>
        <v>0</v>
      </c>
      <c r="R1723" cm="1">
        <f t="array" aca="1" ref="R1723" ca="1">INDIRECT("Data!L" &amp; 1718)</f>
        <v>0</v>
      </c>
      <c r="S1723" cm="1">
        <f t="array" aca="1" ref="S1723" ca="1">INDIRECT("Data!M" &amp; 1718)</f>
        <v>0</v>
      </c>
      <c r="T1723" cm="1">
        <f t="array" aca="1" ref="T1723" ca="1">INDIRECT("Data!N" &amp; 1718)</f>
        <v>0</v>
      </c>
      <c r="U1723" cm="1">
        <f t="array" aca="1" ref="U1723" ca="1">INDIRECT("Data!O" &amp; 1718)</f>
        <v>0</v>
      </c>
      <c r="V1723" cm="1">
        <f t="array" aca="1" ref="V1723" ca="1">INDIRECT("Data!P" &amp; 1718)</f>
        <v>0</v>
      </c>
    </row>
    <row r="1724" spans="7:22" x14ac:dyDescent="0.25">
      <c r="G1724" cm="1">
        <f t="array" aca="1" ref="G1724" ca="1">INDIRECT("Data!A" &amp; 1719)</f>
        <v>0</v>
      </c>
      <c r="H1724" s="21" cm="1">
        <f t="array" aca="1" ref="H1724" ca="1">INDIRECT("Data!B" &amp; 1719)</f>
        <v>0</v>
      </c>
      <c r="I1724" s="21" cm="1">
        <f t="array" aca="1" ref="I1724" ca="1">INDIRECT("Data!C" &amp; 1719)</f>
        <v>0</v>
      </c>
      <c r="J1724" cm="1">
        <f t="array" aca="1" ref="J1724" ca="1">INDIRECT("Data!D" &amp; 1719)</f>
        <v>0</v>
      </c>
      <c r="K1724" cm="1">
        <f t="array" aca="1" ref="K1724" ca="1">INDIRECT("Data!E" &amp; 1719)</f>
        <v>0</v>
      </c>
      <c r="L1724" cm="1">
        <f t="array" aca="1" ref="L1724" ca="1">INDIRECT("Data!F" &amp; 1719)</f>
        <v>0</v>
      </c>
      <c r="M1724" cm="1">
        <f t="array" aca="1" ref="M1724" ca="1">INDIRECT("Data!G" &amp; 1719)</f>
        <v>0</v>
      </c>
      <c r="N1724" cm="1">
        <f t="array" aca="1" ref="N1724" ca="1">INDIRECT("Data!H" &amp; 1719)</f>
        <v>0</v>
      </c>
      <c r="O1724" cm="1">
        <f t="array" aca="1" ref="O1724" ca="1">INDIRECT("Data!I" &amp; 1719)</f>
        <v>0</v>
      </c>
      <c r="P1724" s="21" cm="1">
        <f t="array" aca="1" ref="P1724" ca="1">INDIRECT("Data!J" &amp; 1719)</f>
        <v>0</v>
      </c>
      <c r="Q1724" cm="1">
        <f t="array" aca="1" ref="Q1724" ca="1">INDIRECT("Data!K" &amp; 1719)</f>
        <v>0</v>
      </c>
      <c r="R1724" cm="1">
        <f t="array" aca="1" ref="R1724" ca="1">INDIRECT("Data!L" &amp; 1719)</f>
        <v>0</v>
      </c>
      <c r="S1724" cm="1">
        <f t="array" aca="1" ref="S1724" ca="1">INDIRECT("Data!M" &amp; 1719)</f>
        <v>0</v>
      </c>
      <c r="T1724" cm="1">
        <f t="array" aca="1" ref="T1724" ca="1">INDIRECT("Data!N" &amp; 1719)</f>
        <v>0</v>
      </c>
      <c r="U1724" cm="1">
        <f t="array" aca="1" ref="U1724" ca="1">INDIRECT("Data!O" &amp; 1719)</f>
        <v>0</v>
      </c>
      <c r="V1724" cm="1">
        <f t="array" aca="1" ref="V1724" ca="1">INDIRECT("Data!P" &amp; 1719)</f>
        <v>0</v>
      </c>
    </row>
    <row r="1725" spans="7:22" x14ac:dyDescent="0.25">
      <c r="G1725" cm="1">
        <f t="array" aca="1" ref="G1725" ca="1">INDIRECT("Data!A" &amp; 1720)</f>
        <v>0</v>
      </c>
      <c r="H1725" s="21" cm="1">
        <f t="array" aca="1" ref="H1725" ca="1">INDIRECT("Data!B" &amp; 1720)</f>
        <v>0</v>
      </c>
      <c r="I1725" s="21" cm="1">
        <f t="array" aca="1" ref="I1725" ca="1">INDIRECT("Data!C" &amp; 1720)</f>
        <v>0</v>
      </c>
      <c r="J1725" cm="1">
        <f t="array" aca="1" ref="J1725" ca="1">INDIRECT("Data!D" &amp; 1720)</f>
        <v>0</v>
      </c>
      <c r="K1725" cm="1">
        <f t="array" aca="1" ref="K1725" ca="1">INDIRECT("Data!E" &amp; 1720)</f>
        <v>0</v>
      </c>
      <c r="L1725" cm="1">
        <f t="array" aca="1" ref="L1725" ca="1">INDIRECT("Data!F" &amp; 1720)</f>
        <v>0</v>
      </c>
      <c r="M1725" cm="1">
        <f t="array" aca="1" ref="M1725" ca="1">INDIRECT("Data!G" &amp; 1720)</f>
        <v>0</v>
      </c>
      <c r="N1725" cm="1">
        <f t="array" aca="1" ref="N1725" ca="1">INDIRECT("Data!H" &amp; 1720)</f>
        <v>0</v>
      </c>
      <c r="O1725" cm="1">
        <f t="array" aca="1" ref="O1725" ca="1">INDIRECT("Data!I" &amp; 1720)</f>
        <v>0</v>
      </c>
      <c r="P1725" s="21" cm="1">
        <f t="array" aca="1" ref="P1725" ca="1">INDIRECT("Data!J" &amp; 1720)</f>
        <v>0</v>
      </c>
      <c r="Q1725" cm="1">
        <f t="array" aca="1" ref="Q1725" ca="1">INDIRECT("Data!K" &amp; 1720)</f>
        <v>0</v>
      </c>
      <c r="R1725" cm="1">
        <f t="array" aca="1" ref="R1725" ca="1">INDIRECT("Data!L" &amp; 1720)</f>
        <v>0</v>
      </c>
      <c r="S1725" cm="1">
        <f t="array" aca="1" ref="S1725" ca="1">INDIRECT("Data!M" &amp; 1720)</f>
        <v>0</v>
      </c>
      <c r="T1725" cm="1">
        <f t="array" aca="1" ref="T1725" ca="1">INDIRECT("Data!N" &amp; 1720)</f>
        <v>0</v>
      </c>
      <c r="U1725" cm="1">
        <f t="array" aca="1" ref="U1725" ca="1">INDIRECT("Data!O" &amp; 1720)</f>
        <v>0</v>
      </c>
      <c r="V1725" cm="1">
        <f t="array" aca="1" ref="V1725" ca="1">INDIRECT("Data!P" &amp; 1720)</f>
        <v>0</v>
      </c>
    </row>
    <row r="1726" spans="7:22" x14ac:dyDescent="0.25">
      <c r="G1726" cm="1">
        <f t="array" aca="1" ref="G1726" ca="1">INDIRECT("Data!A" &amp; 1721)</f>
        <v>0</v>
      </c>
      <c r="H1726" s="21" cm="1">
        <f t="array" aca="1" ref="H1726" ca="1">INDIRECT("Data!B" &amp; 1721)</f>
        <v>0</v>
      </c>
      <c r="I1726" s="21" cm="1">
        <f t="array" aca="1" ref="I1726" ca="1">INDIRECT("Data!C" &amp; 1721)</f>
        <v>0</v>
      </c>
      <c r="J1726" cm="1">
        <f t="array" aca="1" ref="J1726" ca="1">INDIRECT("Data!D" &amp; 1721)</f>
        <v>0</v>
      </c>
      <c r="K1726" cm="1">
        <f t="array" aca="1" ref="K1726" ca="1">INDIRECT("Data!E" &amp; 1721)</f>
        <v>0</v>
      </c>
      <c r="L1726" cm="1">
        <f t="array" aca="1" ref="L1726" ca="1">INDIRECT("Data!F" &amp; 1721)</f>
        <v>0</v>
      </c>
      <c r="M1726" cm="1">
        <f t="array" aca="1" ref="M1726" ca="1">INDIRECT("Data!G" &amp; 1721)</f>
        <v>0</v>
      </c>
      <c r="N1726" cm="1">
        <f t="array" aca="1" ref="N1726" ca="1">INDIRECT("Data!H" &amp; 1721)</f>
        <v>0</v>
      </c>
      <c r="O1726" cm="1">
        <f t="array" aca="1" ref="O1726" ca="1">INDIRECT("Data!I" &amp; 1721)</f>
        <v>0</v>
      </c>
      <c r="P1726" s="21" cm="1">
        <f t="array" aca="1" ref="P1726" ca="1">INDIRECT("Data!J" &amp; 1721)</f>
        <v>0</v>
      </c>
      <c r="Q1726" cm="1">
        <f t="array" aca="1" ref="Q1726" ca="1">INDIRECT("Data!K" &amp; 1721)</f>
        <v>0</v>
      </c>
      <c r="R1726" cm="1">
        <f t="array" aca="1" ref="R1726" ca="1">INDIRECT("Data!L" &amp; 1721)</f>
        <v>0</v>
      </c>
      <c r="S1726" cm="1">
        <f t="array" aca="1" ref="S1726" ca="1">INDIRECT("Data!M" &amp; 1721)</f>
        <v>0</v>
      </c>
      <c r="T1726" cm="1">
        <f t="array" aca="1" ref="T1726" ca="1">INDIRECT("Data!N" &amp; 1721)</f>
        <v>0</v>
      </c>
      <c r="U1726" cm="1">
        <f t="array" aca="1" ref="U1726" ca="1">INDIRECT("Data!O" &amp; 1721)</f>
        <v>0</v>
      </c>
      <c r="V1726" cm="1">
        <f t="array" aca="1" ref="V1726" ca="1">INDIRECT("Data!P" &amp; 1721)</f>
        <v>0</v>
      </c>
    </row>
    <row r="1727" spans="7:22" x14ac:dyDescent="0.25">
      <c r="G1727" cm="1">
        <f t="array" aca="1" ref="G1727" ca="1">INDIRECT("Data!A" &amp; 1722)</f>
        <v>0</v>
      </c>
      <c r="H1727" s="21" cm="1">
        <f t="array" aca="1" ref="H1727" ca="1">INDIRECT("Data!B" &amp; 1722)</f>
        <v>0</v>
      </c>
      <c r="I1727" s="21" cm="1">
        <f t="array" aca="1" ref="I1727" ca="1">INDIRECT("Data!C" &amp; 1722)</f>
        <v>0</v>
      </c>
      <c r="J1727" cm="1">
        <f t="array" aca="1" ref="J1727" ca="1">INDIRECT("Data!D" &amp; 1722)</f>
        <v>0</v>
      </c>
      <c r="K1727" cm="1">
        <f t="array" aca="1" ref="K1727" ca="1">INDIRECT("Data!E" &amp; 1722)</f>
        <v>0</v>
      </c>
      <c r="L1727" cm="1">
        <f t="array" aca="1" ref="L1727" ca="1">INDIRECT("Data!F" &amp; 1722)</f>
        <v>0</v>
      </c>
      <c r="M1727" cm="1">
        <f t="array" aca="1" ref="M1727" ca="1">INDIRECT("Data!G" &amp; 1722)</f>
        <v>0</v>
      </c>
      <c r="N1727" cm="1">
        <f t="array" aca="1" ref="N1727" ca="1">INDIRECT("Data!H" &amp; 1722)</f>
        <v>0</v>
      </c>
      <c r="O1727" cm="1">
        <f t="array" aca="1" ref="O1727" ca="1">INDIRECT("Data!I" &amp; 1722)</f>
        <v>0</v>
      </c>
      <c r="P1727" s="21" cm="1">
        <f t="array" aca="1" ref="P1727" ca="1">INDIRECT("Data!J" &amp; 1722)</f>
        <v>0</v>
      </c>
      <c r="Q1727" cm="1">
        <f t="array" aca="1" ref="Q1727" ca="1">INDIRECT("Data!K" &amp; 1722)</f>
        <v>0</v>
      </c>
      <c r="R1727" cm="1">
        <f t="array" aca="1" ref="R1727" ca="1">INDIRECT("Data!L" &amp; 1722)</f>
        <v>0</v>
      </c>
      <c r="S1727" cm="1">
        <f t="array" aca="1" ref="S1727" ca="1">INDIRECT("Data!M" &amp; 1722)</f>
        <v>0</v>
      </c>
      <c r="T1727" cm="1">
        <f t="array" aca="1" ref="T1727" ca="1">INDIRECT("Data!N" &amp; 1722)</f>
        <v>0</v>
      </c>
      <c r="U1727" cm="1">
        <f t="array" aca="1" ref="U1727" ca="1">INDIRECT("Data!O" &amp; 1722)</f>
        <v>0</v>
      </c>
      <c r="V1727" cm="1">
        <f t="array" aca="1" ref="V1727" ca="1">INDIRECT("Data!P" &amp; 1722)</f>
        <v>0</v>
      </c>
    </row>
    <row r="1728" spans="7:22" x14ac:dyDescent="0.25">
      <c r="G1728" cm="1">
        <f t="array" aca="1" ref="G1728" ca="1">INDIRECT("Data!A" &amp; 1723)</f>
        <v>0</v>
      </c>
      <c r="H1728" s="21" cm="1">
        <f t="array" aca="1" ref="H1728" ca="1">INDIRECT("Data!B" &amp; 1723)</f>
        <v>0</v>
      </c>
      <c r="I1728" s="21" cm="1">
        <f t="array" aca="1" ref="I1728" ca="1">INDIRECT("Data!C" &amp; 1723)</f>
        <v>0</v>
      </c>
      <c r="J1728" cm="1">
        <f t="array" aca="1" ref="J1728" ca="1">INDIRECT("Data!D" &amp; 1723)</f>
        <v>0</v>
      </c>
      <c r="K1728" cm="1">
        <f t="array" aca="1" ref="K1728" ca="1">INDIRECT("Data!E" &amp; 1723)</f>
        <v>0</v>
      </c>
      <c r="L1728" cm="1">
        <f t="array" aca="1" ref="L1728" ca="1">INDIRECT("Data!F" &amp; 1723)</f>
        <v>0</v>
      </c>
      <c r="M1728" cm="1">
        <f t="array" aca="1" ref="M1728" ca="1">INDIRECT("Data!G" &amp; 1723)</f>
        <v>0</v>
      </c>
      <c r="N1728" cm="1">
        <f t="array" aca="1" ref="N1728" ca="1">INDIRECT("Data!H" &amp; 1723)</f>
        <v>0</v>
      </c>
      <c r="O1728" cm="1">
        <f t="array" aca="1" ref="O1728" ca="1">INDIRECT("Data!I" &amp; 1723)</f>
        <v>0</v>
      </c>
      <c r="P1728" s="21" cm="1">
        <f t="array" aca="1" ref="P1728" ca="1">INDIRECT("Data!J" &amp; 1723)</f>
        <v>0</v>
      </c>
      <c r="Q1728" cm="1">
        <f t="array" aca="1" ref="Q1728" ca="1">INDIRECT("Data!K" &amp; 1723)</f>
        <v>0</v>
      </c>
      <c r="R1728" cm="1">
        <f t="array" aca="1" ref="R1728" ca="1">INDIRECT("Data!L" &amp; 1723)</f>
        <v>0</v>
      </c>
      <c r="S1728" cm="1">
        <f t="array" aca="1" ref="S1728" ca="1">INDIRECT("Data!M" &amp; 1723)</f>
        <v>0</v>
      </c>
      <c r="T1728" cm="1">
        <f t="array" aca="1" ref="T1728" ca="1">INDIRECT("Data!N" &amp; 1723)</f>
        <v>0</v>
      </c>
      <c r="U1728" cm="1">
        <f t="array" aca="1" ref="U1728" ca="1">INDIRECT("Data!O" &amp; 1723)</f>
        <v>0</v>
      </c>
      <c r="V1728" cm="1">
        <f t="array" aca="1" ref="V1728" ca="1">INDIRECT("Data!P" &amp; 1723)</f>
        <v>0</v>
      </c>
    </row>
    <row r="1729" spans="7:22" x14ac:dyDescent="0.25">
      <c r="G1729" cm="1">
        <f t="array" aca="1" ref="G1729" ca="1">INDIRECT("Data!A" &amp; 1724)</f>
        <v>0</v>
      </c>
      <c r="H1729" s="21" cm="1">
        <f t="array" aca="1" ref="H1729" ca="1">INDIRECT("Data!B" &amp; 1724)</f>
        <v>0</v>
      </c>
      <c r="I1729" s="21" cm="1">
        <f t="array" aca="1" ref="I1729" ca="1">INDIRECT("Data!C" &amp; 1724)</f>
        <v>0</v>
      </c>
      <c r="J1729" cm="1">
        <f t="array" aca="1" ref="J1729" ca="1">INDIRECT("Data!D" &amp; 1724)</f>
        <v>0</v>
      </c>
      <c r="K1729" cm="1">
        <f t="array" aca="1" ref="K1729" ca="1">INDIRECT("Data!E" &amp; 1724)</f>
        <v>0</v>
      </c>
      <c r="L1729" cm="1">
        <f t="array" aca="1" ref="L1729" ca="1">INDIRECT("Data!F" &amp; 1724)</f>
        <v>0</v>
      </c>
      <c r="M1729" cm="1">
        <f t="array" aca="1" ref="M1729" ca="1">INDIRECT("Data!G" &amp; 1724)</f>
        <v>0</v>
      </c>
      <c r="N1729" cm="1">
        <f t="array" aca="1" ref="N1729" ca="1">INDIRECT("Data!H" &amp; 1724)</f>
        <v>0</v>
      </c>
      <c r="O1729" cm="1">
        <f t="array" aca="1" ref="O1729" ca="1">INDIRECT("Data!I" &amp; 1724)</f>
        <v>0</v>
      </c>
      <c r="P1729" s="21" cm="1">
        <f t="array" aca="1" ref="P1729" ca="1">INDIRECT("Data!J" &amp; 1724)</f>
        <v>0</v>
      </c>
      <c r="Q1729" cm="1">
        <f t="array" aca="1" ref="Q1729" ca="1">INDIRECT("Data!K" &amp; 1724)</f>
        <v>0</v>
      </c>
      <c r="R1729" cm="1">
        <f t="array" aca="1" ref="R1729" ca="1">INDIRECT("Data!L" &amp; 1724)</f>
        <v>0</v>
      </c>
      <c r="S1729" cm="1">
        <f t="array" aca="1" ref="S1729" ca="1">INDIRECT("Data!M" &amp; 1724)</f>
        <v>0</v>
      </c>
      <c r="T1729" cm="1">
        <f t="array" aca="1" ref="T1729" ca="1">INDIRECT("Data!N" &amp; 1724)</f>
        <v>0</v>
      </c>
      <c r="U1729" cm="1">
        <f t="array" aca="1" ref="U1729" ca="1">INDIRECT("Data!O" &amp; 1724)</f>
        <v>0</v>
      </c>
      <c r="V1729" cm="1">
        <f t="array" aca="1" ref="V1729" ca="1">INDIRECT("Data!P" &amp; 1724)</f>
        <v>0</v>
      </c>
    </row>
    <row r="1730" spans="7:22" x14ac:dyDescent="0.25">
      <c r="G1730" cm="1">
        <f t="array" aca="1" ref="G1730" ca="1">INDIRECT("Data!A" &amp; 1725)</f>
        <v>0</v>
      </c>
      <c r="H1730" s="21" cm="1">
        <f t="array" aca="1" ref="H1730" ca="1">INDIRECT("Data!B" &amp; 1725)</f>
        <v>0</v>
      </c>
      <c r="I1730" s="21" cm="1">
        <f t="array" aca="1" ref="I1730" ca="1">INDIRECT("Data!C" &amp; 1725)</f>
        <v>0</v>
      </c>
      <c r="J1730" cm="1">
        <f t="array" aca="1" ref="J1730" ca="1">INDIRECT("Data!D" &amp; 1725)</f>
        <v>0</v>
      </c>
      <c r="K1730" cm="1">
        <f t="array" aca="1" ref="K1730" ca="1">INDIRECT("Data!E" &amp; 1725)</f>
        <v>0</v>
      </c>
      <c r="L1730" cm="1">
        <f t="array" aca="1" ref="L1730" ca="1">INDIRECT("Data!F" &amp; 1725)</f>
        <v>0</v>
      </c>
      <c r="M1730" cm="1">
        <f t="array" aca="1" ref="M1730" ca="1">INDIRECT("Data!G" &amp; 1725)</f>
        <v>0</v>
      </c>
      <c r="N1730" cm="1">
        <f t="array" aca="1" ref="N1730" ca="1">INDIRECT("Data!H" &amp; 1725)</f>
        <v>0</v>
      </c>
      <c r="O1730" cm="1">
        <f t="array" aca="1" ref="O1730" ca="1">INDIRECT("Data!I" &amp; 1725)</f>
        <v>0</v>
      </c>
      <c r="P1730" s="21" cm="1">
        <f t="array" aca="1" ref="P1730" ca="1">INDIRECT("Data!J" &amp; 1725)</f>
        <v>0</v>
      </c>
      <c r="Q1730" cm="1">
        <f t="array" aca="1" ref="Q1730" ca="1">INDIRECT("Data!K" &amp; 1725)</f>
        <v>0</v>
      </c>
      <c r="R1730" cm="1">
        <f t="array" aca="1" ref="R1730" ca="1">INDIRECT("Data!L" &amp; 1725)</f>
        <v>0</v>
      </c>
      <c r="S1730" cm="1">
        <f t="array" aca="1" ref="S1730" ca="1">INDIRECT("Data!M" &amp; 1725)</f>
        <v>0</v>
      </c>
      <c r="T1730" cm="1">
        <f t="array" aca="1" ref="T1730" ca="1">INDIRECT("Data!N" &amp; 1725)</f>
        <v>0</v>
      </c>
      <c r="U1730" cm="1">
        <f t="array" aca="1" ref="U1730" ca="1">INDIRECT("Data!O" &amp; 1725)</f>
        <v>0</v>
      </c>
      <c r="V1730" cm="1">
        <f t="array" aca="1" ref="V1730" ca="1">INDIRECT("Data!P" &amp; 1725)</f>
        <v>0</v>
      </c>
    </row>
    <row r="1731" spans="7:22" x14ac:dyDescent="0.25">
      <c r="G1731" cm="1">
        <f t="array" aca="1" ref="G1731" ca="1">INDIRECT("Data!A" &amp; 1726)</f>
        <v>0</v>
      </c>
      <c r="H1731" s="21" cm="1">
        <f t="array" aca="1" ref="H1731" ca="1">INDIRECT("Data!B" &amp; 1726)</f>
        <v>0</v>
      </c>
      <c r="I1731" s="21" cm="1">
        <f t="array" aca="1" ref="I1731" ca="1">INDIRECT("Data!C" &amp; 1726)</f>
        <v>0</v>
      </c>
      <c r="J1731" cm="1">
        <f t="array" aca="1" ref="J1731" ca="1">INDIRECT("Data!D" &amp; 1726)</f>
        <v>0</v>
      </c>
      <c r="K1731" cm="1">
        <f t="array" aca="1" ref="K1731" ca="1">INDIRECT("Data!E" &amp; 1726)</f>
        <v>0</v>
      </c>
      <c r="L1731" cm="1">
        <f t="array" aca="1" ref="L1731" ca="1">INDIRECT("Data!F" &amp; 1726)</f>
        <v>0</v>
      </c>
      <c r="M1731" cm="1">
        <f t="array" aca="1" ref="M1731" ca="1">INDIRECT("Data!G" &amp; 1726)</f>
        <v>0</v>
      </c>
      <c r="N1731" cm="1">
        <f t="array" aca="1" ref="N1731" ca="1">INDIRECT("Data!H" &amp; 1726)</f>
        <v>0</v>
      </c>
      <c r="O1731" cm="1">
        <f t="array" aca="1" ref="O1731" ca="1">INDIRECT("Data!I" &amp; 1726)</f>
        <v>0</v>
      </c>
      <c r="P1731" s="21" cm="1">
        <f t="array" aca="1" ref="P1731" ca="1">INDIRECT("Data!J" &amp; 1726)</f>
        <v>0</v>
      </c>
      <c r="Q1731" cm="1">
        <f t="array" aca="1" ref="Q1731" ca="1">INDIRECT("Data!K" &amp; 1726)</f>
        <v>0</v>
      </c>
      <c r="R1731" cm="1">
        <f t="array" aca="1" ref="R1731" ca="1">INDIRECT("Data!L" &amp; 1726)</f>
        <v>0</v>
      </c>
      <c r="S1731" cm="1">
        <f t="array" aca="1" ref="S1731" ca="1">INDIRECT("Data!M" &amp; 1726)</f>
        <v>0</v>
      </c>
      <c r="T1731" cm="1">
        <f t="array" aca="1" ref="T1731" ca="1">INDIRECT("Data!N" &amp; 1726)</f>
        <v>0</v>
      </c>
      <c r="U1731" cm="1">
        <f t="array" aca="1" ref="U1731" ca="1">INDIRECT("Data!O" &amp; 1726)</f>
        <v>0</v>
      </c>
      <c r="V1731" cm="1">
        <f t="array" aca="1" ref="V1731" ca="1">INDIRECT("Data!P" &amp; 1726)</f>
        <v>0</v>
      </c>
    </row>
    <row r="1732" spans="7:22" x14ac:dyDescent="0.25">
      <c r="G1732" cm="1">
        <f t="array" aca="1" ref="G1732" ca="1">INDIRECT("Data!A" &amp; 1727)</f>
        <v>0</v>
      </c>
      <c r="H1732" s="21" cm="1">
        <f t="array" aca="1" ref="H1732" ca="1">INDIRECT("Data!B" &amp; 1727)</f>
        <v>0</v>
      </c>
      <c r="I1732" s="21" cm="1">
        <f t="array" aca="1" ref="I1732" ca="1">INDIRECT("Data!C" &amp; 1727)</f>
        <v>0</v>
      </c>
      <c r="J1732" cm="1">
        <f t="array" aca="1" ref="J1732" ca="1">INDIRECT("Data!D" &amp; 1727)</f>
        <v>0</v>
      </c>
      <c r="K1732" cm="1">
        <f t="array" aca="1" ref="K1732" ca="1">INDIRECT("Data!E" &amp; 1727)</f>
        <v>0</v>
      </c>
      <c r="L1732" cm="1">
        <f t="array" aca="1" ref="L1732" ca="1">INDIRECT("Data!F" &amp; 1727)</f>
        <v>0</v>
      </c>
      <c r="M1732" cm="1">
        <f t="array" aca="1" ref="M1732" ca="1">INDIRECT("Data!G" &amp; 1727)</f>
        <v>0</v>
      </c>
      <c r="N1732" cm="1">
        <f t="array" aca="1" ref="N1732" ca="1">INDIRECT("Data!H" &amp; 1727)</f>
        <v>0</v>
      </c>
      <c r="O1732" cm="1">
        <f t="array" aca="1" ref="O1732" ca="1">INDIRECT("Data!I" &amp; 1727)</f>
        <v>0</v>
      </c>
      <c r="P1732" s="21" cm="1">
        <f t="array" aca="1" ref="P1732" ca="1">INDIRECT("Data!J" &amp; 1727)</f>
        <v>0</v>
      </c>
      <c r="Q1732" cm="1">
        <f t="array" aca="1" ref="Q1732" ca="1">INDIRECT("Data!K" &amp; 1727)</f>
        <v>0</v>
      </c>
      <c r="R1732" cm="1">
        <f t="array" aca="1" ref="R1732" ca="1">INDIRECT("Data!L" &amp; 1727)</f>
        <v>0</v>
      </c>
      <c r="S1732" cm="1">
        <f t="array" aca="1" ref="S1732" ca="1">INDIRECT("Data!M" &amp; 1727)</f>
        <v>0</v>
      </c>
      <c r="T1732" cm="1">
        <f t="array" aca="1" ref="T1732" ca="1">INDIRECT("Data!N" &amp; 1727)</f>
        <v>0</v>
      </c>
      <c r="U1732" cm="1">
        <f t="array" aca="1" ref="U1732" ca="1">INDIRECT("Data!O" &amp; 1727)</f>
        <v>0</v>
      </c>
      <c r="V1732" cm="1">
        <f t="array" aca="1" ref="V1732" ca="1">INDIRECT("Data!P" &amp; 1727)</f>
        <v>0</v>
      </c>
    </row>
    <row r="1733" spans="7:22" x14ac:dyDescent="0.25">
      <c r="G1733" cm="1">
        <f t="array" aca="1" ref="G1733" ca="1">INDIRECT("Data!A" &amp; 1728)</f>
        <v>0</v>
      </c>
      <c r="H1733" s="21" cm="1">
        <f t="array" aca="1" ref="H1733" ca="1">INDIRECT("Data!B" &amp; 1728)</f>
        <v>0</v>
      </c>
      <c r="I1733" s="21" cm="1">
        <f t="array" aca="1" ref="I1733" ca="1">INDIRECT("Data!C" &amp; 1728)</f>
        <v>0</v>
      </c>
      <c r="J1733" cm="1">
        <f t="array" aca="1" ref="J1733" ca="1">INDIRECT("Data!D" &amp; 1728)</f>
        <v>0</v>
      </c>
      <c r="K1733" cm="1">
        <f t="array" aca="1" ref="K1733" ca="1">INDIRECT("Data!E" &amp; 1728)</f>
        <v>0</v>
      </c>
      <c r="L1733" cm="1">
        <f t="array" aca="1" ref="L1733" ca="1">INDIRECT("Data!F" &amp; 1728)</f>
        <v>0</v>
      </c>
      <c r="M1733" cm="1">
        <f t="array" aca="1" ref="M1733" ca="1">INDIRECT("Data!G" &amp; 1728)</f>
        <v>0</v>
      </c>
      <c r="N1733" cm="1">
        <f t="array" aca="1" ref="N1733" ca="1">INDIRECT("Data!H" &amp; 1728)</f>
        <v>0</v>
      </c>
      <c r="O1733" cm="1">
        <f t="array" aca="1" ref="O1733" ca="1">INDIRECT("Data!I" &amp; 1728)</f>
        <v>0</v>
      </c>
      <c r="P1733" s="21" cm="1">
        <f t="array" aca="1" ref="P1733" ca="1">INDIRECT("Data!J" &amp; 1728)</f>
        <v>0</v>
      </c>
      <c r="Q1733" cm="1">
        <f t="array" aca="1" ref="Q1733" ca="1">INDIRECT("Data!K" &amp; 1728)</f>
        <v>0</v>
      </c>
      <c r="R1733" cm="1">
        <f t="array" aca="1" ref="R1733" ca="1">INDIRECT("Data!L" &amp; 1728)</f>
        <v>0</v>
      </c>
      <c r="S1733" cm="1">
        <f t="array" aca="1" ref="S1733" ca="1">INDIRECT("Data!M" &amp; 1728)</f>
        <v>0</v>
      </c>
      <c r="T1733" cm="1">
        <f t="array" aca="1" ref="T1733" ca="1">INDIRECT("Data!N" &amp; 1728)</f>
        <v>0</v>
      </c>
      <c r="U1733" cm="1">
        <f t="array" aca="1" ref="U1733" ca="1">INDIRECT("Data!O" &amp; 1728)</f>
        <v>0</v>
      </c>
      <c r="V1733" cm="1">
        <f t="array" aca="1" ref="V1733" ca="1">INDIRECT("Data!P" &amp; 1728)</f>
        <v>0</v>
      </c>
    </row>
    <row r="1734" spans="7:22" x14ac:dyDescent="0.25">
      <c r="G1734" cm="1">
        <f t="array" aca="1" ref="G1734" ca="1">INDIRECT("Data!A" &amp; 1729)</f>
        <v>0</v>
      </c>
      <c r="H1734" s="21" cm="1">
        <f t="array" aca="1" ref="H1734" ca="1">INDIRECT("Data!B" &amp; 1729)</f>
        <v>0</v>
      </c>
      <c r="I1734" s="21" cm="1">
        <f t="array" aca="1" ref="I1734" ca="1">INDIRECT("Data!C" &amp; 1729)</f>
        <v>0</v>
      </c>
      <c r="J1734" cm="1">
        <f t="array" aca="1" ref="J1734" ca="1">INDIRECT("Data!D" &amp; 1729)</f>
        <v>0</v>
      </c>
      <c r="K1734" cm="1">
        <f t="array" aca="1" ref="K1734" ca="1">INDIRECT("Data!E" &amp; 1729)</f>
        <v>0</v>
      </c>
      <c r="L1734" cm="1">
        <f t="array" aca="1" ref="L1734" ca="1">INDIRECT("Data!F" &amp; 1729)</f>
        <v>0</v>
      </c>
      <c r="M1734" cm="1">
        <f t="array" aca="1" ref="M1734" ca="1">INDIRECT("Data!G" &amp; 1729)</f>
        <v>0</v>
      </c>
      <c r="N1734" cm="1">
        <f t="array" aca="1" ref="N1734" ca="1">INDIRECT("Data!H" &amp; 1729)</f>
        <v>0</v>
      </c>
      <c r="O1734" cm="1">
        <f t="array" aca="1" ref="O1734" ca="1">INDIRECT("Data!I" &amp; 1729)</f>
        <v>0</v>
      </c>
      <c r="P1734" s="21" cm="1">
        <f t="array" aca="1" ref="P1734" ca="1">INDIRECT("Data!J" &amp; 1729)</f>
        <v>0</v>
      </c>
      <c r="Q1734" cm="1">
        <f t="array" aca="1" ref="Q1734" ca="1">INDIRECT("Data!K" &amp; 1729)</f>
        <v>0</v>
      </c>
      <c r="R1734" cm="1">
        <f t="array" aca="1" ref="R1734" ca="1">INDIRECT("Data!L" &amp; 1729)</f>
        <v>0</v>
      </c>
      <c r="S1734" cm="1">
        <f t="array" aca="1" ref="S1734" ca="1">INDIRECT("Data!M" &amp; 1729)</f>
        <v>0</v>
      </c>
      <c r="T1734" cm="1">
        <f t="array" aca="1" ref="T1734" ca="1">INDIRECT("Data!N" &amp; 1729)</f>
        <v>0</v>
      </c>
      <c r="U1734" cm="1">
        <f t="array" aca="1" ref="U1734" ca="1">INDIRECT("Data!O" &amp; 1729)</f>
        <v>0</v>
      </c>
      <c r="V1734" cm="1">
        <f t="array" aca="1" ref="V1734" ca="1">INDIRECT("Data!P" &amp; 1729)</f>
        <v>0</v>
      </c>
    </row>
    <row r="1735" spans="7:22" x14ac:dyDescent="0.25">
      <c r="G1735" cm="1">
        <f t="array" aca="1" ref="G1735" ca="1">INDIRECT("Data!A" &amp; 1730)</f>
        <v>0</v>
      </c>
      <c r="H1735" s="21" cm="1">
        <f t="array" aca="1" ref="H1735" ca="1">INDIRECT("Data!B" &amp; 1730)</f>
        <v>0</v>
      </c>
      <c r="I1735" s="21" cm="1">
        <f t="array" aca="1" ref="I1735" ca="1">INDIRECT("Data!C" &amp; 1730)</f>
        <v>0</v>
      </c>
      <c r="J1735" cm="1">
        <f t="array" aca="1" ref="J1735" ca="1">INDIRECT("Data!D" &amp; 1730)</f>
        <v>0</v>
      </c>
      <c r="K1735" cm="1">
        <f t="array" aca="1" ref="K1735" ca="1">INDIRECT("Data!E" &amp; 1730)</f>
        <v>0</v>
      </c>
      <c r="L1735" cm="1">
        <f t="array" aca="1" ref="L1735" ca="1">INDIRECT("Data!F" &amp; 1730)</f>
        <v>0</v>
      </c>
      <c r="M1735" cm="1">
        <f t="array" aca="1" ref="M1735" ca="1">INDIRECT("Data!G" &amp; 1730)</f>
        <v>0</v>
      </c>
      <c r="N1735" cm="1">
        <f t="array" aca="1" ref="N1735" ca="1">INDIRECT("Data!H" &amp; 1730)</f>
        <v>0</v>
      </c>
      <c r="O1735" cm="1">
        <f t="array" aca="1" ref="O1735" ca="1">INDIRECT("Data!I" &amp; 1730)</f>
        <v>0</v>
      </c>
      <c r="P1735" s="21" cm="1">
        <f t="array" aca="1" ref="P1735" ca="1">INDIRECT("Data!J" &amp; 1730)</f>
        <v>0</v>
      </c>
      <c r="Q1735" cm="1">
        <f t="array" aca="1" ref="Q1735" ca="1">INDIRECT("Data!K" &amp; 1730)</f>
        <v>0</v>
      </c>
      <c r="R1735" cm="1">
        <f t="array" aca="1" ref="R1735" ca="1">INDIRECT("Data!L" &amp; 1730)</f>
        <v>0</v>
      </c>
      <c r="S1735" cm="1">
        <f t="array" aca="1" ref="S1735" ca="1">INDIRECT("Data!M" &amp; 1730)</f>
        <v>0</v>
      </c>
      <c r="T1735" cm="1">
        <f t="array" aca="1" ref="T1735" ca="1">INDIRECT("Data!N" &amp; 1730)</f>
        <v>0</v>
      </c>
      <c r="U1735" cm="1">
        <f t="array" aca="1" ref="U1735" ca="1">INDIRECT("Data!O" &amp; 1730)</f>
        <v>0</v>
      </c>
      <c r="V1735" cm="1">
        <f t="array" aca="1" ref="V1735" ca="1">INDIRECT("Data!P" &amp; 1730)</f>
        <v>0</v>
      </c>
    </row>
    <row r="1736" spans="7:22" x14ac:dyDescent="0.25">
      <c r="G1736" cm="1">
        <f t="array" aca="1" ref="G1736" ca="1">INDIRECT("Data!A" &amp; 1731)</f>
        <v>0</v>
      </c>
      <c r="H1736" s="21" cm="1">
        <f t="array" aca="1" ref="H1736" ca="1">INDIRECT("Data!B" &amp; 1731)</f>
        <v>0</v>
      </c>
      <c r="I1736" s="21" cm="1">
        <f t="array" aca="1" ref="I1736" ca="1">INDIRECT("Data!C" &amp; 1731)</f>
        <v>0</v>
      </c>
      <c r="J1736" cm="1">
        <f t="array" aca="1" ref="J1736" ca="1">INDIRECT("Data!D" &amp; 1731)</f>
        <v>0</v>
      </c>
      <c r="K1736" cm="1">
        <f t="array" aca="1" ref="K1736" ca="1">INDIRECT("Data!E" &amp; 1731)</f>
        <v>0</v>
      </c>
      <c r="L1736" cm="1">
        <f t="array" aca="1" ref="L1736" ca="1">INDIRECT("Data!F" &amp; 1731)</f>
        <v>0</v>
      </c>
      <c r="M1736" cm="1">
        <f t="array" aca="1" ref="M1736" ca="1">INDIRECT("Data!G" &amp; 1731)</f>
        <v>0</v>
      </c>
      <c r="N1736" cm="1">
        <f t="array" aca="1" ref="N1736" ca="1">INDIRECT("Data!H" &amp; 1731)</f>
        <v>0</v>
      </c>
      <c r="O1736" cm="1">
        <f t="array" aca="1" ref="O1736" ca="1">INDIRECT("Data!I" &amp; 1731)</f>
        <v>0</v>
      </c>
      <c r="P1736" s="21" cm="1">
        <f t="array" aca="1" ref="P1736" ca="1">INDIRECT("Data!J" &amp; 1731)</f>
        <v>0</v>
      </c>
      <c r="Q1736" cm="1">
        <f t="array" aca="1" ref="Q1736" ca="1">INDIRECT("Data!K" &amp; 1731)</f>
        <v>0</v>
      </c>
      <c r="R1736" cm="1">
        <f t="array" aca="1" ref="R1736" ca="1">INDIRECT("Data!L" &amp; 1731)</f>
        <v>0</v>
      </c>
      <c r="S1736" cm="1">
        <f t="array" aca="1" ref="S1736" ca="1">INDIRECT("Data!M" &amp; 1731)</f>
        <v>0</v>
      </c>
      <c r="T1736" cm="1">
        <f t="array" aca="1" ref="T1736" ca="1">INDIRECT("Data!N" &amp; 1731)</f>
        <v>0</v>
      </c>
      <c r="U1736" cm="1">
        <f t="array" aca="1" ref="U1736" ca="1">INDIRECT("Data!O" &amp; 1731)</f>
        <v>0</v>
      </c>
      <c r="V1736" cm="1">
        <f t="array" aca="1" ref="V1736" ca="1">INDIRECT("Data!P" &amp; 1731)</f>
        <v>0</v>
      </c>
    </row>
    <row r="1737" spans="7:22" x14ac:dyDescent="0.25">
      <c r="G1737" cm="1">
        <f t="array" aca="1" ref="G1737" ca="1">INDIRECT("Data!A" &amp; 1732)</f>
        <v>0</v>
      </c>
      <c r="H1737" s="21" cm="1">
        <f t="array" aca="1" ref="H1737" ca="1">INDIRECT("Data!B" &amp; 1732)</f>
        <v>0</v>
      </c>
      <c r="I1737" s="21" cm="1">
        <f t="array" aca="1" ref="I1737" ca="1">INDIRECT("Data!C" &amp; 1732)</f>
        <v>0</v>
      </c>
      <c r="J1737" cm="1">
        <f t="array" aca="1" ref="J1737" ca="1">INDIRECT("Data!D" &amp; 1732)</f>
        <v>0</v>
      </c>
      <c r="K1737" cm="1">
        <f t="array" aca="1" ref="K1737" ca="1">INDIRECT("Data!E" &amp; 1732)</f>
        <v>0</v>
      </c>
      <c r="L1737" cm="1">
        <f t="array" aca="1" ref="L1737" ca="1">INDIRECT("Data!F" &amp; 1732)</f>
        <v>0</v>
      </c>
      <c r="M1737" cm="1">
        <f t="array" aca="1" ref="M1737" ca="1">INDIRECT("Data!G" &amp; 1732)</f>
        <v>0</v>
      </c>
      <c r="N1737" cm="1">
        <f t="array" aca="1" ref="N1737" ca="1">INDIRECT("Data!H" &amp; 1732)</f>
        <v>0</v>
      </c>
      <c r="O1737" cm="1">
        <f t="array" aca="1" ref="O1737" ca="1">INDIRECT("Data!I" &amp; 1732)</f>
        <v>0</v>
      </c>
      <c r="P1737" s="21" cm="1">
        <f t="array" aca="1" ref="P1737" ca="1">INDIRECT("Data!J" &amp; 1732)</f>
        <v>0</v>
      </c>
      <c r="Q1737" cm="1">
        <f t="array" aca="1" ref="Q1737" ca="1">INDIRECT("Data!K" &amp; 1732)</f>
        <v>0</v>
      </c>
      <c r="R1737" cm="1">
        <f t="array" aca="1" ref="R1737" ca="1">INDIRECT("Data!L" &amp; 1732)</f>
        <v>0</v>
      </c>
      <c r="S1737" cm="1">
        <f t="array" aca="1" ref="S1737" ca="1">INDIRECT("Data!M" &amp; 1732)</f>
        <v>0</v>
      </c>
      <c r="T1737" cm="1">
        <f t="array" aca="1" ref="T1737" ca="1">INDIRECT("Data!N" &amp; 1732)</f>
        <v>0</v>
      </c>
      <c r="U1737" cm="1">
        <f t="array" aca="1" ref="U1737" ca="1">INDIRECT("Data!O" &amp; 1732)</f>
        <v>0</v>
      </c>
      <c r="V1737" cm="1">
        <f t="array" aca="1" ref="V1737" ca="1">INDIRECT("Data!P" &amp; 1732)</f>
        <v>0</v>
      </c>
    </row>
    <row r="1738" spans="7:22" x14ac:dyDescent="0.25">
      <c r="G1738" cm="1">
        <f t="array" aca="1" ref="G1738" ca="1">INDIRECT("Data!A" &amp; 1733)</f>
        <v>0</v>
      </c>
      <c r="H1738" s="21" cm="1">
        <f t="array" aca="1" ref="H1738" ca="1">INDIRECT("Data!B" &amp; 1733)</f>
        <v>0</v>
      </c>
      <c r="I1738" s="21" cm="1">
        <f t="array" aca="1" ref="I1738" ca="1">INDIRECT("Data!C" &amp; 1733)</f>
        <v>0</v>
      </c>
      <c r="J1738" cm="1">
        <f t="array" aca="1" ref="J1738" ca="1">INDIRECT("Data!D" &amp; 1733)</f>
        <v>0</v>
      </c>
      <c r="K1738" cm="1">
        <f t="array" aca="1" ref="K1738" ca="1">INDIRECT("Data!E" &amp; 1733)</f>
        <v>0</v>
      </c>
      <c r="L1738" cm="1">
        <f t="array" aca="1" ref="L1738" ca="1">INDIRECT("Data!F" &amp; 1733)</f>
        <v>0</v>
      </c>
      <c r="M1738" cm="1">
        <f t="array" aca="1" ref="M1738" ca="1">INDIRECT("Data!G" &amp; 1733)</f>
        <v>0</v>
      </c>
      <c r="N1738" cm="1">
        <f t="array" aca="1" ref="N1738" ca="1">INDIRECT("Data!H" &amp; 1733)</f>
        <v>0</v>
      </c>
      <c r="O1738" cm="1">
        <f t="array" aca="1" ref="O1738" ca="1">INDIRECT("Data!I" &amp; 1733)</f>
        <v>0</v>
      </c>
      <c r="P1738" s="21" cm="1">
        <f t="array" aca="1" ref="P1738" ca="1">INDIRECT("Data!J" &amp; 1733)</f>
        <v>0</v>
      </c>
      <c r="Q1738" cm="1">
        <f t="array" aca="1" ref="Q1738" ca="1">INDIRECT("Data!K" &amp; 1733)</f>
        <v>0</v>
      </c>
      <c r="R1738" cm="1">
        <f t="array" aca="1" ref="R1738" ca="1">INDIRECT("Data!L" &amp; 1733)</f>
        <v>0</v>
      </c>
      <c r="S1738" cm="1">
        <f t="array" aca="1" ref="S1738" ca="1">INDIRECT("Data!M" &amp; 1733)</f>
        <v>0</v>
      </c>
      <c r="T1738" cm="1">
        <f t="array" aca="1" ref="T1738" ca="1">INDIRECT("Data!N" &amp; 1733)</f>
        <v>0</v>
      </c>
      <c r="U1738" cm="1">
        <f t="array" aca="1" ref="U1738" ca="1">INDIRECT("Data!O" &amp; 1733)</f>
        <v>0</v>
      </c>
      <c r="V1738" cm="1">
        <f t="array" aca="1" ref="V1738" ca="1">INDIRECT("Data!P" &amp; 1733)</f>
        <v>0</v>
      </c>
    </row>
    <row r="1739" spans="7:22" x14ac:dyDescent="0.25">
      <c r="G1739" cm="1">
        <f t="array" aca="1" ref="G1739" ca="1">INDIRECT("Data!A" &amp; 1734)</f>
        <v>0</v>
      </c>
      <c r="H1739" s="21" cm="1">
        <f t="array" aca="1" ref="H1739" ca="1">INDIRECT("Data!B" &amp; 1734)</f>
        <v>0</v>
      </c>
      <c r="I1739" s="21" cm="1">
        <f t="array" aca="1" ref="I1739" ca="1">INDIRECT("Data!C" &amp; 1734)</f>
        <v>0</v>
      </c>
      <c r="J1739" cm="1">
        <f t="array" aca="1" ref="J1739" ca="1">INDIRECT("Data!D" &amp; 1734)</f>
        <v>0</v>
      </c>
      <c r="K1739" cm="1">
        <f t="array" aca="1" ref="K1739" ca="1">INDIRECT("Data!E" &amp; 1734)</f>
        <v>0</v>
      </c>
      <c r="L1739" cm="1">
        <f t="array" aca="1" ref="L1739" ca="1">INDIRECT("Data!F" &amp; 1734)</f>
        <v>0</v>
      </c>
      <c r="M1739" cm="1">
        <f t="array" aca="1" ref="M1739" ca="1">INDIRECT("Data!G" &amp; 1734)</f>
        <v>0</v>
      </c>
      <c r="N1739" cm="1">
        <f t="array" aca="1" ref="N1739" ca="1">INDIRECT("Data!H" &amp; 1734)</f>
        <v>0</v>
      </c>
      <c r="O1739" cm="1">
        <f t="array" aca="1" ref="O1739" ca="1">INDIRECT("Data!I" &amp; 1734)</f>
        <v>0</v>
      </c>
      <c r="P1739" s="21" cm="1">
        <f t="array" aca="1" ref="P1739" ca="1">INDIRECT("Data!J" &amp; 1734)</f>
        <v>0</v>
      </c>
      <c r="Q1739" cm="1">
        <f t="array" aca="1" ref="Q1739" ca="1">INDIRECT("Data!K" &amp; 1734)</f>
        <v>0</v>
      </c>
      <c r="R1739" cm="1">
        <f t="array" aca="1" ref="R1739" ca="1">INDIRECT("Data!L" &amp; 1734)</f>
        <v>0</v>
      </c>
      <c r="S1739" cm="1">
        <f t="array" aca="1" ref="S1739" ca="1">INDIRECT("Data!M" &amp; 1734)</f>
        <v>0</v>
      </c>
      <c r="T1739" cm="1">
        <f t="array" aca="1" ref="T1739" ca="1">INDIRECT("Data!N" &amp; 1734)</f>
        <v>0</v>
      </c>
      <c r="U1739" cm="1">
        <f t="array" aca="1" ref="U1739" ca="1">INDIRECT("Data!O" &amp; 1734)</f>
        <v>0</v>
      </c>
      <c r="V1739" cm="1">
        <f t="array" aca="1" ref="V1739" ca="1">INDIRECT("Data!P" &amp; 1734)</f>
        <v>0</v>
      </c>
    </row>
    <row r="1740" spans="7:22" x14ac:dyDescent="0.25">
      <c r="G1740" cm="1">
        <f t="array" aca="1" ref="G1740" ca="1">INDIRECT("Data!A" &amp; 1735)</f>
        <v>0</v>
      </c>
      <c r="H1740" s="21" cm="1">
        <f t="array" aca="1" ref="H1740" ca="1">INDIRECT("Data!B" &amp; 1735)</f>
        <v>0</v>
      </c>
      <c r="I1740" s="21" cm="1">
        <f t="array" aca="1" ref="I1740" ca="1">INDIRECT("Data!C" &amp; 1735)</f>
        <v>0</v>
      </c>
      <c r="J1740" cm="1">
        <f t="array" aca="1" ref="J1740" ca="1">INDIRECT("Data!D" &amp; 1735)</f>
        <v>0</v>
      </c>
      <c r="K1740" cm="1">
        <f t="array" aca="1" ref="K1740" ca="1">INDIRECT("Data!E" &amp; 1735)</f>
        <v>0</v>
      </c>
      <c r="L1740" cm="1">
        <f t="array" aca="1" ref="L1740" ca="1">INDIRECT("Data!F" &amp; 1735)</f>
        <v>0</v>
      </c>
      <c r="M1740" cm="1">
        <f t="array" aca="1" ref="M1740" ca="1">INDIRECT("Data!G" &amp; 1735)</f>
        <v>0</v>
      </c>
      <c r="N1740" cm="1">
        <f t="array" aca="1" ref="N1740" ca="1">INDIRECT("Data!H" &amp; 1735)</f>
        <v>0</v>
      </c>
      <c r="O1740" cm="1">
        <f t="array" aca="1" ref="O1740" ca="1">INDIRECT("Data!I" &amp; 1735)</f>
        <v>0</v>
      </c>
      <c r="P1740" s="21" cm="1">
        <f t="array" aca="1" ref="P1740" ca="1">INDIRECT("Data!J" &amp; 1735)</f>
        <v>0</v>
      </c>
      <c r="Q1740" cm="1">
        <f t="array" aca="1" ref="Q1740" ca="1">INDIRECT("Data!K" &amp; 1735)</f>
        <v>0</v>
      </c>
      <c r="R1740" cm="1">
        <f t="array" aca="1" ref="R1740" ca="1">INDIRECT("Data!L" &amp; 1735)</f>
        <v>0</v>
      </c>
      <c r="S1740" cm="1">
        <f t="array" aca="1" ref="S1740" ca="1">INDIRECT("Data!M" &amp; 1735)</f>
        <v>0</v>
      </c>
      <c r="T1740" cm="1">
        <f t="array" aca="1" ref="T1740" ca="1">INDIRECT("Data!N" &amp; 1735)</f>
        <v>0</v>
      </c>
      <c r="U1740" cm="1">
        <f t="array" aca="1" ref="U1740" ca="1">INDIRECT("Data!O" &amp; 1735)</f>
        <v>0</v>
      </c>
      <c r="V1740" cm="1">
        <f t="array" aca="1" ref="V1740" ca="1">INDIRECT("Data!P" &amp; 1735)</f>
        <v>0</v>
      </c>
    </row>
    <row r="1741" spans="7:22" x14ac:dyDescent="0.25">
      <c r="G1741" cm="1">
        <f t="array" aca="1" ref="G1741" ca="1">INDIRECT("Data!A" &amp; 1736)</f>
        <v>0</v>
      </c>
      <c r="H1741" s="21" cm="1">
        <f t="array" aca="1" ref="H1741" ca="1">INDIRECT("Data!B" &amp; 1736)</f>
        <v>0</v>
      </c>
      <c r="I1741" s="21" cm="1">
        <f t="array" aca="1" ref="I1741" ca="1">INDIRECT("Data!C" &amp; 1736)</f>
        <v>0</v>
      </c>
      <c r="J1741" cm="1">
        <f t="array" aca="1" ref="J1741" ca="1">INDIRECT("Data!D" &amp; 1736)</f>
        <v>0</v>
      </c>
      <c r="K1741" cm="1">
        <f t="array" aca="1" ref="K1741" ca="1">INDIRECT("Data!E" &amp; 1736)</f>
        <v>0</v>
      </c>
      <c r="L1741" cm="1">
        <f t="array" aca="1" ref="L1741" ca="1">INDIRECT("Data!F" &amp; 1736)</f>
        <v>0</v>
      </c>
      <c r="M1741" cm="1">
        <f t="array" aca="1" ref="M1741" ca="1">INDIRECT("Data!G" &amp; 1736)</f>
        <v>0</v>
      </c>
      <c r="N1741" cm="1">
        <f t="array" aca="1" ref="N1741" ca="1">INDIRECT("Data!H" &amp; 1736)</f>
        <v>0</v>
      </c>
      <c r="O1741" cm="1">
        <f t="array" aca="1" ref="O1741" ca="1">INDIRECT("Data!I" &amp; 1736)</f>
        <v>0</v>
      </c>
      <c r="P1741" s="21" cm="1">
        <f t="array" aca="1" ref="P1741" ca="1">INDIRECT("Data!J" &amp; 1736)</f>
        <v>0</v>
      </c>
      <c r="Q1741" cm="1">
        <f t="array" aca="1" ref="Q1741" ca="1">INDIRECT("Data!K" &amp; 1736)</f>
        <v>0</v>
      </c>
      <c r="R1741" cm="1">
        <f t="array" aca="1" ref="R1741" ca="1">INDIRECT("Data!L" &amp; 1736)</f>
        <v>0</v>
      </c>
      <c r="S1741" cm="1">
        <f t="array" aca="1" ref="S1741" ca="1">INDIRECT("Data!M" &amp; 1736)</f>
        <v>0</v>
      </c>
      <c r="T1741" cm="1">
        <f t="array" aca="1" ref="T1741" ca="1">INDIRECT("Data!N" &amp; 1736)</f>
        <v>0</v>
      </c>
      <c r="U1741" cm="1">
        <f t="array" aca="1" ref="U1741" ca="1">INDIRECT("Data!O" &amp; 1736)</f>
        <v>0</v>
      </c>
      <c r="V1741" cm="1">
        <f t="array" aca="1" ref="V1741" ca="1">INDIRECT("Data!P" &amp; 1736)</f>
        <v>0</v>
      </c>
    </row>
    <row r="1742" spans="7:22" x14ac:dyDescent="0.25">
      <c r="G1742" cm="1">
        <f t="array" aca="1" ref="G1742" ca="1">INDIRECT("Data!A" &amp; 1737)</f>
        <v>0</v>
      </c>
      <c r="H1742" s="21" cm="1">
        <f t="array" aca="1" ref="H1742" ca="1">INDIRECT("Data!B" &amp; 1737)</f>
        <v>0</v>
      </c>
      <c r="I1742" s="21" cm="1">
        <f t="array" aca="1" ref="I1742" ca="1">INDIRECT("Data!C" &amp; 1737)</f>
        <v>0</v>
      </c>
      <c r="J1742" cm="1">
        <f t="array" aca="1" ref="J1742" ca="1">INDIRECT("Data!D" &amp; 1737)</f>
        <v>0</v>
      </c>
      <c r="K1742" cm="1">
        <f t="array" aca="1" ref="K1742" ca="1">INDIRECT("Data!E" &amp; 1737)</f>
        <v>0</v>
      </c>
      <c r="L1742" cm="1">
        <f t="array" aca="1" ref="L1742" ca="1">INDIRECT("Data!F" &amp; 1737)</f>
        <v>0</v>
      </c>
      <c r="M1742" cm="1">
        <f t="array" aca="1" ref="M1742" ca="1">INDIRECT("Data!G" &amp; 1737)</f>
        <v>0</v>
      </c>
      <c r="N1742" cm="1">
        <f t="array" aca="1" ref="N1742" ca="1">INDIRECT("Data!H" &amp; 1737)</f>
        <v>0</v>
      </c>
      <c r="O1742" cm="1">
        <f t="array" aca="1" ref="O1742" ca="1">INDIRECT("Data!I" &amp; 1737)</f>
        <v>0</v>
      </c>
      <c r="P1742" s="21" cm="1">
        <f t="array" aca="1" ref="P1742" ca="1">INDIRECT("Data!J" &amp; 1737)</f>
        <v>0</v>
      </c>
      <c r="Q1742" cm="1">
        <f t="array" aca="1" ref="Q1742" ca="1">INDIRECT("Data!K" &amp; 1737)</f>
        <v>0</v>
      </c>
      <c r="R1742" cm="1">
        <f t="array" aca="1" ref="R1742" ca="1">INDIRECT("Data!L" &amp; 1737)</f>
        <v>0</v>
      </c>
      <c r="S1742" cm="1">
        <f t="array" aca="1" ref="S1742" ca="1">INDIRECT("Data!M" &amp; 1737)</f>
        <v>0</v>
      </c>
      <c r="T1742" cm="1">
        <f t="array" aca="1" ref="T1742" ca="1">INDIRECT("Data!N" &amp; 1737)</f>
        <v>0</v>
      </c>
      <c r="U1742" cm="1">
        <f t="array" aca="1" ref="U1742" ca="1">INDIRECT("Data!O" &amp; 1737)</f>
        <v>0</v>
      </c>
      <c r="V1742" cm="1">
        <f t="array" aca="1" ref="V1742" ca="1">INDIRECT("Data!P" &amp; 1737)</f>
        <v>0</v>
      </c>
    </row>
    <row r="1743" spans="7:22" x14ac:dyDescent="0.25">
      <c r="G1743" cm="1">
        <f t="array" aca="1" ref="G1743" ca="1">INDIRECT("Data!A" &amp; 1738)</f>
        <v>0</v>
      </c>
      <c r="H1743" s="21" cm="1">
        <f t="array" aca="1" ref="H1743" ca="1">INDIRECT("Data!B" &amp; 1738)</f>
        <v>0</v>
      </c>
      <c r="I1743" s="21" cm="1">
        <f t="array" aca="1" ref="I1743" ca="1">INDIRECT("Data!C" &amp; 1738)</f>
        <v>0</v>
      </c>
      <c r="J1743" cm="1">
        <f t="array" aca="1" ref="J1743" ca="1">INDIRECT("Data!D" &amp; 1738)</f>
        <v>0</v>
      </c>
      <c r="K1743" cm="1">
        <f t="array" aca="1" ref="K1743" ca="1">INDIRECT("Data!E" &amp; 1738)</f>
        <v>0</v>
      </c>
      <c r="L1743" cm="1">
        <f t="array" aca="1" ref="L1743" ca="1">INDIRECT("Data!F" &amp; 1738)</f>
        <v>0</v>
      </c>
      <c r="M1743" cm="1">
        <f t="array" aca="1" ref="M1743" ca="1">INDIRECT("Data!G" &amp; 1738)</f>
        <v>0</v>
      </c>
      <c r="N1743" cm="1">
        <f t="array" aca="1" ref="N1743" ca="1">INDIRECT("Data!H" &amp; 1738)</f>
        <v>0</v>
      </c>
      <c r="O1743" cm="1">
        <f t="array" aca="1" ref="O1743" ca="1">INDIRECT("Data!I" &amp; 1738)</f>
        <v>0</v>
      </c>
      <c r="P1743" s="21" cm="1">
        <f t="array" aca="1" ref="P1743" ca="1">INDIRECT("Data!J" &amp; 1738)</f>
        <v>0</v>
      </c>
      <c r="Q1743" cm="1">
        <f t="array" aca="1" ref="Q1743" ca="1">INDIRECT("Data!K" &amp; 1738)</f>
        <v>0</v>
      </c>
      <c r="R1743" cm="1">
        <f t="array" aca="1" ref="R1743" ca="1">INDIRECT("Data!L" &amp; 1738)</f>
        <v>0</v>
      </c>
      <c r="S1743" cm="1">
        <f t="array" aca="1" ref="S1743" ca="1">INDIRECT("Data!M" &amp; 1738)</f>
        <v>0</v>
      </c>
      <c r="T1743" cm="1">
        <f t="array" aca="1" ref="T1743" ca="1">INDIRECT("Data!N" &amp; 1738)</f>
        <v>0</v>
      </c>
      <c r="U1743" cm="1">
        <f t="array" aca="1" ref="U1743" ca="1">INDIRECT("Data!O" &amp; 1738)</f>
        <v>0</v>
      </c>
      <c r="V1743" cm="1">
        <f t="array" aca="1" ref="V1743" ca="1">INDIRECT("Data!P" &amp; 1738)</f>
        <v>0</v>
      </c>
    </row>
    <row r="1744" spans="7:22" x14ac:dyDescent="0.25">
      <c r="G1744" cm="1">
        <f t="array" aca="1" ref="G1744" ca="1">INDIRECT("Data!A" &amp; 1739)</f>
        <v>0</v>
      </c>
      <c r="H1744" s="21" cm="1">
        <f t="array" aca="1" ref="H1744" ca="1">INDIRECT("Data!B" &amp; 1739)</f>
        <v>0</v>
      </c>
      <c r="I1744" s="21" cm="1">
        <f t="array" aca="1" ref="I1744" ca="1">INDIRECT("Data!C" &amp; 1739)</f>
        <v>0</v>
      </c>
      <c r="J1744" cm="1">
        <f t="array" aca="1" ref="J1744" ca="1">INDIRECT("Data!D" &amp; 1739)</f>
        <v>0</v>
      </c>
      <c r="K1744" cm="1">
        <f t="array" aca="1" ref="K1744" ca="1">INDIRECT("Data!E" &amp; 1739)</f>
        <v>0</v>
      </c>
      <c r="L1744" cm="1">
        <f t="array" aca="1" ref="L1744" ca="1">INDIRECT("Data!F" &amp; 1739)</f>
        <v>0</v>
      </c>
      <c r="M1744" cm="1">
        <f t="array" aca="1" ref="M1744" ca="1">INDIRECT("Data!G" &amp; 1739)</f>
        <v>0</v>
      </c>
      <c r="N1744" cm="1">
        <f t="array" aca="1" ref="N1744" ca="1">INDIRECT("Data!H" &amp; 1739)</f>
        <v>0</v>
      </c>
      <c r="O1744" cm="1">
        <f t="array" aca="1" ref="O1744" ca="1">INDIRECT("Data!I" &amp; 1739)</f>
        <v>0</v>
      </c>
      <c r="P1744" s="21" cm="1">
        <f t="array" aca="1" ref="P1744" ca="1">INDIRECT("Data!J" &amp; 1739)</f>
        <v>0</v>
      </c>
      <c r="Q1744" cm="1">
        <f t="array" aca="1" ref="Q1744" ca="1">INDIRECT("Data!K" &amp; 1739)</f>
        <v>0</v>
      </c>
      <c r="R1744" cm="1">
        <f t="array" aca="1" ref="R1744" ca="1">INDIRECT("Data!L" &amp; 1739)</f>
        <v>0</v>
      </c>
      <c r="S1744" cm="1">
        <f t="array" aca="1" ref="S1744" ca="1">INDIRECT("Data!M" &amp; 1739)</f>
        <v>0</v>
      </c>
      <c r="T1744" cm="1">
        <f t="array" aca="1" ref="T1744" ca="1">INDIRECT("Data!N" &amp; 1739)</f>
        <v>0</v>
      </c>
      <c r="U1744" cm="1">
        <f t="array" aca="1" ref="U1744" ca="1">INDIRECT("Data!O" &amp; 1739)</f>
        <v>0</v>
      </c>
      <c r="V1744" cm="1">
        <f t="array" aca="1" ref="V1744" ca="1">INDIRECT("Data!P" &amp; 1739)</f>
        <v>0</v>
      </c>
    </row>
    <row r="1745" spans="7:22" x14ac:dyDescent="0.25">
      <c r="G1745" cm="1">
        <f t="array" aca="1" ref="G1745" ca="1">INDIRECT("Data!A" &amp; 1740)</f>
        <v>0</v>
      </c>
      <c r="H1745" s="21" cm="1">
        <f t="array" aca="1" ref="H1745" ca="1">INDIRECT("Data!B" &amp; 1740)</f>
        <v>0</v>
      </c>
      <c r="I1745" s="21" cm="1">
        <f t="array" aca="1" ref="I1745" ca="1">INDIRECT("Data!C" &amp; 1740)</f>
        <v>0</v>
      </c>
      <c r="J1745" cm="1">
        <f t="array" aca="1" ref="J1745" ca="1">INDIRECT("Data!D" &amp; 1740)</f>
        <v>0</v>
      </c>
      <c r="K1745" cm="1">
        <f t="array" aca="1" ref="K1745" ca="1">INDIRECT("Data!E" &amp; 1740)</f>
        <v>0</v>
      </c>
      <c r="L1745" cm="1">
        <f t="array" aca="1" ref="L1745" ca="1">INDIRECT("Data!F" &amp; 1740)</f>
        <v>0</v>
      </c>
      <c r="M1745" cm="1">
        <f t="array" aca="1" ref="M1745" ca="1">INDIRECT("Data!G" &amp; 1740)</f>
        <v>0</v>
      </c>
      <c r="N1745" cm="1">
        <f t="array" aca="1" ref="N1745" ca="1">INDIRECT("Data!H" &amp; 1740)</f>
        <v>0</v>
      </c>
      <c r="O1745" cm="1">
        <f t="array" aca="1" ref="O1745" ca="1">INDIRECT("Data!I" &amp; 1740)</f>
        <v>0</v>
      </c>
      <c r="P1745" s="21" cm="1">
        <f t="array" aca="1" ref="P1745" ca="1">INDIRECT("Data!J" &amp; 1740)</f>
        <v>0</v>
      </c>
      <c r="Q1745" cm="1">
        <f t="array" aca="1" ref="Q1745" ca="1">INDIRECT("Data!K" &amp; 1740)</f>
        <v>0</v>
      </c>
      <c r="R1745" cm="1">
        <f t="array" aca="1" ref="R1745" ca="1">INDIRECT("Data!L" &amp; 1740)</f>
        <v>0</v>
      </c>
      <c r="S1745" cm="1">
        <f t="array" aca="1" ref="S1745" ca="1">INDIRECT("Data!M" &amp; 1740)</f>
        <v>0</v>
      </c>
      <c r="T1745" cm="1">
        <f t="array" aca="1" ref="T1745" ca="1">INDIRECT("Data!N" &amp; 1740)</f>
        <v>0</v>
      </c>
      <c r="U1745" cm="1">
        <f t="array" aca="1" ref="U1745" ca="1">INDIRECT("Data!O" &amp; 1740)</f>
        <v>0</v>
      </c>
      <c r="V1745" cm="1">
        <f t="array" aca="1" ref="V1745" ca="1">INDIRECT("Data!P" &amp; 1740)</f>
        <v>0</v>
      </c>
    </row>
    <row r="1746" spans="7:22" x14ac:dyDescent="0.25">
      <c r="G1746" cm="1">
        <f t="array" aca="1" ref="G1746" ca="1">INDIRECT("Data!A" &amp; 1741)</f>
        <v>0</v>
      </c>
      <c r="H1746" s="21" cm="1">
        <f t="array" aca="1" ref="H1746" ca="1">INDIRECT("Data!B" &amp; 1741)</f>
        <v>0</v>
      </c>
      <c r="I1746" s="21" cm="1">
        <f t="array" aca="1" ref="I1746" ca="1">INDIRECT("Data!C" &amp; 1741)</f>
        <v>0</v>
      </c>
      <c r="J1746" cm="1">
        <f t="array" aca="1" ref="J1746" ca="1">INDIRECT("Data!D" &amp; 1741)</f>
        <v>0</v>
      </c>
      <c r="K1746" cm="1">
        <f t="array" aca="1" ref="K1746" ca="1">INDIRECT("Data!E" &amp; 1741)</f>
        <v>0</v>
      </c>
      <c r="L1746" cm="1">
        <f t="array" aca="1" ref="L1746" ca="1">INDIRECT("Data!F" &amp; 1741)</f>
        <v>0</v>
      </c>
      <c r="M1746" cm="1">
        <f t="array" aca="1" ref="M1746" ca="1">INDIRECT("Data!G" &amp; 1741)</f>
        <v>0</v>
      </c>
      <c r="N1746" cm="1">
        <f t="array" aca="1" ref="N1746" ca="1">INDIRECT("Data!H" &amp; 1741)</f>
        <v>0</v>
      </c>
      <c r="O1746" cm="1">
        <f t="array" aca="1" ref="O1746" ca="1">INDIRECT("Data!I" &amp; 1741)</f>
        <v>0</v>
      </c>
      <c r="P1746" s="21" cm="1">
        <f t="array" aca="1" ref="P1746" ca="1">INDIRECT("Data!J" &amp; 1741)</f>
        <v>0</v>
      </c>
      <c r="Q1746" cm="1">
        <f t="array" aca="1" ref="Q1746" ca="1">INDIRECT("Data!K" &amp; 1741)</f>
        <v>0</v>
      </c>
      <c r="R1746" cm="1">
        <f t="array" aca="1" ref="R1746" ca="1">INDIRECT("Data!L" &amp; 1741)</f>
        <v>0</v>
      </c>
      <c r="S1746" cm="1">
        <f t="array" aca="1" ref="S1746" ca="1">INDIRECT("Data!M" &amp; 1741)</f>
        <v>0</v>
      </c>
      <c r="T1746" cm="1">
        <f t="array" aca="1" ref="T1746" ca="1">INDIRECT("Data!N" &amp; 1741)</f>
        <v>0</v>
      </c>
      <c r="U1746" cm="1">
        <f t="array" aca="1" ref="U1746" ca="1">INDIRECT("Data!O" &amp; 1741)</f>
        <v>0</v>
      </c>
      <c r="V1746" cm="1">
        <f t="array" aca="1" ref="V1746" ca="1">INDIRECT("Data!P" &amp; 1741)</f>
        <v>0</v>
      </c>
    </row>
    <row r="1747" spans="7:22" x14ac:dyDescent="0.25">
      <c r="G1747" cm="1">
        <f t="array" aca="1" ref="G1747" ca="1">INDIRECT("Data!A" &amp; 1742)</f>
        <v>0</v>
      </c>
      <c r="H1747" s="21" cm="1">
        <f t="array" aca="1" ref="H1747" ca="1">INDIRECT("Data!B" &amp; 1742)</f>
        <v>0</v>
      </c>
      <c r="I1747" s="21" cm="1">
        <f t="array" aca="1" ref="I1747" ca="1">INDIRECT("Data!C" &amp; 1742)</f>
        <v>0</v>
      </c>
      <c r="J1747" cm="1">
        <f t="array" aca="1" ref="J1747" ca="1">INDIRECT("Data!D" &amp; 1742)</f>
        <v>0</v>
      </c>
      <c r="K1747" cm="1">
        <f t="array" aca="1" ref="K1747" ca="1">INDIRECT("Data!E" &amp; 1742)</f>
        <v>0</v>
      </c>
      <c r="L1747" cm="1">
        <f t="array" aca="1" ref="L1747" ca="1">INDIRECT("Data!F" &amp; 1742)</f>
        <v>0</v>
      </c>
      <c r="M1747" cm="1">
        <f t="array" aca="1" ref="M1747" ca="1">INDIRECT("Data!G" &amp; 1742)</f>
        <v>0</v>
      </c>
      <c r="N1747" cm="1">
        <f t="array" aca="1" ref="N1747" ca="1">INDIRECT("Data!H" &amp; 1742)</f>
        <v>0</v>
      </c>
      <c r="O1747" cm="1">
        <f t="array" aca="1" ref="O1747" ca="1">INDIRECT("Data!I" &amp; 1742)</f>
        <v>0</v>
      </c>
      <c r="P1747" s="21" cm="1">
        <f t="array" aca="1" ref="P1747" ca="1">INDIRECT("Data!J" &amp; 1742)</f>
        <v>0</v>
      </c>
      <c r="Q1747" cm="1">
        <f t="array" aca="1" ref="Q1747" ca="1">INDIRECT("Data!K" &amp; 1742)</f>
        <v>0</v>
      </c>
      <c r="R1747" cm="1">
        <f t="array" aca="1" ref="R1747" ca="1">INDIRECT("Data!L" &amp; 1742)</f>
        <v>0</v>
      </c>
      <c r="S1747" cm="1">
        <f t="array" aca="1" ref="S1747" ca="1">INDIRECT("Data!M" &amp; 1742)</f>
        <v>0</v>
      </c>
      <c r="T1747" cm="1">
        <f t="array" aca="1" ref="T1747" ca="1">INDIRECT("Data!N" &amp; 1742)</f>
        <v>0</v>
      </c>
      <c r="U1747" cm="1">
        <f t="array" aca="1" ref="U1747" ca="1">INDIRECT("Data!O" &amp; 1742)</f>
        <v>0</v>
      </c>
      <c r="V1747" cm="1">
        <f t="array" aca="1" ref="V1747" ca="1">INDIRECT("Data!P" &amp; 1742)</f>
        <v>0</v>
      </c>
    </row>
    <row r="1748" spans="7:22" x14ac:dyDescent="0.25">
      <c r="G1748" cm="1">
        <f t="array" aca="1" ref="G1748" ca="1">INDIRECT("Data!A" &amp; 1743)</f>
        <v>0</v>
      </c>
      <c r="H1748" s="21" cm="1">
        <f t="array" aca="1" ref="H1748" ca="1">INDIRECT("Data!B" &amp; 1743)</f>
        <v>0</v>
      </c>
      <c r="I1748" s="21" cm="1">
        <f t="array" aca="1" ref="I1748" ca="1">INDIRECT("Data!C" &amp; 1743)</f>
        <v>0</v>
      </c>
      <c r="J1748" cm="1">
        <f t="array" aca="1" ref="J1748" ca="1">INDIRECT("Data!D" &amp; 1743)</f>
        <v>0</v>
      </c>
      <c r="K1748" cm="1">
        <f t="array" aca="1" ref="K1748" ca="1">INDIRECT("Data!E" &amp; 1743)</f>
        <v>0</v>
      </c>
      <c r="L1748" cm="1">
        <f t="array" aca="1" ref="L1748" ca="1">INDIRECT("Data!F" &amp; 1743)</f>
        <v>0</v>
      </c>
      <c r="M1748" cm="1">
        <f t="array" aca="1" ref="M1748" ca="1">INDIRECT("Data!G" &amp; 1743)</f>
        <v>0</v>
      </c>
      <c r="N1748" cm="1">
        <f t="array" aca="1" ref="N1748" ca="1">INDIRECT("Data!H" &amp; 1743)</f>
        <v>0</v>
      </c>
      <c r="O1748" cm="1">
        <f t="array" aca="1" ref="O1748" ca="1">INDIRECT("Data!I" &amp; 1743)</f>
        <v>0</v>
      </c>
      <c r="P1748" s="21" cm="1">
        <f t="array" aca="1" ref="P1748" ca="1">INDIRECT("Data!J" &amp; 1743)</f>
        <v>0</v>
      </c>
      <c r="Q1748" cm="1">
        <f t="array" aca="1" ref="Q1748" ca="1">INDIRECT("Data!K" &amp; 1743)</f>
        <v>0</v>
      </c>
      <c r="R1748" cm="1">
        <f t="array" aca="1" ref="R1748" ca="1">INDIRECT("Data!L" &amp; 1743)</f>
        <v>0</v>
      </c>
      <c r="S1748" cm="1">
        <f t="array" aca="1" ref="S1748" ca="1">INDIRECT("Data!M" &amp; 1743)</f>
        <v>0</v>
      </c>
      <c r="T1748" cm="1">
        <f t="array" aca="1" ref="T1748" ca="1">INDIRECT("Data!N" &amp; 1743)</f>
        <v>0</v>
      </c>
      <c r="U1748" cm="1">
        <f t="array" aca="1" ref="U1748" ca="1">INDIRECT("Data!O" &amp; 1743)</f>
        <v>0</v>
      </c>
      <c r="V1748" cm="1">
        <f t="array" aca="1" ref="V1748" ca="1">INDIRECT("Data!P" &amp; 1743)</f>
        <v>0</v>
      </c>
    </row>
    <row r="1749" spans="7:22" x14ac:dyDescent="0.25">
      <c r="G1749" cm="1">
        <f t="array" aca="1" ref="G1749" ca="1">INDIRECT("Data!A" &amp; 1744)</f>
        <v>0</v>
      </c>
      <c r="H1749" s="21" cm="1">
        <f t="array" aca="1" ref="H1749" ca="1">INDIRECT("Data!B" &amp; 1744)</f>
        <v>0</v>
      </c>
      <c r="I1749" s="21" cm="1">
        <f t="array" aca="1" ref="I1749" ca="1">INDIRECT("Data!C" &amp; 1744)</f>
        <v>0</v>
      </c>
      <c r="J1749" cm="1">
        <f t="array" aca="1" ref="J1749" ca="1">INDIRECT("Data!D" &amp; 1744)</f>
        <v>0</v>
      </c>
      <c r="K1749" cm="1">
        <f t="array" aca="1" ref="K1749" ca="1">INDIRECT("Data!E" &amp; 1744)</f>
        <v>0</v>
      </c>
      <c r="L1749" cm="1">
        <f t="array" aca="1" ref="L1749" ca="1">INDIRECT("Data!F" &amp; 1744)</f>
        <v>0</v>
      </c>
      <c r="M1749" cm="1">
        <f t="array" aca="1" ref="M1749" ca="1">INDIRECT("Data!G" &amp; 1744)</f>
        <v>0</v>
      </c>
      <c r="N1749" cm="1">
        <f t="array" aca="1" ref="N1749" ca="1">INDIRECT("Data!H" &amp; 1744)</f>
        <v>0</v>
      </c>
      <c r="O1749" cm="1">
        <f t="array" aca="1" ref="O1749" ca="1">INDIRECT("Data!I" &amp; 1744)</f>
        <v>0</v>
      </c>
      <c r="P1749" s="21" cm="1">
        <f t="array" aca="1" ref="P1749" ca="1">INDIRECT("Data!J" &amp; 1744)</f>
        <v>0</v>
      </c>
      <c r="Q1749" cm="1">
        <f t="array" aca="1" ref="Q1749" ca="1">INDIRECT("Data!K" &amp; 1744)</f>
        <v>0</v>
      </c>
      <c r="R1749" cm="1">
        <f t="array" aca="1" ref="R1749" ca="1">INDIRECT("Data!L" &amp; 1744)</f>
        <v>0</v>
      </c>
      <c r="S1749" cm="1">
        <f t="array" aca="1" ref="S1749" ca="1">INDIRECT("Data!M" &amp; 1744)</f>
        <v>0</v>
      </c>
      <c r="T1749" cm="1">
        <f t="array" aca="1" ref="T1749" ca="1">INDIRECT("Data!N" &amp; 1744)</f>
        <v>0</v>
      </c>
      <c r="U1749" cm="1">
        <f t="array" aca="1" ref="U1749" ca="1">INDIRECT("Data!O" &amp; 1744)</f>
        <v>0</v>
      </c>
      <c r="V1749" cm="1">
        <f t="array" aca="1" ref="V1749" ca="1">INDIRECT("Data!P" &amp; 1744)</f>
        <v>0</v>
      </c>
    </row>
    <row r="1750" spans="7:22" x14ac:dyDescent="0.25">
      <c r="G1750" cm="1">
        <f t="array" aca="1" ref="G1750" ca="1">INDIRECT("Data!A" &amp; 1745)</f>
        <v>0</v>
      </c>
      <c r="H1750" s="21" cm="1">
        <f t="array" aca="1" ref="H1750" ca="1">INDIRECT("Data!B" &amp; 1745)</f>
        <v>0</v>
      </c>
      <c r="I1750" s="21" cm="1">
        <f t="array" aca="1" ref="I1750" ca="1">INDIRECT("Data!C" &amp; 1745)</f>
        <v>0</v>
      </c>
      <c r="J1750" cm="1">
        <f t="array" aca="1" ref="J1750" ca="1">INDIRECT("Data!D" &amp; 1745)</f>
        <v>0</v>
      </c>
      <c r="K1750" cm="1">
        <f t="array" aca="1" ref="K1750" ca="1">INDIRECT("Data!E" &amp; 1745)</f>
        <v>0</v>
      </c>
      <c r="L1750" cm="1">
        <f t="array" aca="1" ref="L1750" ca="1">INDIRECT("Data!F" &amp; 1745)</f>
        <v>0</v>
      </c>
      <c r="M1750" cm="1">
        <f t="array" aca="1" ref="M1750" ca="1">INDIRECT("Data!G" &amp; 1745)</f>
        <v>0</v>
      </c>
      <c r="N1750" cm="1">
        <f t="array" aca="1" ref="N1750" ca="1">INDIRECT("Data!H" &amp; 1745)</f>
        <v>0</v>
      </c>
      <c r="O1750" cm="1">
        <f t="array" aca="1" ref="O1750" ca="1">INDIRECT("Data!I" &amp; 1745)</f>
        <v>0</v>
      </c>
      <c r="P1750" s="21" cm="1">
        <f t="array" aca="1" ref="P1750" ca="1">INDIRECT("Data!J" &amp; 1745)</f>
        <v>0</v>
      </c>
      <c r="Q1750" cm="1">
        <f t="array" aca="1" ref="Q1750" ca="1">INDIRECT("Data!K" &amp; 1745)</f>
        <v>0</v>
      </c>
      <c r="R1750" cm="1">
        <f t="array" aca="1" ref="R1750" ca="1">INDIRECT("Data!L" &amp; 1745)</f>
        <v>0</v>
      </c>
      <c r="S1750" cm="1">
        <f t="array" aca="1" ref="S1750" ca="1">INDIRECT("Data!M" &amp; 1745)</f>
        <v>0</v>
      </c>
      <c r="T1750" cm="1">
        <f t="array" aca="1" ref="T1750" ca="1">INDIRECT("Data!N" &amp; 1745)</f>
        <v>0</v>
      </c>
      <c r="U1750" cm="1">
        <f t="array" aca="1" ref="U1750" ca="1">INDIRECT("Data!O" &amp; 1745)</f>
        <v>0</v>
      </c>
      <c r="V1750" cm="1">
        <f t="array" aca="1" ref="V1750" ca="1">INDIRECT("Data!P" &amp; 1745)</f>
        <v>0</v>
      </c>
    </row>
    <row r="1751" spans="7:22" x14ac:dyDescent="0.25">
      <c r="G1751" cm="1">
        <f t="array" aca="1" ref="G1751" ca="1">INDIRECT("Data!A" &amp; 1746)</f>
        <v>0</v>
      </c>
      <c r="H1751" s="21" cm="1">
        <f t="array" aca="1" ref="H1751" ca="1">INDIRECT("Data!B" &amp; 1746)</f>
        <v>0</v>
      </c>
      <c r="I1751" s="21" cm="1">
        <f t="array" aca="1" ref="I1751" ca="1">INDIRECT("Data!C" &amp; 1746)</f>
        <v>0</v>
      </c>
      <c r="J1751" cm="1">
        <f t="array" aca="1" ref="J1751" ca="1">INDIRECT("Data!D" &amp; 1746)</f>
        <v>0</v>
      </c>
      <c r="K1751" cm="1">
        <f t="array" aca="1" ref="K1751" ca="1">INDIRECT("Data!E" &amp; 1746)</f>
        <v>0</v>
      </c>
      <c r="L1751" cm="1">
        <f t="array" aca="1" ref="L1751" ca="1">INDIRECT("Data!F" &amp; 1746)</f>
        <v>0</v>
      </c>
      <c r="M1751" cm="1">
        <f t="array" aca="1" ref="M1751" ca="1">INDIRECT("Data!G" &amp; 1746)</f>
        <v>0</v>
      </c>
      <c r="N1751" cm="1">
        <f t="array" aca="1" ref="N1751" ca="1">INDIRECT("Data!H" &amp; 1746)</f>
        <v>0</v>
      </c>
      <c r="O1751" cm="1">
        <f t="array" aca="1" ref="O1751" ca="1">INDIRECT("Data!I" &amp; 1746)</f>
        <v>0</v>
      </c>
      <c r="P1751" s="21" cm="1">
        <f t="array" aca="1" ref="P1751" ca="1">INDIRECT("Data!J" &amp; 1746)</f>
        <v>0</v>
      </c>
      <c r="Q1751" cm="1">
        <f t="array" aca="1" ref="Q1751" ca="1">INDIRECT("Data!K" &amp; 1746)</f>
        <v>0</v>
      </c>
      <c r="R1751" cm="1">
        <f t="array" aca="1" ref="R1751" ca="1">INDIRECT("Data!L" &amp; 1746)</f>
        <v>0</v>
      </c>
      <c r="S1751" cm="1">
        <f t="array" aca="1" ref="S1751" ca="1">INDIRECT("Data!M" &amp; 1746)</f>
        <v>0</v>
      </c>
      <c r="T1751" cm="1">
        <f t="array" aca="1" ref="T1751" ca="1">INDIRECT("Data!N" &amp; 1746)</f>
        <v>0</v>
      </c>
      <c r="U1751" cm="1">
        <f t="array" aca="1" ref="U1751" ca="1">INDIRECT("Data!O" &amp; 1746)</f>
        <v>0</v>
      </c>
      <c r="V1751" cm="1">
        <f t="array" aca="1" ref="V1751" ca="1">INDIRECT("Data!P" &amp; 1746)</f>
        <v>0</v>
      </c>
    </row>
    <row r="1752" spans="7:22" x14ac:dyDescent="0.25">
      <c r="G1752" cm="1">
        <f t="array" aca="1" ref="G1752" ca="1">INDIRECT("Data!A" &amp; 1747)</f>
        <v>0</v>
      </c>
      <c r="H1752" s="21" cm="1">
        <f t="array" aca="1" ref="H1752" ca="1">INDIRECT("Data!B" &amp; 1747)</f>
        <v>0</v>
      </c>
      <c r="I1752" s="21" cm="1">
        <f t="array" aca="1" ref="I1752" ca="1">INDIRECT("Data!C" &amp; 1747)</f>
        <v>0</v>
      </c>
      <c r="J1752" cm="1">
        <f t="array" aca="1" ref="J1752" ca="1">INDIRECT("Data!D" &amp; 1747)</f>
        <v>0</v>
      </c>
      <c r="K1752" cm="1">
        <f t="array" aca="1" ref="K1752" ca="1">INDIRECT("Data!E" &amp; 1747)</f>
        <v>0</v>
      </c>
      <c r="L1752" cm="1">
        <f t="array" aca="1" ref="L1752" ca="1">INDIRECT("Data!F" &amp; 1747)</f>
        <v>0</v>
      </c>
      <c r="M1752" cm="1">
        <f t="array" aca="1" ref="M1752" ca="1">INDIRECT("Data!G" &amp; 1747)</f>
        <v>0</v>
      </c>
      <c r="N1752" cm="1">
        <f t="array" aca="1" ref="N1752" ca="1">INDIRECT("Data!H" &amp; 1747)</f>
        <v>0</v>
      </c>
      <c r="O1752" cm="1">
        <f t="array" aca="1" ref="O1752" ca="1">INDIRECT("Data!I" &amp; 1747)</f>
        <v>0</v>
      </c>
      <c r="P1752" s="21" cm="1">
        <f t="array" aca="1" ref="P1752" ca="1">INDIRECT("Data!J" &amp; 1747)</f>
        <v>0</v>
      </c>
      <c r="Q1752" cm="1">
        <f t="array" aca="1" ref="Q1752" ca="1">INDIRECT("Data!K" &amp; 1747)</f>
        <v>0</v>
      </c>
      <c r="R1752" cm="1">
        <f t="array" aca="1" ref="R1752" ca="1">INDIRECT("Data!L" &amp; 1747)</f>
        <v>0</v>
      </c>
      <c r="S1752" cm="1">
        <f t="array" aca="1" ref="S1752" ca="1">INDIRECT("Data!M" &amp; 1747)</f>
        <v>0</v>
      </c>
      <c r="T1752" cm="1">
        <f t="array" aca="1" ref="T1752" ca="1">INDIRECT("Data!N" &amp; 1747)</f>
        <v>0</v>
      </c>
      <c r="U1752" cm="1">
        <f t="array" aca="1" ref="U1752" ca="1">INDIRECT("Data!O" &amp; 1747)</f>
        <v>0</v>
      </c>
      <c r="V1752" cm="1">
        <f t="array" aca="1" ref="V1752" ca="1">INDIRECT("Data!P" &amp; 1747)</f>
        <v>0</v>
      </c>
    </row>
    <row r="1753" spans="7:22" x14ac:dyDescent="0.25">
      <c r="G1753" cm="1">
        <f t="array" aca="1" ref="G1753" ca="1">INDIRECT("Data!A" &amp; 1748)</f>
        <v>0</v>
      </c>
      <c r="H1753" s="21" cm="1">
        <f t="array" aca="1" ref="H1753" ca="1">INDIRECT("Data!B" &amp; 1748)</f>
        <v>0</v>
      </c>
      <c r="I1753" s="21" cm="1">
        <f t="array" aca="1" ref="I1753" ca="1">INDIRECT("Data!C" &amp; 1748)</f>
        <v>0</v>
      </c>
      <c r="J1753" cm="1">
        <f t="array" aca="1" ref="J1753" ca="1">INDIRECT("Data!D" &amp; 1748)</f>
        <v>0</v>
      </c>
      <c r="K1753" cm="1">
        <f t="array" aca="1" ref="K1753" ca="1">INDIRECT("Data!E" &amp; 1748)</f>
        <v>0</v>
      </c>
      <c r="L1753" cm="1">
        <f t="array" aca="1" ref="L1753" ca="1">INDIRECT("Data!F" &amp; 1748)</f>
        <v>0</v>
      </c>
      <c r="M1753" cm="1">
        <f t="array" aca="1" ref="M1753" ca="1">INDIRECT("Data!G" &amp; 1748)</f>
        <v>0</v>
      </c>
      <c r="N1753" cm="1">
        <f t="array" aca="1" ref="N1753" ca="1">INDIRECT("Data!H" &amp; 1748)</f>
        <v>0</v>
      </c>
      <c r="O1753" cm="1">
        <f t="array" aca="1" ref="O1753" ca="1">INDIRECT("Data!I" &amp; 1748)</f>
        <v>0</v>
      </c>
      <c r="P1753" s="21" cm="1">
        <f t="array" aca="1" ref="P1753" ca="1">INDIRECT("Data!J" &amp; 1748)</f>
        <v>0</v>
      </c>
      <c r="Q1753" cm="1">
        <f t="array" aca="1" ref="Q1753" ca="1">INDIRECT("Data!K" &amp; 1748)</f>
        <v>0</v>
      </c>
      <c r="R1753" cm="1">
        <f t="array" aca="1" ref="R1753" ca="1">INDIRECT("Data!L" &amp; 1748)</f>
        <v>0</v>
      </c>
      <c r="S1753" cm="1">
        <f t="array" aca="1" ref="S1753" ca="1">INDIRECT("Data!M" &amp; 1748)</f>
        <v>0</v>
      </c>
      <c r="T1753" cm="1">
        <f t="array" aca="1" ref="T1753" ca="1">INDIRECT("Data!N" &amp; 1748)</f>
        <v>0</v>
      </c>
      <c r="U1753" cm="1">
        <f t="array" aca="1" ref="U1753" ca="1">INDIRECT("Data!O" &amp; 1748)</f>
        <v>0</v>
      </c>
      <c r="V1753" cm="1">
        <f t="array" aca="1" ref="V1753" ca="1">INDIRECT("Data!P" &amp; 1748)</f>
        <v>0</v>
      </c>
    </row>
    <row r="1754" spans="7:22" x14ac:dyDescent="0.25">
      <c r="G1754" cm="1">
        <f t="array" aca="1" ref="G1754" ca="1">INDIRECT("Data!A" &amp; 1749)</f>
        <v>0</v>
      </c>
      <c r="H1754" s="21" cm="1">
        <f t="array" aca="1" ref="H1754" ca="1">INDIRECT("Data!B" &amp; 1749)</f>
        <v>0</v>
      </c>
      <c r="I1754" s="21" cm="1">
        <f t="array" aca="1" ref="I1754" ca="1">INDIRECT("Data!C" &amp; 1749)</f>
        <v>0</v>
      </c>
      <c r="J1754" cm="1">
        <f t="array" aca="1" ref="J1754" ca="1">INDIRECT("Data!D" &amp; 1749)</f>
        <v>0</v>
      </c>
      <c r="K1754" cm="1">
        <f t="array" aca="1" ref="K1754" ca="1">INDIRECT("Data!E" &amp; 1749)</f>
        <v>0</v>
      </c>
      <c r="L1754" cm="1">
        <f t="array" aca="1" ref="L1754" ca="1">INDIRECT("Data!F" &amp; 1749)</f>
        <v>0</v>
      </c>
      <c r="M1754" cm="1">
        <f t="array" aca="1" ref="M1754" ca="1">INDIRECT("Data!G" &amp; 1749)</f>
        <v>0</v>
      </c>
      <c r="N1754" cm="1">
        <f t="array" aca="1" ref="N1754" ca="1">INDIRECT("Data!H" &amp; 1749)</f>
        <v>0</v>
      </c>
      <c r="O1754" cm="1">
        <f t="array" aca="1" ref="O1754" ca="1">INDIRECT("Data!I" &amp; 1749)</f>
        <v>0</v>
      </c>
      <c r="P1754" s="21" cm="1">
        <f t="array" aca="1" ref="P1754" ca="1">INDIRECT("Data!J" &amp; 1749)</f>
        <v>0</v>
      </c>
      <c r="Q1754" cm="1">
        <f t="array" aca="1" ref="Q1754" ca="1">INDIRECT("Data!K" &amp; 1749)</f>
        <v>0</v>
      </c>
      <c r="R1754" cm="1">
        <f t="array" aca="1" ref="R1754" ca="1">INDIRECT("Data!L" &amp; 1749)</f>
        <v>0</v>
      </c>
      <c r="S1754" cm="1">
        <f t="array" aca="1" ref="S1754" ca="1">INDIRECT("Data!M" &amp; 1749)</f>
        <v>0</v>
      </c>
      <c r="T1754" cm="1">
        <f t="array" aca="1" ref="T1754" ca="1">INDIRECT("Data!N" &amp; 1749)</f>
        <v>0</v>
      </c>
      <c r="U1754" cm="1">
        <f t="array" aca="1" ref="U1754" ca="1">INDIRECT("Data!O" &amp; 1749)</f>
        <v>0</v>
      </c>
      <c r="V1754" cm="1">
        <f t="array" aca="1" ref="V1754" ca="1">INDIRECT("Data!P" &amp; 1749)</f>
        <v>0</v>
      </c>
    </row>
    <row r="1755" spans="7:22" x14ac:dyDescent="0.25">
      <c r="G1755" cm="1">
        <f t="array" aca="1" ref="G1755" ca="1">INDIRECT("Data!A" &amp; 1750)</f>
        <v>0</v>
      </c>
      <c r="H1755" s="21" cm="1">
        <f t="array" aca="1" ref="H1755" ca="1">INDIRECT("Data!B" &amp; 1750)</f>
        <v>0</v>
      </c>
      <c r="I1755" s="21" cm="1">
        <f t="array" aca="1" ref="I1755" ca="1">INDIRECT("Data!C" &amp; 1750)</f>
        <v>0</v>
      </c>
      <c r="J1755" cm="1">
        <f t="array" aca="1" ref="J1755" ca="1">INDIRECT("Data!D" &amp; 1750)</f>
        <v>0</v>
      </c>
      <c r="K1755" cm="1">
        <f t="array" aca="1" ref="K1755" ca="1">INDIRECT("Data!E" &amp; 1750)</f>
        <v>0</v>
      </c>
      <c r="L1755" cm="1">
        <f t="array" aca="1" ref="L1755" ca="1">INDIRECT("Data!F" &amp; 1750)</f>
        <v>0</v>
      </c>
      <c r="M1755" cm="1">
        <f t="array" aca="1" ref="M1755" ca="1">INDIRECT("Data!G" &amp; 1750)</f>
        <v>0</v>
      </c>
      <c r="N1755" cm="1">
        <f t="array" aca="1" ref="N1755" ca="1">INDIRECT("Data!H" &amp; 1750)</f>
        <v>0</v>
      </c>
      <c r="O1755" cm="1">
        <f t="array" aca="1" ref="O1755" ca="1">INDIRECT("Data!I" &amp; 1750)</f>
        <v>0</v>
      </c>
      <c r="P1755" s="21" cm="1">
        <f t="array" aca="1" ref="P1755" ca="1">INDIRECT("Data!J" &amp; 1750)</f>
        <v>0</v>
      </c>
      <c r="Q1755" cm="1">
        <f t="array" aca="1" ref="Q1755" ca="1">INDIRECT("Data!K" &amp; 1750)</f>
        <v>0</v>
      </c>
      <c r="R1755" cm="1">
        <f t="array" aca="1" ref="R1755" ca="1">INDIRECT("Data!L" &amp; 1750)</f>
        <v>0</v>
      </c>
      <c r="S1755" cm="1">
        <f t="array" aca="1" ref="S1755" ca="1">INDIRECT("Data!M" &amp; 1750)</f>
        <v>0</v>
      </c>
      <c r="T1755" cm="1">
        <f t="array" aca="1" ref="T1755" ca="1">INDIRECT("Data!N" &amp; 1750)</f>
        <v>0</v>
      </c>
      <c r="U1755" cm="1">
        <f t="array" aca="1" ref="U1755" ca="1">INDIRECT("Data!O" &amp; 1750)</f>
        <v>0</v>
      </c>
      <c r="V1755" cm="1">
        <f t="array" aca="1" ref="V1755" ca="1">INDIRECT("Data!P" &amp; 1750)</f>
        <v>0</v>
      </c>
    </row>
    <row r="1756" spans="7:22" x14ac:dyDescent="0.25">
      <c r="G1756" cm="1">
        <f t="array" aca="1" ref="G1756" ca="1">INDIRECT("Data!A" &amp; 1751)</f>
        <v>0</v>
      </c>
      <c r="H1756" s="21" cm="1">
        <f t="array" aca="1" ref="H1756" ca="1">INDIRECT("Data!B" &amp; 1751)</f>
        <v>0</v>
      </c>
      <c r="I1756" s="21" cm="1">
        <f t="array" aca="1" ref="I1756" ca="1">INDIRECT("Data!C" &amp; 1751)</f>
        <v>0</v>
      </c>
      <c r="J1756" cm="1">
        <f t="array" aca="1" ref="J1756" ca="1">INDIRECT("Data!D" &amp; 1751)</f>
        <v>0</v>
      </c>
      <c r="K1756" cm="1">
        <f t="array" aca="1" ref="K1756" ca="1">INDIRECT("Data!E" &amp; 1751)</f>
        <v>0</v>
      </c>
      <c r="L1756" cm="1">
        <f t="array" aca="1" ref="L1756" ca="1">INDIRECT("Data!F" &amp; 1751)</f>
        <v>0</v>
      </c>
      <c r="M1756" cm="1">
        <f t="array" aca="1" ref="M1756" ca="1">INDIRECT("Data!G" &amp; 1751)</f>
        <v>0</v>
      </c>
      <c r="N1756" cm="1">
        <f t="array" aca="1" ref="N1756" ca="1">INDIRECT("Data!H" &amp; 1751)</f>
        <v>0</v>
      </c>
      <c r="O1756" cm="1">
        <f t="array" aca="1" ref="O1756" ca="1">INDIRECT("Data!I" &amp; 1751)</f>
        <v>0</v>
      </c>
      <c r="P1756" s="21" cm="1">
        <f t="array" aca="1" ref="P1756" ca="1">INDIRECT("Data!J" &amp; 1751)</f>
        <v>0</v>
      </c>
      <c r="Q1756" cm="1">
        <f t="array" aca="1" ref="Q1756" ca="1">INDIRECT("Data!K" &amp; 1751)</f>
        <v>0</v>
      </c>
      <c r="R1756" cm="1">
        <f t="array" aca="1" ref="R1756" ca="1">INDIRECT("Data!L" &amp; 1751)</f>
        <v>0</v>
      </c>
      <c r="S1756" cm="1">
        <f t="array" aca="1" ref="S1756" ca="1">INDIRECT("Data!M" &amp; 1751)</f>
        <v>0</v>
      </c>
      <c r="T1756" cm="1">
        <f t="array" aca="1" ref="T1756" ca="1">INDIRECT("Data!N" &amp; 1751)</f>
        <v>0</v>
      </c>
      <c r="U1756" cm="1">
        <f t="array" aca="1" ref="U1756" ca="1">INDIRECT("Data!O" &amp; 1751)</f>
        <v>0</v>
      </c>
      <c r="V1756" cm="1">
        <f t="array" aca="1" ref="V1756" ca="1">INDIRECT("Data!P" &amp; 1751)</f>
        <v>0</v>
      </c>
    </row>
    <row r="1757" spans="7:22" x14ac:dyDescent="0.25">
      <c r="G1757" cm="1">
        <f t="array" aca="1" ref="G1757" ca="1">INDIRECT("Data!A" &amp; 1752)</f>
        <v>0</v>
      </c>
      <c r="H1757" s="21" cm="1">
        <f t="array" aca="1" ref="H1757" ca="1">INDIRECT("Data!B" &amp; 1752)</f>
        <v>0</v>
      </c>
      <c r="I1757" s="21" cm="1">
        <f t="array" aca="1" ref="I1757" ca="1">INDIRECT("Data!C" &amp; 1752)</f>
        <v>0</v>
      </c>
      <c r="J1757" cm="1">
        <f t="array" aca="1" ref="J1757" ca="1">INDIRECT("Data!D" &amp; 1752)</f>
        <v>0</v>
      </c>
      <c r="K1757" cm="1">
        <f t="array" aca="1" ref="K1757" ca="1">INDIRECT("Data!E" &amp; 1752)</f>
        <v>0</v>
      </c>
      <c r="L1757" cm="1">
        <f t="array" aca="1" ref="L1757" ca="1">INDIRECT("Data!F" &amp; 1752)</f>
        <v>0</v>
      </c>
      <c r="M1757" cm="1">
        <f t="array" aca="1" ref="M1757" ca="1">INDIRECT("Data!G" &amp; 1752)</f>
        <v>0</v>
      </c>
      <c r="N1757" cm="1">
        <f t="array" aca="1" ref="N1757" ca="1">INDIRECT("Data!H" &amp; 1752)</f>
        <v>0</v>
      </c>
      <c r="O1757" cm="1">
        <f t="array" aca="1" ref="O1757" ca="1">INDIRECT("Data!I" &amp; 1752)</f>
        <v>0</v>
      </c>
      <c r="P1757" s="21" cm="1">
        <f t="array" aca="1" ref="P1757" ca="1">INDIRECT("Data!J" &amp; 1752)</f>
        <v>0</v>
      </c>
      <c r="Q1757" cm="1">
        <f t="array" aca="1" ref="Q1757" ca="1">INDIRECT("Data!K" &amp; 1752)</f>
        <v>0</v>
      </c>
      <c r="R1757" cm="1">
        <f t="array" aca="1" ref="R1757" ca="1">INDIRECT("Data!L" &amp; 1752)</f>
        <v>0</v>
      </c>
      <c r="S1757" cm="1">
        <f t="array" aca="1" ref="S1757" ca="1">INDIRECT("Data!M" &amp; 1752)</f>
        <v>0</v>
      </c>
      <c r="T1757" cm="1">
        <f t="array" aca="1" ref="T1757" ca="1">INDIRECT("Data!N" &amp; 1752)</f>
        <v>0</v>
      </c>
      <c r="U1757" cm="1">
        <f t="array" aca="1" ref="U1757" ca="1">INDIRECT("Data!O" &amp; 1752)</f>
        <v>0</v>
      </c>
      <c r="V1757" cm="1">
        <f t="array" aca="1" ref="V1757" ca="1">INDIRECT("Data!P" &amp; 1752)</f>
        <v>0</v>
      </c>
    </row>
    <row r="1758" spans="7:22" x14ac:dyDescent="0.25">
      <c r="G1758" cm="1">
        <f t="array" aca="1" ref="G1758" ca="1">INDIRECT("Data!A" &amp; 1753)</f>
        <v>0</v>
      </c>
      <c r="H1758" s="21" cm="1">
        <f t="array" aca="1" ref="H1758" ca="1">INDIRECT("Data!B" &amp; 1753)</f>
        <v>0</v>
      </c>
      <c r="I1758" s="21" cm="1">
        <f t="array" aca="1" ref="I1758" ca="1">INDIRECT("Data!C" &amp; 1753)</f>
        <v>0</v>
      </c>
      <c r="J1758" cm="1">
        <f t="array" aca="1" ref="J1758" ca="1">INDIRECT("Data!D" &amp; 1753)</f>
        <v>0</v>
      </c>
      <c r="K1758" cm="1">
        <f t="array" aca="1" ref="K1758" ca="1">INDIRECT("Data!E" &amp; 1753)</f>
        <v>0</v>
      </c>
      <c r="L1758" cm="1">
        <f t="array" aca="1" ref="L1758" ca="1">INDIRECT("Data!F" &amp; 1753)</f>
        <v>0</v>
      </c>
      <c r="M1758" cm="1">
        <f t="array" aca="1" ref="M1758" ca="1">INDIRECT("Data!G" &amp; 1753)</f>
        <v>0</v>
      </c>
      <c r="N1758" cm="1">
        <f t="array" aca="1" ref="N1758" ca="1">INDIRECT("Data!H" &amp; 1753)</f>
        <v>0</v>
      </c>
      <c r="O1758" cm="1">
        <f t="array" aca="1" ref="O1758" ca="1">INDIRECT("Data!I" &amp; 1753)</f>
        <v>0</v>
      </c>
      <c r="P1758" s="21" cm="1">
        <f t="array" aca="1" ref="P1758" ca="1">INDIRECT("Data!J" &amp; 1753)</f>
        <v>0</v>
      </c>
      <c r="Q1758" cm="1">
        <f t="array" aca="1" ref="Q1758" ca="1">INDIRECT("Data!K" &amp; 1753)</f>
        <v>0</v>
      </c>
      <c r="R1758" cm="1">
        <f t="array" aca="1" ref="R1758" ca="1">INDIRECT("Data!L" &amp; 1753)</f>
        <v>0</v>
      </c>
      <c r="S1758" cm="1">
        <f t="array" aca="1" ref="S1758" ca="1">INDIRECT("Data!M" &amp; 1753)</f>
        <v>0</v>
      </c>
      <c r="T1758" cm="1">
        <f t="array" aca="1" ref="T1758" ca="1">INDIRECT("Data!N" &amp; 1753)</f>
        <v>0</v>
      </c>
      <c r="U1758" cm="1">
        <f t="array" aca="1" ref="U1758" ca="1">INDIRECT("Data!O" &amp; 1753)</f>
        <v>0</v>
      </c>
      <c r="V1758" cm="1">
        <f t="array" aca="1" ref="V1758" ca="1">INDIRECT("Data!P" &amp; 1753)</f>
        <v>0</v>
      </c>
    </row>
    <row r="1759" spans="7:22" x14ac:dyDescent="0.25">
      <c r="G1759" cm="1">
        <f t="array" aca="1" ref="G1759" ca="1">INDIRECT("Data!A" &amp; 1754)</f>
        <v>0</v>
      </c>
      <c r="H1759" s="21" cm="1">
        <f t="array" aca="1" ref="H1759" ca="1">INDIRECT("Data!B" &amp; 1754)</f>
        <v>0</v>
      </c>
      <c r="I1759" s="21" cm="1">
        <f t="array" aca="1" ref="I1759" ca="1">INDIRECT("Data!C" &amp; 1754)</f>
        <v>0</v>
      </c>
      <c r="J1759" cm="1">
        <f t="array" aca="1" ref="J1759" ca="1">INDIRECT("Data!D" &amp; 1754)</f>
        <v>0</v>
      </c>
      <c r="K1759" cm="1">
        <f t="array" aca="1" ref="K1759" ca="1">INDIRECT("Data!E" &amp; 1754)</f>
        <v>0</v>
      </c>
      <c r="L1759" cm="1">
        <f t="array" aca="1" ref="L1759" ca="1">INDIRECT("Data!F" &amp; 1754)</f>
        <v>0</v>
      </c>
      <c r="M1759" cm="1">
        <f t="array" aca="1" ref="M1759" ca="1">INDIRECT("Data!G" &amp; 1754)</f>
        <v>0</v>
      </c>
      <c r="N1759" cm="1">
        <f t="array" aca="1" ref="N1759" ca="1">INDIRECT("Data!H" &amp; 1754)</f>
        <v>0</v>
      </c>
      <c r="O1759" cm="1">
        <f t="array" aca="1" ref="O1759" ca="1">INDIRECT("Data!I" &amp; 1754)</f>
        <v>0</v>
      </c>
      <c r="P1759" s="21" cm="1">
        <f t="array" aca="1" ref="P1759" ca="1">INDIRECT("Data!J" &amp; 1754)</f>
        <v>0</v>
      </c>
      <c r="Q1759" cm="1">
        <f t="array" aca="1" ref="Q1759" ca="1">INDIRECT("Data!K" &amp; 1754)</f>
        <v>0</v>
      </c>
      <c r="R1759" cm="1">
        <f t="array" aca="1" ref="R1759" ca="1">INDIRECT("Data!L" &amp; 1754)</f>
        <v>0</v>
      </c>
      <c r="S1759" cm="1">
        <f t="array" aca="1" ref="S1759" ca="1">INDIRECT("Data!M" &amp; 1754)</f>
        <v>0</v>
      </c>
      <c r="T1759" cm="1">
        <f t="array" aca="1" ref="T1759" ca="1">INDIRECT("Data!N" &amp; 1754)</f>
        <v>0</v>
      </c>
      <c r="U1759" cm="1">
        <f t="array" aca="1" ref="U1759" ca="1">INDIRECT("Data!O" &amp; 1754)</f>
        <v>0</v>
      </c>
      <c r="V1759" cm="1">
        <f t="array" aca="1" ref="V1759" ca="1">INDIRECT("Data!P" &amp; 1754)</f>
        <v>0</v>
      </c>
    </row>
    <row r="1760" spans="7:22" x14ac:dyDescent="0.25">
      <c r="G1760" cm="1">
        <f t="array" aca="1" ref="G1760" ca="1">INDIRECT("Data!A" &amp; 1755)</f>
        <v>0</v>
      </c>
      <c r="H1760" s="21" cm="1">
        <f t="array" aca="1" ref="H1760" ca="1">INDIRECT("Data!B" &amp; 1755)</f>
        <v>0</v>
      </c>
      <c r="I1760" s="21" cm="1">
        <f t="array" aca="1" ref="I1760" ca="1">INDIRECT("Data!C" &amp; 1755)</f>
        <v>0</v>
      </c>
      <c r="J1760" cm="1">
        <f t="array" aca="1" ref="J1760" ca="1">INDIRECT("Data!D" &amp; 1755)</f>
        <v>0</v>
      </c>
      <c r="K1760" cm="1">
        <f t="array" aca="1" ref="K1760" ca="1">INDIRECT("Data!E" &amp; 1755)</f>
        <v>0</v>
      </c>
      <c r="L1760" cm="1">
        <f t="array" aca="1" ref="L1760" ca="1">INDIRECT("Data!F" &amp; 1755)</f>
        <v>0</v>
      </c>
      <c r="M1760" cm="1">
        <f t="array" aca="1" ref="M1760" ca="1">INDIRECT("Data!G" &amp; 1755)</f>
        <v>0</v>
      </c>
      <c r="N1760" cm="1">
        <f t="array" aca="1" ref="N1760" ca="1">INDIRECT("Data!H" &amp; 1755)</f>
        <v>0</v>
      </c>
      <c r="O1760" cm="1">
        <f t="array" aca="1" ref="O1760" ca="1">INDIRECT("Data!I" &amp; 1755)</f>
        <v>0</v>
      </c>
      <c r="P1760" s="21" cm="1">
        <f t="array" aca="1" ref="P1760" ca="1">INDIRECT("Data!J" &amp; 1755)</f>
        <v>0</v>
      </c>
      <c r="Q1760" cm="1">
        <f t="array" aca="1" ref="Q1760" ca="1">INDIRECT("Data!K" &amp; 1755)</f>
        <v>0</v>
      </c>
      <c r="R1760" cm="1">
        <f t="array" aca="1" ref="R1760" ca="1">INDIRECT("Data!L" &amp; 1755)</f>
        <v>0</v>
      </c>
      <c r="S1760" cm="1">
        <f t="array" aca="1" ref="S1760" ca="1">INDIRECT("Data!M" &amp; 1755)</f>
        <v>0</v>
      </c>
      <c r="T1760" cm="1">
        <f t="array" aca="1" ref="T1760" ca="1">INDIRECT("Data!N" &amp; 1755)</f>
        <v>0</v>
      </c>
      <c r="U1760" cm="1">
        <f t="array" aca="1" ref="U1760" ca="1">INDIRECT("Data!O" &amp; 1755)</f>
        <v>0</v>
      </c>
      <c r="V1760" cm="1">
        <f t="array" aca="1" ref="V1760" ca="1">INDIRECT("Data!P" &amp; 1755)</f>
        <v>0</v>
      </c>
    </row>
    <row r="1761" spans="7:22" x14ac:dyDescent="0.25">
      <c r="G1761" cm="1">
        <f t="array" aca="1" ref="G1761" ca="1">INDIRECT("Data!A" &amp; 1756)</f>
        <v>0</v>
      </c>
      <c r="H1761" s="21" cm="1">
        <f t="array" aca="1" ref="H1761" ca="1">INDIRECT("Data!B" &amp; 1756)</f>
        <v>0</v>
      </c>
      <c r="I1761" s="21" cm="1">
        <f t="array" aca="1" ref="I1761" ca="1">INDIRECT("Data!C" &amp; 1756)</f>
        <v>0</v>
      </c>
      <c r="J1761" cm="1">
        <f t="array" aca="1" ref="J1761" ca="1">INDIRECT("Data!D" &amp; 1756)</f>
        <v>0</v>
      </c>
      <c r="K1761" cm="1">
        <f t="array" aca="1" ref="K1761" ca="1">INDIRECT("Data!E" &amp; 1756)</f>
        <v>0</v>
      </c>
      <c r="L1761" cm="1">
        <f t="array" aca="1" ref="L1761" ca="1">INDIRECT("Data!F" &amp; 1756)</f>
        <v>0</v>
      </c>
      <c r="M1761" cm="1">
        <f t="array" aca="1" ref="M1761" ca="1">INDIRECT("Data!G" &amp; 1756)</f>
        <v>0</v>
      </c>
      <c r="N1761" cm="1">
        <f t="array" aca="1" ref="N1761" ca="1">INDIRECT("Data!H" &amp; 1756)</f>
        <v>0</v>
      </c>
      <c r="O1761" cm="1">
        <f t="array" aca="1" ref="O1761" ca="1">INDIRECT("Data!I" &amp; 1756)</f>
        <v>0</v>
      </c>
      <c r="P1761" s="21" cm="1">
        <f t="array" aca="1" ref="P1761" ca="1">INDIRECT("Data!J" &amp; 1756)</f>
        <v>0</v>
      </c>
      <c r="Q1761" cm="1">
        <f t="array" aca="1" ref="Q1761" ca="1">INDIRECT("Data!K" &amp; 1756)</f>
        <v>0</v>
      </c>
      <c r="R1761" cm="1">
        <f t="array" aca="1" ref="R1761" ca="1">INDIRECT("Data!L" &amp; 1756)</f>
        <v>0</v>
      </c>
      <c r="S1761" cm="1">
        <f t="array" aca="1" ref="S1761" ca="1">INDIRECT("Data!M" &amp; 1756)</f>
        <v>0</v>
      </c>
      <c r="T1761" cm="1">
        <f t="array" aca="1" ref="T1761" ca="1">INDIRECT("Data!N" &amp; 1756)</f>
        <v>0</v>
      </c>
      <c r="U1761" cm="1">
        <f t="array" aca="1" ref="U1761" ca="1">INDIRECT("Data!O" &amp; 1756)</f>
        <v>0</v>
      </c>
      <c r="V1761" cm="1">
        <f t="array" aca="1" ref="V1761" ca="1">INDIRECT("Data!P" &amp; 1756)</f>
        <v>0</v>
      </c>
    </row>
    <row r="1762" spans="7:22" x14ac:dyDescent="0.25">
      <c r="G1762" cm="1">
        <f t="array" aca="1" ref="G1762" ca="1">INDIRECT("Data!A" &amp; 1757)</f>
        <v>0</v>
      </c>
      <c r="H1762" s="21" cm="1">
        <f t="array" aca="1" ref="H1762" ca="1">INDIRECT("Data!B" &amp; 1757)</f>
        <v>0</v>
      </c>
      <c r="I1762" s="21" cm="1">
        <f t="array" aca="1" ref="I1762" ca="1">INDIRECT("Data!C" &amp; 1757)</f>
        <v>0</v>
      </c>
      <c r="J1762" cm="1">
        <f t="array" aca="1" ref="J1762" ca="1">INDIRECT("Data!D" &amp; 1757)</f>
        <v>0</v>
      </c>
      <c r="K1762" cm="1">
        <f t="array" aca="1" ref="K1762" ca="1">INDIRECT("Data!E" &amp; 1757)</f>
        <v>0</v>
      </c>
      <c r="L1762" cm="1">
        <f t="array" aca="1" ref="L1762" ca="1">INDIRECT("Data!F" &amp; 1757)</f>
        <v>0</v>
      </c>
      <c r="M1762" cm="1">
        <f t="array" aca="1" ref="M1762" ca="1">INDIRECT("Data!G" &amp; 1757)</f>
        <v>0</v>
      </c>
      <c r="N1762" cm="1">
        <f t="array" aca="1" ref="N1762" ca="1">INDIRECT("Data!H" &amp; 1757)</f>
        <v>0</v>
      </c>
      <c r="O1762" cm="1">
        <f t="array" aca="1" ref="O1762" ca="1">INDIRECT("Data!I" &amp; 1757)</f>
        <v>0</v>
      </c>
      <c r="P1762" s="21" cm="1">
        <f t="array" aca="1" ref="P1762" ca="1">INDIRECT("Data!J" &amp; 1757)</f>
        <v>0</v>
      </c>
      <c r="Q1762" cm="1">
        <f t="array" aca="1" ref="Q1762" ca="1">INDIRECT("Data!K" &amp; 1757)</f>
        <v>0</v>
      </c>
      <c r="R1762" cm="1">
        <f t="array" aca="1" ref="R1762" ca="1">INDIRECT("Data!L" &amp; 1757)</f>
        <v>0</v>
      </c>
      <c r="S1762" cm="1">
        <f t="array" aca="1" ref="S1762" ca="1">INDIRECT("Data!M" &amp; 1757)</f>
        <v>0</v>
      </c>
      <c r="T1762" cm="1">
        <f t="array" aca="1" ref="T1762" ca="1">INDIRECT("Data!N" &amp; 1757)</f>
        <v>0</v>
      </c>
      <c r="U1762" cm="1">
        <f t="array" aca="1" ref="U1762" ca="1">INDIRECT("Data!O" &amp; 1757)</f>
        <v>0</v>
      </c>
      <c r="V1762" cm="1">
        <f t="array" aca="1" ref="V1762" ca="1">INDIRECT("Data!P" &amp; 1757)</f>
        <v>0</v>
      </c>
    </row>
    <row r="1763" spans="7:22" x14ac:dyDescent="0.25">
      <c r="G1763" cm="1">
        <f t="array" aca="1" ref="G1763" ca="1">INDIRECT("Data!A" &amp; 1758)</f>
        <v>0</v>
      </c>
      <c r="H1763" s="21" cm="1">
        <f t="array" aca="1" ref="H1763" ca="1">INDIRECT("Data!B" &amp; 1758)</f>
        <v>0</v>
      </c>
      <c r="I1763" s="21" cm="1">
        <f t="array" aca="1" ref="I1763" ca="1">INDIRECT("Data!C" &amp; 1758)</f>
        <v>0</v>
      </c>
      <c r="J1763" cm="1">
        <f t="array" aca="1" ref="J1763" ca="1">INDIRECT("Data!D" &amp; 1758)</f>
        <v>0</v>
      </c>
      <c r="K1763" cm="1">
        <f t="array" aca="1" ref="K1763" ca="1">INDIRECT("Data!E" &amp; 1758)</f>
        <v>0</v>
      </c>
      <c r="L1763" cm="1">
        <f t="array" aca="1" ref="L1763" ca="1">INDIRECT("Data!F" &amp; 1758)</f>
        <v>0</v>
      </c>
      <c r="M1763" cm="1">
        <f t="array" aca="1" ref="M1763" ca="1">INDIRECT("Data!G" &amp; 1758)</f>
        <v>0</v>
      </c>
      <c r="N1763" cm="1">
        <f t="array" aca="1" ref="N1763" ca="1">INDIRECT("Data!H" &amp; 1758)</f>
        <v>0</v>
      </c>
      <c r="O1763" cm="1">
        <f t="array" aca="1" ref="O1763" ca="1">INDIRECT("Data!I" &amp; 1758)</f>
        <v>0</v>
      </c>
      <c r="P1763" s="21" cm="1">
        <f t="array" aca="1" ref="P1763" ca="1">INDIRECT("Data!J" &amp; 1758)</f>
        <v>0</v>
      </c>
      <c r="Q1763" cm="1">
        <f t="array" aca="1" ref="Q1763" ca="1">INDIRECT("Data!K" &amp; 1758)</f>
        <v>0</v>
      </c>
      <c r="R1763" cm="1">
        <f t="array" aca="1" ref="R1763" ca="1">INDIRECT("Data!L" &amp; 1758)</f>
        <v>0</v>
      </c>
      <c r="S1763" cm="1">
        <f t="array" aca="1" ref="S1763" ca="1">INDIRECT("Data!M" &amp; 1758)</f>
        <v>0</v>
      </c>
      <c r="T1763" cm="1">
        <f t="array" aca="1" ref="T1763" ca="1">INDIRECT("Data!N" &amp; 1758)</f>
        <v>0</v>
      </c>
      <c r="U1763" cm="1">
        <f t="array" aca="1" ref="U1763" ca="1">INDIRECT("Data!O" &amp; 1758)</f>
        <v>0</v>
      </c>
      <c r="V1763" cm="1">
        <f t="array" aca="1" ref="V1763" ca="1">INDIRECT("Data!P" &amp; 1758)</f>
        <v>0</v>
      </c>
    </row>
    <row r="1764" spans="7:22" x14ac:dyDescent="0.25">
      <c r="G1764" cm="1">
        <f t="array" aca="1" ref="G1764" ca="1">INDIRECT("Data!A" &amp; 1759)</f>
        <v>0</v>
      </c>
      <c r="H1764" s="21" cm="1">
        <f t="array" aca="1" ref="H1764" ca="1">INDIRECT("Data!B" &amp; 1759)</f>
        <v>0</v>
      </c>
      <c r="I1764" s="21" cm="1">
        <f t="array" aca="1" ref="I1764" ca="1">INDIRECT("Data!C" &amp; 1759)</f>
        <v>0</v>
      </c>
      <c r="J1764" cm="1">
        <f t="array" aca="1" ref="J1764" ca="1">INDIRECT("Data!D" &amp; 1759)</f>
        <v>0</v>
      </c>
      <c r="K1764" cm="1">
        <f t="array" aca="1" ref="K1764" ca="1">INDIRECT("Data!E" &amp; 1759)</f>
        <v>0</v>
      </c>
      <c r="L1764" cm="1">
        <f t="array" aca="1" ref="L1764" ca="1">INDIRECT("Data!F" &amp; 1759)</f>
        <v>0</v>
      </c>
      <c r="M1764" cm="1">
        <f t="array" aca="1" ref="M1764" ca="1">INDIRECT("Data!G" &amp; 1759)</f>
        <v>0</v>
      </c>
      <c r="N1764" cm="1">
        <f t="array" aca="1" ref="N1764" ca="1">INDIRECT("Data!H" &amp; 1759)</f>
        <v>0</v>
      </c>
      <c r="O1764" cm="1">
        <f t="array" aca="1" ref="O1764" ca="1">INDIRECT("Data!I" &amp; 1759)</f>
        <v>0</v>
      </c>
      <c r="P1764" s="21" cm="1">
        <f t="array" aca="1" ref="P1764" ca="1">INDIRECT("Data!J" &amp; 1759)</f>
        <v>0</v>
      </c>
      <c r="Q1764" cm="1">
        <f t="array" aca="1" ref="Q1764" ca="1">INDIRECT("Data!K" &amp; 1759)</f>
        <v>0</v>
      </c>
      <c r="R1764" cm="1">
        <f t="array" aca="1" ref="R1764" ca="1">INDIRECT("Data!L" &amp; 1759)</f>
        <v>0</v>
      </c>
      <c r="S1764" cm="1">
        <f t="array" aca="1" ref="S1764" ca="1">INDIRECT("Data!M" &amp; 1759)</f>
        <v>0</v>
      </c>
      <c r="T1764" cm="1">
        <f t="array" aca="1" ref="T1764" ca="1">INDIRECT("Data!N" &amp; 1759)</f>
        <v>0</v>
      </c>
      <c r="U1764" cm="1">
        <f t="array" aca="1" ref="U1764" ca="1">INDIRECT("Data!O" &amp; 1759)</f>
        <v>0</v>
      </c>
      <c r="V1764" cm="1">
        <f t="array" aca="1" ref="V1764" ca="1">INDIRECT("Data!P" &amp; 1759)</f>
        <v>0</v>
      </c>
    </row>
    <row r="1765" spans="7:22" x14ac:dyDescent="0.25">
      <c r="G1765" cm="1">
        <f t="array" aca="1" ref="G1765" ca="1">INDIRECT("Data!A" &amp; 1760)</f>
        <v>0</v>
      </c>
      <c r="H1765" s="21" cm="1">
        <f t="array" aca="1" ref="H1765" ca="1">INDIRECT("Data!B" &amp; 1760)</f>
        <v>0</v>
      </c>
      <c r="I1765" s="21" cm="1">
        <f t="array" aca="1" ref="I1765" ca="1">INDIRECT("Data!C" &amp; 1760)</f>
        <v>0</v>
      </c>
      <c r="J1765" cm="1">
        <f t="array" aca="1" ref="J1765" ca="1">INDIRECT("Data!D" &amp; 1760)</f>
        <v>0</v>
      </c>
      <c r="K1765" cm="1">
        <f t="array" aca="1" ref="K1765" ca="1">INDIRECT("Data!E" &amp; 1760)</f>
        <v>0</v>
      </c>
      <c r="L1765" cm="1">
        <f t="array" aca="1" ref="L1765" ca="1">INDIRECT("Data!F" &amp; 1760)</f>
        <v>0</v>
      </c>
      <c r="M1765" cm="1">
        <f t="array" aca="1" ref="M1765" ca="1">INDIRECT("Data!G" &amp; 1760)</f>
        <v>0</v>
      </c>
      <c r="N1765" cm="1">
        <f t="array" aca="1" ref="N1765" ca="1">INDIRECT("Data!H" &amp; 1760)</f>
        <v>0</v>
      </c>
      <c r="O1765" cm="1">
        <f t="array" aca="1" ref="O1765" ca="1">INDIRECT("Data!I" &amp; 1760)</f>
        <v>0</v>
      </c>
      <c r="P1765" s="21" cm="1">
        <f t="array" aca="1" ref="P1765" ca="1">INDIRECT("Data!J" &amp; 1760)</f>
        <v>0</v>
      </c>
      <c r="Q1765" cm="1">
        <f t="array" aca="1" ref="Q1765" ca="1">INDIRECT("Data!K" &amp; 1760)</f>
        <v>0</v>
      </c>
      <c r="R1765" cm="1">
        <f t="array" aca="1" ref="R1765" ca="1">INDIRECT("Data!L" &amp; 1760)</f>
        <v>0</v>
      </c>
      <c r="S1765" cm="1">
        <f t="array" aca="1" ref="S1765" ca="1">INDIRECT("Data!M" &amp; 1760)</f>
        <v>0</v>
      </c>
      <c r="T1765" cm="1">
        <f t="array" aca="1" ref="T1765" ca="1">INDIRECT("Data!N" &amp; 1760)</f>
        <v>0</v>
      </c>
      <c r="U1765" cm="1">
        <f t="array" aca="1" ref="U1765" ca="1">INDIRECT("Data!O" &amp; 1760)</f>
        <v>0</v>
      </c>
      <c r="V1765" cm="1">
        <f t="array" aca="1" ref="V1765" ca="1">INDIRECT("Data!P" &amp; 1760)</f>
        <v>0</v>
      </c>
    </row>
    <row r="1766" spans="7:22" x14ac:dyDescent="0.25">
      <c r="G1766" cm="1">
        <f t="array" aca="1" ref="G1766" ca="1">INDIRECT("Data!A" &amp; 1761)</f>
        <v>0</v>
      </c>
      <c r="H1766" s="21" cm="1">
        <f t="array" aca="1" ref="H1766" ca="1">INDIRECT("Data!B" &amp; 1761)</f>
        <v>0</v>
      </c>
      <c r="I1766" s="21" cm="1">
        <f t="array" aca="1" ref="I1766" ca="1">INDIRECT("Data!C" &amp; 1761)</f>
        <v>0</v>
      </c>
      <c r="J1766" cm="1">
        <f t="array" aca="1" ref="J1766" ca="1">INDIRECT("Data!D" &amp; 1761)</f>
        <v>0</v>
      </c>
      <c r="K1766" cm="1">
        <f t="array" aca="1" ref="K1766" ca="1">INDIRECT("Data!E" &amp; 1761)</f>
        <v>0</v>
      </c>
      <c r="L1766" cm="1">
        <f t="array" aca="1" ref="L1766" ca="1">INDIRECT("Data!F" &amp; 1761)</f>
        <v>0</v>
      </c>
      <c r="M1766" cm="1">
        <f t="array" aca="1" ref="M1766" ca="1">INDIRECT("Data!G" &amp; 1761)</f>
        <v>0</v>
      </c>
      <c r="N1766" cm="1">
        <f t="array" aca="1" ref="N1766" ca="1">INDIRECT("Data!H" &amp; 1761)</f>
        <v>0</v>
      </c>
      <c r="O1766" cm="1">
        <f t="array" aca="1" ref="O1766" ca="1">INDIRECT("Data!I" &amp; 1761)</f>
        <v>0</v>
      </c>
      <c r="P1766" s="21" cm="1">
        <f t="array" aca="1" ref="P1766" ca="1">INDIRECT("Data!J" &amp; 1761)</f>
        <v>0</v>
      </c>
      <c r="Q1766" cm="1">
        <f t="array" aca="1" ref="Q1766" ca="1">INDIRECT("Data!K" &amp; 1761)</f>
        <v>0</v>
      </c>
      <c r="R1766" cm="1">
        <f t="array" aca="1" ref="R1766" ca="1">INDIRECT("Data!L" &amp; 1761)</f>
        <v>0</v>
      </c>
      <c r="S1766" cm="1">
        <f t="array" aca="1" ref="S1766" ca="1">INDIRECT("Data!M" &amp; 1761)</f>
        <v>0</v>
      </c>
      <c r="T1766" cm="1">
        <f t="array" aca="1" ref="T1766" ca="1">INDIRECT("Data!N" &amp; 1761)</f>
        <v>0</v>
      </c>
      <c r="U1766" cm="1">
        <f t="array" aca="1" ref="U1766" ca="1">INDIRECT("Data!O" &amp; 1761)</f>
        <v>0</v>
      </c>
      <c r="V1766" cm="1">
        <f t="array" aca="1" ref="V1766" ca="1">INDIRECT("Data!P" &amp; 1761)</f>
        <v>0</v>
      </c>
    </row>
    <row r="1767" spans="7:22" x14ac:dyDescent="0.25">
      <c r="G1767" cm="1">
        <f t="array" aca="1" ref="G1767" ca="1">INDIRECT("Data!A" &amp; 1762)</f>
        <v>0</v>
      </c>
      <c r="H1767" s="21" cm="1">
        <f t="array" aca="1" ref="H1767" ca="1">INDIRECT("Data!B" &amp; 1762)</f>
        <v>0</v>
      </c>
      <c r="I1767" s="21" cm="1">
        <f t="array" aca="1" ref="I1767" ca="1">INDIRECT("Data!C" &amp; 1762)</f>
        <v>0</v>
      </c>
      <c r="J1767" cm="1">
        <f t="array" aca="1" ref="J1767" ca="1">INDIRECT("Data!D" &amp; 1762)</f>
        <v>0</v>
      </c>
      <c r="K1767" cm="1">
        <f t="array" aca="1" ref="K1767" ca="1">INDIRECT("Data!E" &amp; 1762)</f>
        <v>0</v>
      </c>
      <c r="L1767" cm="1">
        <f t="array" aca="1" ref="L1767" ca="1">INDIRECT("Data!F" &amp; 1762)</f>
        <v>0</v>
      </c>
      <c r="M1767" cm="1">
        <f t="array" aca="1" ref="M1767" ca="1">INDIRECT("Data!G" &amp; 1762)</f>
        <v>0</v>
      </c>
      <c r="N1767" cm="1">
        <f t="array" aca="1" ref="N1767" ca="1">INDIRECT("Data!H" &amp; 1762)</f>
        <v>0</v>
      </c>
      <c r="O1767" cm="1">
        <f t="array" aca="1" ref="O1767" ca="1">INDIRECT("Data!I" &amp; 1762)</f>
        <v>0</v>
      </c>
      <c r="P1767" s="21" cm="1">
        <f t="array" aca="1" ref="P1767" ca="1">INDIRECT("Data!J" &amp; 1762)</f>
        <v>0</v>
      </c>
      <c r="Q1767" cm="1">
        <f t="array" aca="1" ref="Q1767" ca="1">INDIRECT("Data!K" &amp; 1762)</f>
        <v>0</v>
      </c>
      <c r="R1767" cm="1">
        <f t="array" aca="1" ref="R1767" ca="1">INDIRECT("Data!L" &amp; 1762)</f>
        <v>0</v>
      </c>
      <c r="S1767" cm="1">
        <f t="array" aca="1" ref="S1767" ca="1">INDIRECT("Data!M" &amp; 1762)</f>
        <v>0</v>
      </c>
      <c r="T1767" cm="1">
        <f t="array" aca="1" ref="T1767" ca="1">INDIRECT("Data!N" &amp; 1762)</f>
        <v>0</v>
      </c>
      <c r="U1767" cm="1">
        <f t="array" aca="1" ref="U1767" ca="1">INDIRECT("Data!O" &amp; 1762)</f>
        <v>0</v>
      </c>
      <c r="V1767" cm="1">
        <f t="array" aca="1" ref="V1767" ca="1">INDIRECT("Data!P" &amp; 1762)</f>
        <v>0</v>
      </c>
    </row>
    <row r="1768" spans="7:22" x14ac:dyDescent="0.25">
      <c r="G1768" cm="1">
        <f t="array" aca="1" ref="G1768" ca="1">INDIRECT("Data!A" &amp; 1763)</f>
        <v>0</v>
      </c>
      <c r="H1768" s="21" cm="1">
        <f t="array" aca="1" ref="H1768" ca="1">INDIRECT("Data!B" &amp; 1763)</f>
        <v>0</v>
      </c>
      <c r="I1768" s="21" cm="1">
        <f t="array" aca="1" ref="I1768" ca="1">INDIRECT("Data!C" &amp; 1763)</f>
        <v>0</v>
      </c>
      <c r="J1768" cm="1">
        <f t="array" aca="1" ref="J1768" ca="1">INDIRECT("Data!D" &amp; 1763)</f>
        <v>0</v>
      </c>
      <c r="K1768" cm="1">
        <f t="array" aca="1" ref="K1768" ca="1">INDIRECT("Data!E" &amp; 1763)</f>
        <v>0</v>
      </c>
      <c r="L1768" cm="1">
        <f t="array" aca="1" ref="L1768" ca="1">INDIRECT("Data!F" &amp; 1763)</f>
        <v>0</v>
      </c>
      <c r="M1768" cm="1">
        <f t="array" aca="1" ref="M1768" ca="1">INDIRECT("Data!G" &amp; 1763)</f>
        <v>0</v>
      </c>
      <c r="N1768" cm="1">
        <f t="array" aca="1" ref="N1768" ca="1">INDIRECT("Data!H" &amp; 1763)</f>
        <v>0</v>
      </c>
      <c r="O1768" cm="1">
        <f t="array" aca="1" ref="O1768" ca="1">INDIRECT("Data!I" &amp; 1763)</f>
        <v>0</v>
      </c>
      <c r="P1768" s="21" cm="1">
        <f t="array" aca="1" ref="P1768" ca="1">INDIRECT("Data!J" &amp; 1763)</f>
        <v>0</v>
      </c>
      <c r="Q1768" cm="1">
        <f t="array" aca="1" ref="Q1768" ca="1">INDIRECT("Data!K" &amp; 1763)</f>
        <v>0</v>
      </c>
      <c r="R1768" cm="1">
        <f t="array" aca="1" ref="R1768" ca="1">INDIRECT("Data!L" &amp; 1763)</f>
        <v>0</v>
      </c>
      <c r="S1768" cm="1">
        <f t="array" aca="1" ref="S1768" ca="1">INDIRECT("Data!M" &amp; 1763)</f>
        <v>0</v>
      </c>
      <c r="T1768" cm="1">
        <f t="array" aca="1" ref="T1768" ca="1">INDIRECT("Data!N" &amp; 1763)</f>
        <v>0</v>
      </c>
      <c r="U1768" cm="1">
        <f t="array" aca="1" ref="U1768" ca="1">INDIRECT("Data!O" &amp; 1763)</f>
        <v>0</v>
      </c>
      <c r="V1768" cm="1">
        <f t="array" aca="1" ref="V1768" ca="1">INDIRECT("Data!P" &amp; 1763)</f>
        <v>0</v>
      </c>
    </row>
    <row r="1769" spans="7:22" x14ac:dyDescent="0.25">
      <c r="G1769" cm="1">
        <f t="array" aca="1" ref="G1769" ca="1">INDIRECT("Data!A" &amp; 1764)</f>
        <v>0</v>
      </c>
      <c r="H1769" s="21" cm="1">
        <f t="array" aca="1" ref="H1769" ca="1">INDIRECT("Data!B" &amp; 1764)</f>
        <v>0</v>
      </c>
      <c r="I1769" s="21" cm="1">
        <f t="array" aca="1" ref="I1769" ca="1">INDIRECT("Data!C" &amp; 1764)</f>
        <v>0</v>
      </c>
      <c r="J1769" cm="1">
        <f t="array" aca="1" ref="J1769" ca="1">INDIRECT("Data!D" &amp; 1764)</f>
        <v>0</v>
      </c>
      <c r="K1769" cm="1">
        <f t="array" aca="1" ref="K1769" ca="1">INDIRECT("Data!E" &amp; 1764)</f>
        <v>0</v>
      </c>
      <c r="L1769" cm="1">
        <f t="array" aca="1" ref="L1769" ca="1">INDIRECT("Data!F" &amp; 1764)</f>
        <v>0</v>
      </c>
      <c r="M1769" cm="1">
        <f t="array" aca="1" ref="M1769" ca="1">INDIRECT("Data!G" &amp; 1764)</f>
        <v>0</v>
      </c>
      <c r="N1769" cm="1">
        <f t="array" aca="1" ref="N1769" ca="1">INDIRECT("Data!H" &amp; 1764)</f>
        <v>0</v>
      </c>
      <c r="O1769" cm="1">
        <f t="array" aca="1" ref="O1769" ca="1">INDIRECT("Data!I" &amp; 1764)</f>
        <v>0</v>
      </c>
      <c r="P1769" s="21" cm="1">
        <f t="array" aca="1" ref="P1769" ca="1">INDIRECT("Data!J" &amp; 1764)</f>
        <v>0</v>
      </c>
      <c r="Q1769" cm="1">
        <f t="array" aca="1" ref="Q1769" ca="1">INDIRECT("Data!K" &amp; 1764)</f>
        <v>0</v>
      </c>
      <c r="R1769" cm="1">
        <f t="array" aca="1" ref="R1769" ca="1">INDIRECT("Data!L" &amp; 1764)</f>
        <v>0</v>
      </c>
      <c r="S1769" cm="1">
        <f t="array" aca="1" ref="S1769" ca="1">INDIRECT("Data!M" &amp; 1764)</f>
        <v>0</v>
      </c>
      <c r="T1769" cm="1">
        <f t="array" aca="1" ref="T1769" ca="1">INDIRECT("Data!N" &amp; 1764)</f>
        <v>0</v>
      </c>
      <c r="U1769" cm="1">
        <f t="array" aca="1" ref="U1769" ca="1">INDIRECT("Data!O" &amp; 1764)</f>
        <v>0</v>
      </c>
      <c r="V1769" cm="1">
        <f t="array" aca="1" ref="V1769" ca="1">INDIRECT("Data!P" &amp; 1764)</f>
        <v>0</v>
      </c>
    </row>
    <row r="1770" spans="7:22" x14ac:dyDescent="0.25">
      <c r="G1770" cm="1">
        <f t="array" aca="1" ref="G1770" ca="1">INDIRECT("Data!A" &amp; 1765)</f>
        <v>0</v>
      </c>
      <c r="H1770" s="21" cm="1">
        <f t="array" aca="1" ref="H1770" ca="1">INDIRECT("Data!B" &amp; 1765)</f>
        <v>0</v>
      </c>
      <c r="I1770" s="21" cm="1">
        <f t="array" aca="1" ref="I1770" ca="1">INDIRECT("Data!C" &amp; 1765)</f>
        <v>0</v>
      </c>
      <c r="J1770" cm="1">
        <f t="array" aca="1" ref="J1770" ca="1">INDIRECT("Data!D" &amp; 1765)</f>
        <v>0</v>
      </c>
      <c r="K1770" cm="1">
        <f t="array" aca="1" ref="K1770" ca="1">INDIRECT("Data!E" &amp; 1765)</f>
        <v>0</v>
      </c>
      <c r="L1770" cm="1">
        <f t="array" aca="1" ref="L1770" ca="1">INDIRECT("Data!F" &amp; 1765)</f>
        <v>0</v>
      </c>
      <c r="M1770" cm="1">
        <f t="array" aca="1" ref="M1770" ca="1">INDIRECT("Data!G" &amp; 1765)</f>
        <v>0</v>
      </c>
      <c r="N1770" cm="1">
        <f t="array" aca="1" ref="N1770" ca="1">INDIRECT("Data!H" &amp; 1765)</f>
        <v>0</v>
      </c>
      <c r="O1770" cm="1">
        <f t="array" aca="1" ref="O1770" ca="1">INDIRECT("Data!I" &amp; 1765)</f>
        <v>0</v>
      </c>
      <c r="P1770" s="21" cm="1">
        <f t="array" aca="1" ref="P1770" ca="1">INDIRECT("Data!J" &amp; 1765)</f>
        <v>0</v>
      </c>
      <c r="Q1770" cm="1">
        <f t="array" aca="1" ref="Q1770" ca="1">INDIRECT("Data!K" &amp; 1765)</f>
        <v>0</v>
      </c>
      <c r="R1770" cm="1">
        <f t="array" aca="1" ref="R1770" ca="1">INDIRECT("Data!L" &amp; 1765)</f>
        <v>0</v>
      </c>
      <c r="S1770" cm="1">
        <f t="array" aca="1" ref="S1770" ca="1">INDIRECT("Data!M" &amp; 1765)</f>
        <v>0</v>
      </c>
      <c r="T1770" cm="1">
        <f t="array" aca="1" ref="T1770" ca="1">INDIRECT("Data!N" &amp; 1765)</f>
        <v>0</v>
      </c>
      <c r="U1770" cm="1">
        <f t="array" aca="1" ref="U1770" ca="1">INDIRECT("Data!O" &amp; 1765)</f>
        <v>0</v>
      </c>
      <c r="V1770" cm="1">
        <f t="array" aca="1" ref="V1770" ca="1">INDIRECT("Data!P" &amp; 1765)</f>
        <v>0</v>
      </c>
    </row>
    <row r="1771" spans="7:22" x14ac:dyDescent="0.25">
      <c r="G1771" cm="1">
        <f t="array" aca="1" ref="G1771" ca="1">INDIRECT("Data!A" &amp; 1766)</f>
        <v>0</v>
      </c>
      <c r="H1771" s="21" cm="1">
        <f t="array" aca="1" ref="H1771" ca="1">INDIRECT("Data!B" &amp; 1766)</f>
        <v>0</v>
      </c>
      <c r="I1771" s="21" cm="1">
        <f t="array" aca="1" ref="I1771" ca="1">INDIRECT("Data!C" &amp; 1766)</f>
        <v>0</v>
      </c>
      <c r="J1771" cm="1">
        <f t="array" aca="1" ref="J1771" ca="1">INDIRECT("Data!D" &amp; 1766)</f>
        <v>0</v>
      </c>
      <c r="K1771" cm="1">
        <f t="array" aca="1" ref="K1771" ca="1">INDIRECT("Data!E" &amp; 1766)</f>
        <v>0</v>
      </c>
      <c r="L1771" cm="1">
        <f t="array" aca="1" ref="L1771" ca="1">INDIRECT("Data!F" &amp; 1766)</f>
        <v>0</v>
      </c>
      <c r="M1771" cm="1">
        <f t="array" aca="1" ref="M1771" ca="1">INDIRECT("Data!G" &amp; 1766)</f>
        <v>0</v>
      </c>
      <c r="N1771" cm="1">
        <f t="array" aca="1" ref="N1771" ca="1">INDIRECT("Data!H" &amp; 1766)</f>
        <v>0</v>
      </c>
      <c r="O1771" cm="1">
        <f t="array" aca="1" ref="O1771" ca="1">INDIRECT("Data!I" &amp; 1766)</f>
        <v>0</v>
      </c>
      <c r="P1771" s="21" cm="1">
        <f t="array" aca="1" ref="P1771" ca="1">INDIRECT("Data!J" &amp; 1766)</f>
        <v>0</v>
      </c>
      <c r="Q1771" cm="1">
        <f t="array" aca="1" ref="Q1771" ca="1">INDIRECT("Data!K" &amp; 1766)</f>
        <v>0</v>
      </c>
      <c r="R1771" cm="1">
        <f t="array" aca="1" ref="R1771" ca="1">INDIRECT("Data!L" &amp; 1766)</f>
        <v>0</v>
      </c>
      <c r="S1771" cm="1">
        <f t="array" aca="1" ref="S1771" ca="1">INDIRECT("Data!M" &amp; 1766)</f>
        <v>0</v>
      </c>
      <c r="T1771" cm="1">
        <f t="array" aca="1" ref="T1771" ca="1">INDIRECT("Data!N" &amp; 1766)</f>
        <v>0</v>
      </c>
      <c r="U1771" cm="1">
        <f t="array" aca="1" ref="U1771" ca="1">INDIRECT("Data!O" &amp; 1766)</f>
        <v>0</v>
      </c>
      <c r="V1771" cm="1">
        <f t="array" aca="1" ref="V1771" ca="1">INDIRECT("Data!P" &amp; 1766)</f>
        <v>0</v>
      </c>
    </row>
    <row r="1772" spans="7:22" x14ac:dyDescent="0.25">
      <c r="G1772" cm="1">
        <f t="array" aca="1" ref="G1772" ca="1">INDIRECT("Data!A" &amp; 1767)</f>
        <v>0</v>
      </c>
      <c r="H1772" s="21" cm="1">
        <f t="array" aca="1" ref="H1772" ca="1">INDIRECT("Data!B" &amp; 1767)</f>
        <v>0</v>
      </c>
      <c r="I1772" s="21" cm="1">
        <f t="array" aca="1" ref="I1772" ca="1">INDIRECT("Data!C" &amp; 1767)</f>
        <v>0</v>
      </c>
      <c r="J1772" cm="1">
        <f t="array" aca="1" ref="J1772" ca="1">INDIRECT("Data!D" &amp; 1767)</f>
        <v>0</v>
      </c>
      <c r="K1772" cm="1">
        <f t="array" aca="1" ref="K1772" ca="1">INDIRECT("Data!E" &amp; 1767)</f>
        <v>0</v>
      </c>
      <c r="L1772" cm="1">
        <f t="array" aca="1" ref="L1772" ca="1">INDIRECT("Data!F" &amp; 1767)</f>
        <v>0</v>
      </c>
      <c r="M1772" cm="1">
        <f t="array" aca="1" ref="M1772" ca="1">INDIRECT("Data!G" &amp; 1767)</f>
        <v>0</v>
      </c>
      <c r="N1772" cm="1">
        <f t="array" aca="1" ref="N1772" ca="1">INDIRECT("Data!H" &amp; 1767)</f>
        <v>0</v>
      </c>
      <c r="O1772" cm="1">
        <f t="array" aca="1" ref="O1772" ca="1">INDIRECT("Data!I" &amp; 1767)</f>
        <v>0</v>
      </c>
      <c r="P1772" s="21" cm="1">
        <f t="array" aca="1" ref="P1772" ca="1">INDIRECT("Data!J" &amp; 1767)</f>
        <v>0</v>
      </c>
      <c r="Q1772" cm="1">
        <f t="array" aca="1" ref="Q1772" ca="1">INDIRECT("Data!K" &amp; 1767)</f>
        <v>0</v>
      </c>
      <c r="R1772" cm="1">
        <f t="array" aca="1" ref="R1772" ca="1">INDIRECT("Data!L" &amp; 1767)</f>
        <v>0</v>
      </c>
      <c r="S1772" cm="1">
        <f t="array" aca="1" ref="S1772" ca="1">INDIRECT("Data!M" &amp; 1767)</f>
        <v>0</v>
      </c>
      <c r="T1772" cm="1">
        <f t="array" aca="1" ref="T1772" ca="1">INDIRECT("Data!N" &amp; 1767)</f>
        <v>0</v>
      </c>
      <c r="U1772" cm="1">
        <f t="array" aca="1" ref="U1772" ca="1">INDIRECT("Data!O" &amp; 1767)</f>
        <v>0</v>
      </c>
      <c r="V1772" cm="1">
        <f t="array" aca="1" ref="V1772" ca="1">INDIRECT("Data!P" &amp; 1767)</f>
        <v>0</v>
      </c>
    </row>
    <row r="1773" spans="7:22" x14ac:dyDescent="0.25">
      <c r="G1773" cm="1">
        <f t="array" aca="1" ref="G1773" ca="1">INDIRECT("Data!A" &amp; 1768)</f>
        <v>0</v>
      </c>
      <c r="H1773" s="21" cm="1">
        <f t="array" aca="1" ref="H1773" ca="1">INDIRECT("Data!B" &amp; 1768)</f>
        <v>0</v>
      </c>
      <c r="I1773" s="21" cm="1">
        <f t="array" aca="1" ref="I1773" ca="1">INDIRECT("Data!C" &amp; 1768)</f>
        <v>0</v>
      </c>
      <c r="J1773" cm="1">
        <f t="array" aca="1" ref="J1773" ca="1">INDIRECT("Data!D" &amp; 1768)</f>
        <v>0</v>
      </c>
      <c r="K1773" cm="1">
        <f t="array" aca="1" ref="K1773" ca="1">INDIRECT("Data!E" &amp; 1768)</f>
        <v>0</v>
      </c>
      <c r="L1773" cm="1">
        <f t="array" aca="1" ref="L1773" ca="1">INDIRECT("Data!F" &amp; 1768)</f>
        <v>0</v>
      </c>
      <c r="M1773" cm="1">
        <f t="array" aca="1" ref="M1773" ca="1">INDIRECT("Data!G" &amp; 1768)</f>
        <v>0</v>
      </c>
      <c r="N1773" cm="1">
        <f t="array" aca="1" ref="N1773" ca="1">INDIRECT("Data!H" &amp; 1768)</f>
        <v>0</v>
      </c>
      <c r="O1773" cm="1">
        <f t="array" aca="1" ref="O1773" ca="1">INDIRECT("Data!I" &amp; 1768)</f>
        <v>0</v>
      </c>
      <c r="P1773" s="21" cm="1">
        <f t="array" aca="1" ref="P1773" ca="1">INDIRECT("Data!J" &amp; 1768)</f>
        <v>0</v>
      </c>
      <c r="Q1773" cm="1">
        <f t="array" aca="1" ref="Q1773" ca="1">INDIRECT("Data!K" &amp; 1768)</f>
        <v>0</v>
      </c>
      <c r="R1773" cm="1">
        <f t="array" aca="1" ref="R1773" ca="1">INDIRECT("Data!L" &amp; 1768)</f>
        <v>0</v>
      </c>
      <c r="S1773" cm="1">
        <f t="array" aca="1" ref="S1773" ca="1">INDIRECT("Data!M" &amp; 1768)</f>
        <v>0</v>
      </c>
      <c r="T1773" cm="1">
        <f t="array" aca="1" ref="T1773" ca="1">INDIRECT("Data!N" &amp; 1768)</f>
        <v>0</v>
      </c>
      <c r="U1773" cm="1">
        <f t="array" aca="1" ref="U1773" ca="1">INDIRECT("Data!O" &amp; 1768)</f>
        <v>0</v>
      </c>
      <c r="V1773" cm="1">
        <f t="array" aca="1" ref="V1773" ca="1">INDIRECT("Data!P" &amp; 1768)</f>
        <v>0</v>
      </c>
    </row>
    <row r="1774" spans="7:22" x14ac:dyDescent="0.25">
      <c r="G1774" cm="1">
        <f t="array" aca="1" ref="G1774" ca="1">INDIRECT("Data!A" &amp; 1769)</f>
        <v>0</v>
      </c>
      <c r="H1774" s="21" cm="1">
        <f t="array" aca="1" ref="H1774" ca="1">INDIRECT("Data!B" &amp; 1769)</f>
        <v>0</v>
      </c>
      <c r="I1774" s="21" cm="1">
        <f t="array" aca="1" ref="I1774" ca="1">INDIRECT("Data!C" &amp; 1769)</f>
        <v>0</v>
      </c>
      <c r="J1774" cm="1">
        <f t="array" aca="1" ref="J1774" ca="1">INDIRECT("Data!D" &amp; 1769)</f>
        <v>0</v>
      </c>
      <c r="K1774" cm="1">
        <f t="array" aca="1" ref="K1774" ca="1">INDIRECT("Data!E" &amp; 1769)</f>
        <v>0</v>
      </c>
      <c r="L1774" cm="1">
        <f t="array" aca="1" ref="L1774" ca="1">INDIRECT("Data!F" &amp; 1769)</f>
        <v>0</v>
      </c>
      <c r="M1774" cm="1">
        <f t="array" aca="1" ref="M1774" ca="1">INDIRECT("Data!G" &amp; 1769)</f>
        <v>0</v>
      </c>
      <c r="N1774" cm="1">
        <f t="array" aca="1" ref="N1774" ca="1">INDIRECT("Data!H" &amp; 1769)</f>
        <v>0</v>
      </c>
      <c r="O1774" cm="1">
        <f t="array" aca="1" ref="O1774" ca="1">INDIRECT("Data!I" &amp; 1769)</f>
        <v>0</v>
      </c>
      <c r="P1774" s="21" cm="1">
        <f t="array" aca="1" ref="P1774" ca="1">INDIRECT("Data!J" &amp; 1769)</f>
        <v>0</v>
      </c>
      <c r="Q1774" cm="1">
        <f t="array" aca="1" ref="Q1774" ca="1">INDIRECT("Data!K" &amp; 1769)</f>
        <v>0</v>
      </c>
      <c r="R1774" cm="1">
        <f t="array" aca="1" ref="R1774" ca="1">INDIRECT("Data!L" &amp; 1769)</f>
        <v>0</v>
      </c>
      <c r="S1774" cm="1">
        <f t="array" aca="1" ref="S1774" ca="1">INDIRECT("Data!M" &amp; 1769)</f>
        <v>0</v>
      </c>
      <c r="T1774" cm="1">
        <f t="array" aca="1" ref="T1774" ca="1">INDIRECT("Data!N" &amp; 1769)</f>
        <v>0</v>
      </c>
      <c r="U1774" cm="1">
        <f t="array" aca="1" ref="U1774" ca="1">INDIRECT("Data!O" &amp; 1769)</f>
        <v>0</v>
      </c>
      <c r="V1774" cm="1">
        <f t="array" aca="1" ref="V1774" ca="1">INDIRECT("Data!P" &amp; 1769)</f>
        <v>0</v>
      </c>
    </row>
    <row r="1775" spans="7:22" x14ac:dyDescent="0.25">
      <c r="G1775" cm="1">
        <f t="array" aca="1" ref="G1775" ca="1">INDIRECT("Data!A" &amp; 1770)</f>
        <v>0</v>
      </c>
      <c r="H1775" s="21" cm="1">
        <f t="array" aca="1" ref="H1775" ca="1">INDIRECT("Data!B" &amp; 1770)</f>
        <v>0</v>
      </c>
      <c r="I1775" s="21" cm="1">
        <f t="array" aca="1" ref="I1775" ca="1">INDIRECT("Data!C" &amp; 1770)</f>
        <v>0</v>
      </c>
      <c r="J1775" cm="1">
        <f t="array" aca="1" ref="J1775" ca="1">INDIRECT("Data!D" &amp; 1770)</f>
        <v>0</v>
      </c>
      <c r="K1775" cm="1">
        <f t="array" aca="1" ref="K1775" ca="1">INDIRECT("Data!E" &amp; 1770)</f>
        <v>0</v>
      </c>
      <c r="L1775" cm="1">
        <f t="array" aca="1" ref="L1775" ca="1">INDIRECT("Data!F" &amp; 1770)</f>
        <v>0</v>
      </c>
      <c r="M1775" cm="1">
        <f t="array" aca="1" ref="M1775" ca="1">INDIRECT("Data!G" &amp; 1770)</f>
        <v>0</v>
      </c>
      <c r="N1775" cm="1">
        <f t="array" aca="1" ref="N1775" ca="1">INDIRECT("Data!H" &amp; 1770)</f>
        <v>0</v>
      </c>
      <c r="O1775" cm="1">
        <f t="array" aca="1" ref="O1775" ca="1">INDIRECT("Data!I" &amp; 1770)</f>
        <v>0</v>
      </c>
      <c r="P1775" s="21" cm="1">
        <f t="array" aca="1" ref="P1775" ca="1">INDIRECT("Data!J" &amp; 1770)</f>
        <v>0</v>
      </c>
      <c r="Q1775" cm="1">
        <f t="array" aca="1" ref="Q1775" ca="1">INDIRECT("Data!K" &amp; 1770)</f>
        <v>0</v>
      </c>
      <c r="R1775" cm="1">
        <f t="array" aca="1" ref="R1775" ca="1">INDIRECT("Data!L" &amp; 1770)</f>
        <v>0</v>
      </c>
      <c r="S1775" cm="1">
        <f t="array" aca="1" ref="S1775" ca="1">INDIRECT("Data!M" &amp; 1770)</f>
        <v>0</v>
      </c>
      <c r="T1775" cm="1">
        <f t="array" aca="1" ref="T1775" ca="1">INDIRECT("Data!N" &amp; 1770)</f>
        <v>0</v>
      </c>
      <c r="U1775" cm="1">
        <f t="array" aca="1" ref="U1775" ca="1">INDIRECT("Data!O" &amp; 1770)</f>
        <v>0</v>
      </c>
      <c r="V1775" cm="1">
        <f t="array" aca="1" ref="V1775" ca="1">INDIRECT("Data!P" &amp; 1770)</f>
        <v>0</v>
      </c>
    </row>
    <row r="1776" spans="7:22" x14ac:dyDescent="0.25">
      <c r="G1776" cm="1">
        <f t="array" aca="1" ref="G1776" ca="1">INDIRECT("Data!A" &amp; 1771)</f>
        <v>0</v>
      </c>
      <c r="H1776" s="21" cm="1">
        <f t="array" aca="1" ref="H1776" ca="1">INDIRECT("Data!B" &amp; 1771)</f>
        <v>0</v>
      </c>
      <c r="I1776" s="21" cm="1">
        <f t="array" aca="1" ref="I1776" ca="1">INDIRECT("Data!C" &amp; 1771)</f>
        <v>0</v>
      </c>
      <c r="J1776" cm="1">
        <f t="array" aca="1" ref="J1776" ca="1">INDIRECT("Data!D" &amp; 1771)</f>
        <v>0</v>
      </c>
      <c r="K1776" cm="1">
        <f t="array" aca="1" ref="K1776" ca="1">INDIRECT("Data!E" &amp; 1771)</f>
        <v>0</v>
      </c>
      <c r="L1776" cm="1">
        <f t="array" aca="1" ref="L1776" ca="1">INDIRECT("Data!F" &amp; 1771)</f>
        <v>0</v>
      </c>
      <c r="M1776" cm="1">
        <f t="array" aca="1" ref="M1776" ca="1">INDIRECT("Data!G" &amp; 1771)</f>
        <v>0</v>
      </c>
      <c r="N1776" cm="1">
        <f t="array" aca="1" ref="N1776" ca="1">INDIRECT("Data!H" &amp; 1771)</f>
        <v>0</v>
      </c>
      <c r="O1776" cm="1">
        <f t="array" aca="1" ref="O1776" ca="1">INDIRECT("Data!I" &amp; 1771)</f>
        <v>0</v>
      </c>
      <c r="P1776" s="21" cm="1">
        <f t="array" aca="1" ref="P1776" ca="1">INDIRECT("Data!J" &amp; 1771)</f>
        <v>0</v>
      </c>
      <c r="Q1776" cm="1">
        <f t="array" aca="1" ref="Q1776" ca="1">INDIRECT("Data!K" &amp; 1771)</f>
        <v>0</v>
      </c>
      <c r="R1776" cm="1">
        <f t="array" aca="1" ref="R1776" ca="1">INDIRECT("Data!L" &amp; 1771)</f>
        <v>0</v>
      </c>
      <c r="S1776" cm="1">
        <f t="array" aca="1" ref="S1776" ca="1">INDIRECT("Data!M" &amp; 1771)</f>
        <v>0</v>
      </c>
      <c r="T1776" cm="1">
        <f t="array" aca="1" ref="T1776" ca="1">INDIRECT("Data!N" &amp; 1771)</f>
        <v>0</v>
      </c>
      <c r="U1776" cm="1">
        <f t="array" aca="1" ref="U1776" ca="1">INDIRECT("Data!O" &amp; 1771)</f>
        <v>0</v>
      </c>
      <c r="V1776" cm="1">
        <f t="array" aca="1" ref="V1776" ca="1">INDIRECT("Data!P" &amp; 1771)</f>
        <v>0</v>
      </c>
    </row>
    <row r="1777" spans="7:22" x14ac:dyDescent="0.25">
      <c r="G1777" cm="1">
        <f t="array" aca="1" ref="G1777" ca="1">INDIRECT("Data!A" &amp; 1772)</f>
        <v>0</v>
      </c>
      <c r="H1777" s="21" cm="1">
        <f t="array" aca="1" ref="H1777" ca="1">INDIRECT("Data!B" &amp; 1772)</f>
        <v>0</v>
      </c>
      <c r="I1777" s="21" cm="1">
        <f t="array" aca="1" ref="I1777" ca="1">INDIRECT("Data!C" &amp; 1772)</f>
        <v>0</v>
      </c>
      <c r="J1777" cm="1">
        <f t="array" aca="1" ref="J1777" ca="1">INDIRECT("Data!D" &amp; 1772)</f>
        <v>0</v>
      </c>
      <c r="K1777" cm="1">
        <f t="array" aca="1" ref="K1777" ca="1">INDIRECT("Data!E" &amp; 1772)</f>
        <v>0</v>
      </c>
      <c r="L1777" cm="1">
        <f t="array" aca="1" ref="L1777" ca="1">INDIRECT("Data!F" &amp; 1772)</f>
        <v>0</v>
      </c>
      <c r="M1777" cm="1">
        <f t="array" aca="1" ref="M1777" ca="1">INDIRECT("Data!G" &amp; 1772)</f>
        <v>0</v>
      </c>
      <c r="N1777" cm="1">
        <f t="array" aca="1" ref="N1777" ca="1">INDIRECT("Data!H" &amp; 1772)</f>
        <v>0</v>
      </c>
      <c r="O1777" cm="1">
        <f t="array" aca="1" ref="O1777" ca="1">INDIRECT("Data!I" &amp; 1772)</f>
        <v>0</v>
      </c>
      <c r="P1777" s="21" cm="1">
        <f t="array" aca="1" ref="P1777" ca="1">INDIRECT("Data!J" &amp; 1772)</f>
        <v>0</v>
      </c>
      <c r="Q1777" cm="1">
        <f t="array" aca="1" ref="Q1777" ca="1">INDIRECT("Data!K" &amp; 1772)</f>
        <v>0</v>
      </c>
      <c r="R1777" cm="1">
        <f t="array" aca="1" ref="R1777" ca="1">INDIRECT("Data!L" &amp; 1772)</f>
        <v>0</v>
      </c>
      <c r="S1777" cm="1">
        <f t="array" aca="1" ref="S1777" ca="1">INDIRECT("Data!M" &amp; 1772)</f>
        <v>0</v>
      </c>
      <c r="T1777" cm="1">
        <f t="array" aca="1" ref="T1777" ca="1">INDIRECT("Data!N" &amp; 1772)</f>
        <v>0</v>
      </c>
      <c r="U1777" cm="1">
        <f t="array" aca="1" ref="U1777" ca="1">INDIRECT("Data!O" &amp; 1772)</f>
        <v>0</v>
      </c>
      <c r="V1777" cm="1">
        <f t="array" aca="1" ref="V1777" ca="1">INDIRECT("Data!P" &amp; 1772)</f>
        <v>0</v>
      </c>
    </row>
    <row r="1778" spans="7:22" x14ac:dyDescent="0.25">
      <c r="G1778" cm="1">
        <f t="array" aca="1" ref="G1778" ca="1">INDIRECT("Data!A" &amp; 1773)</f>
        <v>0</v>
      </c>
      <c r="H1778" s="21" cm="1">
        <f t="array" aca="1" ref="H1778" ca="1">INDIRECT("Data!B" &amp; 1773)</f>
        <v>0</v>
      </c>
      <c r="I1778" s="21" cm="1">
        <f t="array" aca="1" ref="I1778" ca="1">INDIRECT("Data!C" &amp; 1773)</f>
        <v>0</v>
      </c>
      <c r="J1778" cm="1">
        <f t="array" aca="1" ref="J1778" ca="1">INDIRECT("Data!D" &amp; 1773)</f>
        <v>0</v>
      </c>
      <c r="K1778" cm="1">
        <f t="array" aca="1" ref="K1778" ca="1">INDIRECT("Data!E" &amp; 1773)</f>
        <v>0</v>
      </c>
      <c r="L1778" cm="1">
        <f t="array" aca="1" ref="L1778" ca="1">INDIRECT("Data!F" &amp; 1773)</f>
        <v>0</v>
      </c>
      <c r="M1778" cm="1">
        <f t="array" aca="1" ref="M1778" ca="1">INDIRECT("Data!G" &amp; 1773)</f>
        <v>0</v>
      </c>
      <c r="N1778" cm="1">
        <f t="array" aca="1" ref="N1778" ca="1">INDIRECT("Data!H" &amp; 1773)</f>
        <v>0</v>
      </c>
      <c r="O1778" cm="1">
        <f t="array" aca="1" ref="O1778" ca="1">INDIRECT("Data!I" &amp; 1773)</f>
        <v>0</v>
      </c>
      <c r="P1778" s="21" cm="1">
        <f t="array" aca="1" ref="P1778" ca="1">INDIRECT("Data!J" &amp; 1773)</f>
        <v>0</v>
      </c>
      <c r="Q1778" cm="1">
        <f t="array" aca="1" ref="Q1778" ca="1">INDIRECT("Data!K" &amp; 1773)</f>
        <v>0</v>
      </c>
      <c r="R1778" cm="1">
        <f t="array" aca="1" ref="R1778" ca="1">INDIRECT("Data!L" &amp; 1773)</f>
        <v>0</v>
      </c>
      <c r="S1778" cm="1">
        <f t="array" aca="1" ref="S1778" ca="1">INDIRECT("Data!M" &amp; 1773)</f>
        <v>0</v>
      </c>
      <c r="T1778" cm="1">
        <f t="array" aca="1" ref="T1778" ca="1">INDIRECT("Data!N" &amp; 1773)</f>
        <v>0</v>
      </c>
      <c r="U1778" cm="1">
        <f t="array" aca="1" ref="U1778" ca="1">INDIRECT("Data!O" &amp; 1773)</f>
        <v>0</v>
      </c>
      <c r="V1778" cm="1">
        <f t="array" aca="1" ref="V1778" ca="1">INDIRECT("Data!P" &amp; 1773)</f>
        <v>0</v>
      </c>
    </row>
    <row r="1779" spans="7:22" x14ac:dyDescent="0.25">
      <c r="G1779" cm="1">
        <f t="array" aca="1" ref="G1779" ca="1">INDIRECT("Data!A" &amp; 1774)</f>
        <v>0</v>
      </c>
      <c r="H1779" s="21" cm="1">
        <f t="array" aca="1" ref="H1779" ca="1">INDIRECT("Data!B" &amp; 1774)</f>
        <v>0</v>
      </c>
      <c r="I1779" s="21" cm="1">
        <f t="array" aca="1" ref="I1779" ca="1">INDIRECT("Data!C" &amp; 1774)</f>
        <v>0</v>
      </c>
      <c r="J1779" cm="1">
        <f t="array" aca="1" ref="J1779" ca="1">INDIRECT("Data!D" &amp; 1774)</f>
        <v>0</v>
      </c>
      <c r="K1779" cm="1">
        <f t="array" aca="1" ref="K1779" ca="1">INDIRECT("Data!E" &amp; 1774)</f>
        <v>0</v>
      </c>
      <c r="L1779" cm="1">
        <f t="array" aca="1" ref="L1779" ca="1">INDIRECT("Data!F" &amp; 1774)</f>
        <v>0</v>
      </c>
      <c r="M1779" cm="1">
        <f t="array" aca="1" ref="M1779" ca="1">INDIRECT("Data!G" &amp; 1774)</f>
        <v>0</v>
      </c>
      <c r="N1779" cm="1">
        <f t="array" aca="1" ref="N1779" ca="1">INDIRECT("Data!H" &amp; 1774)</f>
        <v>0</v>
      </c>
      <c r="O1779" cm="1">
        <f t="array" aca="1" ref="O1779" ca="1">INDIRECT("Data!I" &amp; 1774)</f>
        <v>0</v>
      </c>
      <c r="P1779" s="21" cm="1">
        <f t="array" aca="1" ref="P1779" ca="1">INDIRECT("Data!J" &amp; 1774)</f>
        <v>0</v>
      </c>
      <c r="Q1779" cm="1">
        <f t="array" aca="1" ref="Q1779" ca="1">INDIRECT("Data!K" &amp; 1774)</f>
        <v>0</v>
      </c>
      <c r="R1779" cm="1">
        <f t="array" aca="1" ref="R1779" ca="1">INDIRECT("Data!L" &amp; 1774)</f>
        <v>0</v>
      </c>
      <c r="S1779" cm="1">
        <f t="array" aca="1" ref="S1779" ca="1">INDIRECT("Data!M" &amp; 1774)</f>
        <v>0</v>
      </c>
      <c r="T1779" cm="1">
        <f t="array" aca="1" ref="T1779" ca="1">INDIRECT("Data!N" &amp; 1774)</f>
        <v>0</v>
      </c>
      <c r="U1779" cm="1">
        <f t="array" aca="1" ref="U1779" ca="1">INDIRECT("Data!O" &amp; 1774)</f>
        <v>0</v>
      </c>
      <c r="V1779" cm="1">
        <f t="array" aca="1" ref="V1779" ca="1">INDIRECT("Data!P" &amp; 1774)</f>
        <v>0</v>
      </c>
    </row>
    <row r="1780" spans="7:22" x14ac:dyDescent="0.25">
      <c r="G1780" cm="1">
        <f t="array" aca="1" ref="G1780" ca="1">INDIRECT("Data!A" &amp; 1775)</f>
        <v>0</v>
      </c>
      <c r="H1780" s="21" cm="1">
        <f t="array" aca="1" ref="H1780" ca="1">INDIRECT("Data!B" &amp; 1775)</f>
        <v>0</v>
      </c>
      <c r="I1780" s="21" cm="1">
        <f t="array" aca="1" ref="I1780" ca="1">INDIRECT("Data!C" &amp; 1775)</f>
        <v>0</v>
      </c>
      <c r="J1780" cm="1">
        <f t="array" aca="1" ref="J1780" ca="1">INDIRECT("Data!D" &amp; 1775)</f>
        <v>0</v>
      </c>
      <c r="K1780" cm="1">
        <f t="array" aca="1" ref="K1780" ca="1">INDIRECT("Data!E" &amp; 1775)</f>
        <v>0</v>
      </c>
      <c r="L1780" cm="1">
        <f t="array" aca="1" ref="L1780" ca="1">INDIRECT("Data!F" &amp; 1775)</f>
        <v>0</v>
      </c>
      <c r="M1780" cm="1">
        <f t="array" aca="1" ref="M1780" ca="1">INDIRECT("Data!G" &amp; 1775)</f>
        <v>0</v>
      </c>
      <c r="N1780" cm="1">
        <f t="array" aca="1" ref="N1780" ca="1">INDIRECT("Data!H" &amp; 1775)</f>
        <v>0</v>
      </c>
      <c r="O1780" cm="1">
        <f t="array" aca="1" ref="O1780" ca="1">INDIRECT("Data!I" &amp; 1775)</f>
        <v>0</v>
      </c>
      <c r="P1780" s="21" cm="1">
        <f t="array" aca="1" ref="P1780" ca="1">INDIRECT("Data!J" &amp; 1775)</f>
        <v>0</v>
      </c>
      <c r="Q1780" cm="1">
        <f t="array" aca="1" ref="Q1780" ca="1">INDIRECT("Data!K" &amp; 1775)</f>
        <v>0</v>
      </c>
      <c r="R1780" cm="1">
        <f t="array" aca="1" ref="R1780" ca="1">INDIRECT("Data!L" &amp; 1775)</f>
        <v>0</v>
      </c>
      <c r="S1780" cm="1">
        <f t="array" aca="1" ref="S1780" ca="1">INDIRECT("Data!M" &amp; 1775)</f>
        <v>0</v>
      </c>
      <c r="T1780" cm="1">
        <f t="array" aca="1" ref="T1780" ca="1">INDIRECT("Data!N" &amp; 1775)</f>
        <v>0</v>
      </c>
      <c r="U1780" cm="1">
        <f t="array" aca="1" ref="U1780" ca="1">INDIRECT("Data!O" &amp; 1775)</f>
        <v>0</v>
      </c>
      <c r="V1780" cm="1">
        <f t="array" aca="1" ref="V1780" ca="1">INDIRECT("Data!P" &amp; 1775)</f>
        <v>0</v>
      </c>
    </row>
    <row r="1781" spans="7:22" x14ac:dyDescent="0.25">
      <c r="G1781" cm="1">
        <f t="array" aca="1" ref="G1781" ca="1">INDIRECT("Data!A" &amp; 1776)</f>
        <v>0</v>
      </c>
      <c r="H1781" s="21" cm="1">
        <f t="array" aca="1" ref="H1781" ca="1">INDIRECT("Data!B" &amp; 1776)</f>
        <v>0</v>
      </c>
      <c r="I1781" s="21" cm="1">
        <f t="array" aca="1" ref="I1781" ca="1">INDIRECT("Data!C" &amp; 1776)</f>
        <v>0</v>
      </c>
      <c r="J1781" cm="1">
        <f t="array" aca="1" ref="J1781" ca="1">INDIRECT("Data!D" &amp; 1776)</f>
        <v>0</v>
      </c>
      <c r="K1781" cm="1">
        <f t="array" aca="1" ref="K1781" ca="1">INDIRECT("Data!E" &amp; 1776)</f>
        <v>0</v>
      </c>
      <c r="L1781" cm="1">
        <f t="array" aca="1" ref="L1781" ca="1">INDIRECT("Data!F" &amp; 1776)</f>
        <v>0</v>
      </c>
      <c r="M1781" cm="1">
        <f t="array" aca="1" ref="M1781" ca="1">INDIRECT("Data!G" &amp; 1776)</f>
        <v>0</v>
      </c>
      <c r="N1781" cm="1">
        <f t="array" aca="1" ref="N1781" ca="1">INDIRECT("Data!H" &amp; 1776)</f>
        <v>0</v>
      </c>
      <c r="O1781" cm="1">
        <f t="array" aca="1" ref="O1781" ca="1">INDIRECT("Data!I" &amp; 1776)</f>
        <v>0</v>
      </c>
      <c r="P1781" s="21" cm="1">
        <f t="array" aca="1" ref="P1781" ca="1">INDIRECT("Data!J" &amp; 1776)</f>
        <v>0</v>
      </c>
      <c r="Q1781" cm="1">
        <f t="array" aca="1" ref="Q1781" ca="1">INDIRECT("Data!K" &amp; 1776)</f>
        <v>0</v>
      </c>
      <c r="R1781" cm="1">
        <f t="array" aca="1" ref="R1781" ca="1">INDIRECT("Data!L" &amp; 1776)</f>
        <v>0</v>
      </c>
      <c r="S1781" cm="1">
        <f t="array" aca="1" ref="S1781" ca="1">INDIRECT("Data!M" &amp; 1776)</f>
        <v>0</v>
      </c>
      <c r="T1781" cm="1">
        <f t="array" aca="1" ref="T1781" ca="1">INDIRECT("Data!N" &amp; 1776)</f>
        <v>0</v>
      </c>
      <c r="U1781" cm="1">
        <f t="array" aca="1" ref="U1781" ca="1">INDIRECT("Data!O" &amp; 1776)</f>
        <v>0</v>
      </c>
      <c r="V1781" cm="1">
        <f t="array" aca="1" ref="V1781" ca="1">INDIRECT("Data!P" &amp; 1776)</f>
        <v>0</v>
      </c>
    </row>
    <row r="1782" spans="7:22" x14ac:dyDescent="0.25">
      <c r="G1782" cm="1">
        <f t="array" aca="1" ref="G1782" ca="1">INDIRECT("Data!A" &amp; 1777)</f>
        <v>0</v>
      </c>
      <c r="H1782" s="21" cm="1">
        <f t="array" aca="1" ref="H1782" ca="1">INDIRECT("Data!B" &amp; 1777)</f>
        <v>0</v>
      </c>
      <c r="I1782" s="21" cm="1">
        <f t="array" aca="1" ref="I1782" ca="1">INDIRECT("Data!C" &amp; 1777)</f>
        <v>0</v>
      </c>
      <c r="J1782" cm="1">
        <f t="array" aca="1" ref="J1782" ca="1">INDIRECT("Data!D" &amp; 1777)</f>
        <v>0</v>
      </c>
      <c r="K1782" cm="1">
        <f t="array" aca="1" ref="K1782" ca="1">INDIRECT("Data!E" &amp; 1777)</f>
        <v>0</v>
      </c>
      <c r="L1782" cm="1">
        <f t="array" aca="1" ref="L1782" ca="1">INDIRECT("Data!F" &amp; 1777)</f>
        <v>0</v>
      </c>
      <c r="M1782" cm="1">
        <f t="array" aca="1" ref="M1782" ca="1">INDIRECT("Data!G" &amp; 1777)</f>
        <v>0</v>
      </c>
      <c r="N1782" cm="1">
        <f t="array" aca="1" ref="N1782" ca="1">INDIRECT("Data!H" &amp; 1777)</f>
        <v>0</v>
      </c>
      <c r="O1782" cm="1">
        <f t="array" aca="1" ref="O1782" ca="1">INDIRECT("Data!I" &amp; 1777)</f>
        <v>0</v>
      </c>
      <c r="P1782" s="21" cm="1">
        <f t="array" aca="1" ref="P1782" ca="1">INDIRECT("Data!J" &amp; 1777)</f>
        <v>0</v>
      </c>
      <c r="Q1782" cm="1">
        <f t="array" aca="1" ref="Q1782" ca="1">INDIRECT("Data!K" &amp; 1777)</f>
        <v>0</v>
      </c>
      <c r="R1782" cm="1">
        <f t="array" aca="1" ref="R1782" ca="1">INDIRECT("Data!L" &amp; 1777)</f>
        <v>0</v>
      </c>
      <c r="S1782" cm="1">
        <f t="array" aca="1" ref="S1782" ca="1">INDIRECT("Data!M" &amp; 1777)</f>
        <v>0</v>
      </c>
      <c r="T1782" cm="1">
        <f t="array" aca="1" ref="T1782" ca="1">INDIRECT("Data!N" &amp; 1777)</f>
        <v>0</v>
      </c>
      <c r="U1782" cm="1">
        <f t="array" aca="1" ref="U1782" ca="1">INDIRECT("Data!O" &amp; 1777)</f>
        <v>0</v>
      </c>
      <c r="V1782" cm="1">
        <f t="array" aca="1" ref="V1782" ca="1">INDIRECT("Data!P" &amp; 1777)</f>
        <v>0</v>
      </c>
    </row>
    <row r="1783" spans="7:22" x14ac:dyDescent="0.25">
      <c r="G1783" cm="1">
        <f t="array" aca="1" ref="G1783" ca="1">INDIRECT("Data!A" &amp; 1778)</f>
        <v>0</v>
      </c>
      <c r="H1783" s="21" cm="1">
        <f t="array" aca="1" ref="H1783" ca="1">INDIRECT("Data!B" &amp; 1778)</f>
        <v>0</v>
      </c>
      <c r="I1783" s="21" cm="1">
        <f t="array" aca="1" ref="I1783" ca="1">INDIRECT("Data!C" &amp; 1778)</f>
        <v>0</v>
      </c>
      <c r="J1783" cm="1">
        <f t="array" aca="1" ref="J1783" ca="1">INDIRECT("Data!D" &amp; 1778)</f>
        <v>0</v>
      </c>
      <c r="K1783" cm="1">
        <f t="array" aca="1" ref="K1783" ca="1">INDIRECT("Data!E" &amp; 1778)</f>
        <v>0</v>
      </c>
      <c r="L1783" cm="1">
        <f t="array" aca="1" ref="L1783" ca="1">INDIRECT("Data!F" &amp; 1778)</f>
        <v>0</v>
      </c>
      <c r="M1783" cm="1">
        <f t="array" aca="1" ref="M1783" ca="1">INDIRECT("Data!G" &amp; 1778)</f>
        <v>0</v>
      </c>
      <c r="N1783" cm="1">
        <f t="array" aca="1" ref="N1783" ca="1">INDIRECT("Data!H" &amp; 1778)</f>
        <v>0</v>
      </c>
      <c r="O1783" cm="1">
        <f t="array" aca="1" ref="O1783" ca="1">INDIRECT("Data!I" &amp; 1778)</f>
        <v>0</v>
      </c>
      <c r="P1783" s="21" cm="1">
        <f t="array" aca="1" ref="P1783" ca="1">INDIRECT("Data!J" &amp; 1778)</f>
        <v>0</v>
      </c>
      <c r="Q1783" cm="1">
        <f t="array" aca="1" ref="Q1783" ca="1">INDIRECT("Data!K" &amp; 1778)</f>
        <v>0</v>
      </c>
      <c r="R1783" cm="1">
        <f t="array" aca="1" ref="R1783" ca="1">INDIRECT("Data!L" &amp; 1778)</f>
        <v>0</v>
      </c>
      <c r="S1783" cm="1">
        <f t="array" aca="1" ref="S1783" ca="1">INDIRECT("Data!M" &amp; 1778)</f>
        <v>0</v>
      </c>
      <c r="T1783" cm="1">
        <f t="array" aca="1" ref="T1783" ca="1">INDIRECT("Data!N" &amp; 1778)</f>
        <v>0</v>
      </c>
      <c r="U1783" cm="1">
        <f t="array" aca="1" ref="U1783" ca="1">INDIRECT("Data!O" &amp; 1778)</f>
        <v>0</v>
      </c>
      <c r="V1783" cm="1">
        <f t="array" aca="1" ref="V1783" ca="1">INDIRECT("Data!P" &amp; 1778)</f>
        <v>0</v>
      </c>
    </row>
    <row r="1784" spans="7:22" x14ac:dyDescent="0.25">
      <c r="G1784" cm="1">
        <f t="array" aca="1" ref="G1784" ca="1">INDIRECT("Data!A" &amp; 1779)</f>
        <v>0</v>
      </c>
      <c r="H1784" s="21" cm="1">
        <f t="array" aca="1" ref="H1784" ca="1">INDIRECT("Data!B" &amp; 1779)</f>
        <v>0</v>
      </c>
      <c r="I1784" s="21" cm="1">
        <f t="array" aca="1" ref="I1784" ca="1">INDIRECT("Data!C" &amp; 1779)</f>
        <v>0</v>
      </c>
      <c r="J1784" cm="1">
        <f t="array" aca="1" ref="J1784" ca="1">INDIRECT("Data!D" &amp; 1779)</f>
        <v>0</v>
      </c>
      <c r="K1784" cm="1">
        <f t="array" aca="1" ref="K1784" ca="1">INDIRECT("Data!E" &amp; 1779)</f>
        <v>0</v>
      </c>
      <c r="L1784" cm="1">
        <f t="array" aca="1" ref="L1784" ca="1">INDIRECT("Data!F" &amp; 1779)</f>
        <v>0</v>
      </c>
      <c r="M1784" cm="1">
        <f t="array" aca="1" ref="M1784" ca="1">INDIRECT("Data!G" &amp; 1779)</f>
        <v>0</v>
      </c>
      <c r="N1784" cm="1">
        <f t="array" aca="1" ref="N1784" ca="1">INDIRECT("Data!H" &amp; 1779)</f>
        <v>0</v>
      </c>
      <c r="O1784" cm="1">
        <f t="array" aca="1" ref="O1784" ca="1">INDIRECT("Data!I" &amp; 1779)</f>
        <v>0</v>
      </c>
      <c r="P1784" s="21" cm="1">
        <f t="array" aca="1" ref="P1784" ca="1">INDIRECT("Data!J" &amp; 1779)</f>
        <v>0</v>
      </c>
      <c r="Q1784" cm="1">
        <f t="array" aca="1" ref="Q1784" ca="1">INDIRECT("Data!K" &amp; 1779)</f>
        <v>0</v>
      </c>
      <c r="R1784" cm="1">
        <f t="array" aca="1" ref="R1784" ca="1">INDIRECT("Data!L" &amp; 1779)</f>
        <v>0</v>
      </c>
      <c r="S1784" cm="1">
        <f t="array" aca="1" ref="S1784" ca="1">INDIRECT("Data!M" &amp; 1779)</f>
        <v>0</v>
      </c>
      <c r="T1784" cm="1">
        <f t="array" aca="1" ref="T1784" ca="1">INDIRECT("Data!N" &amp; 1779)</f>
        <v>0</v>
      </c>
      <c r="U1784" cm="1">
        <f t="array" aca="1" ref="U1784" ca="1">INDIRECT("Data!O" &amp; 1779)</f>
        <v>0</v>
      </c>
      <c r="V1784" cm="1">
        <f t="array" aca="1" ref="V1784" ca="1">INDIRECT("Data!P" &amp; 1779)</f>
        <v>0</v>
      </c>
    </row>
    <row r="1785" spans="7:22" x14ac:dyDescent="0.25">
      <c r="G1785" cm="1">
        <f t="array" aca="1" ref="G1785" ca="1">INDIRECT("Data!A" &amp; 1780)</f>
        <v>0</v>
      </c>
      <c r="H1785" s="21" cm="1">
        <f t="array" aca="1" ref="H1785" ca="1">INDIRECT("Data!B" &amp; 1780)</f>
        <v>0</v>
      </c>
      <c r="I1785" s="21" cm="1">
        <f t="array" aca="1" ref="I1785" ca="1">INDIRECT("Data!C" &amp; 1780)</f>
        <v>0</v>
      </c>
      <c r="J1785" cm="1">
        <f t="array" aca="1" ref="J1785" ca="1">INDIRECT("Data!D" &amp; 1780)</f>
        <v>0</v>
      </c>
      <c r="K1785" cm="1">
        <f t="array" aca="1" ref="K1785" ca="1">INDIRECT("Data!E" &amp; 1780)</f>
        <v>0</v>
      </c>
      <c r="L1785" cm="1">
        <f t="array" aca="1" ref="L1785" ca="1">INDIRECT("Data!F" &amp; 1780)</f>
        <v>0</v>
      </c>
      <c r="M1785" cm="1">
        <f t="array" aca="1" ref="M1785" ca="1">INDIRECT("Data!G" &amp; 1780)</f>
        <v>0</v>
      </c>
      <c r="N1785" cm="1">
        <f t="array" aca="1" ref="N1785" ca="1">INDIRECT("Data!H" &amp; 1780)</f>
        <v>0</v>
      </c>
      <c r="O1785" cm="1">
        <f t="array" aca="1" ref="O1785" ca="1">INDIRECT("Data!I" &amp; 1780)</f>
        <v>0</v>
      </c>
      <c r="P1785" s="21" cm="1">
        <f t="array" aca="1" ref="P1785" ca="1">INDIRECT("Data!J" &amp; 1780)</f>
        <v>0</v>
      </c>
      <c r="Q1785" cm="1">
        <f t="array" aca="1" ref="Q1785" ca="1">INDIRECT("Data!K" &amp; 1780)</f>
        <v>0</v>
      </c>
      <c r="R1785" cm="1">
        <f t="array" aca="1" ref="R1785" ca="1">INDIRECT("Data!L" &amp; 1780)</f>
        <v>0</v>
      </c>
      <c r="S1785" cm="1">
        <f t="array" aca="1" ref="S1785" ca="1">INDIRECT("Data!M" &amp; 1780)</f>
        <v>0</v>
      </c>
      <c r="T1785" cm="1">
        <f t="array" aca="1" ref="T1785" ca="1">INDIRECT("Data!N" &amp; 1780)</f>
        <v>0</v>
      </c>
      <c r="U1785" cm="1">
        <f t="array" aca="1" ref="U1785" ca="1">INDIRECT("Data!O" &amp; 1780)</f>
        <v>0</v>
      </c>
      <c r="V1785" cm="1">
        <f t="array" aca="1" ref="V1785" ca="1">INDIRECT("Data!P" &amp; 1780)</f>
        <v>0</v>
      </c>
    </row>
    <row r="1786" spans="7:22" x14ac:dyDescent="0.25">
      <c r="G1786" cm="1">
        <f t="array" aca="1" ref="G1786" ca="1">INDIRECT("Data!A" &amp; 1781)</f>
        <v>0</v>
      </c>
      <c r="H1786" s="21" cm="1">
        <f t="array" aca="1" ref="H1786" ca="1">INDIRECT("Data!B" &amp; 1781)</f>
        <v>0</v>
      </c>
      <c r="I1786" s="21" cm="1">
        <f t="array" aca="1" ref="I1786" ca="1">INDIRECT("Data!C" &amp; 1781)</f>
        <v>0</v>
      </c>
      <c r="J1786" cm="1">
        <f t="array" aca="1" ref="J1786" ca="1">INDIRECT("Data!D" &amp; 1781)</f>
        <v>0</v>
      </c>
      <c r="K1786" cm="1">
        <f t="array" aca="1" ref="K1786" ca="1">INDIRECT("Data!E" &amp; 1781)</f>
        <v>0</v>
      </c>
      <c r="L1786" cm="1">
        <f t="array" aca="1" ref="L1786" ca="1">INDIRECT("Data!F" &amp; 1781)</f>
        <v>0</v>
      </c>
      <c r="M1786" cm="1">
        <f t="array" aca="1" ref="M1786" ca="1">INDIRECT("Data!G" &amp; 1781)</f>
        <v>0</v>
      </c>
      <c r="N1786" cm="1">
        <f t="array" aca="1" ref="N1786" ca="1">INDIRECT("Data!H" &amp; 1781)</f>
        <v>0</v>
      </c>
      <c r="O1786" cm="1">
        <f t="array" aca="1" ref="O1786" ca="1">INDIRECT("Data!I" &amp; 1781)</f>
        <v>0</v>
      </c>
      <c r="P1786" s="21" cm="1">
        <f t="array" aca="1" ref="P1786" ca="1">INDIRECT("Data!J" &amp; 1781)</f>
        <v>0</v>
      </c>
      <c r="Q1786" cm="1">
        <f t="array" aca="1" ref="Q1786" ca="1">INDIRECT("Data!K" &amp; 1781)</f>
        <v>0</v>
      </c>
      <c r="R1786" cm="1">
        <f t="array" aca="1" ref="R1786" ca="1">INDIRECT("Data!L" &amp; 1781)</f>
        <v>0</v>
      </c>
      <c r="S1786" cm="1">
        <f t="array" aca="1" ref="S1786" ca="1">INDIRECT("Data!M" &amp; 1781)</f>
        <v>0</v>
      </c>
      <c r="T1786" cm="1">
        <f t="array" aca="1" ref="T1786" ca="1">INDIRECT("Data!N" &amp; 1781)</f>
        <v>0</v>
      </c>
      <c r="U1786" cm="1">
        <f t="array" aca="1" ref="U1786" ca="1">INDIRECT("Data!O" &amp; 1781)</f>
        <v>0</v>
      </c>
      <c r="V1786" cm="1">
        <f t="array" aca="1" ref="V1786" ca="1">INDIRECT("Data!P" &amp; 1781)</f>
        <v>0</v>
      </c>
    </row>
    <row r="1787" spans="7:22" x14ac:dyDescent="0.25">
      <c r="G1787" cm="1">
        <f t="array" aca="1" ref="G1787" ca="1">INDIRECT("Data!A" &amp; 1782)</f>
        <v>0</v>
      </c>
      <c r="H1787" s="21" cm="1">
        <f t="array" aca="1" ref="H1787" ca="1">INDIRECT("Data!B" &amp; 1782)</f>
        <v>0</v>
      </c>
      <c r="I1787" s="21" cm="1">
        <f t="array" aca="1" ref="I1787" ca="1">INDIRECT("Data!C" &amp; 1782)</f>
        <v>0</v>
      </c>
      <c r="J1787" cm="1">
        <f t="array" aca="1" ref="J1787" ca="1">INDIRECT("Data!D" &amp; 1782)</f>
        <v>0</v>
      </c>
      <c r="K1787" cm="1">
        <f t="array" aca="1" ref="K1787" ca="1">INDIRECT("Data!E" &amp; 1782)</f>
        <v>0</v>
      </c>
      <c r="L1787" cm="1">
        <f t="array" aca="1" ref="L1787" ca="1">INDIRECT("Data!F" &amp; 1782)</f>
        <v>0</v>
      </c>
      <c r="M1787" cm="1">
        <f t="array" aca="1" ref="M1787" ca="1">INDIRECT("Data!G" &amp; 1782)</f>
        <v>0</v>
      </c>
      <c r="N1787" cm="1">
        <f t="array" aca="1" ref="N1787" ca="1">INDIRECT("Data!H" &amp; 1782)</f>
        <v>0</v>
      </c>
      <c r="O1787" cm="1">
        <f t="array" aca="1" ref="O1787" ca="1">INDIRECT("Data!I" &amp; 1782)</f>
        <v>0</v>
      </c>
      <c r="P1787" s="21" cm="1">
        <f t="array" aca="1" ref="P1787" ca="1">INDIRECT("Data!J" &amp; 1782)</f>
        <v>0</v>
      </c>
      <c r="Q1787" cm="1">
        <f t="array" aca="1" ref="Q1787" ca="1">INDIRECT("Data!K" &amp; 1782)</f>
        <v>0</v>
      </c>
      <c r="R1787" cm="1">
        <f t="array" aca="1" ref="R1787" ca="1">INDIRECT("Data!L" &amp; 1782)</f>
        <v>0</v>
      </c>
      <c r="S1787" cm="1">
        <f t="array" aca="1" ref="S1787" ca="1">INDIRECT("Data!M" &amp; 1782)</f>
        <v>0</v>
      </c>
      <c r="T1787" cm="1">
        <f t="array" aca="1" ref="T1787" ca="1">INDIRECT("Data!N" &amp; 1782)</f>
        <v>0</v>
      </c>
      <c r="U1787" cm="1">
        <f t="array" aca="1" ref="U1787" ca="1">INDIRECT("Data!O" &amp; 1782)</f>
        <v>0</v>
      </c>
      <c r="V1787" cm="1">
        <f t="array" aca="1" ref="V1787" ca="1">INDIRECT("Data!P" &amp; 1782)</f>
        <v>0</v>
      </c>
    </row>
    <row r="1788" spans="7:22" x14ac:dyDescent="0.25">
      <c r="G1788" cm="1">
        <f t="array" aca="1" ref="G1788" ca="1">INDIRECT("Data!A" &amp; 1783)</f>
        <v>0</v>
      </c>
      <c r="H1788" s="21" cm="1">
        <f t="array" aca="1" ref="H1788" ca="1">INDIRECT("Data!B" &amp; 1783)</f>
        <v>0</v>
      </c>
      <c r="I1788" s="21" cm="1">
        <f t="array" aca="1" ref="I1788" ca="1">INDIRECT("Data!C" &amp; 1783)</f>
        <v>0</v>
      </c>
      <c r="J1788" cm="1">
        <f t="array" aca="1" ref="J1788" ca="1">INDIRECT("Data!D" &amp; 1783)</f>
        <v>0</v>
      </c>
      <c r="K1788" cm="1">
        <f t="array" aca="1" ref="K1788" ca="1">INDIRECT("Data!E" &amp; 1783)</f>
        <v>0</v>
      </c>
      <c r="L1788" cm="1">
        <f t="array" aca="1" ref="L1788" ca="1">INDIRECT("Data!F" &amp; 1783)</f>
        <v>0</v>
      </c>
      <c r="M1788" cm="1">
        <f t="array" aca="1" ref="M1788" ca="1">INDIRECT("Data!G" &amp; 1783)</f>
        <v>0</v>
      </c>
      <c r="N1788" cm="1">
        <f t="array" aca="1" ref="N1788" ca="1">INDIRECT("Data!H" &amp; 1783)</f>
        <v>0</v>
      </c>
      <c r="O1788" cm="1">
        <f t="array" aca="1" ref="O1788" ca="1">INDIRECT("Data!I" &amp; 1783)</f>
        <v>0</v>
      </c>
      <c r="P1788" s="21" cm="1">
        <f t="array" aca="1" ref="P1788" ca="1">INDIRECT("Data!J" &amp; 1783)</f>
        <v>0</v>
      </c>
      <c r="Q1788" cm="1">
        <f t="array" aca="1" ref="Q1788" ca="1">INDIRECT("Data!K" &amp; 1783)</f>
        <v>0</v>
      </c>
      <c r="R1788" cm="1">
        <f t="array" aca="1" ref="R1788" ca="1">INDIRECT("Data!L" &amp; 1783)</f>
        <v>0</v>
      </c>
      <c r="S1788" cm="1">
        <f t="array" aca="1" ref="S1788" ca="1">INDIRECT("Data!M" &amp; 1783)</f>
        <v>0</v>
      </c>
      <c r="T1788" cm="1">
        <f t="array" aca="1" ref="T1788" ca="1">INDIRECT("Data!N" &amp; 1783)</f>
        <v>0</v>
      </c>
      <c r="U1788" cm="1">
        <f t="array" aca="1" ref="U1788" ca="1">INDIRECT("Data!O" &amp; 1783)</f>
        <v>0</v>
      </c>
      <c r="V1788" cm="1">
        <f t="array" aca="1" ref="V1788" ca="1">INDIRECT("Data!P" &amp; 1783)</f>
        <v>0</v>
      </c>
    </row>
    <row r="1789" spans="7:22" x14ac:dyDescent="0.25">
      <c r="G1789" cm="1">
        <f t="array" aca="1" ref="G1789" ca="1">INDIRECT("Data!A" &amp; 1784)</f>
        <v>0</v>
      </c>
      <c r="H1789" s="21" cm="1">
        <f t="array" aca="1" ref="H1789" ca="1">INDIRECT("Data!B" &amp; 1784)</f>
        <v>0</v>
      </c>
      <c r="I1789" s="21" cm="1">
        <f t="array" aca="1" ref="I1789" ca="1">INDIRECT("Data!C" &amp; 1784)</f>
        <v>0</v>
      </c>
      <c r="J1789" cm="1">
        <f t="array" aca="1" ref="J1789" ca="1">INDIRECT("Data!D" &amp; 1784)</f>
        <v>0</v>
      </c>
      <c r="K1789" cm="1">
        <f t="array" aca="1" ref="K1789" ca="1">INDIRECT("Data!E" &amp; 1784)</f>
        <v>0</v>
      </c>
      <c r="L1789" cm="1">
        <f t="array" aca="1" ref="L1789" ca="1">INDIRECT("Data!F" &amp; 1784)</f>
        <v>0</v>
      </c>
      <c r="M1789" cm="1">
        <f t="array" aca="1" ref="M1789" ca="1">INDIRECT("Data!G" &amp; 1784)</f>
        <v>0</v>
      </c>
      <c r="N1789" cm="1">
        <f t="array" aca="1" ref="N1789" ca="1">INDIRECT("Data!H" &amp; 1784)</f>
        <v>0</v>
      </c>
      <c r="O1789" cm="1">
        <f t="array" aca="1" ref="O1789" ca="1">INDIRECT("Data!I" &amp; 1784)</f>
        <v>0</v>
      </c>
      <c r="P1789" s="21" cm="1">
        <f t="array" aca="1" ref="P1789" ca="1">INDIRECT("Data!J" &amp; 1784)</f>
        <v>0</v>
      </c>
      <c r="Q1789" cm="1">
        <f t="array" aca="1" ref="Q1789" ca="1">INDIRECT("Data!K" &amp; 1784)</f>
        <v>0</v>
      </c>
      <c r="R1789" cm="1">
        <f t="array" aca="1" ref="R1789" ca="1">INDIRECT("Data!L" &amp; 1784)</f>
        <v>0</v>
      </c>
      <c r="S1789" cm="1">
        <f t="array" aca="1" ref="S1789" ca="1">INDIRECT("Data!M" &amp; 1784)</f>
        <v>0</v>
      </c>
      <c r="T1789" cm="1">
        <f t="array" aca="1" ref="T1789" ca="1">INDIRECT("Data!N" &amp; 1784)</f>
        <v>0</v>
      </c>
      <c r="U1789" cm="1">
        <f t="array" aca="1" ref="U1789" ca="1">INDIRECT("Data!O" &amp; 1784)</f>
        <v>0</v>
      </c>
      <c r="V1789" cm="1">
        <f t="array" aca="1" ref="V1789" ca="1">INDIRECT("Data!P" &amp; 1784)</f>
        <v>0</v>
      </c>
    </row>
    <row r="1790" spans="7:22" x14ac:dyDescent="0.25">
      <c r="G1790" cm="1">
        <f t="array" aca="1" ref="G1790" ca="1">INDIRECT("Data!A" &amp; 1785)</f>
        <v>0</v>
      </c>
      <c r="H1790" s="21" cm="1">
        <f t="array" aca="1" ref="H1790" ca="1">INDIRECT("Data!B" &amp; 1785)</f>
        <v>0</v>
      </c>
      <c r="I1790" s="21" cm="1">
        <f t="array" aca="1" ref="I1790" ca="1">INDIRECT("Data!C" &amp; 1785)</f>
        <v>0</v>
      </c>
      <c r="J1790" cm="1">
        <f t="array" aca="1" ref="J1790" ca="1">INDIRECT("Data!D" &amp; 1785)</f>
        <v>0</v>
      </c>
      <c r="K1790" cm="1">
        <f t="array" aca="1" ref="K1790" ca="1">INDIRECT("Data!E" &amp; 1785)</f>
        <v>0</v>
      </c>
      <c r="L1790" cm="1">
        <f t="array" aca="1" ref="L1790" ca="1">INDIRECT("Data!F" &amp; 1785)</f>
        <v>0</v>
      </c>
      <c r="M1790" cm="1">
        <f t="array" aca="1" ref="M1790" ca="1">INDIRECT("Data!G" &amp; 1785)</f>
        <v>0</v>
      </c>
      <c r="N1790" cm="1">
        <f t="array" aca="1" ref="N1790" ca="1">INDIRECT("Data!H" &amp; 1785)</f>
        <v>0</v>
      </c>
      <c r="O1790" cm="1">
        <f t="array" aca="1" ref="O1790" ca="1">INDIRECT("Data!I" &amp; 1785)</f>
        <v>0</v>
      </c>
      <c r="P1790" s="21" cm="1">
        <f t="array" aca="1" ref="P1790" ca="1">INDIRECT("Data!J" &amp; 1785)</f>
        <v>0</v>
      </c>
      <c r="Q1790" cm="1">
        <f t="array" aca="1" ref="Q1790" ca="1">INDIRECT("Data!K" &amp; 1785)</f>
        <v>0</v>
      </c>
      <c r="R1790" cm="1">
        <f t="array" aca="1" ref="R1790" ca="1">INDIRECT("Data!L" &amp; 1785)</f>
        <v>0</v>
      </c>
      <c r="S1790" cm="1">
        <f t="array" aca="1" ref="S1790" ca="1">INDIRECT("Data!M" &amp; 1785)</f>
        <v>0</v>
      </c>
      <c r="T1790" cm="1">
        <f t="array" aca="1" ref="T1790" ca="1">INDIRECT("Data!N" &amp; 1785)</f>
        <v>0</v>
      </c>
      <c r="U1790" cm="1">
        <f t="array" aca="1" ref="U1790" ca="1">INDIRECT("Data!O" &amp; 1785)</f>
        <v>0</v>
      </c>
      <c r="V1790" cm="1">
        <f t="array" aca="1" ref="V1790" ca="1">INDIRECT("Data!P" &amp; 1785)</f>
        <v>0</v>
      </c>
    </row>
    <row r="1791" spans="7:22" x14ac:dyDescent="0.25">
      <c r="G1791" cm="1">
        <f t="array" aca="1" ref="G1791" ca="1">INDIRECT("Data!A" &amp; 1786)</f>
        <v>0</v>
      </c>
      <c r="H1791" s="21" cm="1">
        <f t="array" aca="1" ref="H1791" ca="1">INDIRECT("Data!B" &amp; 1786)</f>
        <v>0</v>
      </c>
      <c r="I1791" s="21" cm="1">
        <f t="array" aca="1" ref="I1791" ca="1">INDIRECT("Data!C" &amp; 1786)</f>
        <v>0</v>
      </c>
      <c r="J1791" cm="1">
        <f t="array" aca="1" ref="J1791" ca="1">INDIRECT("Data!D" &amp; 1786)</f>
        <v>0</v>
      </c>
      <c r="K1791" cm="1">
        <f t="array" aca="1" ref="K1791" ca="1">INDIRECT("Data!E" &amp; 1786)</f>
        <v>0</v>
      </c>
      <c r="L1791" cm="1">
        <f t="array" aca="1" ref="L1791" ca="1">INDIRECT("Data!F" &amp; 1786)</f>
        <v>0</v>
      </c>
      <c r="M1791" cm="1">
        <f t="array" aca="1" ref="M1791" ca="1">INDIRECT("Data!G" &amp; 1786)</f>
        <v>0</v>
      </c>
      <c r="N1791" cm="1">
        <f t="array" aca="1" ref="N1791" ca="1">INDIRECT("Data!H" &amp; 1786)</f>
        <v>0</v>
      </c>
      <c r="O1791" cm="1">
        <f t="array" aca="1" ref="O1791" ca="1">INDIRECT("Data!I" &amp; 1786)</f>
        <v>0</v>
      </c>
      <c r="P1791" s="21" cm="1">
        <f t="array" aca="1" ref="P1791" ca="1">INDIRECT("Data!J" &amp; 1786)</f>
        <v>0</v>
      </c>
      <c r="Q1791" cm="1">
        <f t="array" aca="1" ref="Q1791" ca="1">INDIRECT("Data!K" &amp; 1786)</f>
        <v>0</v>
      </c>
      <c r="R1791" cm="1">
        <f t="array" aca="1" ref="R1791" ca="1">INDIRECT("Data!L" &amp; 1786)</f>
        <v>0</v>
      </c>
      <c r="S1791" cm="1">
        <f t="array" aca="1" ref="S1791" ca="1">INDIRECT("Data!M" &amp; 1786)</f>
        <v>0</v>
      </c>
      <c r="T1791" cm="1">
        <f t="array" aca="1" ref="T1791" ca="1">INDIRECT("Data!N" &amp; 1786)</f>
        <v>0</v>
      </c>
      <c r="U1791" cm="1">
        <f t="array" aca="1" ref="U1791" ca="1">INDIRECT("Data!O" &amp; 1786)</f>
        <v>0</v>
      </c>
      <c r="V1791" cm="1">
        <f t="array" aca="1" ref="V1791" ca="1">INDIRECT("Data!P" &amp; 1786)</f>
        <v>0</v>
      </c>
    </row>
    <row r="1792" spans="7:22" x14ac:dyDescent="0.25">
      <c r="G1792" cm="1">
        <f t="array" aca="1" ref="G1792" ca="1">INDIRECT("Data!A" &amp; 1787)</f>
        <v>0</v>
      </c>
      <c r="H1792" s="21" cm="1">
        <f t="array" aca="1" ref="H1792" ca="1">INDIRECT("Data!B" &amp; 1787)</f>
        <v>0</v>
      </c>
      <c r="I1792" s="21" cm="1">
        <f t="array" aca="1" ref="I1792" ca="1">INDIRECT("Data!C" &amp; 1787)</f>
        <v>0</v>
      </c>
      <c r="J1792" cm="1">
        <f t="array" aca="1" ref="J1792" ca="1">INDIRECT("Data!D" &amp; 1787)</f>
        <v>0</v>
      </c>
      <c r="K1792" cm="1">
        <f t="array" aca="1" ref="K1792" ca="1">INDIRECT("Data!E" &amp; 1787)</f>
        <v>0</v>
      </c>
      <c r="L1792" cm="1">
        <f t="array" aca="1" ref="L1792" ca="1">INDIRECT("Data!F" &amp; 1787)</f>
        <v>0</v>
      </c>
      <c r="M1792" cm="1">
        <f t="array" aca="1" ref="M1792" ca="1">INDIRECT("Data!G" &amp; 1787)</f>
        <v>0</v>
      </c>
      <c r="N1792" cm="1">
        <f t="array" aca="1" ref="N1792" ca="1">INDIRECT("Data!H" &amp; 1787)</f>
        <v>0</v>
      </c>
      <c r="O1792" cm="1">
        <f t="array" aca="1" ref="O1792" ca="1">INDIRECT("Data!I" &amp; 1787)</f>
        <v>0</v>
      </c>
      <c r="P1792" s="21" cm="1">
        <f t="array" aca="1" ref="P1792" ca="1">INDIRECT("Data!J" &amp; 1787)</f>
        <v>0</v>
      </c>
      <c r="Q1792" cm="1">
        <f t="array" aca="1" ref="Q1792" ca="1">INDIRECT("Data!K" &amp; 1787)</f>
        <v>0</v>
      </c>
      <c r="R1792" cm="1">
        <f t="array" aca="1" ref="R1792" ca="1">INDIRECT("Data!L" &amp; 1787)</f>
        <v>0</v>
      </c>
      <c r="S1792" cm="1">
        <f t="array" aca="1" ref="S1792" ca="1">INDIRECT("Data!M" &amp; 1787)</f>
        <v>0</v>
      </c>
      <c r="T1792" cm="1">
        <f t="array" aca="1" ref="T1792" ca="1">INDIRECT("Data!N" &amp; 1787)</f>
        <v>0</v>
      </c>
      <c r="U1792" cm="1">
        <f t="array" aca="1" ref="U1792" ca="1">INDIRECT("Data!O" &amp; 1787)</f>
        <v>0</v>
      </c>
      <c r="V1792" cm="1">
        <f t="array" aca="1" ref="V1792" ca="1">INDIRECT("Data!P" &amp; 1787)</f>
        <v>0</v>
      </c>
    </row>
    <row r="1793" spans="7:22" x14ac:dyDescent="0.25">
      <c r="G1793" cm="1">
        <f t="array" aca="1" ref="G1793" ca="1">INDIRECT("Data!A" &amp; 1788)</f>
        <v>0</v>
      </c>
      <c r="H1793" s="21" cm="1">
        <f t="array" aca="1" ref="H1793" ca="1">INDIRECT("Data!B" &amp; 1788)</f>
        <v>0</v>
      </c>
      <c r="I1793" s="21" cm="1">
        <f t="array" aca="1" ref="I1793" ca="1">INDIRECT("Data!C" &amp; 1788)</f>
        <v>0</v>
      </c>
      <c r="J1793" cm="1">
        <f t="array" aca="1" ref="J1793" ca="1">INDIRECT("Data!D" &amp; 1788)</f>
        <v>0</v>
      </c>
      <c r="K1793" cm="1">
        <f t="array" aca="1" ref="K1793" ca="1">INDIRECT("Data!E" &amp; 1788)</f>
        <v>0</v>
      </c>
      <c r="L1793" cm="1">
        <f t="array" aca="1" ref="L1793" ca="1">INDIRECT("Data!F" &amp; 1788)</f>
        <v>0</v>
      </c>
      <c r="M1793" cm="1">
        <f t="array" aca="1" ref="M1793" ca="1">INDIRECT("Data!G" &amp; 1788)</f>
        <v>0</v>
      </c>
      <c r="N1793" cm="1">
        <f t="array" aca="1" ref="N1793" ca="1">INDIRECT("Data!H" &amp; 1788)</f>
        <v>0</v>
      </c>
      <c r="O1793" cm="1">
        <f t="array" aca="1" ref="O1793" ca="1">INDIRECT("Data!I" &amp; 1788)</f>
        <v>0</v>
      </c>
      <c r="P1793" s="21" cm="1">
        <f t="array" aca="1" ref="P1793" ca="1">INDIRECT("Data!J" &amp; 1788)</f>
        <v>0</v>
      </c>
      <c r="Q1793" cm="1">
        <f t="array" aca="1" ref="Q1793" ca="1">INDIRECT("Data!K" &amp; 1788)</f>
        <v>0</v>
      </c>
      <c r="R1793" cm="1">
        <f t="array" aca="1" ref="R1793" ca="1">INDIRECT("Data!L" &amp; 1788)</f>
        <v>0</v>
      </c>
      <c r="S1793" cm="1">
        <f t="array" aca="1" ref="S1793" ca="1">INDIRECT("Data!M" &amp; 1788)</f>
        <v>0</v>
      </c>
      <c r="T1793" cm="1">
        <f t="array" aca="1" ref="T1793" ca="1">INDIRECT("Data!N" &amp; 1788)</f>
        <v>0</v>
      </c>
      <c r="U1793" cm="1">
        <f t="array" aca="1" ref="U1793" ca="1">INDIRECT("Data!O" &amp; 1788)</f>
        <v>0</v>
      </c>
      <c r="V1793" cm="1">
        <f t="array" aca="1" ref="V1793" ca="1">INDIRECT("Data!P" &amp; 1788)</f>
        <v>0</v>
      </c>
    </row>
    <row r="1794" spans="7:22" x14ac:dyDescent="0.25">
      <c r="G1794" cm="1">
        <f t="array" aca="1" ref="G1794" ca="1">INDIRECT("Data!A" &amp; 1789)</f>
        <v>0</v>
      </c>
      <c r="H1794" s="21" cm="1">
        <f t="array" aca="1" ref="H1794" ca="1">INDIRECT("Data!B" &amp; 1789)</f>
        <v>0</v>
      </c>
      <c r="I1794" s="21" cm="1">
        <f t="array" aca="1" ref="I1794" ca="1">INDIRECT("Data!C" &amp; 1789)</f>
        <v>0</v>
      </c>
      <c r="J1794" cm="1">
        <f t="array" aca="1" ref="J1794" ca="1">INDIRECT("Data!D" &amp; 1789)</f>
        <v>0</v>
      </c>
      <c r="K1794" cm="1">
        <f t="array" aca="1" ref="K1794" ca="1">INDIRECT("Data!E" &amp; 1789)</f>
        <v>0</v>
      </c>
      <c r="L1794" cm="1">
        <f t="array" aca="1" ref="L1794" ca="1">INDIRECT("Data!F" &amp; 1789)</f>
        <v>0</v>
      </c>
      <c r="M1794" cm="1">
        <f t="array" aca="1" ref="M1794" ca="1">INDIRECT("Data!G" &amp; 1789)</f>
        <v>0</v>
      </c>
      <c r="N1794" cm="1">
        <f t="array" aca="1" ref="N1794" ca="1">INDIRECT("Data!H" &amp; 1789)</f>
        <v>0</v>
      </c>
      <c r="O1794" cm="1">
        <f t="array" aca="1" ref="O1794" ca="1">INDIRECT("Data!I" &amp; 1789)</f>
        <v>0</v>
      </c>
      <c r="P1794" s="21" cm="1">
        <f t="array" aca="1" ref="P1794" ca="1">INDIRECT("Data!J" &amp; 1789)</f>
        <v>0</v>
      </c>
      <c r="Q1794" cm="1">
        <f t="array" aca="1" ref="Q1794" ca="1">INDIRECT("Data!K" &amp; 1789)</f>
        <v>0</v>
      </c>
      <c r="R1794" cm="1">
        <f t="array" aca="1" ref="R1794" ca="1">INDIRECT("Data!L" &amp; 1789)</f>
        <v>0</v>
      </c>
      <c r="S1794" cm="1">
        <f t="array" aca="1" ref="S1794" ca="1">INDIRECT("Data!M" &amp; 1789)</f>
        <v>0</v>
      </c>
      <c r="T1794" cm="1">
        <f t="array" aca="1" ref="T1794" ca="1">INDIRECT("Data!N" &amp; 1789)</f>
        <v>0</v>
      </c>
      <c r="U1794" cm="1">
        <f t="array" aca="1" ref="U1794" ca="1">INDIRECT("Data!O" &amp; 1789)</f>
        <v>0</v>
      </c>
      <c r="V1794" cm="1">
        <f t="array" aca="1" ref="V1794" ca="1">INDIRECT("Data!P" &amp; 1789)</f>
        <v>0</v>
      </c>
    </row>
    <row r="1795" spans="7:22" x14ac:dyDescent="0.25">
      <c r="G1795" cm="1">
        <f t="array" aca="1" ref="G1795" ca="1">INDIRECT("Data!A" &amp; 1790)</f>
        <v>0</v>
      </c>
      <c r="H1795" s="21" cm="1">
        <f t="array" aca="1" ref="H1795" ca="1">INDIRECT("Data!B" &amp; 1790)</f>
        <v>0</v>
      </c>
      <c r="I1795" s="21" cm="1">
        <f t="array" aca="1" ref="I1795" ca="1">INDIRECT("Data!C" &amp; 1790)</f>
        <v>0</v>
      </c>
      <c r="J1795" cm="1">
        <f t="array" aca="1" ref="J1795" ca="1">INDIRECT("Data!D" &amp; 1790)</f>
        <v>0</v>
      </c>
      <c r="K1795" cm="1">
        <f t="array" aca="1" ref="K1795" ca="1">INDIRECT("Data!E" &amp; 1790)</f>
        <v>0</v>
      </c>
      <c r="L1795" cm="1">
        <f t="array" aca="1" ref="L1795" ca="1">INDIRECT("Data!F" &amp; 1790)</f>
        <v>0</v>
      </c>
      <c r="M1795" cm="1">
        <f t="array" aca="1" ref="M1795" ca="1">INDIRECT("Data!G" &amp; 1790)</f>
        <v>0</v>
      </c>
      <c r="N1795" cm="1">
        <f t="array" aca="1" ref="N1795" ca="1">INDIRECT("Data!H" &amp; 1790)</f>
        <v>0</v>
      </c>
      <c r="O1795" cm="1">
        <f t="array" aca="1" ref="O1795" ca="1">INDIRECT("Data!I" &amp; 1790)</f>
        <v>0</v>
      </c>
      <c r="P1795" s="21" cm="1">
        <f t="array" aca="1" ref="P1795" ca="1">INDIRECT("Data!J" &amp; 1790)</f>
        <v>0</v>
      </c>
      <c r="Q1795" cm="1">
        <f t="array" aca="1" ref="Q1795" ca="1">INDIRECT("Data!K" &amp; 1790)</f>
        <v>0</v>
      </c>
      <c r="R1795" cm="1">
        <f t="array" aca="1" ref="R1795" ca="1">INDIRECT("Data!L" &amp; 1790)</f>
        <v>0</v>
      </c>
      <c r="S1795" cm="1">
        <f t="array" aca="1" ref="S1795" ca="1">INDIRECT("Data!M" &amp; 1790)</f>
        <v>0</v>
      </c>
      <c r="T1795" cm="1">
        <f t="array" aca="1" ref="T1795" ca="1">INDIRECT("Data!N" &amp; 1790)</f>
        <v>0</v>
      </c>
      <c r="U1795" cm="1">
        <f t="array" aca="1" ref="U1795" ca="1">INDIRECT("Data!O" &amp; 1790)</f>
        <v>0</v>
      </c>
      <c r="V1795" cm="1">
        <f t="array" aca="1" ref="V1795" ca="1">INDIRECT("Data!P" &amp; 1790)</f>
        <v>0</v>
      </c>
    </row>
    <row r="1796" spans="7:22" x14ac:dyDescent="0.25">
      <c r="G1796" cm="1">
        <f t="array" aca="1" ref="G1796" ca="1">INDIRECT("Data!A" &amp; 1791)</f>
        <v>0</v>
      </c>
      <c r="H1796" s="21" cm="1">
        <f t="array" aca="1" ref="H1796" ca="1">INDIRECT("Data!B" &amp; 1791)</f>
        <v>0</v>
      </c>
      <c r="I1796" s="21" cm="1">
        <f t="array" aca="1" ref="I1796" ca="1">INDIRECT("Data!C" &amp; 1791)</f>
        <v>0</v>
      </c>
      <c r="J1796" cm="1">
        <f t="array" aca="1" ref="J1796" ca="1">INDIRECT("Data!D" &amp; 1791)</f>
        <v>0</v>
      </c>
      <c r="K1796" cm="1">
        <f t="array" aca="1" ref="K1796" ca="1">INDIRECT("Data!E" &amp; 1791)</f>
        <v>0</v>
      </c>
      <c r="L1796" cm="1">
        <f t="array" aca="1" ref="L1796" ca="1">INDIRECT("Data!F" &amp; 1791)</f>
        <v>0</v>
      </c>
      <c r="M1796" cm="1">
        <f t="array" aca="1" ref="M1796" ca="1">INDIRECT("Data!G" &amp; 1791)</f>
        <v>0</v>
      </c>
      <c r="N1796" cm="1">
        <f t="array" aca="1" ref="N1796" ca="1">INDIRECT("Data!H" &amp; 1791)</f>
        <v>0</v>
      </c>
      <c r="O1796" cm="1">
        <f t="array" aca="1" ref="O1796" ca="1">INDIRECT("Data!I" &amp; 1791)</f>
        <v>0</v>
      </c>
      <c r="P1796" s="21" cm="1">
        <f t="array" aca="1" ref="P1796" ca="1">INDIRECT("Data!J" &amp; 1791)</f>
        <v>0</v>
      </c>
      <c r="Q1796" cm="1">
        <f t="array" aca="1" ref="Q1796" ca="1">INDIRECT("Data!K" &amp; 1791)</f>
        <v>0</v>
      </c>
      <c r="R1796" cm="1">
        <f t="array" aca="1" ref="R1796" ca="1">INDIRECT("Data!L" &amp; 1791)</f>
        <v>0</v>
      </c>
      <c r="S1796" cm="1">
        <f t="array" aca="1" ref="S1796" ca="1">INDIRECT("Data!M" &amp; 1791)</f>
        <v>0</v>
      </c>
      <c r="T1796" cm="1">
        <f t="array" aca="1" ref="T1796" ca="1">INDIRECT("Data!N" &amp; 1791)</f>
        <v>0</v>
      </c>
      <c r="U1796" cm="1">
        <f t="array" aca="1" ref="U1796" ca="1">INDIRECT("Data!O" &amp; 1791)</f>
        <v>0</v>
      </c>
      <c r="V1796" cm="1">
        <f t="array" aca="1" ref="V1796" ca="1">INDIRECT("Data!P" &amp; 1791)</f>
        <v>0</v>
      </c>
    </row>
    <row r="1797" spans="7:22" x14ac:dyDescent="0.25">
      <c r="G1797" cm="1">
        <f t="array" aca="1" ref="G1797" ca="1">INDIRECT("Data!A" &amp; 1792)</f>
        <v>0</v>
      </c>
      <c r="H1797" s="21" cm="1">
        <f t="array" aca="1" ref="H1797" ca="1">INDIRECT("Data!B" &amp; 1792)</f>
        <v>0</v>
      </c>
      <c r="I1797" s="21" cm="1">
        <f t="array" aca="1" ref="I1797" ca="1">INDIRECT("Data!C" &amp; 1792)</f>
        <v>0</v>
      </c>
      <c r="J1797" cm="1">
        <f t="array" aca="1" ref="J1797" ca="1">INDIRECT("Data!D" &amp; 1792)</f>
        <v>0</v>
      </c>
      <c r="K1797" cm="1">
        <f t="array" aca="1" ref="K1797" ca="1">INDIRECT("Data!E" &amp; 1792)</f>
        <v>0</v>
      </c>
      <c r="L1797" cm="1">
        <f t="array" aca="1" ref="L1797" ca="1">INDIRECT("Data!F" &amp; 1792)</f>
        <v>0</v>
      </c>
      <c r="M1797" cm="1">
        <f t="array" aca="1" ref="M1797" ca="1">INDIRECT("Data!G" &amp; 1792)</f>
        <v>0</v>
      </c>
      <c r="N1797" cm="1">
        <f t="array" aca="1" ref="N1797" ca="1">INDIRECT("Data!H" &amp; 1792)</f>
        <v>0</v>
      </c>
      <c r="O1797" cm="1">
        <f t="array" aca="1" ref="O1797" ca="1">INDIRECT("Data!I" &amp; 1792)</f>
        <v>0</v>
      </c>
      <c r="P1797" s="21" cm="1">
        <f t="array" aca="1" ref="P1797" ca="1">INDIRECT("Data!J" &amp; 1792)</f>
        <v>0</v>
      </c>
      <c r="Q1797" cm="1">
        <f t="array" aca="1" ref="Q1797" ca="1">INDIRECT("Data!K" &amp; 1792)</f>
        <v>0</v>
      </c>
      <c r="R1797" cm="1">
        <f t="array" aca="1" ref="R1797" ca="1">INDIRECT("Data!L" &amp; 1792)</f>
        <v>0</v>
      </c>
      <c r="S1797" cm="1">
        <f t="array" aca="1" ref="S1797" ca="1">INDIRECT("Data!M" &amp; 1792)</f>
        <v>0</v>
      </c>
      <c r="T1797" cm="1">
        <f t="array" aca="1" ref="T1797" ca="1">INDIRECT("Data!N" &amp; 1792)</f>
        <v>0</v>
      </c>
      <c r="U1797" cm="1">
        <f t="array" aca="1" ref="U1797" ca="1">INDIRECT("Data!O" &amp; 1792)</f>
        <v>0</v>
      </c>
      <c r="V1797" cm="1">
        <f t="array" aca="1" ref="V1797" ca="1">INDIRECT("Data!P" &amp; 1792)</f>
        <v>0</v>
      </c>
    </row>
    <row r="1798" spans="7:22" x14ac:dyDescent="0.25">
      <c r="G1798" cm="1">
        <f t="array" aca="1" ref="G1798" ca="1">INDIRECT("Data!A" &amp; 1793)</f>
        <v>0</v>
      </c>
      <c r="H1798" s="21" cm="1">
        <f t="array" aca="1" ref="H1798" ca="1">INDIRECT("Data!B" &amp; 1793)</f>
        <v>0</v>
      </c>
      <c r="I1798" s="21" cm="1">
        <f t="array" aca="1" ref="I1798" ca="1">INDIRECT("Data!C" &amp; 1793)</f>
        <v>0</v>
      </c>
      <c r="J1798" cm="1">
        <f t="array" aca="1" ref="J1798" ca="1">INDIRECT("Data!D" &amp; 1793)</f>
        <v>0</v>
      </c>
      <c r="K1798" cm="1">
        <f t="array" aca="1" ref="K1798" ca="1">INDIRECT("Data!E" &amp; 1793)</f>
        <v>0</v>
      </c>
      <c r="L1798" cm="1">
        <f t="array" aca="1" ref="L1798" ca="1">INDIRECT("Data!F" &amp; 1793)</f>
        <v>0</v>
      </c>
      <c r="M1798" cm="1">
        <f t="array" aca="1" ref="M1798" ca="1">INDIRECT("Data!G" &amp; 1793)</f>
        <v>0</v>
      </c>
      <c r="N1798" cm="1">
        <f t="array" aca="1" ref="N1798" ca="1">INDIRECT("Data!H" &amp; 1793)</f>
        <v>0</v>
      </c>
      <c r="O1798" cm="1">
        <f t="array" aca="1" ref="O1798" ca="1">INDIRECT("Data!I" &amp; 1793)</f>
        <v>0</v>
      </c>
      <c r="P1798" s="21" cm="1">
        <f t="array" aca="1" ref="P1798" ca="1">INDIRECT("Data!J" &amp; 1793)</f>
        <v>0</v>
      </c>
      <c r="Q1798" cm="1">
        <f t="array" aca="1" ref="Q1798" ca="1">INDIRECT("Data!K" &amp; 1793)</f>
        <v>0</v>
      </c>
      <c r="R1798" cm="1">
        <f t="array" aca="1" ref="R1798" ca="1">INDIRECT("Data!L" &amp; 1793)</f>
        <v>0</v>
      </c>
      <c r="S1798" cm="1">
        <f t="array" aca="1" ref="S1798" ca="1">INDIRECT("Data!M" &amp; 1793)</f>
        <v>0</v>
      </c>
      <c r="T1798" cm="1">
        <f t="array" aca="1" ref="T1798" ca="1">INDIRECT("Data!N" &amp; 1793)</f>
        <v>0</v>
      </c>
      <c r="U1798" cm="1">
        <f t="array" aca="1" ref="U1798" ca="1">INDIRECT("Data!O" &amp; 1793)</f>
        <v>0</v>
      </c>
      <c r="V1798" cm="1">
        <f t="array" aca="1" ref="V1798" ca="1">INDIRECT("Data!P" &amp; 1793)</f>
        <v>0</v>
      </c>
    </row>
    <row r="1799" spans="7:22" x14ac:dyDescent="0.25">
      <c r="G1799" cm="1">
        <f t="array" aca="1" ref="G1799" ca="1">INDIRECT("Data!A" &amp; 1794)</f>
        <v>0</v>
      </c>
      <c r="H1799" s="21" cm="1">
        <f t="array" aca="1" ref="H1799" ca="1">INDIRECT("Data!B" &amp; 1794)</f>
        <v>0</v>
      </c>
      <c r="I1799" s="21" cm="1">
        <f t="array" aca="1" ref="I1799" ca="1">INDIRECT("Data!C" &amp; 1794)</f>
        <v>0</v>
      </c>
      <c r="J1799" cm="1">
        <f t="array" aca="1" ref="J1799" ca="1">INDIRECT("Data!D" &amp; 1794)</f>
        <v>0</v>
      </c>
      <c r="K1799" cm="1">
        <f t="array" aca="1" ref="K1799" ca="1">INDIRECT("Data!E" &amp; 1794)</f>
        <v>0</v>
      </c>
      <c r="L1799" cm="1">
        <f t="array" aca="1" ref="L1799" ca="1">INDIRECT("Data!F" &amp; 1794)</f>
        <v>0</v>
      </c>
      <c r="M1799" cm="1">
        <f t="array" aca="1" ref="M1799" ca="1">INDIRECT("Data!G" &amp; 1794)</f>
        <v>0</v>
      </c>
      <c r="N1799" cm="1">
        <f t="array" aca="1" ref="N1799" ca="1">INDIRECT("Data!H" &amp; 1794)</f>
        <v>0</v>
      </c>
      <c r="O1799" cm="1">
        <f t="array" aca="1" ref="O1799" ca="1">INDIRECT("Data!I" &amp; 1794)</f>
        <v>0</v>
      </c>
      <c r="P1799" s="21" cm="1">
        <f t="array" aca="1" ref="P1799" ca="1">INDIRECT("Data!J" &amp; 1794)</f>
        <v>0</v>
      </c>
      <c r="Q1799" cm="1">
        <f t="array" aca="1" ref="Q1799" ca="1">INDIRECT("Data!K" &amp; 1794)</f>
        <v>0</v>
      </c>
      <c r="R1799" cm="1">
        <f t="array" aca="1" ref="R1799" ca="1">INDIRECT("Data!L" &amp; 1794)</f>
        <v>0</v>
      </c>
      <c r="S1799" cm="1">
        <f t="array" aca="1" ref="S1799" ca="1">INDIRECT("Data!M" &amp; 1794)</f>
        <v>0</v>
      </c>
      <c r="T1799" cm="1">
        <f t="array" aca="1" ref="T1799" ca="1">INDIRECT("Data!N" &amp; 1794)</f>
        <v>0</v>
      </c>
      <c r="U1799" cm="1">
        <f t="array" aca="1" ref="U1799" ca="1">INDIRECT("Data!O" &amp; 1794)</f>
        <v>0</v>
      </c>
      <c r="V1799" cm="1">
        <f t="array" aca="1" ref="V1799" ca="1">INDIRECT("Data!P" &amp; 1794)</f>
        <v>0</v>
      </c>
    </row>
    <row r="1800" spans="7:22" x14ac:dyDescent="0.25">
      <c r="G1800" cm="1">
        <f t="array" aca="1" ref="G1800" ca="1">INDIRECT("Data!A" &amp; 1795)</f>
        <v>0</v>
      </c>
      <c r="H1800" s="21" cm="1">
        <f t="array" aca="1" ref="H1800" ca="1">INDIRECT("Data!B" &amp; 1795)</f>
        <v>0</v>
      </c>
      <c r="I1800" s="21" cm="1">
        <f t="array" aca="1" ref="I1800" ca="1">INDIRECT("Data!C" &amp; 1795)</f>
        <v>0</v>
      </c>
      <c r="J1800" cm="1">
        <f t="array" aca="1" ref="J1800" ca="1">INDIRECT("Data!D" &amp; 1795)</f>
        <v>0</v>
      </c>
      <c r="K1800" cm="1">
        <f t="array" aca="1" ref="K1800" ca="1">INDIRECT("Data!E" &amp; 1795)</f>
        <v>0</v>
      </c>
      <c r="L1800" cm="1">
        <f t="array" aca="1" ref="L1800" ca="1">INDIRECT("Data!F" &amp; 1795)</f>
        <v>0</v>
      </c>
      <c r="M1800" cm="1">
        <f t="array" aca="1" ref="M1800" ca="1">INDIRECT("Data!G" &amp; 1795)</f>
        <v>0</v>
      </c>
      <c r="N1800" cm="1">
        <f t="array" aca="1" ref="N1800" ca="1">INDIRECT("Data!H" &amp; 1795)</f>
        <v>0</v>
      </c>
      <c r="O1800" cm="1">
        <f t="array" aca="1" ref="O1800" ca="1">INDIRECT("Data!I" &amp; 1795)</f>
        <v>0</v>
      </c>
      <c r="P1800" s="21" cm="1">
        <f t="array" aca="1" ref="P1800" ca="1">INDIRECT("Data!J" &amp; 1795)</f>
        <v>0</v>
      </c>
      <c r="Q1800" cm="1">
        <f t="array" aca="1" ref="Q1800" ca="1">INDIRECT("Data!K" &amp; 1795)</f>
        <v>0</v>
      </c>
      <c r="R1800" cm="1">
        <f t="array" aca="1" ref="R1800" ca="1">INDIRECT("Data!L" &amp; 1795)</f>
        <v>0</v>
      </c>
      <c r="S1800" cm="1">
        <f t="array" aca="1" ref="S1800" ca="1">INDIRECT("Data!M" &amp; 1795)</f>
        <v>0</v>
      </c>
      <c r="T1800" cm="1">
        <f t="array" aca="1" ref="T1800" ca="1">INDIRECT("Data!N" &amp; 1795)</f>
        <v>0</v>
      </c>
      <c r="U1800" cm="1">
        <f t="array" aca="1" ref="U1800" ca="1">INDIRECT("Data!O" &amp; 1795)</f>
        <v>0</v>
      </c>
      <c r="V1800" cm="1">
        <f t="array" aca="1" ref="V1800" ca="1">INDIRECT("Data!P" &amp; 1795)</f>
        <v>0</v>
      </c>
    </row>
    <row r="1801" spans="7:22" x14ac:dyDescent="0.25">
      <c r="G1801" cm="1">
        <f t="array" aca="1" ref="G1801" ca="1">INDIRECT("Data!A" &amp; 1796)</f>
        <v>0</v>
      </c>
      <c r="H1801" s="21" cm="1">
        <f t="array" aca="1" ref="H1801" ca="1">INDIRECT("Data!B" &amp; 1796)</f>
        <v>0</v>
      </c>
      <c r="I1801" s="21" cm="1">
        <f t="array" aca="1" ref="I1801" ca="1">INDIRECT("Data!C" &amp; 1796)</f>
        <v>0</v>
      </c>
      <c r="J1801" cm="1">
        <f t="array" aca="1" ref="J1801" ca="1">INDIRECT("Data!D" &amp; 1796)</f>
        <v>0</v>
      </c>
      <c r="K1801" cm="1">
        <f t="array" aca="1" ref="K1801" ca="1">INDIRECT("Data!E" &amp; 1796)</f>
        <v>0</v>
      </c>
      <c r="L1801" cm="1">
        <f t="array" aca="1" ref="L1801" ca="1">INDIRECT("Data!F" &amp; 1796)</f>
        <v>0</v>
      </c>
      <c r="M1801" cm="1">
        <f t="array" aca="1" ref="M1801" ca="1">INDIRECT("Data!G" &amp; 1796)</f>
        <v>0</v>
      </c>
      <c r="N1801" cm="1">
        <f t="array" aca="1" ref="N1801" ca="1">INDIRECT("Data!H" &amp; 1796)</f>
        <v>0</v>
      </c>
      <c r="O1801" cm="1">
        <f t="array" aca="1" ref="O1801" ca="1">INDIRECT("Data!I" &amp; 1796)</f>
        <v>0</v>
      </c>
      <c r="P1801" s="21" cm="1">
        <f t="array" aca="1" ref="P1801" ca="1">INDIRECT("Data!J" &amp; 1796)</f>
        <v>0</v>
      </c>
      <c r="Q1801" cm="1">
        <f t="array" aca="1" ref="Q1801" ca="1">INDIRECT("Data!K" &amp; 1796)</f>
        <v>0</v>
      </c>
      <c r="R1801" cm="1">
        <f t="array" aca="1" ref="R1801" ca="1">INDIRECT("Data!L" &amp; 1796)</f>
        <v>0</v>
      </c>
      <c r="S1801" cm="1">
        <f t="array" aca="1" ref="S1801" ca="1">INDIRECT("Data!M" &amp; 1796)</f>
        <v>0</v>
      </c>
      <c r="T1801" cm="1">
        <f t="array" aca="1" ref="T1801" ca="1">INDIRECT("Data!N" &amp; 1796)</f>
        <v>0</v>
      </c>
      <c r="U1801" cm="1">
        <f t="array" aca="1" ref="U1801" ca="1">INDIRECT("Data!O" &amp; 1796)</f>
        <v>0</v>
      </c>
      <c r="V1801" cm="1">
        <f t="array" aca="1" ref="V1801" ca="1">INDIRECT("Data!P" &amp; 1796)</f>
        <v>0</v>
      </c>
    </row>
    <row r="1802" spans="7:22" x14ac:dyDescent="0.25">
      <c r="G1802" cm="1">
        <f t="array" aca="1" ref="G1802" ca="1">INDIRECT("Data!A" &amp; 1797)</f>
        <v>0</v>
      </c>
      <c r="H1802" s="21" cm="1">
        <f t="array" aca="1" ref="H1802" ca="1">INDIRECT("Data!B" &amp; 1797)</f>
        <v>0</v>
      </c>
      <c r="I1802" s="21" cm="1">
        <f t="array" aca="1" ref="I1802" ca="1">INDIRECT("Data!C" &amp; 1797)</f>
        <v>0</v>
      </c>
      <c r="J1802" cm="1">
        <f t="array" aca="1" ref="J1802" ca="1">INDIRECT("Data!D" &amp; 1797)</f>
        <v>0</v>
      </c>
      <c r="K1802" cm="1">
        <f t="array" aca="1" ref="K1802" ca="1">INDIRECT("Data!E" &amp; 1797)</f>
        <v>0</v>
      </c>
      <c r="L1802" cm="1">
        <f t="array" aca="1" ref="L1802" ca="1">INDIRECT("Data!F" &amp; 1797)</f>
        <v>0</v>
      </c>
      <c r="M1802" cm="1">
        <f t="array" aca="1" ref="M1802" ca="1">INDIRECT("Data!G" &amp; 1797)</f>
        <v>0</v>
      </c>
      <c r="N1802" cm="1">
        <f t="array" aca="1" ref="N1802" ca="1">INDIRECT("Data!H" &amp; 1797)</f>
        <v>0</v>
      </c>
      <c r="O1802" cm="1">
        <f t="array" aca="1" ref="O1802" ca="1">INDIRECT("Data!I" &amp; 1797)</f>
        <v>0</v>
      </c>
      <c r="P1802" s="21" cm="1">
        <f t="array" aca="1" ref="P1802" ca="1">INDIRECT("Data!J" &amp; 1797)</f>
        <v>0</v>
      </c>
      <c r="Q1802" cm="1">
        <f t="array" aca="1" ref="Q1802" ca="1">INDIRECT("Data!K" &amp; 1797)</f>
        <v>0</v>
      </c>
      <c r="R1802" cm="1">
        <f t="array" aca="1" ref="R1802" ca="1">INDIRECT("Data!L" &amp; 1797)</f>
        <v>0</v>
      </c>
      <c r="S1802" cm="1">
        <f t="array" aca="1" ref="S1802" ca="1">INDIRECT("Data!M" &amp; 1797)</f>
        <v>0</v>
      </c>
      <c r="T1802" cm="1">
        <f t="array" aca="1" ref="T1802" ca="1">INDIRECT("Data!N" &amp; 1797)</f>
        <v>0</v>
      </c>
      <c r="U1802" cm="1">
        <f t="array" aca="1" ref="U1802" ca="1">INDIRECT("Data!O" &amp; 1797)</f>
        <v>0</v>
      </c>
      <c r="V1802" cm="1">
        <f t="array" aca="1" ref="V1802" ca="1">INDIRECT("Data!P" &amp; 1797)</f>
        <v>0</v>
      </c>
    </row>
    <row r="1803" spans="7:22" x14ac:dyDescent="0.25">
      <c r="G1803" cm="1">
        <f t="array" aca="1" ref="G1803" ca="1">INDIRECT("Data!A" &amp; 1798)</f>
        <v>0</v>
      </c>
      <c r="H1803" s="21" cm="1">
        <f t="array" aca="1" ref="H1803" ca="1">INDIRECT("Data!B" &amp; 1798)</f>
        <v>0</v>
      </c>
      <c r="I1803" s="21" cm="1">
        <f t="array" aca="1" ref="I1803" ca="1">INDIRECT("Data!C" &amp; 1798)</f>
        <v>0</v>
      </c>
      <c r="J1803" cm="1">
        <f t="array" aca="1" ref="J1803" ca="1">INDIRECT("Data!D" &amp; 1798)</f>
        <v>0</v>
      </c>
      <c r="K1803" cm="1">
        <f t="array" aca="1" ref="K1803" ca="1">INDIRECT("Data!E" &amp; 1798)</f>
        <v>0</v>
      </c>
      <c r="L1803" cm="1">
        <f t="array" aca="1" ref="L1803" ca="1">INDIRECT("Data!F" &amp; 1798)</f>
        <v>0</v>
      </c>
      <c r="M1803" cm="1">
        <f t="array" aca="1" ref="M1803" ca="1">INDIRECT("Data!G" &amp; 1798)</f>
        <v>0</v>
      </c>
      <c r="N1803" cm="1">
        <f t="array" aca="1" ref="N1803" ca="1">INDIRECT("Data!H" &amp; 1798)</f>
        <v>0</v>
      </c>
      <c r="O1803" cm="1">
        <f t="array" aca="1" ref="O1803" ca="1">INDIRECT("Data!I" &amp; 1798)</f>
        <v>0</v>
      </c>
      <c r="P1803" s="21" cm="1">
        <f t="array" aca="1" ref="P1803" ca="1">INDIRECT("Data!J" &amp; 1798)</f>
        <v>0</v>
      </c>
      <c r="Q1803" cm="1">
        <f t="array" aca="1" ref="Q1803" ca="1">INDIRECT("Data!K" &amp; 1798)</f>
        <v>0</v>
      </c>
      <c r="R1803" cm="1">
        <f t="array" aca="1" ref="R1803" ca="1">INDIRECT("Data!L" &amp; 1798)</f>
        <v>0</v>
      </c>
      <c r="S1803" cm="1">
        <f t="array" aca="1" ref="S1803" ca="1">INDIRECT("Data!M" &amp; 1798)</f>
        <v>0</v>
      </c>
      <c r="T1803" cm="1">
        <f t="array" aca="1" ref="T1803" ca="1">INDIRECT("Data!N" &amp; 1798)</f>
        <v>0</v>
      </c>
      <c r="U1803" cm="1">
        <f t="array" aca="1" ref="U1803" ca="1">INDIRECT("Data!O" &amp; 1798)</f>
        <v>0</v>
      </c>
      <c r="V1803" cm="1">
        <f t="array" aca="1" ref="V1803" ca="1">INDIRECT("Data!P" &amp; 1798)</f>
        <v>0</v>
      </c>
    </row>
    <row r="1804" spans="7:22" x14ac:dyDescent="0.25">
      <c r="G1804" cm="1">
        <f t="array" aca="1" ref="G1804" ca="1">INDIRECT("Data!A" &amp; 1799)</f>
        <v>0</v>
      </c>
      <c r="H1804" s="21" cm="1">
        <f t="array" aca="1" ref="H1804" ca="1">INDIRECT("Data!B" &amp; 1799)</f>
        <v>0</v>
      </c>
      <c r="I1804" s="21" cm="1">
        <f t="array" aca="1" ref="I1804" ca="1">INDIRECT("Data!C" &amp; 1799)</f>
        <v>0</v>
      </c>
      <c r="J1804" cm="1">
        <f t="array" aca="1" ref="J1804" ca="1">INDIRECT("Data!D" &amp; 1799)</f>
        <v>0</v>
      </c>
      <c r="K1804" cm="1">
        <f t="array" aca="1" ref="K1804" ca="1">INDIRECT("Data!E" &amp; 1799)</f>
        <v>0</v>
      </c>
      <c r="L1804" cm="1">
        <f t="array" aca="1" ref="L1804" ca="1">INDIRECT("Data!F" &amp; 1799)</f>
        <v>0</v>
      </c>
      <c r="M1804" cm="1">
        <f t="array" aca="1" ref="M1804" ca="1">INDIRECT("Data!G" &amp; 1799)</f>
        <v>0</v>
      </c>
      <c r="N1804" cm="1">
        <f t="array" aca="1" ref="N1804" ca="1">INDIRECT("Data!H" &amp; 1799)</f>
        <v>0</v>
      </c>
      <c r="O1804" cm="1">
        <f t="array" aca="1" ref="O1804" ca="1">INDIRECT("Data!I" &amp; 1799)</f>
        <v>0</v>
      </c>
      <c r="P1804" s="21" cm="1">
        <f t="array" aca="1" ref="P1804" ca="1">INDIRECT("Data!J" &amp; 1799)</f>
        <v>0</v>
      </c>
      <c r="Q1804" cm="1">
        <f t="array" aca="1" ref="Q1804" ca="1">INDIRECT("Data!K" &amp; 1799)</f>
        <v>0</v>
      </c>
      <c r="R1804" cm="1">
        <f t="array" aca="1" ref="R1804" ca="1">INDIRECT("Data!L" &amp; 1799)</f>
        <v>0</v>
      </c>
      <c r="S1804" cm="1">
        <f t="array" aca="1" ref="S1804" ca="1">INDIRECT("Data!M" &amp; 1799)</f>
        <v>0</v>
      </c>
      <c r="T1804" cm="1">
        <f t="array" aca="1" ref="T1804" ca="1">INDIRECT("Data!N" &amp; 1799)</f>
        <v>0</v>
      </c>
      <c r="U1804" cm="1">
        <f t="array" aca="1" ref="U1804" ca="1">INDIRECT("Data!O" &amp; 1799)</f>
        <v>0</v>
      </c>
      <c r="V1804" cm="1">
        <f t="array" aca="1" ref="V1804" ca="1">INDIRECT("Data!P" &amp; 1799)</f>
        <v>0</v>
      </c>
    </row>
    <row r="1805" spans="7:22" x14ac:dyDescent="0.25">
      <c r="G1805" cm="1">
        <f t="array" aca="1" ref="G1805" ca="1">INDIRECT("Data!A" &amp; 1800)</f>
        <v>0</v>
      </c>
      <c r="H1805" s="21" cm="1">
        <f t="array" aca="1" ref="H1805" ca="1">INDIRECT("Data!B" &amp; 1800)</f>
        <v>0</v>
      </c>
      <c r="I1805" s="21" cm="1">
        <f t="array" aca="1" ref="I1805" ca="1">INDIRECT("Data!C" &amp; 1800)</f>
        <v>0</v>
      </c>
      <c r="J1805" cm="1">
        <f t="array" aca="1" ref="J1805" ca="1">INDIRECT("Data!D" &amp; 1800)</f>
        <v>0</v>
      </c>
      <c r="K1805" cm="1">
        <f t="array" aca="1" ref="K1805" ca="1">INDIRECT("Data!E" &amp; 1800)</f>
        <v>0</v>
      </c>
      <c r="L1805" cm="1">
        <f t="array" aca="1" ref="L1805" ca="1">INDIRECT("Data!F" &amp; 1800)</f>
        <v>0</v>
      </c>
      <c r="M1805" cm="1">
        <f t="array" aca="1" ref="M1805" ca="1">INDIRECT("Data!G" &amp; 1800)</f>
        <v>0</v>
      </c>
      <c r="N1805" cm="1">
        <f t="array" aca="1" ref="N1805" ca="1">INDIRECT("Data!H" &amp; 1800)</f>
        <v>0</v>
      </c>
      <c r="O1805" cm="1">
        <f t="array" aca="1" ref="O1805" ca="1">INDIRECT("Data!I" &amp; 1800)</f>
        <v>0</v>
      </c>
      <c r="P1805" s="21" cm="1">
        <f t="array" aca="1" ref="P1805" ca="1">INDIRECT("Data!J" &amp; 1800)</f>
        <v>0</v>
      </c>
      <c r="Q1805" cm="1">
        <f t="array" aca="1" ref="Q1805" ca="1">INDIRECT("Data!K" &amp; 1800)</f>
        <v>0</v>
      </c>
      <c r="R1805" cm="1">
        <f t="array" aca="1" ref="R1805" ca="1">INDIRECT("Data!L" &amp; 1800)</f>
        <v>0</v>
      </c>
      <c r="S1805" cm="1">
        <f t="array" aca="1" ref="S1805" ca="1">INDIRECT("Data!M" &amp; 1800)</f>
        <v>0</v>
      </c>
      <c r="T1805" cm="1">
        <f t="array" aca="1" ref="T1805" ca="1">INDIRECT("Data!N" &amp; 1800)</f>
        <v>0</v>
      </c>
      <c r="U1805" cm="1">
        <f t="array" aca="1" ref="U1805" ca="1">INDIRECT("Data!O" &amp; 1800)</f>
        <v>0</v>
      </c>
      <c r="V1805" cm="1">
        <f t="array" aca="1" ref="V1805" ca="1">INDIRECT("Data!P" &amp; 1800)</f>
        <v>0</v>
      </c>
    </row>
    <row r="1806" spans="7:22" x14ac:dyDescent="0.25">
      <c r="G1806" cm="1">
        <f t="array" aca="1" ref="G1806" ca="1">INDIRECT("Data!A" &amp; 1801)</f>
        <v>0</v>
      </c>
      <c r="H1806" s="21" cm="1">
        <f t="array" aca="1" ref="H1806" ca="1">INDIRECT("Data!B" &amp; 1801)</f>
        <v>0</v>
      </c>
      <c r="I1806" s="21" cm="1">
        <f t="array" aca="1" ref="I1806" ca="1">INDIRECT("Data!C" &amp; 1801)</f>
        <v>0</v>
      </c>
      <c r="J1806" cm="1">
        <f t="array" aca="1" ref="J1806" ca="1">INDIRECT("Data!D" &amp; 1801)</f>
        <v>0</v>
      </c>
      <c r="K1806" cm="1">
        <f t="array" aca="1" ref="K1806" ca="1">INDIRECT("Data!E" &amp; 1801)</f>
        <v>0</v>
      </c>
      <c r="L1806" cm="1">
        <f t="array" aca="1" ref="L1806" ca="1">INDIRECT("Data!F" &amp; 1801)</f>
        <v>0</v>
      </c>
      <c r="M1806" cm="1">
        <f t="array" aca="1" ref="M1806" ca="1">INDIRECT("Data!G" &amp; 1801)</f>
        <v>0</v>
      </c>
      <c r="N1806" cm="1">
        <f t="array" aca="1" ref="N1806" ca="1">INDIRECT("Data!H" &amp; 1801)</f>
        <v>0</v>
      </c>
      <c r="O1806" cm="1">
        <f t="array" aca="1" ref="O1806" ca="1">INDIRECT("Data!I" &amp; 1801)</f>
        <v>0</v>
      </c>
      <c r="P1806" s="21" cm="1">
        <f t="array" aca="1" ref="P1806" ca="1">INDIRECT("Data!J" &amp; 1801)</f>
        <v>0</v>
      </c>
      <c r="Q1806" cm="1">
        <f t="array" aca="1" ref="Q1806" ca="1">INDIRECT("Data!K" &amp; 1801)</f>
        <v>0</v>
      </c>
      <c r="R1806" cm="1">
        <f t="array" aca="1" ref="R1806" ca="1">INDIRECT("Data!L" &amp; 1801)</f>
        <v>0</v>
      </c>
      <c r="S1806" cm="1">
        <f t="array" aca="1" ref="S1806" ca="1">INDIRECT("Data!M" &amp; 1801)</f>
        <v>0</v>
      </c>
      <c r="T1806" cm="1">
        <f t="array" aca="1" ref="T1806" ca="1">INDIRECT("Data!N" &amp; 1801)</f>
        <v>0</v>
      </c>
      <c r="U1806" cm="1">
        <f t="array" aca="1" ref="U1806" ca="1">INDIRECT("Data!O" &amp; 1801)</f>
        <v>0</v>
      </c>
      <c r="V1806" cm="1">
        <f t="array" aca="1" ref="V1806" ca="1">INDIRECT("Data!P" &amp; 1801)</f>
        <v>0</v>
      </c>
    </row>
    <row r="1807" spans="7:22" x14ac:dyDescent="0.25">
      <c r="G1807" cm="1">
        <f t="array" aca="1" ref="G1807" ca="1">INDIRECT("Data!A" &amp; 1802)</f>
        <v>0</v>
      </c>
      <c r="H1807" s="21" cm="1">
        <f t="array" aca="1" ref="H1807" ca="1">INDIRECT("Data!B" &amp; 1802)</f>
        <v>0</v>
      </c>
      <c r="I1807" s="21" cm="1">
        <f t="array" aca="1" ref="I1807" ca="1">INDIRECT("Data!C" &amp; 1802)</f>
        <v>0</v>
      </c>
      <c r="J1807" cm="1">
        <f t="array" aca="1" ref="J1807" ca="1">INDIRECT("Data!D" &amp; 1802)</f>
        <v>0</v>
      </c>
      <c r="K1807" cm="1">
        <f t="array" aca="1" ref="K1807" ca="1">INDIRECT("Data!E" &amp; 1802)</f>
        <v>0</v>
      </c>
      <c r="L1807" cm="1">
        <f t="array" aca="1" ref="L1807" ca="1">INDIRECT("Data!F" &amp; 1802)</f>
        <v>0</v>
      </c>
      <c r="M1807" cm="1">
        <f t="array" aca="1" ref="M1807" ca="1">INDIRECT("Data!G" &amp; 1802)</f>
        <v>0</v>
      </c>
      <c r="N1807" cm="1">
        <f t="array" aca="1" ref="N1807" ca="1">INDIRECT("Data!H" &amp; 1802)</f>
        <v>0</v>
      </c>
      <c r="O1807" cm="1">
        <f t="array" aca="1" ref="O1807" ca="1">INDIRECT("Data!I" &amp; 1802)</f>
        <v>0</v>
      </c>
      <c r="P1807" s="21" cm="1">
        <f t="array" aca="1" ref="P1807" ca="1">INDIRECT("Data!J" &amp; 1802)</f>
        <v>0</v>
      </c>
      <c r="Q1807" cm="1">
        <f t="array" aca="1" ref="Q1807" ca="1">INDIRECT("Data!K" &amp; 1802)</f>
        <v>0</v>
      </c>
      <c r="R1807" cm="1">
        <f t="array" aca="1" ref="R1807" ca="1">INDIRECT("Data!L" &amp; 1802)</f>
        <v>0</v>
      </c>
      <c r="S1807" cm="1">
        <f t="array" aca="1" ref="S1807" ca="1">INDIRECT("Data!M" &amp; 1802)</f>
        <v>0</v>
      </c>
      <c r="T1807" cm="1">
        <f t="array" aca="1" ref="T1807" ca="1">INDIRECT("Data!N" &amp; 1802)</f>
        <v>0</v>
      </c>
      <c r="U1807" cm="1">
        <f t="array" aca="1" ref="U1807" ca="1">INDIRECT("Data!O" &amp; 1802)</f>
        <v>0</v>
      </c>
      <c r="V1807" cm="1">
        <f t="array" aca="1" ref="V1807" ca="1">INDIRECT("Data!P" &amp; 1802)</f>
        <v>0</v>
      </c>
    </row>
    <row r="1808" spans="7:22" x14ac:dyDescent="0.25">
      <c r="G1808" cm="1">
        <f t="array" aca="1" ref="G1808" ca="1">INDIRECT("Data!A" &amp; 1803)</f>
        <v>0</v>
      </c>
      <c r="H1808" s="21" cm="1">
        <f t="array" aca="1" ref="H1808" ca="1">INDIRECT("Data!B" &amp; 1803)</f>
        <v>0</v>
      </c>
      <c r="I1808" s="21" cm="1">
        <f t="array" aca="1" ref="I1808" ca="1">INDIRECT("Data!C" &amp; 1803)</f>
        <v>0</v>
      </c>
      <c r="J1808" cm="1">
        <f t="array" aca="1" ref="J1808" ca="1">INDIRECT("Data!D" &amp; 1803)</f>
        <v>0</v>
      </c>
      <c r="K1808" cm="1">
        <f t="array" aca="1" ref="K1808" ca="1">INDIRECT("Data!E" &amp; 1803)</f>
        <v>0</v>
      </c>
      <c r="L1808" cm="1">
        <f t="array" aca="1" ref="L1808" ca="1">INDIRECT("Data!F" &amp; 1803)</f>
        <v>0</v>
      </c>
      <c r="M1808" cm="1">
        <f t="array" aca="1" ref="M1808" ca="1">INDIRECT("Data!G" &amp; 1803)</f>
        <v>0</v>
      </c>
      <c r="N1808" cm="1">
        <f t="array" aca="1" ref="N1808" ca="1">INDIRECT("Data!H" &amp; 1803)</f>
        <v>0</v>
      </c>
      <c r="O1808" cm="1">
        <f t="array" aca="1" ref="O1808" ca="1">INDIRECT("Data!I" &amp; 1803)</f>
        <v>0</v>
      </c>
      <c r="P1808" s="21" cm="1">
        <f t="array" aca="1" ref="P1808" ca="1">INDIRECT("Data!J" &amp; 1803)</f>
        <v>0</v>
      </c>
      <c r="Q1808" cm="1">
        <f t="array" aca="1" ref="Q1808" ca="1">INDIRECT("Data!K" &amp; 1803)</f>
        <v>0</v>
      </c>
      <c r="R1808" cm="1">
        <f t="array" aca="1" ref="R1808" ca="1">INDIRECT("Data!L" &amp; 1803)</f>
        <v>0</v>
      </c>
      <c r="S1808" cm="1">
        <f t="array" aca="1" ref="S1808" ca="1">INDIRECT("Data!M" &amp; 1803)</f>
        <v>0</v>
      </c>
      <c r="T1808" cm="1">
        <f t="array" aca="1" ref="T1808" ca="1">INDIRECT("Data!N" &amp; 1803)</f>
        <v>0</v>
      </c>
      <c r="U1808" cm="1">
        <f t="array" aca="1" ref="U1808" ca="1">INDIRECT("Data!O" &amp; 1803)</f>
        <v>0</v>
      </c>
      <c r="V1808" cm="1">
        <f t="array" aca="1" ref="V1808" ca="1">INDIRECT("Data!P" &amp; 1803)</f>
        <v>0</v>
      </c>
    </row>
    <row r="1809" spans="7:22" x14ac:dyDescent="0.25">
      <c r="G1809" cm="1">
        <f t="array" aca="1" ref="G1809" ca="1">INDIRECT("Data!A" &amp; 1804)</f>
        <v>0</v>
      </c>
      <c r="H1809" s="21" cm="1">
        <f t="array" aca="1" ref="H1809" ca="1">INDIRECT("Data!B" &amp; 1804)</f>
        <v>0</v>
      </c>
      <c r="I1809" s="21" cm="1">
        <f t="array" aca="1" ref="I1809" ca="1">INDIRECT("Data!C" &amp; 1804)</f>
        <v>0</v>
      </c>
      <c r="J1809" cm="1">
        <f t="array" aca="1" ref="J1809" ca="1">INDIRECT("Data!D" &amp; 1804)</f>
        <v>0</v>
      </c>
      <c r="K1809" cm="1">
        <f t="array" aca="1" ref="K1809" ca="1">INDIRECT("Data!E" &amp; 1804)</f>
        <v>0</v>
      </c>
      <c r="L1809" cm="1">
        <f t="array" aca="1" ref="L1809" ca="1">INDIRECT("Data!F" &amp; 1804)</f>
        <v>0</v>
      </c>
      <c r="M1809" cm="1">
        <f t="array" aca="1" ref="M1809" ca="1">INDIRECT("Data!G" &amp; 1804)</f>
        <v>0</v>
      </c>
      <c r="N1809" cm="1">
        <f t="array" aca="1" ref="N1809" ca="1">INDIRECT("Data!H" &amp; 1804)</f>
        <v>0</v>
      </c>
      <c r="O1809" cm="1">
        <f t="array" aca="1" ref="O1809" ca="1">INDIRECT("Data!I" &amp; 1804)</f>
        <v>0</v>
      </c>
      <c r="P1809" s="21" cm="1">
        <f t="array" aca="1" ref="P1809" ca="1">INDIRECT("Data!J" &amp; 1804)</f>
        <v>0</v>
      </c>
      <c r="Q1809" cm="1">
        <f t="array" aca="1" ref="Q1809" ca="1">INDIRECT("Data!K" &amp; 1804)</f>
        <v>0</v>
      </c>
      <c r="R1809" cm="1">
        <f t="array" aca="1" ref="R1809" ca="1">INDIRECT("Data!L" &amp; 1804)</f>
        <v>0</v>
      </c>
      <c r="S1809" cm="1">
        <f t="array" aca="1" ref="S1809" ca="1">INDIRECT("Data!M" &amp; 1804)</f>
        <v>0</v>
      </c>
      <c r="T1809" cm="1">
        <f t="array" aca="1" ref="T1809" ca="1">INDIRECT("Data!N" &amp; 1804)</f>
        <v>0</v>
      </c>
      <c r="U1809" cm="1">
        <f t="array" aca="1" ref="U1809" ca="1">INDIRECT("Data!O" &amp; 1804)</f>
        <v>0</v>
      </c>
      <c r="V1809" cm="1">
        <f t="array" aca="1" ref="V1809" ca="1">INDIRECT("Data!P" &amp; 1804)</f>
        <v>0</v>
      </c>
    </row>
    <row r="1810" spans="7:22" x14ac:dyDescent="0.25">
      <c r="G1810" cm="1">
        <f t="array" aca="1" ref="G1810" ca="1">INDIRECT("Data!A" &amp; 1805)</f>
        <v>0</v>
      </c>
      <c r="H1810" s="21" cm="1">
        <f t="array" aca="1" ref="H1810" ca="1">INDIRECT("Data!B" &amp; 1805)</f>
        <v>0</v>
      </c>
      <c r="I1810" s="21" cm="1">
        <f t="array" aca="1" ref="I1810" ca="1">INDIRECT("Data!C" &amp; 1805)</f>
        <v>0</v>
      </c>
      <c r="J1810" cm="1">
        <f t="array" aca="1" ref="J1810" ca="1">INDIRECT("Data!D" &amp; 1805)</f>
        <v>0</v>
      </c>
      <c r="K1810" cm="1">
        <f t="array" aca="1" ref="K1810" ca="1">INDIRECT("Data!E" &amp; 1805)</f>
        <v>0</v>
      </c>
      <c r="L1810" cm="1">
        <f t="array" aca="1" ref="L1810" ca="1">INDIRECT("Data!F" &amp; 1805)</f>
        <v>0</v>
      </c>
      <c r="M1810" cm="1">
        <f t="array" aca="1" ref="M1810" ca="1">INDIRECT("Data!G" &amp; 1805)</f>
        <v>0</v>
      </c>
      <c r="N1810" cm="1">
        <f t="array" aca="1" ref="N1810" ca="1">INDIRECT("Data!H" &amp; 1805)</f>
        <v>0</v>
      </c>
      <c r="O1810" cm="1">
        <f t="array" aca="1" ref="O1810" ca="1">INDIRECT("Data!I" &amp; 1805)</f>
        <v>0</v>
      </c>
      <c r="P1810" s="21" cm="1">
        <f t="array" aca="1" ref="P1810" ca="1">INDIRECT("Data!J" &amp; 1805)</f>
        <v>0</v>
      </c>
      <c r="Q1810" cm="1">
        <f t="array" aca="1" ref="Q1810" ca="1">INDIRECT("Data!K" &amp; 1805)</f>
        <v>0</v>
      </c>
      <c r="R1810" cm="1">
        <f t="array" aca="1" ref="R1810" ca="1">INDIRECT("Data!L" &amp; 1805)</f>
        <v>0</v>
      </c>
      <c r="S1810" cm="1">
        <f t="array" aca="1" ref="S1810" ca="1">INDIRECT("Data!M" &amp; 1805)</f>
        <v>0</v>
      </c>
      <c r="T1810" cm="1">
        <f t="array" aca="1" ref="T1810" ca="1">INDIRECT("Data!N" &amp; 1805)</f>
        <v>0</v>
      </c>
      <c r="U1810" cm="1">
        <f t="array" aca="1" ref="U1810" ca="1">INDIRECT("Data!O" &amp; 1805)</f>
        <v>0</v>
      </c>
      <c r="V1810" cm="1">
        <f t="array" aca="1" ref="V1810" ca="1">INDIRECT("Data!P" &amp; 1805)</f>
        <v>0</v>
      </c>
    </row>
    <row r="1811" spans="7:22" x14ac:dyDescent="0.25">
      <c r="G1811" cm="1">
        <f t="array" aca="1" ref="G1811" ca="1">INDIRECT("Data!A" &amp; 1806)</f>
        <v>0</v>
      </c>
      <c r="H1811" s="21" cm="1">
        <f t="array" aca="1" ref="H1811" ca="1">INDIRECT("Data!B" &amp; 1806)</f>
        <v>0</v>
      </c>
      <c r="I1811" s="21" cm="1">
        <f t="array" aca="1" ref="I1811" ca="1">INDIRECT("Data!C" &amp; 1806)</f>
        <v>0</v>
      </c>
      <c r="J1811" cm="1">
        <f t="array" aca="1" ref="J1811" ca="1">INDIRECT("Data!D" &amp; 1806)</f>
        <v>0</v>
      </c>
      <c r="K1811" cm="1">
        <f t="array" aca="1" ref="K1811" ca="1">INDIRECT("Data!E" &amp; 1806)</f>
        <v>0</v>
      </c>
      <c r="L1811" cm="1">
        <f t="array" aca="1" ref="L1811" ca="1">INDIRECT("Data!F" &amp; 1806)</f>
        <v>0</v>
      </c>
      <c r="M1811" cm="1">
        <f t="array" aca="1" ref="M1811" ca="1">INDIRECT("Data!G" &amp; 1806)</f>
        <v>0</v>
      </c>
      <c r="N1811" cm="1">
        <f t="array" aca="1" ref="N1811" ca="1">INDIRECT("Data!H" &amp; 1806)</f>
        <v>0</v>
      </c>
      <c r="O1811" cm="1">
        <f t="array" aca="1" ref="O1811" ca="1">INDIRECT("Data!I" &amp; 1806)</f>
        <v>0</v>
      </c>
      <c r="P1811" s="21" cm="1">
        <f t="array" aca="1" ref="P1811" ca="1">INDIRECT("Data!J" &amp; 1806)</f>
        <v>0</v>
      </c>
      <c r="Q1811" cm="1">
        <f t="array" aca="1" ref="Q1811" ca="1">INDIRECT("Data!K" &amp; 1806)</f>
        <v>0</v>
      </c>
      <c r="R1811" cm="1">
        <f t="array" aca="1" ref="R1811" ca="1">INDIRECT("Data!L" &amp; 1806)</f>
        <v>0</v>
      </c>
      <c r="S1811" cm="1">
        <f t="array" aca="1" ref="S1811" ca="1">INDIRECT("Data!M" &amp; 1806)</f>
        <v>0</v>
      </c>
      <c r="T1811" cm="1">
        <f t="array" aca="1" ref="T1811" ca="1">INDIRECT("Data!N" &amp; 1806)</f>
        <v>0</v>
      </c>
      <c r="U1811" cm="1">
        <f t="array" aca="1" ref="U1811" ca="1">INDIRECT("Data!O" &amp; 1806)</f>
        <v>0</v>
      </c>
      <c r="V1811" cm="1">
        <f t="array" aca="1" ref="V1811" ca="1">INDIRECT("Data!P" &amp; 1806)</f>
        <v>0</v>
      </c>
    </row>
    <row r="1812" spans="7:22" x14ac:dyDescent="0.25">
      <c r="G1812" cm="1">
        <f t="array" aca="1" ref="G1812" ca="1">INDIRECT("Data!A" &amp; 1807)</f>
        <v>0</v>
      </c>
      <c r="H1812" s="21" cm="1">
        <f t="array" aca="1" ref="H1812" ca="1">INDIRECT("Data!B" &amp; 1807)</f>
        <v>0</v>
      </c>
      <c r="I1812" s="21" cm="1">
        <f t="array" aca="1" ref="I1812" ca="1">INDIRECT("Data!C" &amp; 1807)</f>
        <v>0</v>
      </c>
      <c r="J1812" cm="1">
        <f t="array" aca="1" ref="J1812" ca="1">INDIRECT("Data!D" &amp; 1807)</f>
        <v>0</v>
      </c>
      <c r="K1812" cm="1">
        <f t="array" aca="1" ref="K1812" ca="1">INDIRECT("Data!E" &amp; 1807)</f>
        <v>0</v>
      </c>
      <c r="L1812" cm="1">
        <f t="array" aca="1" ref="L1812" ca="1">INDIRECT("Data!F" &amp; 1807)</f>
        <v>0</v>
      </c>
      <c r="M1812" cm="1">
        <f t="array" aca="1" ref="M1812" ca="1">INDIRECT("Data!G" &amp; 1807)</f>
        <v>0</v>
      </c>
      <c r="N1812" cm="1">
        <f t="array" aca="1" ref="N1812" ca="1">INDIRECT("Data!H" &amp; 1807)</f>
        <v>0</v>
      </c>
      <c r="O1812" cm="1">
        <f t="array" aca="1" ref="O1812" ca="1">INDIRECT("Data!I" &amp; 1807)</f>
        <v>0</v>
      </c>
      <c r="P1812" s="21" cm="1">
        <f t="array" aca="1" ref="P1812" ca="1">INDIRECT("Data!J" &amp; 1807)</f>
        <v>0</v>
      </c>
      <c r="Q1812" cm="1">
        <f t="array" aca="1" ref="Q1812" ca="1">INDIRECT("Data!K" &amp; 1807)</f>
        <v>0</v>
      </c>
      <c r="R1812" cm="1">
        <f t="array" aca="1" ref="R1812" ca="1">INDIRECT("Data!L" &amp; 1807)</f>
        <v>0</v>
      </c>
      <c r="S1812" cm="1">
        <f t="array" aca="1" ref="S1812" ca="1">INDIRECT("Data!M" &amp; 1807)</f>
        <v>0</v>
      </c>
      <c r="T1812" cm="1">
        <f t="array" aca="1" ref="T1812" ca="1">INDIRECT("Data!N" &amp; 1807)</f>
        <v>0</v>
      </c>
      <c r="U1812" cm="1">
        <f t="array" aca="1" ref="U1812" ca="1">INDIRECT("Data!O" &amp; 1807)</f>
        <v>0</v>
      </c>
      <c r="V1812" cm="1">
        <f t="array" aca="1" ref="V1812" ca="1">INDIRECT("Data!P" &amp; 1807)</f>
        <v>0</v>
      </c>
    </row>
    <row r="1813" spans="7:22" x14ac:dyDescent="0.25">
      <c r="G1813" cm="1">
        <f t="array" aca="1" ref="G1813" ca="1">INDIRECT("Data!A" &amp; 1808)</f>
        <v>0</v>
      </c>
      <c r="H1813" s="21" cm="1">
        <f t="array" aca="1" ref="H1813" ca="1">INDIRECT("Data!B" &amp; 1808)</f>
        <v>0</v>
      </c>
      <c r="I1813" s="21" cm="1">
        <f t="array" aca="1" ref="I1813" ca="1">INDIRECT("Data!C" &amp; 1808)</f>
        <v>0</v>
      </c>
      <c r="J1813" cm="1">
        <f t="array" aca="1" ref="J1813" ca="1">INDIRECT("Data!D" &amp; 1808)</f>
        <v>0</v>
      </c>
      <c r="K1813" cm="1">
        <f t="array" aca="1" ref="K1813" ca="1">INDIRECT("Data!E" &amp; 1808)</f>
        <v>0</v>
      </c>
      <c r="L1813" cm="1">
        <f t="array" aca="1" ref="L1813" ca="1">INDIRECT("Data!F" &amp; 1808)</f>
        <v>0</v>
      </c>
      <c r="M1813" cm="1">
        <f t="array" aca="1" ref="M1813" ca="1">INDIRECT("Data!G" &amp; 1808)</f>
        <v>0</v>
      </c>
      <c r="N1813" cm="1">
        <f t="array" aca="1" ref="N1813" ca="1">INDIRECT("Data!H" &amp; 1808)</f>
        <v>0</v>
      </c>
      <c r="O1813" cm="1">
        <f t="array" aca="1" ref="O1813" ca="1">INDIRECT("Data!I" &amp; 1808)</f>
        <v>0</v>
      </c>
      <c r="P1813" s="21" cm="1">
        <f t="array" aca="1" ref="P1813" ca="1">INDIRECT("Data!J" &amp; 1808)</f>
        <v>0</v>
      </c>
      <c r="Q1813" cm="1">
        <f t="array" aca="1" ref="Q1813" ca="1">INDIRECT("Data!K" &amp; 1808)</f>
        <v>0</v>
      </c>
      <c r="R1813" cm="1">
        <f t="array" aca="1" ref="R1813" ca="1">INDIRECT("Data!L" &amp; 1808)</f>
        <v>0</v>
      </c>
      <c r="S1813" cm="1">
        <f t="array" aca="1" ref="S1813" ca="1">INDIRECT("Data!M" &amp; 1808)</f>
        <v>0</v>
      </c>
      <c r="T1813" cm="1">
        <f t="array" aca="1" ref="T1813" ca="1">INDIRECT("Data!N" &amp; 1808)</f>
        <v>0</v>
      </c>
      <c r="U1813" cm="1">
        <f t="array" aca="1" ref="U1813" ca="1">INDIRECT("Data!O" &amp; 1808)</f>
        <v>0</v>
      </c>
      <c r="V1813" cm="1">
        <f t="array" aca="1" ref="V1813" ca="1">INDIRECT("Data!P" &amp; 1808)</f>
        <v>0</v>
      </c>
    </row>
    <row r="1814" spans="7:22" x14ac:dyDescent="0.25">
      <c r="G1814" cm="1">
        <f t="array" aca="1" ref="G1814" ca="1">INDIRECT("Data!A" &amp; 1809)</f>
        <v>0</v>
      </c>
      <c r="H1814" s="21" cm="1">
        <f t="array" aca="1" ref="H1814" ca="1">INDIRECT("Data!B" &amp; 1809)</f>
        <v>0</v>
      </c>
      <c r="I1814" s="21" cm="1">
        <f t="array" aca="1" ref="I1814" ca="1">INDIRECT("Data!C" &amp; 1809)</f>
        <v>0</v>
      </c>
      <c r="J1814" cm="1">
        <f t="array" aca="1" ref="J1814" ca="1">INDIRECT("Data!D" &amp; 1809)</f>
        <v>0</v>
      </c>
      <c r="K1814" cm="1">
        <f t="array" aca="1" ref="K1814" ca="1">INDIRECT("Data!E" &amp; 1809)</f>
        <v>0</v>
      </c>
      <c r="L1814" cm="1">
        <f t="array" aca="1" ref="L1814" ca="1">INDIRECT("Data!F" &amp; 1809)</f>
        <v>0</v>
      </c>
      <c r="M1814" cm="1">
        <f t="array" aca="1" ref="M1814" ca="1">INDIRECT("Data!G" &amp; 1809)</f>
        <v>0</v>
      </c>
      <c r="N1814" cm="1">
        <f t="array" aca="1" ref="N1814" ca="1">INDIRECT("Data!H" &amp; 1809)</f>
        <v>0</v>
      </c>
      <c r="O1814" cm="1">
        <f t="array" aca="1" ref="O1814" ca="1">INDIRECT("Data!I" &amp; 1809)</f>
        <v>0</v>
      </c>
      <c r="P1814" s="21" cm="1">
        <f t="array" aca="1" ref="P1814" ca="1">INDIRECT("Data!J" &amp; 1809)</f>
        <v>0</v>
      </c>
      <c r="Q1814" cm="1">
        <f t="array" aca="1" ref="Q1814" ca="1">INDIRECT("Data!K" &amp; 1809)</f>
        <v>0</v>
      </c>
      <c r="R1814" cm="1">
        <f t="array" aca="1" ref="R1814" ca="1">INDIRECT("Data!L" &amp; 1809)</f>
        <v>0</v>
      </c>
      <c r="S1814" cm="1">
        <f t="array" aca="1" ref="S1814" ca="1">INDIRECT("Data!M" &amp; 1809)</f>
        <v>0</v>
      </c>
      <c r="T1814" cm="1">
        <f t="array" aca="1" ref="T1814" ca="1">INDIRECT("Data!N" &amp; 1809)</f>
        <v>0</v>
      </c>
      <c r="U1814" cm="1">
        <f t="array" aca="1" ref="U1814" ca="1">INDIRECT("Data!O" &amp; 1809)</f>
        <v>0</v>
      </c>
      <c r="V1814" cm="1">
        <f t="array" aca="1" ref="V1814" ca="1">INDIRECT("Data!P" &amp; 1809)</f>
        <v>0</v>
      </c>
    </row>
    <row r="1815" spans="7:22" x14ac:dyDescent="0.25">
      <c r="G1815" cm="1">
        <f t="array" aca="1" ref="G1815" ca="1">INDIRECT("Data!A" &amp; 1810)</f>
        <v>0</v>
      </c>
      <c r="H1815" s="21" cm="1">
        <f t="array" aca="1" ref="H1815" ca="1">INDIRECT("Data!B" &amp; 1810)</f>
        <v>0</v>
      </c>
      <c r="I1815" s="21" cm="1">
        <f t="array" aca="1" ref="I1815" ca="1">INDIRECT("Data!C" &amp; 1810)</f>
        <v>0</v>
      </c>
      <c r="J1815" cm="1">
        <f t="array" aca="1" ref="J1815" ca="1">INDIRECT("Data!D" &amp; 1810)</f>
        <v>0</v>
      </c>
      <c r="K1815" cm="1">
        <f t="array" aca="1" ref="K1815" ca="1">INDIRECT("Data!E" &amp; 1810)</f>
        <v>0</v>
      </c>
      <c r="L1815" cm="1">
        <f t="array" aca="1" ref="L1815" ca="1">INDIRECT("Data!F" &amp; 1810)</f>
        <v>0</v>
      </c>
      <c r="M1815" cm="1">
        <f t="array" aca="1" ref="M1815" ca="1">INDIRECT("Data!G" &amp; 1810)</f>
        <v>0</v>
      </c>
      <c r="N1815" cm="1">
        <f t="array" aca="1" ref="N1815" ca="1">INDIRECT("Data!H" &amp; 1810)</f>
        <v>0</v>
      </c>
      <c r="O1815" cm="1">
        <f t="array" aca="1" ref="O1815" ca="1">INDIRECT("Data!I" &amp; 1810)</f>
        <v>0</v>
      </c>
      <c r="P1815" s="21" cm="1">
        <f t="array" aca="1" ref="P1815" ca="1">INDIRECT("Data!J" &amp; 1810)</f>
        <v>0</v>
      </c>
      <c r="Q1815" cm="1">
        <f t="array" aca="1" ref="Q1815" ca="1">INDIRECT("Data!K" &amp; 1810)</f>
        <v>0</v>
      </c>
      <c r="R1815" cm="1">
        <f t="array" aca="1" ref="R1815" ca="1">INDIRECT("Data!L" &amp; 1810)</f>
        <v>0</v>
      </c>
      <c r="S1815" cm="1">
        <f t="array" aca="1" ref="S1815" ca="1">INDIRECT("Data!M" &amp; 1810)</f>
        <v>0</v>
      </c>
      <c r="T1815" cm="1">
        <f t="array" aca="1" ref="T1815" ca="1">INDIRECT("Data!N" &amp; 1810)</f>
        <v>0</v>
      </c>
      <c r="U1815" cm="1">
        <f t="array" aca="1" ref="U1815" ca="1">INDIRECT("Data!O" &amp; 1810)</f>
        <v>0</v>
      </c>
      <c r="V1815" cm="1">
        <f t="array" aca="1" ref="V1815" ca="1">INDIRECT("Data!P" &amp; 1810)</f>
        <v>0</v>
      </c>
    </row>
    <row r="1816" spans="7:22" x14ac:dyDescent="0.25">
      <c r="G1816" cm="1">
        <f t="array" aca="1" ref="G1816" ca="1">INDIRECT("Data!A" &amp; 1811)</f>
        <v>0</v>
      </c>
      <c r="H1816" s="21" cm="1">
        <f t="array" aca="1" ref="H1816" ca="1">INDIRECT("Data!B" &amp; 1811)</f>
        <v>0</v>
      </c>
      <c r="I1816" s="21" cm="1">
        <f t="array" aca="1" ref="I1816" ca="1">INDIRECT("Data!C" &amp; 1811)</f>
        <v>0</v>
      </c>
      <c r="J1816" cm="1">
        <f t="array" aca="1" ref="J1816" ca="1">INDIRECT("Data!D" &amp; 1811)</f>
        <v>0</v>
      </c>
      <c r="K1816" cm="1">
        <f t="array" aca="1" ref="K1816" ca="1">INDIRECT("Data!E" &amp; 1811)</f>
        <v>0</v>
      </c>
      <c r="L1816" cm="1">
        <f t="array" aca="1" ref="L1816" ca="1">INDIRECT("Data!F" &amp; 1811)</f>
        <v>0</v>
      </c>
      <c r="M1816" cm="1">
        <f t="array" aca="1" ref="M1816" ca="1">INDIRECT("Data!G" &amp; 1811)</f>
        <v>0</v>
      </c>
      <c r="N1816" cm="1">
        <f t="array" aca="1" ref="N1816" ca="1">INDIRECT("Data!H" &amp; 1811)</f>
        <v>0</v>
      </c>
      <c r="O1816" cm="1">
        <f t="array" aca="1" ref="O1816" ca="1">INDIRECT("Data!I" &amp; 1811)</f>
        <v>0</v>
      </c>
      <c r="P1816" s="21" cm="1">
        <f t="array" aca="1" ref="P1816" ca="1">INDIRECT("Data!J" &amp; 1811)</f>
        <v>0</v>
      </c>
      <c r="Q1816" cm="1">
        <f t="array" aca="1" ref="Q1816" ca="1">INDIRECT("Data!K" &amp; 1811)</f>
        <v>0</v>
      </c>
      <c r="R1816" cm="1">
        <f t="array" aca="1" ref="R1816" ca="1">INDIRECT("Data!L" &amp; 1811)</f>
        <v>0</v>
      </c>
      <c r="S1816" cm="1">
        <f t="array" aca="1" ref="S1816" ca="1">INDIRECT("Data!M" &amp; 1811)</f>
        <v>0</v>
      </c>
      <c r="T1816" cm="1">
        <f t="array" aca="1" ref="T1816" ca="1">INDIRECT("Data!N" &amp; 1811)</f>
        <v>0</v>
      </c>
      <c r="U1816" cm="1">
        <f t="array" aca="1" ref="U1816" ca="1">INDIRECT("Data!O" &amp; 1811)</f>
        <v>0</v>
      </c>
      <c r="V1816" cm="1">
        <f t="array" aca="1" ref="V1816" ca="1">INDIRECT("Data!P" &amp; 1811)</f>
        <v>0</v>
      </c>
    </row>
    <row r="1817" spans="7:22" x14ac:dyDescent="0.25">
      <c r="G1817" cm="1">
        <f t="array" aca="1" ref="G1817" ca="1">INDIRECT("Data!A" &amp; 1812)</f>
        <v>0</v>
      </c>
      <c r="H1817" s="21" cm="1">
        <f t="array" aca="1" ref="H1817" ca="1">INDIRECT("Data!B" &amp; 1812)</f>
        <v>0</v>
      </c>
      <c r="I1817" s="21" cm="1">
        <f t="array" aca="1" ref="I1817" ca="1">INDIRECT("Data!C" &amp; 1812)</f>
        <v>0</v>
      </c>
      <c r="J1817" cm="1">
        <f t="array" aca="1" ref="J1817" ca="1">INDIRECT("Data!D" &amp; 1812)</f>
        <v>0</v>
      </c>
      <c r="K1817" cm="1">
        <f t="array" aca="1" ref="K1817" ca="1">INDIRECT("Data!E" &amp; 1812)</f>
        <v>0</v>
      </c>
      <c r="L1817" cm="1">
        <f t="array" aca="1" ref="L1817" ca="1">INDIRECT("Data!F" &amp; 1812)</f>
        <v>0</v>
      </c>
      <c r="M1817" cm="1">
        <f t="array" aca="1" ref="M1817" ca="1">INDIRECT("Data!G" &amp; 1812)</f>
        <v>0</v>
      </c>
      <c r="N1817" cm="1">
        <f t="array" aca="1" ref="N1817" ca="1">INDIRECT("Data!H" &amp; 1812)</f>
        <v>0</v>
      </c>
      <c r="O1817" cm="1">
        <f t="array" aca="1" ref="O1817" ca="1">INDIRECT("Data!I" &amp; 1812)</f>
        <v>0</v>
      </c>
      <c r="P1817" s="21" cm="1">
        <f t="array" aca="1" ref="P1817" ca="1">INDIRECT("Data!J" &amp; 1812)</f>
        <v>0</v>
      </c>
      <c r="Q1817" cm="1">
        <f t="array" aca="1" ref="Q1817" ca="1">INDIRECT("Data!K" &amp; 1812)</f>
        <v>0</v>
      </c>
      <c r="R1817" cm="1">
        <f t="array" aca="1" ref="R1817" ca="1">INDIRECT("Data!L" &amp; 1812)</f>
        <v>0</v>
      </c>
      <c r="S1817" cm="1">
        <f t="array" aca="1" ref="S1817" ca="1">INDIRECT("Data!M" &amp; 1812)</f>
        <v>0</v>
      </c>
      <c r="T1817" cm="1">
        <f t="array" aca="1" ref="T1817" ca="1">INDIRECT("Data!N" &amp; 1812)</f>
        <v>0</v>
      </c>
      <c r="U1817" cm="1">
        <f t="array" aca="1" ref="U1817" ca="1">INDIRECT("Data!O" &amp; 1812)</f>
        <v>0</v>
      </c>
      <c r="V1817" cm="1">
        <f t="array" aca="1" ref="V1817" ca="1">INDIRECT("Data!P" &amp; 1812)</f>
        <v>0</v>
      </c>
    </row>
    <row r="1818" spans="7:22" x14ac:dyDescent="0.25">
      <c r="G1818" cm="1">
        <f t="array" aca="1" ref="G1818" ca="1">INDIRECT("Data!A" &amp; 1813)</f>
        <v>0</v>
      </c>
      <c r="H1818" s="21" cm="1">
        <f t="array" aca="1" ref="H1818" ca="1">INDIRECT("Data!B" &amp; 1813)</f>
        <v>0</v>
      </c>
      <c r="I1818" s="21" cm="1">
        <f t="array" aca="1" ref="I1818" ca="1">INDIRECT("Data!C" &amp; 1813)</f>
        <v>0</v>
      </c>
      <c r="J1818" cm="1">
        <f t="array" aca="1" ref="J1818" ca="1">INDIRECT("Data!D" &amp; 1813)</f>
        <v>0</v>
      </c>
      <c r="K1818" cm="1">
        <f t="array" aca="1" ref="K1818" ca="1">INDIRECT("Data!E" &amp; 1813)</f>
        <v>0</v>
      </c>
      <c r="L1818" cm="1">
        <f t="array" aca="1" ref="L1818" ca="1">INDIRECT("Data!F" &amp; 1813)</f>
        <v>0</v>
      </c>
      <c r="M1818" cm="1">
        <f t="array" aca="1" ref="M1818" ca="1">INDIRECT("Data!G" &amp; 1813)</f>
        <v>0</v>
      </c>
      <c r="N1818" cm="1">
        <f t="array" aca="1" ref="N1818" ca="1">INDIRECT("Data!H" &amp; 1813)</f>
        <v>0</v>
      </c>
      <c r="O1818" cm="1">
        <f t="array" aca="1" ref="O1818" ca="1">INDIRECT("Data!I" &amp; 1813)</f>
        <v>0</v>
      </c>
      <c r="P1818" s="21" cm="1">
        <f t="array" aca="1" ref="P1818" ca="1">INDIRECT("Data!J" &amp; 1813)</f>
        <v>0</v>
      </c>
      <c r="Q1818" cm="1">
        <f t="array" aca="1" ref="Q1818" ca="1">INDIRECT("Data!K" &amp; 1813)</f>
        <v>0</v>
      </c>
      <c r="R1818" cm="1">
        <f t="array" aca="1" ref="R1818" ca="1">INDIRECT("Data!L" &amp; 1813)</f>
        <v>0</v>
      </c>
      <c r="S1818" cm="1">
        <f t="array" aca="1" ref="S1818" ca="1">INDIRECT("Data!M" &amp; 1813)</f>
        <v>0</v>
      </c>
      <c r="T1818" cm="1">
        <f t="array" aca="1" ref="T1818" ca="1">INDIRECT("Data!N" &amp; 1813)</f>
        <v>0</v>
      </c>
      <c r="U1818" cm="1">
        <f t="array" aca="1" ref="U1818" ca="1">INDIRECT("Data!O" &amp; 1813)</f>
        <v>0</v>
      </c>
      <c r="V1818" cm="1">
        <f t="array" aca="1" ref="V1818" ca="1">INDIRECT("Data!P" &amp; 1813)</f>
        <v>0</v>
      </c>
    </row>
    <row r="1819" spans="7:22" x14ac:dyDescent="0.25">
      <c r="G1819" cm="1">
        <f t="array" aca="1" ref="G1819" ca="1">INDIRECT("Data!A" &amp; 1814)</f>
        <v>0</v>
      </c>
      <c r="H1819" s="21" cm="1">
        <f t="array" aca="1" ref="H1819" ca="1">INDIRECT("Data!B" &amp; 1814)</f>
        <v>0</v>
      </c>
      <c r="I1819" s="21" cm="1">
        <f t="array" aca="1" ref="I1819" ca="1">INDIRECT("Data!C" &amp; 1814)</f>
        <v>0</v>
      </c>
      <c r="J1819" cm="1">
        <f t="array" aca="1" ref="J1819" ca="1">INDIRECT("Data!D" &amp; 1814)</f>
        <v>0</v>
      </c>
      <c r="K1819" cm="1">
        <f t="array" aca="1" ref="K1819" ca="1">INDIRECT("Data!E" &amp; 1814)</f>
        <v>0</v>
      </c>
      <c r="L1819" cm="1">
        <f t="array" aca="1" ref="L1819" ca="1">INDIRECT("Data!F" &amp; 1814)</f>
        <v>0</v>
      </c>
      <c r="M1819" cm="1">
        <f t="array" aca="1" ref="M1819" ca="1">INDIRECT("Data!G" &amp; 1814)</f>
        <v>0</v>
      </c>
      <c r="N1819" cm="1">
        <f t="array" aca="1" ref="N1819" ca="1">INDIRECT("Data!H" &amp; 1814)</f>
        <v>0</v>
      </c>
      <c r="O1819" cm="1">
        <f t="array" aca="1" ref="O1819" ca="1">INDIRECT("Data!I" &amp; 1814)</f>
        <v>0</v>
      </c>
      <c r="P1819" s="21" cm="1">
        <f t="array" aca="1" ref="P1819" ca="1">INDIRECT("Data!J" &amp; 1814)</f>
        <v>0</v>
      </c>
      <c r="Q1819" cm="1">
        <f t="array" aca="1" ref="Q1819" ca="1">INDIRECT("Data!K" &amp; 1814)</f>
        <v>0</v>
      </c>
      <c r="R1819" cm="1">
        <f t="array" aca="1" ref="R1819" ca="1">INDIRECT("Data!L" &amp; 1814)</f>
        <v>0</v>
      </c>
      <c r="S1819" cm="1">
        <f t="array" aca="1" ref="S1819" ca="1">INDIRECT("Data!M" &amp; 1814)</f>
        <v>0</v>
      </c>
      <c r="T1819" cm="1">
        <f t="array" aca="1" ref="T1819" ca="1">INDIRECT("Data!N" &amp; 1814)</f>
        <v>0</v>
      </c>
      <c r="U1819" cm="1">
        <f t="array" aca="1" ref="U1819" ca="1">INDIRECT("Data!O" &amp; 1814)</f>
        <v>0</v>
      </c>
      <c r="V1819" cm="1">
        <f t="array" aca="1" ref="V1819" ca="1">INDIRECT("Data!P" &amp; 1814)</f>
        <v>0</v>
      </c>
    </row>
    <row r="1820" spans="7:22" x14ac:dyDescent="0.25">
      <c r="G1820" cm="1">
        <f t="array" aca="1" ref="G1820" ca="1">INDIRECT("Data!A" &amp; 1815)</f>
        <v>0</v>
      </c>
      <c r="H1820" s="21" cm="1">
        <f t="array" aca="1" ref="H1820" ca="1">INDIRECT("Data!B" &amp; 1815)</f>
        <v>0</v>
      </c>
      <c r="I1820" s="21" cm="1">
        <f t="array" aca="1" ref="I1820" ca="1">INDIRECT("Data!C" &amp; 1815)</f>
        <v>0</v>
      </c>
      <c r="J1820" cm="1">
        <f t="array" aca="1" ref="J1820" ca="1">INDIRECT("Data!D" &amp; 1815)</f>
        <v>0</v>
      </c>
      <c r="K1820" cm="1">
        <f t="array" aca="1" ref="K1820" ca="1">INDIRECT("Data!E" &amp; 1815)</f>
        <v>0</v>
      </c>
      <c r="L1820" cm="1">
        <f t="array" aca="1" ref="L1820" ca="1">INDIRECT("Data!F" &amp; 1815)</f>
        <v>0</v>
      </c>
      <c r="M1820" cm="1">
        <f t="array" aca="1" ref="M1820" ca="1">INDIRECT("Data!G" &amp; 1815)</f>
        <v>0</v>
      </c>
      <c r="N1820" cm="1">
        <f t="array" aca="1" ref="N1820" ca="1">INDIRECT("Data!H" &amp; 1815)</f>
        <v>0</v>
      </c>
      <c r="O1820" cm="1">
        <f t="array" aca="1" ref="O1820" ca="1">INDIRECT("Data!I" &amp; 1815)</f>
        <v>0</v>
      </c>
      <c r="P1820" s="21" cm="1">
        <f t="array" aca="1" ref="P1820" ca="1">INDIRECT("Data!J" &amp; 1815)</f>
        <v>0</v>
      </c>
      <c r="Q1820" cm="1">
        <f t="array" aca="1" ref="Q1820" ca="1">INDIRECT("Data!K" &amp; 1815)</f>
        <v>0</v>
      </c>
      <c r="R1820" cm="1">
        <f t="array" aca="1" ref="R1820" ca="1">INDIRECT("Data!L" &amp; 1815)</f>
        <v>0</v>
      </c>
      <c r="S1820" cm="1">
        <f t="array" aca="1" ref="S1820" ca="1">INDIRECT("Data!M" &amp; 1815)</f>
        <v>0</v>
      </c>
      <c r="T1820" cm="1">
        <f t="array" aca="1" ref="T1820" ca="1">INDIRECT("Data!N" &amp; 1815)</f>
        <v>0</v>
      </c>
      <c r="U1820" cm="1">
        <f t="array" aca="1" ref="U1820" ca="1">INDIRECT("Data!O" &amp; 1815)</f>
        <v>0</v>
      </c>
      <c r="V1820" cm="1">
        <f t="array" aca="1" ref="V1820" ca="1">INDIRECT("Data!P" &amp; 1815)</f>
        <v>0</v>
      </c>
    </row>
    <row r="1821" spans="7:22" x14ac:dyDescent="0.25">
      <c r="G1821" cm="1">
        <f t="array" aca="1" ref="G1821" ca="1">INDIRECT("Data!A" &amp; 1816)</f>
        <v>0</v>
      </c>
      <c r="H1821" s="21" cm="1">
        <f t="array" aca="1" ref="H1821" ca="1">INDIRECT("Data!B" &amp; 1816)</f>
        <v>0</v>
      </c>
      <c r="I1821" s="21" cm="1">
        <f t="array" aca="1" ref="I1821" ca="1">INDIRECT("Data!C" &amp; 1816)</f>
        <v>0</v>
      </c>
      <c r="J1821" cm="1">
        <f t="array" aca="1" ref="J1821" ca="1">INDIRECT("Data!D" &amp; 1816)</f>
        <v>0</v>
      </c>
      <c r="K1821" cm="1">
        <f t="array" aca="1" ref="K1821" ca="1">INDIRECT("Data!E" &amp; 1816)</f>
        <v>0</v>
      </c>
      <c r="L1821" cm="1">
        <f t="array" aca="1" ref="L1821" ca="1">INDIRECT("Data!F" &amp; 1816)</f>
        <v>0</v>
      </c>
      <c r="M1821" cm="1">
        <f t="array" aca="1" ref="M1821" ca="1">INDIRECT("Data!G" &amp; 1816)</f>
        <v>0</v>
      </c>
      <c r="N1821" cm="1">
        <f t="array" aca="1" ref="N1821" ca="1">INDIRECT("Data!H" &amp; 1816)</f>
        <v>0</v>
      </c>
      <c r="O1821" cm="1">
        <f t="array" aca="1" ref="O1821" ca="1">INDIRECT("Data!I" &amp; 1816)</f>
        <v>0</v>
      </c>
      <c r="P1821" s="21" cm="1">
        <f t="array" aca="1" ref="P1821" ca="1">INDIRECT("Data!J" &amp; 1816)</f>
        <v>0</v>
      </c>
      <c r="Q1821" cm="1">
        <f t="array" aca="1" ref="Q1821" ca="1">INDIRECT("Data!K" &amp; 1816)</f>
        <v>0</v>
      </c>
      <c r="R1821" cm="1">
        <f t="array" aca="1" ref="R1821" ca="1">INDIRECT("Data!L" &amp; 1816)</f>
        <v>0</v>
      </c>
      <c r="S1821" cm="1">
        <f t="array" aca="1" ref="S1821" ca="1">INDIRECT("Data!M" &amp; 1816)</f>
        <v>0</v>
      </c>
      <c r="T1821" cm="1">
        <f t="array" aca="1" ref="T1821" ca="1">INDIRECT("Data!N" &amp; 1816)</f>
        <v>0</v>
      </c>
      <c r="U1821" cm="1">
        <f t="array" aca="1" ref="U1821" ca="1">INDIRECT("Data!O" &amp; 1816)</f>
        <v>0</v>
      </c>
      <c r="V1821" cm="1">
        <f t="array" aca="1" ref="V1821" ca="1">INDIRECT("Data!P" &amp; 1816)</f>
        <v>0</v>
      </c>
    </row>
    <row r="1822" spans="7:22" x14ac:dyDescent="0.25">
      <c r="G1822" cm="1">
        <f t="array" aca="1" ref="G1822" ca="1">INDIRECT("Data!A" &amp; 1817)</f>
        <v>0</v>
      </c>
      <c r="H1822" s="21" cm="1">
        <f t="array" aca="1" ref="H1822" ca="1">INDIRECT("Data!B" &amp; 1817)</f>
        <v>0</v>
      </c>
      <c r="I1822" s="21" cm="1">
        <f t="array" aca="1" ref="I1822" ca="1">INDIRECT("Data!C" &amp; 1817)</f>
        <v>0</v>
      </c>
      <c r="J1822" cm="1">
        <f t="array" aca="1" ref="J1822" ca="1">INDIRECT("Data!D" &amp; 1817)</f>
        <v>0</v>
      </c>
      <c r="K1822" cm="1">
        <f t="array" aca="1" ref="K1822" ca="1">INDIRECT("Data!E" &amp; 1817)</f>
        <v>0</v>
      </c>
      <c r="L1822" cm="1">
        <f t="array" aca="1" ref="L1822" ca="1">INDIRECT("Data!F" &amp; 1817)</f>
        <v>0</v>
      </c>
      <c r="M1822" cm="1">
        <f t="array" aca="1" ref="M1822" ca="1">INDIRECT("Data!G" &amp; 1817)</f>
        <v>0</v>
      </c>
      <c r="N1822" cm="1">
        <f t="array" aca="1" ref="N1822" ca="1">INDIRECT("Data!H" &amp; 1817)</f>
        <v>0</v>
      </c>
      <c r="O1822" cm="1">
        <f t="array" aca="1" ref="O1822" ca="1">INDIRECT("Data!I" &amp; 1817)</f>
        <v>0</v>
      </c>
      <c r="P1822" s="21" cm="1">
        <f t="array" aca="1" ref="P1822" ca="1">INDIRECT("Data!J" &amp; 1817)</f>
        <v>0</v>
      </c>
      <c r="Q1822" cm="1">
        <f t="array" aca="1" ref="Q1822" ca="1">INDIRECT("Data!K" &amp; 1817)</f>
        <v>0</v>
      </c>
      <c r="R1822" cm="1">
        <f t="array" aca="1" ref="R1822" ca="1">INDIRECT("Data!L" &amp; 1817)</f>
        <v>0</v>
      </c>
      <c r="S1822" cm="1">
        <f t="array" aca="1" ref="S1822" ca="1">INDIRECT("Data!M" &amp; 1817)</f>
        <v>0</v>
      </c>
      <c r="T1822" cm="1">
        <f t="array" aca="1" ref="T1822" ca="1">INDIRECT("Data!N" &amp; 1817)</f>
        <v>0</v>
      </c>
      <c r="U1822" cm="1">
        <f t="array" aca="1" ref="U1822" ca="1">INDIRECT("Data!O" &amp; 1817)</f>
        <v>0</v>
      </c>
      <c r="V1822" cm="1">
        <f t="array" aca="1" ref="V1822" ca="1">INDIRECT("Data!P" &amp; 1817)</f>
        <v>0</v>
      </c>
    </row>
    <row r="1823" spans="7:22" x14ac:dyDescent="0.25">
      <c r="G1823" cm="1">
        <f t="array" aca="1" ref="G1823" ca="1">INDIRECT("Data!A" &amp; 1818)</f>
        <v>0</v>
      </c>
      <c r="H1823" s="21" cm="1">
        <f t="array" aca="1" ref="H1823" ca="1">INDIRECT("Data!B" &amp; 1818)</f>
        <v>0</v>
      </c>
      <c r="I1823" s="21" cm="1">
        <f t="array" aca="1" ref="I1823" ca="1">INDIRECT("Data!C" &amp; 1818)</f>
        <v>0</v>
      </c>
      <c r="J1823" cm="1">
        <f t="array" aca="1" ref="J1823" ca="1">INDIRECT("Data!D" &amp; 1818)</f>
        <v>0</v>
      </c>
      <c r="K1823" cm="1">
        <f t="array" aca="1" ref="K1823" ca="1">INDIRECT("Data!E" &amp; 1818)</f>
        <v>0</v>
      </c>
      <c r="L1823" cm="1">
        <f t="array" aca="1" ref="L1823" ca="1">INDIRECT("Data!F" &amp; 1818)</f>
        <v>0</v>
      </c>
      <c r="M1823" cm="1">
        <f t="array" aca="1" ref="M1823" ca="1">INDIRECT("Data!G" &amp; 1818)</f>
        <v>0</v>
      </c>
      <c r="N1823" cm="1">
        <f t="array" aca="1" ref="N1823" ca="1">INDIRECT("Data!H" &amp; 1818)</f>
        <v>0</v>
      </c>
      <c r="O1823" cm="1">
        <f t="array" aca="1" ref="O1823" ca="1">INDIRECT("Data!I" &amp; 1818)</f>
        <v>0</v>
      </c>
      <c r="P1823" s="21" cm="1">
        <f t="array" aca="1" ref="P1823" ca="1">INDIRECT("Data!J" &amp; 1818)</f>
        <v>0</v>
      </c>
      <c r="Q1823" cm="1">
        <f t="array" aca="1" ref="Q1823" ca="1">INDIRECT("Data!K" &amp; 1818)</f>
        <v>0</v>
      </c>
      <c r="R1823" cm="1">
        <f t="array" aca="1" ref="R1823" ca="1">INDIRECT("Data!L" &amp; 1818)</f>
        <v>0</v>
      </c>
      <c r="S1823" cm="1">
        <f t="array" aca="1" ref="S1823" ca="1">INDIRECT("Data!M" &amp; 1818)</f>
        <v>0</v>
      </c>
      <c r="T1823" cm="1">
        <f t="array" aca="1" ref="T1823" ca="1">INDIRECT("Data!N" &amp; 1818)</f>
        <v>0</v>
      </c>
      <c r="U1823" cm="1">
        <f t="array" aca="1" ref="U1823" ca="1">INDIRECT("Data!O" &amp; 1818)</f>
        <v>0</v>
      </c>
      <c r="V1823" cm="1">
        <f t="array" aca="1" ref="V1823" ca="1">INDIRECT("Data!P" &amp; 1818)</f>
        <v>0</v>
      </c>
    </row>
    <row r="1824" spans="7:22" x14ac:dyDescent="0.25">
      <c r="G1824" cm="1">
        <f t="array" aca="1" ref="G1824" ca="1">INDIRECT("Data!A" &amp; 1819)</f>
        <v>0</v>
      </c>
      <c r="H1824" s="21" cm="1">
        <f t="array" aca="1" ref="H1824" ca="1">INDIRECT("Data!B" &amp; 1819)</f>
        <v>0</v>
      </c>
      <c r="I1824" s="21" cm="1">
        <f t="array" aca="1" ref="I1824" ca="1">INDIRECT("Data!C" &amp; 1819)</f>
        <v>0</v>
      </c>
      <c r="J1824" cm="1">
        <f t="array" aca="1" ref="J1824" ca="1">INDIRECT("Data!D" &amp; 1819)</f>
        <v>0</v>
      </c>
      <c r="K1824" cm="1">
        <f t="array" aca="1" ref="K1824" ca="1">INDIRECT("Data!E" &amp; 1819)</f>
        <v>0</v>
      </c>
      <c r="L1824" cm="1">
        <f t="array" aca="1" ref="L1824" ca="1">INDIRECT("Data!F" &amp; 1819)</f>
        <v>0</v>
      </c>
      <c r="M1824" cm="1">
        <f t="array" aca="1" ref="M1824" ca="1">INDIRECT("Data!G" &amp; 1819)</f>
        <v>0</v>
      </c>
      <c r="N1824" cm="1">
        <f t="array" aca="1" ref="N1824" ca="1">INDIRECT("Data!H" &amp; 1819)</f>
        <v>0</v>
      </c>
      <c r="O1824" cm="1">
        <f t="array" aca="1" ref="O1824" ca="1">INDIRECT("Data!I" &amp; 1819)</f>
        <v>0</v>
      </c>
      <c r="P1824" s="21" cm="1">
        <f t="array" aca="1" ref="P1824" ca="1">INDIRECT("Data!J" &amp; 1819)</f>
        <v>0</v>
      </c>
      <c r="Q1824" cm="1">
        <f t="array" aca="1" ref="Q1824" ca="1">INDIRECT("Data!K" &amp; 1819)</f>
        <v>0</v>
      </c>
      <c r="R1824" cm="1">
        <f t="array" aca="1" ref="R1824" ca="1">INDIRECT("Data!L" &amp; 1819)</f>
        <v>0</v>
      </c>
      <c r="S1824" cm="1">
        <f t="array" aca="1" ref="S1824" ca="1">INDIRECT("Data!M" &amp; 1819)</f>
        <v>0</v>
      </c>
      <c r="T1824" cm="1">
        <f t="array" aca="1" ref="T1824" ca="1">INDIRECT("Data!N" &amp; 1819)</f>
        <v>0</v>
      </c>
      <c r="U1824" cm="1">
        <f t="array" aca="1" ref="U1824" ca="1">INDIRECT("Data!O" &amp; 1819)</f>
        <v>0</v>
      </c>
      <c r="V1824" cm="1">
        <f t="array" aca="1" ref="V1824" ca="1">INDIRECT("Data!P" &amp; 1819)</f>
        <v>0</v>
      </c>
    </row>
    <row r="1825" spans="7:22" x14ac:dyDescent="0.25">
      <c r="G1825" cm="1">
        <f t="array" aca="1" ref="G1825" ca="1">INDIRECT("Data!A" &amp; 1820)</f>
        <v>0</v>
      </c>
      <c r="H1825" s="21" cm="1">
        <f t="array" aca="1" ref="H1825" ca="1">INDIRECT("Data!B" &amp; 1820)</f>
        <v>0</v>
      </c>
      <c r="I1825" s="21" cm="1">
        <f t="array" aca="1" ref="I1825" ca="1">INDIRECT("Data!C" &amp; 1820)</f>
        <v>0</v>
      </c>
      <c r="J1825" cm="1">
        <f t="array" aca="1" ref="J1825" ca="1">INDIRECT("Data!D" &amp; 1820)</f>
        <v>0</v>
      </c>
      <c r="K1825" cm="1">
        <f t="array" aca="1" ref="K1825" ca="1">INDIRECT("Data!E" &amp; 1820)</f>
        <v>0</v>
      </c>
      <c r="L1825" cm="1">
        <f t="array" aca="1" ref="L1825" ca="1">INDIRECT("Data!F" &amp; 1820)</f>
        <v>0</v>
      </c>
      <c r="M1825" cm="1">
        <f t="array" aca="1" ref="M1825" ca="1">INDIRECT("Data!G" &amp; 1820)</f>
        <v>0</v>
      </c>
      <c r="N1825" cm="1">
        <f t="array" aca="1" ref="N1825" ca="1">INDIRECT("Data!H" &amp; 1820)</f>
        <v>0</v>
      </c>
      <c r="O1825" cm="1">
        <f t="array" aca="1" ref="O1825" ca="1">INDIRECT("Data!I" &amp; 1820)</f>
        <v>0</v>
      </c>
      <c r="P1825" s="21" cm="1">
        <f t="array" aca="1" ref="P1825" ca="1">INDIRECT("Data!J" &amp; 1820)</f>
        <v>0</v>
      </c>
      <c r="Q1825" cm="1">
        <f t="array" aca="1" ref="Q1825" ca="1">INDIRECT("Data!K" &amp; 1820)</f>
        <v>0</v>
      </c>
      <c r="R1825" cm="1">
        <f t="array" aca="1" ref="R1825" ca="1">INDIRECT("Data!L" &amp; 1820)</f>
        <v>0</v>
      </c>
      <c r="S1825" cm="1">
        <f t="array" aca="1" ref="S1825" ca="1">INDIRECT("Data!M" &amp; 1820)</f>
        <v>0</v>
      </c>
      <c r="T1825" cm="1">
        <f t="array" aca="1" ref="T1825" ca="1">INDIRECT("Data!N" &amp; 1820)</f>
        <v>0</v>
      </c>
      <c r="U1825" cm="1">
        <f t="array" aca="1" ref="U1825" ca="1">INDIRECT("Data!O" &amp; 1820)</f>
        <v>0</v>
      </c>
      <c r="V1825" cm="1">
        <f t="array" aca="1" ref="V1825" ca="1">INDIRECT("Data!P" &amp; 1820)</f>
        <v>0</v>
      </c>
    </row>
    <row r="1826" spans="7:22" x14ac:dyDescent="0.25">
      <c r="G1826" cm="1">
        <f t="array" aca="1" ref="G1826" ca="1">INDIRECT("Data!A" &amp; 1821)</f>
        <v>0</v>
      </c>
      <c r="H1826" s="21" cm="1">
        <f t="array" aca="1" ref="H1826" ca="1">INDIRECT("Data!B" &amp; 1821)</f>
        <v>0</v>
      </c>
      <c r="I1826" s="21" cm="1">
        <f t="array" aca="1" ref="I1826" ca="1">INDIRECT("Data!C" &amp; 1821)</f>
        <v>0</v>
      </c>
      <c r="J1826" cm="1">
        <f t="array" aca="1" ref="J1826" ca="1">INDIRECT("Data!D" &amp; 1821)</f>
        <v>0</v>
      </c>
      <c r="K1826" cm="1">
        <f t="array" aca="1" ref="K1826" ca="1">INDIRECT("Data!E" &amp; 1821)</f>
        <v>0</v>
      </c>
      <c r="L1826" cm="1">
        <f t="array" aca="1" ref="L1826" ca="1">INDIRECT("Data!F" &amp; 1821)</f>
        <v>0</v>
      </c>
      <c r="M1826" cm="1">
        <f t="array" aca="1" ref="M1826" ca="1">INDIRECT("Data!G" &amp; 1821)</f>
        <v>0</v>
      </c>
      <c r="N1826" cm="1">
        <f t="array" aca="1" ref="N1826" ca="1">INDIRECT("Data!H" &amp; 1821)</f>
        <v>0</v>
      </c>
      <c r="O1826" cm="1">
        <f t="array" aca="1" ref="O1826" ca="1">INDIRECT("Data!I" &amp; 1821)</f>
        <v>0</v>
      </c>
      <c r="P1826" s="21" cm="1">
        <f t="array" aca="1" ref="P1826" ca="1">INDIRECT("Data!J" &amp; 1821)</f>
        <v>0</v>
      </c>
      <c r="Q1826" cm="1">
        <f t="array" aca="1" ref="Q1826" ca="1">INDIRECT("Data!K" &amp; 1821)</f>
        <v>0</v>
      </c>
      <c r="R1826" cm="1">
        <f t="array" aca="1" ref="R1826" ca="1">INDIRECT("Data!L" &amp; 1821)</f>
        <v>0</v>
      </c>
      <c r="S1826" cm="1">
        <f t="array" aca="1" ref="S1826" ca="1">INDIRECT("Data!M" &amp; 1821)</f>
        <v>0</v>
      </c>
      <c r="T1826" cm="1">
        <f t="array" aca="1" ref="T1826" ca="1">INDIRECT("Data!N" &amp; 1821)</f>
        <v>0</v>
      </c>
      <c r="U1826" cm="1">
        <f t="array" aca="1" ref="U1826" ca="1">INDIRECT("Data!O" &amp; 1821)</f>
        <v>0</v>
      </c>
      <c r="V1826" cm="1">
        <f t="array" aca="1" ref="V1826" ca="1">INDIRECT("Data!P" &amp; 1821)</f>
        <v>0</v>
      </c>
    </row>
    <row r="1827" spans="7:22" x14ac:dyDescent="0.25">
      <c r="G1827" cm="1">
        <f t="array" aca="1" ref="G1827" ca="1">INDIRECT("Data!A" &amp; 1822)</f>
        <v>0</v>
      </c>
      <c r="H1827" s="21" cm="1">
        <f t="array" aca="1" ref="H1827" ca="1">INDIRECT("Data!B" &amp; 1822)</f>
        <v>0</v>
      </c>
      <c r="I1827" s="21" cm="1">
        <f t="array" aca="1" ref="I1827" ca="1">INDIRECT("Data!C" &amp; 1822)</f>
        <v>0</v>
      </c>
      <c r="J1827" cm="1">
        <f t="array" aca="1" ref="J1827" ca="1">INDIRECT("Data!D" &amp; 1822)</f>
        <v>0</v>
      </c>
      <c r="K1827" cm="1">
        <f t="array" aca="1" ref="K1827" ca="1">INDIRECT("Data!E" &amp; 1822)</f>
        <v>0</v>
      </c>
      <c r="L1827" cm="1">
        <f t="array" aca="1" ref="L1827" ca="1">INDIRECT("Data!F" &amp; 1822)</f>
        <v>0</v>
      </c>
      <c r="M1827" cm="1">
        <f t="array" aca="1" ref="M1827" ca="1">INDIRECT("Data!G" &amp; 1822)</f>
        <v>0</v>
      </c>
      <c r="N1827" cm="1">
        <f t="array" aca="1" ref="N1827" ca="1">INDIRECT("Data!H" &amp; 1822)</f>
        <v>0</v>
      </c>
      <c r="O1827" cm="1">
        <f t="array" aca="1" ref="O1827" ca="1">INDIRECT("Data!I" &amp; 1822)</f>
        <v>0</v>
      </c>
      <c r="P1827" s="21" cm="1">
        <f t="array" aca="1" ref="P1827" ca="1">INDIRECT("Data!J" &amp; 1822)</f>
        <v>0</v>
      </c>
      <c r="Q1827" cm="1">
        <f t="array" aca="1" ref="Q1827" ca="1">INDIRECT("Data!K" &amp; 1822)</f>
        <v>0</v>
      </c>
      <c r="R1827" cm="1">
        <f t="array" aca="1" ref="R1827" ca="1">INDIRECT("Data!L" &amp; 1822)</f>
        <v>0</v>
      </c>
      <c r="S1827" cm="1">
        <f t="array" aca="1" ref="S1827" ca="1">INDIRECT("Data!M" &amp; 1822)</f>
        <v>0</v>
      </c>
      <c r="T1827" cm="1">
        <f t="array" aca="1" ref="T1827" ca="1">INDIRECT("Data!N" &amp; 1822)</f>
        <v>0</v>
      </c>
      <c r="U1827" cm="1">
        <f t="array" aca="1" ref="U1827" ca="1">INDIRECT("Data!O" &amp; 1822)</f>
        <v>0</v>
      </c>
      <c r="V1827" cm="1">
        <f t="array" aca="1" ref="V1827" ca="1">INDIRECT("Data!P" &amp; 1822)</f>
        <v>0</v>
      </c>
    </row>
    <row r="1828" spans="7:22" x14ac:dyDescent="0.25">
      <c r="G1828" cm="1">
        <f t="array" aca="1" ref="G1828" ca="1">INDIRECT("Data!A" &amp; 1823)</f>
        <v>0</v>
      </c>
      <c r="H1828" s="21" cm="1">
        <f t="array" aca="1" ref="H1828" ca="1">INDIRECT("Data!B" &amp; 1823)</f>
        <v>0</v>
      </c>
      <c r="I1828" s="21" cm="1">
        <f t="array" aca="1" ref="I1828" ca="1">INDIRECT("Data!C" &amp; 1823)</f>
        <v>0</v>
      </c>
      <c r="J1828" cm="1">
        <f t="array" aca="1" ref="J1828" ca="1">INDIRECT("Data!D" &amp; 1823)</f>
        <v>0</v>
      </c>
      <c r="K1828" cm="1">
        <f t="array" aca="1" ref="K1828" ca="1">INDIRECT("Data!E" &amp; 1823)</f>
        <v>0</v>
      </c>
      <c r="L1828" cm="1">
        <f t="array" aca="1" ref="L1828" ca="1">INDIRECT("Data!F" &amp; 1823)</f>
        <v>0</v>
      </c>
      <c r="M1828" cm="1">
        <f t="array" aca="1" ref="M1828" ca="1">INDIRECT("Data!G" &amp; 1823)</f>
        <v>0</v>
      </c>
      <c r="N1828" cm="1">
        <f t="array" aca="1" ref="N1828" ca="1">INDIRECT("Data!H" &amp; 1823)</f>
        <v>0</v>
      </c>
      <c r="O1828" cm="1">
        <f t="array" aca="1" ref="O1828" ca="1">INDIRECT("Data!I" &amp; 1823)</f>
        <v>0</v>
      </c>
      <c r="P1828" s="21" cm="1">
        <f t="array" aca="1" ref="P1828" ca="1">INDIRECT("Data!J" &amp; 1823)</f>
        <v>0</v>
      </c>
      <c r="Q1828" cm="1">
        <f t="array" aca="1" ref="Q1828" ca="1">INDIRECT("Data!K" &amp; 1823)</f>
        <v>0</v>
      </c>
      <c r="R1828" cm="1">
        <f t="array" aca="1" ref="R1828" ca="1">INDIRECT("Data!L" &amp; 1823)</f>
        <v>0</v>
      </c>
      <c r="S1828" cm="1">
        <f t="array" aca="1" ref="S1828" ca="1">INDIRECT("Data!M" &amp; 1823)</f>
        <v>0</v>
      </c>
      <c r="T1828" cm="1">
        <f t="array" aca="1" ref="T1828" ca="1">INDIRECT("Data!N" &amp; 1823)</f>
        <v>0</v>
      </c>
      <c r="U1828" cm="1">
        <f t="array" aca="1" ref="U1828" ca="1">INDIRECT("Data!O" &amp; 1823)</f>
        <v>0</v>
      </c>
      <c r="V1828" cm="1">
        <f t="array" aca="1" ref="V1828" ca="1">INDIRECT("Data!P" &amp; 1823)</f>
        <v>0</v>
      </c>
    </row>
    <row r="1829" spans="7:22" x14ac:dyDescent="0.25">
      <c r="G1829" cm="1">
        <f t="array" aca="1" ref="G1829" ca="1">INDIRECT("Data!A" &amp; 1824)</f>
        <v>0</v>
      </c>
      <c r="H1829" s="21" cm="1">
        <f t="array" aca="1" ref="H1829" ca="1">INDIRECT("Data!B" &amp; 1824)</f>
        <v>0</v>
      </c>
      <c r="I1829" s="21" cm="1">
        <f t="array" aca="1" ref="I1829" ca="1">INDIRECT("Data!C" &amp; 1824)</f>
        <v>0</v>
      </c>
      <c r="J1829" cm="1">
        <f t="array" aca="1" ref="J1829" ca="1">INDIRECT("Data!D" &amp; 1824)</f>
        <v>0</v>
      </c>
      <c r="K1829" cm="1">
        <f t="array" aca="1" ref="K1829" ca="1">INDIRECT("Data!E" &amp; 1824)</f>
        <v>0</v>
      </c>
      <c r="L1829" cm="1">
        <f t="array" aca="1" ref="L1829" ca="1">INDIRECT("Data!F" &amp; 1824)</f>
        <v>0</v>
      </c>
      <c r="M1829" cm="1">
        <f t="array" aca="1" ref="M1829" ca="1">INDIRECT("Data!G" &amp; 1824)</f>
        <v>0</v>
      </c>
      <c r="N1829" cm="1">
        <f t="array" aca="1" ref="N1829" ca="1">INDIRECT("Data!H" &amp; 1824)</f>
        <v>0</v>
      </c>
      <c r="O1829" cm="1">
        <f t="array" aca="1" ref="O1829" ca="1">INDIRECT("Data!I" &amp; 1824)</f>
        <v>0</v>
      </c>
      <c r="P1829" s="21" cm="1">
        <f t="array" aca="1" ref="P1829" ca="1">INDIRECT("Data!J" &amp; 1824)</f>
        <v>0</v>
      </c>
      <c r="Q1829" cm="1">
        <f t="array" aca="1" ref="Q1829" ca="1">INDIRECT("Data!K" &amp; 1824)</f>
        <v>0</v>
      </c>
      <c r="R1829" cm="1">
        <f t="array" aca="1" ref="R1829" ca="1">INDIRECT("Data!L" &amp; 1824)</f>
        <v>0</v>
      </c>
      <c r="S1829" cm="1">
        <f t="array" aca="1" ref="S1829" ca="1">INDIRECT("Data!M" &amp; 1824)</f>
        <v>0</v>
      </c>
      <c r="T1829" cm="1">
        <f t="array" aca="1" ref="T1829" ca="1">INDIRECT("Data!N" &amp; 1824)</f>
        <v>0</v>
      </c>
      <c r="U1829" cm="1">
        <f t="array" aca="1" ref="U1829" ca="1">INDIRECT("Data!O" &amp; 1824)</f>
        <v>0</v>
      </c>
      <c r="V1829" cm="1">
        <f t="array" aca="1" ref="V1829" ca="1">INDIRECT("Data!P" &amp; 1824)</f>
        <v>0</v>
      </c>
    </row>
    <row r="1830" spans="7:22" x14ac:dyDescent="0.25">
      <c r="G1830" cm="1">
        <f t="array" aca="1" ref="G1830" ca="1">INDIRECT("Data!A" &amp; 1825)</f>
        <v>0</v>
      </c>
      <c r="H1830" s="21" cm="1">
        <f t="array" aca="1" ref="H1830" ca="1">INDIRECT("Data!B" &amp; 1825)</f>
        <v>0</v>
      </c>
      <c r="I1830" s="21" cm="1">
        <f t="array" aca="1" ref="I1830" ca="1">INDIRECT("Data!C" &amp; 1825)</f>
        <v>0</v>
      </c>
      <c r="J1830" cm="1">
        <f t="array" aca="1" ref="J1830" ca="1">INDIRECT("Data!D" &amp; 1825)</f>
        <v>0</v>
      </c>
      <c r="K1830" cm="1">
        <f t="array" aca="1" ref="K1830" ca="1">INDIRECT("Data!E" &amp; 1825)</f>
        <v>0</v>
      </c>
      <c r="L1830" cm="1">
        <f t="array" aca="1" ref="L1830" ca="1">INDIRECT("Data!F" &amp; 1825)</f>
        <v>0</v>
      </c>
      <c r="M1830" cm="1">
        <f t="array" aca="1" ref="M1830" ca="1">INDIRECT("Data!G" &amp; 1825)</f>
        <v>0</v>
      </c>
      <c r="N1830" cm="1">
        <f t="array" aca="1" ref="N1830" ca="1">INDIRECT("Data!H" &amp; 1825)</f>
        <v>0</v>
      </c>
      <c r="O1830" cm="1">
        <f t="array" aca="1" ref="O1830" ca="1">INDIRECT("Data!I" &amp; 1825)</f>
        <v>0</v>
      </c>
      <c r="P1830" s="21" cm="1">
        <f t="array" aca="1" ref="P1830" ca="1">INDIRECT("Data!J" &amp; 1825)</f>
        <v>0</v>
      </c>
      <c r="Q1830" cm="1">
        <f t="array" aca="1" ref="Q1830" ca="1">INDIRECT("Data!K" &amp; 1825)</f>
        <v>0</v>
      </c>
      <c r="R1830" cm="1">
        <f t="array" aca="1" ref="R1830" ca="1">INDIRECT("Data!L" &amp; 1825)</f>
        <v>0</v>
      </c>
      <c r="S1830" cm="1">
        <f t="array" aca="1" ref="S1830" ca="1">INDIRECT("Data!M" &amp; 1825)</f>
        <v>0</v>
      </c>
      <c r="T1830" cm="1">
        <f t="array" aca="1" ref="T1830" ca="1">INDIRECT("Data!N" &amp; 1825)</f>
        <v>0</v>
      </c>
      <c r="U1830" cm="1">
        <f t="array" aca="1" ref="U1830" ca="1">INDIRECT("Data!O" &amp; 1825)</f>
        <v>0</v>
      </c>
      <c r="V1830" cm="1">
        <f t="array" aca="1" ref="V1830" ca="1">INDIRECT("Data!P" &amp; 1825)</f>
        <v>0</v>
      </c>
    </row>
    <row r="1831" spans="7:22" x14ac:dyDescent="0.25">
      <c r="G1831" cm="1">
        <f t="array" aca="1" ref="G1831" ca="1">INDIRECT("Data!A" &amp; 1826)</f>
        <v>0</v>
      </c>
      <c r="H1831" s="21" cm="1">
        <f t="array" aca="1" ref="H1831" ca="1">INDIRECT("Data!B" &amp; 1826)</f>
        <v>0</v>
      </c>
      <c r="I1831" s="21" cm="1">
        <f t="array" aca="1" ref="I1831" ca="1">INDIRECT("Data!C" &amp; 1826)</f>
        <v>0</v>
      </c>
      <c r="J1831" cm="1">
        <f t="array" aca="1" ref="J1831" ca="1">INDIRECT("Data!D" &amp; 1826)</f>
        <v>0</v>
      </c>
      <c r="K1831" cm="1">
        <f t="array" aca="1" ref="K1831" ca="1">INDIRECT("Data!E" &amp; 1826)</f>
        <v>0</v>
      </c>
      <c r="L1831" cm="1">
        <f t="array" aca="1" ref="L1831" ca="1">INDIRECT("Data!F" &amp; 1826)</f>
        <v>0</v>
      </c>
      <c r="M1831" cm="1">
        <f t="array" aca="1" ref="M1831" ca="1">INDIRECT("Data!G" &amp; 1826)</f>
        <v>0</v>
      </c>
      <c r="N1831" cm="1">
        <f t="array" aca="1" ref="N1831" ca="1">INDIRECT("Data!H" &amp; 1826)</f>
        <v>0</v>
      </c>
      <c r="O1831" cm="1">
        <f t="array" aca="1" ref="O1831" ca="1">INDIRECT("Data!I" &amp; 1826)</f>
        <v>0</v>
      </c>
      <c r="P1831" s="21" cm="1">
        <f t="array" aca="1" ref="P1831" ca="1">INDIRECT("Data!J" &amp; 1826)</f>
        <v>0</v>
      </c>
      <c r="Q1831" cm="1">
        <f t="array" aca="1" ref="Q1831" ca="1">INDIRECT("Data!K" &amp; 1826)</f>
        <v>0</v>
      </c>
      <c r="R1831" cm="1">
        <f t="array" aca="1" ref="R1831" ca="1">INDIRECT("Data!L" &amp; 1826)</f>
        <v>0</v>
      </c>
      <c r="S1831" cm="1">
        <f t="array" aca="1" ref="S1831" ca="1">INDIRECT("Data!M" &amp; 1826)</f>
        <v>0</v>
      </c>
      <c r="T1831" cm="1">
        <f t="array" aca="1" ref="T1831" ca="1">INDIRECT("Data!N" &amp; 1826)</f>
        <v>0</v>
      </c>
      <c r="U1831" cm="1">
        <f t="array" aca="1" ref="U1831" ca="1">INDIRECT("Data!O" &amp; 1826)</f>
        <v>0</v>
      </c>
      <c r="V1831" cm="1">
        <f t="array" aca="1" ref="V1831" ca="1">INDIRECT("Data!P" &amp; 1826)</f>
        <v>0</v>
      </c>
    </row>
    <row r="1832" spans="7:22" x14ac:dyDescent="0.25">
      <c r="G1832" cm="1">
        <f t="array" aca="1" ref="G1832" ca="1">INDIRECT("Data!A" &amp; 1827)</f>
        <v>0</v>
      </c>
      <c r="H1832" s="21" cm="1">
        <f t="array" aca="1" ref="H1832" ca="1">INDIRECT("Data!B" &amp; 1827)</f>
        <v>0</v>
      </c>
      <c r="I1832" s="21" cm="1">
        <f t="array" aca="1" ref="I1832" ca="1">INDIRECT("Data!C" &amp; 1827)</f>
        <v>0</v>
      </c>
      <c r="J1832" cm="1">
        <f t="array" aca="1" ref="J1832" ca="1">INDIRECT("Data!D" &amp; 1827)</f>
        <v>0</v>
      </c>
      <c r="K1832" cm="1">
        <f t="array" aca="1" ref="K1832" ca="1">INDIRECT("Data!E" &amp; 1827)</f>
        <v>0</v>
      </c>
      <c r="L1832" cm="1">
        <f t="array" aca="1" ref="L1832" ca="1">INDIRECT("Data!F" &amp; 1827)</f>
        <v>0</v>
      </c>
      <c r="M1832" cm="1">
        <f t="array" aca="1" ref="M1832" ca="1">INDIRECT("Data!G" &amp; 1827)</f>
        <v>0</v>
      </c>
      <c r="N1832" cm="1">
        <f t="array" aca="1" ref="N1832" ca="1">INDIRECT("Data!H" &amp; 1827)</f>
        <v>0</v>
      </c>
      <c r="O1832" cm="1">
        <f t="array" aca="1" ref="O1832" ca="1">INDIRECT("Data!I" &amp; 1827)</f>
        <v>0</v>
      </c>
      <c r="P1832" s="21" cm="1">
        <f t="array" aca="1" ref="P1832" ca="1">INDIRECT("Data!J" &amp; 1827)</f>
        <v>0</v>
      </c>
      <c r="Q1832" cm="1">
        <f t="array" aca="1" ref="Q1832" ca="1">INDIRECT("Data!K" &amp; 1827)</f>
        <v>0</v>
      </c>
      <c r="R1832" cm="1">
        <f t="array" aca="1" ref="R1832" ca="1">INDIRECT("Data!L" &amp; 1827)</f>
        <v>0</v>
      </c>
      <c r="S1832" cm="1">
        <f t="array" aca="1" ref="S1832" ca="1">INDIRECT("Data!M" &amp; 1827)</f>
        <v>0</v>
      </c>
      <c r="T1832" cm="1">
        <f t="array" aca="1" ref="T1832" ca="1">INDIRECT("Data!N" &amp; 1827)</f>
        <v>0</v>
      </c>
      <c r="U1832" cm="1">
        <f t="array" aca="1" ref="U1832" ca="1">INDIRECT("Data!O" &amp; 1827)</f>
        <v>0</v>
      </c>
      <c r="V1832" cm="1">
        <f t="array" aca="1" ref="V1832" ca="1">INDIRECT("Data!P" &amp; 1827)</f>
        <v>0</v>
      </c>
    </row>
    <row r="1833" spans="7:22" x14ac:dyDescent="0.25">
      <c r="G1833" cm="1">
        <f t="array" aca="1" ref="G1833" ca="1">INDIRECT("Data!A" &amp; 1828)</f>
        <v>0</v>
      </c>
      <c r="H1833" s="21" cm="1">
        <f t="array" aca="1" ref="H1833" ca="1">INDIRECT("Data!B" &amp; 1828)</f>
        <v>0</v>
      </c>
      <c r="I1833" s="21" cm="1">
        <f t="array" aca="1" ref="I1833" ca="1">INDIRECT("Data!C" &amp; 1828)</f>
        <v>0</v>
      </c>
      <c r="J1833" cm="1">
        <f t="array" aca="1" ref="J1833" ca="1">INDIRECT("Data!D" &amp; 1828)</f>
        <v>0</v>
      </c>
      <c r="K1833" cm="1">
        <f t="array" aca="1" ref="K1833" ca="1">INDIRECT("Data!E" &amp; 1828)</f>
        <v>0</v>
      </c>
      <c r="L1833" cm="1">
        <f t="array" aca="1" ref="L1833" ca="1">INDIRECT("Data!F" &amp; 1828)</f>
        <v>0</v>
      </c>
      <c r="M1833" cm="1">
        <f t="array" aca="1" ref="M1833" ca="1">INDIRECT("Data!G" &amp; 1828)</f>
        <v>0</v>
      </c>
      <c r="N1833" cm="1">
        <f t="array" aca="1" ref="N1833" ca="1">INDIRECT("Data!H" &amp; 1828)</f>
        <v>0</v>
      </c>
      <c r="O1833" cm="1">
        <f t="array" aca="1" ref="O1833" ca="1">INDIRECT("Data!I" &amp; 1828)</f>
        <v>0</v>
      </c>
      <c r="P1833" s="21" cm="1">
        <f t="array" aca="1" ref="P1833" ca="1">INDIRECT("Data!J" &amp; 1828)</f>
        <v>0</v>
      </c>
      <c r="Q1833" cm="1">
        <f t="array" aca="1" ref="Q1833" ca="1">INDIRECT("Data!K" &amp; 1828)</f>
        <v>0</v>
      </c>
      <c r="R1833" cm="1">
        <f t="array" aca="1" ref="R1833" ca="1">INDIRECT("Data!L" &amp; 1828)</f>
        <v>0</v>
      </c>
      <c r="S1833" cm="1">
        <f t="array" aca="1" ref="S1833" ca="1">INDIRECT("Data!M" &amp; 1828)</f>
        <v>0</v>
      </c>
      <c r="T1833" cm="1">
        <f t="array" aca="1" ref="T1833" ca="1">INDIRECT("Data!N" &amp; 1828)</f>
        <v>0</v>
      </c>
      <c r="U1833" cm="1">
        <f t="array" aca="1" ref="U1833" ca="1">INDIRECT("Data!O" &amp; 1828)</f>
        <v>0</v>
      </c>
      <c r="V1833" cm="1">
        <f t="array" aca="1" ref="V1833" ca="1">INDIRECT("Data!P" &amp; 1828)</f>
        <v>0</v>
      </c>
    </row>
    <row r="1834" spans="7:22" x14ac:dyDescent="0.25">
      <c r="G1834" cm="1">
        <f t="array" aca="1" ref="G1834" ca="1">INDIRECT("Data!A" &amp; 1829)</f>
        <v>0</v>
      </c>
      <c r="H1834" s="21" cm="1">
        <f t="array" aca="1" ref="H1834" ca="1">INDIRECT("Data!B" &amp; 1829)</f>
        <v>0</v>
      </c>
      <c r="I1834" s="21" cm="1">
        <f t="array" aca="1" ref="I1834" ca="1">INDIRECT("Data!C" &amp; 1829)</f>
        <v>0</v>
      </c>
      <c r="J1834" cm="1">
        <f t="array" aca="1" ref="J1834" ca="1">INDIRECT("Data!D" &amp; 1829)</f>
        <v>0</v>
      </c>
      <c r="K1834" cm="1">
        <f t="array" aca="1" ref="K1834" ca="1">INDIRECT("Data!E" &amp; 1829)</f>
        <v>0</v>
      </c>
      <c r="L1834" cm="1">
        <f t="array" aca="1" ref="L1834" ca="1">INDIRECT("Data!F" &amp; 1829)</f>
        <v>0</v>
      </c>
      <c r="M1834" cm="1">
        <f t="array" aca="1" ref="M1834" ca="1">INDIRECT("Data!G" &amp; 1829)</f>
        <v>0</v>
      </c>
      <c r="N1834" cm="1">
        <f t="array" aca="1" ref="N1834" ca="1">INDIRECT("Data!H" &amp; 1829)</f>
        <v>0</v>
      </c>
      <c r="O1834" cm="1">
        <f t="array" aca="1" ref="O1834" ca="1">INDIRECT("Data!I" &amp; 1829)</f>
        <v>0</v>
      </c>
      <c r="P1834" s="21" cm="1">
        <f t="array" aca="1" ref="P1834" ca="1">INDIRECT("Data!J" &amp; 1829)</f>
        <v>0</v>
      </c>
      <c r="Q1834" cm="1">
        <f t="array" aca="1" ref="Q1834" ca="1">INDIRECT("Data!K" &amp; 1829)</f>
        <v>0</v>
      </c>
      <c r="R1834" cm="1">
        <f t="array" aca="1" ref="R1834" ca="1">INDIRECT("Data!L" &amp; 1829)</f>
        <v>0</v>
      </c>
      <c r="S1834" cm="1">
        <f t="array" aca="1" ref="S1834" ca="1">INDIRECT("Data!M" &amp; 1829)</f>
        <v>0</v>
      </c>
      <c r="T1834" cm="1">
        <f t="array" aca="1" ref="T1834" ca="1">INDIRECT("Data!N" &amp; 1829)</f>
        <v>0</v>
      </c>
      <c r="U1834" cm="1">
        <f t="array" aca="1" ref="U1834" ca="1">INDIRECT("Data!O" &amp; 1829)</f>
        <v>0</v>
      </c>
      <c r="V1834" cm="1">
        <f t="array" aca="1" ref="V1834" ca="1">INDIRECT("Data!P" &amp; 1829)</f>
        <v>0</v>
      </c>
    </row>
    <row r="1835" spans="7:22" x14ac:dyDescent="0.25">
      <c r="G1835" cm="1">
        <f t="array" aca="1" ref="G1835" ca="1">INDIRECT("Data!A" &amp; 1830)</f>
        <v>0</v>
      </c>
      <c r="H1835" s="21" cm="1">
        <f t="array" aca="1" ref="H1835" ca="1">INDIRECT("Data!B" &amp; 1830)</f>
        <v>0</v>
      </c>
      <c r="I1835" s="21" cm="1">
        <f t="array" aca="1" ref="I1835" ca="1">INDIRECT("Data!C" &amp; 1830)</f>
        <v>0</v>
      </c>
      <c r="J1835" cm="1">
        <f t="array" aca="1" ref="J1835" ca="1">INDIRECT("Data!D" &amp; 1830)</f>
        <v>0</v>
      </c>
      <c r="K1835" cm="1">
        <f t="array" aca="1" ref="K1835" ca="1">INDIRECT("Data!E" &amp; 1830)</f>
        <v>0</v>
      </c>
      <c r="L1835" cm="1">
        <f t="array" aca="1" ref="L1835" ca="1">INDIRECT("Data!F" &amp; 1830)</f>
        <v>0</v>
      </c>
      <c r="M1835" cm="1">
        <f t="array" aca="1" ref="M1835" ca="1">INDIRECT("Data!G" &amp; 1830)</f>
        <v>0</v>
      </c>
      <c r="N1835" cm="1">
        <f t="array" aca="1" ref="N1835" ca="1">INDIRECT("Data!H" &amp; 1830)</f>
        <v>0</v>
      </c>
      <c r="O1835" cm="1">
        <f t="array" aca="1" ref="O1835" ca="1">INDIRECT("Data!I" &amp; 1830)</f>
        <v>0</v>
      </c>
      <c r="P1835" s="21" cm="1">
        <f t="array" aca="1" ref="P1835" ca="1">INDIRECT("Data!J" &amp; 1830)</f>
        <v>0</v>
      </c>
      <c r="Q1835" cm="1">
        <f t="array" aca="1" ref="Q1835" ca="1">INDIRECT("Data!K" &amp; 1830)</f>
        <v>0</v>
      </c>
      <c r="R1835" cm="1">
        <f t="array" aca="1" ref="R1835" ca="1">INDIRECT("Data!L" &amp; 1830)</f>
        <v>0</v>
      </c>
      <c r="S1835" cm="1">
        <f t="array" aca="1" ref="S1835" ca="1">INDIRECT("Data!M" &amp; 1830)</f>
        <v>0</v>
      </c>
      <c r="T1835" cm="1">
        <f t="array" aca="1" ref="T1835" ca="1">INDIRECT("Data!N" &amp; 1830)</f>
        <v>0</v>
      </c>
      <c r="U1835" cm="1">
        <f t="array" aca="1" ref="U1835" ca="1">INDIRECT("Data!O" &amp; 1830)</f>
        <v>0</v>
      </c>
      <c r="V1835" cm="1">
        <f t="array" aca="1" ref="V1835" ca="1">INDIRECT("Data!P" &amp; 1830)</f>
        <v>0</v>
      </c>
    </row>
    <row r="1836" spans="7:22" x14ac:dyDescent="0.25">
      <c r="G1836" cm="1">
        <f t="array" aca="1" ref="G1836" ca="1">INDIRECT("Data!A" &amp; 1831)</f>
        <v>0</v>
      </c>
      <c r="H1836" s="21" cm="1">
        <f t="array" aca="1" ref="H1836" ca="1">INDIRECT("Data!B" &amp; 1831)</f>
        <v>0</v>
      </c>
      <c r="I1836" s="21" cm="1">
        <f t="array" aca="1" ref="I1836" ca="1">INDIRECT("Data!C" &amp; 1831)</f>
        <v>0</v>
      </c>
      <c r="J1836" cm="1">
        <f t="array" aca="1" ref="J1836" ca="1">INDIRECT("Data!D" &amp; 1831)</f>
        <v>0</v>
      </c>
      <c r="K1836" cm="1">
        <f t="array" aca="1" ref="K1836" ca="1">INDIRECT("Data!E" &amp; 1831)</f>
        <v>0</v>
      </c>
      <c r="L1836" cm="1">
        <f t="array" aca="1" ref="L1836" ca="1">INDIRECT("Data!F" &amp; 1831)</f>
        <v>0</v>
      </c>
      <c r="M1836" cm="1">
        <f t="array" aca="1" ref="M1836" ca="1">INDIRECT("Data!G" &amp; 1831)</f>
        <v>0</v>
      </c>
      <c r="N1836" cm="1">
        <f t="array" aca="1" ref="N1836" ca="1">INDIRECT("Data!H" &amp; 1831)</f>
        <v>0</v>
      </c>
      <c r="O1836" cm="1">
        <f t="array" aca="1" ref="O1836" ca="1">INDIRECT("Data!I" &amp; 1831)</f>
        <v>0</v>
      </c>
      <c r="P1836" s="21" cm="1">
        <f t="array" aca="1" ref="P1836" ca="1">INDIRECT("Data!J" &amp; 1831)</f>
        <v>0</v>
      </c>
      <c r="Q1836" cm="1">
        <f t="array" aca="1" ref="Q1836" ca="1">INDIRECT("Data!K" &amp; 1831)</f>
        <v>0</v>
      </c>
      <c r="R1836" cm="1">
        <f t="array" aca="1" ref="R1836" ca="1">INDIRECT("Data!L" &amp; 1831)</f>
        <v>0</v>
      </c>
      <c r="S1836" cm="1">
        <f t="array" aca="1" ref="S1836" ca="1">INDIRECT("Data!M" &amp; 1831)</f>
        <v>0</v>
      </c>
      <c r="T1836" cm="1">
        <f t="array" aca="1" ref="T1836" ca="1">INDIRECT("Data!N" &amp; 1831)</f>
        <v>0</v>
      </c>
      <c r="U1836" cm="1">
        <f t="array" aca="1" ref="U1836" ca="1">INDIRECT("Data!O" &amp; 1831)</f>
        <v>0</v>
      </c>
      <c r="V1836" cm="1">
        <f t="array" aca="1" ref="V1836" ca="1">INDIRECT("Data!P" &amp; 1831)</f>
        <v>0</v>
      </c>
    </row>
    <row r="1837" spans="7:22" x14ac:dyDescent="0.25">
      <c r="G1837" cm="1">
        <f t="array" aca="1" ref="G1837" ca="1">INDIRECT("Data!A" &amp; 1832)</f>
        <v>0</v>
      </c>
      <c r="H1837" s="21" cm="1">
        <f t="array" aca="1" ref="H1837" ca="1">INDIRECT("Data!B" &amp; 1832)</f>
        <v>0</v>
      </c>
      <c r="I1837" s="21" cm="1">
        <f t="array" aca="1" ref="I1837" ca="1">INDIRECT("Data!C" &amp; 1832)</f>
        <v>0</v>
      </c>
      <c r="J1837" cm="1">
        <f t="array" aca="1" ref="J1837" ca="1">INDIRECT("Data!D" &amp; 1832)</f>
        <v>0</v>
      </c>
      <c r="K1837" cm="1">
        <f t="array" aca="1" ref="K1837" ca="1">INDIRECT("Data!E" &amp; 1832)</f>
        <v>0</v>
      </c>
      <c r="L1837" cm="1">
        <f t="array" aca="1" ref="L1837" ca="1">INDIRECT("Data!F" &amp; 1832)</f>
        <v>0</v>
      </c>
      <c r="M1837" cm="1">
        <f t="array" aca="1" ref="M1837" ca="1">INDIRECT("Data!G" &amp; 1832)</f>
        <v>0</v>
      </c>
      <c r="N1837" cm="1">
        <f t="array" aca="1" ref="N1837" ca="1">INDIRECT("Data!H" &amp; 1832)</f>
        <v>0</v>
      </c>
      <c r="O1837" cm="1">
        <f t="array" aca="1" ref="O1837" ca="1">INDIRECT("Data!I" &amp; 1832)</f>
        <v>0</v>
      </c>
      <c r="P1837" s="21" cm="1">
        <f t="array" aca="1" ref="P1837" ca="1">INDIRECT("Data!J" &amp; 1832)</f>
        <v>0</v>
      </c>
      <c r="Q1837" cm="1">
        <f t="array" aca="1" ref="Q1837" ca="1">INDIRECT("Data!K" &amp; 1832)</f>
        <v>0</v>
      </c>
      <c r="R1837" cm="1">
        <f t="array" aca="1" ref="R1837" ca="1">INDIRECT("Data!L" &amp; 1832)</f>
        <v>0</v>
      </c>
      <c r="S1837" cm="1">
        <f t="array" aca="1" ref="S1837" ca="1">INDIRECT("Data!M" &amp; 1832)</f>
        <v>0</v>
      </c>
      <c r="T1837" cm="1">
        <f t="array" aca="1" ref="T1837" ca="1">INDIRECT("Data!N" &amp; 1832)</f>
        <v>0</v>
      </c>
      <c r="U1837" cm="1">
        <f t="array" aca="1" ref="U1837" ca="1">INDIRECT("Data!O" &amp; 1832)</f>
        <v>0</v>
      </c>
      <c r="V1837" cm="1">
        <f t="array" aca="1" ref="V1837" ca="1">INDIRECT("Data!P" &amp; 1832)</f>
        <v>0</v>
      </c>
    </row>
    <row r="1838" spans="7:22" x14ac:dyDescent="0.25">
      <c r="G1838" cm="1">
        <f t="array" aca="1" ref="G1838" ca="1">INDIRECT("Data!A" &amp; 1833)</f>
        <v>0</v>
      </c>
      <c r="H1838" s="21" cm="1">
        <f t="array" aca="1" ref="H1838" ca="1">INDIRECT("Data!B" &amp; 1833)</f>
        <v>0</v>
      </c>
      <c r="I1838" s="21" cm="1">
        <f t="array" aca="1" ref="I1838" ca="1">INDIRECT("Data!C" &amp; 1833)</f>
        <v>0</v>
      </c>
      <c r="J1838" cm="1">
        <f t="array" aca="1" ref="J1838" ca="1">INDIRECT("Data!D" &amp; 1833)</f>
        <v>0</v>
      </c>
      <c r="K1838" cm="1">
        <f t="array" aca="1" ref="K1838" ca="1">INDIRECT("Data!E" &amp; 1833)</f>
        <v>0</v>
      </c>
      <c r="L1838" cm="1">
        <f t="array" aca="1" ref="L1838" ca="1">INDIRECT("Data!F" &amp; 1833)</f>
        <v>0</v>
      </c>
      <c r="M1838" cm="1">
        <f t="array" aca="1" ref="M1838" ca="1">INDIRECT("Data!G" &amp; 1833)</f>
        <v>0</v>
      </c>
      <c r="N1838" cm="1">
        <f t="array" aca="1" ref="N1838" ca="1">INDIRECT("Data!H" &amp; 1833)</f>
        <v>0</v>
      </c>
      <c r="O1838" cm="1">
        <f t="array" aca="1" ref="O1838" ca="1">INDIRECT("Data!I" &amp; 1833)</f>
        <v>0</v>
      </c>
      <c r="P1838" s="21" cm="1">
        <f t="array" aca="1" ref="P1838" ca="1">INDIRECT("Data!J" &amp; 1833)</f>
        <v>0</v>
      </c>
      <c r="Q1838" cm="1">
        <f t="array" aca="1" ref="Q1838" ca="1">INDIRECT("Data!K" &amp; 1833)</f>
        <v>0</v>
      </c>
      <c r="R1838" cm="1">
        <f t="array" aca="1" ref="R1838" ca="1">INDIRECT("Data!L" &amp; 1833)</f>
        <v>0</v>
      </c>
      <c r="S1838" cm="1">
        <f t="array" aca="1" ref="S1838" ca="1">INDIRECT("Data!M" &amp; 1833)</f>
        <v>0</v>
      </c>
      <c r="T1838" cm="1">
        <f t="array" aca="1" ref="T1838" ca="1">INDIRECT("Data!N" &amp; 1833)</f>
        <v>0</v>
      </c>
      <c r="U1838" cm="1">
        <f t="array" aca="1" ref="U1838" ca="1">INDIRECT("Data!O" &amp; 1833)</f>
        <v>0</v>
      </c>
      <c r="V1838" cm="1">
        <f t="array" aca="1" ref="V1838" ca="1">INDIRECT("Data!P" &amp; 1833)</f>
        <v>0</v>
      </c>
    </row>
    <row r="1839" spans="7:22" x14ac:dyDescent="0.25">
      <c r="G1839" cm="1">
        <f t="array" aca="1" ref="G1839" ca="1">INDIRECT("Data!A" &amp; 1834)</f>
        <v>0</v>
      </c>
      <c r="H1839" s="21" cm="1">
        <f t="array" aca="1" ref="H1839" ca="1">INDIRECT("Data!B" &amp; 1834)</f>
        <v>0</v>
      </c>
      <c r="I1839" s="21" cm="1">
        <f t="array" aca="1" ref="I1839" ca="1">INDIRECT("Data!C" &amp; 1834)</f>
        <v>0</v>
      </c>
      <c r="J1839" cm="1">
        <f t="array" aca="1" ref="J1839" ca="1">INDIRECT("Data!D" &amp; 1834)</f>
        <v>0</v>
      </c>
      <c r="K1839" cm="1">
        <f t="array" aca="1" ref="K1839" ca="1">INDIRECT("Data!E" &amp; 1834)</f>
        <v>0</v>
      </c>
      <c r="L1839" cm="1">
        <f t="array" aca="1" ref="L1839" ca="1">INDIRECT("Data!F" &amp; 1834)</f>
        <v>0</v>
      </c>
      <c r="M1839" cm="1">
        <f t="array" aca="1" ref="M1839" ca="1">INDIRECT("Data!G" &amp; 1834)</f>
        <v>0</v>
      </c>
      <c r="N1839" cm="1">
        <f t="array" aca="1" ref="N1839" ca="1">INDIRECT("Data!H" &amp; 1834)</f>
        <v>0</v>
      </c>
      <c r="O1839" cm="1">
        <f t="array" aca="1" ref="O1839" ca="1">INDIRECT("Data!I" &amp; 1834)</f>
        <v>0</v>
      </c>
      <c r="P1839" s="21" cm="1">
        <f t="array" aca="1" ref="P1839" ca="1">INDIRECT("Data!J" &amp; 1834)</f>
        <v>0</v>
      </c>
      <c r="Q1839" cm="1">
        <f t="array" aca="1" ref="Q1839" ca="1">INDIRECT("Data!K" &amp; 1834)</f>
        <v>0</v>
      </c>
      <c r="R1839" cm="1">
        <f t="array" aca="1" ref="R1839" ca="1">INDIRECT("Data!L" &amp; 1834)</f>
        <v>0</v>
      </c>
      <c r="S1839" cm="1">
        <f t="array" aca="1" ref="S1839" ca="1">INDIRECT("Data!M" &amp; 1834)</f>
        <v>0</v>
      </c>
      <c r="T1839" cm="1">
        <f t="array" aca="1" ref="T1839" ca="1">INDIRECT("Data!N" &amp; 1834)</f>
        <v>0</v>
      </c>
      <c r="U1839" cm="1">
        <f t="array" aca="1" ref="U1839" ca="1">INDIRECT("Data!O" &amp; 1834)</f>
        <v>0</v>
      </c>
      <c r="V1839" cm="1">
        <f t="array" aca="1" ref="V1839" ca="1">INDIRECT("Data!P" &amp; 1834)</f>
        <v>0</v>
      </c>
    </row>
    <row r="1840" spans="7:22" x14ac:dyDescent="0.25">
      <c r="G1840" cm="1">
        <f t="array" aca="1" ref="G1840" ca="1">INDIRECT("Data!A" &amp; 1835)</f>
        <v>0</v>
      </c>
      <c r="H1840" s="21" cm="1">
        <f t="array" aca="1" ref="H1840" ca="1">INDIRECT("Data!B" &amp; 1835)</f>
        <v>0</v>
      </c>
      <c r="I1840" s="21" cm="1">
        <f t="array" aca="1" ref="I1840" ca="1">INDIRECT("Data!C" &amp; 1835)</f>
        <v>0</v>
      </c>
      <c r="J1840" cm="1">
        <f t="array" aca="1" ref="J1840" ca="1">INDIRECT("Data!D" &amp; 1835)</f>
        <v>0</v>
      </c>
      <c r="K1840" cm="1">
        <f t="array" aca="1" ref="K1840" ca="1">INDIRECT("Data!E" &amp; 1835)</f>
        <v>0</v>
      </c>
      <c r="L1840" cm="1">
        <f t="array" aca="1" ref="L1840" ca="1">INDIRECT("Data!F" &amp; 1835)</f>
        <v>0</v>
      </c>
      <c r="M1840" cm="1">
        <f t="array" aca="1" ref="M1840" ca="1">INDIRECT("Data!G" &amp; 1835)</f>
        <v>0</v>
      </c>
      <c r="N1840" cm="1">
        <f t="array" aca="1" ref="N1840" ca="1">INDIRECT("Data!H" &amp; 1835)</f>
        <v>0</v>
      </c>
      <c r="O1840" cm="1">
        <f t="array" aca="1" ref="O1840" ca="1">INDIRECT("Data!I" &amp; 1835)</f>
        <v>0</v>
      </c>
      <c r="P1840" s="21" cm="1">
        <f t="array" aca="1" ref="P1840" ca="1">INDIRECT("Data!J" &amp; 1835)</f>
        <v>0</v>
      </c>
      <c r="Q1840" cm="1">
        <f t="array" aca="1" ref="Q1840" ca="1">INDIRECT("Data!K" &amp; 1835)</f>
        <v>0</v>
      </c>
      <c r="R1840" cm="1">
        <f t="array" aca="1" ref="R1840" ca="1">INDIRECT("Data!L" &amp; 1835)</f>
        <v>0</v>
      </c>
      <c r="S1840" cm="1">
        <f t="array" aca="1" ref="S1840" ca="1">INDIRECT("Data!M" &amp; 1835)</f>
        <v>0</v>
      </c>
      <c r="T1840" cm="1">
        <f t="array" aca="1" ref="T1840" ca="1">INDIRECT("Data!N" &amp; 1835)</f>
        <v>0</v>
      </c>
      <c r="U1840" cm="1">
        <f t="array" aca="1" ref="U1840" ca="1">INDIRECT("Data!O" &amp; 1835)</f>
        <v>0</v>
      </c>
      <c r="V1840" cm="1">
        <f t="array" aca="1" ref="V1840" ca="1">INDIRECT("Data!P" &amp; 1835)</f>
        <v>0</v>
      </c>
    </row>
    <row r="1841" spans="7:22" x14ac:dyDescent="0.25">
      <c r="G1841" cm="1">
        <f t="array" aca="1" ref="G1841" ca="1">INDIRECT("Data!A" &amp; 1836)</f>
        <v>0</v>
      </c>
      <c r="H1841" s="21" cm="1">
        <f t="array" aca="1" ref="H1841" ca="1">INDIRECT("Data!B" &amp; 1836)</f>
        <v>0</v>
      </c>
      <c r="I1841" s="21" cm="1">
        <f t="array" aca="1" ref="I1841" ca="1">INDIRECT("Data!C" &amp; 1836)</f>
        <v>0</v>
      </c>
      <c r="J1841" cm="1">
        <f t="array" aca="1" ref="J1841" ca="1">INDIRECT("Data!D" &amp; 1836)</f>
        <v>0</v>
      </c>
      <c r="K1841" cm="1">
        <f t="array" aca="1" ref="K1841" ca="1">INDIRECT("Data!E" &amp; 1836)</f>
        <v>0</v>
      </c>
      <c r="L1841" cm="1">
        <f t="array" aca="1" ref="L1841" ca="1">INDIRECT("Data!F" &amp; 1836)</f>
        <v>0</v>
      </c>
      <c r="M1841" cm="1">
        <f t="array" aca="1" ref="M1841" ca="1">INDIRECT("Data!G" &amp; 1836)</f>
        <v>0</v>
      </c>
      <c r="N1841" cm="1">
        <f t="array" aca="1" ref="N1841" ca="1">INDIRECT("Data!H" &amp; 1836)</f>
        <v>0</v>
      </c>
      <c r="O1841" cm="1">
        <f t="array" aca="1" ref="O1841" ca="1">INDIRECT("Data!I" &amp; 1836)</f>
        <v>0</v>
      </c>
      <c r="P1841" s="21" cm="1">
        <f t="array" aca="1" ref="P1841" ca="1">INDIRECT("Data!J" &amp; 1836)</f>
        <v>0</v>
      </c>
      <c r="Q1841" cm="1">
        <f t="array" aca="1" ref="Q1841" ca="1">INDIRECT("Data!K" &amp; 1836)</f>
        <v>0</v>
      </c>
      <c r="R1841" cm="1">
        <f t="array" aca="1" ref="R1841" ca="1">INDIRECT("Data!L" &amp; 1836)</f>
        <v>0</v>
      </c>
      <c r="S1841" cm="1">
        <f t="array" aca="1" ref="S1841" ca="1">INDIRECT("Data!M" &amp; 1836)</f>
        <v>0</v>
      </c>
      <c r="T1841" cm="1">
        <f t="array" aca="1" ref="T1841" ca="1">INDIRECT("Data!N" &amp; 1836)</f>
        <v>0</v>
      </c>
      <c r="U1841" cm="1">
        <f t="array" aca="1" ref="U1841" ca="1">INDIRECT("Data!O" &amp; 1836)</f>
        <v>0</v>
      </c>
      <c r="V1841" cm="1">
        <f t="array" aca="1" ref="V1841" ca="1">INDIRECT("Data!P" &amp; 1836)</f>
        <v>0</v>
      </c>
    </row>
    <row r="1842" spans="7:22" x14ac:dyDescent="0.25">
      <c r="G1842" cm="1">
        <f t="array" aca="1" ref="G1842" ca="1">INDIRECT("Data!A" &amp; 1837)</f>
        <v>0</v>
      </c>
      <c r="H1842" s="21" cm="1">
        <f t="array" aca="1" ref="H1842" ca="1">INDIRECT("Data!B" &amp; 1837)</f>
        <v>0</v>
      </c>
      <c r="I1842" s="21" cm="1">
        <f t="array" aca="1" ref="I1842" ca="1">INDIRECT("Data!C" &amp; 1837)</f>
        <v>0</v>
      </c>
      <c r="J1842" cm="1">
        <f t="array" aca="1" ref="J1842" ca="1">INDIRECT("Data!D" &amp; 1837)</f>
        <v>0</v>
      </c>
      <c r="K1842" cm="1">
        <f t="array" aca="1" ref="K1842" ca="1">INDIRECT("Data!E" &amp; 1837)</f>
        <v>0</v>
      </c>
      <c r="L1842" cm="1">
        <f t="array" aca="1" ref="L1842" ca="1">INDIRECT("Data!F" &amp; 1837)</f>
        <v>0</v>
      </c>
      <c r="M1842" cm="1">
        <f t="array" aca="1" ref="M1842" ca="1">INDIRECT("Data!G" &amp; 1837)</f>
        <v>0</v>
      </c>
      <c r="N1842" cm="1">
        <f t="array" aca="1" ref="N1842" ca="1">INDIRECT("Data!H" &amp; 1837)</f>
        <v>0</v>
      </c>
      <c r="O1842" cm="1">
        <f t="array" aca="1" ref="O1842" ca="1">INDIRECT("Data!I" &amp; 1837)</f>
        <v>0</v>
      </c>
      <c r="P1842" s="21" cm="1">
        <f t="array" aca="1" ref="P1842" ca="1">INDIRECT("Data!J" &amp; 1837)</f>
        <v>0</v>
      </c>
      <c r="Q1842" cm="1">
        <f t="array" aca="1" ref="Q1842" ca="1">INDIRECT("Data!K" &amp; 1837)</f>
        <v>0</v>
      </c>
      <c r="R1842" cm="1">
        <f t="array" aca="1" ref="R1842" ca="1">INDIRECT("Data!L" &amp; 1837)</f>
        <v>0</v>
      </c>
      <c r="S1842" cm="1">
        <f t="array" aca="1" ref="S1842" ca="1">INDIRECT("Data!M" &amp; 1837)</f>
        <v>0</v>
      </c>
      <c r="T1842" cm="1">
        <f t="array" aca="1" ref="T1842" ca="1">INDIRECT("Data!N" &amp; 1837)</f>
        <v>0</v>
      </c>
      <c r="U1842" cm="1">
        <f t="array" aca="1" ref="U1842" ca="1">INDIRECT("Data!O" &amp; 1837)</f>
        <v>0</v>
      </c>
      <c r="V1842" cm="1">
        <f t="array" aca="1" ref="V1842" ca="1">INDIRECT("Data!P" &amp; 1837)</f>
        <v>0</v>
      </c>
    </row>
    <row r="1843" spans="7:22" x14ac:dyDescent="0.25">
      <c r="G1843" cm="1">
        <f t="array" aca="1" ref="G1843" ca="1">INDIRECT("Data!A" &amp; 1838)</f>
        <v>0</v>
      </c>
      <c r="H1843" s="21" cm="1">
        <f t="array" aca="1" ref="H1843" ca="1">INDIRECT("Data!B" &amp; 1838)</f>
        <v>0</v>
      </c>
      <c r="I1843" s="21" cm="1">
        <f t="array" aca="1" ref="I1843" ca="1">INDIRECT("Data!C" &amp; 1838)</f>
        <v>0</v>
      </c>
      <c r="J1843" cm="1">
        <f t="array" aca="1" ref="J1843" ca="1">INDIRECT("Data!D" &amp; 1838)</f>
        <v>0</v>
      </c>
      <c r="K1843" cm="1">
        <f t="array" aca="1" ref="K1843" ca="1">INDIRECT("Data!E" &amp; 1838)</f>
        <v>0</v>
      </c>
      <c r="L1843" cm="1">
        <f t="array" aca="1" ref="L1843" ca="1">INDIRECT("Data!F" &amp; 1838)</f>
        <v>0</v>
      </c>
      <c r="M1843" cm="1">
        <f t="array" aca="1" ref="M1843" ca="1">INDIRECT("Data!G" &amp; 1838)</f>
        <v>0</v>
      </c>
      <c r="N1843" cm="1">
        <f t="array" aca="1" ref="N1843" ca="1">INDIRECT("Data!H" &amp; 1838)</f>
        <v>0</v>
      </c>
      <c r="O1843" cm="1">
        <f t="array" aca="1" ref="O1843" ca="1">INDIRECT("Data!I" &amp; 1838)</f>
        <v>0</v>
      </c>
      <c r="P1843" s="21" cm="1">
        <f t="array" aca="1" ref="P1843" ca="1">INDIRECT("Data!J" &amp; 1838)</f>
        <v>0</v>
      </c>
      <c r="Q1843" cm="1">
        <f t="array" aca="1" ref="Q1843" ca="1">INDIRECT("Data!K" &amp; 1838)</f>
        <v>0</v>
      </c>
      <c r="R1843" cm="1">
        <f t="array" aca="1" ref="R1843" ca="1">INDIRECT("Data!L" &amp; 1838)</f>
        <v>0</v>
      </c>
      <c r="S1843" cm="1">
        <f t="array" aca="1" ref="S1843" ca="1">INDIRECT("Data!M" &amp; 1838)</f>
        <v>0</v>
      </c>
      <c r="T1843" cm="1">
        <f t="array" aca="1" ref="T1843" ca="1">INDIRECT("Data!N" &amp; 1838)</f>
        <v>0</v>
      </c>
      <c r="U1843" cm="1">
        <f t="array" aca="1" ref="U1843" ca="1">INDIRECT("Data!O" &amp; 1838)</f>
        <v>0</v>
      </c>
      <c r="V1843" cm="1">
        <f t="array" aca="1" ref="V1843" ca="1">INDIRECT("Data!P" &amp; 1838)</f>
        <v>0</v>
      </c>
    </row>
    <row r="1844" spans="7:22" x14ac:dyDescent="0.25">
      <c r="G1844" cm="1">
        <f t="array" aca="1" ref="G1844" ca="1">INDIRECT("Data!A" &amp; 1839)</f>
        <v>0</v>
      </c>
      <c r="H1844" s="21" cm="1">
        <f t="array" aca="1" ref="H1844" ca="1">INDIRECT("Data!B" &amp; 1839)</f>
        <v>0</v>
      </c>
      <c r="I1844" s="21" cm="1">
        <f t="array" aca="1" ref="I1844" ca="1">INDIRECT("Data!C" &amp; 1839)</f>
        <v>0</v>
      </c>
      <c r="J1844" cm="1">
        <f t="array" aca="1" ref="J1844" ca="1">INDIRECT("Data!D" &amp; 1839)</f>
        <v>0</v>
      </c>
      <c r="K1844" cm="1">
        <f t="array" aca="1" ref="K1844" ca="1">INDIRECT("Data!E" &amp; 1839)</f>
        <v>0</v>
      </c>
      <c r="L1844" cm="1">
        <f t="array" aca="1" ref="L1844" ca="1">INDIRECT("Data!F" &amp; 1839)</f>
        <v>0</v>
      </c>
      <c r="M1844" cm="1">
        <f t="array" aca="1" ref="M1844" ca="1">INDIRECT("Data!G" &amp; 1839)</f>
        <v>0</v>
      </c>
      <c r="N1844" cm="1">
        <f t="array" aca="1" ref="N1844" ca="1">INDIRECT("Data!H" &amp; 1839)</f>
        <v>0</v>
      </c>
      <c r="O1844" cm="1">
        <f t="array" aca="1" ref="O1844" ca="1">INDIRECT("Data!I" &amp; 1839)</f>
        <v>0</v>
      </c>
      <c r="P1844" s="21" cm="1">
        <f t="array" aca="1" ref="P1844" ca="1">INDIRECT("Data!J" &amp; 1839)</f>
        <v>0</v>
      </c>
      <c r="Q1844" cm="1">
        <f t="array" aca="1" ref="Q1844" ca="1">INDIRECT("Data!K" &amp; 1839)</f>
        <v>0</v>
      </c>
      <c r="R1844" cm="1">
        <f t="array" aca="1" ref="R1844" ca="1">INDIRECT("Data!L" &amp; 1839)</f>
        <v>0</v>
      </c>
      <c r="S1844" cm="1">
        <f t="array" aca="1" ref="S1844" ca="1">INDIRECT("Data!M" &amp; 1839)</f>
        <v>0</v>
      </c>
      <c r="T1844" cm="1">
        <f t="array" aca="1" ref="T1844" ca="1">INDIRECT("Data!N" &amp; 1839)</f>
        <v>0</v>
      </c>
      <c r="U1844" cm="1">
        <f t="array" aca="1" ref="U1844" ca="1">INDIRECT("Data!O" &amp; 1839)</f>
        <v>0</v>
      </c>
      <c r="V1844" cm="1">
        <f t="array" aca="1" ref="V1844" ca="1">INDIRECT("Data!P" &amp; 1839)</f>
        <v>0</v>
      </c>
    </row>
    <row r="1845" spans="7:22" x14ac:dyDescent="0.25">
      <c r="G1845" cm="1">
        <f t="array" aca="1" ref="G1845" ca="1">INDIRECT("Data!A" &amp; 1840)</f>
        <v>0</v>
      </c>
      <c r="H1845" s="21" cm="1">
        <f t="array" aca="1" ref="H1845" ca="1">INDIRECT("Data!B" &amp; 1840)</f>
        <v>0</v>
      </c>
      <c r="I1845" s="21" cm="1">
        <f t="array" aca="1" ref="I1845" ca="1">INDIRECT("Data!C" &amp; 1840)</f>
        <v>0</v>
      </c>
      <c r="J1845" cm="1">
        <f t="array" aca="1" ref="J1845" ca="1">INDIRECT("Data!D" &amp; 1840)</f>
        <v>0</v>
      </c>
      <c r="K1845" cm="1">
        <f t="array" aca="1" ref="K1845" ca="1">INDIRECT("Data!E" &amp; 1840)</f>
        <v>0</v>
      </c>
      <c r="L1845" cm="1">
        <f t="array" aca="1" ref="L1845" ca="1">INDIRECT("Data!F" &amp; 1840)</f>
        <v>0</v>
      </c>
      <c r="M1845" cm="1">
        <f t="array" aca="1" ref="M1845" ca="1">INDIRECT("Data!G" &amp; 1840)</f>
        <v>0</v>
      </c>
      <c r="N1845" cm="1">
        <f t="array" aca="1" ref="N1845" ca="1">INDIRECT("Data!H" &amp; 1840)</f>
        <v>0</v>
      </c>
      <c r="O1845" cm="1">
        <f t="array" aca="1" ref="O1845" ca="1">INDIRECT("Data!I" &amp; 1840)</f>
        <v>0</v>
      </c>
      <c r="P1845" s="21" cm="1">
        <f t="array" aca="1" ref="P1845" ca="1">INDIRECT("Data!J" &amp; 1840)</f>
        <v>0</v>
      </c>
      <c r="Q1845" cm="1">
        <f t="array" aca="1" ref="Q1845" ca="1">INDIRECT("Data!K" &amp; 1840)</f>
        <v>0</v>
      </c>
      <c r="R1845" cm="1">
        <f t="array" aca="1" ref="R1845" ca="1">INDIRECT("Data!L" &amp; 1840)</f>
        <v>0</v>
      </c>
      <c r="S1845" cm="1">
        <f t="array" aca="1" ref="S1845" ca="1">INDIRECT("Data!M" &amp; 1840)</f>
        <v>0</v>
      </c>
      <c r="T1845" cm="1">
        <f t="array" aca="1" ref="T1845" ca="1">INDIRECT("Data!N" &amp; 1840)</f>
        <v>0</v>
      </c>
      <c r="U1845" cm="1">
        <f t="array" aca="1" ref="U1845" ca="1">INDIRECT("Data!O" &amp; 1840)</f>
        <v>0</v>
      </c>
      <c r="V1845" cm="1">
        <f t="array" aca="1" ref="V1845" ca="1">INDIRECT("Data!P" &amp; 1840)</f>
        <v>0</v>
      </c>
    </row>
    <row r="1846" spans="7:22" x14ac:dyDescent="0.25">
      <c r="G1846" cm="1">
        <f t="array" aca="1" ref="G1846" ca="1">INDIRECT("Data!A" &amp; 1841)</f>
        <v>0</v>
      </c>
      <c r="H1846" s="21" cm="1">
        <f t="array" aca="1" ref="H1846" ca="1">INDIRECT("Data!B" &amp; 1841)</f>
        <v>0</v>
      </c>
      <c r="I1846" s="21" cm="1">
        <f t="array" aca="1" ref="I1846" ca="1">INDIRECT("Data!C" &amp; 1841)</f>
        <v>0</v>
      </c>
      <c r="J1846" cm="1">
        <f t="array" aca="1" ref="J1846" ca="1">INDIRECT("Data!D" &amp; 1841)</f>
        <v>0</v>
      </c>
      <c r="K1846" cm="1">
        <f t="array" aca="1" ref="K1846" ca="1">INDIRECT("Data!E" &amp; 1841)</f>
        <v>0</v>
      </c>
      <c r="L1846" cm="1">
        <f t="array" aca="1" ref="L1846" ca="1">INDIRECT("Data!F" &amp; 1841)</f>
        <v>0</v>
      </c>
      <c r="M1846" cm="1">
        <f t="array" aca="1" ref="M1846" ca="1">INDIRECT("Data!G" &amp; 1841)</f>
        <v>0</v>
      </c>
      <c r="N1846" cm="1">
        <f t="array" aca="1" ref="N1846" ca="1">INDIRECT("Data!H" &amp; 1841)</f>
        <v>0</v>
      </c>
      <c r="O1846" cm="1">
        <f t="array" aca="1" ref="O1846" ca="1">INDIRECT("Data!I" &amp; 1841)</f>
        <v>0</v>
      </c>
      <c r="P1846" s="21" cm="1">
        <f t="array" aca="1" ref="P1846" ca="1">INDIRECT("Data!J" &amp; 1841)</f>
        <v>0</v>
      </c>
      <c r="Q1846" cm="1">
        <f t="array" aca="1" ref="Q1846" ca="1">INDIRECT("Data!K" &amp; 1841)</f>
        <v>0</v>
      </c>
      <c r="R1846" cm="1">
        <f t="array" aca="1" ref="R1846" ca="1">INDIRECT("Data!L" &amp; 1841)</f>
        <v>0</v>
      </c>
      <c r="S1846" cm="1">
        <f t="array" aca="1" ref="S1846" ca="1">INDIRECT("Data!M" &amp; 1841)</f>
        <v>0</v>
      </c>
      <c r="T1846" cm="1">
        <f t="array" aca="1" ref="T1846" ca="1">INDIRECT("Data!N" &amp; 1841)</f>
        <v>0</v>
      </c>
      <c r="U1846" cm="1">
        <f t="array" aca="1" ref="U1846" ca="1">INDIRECT("Data!O" &amp; 1841)</f>
        <v>0</v>
      </c>
      <c r="V1846" cm="1">
        <f t="array" aca="1" ref="V1846" ca="1">INDIRECT("Data!P" &amp; 1841)</f>
        <v>0</v>
      </c>
    </row>
    <row r="1847" spans="7:22" x14ac:dyDescent="0.25">
      <c r="G1847" cm="1">
        <f t="array" aca="1" ref="G1847" ca="1">INDIRECT("Data!A" &amp; 1842)</f>
        <v>0</v>
      </c>
      <c r="H1847" s="21" cm="1">
        <f t="array" aca="1" ref="H1847" ca="1">INDIRECT("Data!B" &amp; 1842)</f>
        <v>0</v>
      </c>
      <c r="I1847" s="21" cm="1">
        <f t="array" aca="1" ref="I1847" ca="1">INDIRECT("Data!C" &amp; 1842)</f>
        <v>0</v>
      </c>
      <c r="J1847" cm="1">
        <f t="array" aca="1" ref="J1847" ca="1">INDIRECT("Data!D" &amp; 1842)</f>
        <v>0</v>
      </c>
      <c r="K1847" cm="1">
        <f t="array" aca="1" ref="K1847" ca="1">INDIRECT("Data!E" &amp; 1842)</f>
        <v>0</v>
      </c>
      <c r="L1847" cm="1">
        <f t="array" aca="1" ref="L1847" ca="1">INDIRECT("Data!F" &amp; 1842)</f>
        <v>0</v>
      </c>
      <c r="M1847" cm="1">
        <f t="array" aca="1" ref="M1847" ca="1">INDIRECT("Data!G" &amp; 1842)</f>
        <v>0</v>
      </c>
      <c r="N1847" cm="1">
        <f t="array" aca="1" ref="N1847" ca="1">INDIRECT("Data!H" &amp; 1842)</f>
        <v>0</v>
      </c>
      <c r="O1847" cm="1">
        <f t="array" aca="1" ref="O1847" ca="1">INDIRECT("Data!I" &amp; 1842)</f>
        <v>0</v>
      </c>
      <c r="P1847" s="21" cm="1">
        <f t="array" aca="1" ref="P1847" ca="1">INDIRECT("Data!J" &amp; 1842)</f>
        <v>0</v>
      </c>
      <c r="Q1847" cm="1">
        <f t="array" aca="1" ref="Q1847" ca="1">INDIRECT("Data!K" &amp; 1842)</f>
        <v>0</v>
      </c>
      <c r="R1847" cm="1">
        <f t="array" aca="1" ref="R1847" ca="1">INDIRECT("Data!L" &amp; 1842)</f>
        <v>0</v>
      </c>
      <c r="S1847" cm="1">
        <f t="array" aca="1" ref="S1847" ca="1">INDIRECT("Data!M" &amp; 1842)</f>
        <v>0</v>
      </c>
      <c r="T1847" cm="1">
        <f t="array" aca="1" ref="T1847" ca="1">INDIRECT("Data!N" &amp; 1842)</f>
        <v>0</v>
      </c>
      <c r="U1847" cm="1">
        <f t="array" aca="1" ref="U1847" ca="1">INDIRECT("Data!O" &amp; 1842)</f>
        <v>0</v>
      </c>
      <c r="V1847" cm="1">
        <f t="array" aca="1" ref="V1847" ca="1">INDIRECT("Data!P" &amp; 1842)</f>
        <v>0</v>
      </c>
    </row>
    <row r="1848" spans="7:22" x14ac:dyDescent="0.25">
      <c r="G1848" cm="1">
        <f t="array" aca="1" ref="G1848" ca="1">INDIRECT("Data!A" &amp; 1843)</f>
        <v>0</v>
      </c>
      <c r="H1848" s="21" cm="1">
        <f t="array" aca="1" ref="H1848" ca="1">INDIRECT("Data!B" &amp; 1843)</f>
        <v>0</v>
      </c>
      <c r="I1848" s="21" cm="1">
        <f t="array" aca="1" ref="I1848" ca="1">INDIRECT("Data!C" &amp; 1843)</f>
        <v>0</v>
      </c>
      <c r="J1848" cm="1">
        <f t="array" aca="1" ref="J1848" ca="1">INDIRECT("Data!D" &amp; 1843)</f>
        <v>0</v>
      </c>
      <c r="K1848" cm="1">
        <f t="array" aca="1" ref="K1848" ca="1">INDIRECT("Data!E" &amp; 1843)</f>
        <v>0</v>
      </c>
      <c r="L1848" cm="1">
        <f t="array" aca="1" ref="L1848" ca="1">INDIRECT("Data!F" &amp; 1843)</f>
        <v>0</v>
      </c>
      <c r="M1848" cm="1">
        <f t="array" aca="1" ref="M1848" ca="1">INDIRECT("Data!G" &amp; 1843)</f>
        <v>0</v>
      </c>
      <c r="N1848" cm="1">
        <f t="array" aca="1" ref="N1848" ca="1">INDIRECT("Data!H" &amp; 1843)</f>
        <v>0</v>
      </c>
      <c r="O1848" cm="1">
        <f t="array" aca="1" ref="O1848" ca="1">INDIRECT("Data!I" &amp; 1843)</f>
        <v>0</v>
      </c>
      <c r="P1848" s="21" cm="1">
        <f t="array" aca="1" ref="P1848" ca="1">INDIRECT("Data!J" &amp; 1843)</f>
        <v>0</v>
      </c>
      <c r="Q1848" cm="1">
        <f t="array" aca="1" ref="Q1848" ca="1">INDIRECT("Data!K" &amp; 1843)</f>
        <v>0</v>
      </c>
      <c r="R1848" cm="1">
        <f t="array" aca="1" ref="R1848" ca="1">INDIRECT("Data!L" &amp; 1843)</f>
        <v>0</v>
      </c>
      <c r="S1848" cm="1">
        <f t="array" aca="1" ref="S1848" ca="1">INDIRECT("Data!M" &amp; 1843)</f>
        <v>0</v>
      </c>
      <c r="T1848" cm="1">
        <f t="array" aca="1" ref="T1848" ca="1">INDIRECT("Data!N" &amp; 1843)</f>
        <v>0</v>
      </c>
      <c r="U1848" cm="1">
        <f t="array" aca="1" ref="U1848" ca="1">INDIRECT("Data!O" &amp; 1843)</f>
        <v>0</v>
      </c>
      <c r="V1848" cm="1">
        <f t="array" aca="1" ref="V1848" ca="1">INDIRECT("Data!P" &amp; 1843)</f>
        <v>0</v>
      </c>
    </row>
    <row r="1849" spans="7:22" x14ac:dyDescent="0.25">
      <c r="G1849" cm="1">
        <f t="array" aca="1" ref="G1849" ca="1">INDIRECT("Data!A" &amp; 1844)</f>
        <v>0</v>
      </c>
      <c r="H1849" s="21" cm="1">
        <f t="array" aca="1" ref="H1849" ca="1">INDIRECT("Data!B" &amp; 1844)</f>
        <v>0</v>
      </c>
      <c r="I1849" s="21" cm="1">
        <f t="array" aca="1" ref="I1849" ca="1">INDIRECT("Data!C" &amp; 1844)</f>
        <v>0</v>
      </c>
      <c r="J1849" cm="1">
        <f t="array" aca="1" ref="J1849" ca="1">INDIRECT("Data!D" &amp; 1844)</f>
        <v>0</v>
      </c>
      <c r="K1849" cm="1">
        <f t="array" aca="1" ref="K1849" ca="1">INDIRECT("Data!E" &amp; 1844)</f>
        <v>0</v>
      </c>
      <c r="L1849" cm="1">
        <f t="array" aca="1" ref="L1849" ca="1">INDIRECT("Data!F" &amp; 1844)</f>
        <v>0</v>
      </c>
      <c r="M1849" cm="1">
        <f t="array" aca="1" ref="M1849" ca="1">INDIRECT("Data!G" &amp; 1844)</f>
        <v>0</v>
      </c>
      <c r="N1849" cm="1">
        <f t="array" aca="1" ref="N1849" ca="1">INDIRECT("Data!H" &amp; 1844)</f>
        <v>0</v>
      </c>
      <c r="O1849" cm="1">
        <f t="array" aca="1" ref="O1849" ca="1">INDIRECT("Data!I" &amp; 1844)</f>
        <v>0</v>
      </c>
      <c r="P1849" s="21" cm="1">
        <f t="array" aca="1" ref="P1849" ca="1">INDIRECT("Data!J" &amp; 1844)</f>
        <v>0</v>
      </c>
      <c r="Q1849" cm="1">
        <f t="array" aca="1" ref="Q1849" ca="1">INDIRECT("Data!K" &amp; 1844)</f>
        <v>0</v>
      </c>
      <c r="R1849" cm="1">
        <f t="array" aca="1" ref="R1849" ca="1">INDIRECT("Data!L" &amp; 1844)</f>
        <v>0</v>
      </c>
      <c r="S1849" cm="1">
        <f t="array" aca="1" ref="S1849" ca="1">INDIRECT("Data!M" &amp; 1844)</f>
        <v>0</v>
      </c>
      <c r="T1849" cm="1">
        <f t="array" aca="1" ref="T1849" ca="1">INDIRECT("Data!N" &amp; 1844)</f>
        <v>0</v>
      </c>
      <c r="U1849" cm="1">
        <f t="array" aca="1" ref="U1849" ca="1">INDIRECT("Data!O" &amp; 1844)</f>
        <v>0</v>
      </c>
      <c r="V1849" cm="1">
        <f t="array" aca="1" ref="V1849" ca="1">INDIRECT("Data!P" &amp; 1844)</f>
        <v>0</v>
      </c>
    </row>
    <row r="1850" spans="7:22" x14ac:dyDescent="0.25">
      <c r="G1850" cm="1">
        <f t="array" aca="1" ref="G1850" ca="1">INDIRECT("Data!A" &amp; 1845)</f>
        <v>0</v>
      </c>
      <c r="H1850" s="21" cm="1">
        <f t="array" aca="1" ref="H1850" ca="1">INDIRECT("Data!B" &amp; 1845)</f>
        <v>0</v>
      </c>
      <c r="I1850" s="21" cm="1">
        <f t="array" aca="1" ref="I1850" ca="1">INDIRECT("Data!C" &amp; 1845)</f>
        <v>0</v>
      </c>
      <c r="J1850" cm="1">
        <f t="array" aca="1" ref="J1850" ca="1">INDIRECT("Data!D" &amp; 1845)</f>
        <v>0</v>
      </c>
      <c r="K1850" cm="1">
        <f t="array" aca="1" ref="K1850" ca="1">INDIRECT("Data!E" &amp; 1845)</f>
        <v>0</v>
      </c>
      <c r="L1850" cm="1">
        <f t="array" aca="1" ref="L1850" ca="1">INDIRECT("Data!F" &amp; 1845)</f>
        <v>0</v>
      </c>
      <c r="M1850" cm="1">
        <f t="array" aca="1" ref="M1850" ca="1">INDIRECT("Data!G" &amp; 1845)</f>
        <v>0</v>
      </c>
      <c r="N1850" cm="1">
        <f t="array" aca="1" ref="N1850" ca="1">INDIRECT("Data!H" &amp; 1845)</f>
        <v>0</v>
      </c>
      <c r="O1850" cm="1">
        <f t="array" aca="1" ref="O1850" ca="1">INDIRECT("Data!I" &amp; 1845)</f>
        <v>0</v>
      </c>
      <c r="P1850" s="21" cm="1">
        <f t="array" aca="1" ref="P1850" ca="1">INDIRECT("Data!J" &amp; 1845)</f>
        <v>0</v>
      </c>
      <c r="Q1850" cm="1">
        <f t="array" aca="1" ref="Q1850" ca="1">INDIRECT("Data!K" &amp; 1845)</f>
        <v>0</v>
      </c>
      <c r="R1850" cm="1">
        <f t="array" aca="1" ref="R1850" ca="1">INDIRECT("Data!L" &amp; 1845)</f>
        <v>0</v>
      </c>
      <c r="S1850" cm="1">
        <f t="array" aca="1" ref="S1850" ca="1">INDIRECT("Data!M" &amp; 1845)</f>
        <v>0</v>
      </c>
      <c r="T1850" cm="1">
        <f t="array" aca="1" ref="T1850" ca="1">INDIRECT("Data!N" &amp; 1845)</f>
        <v>0</v>
      </c>
      <c r="U1850" cm="1">
        <f t="array" aca="1" ref="U1850" ca="1">INDIRECT("Data!O" &amp; 1845)</f>
        <v>0</v>
      </c>
      <c r="V1850" cm="1">
        <f t="array" aca="1" ref="V1850" ca="1">INDIRECT("Data!P" &amp; 1845)</f>
        <v>0</v>
      </c>
    </row>
    <row r="1851" spans="7:22" x14ac:dyDescent="0.25">
      <c r="G1851" cm="1">
        <f t="array" aca="1" ref="G1851" ca="1">INDIRECT("Data!A" &amp; 1846)</f>
        <v>0</v>
      </c>
      <c r="H1851" s="21" cm="1">
        <f t="array" aca="1" ref="H1851" ca="1">INDIRECT("Data!B" &amp; 1846)</f>
        <v>0</v>
      </c>
      <c r="I1851" s="21" cm="1">
        <f t="array" aca="1" ref="I1851" ca="1">INDIRECT("Data!C" &amp; 1846)</f>
        <v>0</v>
      </c>
      <c r="J1851" cm="1">
        <f t="array" aca="1" ref="J1851" ca="1">INDIRECT("Data!D" &amp; 1846)</f>
        <v>0</v>
      </c>
      <c r="K1851" cm="1">
        <f t="array" aca="1" ref="K1851" ca="1">INDIRECT("Data!E" &amp; 1846)</f>
        <v>0</v>
      </c>
      <c r="L1851" cm="1">
        <f t="array" aca="1" ref="L1851" ca="1">INDIRECT("Data!F" &amp; 1846)</f>
        <v>0</v>
      </c>
      <c r="M1851" cm="1">
        <f t="array" aca="1" ref="M1851" ca="1">INDIRECT("Data!G" &amp; 1846)</f>
        <v>0</v>
      </c>
      <c r="N1851" cm="1">
        <f t="array" aca="1" ref="N1851" ca="1">INDIRECT("Data!H" &amp; 1846)</f>
        <v>0</v>
      </c>
      <c r="O1851" cm="1">
        <f t="array" aca="1" ref="O1851" ca="1">INDIRECT("Data!I" &amp; 1846)</f>
        <v>0</v>
      </c>
      <c r="P1851" s="21" cm="1">
        <f t="array" aca="1" ref="P1851" ca="1">INDIRECT("Data!J" &amp; 1846)</f>
        <v>0</v>
      </c>
      <c r="Q1851" cm="1">
        <f t="array" aca="1" ref="Q1851" ca="1">INDIRECT("Data!K" &amp; 1846)</f>
        <v>0</v>
      </c>
      <c r="R1851" cm="1">
        <f t="array" aca="1" ref="R1851" ca="1">INDIRECT("Data!L" &amp; 1846)</f>
        <v>0</v>
      </c>
      <c r="S1851" cm="1">
        <f t="array" aca="1" ref="S1851" ca="1">INDIRECT("Data!M" &amp; 1846)</f>
        <v>0</v>
      </c>
      <c r="T1851" cm="1">
        <f t="array" aca="1" ref="T1851" ca="1">INDIRECT("Data!N" &amp; 1846)</f>
        <v>0</v>
      </c>
      <c r="U1851" cm="1">
        <f t="array" aca="1" ref="U1851" ca="1">INDIRECT("Data!O" &amp; 1846)</f>
        <v>0</v>
      </c>
      <c r="V1851" cm="1">
        <f t="array" aca="1" ref="V1851" ca="1">INDIRECT("Data!P" &amp; 1846)</f>
        <v>0</v>
      </c>
    </row>
    <row r="1852" spans="7:22" x14ac:dyDescent="0.25">
      <c r="G1852" cm="1">
        <f t="array" aca="1" ref="G1852" ca="1">INDIRECT("Data!A" &amp; 1847)</f>
        <v>0</v>
      </c>
      <c r="H1852" s="21" cm="1">
        <f t="array" aca="1" ref="H1852" ca="1">INDIRECT("Data!B" &amp; 1847)</f>
        <v>0</v>
      </c>
      <c r="I1852" s="21" cm="1">
        <f t="array" aca="1" ref="I1852" ca="1">INDIRECT("Data!C" &amp; 1847)</f>
        <v>0</v>
      </c>
      <c r="J1852" cm="1">
        <f t="array" aca="1" ref="J1852" ca="1">INDIRECT("Data!D" &amp; 1847)</f>
        <v>0</v>
      </c>
      <c r="K1852" cm="1">
        <f t="array" aca="1" ref="K1852" ca="1">INDIRECT("Data!E" &amp; 1847)</f>
        <v>0</v>
      </c>
      <c r="L1852" cm="1">
        <f t="array" aca="1" ref="L1852" ca="1">INDIRECT("Data!F" &amp; 1847)</f>
        <v>0</v>
      </c>
      <c r="M1852" cm="1">
        <f t="array" aca="1" ref="M1852" ca="1">INDIRECT("Data!G" &amp; 1847)</f>
        <v>0</v>
      </c>
      <c r="N1852" cm="1">
        <f t="array" aca="1" ref="N1852" ca="1">INDIRECT("Data!H" &amp; 1847)</f>
        <v>0</v>
      </c>
      <c r="O1852" cm="1">
        <f t="array" aca="1" ref="O1852" ca="1">INDIRECT("Data!I" &amp; 1847)</f>
        <v>0</v>
      </c>
      <c r="P1852" s="21" cm="1">
        <f t="array" aca="1" ref="P1852" ca="1">INDIRECT("Data!J" &amp; 1847)</f>
        <v>0</v>
      </c>
      <c r="Q1852" cm="1">
        <f t="array" aca="1" ref="Q1852" ca="1">INDIRECT("Data!K" &amp; 1847)</f>
        <v>0</v>
      </c>
      <c r="R1852" cm="1">
        <f t="array" aca="1" ref="R1852" ca="1">INDIRECT("Data!L" &amp; 1847)</f>
        <v>0</v>
      </c>
      <c r="S1852" cm="1">
        <f t="array" aca="1" ref="S1852" ca="1">INDIRECT("Data!M" &amp; 1847)</f>
        <v>0</v>
      </c>
      <c r="T1852" cm="1">
        <f t="array" aca="1" ref="T1852" ca="1">INDIRECT("Data!N" &amp; 1847)</f>
        <v>0</v>
      </c>
      <c r="U1852" cm="1">
        <f t="array" aca="1" ref="U1852" ca="1">INDIRECT("Data!O" &amp; 1847)</f>
        <v>0</v>
      </c>
      <c r="V1852" cm="1">
        <f t="array" aca="1" ref="V1852" ca="1">INDIRECT("Data!P" &amp; 1847)</f>
        <v>0</v>
      </c>
    </row>
    <row r="1853" spans="7:22" x14ac:dyDescent="0.25">
      <c r="G1853" cm="1">
        <f t="array" aca="1" ref="G1853" ca="1">INDIRECT("Data!A" &amp; 1848)</f>
        <v>0</v>
      </c>
      <c r="H1853" s="21" cm="1">
        <f t="array" aca="1" ref="H1853" ca="1">INDIRECT("Data!B" &amp; 1848)</f>
        <v>0</v>
      </c>
      <c r="I1853" s="21" cm="1">
        <f t="array" aca="1" ref="I1853" ca="1">INDIRECT("Data!C" &amp; 1848)</f>
        <v>0</v>
      </c>
      <c r="J1853" cm="1">
        <f t="array" aca="1" ref="J1853" ca="1">INDIRECT("Data!D" &amp; 1848)</f>
        <v>0</v>
      </c>
      <c r="K1853" cm="1">
        <f t="array" aca="1" ref="K1853" ca="1">INDIRECT("Data!E" &amp; 1848)</f>
        <v>0</v>
      </c>
      <c r="L1853" cm="1">
        <f t="array" aca="1" ref="L1853" ca="1">INDIRECT("Data!F" &amp; 1848)</f>
        <v>0</v>
      </c>
      <c r="M1853" cm="1">
        <f t="array" aca="1" ref="M1853" ca="1">INDIRECT("Data!G" &amp; 1848)</f>
        <v>0</v>
      </c>
      <c r="N1853" cm="1">
        <f t="array" aca="1" ref="N1853" ca="1">INDIRECT("Data!H" &amp; 1848)</f>
        <v>0</v>
      </c>
      <c r="O1853" cm="1">
        <f t="array" aca="1" ref="O1853" ca="1">INDIRECT("Data!I" &amp; 1848)</f>
        <v>0</v>
      </c>
      <c r="P1853" s="21" cm="1">
        <f t="array" aca="1" ref="P1853" ca="1">INDIRECT("Data!J" &amp; 1848)</f>
        <v>0</v>
      </c>
      <c r="Q1853" cm="1">
        <f t="array" aca="1" ref="Q1853" ca="1">INDIRECT("Data!K" &amp; 1848)</f>
        <v>0</v>
      </c>
      <c r="R1853" cm="1">
        <f t="array" aca="1" ref="R1853" ca="1">INDIRECT("Data!L" &amp; 1848)</f>
        <v>0</v>
      </c>
      <c r="S1853" cm="1">
        <f t="array" aca="1" ref="S1853" ca="1">INDIRECT("Data!M" &amp; 1848)</f>
        <v>0</v>
      </c>
      <c r="T1853" cm="1">
        <f t="array" aca="1" ref="T1853" ca="1">INDIRECT("Data!N" &amp; 1848)</f>
        <v>0</v>
      </c>
      <c r="U1853" cm="1">
        <f t="array" aca="1" ref="U1853" ca="1">INDIRECT("Data!O" &amp; 1848)</f>
        <v>0</v>
      </c>
      <c r="V1853" cm="1">
        <f t="array" aca="1" ref="V1853" ca="1">INDIRECT("Data!P" &amp; 1848)</f>
        <v>0</v>
      </c>
    </row>
    <row r="1854" spans="7:22" x14ac:dyDescent="0.25">
      <c r="G1854" cm="1">
        <f t="array" aca="1" ref="G1854" ca="1">INDIRECT("Data!A" &amp; 1849)</f>
        <v>0</v>
      </c>
      <c r="H1854" s="21" cm="1">
        <f t="array" aca="1" ref="H1854" ca="1">INDIRECT("Data!B" &amp; 1849)</f>
        <v>0</v>
      </c>
      <c r="I1854" s="21" cm="1">
        <f t="array" aca="1" ref="I1854" ca="1">INDIRECT("Data!C" &amp; 1849)</f>
        <v>0</v>
      </c>
      <c r="J1854" cm="1">
        <f t="array" aca="1" ref="J1854" ca="1">INDIRECT("Data!D" &amp; 1849)</f>
        <v>0</v>
      </c>
      <c r="K1854" cm="1">
        <f t="array" aca="1" ref="K1854" ca="1">INDIRECT("Data!E" &amp; 1849)</f>
        <v>0</v>
      </c>
      <c r="L1854" cm="1">
        <f t="array" aca="1" ref="L1854" ca="1">INDIRECT("Data!F" &amp; 1849)</f>
        <v>0</v>
      </c>
      <c r="M1854" cm="1">
        <f t="array" aca="1" ref="M1854" ca="1">INDIRECT("Data!G" &amp; 1849)</f>
        <v>0</v>
      </c>
      <c r="N1854" cm="1">
        <f t="array" aca="1" ref="N1854" ca="1">INDIRECT("Data!H" &amp; 1849)</f>
        <v>0</v>
      </c>
      <c r="O1854" cm="1">
        <f t="array" aca="1" ref="O1854" ca="1">INDIRECT("Data!I" &amp; 1849)</f>
        <v>0</v>
      </c>
      <c r="P1854" s="21" cm="1">
        <f t="array" aca="1" ref="P1854" ca="1">INDIRECT("Data!J" &amp; 1849)</f>
        <v>0</v>
      </c>
      <c r="Q1854" cm="1">
        <f t="array" aca="1" ref="Q1854" ca="1">INDIRECT("Data!K" &amp; 1849)</f>
        <v>0</v>
      </c>
      <c r="R1854" cm="1">
        <f t="array" aca="1" ref="R1854" ca="1">INDIRECT("Data!L" &amp; 1849)</f>
        <v>0</v>
      </c>
      <c r="S1854" cm="1">
        <f t="array" aca="1" ref="S1854" ca="1">INDIRECT("Data!M" &amp; 1849)</f>
        <v>0</v>
      </c>
      <c r="T1854" cm="1">
        <f t="array" aca="1" ref="T1854" ca="1">INDIRECT("Data!N" &amp; 1849)</f>
        <v>0</v>
      </c>
      <c r="U1854" cm="1">
        <f t="array" aca="1" ref="U1854" ca="1">INDIRECT("Data!O" &amp; 1849)</f>
        <v>0</v>
      </c>
      <c r="V1854" cm="1">
        <f t="array" aca="1" ref="V1854" ca="1">INDIRECT("Data!P" &amp; 1849)</f>
        <v>0</v>
      </c>
    </row>
    <row r="1855" spans="7:22" x14ac:dyDescent="0.25">
      <c r="G1855" cm="1">
        <f t="array" aca="1" ref="G1855" ca="1">INDIRECT("Data!A" &amp; 1850)</f>
        <v>0</v>
      </c>
      <c r="H1855" s="21" cm="1">
        <f t="array" aca="1" ref="H1855" ca="1">INDIRECT("Data!B" &amp; 1850)</f>
        <v>0</v>
      </c>
      <c r="I1855" s="21" cm="1">
        <f t="array" aca="1" ref="I1855" ca="1">INDIRECT("Data!C" &amp; 1850)</f>
        <v>0</v>
      </c>
      <c r="J1855" cm="1">
        <f t="array" aca="1" ref="J1855" ca="1">INDIRECT("Data!D" &amp; 1850)</f>
        <v>0</v>
      </c>
      <c r="K1855" cm="1">
        <f t="array" aca="1" ref="K1855" ca="1">INDIRECT("Data!E" &amp; 1850)</f>
        <v>0</v>
      </c>
      <c r="L1855" cm="1">
        <f t="array" aca="1" ref="L1855" ca="1">INDIRECT("Data!F" &amp; 1850)</f>
        <v>0</v>
      </c>
      <c r="M1855" cm="1">
        <f t="array" aca="1" ref="M1855" ca="1">INDIRECT("Data!G" &amp; 1850)</f>
        <v>0</v>
      </c>
      <c r="N1855" cm="1">
        <f t="array" aca="1" ref="N1855" ca="1">INDIRECT("Data!H" &amp; 1850)</f>
        <v>0</v>
      </c>
      <c r="O1855" cm="1">
        <f t="array" aca="1" ref="O1855" ca="1">INDIRECT("Data!I" &amp; 1850)</f>
        <v>0</v>
      </c>
      <c r="P1855" s="21" cm="1">
        <f t="array" aca="1" ref="P1855" ca="1">INDIRECT("Data!J" &amp; 1850)</f>
        <v>0</v>
      </c>
      <c r="Q1855" cm="1">
        <f t="array" aca="1" ref="Q1855" ca="1">INDIRECT("Data!K" &amp; 1850)</f>
        <v>0</v>
      </c>
      <c r="R1855" cm="1">
        <f t="array" aca="1" ref="R1855" ca="1">INDIRECT("Data!L" &amp; 1850)</f>
        <v>0</v>
      </c>
      <c r="S1855" cm="1">
        <f t="array" aca="1" ref="S1855" ca="1">INDIRECT("Data!M" &amp; 1850)</f>
        <v>0</v>
      </c>
      <c r="T1855" cm="1">
        <f t="array" aca="1" ref="T1855" ca="1">INDIRECT("Data!N" &amp; 1850)</f>
        <v>0</v>
      </c>
      <c r="U1855" cm="1">
        <f t="array" aca="1" ref="U1855" ca="1">INDIRECT("Data!O" &amp; 1850)</f>
        <v>0</v>
      </c>
      <c r="V1855" cm="1">
        <f t="array" aca="1" ref="V1855" ca="1">INDIRECT("Data!P" &amp; 1850)</f>
        <v>0</v>
      </c>
    </row>
    <row r="1856" spans="7:22" x14ac:dyDescent="0.25">
      <c r="G1856" cm="1">
        <f t="array" aca="1" ref="G1856" ca="1">INDIRECT("Data!A" &amp; 1851)</f>
        <v>0</v>
      </c>
      <c r="H1856" s="21" cm="1">
        <f t="array" aca="1" ref="H1856" ca="1">INDIRECT("Data!B" &amp; 1851)</f>
        <v>0</v>
      </c>
      <c r="I1856" s="21" cm="1">
        <f t="array" aca="1" ref="I1856" ca="1">INDIRECT("Data!C" &amp; 1851)</f>
        <v>0</v>
      </c>
      <c r="J1856" cm="1">
        <f t="array" aca="1" ref="J1856" ca="1">INDIRECT("Data!D" &amp; 1851)</f>
        <v>0</v>
      </c>
      <c r="K1856" cm="1">
        <f t="array" aca="1" ref="K1856" ca="1">INDIRECT("Data!E" &amp; 1851)</f>
        <v>0</v>
      </c>
      <c r="L1856" cm="1">
        <f t="array" aca="1" ref="L1856" ca="1">INDIRECT("Data!F" &amp; 1851)</f>
        <v>0</v>
      </c>
      <c r="M1856" cm="1">
        <f t="array" aca="1" ref="M1856" ca="1">INDIRECT("Data!G" &amp; 1851)</f>
        <v>0</v>
      </c>
      <c r="N1856" cm="1">
        <f t="array" aca="1" ref="N1856" ca="1">INDIRECT("Data!H" &amp; 1851)</f>
        <v>0</v>
      </c>
      <c r="O1856" cm="1">
        <f t="array" aca="1" ref="O1856" ca="1">INDIRECT("Data!I" &amp; 1851)</f>
        <v>0</v>
      </c>
      <c r="P1856" s="21" cm="1">
        <f t="array" aca="1" ref="P1856" ca="1">INDIRECT("Data!J" &amp; 1851)</f>
        <v>0</v>
      </c>
      <c r="Q1856" cm="1">
        <f t="array" aca="1" ref="Q1856" ca="1">INDIRECT("Data!K" &amp; 1851)</f>
        <v>0</v>
      </c>
      <c r="R1856" cm="1">
        <f t="array" aca="1" ref="R1856" ca="1">INDIRECT("Data!L" &amp; 1851)</f>
        <v>0</v>
      </c>
      <c r="S1856" cm="1">
        <f t="array" aca="1" ref="S1856" ca="1">INDIRECT("Data!M" &amp; 1851)</f>
        <v>0</v>
      </c>
      <c r="T1856" cm="1">
        <f t="array" aca="1" ref="T1856" ca="1">INDIRECT("Data!N" &amp; 1851)</f>
        <v>0</v>
      </c>
      <c r="U1856" cm="1">
        <f t="array" aca="1" ref="U1856" ca="1">INDIRECT("Data!O" &amp; 1851)</f>
        <v>0</v>
      </c>
      <c r="V1856" cm="1">
        <f t="array" aca="1" ref="V1856" ca="1">INDIRECT("Data!P" &amp; 1851)</f>
        <v>0</v>
      </c>
    </row>
    <row r="1857" spans="7:22" x14ac:dyDescent="0.25">
      <c r="G1857" cm="1">
        <f t="array" aca="1" ref="G1857" ca="1">INDIRECT("Data!A" &amp; 1852)</f>
        <v>0</v>
      </c>
      <c r="H1857" s="21" cm="1">
        <f t="array" aca="1" ref="H1857" ca="1">INDIRECT("Data!B" &amp; 1852)</f>
        <v>0</v>
      </c>
      <c r="I1857" s="21" cm="1">
        <f t="array" aca="1" ref="I1857" ca="1">INDIRECT("Data!C" &amp; 1852)</f>
        <v>0</v>
      </c>
      <c r="J1857" cm="1">
        <f t="array" aca="1" ref="J1857" ca="1">INDIRECT("Data!D" &amp; 1852)</f>
        <v>0</v>
      </c>
      <c r="K1857" cm="1">
        <f t="array" aca="1" ref="K1857" ca="1">INDIRECT("Data!E" &amp; 1852)</f>
        <v>0</v>
      </c>
      <c r="L1857" cm="1">
        <f t="array" aca="1" ref="L1857" ca="1">INDIRECT("Data!F" &amp; 1852)</f>
        <v>0</v>
      </c>
      <c r="M1857" cm="1">
        <f t="array" aca="1" ref="M1857" ca="1">INDIRECT("Data!G" &amp; 1852)</f>
        <v>0</v>
      </c>
      <c r="N1857" cm="1">
        <f t="array" aca="1" ref="N1857" ca="1">INDIRECT("Data!H" &amp; 1852)</f>
        <v>0</v>
      </c>
      <c r="O1857" cm="1">
        <f t="array" aca="1" ref="O1857" ca="1">INDIRECT("Data!I" &amp; 1852)</f>
        <v>0</v>
      </c>
      <c r="P1857" s="21" cm="1">
        <f t="array" aca="1" ref="P1857" ca="1">INDIRECT("Data!J" &amp; 1852)</f>
        <v>0</v>
      </c>
      <c r="Q1857" cm="1">
        <f t="array" aca="1" ref="Q1857" ca="1">INDIRECT("Data!K" &amp; 1852)</f>
        <v>0</v>
      </c>
      <c r="R1857" cm="1">
        <f t="array" aca="1" ref="R1857" ca="1">INDIRECT("Data!L" &amp; 1852)</f>
        <v>0</v>
      </c>
      <c r="S1857" cm="1">
        <f t="array" aca="1" ref="S1857" ca="1">INDIRECT("Data!M" &amp; 1852)</f>
        <v>0</v>
      </c>
      <c r="T1857" cm="1">
        <f t="array" aca="1" ref="T1857" ca="1">INDIRECT("Data!N" &amp; 1852)</f>
        <v>0</v>
      </c>
      <c r="U1857" cm="1">
        <f t="array" aca="1" ref="U1857" ca="1">INDIRECT("Data!O" &amp; 1852)</f>
        <v>0</v>
      </c>
      <c r="V1857" cm="1">
        <f t="array" aca="1" ref="V1857" ca="1">INDIRECT("Data!P" &amp; 1852)</f>
        <v>0</v>
      </c>
    </row>
    <row r="1858" spans="7:22" x14ac:dyDescent="0.25">
      <c r="G1858" cm="1">
        <f t="array" aca="1" ref="G1858" ca="1">INDIRECT("Data!A" &amp; 1853)</f>
        <v>0</v>
      </c>
      <c r="H1858" s="21" cm="1">
        <f t="array" aca="1" ref="H1858" ca="1">INDIRECT("Data!B" &amp; 1853)</f>
        <v>0</v>
      </c>
      <c r="I1858" s="21" cm="1">
        <f t="array" aca="1" ref="I1858" ca="1">INDIRECT("Data!C" &amp; 1853)</f>
        <v>0</v>
      </c>
      <c r="J1858" cm="1">
        <f t="array" aca="1" ref="J1858" ca="1">INDIRECT("Data!D" &amp; 1853)</f>
        <v>0</v>
      </c>
      <c r="K1858" cm="1">
        <f t="array" aca="1" ref="K1858" ca="1">INDIRECT("Data!E" &amp; 1853)</f>
        <v>0</v>
      </c>
      <c r="L1858" cm="1">
        <f t="array" aca="1" ref="L1858" ca="1">INDIRECT("Data!F" &amp; 1853)</f>
        <v>0</v>
      </c>
      <c r="M1858" cm="1">
        <f t="array" aca="1" ref="M1858" ca="1">INDIRECT("Data!G" &amp; 1853)</f>
        <v>0</v>
      </c>
      <c r="N1858" cm="1">
        <f t="array" aca="1" ref="N1858" ca="1">INDIRECT("Data!H" &amp; 1853)</f>
        <v>0</v>
      </c>
      <c r="O1858" cm="1">
        <f t="array" aca="1" ref="O1858" ca="1">INDIRECT("Data!I" &amp; 1853)</f>
        <v>0</v>
      </c>
      <c r="P1858" s="21" cm="1">
        <f t="array" aca="1" ref="P1858" ca="1">INDIRECT("Data!J" &amp; 1853)</f>
        <v>0</v>
      </c>
      <c r="Q1858" cm="1">
        <f t="array" aca="1" ref="Q1858" ca="1">INDIRECT("Data!K" &amp; 1853)</f>
        <v>0</v>
      </c>
      <c r="R1858" cm="1">
        <f t="array" aca="1" ref="R1858" ca="1">INDIRECT("Data!L" &amp; 1853)</f>
        <v>0</v>
      </c>
      <c r="S1858" cm="1">
        <f t="array" aca="1" ref="S1858" ca="1">INDIRECT("Data!M" &amp; 1853)</f>
        <v>0</v>
      </c>
      <c r="T1858" cm="1">
        <f t="array" aca="1" ref="T1858" ca="1">INDIRECT("Data!N" &amp; 1853)</f>
        <v>0</v>
      </c>
      <c r="U1858" cm="1">
        <f t="array" aca="1" ref="U1858" ca="1">INDIRECT("Data!O" &amp; 1853)</f>
        <v>0</v>
      </c>
      <c r="V1858" cm="1">
        <f t="array" aca="1" ref="V1858" ca="1">INDIRECT("Data!P" &amp; 1853)</f>
        <v>0</v>
      </c>
    </row>
    <row r="1859" spans="7:22" x14ac:dyDescent="0.25">
      <c r="G1859" cm="1">
        <f t="array" aca="1" ref="G1859" ca="1">INDIRECT("Data!A" &amp; 1854)</f>
        <v>0</v>
      </c>
      <c r="H1859" s="21" cm="1">
        <f t="array" aca="1" ref="H1859" ca="1">INDIRECT("Data!B" &amp; 1854)</f>
        <v>0</v>
      </c>
      <c r="I1859" s="21" cm="1">
        <f t="array" aca="1" ref="I1859" ca="1">INDIRECT("Data!C" &amp; 1854)</f>
        <v>0</v>
      </c>
      <c r="J1859" cm="1">
        <f t="array" aca="1" ref="J1859" ca="1">INDIRECT("Data!D" &amp; 1854)</f>
        <v>0</v>
      </c>
      <c r="K1859" cm="1">
        <f t="array" aca="1" ref="K1859" ca="1">INDIRECT("Data!E" &amp; 1854)</f>
        <v>0</v>
      </c>
      <c r="L1859" cm="1">
        <f t="array" aca="1" ref="L1859" ca="1">INDIRECT("Data!F" &amp; 1854)</f>
        <v>0</v>
      </c>
      <c r="M1859" cm="1">
        <f t="array" aca="1" ref="M1859" ca="1">INDIRECT("Data!G" &amp; 1854)</f>
        <v>0</v>
      </c>
      <c r="N1859" cm="1">
        <f t="array" aca="1" ref="N1859" ca="1">INDIRECT("Data!H" &amp; 1854)</f>
        <v>0</v>
      </c>
      <c r="O1859" cm="1">
        <f t="array" aca="1" ref="O1859" ca="1">INDIRECT("Data!I" &amp; 1854)</f>
        <v>0</v>
      </c>
      <c r="P1859" s="21" cm="1">
        <f t="array" aca="1" ref="P1859" ca="1">INDIRECT("Data!J" &amp; 1854)</f>
        <v>0</v>
      </c>
      <c r="Q1859" cm="1">
        <f t="array" aca="1" ref="Q1859" ca="1">INDIRECT("Data!K" &amp; 1854)</f>
        <v>0</v>
      </c>
      <c r="R1859" cm="1">
        <f t="array" aca="1" ref="R1859" ca="1">INDIRECT("Data!L" &amp; 1854)</f>
        <v>0</v>
      </c>
      <c r="S1859" cm="1">
        <f t="array" aca="1" ref="S1859" ca="1">INDIRECT("Data!M" &amp; 1854)</f>
        <v>0</v>
      </c>
      <c r="T1859" cm="1">
        <f t="array" aca="1" ref="T1859" ca="1">INDIRECT("Data!N" &amp; 1854)</f>
        <v>0</v>
      </c>
      <c r="U1859" cm="1">
        <f t="array" aca="1" ref="U1859" ca="1">INDIRECT("Data!O" &amp; 1854)</f>
        <v>0</v>
      </c>
      <c r="V1859" cm="1">
        <f t="array" aca="1" ref="V1859" ca="1">INDIRECT("Data!P" &amp; 1854)</f>
        <v>0</v>
      </c>
    </row>
    <row r="1860" spans="7:22" x14ac:dyDescent="0.25">
      <c r="G1860" cm="1">
        <f t="array" aca="1" ref="G1860" ca="1">INDIRECT("Data!A" &amp; 1855)</f>
        <v>0</v>
      </c>
      <c r="H1860" s="21" cm="1">
        <f t="array" aca="1" ref="H1860" ca="1">INDIRECT("Data!B" &amp; 1855)</f>
        <v>0</v>
      </c>
      <c r="I1860" s="21" cm="1">
        <f t="array" aca="1" ref="I1860" ca="1">INDIRECT("Data!C" &amp; 1855)</f>
        <v>0</v>
      </c>
      <c r="J1860" cm="1">
        <f t="array" aca="1" ref="J1860" ca="1">INDIRECT("Data!D" &amp; 1855)</f>
        <v>0</v>
      </c>
      <c r="K1860" cm="1">
        <f t="array" aca="1" ref="K1860" ca="1">INDIRECT("Data!E" &amp; 1855)</f>
        <v>0</v>
      </c>
      <c r="L1860" cm="1">
        <f t="array" aca="1" ref="L1860" ca="1">INDIRECT("Data!F" &amp; 1855)</f>
        <v>0</v>
      </c>
      <c r="M1860" cm="1">
        <f t="array" aca="1" ref="M1860" ca="1">INDIRECT("Data!G" &amp; 1855)</f>
        <v>0</v>
      </c>
      <c r="N1860" cm="1">
        <f t="array" aca="1" ref="N1860" ca="1">INDIRECT("Data!H" &amp; 1855)</f>
        <v>0</v>
      </c>
      <c r="O1860" cm="1">
        <f t="array" aca="1" ref="O1860" ca="1">INDIRECT("Data!I" &amp; 1855)</f>
        <v>0</v>
      </c>
      <c r="P1860" s="21" cm="1">
        <f t="array" aca="1" ref="P1860" ca="1">INDIRECT("Data!J" &amp; 1855)</f>
        <v>0</v>
      </c>
      <c r="Q1860" cm="1">
        <f t="array" aca="1" ref="Q1860" ca="1">INDIRECT("Data!K" &amp; 1855)</f>
        <v>0</v>
      </c>
      <c r="R1860" cm="1">
        <f t="array" aca="1" ref="R1860" ca="1">INDIRECT("Data!L" &amp; 1855)</f>
        <v>0</v>
      </c>
      <c r="S1860" cm="1">
        <f t="array" aca="1" ref="S1860" ca="1">INDIRECT("Data!M" &amp; 1855)</f>
        <v>0</v>
      </c>
      <c r="T1860" cm="1">
        <f t="array" aca="1" ref="T1860" ca="1">INDIRECT("Data!N" &amp; 1855)</f>
        <v>0</v>
      </c>
      <c r="U1860" cm="1">
        <f t="array" aca="1" ref="U1860" ca="1">INDIRECT("Data!O" &amp; 1855)</f>
        <v>0</v>
      </c>
      <c r="V1860" cm="1">
        <f t="array" aca="1" ref="V1860" ca="1">INDIRECT("Data!P" &amp; 1855)</f>
        <v>0</v>
      </c>
    </row>
    <row r="1861" spans="7:22" x14ac:dyDescent="0.25">
      <c r="G1861" cm="1">
        <f t="array" aca="1" ref="G1861" ca="1">INDIRECT("Data!A" &amp; 1856)</f>
        <v>0</v>
      </c>
      <c r="H1861" s="21" cm="1">
        <f t="array" aca="1" ref="H1861" ca="1">INDIRECT("Data!B" &amp; 1856)</f>
        <v>0</v>
      </c>
      <c r="I1861" s="21" cm="1">
        <f t="array" aca="1" ref="I1861" ca="1">INDIRECT("Data!C" &amp; 1856)</f>
        <v>0</v>
      </c>
      <c r="J1861" cm="1">
        <f t="array" aca="1" ref="J1861" ca="1">INDIRECT("Data!D" &amp; 1856)</f>
        <v>0</v>
      </c>
      <c r="K1861" cm="1">
        <f t="array" aca="1" ref="K1861" ca="1">INDIRECT("Data!E" &amp; 1856)</f>
        <v>0</v>
      </c>
      <c r="L1861" cm="1">
        <f t="array" aca="1" ref="L1861" ca="1">INDIRECT("Data!F" &amp; 1856)</f>
        <v>0</v>
      </c>
      <c r="M1861" cm="1">
        <f t="array" aca="1" ref="M1861" ca="1">INDIRECT("Data!G" &amp; 1856)</f>
        <v>0</v>
      </c>
      <c r="N1861" cm="1">
        <f t="array" aca="1" ref="N1861" ca="1">INDIRECT("Data!H" &amp; 1856)</f>
        <v>0</v>
      </c>
      <c r="O1861" cm="1">
        <f t="array" aca="1" ref="O1861" ca="1">INDIRECT("Data!I" &amp; 1856)</f>
        <v>0</v>
      </c>
      <c r="P1861" s="21" cm="1">
        <f t="array" aca="1" ref="P1861" ca="1">INDIRECT("Data!J" &amp; 1856)</f>
        <v>0</v>
      </c>
      <c r="Q1861" cm="1">
        <f t="array" aca="1" ref="Q1861" ca="1">INDIRECT("Data!K" &amp; 1856)</f>
        <v>0</v>
      </c>
      <c r="R1861" cm="1">
        <f t="array" aca="1" ref="R1861" ca="1">INDIRECT("Data!L" &amp; 1856)</f>
        <v>0</v>
      </c>
      <c r="S1861" cm="1">
        <f t="array" aca="1" ref="S1861" ca="1">INDIRECT("Data!M" &amp; 1856)</f>
        <v>0</v>
      </c>
      <c r="T1861" cm="1">
        <f t="array" aca="1" ref="T1861" ca="1">INDIRECT("Data!N" &amp; 1856)</f>
        <v>0</v>
      </c>
      <c r="U1861" cm="1">
        <f t="array" aca="1" ref="U1861" ca="1">INDIRECT("Data!O" &amp; 1856)</f>
        <v>0</v>
      </c>
      <c r="V1861" cm="1">
        <f t="array" aca="1" ref="V1861" ca="1">INDIRECT("Data!P" &amp; 1856)</f>
        <v>0</v>
      </c>
    </row>
    <row r="1862" spans="7:22" x14ac:dyDescent="0.25">
      <c r="G1862" cm="1">
        <f t="array" aca="1" ref="G1862" ca="1">INDIRECT("Data!A" &amp; 1857)</f>
        <v>0</v>
      </c>
      <c r="H1862" s="21" cm="1">
        <f t="array" aca="1" ref="H1862" ca="1">INDIRECT("Data!B" &amp; 1857)</f>
        <v>0</v>
      </c>
      <c r="I1862" s="21" cm="1">
        <f t="array" aca="1" ref="I1862" ca="1">INDIRECT("Data!C" &amp; 1857)</f>
        <v>0</v>
      </c>
      <c r="J1862" cm="1">
        <f t="array" aca="1" ref="J1862" ca="1">INDIRECT("Data!D" &amp; 1857)</f>
        <v>0</v>
      </c>
      <c r="K1862" cm="1">
        <f t="array" aca="1" ref="K1862" ca="1">INDIRECT("Data!E" &amp; 1857)</f>
        <v>0</v>
      </c>
      <c r="L1862" cm="1">
        <f t="array" aca="1" ref="L1862" ca="1">INDIRECT("Data!F" &amp; 1857)</f>
        <v>0</v>
      </c>
      <c r="M1862" cm="1">
        <f t="array" aca="1" ref="M1862" ca="1">INDIRECT("Data!G" &amp; 1857)</f>
        <v>0</v>
      </c>
      <c r="N1862" cm="1">
        <f t="array" aca="1" ref="N1862" ca="1">INDIRECT("Data!H" &amp; 1857)</f>
        <v>0</v>
      </c>
      <c r="O1862" cm="1">
        <f t="array" aca="1" ref="O1862" ca="1">INDIRECT("Data!I" &amp; 1857)</f>
        <v>0</v>
      </c>
      <c r="P1862" s="21" cm="1">
        <f t="array" aca="1" ref="P1862" ca="1">INDIRECT("Data!J" &amp; 1857)</f>
        <v>0</v>
      </c>
      <c r="Q1862" cm="1">
        <f t="array" aca="1" ref="Q1862" ca="1">INDIRECT("Data!K" &amp; 1857)</f>
        <v>0</v>
      </c>
      <c r="R1862" cm="1">
        <f t="array" aca="1" ref="R1862" ca="1">INDIRECT("Data!L" &amp; 1857)</f>
        <v>0</v>
      </c>
      <c r="S1862" cm="1">
        <f t="array" aca="1" ref="S1862" ca="1">INDIRECT("Data!M" &amp; 1857)</f>
        <v>0</v>
      </c>
      <c r="T1862" cm="1">
        <f t="array" aca="1" ref="T1862" ca="1">INDIRECT("Data!N" &amp; 1857)</f>
        <v>0</v>
      </c>
      <c r="U1862" cm="1">
        <f t="array" aca="1" ref="U1862" ca="1">INDIRECT("Data!O" &amp; 1857)</f>
        <v>0</v>
      </c>
      <c r="V1862" cm="1">
        <f t="array" aca="1" ref="V1862" ca="1">INDIRECT("Data!P" &amp; 1857)</f>
        <v>0</v>
      </c>
    </row>
    <row r="1863" spans="7:22" x14ac:dyDescent="0.25">
      <c r="G1863" cm="1">
        <f t="array" aca="1" ref="G1863" ca="1">INDIRECT("Data!A" &amp; 1858)</f>
        <v>0</v>
      </c>
      <c r="H1863" s="21" cm="1">
        <f t="array" aca="1" ref="H1863" ca="1">INDIRECT("Data!B" &amp; 1858)</f>
        <v>0</v>
      </c>
      <c r="I1863" s="21" cm="1">
        <f t="array" aca="1" ref="I1863" ca="1">INDIRECT("Data!C" &amp; 1858)</f>
        <v>0</v>
      </c>
      <c r="J1863" cm="1">
        <f t="array" aca="1" ref="J1863" ca="1">INDIRECT("Data!D" &amp; 1858)</f>
        <v>0</v>
      </c>
      <c r="K1863" cm="1">
        <f t="array" aca="1" ref="K1863" ca="1">INDIRECT("Data!E" &amp; 1858)</f>
        <v>0</v>
      </c>
      <c r="L1863" cm="1">
        <f t="array" aca="1" ref="L1863" ca="1">INDIRECT("Data!F" &amp; 1858)</f>
        <v>0</v>
      </c>
      <c r="M1863" cm="1">
        <f t="array" aca="1" ref="M1863" ca="1">INDIRECT("Data!G" &amp; 1858)</f>
        <v>0</v>
      </c>
      <c r="N1863" cm="1">
        <f t="array" aca="1" ref="N1863" ca="1">INDIRECT("Data!H" &amp; 1858)</f>
        <v>0</v>
      </c>
      <c r="O1863" cm="1">
        <f t="array" aca="1" ref="O1863" ca="1">INDIRECT("Data!I" &amp; 1858)</f>
        <v>0</v>
      </c>
      <c r="P1863" s="21" cm="1">
        <f t="array" aca="1" ref="P1863" ca="1">INDIRECT("Data!J" &amp; 1858)</f>
        <v>0</v>
      </c>
      <c r="Q1863" cm="1">
        <f t="array" aca="1" ref="Q1863" ca="1">INDIRECT("Data!K" &amp; 1858)</f>
        <v>0</v>
      </c>
      <c r="R1863" cm="1">
        <f t="array" aca="1" ref="R1863" ca="1">INDIRECT("Data!L" &amp; 1858)</f>
        <v>0</v>
      </c>
      <c r="S1863" cm="1">
        <f t="array" aca="1" ref="S1863" ca="1">INDIRECT("Data!M" &amp; 1858)</f>
        <v>0</v>
      </c>
      <c r="T1863" cm="1">
        <f t="array" aca="1" ref="T1863" ca="1">INDIRECT("Data!N" &amp; 1858)</f>
        <v>0</v>
      </c>
      <c r="U1863" cm="1">
        <f t="array" aca="1" ref="U1863" ca="1">INDIRECT("Data!O" &amp; 1858)</f>
        <v>0</v>
      </c>
      <c r="V1863" cm="1">
        <f t="array" aca="1" ref="V1863" ca="1">INDIRECT("Data!P" &amp; 1858)</f>
        <v>0</v>
      </c>
    </row>
    <row r="1864" spans="7:22" x14ac:dyDescent="0.25">
      <c r="G1864" cm="1">
        <f t="array" aca="1" ref="G1864" ca="1">INDIRECT("Data!A" &amp; 1859)</f>
        <v>0</v>
      </c>
      <c r="H1864" s="21" cm="1">
        <f t="array" aca="1" ref="H1864" ca="1">INDIRECT("Data!B" &amp; 1859)</f>
        <v>0</v>
      </c>
      <c r="I1864" s="21" cm="1">
        <f t="array" aca="1" ref="I1864" ca="1">INDIRECT("Data!C" &amp; 1859)</f>
        <v>0</v>
      </c>
      <c r="J1864" cm="1">
        <f t="array" aca="1" ref="J1864" ca="1">INDIRECT("Data!D" &amp; 1859)</f>
        <v>0</v>
      </c>
      <c r="K1864" cm="1">
        <f t="array" aca="1" ref="K1864" ca="1">INDIRECT("Data!E" &amp; 1859)</f>
        <v>0</v>
      </c>
      <c r="L1864" cm="1">
        <f t="array" aca="1" ref="L1864" ca="1">INDIRECT("Data!F" &amp; 1859)</f>
        <v>0</v>
      </c>
      <c r="M1864" cm="1">
        <f t="array" aca="1" ref="M1864" ca="1">INDIRECT("Data!G" &amp; 1859)</f>
        <v>0</v>
      </c>
      <c r="N1864" cm="1">
        <f t="array" aca="1" ref="N1864" ca="1">INDIRECT("Data!H" &amp; 1859)</f>
        <v>0</v>
      </c>
      <c r="O1864" cm="1">
        <f t="array" aca="1" ref="O1864" ca="1">INDIRECT("Data!I" &amp; 1859)</f>
        <v>0</v>
      </c>
      <c r="P1864" s="21" cm="1">
        <f t="array" aca="1" ref="P1864" ca="1">INDIRECT("Data!J" &amp; 1859)</f>
        <v>0</v>
      </c>
      <c r="Q1864" cm="1">
        <f t="array" aca="1" ref="Q1864" ca="1">INDIRECT("Data!K" &amp; 1859)</f>
        <v>0</v>
      </c>
      <c r="R1864" cm="1">
        <f t="array" aca="1" ref="R1864" ca="1">INDIRECT("Data!L" &amp; 1859)</f>
        <v>0</v>
      </c>
      <c r="S1864" cm="1">
        <f t="array" aca="1" ref="S1864" ca="1">INDIRECT("Data!M" &amp; 1859)</f>
        <v>0</v>
      </c>
      <c r="T1864" cm="1">
        <f t="array" aca="1" ref="T1864" ca="1">INDIRECT("Data!N" &amp; 1859)</f>
        <v>0</v>
      </c>
      <c r="U1864" cm="1">
        <f t="array" aca="1" ref="U1864" ca="1">INDIRECT("Data!O" &amp; 1859)</f>
        <v>0</v>
      </c>
      <c r="V1864" cm="1">
        <f t="array" aca="1" ref="V1864" ca="1">INDIRECT("Data!P" &amp; 1859)</f>
        <v>0</v>
      </c>
    </row>
    <row r="1865" spans="7:22" x14ac:dyDescent="0.25">
      <c r="G1865" cm="1">
        <f t="array" aca="1" ref="G1865" ca="1">INDIRECT("Data!A" &amp; 1860)</f>
        <v>0</v>
      </c>
      <c r="H1865" s="21" cm="1">
        <f t="array" aca="1" ref="H1865" ca="1">INDIRECT("Data!B" &amp; 1860)</f>
        <v>0</v>
      </c>
      <c r="I1865" s="21" cm="1">
        <f t="array" aca="1" ref="I1865" ca="1">INDIRECT("Data!C" &amp; 1860)</f>
        <v>0</v>
      </c>
      <c r="J1865" cm="1">
        <f t="array" aca="1" ref="J1865" ca="1">INDIRECT("Data!D" &amp; 1860)</f>
        <v>0</v>
      </c>
      <c r="K1865" cm="1">
        <f t="array" aca="1" ref="K1865" ca="1">INDIRECT("Data!E" &amp; 1860)</f>
        <v>0</v>
      </c>
      <c r="L1865" cm="1">
        <f t="array" aca="1" ref="L1865" ca="1">INDIRECT("Data!F" &amp; 1860)</f>
        <v>0</v>
      </c>
      <c r="M1865" cm="1">
        <f t="array" aca="1" ref="M1865" ca="1">INDIRECT("Data!G" &amp; 1860)</f>
        <v>0</v>
      </c>
      <c r="N1865" cm="1">
        <f t="array" aca="1" ref="N1865" ca="1">INDIRECT("Data!H" &amp; 1860)</f>
        <v>0</v>
      </c>
      <c r="O1865" cm="1">
        <f t="array" aca="1" ref="O1865" ca="1">INDIRECT("Data!I" &amp; 1860)</f>
        <v>0</v>
      </c>
      <c r="P1865" s="21" cm="1">
        <f t="array" aca="1" ref="P1865" ca="1">INDIRECT("Data!J" &amp; 1860)</f>
        <v>0</v>
      </c>
      <c r="Q1865" cm="1">
        <f t="array" aca="1" ref="Q1865" ca="1">INDIRECT("Data!K" &amp; 1860)</f>
        <v>0</v>
      </c>
      <c r="R1865" cm="1">
        <f t="array" aca="1" ref="R1865" ca="1">INDIRECT("Data!L" &amp; 1860)</f>
        <v>0</v>
      </c>
      <c r="S1865" cm="1">
        <f t="array" aca="1" ref="S1865" ca="1">INDIRECT("Data!M" &amp; 1860)</f>
        <v>0</v>
      </c>
      <c r="T1865" cm="1">
        <f t="array" aca="1" ref="T1865" ca="1">INDIRECT("Data!N" &amp; 1860)</f>
        <v>0</v>
      </c>
      <c r="U1865" cm="1">
        <f t="array" aca="1" ref="U1865" ca="1">INDIRECT("Data!O" &amp; 1860)</f>
        <v>0</v>
      </c>
      <c r="V1865" cm="1">
        <f t="array" aca="1" ref="V1865" ca="1">INDIRECT("Data!P" &amp; 1860)</f>
        <v>0</v>
      </c>
    </row>
    <row r="1866" spans="7:22" x14ac:dyDescent="0.25">
      <c r="G1866" cm="1">
        <f t="array" aca="1" ref="G1866" ca="1">INDIRECT("Data!A" &amp; 1861)</f>
        <v>0</v>
      </c>
      <c r="H1866" s="21" cm="1">
        <f t="array" aca="1" ref="H1866" ca="1">INDIRECT("Data!B" &amp; 1861)</f>
        <v>0</v>
      </c>
      <c r="I1866" s="21" cm="1">
        <f t="array" aca="1" ref="I1866" ca="1">INDIRECT("Data!C" &amp; 1861)</f>
        <v>0</v>
      </c>
      <c r="J1866" cm="1">
        <f t="array" aca="1" ref="J1866" ca="1">INDIRECT("Data!D" &amp; 1861)</f>
        <v>0</v>
      </c>
      <c r="K1866" cm="1">
        <f t="array" aca="1" ref="K1866" ca="1">INDIRECT("Data!E" &amp; 1861)</f>
        <v>0</v>
      </c>
      <c r="L1866" cm="1">
        <f t="array" aca="1" ref="L1866" ca="1">INDIRECT("Data!F" &amp; 1861)</f>
        <v>0</v>
      </c>
      <c r="M1866" cm="1">
        <f t="array" aca="1" ref="M1866" ca="1">INDIRECT("Data!G" &amp; 1861)</f>
        <v>0</v>
      </c>
      <c r="N1866" cm="1">
        <f t="array" aca="1" ref="N1866" ca="1">INDIRECT("Data!H" &amp; 1861)</f>
        <v>0</v>
      </c>
      <c r="O1866" cm="1">
        <f t="array" aca="1" ref="O1866" ca="1">INDIRECT("Data!I" &amp; 1861)</f>
        <v>0</v>
      </c>
      <c r="P1866" s="21" cm="1">
        <f t="array" aca="1" ref="P1866" ca="1">INDIRECT("Data!J" &amp; 1861)</f>
        <v>0</v>
      </c>
      <c r="Q1866" cm="1">
        <f t="array" aca="1" ref="Q1866" ca="1">INDIRECT("Data!K" &amp; 1861)</f>
        <v>0</v>
      </c>
      <c r="R1866" cm="1">
        <f t="array" aca="1" ref="R1866" ca="1">INDIRECT("Data!L" &amp; 1861)</f>
        <v>0</v>
      </c>
      <c r="S1866" cm="1">
        <f t="array" aca="1" ref="S1866" ca="1">INDIRECT("Data!M" &amp; 1861)</f>
        <v>0</v>
      </c>
      <c r="T1866" cm="1">
        <f t="array" aca="1" ref="T1866" ca="1">INDIRECT("Data!N" &amp; 1861)</f>
        <v>0</v>
      </c>
      <c r="U1866" cm="1">
        <f t="array" aca="1" ref="U1866" ca="1">INDIRECT("Data!O" &amp; 1861)</f>
        <v>0</v>
      </c>
      <c r="V1866" cm="1">
        <f t="array" aca="1" ref="V1866" ca="1">INDIRECT("Data!P" &amp; 1861)</f>
        <v>0</v>
      </c>
    </row>
    <row r="1867" spans="7:22" x14ac:dyDescent="0.25">
      <c r="G1867" cm="1">
        <f t="array" aca="1" ref="G1867" ca="1">INDIRECT("Data!A" &amp; 1862)</f>
        <v>0</v>
      </c>
      <c r="H1867" s="21" cm="1">
        <f t="array" aca="1" ref="H1867" ca="1">INDIRECT("Data!B" &amp; 1862)</f>
        <v>0</v>
      </c>
      <c r="I1867" s="21" cm="1">
        <f t="array" aca="1" ref="I1867" ca="1">INDIRECT("Data!C" &amp; 1862)</f>
        <v>0</v>
      </c>
      <c r="J1867" cm="1">
        <f t="array" aca="1" ref="J1867" ca="1">INDIRECT("Data!D" &amp; 1862)</f>
        <v>0</v>
      </c>
      <c r="K1867" cm="1">
        <f t="array" aca="1" ref="K1867" ca="1">INDIRECT("Data!E" &amp; 1862)</f>
        <v>0</v>
      </c>
      <c r="L1867" cm="1">
        <f t="array" aca="1" ref="L1867" ca="1">INDIRECT("Data!F" &amp; 1862)</f>
        <v>0</v>
      </c>
      <c r="M1867" cm="1">
        <f t="array" aca="1" ref="M1867" ca="1">INDIRECT("Data!G" &amp; 1862)</f>
        <v>0</v>
      </c>
      <c r="N1867" cm="1">
        <f t="array" aca="1" ref="N1867" ca="1">INDIRECT("Data!H" &amp; 1862)</f>
        <v>0</v>
      </c>
      <c r="O1867" cm="1">
        <f t="array" aca="1" ref="O1867" ca="1">INDIRECT("Data!I" &amp; 1862)</f>
        <v>0</v>
      </c>
      <c r="P1867" s="21" cm="1">
        <f t="array" aca="1" ref="P1867" ca="1">INDIRECT("Data!J" &amp; 1862)</f>
        <v>0</v>
      </c>
      <c r="Q1867" cm="1">
        <f t="array" aca="1" ref="Q1867" ca="1">INDIRECT("Data!K" &amp; 1862)</f>
        <v>0</v>
      </c>
      <c r="R1867" cm="1">
        <f t="array" aca="1" ref="R1867" ca="1">INDIRECT("Data!L" &amp; 1862)</f>
        <v>0</v>
      </c>
      <c r="S1867" cm="1">
        <f t="array" aca="1" ref="S1867" ca="1">INDIRECT("Data!M" &amp; 1862)</f>
        <v>0</v>
      </c>
      <c r="T1867" cm="1">
        <f t="array" aca="1" ref="T1867" ca="1">INDIRECT("Data!N" &amp; 1862)</f>
        <v>0</v>
      </c>
      <c r="U1867" cm="1">
        <f t="array" aca="1" ref="U1867" ca="1">INDIRECT("Data!O" &amp; 1862)</f>
        <v>0</v>
      </c>
      <c r="V1867" cm="1">
        <f t="array" aca="1" ref="V1867" ca="1">INDIRECT("Data!P" &amp; 1862)</f>
        <v>0</v>
      </c>
    </row>
    <row r="1868" spans="7:22" x14ac:dyDescent="0.25">
      <c r="G1868" cm="1">
        <f t="array" aca="1" ref="G1868" ca="1">INDIRECT("Data!A" &amp; 1863)</f>
        <v>0</v>
      </c>
      <c r="H1868" s="21" cm="1">
        <f t="array" aca="1" ref="H1868" ca="1">INDIRECT("Data!B" &amp; 1863)</f>
        <v>0</v>
      </c>
      <c r="I1868" s="21" cm="1">
        <f t="array" aca="1" ref="I1868" ca="1">INDIRECT("Data!C" &amp; 1863)</f>
        <v>0</v>
      </c>
      <c r="J1868" cm="1">
        <f t="array" aca="1" ref="J1868" ca="1">INDIRECT("Data!D" &amp; 1863)</f>
        <v>0</v>
      </c>
      <c r="K1868" cm="1">
        <f t="array" aca="1" ref="K1868" ca="1">INDIRECT("Data!E" &amp; 1863)</f>
        <v>0</v>
      </c>
      <c r="L1868" cm="1">
        <f t="array" aca="1" ref="L1868" ca="1">INDIRECT("Data!F" &amp; 1863)</f>
        <v>0</v>
      </c>
      <c r="M1868" cm="1">
        <f t="array" aca="1" ref="M1868" ca="1">INDIRECT("Data!G" &amp; 1863)</f>
        <v>0</v>
      </c>
      <c r="N1868" cm="1">
        <f t="array" aca="1" ref="N1868" ca="1">INDIRECT("Data!H" &amp; 1863)</f>
        <v>0</v>
      </c>
      <c r="O1868" cm="1">
        <f t="array" aca="1" ref="O1868" ca="1">INDIRECT("Data!I" &amp; 1863)</f>
        <v>0</v>
      </c>
      <c r="P1868" s="21" cm="1">
        <f t="array" aca="1" ref="P1868" ca="1">INDIRECT("Data!J" &amp; 1863)</f>
        <v>0</v>
      </c>
      <c r="Q1868" cm="1">
        <f t="array" aca="1" ref="Q1868" ca="1">INDIRECT("Data!K" &amp; 1863)</f>
        <v>0</v>
      </c>
      <c r="R1868" cm="1">
        <f t="array" aca="1" ref="R1868" ca="1">INDIRECT("Data!L" &amp; 1863)</f>
        <v>0</v>
      </c>
      <c r="S1868" cm="1">
        <f t="array" aca="1" ref="S1868" ca="1">INDIRECT("Data!M" &amp; 1863)</f>
        <v>0</v>
      </c>
      <c r="T1868" cm="1">
        <f t="array" aca="1" ref="T1868" ca="1">INDIRECT("Data!N" &amp; 1863)</f>
        <v>0</v>
      </c>
      <c r="U1868" cm="1">
        <f t="array" aca="1" ref="U1868" ca="1">INDIRECT("Data!O" &amp; 1863)</f>
        <v>0</v>
      </c>
      <c r="V1868" cm="1">
        <f t="array" aca="1" ref="V1868" ca="1">INDIRECT("Data!P" &amp; 1863)</f>
        <v>0</v>
      </c>
    </row>
    <row r="1869" spans="7:22" x14ac:dyDescent="0.25">
      <c r="G1869" cm="1">
        <f t="array" aca="1" ref="G1869" ca="1">INDIRECT("Data!A" &amp; 1864)</f>
        <v>0</v>
      </c>
      <c r="H1869" s="21" cm="1">
        <f t="array" aca="1" ref="H1869" ca="1">INDIRECT("Data!B" &amp; 1864)</f>
        <v>0</v>
      </c>
      <c r="I1869" s="21" cm="1">
        <f t="array" aca="1" ref="I1869" ca="1">INDIRECT("Data!C" &amp; 1864)</f>
        <v>0</v>
      </c>
      <c r="J1869" cm="1">
        <f t="array" aca="1" ref="J1869" ca="1">INDIRECT("Data!D" &amp; 1864)</f>
        <v>0</v>
      </c>
      <c r="K1869" cm="1">
        <f t="array" aca="1" ref="K1869" ca="1">INDIRECT("Data!E" &amp; 1864)</f>
        <v>0</v>
      </c>
      <c r="L1869" cm="1">
        <f t="array" aca="1" ref="L1869" ca="1">INDIRECT("Data!F" &amp; 1864)</f>
        <v>0</v>
      </c>
      <c r="M1869" cm="1">
        <f t="array" aca="1" ref="M1869" ca="1">INDIRECT("Data!G" &amp; 1864)</f>
        <v>0</v>
      </c>
      <c r="N1869" cm="1">
        <f t="array" aca="1" ref="N1869" ca="1">INDIRECT("Data!H" &amp; 1864)</f>
        <v>0</v>
      </c>
      <c r="O1869" cm="1">
        <f t="array" aca="1" ref="O1869" ca="1">INDIRECT("Data!I" &amp; 1864)</f>
        <v>0</v>
      </c>
      <c r="P1869" s="21" cm="1">
        <f t="array" aca="1" ref="P1869" ca="1">INDIRECT("Data!J" &amp; 1864)</f>
        <v>0</v>
      </c>
      <c r="Q1869" cm="1">
        <f t="array" aca="1" ref="Q1869" ca="1">INDIRECT("Data!K" &amp; 1864)</f>
        <v>0</v>
      </c>
      <c r="R1869" cm="1">
        <f t="array" aca="1" ref="R1869" ca="1">INDIRECT("Data!L" &amp; 1864)</f>
        <v>0</v>
      </c>
      <c r="S1869" cm="1">
        <f t="array" aca="1" ref="S1869" ca="1">INDIRECT("Data!M" &amp; 1864)</f>
        <v>0</v>
      </c>
      <c r="T1869" cm="1">
        <f t="array" aca="1" ref="T1869" ca="1">INDIRECT("Data!N" &amp; 1864)</f>
        <v>0</v>
      </c>
      <c r="U1869" cm="1">
        <f t="array" aca="1" ref="U1869" ca="1">INDIRECT("Data!O" &amp; 1864)</f>
        <v>0</v>
      </c>
      <c r="V1869" cm="1">
        <f t="array" aca="1" ref="V1869" ca="1">INDIRECT("Data!P" &amp; 1864)</f>
        <v>0</v>
      </c>
    </row>
    <row r="1870" spans="7:22" x14ac:dyDescent="0.25">
      <c r="G1870" cm="1">
        <f t="array" aca="1" ref="G1870" ca="1">INDIRECT("Data!A" &amp; 1865)</f>
        <v>0</v>
      </c>
      <c r="H1870" s="21" cm="1">
        <f t="array" aca="1" ref="H1870" ca="1">INDIRECT("Data!B" &amp; 1865)</f>
        <v>0</v>
      </c>
      <c r="I1870" s="21" cm="1">
        <f t="array" aca="1" ref="I1870" ca="1">INDIRECT("Data!C" &amp; 1865)</f>
        <v>0</v>
      </c>
      <c r="J1870" cm="1">
        <f t="array" aca="1" ref="J1870" ca="1">INDIRECT("Data!D" &amp; 1865)</f>
        <v>0</v>
      </c>
      <c r="K1870" cm="1">
        <f t="array" aca="1" ref="K1870" ca="1">INDIRECT("Data!E" &amp; 1865)</f>
        <v>0</v>
      </c>
      <c r="L1870" cm="1">
        <f t="array" aca="1" ref="L1870" ca="1">INDIRECT("Data!F" &amp; 1865)</f>
        <v>0</v>
      </c>
      <c r="M1870" cm="1">
        <f t="array" aca="1" ref="M1870" ca="1">INDIRECT("Data!G" &amp; 1865)</f>
        <v>0</v>
      </c>
      <c r="N1870" cm="1">
        <f t="array" aca="1" ref="N1870" ca="1">INDIRECT("Data!H" &amp; 1865)</f>
        <v>0</v>
      </c>
      <c r="O1870" cm="1">
        <f t="array" aca="1" ref="O1870" ca="1">INDIRECT("Data!I" &amp; 1865)</f>
        <v>0</v>
      </c>
      <c r="P1870" s="21" cm="1">
        <f t="array" aca="1" ref="P1870" ca="1">INDIRECT("Data!J" &amp; 1865)</f>
        <v>0</v>
      </c>
      <c r="Q1870" cm="1">
        <f t="array" aca="1" ref="Q1870" ca="1">INDIRECT("Data!K" &amp; 1865)</f>
        <v>0</v>
      </c>
      <c r="R1870" cm="1">
        <f t="array" aca="1" ref="R1870" ca="1">INDIRECT("Data!L" &amp; 1865)</f>
        <v>0</v>
      </c>
      <c r="S1870" cm="1">
        <f t="array" aca="1" ref="S1870" ca="1">INDIRECT("Data!M" &amp; 1865)</f>
        <v>0</v>
      </c>
      <c r="T1870" cm="1">
        <f t="array" aca="1" ref="T1870" ca="1">INDIRECT("Data!N" &amp; 1865)</f>
        <v>0</v>
      </c>
      <c r="U1870" cm="1">
        <f t="array" aca="1" ref="U1870" ca="1">INDIRECT("Data!O" &amp; 1865)</f>
        <v>0</v>
      </c>
      <c r="V1870" cm="1">
        <f t="array" aca="1" ref="V1870" ca="1">INDIRECT("Data!P" &amp; 1865)</f>
        <v>0</v>
      </c>
    </row>
    <row r="1871" spans="7:22" x14ac:dyDescent="0.25">
      <c r="G1871" cm="1">
        <f t="array" aca="1" ref="G1871" ca="1">INDIRECT("Data!A" &amp; 1866)</f>
        <v>0</v>
      </c>
      <c r="H1871" s="21" cm="1">
        <f t="array" aca="1" ref="H1871" ca="1">INDIRECT("Data!B" &amp; 1866)</f>
        <v>0</v>
      </c>
      <c r="I1871" s="21" cm="1">
        <f t="array" aca="1" ref="I1871" ca="1">INDIRECT("Data!C" &amp; 1866)</f>
        <v>0</v>
      </c>
      <c r="J1871" cm="1">
        <f t="array" aca="1" ref="J1871" ca="1">INDIRECT("Data!D" &amp; 1866)</f>
        <v>0</v>
      </c>
      <c r="K1871" cm="1">
        <f t="array" aca="1" ref="K1871" ca="1">INDIRECT("Data!E" &amp; 1866)</f>
        <v>0</v>
      </c>
      <c r="L1871" cm="1">
        <f t="array" aca="1" ref="L1871" ca="1">INDIRECT("Data!F" &amp; 1866)</f>
        <v>0</v>
      </c>
      <c r="M1871" cm="1">
        <f t="array" aca="1" ref="M1871" ca="1">INDIRECT("Data!G" &amp; 1866)</f>
        <v>0</v>
      </c>
      <c r="N1871" cm="1">
        <f t="array" aca="1" ref="N1871" ca="1">INDIRECT("Data!H" &amp; 1866)</f>
        <v>0</v>
      </c>
      <c r="O1871" cm="1">
        <f t="array" aca="1" ref="O1871" ca="1">INDIRECT("Data!I" &amp; 1866)</f>
        <v>0</v>
      </c>
      <c r="P1871" s="21" cm="1">
        <f t="array" aca="1" ref="P1871" ca="1">INDIRECT("Data!J" &amp; 1866)</f>
        <v>0</v>
      </c>
      <c r="Q1871" cm="1">
        <f t="array" aca="1" ref="Q1871" ca="1">INDIRECT("Data!K" &amp; 1866)</f>
        <v>0</v>
      </c>
      <c r="R1871" cm="1">
        <f t="array" aca="1" ref="R1871" ca="1">INDIRECT("Data!L" &amp; 1866)</f>
        <v>0</v>
      </c>
      <c r="S1871" cm="1">
        <f t="array" aca="1" ref="S1871" ca="1">INDIRECT("Data!M" &amp; 1866)</f>
        <v>0</v>
      </c>
      <c r="T1871" cm="1">
        <f t="array" aca="1" ref="T1871" ca="1">INDIRECT("Data!N" &amp; 1866)</f>
        <v>0</v>
      </c>
      <c r="U1871" cm="1">
        <f t="array" aca="1" ref="U1871" ca="1">INDIRECT("Data!O" &amp; 1866)</f>
        <v>0</v>
      </c>
      <c r="V1871" cm="1">
        <f t="array" aca="1" ref="V1871" ca="1">INDIRECT("Data!P" &amp; 1866)</f>
        <v>0</v>
      </c>
    </row>
    <row r="1872" spans="7:22" x14ac:dyDescent="0.25">
      <c r="G1872" cm="1">
        <f t="array" aca="1" ref="G1872" ca="1">INDIRECT("Data!A" &amp; 1867)</f>
        <v>0</v>
      </c>
      <c r="H1872" s="21" cm="1">
        <f t="array" aca="1" ref="H1872" ca="1">INDIRECT("Data!B" &amp; 1867)</f>
        <v>0</v>
      </c>
      <c r="I1872" s="21" cm="1">
        <f t="array" aca="1" ref="I1872" ca="1">INDIRECT("Data!C" &amp; 1867)</f>
        <v>0</v>
      </c>
      <c r="J1872" cm="1">
        <f t="array" aca="1" ref="J1872" ca="1">INDIRECT("Data!D" &amp; 1867)</f>
        <v>0</v>
      </c>
      <c r="K1872" cm="1">
        <f t="array" aca="1" ref="K1872" ca="1">INDIRECT("Data!E" &amp; 1867)</f>
        <v>0</v>
      </c>
      <c r="L1872" cm="1">
        <f t="array" aca="1" ref="L1872" ca="1">INDIRECT("Data!F" &amp; 1867)</f>
        <v>0</v>
      </c>
      <c r="M1872" cm="1">
        <f t="array" aca="1" ref="M1872" ca="1">INDIRECT("Data!G" &amp; 1867)</f>
        <v>0</v>
      </c>
      <c r="N1872" cm="1">
        <f t="array" aca="1" ref="N1872" ca="1">INDIRECT("Data!H" &amp; 1867)</f>
        <v>0</v>
      </c>
      <c r="O1872" cm="1">
        <f t="array" aca="1" ref="O1872" ca="1">INDIRECT("Data!I" &amp; 1867)</f>
        <v>0</v>
      </c>
      <c r="P1872" s="21" cm="1">
        <f t="array" aca="1" ref="P1872" ca="1">INDIRECT("Data!J" &amp; 1867)</f>
        <v>0</v>
      </c>
      <c r="Q1872" cm="1">
        <f t="array" aca="1" ref="Q1872" ca="1">INDIRECT("Data!K" &amp; 1867)</f>
        <v>0</v>
      </c>
      <c r="R1872" cm="1">
        <f t="array" aca="1" ref="R1872" ca="1">INDIRECT("Data!L" &amp; 1867)</f>
        <v>0</v>
      </c>
      <c r="S1872" cm="1">
        <f t="array" aca="1" ref="S1872" ca="1">INDIRECT("Data!M" &amp; 1867)</f>
        <v>0</v>
      </c>
      <c r="T1872" cm="1">
        <f t="array" aca="1" ref="T1872" ca="1">INDIRECT("Data!N" &amp; 1867)</f>
        <v>0</v>
      </c>
      <c r="U1872" cm="1">
        <f t="array" aca="1" ref="U1872" ca="1">INDIRECT("Data!O" &amp; 1867)</f>
        <v>0</v>
      </c>
      <c r="V1872" cm="1">
        <f t="array" aca="1" ref="V1872" ca="1">INDIRECT("Data!P" &amp; 1867)</f>
        <v>0</v>
      </c>
    </row>
    <row r="1873" spans="7:22" x14ac:dyDescent="0.25">
      <c r="G1873" cm="1">
        <f t="array" aca="1" ref="G1873" ca="1">INDIRECT("Data!A" &amp; 1868)</f>
        <v>0</v>
      </c>
      <c r="H1873" s="21" cm="1">
        <f t="array" aca="1" ref="H1873" ca="1">INDIRECT("Data!B" &amp; 1868)</f>
        <v>0</v>
      </c>
      <c r="I1873" s="21" cm="1">
        <f t="array" aca="1" ref="I1873" ca="1">INDIRECT("Data!C" &amp; 1868)</f>
        <v>0</v>
      </c>
      <c r="J1873" cm="1">
        <f t="array" aca="1" ref="J1873" ca="1">INDIRECT("Data!D" &amp; 1868)</f>
        <v>0</v>
      </c>
      <c r="K1873" cm="1">
        <f t="array" aca="1" ref="K1873" ca="1">INDIRECT("Data!E" &amp; 1868)</f>
        <v>0</v>
      </c>
      <c r="L1873" cm="1">
        <f t="array" aca="1" ref="L1873" ca="1">INDIRECT("Data!F" &amp; 1868)</f>
        <v>0</v>
      </c>
      <c r="M1873" cm="1">
        <f t="array" aca="1" ref="M1873" ca="1">INDIRECT("Data!G" &amp; 1868)</f>
        <v>0</v>
      </c>
      <c r="N1873" cm="1">
        <f t="array" aca="1" ref="N1873" ca="1">INDIRECT("Data!H" &amp; 1868)</f>
        <v>0</v>
      </c>
      <c r="O1873" cm="1">
        <f t="array" aca="1" ref="O1873" ca="1">INDIRECT("Data!I" &amp; 1868)</f>
        <v>0</v>
      </c>
      <c r="P1873" s="21" cm="1">
        <f t="array" aca="1" ref="P1873" ca="1">INDIRECT("Data!J" &amp; 1868)</f>
        <v>0</v>
      </c>
      <c r="Q1873" cm="1">
        <f t="array" aca="1" ref="Q1873" ca="1">INDIRECT("Data!K" &amp; 1868)</f>
        <v>0</v>
      </c>
      <c r="R1873" cm="1">
        <f t="array" aca="1" ref="R1873" ca="1">INDIRECT("Data!L" &amp; 1868)</f>
        <v>0</v>
      </c>
      <c r="S1873" cm="1">
        <f t="array" aca="1" ref="S1873" ca="1">INDIRECT("Data!M" &amp; 1868)</f>
        <v>0</v>
      </c>
      <c r="T1873" cm="1">
        <f t="array" aca="1" ref="T1873" ca="1">INDIRECT("Data!N" &amp; 1868)</f>
        <v>0</v>
      </c>
      <c r="U1873" cm="1">
        <f t="array" aca="1" ref="U1873" ca="1">INDIRECT("Data!O" &amp; 1868)</f>
        <v>0</v>
      </c>
      <c r="V1873" cm="1">
        <f t="array" aca="1" ref="V1873" ca="1">INDIRECT("Data!P" &amp; 1868)</f>
        <v>0</v>
      </c>
    </row>
    <row r="1874" spans="7:22" x14ac:dyDescent="0.25">
      <c r="G1874" cm="1">
        <f t="array" aca="1" ref="G1874" ca="1">INDIRECT("Data!A" &amp; 1869)</f>
        <v>0</v>
      </c>
      <c r="H1874" s="21" cm="1">
        <f t="array" aca="1" ref="H1874" ca="1">INDIRECT("Data!B" &amp; 1869)</f>
        <v>0</v>
      </c>
      <c r="I1874" s="21" cm="1">
        <f t="array" aca="1" ref="I1874" ca="1">INDIRECT("Data!C" &amp; 1869)</f>
        <v>0</v>
      </c>
      <c r="J1874" cm="1">
        <f t="array" aca="1" ref="J1874" ca="1">INDIRECT("Data!D" &amp; 1869)</f>
        <v>0</v>
      </c>
      <c r="K1874" cm="1">
        <f t="array" aca="1" ref="K1874" ca="1">INDIRECT("Data!E" &amp; 1869)</f>
        <v>0</v>
      </c>
      <c r="L1874" cm="1">
        <f t="array" aca="1" ref="L1874" ca="1">INDIRECT("Data!F" &amp; 1869)</f>
        <v>0</v>
      </c>
      <c r="M1874" cm="1">
        <f t="array" aca="1" ref="M1874" ca="1">INDIRECT("Data!G" &amp; 1869)</f>
        <v>0</v>
      </c>
      <c r="N1874" cm="1">
        <f t="array" aca="1" ref="N1874" ca="1">INDIRECT("Data!H" &amp; 1869)</f>
        <v>0</v>
      </c>
      <c r="O1874" cm="1">
        <f t="array" aca="1" ref="O1874" ca="1">INDIRECT("Data!I" &amp; 1869)</f>
        <v>0</v>
      </c>
      <c r="P1874" s="21" cm="1">
        <f t="array" aca="1" ref="P1874" ca="1">INDIRECT("Data!J" &amp; 1869)</f>
        <v>0</v>
      </c>
      <c r="Q1874" cm="1">
        <f t="array" aca="1" ref="Q1874" ca="1">INDIRECT("Data!K" &amp; 1869)</f>
        <v>0</v>
      </c>
      <c r="R1874" cm="1">
        <f t="array" aca="1" ref="R1874" ca="1">INDIRECT("Data!L" &amp; 1869)</f>
        <v>0</v>
      </c>
      <c r="S1874" cm="1">
        <f t="array" aca="1" ref="S1874" ca="1">INDIRECT("Data!M" &amp; 1869)</f>
        <v>0</v>
      </c>
      <c r="T1874" cm="1">
        <f t="array" aca="1" ref="T1874" ca="1">INDIRECT("Data!N" &amp; 1869)</f>
        <v>0</v>
      </c>
      <c r="U1874" cm="1">
        <f t="array" aca="1" ref="U1874" ca="1">INDIRECT("Data!O" &amp; 1869)</f>
        <v>0</v>
      </c>
      <c r="V1874" cm="1">
        <f t="array" aca="1" ref="V1874" ca="1">INDIRECT("Data!P" &amp; 1869)</f>
        <v>0</v>
      </c>
    </row>
    <row r="1875" spans="7:22" x14ac:dyDescent="0.25">
      <c r="G1875" cm="1">
        <f t="array" aca="1" ref="G1875" ca="1">INDIRECT("Data!A" &amp; 1870)</f>
        <v>0</v>
      </c>
      <c r="H1875" s="21" cm="1">
        <f t="array" aca="1" ref="H1875" ca="1">INDIRECT("Data!B" &amp; 1870)</f>
        <v>0</v>
      </c>
      <c r="I1875" s="21" cm="1">
        <f t="array" aca="1" ref="I1875" ca="1">INDIRECT("Data!C" &amp; 1870)</f>
        <v>0</v>
      </c>
      <c r="J1875" cm="1">
        <f t="array" aca="1" ref="J1875" ca="1">INDIRECT("Data!D" &amp; 1870)</f>
        <v>0</v>
      </c>
      <c r="K1875" cm="1">
        <f t="array" aca="1" ref="K1875" ca="1">INDIRECT("Data!E" &amp; 1870)</f>
        <v>0</v>
      </c>
      <c r="L1875" cm="1">
        <f t="array" aca="1" ref="L1875" ca="1">INDIRECT("Data!F" &amp; 1870)</f>
        <v>0</v>
      </c>
      <c r="M1875" cm="1">
        <f t="array" aca="1" ref="M1875" ca="1">INDIRECT("Data!G" &amp; 1870)</f>
        <v>0</v>
      </c>
      <c r="N1875" cm="1">
        <f t="array" aca="1" ref="N1875" ca="1">INDIRECT("Data!H" &amp; 1870)</f>
        <v>0</v>
      </c>
      <c r="O1875" cm="1">
        <f t="array" aca="1" ref="O1875" ca="1">INDIRECT("Data!I" &amp; 1870)</f>
        <v>0</v>
      </c>
      <c r="P1875" s="21" cm="1">
        <f t="array" aca="1" ref="P1875" ca="1">INDIRECT("Data!J" &amp; 1870)</f>
        <v>0</v>
      </c>
      <c r="Q1875" cm="1">
        <f t="array" aca="1" ref="Q1875" ca="1">INDIRECT("Data!K" &amp; 1870)</f>
        <v>0</v>
      </c>
      <c r="R1875" cm="1">
        <f t="array" aca="1" ref="R1875" ca="1">INDIRECT("Data!L" &amp; 1870)</f>
        <v>0</v>
      </c>
      <c r="S1875" cm="1">
        <f t="array" aca="1" ref="S1875" ca="1">INDIRECT("Data!M" &amp; 1870)</f>
        <v>0</v>
      </c>
      <c r="T1875" cm="1">
        <f t="array" aca="1" ref="T1875" ca="1">INDIRECT("Data!N" &amp; 1870)</f>
        <v>0</v>
      </c>
      <c r="U1875" cm="1">
        <f t="array" aca="1" ref="U1875" ca="1">INDIRECT("Data!O" &amp; 1870)</f>
        <v>0</v>
      </c>
      <c r="V1875" cm="1">
        <f t="array" aca="1" ref="V1875" ca="1">INDIRECT("Data!P" &amp; 1870)</f>
        <v>0</v>
      </c>
    </row>
    <row r="1876" spans="7:22" x14ac:dyDescent="0.25">
      <c r="G1876" cm="1">
        <f t="array" aca="1" ref="G1876" ca="1">INDIRECT("Data!A" &amp; 1871)</f>
        <v>0</v>
      </c>
      <c r="H1876" s="21" cm="1">
        <f t="array" aca="1" ref="H1876" ca="1">INDIRECT("Data!B" &amp; 1871)</f>
        <v>0</v>
      </c>
      <c r="I1876" s="21" cm="1">
        <f t="array" aca="1" ref="I1876" ca="1">INDIRECT("Data!C" &amp; 1871)</f>
        <v>0</v>
      </c>
      <c r="J1876" cm="1">
        <f t="array" aca="1" ref="J1876" ca="1">INDIRECT("Data!D" &amp; 1871)</f>
        <v>0</v>
      </c>
      <c r="K1876" cm="1">
        <f t="array" aca="1" ref="K1876" ca="1">INDIRECT("Data!E" &amp; 1871)</f>
        <v>0</v>
      </c>
      <c r="L1876" cm="1">
        <f t="array" aca="1" ref="L1876" ca="1">INDIRECT("Data!F" &amp; 1871)</f>
        <v>0</v>
      </c>
      <c r="M1876" cm="1">
        <f t="array" aca="1" ref="M1876" ca="1">INDIRECT("Data!G" &amp; 1871)</f>
        <v>0</v>
      </c>
      <c r="N1876" cm="1">
        <f t="array" aca="1" ref="N1876" ca="1">INDIRECT("Data!H" &amp; 1871)</f>
        <v>0</v>
      </c>
      <c r="O1876" cm="1">
        <f t="array" aca="1" ref="O1876" ca="1">INDIRECT("Data!I" &amp; 1871)</f>
        <v>0</v>
      </c>
      <c r="P1876" s="21" cm="1">
        <f t="array" aca="1" ref="P1876" ca="1">INDIRECT("Data!J" &amp; 1871)</f>
        <v>0</v>
      </c>
      <c r="Q1876" cm="1">
        <f t="array" aca="1" ref="Q1876" ca="1">INDIRECT("Data!K" &amp; 1871)</f>
        <v>0</v>
      </c>
      <c r="R1876" cm="1">
        <f t="array" aca="1" ref="R1876" ca="1">INDIRECT("Data!L" &amp; 1871)</f>
        <v>0</v>
      </c>
      <c r="S1876" cm="1">
        <f t="array" aca="1" ref="S1876" ca="1">INDIRECT("Data!M" &amp; 1871)</f>
        <v>0</v>
      </c>
      <c r="T1876" cm="1">
        <f t="array" aca="1" ref="T1876" ca="1">INDIRECT("Data!N" &amp; 1871)</f>
        <v>0</v>
      </c>
      <c r="U1876" cm="1">
        <f t="array" aca="1" ref="U1876" ca="1">INDIRECT("Data!O" &amp; 1871)</f>
        <v>0</v>
      </c>
      <c r="V1876" cm="1">
        <f t="array" aca="1" ref="V1876" ca="1">INDIRECT("Data!P" &amp; 1871)</f>
        <v>0</v>
      </c>
    </row>
    <row r="1877" spans="7:22" x14ac:dyDescent="0.25">
      <c r="G1877" cm="1">
        <f t="array" aca="1" ref="G1877" ca="1">INDIRECT("Data!A" &amp; 1872)</f>
        <v>0</v>
      </c>
      <c r="H1877" s="21" cm="1">
        <f t="array" aca="1" ref="H1877" ca="1">INDIRECT("Data!B" &amp; 1872)</f>
        <v>0</v>
      </c>
      <c r="I1877" s="21" cm="1">
        <f t="array" aca="1" ref="I1877" ca="1">INDIRECT("Data!C" &amp; 1872)</f>
        <v>0</v>
      </c>
      <c r="J1877" cm="1">
        <f t="array" aca="1" ref="J1877" ca="1">INDIRECT("Data!D" &amp; 1872)</f>
        <v>0</v>
      </c>
      <c r="K1877" cm="1">
        <f t="array" aca="1" ref="K1877" ca="1">INDIRECT("Data!E" &amp; 1872)</f>
        <v>0</v>
      </c>
      <c r="L1877" cm="1">
        <f t="array" aca="1" ref="L1877" ca="1">INDIRECT("Data!F" &amp; 1872)</f>
        <v>0</v>
      </c>
      <c r="M1877" cm="1">
        <f t="array" aca="1" ref="M1877" ca="1">INDIRECT("Data!G" &amp; 1872)</f>
        <v>0</v>
      </c>
      <c r="N1877" cm="1">
        <f t="array" aca="1" ref="N1877" ca="1">INDIRECT("Data!H" &amp; 1872)</f>
        <v>0</v>
      </c>
      <c r="O1877" cm="1">
        <f t="array" aca="1" ref="O1877" ca="1">INDIRECT("Data!I" &amp; 1872)</f>
        <v>0</v>
      </c>
      <c r="P1877" s="21" cm="1">
        <f t="array" aca="1" ref="P1877" ca="1">INDIRECT("Data!J" &amp; 1872)</f>
        <v>0</v>
      </c>
      <c r="Q1877" cm="1">
        <f t="array" aca="1" ref="Q1877" ca="1">INDIRECT("Data!K" &amp; 1872)</f>
        <v>0</v>
      </c>
      <c r="R1877" cm="1">
        <f t="array" aca="1" ref="R1877" ca="1">INDIRECT("Data!L" &amp; 1872)</f>
        <v>0</v>
      </c>
      <c r="S1877" cm="1">
        <f t="array" aca="1" ref="S1877" ca="1">INDIRECT("Data!M" &amp; 1872)</f>
        <v>0</v>
      </c>
      <c r="T1877" cm="1">
        <f t="array" aca="1" ref="T1877" ca="1">INDIRECT("Data!N" &amp; 1872)</f>
        <v>0</v>
      </c>
      <c r="U1877" cm="1">
        <f t="array" aca="1" ref="U1877" ca="1">INDIRECT("Data!O" &amp; 1872)</f>
        <v>0</v>
      </c>
      <c r="V1877" cm="1">
        <f t="array" aca="1" ref="V1877" ca="1">INDIRECT("Data!P" &amp; 1872)</f>
        <v>0</v>
      </c>
    </row>
    <row r="1878" spans="7:22" x14ac:dyDescent="0.25">
      <c r="G1878" cm="1">
        <f t="array" aca="1" ref="G1878" ca="1">INDIRECT("Data!A" &amp; 1873)</f>
        <v>0</v>
      </c>
      <c r="H1878" s="21" cm="1">
        <f t="array" aca="1" ref="H1878" ca="1">INDIRECT("Data!B" &amp; 1873)</f>
        <v>0</v>
      </c>
      <c r="I1878" s="21" cm="1">
        <f t="array" aca="1" ref="I1878" ca="1">INDIRECT("Data!C" &amp; 1873)</f>
        <v>0</v>
      </c>
      <c r="J1878" cm="1">
        <f t="array" aca="1" ref="J1878" ca="1">INDIRECT("Data!D" &amp; 1873)</f>
        <v>0</v>
      </c>
      <c r="K1878" cm="1">
        <f t="array" aca="1" ref="K1878" ca="1">INDIRECT("Data!E" &amp; 1873)</f>
        <v>0</v>
      </c>
      <c r="L1878" cm="1">
        <f t="array" aca="1" ref="L1878" ca="1">INDIRECT("Data!F" &amp; 1873)</f>
        <v>0</v>
      </c>
      <c r="M1878" cm="1">
        <f t="array" aca="1" ref="M1878" ca="1">INDIRECT("Data!G" &amp; 1873)</f>
        <v>0</v>
      </c>
      <c r="N1878" cm="1">
        <f t="array" aca="1" ref="N1878" ca="1">INDIRECT("Data!H" &amp; 1873)</f>
        <v>0</v>
      </c>
      <c r="O1878" cm="1">
        <f t="array" aca="1" ref="O1878" ca="1">INDIRECT("Data!I" &amp; 1873)</f>
        <v>0</v>
      </c>
      <c r="P1878" s="21" cm="1">
        <f t="array" aca="1" ref="P1878" ca="1">INDIRECT("Data!J" &amp; 1873)</f>
        <v>0</v>
      </c>
      <c r="Q1878" cm="1">
        <f t="array" aca="1" ref="Q1878" ca="1">INDIRECT("Data!K" &amp; 1873)</f>
        <v>0</v>
      </c>
      <c r="R1878" cm="1">
        <f t="array" aca="1" ref="R1878" ca="1">INDIRECT("Data!L" &amp; 1873)</f>
        <v>0</v>
      </c>
      <c r="S1878" cm="1">
        <f t="array" aca="1" ref="S1878" ca="1">INDIRECT("Data!M" &amp; 1873)</f>
        <v>0</v>
      </c>
      <c r="T1878" cm="1">
        <f t="array" aca="1" ref="T1878" ca="1">INDIRECT("Data!N" &amp; 1873)</f>
        <v>0</v>
      </c>
      <c r="U1878" cm="1">
        <f t="array" aca="1" ref="U1878" ca="1">INDIRECT("Data!O" &amp; 1873)</f>
        <v>0</v>
      </c>
      <c r="V1878" cm="1">
        <f t="array" aca="1" ref="V1878" ca="1">INDIRECT("Data!P" &amp; 1873)</f>
        <v>0</v>
      </c>
    </row>
    <row r="1879" spans="7:22" x14ac:dyDescent="0.25">
      <c r="G1879" cm="1">
        <f t="array" aca="1" ref="G1879" ca="1">INDIRECT("Data!A" &amp; 1874)</f>
        <v>0</v>
      </c>
      <c r="H1879" s="21" cm="1">
        <f t="array" aca="1" ref="H1879" ca="1">INDIRECT("Data!B" &amp; 1874)</f>
        <v>0</v>
      </c>
      <c r="I1879" s="21" cm="1">
        <f t="array" aca="1" ref="I1879" ca="1">INDIRECT("Data!C" &amp; 1874)</f>
        <v>0</v>
      </c>
      <c r="J1879" cm="1">
        <f t="array" aca="1" ref="J1879" ca="1">INDIRECT("Data!D" &amp; 1874)</f>
        <v>0</v>
      </c>
      <c r="K1879" cm="1">
        <f t="array" aca="1" ref="K1879" ca="1">INDIRECT("Data!E" &amp; 1874)</f>
        <v>0</v>
      </c>
      <c r="L1879" cm="1">
        <f t="array" aca="1" ref="L1879" ca="1">INDIRECT("Data!F" &amp; 1874)</f>
        <v>0</v>
      </c>
      <c r="M1879" cm="1">
        <f t="array" aca="1" ref="M1879" ca="1">INDIRECT("Data!G" &amp; 1874)</f>
        <v>0</v>
      </c>
      <c r="N1879" cm="1">
        <f t="array" aca="1" ref="N1879" ca="1">INDIRECT("Data!H" &amp; 1874)</f>
        <v>0</v>
      </c>
      <c r="O1879" cm="1">
        <f t="array" aca="1" ref="O1879" ca="1">INDIRECT("Data!I" &amp; 1874)</f>
        <v>0</v>
      </c>
      <c r="P1879" s="21" cm="1">
        <f t="array" aca="1" ref="P1879" ca="1">INDIRECT("Data!J" &amp; 1874)</f>
        <v>0</v>
      </c>
      <c r="Q1879" cm="1">
        <f t="array" aca="1" ref="Q1879" ca="1">INDIRECT("Data!K" &amp; 1874)</f>
        <v>0</v>
      </c>
      <c r="R1879" cm="1">
        <f t="array" aca="1" ref="R1879" ca="1">INDIRECT("Data!L" &amp; 1874)</f>
        <v>0</v>
      </c>
      <c r="S1879" cm="1">
        <f t="array" aca="1" ref="S1879" ca="1">INDIRECT("Data!M" &amp; 1874)</f>
        <v>0</v>
      </c>
      <c r="T1879" cm="1">
        <f t="array" aca="1" ref="T1879" ca="1">INDIRECT("Data!N" &amp; 1874)</f>
        <v>0</v>
      </c>
      <c r="U1879" cm="1">
        <f t="array" aca="1" ref="U1879" ca="1">INDIRECT("Data!O" &amp; 1874)</f>
        <v>0</v>
      </c>
      <c r="V1879" cm="1">
        <f t="array" aca="1" ref="V1879" ca="1">INDIRECT("Data!P" &amp; 1874)</f>
        <v>0</v>
      </c>
    </row>
    <row r="1880" spans="7:22" x14ac:dyDescent="0.25">
      <c r="G1880" cm="1">
        <f t="array" aca="1" ref="G1880" ca="1">INDIRECT("Data!A" &amp; 1875)</f>
        <v>0</v>
      </c>
      <c r="H1880" s="21" cm="1">
        <f t="array" aca="1" ref="H1880" ca="1">INDIRECT("Data!B" &amp; 1875)</f>
        <v>0</v>
      </c>
      <c r="I1880" s="21" cm="1">
        <f t="array" aca="1" ref="I1880" ca="1">INDIRECT("Data!C" &amp; 1875)</f>
        <v>0</v>
      </c>
      <c r="J1880" cm="1">
        <f t="array" aca="1" ref="J1880" ca="1">INDIRECT("Data!D" &amp; 1875)</f>
        <v>0</v>
      </c>
      <c r="K1880" cm="1">
        <f t="array" aca="1" ref="K1880" ca="1">INDIRECT("Data!E" &amp; 1875)</f>
        <v>0</v>
      </c>
      <c r="L1880" cm="1">
        <f t="array" aca="1" ref="L1880" ca="1">INDIRECT("Data!F" &amp; 1875)</f>
        <v>0</v>
      </c>
      <c r="M1880" cm="1">
        <f t="array" aca="1" ref="M1880" ca="1">INDIRECT("Data!G" &amp; 1875)</f>
        <v>0</v>
      </c>
      <c r="N1880" cm="1">
        <f t="array" aca="1" ref="N1880" ca="1">INDIRECT("Data!H" &amp; 1875)</f>
        <v>0</v>
      </c>
      <c r="O1880" cm="1">
        <f t="array" aca="1" ref="O1880" ca="1">INDIRECT("Data!I" &amp; 1875)</f>
        <v>0</v>
      </c>
      <c r="P1880" s="21" cm="1">
        <f t="array" aca="1" ref="P1880" ca="1">INDIRECT("Data!J" &amp; 1875)</f>
        <v>0</v>
      </c>
      <c r="Q1880" cm="1">
        <f t="array" aca="1" ref="Q1880" ca="1">INDIRECT("Data!K" &amp; 1875)</f>
        <v>0</v>
      </c>
      <c r="R1880" cm="1">
        <f t="array" aca="1" ref="R1880" ca="1">INDIRECT("Data!L" &amp; 1875)</f>
        <v>0</v>
      </c>
      <c r="S1880" cm="1">
        <f t="array" aca="1" ref="S1880" ca="1">INDIRECT("Data!M" &amp; 1875)</f>
        <v>0</v>
      </c>
      <c r="T1880" cm="1">
        <f t="array" aca="1" ref="T1880" ca="1">INDIRECT("Data!N" &amp; 1875)</f>
        <v>0</v>
      </c>
      <c r="U1880" cm="1">
        <f t="array" aca="1" ref="U1880" ca="1">INDIRECT("Data!O" &amp; 1875)</f>
        <v>0</v>
      </c>
      <c r="V1880" cm="1">
        <f t="array" aca="1" ref="V1880" ca="1">INDIRECT("Data!P" &amp; 1875)</f>
        <v>0</v>
      </c>
    </row>
    <row r="1881" spans="7:22" x14ac:dyDescent="0.25">
      <c r="G1881" cm="1">
        <f t="array" aca="1" ref="G1881" ca="1">INDIRECT("Data!A" &amp; 1876)</f>
        <v>0</v>
      </c>
      <c r="H1881" s="21" cm="1">
        <f t="array" aca="1" ref="H1881" ca="1">INDIRECT("Data!B" &amp; 1876)</f>
        <v>0</v>
      </c>
      <c r="I1881" s="21" cm="1">
        <f t="array" aca="1" ref="I1881" ca="1">INDIRECT("Data!C" &amp; 1876)</f>
        <v>0</v>
      </c>
      <c r="J1881" cm="1">
        <f t="array" aca="1" ref="J1881" ca="1">INDIRECT("Data!D" &amp; 1876)</f>
        <v>0</v>
      </c>
      <c r="K1881" cm="1">
        <f t="array" aca="1" ref="K1881" ca="1">INDIRECT("Data!E" &amp; 1876)</f>
        <v>0</v>
      </c>
      <c r="L1881" cm="1">
        <f t="array" aca="1" ref="L1881" ca="1">INDIRECT("Data!F" &amp; 1876)</f>
        <v>0</v>
      </c>
      <c r="M1881" cm="1">
        <f t="array" aca="1" ref="M1881" ca="1">INDIRECT("Data!G" &amp; 1876)</f>
        <v>0</v>
      </c>
      <c r="N1881" cm="1">
        <f t="array" aca="1" ref="N1881" ca="1">INDIRECT("Data!H" &amp; 1876)</f>
        <v>0</v>
      </c>
      <c r="O1881" cm="1">
        <f t="array" aca="1" ref="O1881" ca="1">INDIRECT("Data!I" &amp; 1876)</f>
        <v>0</v>
      </c>
      <c r="P1881" s="21" cm="1">
        <f t="array" aca="1" ref="P1881" ca="1">INDIRECT("Data!J" &amp; 1876)</f>
        <v>0</v>
      </c>
      <c r="Q1881" cm="1">
        <f t="array" aca="1" ref="Q1881" ca="1">INDIRECT("Data!K" &amp; 1876)</f>
        <v>0</v>
      </c>
      <c r="R1881" cm="1">
        <f t="array" aca="1" ref="R1881" ca="1">INDIRECT("Data!L" &amp; 1876)</f>
        <v>0</v>
      </c>
      <c r="S1881" cm="1">
        <f t="array" aca="1" ref="S1881" ca="1">INDIRECT("Data!M" &amp; 1876)</f>
        <v>0</v>
      </c>
      <c r="T1881" cm="1">
        <f t="array" aca="1" ref="T1881" ca="1">INDIRECT("Data!N" &amp; 1876)</f>
        <v>0</v>
      </c>
      <c r="U1881" cm="1">
        <f t="array" aca="1" ref="U1881" ca="1">INDIRECT("Data!O" &amp; 1876)</f>
        <v>0</v>
      </c>
      <c r="V1881" cm="1">
        <f t="array" aca="1" ref="V1881" ca="1">INDIRECT("Data!P" &amp; 1876)</f>
        <v>0</v>
      </c>
    </row>
    <row r="1882" spans="7:22" x14ac:dyDescent="0.25">
      <c r="G1882" cm="1">
        <f t="array" aca="1" ref="G1882" ca="1">INDIRECT("Data!A" &amp; 1877)</f>
        <v>0</v>
      </c>
      <c r="H1882" s="21" cm="1">
        <f t="array" aca="1" ref="H1882" ca="1">INDIRECT("Data!B" &amp; 1877)</f>
        <v>0</v>
      </c>
      <c r="I1882" s="21" cm="1">
        <f t="array" aca="1" ref="I1882" ca="1">INDIRECT("Data!C" &amp; 1877)</f>
        <v>0</v>
      </c>
      <c r="J1882" cm="1">
        <f t="array" aca="1" ref="J1882" ca="1">INDIRECT("Data!D" &amp; 1877)</f>
        <v>0</v>
      </c>
      <c r="K1882" cm="1">
        <f t="array" aca="1" ref="K1882" ca="1">INDIRECT("Data!E" &amp; 1877)</f>
        <v>0</v>
      </c>
      <c r="L1882" cm="1">
        <f t="array" aca="1" ref="L1882" ca="1">INDIRECT("Data!F" &amp; 1877)</f>
        <v>0</v>
      </c>
      <c r="M1882" cm="1">
        <f t="array" aca="1" ref="M1882" ca="1">INDIRECT("Data!G" &amp; 1877)</f>
        <v>0</v>
      </c>
      <c r="N1882" cm="1">
        <f t="array" aca="1" ref="N1882" ca="1">INDIRECT("Data!H" &amp; 1877)</f>
        <v>0</v>
      </c>
      <c r="O1882" cm="1">
        <f t="array" aca="1" ref="O1882" ca="1">INDIRECT("Data!I" &amp; 1877)</f>
        <v>0</v>
      </c>
      <c r="P1882" s="21" cm="1">
        <f t="array" aca="1" ref="P1882" ca="1">INDIRECT("Data!J" &amp; 1877)</f>
        <v>0</v>
      </c>
      <c r="Q1882" cm="1">
        <f t="array" aca="1" ref="Q1882" ca="1">INDIRECT("Data!K" &amp; 1877)</f>
        <v>0</v>
      </c>
      <c r="R1882" cm="1">
        <f t="array" aca="1" ref="R1882" ca="1">INDIRECT("Data!L" &amp; 1877)</f>
        <v>0</v>
      </c>
      <c r="S1882" cm="1">
        <f t="array" aca="1" ref="S1882" ca="1">INDIRECT("Data!M" &amp; 1877)</f>
        <v>0</v>
      </c>
      <c r="T1882" cm="1">
        <f t="array" aca="1" ref="T1882" ca="1">INDIRECT("Data!N" &amp; 1877)</f>
        <v>0</v>
      </c>
      <c r="U1882" cm="1">
        <f t="array" aca="1" ref="U1882" ca="1">INDIRECT("Data!O" &amp; 1877)</f>
        <v>0</v>
      </c>
      <c r="V1882" cm="1">
        <f t="array" aca="1" ref="V1882" ca="1">INDIRECT("Data!P" &amp; 1877)</f>
        <v>0</v>
      </c>
    </row>
    <row r="1883" spans="7:22" x14ac:dyDescent="0.25">
      <c r="G1883" cm="1">
        <f t="array" aca="1" ref="G1883" ca="1">INDIRECT("Data!A" &amp; 878)</f>
        <v>0</v>
      </c>
      <c r="H1883" s="21" cm="1">
        <f t="array" aca="1" ref="H1883" ca="1">INDIRECT("Data!B" &amp; 878)</f>
        <v>0</v>
      </c>
      <c r="I1883" s="21" cm="1">
        <f t="array" aca="1" ref="I1883" ca="1">INDIRECT("Data!C" &amp; 878)</f>
        <v>0</v>
      </c>
      <c r="J1883" cm="1">
        <f t="array" aca="1" ref="J1883" ca="1">INDIRECT("Data!D" &amp; 878)</f>
        <v>0</v>
      </c>
      <c r="K1883" cm="1">
        <f t="array" aca="1" ref="K1883" ca="1">INDIRECT("Data!E" &amp; 878)</f>
        <v>0</v>
      </c>
      <c r="L1883" cm="1">
        <f t="array" aca="1" ref="L1883" ca="1">INDIRECT("Data!F" &amp; 878)</f>
        <v>0</v>
      </c>
      <c r="M1883" cm="1">
        <f t="array" aca="1" ref="M1883" ca="1">INDIRECT("Data!G" &amp; 878)</f>
        <v>0</v>
      </c>
      <c r="N1883" cm="1">
        <f t="array" aca="1" ref="N1883" ca="1">INDIRECT("Data!H" &amp; 878)</f>
        <v>0</v>
      </c>
      <c r="O1883" cm="1">
        <f t="array" aca="1" ref="O1883" ca="1">INDIRECT("Data!I" &amp; 878)</f>
        <v>0</v>
      </c>
      <c r="P1883" s="21" cm="1">
        <f t="array" aca="1" ref="P1883" ca="1">INDIRECT("Data!J" &amp; 878)</f>
        <v>0</v>
      </c>
      <c r="Q1883" cm="1">
        <f t="array" aca="1" ref="Q1883" ca="1">INDIRECT("Data!K" &amp; 878)</f>
        <v>0</v>
      </c>
      <c r="R1883" cm="1">
        <f t="array" aca="1" ref="R1883" ca="1">INDIRECT("Data!L" &amp; 878)</f>
        <v>0</v>
      </c>
      <c r="S1883" cm="1">
        <f t="array" aca="1" ref="S1883" ca="1">INDIRECT("Data!M" &amp; 878)</f>
        <v>0</v>
      </c>
      <c r="T1883" cm="1">
        <f t="array" aca="1" ref="T1883" ca="1">INDIRECT("Data!N" &amp; 878)</f>
        <v>0</v>
      </c>
      <c r="U1883" cm="1">
        <f t="array" aca="1" ref="U1883" ca="1">INDIRECT("Data!O" &amp; 878)</f>
        <v>0</v>
      </c>
      <c r="V1883" cm="1">
        <f t="array" aca="1" ref="V1883" ca="1">INDIRECT("Data!P" &amp; 878)</f>
        <v>0</v>
      </c>
    </row>
    <row r="1884" spans="7:22" x14ac:dyDescent="0.25">
      <c r="G1884" cm="1">
        <f t="array" aca="1" ref="G1884" ca="1">INDIRECT("Data!A" &amp; 1879)</f>
        <v>0</v>
      </c>
      <c r="H1884" s="21" cm="1">
        <f t="array" aca="1" ref="H1884" ca="1">INDIRECT("Data!B" &amp; 1879)</f>
        <v>0</v>
      </c>
      <c r="I1884" s="21" cm="1">
        <f t="array" aca="1" ref="I1884" ca="1">INDIRECT("Data!C" &amp; 1879)</f>
        <v>0</v>
      </c>
      <c r="J1884" cm="1">
        <f t="array" aca="1" ref="J1884" ca="1">INDIRECT("Data!D" &amp; 1879)</f>
        <v>0</v>
      </c>
      <c r="K1884" cm="1">
        <f t="array" aca="1" ref="K1884" ca="1">INDIRECT("Data!E" &amp; 1879)</f>
        <v>0</v>
      </c>
      <c r="L1884" cm="1">
        <f t="array" aca="1" ref="L1884" ca="1">INDIRECT("Data!F" &amp; 1879)</f>
        <v>0</v>
      </c>
      <c r="M1884" cm="1">
        <f t="array" aca="1" ref="M1884" ca="1">INDIRECT("Data!G" &amp; 1879)</f>
        <v>0</v>
      </c>
      <c r="N1884" cm="1">
        <f t="array" aca="1" ref="N1884" ca="1">INDIRECT("Data!H" &amp; 1879)</f>
        <v>0</v>
      </c>
      <c r="O1884" cm="1">
        <f t="array" aca="1" ref="O1884" ca="1">INDIRECT("Data!I" &amp; 1879)</f>
        <v>0</v>
      </c>
      <c r="P1884" s="21" cm="1">
        <f t="array" aca="1" ref="P1884" ca="1">INDIRECT("Data!J" &amp; 1879)</f>
        <v>0</v>
      </c>
      <c r="Q1884" cm="1">
        <f t="array" aca="1" ref="Q1884" ca="1">INDIRECT("Data!K" &amp; 1879)</f>
        <v>0</v>
      </c>
      <c r="R1884" cm="1">
        <f t="array" aca="1" ref="R1884" ca="1">INDIRECT("Data!L" &amp; 1879)</f>
        <v>0</v>
      </c>
      <c r="S1884" cm="1">
        <f t="array" aca="1" ref="S1884" ca="1">INDIRECT("Data!M" &amp; 1879)</f>
        <v>0</v>
      </c>
      <c r="T1884" cm="1">
        <f t="array" aca="1" ref="T1884" ca="1">INDIRECT("Data!N" &amp; 1879)</f>
        <v>0</v>
      </c>
      <c r="U1884" cm="1">
        <f t="array" aca="1" ref="U1884" ca="1">INDIRECT("Data!O" &amp; 1879)</f>
        <v>0</v>
      </c>
      <c r="V1884" cm="1">
        <f t="array" aca="1" ref="V1884" ca="1">INDIRECT("Data!P" &amp; 1879)</f>
        <v>0</v>
      </c>
    </row>
    <row r="1885" spans="7:22" x14ac:dyDescent="0.25">
      <c r="G1885" cm="1">
        <f t="array" aca="1" ref="G1885" ca="1">INDIRECT("Data!A" &amp; 1880)</f>
        <v>0</v>
      </c>
      <c r="H1885" s="21" cm="1">
        <f t="array" aca="1" ref="H1885" ca="1">INDIRECT("Data!B" &amp; 1880)</f>
        <v>0</v>
      </c>
      <c r="I1885" s="21" cm="1">
        <f t="array" aca="1" ref="I1885" ca="1">INDIRECT("Data!C" &amp; 1880)</f>
        <v>0</v>
      </c>
      <c r="J1885" cm="1">
        <f t="array" aca="1" ref="J1885" ca="1">INDIRECT("Data!D" &amp; 1880)</f>
        <v>0</v>
      </c>
      <c r="K1885" cm="1">
        <f t="array" aca="1" ref="K1885" ca="1">INDIRECT("Data!E" &amp; 1880)</f>
        <v>0</v>
      </c>
      <c r="L1885" cm="1">
        <f t="array" aca="1" ref="L1885" ca="1">INDIRECT("Data!F" &amp; 1880)</f>
        <v>0</v>
      </c>
      <c r="M1885" cm="1">
        <f t="array" aca="1" ref="M1885" ca="1">INDIRECT("Data!G" &amp; 1880)</f>
        <v>0</v>
      </c>
      <c r="N1885" cm="1">
        <f t="array" aca="1" ref="N1885" ca="1">INDIRECT("Data!H" &amp; 1880)</f>
        <v>0</v>
      </c>
      <c r="O1885" cm="1">
        <f t="array" aca="1" ref="O1885" ca="1">INDIRECT("Data!I" &amp; 1880)</f>
        <v>0</v>
      </c>
      <c r="P1885" s="21" cm="1">
        <f t="array" aca="1" ref="P1885" ca="1">INDIRECT("Data!J" &amp; 1880)</f>
        <v>0</v>
      </c>
      <c r="Q1885" cm="1">
        <f t="array" aca="1" ref="Q1885" ca="1">INDIRECT("Data!K" &amp; 1880)</f>
        <v>0</v>
      </c>
      <c r="R1885" cm="1">
        <f t="array" aca="1" ref="R1885" ca="1">INDIRECT("Data!L" &amp; 1880)</f>
        <v>0</v>
      </c>
      <c r="S1885" cm="1">
        <f t="array" aca="1" ref="S1885" ca="1">INDIRECT("Data!M" &amp; 1880)</f>
        <v>0</v>
      </c>
      <c r="T1885" cm="1">
        <f t="array" aca="1" ref="T1885" ca="1">INDIRECT("Data!N" &amp; 1880)</f>
        <v>0</v>
      </c>
      <c r="U1885" cm="1">
        <f t="array" aca="1" ref="U1885" ca="1">INDIRECT("Data!O" &amp; 1880)</f>
        <v>0</v>
      </c>
      <c r="V1885" cm="1">
        <f t="array" aca="1" ref="V1885" ca="1">INDIRECT("Data!P" &amp; 1880)</f>
        <v>0</v>
      </c>
    </row>
    <row r="1886" spans="7:22" x14ac:dyDescent="0.25">
      <c r="G1886" cm="1">
        <f t="array" aca="1" ref="G1886" ca="1">INDIRECT("Data!A" &amp; 1881)</f>
        <v>0</v>
      </c>
      <c r="H1886" s="21" cm="1">
        <f t="array" aca="1" ref="H1886" ca="1">INDIRECT("Data!B" &amp; 1881)</f>
        <v>0</v>
      </c>
      <c r="I1886" s="21" cm="1">
        <f t="array" aca="1" ref="I1886" ca="1">INDIRECT("Data!C" &amp; 1881)</f>
        <v>0</v>
      </c>
      <c r="J1886" cm="1">
        <f t="array" aca="1" ref="J1886" ca="1">INDIRECT("Data!D" &amp; 1881)</f>
        <v>0</v>
      </c>
      <c r="K1886" cm="1">
        <f t="array" aca="1" ref="K1886" ca="1">INDIRECT("Data!E" &amp; 1881)</f>
        <v>0</v>
      </c>
      <c r="L1886" cm="1">
        <f t="array" aca="1" ref="L1886" ca="1">INDIRECT("Data!F" &amp; 1881)</f>
        <v>0</v>
      </c>
      <c r="M1886" cm="1">
        <f t="array" aca="1" ref="M1886" ca="1">INDIRECT("Data!G" &amp; 1881)</f>
        <v>0</v>
      </c>
      <c r="N1886" cm="1">
        <f t="array" aca="1" ref="N1886" ca="1">INDIRECT("Data!H" &amp; 1881)</f>
        <v>0</v>
      </c>
      <c r="O1886" cm="1">
        <f t="array" aca="1" ref="O1886" ca="1">INDIRECT("Data!I" &amp; 1881)</f>
        <v>0</v>
      </c>
      <c r="P1886" s="21" cm="1">
        <f t="array" aca="1" ref="P1886" ca="1">INDIRECT("Data!J" &amp; 1881)</f>
        <v>0</v>
      </c>
      <c r="Q1886" cm="1">
        <f t="array" aca="1" ref="Q1886" ca="1">INDIRECT("Data!K" &amp; 1881)</f>
        <v>0</v>
      </c>
      <c r="R1886" cm="1">
        <f t="array" aca="1" ref="R1886" ca="1">INDIRECT("Data!L" &amp; 1881)</f>
        <v>0</v>
      </c>
      <c r="S1886" cm="1">
        <f t="array" aca="1" ref="S1886" ca="1">INDIRECT("Data!M" &amp; 1881)</f>
        <v>0</v>
      </c>
      <c r="T1886" cm="1">
        <f t="array" aca="1" ref="T1886" ca="1">INDIRECT("Data!N" &amp; 1881)</f>
        <v>0</v>
      </c>
      <c r="U1886" cm="1">
        <f t="array" aca="1" ref="U1886" ca="1">INDIRECT("Data!O" &amp; 1881)</f>
        <v>0</v>
      </c>
      <c r="V1886" cm="1">
        <f t="array" aca="1" ref="V1886" ca="1">INDIRECT("Data!P" &amp; 1881)</f>
        <v>0</v>
      </c>
    </row>
    <row r="1887" spans="7:22" x14ac:dyDescent="0.25">
      <c r="G1887" cm="1">
        <f t="array" aca="1" ref="G1887" ca="1">INDIRECT("Data!A" &amp; 1882)</f>
        <v>0</v>
      </c>
      <c r="H1887" s="21" cm="1">
        <f t="array" aca="1" ref="H1887" ca="1">INDIRECT("Data!B" &amp; 1882)</f>
        <v>0</v>
      </c>
      <c r="I1887" s="21" cm="1">
        <f t="array" aca="1" ref="I1887" ca="1">INDIRECT("Data!C" &amp; 1882)</f>
        <v>0</v>
      </c>
      <c r="J1887" cm="1">
        <f t="array" aca="1" ref="J1887" ca="1">INDIRECT("Data!D" &amp; 1882)</f>
        <v>0</v>
      </c>
      <c r="K1887" cm="1">
        <f t="array" aca="1" ref="K1887" ca="1">INDIRECT("Data!E" &amp; 1882)</f>
        <v>0</v>
      </c>
      <c r="L1887" cm="1">
        <f t="array" aca="1" ref="L1887" ca="1">INDIRECT("Data!F" &amp; 1882)</f>
        <v>0</v>
      </c>
      <c r="M1887" cm="1">
        <f t="array" aca="1" ref="M1887" ca="1">INDIRECT("Data!G" &amp; 1882)</f>
        <v>0</v>
      </c>
      <c r="N1887" cm="1">
        <f t="array" aca="1" ref="N1887" ca="1">INDIRECT("Data!H" &amp; 1882)</f>
        <v>0</v>
      </c>
      <c r="O1887" cm="1">
        <f t="array" aca="1" ref="O1887" ca="1">INDIRECT("Data!I" &amp; 1882)</f>
        <v>0</v>
      </c>
      <c r="P1887" s="21" cm="1">
        <f t="array" aca="1" ref="P1887" ca="1">INDIRECT("Data!J" &amp; 1882)</f>
        <v>0</v>
      </c>
      <c r="Q1887" cm="1">
        <f t="array" aca="1" ref="Q1887" ca="1">INDIRECT("Data!K" &amp; 1882)</f>
        <v>0</v>
      </c>
      <c r="R1887" cm="1">
        <f t="array" aca="1" ref="R1887" ca="1">INDIRECT("Data!L" &amp; 1882)</f>
        <v>0</v>
      </c>
      <c r="S1887" cm="1">
        <f t="array" aca="1" ref="S1887" ca="1">INDIRECT("Data!M" &amp; 1882)</f>
        <v>0</v>
      </c>
      <c r="T1887" cm="1">
        <f t="array" aca="1" ref="T1887" ca="1">INDIRECT("Data!N" &amp; 1882)</f>
        <v>0</v>
      </c>
      <c r="U1887" cm="1">
        <f t="array" aca="1" ref="U1887" ca="1">INDIRECT("Data!O" &amp; 1882)</f>
        <v>0</v>
      </c>
      <c r="V1887" cm="1">
        <f t="array" aca="1" ref="V1887" ca="1">INDIRECT("Data!P" &amp; 1882)</f>
        <v>0</v>
      </c>
    </row>
    <row r="1888" spans="7:22" x14ac:dyDescent="0.25">
      <c r="G1888" cm="1">
        <f t="array" aca="1" ref="G1888" ca="1">INDIRECT("Data!A" &amp; 1883)</f>
        <v>0</v>
      </c>
      <c r="H1888" s="21" cm="1">
        <f t="array" aca="1" ref="H1888" ca="1">INDIRECT("Data!B" &amp; 1883)</f>
        <v>0</v>
      </c>
      <c r="I1888" s="21" cm="1">
        <f t="array" aca="1" ref="I1888" ca="1">INDIRECT("Data!C" &amp; 1883)</f>
        <v>0</v>
      </c>
      <c r="J1888" cm="1">
        <f t="array" aca="1" ref="J1888" ca="1">INDIRECT("Data!D" &amp; 1883)</f>
        <v>0</v>
      </c>
      <c r="K1888" cm="1">
        <f t="array" aca="1" ref="K1888" ca="1">INDIRECT("Data!E" &amp; 1883)</f>
        <v>0</v>
      </c>
      <c r="L1888" cm="1">
        <f t="array" aca="1" ref="L1888" ca="1">INDIRECT("Data!F" &amp; 1883)</f>
        <v>0</v>
      </c>
      <c r="M1888" cm="1">
        <f t="array" aca="1" ref="M1888" ca="1">INDIRECT("Data!G" &amp; 1883)</f>
        <v>0</v>
      </c>
      <c r="N1888" cm="1">
        <f t="array" aca="1" ref="N1888" ca="1">INDIRECT("Data!H" &amp; 1883)</f>
        <v>0</v>
      </c>
      <c r="O1888" cm="1">
        <f t="array" aca="1" ref="O1888" ca="1">INDIRECT("Data!I" &amp; 1883)</f>
        <v>0</v>
      </c>
      <c r="P1888" s="21" cm="1">
        <f t="array" aca="1" ref="P1888" ca="1">INDIRECT("Data!J" &amp; 1883)</f>
        <v>0</v>
      </c>
      <c r="Q1888" cm="1">
        <f t="array" aca="1" ref="Q1888" ca="1">INDIRECT("Data!K" &amp; 1883)</f>
        <v>0</v>
      </c>
      <c r="R1888" cm="1">
        <f t="array" aca="1" ref="R1888" ca="1">INDIRECT("Data!L" &amp; 1883)</f>
        <v>0</v>
      </c>
      <c r="S1888" cm="1">
        <f t="array" aca="1" ref="S1888" ca="1">INDIRECT("Data!M" &amp; 1883)</f>
        <v>0</v>
      </c>
      <c r="T1888" cm="1">
        <f t="array" aca="1" ref="T1888" ca="1">INDIRECT("Data!N" &amp; 1883)</f>
        <v>0</v>
      </c>
      <c r="U1888" cm="1">
        <f t="array" aca="1" ref="U1888" ca="1">INDIRECT("Data!O" &amp; 1883)</f>
        <v>0</v>
      </c>
      <c r="V1888" cm="1">
        <f t="array" aca="1" ref="V1888" ca="1">INDIRECT("Data!P" &amp; 1883)</f>
        <v>0</v>
      </c>
    </row>
    <row r="1889" spans="7:22" x14ac:dyDescent="0.25">
      <c r="G1889" cm="1">
        <f t="array" aca="1" ref="G1889" ca="1">INDIRECT("Data!A" &amp; 1884)</f>
        <v>0</v>
      </c>
      <c r="H1889" s="21" cm="1">
        <f t="array" aca="1" ref="H1889" ca="1">INDIRECT("Data!B" &amp; 1884)</f>
        <v>0</v>
      </c>
      <c r="I1889" s="21" cm="1">
        <f t="array" aca="1" ref="I1889" ca="1">INDIRECT("Data!C" &amp; 1884)</f>
        <v>0</v>
      </c>
      <c r="J1889" cm="1">
        <f t="array" aca="1" ref="J1889" ca="1">INDIRECT("Data!D" &amp; 1884)</f>
        <v>0</v>
      </c>
      <c r="K1889" cm="1">
        <f t="array" aca="1" ref="K1889" ca="1">INDIRECT("Data!E" &amp; 1884)</f>
        <v>0</v>
      </c>
      <c r="L1889" cm="1">
        <f t="array" aca="1" ref="L1889" ca="1">INDIRECT("Data!F" &amp; 1884)</f>
        <v>0</v>
      </c>
      <c r="M1889" cm="1">
        <f t="array" aca="1" ref="M1889" ca="1">INDIRECT("Data!G" &amp; 1884)</f>
        <v>0</v>
      </c>
      <c r="N1889" cm="1">
        <f t="array" aca="1" ref="N1889" ca="1">INDIRECT("Data!H" &amp; 1884)</f>
        <v>0</v>
      </c>
      <c r="O1889" cm="1">
        <f t="array" aca="1" ref="O1889" ca="1">INDIRECT("Data!I" &amp; 1884)</f>
        <v>0</v>
      </c>
      <c r="P1889" s="21" cm="1">
        <f t="array" aca="1" ref="P1889" ca="1">INDIRECT("Data!J" &amp; 1884)</f>
        <v>0</v>
      </c>
      <c r="Q1889" cm="1">
        <f t="array" aca="1" ref="Q1889" ca="1">INDIRECT("Data!K" &amp; 1884)</f>
        <v>0</v>
      </c>
      <c r="R1889" cm="1">
        <f t="array" aca="1" ref="R1889" ca="1">INDIRECT("Data!L" &amp; 1884)</f>
        <v>0</v>
      </c>
      <c r="S1889" cm="1">
        <f t="array" aca="1" ref="S1889" ca="1">INDIRECT("Data!M" &amp; 1884)</f>
        <v>0</v>
      </c>
      <c r="T1889" cm="1">
        <f t="array" aca="1" ref="T1889" ca="1">INDIRECT("Data!N" &amp; 1884)</f>
        <v>0</v>
      </c>
      <c r="U1889" cm="1">
        <f t="array" aca="1" ref="U1889" ca="1">INDIRECT("Data!O" &amp; 1884)</f>
        <v>0</v>
      </c>
      <c r="V1889" cm="1">
        <f t="array" aca="1" ref="V1889" ca="1">INDIRECT("Data!P" &amp; 1884)</f>
        <v>0</v>
      </c>
    </row>
    <row r="1890" spans="7:22" x14ac:dyDescent="0.25">
      <c r="G1890" cm="1">
        <f t="array" aca="1" ref="G1890" ca="1">INDIRECT("Data!A" &amp; 1885)</f>
        <v>0</v>
      </c>
      <c r="H1890" s="21" cm="1">
        <f t="array" aca="1" ref="H1890" ca="1">INDIRECT("Data!B" &amp; 1885)</f>
        <v>0</v>
      </c>
      <c r="I1890" s="21" cm="1">
        <f t="array" aca="1" ref="I1890" ca="1">INDIRECT("Data!C" &amp; 1885)</f>
        <v>0</v>
      </c>
      <c r="J1890" cm="1">
        <f t="array" aca="1" ref="J1890" ca="1">INDIRECT("Data!D" &amp; 1885)</f>
        <v>0</v>
      </c>
      <c r="K1890" cm="1">
        <f t="array" aca="1" ref="K1890" ca="1">INDIRECT("Data!E" &amp; 1885)</f>
        <v>0</v>
      </c>
      <c r="L1890" cm="1">
        <f t="array" aca="1" ref="L1890" ca="1">INDIRECT("Data!F" &amp; 1885)</f>
        <v>0</v>
      </c>
      <c r="M1890" cm="1">
        <f t="array" aca="1" ref="M1890" ca="1">INDIRECT("Data!G" &amp; 1885)</f>
        <v>0</v>
      </c>
      <c r="N1890" cm="1">
        <f t="array" aca="1" ref="N1890" ca="1">INDIRECT("Data!H" &amp; 1885)</f>
        <v>0</v>
      </c>
      <c r="O1890" cm="1">
        <f t="array" aca="1" ref="O1890" ca="1">INDIRECT("Data!I" &amp; 1885)</f>
        <v>0</v>
      </c>
      <c r="P1890" s="21" cm="1">
        <f t="array" aca="1" ref="P1890" ca="1">INDIRECT("Data!J" &amp; 1885)</f>
        <v>0</v>
      </c>
      <c r="Q1890" cm="1">
        <f t="array" aca="1" ref="Q1890" ca="1">INDIRECT("Data!K" &amp; 1885)</f>
        <v>0</v>
      </c>
      <c r="R1890" cm="1">
        <f t="array" aca="1" ref="R1890" ca="1">INDIRECT("Data!L" &amp; 1885)</f>
        <v>0</v>
      </c>
      <c r="S1890" cm="1">
        <f t="array" aca="1" ref="S1890" ca="1">INDIRECT("Data!M" &amp; 1885)</f>
        <v>0</v>
      </c>
      <c r="T1890" cm="1">
        <f t="array" aca="1" ref="T1890" ca="1">INDIRECT("Data!N" &amp; 1885)</f>
        <v>0</v>
      </c>
      <c r="U1890" cm="1">
        <f t="array" aca="1" ref="U1890" ca="1">INDIRECT("Data!O" &amp; 1885)</f>
        <v>0</v>
      </c>
      <c r="V1890" cm="1">
        <f t="array" aca="1" ref="V1890" ca="1">INDIRECT("Data!P" &amp; 1885)</f>
        <v>0</v>
      </c>
    </row>
    <row r="1891" spans="7:22" x14ac:dyDescent="0.25">
      <c r="G1891" cm="1">
        <f t="array" aca="1" ref="G1891" ca="1">INDIRECT("Data!A" &amp; 1886)</f>
        <v>0</v>
      </c>
      <c r="H1891" s="21" cm="1">
        <f t="array" aca="1" ref="H1891" ca="1">INDIRECT("Data!B" &amp; 1886)</f>
        <v>0</v>
      </c>
      <c r="I1891" s="21" cm="1">
        <f t="array" aca="1" ref="I1891" ca="1">INDIRECT("Data!C" &amp; 1886)</f>
        <v>0</v>
      </c>
      <c r="J1891" cm="1">
        <f t="array" aca="1" ref="J1891" ca="1">INDIRECT("Data!D" &amp; 1886)</f>
        <v>0</v>
      </c>
      <c r="K1891" cm="1">
        <f t="array" aca="1" ref="K1891" ca="1">INDIRECT("Data!E" &amp; 1886)</f>
        <v>0</v>
      </c>
      <c r="L1891" cm="1">
        <f t="array" aca="1" ref="L1891" ca="1">INDIRECT("Data!F" &amp; 1886)</f>
        <v>0</v>
      </c>
      <c r="M1891" cm="1">
        <f t="array" aca="1" ref="M1891" ca="1">INDIRECT("Data!G" &amp; 1886)</f>
        <v>0</v>
      </c>
      <c r="N1891" cm="1">
        <f t="array" aca="1" ref="N1891" ca="1">INDIRECT("Data!H" &amp; 1886)</f>
        <v>0</v>
      </c>
      <c r="O1891" cm="1">
        <f t="array" aca="1" ref="O1891" ca="1">INDIRECT("Data!I" &amp; 1886)</f>
        <v>0</v>
      </c>
      <c r="P1891" s="21" cm="1">
        <f t="array" aca="1" ref="P1891" ca="1">INDIRECT("Data!J" &amp; 1886)</f>
        <v>0</v>
      </c>
      <c r="Q1891" cm="1">
        <f t="array" aca="1" ref="Q1891" ca="1">INDIRECT("Data!K" &amp; 1886)</f>
        <v>0</v>
      </c>
      <c r="R1891" cm="1">
        <f t="array" aca="1" ref="R1891" ca="1">INDIRECT("Data!L" &amp; 1886)</f>
        <v>0</v>
      </c>
      <c r="S1891" cm="1">
        <f t="array" aca="1" ref="S1891" ca="1">INDIRECT("Data!M" &amp; 1886)</f>
        <v>0</v>
      </c>
      <c r="T1891" cm="1">
        <f t="array" aca="1" ref="T1891" ca="1">INDIRECT("Data!N" &amp; 1886)</f>
        <v>0</v>
      </c>
      <c r="U1891" cm="1">
        <f t="array" aca="1" ref="U1891" ca="1">INDIRECT("Data!O" &amp; 1886)</f>
        <v>0</v>
      </c>
      <c r="V1891" cm="1">
        <f t="array" aca="1" ref="V1891" ca="1">INDIRECT("Data!P" &amp; 1886)</f>
        <v>0</v>
      </c>
    </row>
    <row r="1892" spans="7:22" x14ac:dyDescent="0.25">
      <c r="G1892" cm="1">
        <f t="array" aca="1" ref="G1892" ca="1">INDIRECT("Data!A" &amp; 1887)</f>
        <v>0</v>
      </c>
      <c r="H1892" s="21" cm="1">
        <f t="array" aca="1" ref="H1892" ca="1">INDIRECT("Data!B" &amp; 1887)</f>
        <v>0</v>
      </c>
      <c r="I1892" s="21" cm="1">
        <f t="array" aca="1" ref="I1892" ca="1">INDIRECT("Data!C" &amp; 1887)</f>
        <v>0</v>
      </c>
      <c r="J1892" cm="1">
        <f t="array" aca="1" ref="J1892" ca="1">INDIRECT("Data!D" &amp; 1887)</f>
        <v>0</v>
      </c>
      <c r="K1892" cm="1">
        <f t="array" aca="1" ref="K1892" ca="1">INDIRECT("Data!E" &amp; 1887)</f>
        <v>0</v>
      </c>
      <c r="L1892" cm="1">
        <f t="array" aca="1" ref="L1892" ca="1">INDIRECT("Data!F" &amp; 1887)</f>
        <v>0</v>
      </c>
      <c r="M1892" cm="1">
        <f t="array" aca="1" ref="M1892" ca="1">INDIRECT("Data!G" &amp; 1887)</f>
        <v>0</v>
      </c>
      <c r="N1892" cm="1">
        <f t="array" aca="1" ref="N1892" ca="1">INDIRECT("Data!H" &amp; 1887)</f>
        <v>0</v>
      </c>
      <c r="O1892" cm="1">
        <f t="array" aca="1" ref="O1892" ca="1">INDIRECT("Data!I" &amp; 1887)</f>
        <v>0</v>
      </c>
      <c r="P1892" s="21" cm="1">
        <f t="array" aca="1" ref="P1892" ca="1">INDIRECT("Data!J" &amp; 1887)</f>
        <v>0</v>
      </c>
      <c r="Q1892" cm="1">
        <f t="array" aca="1" ref="Q1892" ca="1">INDIRECT("Data!K" &amp; 1887)</f>
        <v>0</v>
      </c>
      <c r="R1892" cm="1">
        <f t="array" aca="1" ref="R1892" ca="1">INDIRECT("Data!L" &amp; 1887)</f>
        <v>0</v>
      </c>
      <c r="S1892" cm="1">
        <f t="array" aca="1" ref="S1892" ca="1">INDIRECT("Data!M" &amp; 1887)</f>
        <v>0</v>
      </c>
      <c r="T1892" cm="1">
        <f t="array" aca="1" ref="T1892" ca="1">INDIRECT("Data!N" &amp; 1887)</f>
        <v>0</v>
      </c>
      <c r="U1892" cm="1">
        <f t="array" aca="1" ref="U1892" ca="1">INDIRECT("Data!O" &amp; 1887)</f>
        <v>0</v>
      </c>
      <c r="V1892" cm="1">
        <f t="array" aca="1" ref="V1892" ca="1">INDIRECT("Data!P" &amp; 1887)</f>
        <v>0</v>
      </c>
    </row>
    <row r="1893" spans="7:22" x14ac:dyDescent="0.25">
      <c r="G1893" cm="1">
        <f t="array" aca="1" ref="G1893" ca="1">INDIRECT("Data!A" &amp; 1888)</f>
        <v>0</v>
      </c>
      <c r="H1893" s="21" cm="1">
        <f t="array" aca="1" ref="H1893" ca="1">INDIRECT("Data!B" &amp; 1888)</f>
        <v>0</v>
      </c>
      <c r="I1893" s="21" cm="1">
        <f t="array" aca="1" ref="I1893" ca="1">INDIRECT("Data!C" &amp; 1888)</f>
        <v>0</v>
      </c>
      <c r="J1893" cm="1">
        <f t="array" aca="1" ref="J1893" ca="1">INDIRECT("Data!D" &amp; 1888)</f>
        <v>0</v>
      </c>
      <c r="K1893" cm="1">
        <f t="array" aca="1" ref="K1893" ca="1">INDIRECT("Data!E" &amp; 1888)</f>
        <v>0</v>
      </c>
      <c r="L1893" cm="1">
        <f t="array" aca="1" ref="L1893" ca="1">INDIRECT("Data!F" &amp; 1888)</f>
        <v>0</v>
      </c>
      <c r="M1893" cm="1">
        <f t="array" aca="1" ref="M1893" ca="1">INDIRECT("Data!G" &amp; 1888)</f>
        <v>0</v>
      </c>
      <c r="N1893" cm="1">
        <f t="array" aca="1" ref="N1893" ca="1">INDIRECT("Data!H" &amp; 1888)</f>
        <v>0</v>
      </c>
      <c r="O1893" cm="1">
        <f t="array" aca="1" ref="O1893" ca="1">INDIRECT("Data!I" &amp; 1888)</f>
        <v>0</v>
      </c>
      <c r="P1893" s="21" cm="1">
        <f t="array" aca="1" ref="P1893" ca="1">INDIRECT("Data!J" &amp; 1888)</f>
        <v>0</v>
      </c>
      <c r="Q1893" cm="1">
        <f t="array" aca="1" ref="Q1893" ca="1">INDIRECT("Data!K" &amp; 1888)</f>
        <v>0</v>
      </c>
      <c r="R1893" cm="1">
        <f t="array" aca="1" ref="R1893" ca="1">INDIRECT("Data!L" &amp; 1888)</f>
        <v>0</v>
      </c>
      <c r="S1893" cm="1">
        <f t="array" aca="1" ref="S1893" ca="1">INDIRECT("Data!M" &amp; 1888)</f>
        <v>0</v>
      </c>
      <c r="T1893" cm="1">
        <f t="array" aca="1" ref="T1893" ca="1">INDIRECT("Data!N" &amp; 1888)</f>
        <v>0</v>
      </c>
      <c r="U1893" cm="1">
        <f t="array" aca="1" ref="U1893" ca="1">INDIRECT("Data!O" &amp; 1888)</f>
        <v>0</v>
      </c>
      <c r="V1893" cm="1">
        <f t="array" aca="1" ref="V1893" ca="1">INDIRECT("Data!P" &amp; 1888)</f>
        <v>0</v>
      </c>
    </row>
    <row r="1894" spans="7:22" x14ac:dyDescent="0.25">
      <c r="G1894" cm="1">
        <f t="array" aca="1" ref="G1894" ca="1">INDIRECT("Data!A" &amp; 1889)</f>
        <v>0</v>
      </c>
      <c r="H1894" s="21" cm="1">
        <f t="array" aca="1" ref="H1894" ca="1">INDIRECT("Data!B" &amp; 1889)</f>
        <v>0</v>
      </c>
      <c r="I1894" s="21" cm="1">
        <f t="array" aca="1" ref="I1894" ca="1">INDIRECT("Data!C" &amp; 1889)</f>
        <v>0</v>
      </c>
      <c r="J1894" cm="1">
        <f t="array" aca="1" ref="J1894" ca="1">INDIRECT("Data!D" &amp; 1889)</f>
        <v>0</v>
      </c>
      <c r="K1894" cm="1">
        <f t="array" aca="1" ref="K1894" ca="1">INDIRECT("Data!E" &amp; 1889)</f>
        <v>0</v>
      </c>
      <c r="L1894" cm="1">
        <f t="array" aca="1" ref="L1894" ca="1">INDIRECT("Data!F" &amp; 1889)</f>
        <v>0</v>
      </c>
      <c r="M1894" cm="1">
        <f t="array" aca="1" ref="M1894" ca="1">INDIRECT("Data!G" &amp; 1889)</f>
        <v>0</v>
      </c>
      <c r="N1894" cm="1">
        <f t="array" aca="1" ref="N1894" ca="1">INDIRECT("Data!H" &amp; 1889)</f>
        <v>0</v>
      </c>
      <c r="O1894" cm="1">
        <f t="array" aca="1" ref="O1894" ca="1">INDIRECT("Data!I" &amp; 1889)</f>
        <v>0</v>
      </c>
      <c r="P1894" s="21" cm="1">
        <f t="array" aca="1" ref="P1894" ca="1">INDIRECT("Data!J" &amp; 1889)</f>
        <v>0</v>
      </c>
      <c r="Q1894" cm="1">
        <f t="array" aca="1" ref="Q1894" ca="1">INDIRECT("Data!K" &amp; 1889)</f>
        <v>0</v>
      </c>
      <c r="R1894" cm="1">
        <f t="array" aca="1" ref="R1894" ca="1">INDIRECT("Data!L" &amp; 1889)</f>
        <v>0</v>
      </c>
      <c r="S1894" cm="1">
        <f t="array" aca="1" ref="S1894" ca="1">INDIRECT("Data!M" &amp; 1889)</f>
        <v>0</v>
      </c>
      <c r="T1894" cm="1">
        <f t="array" aca="1" ref="T1894" ca="1">INDIRECT("Data!N" &amp; 1889)</f>
        <v>0</v>
      </c>
      <c r="U1894" cm="1">
        <f t="array" aca="1" ref="U1894" ca="1">INDIRECT("Data!O" &amp; 1889)</f>
        <v>0</v>
      </c>
      <c r="V1894" cm="1">
        <f t="array" aca="1" ref="V1894" ca="1">INDIRECT("Data!P" &amp; 1889)</f>
        <v>0</v>
      </c>
    </row>
    <row r="1895" spans="7:22" x14ac:dyDescent="0.25">
      <c r="G1895" cm="1">
        <f t="array" aca="1" ref="G1895" ca="1">INDIRECT("Data!A" &amp; 1890)</f>
        <v>0</v>
      </c>
      <c r="H1895" s="21" cm="1">
        <f t="array" aca="1" ref="H1895" ca="1">INDIRECT("Data!B" &amp; 1890)</f>
        <v>0</v>
      </c>
      <c r="I1895" s="21" cm="1">
        <f t="array" aca="1" ref="I1895" ca="1">INDIRECT("Data!C" &amp; 1890)</f>
        <v>0</v>
      </c>
      <c r="J1895" cm="1">
        <f t="array" aca="1" ref="J1895" ca="1">INDIRECT("Data!D" &amp; 1890)</f>
        <v>0</v>
      </c>
      <c r="K1895" cm="1">
        <f t="array" aca="1" ref="K1895" ca="1">INDIRECT("Data!E" &amp; 1890)</f>
        <v>0</v>
      </c>
      <c r="L1895" cm="1">
        <f t="array" aca="1" ref="L1895" ca="1">INDIRECT("Data!F" &amp; 1890)</f>
        <v>0</v>
      </c>
      <c r="M1895" cm="1">
        <f t="array" aca="1" ref="M1895" ca="1">INDIRECT("Data!G" &amp; 1890)</f>
        <v>0</v>
      </c>
      <c r="N1895" cm="1">
        <f t="array" aca="1" ref="N1895" ca="1">INDIRECT("Data!H" &amp; 1890)</f>
        <v>0</v>
      </c>
      <c r="O1895" cm="1">
        <f t="array" aca="1" ref="O1895" ca="1">INDIRECT("Data!I" &amp; 1890)</f>
        <v>0</v>
      </c>
      <c r="P1895" s="21" cm="1">
        <f t="array" aca="1" ref="P1895" ca="1">INDIRECT("Data!J" &amp; 1890)</f>
        <v>0</v>
      </c>
      <c r="Q1895" cm="1">
        <f t="array" aca="1" ref="Q1895" ca="1">INDIRECT("Data!K" &amp; 1890)</f>
        <v>0</v>
      </c>
      <c r="R1895" cm="1">
        <f t="array" aca="1" ref="R1895" ca="1">INDIRECT("Data!L" &amp; 1890)</f>
        <v>0</v>
      </c>
      <c r="S1895" cm="1">
        <f t="array" aca="1" ref="S1895" ca="1">INDIRECT("Data!M" &amp; 1890)</f>
        <v>0</v>
      </c>
      <c r="T1895" cm="1">
        <f t="array" aca="1" ref="T1895" ca="1">INDIRECT("Data!N" &amp; 1890)</f>
        <v>0</v>
      </c>
      <c r="U1895" cm="1">
        <f t="array" aca="1" ref="U1895" ca="1">INDIRECT("Data!O" &amp; 1890)</f>
        <v>0</v>
      </c>
      <c r="V1895" cm="1">
        <f t="array" aca="1" ref="V1895" ca="1">INDIRECT("Data!P" &amp; 1890)</f>
        <v>0</v>
      </c>
    </row>
    <row r="1896" spans="7:22" x14ac:dyDescent="0.25">
      <c r="G1896" cm="1">
        <f t="array" aca="1" ref="G1896" ca="1">INDIRECT("Data!A" &amp; 1891)</f>
        <v>0</v>
      </c>
      <c r="H1896" s="21" cm="1">
        <f t="array" aca="1" ref="H1896" ca="1">INDIRECT("Data!B" &amp; 1891)</f>
        <v>0</v>
      </c>
      <c r="I1896" s="21" cm="1">
        <f t="array" aca="1" ref="I1896" ca="1">INDIRECT("Data!C" &amp; 1891)</f>
        <v>0</v>
      </c>
      <c r="J1896" cm="1">
        <f t="array" aca="1" ref="J1896" ca="1">INDIRECT("Data!D" &amp; 1891)</f>
        <v>0</v>
      </c>
      <c r="K1896" cm="1">
        <f t="array" aca="1" ref="K1896" ca="1">INDIRECT("Data!E" &amp; 1891)</f>
        <v>0</v>
      </c>
      <c r="L1896" cm="1">
        <f t="array" aca="1" ref="L1896" ca="1">INDIRECT("Data!F" &amp; 1891)</f>
        <v>0</v>
      </c>
      <c r="M1896" cm="1">
        <f t="array" aca="1" ref="M1896" ca="1">INDIRECT("Data!G" &amp; 1891)</f>
        <v>0</v>
      </c>
      <c r="N1896" cm="1">
        <f t="array" aca="1" ref="N1896" ca="1">INDIRECT("Data!H" &amp; 1891)</f>
        <v>0</v>
      </c>
      <c r="O1896" cm="1">
        <f t="array" aca="1" ref="O1896" ca="1">INDIRECT("Data!I" &amp; 1891)</f>
        <v>0</v>
      </c>
      <c r="P1896" s="21" cm="1">
        <f t="array" aca="1" ref="P1896" ca="1">INDIRECT("Data!J" &amp; 1891)</f>
        <v>0</v>
      </c>
      <c r="Q1896" cm="1">
        <f t="array" aca="1" ref="Q1896" ca="1">INDIRECT("Data!K" &amp; 1891)</f>
        <v>0</v>
      </c>
      <c r="R1896" cm="1">
        <f t="array" aca="1" ref="R1896" ca="1">INDIRECT("Data!L" &amp; 1891)</f>
        <v>0</v>
      </c>
      <c r="S1896" cm="1">
        <f t="array" aca="1" ref="S1896" ca="1">INDIRECT("Data!M" &amp; 1891)</f>
        <v>0</v>
      </c>
      <c r="T1896" cm="1">
        <f t="array" aca="1" ref="T1896" ca="1">INDIRECT("Data!N" &amp; 1891)</f>
        <v>0</v>
      </c>
      <c r="U1896" cm="1">
        <f t="array" aca="1" ref="U1896" ca="1">INDIRECT("Data!O" &amp; 1891)</f>
        <v>0</v>
      </c>
      <c r="V1896" cm="1">
        <f t="array" aca="1" ref="V1896" ca="1">INDIRECT("Data!P" &amp; 1891)</f>
        <v>0</v>
      </c>
    </row>
    <row r="1897" spans="7:22" x14ac:dyDescent="0.25">
      <c r="G1897" cm="1">
        <f t="array" aca="1" ref="G1897" ca="1">INDIRECT("Data!A" &amp; 1892)</f>
        <v>0</v>
      </c>
      <c r="H1897" s="21" cm="1">
        <f t="array" aca="1" ref="H1897" ca="1">INDIRECT("Data!B" &amp; 1892)</f>
        <v>0</v>
      </c>
      <c r="I1897" s="21" cm="1">
        <f t="array" aca="1" ref="I1897" ca="1">INDIRECT("Data!C" &amp; 1892)</f>
        <v>0</v>
      </c>
      <c r="J1897" cm="1">
        <f t="array" aca="1" ref="J1897" ca="1">INDIRECT("Data!D" &amp; 1892)</f>
        <v>0</v>
      </c>
      <c r="K1897" cm="1">
        <f t="array" aca="1" ref="K1897" ca="1">INDIRECT("Data!E" &amp; 1892)</f>
        <v>0</v>
      </c>
      <c r="L1897" cm="1">
        <f t="array" aca="1" ref="L1897" ca="1">INDIRECT("Data!F" &amp; 1892)</f>
        <v>0</v>
      </c>
      <c r="M1897" cm="1">
        <f t="array" aca="1" ref="M1897" ca="1">INDIRECT("Data!G" &amp; 1892)</f>
        <v>0</v>
      </c>
      <c r="N1897" cm="1">
        <f t="array" aca="1" ref="N1897" ca="1">INDIRECT("Data!H" &amp; 1892)</f>
        <v>0</v>
      </c>
      <c r="O1897" cm="1">
        <f t="array" aca="1" ref="O1897" ca="1">INDIRECT("Data!I" &amp; 1892)</f>
        <v>0</v>
      </c>
      <c r="P1897" s="21" cm="1">
        <f t="array" aca="1" ref="P1897" ca="1">INDIRECT("Data!J" &amp; 1892)</f>
        <v>0</v>
      </c>
      <c r="Q1897" cm="1">
        <f t="array" aca="1" ref="Q1897" ca="1">INDIRECT("Data!K" &amp; 1892)</f>
        <v>0</v>
      </c>
      <c r="R1897" cm="1">
        <f t="array" aca="1" ref="R1897" ca="1">INDIRECT("Data!L" &amp; 1892)</f>
        <v>0</v>
      </c>
      <c r="S1897" cm="1">
        <f t="array" aca="1" ref="S1897" ca="1">INDIRECT("Data!M" &amp; 1892)</f>
        <v>0</v>
      </c>
      <c r="T1897" cm="1">
        <f t="array" aca="1" ref="T1897" ca="1">INDIRECT("Data!N" &amp; 1892)</f>
        <v>0</v>
      </c>
      <c r="U1897" cm="1">
        <f t="array" aca="1" ref="U1897" ca="1">INDIRECT("Data!O" &amp; 1892)</f>
        <v>0</v>
      </c>
      <c r="V1897" cm="1">
        <f t="array" aca="1" ref="V1897" ca="1">INDIRECT("Data!P" &amp; 1892)</f>
        <v>0</v>
      </c>
    </row>
    <row r="1898" spans="7:22" x14ac:dyDescent="0.25">
      <c r="G1898" cm="1">
        <f t="array" aca="1" ref="G1898" ca="1">INDIRECT("Data!A" &amp; 1893)</f>
        <v>0</v>
      </c>
      <c r="H1898" s="21" cm="1">
        <f t="array" aca="1" ref="H1898" ca="1">INDIRECT("Data!B" &amp; 1893)</f>
        <v>0</v>
      </c>
      <c r="I1898" s="21" cm="1">
        <f t="array" aca="1" ref="I1898" ca="1">INDIRECT("Data!C" &amp; 1893)</f>
        <v>0</v>
      </c>
      <c r="J1898" cm="1">
        <f t="array" aca="1" ref="J1898" ca="1">INDIRECT("Data!D" &amp; 1893)</f>
        <v>0</v>
      </c>
      <c r="K1898" cm="1">
        <f t="array" aca="1" ref="K1898" ca="1">INDIRECT("Data!E" &amp; 1893)</f>
        <v>0</v>
      </c>
      <c r="L1898" cm="1">
        <f t="array" aca="1" ref="L1898" ca="1">INDIRECT("Data!F" &amp; 1893)</f>
        <v>0</v>
      </c>
      <c r="M1898" cm="1">
        <f t="array" aca="1" ref="M1898" ca="1">INDIRECT("Data!G" &amp; 1893)</f>
        <v>0</v>
      </c>
      <c r="N1898" cm="1">
        <f t="array" aca="1" ref="N1898" ca="1">INDIRECT("Data!H" &amp; 1893)</f>
        <v>0</v>
      </c>
      <c r="O1898" cm="1">
        <f t="array" aca="1" ref="O1898" ca="1">INDIRECT("Data!I" &amp; 1893)</f>
        <v>0</v>
      </c>
      <c r="P1898" s="21" cm="1">
        <f t="array" aca="1" ref="P1898" ca="1">INDIRECT("Data!J" &amp; 1893)</f>
        <v>0</v>
      </c>
      <c r="Q1898" cm="1">
        <f t="array" aca="1" ref="Q1898" ca="1">INDIRECT("Data!K" &amp; 1893)</f>
        <v>0</v>
      </c>
      <c r="R1898" cm="1">
        <f t="array" aca="1" ref="R1898" ca="1">INDIRECT("Data!L" &amp; 1893)</f>
        <v>0</v>
      </c>
      <c r="S1898" cm="1">
        <f t="array" aca="1" ref="S1898" ca="1">INDIRECT("Data!M" &amp; 1893)</f>
        <v>0</v>
      </c>
      <c r="T1898" cm="1">
        <f t="array" aca="1" ref="T1898" ca="1">INDIRECT("Data!N" &amp; 1893)</f>
        <v>0</v>
      </c>
      <c r="U1898" cm="1">
        <f t="array" aca="1" ref="U1898" ca="1">INDIRECT("Data!O" &amp; 1893)</f>
        <v>0</v>
      </c>
      <c r="V1898" cm="1">
        <f t="array" aca="1" ref="V1898" ca="1">INDIRECT("Data!P" &amp; 1893)</f>
        <v>0</v>
      </c>
    </row>
    <row r="1899" spans="7:22" x14ac:dyDescent="0.25">
      <c r="G1899" cm="1">
        <f t="array" aca="1" ref="G1899" ca="1">INDIRECT("Data!A" &amp; 1894)</f>
        <v>0</v>
      </c>
      <c r="H1899" s="21" cm="1">
        <f t="array" aca="1" ref="H1899" ca="1">INDIRECT("Data!B" &amp; 1894)</f>
        <v>0</v>
      </c>
      <c r="I1899" s="21" cm="1">
        <f t="array" aca="1" ref="I1899" ca="1">INDIRECT("Data!C" &amp; 1894)</f>
        <v>0</v>
      </c>
      <c r="J1899" cm="1">
        <f t="array" aca="1" ref="J1899" ca="1">INDIRECT("Data!D" &amp; 1894)</f>
        <v>0</v>
      </c>
      <c r="K1899" cm="1">
        <f t="array" aca="1" ref="K1899" ca="1">INDIRECT("Data!E" &amp; 1894)</f>
        <v>0</v>
      </c>
      <c r="L1899" cm="1">
        <f t="array" aca="1" ref="L1899" ca="1">INDIRECT("Data!F" &amp; 1894)</f>
        <v>0</v>
      </c>
      <c r="M1899" cm="1">
        <f t="array" aca="1" ref="M1899" ca="1">INDIRECT("Data!G" &amp; 1894)</f>
        <v>0</v>
      </c>
      <c r="N1899" cm="1">
        <f t="array" aca="1" ref="N1899" ca="1">INDIRECT("Data!H" &amp; 1894)</f>
        <v>0</v>
      </c>
      <c r="O1899" cm="1">
        <f t="array" aca="1" ref="O1899" ca="1">INDIRECT("Data!I" &amp; 1894)</f>
        <v>0</v>
      </c>
      <c r="P1899" s="21" cm="1">
        <f t="array" aca="1" ref="P1899" ca="1">INDIRECT("Data!J" &amp; 1894)</f>
        <v>0</v>
      </c>
      <c r="Q1899" cm="1">
        <f t="array" aca="1" ref="Q1899" ca="1">INDIRECT("Data!K" &amp; 1894)</f>
        <v>0</v>
      </c>
      <c r="R1899" cm="1">
        <f t="array" aca="1" ref="R1899" ca="1">INDIRECT("Data!L" &amp; 1894)</f>
        <v>0</v>
      </c>
      <c r="S1899" cm="1">
        <f t="array" aca="1" ref="S1899" ca="1">INDIRECT("Data!M" &amp; 1894)</f>
        <v>0</v>
      </c>
      <c r="T1899" cm="1">
        <f t="array" aca="1" ref="T1899" ca="1">INDIRECT("Data!N" &amp; 1894)</f>
        <v>0</v>
      </c>
      <c r="U1899" cm="1">
        <f t="array" aca="1" ref="U1899" ca="1">INDIRECT("Data!O" &amp; 1894)</f>
        <v>0</v>
      </c>
      <c r="V1899" cm="1">
        <f t="array" aca="1" ref="V1899" ca="1">INDIRECT("Data!P" &amp; 1894)</f>
        <v>0</v>
      </c>
    </row>
    <row r="1900" spans="7:22" x14ac:dyDescent="0.25">
      <c r="G1900" cm="1">
        <f t="array" aca="1" ref="G1900" ca="1">INDIRECT("Data!A" &amp; 1895)</f>
        <v>0</v>
      </c>
      <c r="H1900" s="21" cm="1">
        <f t="array" aca="1" ref="H1900" ca="1">INDIRECT("Data!B" &amp; 1895)</f>
        <v>0</v>
      </c>
      <c r="I1900" s="21" cm="1">
        <f t="array" aca="1" ref="I1900" ca="1">INDIRECT("Data!C" &amp; 1895)</f>
        <v>0</v>
      </c>
      <c r="J1900" cm="1">
        <f t="array" aca="1" ref="J1900" ca="1">INDIRECT("Data!D" &amp; 1895)</f>
        <v>0</v>
      </c>
      <c r="K1900" cm="1">
        <f t="array" aca="1" ref="K1900" ca="1">INDIRECT("Data!E" &amp; 1895)</f>
        <v>0</v>
      </c>
      <c r="L1900" cm="1">
        <f t="array" aca="1" ref="L1900" ca="1">INDIRECT("Data!F" &amp; 1895)</f>
        <v>0</v>
      </c>
      <c r="M1900" cm="1">
        <f t="array" aca="1" ref="M1900" ca="1">INDIRECT("Data!G" &amp; 1895)</f>
        <v>0</v>
      </c>
      <c r="N1900" cm="1">
        <f t="array" aca="1" ref="N1900" ca="1">INDIRECT("Data!H" &amp; 1895)</f>
        <v>0</v>
      </c>
      <c r="O1900" cm="1">
        <f t="array" aca="1" ref="O1900" ca="1">INDIRECT("Data!I" &amp; 1895)</f>
        <v>0</v>
      </c>
      <c r="P1900" s="21" cm="1">
        <f t="array" aca="1" ref="P1900" ca="1">INDIRECT("Data!J" &amp; 1895)</f>
        <v>0</v>
      </c>
      <c r="Q1900" cm="1">
        <f t="array" aca="1" ref="Q1900" ca="1">INDIRECT("Data!K" &amp; 1895)</f>
        <v>0</v>
      </c>
      <c r="R1900" cm="1">
        <f t="array" aca="1" ref="R1900" ca="1">INDIRECT("Data!L" &amp; 1895)</f>
        <v>0</v>
      </c>
      <c r="S1900" cm="1">
        <f t="array" aca="1" ref="S1900" ca="1">INDIRECT("Data!M" &amp; 1895)</f>
        <v>0</v>
      </c>
      <c r="T1900" cm="1">
        <f t="array" aca="1" ref="T1900" ca="1">INDIRECT("Data!N" &amp; 1895)</f>
        <v>0</v>
      </c>
      <c r="U1900" cm="1">
        <f t="array" aca="1" ref="U1900" ca="1">INDIRECT("Data!O" &amp; 1895)</f>
        <v>0</v>
      </c>
      <c r="V1900" cm="1">
        <f t="array" aca="1" ref="V1900" ca="1">INDIRECT("Data!P" &amp; 1895)</f>
        <v>0</v>
      </c>
    </row>
    <row r="1901" spans="7:22" x14ac:dyDescent="0.25">
      <c r="G1901" cm="1">
        <f t="array" aca="1" ref="G1901" ca="1">INDIRECT("Data!A" &amp; 1896)</f>
        <v>0</v>
      </c>
      <c r="H1901" s="21" cm="1">
        <f t="array" aca="1" ref="H1901" ca="1">INDIRECT("Data!B" &amp; 1896)</f>
        <v>0</v>
      </c>
      <c r="I1901" s="21" cm="1">
        <f t="array" aca="1" ref="I1901" ca="1">INDIRECT("Data!C" &amp; 1896)</f>
        <v>0</v>
      </c>
      <c r="J1901" cm="1">
        <f t="array" aca="1" ref="J1901" ca="1">INDIRECT("Data!D" &amp; 1896)</f>
        <v>0</v>
      </c>
      <c r="K1901" cm="1">
        <f t="array" aca="1" ref="K1901" ca="1">INDIRECT("Data!E" &amp; 1896)</f>
        <v>0</v>
      </c>
      <c r="L1901" cm="1">
        <f t="array" aca="1" ref="L1901" ca="1">INDIRECT("Data!F" &amp; 1896)</f>
        <v>0</v>
      </c>
      <c r="M1901" cm="1">
        <f t="array" aca="1" ref="M1901" ca="1">INDIRECT("Data!G" &amp; 1896)</f>
        <v>0</v>
      </c>
      <c r="N1901" cm="1">
        <f t="array" aca="1" ref="N1901" ca="1">INDIRECT("Data!H" &amp; 1896)</f>
        <v>0</v>
      </c>
      <c r="O1901" cm="1">
        <f t="array" aca="1" ref="O1901" ca="1">INDIRECT("Data!I" &amp; 1896)</f>
        <v>0</v>
      </c>
      <c r="P1901" s="21" cm="1">
        <f t="array" aca="1" ref="P1901" ca="1">INDIRECT("Data!J" &amp; 1896)</f>
        <v>0</v>
      </c>
      <c r="Q1901" cm="1">
        <f t="array" aca="1" ref="Q1901" ca="1">INDIRECT("Data!K" &amp; 1896)</f>
        <v>0</v>
      </c>
      <c r="R1901" cm="1">
        <f t="array" aca="1" ref="R1901" ca="1">INDIRECT("Data!L" &amp; 1896)</f>
        <v>0</v>
      </c>
      <c r="S1901" cm="1">
        <f t="array" aca="1" ref="S1901" ca="1">INDIRECT("Data!M" &amp; 1896)</f>
        <v>0</v>
      </c>
      <c r="T1901" cm="1">
        <f t="array" aca="1" ref="T1901" ca="1">INDIRECT("Data!N" &amp; 1896)</f>
        <v>0</v>
      </c>
      <c r="U1901" cm="1">
        <f t="array" aca="1" ref="U1901" ca="1">INDIRECT("Data!O" &amp; 1896)</f>
        <v>0</v>
      </c>
      <c r="V1901" cm="1">
        <f t="array" aca="1" ref="V1901" ca="1">INDIRECT("Data!P" &amp; 1896)</f>
        <v>0</v>
      </c>
    </row>
    <row r="1902" spans="7:22" x14ac:dyDescent="0.25">
      <c r="G1902" cm="1">
        <f t="array" aca="1" ref="G1902" ca="1">INDIRECT("Data!A" &amp; 1897)</f>
        <v>0</v>
      </c>
      <c r="H1902" s="21" cm="1">
        <f t="array" aca="1" ref="H1902" ca="1">INDIRECT("Data!B" &amp; 1897)</f>
        <v>0</v>
      </c>
      <c r="I1902" s="21" cm="1">
        <f t="array" aca="1" ref="I1902" ca="1">INDIRECT("Data!C" &amp; 1897)</f>
        <v>0</v>
      </c>
      <c r="J1902" cm="1">
        <f t="array" aca="1" ref="J1902" ca="1">INDIRECT("Data!D" &amp; 1897)</f>
        <v>0</v>
      </c>
      <c r="K1902" cm="1">
        <f t="array" aca="1" ref="K1902" ca="1">INDIRECT("Data!E" &amp; 1897)</f>
        <v>0</v>
      </c>
      <c r="L1902" cm="1">
        <f t="array" aca="1" ref="L1902" ca="1">INDIRECT("Data!F" &amp; 1897)</f>
        <v>0</v>
      </c>
      <c r="M1902" cm="1">
        <f t="array" aca="1" ref="M1902" ca="1">INDIRECT("Data!G" &amp; 1897)</f>
        <v>0</v>
      </c>
      <c r="N1902" cm="1">
        <f t="array" aca="1" ref="N1902" ca="1">INDIRECT("Data!H" &amp; 1897)</f>
        <v>0</v>
      </c>
      <c r="O1902" cm="1">
        <f t="array" aca="1" ref="O1902" ca="1">INDIRECT("Data!I" &amp; 1897)</f>
        <v>0</v>
      </c>
      <c r="P1902" s="21" cm="1">
        <f t="array" aca="1" ref="P1902" ca="1">INDIRECT("Data!J" &amp; 1897)</f>
        <v>0</v>
      </c>
      <c r="Q1902" cm="1">
        <f t="array" aca="1" ref="Q1902" ca="1">INDIRECT("Data!K" &amp; 1897)</f>
        <v>0</v>
      </c>
      <c r="R1902" cm="1">
        <f t="array" aca="1" ref="R1902" ca="1">INDIRECT("Data!L" &amp; 1897)</f>
        <v>0</v>
      </c>
      <c r="S1902" cm="1">
        <f t="array" aca="1" ref="S1902" ca="1">INDIRECT("Data!M" &amp; 1897)</f>
        <v>0</v>
      </c>
      <c r="T1902" cm="1">
        <f t="array" aca="1" ref="T1902" ca="1">INDIRECT("Data!N" &amp; 1897)</f>
        <v>0</v>
      </c>
      <c r="U1902" cm="1">
        <f t="array" aca="1" ref="U1902" ca="1">INDIRECT("Data!O" &amp; 1897)</f>
        <v>0</v>
      </c>
      <c r="V1902" cm="1">
        <f t="array" aca="1" ref="V1902" ca="1">INDIRECT("Data!P" &amp; 1897)</f>
        <v>0</v>
      </c>
    </row>
    <row r="1903" spans="7:22" x14ac:dyDescent="0.25">
      <c r="G1903" cm="1">
        <f t="array" aca="1" ref="G1903" ca="1">INDIRECT("Data!A" &amp; 1898)</f>
        <v>0</v>
      </c>
      <c r="H1903" s="21" cm="1">
        <f t="array" aca="1" ref="H1903" ca="1">INDIRECT("Data!B" &amp; 1898)</f>
        <v>0</v>
      </c>
      <c r="I1903" s="21" cm="1">
        <f t="array" aca="1" ref="I1903" ca="1">INDIRECT("Data!C" &amp; 1898)</f>
        <v>0</v>
      </c>
      <c r="J1903" cm="1">
        <f t="array" aca="1" ref="J1903" ca="1">INDIRECT("Data!D" &amp; 1898)</f>
        <v>0</v>
      </c>
      <c r="K1903" cm="1">
        <f t="array" aca="1" ref="K1903" ca="1">INDIRECT("Data!E" &amp; 1898)</f>
        <v>0</v>
      </c>
      <c r="L1903" cm="1">
        <f t="array" aca="1" ref="L1903" ca="1">INDIRECT("Data!F" &amp; 1898)</f>
        <v>0</v>
      </c>
      <c r="M1903" cm="1">
        <f t="array" aca="1" ref="M1903" ca="1">INDIRECT("Data!G" &amp; 1898)</f>
        <v>0</v>
      </c>
      <c r="N1903" cm="1">
        <f t="array" aca="1" ref="N1903" ca="1">INDIRECT("Data!H" &amp; 1898)</f>
        <v>0</v>
      </c>
      <c r="O1903" cm="1">
        <f t="array" aca="1" ref="O1903" ca="1">INDIRECT("Data!I" &amp; 1898)</f>
        <v>0</v>
      </c>
      <c r="P1903" s="21" cm="1">
        <f t="array" aca="1" ref="P1903" ca="1">INDIRECT("Data!J" &amp; 1898)</f>
        <v>0</v>
      </c>
      <c r="Q1903" cm="1">
        <f t="array" aca="1" ref="Q1903" ca="1">INDIRECT("Data!K" &amp; 1898)</f>
        <v>0</v>
      </c>
      <c r="R1903" cm="1">
        <f t="array" aca="1" ref="R1903" ca="1">INDIRECT("Data!L" &amp; 1898)</f>
        <v>0</v>
      </c>
      <c r="S1903" cm="1">
        <f t="array" aca="1" ref="S1903" ca="1">INDIRECT("Data!M" &amp; 1898)</f>
        <v>0</v>
      </c>
      <c r="T1903" cm="1">
        <f t="array" aca="1" ref="T1903" ca="1">INDIRECT("Data!N" &amp; 1898)</f>
        <v>0</v>
      </c>
      <c r="U1903" cm="1">
        <f t="array" aca="1" ref="U1903" ca="1">INDIRECT("Data!O" &amp; 1898)</f>
        <v>0</v>
      </c>
      <c r="V1903" cm="1">
        <f t="array" aca="1" ref="V1903" ca="1">INDIRECT("Data!P" &amp; 1898)</f>
        <v>0</v>
      </c>
    </row>
    <row r="1904" spans="7:22" x14ac:dyDescent="0.25">
      <c r="G1904" cm="1">
        <f t="array" aca="1" ref="G1904" ca="1">INDIRECT("Data!A" &amp; 1899)</f>
        <v>0</v>
      </c>
      <c r="H1904" s="21" cm="1">
        <f t="array" aca="1" ref="H1904" ca="1">INDIRECT("Data!B" &amp; 1899)</f>
        <v>0</v>
      </c>
      <c r="I1904" s="21" cm="1">
        <f t="array" aca="1" ref="I1904" ca="1">INDIRECT("Data!C" &amp; 1899)</f>
        <v>0</v>
      </c>
      <c r="J1904" cm="1">
        <f t="array" aca="1" ref="J1904" ca="1">INDIRECT("Data!D" &amp; 1899)</f>
        <v>0</v>
      </c>
      <c r="K1904" cm="1">
        <f t="array" aca="1" ref="K1904" ca="1">INDIRECT("Data!E" &amp; 1899)</f>
        <v>0</v>
      </c>
      <c r="L1904" cm="1">
        <f t="array" aca="1" ref="L1904" ca="1">INDIRECT("Data!F" &amp; 1899)</f>
        <v>0</v>
      </c>
      <c r="M1904" cm="1">
        <f t="array" aca="1" ref="M1904" ca="1">INDIRECT("Data!G" &amp; 1899)</f>
        <v>0</v>
      </c>
      <c r="N1904" cm="1">
        <f t="array" aca="1" ref="N1904" ca="1">INDIRECT("Data!H" &amp; 1899)</f>
        <v>0</v>
      </c>
      <c r="O1904" cm="1">
        <f t="array" aca="1" ref="O1904" ca="1">INDIRECT("Data!I" &amp; 1899)</f>
        <v>0</v>
      </c>
      <c r="P1904" s="21" cm="1">
        <f t="array" aca="1" ref="P1904" ca="1">INDIRECT("Data!J" &amp; 1899)</f>
        <v>0</v>
      </c>
      <c r="Q1904" cm="1">
        <f t="array" aca="1" ref="Q1904" ca="1">INDIRECT("Data!K" &amp; 1899)</f>
        <v>0</v>
      </c>
      <c r="R1904" cm="1">
        <f t="array" aca="1" ref="R1904" ca="1">INDIRECT("Data!L" &amp; 1899)</f>
        <v>0</v>
      </c>
      <c r="S1904" cm="1">
        <f t="array" aca="1" ref="S1904" ca="1">INDIRECT("Data!M" &amp; 1899)</f>
        <v>0</v>
      </c>
      <c r="T1904" cm="1">
        <f t="array" aca="1" ref="T1904" ca="1">INDIRECT("Data!N" &amp; 1899)</f>
        <v>0</v>
      </c>
      <c r="U1904" cm="1">
        <f t="array" aca="1" ref="U1904" ca="1">INDIRECT("Data!O" &amp; 1899)</f>
        <v>0</v>
      </c>
      <c r="V1904" cm="1">
        <f t="array" aca="1" ref="V1904" ca="1">INDIRECT("Data!P" &amp; 1899)</f>
        <v>0</v>
      </c>
    </row>
    <row r="1905" spans="7:22" x14ac:dyDescent="0.25">
      <c r="G1905" cm="1">
        <f t="array" aca="1" ref="G1905" ca="1">INDIRECT("Data!A" &amp; 1900)</f>
        <v>0</v>
      </c>
      <c r="H1905" s="21" cm="1">
        <f t="array" aca="1" ref="H1905" ca="1">INDIRECT("Data!B" &amp; 1900)</f>
        <v>0</v>
      </c>
      <c r="I1905" s="21" cm="1">
        <f t="array" aca="1" ref="I1905" ca="1">INDIRECT("Data!C" &amp; 1900)</f>
        <v>0</v>
      </c>
      <c r="J1905" cm="1">
        <f t="array" aca="1" ref="J1905" ca="1">INDIRECT("Data!D" &amp; 1900)</f>
        <v>0</v>
      </c>
      <c r="K1905" cm="1">
        <f t="array" aca="1" ref="K1905" ca="1">INDIRECT("Data!E" &amp; 1900)</f>
        <v>0</v>
      </c>
      <c r="L1905" cm="1">
        <f t="array" aca="1" ref="L1905" ca="1">INDIRECT("Data!F" &amp; 1900)</f>
        <v>0</v>
      </c>
      <c r="M1905" cm="1">
        <f t="array" aca="1" ref="M1905" ca="1">INDIRECT("Data!G" &amp; 1900)</f>
        <v>0</v>
      </c>
      <c r="N1905" cm="1">
        <f t="array" aca="1" ref="N1905" ca="1">INDIRECT("Data!H" &amp; 1900)</f>
        <v>0</v>
      </c>
      <c r="O1905" cm="1">
        <f t="array" aca="1" ref="O1905" ca="1">INDIRECT("Data!I" &amp; 1900)</f>
        <v>0</v>
      </c>
      <c r="P1905" s="21" cm="1">
        <f t="array" aca="1" ref="P1905" ca="1">INDIRECT("Data!J" &amp; 1900)</f>
        <v>0</v>
      </c>
      <c r="Q1905" cm="1">
        <f t="array" aca="1" ref="Q1905" ca="1">INDIRECT("Data!K" &amp; 1900)</f>
        <v>0</v>
      </c>
      <c r="R1905" cm="1">
        <f t="array" aca="1" ref="R1905" ca="1">INDIRECT("Data!L" &amp; 1900)</f>
        <v>0</v>
      </c>
      <c r="S1905" cm="1">
        <f t="array" aca="1" ref="S1905" ca="1">INDIRECT("Data!M" &amp; 1900)</f>
        <v>0</v>
      </c>
      <c r="T1905" cm="1">
        <f t="array" aca="1" ref="T1905" ca="1">INDIRECT("Data!N" &amp; 1900)</f>
        <v>0</v>
      </c>
      <c r="U1905" cm="1">
        <f t="array" aca="1" ref="U1905" ca="1">INDIRECT("Data!O" &amp; 1900)</f>
        <v>0</v>
      </c>
      <c r="V1905" cm="1">
        <f t="array" aca="1" ref="V1905" ca="1">INDIRECT("Data!P" &amp; 1900)</f>
        <v>0</v>
      </c>
    </row>
    <row r="1906" spans="7:22" x14ac:dyDescent="0.25">
      <c r="G1906" cm="1">
        <f t="array" aca="1" ref="G1906" ca="1">INDIRECT("Data!A" &amp; 1901)</f>
        <v>0</v>
      </c>
      <c r="H1906" s="21" cm="1">
        <f t="array" aca="1" ref="H1906" ca="1">INDIRECT("Data!B" &amp; 1901)</f>
        <v>0</v>
      </c>
      <c r="I1906" s="21" cm="1">
        <f t="array" aca="1" ref="I1906" ca="1">INDIRECT("Data!C" &amp; 1901)</f>
        <v>0</v>
      </c>
      <c r="J1906" cm="1">
        <f t="array" aca="1" ref="J1906" ca="1">INDIRECT("Data!D" &amp; 1901)</f>
        <v>0</v>
      </c>
      <c r="K1906" cm="1">
        <f t="array" aca="1" ref="K1906" ca="1">INDIRECT("Data!E" &amp; 1901)</f>
        <v>0</v>
      </c>
      <c r="L1906" cm="1">
        <f t="array" aca="1" ref="L1906" ca="1">INDIRECT("Data!F" &amp; 1901)</f>
        <v>0</v>
      </c>
      <c r="M1906" cm="1">
        <f t="array" aca="1" ref="M1906" ca="1">INDIRECT("Data!G" &amp; 1901)</f>
        <v>0</v>
      </c>
      <c r="N1906" cm="1">
        <f t="array" aca="1" ref="N1906" ca="1">INDIRECT("Data!H" &amp; 1901)</f>
        <v>0</v>
      </c>
      <c r="O1906" cm="1">
        <f t="array" aca="1" ref="O1906" ca="1">INDIRECT("Data!I" &amp; 1901)</f>
        <v>0</v>
      </c>
      <c r="P1906" s="21" cm="1">
        <f t="array" aca="1" ref="P1906" ca="1">INDIRECT("Data!J" &amp; 1901)</f>
        <v>0</v>
      </c>
      <c r="Q1906" cm="1">
        <f t="array" aca="1" ref="Q1906" ca="1">INDIRECT("Data!K" &amp; 1901)</f>
        <v>0</v>
      </c>
      <c r="R1906" cm="1">
        <f t="array" aca="1" ref="R1906" ca="1">INDIRECT("Data!L" &amp; 1901)</f>
        <v>0</v>
      </c>
      <c r="S1906" cm="1">
        <f t="array" aca="1" ref="S1906" ca="1">INDIRECT("Data!M" &amp; 1901)</f>
        <v>0</v>
      </c>
      <c r="T1906" cm="1">
        <f t="array" aca="1" ref="T1906" ca="1">INDIRECT("Data!N" &amp; 1901)</f>
        <v>0</v>
      </c>
      <c r="U1906" cm="1">
        <f t="array" aca="1" ref="U1906" ca="1">INDIRECT("Data!O" &amp; 1901)</f>
        <v>0</v>
      </c>
      <c r="V1906" cm="1">
        <f t="array" aca="1" ref="V1906" ca="1">INDIRECT("Data!P" &amp; 1901)</f>
        <v>0</v>
      </c>
    </row>
    <row r="1907" spans="7:22" x14ac:dyDescent="0.25">
      <c r="G1907" cm="1">
        <f t="array" aca="1" ref="G1907" ca="1">INDIRECT("Data!A" &amp; 1902)</f>
        <v>0</v>
      </c>
      <c r="H1907" s="21" cm="1">
        <f t="array" aca="1" ref="H1907" ca="1">INDIRECT("Data!B" &amp; 1902)</f>
        <v>0</v>
      </c>
      <c r="I1907" s="21" cm="1">
        <f t="array" aca="1" ref="I1907" ca="1">INDIRECT("Data!C" &amp; 1902)</f>
        <v>0</v>
      </c>
      <c r="J1907" cm="1">
        <f t="array" aca="1" ref="J1907" ca="1">INDIRECT("Data!D" &amp; 1902)</f>
        <v>0</v>
      </c>
      <c r="K1907" cm="1">
        <f t="array" aca="1" ref="K1907" ca="1">INDIRECT("Data!E" &amp; 1902)</f>
        <v>0</v>
      </c>
      <c r="L1907" cm="1">
        <f t="array" aca="1" ref="L1907" ca="1">INDIRECT("Data!F" &amp; 1902)</f>
        <v>0</v>
      </c>
      <c r="M1907" cm="1">
        <f t="array" aca="1" ref="M1907" ca="1">INDIRECT("Data!G" &amp; 1902)</f>
        <v>0</v>
      </c>
      <c r="N1907" cm="1">
        <f t="array" aca="1" ref="N1907" ca="1">INDIRECT("Data!H" &amp; 1902)</f>
        <v>0</v>
      </c>
      <c r="O1907" cm="1">
        <f t="array" aca="1" ref="O1907" ca="1">INDIRECT("Data!I" &amp; 1902)</f>
        <v>0</v>
      </c>
      <c r="P1907" s="21" cm="1">
        <f t="array" aca="1" ref="P1907" ca="1">INDIRECT("Data!J" &amp; 1902)</f>
        <v>0</v>
      </c>
      <c r="Q1907" cm="1">
        <f t="array" aca="1" ref="Q1907" ca="1">INDIRECT("Data!K" &amp; 1902)</f>
        <v>0</v>
      </c>
      <c r="R1907" cm="1">
        <f t="array" aca="1" ref="R1907" ca="1">INDIRECT("Data!L" &amp; 1902)</f>
        <v>0</v>
      </c>
      <c r="S1907" cm="1">
        <f t="array" aca="1" ref="S1907" ca="1">INDIRECT("Data!M" &amp; 1902)</f>
        <v>0</v>
      </c>
      <c r="T1907" cm="1">
        <f t="array" aca="1" ref="T1907" ca="1">INDIRECT("Data!N" &amp; 1902)</f>
        <v>0</v>
      </c>
      <c r="U1907" cm="1">
        <f t="array" aca="1" ref="U1907" ca="1">INDIRECT("Data!O" &amp; 1902)</f>
        <v>0</v>
      </c>
      <c r="V1907" cm="1">
        <f t="array" aca="1" ref="V1907" ca="1">INDIRECT("Data!P" &amp; 1902)</f>
        <v>0</v>
      </c>
    </row>
    <row r="1908" spans="7:22" x14ac:dyDescent="0.25">
      <c r="G1908" cm="1">
        <f t="array" aca="1" ref="G1908" ca="1">INDIRECT("Data!A" &amp; 1903)</f>
        <v>0</v>
      </c>
      <c r="H1908" s="21" cm="1">
        <f t="array" aca="1" ref="H1908" ca="1">INDIRECT("Data!B" &amp; 1903)</f>
        <v>0</v>
      </c>
      <c r="I1908" s="21" cm="1">
        <f t="array" aca="1" ref="I1908" ca="1">INDIRECT("Data!C" &amp; 1903)</f>
        <v>0</v>
      </c>
      <c r="J1908" cm="1">
        <f t="array" aca="1" ref="J1908" ca="1">INDIRECT("Data!D" &amp; 1903)</f>
        <v>0</v>
      </c>
      <c r="K1908" cm="1">
        <f t="array" aca="1" ref="K1908" ca="1">INDIRECT("Data!E" &amp; 1903)</f>
        <v>0</v>
      </c>
      <c r="L1908" cm="1">
        <f t="array" aca="1" ref="L1908" ca="1">INDIRECT("Data!F" &amp; 1903)</f>
        <v>0</v>
      </c>
      <c r="M1908" cm="1">
        <f t="array" aca="1" ref="M1908" ca="1">INDIRECT("Data!G" &amp; 1903)</f>
        <v>0</v>
      </c>
      <c r="N1908" cm="1">
        <f t="array" aca="1" ref="N1908" ca="1">INDIRECT("Data!H" &amp; 1903)</f>
        <v>0</v>
      </c>
      <c r="O1908" cm="1">
        <f t="array" aca="1" ref="O1908" ca="1">INDIRECT("Data!I" &amp; 1903)</f>
        <v>0</v>
      </c>
      <c r="P1908" s="21" cm="1">
        <f t="array" aca="1" ref="P1908" ca="1">INDIRECT("Data!J" &amp; 1903)</f>
        <v>0</v>
      </c>
      <c r="Q1908" cm="1">
        <f t="array" aca="1" ref="Q1908" ca="1">INDIRECT("Data!K" &amp; 1903)</f>
        <v>0</v>
      </c>
      <c r="R1908" cm="1">
        <f t="array" aca="1" ref="R1908" ca="1">INDIRECT("Data!L" &amp; 1903)</f>
        <v>0</v>
      </c>
      <c r="S1908" cm="1">
        <f t="array" aca="1" ref="S1908" ca="1">INDIRECT("Data!M" &amp; 1903)</f>
        <v>0</v>
      </c>
      <c r="T1908" cm="1">
        <f t="array" aca="1" ref="T1908" ca="1">INDIRECT("Data!N" &amp; 1903)</f>
        <v>0</v>
      </c>
      <c r="U1908" cm="1">
        <f t="array" aca="1" ref="U1908" ca="1">INDIRECT("Data!O" &amp; 1903)</f>
        <v>0</v>
      </c>
      <c r="V1908" cm="1">
        <f t="array" aca="1" ref="V1908" ca="1">INDIRECT("Data!P" &amp; 1903)</f>
        <v>0</v>
      </c>
    </row>
    <row r="1909" spans="7:22" x14ac:dyDescent="0.25">
      <c r="G1909" cm="1">
        <f t="array" aca="1" ref="G1909" ca="1">INDIRECT("Data!A" &amp; 1904)</f>
        <v>0</v>
      </c>
      <c r="H1909" s="21" cm="1">
        <f t="array" aca="1" ref="H1909" ca="1">INDIRECT("Data!B" &amp; 1904)</f>
        <v>0</v>
      </c>
      <c r="I1909" s="21" cm="1">
        <f t="array" aca="1" ref="I1909" ca="1">INDIRECT("Data!C" &amp; 1904)</f>
        <v>0</v>
      </c>
      <c r="J1909" cm="1">
        <f t="array" aca="1" ref="J1909" ca="1">INDIRECT("Data!D" &amp; 1904)</f>
        <v>0</v>
      </c>
      <c r="K1909" cm="1">
        <f t="array" aca="1" ref="K1909" ca="1">INDIRECT("Data!E" &amp; 1904)</f>
        <v>0</v>
      </c>
      <c r="L1909" cm="1">
        <f t="array" aca="1" ref="L1909" ca="1">INDIRECT("Data!F" &amp; 1904)</f>
        <v>0</v>
      </c>
      <c r="M1909" cm="1">
        <f t="array" aca="1" ref="M1909" ca="1">INDIRECT("Data!G" &amp; 1904)</f>
        <v>0</v>
      </c>
      <c r="N1909" cm="1">
        <f t="array" aca="1" ref="N1909" ca="1">INDIRECT("Data!H" &amp; 1904)</f>
        <v>0</v>
      </c>
      <c r="O1909" cm="1">
        <f t="array" aca="1" ref="O1909" ca="1">INDIRECT("Data!I" &amp; 1904)</f>
        <v>0</v>
      </c>
      <c r="P1909" s="21" cm="1">
        <f t="array" aca="1" ref="P1909" ca="1">INDIRECT("Data!J" &amp; 1904)</f>
        <v>0</v>
      </c>
      <c r="Q1909" cm="1">
        <f t="array" aca="1" ref="Q1909" ca="1">INDIRECT("Data!K" &amp; 1904)</f>
        <v>0</v>
      </c>
      <c r="R1909" cm="1">
        <f t="array" aca="1" ref="R1909" ca="1">INDIRECT("Data!L" &amp; 1904)</f>
        <v>0</v>
      </c>
      <c r="S1909" cm="1">
        <f t="array" aca="1" ref="S1909" ca="1">INDIRECT("Data!M" &amp; 1904)</f>
        <v>0</v>
      </c>
      <c r="T1909" cm="1">
        <f t="array" aca="1" ref="T1909" ca="1">INDIRECT("Data!N" &amp; 1904)</f>
        <v>0</v>
      </c>
      <c r="U1909" cm="1">
        <f t="array" aca="1" ref="U1909" ca="1">INDIRECT("Data!O" &amp; 1904)</f>
        <v>0</v>
      </c>
      <c r="V1909" cm="1">
        <f t="array" aca="1" ref="V1909" ca="1">INDIRECT("Data!P" &amp; 1904)</f>
        <v>0</v>
      </c>
    </row>
    <row r="1910" spans="7:22" x14ac:dyDescent="0.25">
      <c r="G1910" cm="1">
        <f t="array" aca="1" ref="G1910" ca="1">INDIRECT("Data!A" &amp; 1905)</f>
        <v>0</v>
      </c>
      <c r="H1910" s="21" cm="1">
        <f t="array" aca="1" ref="H1910" ca="1">INDIRECT("Data!B" &amp; 1905)</f>
        <v>0</v>
      </c>
      <c r="I1910" s="21" cm="1">
        <f t="array" aca="1" ref="I1910" ca="1">INDIRECT("Data!C" &amp; 1905)</f>
        <v>0</v>
      </c>
      <c r="J1910" cm="1">
        <f t="array" aca="1" ref="J1910" ca="1">INDIRECT("Data!D" &amp; 1905)</f>
        <v>0</v>
      </c>
      <c r="K1910" cm="1">
        <f t="array" aca="1" ref="K1910" ca="1">INDIRECT("Data!E" &amp; 1905)</f>
        <v>0</v>
      </c>
      <c r="L1910" cm="1">
        <f t="array" aca="1" ref="L1910" ca="1">INDIRECT("Data!F" &amp; 1905)</f>
        <v>0</v>
      </c>
      <c r="M1910" cm="1">
        <f t="array" aca="1" ref="M1910" ca="1">INDIRECT("Data!G" &amp; 1905)</f>
        <v>0</v>
      </c>
      <c r="N1910" cm="1">
        <f t="array" aca="1" ref="N1910" ca="1">INDIRECT("Data!H" &amp; 1905)</f>
        <v>0</v>
      </c>
      <c r="O1910" cm="1">
        <f t="array" aca="1" ref="O1910" ca="1">INDIRECT("Data!I" &amp; 1905)</f>
        <v>0</v>
      </c>
      <c r="P1910" s="21" cm="1">
        <f t="array" aca="1" ref="P1910" ca="1">INDIRECT("Data!J" &amp; 1905)</f>
        <v>0</v>
      </c>
      <c r="Q1910" cm="1">
        <f t="array" aca="1" ref="Q1910" ca="1">INDIRECT("Data!K" &amp; 1905)</f>
        <v>0</v>
      </c>
      <c r="R1910" cm="1">
        <f t="array" aca="1" ref="R1910" ca="1">INDIRECT("Data!L" &amp; 1905)</f>
        <v>0</v>
      </c>
      <c r="S1910" cm="1">
        <f t="array" aca="1" ref="S1910" ca="1">INDIRECT("Data!M" &amp; 1905)</f>
        <v>0</v>
      </c>
      <c r="T1910" cm="1">
        <f t="array" aca="1" ref="T1910" ca="1">INDIRECT("Data!N" &amp; 1905)</f>
        <v>0</v>
      </c>
      <c r="U1910" cm="1">
        <f t="array" aca="1" ref="U1910" ca="1">INDIRECT("Data!O" &amp; 1905)</f>
        <v>0</v>
      </c>
      <c r="V1910" cm="1">
        <f t="array" aca="1" ref="V1910" ca="1">INDIRECT("Data!P" &amp; 1905)</f>
        <v>0</v>
      </c>
    </row>
    <row r="1911" spans="7:22" x14ac:dyDescent="0.25">
      <c r="G1911" cm="1">
        <f t="array" aca="1" ref="G1911" ca="1">INDIRECT("Data!A" &amp; 1906)</f>
        <v>0</v>
      </c>
      <c r="H1911" s="21" cm="1">
        <f t="array" aca="1" ref="H1911" ca="1">INDIRECT("Data!B" &amp; 1906)</f>
        <v>0</v>
      </c>
      <c r="I1911" s="21" cm="1">
        <f t="array" aca="1" ref="I1911" ca="1">INDIRECT("Data!C" &amp; 1906)</f>
        <v>0</v>
      </c>
      <c r="J1911" cm="1">
        <f t="array" aca="1" ref="J1911" ca="1">INDIRECT("Data!D" &amp; 1906)</f>
        <v>0</v>
      </c>
      <c r="K1911" cm="1">
        <f t="array" aca="1" ref="K1911" ca="1">INDIRECT("Data!E" &amp; 1906)</f>
        <v>0</v>
      </c>
      <c r="L1911" cm="1">
        <f t="array" aca="1" ref="L1911" ca="1">INDIRECT("Data!F" &amp; 1906)</f>
        <v>0</v>
      </c>
      <c r="M1911" cm="1">
        <f t="array" aca="1" ref="M1911" ca="1">INDIRECT("Data!G" &amp; 1906)</f>
        <v>0</v>
      </c>
      <c r="N1911" cm="1">
        <f t="array" aca="1" ref="N1911" ca="1">INDIRECT("Data!H" &amp; 1906)</f>
        <v>0</v>
      </c>
      <c r="O1911" cm="1">
        <f t="array" aca="1" ref="O1911" ca="1">INDIRECT("Data!I" &amp; 1906)</f>
        <v>0</v>
      </c>
      <c r="P1911" s="21" cm="1">
        <f t="array" aca="1" ref="P1911" ca="1">INDIRECT("Data!J" &amp; 1906)</f>
        <v>0</v>
      </c>
      <c r="Q1911" cm="1">
        <f t="array" aca="1" ref="Q1911" ca="1">INDIRECT("Data!K" &amp; 1906)</f>
        <v>0</v>
      </c>
      <c r="R1911" cm="1">
        <f t="array" aca="1" ref="R1911" ca="1">INDIRECT("Data!L" &amp; 1906)</f>
        <v>0</v>
      </c>
      <c r="S1911" cm="1">
        <f t="array" aca="1" ref="S1911" ca="1">INDIRECT("Data!M" &amp; 1906)</f>
        <v>0</v>
      </c>
      <c r="T1911" cm="1">
        <f t="array" aca="1" ref="T1911" ca="1">INDIRECT("Data!N" &amp; 1906)</f>
        <v>0</v>
      </c>
      <c r="U1911" cm="1">
        <f t="array" aca="1" ref="U1911" ca="1">INDIRECT("Data!O" &amp; 1906)</f>
        <v>0</v>
      </c>
      <c r="V1911" cm="1">
        <f t="array" aca="1" ref="V1911" ca="1">INDIRECT("Data!P" &amp; 1906)</f>
        <v>0</v>
      </c>
    </row>
    <row r="1912" spans="7:22" x14ac:dyDescent="0.25">
      <c r="G1912" cm="1">
        <f t="array" aca="1" ref="G1912" ca="1">INDIRECT("Data!A" &amp; 1907)</f>
        <v>0</v>
      </c>
      <c r="H1912" s="21" cm="1">
        <f t="array" aca="1" ref="H1912" ca="1">INDIRECT("Data!B" &amp; 1907)</f>
        <v>0</v>
      </c>
      <c r="I1912" s="21" cm="1">
        <f t="array" aca="1" ref="I1912" ca="1">INDIRECT("Data!C" &amp; 1907)</f>
        <v>0</v>
      </c>
      <c r="J1912" cm="1">
        <f t="array" aca="1" ref="J1912" ca="1">INDIRECT("Data!D" &amp; 1907)</f>
        <v>0</v>
      </c>
      <c r="K1912" cm="1">
        <f t="array" aca="1" ref="K1912" ca="1">INDIRECT("Data!E" &amp; 1907)</f>
        <v>0</v>
      </c>
      <c r="L1912" cm="1">
        <f t="array" aca="1" ref="L1912" ca="1">INDIRECT("Data!F" &amp; 1907)</f>
        <v>0</v>
      </c>
      <c r="M1912" cm="1">
        <f t="array" aca="1" ref="M1912" ca="1">INDIRECT("Data!G" &amp; 1907)</f>
        <v>0</v>
      </c>
      <c r="N1912" cm="1">
        <f t="array" aca="1" ref="N1912" ca="1">INDIRECT("Data!H" &amp; 1907)</f>
        <v>0</v>
      </c>
      <c r="O1912" cm="1">
        <f t="array" aca="1" ref="O1912" ca="1">INDIRECT("Data!I" &amp; 1907)</f>
        <v>0</v>
      </c>
      <c r="P1912" s="21" cm="1">
        <f t="array" aca="1" ref="P1912" ca="1">INDIRECT("Data!J" &amp; 1907)</f>
        <v>0</v>
      </c>
      <c r="Q1912" cm="1">
        <f t="array" aca="1" ref="Q1912" ca="1">INDIRECT("Data!K" &amp; 1907)</f>
        <v>0</v>
      </c>
      <c r="R1912" cm="1">
        <f t="array" aca="1" ref="R1912" ca="1">INDIRECT("Data!L" &amp; 1907)</f>
        <v>0</v>
      </c>
      <c r="S1912" cm="1">
        <f t="array" aca="1" ref="S1912" ca="1">INDIRECT("Data!M" &amp; 1907)</f>
        <v>0</v>
      </c>
      <c r="T1912" cm="1">
        <f t="array" aca="1" ref="T1912" ca="1">INDIRECT("Data!N" &amp; 1907)</f>
        <v>0</v>
      </c>
      <c r="U1912" cm="1">
        <f t="array" aca="1" ref="U1912" ca="1">INDIRECT("Data!O" &amp; 1907)</f>
        <v>0</v>
      </c>
      <c r="V1912" cm="1">
        <f t="array" aca="1" ref="V1912" ca="1">INDIRECT("Data!P" &amp; 1907)</f>
        <v>0</v>
      </c>
    </row>
    <row r="1913" spans="7:22" x14ac:dyDescent="0.25">
      <c r="G1913" cm="1">
        <f t="array" aca="1" ref="G1913" ca="1">INDIRECT("Data!A" &amp; 1908)</f>
        <v>0</v>
      </c>
      <c r="H1913" s="21" cm="1">
        <f t="array" aca="1" ref="H1913" ca="1">INDIRECT("Data!B" &amp; 1908)</f>
        <v>0</v>
      </c>
      <c r="I1913" s="21" cm="1">
        <f t="array" aca="1" ref="I1913" ca="1">INDIRECT("Data!C" &amp; 1908)</f>
        <v>0</v>
      </c>
      <c r="J1913" cm="1">
        <f t="array" aca="1" ref="J1913" ca="1">INDIRECT("Data!D" &amp; 1908)</f>
        <v>0</v>
      </c>
      <c r="K1913" cm="1">
        <f t="array" aca="1" ref="K1913" ca="1">INDIRECT("Data!E" &amp; 1908)</f>
        <v>0</v>
      </c>
      <c r="L1913" cm="1">
        <f t="array" aca="1" ref="L1913" ca="1">INDIRECT("Data!F" &amp; 1908)</f>
        <v>0</v>
      </c>
      <c r="M1913" cm="1">
        <f t="array" aca="1" ref="M1913" ca="1">INDIRECT("Data!G" &amp; 1908)</f>
        <v>0</v>
      </c>
      <c r="N1913" cm="1">
        <f t="array" aca="1" ref="N1913" ca="1">INDIRECT("Data!H" &amp; 1908)</f>
        <v>0</v>
      </c>
      <c r="O1913" cm="1">
        <f t="array" aca="1" ref="O1913" ca="1">INDIRECT("Data!I" &amp; 1908)</f>
        <v>0</v>
      </c>
      <c r="P1913" s="21" cm="1">
        <f t="array" aca="1" ref="P1913" ca="1">INDIRECT("Data!J" &amp; 1908)</f>
        <v>0</v>
      </c>
      <c r="Q1913" cm="1">
        <f t="array" aca="1" ref="Q1913" ca="1">INDIRECT("Data!K" &amp; 1908)</f>
        <v>0</v>
      </c>
      <c r="R1913" cm="1">
        <f t="array" aca="1" ref="R1913" ca="1">INDIRECT("Data!L" &amp; 1908)</f>
        <v>0</v>
      </c>
      <c r="S1913" cm="1">
        <f t="array" aca="1" ref="S1913" ca="1">INDIRECT("Data!M" &amp; 1908)</f>
        <v>0</v>
      </c>
      <c r="T1913" cm="1">
        <f t="array" aca="1" ref="T1913" ca="1">INDIRECT("Data!N" &amp; 1908)</f>
        <v>0</v>
      </c>
      <c r="U1913" cm="1">
        <f t="array" aca="1" ref="U1913" ca="1">INDIRECT("Data!O" &amp; 1908)</f>
        <v>0</v>
      </c>
      <c r="V1913" cm="1">
        <f t="array" aca="1" ref="V1913" ca="1">INDIRECT("Data!P" &amp; 1908)</f>
        <v>0</v>
      </c>
    </row>
    <row r="1914" spans="7:22" x14ac:dyDescent="0.25">
      <c r="G1914" cm="1">
        <f t="array" aca="1" ref="G1914" ca="1">INDIRECT("Data!A" &amp; 1909)</f>
        <v>0</v>
      </c>
      <c r="H1914" s="21" cm="1">
        <f t="array" aca="1" ref="H1914" ca="1">INDIRECT("Data!B" &amp; 1909)</f>
        <v>0</v>
      </c>
      <c r="I1914" s="21" cm="1">
        <f t="array" aca="1" ref="I1914" ca="1">INDIRECT("Data!C" &amp; 1909)</f>
        <v>0</v>
      </c>
      <c r="J1914" cm="1">
        <f t="array" aca="1" ref="J1914" ca="1">INDIRECT("Data!D" &amp; 1909)</f>
        <v>0</v>
      </c>
      <c r="K1914" cm="1">
        <f t="array" aca="1" ref="K1914" ca="1">INDIRECT("Data!E" &amp; 1909)</f>
        <v>0</v>
      </c>
      <c r="L1914" cm="1">
        <f t="array" aca="1" ref="L1914" ca="1">INDIRECT("Data!F" &amp; 1909)</f>
        <v>0</v>
      </c>
      <c r="M1914" cm="1">
        <f t="array" aca="1" ref="M1914" ca="1">INDIRECT("Data!G" &amp; 1909)</f>
        <v>0</v>
      </c>
      <c r="N1914" cm="1">
        <f t="array" aca="1" ref="N1914" ca="1">INDIRECT("Data!H" &amp; 1909)</f>
        <v>0</v>
      </c>
      <c r="O1914" cm="1">
        <f t="array" aca="1" ref="O1914" ca="1">INDIRECT("Data!I" &amp; 1909)</f>
        <v>0</v>
      </c>
      <c r="P1914" s="21" cm="1">
        <f t="array" aca="1" ref="P1914" ca="1">INDIRECT("Data!J" &amp; 1909)</f>
        <v>0</v>
      </c>
      <c r="Q1914" cm="1">
        <f t="array" aca="1" ref="Q1914" ca="1">INDIRECT("Data!K" &amp; 1909)</f>
        <v>0</v>
      </c>
      <c r="R1914" cm="1">
        <f t="array" aca="1" ref="R1914" ca="1">INDIRECT("Data!L" &amp; 1909)</f>
        <v>0</v>
      </c>
      <c r="S1914" cm="1">
        <f t="array" aca="1" ref="S1914" ca="1">INDIRECT("Data!M" &amp; 1909)</f>
        <v>0</v>
      </c>
      <c r="T1914" cm="1">
        <f t="array" aca="1" ref="T1914" ca="1">INDIRECT("Data!N" &amp; 1909)</f>
        <v>0</v>
      </c>
      <c r="U1914" cm="1">
        <f t="array" aca="1" ref="U1914" ca="1">INDIRECT("Data!O" &amp; 1909)</f>
        <v>0</v>
      </c>
      <c r="V1914" cm="1">
        <f t="array" aca="1" ref="V1914" ca="1">INDIRECT("Data!P" &amp; 1909)</f>
        <v>0</v>
      </c>
    </row>
    <row r="1915" spans="7:22" x14ac:dyDescent="0.25">
      <c r="G1915" cm="1">
        <f t="array" aca="1" ref="G1915" ca="1">INDIRECT("Data!A" &amp; 1910)</f>
        <v>0</v>
      </c>
      <c r="H1915" s="21" cm="1">
        <f t="array" aca="1" ref="H1915" ca="1">INDIRECT("Data!B" &amp; 1910)</f>
        <v>0</v>
      </c>
      <c r="I1915" s="21" cm="1">
        <f t="array" aca="1" ref="I1915" ca="1">INDIRECT("Data!C" &amp; 1910)</f>
        <v>0</v>
      </c>
      <c r="J1915" cm="1">
        <f t="array" aca="1" ref="J1915" ca="1">INDIRECT("Data!D" &amp; 1910)</f>
        <v>0</v>
      </c>
      <c r="K1915" cm="1">
        <f t="array" aca="1" ref="K1915" ca="1">INDIRECT("Data!E" &amp; 1910)</f>
        <v>0</v>
      </c>
      <c r="L1915" cm="1">
        <f t="array" aca="1" ref="L1915" ca="1">INDIRECT("Data!F" &amp; 1910)</f>
        <v>0</v>
      </c>
      <c r="M1915" cm="1">
        <f t="array" aca="1" ref="M1915" ca="1">INDIRECT("Data!G" &amp; 1910)</f>
        <v>0</v>
      </c>
      <c r="N1915" cm="1">
        <f t="array" aca="1" ref="N1915" ca="1">INDIRECT("Data!H" &amp; 1910)</f>
        <v>0</v>
      </c>
      <c r="O1915" cm="1">
        <f t="array" aca="1" ref="O1915" ca="1">INDIRECT("Data!I" &amp; 1910)</f>
        <v>0</v>
      </c>
      <c r="P1915" s="21" cm="1">
        <f t="array" aca="1" ref="P1915" ca="1">INDIRECT("Data!J" &amp; 1910)</f>
        <v>0</v>
      </c>
      <c r="Q1915" cm="1">
        <f t="array" aca="1" ref="Q1915" ca="1">INDIRECT("Data!K" &amp; 1910)</f>
        <v>0</v>
      </c>
      <c r="R1915" cm="1">
        <f t="array" aca="1" ref="R1915" ca="1">INDIRECT("Data!L" &amp; 1910)</f>
        <v>0</v>
      </c>
      <c r="S1915" cm="1">
        <f t="array" aca="1" ref="S1915" ca="1">INDIRECT("Data!M" &amp; 1910)</f>
        <v>0</v>
      </c>
      <c r="T1915" cm="1">
        <f t="array" aca="1" ref="T1915" ca="1">INDIRECT("Data!N" &amp; 1910)</f>
        <v>0</v>
      </c>
      <c r="U1915" cm="1">
        <f t="array" aca="1" ref="U1915" ca="1">INDIRECT("Data!O" &amp; 1910)</f>
        <v>0</v>
      </c>
      <c r="V1915" cm="1">
        <f t="array" aca="1" ref="V1915" ca="1">INDIRECT("Data!P" &amp; 1910)</f>
        <v>0</v>
      </c>
    </row>
    <row r="1916" spans="7:22" x14ac:dyDescent="0.25">
      <c r="G1916" cm="1">
        <f t="array" aca="1" ref="G1916" ca="1">INDIRECT("Data!A" &amp; 1911)</f>
        <v>0</v>
      </c>
      <c r="H1916" s="21" cm="1">
        <f t="array" aca="1" ref="H1916" ca="1">INDIRECT("Data!B" &amp; 1911)</f>
        <v>0</v>
      </c>
      <c r="I1916" s="21" cm="1">
        <f t="array" aca="1" ref="I1916" ca="1">INDIRECT("Data!C" &amp; 1911)</f>
        <v>0</v>
      </c>
      <c r="J1916" cm="1">
        <f t="array" aca="1" ref="J1916" ca="1">INDIRECT("Data!D" &amp; 1911)</f>
        <v>0</v>
      </c>
      <c r="K1916" cm="1">
        <f t="array" aca="1" ref="K1916" ca="1">INDIRECT("Data!E" &amp; 1911)</f>
        <v>0</v>
      </c>
      <c r="L1916" cm="1">
        <f t="array" aca="1" ref="L1916" ca="1">INDIRECT("Data!F" &amp; 1911)</f>
        <v>0</v>
      </c>
      <c r="M1916" cm="1">
        <f t="array" aca="1" ref="M1916" ca="1">INDIRECT("Data!G" &amp; 1911)</f>
        <v>0</v>
      </c>
      <c r="N1916" cm="1">
        <f t="array" aca="1" ref="N1916" ca="1">INDIRECT("Data!H" &amp; 1911)</f>
        <v>0</v>
      </c>
      <c r="O1916" cm="1">
        <f t="array" aca="1" ref="O1916" ca="1">INDIRECT("Data!I" &amp; 1911)</f>
        <v>0</v>
      </c>
      <c r="P1916" s="21" cm="1">
        <f t="array" aca="1" ref="P1916" ca="1">INDIRECT("Data!J" &amp; 1911)</f>
        <v>0</v>
      </c>
      <c r="Q1916" cm="1">
        <f t="array" aca="1" ref="Q1916" ca="1">INDIRECT("Data!K" &amp; 1911)</f>
        <v>0</v>
      </c>
      <c r="R1916" cm="1">
        <f t="array" aca="1" ref="R1916" ca="1">INDIRECT("Data!L" &amp; 1911)</f>
        <v>0</v>
      </c>
      <c r="S1916" cm="1">
        <f t="array" aca="1" ref="S1916" ca="1">INDIRECT("Data!M" &amp; 1911)</f>
        <v>0</v>
      </c>
      <c r="T1916" cm="1">
        <f t="array" aca="1" ref="T1916" ca="1">INDIRECT("Data!N" &amp; 1911)</f>
        <v>0</v>
      </c>
      <c r="U1916" cm="1">
        <f t="array" aca="1" ref="U1916" ca="1">INDIRECT("Data!O" &amp; 1911)</f>
        <v>0</v>
      </c>
      <c r="V1916" cm="1">
        <f t="array" aca="1" ref="V1916" ca="1">INDIRECT("Data!P" &amp; 1911)</f>
        <v>0</v>
      </c>
    </row>
    <row r="1917" spans="7:22" x14ac:dyDescent="0.25">
      <c r="G1917" cm="1">
        <f t="array" aca="1" ref="G1917" ca="1">INDIRECT("Data!A" &amp; 1912)</f>
        <v>0</v>
      </c>
      <c r="H1917" s="21" cm="1">
        <f t="array" aca="1" ref="H1917" ca="1">INDIRECT("Data!B" &amp; 1912)</f>
        <v>0</v>
      </c>
      <c r="I1917" s="21" cm="1">
        <f t="array" aca="1" ref="I1917" ca="1">INDIRECT("Data!C" &amp; 1912)</f>
        <v>0</v>
      </c>
      <c r="J1917" cm="1">
        <f t="array" aca="1" ref="J1917" ca="1">INDIRECT("Data!D" &amp; 1912)</f>
        <v>0</v>
      </c>
      <c r="K1917" cm="1">
        <f t="array" aca="1" ref="K1917" ca="1">INDIRECT("Data!E" &amp; 1912)</f>
        <v>0</v>
      </c>
      <c r="L1917" cm="1">
        <f t="array" aca="1" ref="L1917" ca="1">INDIRECT("Data!F" &amp; 1912)</f>
        <v>0</v>
      </c>
      <c r="M1917" cm="1">
        <f t="array" aca="1" ref="M1917" ca="1">INDIRECT("Data!G" &amp; 1912)</f>
        <v>0</v>
      </c>
      <c r="N1917" cm="1">
        <f t="array" aca="1" ref="N1917" ca="1">INDIRECT("Data!H" &amp; 1912)</f>
        <v>0</v>
      </c>
      <c r="O1917" cm="1">
        <f t="array" aca="1" ref="O1917" ca="1">INDIRECT("Data!I" &amp; 1912)</f>
        <v>0</v>
      </c>
      <c r="P1917" s="21" cm="1">
        <f t="array" aca="1" ref="P1917" ca="1">INDIRECT("Data!J" &amp; 1912)</f>
        <v>0</v>
      </c>
      <c r="Q1917" cm="1">
        <f t="array" aca="1" ref="Q1917" ca="1">INDIRECT("Data!K" &amp; 1912)</f>
        <v>0</v>
      </c>
      <c r="R1917" cm="1">
        <f t="array" aca="1" ref="R1917" ca="1">INDIRECT("Data!L" &amp; 1912)</f>
        <v>0</v>
      </c>
      <c r="S1917" cm="1">
        <f t="array" aca="1" ref="S1917" ca="1">INDIRECT("Data!M" &amp; 1912)</f>
        <v>0</v>
      </c>
      <c r="T1917" cm="1">
        <f t="array" aca="1" ref="T1917" ca="1">INDIRECT("Data!N" &amp; 1912)</f>
        <v>0</v>
      </c>
      <c r="U1917" cm="1">
        <f t="array" aca="1" ref="U1917" ca="1">INDIRECT("Data!O" &amp; 1912)</f>
        <v>0</v>
      </c>
      <c r="V1917" cm="1">
        <f t="array" aca="1" ref="V1917" ca="1">INDIRECT("Data!P" &amp; 1912)</f>
        <v>0</v>
      </c>
    </row>
    <row r="1918" spans="7:22" x14ac:dyDescent="0.25">
      <c r="G1918" cm="1">
        <f t="array" aca="1" ref="G1918" ca="1">INDIRECT("Data!A" &amp; 1913)</f>
        <v>0</v>
      </c>
      <c r="H1918" s="21" cm="1">
        <f t="array" aca="1" ref="H1918" ca="1">INDIRECT("Data!B" &amp; 1913)</f>
        <v>0</v>
      </c>
      <c r="I1918" s="21" cm="1">
        <f t="array" aca="1" ref="I1918" ca="1">INDIRECT("Data!C" &amp; 1913)</f>
        <v>0</v>
      </c>
      <c r="J1918" cm="1">
        <f t="array" aca="1" ref="J1918" ca="1">INDIRECT("Data!D" &amp; 1913)</f>
        <v>0</v>
      </c>
      <c r="K1918" cm="1">
        <f t="array" aca="1" ref="K1918" ca="1">INDIRECT("Data!E" &amp; 1913)</f>
        <v>0</v>
      </c>
      <c r="L1918" cm="1">
        <f t="array" aca="1" ref="L1918" ca="1">INDIRECT("Data!F" &amp; 1913)</f>
        <v>0</v>
      </c>
      <c r="M1918" cm="1">
        <f t="array" aca="1" ref="M1918" ca="1">INDIRECT("Data!G" &amp; 1913)</f>
        <v>0</v>
      </c>
      <c r="N1918" cm="1">
        <f t="array" aca="1" ref="N1918" ca="1">INDIRECT("Data!H" &amp; 1913)</f>
        <v>0</v>
      </c>
      <c r="O1918" cm="1">
        <f t="array" aca="1" ref="O1918" ca="1">INDIRECT("Data!I" &amp; 1913)</f>
        <v>0</v>
      </c>
      <c r="P1918" s="21" cm="1">
        <f t="array" aca="1" ref="P1918" ca="1">INDIRECT("Data!J" &amp; 1913)</f>
        <v>0</v>
      </c>
      <c r="Q1918" cm="1">
        <f t="array" aca="1" ref="Q1918" ca="1">INDIRECT("Data!K" &amp; 1913)</f>
        <v>0</v>
      </c>
      <c r="R1918" cm="1">
        <f t="array" aca="1" ref="R1918" ca="1">INDIRECT("Data!L" &amp; 1913)</f>
        <v>0</v>
      </c>
      <c r="S1918" cm="1">
        <f t="array" aca="1" ref="S1918" ca="1">INDIRECT("Data!M" &amp; 1913)</f>
        <v>0</v>
      </c>
      <c r="T1918" cm="1">
        <f t="array" aca="1" ref="T1918" ca="1">INDIRECT("Data!N" &amp; 1913)</f>
        <v>0</v>
      </c>
      <c r="U1918" cm="1">
        <f t="array" aca="1" ref="U1918" ca="1">INDIRECT("Data!O" &amp; 1913)</f>
        <v>0</v>
      </c>
      <c r="V1918" cm="1">
        <f t="array" aca="1" ref="V1918" ca="1">INDIRECT("Data!P" &amp; 1913)</f>
        <v>0</v>
      </c>
    </row>
    <row r="1919" spans="7:22" x14ac:dyDescent="0.25">
      <c r="G1919" cm="1">
        <f t="array" aca="1" ref="G1919" ca="1">INDIRECT("Data!A"&amp; 1914)</f>
        <v>0</v>
      </c>
      <c r="H1919" s="21" cm="1">
        <f t="array" aca="1" ref="H1919" ca="1">INDIRECT("Data!B"&amp; 1914)</f>
        <v>0</v>
      </c>
      <c r="I1919" s="21" cm="1">
        <f t="array" aca="1" ref="I1919" ca="1">INDIRECT("Data!C"&amp; 1914)</f>
        <v>0</v>
      </c>
      <c r="J1919" cm="1">
        <f t="array" aca="1" ref="J1919" ca="1">INDIRECT("Data!D"&amp; 1914)</f>
        <v>0</v>
      </c>
      <c r="K1919" cm="1">
        <f t="array" aca="1" ref="K1919" ca="1">INDIRECT("Data!E"&amp; 1914)</f>
        <v>0</v>
      </c>
      <c r="L1919" cm="1">
        <f t="array" aca="1" ref="L1919" ca="1">INDIRECT("Data!F"&amp; 1914)</f>
        <v>0</v>
      </c>
      <c r="M1919" cm="1">
        <f t="array" aca="1" ref="M1919" ca="1">INDIRECT("Data!G"&amp; 1914)</f>
        <v>0</v>
      </c>
      <c r="N1919" cm="1">
        <f t="array" aca="1" ref="N1919" ca="1">INDIRECT("Data!H"&amp; 1914)</f>
        <v>0</v>
      </c>
      <c r="O1919" cm="1">
        <f t="array" aca="1" ref="O1919" ca="1">INDIRECT("Data!I"&amp; 1914)</f>
        <v>0</v>
      </c>
      <c r="P1919" s="21" cm="1">
        <f t="array" aca="1" ref="P1919" ca="1">INDIRECT("Data!J"&amp; 1914)</f>
        <v>0</v>
      </c>
      <c r="Q1919" cm="1">
        <f t="array" aca="1" ref="Q1919" ca="1">INDIRECT("Data!K"&amp; 1914)</f>
        <v>0</v>
      </c>
      <c r="R1919" cm="1">
        <f t="array" aca="1" ref="R1919" ca="1">INDIRECT("Data!L"&amp; 1914)</f>
        <v>0</v>
      </c>
      <c r="S1919" cm="1">
        <f t="array" aca="1" ref="S1919" ca="1">INDIRECT("Data!M"&amp; 1914)</f>
        <v>0</v>
      </c>
      <c r="T1919" cm="1">
        <f t="array" aca="1" ref="T1919" ca="1">INDIRECT("Data!N"&amp; 1914)</f>
        <v>0</v>
      </c>
      <c r="U1919" cm="1">
        <f t="array" aca="1" ref="U1919" ca="1">INDIRECT("Data!O"&amp; 1914)</f>
        <v>0</v>
      </c>
      <c r="V1919" cm="1">
        <f t="array" aca="1" ref="V1919" ca="1">INDIRECT("Data!P"&amp; 1914)</f>
        <v>0</v>
      </c>
    </row>
    <row r="1920" spans="7:22" x14ac:dyDescent="0.25">
      <c r="G1920" cm="1">
        <f t="array" aca="1" ref="G1920" ca="1">INDIRECT("Data!A" &amp; 1915)</f>
        <v>0</v>
      </c>
      <c r="H1920" s="21" cm="1">
        <f t="array" aca="1" ref="H1920" ca="1">INDIRECT("Data!B" &amp; 1915)</f>
        <v>0</v>
      </c>
      <c r="I1920" s="21" cm="1">
        <f t="array" aca="1" ref="I1920" ca="1">INDIRECT("Data!C" &amp; 1915)</f>
        <v>0</v>
      </c>
      <c r="J1920" cm="1">
        <f t="array" aca="1" ref="J1920" ca="1">INDIRECT("Data!D" &amp; 1915)</f>
        <v>0</v>
      </c>
      <c r="K1920" cm="1">
        <f t="array" aca="1" ref="K1920" ca="1">INDIRECT("Data!E" &amp; 1915)</f>
        <v>0</v>
      </c>
      <c r="L1920" cm="1">
        <f t="array" aca="1" ref="L1920" ca="1">INDIRECT("Data!F" &amp; 1915)</f>
        <v>0</v>
      </c>
      <c r="M1920" cm="1">
        <f t="array" aca="1" ref="M1920" ca="1">INDIRECT("Data!G" &amp; 1915)</f>
        <v>0</v>
      </c>
      <c r="N1920" cm="1">
        <f t="array" aca="1" ref="N1920" ca="1">INDIRECT("Data!H" &amp; 1915)</f>
        <v>0</v>
      </c>
      <c r="O1920" cm="1">
        <f t="array" aca="1" ref="O1920" ca="1">INDIRECT("Data!I" &amp; 1915)</f>
        <v>0</v>
      </c>
      <c r="P1920" s="21" cm="1">
        <f t="array" aca="1" ref="P1920" ca="1">INDIRECT("Data!J" &amp; 1915)</f>
        <v>0</v>
      </c>
      <c r="Q1920" cm="1">
        <f t="array" aca="1" ref="Q1920" ca="1">INDIRECT("Data!K" &amp; 1915)</f>
        <v>0</v>
      </c>
      <c r="R1920" cm="1">
        <f t="array" aca="1" ref="R1920" ca="1">INDIRECT("Data!L" &amp; 1915)</f>
        <v>0</v>
      </c>
      <c r="S1920" cm="1">
        <f t="array" aca="1" ref="S1920" ca="1">INDIRECT("Data!M" &amp; 1915)</f>
        <v>0</v>
      </c>
      <c r="T1920" cm="1">
        <f t="array" aca="1" ref="T1920" ca="1">INDIRECT("Data!N" &amp; 1915)</f>
        <v>0</v>
      </c>
      <c r="U1920" cm="1">
        <f t="array" aca="1" ref="U1920" ca="1">INDIRECT("Data!O" &amp; 1915)</f>
        <v>0</v>
      </c>
      <c r="V1920" cm="1">
        <f t="array" aca="1" ref="V1920" ca="1">INDIRECT("Data!P" &amp; 1915)</f>
        <v>0</v>
      </c>
    </row>
    <row r="1921" spans="7:22" x14ac:dyDescent="0.25">
      <c r="G1921" cm="1">
        <f t="array" aca="1" ref="G1921" ca="1">INDIRECT("Data!A" &amp; 1916)</f>
        <v>0</v>
      </c>
      <c r="H1921" s="21" cm="1">
        <f t="array" aca="1" ref="H1921" ca="1">INDIRECT("Data!B" &amp; 1916)</f>
        <v>0</v>
      </c>
      <c r="I1921" s="21" cm="1">
        <f t="array" aca="1" ref="I1921" ca="1">INDIRECT("Data!C" &amp; 1916)</f>
        <v>0</v>
      </c>
      <c r="J1921" cm="1">
        <f t="array" aca="1" ref="J1921" ca="1">INDIRECT("Data!D" &amp; 1916)</f>
        <v>0</v>
      </c>
      <c r="K1921" cm="1">
        <f t="array" aca="1" ref="K1921" ca="1">INDIRECT("Data!E" &amp; 1916)</f>
        <v>0</v>
      </c>
      <c r="L1921" cm="1">
        <f t="array" aca="1" ref="L1921" ca="1">INDIRECT("Data!F" &amp; 1916)</f>
        <v>0</v>
      </c>
      <c r="M1921" cm="1">
        <f t="array" aca="1" ref="M1921" ca="1">INDIRECT("Data!G" &amp; 1916)</f>
        <v>0</v>
      </c>
      <c r="N1921" cm="1">
        <f t="array" aca="1" ref="N1921" ca="1">INDIRECT("Data!H" &amp; 1916)</f>
        <v>0</v>
      </c>
      <c r="O1921" cm="1">
        <f t="array" aca="1" ref="O1921" ca="1">INDIRECT("Data!I" &amp; 1916)</f>
        <v>0</v>
      </c>
      <c r="P1921" s="21" cm="1">
        <f t="array" aca="1" ref="P1921" ca="1">INDIRECT("Data!J" &amp; 1916)</f>
        <v>0</v>
      </c>
      <c r="Q1921" cm="1">
        <f t="array" aca="1" ref="Q1921" ca="1">INDIRECT("Data!K" &amp; 1916)</f>
        <v>0</v>
      </c>
      <c r="R1921" cm="1">
        <f t="array" aca="1" ref="R1921" ca="1">INDIRECT("Data!L" &amp; 1916)</f>
        <v>0</v>
      </c>
      <c r="S1921" cm="1">
        <f t="array" aca="1" ref="S1921" ca="1">INDIRECT("Data!M" &amp; 1916)</f>
        <v>0</v>
      </c>
      <c r="T1921" cm="1">
        <f t="array" aca="1" ref="T1921" ca="1">INDIRECT("Data!N" &amp; 1916)</f>
        <v>0</v>
      </c>
      <c r="U1921" cm="1">
        <f t="array" aca="1" ref="U1921" ca="1">INDIRECT("Data!O" &amp; 1916)</f>
        <v>0</v>
      </c>
      <c r="V1921" cm="1">
        <f t="array" aca="1" ref="V1921" ca="1">INDIRECT("Data!P" &amp; 1916)</f>
        <v>0</v>
      </c>
    </row>
    <row r="1922" spans="7:22" x14ac:dyDescent="0.25">
      <c r="G1922" cm="1">
        <f t="array" aca="1" ref="G1922" ca="1">INDIRECT("Data!A" &amp; 1917)</f>
        <v>0</v>
      </c>
      <c r="H1922" s="21" cm="1">
        <f t="array" aca="1" ref="H1922" ca="1">INDIRECT("Data!B" &amp; 1917)</f>
        <v>0</v>
      </c>
      <c r="I1922" s="21" cm="1">
        <f t="array" aca="1" ref="I1922" ca="1">INDIRECT("Data!C" &amp; 1917)</f>
        <v>0</v>
      </c>
      <c r="J1922" cm="1">
        <f t="array" aca="1" ref="J1922" ca="1">INDIRECT("Data!D" &amp; 1917)</f>
        <v>0</v>
      </c>
      <c r="K1922" cm="1">
        <f t="array" aca="1" ref="K1922" ca="1">INDIRECT("Data!E" &amp; 1917)</f>
        <v>0</v>
      </c>
      <c r="L1922" cm="1">
        <f t="array" aca="1" ref="L1922" ca="1">INDIRECT("Data!F" &amp; 1917)</f>
        <v>0</v>
      </c>
      <c r="M1922" cm="1">
        <f t="array" aca="1" ref="M1922" ca="1">INDIRECT("Data!G" &amp; 1917)</f>
        <v>0</v>
      </c>
      <c r="N1922" cm="1">
        <f t="array" aca="1" ref="N1922" ca="1">INDIRECT("Data!H" &amp; 1917)</f>
        <v>0</v>
      </c>
      <c r="O1922" cm="1">
        <f t="array" aca="1" ref="O1922" ca="1">INDIRECT("Data!I" &amp; 1917)</f>
        <v>0</v>
      </c>
      <c r="P1922" s="21" cm="1">
        <f t="array" aca="1" ref="P1922" ca="1">INDIRECT("Data!J" &amp; 1917)</f>
        <v>0</v>
      </c>
      <c r="Q1922" cm="1">
        <f t="array" aca="1" ref="Q1922" ca="1">INDIRECT("Data!K" &amp; 1917)</f>
        <v>0</v>
      </c>
      <c r="R1922" cm="1">
        <f t="array" aca="1" ref="R1922" ca="1">INDIRECT("Data!L" &amp; 1917)</f>
        <v>0</v>
      </c>
      <c r="S1922" cm="1">
        <f t="array" aca="1" ref="S1922" ca="1">INDIRECT("Data!M" &amp; 1917)</f>
        <v>0</v>
      </c>
      <c r="T1922" cm="1">
        <f t="array" aca="1" ref="T1922" ca="1">INDIRECT("Data!N" &amp; 1917)</f>
        <v>0</v>
      </c>
      <c r="U1922" cm="1">
        <f t="array" aca="1" ref="U1922" ca="1">INDIRECT("Data!O" &amp; 1917)</f>
        <v>0</v>
      </c>
      <c r="V1922" cm="1">
        <f t="array" aca="1" ref="V1922" ca="1">INDIRECT("Data!P" &amp; 1917)</f>
        <v>0</v>
      </c>
    </row>
    <row r="1923" spans="7:22" x14ac:dyDescent="0.25">
      <c r="G1923" cm="1">
        <f t="array" aca="1" ref="G1923" ca="1">INDIRECT("Data!A" &amp; 1918)</f>
        <v>0</v>
      </c>
      <c r="H1923" s="21" cm="1">
        <f t="array" aca="1" ref="H1923" ca="1">INDIRECT("Data!B" &amp; 1918)</f>
        <v>0</v>
      </c>
      <c r="I1923" s="21" cm="1">
        <f t="array" aca="1" ref="I1923" ca="1">INDIRECT("Data!C" &amp; 1918)</f>
        <v>0</v>
      </c>
      <c r="J1923" cm="1">
        <f t="array" aca="1" ref="J1923" ca="1">INDIRECT("Data!D" &amp; 1918)</f>
        <v>0</v>
      </c>
      <c r="K1923" cm="1">
        <f t="array" aca="1" ref="K1923" ca="1">INDIRECT("Data!E" &amp; 1918)</f>
        <v>0</v>
      </c>
      <c r="L1923" cm="1">
        <f t="array" aca="1" ref="L1923" ca="1">INDIRECT("Data!F" &amp; 1918)</f>
        <v>0</v>
      </c>
      <c r="M1923" cm="1">
        <f t="array" aca="1" ref="M1923" ca="1">INDIRECT("Data!G" &amp; 1918)</f>
        <v>0</v>
      </c>
      <c r="N1923" cm="1">
        <f t="array" aca="1" ref="N1923" ca="1">INDIRECT("Data!H" &amp; 1918)</f>
        <v>0</v>
      </c>
      <c r="O1923" cm="1">
        <f t="array" aca="1" ref="O1923" ca="1">INDIRECT("Data!I" &amp; 1918)</f>
        <v>0</v>
      </c>
      <c r="P1923" s="21" cm="1">
        <f t="array" aca="1" ref="P1923" ca="1">INDIRECT("Data!J" &amp; 1918)</f>
        <v>0</v>
      </c>
      <c r="Q1923" cm="1">
        <f t="array" aca="1" ref="Q1923" ca="1">INDIRECT("Data!K" &amp; 1918)</f>
        <v>0</v>
      </c>
      <c r="R1923" cm="1">
        <f t="array" aca="1" ref="R1923" ca="1">INDIRECT("Data!L" &amp; 1918)</f>
        <v>0</v>
      </c>
      <c r="S1923" cm="1">
        <f t="array" aca="1" ref="S1923" ca="1">INDIRECT("Data!M" &amp; 1918)</f>
        <v>0</v>
      </c>
      <c r="T1923" cm="1">
        <f t="array" aca="1" ref="T1923" ca="1">INDIRECT("Data!N" &amp; 1918)</f>
        <v>0</v>
      </c>
      <c r="U1923" cm="1">
        <f t="array" aca="1" ref="U1923" ca="1">INDIRECT("Data!O" &amp; 1918)</f>
        <v>0</v>
      </c>
      <c r="V1923" cm="1">
        <f t="array" aca="1" ref="V1923" ca="1">INDIRECT("Data!P" &amp; 1918)</f>
        <v>0</v>
      </c>
    </row>
    <row r="1924" spans="7:22" x14ac:dyDescent="0.25">
      <c r="G1924" cm="1">
        <f t="array" aca="1" ref="G1924" ca="1">INDIRECT("Data!A" &amp; 1919)</f>
        <v>0</v>
      </c>
      <c r="H1924" s="21" cm="1">
        <f t="array" aca="1" ref="H1924" ca="1">INDIRECT("Data!B" &amp; 1919)</f>
        <v>0</v>
      </c>
      <c r="I1924" s="21" cm="1">
        <f t="array" aca="1" ref="I1924" ca="1">INDIRECT("Data!C" &amp; 1919)</f>
        <v>0</v>
      </c>
      <c r="J1924" cm="1">
        <f t="array" aca="1" ref="J1924" ca="1">INDIRECT("Data!D" &amp; 1919)</f>
        <v>0</v>
      </c>
      <c r="K1924" cm="1">
        <f t="array" aca="1" ref="K1924" ca="1">INDIRECT("Data!E" &amp; 1919)</f>
        <v>0</v>
      </c>
      <c r="L1924" cm="1">
        <f t="array" aca="1" ref="L1924" ca="1">INDIRECT("Data!F" &amp; 1919)</f>
        <v>0</v>
      </c>
      <c r="M1924" cm="1">
        <f t="array" aca="1" ref="M1924" ca="1">INDIRECT("Data!G" &amp; 1919)</f>
        <v>0</v>
      </c>
      <c r="N1924" cm="1">
        <f t="array" aca="1" ref="N1924" ca="1">INDIRECT("Data!H" &amp; 1919)</f>
        <v>0</v>
      </c>
      <c r="O1924" cm="1">
        <f t="array" aca="1" ref="O1924" ca="1">INDIRECT("Data!I" &amp; 1919)</f>
        <v>0</v>
      </c>
      <c r="P1924" s="21" cm="1">
        <f t="array" aca="1" ref="P1924" ca="1">INDIRECT("Data!J" &amp; 1919)</f>
        <v>0</v>
      </c>
      <c r="Q1924" cm="1">
        <f t="array" aca="1" ref="Q1924" ca="1">INDIRECT("Data!K" &amp; 1919)</f>
        <v>0</v>
      </c>
      <c r="R1924" cm="1">
        <f t="array" aca="1" ref="R1924" ca="1">INDIRECT("Data!L" &amp; 1919)</f>
        <v>0</v>
      </c>
      <c r="S1924" cm="1">
        <f t="array" aca="1" ref="S1924" ca="1">INDIRECT("Data!M" &amp; 1919)</f>
        <v>0</v>
      </c>
      <c r="T1924" cm="1">
        <f t="array" aca="1" ref="T1924" ca="1">INDIRECT("Data!N" &amp; 1919)</f>
        <v>0</v>
      </c>
      <c r="U1924" cm="1">
        <f t="array" aca="1" ref="U1924" ca="1">INDIRECT("Data!O" &amp; 1919)</f>
        <v>0</v>
      </c>
      <c r="V1924" cm="1">
        <f t="array" aca="1" ref="V1924" ca="1">INDIRECT("Data!P" &amp; 1919)</f>
        <v>0</v>
      </c>
    </row>
    <row r="1925" spans="7:22" x14ac:dyDescent="0.25">
      <c r="G1925" cm="1">
        <f t="array" aca="1" ref="G1925" ca="1">INDIRECT("Data!A" &amp; 1920)</f>
        <v>0</v>
      </c>
      <c r="H1925" s="21" cm="1">
        <f t="array" aca="1" ref="H1925" ca="1">INDIRECT("Data!B" &amp; 1920)</f>
        <v>0</v>
      </c>
      <c r="I1925" s="21" cm="1">
        <f t="array" aca="1" ref="I1925" ca="1">INDIRECT("Data!C" &amp; 1920)</f>
        <v>0</v>
      </c>
      <c r="J1925" cm="1">
        <f t="array" aca="1" ref="J1925" ca="1">INDIRECT("Data!D" &amp; 1920)</f>
        <v>0</v>
      </c>
      <c r="K1925" cm="1">
        <f t="array" aca="1" ref="K1925" ca="1">INDIRECT("Data!E" &amp; 1920)</f>
        <v>0</v>
      </c>
      <c r="L1925" cm="1">
        <f t="array" aca="1" ref="L1925" ca="1">INDIRECT("Data!F" &amp; 1920)</f>
        <v>0</v>
      </c>
      <c r="M1925" cm="1">
        <f t="array" aca="1" ref="M1925" ca="1">INDIRECT("Data!G" &amp; 1920)</f>
        <v>0</v>
      </c>
      <c r="N1925" cm="1">
        <f t="array" aca="1" ref="N1925" ca="1">INDIRECT("Data!H" &amp; 1920)</f>
        <v>0</v>
      </c>
      <c r="O1925" cm="1">
        <f t="array" aca="1" ref="O1925" ca="1">INDIRECT("Data!I" &amp; 1920)</f>
        <v>0</v>
      </c>
      <c r="P1925" s="21" cm="1">
        <f t="array" aca="1" ref="P1925" ca="1">INDIRECT("Data!J" &amp; 1920)</f>
        <v>0</v>
      </c>
      <c r="Q1925" cm="1">
        <f t="array" aca="1" ref="Q1925" ca="1">INDIRECT("Data!K" &amp; 1920)</f>
        <v>0</v>
      </c>
      <c r="R1925" cm="1">
        <f t="array" aca="1" ref="R1925" ca="1">INDIRECT("Data!L" &amp; 1920)</f>
        <v>0</v>
      </c>
      <c r="S1925" cm="1">
        <f t="array" aca="1" ref="S1925" ca="1">INDIRECT("Data!M" &amp; 1920)</f>
        <v>0</v>
      </c>
      <c r="T1925" cm="1">
        <f t="array" aca="1" ref="T1925" ca="1">INDIRECT("Data!N" &amp; 1920)</f>
        <v>0</v>
      </c>
      <c r="U1925" cm="1">
        <f t="array" aca="1" ref="U1925" ca="1">INDIRECT("Data!O" &amp; 1920)</f>
        <v>0</v>
      </c>
      <c r="V1925" cm="1">
        <f t="array" aca="1" ref="V1925" ca="1">INDIRECT("Data!P" &amp; 1920)</f>
        <v>0</v>
      </c>
    </row>
    <row r="1926" spans="7:22" x14ac:dyDescent="0.25">
      <c r="G1926" cm="1">
        <f t="array" aca="1" ref="G1926" ca="1">INDIRECT("Data!A" &amp; 1921)</f>
        <v>0</v>
      </c>
      <c r="H1926" s="21" cm="1">
        <f t="array" aca="1" ref="H1926" ca="1">INDIRECT("Data!B" &amp; 1921)</f>
        <v>0</v>
      </c>
      <c r="I1926" s="21" cm="1">
        <f t="array" aca="1" ref="I1926" ca="1">INDIRECT("Data!C" &amp; 1921)</f>
        <v>0</v>
      </c>
      <c r="J1926" cm="1">
        <f t="array" aca="1" ref="J1926" ca="1">INDIRECT("Data!D" &amp; 1921)</f>
        <v>0</v>
      </c>
      <c r="K1926" cm="1">
        <f t="array" aca="1" ref="K1926" ca="1">INDIRECT("Data!E" &amp; 1921)</f>
        <v>0</v>
      </c>
      <c r="L1926" cm="1">
        <f t="array" aca="1" ref="L1926" ca="1">INDIRECT("Data!F" &amp; 1921)</f>
        <v>0</v>
      </c>
      <c r="M1926" cm="1">
        <f t="array" aca="1" ref="M1926" ca="1">INDIRECT("Data!G" &amp; 1921)</f>
        <v>0</v>
      </c>
      <c r="N1926" cm="1">
        <f t="array" aca="1" ref="N1926" ca="1">INDIRECT("Data!H" &amp; 1921)</f>
        <v>0</v>
      </c>
      <c r="O1926" cm="1">
        <f t="array" aca="1" ref="O1926" ca="1">INDIRECT("Data!I" &amp; 1921)</f>
        <v>0</v>
      </c>
      <c r="P1926" s="21" cm="1">
        <f t="array" aca="1" ref="P1926" ca="1">INDIRECT("Data!J" &amp; 1921)</f>
        <v>0</v>
      </c>
      <c r="Q1926" cm="1">
        <f t="array" aca="1" ref="Q1926" ca="1">INDIRECT("Data!K" &amp; 1921)</f>
        <v>0</v>
      </c>
      <c r="R1926" cm="1">
        <f t="array" aca="1" ref="R1926" ca="1">INDIRECT("Data!L" &amp; 1921)</f>
        <v>0</v>
      </c>
      <c r="S1926" cm="1">
        <f t="array" aca="1" ref="S1926" ca="1">INDIRECT("Data!M" &amp; 1921)</f>
        <v>0</v>
      </c>
      <c r="T1926" cm="1">
        <f t="array" aca="1" ref="T1926" ca="1">INDIRECT("Data!N" &amp; 1921)</f>
        <v>0</v>
      </c>
      <c r="U1926" cm="1">
        <f t="array" aca="1" ref="U1926" ca="1">INDIRECT("Data!O" &amp; 1921)</f>
        <v>0</v>
      </c>
      <c r="V1926" cm="1">
        <f t="array" aca="1" ref="V1926" ca="1">INDIRECT("Data!P" &amp; 1921)</f>
        <v>0</v>
      </c>
    </row>
    <row r="1927" spans="7:22" x14ac:dyDescent="0.25">
      <c r="G1927" cm="1">
        <f t="array" aca="1" ref="G1927" ca="1">INDIRECT("Data!A" &amp; 1922)</f>
        <v>0</v>
      </c>
      <c r="H1927" s="21" cm="1">
        <f t="array" aca="1" ref="H1927" ca="1">INDIRECT("Data!B" &amp; 1922)</f>
        <v>0</v>
      </c>
      <c r="I1927" s="21" cm="1">
        <f t="array" aca="1" ref="I1927" ca="1">INDIRECT("Data!C" &amp; 1922)</f>
        <v>0</v>
      </c>
      <c r="J1927" cm="1">
        <f t="array" aca="1" ref="J1927" ca="1">INDIRECT("Data!D" &amp; 1922)</f>
        <v>0</v>
      </c>
      <c r="K1927" cm="1">
        <f t="array" aca="1" ref="K1927" ca="1">INDIRECT("Data!E" &amp; 1922)</f>
        <v>0</v>
      </c>
      <c r="L1927" cm="1">
        <f t="array" aca="1" ref="L1927" ca="1">INDIRECT("Data!F" &amp; 1922)</f>
        <v>0</v>
      </c>
      <c r="M1927" cm="1">
        <f t="array" aca="1" ref="M1927" ca="1">INDIRECT("Data!G" &amp; 1922)</f>
        <v>0</v>
      </c>
      <c r="N1927" cm="1">
        <f t="array" aca="1" ref="N1927" ca="1">INDIRECT("Data!H" &amp; 1922)</f>
        <v>0</v>
      </c>
      <c r="O1927" cm="1">
        <f t="array" aca="1" ref="O1927" ca="1">INDIRECT("Data!I" &amp; 1922)</f>
        <v>0</v>
      </c>
      <c r="P1927" s="21" cm="1">
        <f t="array" aca="1" ref="P1927" ca="1">INDIRECT("Data!J" &amp; 1922)</f>
        <v>0</v>
      </c>
      <c r="Q1927" cm="1">
        <f t="array" aca="1" ref="Q1927" ca="1">INDIRECT("Data!K" &amp; 1922)</f>
        <v>0</v>
      </c>
      <c r="R1927" cm="1">
        <f t="array" aca="1" ref="R1927" ca="1">INDIRECT("Data!L" &amp; 1922)</f>
        <v>0</v>
      </c>
      <c r="S1927" cm="1">
        <f t="array" aca="1" ref="S1927" ca="1">INDIRECT("Data!M" &amp; 1922)</f>
        <v>0</v>
      </c>
      <c r="T1927" cm="1">
        <f t="array" aca="1" ref="T1927" ca="1">INDIRECT("Data!N" &amp; 1922)</f>
        <v>0</v>
      </c>
      <c r="U1927" cm="1">
        <f t="array" aca="1" ref="U1927" ca="1">INDIRECT("Data!O" &amp; 1922)</f>
        <v>0</v>
      </c>
      <c r="V1927" cm="1">
        <f t="array" aca="1" ref="V1927" ca="1">INDIRECT("Data!P" &amp; 1922)</f>
        <v>0</v>
      </c>
    </row>
    <row r="1928" spans="7:22" x14ac:dyDescent="0.25">
      <c r="G1928" cm="1">
        <f t="array" aca="1" ref="G1928" ca="1">INDIRECT("Data!A" &amp; 1923)</f>
        <v>0</v>
      </c>
      <c r="H1928" s="21" cm="1">
        <f t="array" aca="1" ref="H1928" ca="1">INDIRECT("Data!B" &amp; 1923)</f>
        <v>0</v>
      </c>
      <c r="I1928" s="21" cm="1">
        <f t="array" aca="1" ref="I1928" ca="1">INDIRECT("Data!C" &amp; 1923)</f>
        <v>0</v>
      </c>
      <c r="J1928" cm="1">
        <f t="array" aca="1" ref="J1928" ca="1">INDIRECT("Data!D" &amp; 1923)</f>
        <v>0</v>
      </c>
      <c r="K1928" cm="1">
        <f t="array" aca="1" ref="K1928" ca="1">INDIRECT("Data!E" &amp; 1923)</f>
        <v>0</v>
      </c>
      <c r="L1928" cm="1">
        <f t="array" aca="1" ref="L1928" ca="1">INDIRECT("Data!F" &amp; 1923)</f>
        <v>0</v>
      </c>
      <c r="M1928" cm="1">
        <f t="array" aca="1" ref="M1928" ca="1">INDIRECT("Data!G" &amp; 1923)</f>
        <v>0</v>
      </c>
      <c r="N1928" cm="1">
        <f t="array" aca="1" ref="N1928" ca="1">INDIRECT("Data!H" &amp; 1923)</f>
        <v>0</v>
      </c>
      <c r="O1928" cm="1">
        <f t="array" aca="1" ref="O1928" ca="1">INDIRECT("Data!I" &amp; 1923)</f>
        <v>0</v>
      </c>
      <c r="P1928" s="21" cm="1">
        <f t="array" aca="1" ref="P1928" ca="1">INDIRECT("Data!J" &amp; 1923)</f>
        <v>0</v>
      </c>
      <c r="Q1928" cm="1">
        <f t="array" aca="1" ref="Q1928" ca="1">INDIRECT("Data!K" &amp; 1923)</f>
        <v>0</v>
      </c>
      <c r="R1928" cm="1">
        <f t="array" aca="1" ref="R1928" ca="1">INDIRECT("Data!L" &amp; 1923)</f>
        <v>0</v>
      </c>
      <c r="S1928" cm="1">
        <f t="array" aca="1" ref="S1928" ca="1">INDIRECT("Data!M" &amp; 1923)</f>
        <v>0</v>
      </c>
      <c r="T1928" cm="1">
        <f t="array" aca="1" ref="T1928" ca="1">INDIRECT("Data!N" &amp; 1923)</f>
        <v>0</v>
      </c>
      <c r="U1928" cm="1">
        <f t="array" aca="1" ref="U1928" ca="1">INDIRECT("Data!O" &amp; 1923)</f>
        <v>0</v>
      </c>
      <c r="V1928" cm="1">
        <f t="array" aca="1" ref="V1928" ca="1">INDIRECT("Data!P" &amp; 1923)</f>
        <v>0</v>
      </c>
    </row>
    <row r="1929" spans="7:22" x14ac:dyDescent="0.25">
      <c r="G1929" cm="1">
        <f t="array" aca="1" ref="G1929" ca="1">INDIRECT("Data!A" &amp; 1924)</f>
        <v>0</v>
      </c>
      <c r="H1929" s="21" cm="1">
        <f t="array" aca="1" ref="H1929" ca="1">INDIRECT("Data!B" &amp; 1924)</f>
        <v>0</v>
      </c>
      <c r="I1929" s="21" cm="1">
        <f t="array" aca="1" ref="I1929" ca="1">INDIRECT("Data!C" &amp; 1924)</f>
        <v>0</v>
      </c>
      <c r="J1929" cm="1">
        <f t="array" aca="1" ref="J1929" ca="1">INDIRECT("Data!D" &amp; 1924)</f>
        <v>0</v>
      </c>
      <c r="K1929" cm="1">
        <f t="array" aca="1" ref="K1929" ca="1">INDIRECT("Data!E" &amp; 1924)</f>
        <v>0</v>
      </c>
      <c r="L1929" cm="1">
        <f t="array" aca="1" ref="L1929" ca="1">INDIRECT("Data!F" &amp; 1924)</f>
        <v>0</v>
      </c>
      <c r="M1929" cm="1">
        <f t="array" aca="1" ref="M1929" ca="1">INDIRECT("Data!G" &amp; 1924)</f>
        <v>0</v>
      </c>
      <c r="N1929" cm="1">
        <f t="array" aca="1" ref="N1929" ca="1">INDIRECT("Data!H" &amp; 1924)</f>
        <v>0</v>
      </c>
      <c r="O1929" cm="1">
        <f t="array" aca="1" ref="O1929" ca="1">INDIRECT("Data!I" &amp; 1924)</f>
        <v>0</v>
      </c>
      <c r="P1929" s="21" cm="1">
        <f t="array" aca="1" ref="P1929" ca="1">INDIRECT("Data!J" &amp; 1924)</f>
        <v>0</v>
      </c>
      <c r="Q1929" cm="1">
        <f t="array" aca="1" ref="Q1929" ca="1">INDIRECT("Data!K" &amp; 1924)</f>
        <v>0</v>
      </c>
      <c r="R1929" cm="1">
        <f t="array" aca="1" ref="R1929" ca="1">INDIRECT("Data!L" &amp; 1924)</f>
        <v>0</v>
      </c>
      <c r="S1929" cm="1">
        <f t="array" aca="1" ref="S1929" ca="1">INDIRECT("Data!M" &amp; 1924)</f>
        <v>0</v>
      </c>
      <c r="T1929" cm="1">
        <f t="array" aca="1" ref="T1929" ca="1">INDIRECT("Data!N" &amp; 1924)</f>
        <v>0</v>
      </c>
      <c r="U1929" cm="1">
        <f t="array" aca="1" ref="U1929" ca="1">INDIRECT("Data!O" &amp; 1924)</f>
        <v>0</v>
      </c>
      <c r="V1929" cm="1">
        <f t="array" aca="1" ref="V1929" ca="1">INDIRECT("Data!P" &amp; 1924)</f>
        <v>0</v>
      </c>
    </row>
    <row r="1930" spans="7:22" x14ac:dyDescent="0.25">
      <c r="G1930" cm="1">
        <f t="array" aca="1" ref="G1930" ca="1">INDIRECT("Data!A" &amp; 1925)</f>
        <v>0</v>
      </c>
      <c r="H1930" s="21" cm="1">
        <f t="array" aca="1" ref="H1930" ca="1">INDIRECT("Data!B" &amp; 1925)</f>
        <v>0</v>
      </c>
      <c r="I1930" s="21" cm="1">
        <f t="array" aca="1" ref="I1930" ca="1">INDIRECT("Data!C" &amp; 1925)</f>
        <v>0</v>
      </c>
      <c r="J1930" cm="1">
        <f t="array" aca="1" ref="J1930" ca="1">INDIRECT("Data!D" &amp; 1925)</f>
        <v>0</v>
      </c>
      <c r="K1930" cm="1">
        <f t="array" aca="1" ref="K1930" ca="1">INDIRECT("Data!E" &amp; 1925)</f>
        <v>0</v>
      </c>
      <c r="L1930" cm="1">
        <f t="array" aca="1" ref="L1930" ca="1">INDIRECT("Data!F" &amp; 1925)</f>
        <v>0</v>
      </c>
      <c r="M1930" cm="1">
        <f t="array" aca="1" ref="M1930" ca="1">INDIRECT("Data!G" &amp; 1925)</f>
        <v>0</v>
      </c>
      <c r="N1930" cm="1">
        <f t="array" aca="1" ref="N1930" ca="1">INDIRECT("Data!H" &amp; 1925)</f>
        <v>0</v>
      </c>
      <c r="O1930" cm="1">
        <f t="array" aca="1" ref="O1930" ca="1">INDIRECT("Data!I" &amp; 1925)</f>
        <v>0</v>
      </c>
      <c r="P1930" s="21" cm="1">
        <f t="array" aca="1" ref="P1930" ca="1">INDIRECT("Data!J" &amp; 1925)</f>
        <v>0</v>
      </c>
      <c r="Q1930" cm="1">
        <f t="array" aca="1" ref="Q1930" ca="1">INDIRECT("Data!K" &amp; 1925)</f>
        <v>0</v>
      </c>
      <c r="R1930" cm="1">
        <f t="array" aca="1" ref="R1930" ca="1">INDIRECT("Data!L" &amp; 1925)</f>
        <v>0</v>
      </c>
      <c r="S1930" cm="1">
        <f t="array" aca="1" ref="S1930" ca="1">INDIRECT("Data!M" &amp; 1925)</f>
        <v>0</v>
      </c>
      <c r="T1930" cm="1">
        <f t="array" aca="1" ref="T1930" ca="1">INDIRECT("Data!N" &amp; 1925)</f>
        <v>0</v>
      </c>
      <c r="U1930" cm="1">
        <f t="array" aca="1" ref="U1930" ca="1">INDIRECT("Data!O" &amp; 1925)</f>
        <v>0</v>
      </c>
      <c r="V1930" cm="1">
        <f t="array" aca="1" ref="V1930" ca="1">INDIRECT("Data!P" &amp; 1925)</f>
        <v>0</v>
      </c>
    </row>
    <row r="1931" spans="7:22" x14ac:dyDescent="0.25">
      <c r="G1931" cm="1">
        <f t="array" aca="1" ref="G1931" ca="1">INDIRECT("Data!A" &amp; 1926)</f>
        <v>0</v>
      </c>
      <c r="H1931" s="21" cm="1">
        <f t="array" aca="1" ref="H1931" ca="1">INDIRECT("Data!B" &amp; 1926)</f>
        <v>0</v>
      </c>
      <c r="I1931" s="21" cm="1">
        <f t="array" aca="1" ref="I1931" ca="1">INDIRECT("Data!C" &amp; 1926)</f>
        <v>0</v>
      </c>
      <c r="J1931" cm="1">
        <f t="array" aca="1" ref="J1931" ca="1">INDIRECT("Data!D" &amp; 1926)</f>
        <v>0</v>
      </c>
      <c r="K1931" cm="1">
        <f t="array" aca="1" ref="K1931" ca="1">INDIRECT("Data!E" &amp; 1926)</f>
        <v>0</v>
      </c>
      <c r="L1931" cm="1">
        <f t="array" aca="1" ref="L1931" ca="1">INDIRECT("Data!F" &amp; 1926)</f>
        <v>0</v>
      </c>
      <c r="M1931" cm="1">
        <f t="array" aca="1" ref="M1931" ca="1">INDIRECT("Data!G" &amp; 1926)</f>
        <v>0</v>
      </c>
      <c r="N1931" cm="1">
        <f t="array" aca="1" ref="N1931" ca="1">INDIRECT("Data!H" &amp; 1926)</f>
        <v>0</v>
      </c>
      <c r="O1931" cm="1">
        <f t="array" aca="1" ref="O1931" ca="1">INDIRECT("Data!I" &amp; 1926)</f>
        <v>0</v>
      </c>
      <c r="P1931" s="21" cm="1">
        <f t="array" aca="1" ref="P1931" ca="1">INDIRECT("Data!J" &amp; 1926)</f>
        <v>0</v>
      </c>
      <c r="Q1931" cm="1">
        <f t="array" aca="1" ref="Q1931" ca="1">INDIRECT("Data!K" &amp; 1926)</f>
        <v>0</v>
      </c>
      <c r="R1931" cm="1">
        <f t="array" aca="1" ref="R1931" ca="1">INDIRECT("Data!L" &amp; 1926)</f>
        <v>0</v>
      </c>
      <c r="S1931" cm="1">
        <f t="array" aca="1" ref="S1931" ca="1">INDIRECT("Data!M" &amp; 1926)</f>
        <v>0</v>
      </c>
      <c r="T1931" cm="1">
        <f t="array" aca="1" ref="T1931" ca="1">INDIRECT("Data!N" &amp; 1926)</f>
        <v>0</v>
      </c>
      <c r="U1931" cm="1">
        <f t="array" aca="1" ref="U1931" ca="1">INDIRECT("Data!O" &amp; 1926)</f>
        <v>0</v>
      </c>
      <c r="V1931" cm="1">
        <f t="array" aca="1" ref="V1931" ca="1">INDIRECT("Data!P" &amp; 1926)</f>
        <v>0</v>
      </c>
    </row>
    <row r="1932" spans="7:22" x14ac:dyDescent="0.25">
      <c r="G1932" cm="1">
        <f t="array" aca="1" ref="G1932" ca="1">INDIRECT("Data!A" &amp; 1927)</f>
        <v>0</v>
      </c>
      <c r="H1932" s="21" cm="1">
        <f t="array" aca="1" ref="H1932" ca="1">INDIRECT("Data!B" &amp; 1927)</f>
        <v>0</v>
      </c>
      <c r="I1932" s="21" cm="1">
        <f t="array" aca="1" ref="I1932" ca="1">INDIRECT("Data!C" &amp; 1927)</f>
        <v>0</v>
      </c>
      <c r="J1932" cm="1">
        <f t="array" aca="1" ref="J1932" ca="1">INDIRECT("Data!D" &amp; 1927)</f>
        <v>0</v>
      </c>
      <c r="K1932" cm="1">
        <f t="array" aca="1" ref="K1932" ca="1">INDIRECT("Data!E" &amp; 1927)</f>
        <v>0</v>
      </c>
      <c r="L1932" cm="1">
        <f t="array" aca="1" ref="L1932" ca="1">INDIRECT("Data!F" &amp; 1927)</f>
        <v>0</v>
      </c>
      <c r="M1932" cm="1">
        <f t="array" aca="1" ref="M1932" ca="1">INDIRECT("Data!G" &amp; 1927)</f>
        <v>0</v>
      </c>
      <c r="N1932" cm="1">
        <f t="array" aca="1" ref="N1932" ca="1">INDIRECT("Data!H" &amp; 1927)</f>
        <v>0</v>
      </c>
      <c r="O1932" cm="1">
        <f t="array" aca="1" ref="O1932" ca="1">INDIRECT("Data!I" &amp; 1927)</f>
        <v>0</v>
      </c>
      <c r="P1932" s="21" cm="1">
        <f t="array" aca="1" ref="P1932" ca="1">INDIRECT("Data!J" &amp; 1927)</f>
        <v>0</v>
      </c>
      <c r="Q1932" cm="1">
        <f t="array" aca="1" ref="Q1932" ca="1">INDIRECT("Data!K" &amp; 1927)</f>
        <v>0</v>
      </c>
      <c r="R1932" cm="1">
        <f t="array" aca="1" ref="R1932" ca="1">INDIRECT("Data!L" &amp; 1927)</f>
        <v>0</v>
      </c>
      <c r="S1932" cm="1">
        <f t="array" aca="1" ref="S1932" ca="1">INDIRECT("Data!M" &amp; 1927)</f>
        <v>0</v>
      </c>
      <c r="T1932" cm="1">
        <f t="array" aca="1" ref="T1932" ca="1">INDIRECT("Data!N" &amp; 1927)</f>
        <v>0</v>
      </c>
      <c r="U1932" cm="1">
        <f t="array" aca="1" ref="U1932" ca="1">INDIRECT("Data!O" &amp; 1927)</f>
        <v>0</v>
      </c>
      <c r="V1932" cm="1">
        <f t="array" aca="1" ref="V1932" ca="1">INDIRECT("Data!P" &amp; 1927)</f>
        <v>0</v>
      </c>
    </row>
    <row r="1933" spans="7:22" x14ac:dyDescent="0.25">
      <c r="G1933" cm="1">
        <f t="array" aca="1" ref="G1933" ca="1">INDIRECT("Data!A" &amp; 1928)</f>
        <v>0</v>
      </c>
      <c r="H1933" s="21" cm="1">
        <f t="array" aca="1" ref="H1933" ca="1">INDIRECT("Data!B" &amp; 1928)</f>
        <v>0</v>
      </c>
      <c r="I1933" s="21" cm="1">
        <f t="array" aca="1" ref="I1933" ca="1">INDIRECT("Data!C" &amp; 1928)</f>
        <v>0</v>
      </c>
      <c r="J1933" cm="1">
        <f t="array" aca="1" ref="J1933" ca="1">INDIRECT("Data!D" &amp; 1928)</f>
        <v>0</v>
      </c>
      <c r="K1933" cm="1">
        <f t="array" aca="1" ref="K1933" ca="1">INDIRECT("Data!E" &amp; 1928)</f>
        <v>0</v>
      </c>
      <c r="L1933" cm="1">
        <f t="array" aca="1" ref="L1933" ca="1">INDIRECT("Data!F" &amp; 1928)</f>
        <v>0</v>
      </c>
      <c r="M1933" cm="1">
        <f t="array" aca="1" ref="M1933" ca="1">INDIRECT("Data!G" &amp; 1928)</f>
        <v>0</v>
      </c>
      <c r="N1933" cm="1">
        <f t="array" aca="1" ref="N1933" ca="1">INDIRECT("Data!H" &amp; 1928)</f>
        <v>0</v>
      </c>
      <c r="O1933" cm="1">
        <f t="array" aca="1" ref="O1933" ca="1">INDIRECT("Data!I" &amp; 1928)</f>
        <v>0</v>
      </c>
      <c r="P1933" s="21" cm="1">
        <f t="array" aca="1" ref="P1933" ca="1">INDIRECT("Data!J" &amp; 1928)</f>
        <v>0</v>
      </c>
      <c r="Q1933" cm="1">
        <f t="array" aca="1" ref="Q1933" ca="1">INDIRECT("Data!K" &amp; 1928)</f>
        <v>0</v>
      </c>
      <c r="R1933" cm="1">
        <f t="array" aca="1" ref="R1933" ca="1">INDIRECT("Data!L" &amp; 1928)</f>
        <v>0</v>
      </c>
      <c r="S1933" cm="1">
        <f t="array" aca="1" ref="S1933" ca="1">INDIRECT("Data!M" &amp; 1928)</f>
        <v>0</v>
      </c>
      <c r="T1933" cm="1">
        <f t="array" aca="1" ref="T1933" ca="1">INDIRECT("Data!N" &amp; 1928)</f>
        <v>0</v>
      </c>
      <c r="U1933" cm="1">
        <f t="array" aca="1" ref="U1933" ca="1">INDIRECT("Data!O" &amp; 1928)</f>
        <v>0</v>
      </c>
      <c r="V1933" cm="1">
        <f t="array" aca="1" ref="V1933" ca="1">INDIRECT("Data!P" &amp; 1928)</f>
        <v>0</v>
      </c>
    </row>
    <row r="1934" spans="7:22" x14ac:dyDescent="0.25">
      <c r="G1934" cm="1">
        <f t="array" aca="1" ref="G1934" ca="1">INDIRECT("Data!A" &amp; 1929)</f>
        <v>0</v>
      </c>
      <c r="H1934" s="21" cm="1">
        <f t="array" aca="1" ref="H1934" ca="1">INDIRECT("Data!B" &amp; 1929)</f>
        <v>0</v>
      </c>
      <c r="I1934" s="21" cm="1">
        <f t="array" aca="1" ref="I1934" ca="1">INDIRECT("Data!C" &amp; 1929)</f>
        <v>0</v>
      </c>
      <c r="J1934" cm="1">
        <f t="array" aca="1" ref="J1934" ca="1">INDIRECT("Data!D" &amp; 1929)</f>
        <v>0</v>
      </c>
      <c r="K1934" cm="1">
        <f t="array" aca="1" ref="K1934" ca="1">INDIRECT("Data!E" &amp; 1929)</f>
        <v>0</v>
      </c>
      <c r="L1934" cm="1">
        <f t="array" aca="1" ref="L1934" ca="1">INDIRECT("Data!F" &amp; 1929)</f>
        <v>0</v>
      </c>
      <c r="M1934" cm="1">
        <f t="array" aca="1" ref="M1934" ca="1">INDIRECT("Data!G" &amp; 1929)</f>
        <v>0</v>
      </c>
      <c r="N1934" cm="1">
        <f t="array" aca="1" ref="N1934" ca="1">INDIRECT("Data!H" &amp; 1929)</f>
        <v>0</v>
      </c>
      <c r="O1934" cm="1">
        <f t="array" aca="1" ref="O1934" ca="1">INDIRECT("Data!I" &amp; 1929)</f>
        <v>0</v>
      </c>
      <c r="P1934" s="21" cm="1">
        <f t="array" aca="1" ref="P1934" ca="1">INDIRECT("Data!J" &amp; 1929)</f>
        <v>0</v>
      </c>
      <c r="Q1934" cm="1">
        <f t="array" aca="1" ref="Q1934" ca="1">INDIRECT("Data!K" &amp; 1929)</f>
        <v>0</v>
      </c>
      <c r="R1934" cm="1">
        <f t="array" aca="1" ref="R1934" ca="1">INDIRECT("Data!L" &amp; 1929)</f>
        <v>0</v>
      </c>
      <c r="S1934" cm="1">
        <f t="array" aca="1" ref="S1934" ca="1">INDIRECT("Data!M" &amp; 1929)</f>
        <v>0</v>
      </c>
      <c r="T1934" cm="1">
        <f t="array" aca="1" ref="T1934" ca="1">INDIRECT("Data!N" &amp; 1929)</f>
        <v>0</v>
      </c>
      <c r="U1934" cm="1">
        <f t="array" aca="1" ref="U1934" ca="1">INDIRECT("Data!O" &amp; 1929)</f>
        <v>0</v>
      </c>
      <c r="V1934" cm="1">
        <f t="array" aca="1" ref="V1934" ca="1">INDIRECT("Data!P" &amp; 1929)</f>
        <v>0</v>
      </c>
    </row>
    <row r="1935" spans="7:22" x14ac:dyDescent="0.25">
      <c r="G1935" cm="1">
        <f t="array" aca="1" ref="G1935" ca="1">INDIRECT("Data!A" &amp; 1930)</f>
        <v>0</v>
      </c>
      <c r="H1935" s="21" cm="1">
        <f t="array" aca="1" ref="H1935" ca="1">INDIRECT("Data!B" &amp; 1930)</f>
        <v>0</v>
      </c>
      <c r="I1935" s="21" cm="1">
        <f t="array" aca="1" ref="I1935" ca="1">INDIRECT("Data!C" &amp; 1930)</f>
        <v>0</v>
      </c>
      <c r="J1935" cm="1">
        <f t="array" aca="1" ref="J1935" ca="1">INDIRECT("Data!D" &amp; 1930)</f>
        <v>0</v>
      </c>
      <c r="K1935" cm="1">
        <f t="array" aca="1" ref="K1935" ca="1">INDIRECT("Data!E" &amp; 1930)</f>
        <v>0</v>
      </c>
      <c r="L1935" cm="1">
        <f t="array" aca="1" ref="L1935" ca="1">INDIRECT("Data!F" &amp; 1930)</f>
        <v>0</v>
      </c>
      <c r="M1935" cm="1">
        <f t="array" aca="1" ref="M1935" ca="1">INDIRECT("Data!G" &amp; 1930)</f>
        <v>0</v>
      </c>
      <c r="N1935" cm="1">
        <f t="array" aca="1" ref="N1935" ca="1">INDIRECT("Data!H" &amp; 1930)</f>
        <v>0</v>
      </c>
      <c r="O1935" cm="1">
        <f t="array" aca="1" ref="O1935" ca="1">INDIRECT("Data!I" &amp; 1930)</f>
        <v>0</v>
      </c>
      <c r="P1935" s="21" cm="1">
        <f t="array" aca="1" ref="P1935" ca="1">INDIRECT("Data!J" &amp; 1930)</f>
        <v>0</v>
      </c>
      <c r="Q1935" cm="1">
        <f t="array" aca="1" ref="Q1935" ca="1">INDIRECT("Data!K" &amp; 1930)</f>
        <v>0</v>
      </c>
      <c r="R1935" cm="1">
        <f t="array" aca="1" ref="R1935" ca="1">INDIRECT("Data!L" &amp; 1930)</f>
        <v>0</v>
      </c>
      <c r="S1935" cm="1">
        <f t="array" aca="1" ref="S1935" ca="1">INDIRECT("Data!M" &amp; 1930)</f>
        <v>0</v>
      </c>
      <c r="T1935" cm="1">
        <f t="array" aca="1" ref="T1935" ca="1">INDIRECT("Data!N" &amp; 1930)</f>
        <v>0</v>
      </c>
      <c r="U1935" cm="1">
        <f t="array" aca="1" ref="U1935" ca="1">INDIRECT("Data!O" &amp; 1930)</f>
        <v>0</v>
      </c>
      <c r="V1935" cm="1">
        <f t="array" aca="1" ref="V1935" ca="1">INDIRECT("Data!P" &amp; 1930)</f>
        <v>0</v>
      </c>
    </row>
    <row r="1936" spans="7:22" x14ac:dyDescent="0.25">
      <c r="G1936" cm="1">
        <f t="array" aca="1" ref="G1936" ca="1">INDIRECT("Data!A" &amp; 1931)</f>
        <v>0</v>
      </c>
      <c r="H1936" s="21" cm="1">
        <f t="array" aca="1" ref="H1936" ca="1">INDIRECT("Data!B" &amp; 1931)</f>
        <v>0</v>
      </c>
      <c r="I1936" s="21" cm="1">
        <f t="array" aca="1" ref="I1936" ca="1">INDIRECT("Data!C" &amp; 1931)</f>
        <v>0</v>
      </c>
      <c r="J1936" cm="1">
        <f t="array" aca="1" ref="J1936" ca="1">INDIRECT("Data!D" &amp; 1931)</f>
        <v>0</v>
      </c>
      <c r="K1936" cm="1">
        <f t="array" aca="1" ref="K1936" ca="1">INDIRECT("Data!E" &amp; 1931)</f>
        <v>0</v>
      </c>
      <c r="L1936" cm="1">
        <f t="array" aca="1" ref="L1936" ca="1">INDIRECT("Data!F" &amp; 1931)</f>
        <v>0</v>
      </c>
      <c r="M1936" cm="1">
        <f t="array" aca="1" ref="M1936" ca="1">INDIRECT("Data!G" &amp; 1931)</f>
        <v>0</v>
      </c>
      <c r="N1936" cm="1">
        <f t="array" aca="1" ref="N1936" ca="1">INDIRECT("Data!H" &amp; 1931)</f>
        <v>0</v>
      </c>
      <c r="O1936" cm="1">
        <f t="array" aca="1" ref="O1936" ca="1">INDIRECT("Data!I" &amp; 1931)</f>
        <v>0</v>
      </c>
      <c r="P1936" s="21" cm="1">
        <f t="array" aca="1" ref="P1936" ca="1">INDIRECT("Data!J" &amp; 1931)</f>
        <v>0</v>
      </c>
      <c r="Q1936" cm="1">
        <f t="array" aca="1" ref="Q1936" ca="1">INDIRECT("Data!K" &amp; 1931)</f>
        <v>0</v>
      </c>
      <c r="R1936" cm="1">
        <f t="array" aca="1" ref="R1936" ca="1">INDIRECT("Data!L" &amp; 1931)</f>
        <v>0</v>
      </c>
      <c r="S1936" cm="1">
        <f t="array" aca="1" ref="S1936" ca="1">INDIRECT("Data!M" &amp; 1931)</f>
        <v>0</v>
      </c>
      <c r="T1936" cm="1">
        <f t="array" aca="1" ref="T1936" ca="1">INDIRECT("Data!N" &amp; 1931)</f>
        <v>0</v>
      </c>
      <c r="U1936" cm="1">
        <f t="array" aca="1" ref="U1936" ca="1">INDIRECT("Data!O" &amp; 1931)</f>
        <v>0</v>
      </c>
      <c r="V1936" cm="1">
        <f t="array" aca="1" ref="V1936" ca="1">INDIRECT("Data!P" &amp; 1931)</f>
        <v>0</v>
      </c>
    </row>
    <row r="1937" spans="7:22" x14ac:dyDescent="0.25">
      <c r="G1937" cm="1">
        <f t="array" aca="1" ref="G1937" ca="1">INDIRECT("Data!A" &amp; 1932)</f>
        <v>0</v>
      </c>
      <c r="H1937" s="21" cm="1">
        <f t="array" aca="1" ref="H1937" ca="1">INDIRECT("Data!B" &amp; 1932)</f>
        <v>0</v>
      </c>
      <c r="I1937" s="21" cm="1">
        <f t="array" aca="1" ref="I1937" ca="1">INDIRECT("Data!C" &amp; 1932)</f>
        <v>0</v>
      </c>
      <c r="J1937" cm="1">
        <f t="array" aca="1" ref="J1937" ca="1">INDIRECT("Data!D" &amp; 1932)</f>
        <v>0</v>
      </c>
      <c r="K1937" cm="1">
        <f t="array" aca="1" ref="K1937" ca="1">INDIRECT("Data!E" &amp; 1932)</f>
        <v>0</v>
      </c>
      <c r="L1937" cm="1">
        <f t="array" aca="1" ref="L1937" ca="1">INDIRECT("Data!F" &amp; 1932)</f>
        <v>0</v>
      </c>
      <c r="M1937" cm="1">
        <f t="array" aca="1" ref="M1937" ca="1">INDIRECT("Data!G" &amp; 1932)</f>
        <v>0</v>
      </c>
      <c r="N1937" cm="1">
        <f t="array" aca="1" ref="N1937" ca="1">INDIRECT("Data!H" &amp; 1932)</f>
        <v>0</v>
      </c>
      <c r="O1937" cm="1">
        <f t="array" aca="1" ref="O1937" ca="1">INDIRECT("Data!I" &amp; 1932)</f>
        <v>0</v>
      </c>
      <c r="P1937" s="21" cm="1">
        <f t="array" aca="1" ref="P1937" ca="1">INDIRECT("Data!J" &amp; 1932)</f>
        <v>0</v>
      </c>
      <c r="Q1937" cm="1">
        <f t="array" aca="1" ref="Q1937" ca="1">INDIRECT("Data!K" &amp; 1932)</f>
        <v>0</v>
      </c>
      <c r="R1937" cm="1">
        <f t="array" aca="1" ref="R1937" ca="1">INDIRECT("Data!L" &amp; 1932)</f>
        <v>0</v>
      </c>
      <c r="S1937" cm="1">
        <f t="array" aca="1" ref="S1937" ca="1">INDIRECT("Data!M" &amp; 1932)</f>
        <v>0</v>
      </c>
      <c r="T1937" cm="1">
        <f t="array" aca="1" ref="T1937" ca="1">INDIRECT("Data!N" &amp; 1932)</f>
        <v>0</v>
      </c>
      <c r="U1937" cm="1">
        <f t="array" aca="1" ref="U1937" ca="1">INDIRECT("Data!O" &amp; 1932)</f>
        <v>0</v>
      </c>
      <c r="V1937" cm="1">
        <f t="array" aca="1" ref="V1937" ca="1">INDIRECT("Data!P" &amp; 1932)</f>
        <v>0</v>
      </c>
    </row>
    <row r="1938" spans="7:22" x14ac:dyDescent="0.25">
      <c r="G1938" cm="1">
        <f t="array" aca="1" ref="G1938" ca="1">INDIRECT("Data!A" &amp; 1933)</f>
        <v>0</v>
      </c>
      <c r="H1938" s="21" cm="1">
        <f t="array" aca="1" ref="H1938" ca="1">INDIRECT("Data!B" &amp; 1933)</f>
        <v>0</v>
      </c>
      <c r="I1938" s="21" cm="1">
        <f t="array" aca="1" ref="I1938" ca="1">INDIRECT("Data!C" &amp; 1933)</f>
        <v>0</v>
      </c>
      <c r="J1938" cm="1">
        <f t="array" aca="1" ref="J1938" ca="1">INDIRECT("Data!D" &amp; 1933)</f>
        <v>0</v>
      </c>
      <c r="K1938" cm="1">
        <f t="array" aca="1" ref="K1938" ca="1">INDIRECT("Data!E" &amp; 1933)</f>
        <v>0</v>
      </c>
      <c r="L1938" cm="1">
        <f t="array" aca="1" ref="L1938" ca="1">INDIRECT("Data!F" &amp; 1933)</f>
        <v>0</v>
      </c>
      <c r="M1938" cm="1">
        <f t="array" aca="1" ref="M1938" ca="1">INDIRECT("Data!G" &amp; 1933)</f>
        <v>0</v>
      </c>
      <c r="N1938" cm="1">
        <f t="array" aca="1" ref="N1938" ca="1">INDIRECT("Data!H" &amp; 1933)</f>
        <v>0</v>
      </c>
      <c r="O1938" cm="1">
        <f t="array" aca="1" ref="O1938" ca="1">INDIRECT("Data!I" &amp; 1933)</f>
        <v>0</v>
      </c>
      <c r="P1938" s="21" cm="1">
        <f t="array" aca="1" ref="P1938" ca="1">INDIRECT("Data!J" &amp; 1933)</f>
        <v>0</v>
      </c>
      <c r="Q1938" cm="1">
        <f t="array" aca="1" ref="Q1938" ca="1">INDIRECT("Data!K" &amp; 1933)</f>
        <v>0</v>
      </c>
      <c r="R1938" cm="1">
        <f t="array" aca="1" ref="R1938" ca="1">INDIRECT("Data!L" &amp; 1933)</f>
        <v>0</v>
      </c>
      <c r="S1938" cm="1">
        <f t="array" aca="1" ref="S1938" ca="1">INDIRECT("Data!M" &amp; 1933)</f>
        <v>0</v>
      </c>
      <c r="T1938" cm="1">
        <f t="array" aca="1" ref="T1938" ca="1">INDIRECT("Data!N" &amp; 1933)</f>
        <v>0</v>
      </c>
      <c r="U1938" cm="1">
        <f t="array" aca="1" ref="U1938" ca="1">INDIRECT("Data!O" &amp; 1933)</f>
        <v>0</v>
      </c>
      <c r="V1938" cm="1">
        <f t="array" aca="1" ref="V1938" ca="1">INDIRECT("Data!P" &amp; 1933)</f>
        <v>0</v>
      </c>
    </row>
    <row r="1939" spans="7:22" x14ac:dyDescent="0.25">
      <c r="G1939" cm="1">
        <f t="array" aca="1" ref="G1939" ca="1">INDIRECT("Data!A" &amp; 1934)</f>
        <v>0</v>
      </c>
      <c r="H1939" s="21" cm="1">
        <f t="array" aca="1" ref="H1939" ca="1">INDIRECT("Data!B" &amp; 1934)</f>
        <v>0</v>
      </c>
      <c r="I1939" s="21" cm="1">
        <f t="array" aca="1" ref="I1939" ca="1">INDIRECT("Data!C" &amp; 1934)</f>
        <v>0</v>
      </c>
      <c r="J1939" cm="1">
        <f t="array" aca="1" ref="J1939" ca="1">INDIRECT("Data!D" &amp; 1934)</f>
        <v>0</v>
      </c>
      <c r="K1939" cm="1">
        <f t="array" aca="1" ref="K1939" ca="1">INDIRECT("Data!E" &amp; 1934)</f>
        <v>0</v>
      </c>
      <c r="L1939" cm="1">
        <f t="array" aca="1" ref="L1939" ca="1">INDIRECT("Data!F" &amp; 1934)</f>
        <v>0</v>
      </c>
      <c r="M1939" cm="1">
        <f t="array" aca="1" ref="M1939" ca="1">INDIRECT("Data!G" &amp; 1934)</f>
        <v>0</v>
      </c>
      <c r="N1939" cm="1">
        <f t="array" aca="1" ref="N1939" ca="1">INDIRECT("Data!H" &amp; 1934)</f>
        <v>0</v>
      </c>
      <c r="O1939" cm="1">
        <f t="array" aca="1" ref="O1939" ca="1">INDIRECT("Data!I" &amp; 1934)</f>
        <v>0</v>
      </c>
      <c r="P1939" s="21" cm="1">
        <f t="array" aca="1" ref="P1939" ca="1">INDIRECT("Data!J" &amp; 1934)</f>
        <v>0</v>
      </c>
      <c r="Q1939" cm="1">
        <f t="array" aca="1" ref="Q1939" ca="1">INDIRECT("Data!K" &amp; 1934)</f>
        <v>0</v>
      </c>
      <c r="R1939" cm="1">
        <f t="array" aca="1" ref="R1939" ca="1">INDIRECT("Data!L" &amp; 1934)</f>
        <v>0</v>
      </c>
      <c r="S1939" cm="1">
        <f t="array" aca="1" ref="S1939" ca="1">INDIRECT("Data!M" &amp; 1934)</f>
        <v>0</v>
      </c>
      <c r="T1939" cm="1">
        <f t="array" aca="1" ref="T1939" ca="1">INDIRECT("Data!N" &amp; 1934)</f>
        <v>0</v>
      </c>
      <c r="U1939" cm="1">
        <f t="array" aca="1" ref="U1939" ca="1">INDIRECT("Data!O" &amp; 1934)</f>
        <v>0</v>
      </c>
      <c r="V1939" cm="1">
        <f t="array" aca="1" ref="V1939" ca="1">INDIRECT("Data!P" &amp; 1934)</f>
        <v>0</v>
      </c>
    </row>
    <row r="1940" spans="7:22" x14ac:dyDescent="0.25">
      <c r="G1940" cm="1">
        <f t="array" aca="1" ref="G1940" ca="1">INDIRECT("Data!A" &amp; 1935)</f>
        <v>0</v>
      </c>
      <c r="H1940" s="21" cm="1">
        <f t="array" aca="1" ref="H1940" ca="1">INDIRECT("Data!B" &amp; 1935)</f>
        <v>0</v>
      </c>
      <c r="I1940" s="21" cm="1">
        <f t="array" aca="1" ref="I1940" ca="1">INDIRECT("Data!C" &amp; 1935)</f>
        <v>0</v>
      </c>
      <c r="J1940" cm="1">
        <f t="array" aca="1" ref="J1940" ca="1">INDIRECT("Data!D" &amp; 1935)</f>
        <v>0</v>
      </c>
      <c r="K1940" cm="1">
        <f t="array" aca="1" ref="K1940" ca="1">INDIRECT("Data!E" &amp; 1935)</f>
        <v>0</v>
      </c>
      <c r="L1940" cm="1">
        <f t="array" aca="1" ref="L1940" ca="1">INDIRECT("Data!F" &amp; 1935)</f>
        <v>0</v>
      </c>
      <c r="M1940" cm="1">
        <f t="array" aca="1" ref="M1940" ca="1">INDIRECT("Data!G" &amp; 1935)</f>
        <v>0</v>
      </c>
      <c r="N1940" cm="1">
        <f t="array" aca="1" ref="N1940" ca="1">INDIRECT("Data!H" &amp; 1935)</f>
        <v>0</v>
      </c>
      <c r="O1940" cm="1">
        <f t="array" aca="1" ref="O1940" ca="1">INDIRECT("Data!I" &amp; 1935)</f>
        <v>0</v>
      </c>
      <c r="P1940" s="21" cm="1">
        <f t="array" aca="1" ref="P1940" ca="1">INDIRECT("Data!J" &amp; 1935)</f>
        <v>0</v>
      </c>
      <c r="Q1940" cm="1">
        <f t="array" aca="1" ref="Q1940" ca="1">INDIRECT("Data!K" &amp; 1935)</f>
        <v>0</v>
      </c>
      <c r="R1940" cm="1">
        <f t="array" aca="1" ref="R1940" ca="1">INDIRECT("Data!L" &amp; 1935)</f>
        <v>0</v>
      </c>
      <c r="S1940" cm="1">
        <f t="array" aca="1" ref="S1940" ca="1">INDIRECT("Data!M" &amp; 1935)</f>
        <v>0</v>
      </c>
      <c r="T1940" cm="1">
        <f t="array" aca="1" ref="T1940" ca="1">INDIRECT("Data!N" &amp; 1935)</f>
        <v>0</v>
      </c>
      <c r="U1940" cm="1">
        <f t="array" aca="1" ref="U1940" ca="1">INDIRECT("Data!O" &amp; 1935)</f>
        <v>0</v>
      </c>
      <c r="V1940" cm="1">
        <f t="array" aca="1" ref="V1940" ca="1">INDIRECT("Data!P" &amp; 1935)</f>
        <v>0</v>
      </c>
    </row>
    <row r="1941" spans="7:22" x14ac:dyDescent="0.25">
      <c r="G1941" cm="1">
        <f t="array" aca="1" ref="G1941" ca="1">INDIRECT("Data!A" &amp; 1936)</f>
        <v>0</v>
      </c>
      <c r="H1941" s="21" cm="1">
        <f t="array" aca="1" ref="H1941" ca="1">INDIRECT("Data!B" &amp; 1936)</f>
        <v>0</v>
      </c>
      <c r="I1941" s="21" cm="1">
        <f t="array" aca="1" ref="I1941" ca="1">INDIRECT("Data!C" &amp; 1936)</f>
        <v>0</v>
      </c>
      <c r="J1941" cm="1">
        <f t="array" aca="1" ref="J1941" ca="1">INDIRECT("Data!D" &amp; 1936)</f>
        <v>0</v>
      </c>
      <c r="K1941" cm="1">
        <f t="array" aca="1" ref="K1941" ca="1">INDIRECT("Data!E" &amp; 1936)</f>
        <v>0</v>
      </c>
      <c r="L1941" cm="1">
        <f t="array" aca="1" ref="L1941" ca="1">INDIRECT("Data!F" &amp; 1936)</f>
        <v>0</v>
      </c>
      <c r="M1941" cm="1">
        <f t="array" aca="1" ref="M1941" ca="1">INDIRECT("Data!G" &amp; 1936)</f>
        <v>0</v>
      </c>
      <c r="N1941" cm="1">
        <f t="array" aca="1" ref="N1941" ca="1">INDIRECT("Data!H" &amp; 1936)</f>
        <v>0</v>
      </c>
      <c r="O1941" cm="1">
        <f t="array" aca="1" ref="O1941" ca="1">INDIRECT("Data!I" &amp; 1936)</f>
        <v>0</v>
      </c>
      <c r="P1941" s="21" cm="1">
        <f t="array" aca="1" ref="P1941" ca="1">INDIRECT("Data!J" &amp; 1936)</f>
        <v>0</v>
      </c>
      <c r="Q1941" cm="1">
        <f t="array" aca="1" ref="Q1941" ca="1">INDIRECT("Data!K" &amp; 1936)</f>
        <v>0</v>
      </c>
      <c r="R1941" cm="1">
        <f t="array" aca="1" ref="R1941" ca="1">INDIRECT("Data!L" &amp; 1936)</f>
        <v>0</v>
      </c>
      <c r="S1941" cm="1">
        <f t="array" aca="1" ref="S1941" ca="1">INDIRECT("Data!M" &amp; 1936)</f>
        <v>0</v>
      </c>
      <c r="T1941" cm="1">
        <f t="array" aca="1" ref="T1941" ca="1">INDIRECT("Data!N" &amp; 1936)</f>
        <v>0</v>
      </c>
      <c r="U1941" cm="1">
        <f t="array" aca="1" ref="U1941" ca="1">INDIRECT("Data!O" &amp; 1936)</f>
        <v>0</v>
      </c>
      <c r="V1941" cm="1">
        <f t="array" aca="1" ref="V1941" ca="1">INDIRECT("Data!P" &amp; 1936)</f>
        <v>0</v>
      </c>
    </row>
    <row r="1942" spans="7:22" x14ac:dyDescent="0.25">
      <c r="G1942" cm="1">
        <f t="array" aca="1" ref="G1942" ca="1">INDIRECT("Data!A" &amp; 1937)</f>
        <v>0</v>
      </c>
      <c r="H1942" s="21" cm="1">
        <f t="array" aca="1" ref="H1942" ca="1">INDIRECT("Data!B" &amp; 1937)</f>
        <v>0</v>
      </c>
      <c r="I1942" s="21" cm="1">
        <f t="array" aca="1" ref="I1942" ca="1">INDIRECT("Data!C" &amp; 1937)</f>
        <v>0</v>
      </c>
      <c r="J1942" cm="1">
        <f t="array" aca="1" ref="J1942" ca="1">INDIRECT("Data!D" &amp; 1937)</f>
        <v>0</v>
      </c>
      <c r="K1942" cm="1">
        <f t="array" aca="1" ref="K1942" ca="1">INDIRECT("Data!E" &amp; 1937)</f>
        <v>0</v>
      </c>
      <c r="L1942" cm="1">
        <f t="array" aca="1" ref="L1942" ca="1">INDIRECT("Data!F" &amp; 1937)</f>
        <v>0</v>
      </c>
      <c r="M1942" cm="1">
        <f t="array" aca="1" ref="M1942" ca="1">INDIRECT("Data!G" &amp; 1937)</f>
        <v>0</v>
      </c>
      <c r="N1942" cm="1">
        <f t="array" aca="1" ref="N1942" ca="1">INDIRECT("Data!H" &amp; 1937)</f>
        <v>0</v>
      </c>
      <c r="O1942" cm="1">
        <f t="array" aca="1" ref="O1942" ca="1">INDIRECT("Data!I" &amp; 1937)</f>
        <v>0</v>
      </c>
      <c r="P1942" s="21" cm="1">
        <f t="array" aca="1" ref="P1942" ca="1">INDIRECT("Data!J" &amp; 1937)</f>
        <v>0</v>
      </c>
      <c r="Q1942" cm="1">
        <f t="array" aca="1" ref="Q1942" ca="1">INDIRECT("Data!K" &amp; 1937)</f>
        <v>0</v>
      </c>
      <c r="R1942" cm="1">
        <f t="array" aca="1" ref="R1942" ca="1">INDIRECT("Data!L" &amp; 1937)</f>
        <v>0</v>
      </c>
      <c r="S1942" cm="1">
        <f t="array" aca="1" ref="S1942" ca="1">INDIRECT("Data!M" &amp; 1937)</f>
        <v>0</v>
      </c>
      <c r="T1942" cm="1">
        <f t="array" aca="1" ref="T1942" ca="1">INDIRECT("Data!N" &amp; 1937)</f>
        <v>0</v>
      </c>
      <c r="U1942" cm="1">
        <f t="array" aca="1" ref="U1942" ca="1">INDIRECT("Data!O" &amp; 1937)</f>
        <v>0</v>
      </c>
      <c r="V1942" cm="1">
        <f t="array" aca="1" ref="V1942" ca="1">INDIRECT("Data!P" &amp; 1937)</f>
        <v>0</v>
      </c>
    </row>
    <row r="1943" spans="7:22" x14ac:dyDescent="0.25">
      <c r="G1943" cm="1">
        <f t="array" aca="1" ref="G1943" ca="1">INDIRECT("Data!A" &amp; 1938)</f>
        <v>0</v>
      </c>
      <c r="H1943" s="21" cm="1">
        <f t="array" aca="1" ref="H1943" ca="1">INDIRECT("Data!B" &amp; 1938)</f>
        <v>0</v>
      </c>
      <c r="I1943" s="21" cm="1">
        <f t="array" aca="1" ref="I1943" ca="1">INDIRECT("Data!C" &amp; 1938)</f>
        <v>0</v>
      </c>
      <c r="J1943" cm="1">
        <f t="array" aca="1" ref="J1943" ca="1">INDIRECT("Data!D" &amp; 1938)</f>
        <v>0</v>
      </c>
      <c r="K1943" cm="1">
        <f t="array" aca="1" ref="K1943" ca="1">INDIRECT("Data!E" &amp; 1938)</f>
        <v>0</v>
      </c>
      <c r="L1943" cm="1">
        <f t="array" aca="1" ref="L1943" ca="1">INDIRECT("Data!F" &amp; 1938)</f>
        <v>0</v>
      </c>
      <c r="M1943" cm="1">
        <f t="array" aca="1" ref="M1943" ca="1">INDIRECT("Data!G" &amp; 1938)</f>
        <v>0</v>
      </c>
      <c r="N1943" cm="1">
        <f t="array" aca="1" ref="N1943" ca="1">INDIRECT("Data!H" &amp; 1938)</f>
        <v>0</v>
      </c>
      <c r="O1943" cm="1">
        <f t="array" aca="1" ref="O1943" ca="1">INDIRECT("Data!I" &amp; 1938)</f>
        <v>0</v>
      </c>
      <c r="P1943" s="21" cm="1">
        <f t="array" aca="1" ref="P1943" ca="1">INDIRECT("Data!J" &amp; 1938)</f>
        <v>0</v>
      </c>
      <c r="Q1943" cm="1">
        <f t="array" aca="1" ref="Q1943" ca="1">INDIRECT("Data!K" &amp; 1938)</f>
        <v>0</v>
      </c>
      <c r="R1943" cm="1">
        <f t="array" aca="1" ref="R1943" ca="1">INDIRECT("Data!L" &amp; 1938)</f>
        <v>0</v>
      </c>
      <c r="S1943" cm="1">
        <f t="array" aca="1" ref="S1943" ca="1">INDIRECT("Data!M" &amp; 1938)</f>
        <v>0</v>
      </c>
      <c r="T1943" cm="1">
        <f t="array" aca="1" ref="T1943" ca="1">INDIRECT("Data!N" &amp; 1938)</f>
        <v>0</v>
      </c>
      <c r="U1943" cm="1">
        <f t="array" aca="1" ref="U1943" ca="1">INDIRECT("Data!O" &amp; 1938)</f>
        <v>0</v>
      </c>
      <c r="V1943" cm="1">
        <f t="array" aca="1" ref="V1943" ca="1">INDIRECT("Data!P" &amp; 1938)</f>
        <v>0</v>
      </c>
    </row>
    <row r="1944" spans="7:22" x14ac:dyDescent="0.25">
      <c r="G1944" cm="1">
        <f t="array" aca="1" ref="G1944" ca="1">INDIRECT("Data!A" &amp; 1939)</f>
        <v>0</v>
      </c>
      <c r="H1944" s="21" cm="1">
        <f t="array" aca="1" ref="H1944" ca="1">INDIRECT("Data!B" &amp; 1939)</f>
        <v>0</v>
      </c>
      <c r="I1944" s="21" cm="1">
        <f t="array" aca="1" ref="I1944" ca="1">INDIRECT("Data!C" &amp; 1939)</f>
        <v>0</v>
      </c>
      <c r="J1944" cm="1">
        <f t="array" aca="1" ref="J1944" ca="1">INDIRECT("Data!D" &amp; 1939)</f>
        <v>0</v>
      </c>
      <c r="K1944" cm="1">
        <f t="array" aca="1" ref="K1944" ca="1">INDIRECT("Data!E" &amp; 1939)</f>
        <v>0</v>
      </c>
      <c r="L1944" cm="1">
        <f t="array" aca="1" ref="L1944" ca="1">INDIRECT("Data!F" &amp; 1939)</f>
        <v>0</v>
      </c>
      <c r="M1944" cm="1">
        <f t="array" aca="1" ref="M1944" ca="1">INDIRECT("Data!G" &amp; 1939)</f>
        <v>0</v>
      </c>
      <c r="N1944" cm="1">
        <f t="array" aca="1" ref="N1944" ca="1">INDIRECT("Data!H" &amp; 1939)</f>
        <v>0</v>
      </c>
      <c r="O1944" cm="1">
        <f t="array" aca="1" ref="O1944" ca="1">INDIRECT("Data!I" &amp; 1939)</f>
        <v>0</v>
      </c>
      <c r="P1944" s="21" cm="1">
        <f t="array" aca="1" ref="P1944" ca="1">INDIRECT("Data!J" &amp; 1939)</f>
        <v>0</v>
      </c>
      <c r="Q1944" cm="1">
        <f t="array" aca="1" ref="Q1944" ca="1">INDIRECT("Data!K" &amp; 1939)</f>
        <v>0</v>
      </c>
      <c r="R1944" cm="1">
        <f t="array" aca="1" ref="R1944" ca="1">INDIRECT("Data!L" &amp; 1939)</f>
        <v>0</v>
      </c>
      <c r="S1944" cm="1">
        <f t="array" aca="1" ref="S1944" ca="1">INDIRECT("Data!M" &amp; 1939)</f>
        <v>0</v>
      </c>
      <c r="T1944" cm="1">
        <f t="array" aca="1" ref="T1944" ca="1">INDIRECT("Data!N" &amp; 1939)</f>
        <v>0</v>
      </c>
      <c r="U1944" cm="1">
        <f t="array" aca="1" ref="U1944" ca="1">INDIRECT("Data!O" &amp; 1939)</f>
        <v>0</v>
      </c>
      <c r="V1944" cm="1">
        <f t="array" aca="1" ref="V1944" ca="1">INDIRECT("Data!P" &amp; 1939)</f>
        <v>0</v>
      </c>
    </row>
    <row r="1945" spans="7:22" x14ac:dyDescent="0.25">
      <c r="G1945" cm="1">
        <f t="array" aca="1" ref="G1945" ca="1">INDIRECT("Data!A"&amp; 1940)</f>
        <v>0</v>
      </c>
      <c r="H1945" s="21" cm="1">
        <f t="array" aca="1" ref="H1945" ca="1">INDIRECT("Data!B"&amp; 1940)</f>
        <v>0</v>
      </c>
      <c r="I1945" s="21" cm="1">
        <f t="array" aca="1" ref="I1945" ca="1">INDIRECT("Data!C"&amp; 1940)</f>
        <v>0</v>
      </c>
      <c r="J1945" cm="1">
        <f t="array" aca="1" ref="J1945" ca="1">INDIRECT("Data!D"&amp; 1940)</f>
        <v>0</v>
      </c>
      <c r="K1945" cm="1">
        <f t="array" aca="1" ref="K1945" ca="1">INDIRECT("Data!E"&amp; 1940)</f>
        <v>0</v>
      </c>
      <c r="L1945" cm="1">
        <f t="array" aca="1" ref="L1945" ca="1">INDIRECT("Data!F"&amp; 1940)</f>
        <v>0</v>
      </c>
      <c r="M1945" cm="1">
        <f t="array" aca="1" ref="M1945" ca="1">INDIRECT("Data!G"&amp; 1940)</f>
        <v>0</v>
      </c>
      <c r="N1945" cm="1">
        <f t="array" aca="1" ref="N1945" ca="1">INDIRECT("Data!H"&amp; 1940)</f>
        <v>0</v>
      </c>
      <c r="O1945" cm="1">
        <f t="array" aca="1" ref="O1945" ca="1">INDIRECT("Data!I"&amp; 1940)</f>
        <v>0</v>
      </c>
      <c r="P1945" s="21" cm="1">
        <f t="array" aca="1" ref="P1945" ca="1">INDIRECT("Data!J"&amp; 1940)</f>
        <v>0</v>
      </c>
      <c r="Q1945" cm="1">
        <f t="array" aca="1" ref="Q1945" ca="1">INDIRECT("Data!K"&amp; 1940)</f>
        <v>0</v>
      </c>
      <c r="R1945" cm="1">
        <f t="array" aca="1" ref="R1945" ca="1">INDIRECT("Data!L"&amp; 1940)</f>
        <v>0</v>
      </c>
      <c r="S1945" cm="1">
        <f t="array" aca="1" ref="S1945" ca="1">INDIRECT("Data!M"&amp; 1940)</f>
        <v>0</v>
      </c>
      <c r="T1945" cm="1">
        <f t="array" aca="1" ref="T1945" ca="1">INDIRECT("Data!N"&amp; 1940)</f>
        <v>0</v>
      </c>
      <c r="U1945" cm="1">
        <f t="array" aca="1" ref="U1945" ca="1">INDIRECT("Data!O"&amp; 1940)</f>
        <v>0</v>
      </c>
      <c r="V1945" cm="1">
        <f t="array" aca="1" ref="V1945" ca="1">INDIRECT("Data!P"&amp; 1940)</f>
        <v>0</v>
      </c>
    </row>
    <row r="1946" spans="7:22" x14ac:dyDescent="0.25">
      <c r="G1946" cm="1">
        <f t="array" aca="1" ref="G1946" ca="1">INDIRECT("Data!A"&amp; 1941)</f>
        <v>0</v>
      </c>
      <c r="H1946" s="21" cm="1">
        <f t="array" aca="1" ref="H1946" ca="1">INDIRECT("Data!B"&amp; 1941)</f>
        <v>0</v>
      </c>
      <c r="I1946" s="21" cm="1">
        <f t="array" aca="1" ref="I1946" ca="1">INDIRECT("Data!C"&amp; 1941)</f>
        <v>0</v>
      </c>
      <c r="J1946" cm="1">
        <f t="array" aca="1" ref="J1946" ca="1">INDIRECT("Data!D"&amp; 1941)</f>
        <v>0</v>
      </c>
      <c r="K1946" cm="1">
        <f t="array" aca="1" ref="K1946" ca="1">INDIRECT("Data!E"&amp; 1941)</f>
        <v>0</v>
      </c>
      <c r="L1946" cm="1">
        <f t="array" aca="1" ref="L1946" ca="1">INDIRECT("Data!F"&amp; 1941)</f>
        <v>0</v>
      </c>
      <c r="M1946" cm="1">
        <f t="array" aca="1" ref="M1946" ca="1">INDIRECT("Data!G"&amp; 1941)</f>
        <v>0</v>
      </c>
      <c r="N1946" cm="1">
        <f t="array" aca="1" ref="N1946" ca="1">INDIRECT("Data!H"&amp; 1941)</f>
        <v>0</v>
      </c>
      <c r="O1946" cm="1">
        <f t="array" aca="1" ref="O1946" ca="1">INDIRECT("Data!I"&amp; 1941)</f>
        <v>0</v>
      </c>
      <c r="P1946" s="21" cm="1">
        <f t="array" aca="1" ref="P1946" ca="1">INDIRECT("Data!J"&amp; 1941)</f>
        <v>0</v>
      </c>
      <c r="Q1946" cm="1">
        <f t="array" aca="1" ref="Q1946" ca="1">INDIRECT("Data!K"&amp; 1941)</f>
        <v>0</v>
      </c>
      <c r="R1946" cm="1">
        <f t="array" aca="1" ref="R1946" ca="1">INDIRECT("Data!L"&amp; 1941)</f>
        <v>0</v>
      </c>
      <c r="S1946" cm="1">
        <f t="array" aca="1" ref="S1946" ca="1">INDIRECT("Data!M"&amp; 1941)</f>
        <v>0</v>
      </c>
      <c r="T1946" cm="1">
        <f t="array" aca="1" ref="T1946" ca="1">INDIRECT("Data!N"&amp; 1941)</f>
        <v>0</v>
      </c>
      <c r="U1946" cm="1">
        <f t="array" aca="1" ref="U1946" ca="1">INDIRECT("Data!O"&amp; 1941)</f>
        <v>0</v>
      </c>
      <c r="V1946" cm="1">
        <f t="array" aca="1" ref="V1946" ca="1">INDIRECT("Data!P"&amp; 1941)</f>
        <v>0</v>
      </c>
    </row>
    <row r="1947" spans="7:22" x14ac:dyDescent="0.25">
      <c r="G1947" cm="1">
        <f t="array" aca="1" ref="G1947" ca="1">INDIRECT("Data!A" &amp; 1942)</f>
        <v>0</v>
      </c>
      <c r="H1947" s="21" cm="1">
        <f t="array" aca="1" ref="H1947" ca="1">INDIRECT("Data!B" &amp; 1942)</f>
        <v>0</v>
      </c>
      <c r="I1947" s="21" cm="1">
        <f t="array" aca="1" ref="I1947" ca="1">INDIRECT("Data!C" &amp; 1942)</f>
        <v>0</v>
      </c>
      <c r="J1947" cm="1">
        <f t="array" aca="1" ref="J1947" ca="1">INDIRECT("Data!D" &amp; 1942)</f>
        <v>0</v>
      </c>
      <c r="K1947" cm="1">
        <f t="array" aca="1" ref="K1947" ca="1">INDIRECT("Data!E" &amp; 1942)</f>
        <v>0</v>
      </c>
      <c r="L1947" cm="1">
        <f t="array" aca="1" ref="L1947" ca="1">INDIRECT("Data!F" &amp; 1942)</f>
        <v>0</v>
      </c>
      <c r="M1947" cm="1">
        <f t="array" aca="1" ref="M1947" ca="1">INDIRECT("Data!G" &amp; 1942)</f>
        <v>0</v>
      </c>
      <c r="N1947" cm="1">
        <f t="array" aca="1" ref="N1947" ca="1">INDIRECT("Data!H" &amp; 1942)</f>
        <v>0</v>
      </c>
      <c r="O1947" cm="1">
        <f t="array" aca="1" ref="O1947" ca="1">INDIRECT("Data!I" &amp; 1942)</f>
        <v>0</v>
      </c>
      <c r="P1947" s="21" cm="1">
        <f t="array" aca="1" ref="P1947" ca="1">INDIRECT("Data!J" &amp; 1942)</f>
        <v>0</v>
      </c>
      <c r="Q1947" cm="1">
        <f t="array" aca="1" ref="Q1947" ca="1">INDIRECT("Data!K" &amp; 1942)</f>
        <v>0</v>
      </c>
      <c r="R1947" cm="1">
        <f t="array" aca="1" ref="R1947" ca="1">INDIRECT("Data!L" &amp; 1942)</f>
        <v>0</v>
      </c>
      <c r="S1947" cm="1">
        <f t="array" aca="1" ref="S1947" ca="1">INDIRECT("Data!M" &amp; 1942)</f>
        <v>0</v>
      </c>
      <c r="T1947" cm="1">
        <f t="array" aca="1" ref="T1947" ca="1">INDIRECT("Data!N" &amp; 1942)</f>
        <v>0</v>
      </c>
      <c r="U1947" cm="1">
        <f t="array" aca="1" ref="U1947" ca="1">INDIRECT("Data!O" &amp; 1942)</f>
        <v>0</v>
      </c>
      <c r="V1947" cm="1">
        <f t="array" aca="1" ref="V1947" ca="1">INDIRECT("Data!P" &amp; 1942)</f>
        <v>0</v>
      </c>
    </row>
    <row r="1948" spans="7:22" x14ac:dyDescent="0.25">
      <c r="G1948" cm="1">
        <f t="array" aca="1" ref="G1948" ca="1">INDIRECT("Data!A" &amp; 1943)</f>
        <v>0</v>
      </c>
      <c r="H1948" s="21" cm="1">
        <f t="array" aca="1" ref="H1948" ca="1">INDIRECT("Data!B" &amp; 1943)</f>
        <v>0</v>
      </c>
      <c r="I1948" s="21" cm="1">
        <f t="array" aca="1" ref="I1948" ca="1">INDIRECT("Data!C" &amp; 1943)</f>
        <v>0</v>
      </c>
      <c r="J1948" cm="1">
        <f t="array" aca="1" ref="J1948" ca="1">INDIRECT("Data!D" &amp; 1943)</f>
        <v>0</v>
      </c>
      <c r="K1948" cm="1">
        <f t="array" aca="1" ref="K1948" ca="1">INDIRECT("Data!E" &amp; 1943)</f>
        <v>0</v>
      </c>
      <c r="L1948" cm="1">
        <f t="array" aca="1" ref="L1948" ca="1">INDIRECT("Data!F" &amp; 1943)</f>
        <v>0</v>
      </c>
      <c r="M1948" cm="1">
        <f t="array" aca="1" ref="M1948" ca="1">INDIRECT("Data!G" &amp; 1943)</f>
        <v>0</v>
      </c>
      <c r="N1948" cm="1">
        <f t="array" aca="1" ref="N1948" ca="1">INDIRECT("Data!H" &amp; 1943)</f>
        <v>0</v>
      </c>
      <c r="O1948" cm="1">
        <f t="array" aca="1" ref="O1948" ca="1">INDIRECT("Data!I" &amp; 1943)</f>
        <v>0</v>
      </c>
      <c r="P1948" s="21" cm="1">
        <f t="array" aca="1" ref="P1948" ca="1">INDIRECT("Data!J" &amp; 1943)</f>
        <v>0</v>
      </c>
      <c r="Q1948" cm="1">
        <f t="array" aca="1" ref="Q1948" ca="1">INDIRECT("Data!K" &amp; 1943)</f>
        <v>0</v>
      </c>
      <c r="R1948" cm="1">
        <f t="array" aca="1" ref="R1948" ca="1">INDIRECT("Data!L" &amp; 1943)</f>
        <v>0</v>
      </c>
      <c r="S1948" cm="1">
        <f t="array" aca="1" ref="S1948" ca="1">INDIRECT("Data!M" &amp; 1943)</f>
        <v>0</v>
      </c>
      <c r="T1948" cm="1">
        <f t="array" aca="1" ref="T1948" ca="1">INDIRECT("Data!N" &amp; 1943)</f>
        <v>0</v>
      </c>
      <c r="U1948" cm="1">
        <f t="array" aca="1" ref="U1948" ca="1">INDIRECT("Data!O" &amp; 1943)</f>
        <v>0</v>
      </c>
      <c r="V1948" cm="1">
        <f t="array" aca="1" ref="V1948" ca="1">INDIRECT("Data!P" &amp; 1943)</f>
        <v>0</v>
      </c>
    </row>
    <row r="1949" spans="7:22" x14ac:dyDescent="0.25">
      <c r="G1949" cm="1">
        <f t="array" aca="1" ref="G1949" ca="1">INDIRECT("Data!A" &amp; 1944)</f>
        <v>0</v>
      </c>
      <c r="H1949" s="21" cm="1">
        <f t="array" aca="1" ref="H1949" ca="1">INDIRECT("Data!B" &amp; 1944)</f>
        <v>0</v>
      </c>
      <c r="I1949" s="21" cm="1">
        <f t="array" aca="1" ref="I1949" ca="1">INDIRECT("Data!C" &amp; 1944)</f>
        <v>0</v>
      </c>
      <c r="J1949" cm="1">
        <f t="array" aca="1" ref="J1949" ca="1">INDIRECT("Data!D" &amp; 1944)</f>
        <v>0</v>
      </c>
      <c r="K1949" cm="1">
        <f t="array" aca="1" ref="K1949" ca="1">INDIRECT("Data!E" &amp; 1944)</f>
        <v>0</v>
      </c>
      <c r="L1949" cm="1">
        <f t="array" aca="1" ref="L1949" ca="1">INDIRECT("Data!F" &amp; 1944)</f>
        <v>0</v>
      </c>
      <c r="M1949" cm="1">
        <f t="array" aca="1" ref="M1949" ca="1">INDIRECT("Data!G" &amp; 1944)</f>
        <v>0</v>
      </c>
      <c r="N1949" cm="1">
        <f t="array" aca="1" ref="N1949" ca="1">INDIRECT("Data!H" &amp; 1944)</f>
        <v>0</v>
      </c>
      <c r="O1949" cm="1">
        <f t="array" aca="1" ref="O1949" ca="1">INDIRECT("Data!I" &amp; 1944)</f>
        <v>0</v>
      </c>
      <c r="P1949" s="21" cm="1">
        <f t="array" aca="1" ref="P1949" ca="1">INDIRECT("Data!J" &amp; 1944)</f>
        <v>0</v>
      </c>
      <c r="Q1949" cm="1">
        <f t="array" aca="1" ref="Q1949" ca="1">INDIRECT("Data!K" &amp; 1944)</f>
        <v>0</v>
      </c>
      <c r="R1949" cm="1">
        <f t="array" aca="1" ref="R1949" ca="1">INDIRECT("Data!L" &amp; 1944)</f>
        <v>0</v>
      </c>
      <c r="S1949" cm="1">
        <f t="array" aca="1" ref="S1949" ca="1">INDIRECT("Data!M" &amp; 1944)</f>
        <v>0</v>
      </c>
      <c r="T1949" cm="1">
        <f t="array" aca="1" ref="T1949" ca="1">INDIRECT("Data!N" &amp; 1944)</f>
        <v>0</v>
      </c>
      <c r="U1949" cm="1">
        <f t="array" aca="1" ref="U1949" ca="1">INDIRECT("Data!O" &amp; 1944)</f>
        <v>0</v>
      </c>
      <c r="V1949" cm="1">
        <f t="array" aca="1" ref="V1949" ca="1">INDIRECT("Data!P" &amp; 1944)</f>
        <v>0</v>
      </c>
    </row>
    <row r="1950" spans="7:22" x14ac:dyDescent="0.25">
      <c r="G1950" cm="1">
        <f t="array" aca="1" ref="G1950" ca="1">INDIRECT("Data!A" &amp; 1945)</f>
        <v>0</v>
      </c>
      <c r="H1950" s="21" cm="1">
        <f t="array" aca="1" ref="H1950" ca="1">INDIRECT("Data!B" &amp; 1945)</f>
        <v>0</v>
      </c>
      <c r="I1950" s="21" cm="1">
        <f t="array" aca="1" ref="I1950" ca="1">INDIRECT("Data!C" &amp; 1945)</f>
        <v>0</v>
      </c>
      <c r="J1950" cm="1">
        <f t="array" aca="1" ref="J1950" ca="1">INDIRECT("Data!D" &amp; 1945)</f>
        <v>0</v>
      </c>
      <c r="K1950" cm="1">
        <f t="array" aca="1" ref="K1950" ca="1">INDIRECT("Data!E" &amp; 1945)</f>
        <v>0</v>
      </c>
      <c r="L1950" cm="1">
        <f t="array" aca="1" ref="L1950" ca="1">INDIRECT("Data!F" &amp; 1945)</f>
        <v>0</v>
      </c>
      <c r="M1950" cm="1">
        <f t="array" aca="1" ref="M1950" ca="1">INDIRECT("Data!G" &amp; 1945)</f>
        <v>0</v>
      </c>
      <c r="N1950" cm="1">
        <f t="array" aca="1" ref="N1950" ca="1">INDIRECT("Data!H" &amp; 1945)</f>
        <v>0</v>
      </c>
      <c r="O1950" cm="1">
        <f t="array" aca="1" ref="O1950" ca="1">INDIRECT("Data!I" &amp; 1945)</f>
        <v>0</v>
      </c>
      <c r="P1950" s="21" cm="1">
        <f t="array" aca="1" ref="P1950" ca="1">INDIRECT("Data!J" &amp; 1945)</f>
        <v>0</v>
      </c>
      <c r="Q1950" cm="1">
        <f t="array" aca="1" ref="Q1950" ca="1">INDIRECT("Data!K" &amp; 1945)</f>
        <v>0</v>
      </c>
      <c r="R1950" cm="1">
        <f t="array" aca="1" ref="R1950" ca="1">INDIRECT("Data!L" &amp; 1945)</f>
        <v>0</v>
      </c>
      <c r="S1950" cm="1">
        <f t="array" aca="1" ref="S1950" ca="1">INDIRECT("Data!M" &amp; 1945)</f>
        <v>0</v>
      </c>
      <c r="T1950" cm="1">
        <f t="array" aca="1" ref="T1950" ca="1">INDIRECT("Data!N" &amp; 1945)</f>
        <v>0</v>
      </c>
      <c r="U1950" cm="1">
        <f t="array" aca="1" ref="U1950" ca="1">INDIRECT("Data!O" &amp; 1945)</f>
        <v>0</v>
      </c>
      <c r="V1950" cm="1">
        <f t="array" aca="1" ref="V1950" ca="1">INDIRECT("Data!P" &amp; 1945)</f>
        <v>0</v>
      </c>
    </row>
    <row r="1951" spans="7:22" x14ac:dyDescent="0.25">
      <c r="G1951" cm="1">
        <f t="array" aca="1" ref="G1951" ca="1">INDIRECT("Data!A" &amp; 1946)</f>
        <v>0</v>
      </c>
      <c r="H1951" s="21" cm="1">
        <f t="array" aca="1" ref="H1951" ca="1">INDIRECT("Data!B" &amp; 1946)</f>
        <v>0</v>
      </c>
      <c r="I1951" s="21" cm="1">
        <f t="array" aca="1" ref="I1951" ca="1">INDIRECT("Data!C" &amp; 1946)</f>
        <v>0</v>
      </c>
      <c r="J1951" cm="1">
        <f t="array" aca="1" ref="J1951" ca="1">INDIRECT("Data!D" &amp; 1946)</f>
        <v>0</v>
      </c>
      <c r="K1951" cm="1">
        <f t="array" aca="1" ref="K1951" ca="1">INDIRECT("Data!E" &amp; 1946)</f>
        <v>0</v>
      </c>
      <c r="L1951" cm="1">
        <f t="array" aca="1" ref="L1951" ca="1">INDIRECT("Data!F" &amp; 1946)</f>
        <v>0</v>
      </c>
      <c r="M1951" cm="1">
        <f t="array" aca="1" ref="M1951" ca="1">INDIRECT("Data!G" &amp; 1946)</f>
        <v>0</v>
      </c>
      <c r="N1951" cm="1">
        <f t="array" aca="1" ref="N1951" ca="1">INDIRECT("Data!H" &amp; 1946)</f>
        <v>0</v>
      </c>
      <c r="O1951" cm="1">
        <f t="array" aca="1" ref="O1951" ca="1">INDIRECT("Data!I" &amp; 1946)</f>
        <v>0</v>
      </c>
      <c r="P1951" s="21" cm="1">
        <f t="array" aca="1" ref="P1951" ca="1">INDIRECT("Data!J" &amp; 1946)</f>
        <v>0</v>
      </c>
      <c r="Q1951" cm="1">
        <f t="array" aca="1" ref="Q1951" ca="1">INDIRECT("Data!K" &amp; 1946)</f>
        <v>0</v>
      </c>
      <c r="R1951" cm="1">
        <f t="array" aca="1" ref="R1951" ca="1">INDIRECT("Data!L" &amp; 1946)</f>
        <v>0</v>
      </c>
      <c r="S1951" cm="1">
        <f t="array" aca="1" ref="S1951" ca="1">INDIRECT("Data!M" &amp; 1946)</f>
        <v>0</v>
      </c>
      <c r="T1951" cm="1">
        <f t="array" aca="1" ref="T1951" ca="1">INDIRECT("Data!N" &amp; 1946)</f>
        <v>0</v>
      </c>
      <c r="U1951" cm="1">
        <f t="array" aca="1" ref="U1951" ca="1">INDIRECT("Data!O" &amp; 1946)</f>
        <v>0</v>
      </c>
      <c r="V1951" cm="1">
        <f t="array" aca="1" ref="V1951" ca="1">INDIRECT("Data!P" &amp; 1946)</f>
        <v>0</v>
      </c>
    </row>
    <row r="1952" spans="7:22" x14ac:dyDescent="0.25">
      <c r="G1952" cm="1">
        <f t="array" aca="1" ref="G1952" ca="1">INDIRECT("Data!A" &amp; 1947)</f>
        <v>0</v>
      </c>
      <c r="H1952" s="21" cm="1">
        <f t="array" aca="1" ref="H1952" ca="1">INDIRECT("Data!B" &amp; 1947)</f>
        <v>0</v>
      </c>
      <c r="I1952" s="21" cm="1">
        <f t="array" aca="1" ref="I1952" ca="1">INDIRECT("Data!C" &amp; 1947)</f>
        <v>0</v>
      </c>
      <c r="J1952" cm="1">
        <f t="array" aca="1" ref="J1952" ca="1">INDIRECT("Data!D" &amp; 1947)</f>
        <v>0</v>
      </c>
      <c r="K1952" cm="1">
        <f t="array" aca="1" ref="K1952" ca="1">INDIRECT("Data!E" &amp; 1947)</f>
        <v>0</v>
      </c>
      <c r="L1952" cm="1">
        <f t="array" aca="1" ref="L1952" ca="1">INDIRECT("Data!F" &amp; 1947)</f>
        <v>0</v>
      </c>
      <c r="M1952" cm="1">
        <f t="array" aca="1" ref="M1952" ca="1">INDIRECT("Data!G" &amp; 1947)</f>
        <v>0</v>
      </c>
      <c r="N1952" cm="1">
        <f t="array" aca="1" ref="N1952" ca="1">INDIRECT("Data!H" &amp; 1947)</f>
        <v>0</v>
      </c>
      <c r="O1952" cm="1">
        <f t="array" aca="1" ref="O1952" ca="1">INDIRECT("Data!I" &amp; 1947)</f>
        <v>0</v>
      </c>
      <c r="P1952" s="21" cm="1">
        <f t="array" aca="1" ref="P1952" ca="1">INDIRECT("Data!J" &amp; 1947)</f>
        <v>0</v>
      </c>
      <c r="Q1952" cm="1">
        <f t="array" aca="1" ref="Q1952" ca="1">INDIRECT("Data!K" &amp; 1947)</f>
        <v>0</v>
      </c>
      <c r="R1952" cm="1">
        <f t="array" aca="1" ref="R1952" ca="1">INDIRECT("Data!L" &amp; 1947)</f>
        <v>0</v>
      </c>
      <c r="S1952" cm="1">
        <f t="array" aca="1" ref="S1952" ca="1">INDIRECT("Data!M" &amp; 1947)</f>
        <v>0</v>
      </c>
      <c r="T1952" cm="1">
        <f t="array" aca="1" ref="T1952" ca="1">INDIRECT("Data!N" &amp; 1947)</f>
        <v>0</v>
      </c>
      <c r="U1952" cm="1">
        <f t="array" aca="1" ref="U1952" ca="1">INDIRECT("Data!O" &amp; 1947)</f>
        <v>0</v>
      </c>
      <c r="V1952" cm="1">
        <f t="array" aca="1" ref="V1952" ca="1">INDIRECT("Data!P" &amp; 1947)</f>
        <v>0</v>
      </c>
    </row>
    <row r="1953" spans="7:22" x14ac:dyDescent="0.25">
      <c r="G1953" cm="1">
        <f t="array" aca="1" ref="G1953" ca="1">INDIRECT("Data!A" &amp; 1948)</f>
        <v>0</v>
      </c>
      <c r="H1953" s="21" cm="1">
        <f t="array" aca="1" ref="H1953" ca="1">INDIRECT("Data!B" &amp; 1948)</f>
        <v>0</v>
      </c>
      <c r="I1953" s="21" cm="1">
        <f t="array" aca="1" ref="I1953" ca="1">INDIRECT("Data!C" &amp; 1948)</f>
        <v>0</v>
      </c>
      <c r="J1953" cm="1">
        <f t="array" aca="1" ref="J1953" ca="1">INDIRECT("Data!D" &amp; 1948)</f>
        <v>0</v>
      </c>
      <c r="K1953" cm="1">
        <f t="array" aca="1" ref="K1953" ca="1">INDIRECT("Data!E" &amp; 1948)</f>
        <v>0</v>
      </c>
      <c r="L1953" cm="1">
        <f t="array" aca="1" ref="L1953" ca="1">INDIRECT("Data!F" &amp; 1948)</f>
        <v>0</v>
      </c>
      <c r="M1953" cm="1">
        <f t="array" aca="1" ref="M1953" ca="1">INDIRECT("Data!G" &amp; 1948)</f>
        <v>0</v>
      </c>
      <c r="N1953" cm="1">
        <f t="array" aca="1" ref="N1953" ca="1">INDIRECT("Data!H" &amp; 1948)</f>
        <v>0</v>
      </c>
      <c r="O1953" cm="1">
        <f t="array" aca="1" ref="O1953" ca="1">INDIRECT("Data!I" &amp; 1948)</f>
        <v>0</v>
      </c>
      <c r="P1953" s="21" cm="1">
        <f t="array" aca="1" ref="P1953" ca="1">INDIRECT("Data!J" &amp; 1948)</f>
        <v>0</v>
      </c>
      <c r="Q1953" cm="1">
        <f t="array" aca="1" ref="Q1953" ca="1">INDIRECT("Data!K" &amp; 1948)</f>
        <v>0</v>
      </c>
      <c r="R1953" cm="1">
        <f t="array" aca="1" ref="R1953" ca="1">INDIRECT("Data!L" &amp; 1948)</f>
        <v>0</v>
      </c>
      <c r="S1953" cm="1">
        <f t="array" aca="1" ref="S1953" ca="1">INDIRECT("Data!M" &amp; 1948)</f>
        <v>0</v>
      </c>
      <c r="T1953" cm="1">
        <f t="array" aca="1" ref="T1953" ca="1">INDIRECT("Data!N" &amp; 1948)</f>
        <v>0</v>
      </c>
      <c r="U1953" cm="1">
        <f t="array" aca="1" ref="U1953" ca="1">INDIRECT("Data!O" &amp; 1948)</f>
        <v>0</v>
      </c>
      <c r="V1953" cm="1">
        <f t="array" aca="1" ref="V1953" ca="1">INDIRECT("Data!P" &amp; 1948)</f>
        <v>0</v>
      </c>
    </row>
    <row r="1954" spans="7:22" x14ac:dyDescent="0.25">
      <c r="G1954" cm="1">
        <f t="array" aca="1" ref="G1954" ca="1">INDIRECT("Data!A" &amp; 1949)</f>
        <v>0</v>
      </c>
      <c r="H1954" s="21" cm="1">
        <f t="array" aca="1" ref="H1954" ca="1">INDIRECT("Data!B" &amp; 1949)</f>
        <v>0</v>
      </c>
      <c r="I1954" s="21" cm="1">
        <f t="array" aca="1" ref="I1954" ca="1">INDIRECT("Data!C" &amp; 1949)</f>
        <v>0</v>
      </c>
      <c r="J1954" cm="1">
        <f t="array" aca="1" ref="J1954" ca="1">INDIRECT("Data!D" &amp; 1949)</f>
        <v>0</v>
      </c>
      <c r="K1954" cm="1">
        <f t="array" aca="1" ref="K1954" ca="1">INDIRECT("Data!E" &amp; 1949)</f>
        <v>0</v>
      </c>
      <c r="L1954" cm="1">
        <f t="array" aca="1" ref="L1954" ca="1">INDIRECT("Data!F" &amp; 1949)</f>
        <v>0</v>
      </c>
      <c r="M1954" cm="1">
        <f t="array" aca="1" ref="M1954" ca="1">INDIRECT("Data!G" &amp; 1949)</f>
        <v>0</v>
      </c>
      <c r="N1954" cm="1">
        <f t="array" aca="1" ref="N1954" ca="1">INDIRECT("Data!H" &amp; 1949)</f>
        <v>0</v>
      </c>
      <c r="O1954" cm="1">
        <f t="array" aca="1" ref="O1954" ca="1">INDIRECT("Data!I" &amp; 1949)</f>
        <v>0</v>
      </c>
      <c r="P1954" s="21" cm="1">
        <f t="array" aca="1" ref="P1954" ca="1">INDIRECT("Data!J" &amp; 1949)</f>
        <v>0</v>
      </c>
      <c r="Q1954" cm="1">
        <f t="array" aca="1" ref="Q1954" ca="1">INDIRECT("Data!K" &amp; 1949)</f>
        <v>0</v>
      </c>
      <c r="R1954" cm="1">
        <f t="array" aca="1" ref="R1954" ca="1">INDIRECT("Data!L" &amp; 1949)</f>
        <v>0</v>
      </c>
      <c r="S1954" cm="1">
        <f t="array" aca="1" ref="S1954" ca="1">INDIRECT("Data!M" &amp; 1949)</f>
        <v>0</v>
      </c>
      <c r="T1954" cm="1">
        <f t="array" aca="1" ref="T1954" ca="1">INDIRECT("Data!N" &amp; 1949)</f>
        <v>0</v>
      </c>
      <c r="U1954" cm="1">
        <f t="array" aca="1" ref="U1954" ca="1">INDIRECT("Data!O" &amp; 1949)</f>
        <v>0</v>
      </c>
      <c r="V1954" cm="1">
        <f t="array" aca="1" ref="V1954" ca="1">INDIRECT("Data!P" &amp; 1949)</f>
        <v>0</v>
      </c>
    </row>
    <row r="1955" spans="7:22" x14ac:dyDescent="0.25">
      <c r="G1955" cm="1">
        <f t="array" aca="1" ref="G1955" ca="1">INDIRECT("Data!A" &amp; 1950)</f>
        <v>0</v>
      </c>
      <c r="H1955" s="21" cm="1">
        <f t="array" aca="1" ref="H1955" ca="1">INDIRECT("Data!B" &amp; 1950)</f>
        <v>0</v>
      </c>
      <c r="I1955" s="21" cm="1">
        <f t="array" aca="1" ref="I1955" ca="1">INDIRECT("Data!C" &amp; 1950)</f>
        <v>0</v>
      </c>
      <c r="J1955" cm="1">
        <f t="array" aca="1" ref="J1955" ca="1">INDIRECT("Data!D" &amp; 1950)</f>
        <v>0</v>
      </c>
      <c r="K1955" cm="1">
        <f t="array" aca="1" ref="K1955" ca="1">INDIRECT("Data!E" &amp; 1950)</f>
        <v>0</v>
      </c>
      <c r="L1955" cm="1">
        <f t="array" aca="1" ref="L1955" ca="1">INDIRECT("Data!F" &amp; 1950)</f>
        <v>0</v>
      </c>
      <c r="M1955" cm="1">
        <f t="array" aca="1" ref="M1955" ca="1">INDIRECT("Data!G" &amp; 1950)</f>
        <v>0</v>
      </c>
      <c r="N1955" cm="1">
        <f t="array" aca="1" ref="N1955" ca="1">INDIRECT("Data!H" &amp; 1950)</f>
        <v>0</v>
      </c>
      <c r="O1955" cm="1">
        <f t="array" aca="1" ref="O1955" ca="1">INDIRECT("Data!I" &amp; 1950)</f>
        <v>0</v>
      </c>
      <c r="P1955" s="21" cm="1">
        <f t="array" aca="1" ref="P1955" ca="1">INDIRECT("Data!J" &amp; 1950)</f>
        <v>0</v>
      </c>
      <c r="Q1955" cm="1">
        <f t="array" aca="1" ref="Q1955" ca="1">INDIRECT("Data!K" &amp; 1950)</f>
        <v>0</v>
      </c>
      <c r="R1955" cm="1">
        <f t="array" aca="1" ref="R1955" ca="1">INDIRECT("Data!L" &amp; 1950)</f>
        <v>0</v>
      </c>
      <c r="S1955" cm="1">
        <f t="array" aca="1" ref="S1955" ca="1">INDIRECT("Data!M" &amp; 1950)</f>
        <v>0</v>
      </c>
      <c r="T1955" cm="1">
        <f t="array" aca="1" ref="T1955" ca="1">INDIRECT("Data!N" &amp; 1950)</f>
        <v>0</v>
      </c>
      <c r="U1955" cm="1">
        <f t="array" aca="1" ref="U1955" ca="1">INDIRECT("Data!O" &amp; 1950)</f>
        <v>0</v>
      </c>
      <c r="V1955" cm="1">
        <f t="array" aca="1" ref="V1955" ca="1">INDIRECT("Data!P" &amp; 1950)</f>
        <v>0</v>
      </c>
    </row>
    <row r="1956" spans="7:22" x14ac:dyDescent="0.25">
      <c r="G1956" cm="1">
        <f t="array" aca="1" ref="G1956" ca="1">INDIRECT("Data!A" &amp; 1951)</f>
        <v>0</v>
      </c>
      <c r="H1956" s="21" cm="1">
        <f t="array" aca="1" ref="H1956" ca="1">INDIRECT("Data!B" &amp; 1951)</f>
        <v>0</v>
      </c>
      <c r="I1956" s="21" cm="1">
        <f t="array" aca="1" ref="I1956" ca="1">INDIRECT("Data!C" &amp; 1951)</f>
        <v>0</v>
      </c>
      <c r="J1956" cm="1">
        <f t="array" aca="1" ref="J1956" ca="1">INDIRECT("Data!D" &amp; 1951)</f>
        <v>0</v>
      </c>
      <c r="K1956" cm="1">
        <f t="array" aca="1" ref="K1956" ca="1">INDIRECT("Data!E" &amp; 1951)</f>
        <v>0</v>
      </c>
      <c r="L1956" cm="1">
        <f t="array" aca="1" ref="L1956" ca="1">INDIRECT("Data!F" &amp; 1951)</f>
        <v>0</v>
      </c>
      <c r="M1956" cm="1">
        <f t="array" aca="1" ref="M1956" ca="1">INDIRECT("Data!G" &amp; 1951)</f>
        <v>0</v>
      </c>
      <c r="N1956" cm="1">
        <f t="array" aca="1" ref="N1956" ca="1">INDIRECT("Data!H" &amp; 1951)</f>
        <v>0</v>
      </c>
      <c r="O1956" cm="1">
        <f t="array" aca="1" ref="O1956" ca="1">INDIRECT("Data!I" &amp; 1951)</f>
        <v>0</v>
      </c>
      <c r="P1956" s="21" cm="1">
        <f t="array" aca="1" ref="P1956" ca="1">INDIRECT("Data!J" &amp; 1951)</f>
        <v>0</v>
      </c>
      <c r="Q1956" cm="1">
        <f t="array" aca="1" ref="Q1956" ca="1">INDIRECT("Data!K" &amp; 1951)</f>
        <v>0</v>
      </c>
      <c r="R1956" cm="1">
        <f t="array" aca="1" ref="R1956" ca="1">INDIRECT("Data!L" &amp; 1951)</f>
        <v>0</v>
      </c>
      <c r="S1956" cm="1">
        <f t="array" aca="1" ref="S1956" ca="1">INDIRECT("Data!M" &amp; 1951)</f>
        <v>0</v>
      </c>
      <c r="T1956" cm="1">
        <f t="array" aca="1" ref="T1956" ca="1">INDIRECT("Data!N" &amp; 1951)</f>
        <v>0</v>
      </c>
      <c r="U1956" cm="1">
        <f t="array" aca="1" ref="U1956" ca="1">INDIRECT("Data!O" &amp; 1951)</f>
        <v>0</v>
      </c>
      <c r="V1956" cm="1">
        <f t="array" aca="1" ref="V1956" ca="1">INDIRECT("Data!P" &amp; 1951)</f>
        <v>0</v>
      </c>
    </row>
    <row r="1957" spans="7:22" x14ac:dyDescent="0.25">
      <c r="G1957" cm="1">
        <f t="array" aca="1" ref="G1957" ca="1">INDIRECT("Data!A" &amp; 1952)</f>
        <v>0</v>
      </c>
      <c r="H1957" s="21" cm="1">
        <f t="array" aca="1" ref="H1957" ca="1">INDIRECT("Data!B" &amp; 1952)</f>
        <v>0</v>
      </c>
      <c r="I1957" s="21" cm="1">
        <f t="array" aca="1" ref="I1957" ca="1">INDIRECT("Data!C" &amp; 1952)</f>
        <v>0</v>
      </c>
      <c r="J1957" cm="1">
        <f t="array" aca="1" ref="J1957" ca="1">INDIRECT("Data!D" &amp; 1952)</f>
        <v>0</v>
      </c>
      <c r="K1957" cm="1">
        <f t="array" aca="1" ref="K1957" ca="1">INDIRECT("Data!E" &amp; 1952)</f>
        <v>0</v>
      </c>
      <c r="L1957" cm="1">
        <f t="array" aca="1" ref="L1957" ca="1">INDIRECT("Data!F" &amp; 1952)</f>
        <v>0</v>
      </c>
      <c r="M1957" cm="1">
        <f t="array" aca="1" ref="M1957" ca="1">INDIRECT("Data!G" &amp; 1952)</f>
        <v>0</v>
      </c>
      <c r="N1957" cm="1">
        <f t="array" aca="1" ref="N1957" ca="1">INDIRECT("Data!H" &amp; 1952)</f>
        <v>0</v>
      </c>
      <c r="O1957" cm="1">
        <f t="array" aca="1" ref="O1957" ca="1">INDIRECT("Data!I" &amp; 1952)</f>
        <v>0</v>
      </c>
      <c r="P1957" s="21" cm="1">
        <f t="array" aca="1" ref="P1957" ca="1">INDIRECT("Data!J" &amp; 1952)</f>
        <v>0</v>
      </c>
      <c r="Q1957" cm="1">
        <f t="array" aca="1" ref="Q1957" ca="1">INDIRECT("Data!K" &amp; 1952)</f>
        <v>0</v>
      </c>
      <c r="R1957" cm="1">
        <f t="array" aca="1" ref="R1957" ca="1">INDIRECT("Data!L" &amp; 1952)</f>
        <v>0</v>
      </c>
      <c r="S1957" cm="1">
        <f t="array" aca="1" ref="S1957" ca="1">INDIRECT("Data!M" &amp; 1952)</f>
        <v>0</v>
      </c>
      <c r="T1957" cm="1">
        <f t="array" aca="1" ref="T1957" ca="1">INDIRECT("Data!N" &amp; 1952)</f>
        <v>0</v>
      </c>
      <c r="U1957" cm="1">
        <f t="array" aca="1" ref="U1957" ca="1">INDIRECT("Data!O" &amp; 1952)</f>
        <v>0</v>
      </c>
      <c r="V1957" cm="1">
        <f t="array" aca="1" ref="V1957" ca="1">INDIRECT("Data!P" &amp; 1952)</f>
        <v>0</v>
      </c>
    </row>
    <row r="1958" spans="7:22" x14ac:dyDescent="0.25">
      <c r="G1958" cm="1">
        <f t="array" aca="1" ref="G1958" ca="1">INDIRECT("Data!A" &amp; 1953)</f>
        <v>0</v>
      </c>
      <c r="H1958" s="21" cm="1">
        <f t="array" aca="1" ref="H1958" ca="1">INDIRECT("Data!B" &amp; 1953)</f>
        <v>0</v>
      </c>
      <c r="I1958" s="21" cm="1">
        <f t="array" aca="1" ref="I1958" ca="1">INDIRECT("Data!C" &amp; 1953)</f>
        <v>0</v>
      </c>
      <c r="J1958" cm="1">
        <f t="array" aca="1" ref="J1958" ca="1">INDIRECT("Data!D" &amp; 1953)</f>
        <v>0</v>
      </c>
      <c r="K1958" cm="1">
        <f t="array" aca="1" ref="K1958" ca="1">INDIRECT("Data!E" &amp; 1953)</f>
        <v>0</v>
      </c>
      <c r="L1958" cm="1">
        <f t="array" aca="1" ref="L1958" ca="1">INDIRECT("Data!F" &amp; 1953)</f>
        <v>0</v>
      </c>
      <c r="M1958" cm="1">
        <f t="array" aca="1" ref="M1958" ca="1">INDIRECT("Data!G" &amp; 1953)</f>
        <v>0</v>
      </c>
      <c r="N1958" cm="1">
        <f t="array" aca="1" ref="N1958" ca="1">INDIRECT("Data!H" &amp; 1953)</f>
        <v>0</v>
      </c>
      <c r="O1958" cm="1">
        <f t="array" aca="1" ref="O1958" ca="1">INDIRECT("Data!I" &amp; 1953)</f>
        <v>0</v>
      </c>
      <c r="P1958" s="21" cm="1">
        <f t="array" aca="1" ref="P1958" ca="1">INDIRECT("Data!J" &amp; 1953)</f>
        <v>0</v>
      </c>
      <c r="Q1958" cm="1">
        <f t="array" aca="1" ref="Q1958" ca="1">INDIRECT("Data!K" &amp; 1953)</f>
        <v>0</v>
      </c>
      <c r="R1958" cm="1">
        <f t="array" aca="1" ref="R1958" ca="1">INDIRECT("Data!L" &amp; 1953)</f>
        <v>0</v>
      </c>
      <c r="S1958" cm="1">
        <f t="array" aca="1" ref="S1958" ca="1">INDIRECT("Data!M" &amp; 1953)</f>
        <v>0</v>
      </c>
      <c r="T1958" cm="1">
        <f t="array" aca="1" ref="T1958" ca="1">INDIRECT("Data!N" &amp; 1953)</f>
        <v>0</v>
      </c>
      <c r="U1958" cm="1">
        <f t="array" aca="1" ref="U1958" ca="1">INDIRECT("Data!O" &amp; 1953)</f>
        <v>0</v>
      </c>
      <c r="V1958" cm="1">
        <f t="array" aca="1" ref="V1958" ca="1">INDIRECT("Data!P" &amp; 1953)</f>
        <v>0</v>
      </c>
    </row>
    <row r="1959" spans="7:22" x14ac:dyDescent="0.25">
      <c r="G1959" cm="1">
        <f t="array" aca="1" ref="G1959" ca="1">INDIRECT("Data!A" &amp; 1954)</f>
        <v>0</v>
      </c>
      <c r="H1959" s="21" cm="1">
        <f t="array" aca="1" ref="H1959" ca="1">INDIRECT("Data!B" &amp; 1954)</f>
        <v>0</v>
      </c>
      <c r="I1959" s="21" cm="1">
        <f t="array" aca="1" ref="I1959" ca="1">INDIRECT("Data!C" &amp; 1954)</f>
        <v>0</v>
      </c>
      <c r="J1959" cm="1">
        <f t="array" aca="1" ref="J1959" ca="1">INDIRECT("Data!D" &amp; 1954)</f>
        <v>0</v>
      </c>
      <c r="K1959" cm="1">
        <f t="array" aca="1" ref="K1959" ca="1">INDIRECT("Data!E" &amp; 1954)</f>
        <v>0</v>
      </c>
      <c r="L1959" cm="1">
        <f t="array" aca="1" ref="L1959" ca="1">INDIRECT("Data!F" &amp; 1954)</f>
        <v>0</v>
      </c>
      <c r="M1959" cm="1">
        <f t="array" aca="1" ref="M1959" ca="1">INDIRECT("Data!G" &amp; 1954)</f>
        <v>0</v>
      </c>
      <c r="N1959" cm="1">
        <f t="array" aca="1" ref="N1959" ca="1">INDIRECT("Data!H" &amp; 1954)</f>
        <v>0</v>
      </c>
      <c r="O1959" cm="1">
        <f t="array" aca="1" ref="O1959" ca="1">INDIRECT("Data!I" &amp; 1954)</f>
        <v>0</v>
      </c>
      <c r="P1959" s="21" cm="1">
        <f t="array" aca="1" ref="P1959" ca="1">INDIRECT("Data!J" &amp; 1954)</f>
        <v>0</v>
      </c>
      <c r="Q1959" cm="1">
        <f t="array" aca="1" ref="Q1959" ca="1">INDIRECT("Data!K" &amp; 1954)</f>
        <v>0</v>
      </c>
      <c r="R1959" cm="1">
        <f t="array" aca="1" ref="R1959" ca="1">INDIRECT("Data!L" &amp; 1954)</f>
        <v>0</v>
      </c>
      <c r="S1959" cm="1">
        <f t="array" aca="1" ref="S1959" ca="1">INDIRECT("Data!M" &amp; 1954)</f>
        <v>0</v>
      </c>
      <c r="T1959" cm="1">
        <f t="array" aca="1" ref="T1959" ca="1">INDIRECT("Data!N" &amp; 1954)</f>
        <v>0</v>
      </c>
      <c r="U1959" cm="1">
        <f t="array" aca="1" ref="U1959" ca="1">INDIRECT("Data!O" &amp; 1954)</f>
        <v>0</v>
      </c>
      <c r="V1959" cm="1">
        <f t="array" aca="1" ref="V1959" ca="1">INDIRECT("Data!P" &amp; 1954)</f>
        <v>0</v>
      </c>
    </row>
    <row r="1960" spans="7:22" x14ac:dyDescent="0.25">
      <c r="G1960" cm="1">
        <f t="array" aca="1" ref="G1960" ca="1">INDIRECT("Data!A" &amp; 1955)</f>
        <v>0</v>
      </c>
      <c r="H1960" s="21" cm="1">
        <f t="array" aca="1" ref="H1960" ca="1">INDIRECT("Data!B" &amp; 1955)</f>
        <v>0</v>
      </c>
      <c r="I1960" s="21" cm="1">
        <f t="array" aca="1" ref="I1960" ca="1">INDIRECT("Data!C" &amp; 1955)</f>
        <v>0</v>
      </c>
      <c r="J1960" cm="1">
        <f t="array" aca="1" ref="J1960" ca="1">INDIRECT("Data!D" &amp; 1955)</f>
        <v>0</v>
      </c>
      <c r="K1960" cm="1">
        <f t="array" aca="1" ref="K1960" ca="1">INDIRECT("Data!E" &amp; 1955)</f>
        <v>0</v>
      </c>
      <c r="L1960" cm="1">
        <f t="array" aca="1" ref="L1960" ca="1">INDIRECT("Data!F" &amp; 1955)</f>
        <v>0</v>
      </c>
      <c r="M1960" cm="1">
        <f t="array" aca="1" ref="M1960" ca="1">INDIRECT("Data!G" &amp; 1955)</f>
        <v>0</v>
      </c>
      <c r="N1960" cm="1">
        <f t="array" aca="1" ref="N1960" ca="1">INDIRECT("Data!H" &amp; 1955)</f>
        <v>0</v>
      </c>
      <c r="O1960" cm="1">
        <f t="array" aca="1" ref="O1960" ca="1">INDIRECT("Data!I" &amp; 1955)</f>
        <v>0</v>
      </c>
      <c r="P1960" s="21" cm="1">
        <f t="array" aca="1" ref="P1960" ca="1">INDIRECT("Data!J" &amp; 1955)</f>
        <v>0</v>
      </c>
      <c r="Q1960" cm="1">
        <f t="array" aca="1" ref="Q1960" ca="1">INDIRECT("Data!K" &amp; 1955)</f>
        <v>0</v>
      </c>
      <c r="R1960" cm="1">
        <f t="array" aca="1" ref="R1960" ca="1">INDIRECT("Data!L" &amp; 1955)</f>
        <v>0</v>
      </c>
      <c r="S1960" cm="1">
        <f t="array" aca="1" ref="S1960" ca="1">INDIRECT("Data!M" &amp; 1955)</f>
        <v>0</v>
      </c>
      <c r="T1960" cm="1">
        <f t="array" aca="1" ref="T1960" ca="1">INDIRECT("Data!N" &amp; 1955)</f>
        <v>0</v>
      </c>
      <c r="U1960" cm="1">
        <f t="array" aca="1" ref="U1960" ca="1">INDIRECT("Data!O" &amp; 1955)</f>
        <v>0</v>
      </c>
      <c r="V1960" cm="1">
        <f t="array" aca="1" ref="V1960" ca="1">INDIRECT("Data!P" &amp; 1955)</f>
        <v>0</v>
      </c>
    </row>
    <row r="1961" spans="7:22" x14ac:dyDescent="0.25">
      <c r="G1961" cm="1">
        <f t="array" aca="1" ref="G1961" ca="1">INDIRECT("Data!A" &amp; 1956)</f>
        <v>0</v>
      </c>
      <c r="H1961" s="21" cm="1">
        <f t="array" aca="1" ref="H1961" ca="1">INDIRECT("Data!B" &amp; 1956)</f>
        <v>0</v>
      </c>
      <c r="I1961" s="21" cm="1">
        <f t="array" aca="1" ref="I1961" ca="1">INDIRECT("Data!C" &amp; 1956)</f>
        <v>0</v>
      </c>
      <c r="J1961" cm="1">
        <f t="array" aca="1" ref="J1961" ca="1">INDIRECT("Data!D" &amp; 1956)</f>
        <v>0</v>
      </c>
      <c r="K1961" cm="1">
        <f t="array" aca="1" ref="K1961" ca="1">INDIRECT("Data!E" &amp; 1956)</f>
        <v>0</v>
      </c>
      <c r="L1961" cm="1">
        <f t="array" aca="1" ref="L1961" ca="1">INDIRECT("Data!F" &amp; 1956)</f>
        <v>0</v>
      </c>
      <c r="M1961" cm="1">
        <f t="array" aca="1" ref="M1961" ca="1">INDIRECT("Data!G" &amp; 1956)</f>
        <v>0</v>
      </c>
      <c r="N1961" cm="1">
        <f t="array" aca="1" ref="N1961" ca="1">INDIRECT("Data!H" &amp; 1956)</f>
        <v>0</v>
      </c>
      <c r="O1961" cm="1">
        <f t="array" aca="1" ref="O1961" ca="1">INDIRECT("Data!I" &amp; 1956)</f>
        <v>0</v>
      </c>
      <c r="P1961" s="21" cm="1">
        <f t="array" aca="1" ref="P1961" ca="1">INDIRECT("Data!J" &amp; 1956)</f>
        <v>0</v>
      </c>
      <c r="Q1961" cm="1">
        <f t="array" aca="1" ref="Q1961" ca="1">INDIRECT("Data!K" &amp; 1956)</f>
        <v>0</v>
      </c>
      <c r="R1961" cm="1">
        <f t="array" aca="1" ref="R1961" ca="1">INDIRECT("Data!L" &amp; 1956)</f>
        <v>0</v>
      </c>
      <c r="S1961" cm="1">
        <f t="array" aca="1" ref="S1961" ca="1">INDIRECT("Data!M" &amp; 1956)</f>
        <v>0</v>
      </c>
      <c r="T1961" cm="1">
        <f t="array" aca="1" ref="T1961" ca="1">INDIRECT("Data!N" &amp; 1956)</f>
        <v>0</v>
      </c>
      <c r="U1961" cm="1">
        <f t="array" aca="1" ref="U1961" ca="1">INDIRECT("Data!O" &amp; 1956)</f>
        <v>0</v>
      </c>
      <c r="V1961" cm="1">
        <f t="array" aca="1" ref="V1961" ca="1">INDIRECT("Data!P" &amp; 1956)</f>
        <v>0</v>
      </c>
    </row>
    <row r="1962" spans="7:22" x14ac:dyDescent="0.25">
      <c r="G1962" cm="1">
        <f t="array" aca="1" ref="G1962" ca="1">INDIRECT("Data!A" &amp; 1957)</f>
        <v>0</v>
      </c>
      <c r="H1962" s="21" cm="1">
        <f t="array" aca="1" ref="H1962" ca="1">INDIRECT("Data!B" &amp; 1957)</f>
        <v>0</v>
      </c>
      <c r="I1962" s="21" cm="1">
        <f t="array" aca="1" ref="I1962" ca="1">INDIRECT("Data!C" &amp; 1957)</f>
        <v>0</v>
      </c>
      <c r="J1962" cm="1">
        <f t="array" aca="1" ref="J1962" ca="1">INDIRECT("Data!D" &amp; 1957)</f>
        <v>0</v>
      </c>
      <c r="K1962" cm="1">
        <f t="array" aca="1" ref="K1962" ca="1">INDIRECT("Data!E" &amp; 1957)</f>
        <v>0</v>
      </c>
      <c r="L1962" cm="1">
        <f t="array" aca="1" ref="L1962" ca="1">INDIRECT("Data!F" &amp; 1957)</f>
        <v>0</v>
      </c>
      <c r="M1962" cm="1">
        <f t="array" aca="1" ref="M1962" ca="1">INDIRECT("Data!G" &amp; 1957)</f>
        <v>0</v>
      </c>
      <c r="N1962" cm="1">
        <f t="array" aca="1" ref="N1962" ca="1">INDIRECT("Data!H" &amp; 1957)</f>
        <v>0</v>
      </c>
      <c r="O1962" cm="1">
        <f t="array" aca="1" ref="O1962" ca="1">INDIRECT("Data!I" &amp; 1957)</f>
        <v>0</v>
      </c>
      <c r="P1962" s="21" cm="1">
        <f t="array" aca="1" ref="P1962" ca="1">INDIRECT("Data!J" &amp; 1957)</f>
        <v>0</v>
      </c>
      <c r="Q1962" cm="1">
        <f t="array" aca="1" ref="Q1962" ca="1">INDIRECT("Data!K" &amp; 1957)</f>
        <v>0</v>
      </c>
      <c r="R1962" cm="1">
        <f t="array" aca="1" ref="R1962" ca="1">INDIRECT("Data!L" &amp; 1957)</f>
        <v>0</v>
      </c>
      <c r="S1962" cm="1">
        <f t="array" aca="1" ref="S1962" ca="1">INDIRECT("Data!M" &amp; 1957)</f>
        <v>0</v>
      </c>
      <c r="T1962" cm="1">
        <f t="array" aca="1" ref="T1962" ca="1">INDIRECT("Data!N" &amp; 1957)</f>
        <v>0</v>
      </c>
      <c r="U1962" cm="1">
        <f t="array" aca="1" ref="U1962" ca="1">INDIRECT("Data!O" &amp; 1957)</f>
        <v>0</v>
      </c>
      <c r="V1962" cm="1">
        <f t="array" aca="1" ref="V1962" ca="1">INDIRECT("Data!P" &amp; 1957)</f>
        <v>0</v>
      </c>
    </row>
    <row r="1963" spans="7:22" x14ac:dyDescent="0.25">
      <c r="G1963" cm="1">
        <f t="array" aca="1" ref="G1963" ca="1">INDIRECT("Data!A" &amp; 1958)</f>
        <v>0</v>
      </c>
      <c r="H1963" s="21" cm="1">
        <f t="array" aca="1" ref="H1963" ca="1">INDIRECT("Data!B" &amp; 1958)</f>
        <v>0</v>
      </c>
      <c r="I1963" s="21" cm="1">
        <f t="array" aca="1" ref="I1963" ca="1">INDIRECT("Data!C" &amp; 1958)</f>
        <v>0</v>
      </c>
      <c r="J1963" cm="1">
        <f t="array" aca="1" ref="J1963" ca="1">INDIRECT("Data!D" &amp; 1958)</f>
        <v>0</v>
      </c>
      <c r="K1963" cm="1">
        <f t="array" aca="1" ref="K1963" ca="1">INDIRECT("Data!E" &amp; 1958)</f>
        <v>0</v>
      </c>
      <c r="L1963" cm="1">
        <f t="array" aca="1" ref="L1963" ca="1">INDIRECT("Data!F" &amp; 1958)</f>
        <v>0</v>
      </c>
      <c r="M1963" cm="1">
        <f t="array" aca="1" ref="M1963" ca="1">INDIRECT("Data!G" &amp; 1958)</f>
        <v>0</v>
      </c>
      <c r="N1963" cm="1">
        <f t="array" aca="1" ref="N1963" ca="1">INDIRECT("Data!H" &amp; 1958)</f>
        <v>0</v>
      </c>
      <c r="O1963" cm="1">
        <f t="array" aca="1" ref="O1963" ca="1">INDIRECT("Data!I" &amp; 1958)</f>
        <v>0</v>
      </c>
      <c r="P1963" s="21" cm="1">
        <f t="array" aca="1" ref="P1963" ca="1">INDIRECT("Data!J" &amp; 1958)</f>
        <v>0</v>
      </c>
      <c r="Q1963" cm="1">
        <f t="array" aca="1" ref="Q1963" ca="1">INDIRECT("Data!K" &amp; 1958)</f>
        <v>0</v>
      </c>
      <c r="R1963" cm="1">
        <f t="array" aca="1" ref="R1963" ca="1">INDIRECT("Data!L" &amp; 1958)</f>
        <v>0</v>
      </c>
      <c r="S1963" cm="1">
        <f t="array" aca="1" ref="S1963" ca="1">INDIRECT("Data!M" &amp; 1958)</f>
        <v>0</v>
      </c>
      <c r="T1963" cm="1">
        <f t="array" aca="1" ref="T1963" ca="1">INDIRECT("Data!N" &amp; 1958)</f>
        <v>0</v>
      </c>
      <c r="U1963" cm="1">
        <f t="array" aca="1" ref="U1963" ca="1">INDIRECT("Data!O" &amp; 1958)</f>
        <v>0</v>
      </c>
      <c r="V1963" cm="1">
        <f t="array" aca="1" ref="V1963" ca="1">INDIRECT("Data!P" &amp; 1958)</f>
        <v>0</v>
      </c>
    </row>
    <row r="1964" spans="7:22" x14ac:dyDescent="0.25">
      <c r="G1964" cm="1">
        <f t="array" aca="1" ref="G1964" ca="1">INDIRECT("Data!A" &amp; 1959)</f>
        <v>0</v>
      </c>
      <c r="H1964" s="21" cm="1">
        <f t="array" aca="1" ref="H1964" ca="1">INDIRECT("Data!B" &amp; 1959)</f>
        <v>0</v>
      </c>
      <c r="I1964" s="21" cm="1">
        <f t="array" aca="1" ref="I1964" ca="1">INDIRECT("Data!C" &amp; 1959)</f>
        <v>0</v>
      </c>
      <c r="J1964" cm="1">
        <f t="array" aca="1" ref="J1964" ca="1">INDIRECT("Data!D" &amp; 1959)</f>
        <v>0</v>
      </c>
      <c r="K1964" cm="1">
        <f t="array" aca="1" ref="K1964" ca="1">INDIRECT("Data!E" &amp; 1959)</f>
        <v>0</v>
      </c>
      <c r="L1964" cm="1">
        <f t="array" aca="1" ref="L1964" ca="1">INDIRECT("Data!F" &amp; 1959)</f>
        <v>0</v>
      </c>
      <c r="M1964" cm="1">
        <f t="array" aca="1" ref="M1964" ca="1">INDIRECT("Data!G" &amp; 1959)</f>
        <v>0</v>
      </c>
      <c r="N1964" cm="1">
        <f t="array" aca="1" ref="N1964" ca="1">INDIRECT("Data!H" &amp; 1959)</f>
        <v>0</v>
      </c>
      <c r="O1964" cm="1">
        <f t="array" aca="1" ref="O1964" ca="1">INDIRECT("Data!I" &amp; 1959)</f>
        <v>0</v>
      </c>
      <c r="P1964" s="21" cm="1">
        <f t="array" aca="1" ref="P1964" ca="1">INDIRECT("Data!J" &amp; 1959)</f>
        <v>0</v>
      </c>
      <c r="Q1964" cm="1">
        <f t="array" aca="1" ref="Q1964" ca="1">INDIRECT("Data!K" &amp; 1959)</f>
        <v>0</v>
      </c>
      <c r="R1964" cm="1">
        <f t="array" aca="1" ref="R1964" ca="1">INDIRECT("Data!L" &amp; 1959)</f>
        <v>0</v>
      </c>
      <c r="S1964" cm="1">
        <f t="array" aca="1" ref="S1964" ca="1">INDIRECT("Data!M" &amp; 1959)</f>
        <v>0</v>
      </c>
      <c r="T1964" cm="1">
        <f t="array" aca="1" ref="T1964" ca="1">INDIRECT("Data!N" &amp; 1959)</f>
        <v>0</v>
      </c>
      <c r="U1964" cm="1">
        <f t="array" aca="1" ref="U1964" ca="1">INDIRECT("Data!O" &amp; 1959)</f>
        <v>0</v>
      </c>
      <c r="V1964" cm="1">
        <f t="array" aca="1" ref="V1964" ca="1">INDIRECT("Data!P" &amp; 1959)</f>
        <v>0</v>
      </c>
    </row>
    <row r="1965" spans="7:22" x14ac:dyDescent="0.25">
      <c r="G1965" cm="1">
        <f t="array" aca="1" ref="G1965" ca="1">INDIRECT("Data!A" &amp; 1960)</f>
        <v>0</v>
      </c>
      <c r="H1965" s="21" cm="1">
        <f t="array" aca="1" ref="H1965" ca="1">INDIRECT("Data!B" &amp; 1960)</f>
        <v>0</v>
      </c>
      <c r="I1965" s="21" cm="1">
        <f t="array" aca="1" ref="I1965" ca="1">INDIRECT("Data!C" &amp; 1960)</f>
        <v>0</v>
      </c>
      <c r="J1965" cm="1">
        <f t="array" aca="1" ref="J1965" ca="1">INDIRECT("Data!D" &amp; 1960)</f>
        <v>0</v>
      </c>
      <c r="K1965" cm="1">
        <f t="array" aca="1" ref="K1965" ca="1">INDIRECT("Data!E" &amp; 1960)</f>
        <v>0</v>
      </c>
      <c r="L1965" cm="1">
        <f t="array" aca="1" ref="L1965" ca="1">INDIRECT("Data!F" &amp; 1960)</f>
        <v>0</v>
      </c>
      <c r="M1965" cm="1">
        <f t="array" aca="1" ref="M1965" ca="1">INDIRECT("Data!G" &amp; 1960)</f>
        <v>0</v>
      </c>
      <c r="N1965" cm="1">
        <f t="array" aca="1" ref="N1965" ca="1">INDIRECT("Data!H" &amp; 1960)</f>
        <v>0</v>
      </c>
      <c r="O1965" cm="1">
        <f t="array" aca="1" ref="O1965" ca="1">INDIRECT("Data!I" &amp; 1960)</f>
        <v>0</v>
      </c>
      <c r="P1965" s="21" cm="1">
        <f t="array" aca="1" ref="P1965" ca="1">INDIRECT("Data!J" &amp; 1960)</f>
        <v>0</v>
      </c>
      <c r="Q1965" cm="1">
        <f t="array" aca="1" ref="Q1965" ca="1">INDIRECT("Data!K" &amp; 1960)</f>
        <v>0</v>
      </c>
      <c r="R1965" cm="1">
        <f t="array" aca="1" ref="R1965" ca="1">INDIRECT("Data!L" &amp; 1960)</f>
        <v>0</v>
      </c>
      <c r="S1965" cm="1">
        <f t="array" aca="1" ref="S1965" ca="1">INDIRECT("Data!M" &amp; 1960)</f>
        <v>0</v>
      </c>
      <c r="T1965" cm="1">
        <f t="array" aca="1" ref="T1965" ca="1">INDIRECT("Data!N" &amp; 1960)</f>
        <v>0</v>
      </c>
      <c r="U1965" cm="1">
        <f t="array" aca="1" ref="U1965" ca="1">INDIRECT("Data!O" &amp; 1960)</f>
        <v>0</v>
      </c>
      <c r="V1965" cm="1">
        <f t="array" aca="1" ref="V1965" ca="1">INDIRECT("Data!P" &amp; 1960)</f>
        <v>0</v>
      </c>
    </row>
    <row r="1966" spans="7:22" x14ac:dyDescent="0.25">
      <c r="G1966" cm="1">
        <f t="array" aca="1" ref="G1966" ca="1">INDIRECT("Data!A" &amp; 1961)</f>
        <v>0</v>
      </c>
      <c r="H1966" s="21" cm="1">
        <f t="array" aca="1" ref="H1966" ca="1">INDIRECT("Data!B" &amp; 1961)</f>
        <v>0</v>
      </c>
      <c r="I1966" s="21" cm="1">
        <f t="array" aca="1" ref="I1966" ca="1">INDIRECT("Data!C" &amp; 1961)</f>
        <v>0</v>
      </c>
      <c r="J1966" cm="1">
        <f t="array" aca="1" ref="J1966" ca="1">INDIRECT("Data!D" &amp; 1961)</f>
        <v>0</v>
      </c>
      <c r="K1966" cm="1">
        <f t="array" aca="1" ref="K1966" ca="1">INDIRECT("Data!E" &amp; 1961)</f>
        <v>0</v>
      </c>
      <c r="L1966" cm="1">
        <f t="array" aca="1" ref="L1966" ca="1">INDIRECT("Data!F" &amp; 1961)</f>
        <v>0</v>
      </c>
      <c r="M1966" cm="1">
        <f t="array" aca="1" ref="M1966" ca="1">INDIRECT("Data!G" &amp; 1961)</f>
        <v>0</v>
      </c>
      <c r="N1966" cm="1">
        <f t="array" aca="1" ref="N1966" ca="1">INDIRECT("Data!H" &amp; 1961)</f>
        <v>0</v>
      </c>
      <c r="O1966" cm="1">
        <f t="array" aca="1" ref="O1966" ca="1">INDIRECT("Data!I" &amp; 1961)</f>
        <v>0</v>
      </c>
      <c r="P1966" s="21" cm="1">
        <f t="array" aca="1" ref="P1966" ca="1">INDIRECT("Data!J" &amp; 1961)</f>
        <v>0</v>
      </c>
      <c r="Q1966" cm="1">
        <f t="array" aca="1" ref="Q1966" ca="1">INDIRECT("Data!K" &amp; 1961)</f>
        <v>0</v>
      </c>
      <c r="R1966" cm="1">
        <f t="array" aca="1" ref="R1966" ca="1">INDIRECT("Data!L" &amp; 1961)</f>
        <v>0</v>
      </c>
      <c r="S1966" cm="1">
        <f t="array" aca="1" ref="S1966" ca="1">INDIRECT("Data!M" &amp; 1961)</f>
        <v>0</v>
      </c>
      <c r="T1966" cm="1">
        <f t="array" aca="1" ref="T1966" ca="1">INDIRECT("Data!N" &amp; 1961)</f>
        <v>0</v>
      </c>
      <c r="U1966" cm="1">
        <f t="array" aca="1" ref="U1966" ca="1">INDIRECT("Data!O" &amp; 1961)</f>
        <v>0</v>
      </c>
      <c r="V1966" cm="1">
        <f t="array" aca="1" ref="V1966" ca="1">INDIRECT("Data!P" &amp; 1961)</f>
        <v>0</v>
      </c>
    </row>
    <row r="1967" spans="7:22" x14ac:dyDescent="0.25">
      <c r="G1967" cm="1">
        <f t="array" aca="1" ref="G1967" ca="1">INDIRECT("Data!A" &amp; 1962)</f>
        <v>0</v>
      </c>
      <c r="H1967" s="21" cm="1">
        <f t="array" aca="1" ref="H1967" ca="1">INDIRECT("Data!B" &amp; 1962)</f>
        <v>0</v>
      </c>
      <c r="I1967" s="21" cm="1">
        <f t="array" aca="1" ref="I1967" ca="1">INDIRECT("Data!C" &amp; 1962)</f>
        <v>0</v>
      </c>
      <c r="J1967" cm="1">
        <f t="array" aca="1" ref="J1967" ca="1">INDIRECT("Data!D" &amp; 1962)</f>
        <v>0</v>
      </c>
      <c r="K1967" cm="1">
        <f t="array" aca="1" ref="K1967" ca="1">INDIRECT("Data!E" &amp; 1962)</f>
        <v>0</v>
      </c>
      <c r="L1967" cm="1">
        <f t="array" aca="1" ref="L1967" ca="1">INDIRECT("Data!F" &amp; 1962)</f>
        <v>0</v>
      </c>
      <c r="M1967" cm="1">
        <f t="array" aca="1" ref="M1967" ca="1">INDIRECT("Data!G" &amp; 1962)</f>
        <v>0</v>
      </c>
      <c r="N1967" cm="1">
        <f t="array" aca="1" ref="N1967" ca="1">INDIRECT("Data!H" &amp; 1962)</f>
        <v>0</v>
      </c>
      <c r="O1967" cm="1">
        <f t="array" aca="1" ref="O1967" ca="1">INDIRECT("Data!I" &amp; 1962)</f>
        <v>0</v>
      </c>
      <c r="P1967" s="21" cm="1">
        <f t="array" aca="1" ref="P1967" ca="1">INDIRECT("Data!J" &amp; 1962)</f>
        <v>0</v>
      </c>
      <c r="Q1967" cm="1">
        <f t="array" aca="1" ref="Q1967" ca="1">INDIRECT("Data!K" &amp; 1962)</f>
        <v>0</v>
      </c>
      <c r="R1967" cm="1">
        <f t="array" aca="1" ref="R1967" ca="1">INDIRECT("Data!L" &amp; 1962)</f>
        <v>0</v>
      </c>
      <c r="S1967" cm="1">
        <f t="array" aca="1" ref="S1967" ca="1">INDIRECT("Data!M" &amp; 1962)</f>
        <v>0</v>
      </c>
      <c r="T1967" cm="1">
        <f t="array" aca="1" ref="T1967" ca="1">INDIRECT("Data!N" &amp; 1962)</f>
        <v>0</v>
      </c>
      <c r="U1967" cm="1">
        <f t="array" aca="1" ref="U1967" ca="1">INDIRECT("Data!O" &amp; 1962)</f>
        <v>0</v>
      </c>
      <c r="V1967" cm="1">
        <f t="array" aca="1" ref="V1967" ca="1">INDIRECT("Data!P" &amp; 1962)</f>
        <v>0</v>
      </c>
    </row>
    <row r="1968" spans="7:22" x14ac:dyDescent="0.25">
      <c r="G1968" cm="1">
        <f t="array" aca="1" ref="G1968" ca="1">INDIRECT("Data!A" &amp; 1963)</f>
        <v>0</v>
      </c>
      <c r="H1968" s="21" cm="1">
        <f t="array" aca="1" ref="H1968" ca="1">INDIRECT("Data!B" &amp; 1963)</f>
        <v>0</v>
      </c>
      <c r="I1968" s="21" cm="1">
        <f t="array" aca="1" ref="I1968" ca="1">INDIRECT("Data!C" &amp; 1963)</f>
        <v>0</v>
      </c>
      <c r="J1968" cm="1">
        <f t="array" aca="1" ref="J1968" ca="1">INDIRECT("Data!D" &amp; 1963)</f>
        <v>0</v>
      </c>
      <c r="K1968" cm="1">
        <f t="array" aca="1" ref="K1968" ca="1">INDIRECT("Data!E" &amp; 1963)</f>
        <v>0</v>
      </c>
      <c r="L1968" cm="1">
        <f t="array" aca="1" ref="L1968" ca="1">INDIRECT("Data!F" &amp; 1963)</f>
        <v>0</v>
      </c>
      <c r="M1968" cm="1">
        <f t="array" aca="1" ref="M1968" ca="1">INDIRECT("Data!G" &amp; 1963)</f>
        <v>0</v>
      </c>
      <c r="N1968" cm="1">
        <f t="array" aca="1" ref="N1968" ca="1">INDIRECT("Data!H" &amp; 1963)</f>
        <v>0</v>
      </c>
      <c r="O1968" cm="1">
        <f t="array" aca="1" ref="O1968" ca="1">INDIRECT("Data!I" &amp; 1963)</f>
        <v>0</v>
      </c>
      <c r="P1968" s="21" cm="1">
        <f t="array" aca="1" ref="P1968" ca="1">INDIRECT("Data!J" &amp; 1963)</f>
        <v>0</v>
      </c>
      <c r="Q1968" cm="1">
        <f t="array" aca="1" ref="Q1968" ca="1">INDIRECT("Data!K" &amp; 1963)</f>
        <v>0</v>
      </c>
      <c r="R1968" cm="1">
        <f t="array" aca="1" ref="R1968" ca="1">INDIRECT("Data!L" &amp; 1963)</f>
        <v>0</v>
      </c>
      <c r="S1968" cm="1">
        <f t="array" aca="1" ref="S1968" ca="1">INDIRECT("Data!M" &amp; 1963)</f>
        <v>0</v>
      </c>
      <c r="T1968" cm="1">
        <f t="array" aca="1" ref="T1968" ca="1">INDIRECT("Data!N" &amp; 1963)</f>
        <v>0</v>
      </c>
      <c r="U1968" cm="1">
        <f t="array" aca="1" ref="U1968" ca="1">INDIRECT("Data!O" &amp; 1963)</f>
        <v>0</v>
      </c>
      <c r="V1968" cm="1">
        <f t="array" aca="1" ref="V1968" ca="1">INDIRECT("Data!P" &amp; 1963)</f>
        <v>0</v>
      </c>
    </row>
    <row r="1969" spans="7:22" x14ac:dyDescent="0.25">
      <c r="G1969" cm="1">
        <f t="array" aca="1" ref="G1969" ca="1">INDIRECT("Data!A" &amp; 1964)</f>
        <v>0</v>
      </c>
      <c r="H1969" s="21" cm="1">
        <f t="array" aca="1" ref="H1969" ca="1">INDIRECT("Data!B" &amp; 1964)</f>
        <v>0</v>
      </c>
      <c r="I1969" s="21" cm="1">
        <f t="array" aca="1" ref="I1969" ca="1">INDIRECT("Data!C" &amp; 1964)</f>
        <v>0</v>
      </c>
      <c r="J1969" cm="1">
        <f t="array" aca="1" ref="J1969" ca="1">INDIRECT("Data!D" &amp; 1964)</f>
        <v>0</v>
      </c>
      <c r="K1969" cm="1">
        <f t="array" aca="1" ref="K1969" ca="1">INDIRECT("Data!E" &amp; 1964)</f>
        <v>0</v>
      </c>
      <c r="L1969" cm="1">
        <f t="array" aca="1" ref="L1969" ca="1">INDIRECT("Data!F" &amp; 1964)</f>
        <v>0</v>
      </c>
      <c r="M1969" cm="1">
        <f t="array" aca="1" ref="M1969" ca="1">INDIRECT("Data!G" &amp; 1964)</f>
        <v>0</v>
      </c>
      <c r="N1969" cm="1">
        <f t="array" aca="1" ref="N1969" ca="1">INDIRECT("Data!H" &amp; 1964)</f>
        <v>0</v>
      </c>
      <c r="O1969" cm="1">
        <f t="array" aca="1" ref="O1969" ca="1">INDIRECT("Data!I" &amp; 1964)</f>
        <v>0</v>
      </c>
      <c r="P1969" s="21" cm="1">
        <f t="array" aca="1" ref="P1969" ca="1">INDIRECT("Data!J" &amp; 1964)</f>
        <v>0</v>
      </c>
      <c r="Q1969" cm="1">
        <f t="array" aca="1" ref="Q1969" ca="1">INDIRECT("Data!K" &amp; 1964)</f>
        <v>0</v>
      </c>
      <c r="R1969" cm="1">
        <f t="array" aca="1" ref="R1969" ca="1">INDIRECT("Data!L" &amp; 1964)</f>
        <v>0</v>
      </c>
      <c r="S1969" cm="1">
        <f t="array" aca="1" ref="S1969" ca="1">INDIRECT("Data!M" &amp; 1964)</f>
        <v>0</v>
      </c>
      <c r="T1969" cm="1">
        <f t="array" aca="1" ref="T1969" ca="1">INDIRECT("Data!N" &amp; 1964)</f>
        <v>0</v>
      </c>
      <c r="U1969" cm="1">
        <f t="array" aca="1" ref="U1969" ca="1">INDIRECT("Data!O" &amp; 1964)</f>
        <v>0</v>
      </c>
      <c r="V1969" cm="1">
        <f t="array" aca="1" ref="V1969" ca="1">INDIRECT("Data!P" &amp; 1964)</f>
        <v>0</v>
      </c>
    </row>
    <row r="1970" spans="7:22" x14ac:dyDescent="0.25">
      <c r="G1970" cm="1">
        <f t="array" aca="1" ref="G1970" ca="1">INDIRECT("Data!A" &amp; 1965)</f>
        <v>0</v>
      </c>
      <c r="H1970" s="21" cm="1">
        <f t="array" aca="1" ref="H1970" ca="1">INDIRECT("Data!B" &amp; 1965)</f>
        <v>0</v>
      </c>
      <c r="I1970" s="21" cm="1">
        <f t="array" aca="1" ref="I1970" ca="1">INDIRECT("Data!C" &amp; 1965)</f>
        <v>0</v>
      </c>
      <c r="J1970" cm="1">
        <f t="array" aca="1" ref="J1970" ca="1">INDIRECT("Data!D" &amp; 1965)</f>
        <v>0</v>
      </c>
      <c r="K1970" cm="1">
        <f t="array" aca="1" ref="K1970" ca="1">INDIRECT("Data!E" &amp; 1965)</f>
        <v>0</v>
      </c>
      <c r="L1970" cm="1">
        <f t="array" aca="1" ref="L1970" ca="1">INDIRECT("Data!F" &amp; 1965)</f>
        <v>0</v>
      </c>
      <c r="M1970" cm="1">
        <f t="array" aca="1" ref="M1970" ca="1">INDIRECT("Data!G" &amp; 1965)</f>
        <v>0</v>
      </c>
      <c r="N1970" cm="1">
        <f t="array" aca="1" ref="N1970" ca="1">INDIRECT("Data!H" &amp; 1965)</f>
        <v>0</v>
      </c>
      <c r="O1970" cm="1">
        <f t="array" aca="1" ref="O1970" ca="1">INDIRECT("Data!I" &amp; 1965)</f>
        <v>0</v>
      </c>
      <c r="P1970" s="21" cm="1">
        <f t="array" aca="1" ref="P1970" ca="1">INDIRECT("Data!J" &amp; 1965)</f>
        <v>0</v>
      </c>
      <c r="Q1970" cm="1">
        <f t="array" aca="1" ref="Q1970" ca="1">INDIRECT("Data!K" &amp; 1965)</f>
        <v>0</v>
      </c>
      <c r="R1970" cm="1">
        <f t="array" aca="1" ref="R1970" ca="1">INDIRECT("Data!L" &amp; 1965)</f>
        <v>0</v>
      </c>
      <c r="S1970" cm="1">
        <f t="array" aca="1" ref="S1970" ca="1">INDIRECT("Data!M" &amp; 1965)</f>
        <v>0</v>
      </c>
      <c r="T1970" cm="1">
        <f t="array" aca="1" ref="T1970" ca="1">INDIRECT("Data!N" &amp; 1965)</f>
        <v>0</v>
      </c>
      <c r="U1970" cm="1">
        <f t="array" aca="1" ref="U1970" ca="1">INDIRECT("Data!O" &amp; 1965)</f>
        <v>0</v>
      </c>
      <c r="V1970" cm="1">
        <f t="array" aca="1" ref="V1970" ca="1">INDIRECT("Data!P" &amp; 1965)</f>
        <v>0</v>
      </c>
    </row>
    <row r="1971" spans="7:22" x14ac:dyDescent="0.25">
      <c r="G1971" cm="1">
        <f t="array" aca="1" ref="G1971" ca="1">INDIRECT("Data!A" &amp; 1966)</f>
        <v>0</v>
      </c>
      <c r="H1971" s="21" cm="1">
        <f t="array" aca="1" ref="H1971" ca="1">INDIRECT("Data!B" &amp; 1966)</f>
        <v>0</v>
      </c>
      <c r="I1971" s="21" cm="1">
        <f t="array" aca="1" ref="I1971" ca="1">INDIRECT("Data!C" &amp; 1966)</f>
        <v>0</v>
      </c>
      <c r="J1971" cm="1">
        <f t="array" aca="1" ref="J1971" ca="1">INDIRECT("Data!D" &amp; 1966)</f>
        <v>0</v>
      </c>
      <c r="K1971" cm="1">
        <f t="array" aca="1" ref="K1971" ca="1">INDIRECT("Data!E" &amp; 1966)</f>
        <v>0</v>
      </c>
      <c r="L1971" cm="1">
        <f t="array" aca="1" ref="L1971" ca="1">INDIRECT("Data!F" &amp; 1966)</f>
        <v>0</v>
      </c>
      <c r="M1971" cm="1">
        <f t="array" aca="1" ref="M1971" ca="1">INDIRECT("Data!G" &amp; 1966)</f>
        <v>0</v>
      </c>
      <c r="N1971" cm="1">
        <f t="array" aca="1" ref="N1971" ca="1">INDIRECT("Data!H" &amp; 1966)</f>
        <v>0</v>
      </c>
      <c r="O1971" cm="1">
        <f t="array" aca="1" ref="O1971" ca="1">INDIRECT("Data!I" &amp; 1966)</f>
        <v>0</v>
      </c>
      <c r="P1971" s="21" cm="1">
        <f t="array" aca="1" ref="P1971" ca="1">INDIRECT("Data!J" &amp; 1966)</f>
        <v>0</v>
      </c>
      <c r="Q1971" cm="1">
        <f t="array" aca="1" ref="Q1971" ca="1">INDIRECT("Data!K" &amp; 1966)</f>
        <v>0</v>
      </c>
      <c r="R1971" cm="1">
        <f t="array" aca="1" ref="R1971" ca="1">INDIRECT("Data!L" &amp; 1966)</f>
        <v>0</v>
      </c>
      <c r="S1971" cm="1">
        <f t="array" aca="1" ref="S1971" ca="1">INDIRECT("Data!M" &amp; 1966)</f>
        <v>0</v>
      </c>
      <c r="T1971" cm="1">
        <f t="array" aca="1" ref="T1971" ca="1">INDIRECT("Data!N" &amp; 1966)</f>
        <v>0</v>
      </c>
      <c r="U1971" cm="1">
        <f t="array" aca="1" ref="U1971" ca="1">INDIRECT("Data!O" &amp; 1966)</f>
        <v>0</v>
      </c>
      <c r="V1971" cm="1">
        <f t="array" aca="1" ref="V1971" ca="1">INDIRECT("Data!P" &amp; 1966)</f>
        <v>0</v>
      </c>
    </row>
    <row r="1972" spans="7:22" x14ac:dyDescent="0.25">
      <c r="G1972" cm="1">
        <f t="array" aca="1" ref="G1972" ca="1">INDIRECT("Data!A" &amp; 1967)</f>
        <v>0</v>
      </c>
      <c r="H1972" s="21" cm="1">
        <f t="array" aca="1" ref="H1972" ca="1">INDIRECT("Data!B" &amp; 1967)</f>
        <v>0</v>
      </c>
      <c r="I1972" s="21" cm="1">
        <f t="array" aca="1" ref="I1972" ca="1">INDIRECT("Data!C" &amp; 1967)</f>
        <v>0</v>
      </c>
      <c r="J1972" cm="1">
        <f t="array" aca="1" ref="J1972" ca="1">INDIRECT("Data!D" &amp; 1967)</f>
        <v>0</v>
      </c>
      <c r="K1972" cm="1">
        <f t="array" aca="1" ref="K1972" ca="1">INDIRECT("Data!E" &amp; 1967)</f>
        <v>0</v>
      </c>
      <c r="L1972" cm="1">
        <f t="array" aca="1" ref="L1972" ca="1">INDIRECT("Data!F" &amp; 1967)</f>
        <v>0</v>
      </c>
      <c r="M1972" cm="1">
        <f t="array" aca="1" ref="M1972" ca="1">INDIRECT("Data!G" &amp; 1967)</f>
        <v>0</v>
      </c>
      <c r="N1972" cm="1">
        <f t="array" aca="1" ref="N1972" ca="1">INDIRECT("Data!H" &amp; 1967)</f>
        <v>0</v>
      </c>
      <c r="O1972" cm="1">
        <f t="array" aca="1" ref="O1972" ca="1">INDIRECT("Data!I" &amp; 1967)</f>
        <v>0</v>
      </c>
      <c r="P1972" s="21" cm="1">
        <f t="array" aca="1" ref="P1972" ca="1">INDIRECT("Data!J" &amp; 1967)</f>
        <v>0</v>
      </c>
      <c r="Q1972" cm="1">
        <f t="array" aca="1" ref="Q1972" ca="1">INDIRECT("Data!K" &amp; 1967)</f>
        <v>0</v>
      </c>
      <c r="R1972" cm="1">
        <f t="array" aca="1" ref="R1972" ca="1">INDIRECT("Data!L" &amp; 1967)</f>
        <v>0</v>
      </c>
      <c r="S1972" cm="1">
        <f t="array" aca="1" ref="S1972" ca="1">INDIRECT("Data!M" &amp; 1967)</f>
        <v>0</v>
      </c>
      <c r="T1972" cm="1">
        <f t="array" aca="1" ref="T1972" ca="1">INDIRECT("Data!N" &amp; 1967)</f>
        <v>0</v>
      </c>
      <c r="U1972" cm="1">
        <f t="array" aca="1" ref="U1972" ca="1">INDIRECT("Data!O" &amp; 1967)</f>
        <v>0</v>
      </c>
      <c r="V1972" cm="1">
        <f t="array" aca="1" ref="V1972" ca="1">INDIRECT("Data!P" &amp; 1967)</f>
        <v>0</v>
      </c>
    </row>
    <row r="1973" spans="7:22" x14ac:dyDescent="0.25">
      <c r="G1973" cm="1">
        <f t="array" aca="1" ref="G1973" ca="1">INDIRECT("Data!A" &amp; 1968)</f>
        <v>0</v>
      </c>
      <c r="H1973" s="21" cm="1">
        <f t="array" aca="1" ref="H1973" ca="1">INDIRECT("Data!B" &amp; 1968)</f>
        <v>0</v>
      </c>
      <c r="I1973" s="21" cm="1">
        <f t="array" aca="1" ref="I1973" ca="1">INDIRECT("Data!C" &amp; 1968)</f>
        <v>0</v>
      </c>
      <c r="J1973" cm="1">
        <f t="array" aca="1" ref="J1973" ca="1">INDIRECT("Data!D" &amp; 1968)</f>
        <v>0</v>
      </c>
      <c r="K1973" cm="1">
        <f t="array" aca="1" ref="K1973" ca="1">INDIRECT("Data!E" &amp; 1968)</f>
        <v>0</v>
      </c>
      <c r="L1973" cm="1">
        <f t="array" aca="1" ref="L1973" ca="1">INDIRECT("Data!F" &amp; 1968)</f>
        <v>0</v>
      </c>
      <c r="M1973" cm="1">
        <f t="array" aca="1" ref="M1973" ca="1">INDIRECT("Data!G" &amp; 1968)</f>
        <v>0</v>
      </c>
      <c r="N1973" cm="1">
        <f t="array" aca="1" ref="N1973" ca="1">INDIRECT("Data!H" &amp; 1968)</f>
        <v>0</v>
      </c>
      <c r="O1973" cm="1">
        <f t="array" aca="1" ref="O1973" ca="1">INDIRECT("Data!I" &amp; 1968)</f>
        <v>0</v>
      </c>
      <c r="P1973" s="21" cm="1">
        <f t="array" aca="1" ref="P1973" ca="1">INDIRECT("Data!J" &amp; 1968)</f>
        <v>0</v>
      </c>
      <c r="Q1973" cm="1">
        <f t="array" aca="1" ref="Q1973" ca="1">INDIRECT("Data!K" &amp; 1968)</f>
        <v>0</v>
      </c>
      <c r="R1973" cm="1">
        <f t="array" aca="1" ref="R1973" ca="1">INDIRECT("Data!L" &amp; 1968)</f>
        <v>0</v>
      </c>
      <c r="S1973" cm="1">
        <f t="array" aca="1" ref="S1973" ca="1">INDIRECT("Data!M" &amp; 1968)</f>
        <v>0</v>
      </c>
      <c r="T1973" cm="1">
        <f t="array" aca="1" ref="T1973" ca="1">INDIRECT("Data!N" &amp; 1968)</f>
        <v>0</v>
      </c>
      <c r="U1973" cm="1">
        <f t="array" aca="1" ref="U1973" ca="1">INDIRECT("Data!O" &amp; 1968)</f>
        <v>0</v>
      </c>
      <c r="V1973" cm="1">
        <f t="array" aca="1" ref="V1973" ca="1">INDIRECT("Data!P" &amp; 1968)</f>
        <v>0</v>
      </c>
    </row>
    <row r="1974" spans="7:22" x14ac:dyDescent="0.25">
      <c r="G1974" cm="1">
        <f t="array" aca="1" ref="G1974" ca="1">INDIRECT("Data!A" &amp; 1969)</f>
        <v>0</v>
      </c>
      <c r="H1974" s="21" cm="1">
        <f t="array" aca="1" ref="H1974" ca="1">INDIRECT("Data!B" &amp; 1969)</f>
        <v>0</v>
      </c>
      <c r="I1974" s="21" cm="1">
        <f t="array" aca="1" ref="I1974" ca="1">INDIRECT("Data!C" &amp; 1969)</f>
        <v>0</v>
      </c>
      <c r="J1974" cm="1">
        <f t="array" aca="1" ref="J1974" ca="1">INDIRECT("Data!D" &amp; 1969)</f>
        <v>0</v>
      </c>
      <c r="K1974" cm="1">
        <f t="array" aca="1" ref="K1974" ca="1">INDIRECT("Data!E" &amp; 1969)</f>
        <v>0</v>
      </c>
      <c r="L1974" cm="1">
        <f t="array" aca="1" ref="L1974" ca="1">INDIRECT("Data!F" &amp; 1969)</f>
        <v>0</v>
      </c>
      <c r="M1974" cm="1">
        <f t="array" aca="1" ref="M1974" ca="1">INDIRECT("Data!G" &amp; 1969)</f>
        <v>0</v>
      </c>
      <c r="N1974" cm="1">
        <f t="array" aca="1" ref="N1974" ca="1">INDIRECT("Data!H" &amp; 1969)</f>
        <v>0</v>
      </c>
      <c r="O1974" cm="1">
        <f t="array" aca="1" ref="O1974" ca="1">INDIRECT("Data!I" &amp; 1969)</f>
        <v>0</v>
      </c>
      <c r="P1974" s="21" cm="1">
        <f t="array" aca="1" ref="P1974" ca="1">INDIRECT("Data!J" &amp; 1969)</f>
        <v>0</v>
      </c>
      <c r="Q1974" cm="1">
        <f t="array" aca="1" ref="Q1974" ca="1">INDIRECT("Data!K" &amp; 1969)</f>
        <v>0</v>
      </c>
      <c r="R1974" cm="1">
        <f t="array" aca="1" ref="R1974" ca="1">INDIRECT("Data!L" &amp; 1969)</f>
        <v>0</v>
      </c>
      <c r="S1974" cm="1">
        <f t="array" aca="1" ref="S1974" ca="1">INDIRECT("Data!M" &amp; 1969)</f>
        <v>0</v>
      </c>
      <c r="T1974" cm="1">
        <f t="array" aca="1" ref="T1974" ca="1">INDIRECT("Data!N" &amp; 1969)</f>
        <v>0</v>
      </c>
      <c r="U1974" cm="1">
        <f t="array" aca="1" ref="U1974" ca="1">INDIRECT("Data!O" &amp; 1969)</f>
        <v>0</v>
      </c>
      <c r="V1974" cm="1">
        <f t="array" aca="1" ref="V1974" ca="1">INDIRECT("Data!P" &amp; 1969)</f>
        <v>0</v>
      </c>
    </row>
    <row r="1975" spans="7:22" x14ac:dyDescent="0.25">
      <c r="G1975" cm="1">
        <f t="array" aca="1" ref="G1975" ca="1">INDIRECT("Data!A" &amp; 1970)</f>
        <v>0</v>
      </c>
      <c r="H1975" s="21" cm="1">
        <f t="array" aca="1" ref="H1975" ca="1">INDIRECT("Data!B" &amp; 1970)</f>
        <v>0</v>
      </c>
      <c r="I1975" s="21" cm="1">
        <f t="array" aca="1" ref="I1975" ca="1">INDIRECT("Data!C" &amp; 1970)</f>
        <v>0</v>
      </c>
      <c r="J1975" cm="1">
        <f t="array" aca="1" ref="J1975" ca="1">INDIRECT("Data!D" &amp; 1970)</f>
        <v>0</v>
      </c>
      <c r="K1975" cm="1">
        <f t="array" aca="1" ref="K1975" ca="1">INDIRECT("Data!E" &amp; 1970)</f>
        <v>0</v>
      </c>
      <c r="L1975" cm="1">
        <f t="array" aca="1" ref="L1975" ca="1">INDIRECT("Data!F" &amp; 1970)</f>
        <v>0</v>
      </c>
      <c r="M1975" cm="1">
        <f t="array" aca="1" ref="M1975" ca="1">INDIRECT("Data!G" &amp; 1970)</f>
        <v>0</v>
      </c>
      <c r="N1975" cm="1">
        <f t="array" aca="1" ref="N1975" ca="1">INDIRECT("Data!H" &amp; 1970)</f>
        <v>0</v>
      </c>
      <c r="O1975" cm="1">
        <f t="array" aca="1" ref="O1975" ca="1">INDIRECT("Data!I" &amp; 1970)</f>
        <v>0</v>
      </c>
      <c r="P1975" s="21" cm="1">
        <f t="array" aca="1" ref="P1975" ca="1">INDIRECT("Data!J" &amp; 1970)</f>
        <v>0</v>
      </c>
      <c r="Q1975" cm="1">
        <f t="array" aca="1" ref="Q1975" ca="1">INDIRECT("Data!K" &amp; 1970)</f>
        <v>0</v>
      </c>
      <c r="R1975" cm="1">
        <f t="array" aca="1" ref="R1975" ca="1">INDIRECT("Data!L" &amp; 1970)</f>
        <v>0</v>
      </c>
      <c r="S1975" cm="1">
        <f t="array" aca="1" ref="S1975" ca="1">INDIRECT("Data!M" &amp; 1970)</f>
        <v>0</v>
      </c>
      <c r="T1975" cm="1">
        <f t="array" aca="1" ref="T1975" ca="1">INDIRECT("Data!N" &amp; 1970)</f>
        <v>0</v>
      </c>
      <c r="U1975" cm="1">
        <f t="array" aca="1" ref="U1975" ca="1">INDIRECT("Data!O" &amp; 1970)</f>
        <v>0</v>
      </c>
      <c r="V1975" cm="1">
        <f t="array" aca="1" ref="V1975" ca="1">INDIRECT("Data!P" &amp; 1970)</f>
        <v>0</v>
      </c>
    </row>
    <row r="1976" spans="7:22" x14ac:dyDescent="0.25">
      <c r="G1976" cm="1">
        <f t="array" aca="1" ref="G1976" ca="1">INDIRECT("Data!A" &amp; 1971)</f>
        <v>0</v>
      </c>
      <c r="H1976" s="21" cm="1">
        <f t="array" aca="1" ref="H1976" ca="1">INDIRECT("Data!B" &amp; 1971)</f>
        <v>0</v>
      </c>
      <c r="I1976" s="21" cm="1">
        <f t="array" aca="1" ref="I1976" ca="1">INDIRECT("Data!C" &amp; 1971)</f>
        <v>0</v>
      </c>
      <c r="J1976" cm="1">
        <f t="array" aca="1" ref="J1976" ca="1">INDIRECT("Data!D" &amp; 1971)</f>
        <v>0</v>
      </c>
      <c r="K1976" cm="1">
        <f t="array" aca="1" ref="K1976" ca="1">INDIRECT("Data!E" &amp; 1971)</f>
        <v>0</v>
      </c>
      <c r="L1976" cm="1">
        <f t="array" aca="1" ref="L1976" ca="1">INDIRECT("Data!F" &amp; 1971)</f>
        <v>0</v>
      </c>
      <c r="M1976" cm="1">
        <f t="array" aca="1" ref="M1976" ca="1">INDIRECT("Data!G" &amp; 1971)</f>
        <v>0</v>
      </c>
      <c r="N1976" cm="1">
        <f t="array" aca="1" ref="N1976" ca="1">INDIRECT("Data!H" &amp; 1971)</f>
        <v>0</v>
      </c>
      <c r="O1976" cm="1">
        <f t="array" aca="1" ref="O1976" ca="1">INDIRECT("Data!I" &amp; 1971)</f>
        <v>0</v>
      </c>
      <c r="P1976" s="21" cm="1">
        <f t="array" aca="1" ref="P1976" ca="1">INDIRECT("Data!J" &amp; 1971)</f>
        <v>0</v>
      </c>
      <c r="Q1976" cm="1">
        <f t="array" aca="1" ref="Q1976" ca="1">INDIRECT("Data!K" &amp; 1971)</f>
        <v>0</v>
      </c>
      <c r="R1976" cm="1">
        <f t="array" aca="1" ref="R1976" ca="1">INDIRECT("Data!L" &amp; 1971)</f>
        <v>0</v>
      </c>
      <c r="S1976" cm="1">
        <f t="array" aca="1" ref="S1976" ca="1">INDIRECT("Data!M" &amp; 1971)</f>
        <v>0</v>
      </c>
      <c r="T1976" cm="1">
        <f t="array" aca="1" ref="T1976" ca="1">INDIRECT("Data!N" &amp; 1971)</f>
        <v>0</v>
      </c>
      <c r="U1976" cm="1">
        <f t="array" aca="1" ref="U1976" ca="1">INDIRECT("Data!O" &amp; 1971)</f>
        <v>0</v>
      </c>
      <c r="V1976" cm="1">
        <f t="array" aca="1" ref="V1976" ca="1">INDIRECT("Data!P" &amp; 1971)</f>
        <v>0</v>
      </c>
    </row>
    <row r="1977" spans="7:22" x14ac:dyDescent="0.25">
      <c r="G1977" cm="1">
        <f t="array" aca="1" ref="G1977" ca="1">INDIRECT("Data!A" &amp; 1972)</f>
        <v>0</v>
      </c>
      <c r="H1977" s="21" cm="1">
        <f t="array" aca="1" ref="H1977" ca="1">INDIRECT("Data!B" &amp; 1972)</f>
        <v>0</v>
      </c>
      <c r="I1977" s="21" cm="1">
        <f t="array" aca="1" ref="I1977" ca="1">INDIRECT("Data!C" &amp; 1972)</f>
        <v>0</v>
      </c>
      <c r="J1977" cm="1">
        <f t="array" aca="1" ref="J1977" ca="1">INDIRECT("Data!D" &amp; 1972)</f>
        <v>0</v>
      </c>
      <c r="K1977" cm="1">
        <f t="array" aca="1" ref="K1977" ca="1">INDIRECT("Data!E" &amp; 1972)</f>
        <v>0</v>
      </c>
      <c r="L1977" cm="1">
        <f t="array" aca="1" ref="L1977" ca="1">INDIRECT("Data!F" &amp; 1972)</f>
        <v>0</v>
      </c>
      <c r="M1977" cm="1">
        <f t="array" aca="1" ref="M1977" ca="1">INDIRECT("Data!G" &amp; 1972)</f>
        <v>0</v>
      </c>
      <c r="N1977" cm="1">
        <f t="array" aca="1" ref="N1977" ca="1">INDIRECT("Data!H" &amp; 1972)</f>
        <v>0</v>
      </c>
      <c r="O1977" cm="1">
        <f t="array" aca="1" ref="O1977" ca="1">INDIRECT("Data!I" &amp; 1972)</f>
        <v>0</v>
      </c>
      <c r="P1977" s="21" cm="1">
        <f t="array" aca="1" ref="P1977" ca="1">INDIRECT("Data!J" &amp; 1972)</f>
        <v>0</v>
      </c>
      <c r="Q1977" cm="1">
        <f t="array" aca="1" ref="Q1977" ca="1">INDIRECT("Data!K" &amp; 1972)</f>
        <v>0</v>
      </c>
      <c r="R1977" cm="1">
        <f t="array" aca="1" ref="R1977" ca="1">INDIRECT("Data!L" &amp; 1972)</f>
        <v>0</v>
      </c>
      <c r="S1977" cm="1">
        <f t="array" aca="1" ref="S1977" ca="1">INDIRECT("Data!M" &amp; 1972)</f>
        <v>0</v>
      </c>
      <c r="T1977" cm="1">
        <f t="array" aca="1" ref="T1977" ca="1">INDIRECT("Data!N" &amp; 1972)</f>
        <v>0</v>
      </c>
      <c r="U1977" cm="1">
        <f t="array" aca="1" ref="U1977" ca="1">INDIRECT("Data!O" &amp; 1972)</f>
        <v>0</v>
      </c>
      <c r="V1977" cm="1">
        <f t="array" aca="1" ref="V1977" ca="1">INDIRECT("Data!P" &amp; 1972)</f>
        <v>0</v>
      </c>
    </row>
    <row r="1978" spans="7:22" x14ac:dyDescent="0.25">
      <c r="G1978" cm="1">
        <f t="array" aca="1" ref="G1978" ca="1">INDIRECT("Data!A" &amp; 1973)</f>
        <v>0</v>
      </c>
      <c r="H1978" s="21" cm="1">
        <f t="array" aca="1" ref="H1978" ca="1">INDIRECT("Data!B" &amp; 1973)</f>
        <v>0</v>
      </c>
      <c r="I1978" s="21" cm="1">
        <f t="array" aca="1" ref="I1978" ca="1">INDIRECT("Data!C" &amp; 1973)</f>
        <v>0</v>
      </c>
      <c r="J1978" cm="1">
        <f t="array" aca="1" ref="J1978" ca="1">INDIRECT("Data!D" &amp; 1973)</f>
        <v>0</v>
      </c>
      <c r="K1978" cm="1">
        <f t="array" aca="1" ref="K1978" ca="1">INDIRECT("Data!E" &amp; 1973)</f>
        <v>0</v>
      </c>
      <c r="L1978" cm="1">
        <f t="array" aca="1" ref="L1978" ca="1">INDIRECT("Data!F" &amp; 1973)</f>
        <v>0</v>
      </c>
      <c r="M1978" cm="1">
        <f t="array" aca="1" ref="M1978" ca="1">INDIRECT("Data!G" &amp; 1973)</f>
        <v>0</v>
      </c>
      <c r="N1978" cm="1">
        <f t="array" aca="1" ref="N1978" ca="1">INDIRECT("Data!H" &amp; 1973)</f>
        <v>0</v>
      </c>
      <c r="O1978" cm="1">
        <f t="array" aca="1" ref="O1978" ca="1">INDIRECT("Data!I" &amp; 1973)</f>
        <v>0</v>
      </c>
      <c r="P1978" s="21" cm="1">
        <f t="array" aca="1" ref="P1978" ca="1">INDIRECT("Data!J" &amp; 1973)</f>
        <v>0</v>
      </c>
      <c r="Q1978" cm="1">
        <f t="array" aca="1" ref="Q1978" ca="1">INDIRECT("Data!K" &amp; 1973)</f>
        <v>0</v>
      </c>
      <c r="R1978" cm="1">
        <f t="array" aca="1" ref="R1978" ca="1">INDIRECT("Data!L" &amp; 1973)</f>
        <v>0</v>
      </c>
      <c r="S1978" cm="1">
        <f t="array" aca="1" ref="S1978" ca="1">INDIRECT("Data!M" &amp; 1973)</f>
        <v>0</v>
      </c>
      <c r="T1978" cm="1">
        <f t="array" aca="1" ref="T1978" ca="1">INDIRECT("Data!N" &amp; 1973)</f>
        <v>0</v>
      </c>
      <c r="U1978" cm="1">
        <f t="array" aca="1" ref="U1978" ca="1">INDIRECT("Data!O" &amp; 1973)</f>
        <v>0</v>
      </c>
      <c r="V1978" cm="1">
        <f t="array" aca="1" ref="V1978" ca="1">INDIRECT("Data!P" &amp; 1973)</f>
        <v>0</v>
      </c>
    </row>
    <row r="1979" spans="7:22" x14ac:dyDescent="0.25">
      <c r="G1979" cm="1">
        <f t="array" aca="1" ref="G1979" ca="1">INDIRECT("Data!A" &amp; 1974)</f>
        <v>0</v>
      </c>
      <c r="H1979" s="21" cm="1">
        <f t="array" aca="1" ref="H1979" ca="1">INDIRECT("Data!B" &amp; 1974)</f>
        <v>0</v>
      </c>
      <c r="I1979" s="21" cm="1">
        <f t="array" aca="1" ref="I1979" ca="1">INDIRECT("Data!C" &amp; 1974)</f>
        <v>0</v>
      </c>
      <c r="J1979" cm="1">
        <f t="array" aca="1" ref="J1979" ca="1">INDIRECT("Data!D" &amp; 1974)</f>
        <v>0</v>
      </c>
      <c r="K1979" cm="1">
        <f t="array" aca="1" ref="K1979" ca="1">INDIRECT("Data!E" &amp; 1974)</f>
        <v>0</v>
      </c>
      <c r="L1979" cm="1">
        <f t="array" aca="1" ref="L1979" ca="1">INDIRECT("Data!F" &amp; 1974)</f>
        <v>0</v>
      </c>
      <c r="M1979" cm="1">
        <f t="array" aca="1" ref="M1979" ca="1">INDIRECT("Data!G" &amp; 1974)</f>
        <v>0</v>
      </c>
      <c r="N1979" cm="1">
        <f t="array" aca="1" ref="N1979" ca="1">INDIRECT("Data!H" &amp; 1974)</f>
        <v>0</v>
      </c>
      <c r="O1979" cm="1">
        <f t="array" aca="1" ref="O1979" ca="1">INDIRECT("Data!I" &amp; 1974)</f>
        <v>0</v>
      </c>
      <c r="P1979" s="21" cm="1">
        <f t="array" aca="1" ref="P1979" ca="1">INDIRECT("Data!J" &amp; 1974)</f>
        <v>0</v>
      </c>
      <c r="Q1979" cm="1">
        <f t="array" aca="1" ref="Q1979" ca="1">INDIRECT("Data!K" &amp; 1974)</f>
        <v>0</v>
      </c>
      <c r="R1979" cm="1">
        <f t="array" aca="1" ref="R1979" ca="1">INDIRECT("Data!L" &amp; 1974)</f>
        <v>0</v>
      </c>
      <c r="S1979" cm="1">
        <f t="array" aca="1" ref="S1979" ca="1">INDIRECT("Data!M" &amp; 1974)</f>
        <v>0</v>
      </c>
      <c r="T1979" cm="1">
        <f t="array" aca="1" ref="T1979" ca="1">INDIRECT("Data!N" &amp; 1974)</f>
        <v>0</v>
      </c>
      <c r="U1979" cm="1">
        <f t="array" aca="1" ref="U1979" ca="1">INDIRECT("Data!O" &amp; 1974)</f>
        <v>0</v>
      </c>
      <c r="V1979" cm="1">
        <f t="array" aca="1" ref="V1979" ca="1">INDIRECT("Data!P" &amp; 1974)</f>
        <v>0</v>
      </c>
    </row>
    <row r="1980" spans="7:22" x14ac:dyDescent="0.25">
      <c r="G1980" cm="1">
        <f t="array" aca="1" ref="G1980" ca="1">INDIRECT("Data!A" &amp; 1975)</f>
        <v>0</v>
      </c>
      <c r="H1980" s="21" cm="1">
        <f t="array" aca="1" ref="H1980" ca="1">INDIRECT("Data!B" &amp; 1975)</f>
        <v>0</v>
      </c>
      <c r="I1980" s="21" cm="1">
        <f t="array" aca="1" ref="I1980" ca="1">INDIRECT("Data!C" &amp; 1975)</f>
        <v>0</v>
      </c>
      <c r="J1980" cm="1">
        <f t="array" aca="1" ref="J1980" ca="1">INDIRECT("Data!D" &amp; 1975)</f>
        <v>0</v>
      </c>
      <c r="K1980" cm="1">
        <f t="array" aca="1" ref="K1980" ca="1">INDIRECT("Data!E" &amp; 1975)</f>
        <v>0</v>
      </c>
      <c r="L1980" cm="1">
        <f t="array" aca="1" ref="L1980" ca="1">INDIRECT("Data!F" &amp; 1975)</f>
        <v>0</v>
      </c>
      <c r="M1980" cm="1">
        <f t="array" aca="1" ref="M1980" ca="1">INDIRECT("Data!G" &amp; 1975)</f>
        <v>0</v>
      </c>
      <c r="N1980" cm="1">
        <f t="array" aca="1" ref="N1980" ca="1">INDIRECT("Data!H" &amp; 1975)</f>
        <v>0</v>
      </c>
      <c r="O1980" cm="1">
        <f t="array" aca="1" ref="O1980" ca="1">INDIRECT("Data!I" &amp; 1975)</f>
        <v>0</v>
      </c>
      <c r="P1980" s="21" cm="1">
        <f t="array" aca="1" ref="P1980" ca="1">INDIRECT("Data!J" &amp; 1975)</f>
        <v>0</v>
      </c>
      <c r="Q1980" cm="1">
        <f t="array" aca="1" ref="Q1980" ca="1">INDIRECT("Data!K" &amp; 1975)</f>
        <v>0</v>
      </c>
      <c r="R1980" cm="1">
        <f t="array" aca="1" ref="R1980" ca="1">INDIRECT("Data!L" &amp; 1975)</f>
        <v>0</v>
      </c>
      <c r="S1980" cm="1">
        <f t="array" aca="1" ref="S1980" ca="1">INDIRECT("Data!M" &amp; 1975)</f>
        <v>0</v>
      </c>
      <c r="T1980" cm="1">
        <f t="array" aca="1" ref="T1980" ca="1">INDIRECT("Data!N" &amp; 1975)</f>
        <v>0</v>
      </c>
      <c r="U1980" cm="1">
        <f t="array" aca="1" ref="U1980" ca="1">INDIRECT("Data!O" &amp; 1975)</f>
        <v>0</v>
      </c>
      <c r="V1980" cm="1">
        <f t="array" aca="1" ref="V1980" ca="1">INDIRECT("Data!P" &amp; 1975)</f>
        <v>0</v>
      </c>
    </row>
    <row r="1981" spans="7:22" x14ac:dyDescent="0.25">
      <c r="G1981" cm="1">
        <f t="array" aca="1" ref="G1981" ca="1">INDIRECT("Data!A" &amp; 1976)</f>
        <v>0</v>
      </c>
      <c r="H1981" s="21" cm="1">
        <f t="array" aca="1" ref="H1981" ca="1">INDIRECT("Data!B" &amp; 1976)</f>
        <v>0</v>
      </c>
      <c r="I1981" s="21" cm="1">
        <f t="array" aca="1" ref="I1981" ca="1">INDIRECT("Data!C" &amp; 1976)</f>
        <v>0</v>
      </c>
      <c r="J1981" cm="1">
        <f t="array" aca="1" ref="J1981" ca="1">INDIRECT("Data!D" &amp; 1976)</f>
        <v>0</v>
      </c>
      <c r="K1981" cm="1">
        <f t="array" aca="1" ref="K1981" ca="1">INDIRECT("Data!E" &amp; 1976)</f>
        <v>0</v>
      </c>
      <c r="L1981" cm="1">
        <f t="array" aca="1" ref="L1981" ca="1">INDIRECT("Data!F" &amp; 1976)</f>
        <v>0</v>
      </c>
      <c r="M1981" cm="1">
        <f t="array" aca="1" ref="M1981" ca="1">INDIRECT("Data!G" &amp; 1976)</f>
        <v>0</v>
      </c>
      <c r="N1981" cm="1">
        <f t="array" aca="1" ref="N1981" ca="1">INDIRECT("Data!H" &amp; 1976)</f>
        <v>0</v>
      </c>
      <c r="O1981" cm="1">
        <f t="array" aca="1" ref="O1981" ca="1">INDIRECT("Data!I" &amp; 1976)</f>
        <v>0</v>
      </c>
      <c r="P1981" s="21" cm="1">
        <f t="array" aca="1" ref="P1981" ca="1">INDIRECT("Data!J" &amp; 1976)</f>
        <v>0</v>
      </c>
      <c r="Q1981" cm="1">
        <f t="array" aca="1" ref="Q1981" ca="1">INDIRECT("Data!K" &amp; 1976)</f>
        <v>0</v>
      </c>
      <c r="R1981" cm="1">
        <f t="array" aca="1" ref="R1981" ca="1">INDIRECT("Data!L" &amp; 1976)</f>
        <v>0</v>
      </c>
      <c r="S1981" cm="1">
        <f t="array" aca="1" ref="S1981" ca="1">INDIRECT("Data!M" &amp; 1976)</f>
        <v>0</v>
      </c>
      <c r="T1981" cm="1">
        <f t="array" aca="1" ref="T1981" ca="1">INDIRECT("Data!N" &amp; 1976)</f>
        <v>0</v>
      </c>
      <c r="U1981" cm="1">
        <f t="array" aca="1" ref="U1981" ca="1">INDIRECT("Data!O" &amp; 1976)</f>
        <v>0</v>
      </c>
      <c r="V1981" cm="1">
        <f t="array" aca="1" ref="V1981" ca="1">INDIRECT("Data!P" &amp; 1976)</f>
        <v>0</v>
      </c>
    </row>
    <row r="1982" spans="7:22" x14ac:dyDescent="0.25">
      <c r="G1982" cm="1">
        <f t="array" aca="1" ref="G1982" ca="1">INDIRECT("Data!A" &amp; 1977)</f>
        <v>0</v>
      </c>
      <c r="H1982" s="21" cm="1">
        <f t="array" aca="1" ref="H1982" ca="1">INDIRECT("Data!B" &amp; 1977)</f>
        <v>0</v>
      </c>
      <c r="I1982" s="21" cm="1">
        <f t="array" aca="1" ref="I1982" ca="1">INDIRECT("Data!C" &amp; 1977)</f>
        <v>0</v>
      </c>
      <c r="J1982" cm="1">
        <f t="array" aca="1" ref="J1982" ca="1">INDIRECT("Data!D" &amp; 1977)</f>
        <v>0</v>
      </c>
      <c r="K1982" cm="1">
        <f t="array" aca="1" ref="K1982" ca="1">INDIRECT("Data!E" &amp; 1977)</f>
        <v>0</v>
      </c>
      <c r="L1982" cm="1">
        <f t="array" aca="1" ref="L1982" ca="1">INDIRECT("Data!F" &amp; 1977)</f>
        <v>0</v>
      </c>
      <c r="M1982" cm="1">
        <f t="array" aca="1" ref="M1982" ca="1">INDIRECT("Data!G" &amp; 1977)</f>
        <v>0</v>
      </c>
      <c r="N1982" cm="1">
        <f t="array" aca="1" ref="N1982" ca="1">INDIRECT("Data!H" &amp; 1977)</f>
        <v>0</v>
      </c>
      <c r="O1982" cm="1">
        <f t="array" aca="1" ref="O1982" ca="1">INDIRECT("Data!I" &amp; 1977)</f>
        <v>0</v>
      </c>
      <c r="P1982" s="21" cm="1">
        <f t="array" aca="1" ref="P1982" ca="1">INDIRECT("Data!J" &amp; 1977)</f>
        <v>0</v>
      </c>
      <c r="Q1982" cm="1">
        <f t="array" aca="1" ref="Q1982" ca="1">INDIRECT("Data!K" &amp; 1977)</f>
        <v>0</v>
      </c>
      <c r="R1982" cm="1">
        <f t="array" aca="1" ref="R1982" ca="1">INDIRECT("Data!L" &amp; 1977)</f>
        <v>0</v>
      </c>
      <c r="S1982" cm="1">
        <f t="array" aca="1" ref="S1982" ca="1">INDIRECT("Data!M" &amp; 1977)</f>
        <v>0</v>
      </c>
      <c r="T1982" cm="1">
        <f t="array" aca="1" ref="T1982" ca="1">INDIRECT("Data!N" &amp; 1977)</f>
        <v>0</v>
      </c>
      <c r="U1982" cm="1">
        <f t="array" aca="1" ref="U1982" ca="1">INDIRECT("Data!O" &amp; 1977)</f>
        <v>0</v>
      </c>
      <c r="V1982" cm="1">
        <f t="array" aca="1" ref="V1982" ca="1">INDIRECT("Data!P" &amp; 1977)</f>
        <v>0</v>
      </c>
    </row>
    <row r="1983" spans="7:22" x14ac:dyDescent="0.25">
      <c r="G1983" cm="1">
        <f t="array" aca="1" ref="G1983" ca="1">INDIRECT("Data!A" &amp; 1978)</f>
        <v>0</v>
      </c>
      <c r="H1983" s="21" cm="1">
        <f t="array" aca="1" ref="H1983" ca="1">INDIRECT("Data!B" &amp; 1978)</f>
        <v>0</v>
      </c>
      <c r="I1983" s="21" cm="1">
        <f t="array" aca="1" ref="I1983" ca="1">INDIRECT("Data!C" &amp; 1978)</f>
        <v>0</v>
      </c>
      <c r="J1983" cm="1">
        <f t="array" aca="1" ref="J1983" ca="1">INDIRECT("Data!D" &amp; 1978)</f>
        <v>0</v>
      </c>
      <c r="K1983" cm="1">
        <f t="array" aca="1" ref="K1983" ca="1">INDIRECT("Data!E" &amp; 1978)</f>
        <v>0</v>
      </c>
      <c r="L1983" cm="1">
        <f t="array" aca="1" ref="L1983" ca="1">INDIRECT("Data!F" &amp; 1978)</f>
        <v>0</v>
      </c>
      <c r="M1983" cm="1">
        <f t="array" aca="1" ref="M1983" ca="1">INDIRECT("Data!G" &amp; 1978)</f>
        <v>0</v>
      </c>
      <c r="N1983" cm="1">
        <f t="array" aca="1" ref="N1983" ca="1">INDIRECT("Data!H" &amp; 1978)</f>
        <v>0</v>
      </c>
      <c r="O1983" cm="1">
        <f t="array" aca="1" ref="O1983" ca="1">INDIRECT("Data!I" &amp; 1978)</f>
        <v>0</v>
      </c>
      <c r="P1983" s="21" cm="1">
        <f t="array" aca="1" ref="P1983" ca="1">INDIRECT("Data!J" &amp; 1978)</f>
        <v>0</v>
      </c>
      <c r="Q1983" cm="1">
        <f t="array" aca="1" ref="Q1983" ca="1">INDIRECT("Data!K" &amp; 1978)</f>
        <v>0</v>
      </c>
      <c r="R1983" cm="1">
        <f t="array" aca="1" ref="R1983" ca="1">INDIRECT("Data!L" &amp; 1978)</f>
        <v>0</v>
      </c>
      <c r="S1983" cm="1">
        <f t="array" aca="1" ref="S1983" ca="1">INDIRECT("Data!M" &amp; 1978)</f>
        <v>0</v>
      </c>
      <c r="T1983" cm="1">
        <f t="array" aca="1" ref="T1983" ca="1">INDIRECT("Data!N" &amp; 1978)</f>
        <v>0</v>
      </c>
      <c r="U1983" cm="1">
        <f t="array" aca="1" ref="U1983" ca="1">INDIRECT("Data!O" &amp; 1978)</f>
        <v>0</v>
      </c>
      <c r="V1983" cm="1">
        <f t="array" aca="1" ref="V1983" ca="1">INDIRECT("Data!P" &amp; 1978)</f>
        <v>0</v>
      </c>
    </row>
    <row r="1984" spans="7:22" x14ac:dyDescent="0.25">
      <c r="G1984" cm="1">
        <f t="array" aca="1" ref="G1984" ca="1">INDIRECT("Data!A" &amp; 1979)</f>
        <v>0</v>
      </c>
      <c r="H1984" s="21" cm="1">
        <f t="array" aca="1" ref="H1984" ca="1">INDIRECT("Data!B" &amp; 1979)</f>
        <v>0</v>
      </c>
      <c r="I1984" s="21" cm="1">
        <f t="array" aca="1" ref="I1984" ca="1">INDIRECT("Data!C" &amp; 1979)</f>
        <v>0</v>
      </c>
      <c r="J1984" cm="1">
        <f t="array" aca="1" ref="J1984" ca="1">INDIRECT("Data!D" &amp; 1979)</f>
        <v>0</v>
      </c>
      <c r="K1984" cm="1">
        <f t="array" aca="1" ref="K1984" ca="1">INDIRECT("Data!E" &amp; 1979)</f>
        <v>0</v>
      </c>
      <c r="L1984" cm="1">
        <f t="array" aca="1" ref="L1984" ca="1">INDIRECT("Data!F" &amp; 1979)</f>
        <v>0</v>
      </c>
      <c r="M1984" cm="1">
        <f t="array" aca="1" ref="M1984" ca="1">INDIRECT("Data!G" &amp; 1979)</f>
        <v>0</v>
      </c>
      <c r="N1984" cm="1">
        <f t="array" aca="1" ref="N1984" ca="1">INDIRECT("Data!H" &amp; 1979)</f>
        <v>0</v>
      </c>
      <c r="O1984" cm="1">
        <f t="array" aca="1" ref="O1984" ca="1">INDIRECT("Data!I" &amp; 1979)</f>
        <v>0</v>
      </c>
      <c r="P1984" s="21" cm="1">
        <f t="array" aca="1" ref="P1984" ca="1">INDIRECT("Data!J" &amp; 1979)</f>
        <v>0</v>
      </c>
      <c r="Q1984" cm="1">
        <f t="array" aca="1" ref="Q1984" ca="1">INDIRECT("Data!K" &amp; 1979)</f>
        <v>0</v>
      </c>
      <c r="R1984" cm="1">
        <f t="array" aca="1" ref="R1984" ca="1">INDIRECT("Data!L" &amp; 1979)</f>
        <v>0</v>
      </c>
      <c r="S1984" cm="1">
        <f t="array" aca="1" ref="S1984" ca="1">INDIRECT("Data!M" &amp; 1979)</f>
        <v>0</v>
      </c>
      <c r="T1984" cm="1">
        <f t="array" aca="1" ref="T1984" ca="1">INDIRECT("Data!N" &amp; 1979)</f>
        <v>0</v>
      </c>
      <c r="U1984" cm="1">
        <f t="array" aca="1" ref="U1984" ca="1">INDIRECT("Data!O" &amp; 1979)</f>
        <v>0</v>
      </c>
      <c r="V1984" cm="1">
        <f t="array" aca="1" ref="V1984" ca="1">INDIRECT("Data!P" &amp; 1979)</f>
        <v>0</v>
      </c>
    </row>
    <row r="1985" spans="7:22" x14ac:dyDescent="0.25">
      <c r="G1985" cm="1">
        <f t="array" aca="1" ref="G1985" ca="1">INDIRECT("Data!A" &amp; 1980)</f>
        <v>0</v>
      </c>
      <c r="H1985" s="21" cm="1">
        <f t="array" aca="1" ref="H1985" ca="1">INDIRECT("Data!B" &amp; 1980)</f>
        <v>0</v>
      </c>
      <c r="I1985" s="21" cm="1">
        <f t="array" aca="1" ref="I1985" ca="1">INDIRECT("Data!C" &amp; 1980)</f>
        <v>0</v>
      </c>
      <c r="J1985" cm="1">
        <f t="array" aca="1" ref="J1985" ca="1">INDIRECT("Data!D" &amp; 1980)</f>
        <v>0</v>
      </c>
      <c r="K1985" cm="1">
        <f t="array" aca="1" ref="K1985" ca="1">INDIRECT("Data!E" &amp; 1980)</f>
        <v>0</v>
      </c>
      <c r="L1985" cm="1">
        <f t="array" aca="1" ref="L1985" ca="1">INDIRECT("Data!F" &amp; 1980)</f>
        <v>0</v>
      </c>
      <c r="M1985" cm="1">
        <f t="array" aca="1" ref="M1985" ca="1">INDIRECT("Data!G" &amp; 1980)</f>
        <v>0</v>
      </c>
      <c r="N1985" cm="1">
        <f t="array" aca="1" ref="N1985" ca="1">INDIRECT("Data!H" &amp; 1980)</f>
        <v>0</v>
      </c>
      <c r="O1985" cm="1">
        <f t="array" aca="1" ref="O1985" ca="1">INDIRECT("Data!I" &amp; 1980)</f>
        <v>0</v>
      </c>
      <c r="P1985" s="21" cm="1">
        <f t="array" aca="1" ref="P1985" ca="1">INDIRECT("Data!J" &amp; 1980)</f>
        <v>0</v>
      </c>
      <c r="Q1985" cm="1">
        <f t="array" aca="1" ref="Q1985" ca="1">INDIRECT("Data!K" &amp; 1980)</f>
        <v>0</v>
      </c>
      <c r="R1985" cm="1">
        <f t="array" aca="1" ref="R1985" ca="1">INDIRECT("Data!L" &amp; 1980)</f>
        <v>0</v>
      </c>
      <c r="S1985" cm="1">
        <f t="array" aca="1" ref="S1985" ca="1">INDIRECT("Data!M" &amp; 1980)</f>
        <v>0</v>
      </c>
      <c r="T1985" cm="1">
        <f t="array" aca="1" ref="T1985" ca="1">INDIRECT("Data!N" &amp; 1980)</f>
        <v>0</v>
      </c>
      <c r="U1985" cm="1">
        <f t="array" aca="1" ref="U1985" ca="1">INDIRECT("Data!O" &amp; 1980)</f>
        <v>0</v>
      </c>
      <c r="V1985" cm="1">
        <f t="array" aca="1" ref="V1985" ca="1">INDIRECT("Data!P" &amp; 1980)</f>
        <v>0</v>
      </c>
    </row>
    <row r="1986" spans="7:22" x14ac:dyDescent="0.25">
      <c r="G1986" cm="1">
        <f t="array" aca="1" ref="G1986" ca="1">INDIRECT("Data!A" &amp; 1981)</f>
        <v>0</v>
      </c>
      <c r="H1986" s="21" cm="1">
        <f t="array" aca="1" ref="H1986" ca="1">INDIRECT("Data!B" &amp; 1981)</f>
        <v>0</v>
      </c>
      <c r="I1986" s="21" cm="1">
        <f t="array" aca="1" ref="I1986" ca="1">INDIRECT("Data!C" &amp; 1981)</f>
        <v>0</v>
      </c>
      <c r="J1986" cm="1">
        <f t="array" aca="1" ref="J1986" ca="1">INDIRECT("Data!D" &amp; 1981)</f>
        <v>0</v>
      </c>
      <c r="K1986" cm="1">
        <f t="array" aca="1" ref="K1986" ca="1">INDIRECT("Data!E" &amp; 1981)</f>
        <v>0</v>
      </c>
      <c r="L1986" cm="1">
        <f t="array" aca="1" ref="L1986" ca="1">INDIRECT("Data!F" &amp; 1981)</f>
        <v>0</v>
      </c>
      <c r="M1986" cm="1">
        <f t="array" aca="1" ref="M1986" ca="1">INDIRECT("Data!G" &amp; 1981)</f>
        <v>0</v>
      </c>
      <c r="N1986" cm="1">
        <f t="array" aca="1" ref="N1986" ca="1">INDIRECT("Data!H" &amp; 1981)</f>
        <v>0</v>
      </c>
      <c r="O1986" cm="1">
        <f t="array" aca="1" ref="O1986" ca="1">INDIRECT("Data!I" &amp; 1981)</f>
        <v>0</v>
      </c>
      <c r="P1986" s="21" cm="1">
        <f t="array" aca="1" ref="P1986" ca="1">INDIRECT("Data!J" &amp; 1981)</f>
        <v>0</v>
      </c>
      <c r="Q1986" cm="1">
        <f t="array" aca="1" ref="Q1986" ca="1">INDIRECT("Data!K" &amp; 1981)</f>
        <v>0</v>
      </c>
      <c r="R1986" cm="1">
        <f t="array" aca="1" ref="R1986" ca="1">INDIRECT("Data!L" &amp; 1981)</f>
        <v>0</v>
      </c>
      <c r="S1986" cm="1">
        <f t="array" aca="1" ref="S1986" ca="1">INDIRECT("Data!M" &amp; 1981)</f>
        <v>0</v>
      </c>
      <c r="T1986" cm="1">
        <f t="array" aca="1" ref="T1986" ca="1">INDIRECT("Data!N" &amp; 1981)</f>
        <v>0</v>
      </c>
      <c r="U1986" cm="1">
        <f t="array" aca="1" ref="U1986" ca="1">INDIRECT("Data!O" &amp; 1981)</f>
        <v>0</v>
      </c>
      <c r="V1986" cm="1">
        <f t="array" aca="1" ref="V1986" ca="1">INDIRECT("Data!P" &amp; 1981)</f>
        <v>0</v>
      </c>
    </row>
    <row r="1987" spans="7:22" x14ac:dyDescent="0.25">
      <c r="G1987" cm="1">
        <f t="array" aca="1" ref="G1987" ca="1">INDIRECT("Data!A" &amp; 1982)</f>
        <v>0</v>
      </c>
      <c r="H1987" s="21" cm="1">
        <f t="array" aca="1" ref="H1987" ca="1">INDIRECT("Data!B" &amp; 1982)</f>
        <v>0</v>
      </c>
      <c r="I1987" s="21" cm="1">
        <f t="array" aca="1" ref="I1987" ca="1">INDIRECT("Data!C" &amp; 1982)</f>
        <v>0</v>
      </c>
      <c r="J1987" cm="1">
        <f t="array" aca="1" ref="J1987" ca="1">INDIRECT("Data!D" &amp; 1982)</f>
        <v>0</v>
      </c>
      <c r="K1987" cm="1">
        <f t="array" aca="1" ref="K1987" ca="1">INDIRECT("Data!E" &amp; 1982)</f>
        <v>0</v>
      </c>
      <c r="L1987" cm="1">
        <f t="array" aca="1" ref="L1987" ca="1">INDIRECT("Data!F" &amp; 1982)</f>
        <v>0</v>
      </c>
      <c r="M1987" cm="1">
        <f t="array" aca="1" ref="M1987" ca="1">INDIRECT("Data!G" &amp; 1982)</f>
        <v>0</v>
      </c>
      <c r="N1987" cm="1">
        <f t="array" aca="1" ref="N1987" ca="1">INDIRECT("Data!H" &amp; 1982)</f>
        <v>0</v>
      </c>
      <c r="O1987" cm="1">
        <f t="array" aca="1" ref="O1987" ca="1">INDIRECT("Data!I" &amp; 1982)</f>
        <v>0</v>
      </c>
      <c r="P1987" s="21" cm="1">
        <f t="array" aca="1" ref="P1987" ca="1">INDIRECT("Data!J" &amp; 1982)</f>
        <v>0</v>
      </c>
      <c r="Q1987" cm="1">
        <f t="array" aca="1" ref="Q1987" ca="1">INDIRECT("Data!K" &amp; 1982)</f>
        <v>0</v>
      </c>
      <c r="R1987" cm="1">
        <f t="array" aca="1" ref="R1987" ca="1">INDIRECT("Data!L" &amp; 1982)</f>
        <v>0</v>
      </c>
      <c r="S1987" cm="1">
        <f t="array" aca="1" ref="S1987" ca="1">INDIRECT("Data!M" &amp; 1982)</f>
        <v>0</v>
      </c>
      <c r="T1987" cm="1">
        <f t="array" aca="1" ref="T1987" ca="1">INDIRECT("Data!N" &amp; 1982)</f>
        <v>0</v>
      </c>
      <c r="U1987" cm="1">
        <f t="array" aca="1" ref="U1987" ca="1">INDIRECT("Data!O" &amp; 1982)</f>
        <v>0</v>
      </c>
      <c r="V1987" cm="1">
        <f t="array" aca="1" ref="V1987" ca="1">INDIRECT("Data!P" &amp; 1982)</f>
        <v>0</v>
      </c>
    </row>
    <row r="1988" spans="7:22" x14ac:dyDescent="0.25">
      <c r="G1988" cm="1">
        <f t="array" aca="1" ref="G1988" ca="1">INDIRECT("Data!A" &amp; 1983)</f>
        <v>0</v>
      </c>
      <c r="H1988" s="21" cm="1">
        <f t="array" aca="1" ref="H1988" ca="1">INDIRECT("Data!B" &amp; 1983)</f>
        <v>0</v>
      </c>
      <c r="I1988" s="21" cm="1">
        <f t="array" aca="1" ref="I1988" ca="1">INDIRECT("Data!C" &amp; 1983)</f>
        <v>0</v>
      </c>
      <c r="J1988" cm="1">
        <f t="array" aca="1" ref="J1988" ca="1">INDIRECT("Data!D" &amp; 1983)</f>
        <v>0</v>
      </c>
      <c r="K1988" cm="1">
        <f t="array" aca="1" ref="K1988" ca="1">INDIRECT("Data!E" &amp; 1983)</f>
        <v>0</v>
      </c>
      <c r="L1988" cm="1">
        <f t="array" aca="1" ref="L1988" ca="1">INDIRECT("Data!F" &amp; 1983)</f>
        <v>0</v>
      </c>
      <c r="M1988" cm="1">
        <f t="array" aca="1" ref="M1988" ca="1">INDIRECT("Data!G" &amp; 1983)</f>
        <v>0</v>
      </c>
      <c r="N1988" cm="1">
        <f t="array" aca="1" ref="N1988" ca="1">INDIRECT("Data!H" &amp; 1983)</f>
        <v>0</v>
      </c>
      <c r="O1988" cm="1">
        <f t="array" aca="1" ref="O1988" ca="1">INDIRECT("Data!I" &amp; 1983)</f>
        <v>0</v>
      </c>
      <c r="P1988" s="21" cm="1">
        <f t="array" aca="1" ref="P1988" ca="1">INDIRECT("Data!J" &amp; 1983)</f>
        <v>0</v>
      </c>
      <c r="Q1988" cm="1">
        <f t="array" aca="1" ref="Q1988" ca="1">INDIRECT("Data!K" &amp; 1983)</f>
        <v>0</v>
      </c>
      <c r="R1988" cm="1">
        <f t="array" aca="1" ref="R1988" ca="1">INDIRECT("Data!L" &amp; 1983)</f>
        <v>0</v>
      </c>
      <c r="S1988" cm="1">
        <f t="array" aca="1" ref="S1988" ca="1">INDIRECT("Data!M" &amp; 1983)</f>
        <v>0</v>
      </c>
      <c r="T1988" cm="1">
        <f t="array" aca="1" ref="T1988" ca="1">INDIRECT("Data!N" &amp; 1983)</f>
        <v>0</v>
      </c>
      <c r="U1988" cm="1">
        <f t="array" aca="1" ref="U1988" ca="1">INDIRECT("Data!O" &amp; 1983)</f>
        <v>0</v>
      </c>
      <c r="V1988" cm="1">
        <f t="array" aca="1" ref="V1988" ca="1">INDIRECT("Data!P" &amp; 1983)</f>
        <v>0</v>
      </c>
    </row>
    <row r="1989" spans="7:22" x14ac:dyDescent="0.25">
      <c r="G1989" cm="1">
        <f t="array" aca="1" ref="G1989" ca="1">INDIRECT("Data!A" &amp; 1984)</f>
        <v>0</v>
      </c>
      <c r="H1989" s="21" cm="1">
        <f t="array" aca="1" ref="H1989" ca="1">INDIRECT("Data!B" &amp; 1984)</f>
        <v>0</v>
      </c>
      <c r="I1989" s="21" cm="1">
        <f t="array" aca="1" ref="I1989" ca="1">INDIRECT("Data!C" &amp; 1984)</f>
        <v>0</v>
      </c>
      <c r="J1989" cm="1">
        <f t="array" aca="1" ref="J1989" ca="1">INDIRECT("Data!D" &amp; 1984)</f>
        <v>0</v>
      </c>
      <c r="K1989" cm="1">
        <f t="array" aca="1" ref="K1989" ca="1">INDIRECT("Data!E" &amp; 1984)</f>
        <v>0</v>
      </c>
      <c r="L1989" cm="1">
        <f t="array" aca="1" ref="L1989" ca="1">INDIRECT("Data!F" &amp; 1984)</f>
        <v>0</v>
      </c>
      <c r="M1989" cm="1">
        <f t="array" aca="1" ref="M1989" ca="1">INDIRECT("Data!G" &amp; 1984)</f>
        <v>0</v>
      </c>
      <c r="N1989" cm="1">
        <f t="array" aca="1" ref="N1989" ca="1">INDIRECT("Data!H" &amp; 1984)</f>
        <v>0</v>
      </c>
      <c r="O1989" cm="1">
        <f t="array" aca="1" ref="O1989" ca="1">INDIRECT("Data!I" &amp; 1984)</f>
        <v>0</v>
      </c>
      <c r="P1989" s="21" cm="1">
        <f t="array" aca="1" ref="P1989" ca="1">INDIRECT("Data!J" &amp; 1984)</f>
        <v>0</v>
      </c>
      <c r="Q1989" cm="1">
        <f t="array" aca="1" ref="Q1989" ca="1">INDIRECT("Data!K" &amp; 1984)</f>
        <v>0</v>
      </c>
      <c r="R1989" cm="1">
        <f t="array" aca="1" ref="R1989" ca="1">INDIRECT("Data!L" &amp; 1984)</f>
        <v>0</v>
      </c>
      <c r="S1989" cm="1">
        <f t="array" aca="1" ref="S1989" ca="1">INDIRECT("Data!M" &amp; 1984)</f>
        <v>0</v>
      </c>
      <c r="T1989" cm="1">
        <f t="array" aca="1" ref="T1989" ca="1">INDIRECT("Data!N" &amp; 1984)</f>
        <v>0</v>
      </c>
      <c r="U1989" cm="1">
        <f t="array" aca="1" ref="U1989" ca="1">INDIRECT("Data!O" &amp; 1984)</f>
        <v>0</v>
      </c>
      <c r="V1989" cm="1">
        <f t="array" aca="1" ref="V1989" ca="1">INDIRECT("Data!P" &amp; 1984)</f>
        <v>0</v>
      </c>
    </row>
    <row r="1990" spans="7:22" x14ac:dyDescent="0.25">
      <c r="G1990" cm="1">
        <f t="array" aca="1" ref="G1990" ca="1">INDIRECT("Data!A" &amp; 1985)</f>
        <v>0</v>
      </c>
      <c r="H1990" s="21" cm="1">
        <f t="array" aca="1" ref="H1990" ca="1">INDIRECT("Data!B" &amp; 1985)</f>
        <v>0</v>
      </c>
      <c r="I1990" s="21" cm="1">
        <f t="array" aca="1" ref="I1990" ca="1">INDIRECT("Data!C" &amp; 1985)</f>
        <v>0</v>
      </c>
      <c r="J1990" cm="1">
        <f t="array" aca="1" ref="J1990" ca="1">INDIRECT("Data!D" &amp; 1985)</f>
        <v>0</v>
      </c>
      <c r="K1990" cm="1">
        <f t="array" aca="1" ref="K1990" ca="1">INDIRECT("Data!E" &amp; 1985)</f>
        <v>0</v>
      </c>
      <c r="L1990" cm="1">
        <f t="array" aca="1" ref="L1990" ca="1">INDIRECT("Data!F" &amp; 1985)</f>
        <v>0</v>
      </c>
      <c r="M1990" cm="1">
        <f t="array" aca="1" ref="M1990" ca="1">INDIRECT("Data!G" &amp; 1985)</f>
        <v>0</v>
      </c>
      <c r="N1990" cm="1">
        <f t="array" aca="1" ref="N1990" ca="1">INDIRECT("Data!H" &amp; 1985)</f>
        <v>0</v>
      </c>
      <c r="O1990" cm="1">
        <f t="array" aca="1" ref="O1990" ca="1">INDIRECT("Data!I" &amp; 1985)</f>
        <v>0</v>
      </c>
      <c r="P1990" s="21" cm="1">
        <f t="array" aca="1" ref="P1990" ca="1">INDIRECT("Data!J" &amp; 1985)</f>
        <v>0</v>
      </c>
      <c r="Q1990" cm="1">
        <f t="array" aca="1" ref="Q1990" ca="1">INDIRECT("Data!K" &amp; 1985)</f>
        <v>0</v>
      </c>
      <c r="R1990" cm="1">
        <f t="array" aca="1" ref="R1990" ca="1">INDIRECT("Data!L" &amp; 1985)</f>
        <v>0</v>
      </c>
      <c r="S1990" cm="1">
        <f t="array" aca="1" ref="S1990" ca="1">INDIRECT("Data!M" &amp; 1985)</f>
        <v>0</v>
      </c>
      <c r="T1990" cm="1">
        <f t="array" aca="1" ref="T1990" ca="1">INDIRECT("Data!N" &amp; 1985)</f>
        <v>0</v>
      </c>
      <c r="U1990" cm="1">
        <f t="array" aca="1" ref="U1990" ca="1">INDIRECT("Data!O" &amp; 1985)</f>
        <v>0</v>
      </c>
      <c r="V1990" cm="1">
        <f t="array" aca="1" ref="V1990" ca="1">INDIRECT("Data!P" &amp; 1985)</f>
        <v>0</v>
      </c>
    </row>
    <row r="1991" spans="7:22" x14ac:dyDescent="0.25">
      <c r="G1991" cm="1">
        <f t="array" aca="1" ref="G1991" ca="1">INDIRECT("Data!A" &amp; 1986)</f>
        <v>0</v>
      </c>
      <c r="H1991" s="21" cm="1">
        <f t="array" aca="1" ref="H1991" ca="1">INDIRECT("Data!B" &amp; 1986)</f>
        <v>0</v>
      </c>
      <c r="I1991" s="21" cm="1">
        <f t="array" aca="1" ref="I1991" ca="1">INDIRECT("Data!C" &amp; 1986)</f>
        <v>0</v>
      </c>
      <c r="J1991" cm="1">
        <f t="array" aca="1" ref="J1991" ca="1">INDIRECT("Data!D" &amp; 1986)</f>
        <v>0</v>
      </c>
      <c r="K1991" cm="1">
        <f t="array" aca="1" ref="K1991" ca="1">INDIRECT("Data!E" &amp; 1986)</f>
        <v>0</v>
      </c>
      <c r="L1991" cm="1">
        <f t="array" aca="1" ref="L1991" ca="1">INDIRECT("Data!F" &amp; 1986)</f>
        <v>0</v>
      </c>
      <c r="M1991" cm="1">
        <f t="array" aca="1" ref="M1991" ca="1">INDIRECT("Data!G" &amp; 1986)</f>
        <v>0</v>
      </c>
      <c r="N1991" cm="1">
        <f t="array" aca="1" ref="N1991" ca="1">INDIRECT("Data!H" &amp; 1986)</f>
        <v>0</v>
      </c>
      <c r="O1991" cm="1">
        <f t="array" aca="1" ref="O1991" ca="1">INDIRECT("Data!I" &amp; 1986)</f>
        <v>0</v>
      </c>
      <c r="P1991" s="21" cm="1">
        <f t="array" aca="1" ref="P1991" ca="1">INDIRECT("Data!J" &amp; 1986)</f>
        <v>0</v>
      </c>
      <c r="Q1991" cm="1">
        <f t="array" aca="1" ref="Q1991" ca="1">INDIRECT("Data!K" &amp; 1986)</f>
        <v>0</v>
      </c>
      <c r="R1991" cm="1">
        <f t="array" aca="1" ref="R1991" ca="1">INDIRECT("Data!L" &amp; 1986)</f>
        <v>0</v>
      </c>
      <c r="S1991" cm="1">
        <f t="array" aca="1" ref="S1991" ca="1">INDIRECT("Data!M" &amp; 1986)</f>
        <v>0</v>
      </c>
      <c r="T1991" cm="1">
        <f t="array" aca="1" ref="T1991" ca="1">INDIRECT("Data!N" &amp; 1986)</f>
        <v>0</v>
      </c>
      <c r="U1991" cm="1">
        <f t="array" aca="1" ref="U1991" ca="1">INDIRECT("Data!O" &amp; 1986)</f>
        <v>0</v>
      </c>
      <c r="V1991" cm="1">
        <f t="array" aca="1" ref="V1991" ca="1">INDIRECT("Data!P" &amp; 1986)</f>
        <v>0</v>
      </c>
    </row>
    <row r="1992" spans="7:22" x14ac:dyDescent="0.25">
      <c r="G1992" cm="1">
        <f t="array" aca="1" ref="G1992" ca="1">INDIRECT("Data!A" &amp; 1987)</f>
        <v>0</v>
      </c>
      <c r="H1992" s="21" cm="1">
        <f t="array" aca="1" ref="H1992" ca="1">INDIRECT("Data!B" &amp; 1987)</f>
        <v>0</v>
      </c>
      <c r="I1992" s="21" cm="1">
        <f t="array" aca="1" ref="I1992" ca="1">INDIRECT("Data!C" &amp; 1987)</f>
        <v>0</v>
      </c>
      <c r="J1992" cm="1">
        <f t="array" aca="1" ref="J1992" ca="1">INDIRECT("Data!D" &amp; 1987)</f>
        <v>0</v>
      </c>
      <c r="K1992" cm="1">
        <f t="array" aca="1" ref="K1992" ca="1">INDIRECT("Data!E" &amp; 1987)</f>
        <v>0</v>
      </c>
      <c r="L1992" cm="1">
        <f t="array" aca="1" ref="L1992" ca="1">INDIRECT("Data!F" &amp; 1987)</f>
        <v>0</v>
      </c>
      <c r="M1992" cm="1">
        <f t="array" aca="1" ref="M1992" ca="1">INDIRECT("Data!G" &amp; 1987)</f>
        <v>0</v>
      </c>
      <c r="N1992" cm="1">
        <f t="array" aca="1" ref="N1992" ca="1">INDIRECT("Data!H" &amp; 1987)</f>
        <v>0</v>
      </c>
      <c r="O1992" cm="1">
        <f t="array" aca="1" ref="O1992" ca="1">INDIRECT("Data!I" &amp; 1987)</f>
        <v>0</v>
      </c>
      <c r="P1992" s="21" cm="1">
        <f t="array" aca="1" ref="P1992" ca="1">INDIRECT("Data!J" &amp; 1987)</f>
        <v>0</v>
      </c>
      <c r="Q1992" cm="1">
        <f t="array" aca="1" ref="Q1992" ca="1">INDIRECT("Data!K" &amp; 1987)</f>
        <v>0</v>
      </c>
      <c r="R1992" cm="1">
        <f t="array" aca="1" ref="R1992" ca="1">INDIRECT("Data!L" &amp; 1987)</f>
        <v>0</v>
      </c>
      <c r="S1992" cm="1">
        <f t="array" aca="1" ref="S1992" ca="1">INDIRECT("Data!M" &amp; 1987)</f>
        <v>0</v>
      </c>
      <c r="T1992" cm="1">
        <f t="array" aca="1" ref="T1992" ca="1">INDIRECT("Data!N" &amp; 1987)</f>
        <v>0</v>
      </c>
      <c r="U1992" cm="1">
        <f t="array" aca="1" ref="U1992" ca="1">INDIRECT("Data!O" &amp; 1987)</f>
        <v>0</v>
      </c>
      <c r="V1992" cm="1">
        <f t="array" aca="1" ref="V1992" ca="1">INDIRECT("Data!P" &amp; 1987)</f>
        <v>0</v>
      </c>
    </row>
    <row r="1993" spans="7:22" x14ac:dyDescent="0.25">
      <c r="G1993" cm="1">
        <f t="array" aca="1" ref="G1993" ca="1">INDIRECT("Data!A" &amp; 1988)</f>
        <v>0</v>
      </c>
      <c r="H1993" s="21" cm="1">
        <f t="array" aca="1" ref="H1993" ca="1">INDIRECT("Data!B" &amp; 1988)</f>
        <v>0</v>
      </c>
      <c r="I1993" s="21" cm="1">
        <f t="array" aca="1" ref="I1993" ca="1">INDIRECT("Data!C" &amp; 1988)</f>
        <v>0</v>
      </c>
      <c r="J1993" cm="1">
        <f t="array" aca="1" ref="J1993" ca="1">INDIRECT("Data!D" &amp; 1988)</f>
        <v>0</v>
      </c>
      <c r="K1993" cm="1">
        <f t="array" aca="1" ref="K1993" ca="1">INDIRECT("Data!E" &amp; 1988)</f>
        <v>0</v>
      </c>
      <c r="L1993" cm="1">
        <f t="array" aca="1" ref="L1993" ca="1">INDIRECT("Data!F" &amp; 1988)</f>
        <v>0</v>
      </c>
      <c r="M1993" cm="1">
        <f t="array" aca="1" ref="M1993" ca="1">INDIRECT("Data!G" &amp; 1988)</f>
        <v>0</v>
      </c>
      <c r="N1993" cm="1">
        <f t="array" aca="1" ref="N1993" ca="1">INDIRECT("Data!H" &amp; 1988)</f>
        <v>0</v>
      </c>
      <c r="O1993" cm="1">
        <f t="array" aca="1" ref="O1993" ca="1">INDIRECT("Data!I" &amp; 1988)</f>
        <v>0</v>
      </c>
      <c r="P1993" s="21" cm="1">
        <f t="array" aca="1" ref="P1993" ca="1">INDIRECT("Data!J" &amp; 1988)</f>
        <v>0</v>
      </c>
      <c r="Q1993" cm="1">
        <f t="array" aca="1" ref="Q1993" ca="1">INDIRECT("Data!K" &amp; 1988)</f>
        <v>0</v>
      </c>
      <c r="R1993" cm="1">
        <f t="array" aca="1" ref="R1993" ca="1">INDIRECT("Data!L" &amp; 1988)</f>
        <v>0</v>
      </c>
      <c r="S1993" cm="1">
        <f t="array" aca="1" ref="S1993" ca="1">INDIRECT("Data!M" &amp; 1988)</f>
        <v>0</v>
      </c>
      <c r="T1993" cm="1">
        <f t="array" aca="1" ref="T1993" ca="1">INDIRECT("Data!N" &amp; 1988)</f>
        <v>0</v>
      </c>
      <c r="U1993" cm="1">
        <f t="array" aca="1" ref="U1993" ca="1">INDIRECT("Data!O" &amp; 1988)</f>
        <v>0</v>
      </c>
      <c r="V1993" cm="1">
        <f t="array" aca="1" ref="V1993" ca="1">INDIRECT("Data!P" &amp; 1988)</f>
        <v>0</v>
      </c>
    </row>
    <row r="1994" spans="7:22" x14ac:dyDescent="0.25">
      <c r="G1994" cm="1">
        <f t="array" aca="1" ref="G1994" ca="1">INDIRECT("Data!A"&amp;1989)</f>
        <v>0</v>
      </c>
      <c r="H1994" s="21" cm="1">
        <f t="array" aca="1" ref="H1994" ca="1">INDIRECT("Data!B"&amp;1989)</f>
        <v>0</v>
      </c>
      <c r="I1994" s="21" cm="1">
        <f t="array" aca="1" ref="I1994" ca="1">INDIRECT("Data!C"&amp;1989)</f>
        <v>0</v>
      </c>
      <c r="J1994" cm="1">
        <f t="array" aca="1" ref="J1994" ca="1">INDIRECT("Data!D"&amp;1989)</f>
        <v>0</v>
      </c>
      <c r="K1994" cm="1">
        <f t="array" aca="1" ref="K1994" ca="1">INDIRECT("Data!E"&amp;1989)</f>
        <v>0</v>
      </c>
      <c r="L1994" cm="1">
        <f t="array" aca="1" ref="L1994" ca="1">INDIRECT("Data!F"&amp;1989)</f>
        <v>0</v>
      </c>
      <c r="M1994" cm="1">
        <f t="array" aca="1" ref="M1994" ca="1">INDIRECT("Data!G"&amp;1989)</f>
        <v>0</v>
      </c>
      <c r="N1994" cm="1">
        <f t="array" aca="1" ref="N1994" ca="1">INDIRECT("Data!H"&amp;1989)</f>
        <v>0</v>
      </c>
      <c r="O1994" cm="1">
        <f t="array" aca="1" ref="O1994" ca="1">INDIRECT("Data!I"&amp;1989)</f>
        <v>0</v>
      </c>
      <c r="P1994" s="21" cm="1">
        <f t="array" aca="1" ref="P1994" ca="1">INDIRECT("Data!J"&amp;1989)</f>
        <v>0</v>
      </c>
      <c r="Q1994" cm="1">
        <f t="array" aca="1" ref="Q1994" ca="1">INDIRECT("Data!K"&amp;1989)</f>
        <v>0</v>
      </c>
      <c r="R1994" cm="1">
        <f t="array" aca="1" ref="R1994" ca="1">INDIRECT("Data!L"&amp;1989)</f>
        <v>0</v>
      </c>
      <c r="S1994" cm="1">
        <f t="array" aca="1" ref="S1994" ca="1">INDIRECT("Data!M"&amp;1989)</f>
        <v>0</v>
      </c>
      <c r="T1994" cm="1">
        <f t="array" aca="1" ref="T1994" ca="1">INDIRECT("Data!N"&amp;1989)</f>
        <v>0</v>
      </c>
      <c r="U1994" cm="1">
        <f t="array" aca="1" ref="U1994" ca="1">INDIRECT("Data!O"&amp;1989)</f>
        <v>0</v>
      </c>
      <c r="V1994" cm="1">
        <f t="array" aca="1" ref="V1994" ca="1">INDIRECT("Data!P"&amp;1989)</f>
        <v>0</v>
      </c>
    </row>
    <row r="1995" spans="7:22" x14ac:dyDescent="0.25">
      <c r="G1995" cm="1">
        <f t="array" aca="1" ref="G1995" ca="1">INDIRECT("Data!A" &amp; 1990)</f>
        <v>0</v>
      </c>
      <c r="H1995" s="21" cm="1">
        <f t="array" aca="1" ref="H1995" ca="1">INDIRECT("Data!B" &amp; 1990)</f>
        <v>0</v>
      </c>
      <c r="I1995" s="21" cm="1">
        <f t="array" aca="1" ref="I1995" ca="1">INDIRECT("Data!C" &amp; 1990)</f>
        <v>0</v>
      </c>
      <c r="J1995" cm="1">
        <f t="array" aca="1" ref="J1995" ca="1">INDIRECT("Data!D" &amp; 1990)</f>
        <v>0</v>
      </c>
      <c r="K1995" cm="1">
        <f t="array" aca="1" ref="K1995" ca="1">INDIRECT("Data!E" &amp; 1990)</f>
        <v>0</v>
      </c>
      <c r="L1995" cm="1">
        <f t="array" aca="1" ref="L1995" ca="1">INDIRECT("Data!F" &amp; 1990)</f>
        <v>0</v>
      </c>
      <c r="M1995" cm="1">
        <f t="array" aca="1" ref="M1995" ca="1">INDIRECT("Data!G" &amp; 1990)</f>
        <v>0</v>
      </c>
      <c r="N1995" cm="1">
        <f t="array" aca="1" ref="N1995" ca="1">INDIRECT("Data!H" &amp; 1990)</f>
        <v>0</v>
      </c>
      <c r="O1995" cm="1">
        <f t="array" aca="1" ref="O1995" ca="1">INDIRECT("Data!I" &amp; 1990)</f>
        <v>0</v>
      </c>
      <c r="P1995" s="21" cm="1">
        <f t="array" aca="1" ref="P1995" ca="1">INDIRECT("Data!J" &amp; 1990)</f>
        <v>0</v>
      </c>
      <c r="Q1995" cm="1">
        <f t="array" aca="1" ref="Q1995" ca="1">INDIRECT("Data!K" &amp; 1990)</f>
        <v>0</v>
      </c>
      <c r="R1995" cm="1">
        <f t="array" aca="1" ref="R1995" ca="1">INDIRECT("Data!L" &amp; 1990)</f>
        <v>0</v>
      </c>
      <c r="S1995" cm="1">
        <f t="array" aca="1" ref="S1995" ca="1">INDIRECT("Data!M" &amp; 1990)</f>
        <v>0</v>
      </c>
      <c r="T1995" cm="1">
        <f t="array" aca="1" ref="T1995" ca="1">INDIRECT("Data!N" &amp; 1990)</f>
        <v>0</v>
      </c>
      <c r="U1995" cm="1">
        <f t="array" aca="1" ref="U1995" ca="1">INDIRECT("Data!O" &amp; 1990)</f>
        <v>0</v>
      </c>
      <c r="V1995" cm="1">
        <f t="array" aca="1" ref="V1995" ca="1">INDIRECT("Data!P" &amp; 1990)</f>
        <v>0</v>
      </c>
    </row>
    <row r="1996" spans="7:22" x14ac:dyDescent="0.25">
      <c r="G1996" cm="1">
        <f t="array" aca="1" ref="G1996" ca="1">INDIRECT("Data!A" &amp; 1991)</f>
        <v>0</v>
      </c>
      <c r="H1996" s="21" cm="1">
        <f t="array" aca="1" ref="H1996" ca="1">INDIRECT("Data!B" &amp; 1991)</f>
        <v>0</v>
      </c>
      <c r="I1996" s="21" cm="1">
        <f t="array" aca="1" ref="I1996" ca="1">INDIRECT("Data!C" &amp; 1991)</f>
        <v>0</v>
      </c>
      <c r="J1996" cm="1">
        <f t="array" aca="1" ref="J1996" ca="1">INDIRECT("Data!D" &amp; 1991)</f>
        <v>0</v>
      </c>
      <c r="K1996" cm="1">
        <f t="array" aca="1" ref="K1996" ca="1">INDIRECT("Data!E" &amp; 1991)</f>
        <v>0</v>
      </c>
      <c r="L1996" cm="1">
        <f t="array" aca="1" ref="L1996" ca="1">INDIRECT("Data!F" &amp; 1991)</f>
        <v>0</v>
      </c>
      <c r="M1996" cm="1">
        <f t="array" aca="1" ref="M1996" ca="1">INDIRECT("Data!G" &amp; 1991)</f>
        <v>0</v>
      </c>
      <c r="N1996" cm="1">
        <f t="array" aca="1" ref="N1996" ca="1">INDIRECT("Data!H" &amp; 1991)</f>
        <v>0</v>
      </c>
      <c r="O1996" cm="1">
        <f t="array" aca="1" ref="O1996" ca="1">INDIRECT("Data!I" &amp; 1991)</f>
        <v>0</v>
      </c>
      <c r="P1996" s="21" cm="1">
        <f t="array" aca="1" ref="P1996" ca="1">INDIRECT("Data!J" &amp; 1991)</f>
        <v>0</v>
      </c>
      <c r="Q1996" cm="1">
        <f t="array" aca="1" ref="Q1996" ca="1">INDIRECT("Data!K" &amp; 1991)</f>
        <v>0</v>
      </c>
      <c r="R1996" cm="1">
        <f t="array" aca="1" ref="R1996" ca="1">INDIRECT("Data!L" &amp; 1991)</f>
        <v>0</v>
      </c>
      <c r="S1996" cm="1">
        <f t="array" aca="1" ref="S1996" ca="1">INDIRECT("Data!M" &amp; 1991)</f>
        <v>0</v>
      </c>
      <c r="T1996" cm="1">
        <f t="array" aca="1" ref="T1996" ca="1">INDIRECT("Data!N" &amp; 1991)</f>
        <v>0</v>
      </c>
      <c r="U1996" cm="1">
        <f t="array" aca="1" ref="U1996" ca="1">INDIRECT("Data!O" &amp; 1991)</f>
        <v>0</v>
      </c>
      <c r="V1996" cm="1">
        <f t="array" aca="1" ref="V1996" ca="1">INDIRECT("Data!P" &amp; 1991)</f>
        <v>0</v>
      </c>
    </row>
    <row r="1997" spans="7:22" x14ac:dyDescent="0.25">
      <c r="G1997" cm="1">
        <f t="array" aca="1" ref="G1997" ca="1">INDIRECT("Data!A" &amp; 1992)</f>
        <v>0</v>
      </c>
      <c r="H1997" s="21" cm="1">
        <f t="array" aca="1" ref="H1997" ca="1">INDIRECT("Data!B" &amp; 1992)</f>
        <v>0</v>
      </c>
      <c r="I1997" s="21" cm="1">
        <f t="array" aca="1" ref="I1997" ca="1">INDIRECT("Data!C" &amp; 1992)</f>
        <v>0</v>
      </c>
      <c r="J1997" cm="1">
        <f t="array" aca="1" ref="J1997" ca="1">INDIRECT("Data!D" &amp; 1992)</f>
        <v>0</v>
      </c>
      <c r="K1997" cm="1">
        <f t="array" aca="1" ref="K1997" ca="1">INDIRECT("Data!E" &amp; 1992)</f>
        <v>0</v>
      </c>
      <c r="L1997" cm="1">
        <f t="array" aca="1" ref="L1997" ca="1">INDIRECT("Data!F" &amp; 1992)</f>
        <v>0</v>
      </c>
      <c r="M1997" cm="1">
        <f t="array" aca="1" ref="M1997" ca="1">INDIRECT("Data!G" &amp; 1992)</f>
        <v>0</v>
      </c>
      <c r="N1997" cm="1">
        <f t="array" aca="1" ref="N1997" ca="1">INDIRECT("Data!H" &amp; 1992)</f>
        <v>0</v>
      </c>
      <c r="O1997" cm="1">
        <f t="array" aca="1" ref="O1997" ca="1">INDIRECT("Data!I" &amp; 1992)</f>
        <v>0</v>
      </c>
      <c r="P1997" s="21" cm="1">
        <f t="array" aca="1" ref="P1997" ca="1">INDIRECT("Data!J" &amp; 1992)</f>
        <v>0</v>
      </c>
      <c r="Q1997" cm="1">
        <f t="array" aca="1" ref="Q1997" ca="1">INDIRECT("Data!K" &amp; 1992)</f>
        <v>0</v>
      </c>
      <c r="R1997" cm="1">
        <f t="array" aca="1" ref="R1997" ca="1">INDIRECT("Data!L" &amp; 1992)</f>
        <v>0</v>
      </c>
      <c r="S1997" cm="1">
        <f t="array" aca="1" ref="S1997" ca="1">INDIRECT("Data!M" &amp; 1992)</f>
        <v>0</v>
      </c>
      <c r="T1997" cm="1">
        <f t="array" aca="1" ref="T1997" ca="1">INDIRECT("Data!N" &amp; 1992)</f>
        <v>0</v>
      </c>
      <c r="U1997" cm="1">
        <f t="array" aca="1" ref="U1997" ca="1">INDIRECT("Data!O" &amp; 1992)</f>
        <v>0</v>
      </c>
      <c r="V1997" cm="1">
        <f t="array" aca="1" ref="V1997" ca="1">INDIRECT("Data!P" &amp; 1992)</f>
        <v>0</v>
      </c>
    </row>
    <row r="1998" spans="7:22" x14ac:dyDescent="0.25">
      <c r="G1998" cm="1">
        <f t="array" aca="1" ref="G1998" ca="1">INDIRECT("Data!A" &amp; 1993)</f>
        <v>0</v>
      </c>
      <c r="H1998" s="21" cm="1">
        <f t="array" aca="1" ref="H1998" ca="1">INDIRECT("Data!B" &amp; 1993)</f>
        <v>0</v>
      </c>
      <c r="I1998" s="21" cm="1">
        <f t="array" aca="1" ref="I1998" ca="1">INDIRECT("Data!C" &amp; 1993)</f>
        <v>0</v>
      </c>
      <c r="J1998" cm="1">
        <f t="array" aca="1" ref="J1998" ca="1">INDIRECT("Data!D" &amp; 1993)</f>
        <v>0</v>
      </c>
      <c r="K1998" cm="1">
        <f t="array" aca="1" ref="K1998" ca="1">INDIRECT("Data!E" &amp; 1993)</f>
        <v>0</v>
      </c>
      <c r="L1998" cm="1">
        <f t="array" aca="1" ref="L1998" ca="1">INDIRECT("Data!F" &amp; 1993)</f>
        <v>0</v>
      </c>
      <c r="M1998" cm="1">
        <f t="array" aca="1" ref="M1998" ca="1">INDIRECT("Data!G" &amp; 1993)</f>
        <v>0</v>
      </c>
      <c r="N1998" cm="1">
        <f t="array" aca="1" ref="N1998" ca="1">INDIRECT("Data!H" &amp; 1993)</f>
        <v>0</v>
      </c>
      <c r="O1998" cm="1">
        <f t="array" aca="1" ref="O1998" ca="1">INDIRECT("Data!I" &amp; 1993)</f>
        <v>0</v>
      </c>
      <c r="P1998" s="21" cm="1">
        <f t="array" aca="1" ref="P1998" ca="1">INDIRECT("Data!J" &amp; 1993)</f>
        <v>0</v>
      </c>
      <c r="Q1998" cm="1">
        <f t="array" aca="1" ref="Q1998" ca="1">INDIRECT("Data!K" &amp; 1993)</f>
        <v>0</v>
      </c>
      <c r="R1998" cm="1">
        <f t="array" aca="1" ref="R1998" ca="1">INDIRECT("Data!L" &amp; 1993)</f>
        <v>0</v>
      </c>
      <c r="S1998" cm="1">
        <f t="array" aca="1" ref="S1998" ca="1">INDIRECT("Data!M" &amp; 1993)</f>
        <v>0</v>
      </c>
      <c r="T1998" cm="1">
        <f t="array" aca="1" ref="T1998" ca="1">INDIRECT("Data!N" &amp; 1993)</f>
        <v>0</v>
      </c>
      <c r="U1998" cm="1">
        <f t="array" aca="1" ref="U1998" ca="1">INDIRECT("Data!O" &amp; 1993)</f>
        <v>0</v>
      </c>
      <c r="V1998" cm="1">
        <f t="array" aca="1" ref="V1998" ca="1">INDIRECT("Data!P" &amp; 1993)</f>
        <v>0</v>
      </c>
    </row>
    <row r="1999" spans="7:22" x14ac:dyDescent="0.25">
      <c r="G1999" cm="1">
        <f t="array" aca="1" ref="G1999" ca="1">INDIRECT("Data!A" &amp; 1994)</f>
        <v>0</v>
      </c>
      <c r="H1999" s="21" cm="1">
        <f t="array" aca="1" ref="H1999" ca="1">INDIRECT("Data!B" &amp; 1994)</f>
        <v>0</v>
      </c>
      <c r="I1999" s="21" cm="1">
        <f t="array" aca="1" ref="I1999" ca="1">INDIRECT("Data!C" &amp; 1994)</f>
        <v>0</v>
      </c>
      <c r="J1999" cm="1">
        <f t="array" aca="1" ref="J1999" ca="1">INDIRECT("Data!D" &amp; 1994)</f>
        <v>0</v>
      </c>
      <c r="K1999" cm="1">
        <f t="array" aca="1" ref="K1999" ca="1">INDIRECT("Data!E" &amp; 1994)</f>
        <v>0</v>
      </c>
      <c r="L1999" cm="1">
        <f t="array" aca="1" ref="L1999" ca="1">INDIRECT("Data!F" &amp; 1994)</f>
        <v>0</v>
      </c>
      <c r="M1999" cm="1">
        <f t="array" aca="1" ref="M1999" ca="1">INDIRECT("Data!G" &amp; 1994)</f>
        <v>0</v>
      </c>
      <c r="N1999" cm="1">
        <f t="array" aca="1" ref="N1999" ca="1">INDIRECT("Data!H" &amp; 1994)</f>
        <v>0</v>
      </c>
      <c r="O1999" cm="1">
        <f t="array" aca="1" ref="O1999" ca="1">INDIRECT("Data!I" &amp; 1994)</f>
        <v>0</v>
      </c>
      <c r="P1999" s="21" cm="1">
        <f t="array" aca="1" ref="P1999" ca="1">INDIRECT("Data!J" &amp; 1994)</f>
        <v>0</v>
      </c>
      <c r="Q1999" cm="1">
        <f t="array" aca="1" ref="Q1999" ca="1">INDIRECT("Data!K" &amp; 1994)</f>
        <v>0</v>
      </c>
      <c r="R1999" cm="1">
        <f t="array" aca="1" ref="R1999" ca="1">INDIRECT("Data!L" &amp; 1994)</f>
        <v>0</v>
      </c>
      <c r="S1999" cm="1">
        <f t="array" aca="1" ref="S1999" ca="1">INDIRECT("Data!M" &amp; 1994)</f>
        <v>0</v>
      </c>
      <c r="T1999" cm="1">
        <f t="array" aca="1" ref="T1999" ca="1">INDIRECT("Data!N" &amp; 1994)</f>
        <v>0</v>
      </c>
      <c r="U1999" cm="1">
        <f t="array" aca="1" ref="U1999" ca="1">INDIRECT("Data!O" &amp; 1994)</f>
        <v>0</v>
      </c>
      <c r="V1999" cm="1">
        <f t="array" aca="1" ref="V1999" ca="1">INDIRECT("Data!P" &amp; 1994)</f>
        <v>0</v>
      </c>
    </row>
    <row r="2000" spans="7:22" x14ac:dyDescent="0.25">
      <c r="G2000" cm="1">
        <f t="array" aca="1" ref="G2000" ca="1">INDIRECT("Data!A" &amp; 1995)</f>
        <v>0</v>
      </c>
      <c r="H2000" s="21" cm="1">
        <f t="array" aca="1" ref="H2000" ca="1">INDIRECT("Data!B" &amp; 1995)</f>
        <v>0</v>
      </c>
      <c r="I2000" s="21" cm="1">
        <f t="array" aca="1" ref="I2000" ca="1">INDIRECT("Data!C" &amp; 1995)</f>
        <v>0</v>
      </c>
      <c r="J2000" cm="1">
        <f t="array" aca="1" ref="J2000" ca="1">INDIRECT("Data!D" &amp; 1995)</f>
        <v>0</v>
      </c>
      <c r="K2000" cm="1">
        <f t="array" aca="1" ref="K2000" ca="1">INDIRECT("Data!E" &amp; 1995)</f>
        <v>0</v>
      </c>
      <c r="L2000" cm="1">
        <f t="array" aca="1" ref="L2000" ca="1">INDIRECT("Data!F" &amp; 1995)</f>
        <v>0</v>
      </c>
      <c r="M2000" cm="1">
        <f t="array" aca="1" ref="M2000" ca="1">INDIRECT("Data!G" &amp; 1995)</f>
        <v>0</v>
      </c>
      <c r="N2000" cm="1">
        <f t="array" aca="1" ref="N2000" ca="1">INDIRECT("Data!H" &amp; 1995)</f>
        <v>0</v>
      </c>
      <c r="O2000" cm="1">
        <f t="array" aca="1" ref="O2000" ca="1">INDIRECT("Data!I" &amp; 1995)</f>
        <v>0</v>
      </c>
      <c r="P2000" s="21" cm="1">
        <f t="array" aca="1" ref="P2000" ca="1">INDIRECT("Data!J" &amp; 1995)</f>
        <v>0</v>
      </c>
      <c r="Q2000" cm="1">
        <f t="array" aca="1" ref="Q2000" ca="1">INDIRECT("Data!K" &amp; 1995)</f>
        <v>0</v>
      </c>
      <c r="R2000" cm="1">
        <f t="array" aca="1" ref="R2000" ca="1">INDIRECT("Data!L" &amp; 1995)</f>
        <v>0</v>
      </c>
      <c r="S2000" cm="1">
        <f t="array" aca="1" ref="S2000" ca="1">INDIRECT("Data!M" &amp; 1995)</f>
        <v>0</v>
      </c>
      <c r="T2000" cm="1">
        <f t="array" aca="1" ref="T2000" ca="1">INDIRECT("Data!N" &amp; 1995)</f>
        <v>0</v>
      </c>
      <c r="U2000" cm="1">
        <f t="array" aca="1" ref="U2000" ca="1">INDIRECT("Data!O" &amp; 1995)</f>
        <v>0</v>
      </c>
      <c r="V2000" cm="1">
        <f t="array" aca="1" ref="V2000" ca="1">INDIRECT("Data!P" &amp; 1995)</f>
        <v>0</v>
      </c>
    </row>
    <row r="2001" spans="7:22" x14ac:dyDescent="0.25">
      <c r="G2001" cm="1">
        <f t="array" aca="1" ref="G2001" ca="1">INDIRECT("Data!A" &amp; 1996)</f>
        <v>0</v>
      </c>
      <c r="H2001" s="21" cm="1">
        <f t="array" aca="1" ref="H2001" ca="1">INDIRECT("Data!B" &amp; 1996)</f>
        <v>0</v>
      </c>
      <c r="I2001" s="21" cm="1">
        <f t="array" aca="1" ref="I2001" ca="1">INDIRECT("Data!C" &amp; 1996)</f>
        <v>0</v>
      </c>
      <c r="J2001" cm="1">
        <f t="array" aca="1" ref="J2001" ca="1">INDIRECT("Data!D" &amp; 1996)</f>
        <v>0</v>
      </c>
      <c r="K2001" cm="1">
        <f t="array" aca="1" ref="K2001" ca="1">INDIRECT("Data!E" &amp; 1996)</f>
        <v>0</v>
      </c>
      <c r="L2001" cm="1">
        <f t="array" aca="1" ref="L2001" ca="1">INDIRECT("Data!F" &amp; 1996)</f>
        <v>0</v>
      </c>
      <c r="M2001" cm="1">
        <f t="array" aca="1" ref="M2001" ca="1">INDIRECT("Data!G" &amp; 1996)</f>
        <v>0</v>
      </c>
      <c r="N2001" cm="1">
        <f t="array" aca="1" ref="N2001" ca="1">INDIRECT("Data!H" &amp; 1996)</f>
        <v>0</v>
      </c>
      <c r="O2001" cm="1">
        <f t="array" aca="1" ref="O2001" ca="1">INDIRECT("Data!I" &amp; 1996)</f>
        <v>0</v>
      </c>
      <c r="P2001" s="21" cm="1">
        <f t="array" aca="1" ref="P2001" ca="1">INDIRECT("Data!J" &amp; 1996)</f>
        <v>0</v>
      </c>
      <c r="Q2001" cm="1">
        <f t="array" aca="1" ref="Q2001" ca="1">INDIRECT("Data!K" &amp; 1996)</f>
        <v>0</v>
      </c>
      <c r="R2001" cm="1">
        <f t="array" aca="1" ref="R2001" ca="1">INDIRECT("Data!L" &amp; 1996)</f>
        <v>0</v>
      </c>
      <c r="S2001" cm="1">
        <f t="array" aca="1" ref="S2001" ca="1">INDIRECT("Data!M" &amp; 1996)</f>
        <v>0</v>
      </c>
      <c r="T2001" cm="1">
        <f t="array" aca="1" ref="T2001" ca="1">INDIRECT("Data!N" &amp; 1996)</f>
        <v>0</v>
      </c>
      <c r="U2001" cm="1">
        <f t="array" aca="1" ref="U2001" ca="1">INDIRECT("Data!O" &amp; 1996)</f>
        <v>0</v>
      </c>
      <c r="V2001" cm="1">
        <f t="array" aca="1" ref="V2001" ca="1">INDIRECT("Data!P" &amp; 1996)</f>
        <v>0</v>
      </c>
    </row>
    <row r="2002" spans="7:22" x14ac:dyDescent="0.25">
      <c r="G2002" cm="1">
        <f t="array" aca="1" ref="G2002" ca="1">INDIRECT("Data!A" &amp; 1997)</f>
        <v>0</v>
      </c>
      <c r="H2002" s="21" cm="1">
        <f t="array" aca="1" ref="H2002" ca="1">INDIRECT("Data!B" &amp; 1997)</f>
        <v>0</v>
      </c>
      <c r="I2002" s="21" cm="1">
        <f t="array" aca="1" ref="I2002" ca="1">INDIRECT("Data!C" &amp; 1997)</f>
        <v>0</v>
      </c>
      <c r="J2002" cm="1">
        <f t="array" aca="1" ref="J2002" ca="1">INDIRECT("Data!D" &amp; 1997)</f>
        <v>0</v>
      </c>
      <c r="K2002" cm="1">
        <f t="array" aca="1" ref="K2002" ca="1">INDIRECT("Data!E" &amp; 1997)</f>
        <v>0</v>
      </c>
      <c r="L2002" cm="1">
        <f t="array" aca="1" ref="L2002" ca="1">INDIRECT("Data!F" &amp; 1997)</f>
        <v>0</v>
      </c>
      <c r="M2002" cm="1">
        <f t="array" aca="1" ref="M2002" ca="1">INDIRECT("Data!G" &amp; 1997)</f>
        <v>0</v>
      </c>
      <c r="N2002" cm="1">
        <f t="array" aca="1" ref="N2002" ca="1">INDIRECT("Data!H" &amp; 1997)</f>
        <v>0</v>
      </c>
      <c r="O2002" cm="1">
        <f t="array" aca="1" ref="O2002" ca="1">INDIRECT("Data!I" &amp; 1997)</f>
        <v>0</v>
      </c>
      <c r="P2002" s="21" cm="1">
        <f t="array" aca="1" ref="P2002" ca="1">INDIRECT("Data!J" &amp; 1997)</f>
        <v>0</v>
      </c>
      <c r="Q2002" cm="1">
        <f t="array" aca="1" ref="Q2002" ca="1">INDIRECT("Data!K" &amp; 1997)</f>
        <v>0</v>
      </c>
      <c r="R2002" cm="1">
        <f t="array" aca="1" ref="R2002" ca="1">INDIRECT("Data!L" &amp; 1997)</f>
        <v>0</v>
      </c>
      <c r="S2002" cm="1">
        <f t="array" aca="1" ref="S2002" ca="1">INDIRECT("Data!M" &amp; 1997)</f>
        <v>0</v>
      </c>
      <c r="T2002" cm="1">
        <f t="array" aca="1" ref="T2002" ca="1">INDIRECT("Data!N" &amp; 1997)</f>
        <v>0</v>
      </c>
      <c r="U2002" cm="1">
        <f t="array" aca="1" ref="U2002" ca="1">INDIRECT("Data!O" &amp; 1997)</f>
        <v>0</v>
      </c>
      <c r="V2002" cm="1">
        <f t="array" aca="1" ref="V2002" ca="1">INDIRECT("Data!P" &amp; 1997)</f>
        <v>0</v>
      </c>
    </row>
    <row r="2003" spans="7:22" x14ac:dyDescent="0.25">
      <c r="G2003" cm="1">
        <f t="array" aca="1" ref="G2003" ca="1">INDIRECT("Data!A" &amp; 1998)</f>
        <v>0</v>
      </c>
      <c r="H2003" s="21" cm="1">
        <f t="array" aca="1" ref="H2003" ca="1">INDIRECT("Data!B" &amp; 1998)</f>
        <v>0</v>
      </c>
      <c r="I2003" s="21" cm="1">
        <f t="array" aca="1" ref="I2003" ca="1">INDIRECT("Data!C" &amp; 1998)</f>
        <v>0</v>
      </c>
      <c r="J2003" cm="1">
        <f t="array" aca="1" ref="J2003" ca="1">INDIRECT("Data!D" &amp; 1998)</f>
        <v>0</v>
      </c>
      <c r="K2003" cm="1">
        <f t="array" aca="1" ref="K2003" ca="1">INDIRECT("Data!E" &amp; 1998)</f>
        <v>0</v>
      </c>
      <c r="L2003" cm="1">
        <f t="array" aca="1" ref="L2003" ca="1">INDIRECT("Data!F" &amp; 1998)</f>
        <v>0</v>
      </c>
      <c r="M2003" cm="1">
        <f t="array" aca="1" ref="M2003" ca="1">INDIRECT("Data!G" &amp; 1998)</f>
        <v>0</v>
      </c>
      <c r="N2003" cm="1">
        <f t="array" aca="1" ref="N2003" ca="1">INDIRECT("Data!H" &amp; 1998)</f>
        <v>0</v>
      </c>
      <c r="O2003" cm="1">
        <f t="array" aca="1" ref="O2003" ca="1">INDIRECT("Data!I" &amp; 1998)</f>
        <v>0</v>
      </c>
      <c r="P2003" s="21" cm="1">
        <f t="array" aca="1" ref="P2003" ca="1">INDIRECT("Data!J" &amp; 1998)</f>
        <v>0</v>
      </c>
      <c r="Q2003" cm="1">
        <f t="array" aca="1" ref="Q2003" ca="1">INDIRECT("Data!K" &amp; 1998)</f>
        <v>0</v>
      </c>
      <c r="R2003" cm="1">
        <f t="array" aca="1" ref="R2003" ca="1">INDIRECT("Data!L" &amp; 1998)</f>
        <v>0</v>
      </c>
      <c r="S2003" cm="1">
        <f t="array" aca="1" ref="S2003" ca="1">INDIRECT("Data!M" &amp; 1998)</f>
        <v>0</v>
      </c>
      <c r="T2003" cm="1">
        <f t="array" aca="1" ref="T2003" ca="1">INDIRECT("Data!N" &amp; 1998)</f>
        <v>0</v>
      </c>
      <c r="U2003" cm="1">
        <f t="array" aca="1" ref="U2003" ca="1">INDIRECT("Data!O" &amp; 1998)</f>
        <v>0</v>
      </c>
      <c r="V2003" cm="1">
        <f t="array" aca="1" ref="V2003" ca="1">INDIRECT("Data!P" &amp; 1998)</f>
        <v>0</v>
      </c>
    </row>
    <row r="2004" spans="7:22" x14ac:dyDescent="0.25">
      <c r="G2004" cm="1">
        <f t="array" aca="1" ref="G2004" ca="1">INDIRECT("Data!A" &amp; 1999)</f>
        <v>0</v>
      </c>
      <c r="H2004" s="21" cm="1">
        <f t="array" aca="1" ref="H2004" ca="1">INDIRECT("Data!B" &amp; 1999)</f>
        <v>0</v>
      </c>
      <c r="I2004" s="21" cm="1">
        <f t="array" aca="1" ref="I2004" ca="1">INDIRECT("Data!C" &amp; 1999)</f>
        <v>0</v>
      </c>
      <c r="J2004" cm="1">
        <f t="array" aca="1" ref="J2004" ca="1">INDIRECT("Data!D" &amp; 1999)</f>
        <v>0</v>
      </c>
      <c r="K2004" cm="1">
        <f t="array" aca="1" ref="K2004" ca="1">INDIRECT("Data!E" &amp; 1999)</f>
        <v>0</v>
      </c>
      <c r="L2004" cm="1">
        <f t="array" aca="1" ref="L2004" ca="1">INDIRECT("Data!F" &amp; 1999)</f>
        <v>0</v>
      </c>
      <c r="M2004" cm="1">
        <f t="array" aca="1" ref="M2004" ca="1">INDIRECT("Data!G" &amp; 1999)</f>
        <v>0</v>
      </c>
      <c r="N2004" cm="1">
        <f t="array" aca="1" ref="N2004" ca="1">INDIRECT("Data!H" &amp; 1999)</f>
        <v>0</v>
      </c>
      <c r="O2004" cm="1">
        <f t="array" aca="1" ref="O2004" ca="1">INDIRECT("Data!I" &amp; 1999)</f>
        <v>0</v>
      </c>
      <c r="P2004" s="21" cm="1">
        <f t="array" aca="1" ref="P2004" ca="1">INDIRECT("Data!J" &amp; 1999)</f>
        <v>0</v>
      </c>
      <c r="Q2004" cm="1">
        <f t="array" aca="1" ref="Q2004" ca="1">INDIRECT("Data!K" &amp; 1999)</f>
        <v>0</v>
      </c>
      <c r="R2004" cm="1">
        <f t="array" aca="1" ref="R2004" ca="1">INDIRECT("Data!L" &amp; 1999)</f>
        <v>0</v>
      </c>
      <c r="S2004" cm="1">
        <f t="array" aca="1" ref="S2004" ca="1">INDIRECT("Data!M" &amp; 1999)</f>
        <v>0</v>
      </c>
      <c r="T2004" cm="1">
        <f t="array" aca="1" ref="T2004" ca="1">INDIRECT("Data!N" &amp; 1999)</f>
        <v>0</v>
      </c>
      <c r="U2004" cm="1">
        <f t="array" aca="1" ref="U2004" ca="1">INDIRECT("Data!O" &amp; 1999)</f>
        <v>0</v>
      </c>
      <c r="V2004" cm="1">
        <f t="array" aca="1" ref="V2004" ca="1">INDIRECT("Data!P" &amp; 1999)</f>
        <v>0</v>
      </c>
    </row>
    <row r="2005" spans="7:22" x14ac:dyDescent="0.25">
      <c r="G2005" cm="1">
        <f t="array" aca="1" ref="G2005" ca="1">INDIRECT("Data!A" &amp; 2000)</f>
        <v>0</v>
      </c>
      <c r="H2005" s="21">
        <f>Data!C2017</f>
        <v>0</v>
      </c>
      <c r="I2005" s="21">
        <f>Data!D2017</f>
        <v>0</v>
      </c>
      <c r="J2005">
        <f>Data!E2017</f>
        <v>0</v>
      </c>
      <c r="K2005">
        <f>Data!F2017</f>
        <v>0</v>
      </c>
      <c r="L2005">
        <f>Data!G2017</f>
        <v>0</v>
      </c>
      <c r="M2005">
        <f>Data!H2017</f>
        <v>0</v>
      </c>
      <c r="N2005">
        <f>Data!I2017</f>
        <v>0</v>
      </c>
      <c r="O2005">
        <f>Data!J2017</f>
        <v>0</v>
      </c>
      <c r="P2005" s="21">
        <f>Data!K2017</f>
        <v>0</v>
      </c>
      <c r="Q2005">
        <f>Data!L2017</f>
        <v>0</v>
      </c>
      <c r="R2005">
        <f>Data!M2017</f>
        <v>0</v>
      </c>
      <c r="S2005">
        <f>Data!N2017</f>
        <v>0</v>
      </c>
      <c r="T2005">
        <f>Data!O2017</f>
        <v>0</v>
      </c>
      <c r="U2005">
        <f>Data!P2017</f>
        <v>0</v>
      </c>
      <c r="V2005">
        <f>Data!Q1987</f>
        <v>0</v>
      </c>
    </row>
    <row r="2006" spans="7:22" x14ac:dyDescent="0.25">
      <c r="G2006" cm="1">
        <f t="array" aca="1" ref="G2006" ca="1">INDIRECT("Data!A" &amp; 2001)</f>
        <v>0</v>
      </c>
      <c r="H2006" s="21">
        <f>Data!C2018</f>
        <v>0</v>
      </c>
      <c r="I2006" s="21">
        <f>Data!D2018</f>
        <v>0</v>
      </c>
      <c r="J2006">
        <f>Data!E2018</f>
        <v>0</v>
      </c>
      <c r="K2006">
        <f>Data!F2018</f>
        <v>0</v>
      </c>
      <c r="L2006">
        <f>Data!G2018</f>
        <v>0</v>
      </c>
      <c r="M2006">
        <f>Data!H2018</f>
        <v>0</v>
      </c>
      <c r="N2006">
        <f>Data!I2018</f>
        <v>0</v>
      </c>
      <c r="O2006">
        <f>Data!J2018</f>
        <v>0</v>
      </c>
      <c r="P2006" s="21">
        <f>Data!K2018</f>
        <v>0</v>
      </c>
      <c r="Q2006">
        <f>Data!L2018</f>
        <v>0</v>
      </c>
      <c r="R2006">
        <f>Data!M2018</f>
        <v>0</v>
      </c>
      <c r="S2006">
        <f>Data!N2018</f>
        <v>0</v>
      </c>
      <c r="T2006">
        <f>Data!O2018</f>
        <v>0</v>
      </c>
      <c r="U2006">
        <f>Data!P2018</f>
        <v>0</v>
      </c>
      <c r="V2006">
        <f>Data!Q1988</f>
        <v>0</v>
      </c>
    </row>
    <row r="2007" spans="7:22" x14ac:dyDescent="0.25">
      <c r="G2007" cm="1">
        <f t="array" aca="1" ref="G2007" ca="1">INDIRECT("Data!A" &amp; 2002)</f>
        <v>0</v>
      </c>
      <c r="H2007" s="21">
        <f>Data!C2019</f>
        <v>0</v>
      </c>
      <c r="I2007" s="21">
        <f>Data!D2019</f>
        <v>0</v>
      </c>
      <c r="J2007">
        <f>Data!E2019</f>
        <v>0</v>
      </c>
      <c r="K2007">
        <f>Data!F2019</f>
        <v>0</v>
      </c>
      <c r="L2007">
        <f>Data!G2019</f>
        <v>0</v>
      </c>
      <c r="M2007">
        <f>Data!H2019</f>
        <v>0</v>
      </c>
      <c r="N2007">
        <f>Data!I2019</f>
        <v>0</v>
      </c>
      <c r="O2007">
        <f>Data!J2019</f>
        <v>0</v>
      </c>
      <c r="P2007" s="21">
        <f>Data!K2019</f>
        <v>0</v>
      </c>
      <c r="Q2007">
        <f>Data!L2019</f>
        <v>0</v>
      </c>
      <c r="R2007">
        <f>Data!M2019</f>
        <v>0</v>
      </c>
      <c r="S2007">
        <f>Data!N2019</f>
        <v>0</v>
      </c>
      <c r="T2007">
        <f>Data!O2019</f>
        <v>0</v>
      </c>
      <c r="U2007">
        <f>Data!P2019</f>
        <v>0</v>
      </c>
      <c r="V2007">
        <f>Data!Q1989</f>
        <v>0</v>
      </c>
    </row>
    <row r="2008" spans="7:22" x14ac:dyDescent="0.25">
      <c r="G2008" cm="1">
        <f t="array" aca="1" ref="G2008" ca="1">INDIRECT("Data!A" &amp; 2003)</f>
        <v>0</v>
      </c>
      <c r="H2008" s="21">
        <f>Data!B2020</f>
        <v>0</v>
      </c>
      <c r="I2008" s="21">
        <f>Data!C2020</f>
        <v>0</v>
      </c>
      <c r="J2008">
        <f>Data!D2020</f>
        <v>0</v>
      </c>
      <c r="K2008">
        <f>Data!E2020</f>
        <v>0</v>
      </c>
      <c r="L2008">
        <f>Data!F2020</f>
        <v>0</v>
      </c>
      <c r="M2008">
        <f>Data!G2020</f>
        <v>0</v>
      </c>
      <c r="N2008">
        <f>Data!H2020</f>
        <v>0</v>
      </c>
      <c r="O2008">
        <f>Data!I2020</f>
        <v>0</v>
      </c>
      <c r="P2008" s="21">
        <f>Data!J2024</f>
        <v>0</v>
      </c>
      <c r="Q2008">
        <f>Data!K2024</f>
        <v>0</v>
      </c>
      <c r="R2008">
        <f>Data!L2024</f>
        <v>0</v>
      </c>
      <c r="S2008">
        <f>Data!M2024</f>
        <v>0</v>
      </c>
      <c r="T2008">
        <f>Data!N2024</f>
        <v>0</v>
      </c>
      <c r="U2008">
        <f>Data!O2024</f>
        <v>0</v>
      </c>
      <c r="V2008" s="33">
        <f>Data!P2022</f>
        <v>0</v>
      </c>
    </row>
    <row r="2009" spans="7:22" x14ac:dyDescent="0.25">
      <c r="G2009" cm="1">
        <f t="array" aca="1" ref="G2009" ca="1">INDIRECT("Data!A" &amp; 2004)</f>
        <v>0</v>
      </c>
      <c r="H2009" s="21">
        <f>Data!B2021</f>
        <v>0</v>
      </c>
      <c r="I2009" s="21">
        <f>Data!C2021</f>
        <v>0</v>
      </c>
      <c r="J2009">
        <f>Data!D2021</f>
        <v>0</v>
      </c>
      <c r="K2009">
        <f>Data!E2021</f>
        <v>0</v>
      </c>
      <c r="L2009">
        <f>Data!F2021</f>
        <v>0</v>
      </c>
      <c r="M2009">
        <f>Data!G2021</f>
        <v>0</v>
      </c>
      <c r="N2009">
        <f>Data!H2021</f>
        <v>0</v>
      </c>
      <c r="O2009">
        <f>Data!I2021</f>
        <v>0</v>
      </c>
      <c r="P2009" s="21">
        <f>Data!J2025</f>
        <v>0</v>
      </c>
      <c r="Q2009">
        <f>Data!K2025</f>
        <v>0</v>
      </c>
      <c r="R2009">
        <f>Data!L2025</f>
        <v>0</v>
      </c>
      <c r="S2009">
        <f>Data!M2025</f>
        <v>0</v>
      </c>
      <c r="T2009">
        <f>Data!N2025</f>
        <v>0</v>
      </c>
      <c r="U2009">
        <f>Data!O2025</f>
        <v>0</v>
      </c>
      <c r="V2009" s="33">
        <f>Data!P2023</f>
        <v>0</v>
      </c>
    </row>
    <row r="2010" spans="7:22" x14ac:dyDescent="0.25">
      <c r="G2010" cm="1">
        <f t="array" aca="1" ref="G2010" ca="1">INDIRECT("Data!A" &amp; 2005)</f>
        <v>0</v>
      </c>
      <c r="H2010" s="21">
        <f>Data!B2022</f>
        <v>0</v>
      </c>
      <c r="I2010" s="21">
        <f>Data!C2022</f>
        <v>0</v>
      </c>
      <c r="J2010">
        <f>Data!D2022</f>
        <v>0</v>
      </c>
      <c r="K2010">
        <f>Data!E2022</f>
        <v>0</v>
      </c>
      <c r="L2010">
        <f>Data!F2022</f>
        <v>0</v>
      </c>
      <c r="M2010">
        <f>Data!G2022</f>
        <v>0</v>
      </c>
      <c r="N2010">
        <f>Data!H2022</f>
        <v>0</v>
      </c>
      <c r="O2010">
        <f>Data!I2022</f>
        <v>0</v>
      </c>
      <c r="P2010" s="21">
        <f>Data!J2026</f>
        <v>0</v>
      </c>
      <c r="Q2010">
        <f>Data!K2026</f>
        <v>0</v>
      </c>
      <c r="R2010">
        <f>Data!L2026</f>
        <v>0</v>
      </c>
      <c r="S2010">
        <f>Data!M2026</f>
        <v>0</v>
      </c>
      <c r="T2010">
        <f>Data!N2026</f>
        <v>0</v>
      </c>
      <c r="U2010">
        <f>Data!O2026</f>
        <v>0</v>
      </c>
      <c r="V2010" s="33">
        <f>Data!P2024</f>
        <v>0</v>
      </c>
    </row>
    <row r="2011" spans="7:22" x14ac:dyDescent="0.25">
      <c r="G2011" cm="1">
        <f t="array" aca="1" ref="G2011" ca="1">INDIRECT("Data!A" &amp; 2006)</f>
        <v>0</v>
      </c>
      <c r="H2011" s="21">
        <f>Data!B2023</f>
        <v>0</v>
      </c>
      <c r="I2011" s="21">
        <f>Data!C2023</f>
        <v>0</v>
      </c>
      <c r="J2011">
        <f>Data!D2023</f>
        <v>0</v>
      </c>
      <c r="K2011">
        <f>Data!E2023</f>
        <v>0</v>
      </c>
      <c r="L2011">
        <f>Data!F2023</f>
        <v>0</v>
      </c>
      <c r="M2011">
        <f>Data!G2023</f>
        <v>0</v>
      </c>
      <c r="N2011">
        <f>Data!H2023</f>
        <v>0</v>
      </c>
      <c r="O2011">
        <f>Data!I2023</f>
        <v>0</v>
      </c>
      <c r="P2011" s="21">
        <f>Data!J2027</f>
        <v>0</v>
      </c>
      <c r="Q2011">
        <f>Data!K2027</f>
        <v>0</v>
      </c>
      <c r="R2011">
        <f>Data!L2027</f>
        <v>0</v>
      </c>
      <c r="S2011">
        <f>Data!M2027</f>
        <v>0</v>
      </c>
      <c r="T2011">
        <f>Data!N2027</f>
        <v>0</v>
      </c>
      <c r="U2011">
        <f>Data!O2027</f>
        <v>0</v>
      </c>
      <c r="V2011" s="33">
        <f>Data!P2025</f>
        <v>0</v>
      </c>
    </row>
    <row r="2012" spans="7:22" x14ac:dyDescent="0.25">
      <c r="G2012" cm="1">
        <f t="array" aca="1" ref="G2012" ca="1">INDIRECT("Data!A" &amp; 2007)</f>
        <v>0</v>
      </c>
      <c r="H2012" s="21">
        <f>Data!B2024</f>
        <v>0</v>
      </c>
      <c r="I2012" s="21">
        <f>Data!C2024</f>
        <v>0</v>
      </c>
      <c r="J2012">
        <f>Data!D2024</f>
        <v>0</v>
      </c>
      <c r="K2012">
        <f>Data!E2024</f>
        <v>0</v>
      </c>
      <c r="L2012">
        <f>Data!F2024</f>
        <v>0</v>
      </c>
      <c r="M2012">
        <f>Data!G2024</f>
        <v>0</v>
      </c>
      <c r="N2012">
        <f>Data!H2024</f>
        <v>0</v>
      </c>
      <c r="O2012">
        <f>Data!I2024</f>
        <v>0</v>
      </c>
      <c r="P2012" s="21">
        <f>Data!J2028</f>
        <v>0</v>
      </c>
      <c r="Q2012">
        <f>Data!K2028</f>
        <v>0</v>
      </c>
      <c r="R2012">
        <f>Data!L2028</f>
        <v>0</v>
      </c>
      <c r="S2012">
        <f>Data!M2028</f>
        <v>0</v>
      </c>
      <c r="T2012">
        <f>Data!N2028</f>
        <v>0</v>
      </c>
      <c r="U2012">
        <f>Data!O2028</f>
        <v>0</v>
      </c>
      <c r="V2012" s="33">
        <f>Data!P2026</f>
        <v>0</v>
      </c>
    </row>
    <row r="2013" spans="7:22" x14ac:dyDescent="0.25">
      <c r="G2013" cm="1">
        <f t="array" aca="1" ref="G2013" ca="1">INDIRECT("Data!A" &amp; 2008)</f>
        <v>0</v>
      </c>
      <c r="H2013" s="21">
        <f>Data!B2025</f>
        <v>0</v>
      </c>
      <c r="I2013" s="21">
        <f>Data!C2025</f>
        <v>0</v>
      </c>
      <c r="J2013">
        <f>Data!D2025</f>
        <v>0</v>
      </c>
      <c r="K2013">
        <f>Data!E2025</f>
        <v>0</v>
      </c>
      <c r="L2013">
        <f>Data!F2025</f>
        <v>0</v>
      </c>
      <c r="M2013">
        <f>Data!G2025</f>
        <v>0</v>
      </c>
      <c r="N2013">
        <f>Data!H2025</f>
        <v>0</v>
      </c>
      <c r="O2013">
        <f>Data!I2025</f>
        <v>0</v>
      </c>
      <c r="P2013" s="21">
        <f>Data!J2029</f>
        <v>0</v>
      </c>
      <c r="Q2013">
        <f>Data!K2029</f>
        <v>0</v>
      </c>
      <c r="R2013">
        <f>Data!L2029</f>
        <v>0</v>
      </c>
      <c r="S2013">
        <f>Data!M2029</f>
        <v>0</v>
      </c>
      <c r="T2013">
        <f>Data!N2029</f>
        <v>0</v>
      </c>
      <c r="U2013">
        <f>Data!O2029</f>
        <v>0</v>
      </c>
      <c r="V2013" s="33">
        <f>Data!P2027</f>
        <v>0</v>
      </c>
    </row>
    <row r="2014" spans="7:22" x14ac:dyDescent="0.25">
      <c r="G2014" cm="1">
        <f t="array" aca="1" ref="G2014" ca="1">INDIRECT("Data!A" &amp; 2009)</f>
        <v>0</v>
      </c>
      <c r="H2014" s="21">
        <f>Data!B2026</f>
        <v>0</v>
      </c>
      <c r="I2014" s="21">
        <f>Data!C2026</f>
        <v>0</v>
      </c>
      <c r="J2014">
        <f>Data!D2026</f>
        <v>0</v>
      </c>
      <c r="K2014">
        <f>Data!E2026</f>
        <v>0</v>
      </c>
      <c r="L2014">
        <f>Data!F2026</f>
        <v>0</v>
      </c>
      <c r="M2014">
        <f>Data!G2026</f>
        <v>0</v>
      </c>
      <c r="N2014">
        <f>Data!H2026</f>
        <v>0</v>
      </c>
      <c r="O2014">
        <f>Data!I2026</f>
        <v>0</v>
      </c>
      <c r="P2014" s="21">
        <f>Data!J2030</f>
        <v>0</v>
      </c>
      <c r="Q2014">
        <f>Data!K2030</f>
        <v>0</v>
      </c>
      <c r="R2014">
        <f>Data!L2030</f>
        <v>0</v>
      </c>
      <c r="S2014">
        <f>Data!M2030</f>
        <v>0</v>
      </c>
      <c r="T2014">
        <f>Data!N2030</f>
        <v>0</v>
      </c>
      <c r="U2014">
        <f>Data!O2030</f>
        <v>0</v>
      </c>
      <c r="V2014" s="33">
        <f>Data!P2028</f>
        <v>0</v>
      </c>
    </row>
    <row r="2015" spans="7:22" x14ac:dyDescent="0.25">
      <c r="G2015" cm="1">
        <f t="array" aca="1" ref="G2015" ca="1">INDIRECT("Data!A" &amp; 2010)</f>
        <v>0</v>
      </c>
      <c r="H2015" s="21">
        <f>Data!B2027</f>
        <v>0</v>
      </c>
      <c r="I2015" s="21">
        <f>Data!C2027</f>
        <v>0</v>
      </c>
      <c r="J2015">
        <f>Data!D2027</f>
        <v>0</v>
      </c>
      <c r="K2015">
        <f>Data!E2027</f>
        <v>0</v>
      </c>
      <c r="L2015">
        <f>Data!F2027</f>
        <v>0</v>
      </c>
      <c r="M2015">
        <f>Data!G2027</f>
        <v>0</v>
      </c>
      <c r="N2015">
        <f>Data!H2027</f>
        <v>0</v>
      </c>
      <c r="O2015">
        <f>Data!I2027</f>
        <v>0</v>
      </c>
      <c r="P2015" s="21">
        <f>Data!J2031</f>
        <v>0</v>
      </c>
      <c r="Q2015">
        <f>Data!K2031</f>
        <v>0</v>
      </c>
      <c r="R2015">
        <f>Data!L2031</f>
        <v>0</v>
      </c>
      <c r="S2015">
        <f>Data!M2031</f>
        <v>0</v>
      </c>
      <c r="T2015">
        <f>Data!N2031</f>
        <v>0</v>
      </c>
      <c r="U2015">
        <f>Data!O2031</f>
        <v>0</v>
      </c>
      <c r="V2015" s="33">
        <f>Data!P2029</f>
        <v>0</v>
      </c>
    </row>
    <row r="2016" spans="7:22" x14ac:dyDescent="0.25">
      <c r="G2016" cm="1">
        <f t="array" aca="1" ref="G2016" ca="1">INDIRECT("Data!A" &amp; 2011)</f>
        <v>0</v>
      </c>
      <c r="H2016" s="21">
        <f>Data!B2028</f>
        <v>0</v>
      </c>
      <c r="I2016" s="21">
        <f>Data!C2028</f>
        <v>0</v>
      </c>
      <c r="J2016">
        <f>Data!D2028</f>
        <v>0</v>
      </c>
      <c r="K2016">
        <f>Data!E2028</f>
        <v>0</v>
      </c>
      <c r="L2016">
        <f>Data!F2028</f>
        <v>0</v>
      </c>
      <c r="M2016">
        <f>Data!G2028</f>
        <v>0</v>
      </c>
      <c r="N2016">
        <f>Data!H2028</f>
        <v>0</v>
      </c>
      <c r="O2016">
        <f>Data!I2028</f>
        <v>0</v>
      </c>
      <c r="P2016" s="21">
        <f>Data!J2032</f>
        <v>0</v>
      </c>
      <c r="Q2016">
        <f>Data!K2032</f>
        <v>0</v>
      </c>
      <c r="R2016">
        <f>Data!L2032</f>
        <v>0</v>
      </c>
      <c r="S2016">
        <f>Data!M2032</f>
        <v>0</v>
      </c>
      <c r="T2016">
        <f>Data!N2032</f>
        <v>0</v>
      </c>
      <c r="U2016">
        <f>Data!O2032</f>
        <v>0</v>
      </c>
      <c r="V2016" s="33">
        <f>Data!P2030</f>
        <v>0</v>
      </c>
    </row>
    <row r="2017" spans="7:22" x14ac:dyDescent="0.25">
      <c r="G2017" cm="1">
        <f t="array" aca="1" ref="G2017" ca="1">INDIRECT("Data!A" &amp; 2012)</f>
        <v>0</v>
      </c>
      <c r="H2017" s="21">
        <f>Data!B2029</f>
        <v>0</v>
      </c>
      <c r="I2017" s="21">
        <f>Data!C2029</f>
        <v>0</v>
      </c>
      <c r="J2017">
        <f>Data!D2029</f>
        <v>0</v>
      </c>
      <c r="K2017">
        <f>Data!E2029</f>
        <v>0</v>
      </c>
      <c r="L2017">
        <f>Data!F2029</f>
        <v>0</v>
      </c>
      <c r="M2017">
        <f>Data!G2029</f>
        <v>0</v>
      </c>
      <c r="N2017">
        <f>Data!H2029</f>
        <v>0</v>
      </c>
      <c r="O2017">
        <f>Data!I2029</f>
        <v>0</v>
      </c>
      <c r="P2017" s="21">
        <f>Data!J2033</f>
        <v>0</v>
      </c>
      <c r="Q2017">
        <f>Data!K2033</f>
        <v>0</v>
      </c>
      <c r="R2017">
        <f>Data!L2033</f>
        <v>0</v>
      </c>
      <c r="S2017">
        <f>Data!M2033</f>
        <v>0</v>
      </c>
      <c r="T2017">
        <f>Data!N2033</f>
        <v>0</v>
      </c>
      <c r="U2017">
        <f>Data!O2033</f>
        <v>0</v>
      </c>
      <c r="V2017" s="33">
        <f>Data!P2031</f>
        <v>0</v>
      </c>
    </row>
    <row r="2018" spans="7:22" x14ac:dyDescent="0.25">
      <c r="G2018" cm="1">
        <f t="array" aca="1" ref="G2018" ca="1">INDIRECT("Data!A" &amp; 2013)</f>
        <v>0</v>
      </c>
      <c r="H2018" s="21">
        <f>Data!B2030</f>
        <v>0</v>
      </c>
      <c r="I2018" s="21">
        <f>Data!C2030</f>
        <v>0</v>
      </c>
      <c r="J2018">
        <f>Data!D2030</f>
        <v>0</v>
      </c>
      <c r="K2018">
        <f>Data!E2030</f>
        <v>0</v>
      </c>
      <c r="L2018">
        <f>Data!F2030</f>
        <v>0</v>
      </c>
      <c r="M2018">
        <f>Data!G2030</f>
        <v>0</v>
      </c>
      <c r="N2018">
        <f>Data!H2030</f>
        <v>0</v>
      </c>
      <c r="O2018">
        <f>Data!I2030</f>
        <v>0</v>
      </c>
      <c r="P2018" s="21">
        <f>Data!J2034</f>
        <v>0</v>
      </c>
      <c r="Q2018">
        <f>Data!K2034</f>
        <v>0</v>
      </c>
      <c r="R2018">
        <f>Data!L2034</f>
        <v>0</v>
      </c>
      <c r="S2018">
        <f>Data!M2034</f>
        <v>0</v>
      </c>
      <c r="T2018">
        <f>Data!N2034</f>
        <v>0</v>
      </c>
      <c r="U2018">
        <f>Data!O2034</f>
        <v>0</v>
      </c>
      <c r="V2018" s="33">
        <f>Data!P2032</f>
        <v>0</v>
      </c>
    </row>
    <row r="2019" spans="7:22" x14ac:dyDescent="0.25">
      <c r="G2019" cm="1">
        <f t="array" aca="1" ref="G2019" ca="1">INDIRECT("Data!A" &amp; 2014)</f>
        <v>0</v>
      </c>
      <c r="H2019" s="21">
        <f>Data!B2031</f>
        <v>0</v>
      </c>
      <c r="I2019" s="21">
        <f>Data!C2031</f>
        <v>0</v>
      </c>
      <c r="J2019">
        <f>Data!D2031</f>
        <v>0</v>
      </c>
      <c r="K2019">
        <f>Data!E2031</f>
        <v>0</v>
      </c>
      <c r="L2019">
        <f>Data!F2031</f>
        <v>0</v>
      </c>
      <c r="M2019">
        <f>Data!G2031</f>
        <v>0</v>
      </c>
      <c r="N2019">
        <f>Data!H2031</f>
        <v>0</v>
      </c>
      <c r="O2019">
        <f>Data!I2031</f>
        <v>0</v>
      </c>
      <c r="P2019" s="21">
        <f>Data!J2035</f>
        <v>0</v>
      </c>
      <c r="Q2019">
        <f>Data!K2035</f>
        <v>0</v>
      </c>
      <c r="R2019">
        <f>Data!L2035</f>
        <v>0</v>
      </c>
      <c r="S2019">
        <f>Data!M2035</f>
        <v>0</v>
      </c>
      <c r="T2019">
        <f>Data!N2035</f>
        <v>0</v>
      </c>
      <c r="U2019">
        <f>Data!O2035</f>
        <v>0</v>
      </c>
      <c r="V2019" s="33">
        <f>Data!P2033</f>
        <v>0</v>
      </c>
    </row>
    <row r="2020" spans="7:22" x14ac:dyDescent="0.25">
      <c r="G2020" cm="1">
        <f t="array" aca="1" ref="G2020" ca="1">INDIRECT("Data!A" &amp; 2015)</f>
        <v>0</v>
      </c>
      <c r="H2020" s="21">
        <f>Data!B2032</f>
        <v>0</v>
      </c>
      <c r="I2020" s="21">
        <f>Data!C2032</f>
        <v>0</v>
      </c>
      <c r="J2020">
        <f>Data!D2032</f>
        <v>0</v>
      </c>
      <c r="K2020">
        <f>Data!E2032</f>
        <v>0</v>
      </c>
      <c r="L2020">
        <f>Data!F2032</f>
        <v>0</v>
      </c>
      <c r="M2020">
        <f>Data!G2032</f>
        <v>0</v>
      </c>
      <c r="N2020">
        <f>Data!H2032</f>
        <v>0</v>
      </c>
      <c r="O2020">
        <f>Data!I2032</f>
        <v>0</v>
      </c>
      <c r="P2020" s="21">
        <f>Data!J2036</f>
        <v>0</v>
      </c>
      <c r="Q2020">
        <f>Data!K2036</f>
        <v>0</v>
      </c>
      <c r="R2020">
        <f>Data!L2036</f>
        <v>0</v>
      </c>
      <c r="S2020">
        <f>Data!M2036</f>
        <v>0</v>
      </c>
      <c r="T2020">
        <f>Data!N2036</f>
        <v>0</v>
      </c>
      <c r="U2020">
        <f>Data!O2036</f>
        <v>0</v>
      </c>
      <c r="V2020" s="33">
        <f>Data!P2034</f>
        <v>0</v>
      </c>
    </row>
    <row r="2021" spans="7:22" x14ac:dyDescent="0.25">
      <c r="G2021" cm="1">
        <f t="array" aca="1" ref="G2021" ca="1">INDIRECT("Data!A" &amp; 2016)</f>
        <v>0</v>
      </c>
      <c r="H2021" s="21">
        <f>Data!B2033</f>
        <v>0</v>
      </c>
      <c r="I2021" s="21">
        <f>Data!C2033</f>
        <v>0</v>
      </c>
      <c r="J2021">
        <f>Data!D2033</f>
        <v>0</v>
      </c>
      <c r="K2021">
        <f>Data!E2033</f>
        <v>0</v>
      </c>
      <c r="L2021">
        <f>Data!F2033</f>
        <v>0</v>
      </c>
      <c r="M2021">
        <f>Data!G2033</f>
        <v>0</v>
      </c>
      <c r="N2021">
        <f>Data!H2033</f>
        <v>0</v>
      </c>
      <c r="O2021">
        <f>Data!I2033</f>
        <v>0</v>
      </c>
      <c r="P2021" s="21">
        <f>Data!J2037</f>
        <v>0</v>
      </c>
      <c r="Q2021">
        <f>Data!K2037</f>
        <v>0</v>
      </c>
      <c r="R2021">
        <f>Data!L2037</f>
        <v>0</v>
      </c>
      <c r="S2021">
        <f>Data!M2037</f>
        <v>0</v>
      </c>
      <c r="T2021">
        <f>Data!N2037</f>
        <v>0</v>
      </c>
      <c r="U2021">
        <f>Data!O2037</f>
        <v>0</v>
      </c>
      <c r="V2021" s="33">
        <f>Data!P2035</f>
        <v>0</v>
      </c>
    </row>
    <row r="2022" spans="7:22" x14ac:dyDescent="0.25">
      <c r="G2022" cm="1">
        <f t="array" aca="1" ref="G2022" ca="1">INDIRECT("Data!A" &amp; 2017)</f>
        <v>0</v>
      </c>
      <c r="H2022" s="21">
        <f>Data!B2034</f>
        <v>0</v>
      </c>
      <c r="I2022" s="21">
        <f>Data!C2034</f>
        <v>0</v>
      </c>
      <c r="J2022">
        <f>Data!D2034</f>
        <v>0</v>
      </c>
      <c r="K2022">
        <f>Data!E2034</f>
        <v>0</v>
      </c>
      <c r="L2022">
        <f>Data!F2034</f>
        <v>0</v>
      </c>
      <c r="M2022">
        <f>Data!G2034</f>
        <v>0</v>
      </c>
      <c r="N2022">
        <f>Data!H2034</f>
        <v>0</v>
      </c>
      <c r="O2022">
        <f>Data!I2034</f>
        <v>0</v>
      </c>
      <c r="P2022" s="21">
        <f>Data!J2038</f>
        <v>0</v>
      </c>
      <c r="Q2022">
        <f>Data!K2038</f>
        <v>0</v>
      </c>
      <c r="R2022">
        <f>Data!L2038</f>
        <v>0</v>
      </c>
      <c r="S2022">
        <f>Data!M2038</f>
        <v>0</v>
      </c>
      <c r="T2022">
        <f>Data!N2038</f>
        <v>0</v>
      </c>
      <c r="U2022">
        <f>Data!O2038</f>
        <v>0</v>
      </c>
      <c r="V2022" s="33">
        <f>Data!P2036</f>
        <v>0</v>
      </c>
    </row>
    <row r="2023" spans="7:22" x14ac:dyDescent="0.25">
      <c r="G2023" cm="1">
        <f t="array" aca="1" ref="G2023" ca="1">INDIRECT("Data!A" &amp; 2018)</f>
        <v>0</v>
      </c>
      <c r="H2023" s="21">
        <f>Data!B2035</f>
        <v>0</v>
      </c>
      <c r="I2023" s="21">
        <f>Data!C2035</f>
        <v>0</v>
      </c>
      <c r="J2023">
        <f>Data!D2035</f>
        <v>0</v>
      </c>
      <c r="K2023">
        <f>Data!E2035</f>
        <v>0</v>
      </c>
      <c r="L2023">
        <f>Data!F2035</f>
        <v>0</v>
      </c>
      <c r="M2023">
        <f>Data!G2035</f>
        <v>0</v>
      </c>
      <c r="N2023">
        <f>Data!H2035</f>
        <v>0</v>
      </c>
      <c r="O2023">
        <f>Data!I2035</f>
        <v>0</v>
      </c>
      <c r="P2023" s="21">
        <f>Data!J2039</f>
        <v>0</v>
      </c>
      <c r="Q2023">
        <f>Data!K2039</f>
        <v>0</v>
      </c>
      <c r="R2023">
        <f>Data!L2039</f>
        <v>0</v>
      </c>
      <c r="S2023">
        <f>Data!M2039</f>
        <v>0</v>
      </c>
      <c r="T2023">
        <f>Data!N2039</f>
        <v>0</v>
      </c>
      <c r="U2023">
        <f>Data!O2039</f>
        <v>0</v>
      </c>
      <c r="V2023" s="33">
        <f>Data!P2037</f>
        <v>0</v>
      </c>
    </row>
    <row r="2024" spans="7:22" x14ac:dyDescent="0.25">
      <c r="G2024" cm="1">
        <f t="array" aca="1" ref="G2024" ca="1">INDIRECT("Data!A" &amp; 2019)</f>
        <v>0</v>
      </c>
      <c r="H2024" s="21">
        <f>Data!B2036</f>
        <v>0</v>
      </c>
      <c r="I2024" s="21">
        <f>Data!C2036</f>
        <v>0</v>
      </c>
      <c r="J2024">
        <f>Data!D2036</f>
        <v>0</v>
      </c>
      <c r="K2024">
        <f>Data!E2036</f>
        <v>0</v>
      </c>
      <c r="L2024">
        <f>Data!F2036</f>
        <v>0</v>
      </c>
      <c r="M2024">
        <f>Data!G2036</f>
        <v>0</v>
      </c>
      <c r="N2024">
        <f>Data!H2036</f>
        <v>0</v>
      </c>
      <c r="O2024">
        <f>Data!I2036</f>
        <v>0</v>
      </c>
      <c r="P2024" s="21">
        <f>Data!J2040</f>
        <v>0</v>
      </c>
      <c r="Q2024">
        <f>Data!K2040</f>
        <v>0</v>
      </c>
      <c r="R2024">
        <f>Data!L2040</f>
        <v>0</v>
      </c>
      <c r="S2024">
        <f>Data!M2040</f>
        <v>0</v>
      </c>
      <c r="T2024">
        <f>Data!N2040</f>
        <v>0</v>
      </c>
      <c r="U2024">
        <f>Data!O2040</f>
        <v>0</v>
      </c>
      <c r="V2024" s="33">
        <f>Data!P2038</f>
        <v>0</v>
      </c>
    </row>
    <row r="2025" spans="7:22" x14ac:dyDescent="0.25">
      <c r="G2025" cm="1">
        <f t="array" aca="1" ref="G2025" ca="1">INDIRECT("Data!A" &amp; 2020)</f>
        <v>0</v>
      </c>
      <c r="H2025" s="21">
        <f>Data!B2037</f>
        <v>0</v>
      </c>
      <c r="I2025" s="21">
        <f>Data!C2037</f>
        <v>0</v>
      </c>
      <c r="J2025">
        <f>Data!D2037</f>
        <v>0</v>
      </c>
      <c r="K2025">
        <f>Data!E2037</f>
        <v>0</v>
      </c>
      <c r="L2025">
        <f>Data!F2037</f>
        <v>0</v>
      </c>
      <c r="M2025">
        <f>Data!G2037</f>
        <v>0</v>
      </c>
      <c r="N2025">
        <f>Data!H2037</f>
        <v>0</v>
      </c>
      <c r="O2025">
        <f>Data!I2037</f>
        <v>0</v>
      </c>
      <c r="P2025" s="21">
        <f>Data!J2041</f>
        <v>0</v>
      </c>
      <c r="Q2025">
        <f>Data!K2041</f>
        <v>0</v>
      </c>
      <c r="R2025">
        <f>Data!L2041</f>
        <v>0</v>
      </c>
      <c r="S2025">
        <f>Data!M2041</f>
        <v>0</v>
      </c>
      <c r="T2025">
        <f>Data!N2041</f>
        <v>0</v>
      </c>
      <c r="U2025">
        <f>Data!O2041</f>
        <v>0</v>
      </c>
      <c r="V2025" s="33">
        <f>Data!P2039</f>
        <v>0</v>
      </c>
    </row>
    <row r="2026" spans="7:22" x14ac:dyDescent="0.25">
      <c r="G2026" cm="1">
        <f t="array" aca="1" ref="G2026" ca="1">INDIRECT("Data!A" &amp; 2021)</f>
        <v>0</v>
      </c>
      <c r="H2026" s="21">
        <f>Data!B2038</f>
        <v>0</v>
      </c>
      <c r="I2026" s="21">
        <f>Data!C2038</f>
        <v>0</v>
      </c>
      <c r="J2026">
        <f>Data!D2038</f>
        <v>0</v>
      </c>
      <c r="K2026">
        <f>Data!E2038</f>
        <v>0</v>
      </c>
      <c r="L2026">
        <f>Data!F2038</f>
        <v>0</v>
      </c>
      <c r="M2026">
        <f>Data!G2038</f>
        <v>0</v>
      </c>
      <c r="N2026">
        <f>Data!H2038</f>
        <v>0</v>
      </c>
      <c r="O2026">
        <f>Data!I2038</f>
        <v>0</v>
      </c>
      <c r="P2026" s="21">
        <f>Data!J2042</f>
        <v>0</v>
      </c>
      <c r="Q2026">
        <f>Data!K2042</f>
        <v>0</v>
      </c>
      <c r="R2026">
        <f>Data!L2042</f>
        <v>0</v>
      </c>
      <c r="S2026">
        <f>Data!M2042</f>
        <v>0</v>
      </c>
      <c r="T2026">
        <f>Data!N2042</f>
        <v>0</v>
      </c>
      <c r="U2026">
        <f>Data!O2042</f>
        <v>0</v>
      </c>
      <c r="V2026" s="33">
        <f>Data!P2040</f>
        <v>0</v>
      </c>
    </row>
    <row r="2027" spans="7:22" x14ac:dyDescent="0.25">
      <c r="G2027" cm="1">
        <f t="array" aca="1" ref="G2027" ca="1">INDIRECT("Data!A" &amp; 2022)</f>
        <v>0</v>
      </c>
      <c r="H2027" s="21">
        <f>Data!B2039</f>
        <v>0</v>
      </c>
      <c r="I2027" s="21">
        <f>Data!C2039</f>
        <v>0</v>
      </c>
      <c r="J2027">
        <f>Data!D2039</f>
        <v>0</v>
      </c>
      <c r="K2027">
        <f>Data!E2039</f>
        <v>0</v>
      </c>
      <c r="L2027">
        <f>Data!F2039</f>
        <v>0</v>
      </c>
      <c r="M2027">
        <f>Data!G2039</f>
        <v>0</v>
      </c>
      <c r="N2027">
        <f>Data!H2039</f>
        <v>0</v>
      </c>
      <c r="O2027">
        <f>Data!I2039</f>
        <v>0</v>
      </c>
      <c r="P2027" s="21">
        <f>Data!J2043</f>
        <v>0</v>
      </c>
      <c r="Q2027">
        <f>Data!K2043</f>
        <v>0</v>
      </c>
      <c r="R2027">
        <f>Data!L2043</f>
        <v>0</v>
      </c>
      <c r="S2027">
        <f>Data!M2043</f>
        <v>0</v>
      </c>
      <c r="T2027">
        <f>Data!N2043</f>
        <v>0</v>
      </c>
      <c r="U2027">
        <f>Data!O2043</f>
        <v>0</v>
      </c>
      <c r="V2027" s="33">
        <f>Data!P2041</f>
        <v>0</v>
      </c>
    </row>
    <row r="2028" spans="7:22" x14ac:dyDescent="0.25">
      <c r="G2028" cm="1">
        <f t="array" aca="1" ref="G2028" ca="1">INDIRECT("Data!A" &amp; 2023)</f>
        <v>0</v>
      </c>
      <c r="H2028" s="21">
        <f>Data!B2040</f>
        <v>0</v>
      </c>
      <c r="I2028" s="21">
        <f>Data!C2040</f>
        <v>0</v>
      </c>
      <c r="J2028">
        <f>Data!D2040</f>
        <v>0</v>
      </c>
      <c r="K2028">
        <f>Data!E2040</f>
        <v>0</v>
      </c>
      <c r="L2028">
        <f>Data!F2040</f>
        <v>0</v>
      </c>
      <c r="M2028">
        <f>Data!G2040</f>
        <v>0</v>
      </c>
      <c r="N2028">
        <f>Data!H2040</f>
        <v>0</v>
      </c>
      <c r="O2028">
        <f>Data!I2040</f>
        <v>0</v>
      </c>
      <c r="P2028" s="21">
        <f>Data!J2044</f>
        <v>0</v>
      </c>
      <c r="Q2028">
        <f>Data!K2044</f>
        <v>0</v>
      </c>
      <c r="R2028">
        <f>Data!L2044</f>
        <v>0</v>
      </c>
      <c r="S2028">
        <f>Data!M2044</f>
        <v>0</v>
      </c>
      <c r="T2028">
        <f>Data!N2044</f>
        <v>0</v>
      </c>
      <c r="U2028">
        <f>Data!O2044</f>
        <v>0</v>
      </c>
      <c r="V2028" s="33">
        <f>Data!P2042</f>
        <v>0</v>
      </c>
    </row>
    <row r="2029" spans="7:22" x14ac:dyDescent="0.25">
      <c r="G2029" cm="1">
        <f t="array" aca="1" ref="G2029" ca="1">INDIRECT("Data!A" &amp; 2024)</f>
        <v>0</v>
      </c>
      <c r="H2029" s="21">
        <f>Data!B2041</f>
        <v>0</v>
      </c>
      <c r="I2029" s="21">
        <f>Data!C2041</f>
        <v>0</v>
      </c>
      <c r="J2029">
        <f>Data!D2041</f>
        <v>0</v>
      </c>
      <c r="K2029">
        <f>Data!E2041</f>
        <v>0</v>
      </c>
      <c r="L2029">
        <f>Data!F2041</f>
        <v>0</v>
      </c>
      <c r="M2029">
        <f>Data!G2041</f>
        <v>0</v>
      </c>
      <c r="N2029">
        <f>Data!H2041</f>
        <v>0</v>
      </c>
      <c r="O2029">
        <f>Data!I2041</f>
        <v>0</v>
      </c>
      <c r="P2029" s="21">
        <f>Data!J2045</f>
        <v>0</v>
      </c>
      <c r="Q2029">
        <f>Data!K2045</f>
        <v>0</v>
      </c>
      <c r="R2029">
        <f>Data!L2045</f>
        <v>0</v>
      </c>
      <c r="S2029">
        <f>Data!M2045</f>
        <v>0</v>
      </c>
      <c r="T2029">
        <f>Data!N2045</f>
        <v>0</v>
      </c>
      <c r="U2029">
        <f>Data!O2045</f>
        <v>0</v>
      </c>
      <c r="V2029" s="33">
        <f>Data!P2043</f>
        <v>0</v>
      </c>
    </row>
    <row r="2030" spans="7:22" x14ac:dyDescent="0.25">
      <c r="G2030" cm="1">
        <f t="array" aca="1" ref="G2030" ca="1">INDIRECT("Data!A" &amp; 2025)</f>
        <v>0</v>
      </c>
      <c r="H2030" s="21">
        <f>Data!B2042</f>
        <v>0</v>
      </c>
      <c r="I2030" s="21">
        <f>Data!C2042</f>
        <v>0</v>
      </c>
      <c r="J2030">
        <f>Data!D2042</f>
        <v>0</v>
      </c>
      <c r="K2030">
        <f>Data!E2042</f>
        <v>0</v>
      </c>
      <c r="L2030">
        <f>Data!F2042</f>
        <v>0</v>
      </c>
      <c r="M2030">
        <f>Data!G2042</f>
        <v>0</v>
      </c>
      <c r="N2030">
        <f>Data!H2042</f>
        <v>0</v>
      </c>
      <c r="O2030">
        <f>Data!I2042</f>
        <v>0</v>
      </c>
      <c r="P2030" s="21">
        <f>Data!J2046</f>
        <v>0</v>
      </c>
      <c r="Q2030">
        <f>Data!K2046</f>
        <v>0</v>
      </c>
      <c r="R2030">
        <f>Data!L2046</f>
        <v>0</v>
      </c>
      <c r="S2030">
        <f>Data!M2046</f>
        <v>0</v>
      </c>
      <c r="T2030">
        <f>Data!N2046</f>
        <v>0</v>
      </c>
      <c r="U2030">
        <f>Data!O2046</f>
        <v>0</v>
      </c>
      <c r="V2030" s="33">
        <f>Data!P2044</f>
        <v>0</v>
      </c>
    </row>
    <row r="2031" spans="7:22" x14ac:dyDescent="0.25">
      <c r="G2031" cm="1">
        <f t="array" aca="1" ref="G2031" ca="1">INDIRECT("Data!A" &amp; 2026)</f>
        <v>0</v>
      </c>
      <c r="H2031" s="21">
        <f>Data!B2043</f>
        <v>0</v>
      </c>
      <c r="I2031" s="21">
        <f>Data!C2043</f>
        <v>0</v>
      </c>
      <c r="J2031">
        <f>Data!D2043</f>
        <v>0</v>
      </c>
      <c r="K2031">
        <f>Data!E2043</f>
        <v>0</v>
      </c>
      <c r="L2031">
        <f>Data!F2043</f>
        <v>0</v>
      </c>
      <c r="M2031">
        <f>Data!G2043</f>
        <v>0</v>
      </c>
      <c r="N2031">
        <f>Data!H2043</f>
        <v>0</v>
      </c>
      <c r="O2031">
        <f>Data!I2043</f>
        <v>0</v>
      </c>
      <c r="P2031" s="21">
        <f>Data!J2047</f>
        <v>0</v>
      </c>
      <c r="Q2031">
        <f>Data!K2047</f>
        <v>0</v>
      </c>
      <c r="R2031">
        <f>Data!L2047</f>
        <v>0</v>
      </c>
      <c r="S2031">
        <f>Data!M2047</f>
        <v>0</v>
      </c>
      <c r="T2031">
        <f>Data!N2047</f>
        <v>0</v>
      </c>
      <c r="U2031">
        <f>Data!O2047</f>
        <v>0</v>
      </c>
      <c r="V2031" s="33">
        <f>Data!P2045</f>
        <v>0</v>
      </c>
    </row>
    <row r="2032" spans="7:22" x14ac:dyDescent="0.25">
      <c r="G2032" cm="1">
        <f t="array" aca="1" ref="G2032" ca="1">INDIRECT("Data!A" &amp; 2027)</f>
        <v>0</v>
      </c>
      <c r="H2032" s="21">
        <f>Data!B2044</f>
        <v>0</v>
      </c>
      <c r="I2032" s="21">
        <f>Data!C2044</f>
        <v>0</v>
      </c>
      <c r="J2032">
        <f>Data!D2044</f>
        <v>0</v>
      </c>
      <c r="K2032">
        <f>Data!E2044</f>
        <v>0</v>
      </c>
      <c r="L2032">
        <f>Data!F2044</f>
        <v>0</v>
      </c>
      <c r="M2032">
        <f>Data!G2044</f>
        <v>0</v>
      </c>
      <c r="N2032">
        <f>Data!H2044</f>
        <v>0</v>
      </c>
      <c r="O2032">
        <f>Data!I2044</f>
        <v>0</v>
      </c>
      <c r="P2032" s="21">
        <f>Data!J2048</f>
        <v>0</v>
      </c>
      <c r="Q2032">
        <f>Data!K2048</f>
        <v>0</v>
      </c>
      <c r="R2032">
        <f>Data!L2048</f>
        <v>0</v>
      </c>
      <c r="S2032">
        <f>Data!M2048</f>
        <v>0</v>
      </c>
      <c r="T2032">
        <f>Data!N2048</f>
        <v>0</v>
      </c>
      <c r="U2032">
        <f>Data!O2048</f>
        <v>0</v>
      </c>
      <c r="V2032" s="33">
        <f>Data!P2046</f>
        <v>0</v>
      </c>
    </row>
    <row r="2033" spans="7:22" x14ac:dyDescent="0.25">
      <c r="G2033" cm="1">
        <f t="array" aca="1" ref="G2033" ca="1">INDIRECT("Data!A" &amp; 2028)</f>
        <v>0</v>
      </c>
      <c r="H2033" s="21">
        <f>Data!B2045</f>
        <v>0</v>
      </c>
      <c r="I2033" s="21">
        <f>Data!C2045</f>
        <v>0</v>
      </c>
      <c r="J2033">
        <f>Data!D2045</f>
        <v>0</v>
      </c>
      <c r="K2033">
        <f>Data!E2045</f>
        <v>0</v>
      </c>
      <c r="L2033">
        <f>Data!F2045</f>
        <v>0</v>
      </c>
      <c r="M2033">
        <f>Data!G2045</f>
        <v>0</v>
      </c>
      <c r="N2033">
        <f>Data!H2045</f>
        <v>0</v>
      </c>
      <c r="O2033">
        <f>Data!I2045</f>
        <v>0</v>
      </c>
      <c r="P2033" s="21">
        <f>Data!J2049</f>
        <v>0</v>
      </c>
      <c r="Q2033">
        <f>Data!K2049</f>
        <v>0</v>
      </c>
      <c r="R2033">
        <f>Data!L2049</f>
        <v>0</v>
      </c>
      <c r="S2033">
        <f>Data!M2049</f>
        <v>0</v>
      </c>
      <c r="T2033">
        <f>Data!N2049</f>
        <v>0</v>
      </c>
      <c r="U2033">
        <f>Data!O2049</f>
        <v>0</v>
      </c>
      <c r="V2033" s="33">
        <f>Data!P2047</f>
        <v>0</v>
      </c>
    </row>
    <row r="2034" spans="7:22" x14ac:dyDescent="0.25">
      <c r="G2034" cm="1">
        <f t="array" aca="1" ref="G2034" ca="1">INDIRECT("Data!A" &amp; 2029)</f>
        <v>0</v>
      </c>
      <c r="H2034" s="21">
        <f>Data!B2046</f>
        <v>0</v>
      </c>
      <c r="I2034" s="21">
        <f>Data!C2046</f>
        <v>0</v>
      </c>
      <c r="J2034">
        <f>Data!D2046</f>
        <v>0</v>
      </c>
      <c r="K2034">
        <f>Data!E2046</f>
        <v>0</v>
      </c>
      <c r="L2034">
        <f>Data!F2046</f>
        <v>0</v>
      </c>
      <c r="M2034">
        <f>Data!G2046</f>
        <v>0</v>
      </c>
      <c r="N2034">
        <f>Data!H2046</f>
        <v>0</v>
      </c>
      <c r="O2034">
        <f>Data!I2046</f>
        <v>0</v>
      </c>
      <c r="P2034" s="21">
        <f>Data!J2050</f>
        <v>0</v>
      </c>
      <c r="Q2034">
        <f>Data!K2050</f>
        <v>0</v>
      </c>
      <c r="R2034">
        <f>Data!L2050</f>
        <v>0</v>
      </c>
      <c r="S2034">
        <f>Data!M2050</f>
        <v>0</v>
      </c>
      <c r="T2034">
        <f>Data!N2050</f>
        <v>0</v>
      </c>
      <c r="U2034">
        <f>Data!O2050</f>
        <v>0</v>
      </c>
      <c r="V2034" s="33">
        <f>Data!P2048</f>
        <v>0</v>
      </c>
    </row>
    <row r="2035" spans="7:22" x14ac:dyDescent="0.25">
      <c r="G2035" cm="1">
        <f t="array" aca="1" ref="G2035" ca="1">INDIRECT("Data!A" &amp; 2030)</f>
        <v>0</v>
      </c>
      <c r="H2035" s="21">
        <f>Data!B2047</f>
        <v>0</v>
      </c>
      <c r="I2035" s="21">
        <f>Data!C2047</f>
        <v>0</v>
      </c>
      <c r="J2035">
        <f>Data!D2047</f>
        <v>0</v>
      </c>
      <c r="K2035">
        <f>Data!E2047</f>
        <v>0</v>
      </c>
      <c r="L2035">
        <f>Data!F2047</f>
        <v>0</v>
      </c>
      <c r="M2035">
        <f>Data!G2047</f>
        <v>0</v>
      </c>
      <c r="N2035">
        <f>Data!H2047</f>
        <v>0</v>
      </c>
      <c r="O2035">
        <f>Data!I2047</f>
        <v>0</v>
      </c>
      <c r="P2035" s="21">
        <f>Data!J2051</f>
        <v>0</v>
      </c>
      <c r="Q2035">
        <f>Data!K2051</f>
        <v>0</v>
      </c>
      <c r="R2035">
        <f>Data!L2051</f>
        <v>0</v>
      </c>
      <c r="S2035">
        <f>Data!M2051</f>
        <v>0</v>
      </c>
      <c r="T2035">
        <f>Data!N2051</f>
        <v>0</v>
      </c>
      <c r="U2035">
        <f>Data!O2051</f>
        <v>0</v>
      </c>
      <c r="V2035" s="33">
        <f>Data!P2049</f>
        <v>0</v>
      </c>
    </row>
    <row r="2036" spans="7:22" x14ac:dyDescent="0.25">
      <c r="G2036" cm="1">
        <f t="array" aca="1" ref="G2036" ca="1">INDIRECT("Data!A" &amp; 2031)</f>
        <v>0</v>
      </c>
      <c r="H2036" s="21">
        <f>Data!B2048</f>
        <v>0</v>
      </c>
      <c r="I2036" s="21">
        <f>Data!C2048</f>
        <v>0</v>
      </c>
      <c r="J2036">
        <f>Data!D2048</f>
        <v>0</v>
      </c>
      <c r="K2036">
        <f>Data!E2048</f>
        <v>0</v>
      </c>
      <c r="L2036">
        <f>Data!F2048</f>
        <v>0</v>
      </c>
      <c r="M2036">
        <f>Data!G2048</f>
        <v>0</v>
      </c>
      <c r="N2036">
        <f>Data!H2048</f>
        <v>0</v>
      </c>
      <c r="O2036">
        <f>Data!I2048</f>
        <v>0</v>
      </c>
      <c r="P2036" s="21">
        <f>Data!J2052</f>
        <v>0</v>
      </c>
      <c r="Q2036">
        <f>Data!K2052</f>
        <v>0</v>
      </c>
      <c r="R2036">
        <f>Data!L2052</f>
        <v>0</v>
      </c>
      <c r="S2036">
        <f>Data!M2052</f>
        <v>0</v>
      </c>
      <c r="T2036">
        <f>Data!N2052</f>
        <v>0</v>
      </c>
      <c r="U2036">
        <f>Data!O2052</f>
        <v>0</v>
      </c>
      <c r="V2036" s="33">
        <f>Data!P2050</f>
        <v>0</v>
      </c>
    </row>
    <row r="2037" spans="7:22" x14ac:dyDescent="0.25">
      <c r="G2037" cm="1">
        <f t="array" aca="1" ref="G2037" ca="1">INDIRECT("Data!A" &amp; 2032)</f>
        <v>0</v>
      </c>
      <c r="H2037" s="21">
        <f>Data!B2049</f>
        <v>0</v>
      </c>
      <c r="I2037" s="21">
        <f>Data!C2049</f>
        <v>0</v>
      </c>
      <c r="J2037">
        <f>Data!D2049</f>
        <v>0</v>
      </c>
      <c r="K2037">
        <f>Data!E2049</f>
        <v>0</v>
      </c>
      <c r="L2037">
        <f>Data!F2049</f>
        <v>0</v>
      </c>
      <c r="M2037">
        <f>Data!G2049</f>
        <v>0</v>
      </c>
      <c r="N2037">
        <f>Data!H2049</f>
        <v>0</v>
      </c>
      <c r="O2037">
        <f>Data!I2049</f>
        <v>0</v>
      </c>
      <c r="P2037" s="21">
        <f>Data!J2053</f>
        <v>0</v>
      </c>
      <c r="Q2037">
        <f>Data!K2053</f>
        <v>0</v>
      </c>
      <c r="R2037">
        <f>Data!L2053</f>
        <v>0</v>
      </c>
      <c r="S2037">
        <f>Data!M2053</f>
        <v>0</v>
      </c>
      <c r="T2037">
        <f>Data!N2053</f>
        <v>0</v>
      </c>
      <c r="U2037">
        <f>Data!O2053</f>
        <v>0</v>
      </c>
      <c r="V2037" s="33">
        <f>Data!P2051</f>
        <v>0</v>
      </c>
    </row>
    <row r="2038" spans="7:22" x14ac:dyDescent="0.25">
      <c r="G2038" cm="1">
        <f t="array" aca="1" ref="G2038" ca="1">INDIRECT("Data!A" &amp; 2033)</f>
        <v>0</v>
      </c>
      <c r="H2038" s="21">
        <f>Data!B2050</f>
        <v>0</v>
      </c>
      <c r="I2038" s="21">
        <f>Data!C2050</f>
        <v>0</v>
      </c>
      <c r="J2038">
        <f>Data!D2050</f>
        <v>0</v>
      </c>
      <c r="K2038">
        <f>Data!E2050</f>
        <v>0</v>
      </c>
      <c r="L2038">
        <f>Data!F2050</f>
        <v>0</v>
      </c>
      <c r="M2038">
        <f>Data!G2050</f>
        <v>0</v>
      </c>
      <c r="N2038">
        <f>Data!H2050</f>
        <v>0</v>
      </c>
      <c r="O2038">
        <f>Data!I2050</f>
        <v>0</v>
      </c>
      <c r="P2038" s="21">
        <f>Data!J2054</f>
        <v>0</v>
      </c>
      <c r="Q2038">
        <f>Data!K2054</f>
        <v>0</v>
      </c>
      <c r="R2038">
        <f>Data!L2054</f>
        <v>0</v>
      </c>
      <c r="S2038">
        <f>Data!M2054</f>
        <v>0</v>
      </c>
      <c r="T2038">
        <f>Data!N2054</f>
        <v>0</v>
      </c>
      <c r="U2038">
        <f>Data!O2054</f>
        <v>0</v>
      </c>
      <c r="V2038" s="33">
        <f>Data!P2052</f>
        <v>0</v>
      </c>
    </row>
    <row r="2039" spans="7:22" x14ac:dyDescent="0.25">
      <c r="G2039" cm="1">
        <f t="array" aca="1" ref="G2039" ca="1">INDIRECT("Data!A" &amp; 2034)</f>
        <v>0</v>
      </c>
      <c r="H2039" s="21">
        <f>Data!B2051</f>
        <v>0</v>
      </c>
      <c r="I2039" s="21">
        <f>Data!C2051</f>
        <v>0</v>
      </c>
      <c r="J2039">
        <f>Data!D2051</f>
        <v>0</v>
      </c>
      <c r="K2039">
        <f>Data!E2051</f>
        <v>0</v>
      </c>
      <c r="L2039">
        <f>Data!F2051</f>
        <v>0</v>
      </c>
      <c r="M2039">
        <f>Data!G2051</f>
        <v>0</v>
      </c>
      <c r="N2039">
        <f>Data!H2051</f>
        <v>0</v>
      </c>
      <c r="O2039">
        <f>Data!I2051</f>
        <v>0</v>
      </c>
      <c r="P2039" s="21">
        <f>Data!J2055</f>
        <v>0</v>
      </c>
      <c r="Q2039">
        <f>Data!K2055</f>
        <v>0</v>
      </c>
      <c r="R2039">
        <f>Data!L2055</f>
        <v>0</v>
      </c>
      <c r="S2039">
        <f>Data!M2055</f>
        <v>0</v>
      </c>
      <c r="T2039">
        <f>Data!N2055</f>
        <v>0</v>
      </c>
      <c r="U2039">
        <f>Data!O2055</f>
        <v>0</v>
      </c>
      <c r="V2039" s="33">
        <f>Data!P2053</f>
        <v>0</v>
      </c>
    </row>
    <row r="2040" spans="7:22" x14ac:dyDescent="0.25">
      <c r="G2040" cm="1">
        <f t="array" aca="1" ref="G2040" ca="1">INDIRECT("Data!A" &amp; 2035)</f>
        <v>0</v>
      </c>
      <c r="H2040" s="21">
        <f>Data!B2052</f>
        <v>0</v>
      </c>
      <c r="I2040" s="21">
        <f>Data!C2052</f>
        <v>0</v>
      </c>
      <c r="J2040">
        <f>Data!D2052</f>
        <v>0</v>
      </c>
      <c r="K2040">
        <f>Data!E2052</f>
        <v>0</v>
      </c>
      <c r="L2040">
        <f>Data!F2052</f>
        <v>0</v>
      </c>
      <c r="M2040">
        <f>Data!G2052</f>
        <v>0</v>
      </c>
      <c r="N2040">
        <f>Data!H2052</f>
        <v>0</v>
      </c>
      <c r="O2040">
        <f>Data!I2052</f>
        <v>0</v>
      </c>
      <c r="P2040" s="21">
        <f>Data!J2056</f>
        <v>0</v>
      </c>
      <c r="Q2040">
        <f>Data!K2056</f>
        <v>0</v>
      </c>
      <c r="R2040">
        <f>Data!L2056</f>
        <v>0</v>
      </c>
      <c r="S2040">
        <f>Data!M2056</f>
        <v>0</v>
      </c>
      <c r="T2040">
        <f>Data!N2056</f>
        <v>0</v>
      </c>
      <c r="U2040">
        <f>Data!O2056</f>
        <v>0</v>
      </c>
      <c r="V2040" s="33">
        <f>Data!P2054</f>
        <v>0</v>
      </c>
    </row>
    <row r="2041" spans="7:22" x14ac:dyDescent="0.25">
      <c r="G2041" cm="1">
        <f t="array" aca="1" ref="G2041" ca="1">INDIRECT("Data!A" &amp; 2036)</f>
        <v>0</v>
      </c>
      <c r="H2041" s="21">
        <f>Data!B2053</f>
        <v>0</v>
      </c>
      <c r="I2041" s="21">
        <f>Data!C2053</f>
        <v>0</v>
      </c>
      <c r="J2041">
        <f>Data!D2053</f>
        <v>0</v>
      </c>
      <c r="K2041">
        <f>Data!E2053</f>
        <v>0</v>
      </c>
      <c r="L2041">
        <f>Data!F2053</f>
        <v>0</v>
      </c>
      <c r="M2041">
        <f>Data!G2053</f>
        <v>0</v>
      </c>
      <c r="N2041">
        <f>Data!H2053</f>
        <v>0</v>
      </c>
      <c r="O2041">
        <f>Data!I2053</f>
        <v>0</v>
      </c>
      <c r="P2041" s="21">
        <f>Data!J2057</f>
        <v>0</v>
      </c>
      <c r="Q2041">
        <f>Data!K2057</f>
        <v>0</v>
      </c>
      <c r="R2041">
        <f>Data!L2057</f>
        <v>0</v>
      </c>
      <c r="S2041">
        <f>Data!M2057</f>
        <v>0</v>
      </c>
      <c r="T2041">
        <f>Data!N2057</f>
        <v>0</v>
      </c>
      <c r="U2041">
        <f>Data!O2057</f>
        <v>0</v>
      </c>
      <c r="V2041" s="33">
        <f>Data!P2055</f>
        <v>0</v>
      </c>
    </row>
    <row r="2042" spans="7:22" x14ac:dyDescent="0.25">
      <c r="G2042" cm="1">
        <f t="array" aca="1" ref="G2042" ca="1">INDIRECT("Data!A" &amp; 2037)</f>
        <v>0</v>
      </c>
      <c r="H2042" s="21">
        <f>Data!B2054</f>
        <v>0</v>
      </c>
      <c r="I2042" s="21">
        <f>Data!C2054</f>
        <v>0</v>
      </c>
      <c r="J2042">
        <f>Data!D2054</f>
        <v>0</v>
      </c>
      <c r="K2042">
        <f>Data!E2054</f>
        <v>0</v>
      </c>
      <c r="L2042">
        <f>Data!F2054</f>
        <v>0</v>
      </c>
      <c r="M2042">
        <f>Data!G2054</f>
        <v>0</v>
      </c>
      <c r="N2042">
        <f>Data!H2054</f>
        <v>0</v>
      </c>
      <c r="O2042">
        <f>Data!I2054</f>
        <v>0</v>
      </c>
      <c r="P2042" s="21">
        <f>Data!J2058</f>
        <v>0</v>
      </c>
      <c r="Q2042">
        <f>Data!K2058</f>
        <v>0</v>
      </c>
      <c r="R2042">
        <f>Data!L2058</f>
        <v>0</v>
      </c>
      <c r="S2042">
        <f>Data!M2058</f>
        <v>0</v>
      </c>
      <c r="T2042">
        <f>Data!N2058</f>
        <v>0</v>
      </c>
      <c r="U2042">
        <f>Data!O2058</f>
        <v>0</v>
      </c>
      <c r="V2042" s="33">
        <f>Data!P2056</f>
        <v>0</v>
      </c>
    </row>
    <row r="2043" spans="7:22" x14ac:dyDescent="0.25">
      <c r="G2043" cm="1">
        <f t="array" aca="1" ref="G2043" ca="1">INDIRECT("Data!A" &amp; 2038)</f>
        <v>0</v>
      </c>
      <c r="H2043" s="21">
        <f>Data!B2055</f>
        <v>0</v>
      </c>
      <c r="I2043" s="21">
        <f>Data!C2055</f>
        <v>0</v>
      </c>
      <c r="J2043">
        <f>Data!D2055</f>
        <v>0</v>
      </c>
      <c r="K2043">
        <f>Data!E2055</f>
        <v>0</v>
      </c>
      <c r="L2043">
        <f>Data!F2055</f>
        <v>0</v>
      </c>
      <c r="M2043">
        <f>Data!G2055</f>
        <v>0</v>
      </c>
      <c r="N2043">
        <f>Data!H2055</f>
        <v>0</v>
      </c>
      <c r="O2043">
        <f>Data!I2055</f>
        <v>0</v>
      </c>
      <c r="P2043" s="21">
        <f>Data!J2059</f>
        <v>0</v>
      </c>
      <c r="Q2043">
        <f>Data!K2059</f>
        <v>0</v>
      </c>
      <c r="R2043">
        <f>Data!L2059</f>
        <v>0</v>
      </c>
      <c r="S2043">
        <f>Data!M2059</f>
        <v>0</v>
      </c>
      <c r="T2043">
        <f>Data!N2059</f>
        <v>0</v>
      </c>
      <c r="U2043">
        <f>Data!O2059</f>
        <v>0</v>
      </c>
      <c r="V2043" s="33">
        <f>Data!P2057</f>
        <v>0</v>
      </c>
    </row>
    <row r="2044" spans="7:22" x14ac:dyDescent="0.25">
      <c r="G2044" cm="1">
        <f t="array" aca="1" ref="G2044" ca="1">INDIRECT("Data!A" &amp; 2039)</f>
        <v>0</v>
      </c>
      <c r="H2044" s="21">
        <f>Data!B2056</f>
        <v>0</v>
      </c>
      <c r="I2044" s="21">
        <f>Data!C2056</f>
        <v>0</v>
      </c>
      <c r="J2044">
        <f>Data!D2056</f>
        <v>0</v>
      </c>
      <c r="K2044">
        <f>Data!E2056</f>
        <v>0</v>
      </c>
      <c r="L2044">
        <f>Data!F2056</f>
        <v>0</v>
      </c>
      <c r="M2044">
        <f>Data!G2056</f>
        <v>0</v>
      </c>
      <c r="N2044">
        <f>Data!H2056</f>
        <v>0</v>
      </c>
      <c r="O2044">
        <f>Data!I2056</f>
        <v>0</v>
      </c>
      <c r="P2044" s="21">
        <f>Data!J2060</f>
        <v>0</v>
      </c>
      <c r="Q2044">
        <f>Data!K2060</f>
        <v>0</v>
      </c>
      <c r="R2044">
        <f>Data!L2060</f>
        <v>0</v>
      </c>
      <c r="S2044">
        <f>Data!M2060</f>
        <v>0</v>
      </c>
      <c r="T2044">
        <f>Data!N2060</f>
        <v>0</v>
      </c>
      <c r="U2044">
        <f>Data!O2060</f>
        <v>0</v>
      </c>
      <c r="V2044" s="33">
        <f>Data!P2058</f>
        <v>0</v>
      </c>
    </row>
    <row r="2045" spans="7:22" x14ac:dyDescent="0.25">
      <c r="G2045" cm="1">
        <f t="array" aca="1" ref="G2045" ca="1">INDIRECT("Data!A" &amp; 2040)</f>
        <v>0</v>
      </c>
      <c r="H2045" s="21">
        <f>Data!B2057</f>
        <v>0</v>
      </c>
      <c r="I2045" s="21">
        <f>Data!C2057</f>
        <v>0</v>
      </c>
      <c r="J2045">
        <f>Data!D2057</f>
        <v>0</v>
      </c>
      <c r="K2045">
        <f>Data!E2057</f>
        <v>0</v>
      </c>
      <c r="L2045">
        <f>Data!F2057</f>
        <v>0</v>
      </c>
      <c r="M2045">
        <f>Data!G2057</f>
        <v>0</v>
      </c>
      <c r="N2045">
        <f>Data!H2057</f>
        <v>0</v>
      </c>
      <c r="O2045">
        <f>Data!I2057</f>
        <v>0</v>
      </c>
      <c r="P2045" s="21">
        <f>Data!J2061</f>
        <v>0</v>
      </c>
      <c r="Q2045">
        <f>Data!K2061</f>
        <v>0</v>
      </c>
      <c r="R2045">
        <f>Data!L2061</f>
        <v>0</v>
      </c>
      <c r="S2045">
        <f>Data!M2061</f>
        <v>0</v>
      </c>
      <c r="T2045">
        <f>Data!N2061</f>
        <v>0</v>
      </c>
      <c r="U2045">
        <f>Data!O2061</f>
        <v>0</v>
      </c>
      <c r="V2045" s="33">
        <f>Data!P2059</f>
        <v>0</v>
      </c>
    </row>
    <row r="2046" spans="7:22" x14ac:dyDescent="0.25">
      <c r="G2046" cm="1">
        <f t="array" aca="1" ref="G2046" ca="1">INDIRECT("Data!A" &amp; 2041)</f>
        <v>0</v>
      </c>
      <c r="H2046" s="21">
        <f>Data!B2058</f>
        <v>0</v>
      </c>
      <c r="I2046" s="21">
        <f>Data!C2058</f>
        <v>0</v>
      </c>
      <c r="J2046">
        <f>Data!D2058</f>
        <v>0</v>
      </c>
      <c r="K2046">
        <f>Data!E2058</f>
        <v>0</v>
      </c>
      <c r="L2046">
        <f>Data!F2058</f>
        <v>0</v>
      </c>
      <c r="M2046">
        <f>Data!G2058</f>
        <v>0</v>
      </c>
      <c r="N2046">
        <f>Data!H2058</f>
        <v>0</v>
      </c>
      <c r="O2046">
        <f>Data!I2058</f>
        <v>0</v>
      </c>
      <c r="P2046" s="21">
        <f>Data!J2062</f>
        <v>0</v>
      </c>
      <c r="Q2046">
        <f>Data!K2062</f>
        <v>0</v>
      </c>
      <c r="R2046">
        <f>Data!L2062</f>
        <v>0</v>
      </c>
      <c r="S2046">
        <f>Data!M2062</f>
        <v>0</v>
      </c>
      <c r="T2046">
        <f>Data!N2062</f>
        <v>0</v>
      </c>
      <c r="U2046">
        <f>Data!O2062</f>
        <v>0</v>
      </c>
      <c r="V2046" s="33">
        <f>Data!P2060</f>
        <v>0</v>
      </c>
    </row>
    <row r="2047" spans="7:22" x14ac:dyDescent="0.25">
      <c r="G2047" cm="1">
        <f t="array" aca="1" ref="G2047" ca="1">INDIRECT("Data!A" &amp; 2042)</f>
        <v>0</v>
      </c>
      <c r="H2047" s="21">
        <f>Data!B2059</f>
        <v>0</v>
      </c>
      <c r="I2047" s="21">
        <f>Data!C2059</f>
        <v>0</v>
      </c>
      <c r="J2047">
        <f>Data!D2059</f>
        <v>0</v>
      </c>
      <c r="K2047">
        <f>Data!E2059</f>
        <v>0</v>
      </c>
      <c r="L2047">
        <f>Data!F2059</f>
        <v>0</v>
      </c>
      <c r="M2047">
        <f>Data!G2059</f>
        <v>0</v>
      </c>
      <c r="N2047">
        <f>Data!H2059</f>
        <v>0</v>
      </c>
      <c r="O2047">
        <f>Data!I2059</f>
        <v>0</v>
      </c>
      <c r="P2047" s="21">
        <f>Data!J2063</f>
        <v>0</v>
      </c>
      <c r="Q2047">
        <f>Data!K2063</f>
        <v>0</v>
      </c>
      <c r="R2047">
        <f>Data!L2063</f>
        <v>0</v>
      </c>
      <c r="S2047">
        <f>Data!M2063</f>
        <v>0</v>
      </c>
      <c r="T2047">
        <f>Data!N2063</f>
        <v>0</v>
      </c>
      <c r="U2047">
        <f>Data!O2063</f>
        <v>0</v>
      </c>
      <c r="V2047" s="33">
        <f>Data!P2061</f>
        <v>0</v>
      </c>
    </row>
    <row r="2048" spans="7:22" x14ac:dyDescent="0.25">
      <c r="G2048" cm="1">
        <f t="array" aca="1" ref="G2048" ca="1">INDIRECT("Data!A" &amp; 2043)</f>
        <v>0</v>
      </c>
      <c r="H2048" s="21">
        <f>Data!B2060</f>
        <v>0</v>
      </c>
      <c r="I2048" s="21">
        <f>Data!C2060</f>
        <v>0</v>
      </c>
      <c r="J2048">
        <f>Data!D2060</f>
        <v>0</v>
      </c>
      <c r="K2048">
        <f>Data!E2060</f>
        <v>0</v>
      </c>
      <c r="L2048">
        <f>Data!F2060</f>
        <v>0</v>
      </c>
      <c r="M2048">
        <f>Data!G2060</f>
        <v>0</v>
      </c>
      <c r="N2048">
        <f>Data!H2060</f>
        <v>0</v>
      </c>
      <c r="O2048">
        <f>Data!I2060</f>
        <v>0</v>
      </c>
      <c r="P2048" s="21">
        <f>Data!J2064</f>
        <v>0</v>
      </c>
      <c r="Q2048">
        <f>Data!K2064</f>
        <v>0</v>
      </c>
      <c r="R2048">
        <f>Data!L2064</f>
        <v>0</v>
      </c>
      <c r="S2048">
        <f>Data!M2064</f>
        <v>0</v>
      </c>
      <c r="T2048">
        <f>Data!N2064</f>
        <v>0</v>
      </c>
      <c r="U2048">
        <f>Data!O2064</f>
        <v>0</v>
      </c>
      <c r="V2048" s="33">
        <f>Data!P2062</f>
        <v>0</v>
      </c>
    </row>
    <row r="2049" spans="7:22" x14ac:dyDescent="0.25">
      <c r="G2049" cm="1">
        <f t="array" aca="1" ref="G2049" ca="1">INDIRECT("Data!A" &amp; 2044)</f>
        <v>0</v>
      </c>
      <c r="H2049" s="21">
        <f>Data!B2061</f>
        <v>0</v>
      </c>
      <c r="I2049" s="21">
        <f>Data!C2061</f>
        <v>0</v>
      </c>
      <c r="J2049">
        <f>Data!D2061</f>
        <v>0</v>
      </c>
      <c r="K2049">
        <f>Data!E2061</f>
        <v>0</v>
      </c>
      <c r="L2049">
        <f>Data!F2061</f>
        <v>0</v>
      </c>
      <c r="M2049">
        <f>Data!G2061</f>
        <v>0</v>
      </c>
      <c r="N2049">
        <f>Data!H2061</f>
        <v>0</v>
      </c>
      <c r="O2049">
        <f>Data!I2061</f>
        <v>0</v>
      </c>
      <c r="P2049" s="21">
        <f>Data!J2065</f>
        <v>0</v>
      </c>
      <c r="Q2049">
        <f>Data!K2065</f>
        <v>0</v>
      </c>
      <c r="R2049">
        <f>Data!L2065</f>
        <v>0</v>
      </c>
      <c r="S2049">
        <f>Data!M2065</f>
        <v>0</v>
      </c>
      <c r="T2049">
        <f>Data!N2065</f>
        <v>0</v>
      </c>
      <c r="U2049">
        <f>Data!O2065</f>
        <v>0</v>
      </c>
      <c r="V2049" s="33">
        <f>Data!P2063</f>
        <v>0</v>
      </c>
    </row>
    <row r="2050" spans="7:22" x14ac:dyDescent="0.25">
      <c r="G2050" cm="1">
        <f t="array" aca="1" ref="G2050" ca="1">INDIRECT("Data!A" &amp; 2045)</f>
        <v>0</v>
      </c>
      <c r="H2050" s="21">
        <f>Data!B2062</f>
        <v>0</v>
      </c>
      <c r="I2050" s="21">
        <f>Data!C2062</f>
        <v>0</v>
      </c>
      <c r="J2050">
        <f>Data!D2062</f>
        <v>0</v>
      </c>
      <c r="K2050">
        <f>Data!E2062</f>
        <v>0</v>
      </c>
      <c r="L2050">
        <f>Data!F2062</f>
        <v>0</v>
      </c>
      <c r="M2050">
        <f>Data!G2062</f>
        <v>0</v>
      </c>
      <c r="N2050">
        <f>Data!H2062</f>
        <v>0</v>
      </c>
      <c r="O2050">
        <f>Data!I2062</f>
        <v>0</v>
      </c>
      <c r="P2050" s="21">
        <f>Data!J2066</f>
        <v>0</v>
      </c>
      <c r="Q2050">
        <f>Data!K2066</f>
        <v>0</v>
      </c>
      <c r="R2050">
        <f>Data!L2066</f>
        <v>0</v>
      </c>
      <c r="S2050">
        <f>Data!M2066</f>
        <v>0</v>
      </c>
      <c r="T2050">
        <f>Data!N2066</f>
        <v>0</v>
      </c>
      <c r="U2050">
        <f>Data!O2066</f>
        <v>0</v>
      </c>
      <c r="V2050" s="33">
        <f>Data!P2064</f>
        <v>0</v>
      </c>
    </row>
    <row r="2051" spans="7:22" x14ac:dyDescent="0.25">
      <c r="G2051" cm="1">
        <f t="array" aca="1" ref="G2051" ca="1">INDIRECT("Data!A" &amp; 2046)</f>
        <v>0</v>
      </c>
      <c r="H2051" s="21">
        <f>Data!B2063</f>
        <v>0</v>
      </c>
      <c r="I2051" s="21">
        <f>Data!C2063</f>
        <v>0</v>
      </c>
      <c r="J2051">
        <f>Data!D2063</f>
        <v>0</v>
      </c>
      <c r="K2051">
        <f>Data!E2063</f>
        <v>0</v>
      </c>
      <c r="L2051">
        <f>Data!F2063</f>
        <v>0</v>
      </c>
      <c r="M2051">
        <f>Data!G2063</f>
        <v>0</v>
      </c>
      <c r="N2051">
        <f>Data!H2063</f>
        <v>0</v>
      </c>
      <c r="O2051">
        <f>Data!I2063</f>
        <v>0</v>
      </c>
      <c r="P2051" s="21">
        <f>Data!J2067</f>
        <v>0</v>
      </c>
      <c r="Q2051">
        <f>Data!K2067</f>
        <v>0</v>
      </c>
      <c r="R2051">
        <f>Data!L2067</f>
        <v>0</v>
      </c>
      <c r="S2051">
        <f>Data!M2067</f>
        <v>0</v>
      </c>
      <c r="T2051">
        <f>Data!N2067</f>
        <v>0</v>
      </c>
      <c r="U2051">
        <f>Data!O2067</f>
        <v>0</v>
      </c>
      <c r="V2051" s="33">
        <f>Data!P2065</f>
        <v>0</v>
      </c>
    </row>
    <row r="2052" spans="7:22" x14ac:dyDescent="0.25">
      <c r="G2052" cm="1">
        <f t="array" aca="1" ref="G2052" ca="1">INDIRECT("Data!A" &amp; 2047)</f>
        <v>0</v>
      </c>
      <c r="H2052" s="21">
        <f>Data!B2064</f>
        <v>0</v>
      </c>
      <c r="I2052" s="21">
        <f>Data!C2064</f>
        <v>0</v>
      </c>
      <c r="J2052">
        <f>Data!D2064</f>
        <v>0</v>
      </c>
      <c r="K2052">
        <f>Data!E2064</f>
        <v>0</v>
      </c>
      <c r="L2052">
        <f>Data!F2064</f>
        <v>0</v>
      </c>
      <c r="M2052">
        <f>Data!G2064</f>
        <v>0</v>
      </c>
      <c r="N2052">
        <f>Data!H2064</f>
        <v>0</v>
      </c>
      <c r="O2052">
        <f>Data!I2064</f>
        <v>0</v>
      </c>
      <c r="P2052" s="21">
        <f>Data!J2068</f>
        <v>0</v>
      </c>
      <c r="Q2052">
        <f>Data!K2068</f>
        <v>0</v>
      </c>
      <c r="R2052">
        <f>Data!L2068</f>
        <v>0</v>
      </c>
      <c r="S2052">
        <f>Data!M2068</f>
        <v>0</v>
      </c>
      <c r="T2052">
        <f>Data!N2068</f>
        <v>0</v>
      </c>
      <c r="U2052">
        <f>Data!O2068</f>
        <v>0</v>
      </c>
      <c r="V2052" s="33">
        <f>Data!P2066</f>
        <v>0</v>
      </c>
    </row>
    <row r="2053" spans="7:22" x14ac:dyDescent="0.25">
      <c r="G2053" cm="1">
        <f t="array" aca="1" ref="G2053" ca="1">INDIRECT("Data!A" &amp; 2048)</f>
        <v>0</v>
      </c>
      <c r="H2053" s="21">
        <f>Data!B2065</f>
        <v>0</v>
      </c>
      <c r="I2053" s="21">
        <f>Data!C2065</f>
        <v>0</v>
      </c>
      <c r="J2053">
        <f>Data!D2065</f>
        <v>0</v>
      </c>
      <c r="K2053">
        <f>Data!E2065</f>
        <v>0</v>
      </c>
      <c r="L2053">
        <f>Data!F2065</f>
        <v>0</v>
      </c>
      <c r="M2053">
        <f>Data!G2065</f>
        <v>0</v>
      </c>
      <c r="N2053">
        <f>Data!H2065</f>
        <v>0</v>
      </c>
      <c r="O2053">
        <f>Data!I2065</f>
        <v>0</v>
      </c>
      <c r="P2053" s="21">
        <f>Data!J2069</f>
        <v>0</v>
      </c>
      <c r="Q2053">
        <f>Data!K2069</f>
        <v>0</v>
      </c>
      <c r="R2053">
        <f>Data!L2069</f>
        <v>0</v>
      </c>
      <c r="S2053">
        <f>Data!M2069</f>
        <v>0</v>
      </c>
      <c r="T2053">
        <f>Data!N2069</f>
        <v>0</v>
      </c>
      <c r="U2053">
        <f>Data!O2069</f>
        <v>0</v>
      </c>
      <c r="V2053" s="33">
        <f>Data!P2067</f>
        <v>0</v>
      </c>
    </row>
    <row r="2054" spans="7:22" x14ac:dyDescent="0.25">
      <c r="G2054" cm="1">
        <f t="array" aca="1" ref="G2054" ca="1">INDIRECT("Data!A" &amp; 2049)</f>
        <v>0</v>
      </c>
      <c r="H2054" s="21">
        <f>Data!B2066</f>
        <v>0</v>
      </c>
      <c r="I2054" s="21">
        <f>Data!C2066</f>
        <v>0</v>
      </c>
      <c r="J2054">
        <f>Data!D2066</f>
        <v>0</v>
      </c>
      <c r="K2054">
        <f>Data!E2066</f>
        <v>0</v>
      </c>
      <c r="L2054">
        <f>Data!F2066</f>
        <v>0</v>
      </c>
      <c r="M2054">
        <f>Data!G2066</f>
        <v>0</v>
      </c>
      <c r="N2054">
        <f>Data!H2066</f>
        <v>0</v>
      </c>
      <c r="O2054">
        <f>Data!I2066</f>
        <v>0</v>
      </c>
      <c r="P2054" s="21">
        <f>Data!J2070</f>
        <v>0</v>
      </c>
      <c r="Q2054">
        <f>Data!K2070</f>
        <v>0</v>
      </c>
      <c r="R2054">
        <f>Data!L2070</f>
        <v>0</v>
      </c>
      <c r="S2054">
        <f>Data!M2070</f>
        <v>0</v>
      </c>
      <c r="T2054">
        <f>Data!N2070</f>
        <v>0</v>
      </c>
      <c r="U2054">
        <f>Data!O2070</f>
        <v>0</v>
      </c>
      <c r="V2054" s="33">
        <f>Data!P2068</f>
        <v>0</v>
      </c>
    </row>
    <row r="2055" spans="7:22" x14ac:dyDescent="0.25">
      <c r="G2055" cm="1">
        <f t="array" aca="1" ref="G2055" ca="1">INDIRECT("Data!A" &amp; 2050)</f>
        <v>0</v>
      </c>
      <c r="H2055" s="21">
        <f>Data!B2067</f>
        <v>0</v>
      </c>
      <c r="I2055" s="21">
        <f>Data!C2067</f>
        <v>0</v>
      </c>
      <c r="J2055">
        <f>Data!D2067</f>
        <v>0</v>
      </c>
      <c r="K2055">
        <f>Data!E2067</f>
        <v>0</v>
      </c>
      <c r="L2055">
        <f>Data!F2067</f>
        <v>0</v>
      </c>
      <c r="M2055">
        <f>Data!G2067</f>
        <v>0</v>
      </c>
      <c r="N2055">
        <f>Data!H2067</f>
        <v>0</v>
      </c>
      <c r="O2055">
        <f>Data!I2067</f>
        <v>0</v>
      </c>
      <c r="P2055" s="21">
        <f>Data!J2071</f>
        <v>0</v>
      </c>
      <c r="Q2055">
        <f>Data!K2071</f>
        <v>0</v>
      </c>
      <c r="R2055">
        <f>Data!L2071</f>
        <v>0</v>
      </c>
      <c r="S2055">
        <f>Data!M2071</f>
        <v>0</v>
      </c>
      <c r="T2055">
        <f>Data!N2071</f>
        <v>0</v>
      </c>
      <c r="U2055">
        <f>Data!O2071</f>
        <v>0</v>
      </c>
      <c r="V2055" s="33">
        <f>Data!P2069</f>
        <v>0</v>
      </c>
    </row>
    <row r="2056" spans="7:22" x14ac:dyDescent="0.25">
      <c r="G2056" cm="1">
        <f t="array" aca="1" ref="G2056" ca="1">INDIRECT("Data!A" &amp; 2051)</f>
        <v>0</v>
      </c>
      <c r="H2056" s="21">
        <f>Data!B2068</f>
        <v>0</v>
      </c>
      <c r="I2056" s="21">
        <f>Data!C2068</f>
        <v>0</v>
      </c>
      <c r="J2056">
        <f>Data!D2068</f>
        <v>0</v>
      </c>
      <c r="K2056">
        <f>Data!E2068</f>
        <v>0</v>
      </c>
      <c r="L2056">
        <f>Data!F2068</f>
        <v>0</v>
      </c>
      <c r="M2056">
        <f>Data!G2068</f>
        <v>0</v>
      </c>
      <c r="N2056">
        <f>Data!H2068</f>
        <v>0</v>
      </c>
      <c r="O2056">
        <f>Data!I2068</f>
        <v>0</v>
      </c>
      <c r="P2056" s="21">
        <f>Data!J2072</f>
        <v>0</v>
      </c>
      <c r="Q2056">
        <f>Data!K2072</f>
        <v>0</v>
      </c>
      <c r="R2056">
        <f>Data!L2072</f>
        <v>0</v>
      </c>
      <c r="S2056">
        <f>Data!M2072</f>
        <v>0</v>
      </c>
      <c r="T2056">
        <f>Data!N2072</f>
        <v>0</v>
      </c>
      <c r="U2056">
        <f>Data!O2072</f>
        <v>0</v>
      </c>
      <c r="V2056" s="33">
        <f>Data!P2070</f>
        <v>0</v>
      </c>
    </row>
    <row r="2057" spans="7:22" x14ac:dyDescent="0.25">
      <c r="G2057" cm="1">
        <f t="array" aca="1" ref="G2057" ca="1">INDIRECT("Data!A" &amp; 2052)</f>
        <v>0</v>
      </c>
      <c r="H2057" s="21">
        <f>Data!B2069</f>
        <v>0</v>
      </c>
      <c r="I2057" s="21">
        <f>Data!C2069</f>
        <v>0</v>
      </c>
      <c r="J2057">
        <f>Data!D2069</f>
        <v>0</v>
      </c>
      <c r="K2057">
        <f>Data!E2069</f>
        <v>0</v>
      </c>
      <c r="L2057">
        <f>Data!F2069</f>
        <v>0</v>
      </c>
      <c r="M2057">
        <f>Data!G2069</f>
        <v>0</v>
      </c>
      <c r="N2057">
        <f>Data!H2069</f>
        <v>0</v>
      </c>
      <c r="O2057">
        <f>Data!I2069</f>
        <v>0</v>
      </c>
      <c r="P2057" s="21">
        <f>Data!J2073</f>
        <v>0</v>
      </c>
      <c r="Q2057">
        <f>Data!K2073</f>
        <v>0</v>
      </c>
      <c r="R2057">
        <f>Data!L2073</f>
        <v>0</v>
      </c>
      <c r="S2057">
        <f>Data!M2073</f>
        <v>0</v>
      </c>
      <c r="T2057">
        <f>Data!N2073</f>
        <v>0</v>
      </c>
      <c r="U2057">
        <f>Data!O2073</f>
        <v>0</v>
      </c>
      <c r="V2057" s="33">
        <f>Data!P2071</f>
        <v>0</v>
      </c>
    </row>
    <row r="2058" spans="7:22" x14ac:dyDescent="0.25">
      <c r="G2058" cm="1">
        <f t="array" aca="1" ref="G2058" ca="1">INDIRECT("Data!A" &amp; 2053)</f>
        <v>0</v>
      </c>
      <c r="H2058" s="21">
        <f>Data!B2070</f>
        <v>0</v>
      </c>
      <c r="I2058" s="21">
        <f>Data!C2070</f>
        <v>0</v>
      </c>
      <c r="J2058">
        <f>Data!D2070</f>
        <v>0</v>
      </c>
      <c r="K2058">
        <f>Data!E2070</f>
        <v>0</v>
      </c>
      <c r="L2058">
        <f>Data!F2070</f>
        <v>0</v>
      </c>
      <c r="M2058">
        <f>Data!G2070</f>
        <v>0</v>
      </c>
      <c r="N2058">
        <f>Data!H2070</f>
        <v>0</v>
      </c>
      <c r="O2058">
        <f>Data!I2070</f>
        <v>0</v>
      </c>
      <c r="P2058" s="21">
        <f>Data!J2074</f>
        <v>0</v>
      </c>
      <c r="Q2058">
        <f>Data!K2074</f>
        <v>0</v>
      </c>
      <c r="R2058">
        <f>Data!L2074</f>
        <v>0</v>
      </c>
      <c r="S2058">
        <f>Data!M2074</f>
        <v>0</v>
      </c>
      <c r="T2058">
        <f>Data!N2074</f>
        <v>0</v>
      </c>
      <c r="U2058">
        <f>Data!O2074</f>
        <v>0</v>
      </c>
      <c r="V2058" s="33">
        <f>Data!P2072</f>
        <v>0</v>
      </c>
    </row>
    <row r="2059" spans="7:22" x14ac:dyDescent="0.25">
      <c r="G2059" cm="1">
        <f t="array" aca="1" ref="G2059" ca="1">INDIRECT("Data!A" &amp; 2054)</f>
        <v>0</v>
      </c>
      <c r="H2059" s="21">
        <f>Data!B2071</f>
        <v>0</v>
      </c>
      <c r="I2059" s="21">
        <f>Data!C2071</f>
        <v>0</v>
      </c>
      <c r="J2059">
        <f>Data!D2071</f>
        <v>0</v>
      </c>
      <c r="K2059">
        <f>Data!E2071</f>
        <v>0</v>
      </c>
      <c r="L2059">
        <f>Data!F2071</f>
        <v>0</v>
      </c>
      <c r="M2059">
        <f>Data!G2071</f>
        <v>0</v>
      </c>
      <c r="N2059">
        <f>Data!H2071</f>
        <v>0</v>
      </c>
      <c r="O2059">
        <f>Data!I2071</f>
        <v>0</v>
      </c>
      <c r="P2059" s="21">
        <f>Data!J2075</f>
        <v>0</v>
      </c>
      <c r="Q2059">
        <f>Data!K2075</f>
        <v>0</v>
      </c>
      <c r="R2059">
        <f>Data!L2075</f>
        <v>0</v>
      </c>
      <c r="S2059">
        <f>Data!M2075</f>
        <v>0</v>
      </c>
      <c r="T2059">
        <f>Data!N2075</f>
        <v>0</v>
      </c>
      <c r="U2059">
        <f>Data!O2075</f>
        <v>0</v>
      </c>
      <c r="V2059" s="33">
        <f>Data!P2073</f>
        <v>0</v>
      </c>
    </row>
    <row r="2060" spans="7:22" x14ac:dyDescent="0.25">
      <c r="G2060" cm="1">
        <f t="array" aca="1" ref="G2060" ca="1">INDIRECT("Data!A" &amp; 2055)</f>
        <v>0</v>
      </c>
      <c r="H2060" s="21">
        <f>Data!B2072</f>
        <v>0</v>
      </c>
      <c r="I2060" s="21">
        <f>Data!C2072</f>
        <v>0</v>
      </c>
      <c r="J2060">
        <f>Data!D2072</f>
        <v>0</v>
      </c>
      <c r="K2060">
        <f>Data!E2072</f>
        <v>0</v>
      </c>
      <c r="L2060">
        <f>Data!F2072</f>
        <v>0</v>
      </c>
      <c r="M2060">
        <f>Data!G2072</f>
        <v>0</v>
      </c>
      <c r="N2060">
        <f>Data!H2072</f>
        <v>0</v>
      </c>
      <c r="O2060">
        <f>Data!I2072</f>
        <v>0</v>
      </c>
      <c r="P2060" s="21">
        <f>Data!J2076</f>
        <v>0</v>
      </c>
      <c r="Q2060">
        <f>Data!K2076</f>
        <v>0</v>
      </c>
      <c r="R2060">
        <f>Data!L2076</f>
        <v>0</v>
      </c>
      <c r="S2060">
        <f>Data!M2076</f>
        <v>0</v>
      </c>
      <c r="T2060">
        <f>Data!N2076</f>
        <v>0</v>
      </c>
      <c r="U2060">
        <f>Data!O2076</f>
        <v>0</v>
      </c>
      <c r="V2060" s="33">
        <f>Data!P2074</f>
        <v>0</v>
      </c>
    </row>
    <row r="2061" spans="7:22" x14ac:dyDescent="0.25">
      <c r="G2061" cm="1">
        <f t="array" aca="1" ref="G2061" ca="1">INDIRECT("Data!A" &amp; 2056)</f>
        <v>0</v>
      </c>
      <c r="H2061" s="21">
        <f>Data!B2073</f>
        <v>0</v>
      </c>
      <c r="I2061" s="21">
        <f>Data!C2073</f>
        <v>0</v>
      </c>
      <c r="J2061">
        <f>Data!D2073</f>
        <v>0</v>
      </c>
      <c r="K2061">
        <f>Data!E2073</f>
        <v>0</v>
      </c>
      <c r="L2061">
        <f>Data!F2073</f>
        <v>0</v>
      </c>
      <c r="M2061">
        <f>Data!G2073</f>
        <v>0</v>
      </c>
      <c r="N2061">
        <f>Data!H2073</f>
        <v>0</v>
      </c>
      <c r="O2061">
        <f>Data!I2073</f>
        <v>0</v>
      </c>
      <c r="P2061" s="21">
        <f>Data!J2077</f>
        <v>0</v>
      </c>
      <c r="Q2061">
        <f>Data!K2077</f>
        <v>0</v>
      </c>
      <c r="R2061">
        <f>Data!L2077</f>
        <v>0</v>
      </c>
      <c r="S2061">
        <f>Data!M2077</f>
        <v>0</v>
      </c>
      <c r="T2061">
        <f>Data!N2077</f>
        <v>0</v>
      </c>
      <c r="U2061">
        <f>Data!O2077</f>
        <v>0</v>
      </c>
      <c r="V2061" s="33">
        <f>Data!P2075</f>
        <v>0</v>
      </c>
    </row>
    <row r="2062" spans="7:22" x14ac:dyDescent="0.25">
      <c r="G2062" cm="1">
        <f t="array" aca="1" ref="G2062" ca="1">INDIRECT("Data!A" &amp; 2057)</f>
        <v>0</v>
      </c>
      <c r="H2062" s="21">
        <f>Data!B2074</f>
        <v>0</v>
      </c>
      <c r="I2062" s="21">
        <f>Data!C2074</f>
        <v>0</v>
      </c>
      <c r="J2062">
        <f>Data!D2074</f>
        <v>0</v>
      </c>
      <c r="K2062">
        <f>Data!E2074</f>
        <v>0</v>
      </c>
      <c r="L2062">
        <f>Data!F2074</f>
        <v>0</v>
      </c>
      <c r="M2062">
        <f>Data!G2074</f>
        <v>0</v>
      </c>
      <c r="N2062">
        <f>Data!H2074</f>
        <v>0</v>
      </c>
      <c r="O2062">
        <f>Data!I2074</f>
        <v>0</v>
      </c>
      <c r="P2062" s="21">
        <f>Data!J2078</f>
        <v>0</v>
      </c>
      <c r="Q2062">
        <f>Data!K2078</f>
        <v>0</v>
      </c>
      <c r="R2062">
        <f>Data!L2078</f>
        <v>0</v>
      </c>
      <c r="S2062">
        <f>Data!M2078</f>
        <v>0</v>
      </c>
      <c r="T2062">
        <f>Data!N2078</f>
        <v>0</v>
      </c>
      <c r="U2062">
        <f>Data!O2078</f>
        <v>0</v>
      </c>
      <c r="V2062" s="33">
        <f>Data!P2076</f>
        <v>0</v>
      </c>
    </row>
    <row r="2063" spans="7:22" x14ac:dyDescent="0.25">
      <c r="G2063" cm="1">
        <f t="array" aca="1" ref="G2063" ca="1">INDIRECT("Data!A" &amp; 2058)</f>
        <v>0</v>
      </c>
      <c r="H2063" s="21">
        <f>Data!B2075</f>
        <v>0</v>
      </c>
      <c r="I2063" s="21">
        <f>Data!C2075</f>
        <v>0</v>
      </c>
      <c r="J2063">
        <f>Data!D2075</f>
        <v>0</v>
      </c>
      <c r="K2063">
        <f>Data!E2075</f>
        <v>0</v>
      </c>
      <c r="L2063">
        <f>Data!F2075</f>
        <v>0</v>
      </c>
      <c r="M2063">
        <f>Data!G2075</f>
        <v>0</v>
      </c>
      <c r="N2063">
        <f>Data!H2075</f>
        <v>0</v>
      </c>
      <c r="O2063">
        <f>Data!I2075</f>
        <v>0</v>
      </c>
      <c r="P2063" s="21">
        <f>Data!J2079</f>
        <v>0</v>
      </c>
      <c r="Q2063">
        <f>Data!K2079</f>
        <v>0</v>
      </c>
      <c r="R2063">
        <f>Data!L2079</f>
        <v>0</v>
      </c>
      <c r="S2063">
        <f>Data!M2079</f>
        <v>0</v>
      </c>
      <c r="T2063">
        <f>Data!N2079</f>
        <v>0</v>
      </c>
      <c r="U2063">
        <f>Data!O2079</f>
        <v>0</v>
      </c>
      <c r="V2063" s="33">
        <f>Data!P2077</f>
        <v>0</v>
      </c>
    </row>
    <row r="2064" spans="7:22" x14ac:dyDescent="0.25">
      <c r="G2064" cm="1">
        <f t="array" aca="1" ref="G2064" ca="1">INDIRECT("Data!A" &amp; 2059)</f>
        <v>0</v>
      </c>
      <c r="H2064" s="21">
        <f>Data!B2076</f>
        <v>0</v>
      </c>
      <c r="I2064" s="21">
        <f>Data!C2076</f>
        <v>0</v>
      </c>
      <c r="J2064">
        <f>Data!D2076</f>
        <v>0</v>
      </c>
      <c r="K2064">
        <f>Data!E2076</f>
        <v>0</v>
      </c>
      <c r="L2064">
        <f>Data!F2076</f>
        <v>0</v>
      </c>
      <c r="M2064">
        <f>Data!G2076</f>
        <v>0</v>
      </c>
      <c r="N2064">
        <f>Data!H2076</f>
        <v>0</v>
      </c>
      <c r="O2064">
        <f>Data!I2076</f>
        <v>0</v>
      </c>
      <c r="P2064" s="21">
        <f>Data!J2080</f>
        <v>0</v>
      </c>
      <c r="Q2064">
        <f>Data!K2080</f>
        <v>0</v>
      </c>
      <c r="R2064">
        <f>Data!L2080</f>
        <v>0</v>
      </c>
      <c r="S2064">
        <f>Data!M2080</f>
        <v>0</v>
      </c>
      <c r="T2064">
        <f>Data!N2080</f>
        <v>0</v>
      </c>
      <c r="U2064">
        <f>Data!O2080</f>
        <v>0</v>
      </c>
      <c r="V2064" s="33">
        <f>Data!P2078</f>
        <v>0</v>
      </c>
    </row>
    <row r="2065" spans="7:22" x14ac:dyDescent="0.25">
      <c r="G2065" cm="1">
        <f t="array" aca="1" ref="G2065" ca="1">INDIRECT("Data!A" &amp; 2060)</f>
        <v>0</v>
      </c>
      <c r="H2065" s="21">
        <f>Data!B2077</f>
        <v>0</v>
      </c>
      <c r="I2065" s="21">
        <f>Data!C2077</f>
        <v>0</v>
      </c>
      <c r="J2065">
        <f>Data!D2077</f>
        <v>0</v>
      </c>
      <c r="K2065">
        <f>Data!E2077</f>
        <v>0</v>
      </c>
      <c r="L2065">
        <f>Data!F2077</f>
        <v>0</v>
      </c>
      <c r="M2065">
        <f>Data!G2077</f>
        <v>0</v>
      </c>
      <c r="N2065">
        <f>Data!H2077</f>
        <v>0</v>
      </c>
      <c r="O2065">
        <f>Data!I2077</f>
        <v>0</v>
      </c>
      <c r="P2065" s="21">
        <f>Data!J2081</f>
        <v>0</v>
      </c>
      <c r="Q2065">
        <f>Data!K2081</f>
        <v>0</v>
      </c>
      <c r="R2065">
        <f>Data!L2081</f>
        <v>0</v>
      </c>
      <c r="S2065">
        <f>Data!M2081</f>
        <v>0</v>
      </c>
      <c r="T2065">
        <f>Data!N2081</f>
        <v>0</v>
      </c>
      <c r="U2065">
        <f>Data!O2081</f>
        <v>0</v>
      </c>
      <c r="V2065" s="33">
        <f>Data!P2079</f>
        <v>0</v>
      </c>
    </row>
    <row r="2066" spans="7:22" x14ac:dyDescent="0.25">
      <c r="G2066" cm="1">
        <f t="array" aca="1" ref="G2066" ca="1">INDIRECT("Data!A" &amp; 2061)</f>
        <v>0</v>
      </c>
      <c r="H2066" s="21">
        <f>Data!B2078</f>
        <v>0</v>
      </c>
      <c r="I2066" s="21">
        <f>Data!C2078</f>
        <v>0</v>
      </c>
      <c r="J2066">
        <f>Data!D2078</f>
        <v>0</v>
      </c>
      <c r="K2066">
        <f>Data!E2078</f>
        <v>0</v>
      </c>
      <c r="L2066">
        <f>Data!F2078</f>
        <v>0</v>
      </c>
      <c r="M2066">
        <f>Data!G2078</f>
        <v>0</v>
      </c>
      <c r="N2066">
        <f>Data!H2078</f>
        <v>0</v>
      </c>
      <c r="O2066">
        <f>Data!I2078</f>
        <v>0</v>
      </c>
      <c r="P2066" s="21">
        <f>Data!J2082</f>
        <v>0</v>
      </c>
      <c r="Q2066">
        <f>Data!K2082</f>
        <v>0</v>
      </c>
      <c r="R2066">
        <f>Data!L2082</f>
        <v>0</v>
      </c>
      <c r="S2066">
        <f>Data!M2082</f>
        <v>0</v>
      </c>
      <c r="T2066">
        <f>Data!N2082</f>
        <v>0</v>
      </c>
      <c r="U2066">
        <f>Data!O2082</f>
        <v>0</v>
      </c>
      <c r="V2066" s="33">
        <f>Data!P2080</f>
        <v>0</v>
      </c>
    </row>
    <row r="2067" spans="7:22" x14ac:dyDescent="0.25">
      <c r="G2067" cm="1">
        <f t="array" aca="1" ref="G2067" ca="1">INDIRECT("Data!A" &amp; 2062)</f>
        <v>0</v>
      </c>
      <c r="H2067" s="21">
        <f>Data!B2079</f>
        <v>0</v>
      </c>
      <c r="I2067" s="21">
        <f>Data!C2079</f>
        <v>0</v>
      </c>
      <c r="J2067">
        <f>Data!D2079</f>
        <v>0</v>
      </c>
      <c r="K2067">
        <f>Data!E2079</f>
        <v>0</v>
      </c>
      <c r="L2067">
        <f>Data!F2079</f>
        <v>0</v>
      </c>
      <c r="M2067">
        <f>Data!G2079</f>
        <v>0</v>
      </c>
      <c r="N2067">
        <f>Data!H2079</f>
        <v>0</v>
      </c>
      <c r="O2067">
        <f>Data!I2079</f>
        <v>0</v>
      </c>
      <c r="P2067" s="21">
        <f>Data!J2083</f>
        <v>0</v>
      </c>
      <c r="Q2067">
        <f>Data!K2083</f>
        <v>0</v>
      </c>
      <c r="R2067">
        <f>Data!L2083</f>
        <v>0</v>
      </c>
      <c r="S2067">
        <f>Data!M2083</f>
        <v>0</v>
      </c>
      <c r="T2067">
        <f>Data!N2083</f>
        <v>0</v>
      </c>
      <c r="U2067">
        <f>Data!O2083</f>
        <v>0</v>
      </c>
      <c r="V2067" s="33">
        <f>Data!P2081</f>
        <v>0</v>
      </c>
    </row>
    <row r="2068" spans="7:22" x14ac:dyDescent="0.25">
      <c r="G2068" cm="1">
        <f t="array" aca="1" ref="G2068" ca="1">INDIRECT("Data!A" &amp; 2063)</f>
        <v>0</v>
      </c>
      <c r="H2068" s="21">
        <f>Data!B2080</f>
        <v>0</v>
      </c>
      <c r="I2068" s="21">
        <f>Data!C2080</f>
        <v>0</v>
      </c>
      <c r="J2068">
        <f>Data!D2080</f>
        <v>0</v>
      </c>
      <c r="K2068">
        <f>Data!E2080</f>
        <v>0</v>
      </c>
      <c r="L2068">
        <f>Data!F2080</f>
        <v>0</v>
      </c>
      <c r="M2068">
        <f>Data!G2080</f>
        <v>0</v>
      </c>
      <c r="N2068">
        <f>Data!H2080</f>
        <v>0</v>
      </c>
      <c r="O2068">
        <f>Data!I2080</f>
        <v>0</v>
      </c>
      <c r="P2068" s="21">
        <f>Data!J2084</f>
        <v>0</v>
      </c>
      <c r="Q2068">
        <f>Data!K2084</f>
        <v>0</v>
      </c>
      <c r="R2068">
        <f>Data!L2084</f>
        <v>0</v>
      </c>
      <c r="S2068">
        <f>Data!M2084</f>
        <v>0</v>
      </c>
      <c r="T2068">
        <f>Data!N2084</f>
        <v>0</v>
      </c>
      <c r="U2068">
        <f>Data!O2084</f>
        <v>0</v>
      </c>
      <c r="V2068" s="33">
        <f>Data!P2082</f>
        <v>0</v>
      </c>
    </row>
    <row r="2069" spans="7:22" x14ac:dyDescent="0.25">
      <c r="G2069" cm="1">
        <f t="array" aca="1" ref="G2069" ca="1">INDIRECT("Data!A" &amp; 2064)</f>
        <v>0</v>
      </c>
      <c r="H2069" s="21">
        <f>Data!B2081</f>
        <v>0</v>
      </c>
      <c r="I2069" s="21">
        <f>Data!C2081</f>
        <v>0</v>
      </c>
      <c r="J2069">
        <f>Data!D2081</f>
        <v>0</v>
      </c>
      <c r="K2069">
        <f>Data!E2081</f>
        <v>0</v>
      </c>
      <c r="L2069">
        <f>Data!F2081</f>
        <v>0</v>
      </c>
      <c r="M2069">
        <f>Data!G2081</f>
        <v>0</v>
      </c>
      <c r="N2069">
        <f>Data!H2081</f>
        <v>0</v>
      </c>
      <c r="O2069">
        <f>Data!I2081</f>
        <v>0</v>
      </c>
      <c r="P2069" s="21">
        <f>Data!J2085</f>
        <v>0</v>
      </c>
      <c r="Q2069">
        <f>Data!K2085</f>
        <v>0</v>
      </c>
      <c r="R2069">
        <f>Data!L2085</f>
        <v>0</v>
      </c>
      <c r="S2069">
        <f>Data!M2085</f>
        <v>0</v>
      </c>
      <c r="T2069">
        <f>Data!N2085</f>
        <v>0</v>
      </c>
      <c r="U2069">
        <f>Data!O2085</f>
        <v>0</v>
      </c>
      <c r="V2069" s="33">
        <f>Data!P2083</f>
        <v>0</v>
      </c>
    </row>
    <row r="2070" spans="7:22" x14ac:dyDescent="0.25">
      <c r="G2070" cm="1">
        <f t="array" aca="1" ref="G2070" ca="1">INDIRECT("Data!A" &amp; 2065)</f>
        <v>0</v>
      </c>
      <c r="H2070" s="21">
        <f>Data!B2082</f>
        <v>0</v>
      </c>
      <c r="I2070" s="21">
        <f>Data!C2082</f>
        <v>0</v>
      </c>
      <c r="J2070">
        <f>Data!D2082</f>
        <v>0</v>
      </c>
      <c r="K2070">
        <f>Data!E2082</f>
        <v>0</v>
      </c>
      <c r="L2070">
        <f>Data!F2082</f>
        <v>0</v>
      </c>
      <c r="M2070">
        <f>Data!G2082</f>
        <v>0</v>
      </c>
      <c r="N2070">
        <f>Data!H2082</f>
        <v>0</v>
      </c>
      <c r="O2070">
        <f>Data!I2082</f>
        <v>0</v>
      </c>
      <c r="P2070" s="21">
        <f>Data!J2086</f>
        <v>0</v>
      </c>
      <c r="Q2070">
        <f>Data!K2086</f>
        <v>0</v>
      </c>
      <c r="R2070">
        <f>Data!L2086</f>
        <v>0</v>
      </c>
      <c r="S2070">
        <f>Data!M2086</f>
        <v>0</v>
      </c>
      <c r="T2070">
        <f>Data!N2086</f>
        <v>0</v>
      </c>
      <c r="U2070">
        <f>Data!O2086</f>
        <v>0</v>
      </c>
      <c r="V2070" s="33">
        <f>Data!P2084</f>
        <v>0</v>
      </c>
    </row>
    <row r="2071" spans="7:22" x14ac:dyDescent="0.25">
      <c r="G2071" cm="1">
        <f t="array" aca="1" ref="G2071" ca="1">INDIRECT("Data!A" &amp; 2066)</f>
        <v>0</v>
      </c>
      <c r="H2071" s="21">
        <f>Data!B2083</f>
        <v>0</v>
      </c>
      <c r="I2071" s="21">
        <f>Data!C2083</f>
        <v>0</v>
      </c>
      <c r="J2071">
        <f>Data!D2083</f>
        <v>0</v>
      </c>
      <c r="K2071">
        <f>Data!E2083</f>
        <v>0</v>
      </c>
      <c r="L2071">
        <f>Data!F2083</f>
        <v>0</v>
      </c>
      <c r="M2071">
        <f>Data!G2083</f>
        <v>0</v>
      </c>
      <c r="N2071">
        <f>Data!H2083</f>
        <v>0</v>
      </c>
      <c r="O2071">
        <f>Data!I2083</f>
        <v>0</v>
      </c>
      <c r="P2071" s="21">
        <f>Data!J2087</f>
        <v>0</v>
      </c>
      <c r="Q2071">
        <f>Data!K2087</f>
        <v>0</v>
      </c>
      <c r="R2071">
        <f>Data!L2087</f>
        <v>0</v>
      </c>
      <c r="S2071">
        <f>Data!M2087</f>
        <v>0</v>
      </c>
      <c r="T2071">
        <f>Data!N2087</f>
        <v>0</v>
      </c>
      <c r="U2071">
        <f>Data!O2087</f>
        <v>0</v>
      </c>
      <c r="V2071" s="33">
        <f>Data!P2085</f>
        <v>0</v>
      </c>
    </row>
    <row r="2072" spans="7:22" x14ac:dyDescent="0.25">
      <c r="G2072" cm="1">
        <f t="array" aca="1" ref="G2072" ca="1">INDIRECT("Data!A" &amp; 2067)</f>
        <v>0</v>
      </c>
      <c r="H2072" s="21">
        <f>Data!B2084</f>
        <v>0</v>
      </c>
      <c r="I2072" s="21">
        <f>Data!C2084</f>
        <v>0</v>
      </c>
      <c r="J2072">
        <f>Data!D2084</f>
        <v>0</v>
      </c>
      <c r="K2072">
        <f>Data!E2084</f>
        <v>0</v>
      </c>
      <c r="L2072">
        <f>Data!F2084</f>
        <v>0</v>
      </c>
      <c r="M2072">
        <f>Data!G2084</f>
        <v>0</v>
      </c>
      <c r="N2072">
        <f>Data!H2084</f>
        <v>0</v>
      </c>
      <c r="O2072">
        <f>Data!I2084</f>
        <v>0</v>
      </c>
      <c r="P2072" s="21">
        <f>Data!J2088</f>
        <v>0</v>
      </c>
      <c r="Q2072">
        <f>Data!K2088</f>
        <v>0</v>
      </c>
      <c r="R2072">
        <f>Data!L2088</f>
        <v>0</v>
      </c>
      <c r="S2072">
        <f>Data!M2088</f>
        <v>0</v>
      </c>
      <c r="T2072">
        <f>Data!N2088</f>
        <v>0</v>
      </c>
      <c r="U2072">
        <f>Data!O2088</f>
        <v>0</v>
      </c>
      <c r="V2072" s="33">
        <f>Data!P2086</f>
        <v>0</v>
      </c>
    </row>
    <row r="2073" spans="7:22" x14ac:dyDescent="0.25">
      <c r="G2073" cm="1">
        <f t="array" aca="1" ref="G2073" ca="1">INDIRECT("Data!A" &amp; 2068)</f>
        <v>0</v>
      </c>
      <c r="H2073" s="21">
        <f>Data!B2085</f>
        <v>0</v>
      </c>
      <c r="I2073" s="21">
        <f>Data!C2085</f>
        <v>0</v>
      </c>
      <c r="J2073">
        <f>Data!D2085</f>
        <v>0</v>
      </c>
      <c r="K2073">
        <f>Data!E2085</f>
        <v>0</v>
      </c>
      <c r="L2073">
        <f>Data!F2085</f>
        <v>0</v>
      </c>
      <c r="M2073">
        <f>Data!G2085</f>
        <v>0</v>
      </c>
      <c r="N2073">
        <f>Data!H2085</f>
        <v>0</v>
      </c>
      <c r="O2073">
        <f>Data!I2085</f>
        <v>0</v>
      </c>
      <c r="P2073" s="21">
        <f>Data!J2089</f>
        <v>0</v>
      </c>
      <c r="Q2073">
        <f>Data!K2089</f>
        <v>0</v>
      </c>
      <c r="R2073">
        <f>Data!L2089</f>
        <v>0</v>
      </c>
      <c r="S2073">
        <f>Data!M2089</f>
        <v>0</v>
      </c>
      <c r="T2073">
        <f>Data!N2089</f>
        <v>0</v>
      </c>
      <c r="U2073">
        <f>Data!O2089</f>
        <v>0</v>
      </c>
      <c r="V2073" s="33">
        <f>Data!P2087</f>
        <v>0</v>
      </c>
    </row>
    <row r="2074" spans="7:22" x14ac:dyDescent="0.25">
      <c r="G2074" cm="1">
        <f t="array" aca="1" ref="G2074" ca="1">INDIRECT("Data!A" &amp; 2069)</f>
        <v>0</v>
      </c>
      <c r="H2074" s="21">
        <f>Data!B2086</f>
        <v>0</v>
      </c>
      <c r="I2074" s="21">
        <f>Data!C2086</f>
        <v>0</v>
      </c>
      <c r="J2074">
        <f>Data!D2086</f>
        <v>0</v>
      </c>
      <c r="K2074">
        <f>Data!E2086</f>
        <v>0</v>
      </c>
      <c r="L2074">
        <f>Data!F2086</f>
        <v>0</v>
      </c>
      <c r="M2074">
        <f>Data!G2086</f>
        <v>0</v>
      </c>
      <c r="N2074">
        <f>Data!H2086</f>
        <v>0</v>
      </c>
      <c r="O2074">
        <f>Data!I2086</f>
        <v>0</v>
      </c>
      <c r="P2074" s="21">
        <f>Data!J2090</f>
        <v>0</v>
      </c>
      <c r="Q2074">
        <f>Data!K2090</f>
        <v>0</v>
      </c>
      <c r="R2074">
        <f>Data!L2090</f>
        <v>0</v>
      </c>
      <c r="S2074">
        <f>Data!M2090</f>
        <v>0</v>
      </c>
      <c r="T2074">
        <f>Data!N2090</f>
        <v>0</v>
      </c>
      <c r="U2074">
        <f>Data!O2090</f>
        <v>0</v>
      </c>
      <c r="V2074" s="33">
        <f>Data!P2088</f>
        <v>0</v>
      </c>
    </row>
    <row r="2075" spans="7:22" x14ac:dyDescent="0.25">
      <c r="G2075" cm="1">
        <f t="array" aca="1" ref="G2075" ca="1">INDIRECT("Data!A" &amp; 2070)</f>
        <v>0</v>
      </c>
      <c r="H2075" s="21">
        <f>Data!B2087</f>
        <v>0</v>
      </c>
      <c r="I2075" s="21">
        <f>Data!C2087</f>
        <v>0</v>
      </c>
      <c r="J2075">
        <f>Data!D2087</f>
        <v>0</v>
      </c>
      <c r="K2075">
        <f>Data!E2087</f>
        <v>0</v>
      </c>
      <c r="L2075">
        <f>Data!F2087</f>
        <v>0</v>
      </c>
      <c r="M2075">
        <f>Data!G2087</f>
        <v>0</v>
      </c>
      <c r="N2075">
        <f>Data!H2087</f>
        <v>0</v>
      </c>
      <c r="O2075">
        <f>Data!I2087</f>
        <v>0</v>
      </c>
      <c r="P2075" s="21">
        <f>Data!J2091</f>
        <v>0</v>
      </c>
      <c r="Q2075">
        <f>Data!K2091</f>
        <v>0</v>
      </c>
      <c r="R2075">
        <f>Data!L2091</f>
        <v>0</v>
      </c>
      <c r="S2075">
        <f>Data!M2091</f>
        <v>0</v>
      </c>
      <c r="T2075">
        <f>Data!N2091</f>
        <v>0</v>
      </c>
      <c r="U2075">
        <f>Data!O2091</f>
        <v>0</v>
      </c>
      <c r="V2075" s="33">
        <f>Data!P2089</f>
        <v>0</v>
      </c>
    </row>
    <row r="2076" spans="7:22" x14ac:dyDescent="0.25">
      <c r="G2076" cm="1">
        <f t="array" aca="1" ref="G2076" ca="1">INDIRECT("Data!A" &amp; 2071)</f>
        <v>0</v>
      </c>
      <c r="H2076" s="21">
        <f>Data!B2088</f>
        <v>0</v>
      </c>
      <c r="I2076" s="21">
        <f>Data!C2088</f>
        <v>0</v>
      </c>
      <c r="J2076">
        <f>Data!D2088</f>
        <v>0</v>
      </c>
      <c r="K2076">
        <f>Data!E2088</f>
        <v>0</v>
      </c>
      <c r="L2076">
        <f>Data!F2088</f>
        <v>0</v>
      </c>
      <c r="M2076">
        <f>Data!G2088</f>
        <v>0</v>
      </c>
      <c r="N2076">
        <f>Data!H2088</f>
        <v>0</v>
      </c>
      <c r="O2076">
        <f>Data!I2088</f>
        <v>0</v>
      </c>
      <c r="P2076" s="21">
        <f>Data!J2092</f>
        <v>0</v>
      </c>
      <c r="Q2076">
        <f>Data!K2092</f>
        <v>0</v>
      </c>
      <c r="R2076">
        <f>Data!L2092</f>
        <v>0</v>
      </c>
      <c r="S2076">
        <f>Data!M2092</f>
        <v>0</v>
      </c>
      <c r="T2076">
        <f>Data!N2092</f>
        <v>0</v>
      </c>
      <c r="U2076">
        <f>Data!O2092</f>
        <v>0</v>
      </c>
      <c r="V2076" s="33">
        <f>Data!P2090</f>
        <v>0</v>
      </c>
    </row>
    <row r="2077" spans="7:22" x14ac:dyDescent="0.25">
      <c r="G2077" cm="1">
        <f t="array" aca="1" ref="G2077" ca="1">INDIRECT("Data!A" &amp; 2072)</f>
        <v>0</v>
      </c>
      <c r="H2077" s="21">
        <f>Data!B2089</f>
        <v>0</v>
      </c>
      <c r="I2077" s="21">
        <f>Data!C2089</f>
        <v>0</v>
      </c>
      <c r="J2077">
        <f>Data!D2089</f>
        <v>0</v>
      </c>
      <c r="K2077">
        <f>Data!E2089</f>
        <v>0</v>
      </c>
      <c r="L2077">
        <f>Data!F2089</f>
        <v>0</v>
      </c>
      <c r="M2077">
        <f>Data!G2089</f>
        <v>0</v>
      </c>
      <c r="N2077">
        <f>Data!H2089</f>
        <v>0</v>
      </c>
      <c r="O2077">
        <f>Data!I2089</f>
        <v>0</v>
      </c>
      <c r="P2077" s="21">
        <f>Data!J2093</f>
        <v>0</v>
      </c>
      <c r="Q2077">
        <f>Data!K2093</f>
        <v>0</v>
      </c>
      <c r="R2077">
        <f>Data!L2093</f>
        <v>0</v>
      </c>
      <c r="S2077">
        <f>Data!M2093</f>
        <v>0</v>
      </c>
      <c r="T2077">
        <f>Data!N2093</f>
        <v>0</v>
      </c>
      <c r="U2077">
        <f>Data!O2093</f>
        <v>0</v>
      </c>
      <c r="V2077" s="33">
        <f>Data!P2091</f>
        <v>0</v>
      </c>
    </row>
    <row r="2078" spans="7:22" x14ac:dyDescent="0.25">
      <c r="G2078" cm="1">
        <f t="array" aca="1" ref="G2078" ca="1">INDIRECT("Data!A" &amp; 2073)</f>
        <v>0</v>
      </c>
      <c r="H2078" s="21">
        <f>Data!B2090</f>
        <v>0</v>
      </c>
      <c r="I2078" s="21">
        <f>Data!C2090</f>
        <v>0</v>
      </c>
      <c r="J2078">
        <f>Data!D2090</f>
        <v>0</v>
      </c>
      <c r="K2078">
        <f>Data!E2090</f>
        <v>0</v>
      </c>
      <c r="L2078">
        <f>Data!F2090</f>
        <v>0</v>
      </c>
      <c r="M2078">
        <f>Data!G2090</f>
        <v>0</v>
      </c>
      <c r="N2078">
        <f>Data!H2090</f>
        <v>0</v>
      </c>
      <c r="O2078">
        <f>Data!I2090</f>
        <v>0</v>
      </c>
      <c r="P2078" s="21">
        <f>Data!J2094</f>
        <v>0</v>
      </c>
      <c r="Q2078">
        <f>Data!K2094</f>
        <v>0</v>
      </c>
      <c r="R2078">
        <f>Data!L2094</f>
        <v>0</v>
      </c>
      <c r="S2078">
        <f>Data!M2094</f>
        <v>0</v>
      </c>
      <c r="T2078">
        <f>Data!N2094</f>
        <v>0</v>
      </c>
      <c r="U2078">
        <f>Data!O2094</f>
        <v>0</v>
      </c>
      <c r="V2078" s="33">
        <f>Data!P2092</f>
        <v>0</v>
      </c>
    </row>
    <row r="2079" spans="7:22" x14ac:dyDescent="0.25">
      <c r="G2079" cm="1">
        <f t="array" aca="1" ref="G2079" ca="1">INDIRECT("Data!A" &amp; 2074)</f>
        <v>0</v>
      </c>
      <c r="H2079" s="21">
        <f>Data!B2091</f>
        <v>0</v>
      </c>
      <c r="I2079" s="21">
        <f>Data!C2091</f>
        <v>0</v>
      </c>
      <c r="J2079">
        <f>Data!D2091</f>
        <v>0</v>
      </c>
      <c r="K2079">
        <f>Data!E2091</f>
        <v>0</v>
      </c>
      <c r="L2079">
        <f>Data!F2091</f>
        <v>0</v>
      </c>
      <c r="M2079">
        <f>Data!G2091</f>
        <v>0</v>
      </c>
      <c r="N2079">
        <f>Data!H2091</f>
        <v>0</v>
      </c>
      <c r="O2079">
        <f>Data!I2091</f>
        <v>0</v>
      </c>
      <c r="P2079" s="21">
        <f>Data!J2095</f>
        <v>0</v>
      </c>
      <c r="Q2079">
        <f>Data!K2095</f>
        <v>0</v>
      </c>
      <c r="R2079">
        <f>Data!L2095</f>
        <v>0</v>
      </c>
      <c r="S2079">
        <f>Data!M2095</f>
        <v>0</v>
      </c>
      <c r="T2079">
        <f>Data!N2095</f>
        <v>0</v>
      </c>
      <c r="U2079">
        <f>Data!O2095</f>
        <v>0</v>
      </c>
      <c r="V2079" s="33">
        <f>Data!P2093</f>
        <v>0</v>
      </c>
    </row>
    <row r="2080" spans="7:22" x14ac:dyDescent="0.25">
      <c r="G2080" cm="1">
        <f t="array" aca="1" ref="G2080" ca="1">INDIRECT("Data!A" &amp; 2075)</f>
        <v>0</v>
      </c>
      <c r="H2080" s="21">
        <f>Data!B2092</f>
        <v>0</v>
      </c>
      <c r="I2080" s="21">
        <f>Data!C2092</f>
        <v>0</v>
      </c>
      <c r="J2080">
        <f>Data!D2092</f>
        <v>0</v>
      </c>
      <c r="K2080">
        <f>Data!E2092</f>
        <v>0</v>
      </c>
      <c r="L2080">
        <f>Data!F2092</f>
        <v>0</v>
      </c>
      <c r="M2080">
        <f>Data!G2092</f>
        <v>0</v>
      </c>
      <c r="N2080">
        <f>Data!H2092</f>
        <v>0</v>
      </c>
      <c r="O2080">
        <f>Data!I2092</f>
        <v>0</v>
      </c>
      <c r="P2080" s="21">
        <f>Data!J2096</f>
        <v>0</v>
      </c>
      <c r="Q2080">
        <f>Data!K2096</f>
        <v>0</v>
      </c>
      <c r="R2080">
        <f>Data!L2096</f>
        <v>0</v>
      </c>
      <c r="S2080">
        <f>Data!M2096</f>
        <v>0</v>
      </c>
      <c r="T2080">
        <f>Data!N2096</f>
        <v>0</v>
      </c>
      <c r="U2080">
        <f>Data!O2096</f>
        <v>0</v>
      </c>
      <c r="V2080" s="33">
        <f>Data!P2094</f>
        <v>0</v>
      </c>
    </row>
    <row r="2081" spans="7:22" x14ac:dyDescent="0.25">
      <c r="G2081" cm="1">
        <f t="array" aca="1" ref="G2081" ca="1">INDIRECT("Data!A" &amp; 2076)</f>
        <v>0</v>
      </c>
      <c r="H2081" s="21">
        <f>Data!B2093</f>
        <v>0</v>
      </c>
      <c r="I2081" s="21">
        <f>Data!C2093</f>
        <v>0</v>
      </c>
      <c r="J2081">
        <f>Data!D2093</f>
        <v>0</v>
      </c>
      <c r="K2081">
        <f>Data!E2093</f>
        <v>0</v>
      </c>
      <c r="L2081">
        <f>Data!F2093</f>
        <v>0</v>
      </c>
      <c r="M2081">
        <f>Data!G2093</f>
        <v>0</v>
      </c>
      <c r="N2081">
        <f>Data!H2093</f>
        <v>0</v>
      </c>
      <c r="O2081">
        <f>Data!I2093</f>
        <v>0</v>
      </c>
      <c r="P2081" s="21">
        <f>Data!J2097</f>
        <v>0</v>
      </c>
      <c r="Q2081">
        <f>Data!K2097</f>
        <v>0</v>
      </c>
      <c r="R2081">
        <f>Data!L2097</f>
        <v>0</v>
      </c>
      <c r="S2081">
        <f>Data!M2097</f>
        <v>0</v>
      </c>
      <c r="T2081">
        <f>Data!N2097</f>
        <v>0</v>
      </c>
      <c r="U2081">
        <f>Data!O2097</f>
        <v>0</v>
      </c>
      <c r="V2081" s="33">
        <f>Data!P2095</f>
        <v>0</v>
      </c>
    </row>
    <row r="2082" spans="7:22" x14ac:dyDescent="0.25">
      <c r="G2082" cm="1">
        <f t="array" aca="1" ref="G2082" ca="1">INDIRECT("Data!A" &amp; 2077)</f>
        <v>0</v>
      </c>
      <c r="H2082" s="21">
        <f>Data!B2094</f>
        <v>0</v>
      </c>
      <c r="I2082" s="21">
        <f>Data!C2094</f>
        <v>0</v>
      </c>
      <c r="J2082">
        <f>Data!D2094</f>
        <v>0</v>
      </c>
      <c r="K2082">
        <f>Data!E2094</f>
        <v>0</v>
      </c>
      <c r="L2082">
        <f>Data!F2094</f>
        <v>0</v>
      </c>
      <c r="M2082">
        <f>Data!G2094</f>
        <v>0</v>
      </c>
      <c r="N2082">
        <f>Data!H2094</f>
        <v>0</v>
      </c>
      <c r="O2082">
        <f>Data!I2094</f>
        <v>0</v>
      </c>
      <c r="P2082" s="21">
        <f>Data!J2098</f>
        <v>0</v>
      </c>
      <c r="Q2082">
        <f>Data!K2098</f>
        <v>0</v>
      </c>
      <c r="R2082">
        <f>Data!L2098</f>
        <v>0</v>
      </c>
      <c r="S2082">
        <f>Data!M2098</f>
        <v>0</v>
      </c>
      <c r="T2082">
        <f>Data!N2098</f>
        <v>0</v>
      </c>
      <c r="U2082">
        <f>Data!O2098</f>
        <v>0</v>
      </c>
      <c r="V2082" s="33">
        <f>Data!P2096</f>
        <v>0</v>
      </c>
    </row>
    <row r="2083" spans="7:22" x14ac:dyDescent="0.25">
      <c r="G2083" cm="1">
        <f t="array" aca="1" ref="G2083" ca="1">INDIRECT("Data!A" &amp; 2078)</f>
        <v>0</v>
      </c>
      <c r="H2083" s="21">
        <f>Data!B2095</f>
        <v>0</v>
      </c>
      <c r="I2083" s="21">
        <f>Data!C2095</f>
        <v>0</v>
      </c>
      <c r="J2083">
        <f>Data!D2095</f>
        <v>0</v>
      </c>
      <c r="K2083">
        <f>Data!E2095</f>
        <v>0</v>
      </c>
      <c r="L2083">
        <f>Data!F2095</f>
        <v>0</v>
      </c>
      <c r="M2083">
        <f>Data!G2095</f>
        <v>0</v>
      </c>
      <c r="N2083">
        <f>Data!H2095</f>
        <v>0</v>
      </c>
      <c r="O2083">
        <f>Data!I2095</f>
        <v>0</v>
      </c>
      <c r="P2083" s="21">
        <f>Data!J2099</f>
        <v>0</v>
      </c>
      <c r="Q2083">
        <f>Data!K2099</f>
        <v>0</v>
      </c>
      <c r="R2083">
        <f>Data!L2099</f>
        <v>0</v>
      </c>
      <c r="S2083">
        <f>Data!M2099</f>
        <v>0</v>
      </c>
      <c r="T2083">
        <f>Data!N2099</f>
        <v>0</v>
      </c>
      <c r="U2083">
        <f>Data!O2099</f>
        <v>0</v>
      </c>
      <c r="V2083" s="33">
        <f>Data!P2097</f>
        <v>0</v>
      </c>
    </row>
    <row r="2084" spans="7:22" x14ac:dyDescent="0.25">
      <c r="G2084" cm="1">
        <f t="array" aca="1" ref="G2084" ca="1">INDIRECT("Data!A" &amp; 2079)</f>
        <v>0</v>
      </c>
      <c r="H2084" s="21">
        <f>Data!B2096</f>
        <v>0</v>
      </c>
      <c r="I2084" s="21">
        <f>Data!C2096</f>
        <v>0</v>
      </c>
      <c r="J2084">
        <f>Data!D2096</f>
        <v>0</v>
      </c>
      <c r="K2084">
        <f>Data!E2096</f>
        <v>0</v>
      </c>
      <c r="L2084">
        <f>Data!F2096</f>
        <v>0</v>
      </c>
      <c r="M2084">
        <f>Data!G2096</f>
        <v>0</v>
      </c>
      <c r="N2084">
        <f>Data!H2096</f>
        <v>0</v>
      </c>
      <c r="O2084">
        <f>Data!I2096</f>
        <v>0</v>
      </c>
      <c r="P2084" s="21">
        <f>Data!J2100</f>
        <v>0</v>
      </c>
      <c r="Q2084">
        <f>Data!K2100</f>
        <v>0</v>
      </c>
      <c r="R2084">
        <f>Data!L2100</f>
        <v>0</v>
      </c>
      <c r="S2084">
        <f>Data!M2100</f>
        <v>0</v>
      </c>
      <c r="T2084">
        <f>Data!N2100</f>
        <v>0</v>
      </c>
      <c r="U2084">
        <f>Data!O2100</f>
        <v>0</v>
      </c>
      <c r="V2084" s="33">
        <f>Data!P2098</f>
        <v>0</v>
      </c>
    </row>
    <row r="2085" spans="7:22" x14ac:dyDescent="0.25">
      <c r="G2085" cm="1">
        <f t="array" aca="1" ref="G2085" ca="1">INDIRECT("Data!A" &amp; 2080)</f>
        <v>0</v>
      </c>
      <c r="H2085" s="21">
        <f>Data!B2097</f>
        <v>0</v>
      </c>
      <c r="I2085" s="21">
        <f>Data!C2097</f>
        <v>0</v>
      </c>
      <c r="J2085">
        <f>Data!D2097</f>
        <v>0</v>
      </c>
      <c r="K2085">
        <f>Data!E2097</f>
        <v>0</v>
      </c>
      <c r="L2085">
        <f>Data!F2097</f>
        <v>0</v>
      </c>
      <c r="M2085">
        <f>Data!G2097</f>
        <v>0</v>
      </c>
      <c r="N2085">
        <f>Data!H2097</f>
        <v>0</v>
      </c>
      <c r="O2085">
        <f>Data!I2097</f>
        <v>0</v>
      </c>
      <c r="P2085" s="21">
        <f>Data!J2101</f>
        <v>0</v>
      </c>
      <c r="Q2085">
        <f>Data!K2101</f>
        <v>0</v>
      </c>
      <c r="R2085">
        <f>Data!L2101</f>
        <v>0</v>
      </c>
      <c r="S2085">
        <f>Data!M2101</f>
        <v>0</v>
      </c>
      <c r="T2085">
        <f>Data!N2101</f>
        <v>0</v>
      </c>
      <c r="U2085">
        <f>Data!O2101</f>
        <v>0</v>
      </c>
      <c r="V2085" s="33">
        <f>Data!P2099</f>
        <v>0</v>
      </c>
    </row>
    <row r="2086" spans="7:22" x14ac:dyDescent="0.25">
      <c r="G2086" cm="1">
        <f t="array" aca="1" ref="G2086" ca="1">INDIRECT("Data!A" &amp; 2081)</f>
        <v>0</v>
      </c>
      <c r="H2086" s="21">
        <f>Data!B2098</f>
        <v>0</v>
      </c>
      <c r="I2086" s="21">
        <f>Data!C2098</f>
        <v>0</v>
      </c>
      <c r="J2086">
        <f>Data!D2098</f>
        <v>0</v>
      </c>
      <c r="K2086">
        <f>Data!E2098</f>
        <v>0</v>
      </c>
      <c r="L2086">
        <f>Data!F2098</f>
        <v>0</v>
      </c>
      <c r="M2086">
        <f>Data!G2098</f>
        <v>0</v>
      </c>
      <c r="N2086">
        <f>Data!H2098</f>
        <v>0</v>
      </c>
      <c r="O2086">
        <f>Data!I2098</f>
        <v>0</v>
      </c>
      <c r="P2086" s="21">
        <f>Data!J2102</f>
        <v>0</v>
      </c>
      <c r="Q2086">
        <f>Data!K2102</f>
        <v>0</v>
      </c>
      <c r="R2086">
        <f>Data!L2102</f>
        <v>0</v>
      </c>
      <c r="S2086">
        <f>Data!M2102</f>
        <v>0</v>
      </c>
      <c r="T2086">
        <f>Data!N2102</f>
        <v>0</v>
      </c>
      <c r="U2086">
        <f>Data!O2102</f>
        <v>0</v>
      </c>
      <c r="V2086" s="33">
        <f>Data!P2100</f>
        <v>0</v>
      </c>
    </row>
    <row r="2087" spans="7:22" x14ac:dyDescent="0.25">
      <c r="G2087" cm="1">
        <f t="array" aca="1" ref="G2087" ca="1">INDIRECT("Data!A" &amp; 2082)</f>
        <v>0</v>
      </c>
      <c r="H2087" s="21">
        <f>Data!B2099</f>
        <v>0</v>
      </c>
      <c r="I2087" s="21">
        <f>Data!C2099</f>
        <v>0</v>
      </c>
      <c r="J2087">
        <f>Data!D2099</f>
        <v>0</v>
      </c>
      <c r="K2087">
        <f>Data!E2099</f>
        <v>0</v>
      </c>
      <c r="L2087">
        <f>Data!F2099</f>
        <v>0</v>
      </c>
      <c r="M2087">
        <f>Data!G2099</f>
        <v>0</v>
      </c>
      <c r="N2087">
        <f>Data!H2099</f>
        <v>0</v>
      </c>
      <c r="O2087">
        <f>Data!I2099</f>
        <v>0</v>
      </c>
      <c r="P2087" s="21">
        <f>Data!J2103</f>
        <v>0</v>
      </c>
      <c r="Q2087">
        <f>Data!K2103</f>
        <v>0</v>
      </c>
      <c r="R2087">
        <f>Data!L2103</f>
        <v>0</v>
      </c>
      <c r="S2087">
        <f>Data!M2103</f>
        <v>0</v>
      </c>
      <c r="T2087">
        <f>Data!N2103</f>
        <v>0</v>
      </c>
      <c r="U2087">
        <f>Data!O2103</f>
        <v>0</v>
      </c>
      <c r="V2087" s="33">
        <f>Data!P2101</f>
        <v>0</v>
      </c>
    </row>
    <row r="2088" spans="7:22" x14ac:dyDescent="0.25">
      <c r="G2088" cm="1">
        <f t="array" aca="1" ref="G2088" ca="1">INDIRECT("Data!A" &amp; 2083)</f>
        <v>0</v>
      </c>
      <c r="H2088" s="21">
        <f>Data!B2100</f>
        <v>0</v>
      </c>
      <c r="I2088" s="21">
        <f>Data!C2100</f>
        <v>0</v>
      </c>
      <c r="J2088">
        <f>Data!D2100</f>
        <v>0</v>
      </c>
      <c r="K2088">
        <f>Data!E2100</f>
        <v>0</v>
      </c>
      <c r="L2088">
        <f>Data!F2100</f>
        <v>0</v>
      </c>
      <c r="M2088">
        <f>Data!G2100</f>
        <v>0</v>
      </c>
      <c r="N2088">
        <f>Data!H2100</f>
        <v>0</v>
      </c>
      <c r="O2088">
        <f>Data!I2100</f>
        <v>0</v>
      </c>
      <c r="P2088" s="21">
        <f>Data!J2104</f>
        <v>0</v>
      </c>
      <c r="Q2088">
        <f>Data!K2104</f>
        <v>0</v>
      </c>
      <c r="R2088">
        <f>Data!L2104</f>
        <v>0</v>
      </c>
      <c r="S2088">
        <f>Data!M2104</f>
        <v>0</v>
      </c>
      <c r="T2088">
        <f>Data!N2104</f>
        <v>0</v>
      </c>
      <c r="U2088">
        <f>Data!O2104</f>
        <v>0</v>
      </c>
      <c r="V2088" s="33">
        <f>Data!P2102</f>
        <v>0</v>
      </c>
    </row>
    <row r="2089" spans="7:22" x14ac:dyDescent="0.25">
      <c r="G2089" cm="1">
        <f t="array" aca="1" ref="G2089" ca="1">INDIRECT("Data!A" &amp; 2084)</f>
        <v>0</v>
      </c>
      <c r="H2089" s="21">
        <f>Data!B2101</f>
        <v>0</v>
      </c>
      <c r="I2089" s="21">
        <f>Data!C2101</f>
        <v>0</v>
      </c>
      <c r="J2089">
        <f>Data!D2101</f>
        <v>0</v>
      </c>
      <c r="K2089">
        <f>Data!E2101</f>
        <v>0</v>
      </c>
      <c r="L2089">
        <f>Data!F2101</f>
        <v>0</v>
      </c>
      <c r="M2089">
        <f>Data!G2101</f>
        <v>0</v>
      </c>
      <c r="N2089">
        <f>Data!H2101</f>
        <v>0</v>
      </c>
      <c r="O2089">
        <f>Data!I2101</f>
        <v>0</v>
      </c>
      <c r="P2089" s="21">
        <f>Data!J2105</f>
        <v>0</v>
      </c>
      <c r="Q2089">
        <f>Data!K2105</f>
        <v>0</v>
      </c>
      <c r="R2089">
        <f>Data!L2105</f>
        <v>0</v>
      </c>
      <c r="S2089">
        <f>Data!M2105</f>
        <v>0</v>
      </c>
      <c r="T2089">
        <f>Data!N2105</f>
        <v>0</v>
      </c>
      <c r="U2089">
        <f>Data!O2105</f>
        <v>0</v>
      </c>
      <c r="V2089" s="33">
        <f>Data!P2103</f>
        <v>0</v>
      </c>
    </row>
    <row r="2090" spans="7:22" x14ac:dyDescent="0.25">
      <c r="G2090" cm="1">
        <f t="array" aca="1" ref="G2090" ca="1">INDIRECT("Data!A" &amp; 2085)</f>
        <v>0</v>
      </c>
      <c r="H2090" s="21">
        <f>Data!B2102</f>
        <v>0</v>
      </c>
      <c r="I2090" s="21">
        <f>Data!C2102</f>
        <v>0</v>
      </c>
      <c r="J2090">
        <f>Data!D2102</f>
        <v>0</v>
      </c>
      <c r="K2090">
        <f>Data!E2102</f>
        <v>0</v>
      </c>
      <c r="L2090">
        <f>Data!F2102</f>
        <v>0</v>
      </c>
      <c r="M2090">
        <f>Data!G2102</f>
        <v>0</v>
      </c>
      <c r="N2090">
        <f>Data!H2102</f>
        <v>0</v>
      </c>
      <c r="O2090">
        <f>Data!I2102</f>
        <v>0</v>
      </c>
      <c r="P2090" s="21">
        <f>Data!J2106</f>
        <v>0</v>
      </c>
      <c r="Q2090">
        <f>Data!K2106</f>
        <v>0</v>
      </c>
      <c r="R2090">
        <f>Data!L2106</f>
        <v>0</v>
      </c>
      <c r="S2090">
        <f>Data!M2106</f>
        <v>0</v>
      </c>
      <c r="T2090">
        <f>Data!N2106</f>
        <v>0</v>
      </c>
      <c r="U2090">
        <f>Data!O2106</f>
        <v>0</v>
      </c>
      <c r="V2090" s="33">
        <f>Data!P2104</f>
        <v>0</v>
      </c>
    </row>
    <row r="2091" spans="7:22" x14ac:dyDescent="0.25">
      <c r="G2091" cm="1">
        <f t="array" aca="1" ref="G2091" ca="1">INDIRECT("Data!A" &amp; 2086)</f>
        <v>0</v>
      </c>
      <c r="H2091" s="21">
        <f>Data!B2103</f>
        <v>0</v>
      </c>
      <c r="I2091" s="21">
        <f>Data!C2103</f>
        <v>0</v>
      </c>
      <c r="J2091">
        <f>Data!D2103</f>
        <v>0</v>
      </c>
      <c r="K2091">
        <f>Data!E2103</f>
        <v>0</v>
      </c>
      <c r="L2091">
        <f>Data!F2103</f>
        <v>0</v>
      </c>
      <c r="M2091">
        <f>Data!G2103</f>
        <v>0</v>
      </c>
      <c r="N2091">
        <f>Data!H2103</f>
        <v>0</v>
      </c>
      <c r="O2091">
        <f>Data!I2103</f>
        <v>0</v>
      </c>
      <c r="P2091" s="21">
        <f>Data!J2107</f>
        <v>0</v>
      </c>
      <c r="Q2091">
        <f>Data!K2107</f>
        <v>0</v>
      </c>
      <c r="R2091">
        <f>Data!L2107</f>
        <v>0</v>
      </c>
      <c r="S2091">
        <f>Data!M2107</f>
        <v>0</v>
      </c>
      <c r="T2091">
        <f>Data!N2107</f>
        <v>0</v>
      </c>
      <c r="U2091">
        <f>Data!O2107</f>
        <v>0</v>
      </c>
      <c r="V2091" s="33">
        <f>Data!P2105</f>
        <v>0</v>
      </c>
    </row>
    <row r="2092" spans="7:22" x14ac:dyDescent="0.25">
      <c r="G2092" cm="1">
        <f t="array" aca="1" ref="G2092" ca="1">INDIRECT("Data!A" &amp; 2087)</f>
        <v>0</v>
      </c>
      <c r="H2092" s="21">
        <f>Data!B2104</f>
        <v>0</v>
      </c>
      <c r="I2092" s="21">
        <f>Data!C2104</f>
        <v>0</v>
      </c>
      <c r="J2092">
        <f>Data!D2104</f>
        <v>0</v>
      </c>
      <c r="K2092">
        <f>Data!E2104</f>
        <v>0</v>
      </c>
      <c r="L2092">
        <f>Data!F2104</f>
        <v>0</v>
      </c>
      <c r="M2092">
        <f>Data!G2104</f>
        <v>0</v>
      </c>
      <c r="N2092">
        <f>Data!H2104</f>
        <v>0</v>
      </c>
      <c r="O2092">
        <f>Data!I2104</f>
        <v>0</v>
      </c>
      <c r="P2092" s="21">
        <f>Data!J2108</f>
        <v>0</v>
      </c>
      <c r="Q2092">
        <f>Data!K2108</f>
        <v>0</v>
      </c>
      <c r="R2092">
        <f>Data!L2108</f>
        <v>0</v>
      </c>
      <c r="S2092">
        <f>Data!M2108</f>
        <v>0</v>
      </c>
      <c r="T2092">
        <f>Data!N2108</f>
        <v>0</v>
      </c>
      <c r="U2092">
        <f>Data!O2108</f>
        <v>0</v>
      </c>
      <c r="V2092" s="33">
        <f>Data!P2106</f>
        <v>0</v>
      </c>
    </row>
    <row r="2093" spans="7:22" x14ac:dyDescent="0.25">
      <c r="G2093" cm="1">
        <f t="array" aca="1" ref="G2093" ca="1">INDIRECT("Data!A" &amp; 2088)</f>
        <v>0</v>
      </c>
      <c r="H2093" s="21">
        <f>Data!B2105</f>
        <v>0</v>
      </c>
      <c r="I2093" s="21">
        <f>Data!C2105</f>
        <v>0</v>
      </c>
      <c r="J2093">
        <f>Data!D2105</f>
        <v>0</v>
      </c>
      <c r="K2093">
        <f>Data!E2105</f>
        <v>0</v>
      </c>
      <c r="L2093">
        <f>Data!F2105</f>
        <v>0</v>
      </c>
      <c r="M2093">
        <f>Data!G2105</f>
        <v>0</v>
      </c>
      <c r="N2093">
        <f>Data!H2105</f>
        <v>0</v>
      </c>
      <c r="O2093">
        <f>Data!I2105</f>
        <v>0</v>
      </c>
      <c r="P2093" s="21">
        <f>Data!J2109</f>
        <v>0</v>
      </c>
      <c r="Q2093">
        <f>Data!K2109</f>
        <v>0</v>
      </c>
      <c r="R2093">
        <f>Data!L2109</f>
        <v>0</v>
      </c>
      <c r="S2093">
        <f>Data!M2109</f>
        <v>0</v>
      </c>
      <c r="T2093">
        <f>Data!N2109</f>
        <v>0</v>
      </c>
      <c r="U2093">
        <f>Data!O2109</f>
        <v>0</v>
      </c>
      <c r="V2093" s="33">
        <f>Data!P2107</f>
        <v>0</v>
      </c>
    </row>
    <row r="2094" spans="7:22" x14ac:dyDescent="0.25">
      <c r="G2094" cm="1">
        <f t="array" aca="1" ref="G2094" ca="1">INDIRECT("Data!A" &amp; 2089)</f>
        <v>0</v>
      </c>
      <c r="H2094" s="21">
        <f>Data!B2106</f>
        <v>0</v>
      </c>
      <c r="I2094" s="21">
        <f>Data!C2106</f>
        <v>0</v>
      </c>
      <c r="J2094">
        <f>Data!D2106</f>
        <v>0</v>
      </c>
      <c r="K2094">
        <f>Data!E2106</f>
        <v>0</v>
      </c>
      <c r="L2094">
        <f>Data!F2106</f>
        <v>0</v>
      </c>
      <c r="M2094">
        <f>Data!G2106</f>
        <v>0</v>
      </c>
      <c r="N2094">
        <f>Data!H2106</f>
        <v>0</v>
      </c>
      <c r="O2094">
        <f>Data!I2106</f>
        <v>0</v>
      </c>
      <c r="P2094" s="21">
        <f>Data!J2110</f>
        <v>0</v>
      </c>
      <c r="Q2094">
        <f>Data!K2110</f>
        <v>0</v>
      </c>
      <c r="R2094">
        <f>Data!L2110</f>
        <v>0</v>
      </c>
      <c r="S2094">
        <f>Data!M2110</f>
        <v>0</v>
      </c>
      <c r="T2094">
        <f>Data!N2110</f>
        <v>0</v>
      </c>
      <c r="U2094">
        <f>Data!O2110</f>
        <v>0</v>
      </c>
      <c r="V2094" s="33">
        <f>Data!P2108</f>
        <v>0</v>
      </c>
    </row>
    <row r="2095" spans="7:22" x14ac:dyDescent="0.25">
      <c r="G2095" cm="1">
        <f t="array" aca="1" ref="G2095" ca="1">INDIRECT("Data!A" &amp; 2090)</f>
        <v>0</v>
      </c>
      <c r="H2095" s="21">
        <f>Data!B2107</f>
        <v>0</v>
      </c>
      <c r="I2095" s="21">
        <f>Data!C2107</f>
        <v>0</v>
      </c>
      <c r="J2095">
        <f>Data!D2107</f>
        <v>0</v>
      </c>
      <c r="K2095">
        <f>Data!E2107</f>
        <v>0</v>
      </c>
      <c r="L2095">
        <f>Data!F2107</f>
        <v>0</v>
      </c>
      <c r="M2095">
        <f>Data!G2107</f>
        <v>0</v>
      </c>
      <c r="N2095">
        <f>Data!H2107</f>
        <v>0</v>
      </c>
      <c r="O2095">
        <f>Data!I2107</f>
        <v>0</v>
      </c>
      <c r="P2095" s="21">
        <f>Data!J2111</f>
        <v>0</v>
      </c>
      <c r="Q2095">
        <f>Data!K2111</f>
        <v>0</v>
      </c>
      <c r="R2095">
        <f>Data!L2111</f>
        <v>0</v>
      </c>
      <c r="S2095">
        <f>Data!M2111</f>
        <v>0</v>
      </c>
      <c r="T2095">
        <f>Data!N2111</f>
        <v>0</v>
      </c>
      <c r="U2095">
        <f>Data!O2111</f>
        <v>0</v>
      </c>
      <c r="V2095" s="33">
        <f>Data!P2109</f>
        <v>0</v>
      </c>
    </row>
    <row r="2096" spans="7:22" x14ac:dyDescent="0.25">
      <c r="G2096" cm="1">
        <f t="array" aca="1" ref="G2096" ca="1">INDIRECT("Data!A" &amp; 2091)</f>
        <v>0</v>
      </c>
      <c r="H2096" s="21">
        <f>Data!B2108</f>
        <v>0</v>
      </c>
      <c r="I2096" s="21">
        <f>Data!C2108</f>
        <v>0</v>
      </c>
      <c r="J2096">
        <f>Data!D2108</f>
        <v>0</v>
      </c>
      <c r="K2096">
        <f>Data!E2108</f>
        <v>0</v>
      </c>
      <c r="L2096">
        <f>Data!F2108</f>
        <v>0</v>
      </c>
      <c r="M2096">
        <f>Data!G2108</f>
        <v>0</v>
      </c>
      <c r="N2096">
        <f>Data!H2108</f>
        <v>0</v>
      </c>
      <c r="O2096">
        <f>Data!I2108</f>
        <v>0</v>
      </c>
      <c r="P2096" s="21">
        <f>Data!J2112</f>
        <v>0</v>
      </c>
      <c r="Q2096">
        <f>Data!K2112</f>
        <v>0</v>
      </c>
      <c r="R2096">
        <f>Data!L2112</f>
        <v>0</v>
      </c>
      <c r="S2096">
        <f>Data!M2112</f>
        <v>0</v>
      </c>
      <c r="T2096">
        <f>Data!N2112</f>
        <v>0</v>
      </c>
      <c r="U2096">
        <f>Data!O2112</f>
        <v>0</v>
      </c>
      <c r="V2096" s="33">
        <f>Data!P2110</f>
        <v>0</v>
      </c>
    </row>
    <row r="2097" spans="7:22" x14ac:dyDescent="0.25">
      <c r="G2097" cm="1">
        <f t="array" aca="1" ref="G2097" ca="1">INDIRECT("Data!A" &amp; 2092)</f>
        <v>0</v>
      </c>
      <c r="H2097" s="21">
        <f>Data!B2109</f>
        <v>0</v>
      </c>
      <c r="I2097" s="21">
        <f>Data!C2109</f>
        <v>0</v>
      </c>
      <c r="J2097">
        <f>Data!D2109</f>
        <v>0</v>
      </c>
      <c r="K2097">
        <f>Data!E2109</f>
        <v>0</v>
      </c>
      <c r="L2097">
        <f>Data!F2109</f>
        <v>0</v>
      </c>
      <c r="M2097">
        <f>Data!G2109</f>
        <v>0</v>
      </c>
      <c r="N2097">
        <f>Data!H2109</f>
        <v>0</v>
      </c>
      <c r="O2097">
        <f>Data!I2109</f>
        <v>0</v>
      </c>
      <c r="P2097" s="21">
        <f>Data!J2113</f>
        <v>0</v>
      </c>
      <c r="Q2097">
        <f>Data!K2113</f>
        <v>0</v>
      </c>
      <c r="R2097">
        <f>Data!L2113</f>
        <v>0</v>
      </c>
      <c r="S2097">
        <f>Data!M2113</f>
        <v>0</v>
      </c>
      <c r="T2097">
        <f>Data!N2113</f>
        <v>0</v>
      </c>
      <c r="U2097">
        <f>Data!O2113</f>
        <v>0</v>
      </c>
      <c r="V2097" s="33">
        <f>Data!P2111</f>
        <v>0</v>
      </c>
    </row>
    <row r="2098" spans="7:22" x14ac:dyDescent="0.25">
      <c r="G2098" cm="1">
        <f t="array" aca="1" ref="G2098" ca="1">INDIRECT("Data!A" &amp; 2093)</f>
        <v>0</v>
      </c>
      <c r="H2098" s="21">
        <f>Data!B2110</f>
        <v>0</v>
      </c>
      <c r="I2098" s="21">
        <f>Data!C2110</f>
        <v>0</v>
      </c>
      <c r="J2098">
        <f>Data!D2110</f>
        <v>0</v>
      </c>
      <c r="K2098">
        <f>Data!E2110</f>
        <v>0</v>
      </c>
      <c r="L2098">
        <f>Data!F2110</f>
        <v>0</v>
      </c>
      <c r="M2098">
        <f>Data!G2110</f>
        <v>0</v>
      </c>
      <c r="N2098">
        <f>Data!H2110</f>
        <v>0</v>
      </c>
      <c r="O2098">
        <f>Data!I2110</f>
        <v>0</v>
      </c>
      <c r="P2098" s="21">
        <f>Data!J2114</f>
        <v>0</v>
      </c>
      <c r="Q2098">
        <f>Data!K2114</f>
        <v>0</v>
      </c>
      <c r="R2098">
        <f>Data!L2114</f>
        <v>0</v>
      </c>
      <c r="S2098">
        <f>Data!M2114</f>
        <v>0</v>
      </c>
      <c r="T2098">
        <f>Data!N2114</f>
        <v>0</v>
      </c>
      <c r="U2098">
        <f>Data!O2114</f>
        <v>0</v>
      </c>
      <c r="V2098" s="33">
        <f>Data!P2112</f>
        <v>0</v>
      </c>
    </row>
    <row r="2099" spans="7:22" x14ac:dyDescent="0.25">
      <c r="G2099" cm="1">
        <f t="array" aca="1" ref="G2099" ca="1">INDIRECT("Data!A" &amp; 2094)</f>
        <v>0</v>
      </c>
      <c r="H2099" s="21">
        <f>Data!B2111</f>
        <v>0</v>
      </c>
      <c r="I2099" s="21">
        <f>Data!C2111</f>
        <v>0</v>
      </c>
      <c r="J2099">
        <f>Data!D2111</f>
        <v>0</v>
      </c>
      <c r="K2099">
        <f>Data!E2111</f>
        <v>0</v>
      </c>
      <c r="L2099">
        <f>Data!F2111</f>
        <v>0</v>
      </c>
      <c r="M2099">
        <f>Data!G2111</f>
        <v>0</v>
      </c>
      <c r="N2099">
        <f>Data!H2111</f>
        <v>0</v>
      </c>
      <c r="O2099">
        <f>Data!I2111</f>
        <v>0</v>
      </c>
      <c r="P2099" s="21">
        <f>Data!J2115</f>
        <v>0</v>
      </c>
      <c r="Q2099">
        <f>Data!K2115</f>
        <v>0</v>
      </c>
      <c r="R2099">
        <f>Data!L2115</f>
        <v>0</v>
      </c>
      <c r="S2099">
        <f>Data!M2115</f>
        <v>0</v>
      </c>
      <c r="T2099">
        <f>Data!N2115</f>
        <v>0</v>
      </c>
      <c r="U2099">
        <f>Data!O2115</f>
        <v>0</v>
      </c>
      <c r="V2099" s="33">
        <f>Data!P2113</f>
        <v>0</v>
      </c>
    </row>
    <row r="2100" spans="7:22" x14ac:dyDescent="0.25">
      <c r="G2100" cm="1">
        <f t="array" aca="1" ref="G2100" ca="1">INDIRECT("Data!A" &amp; 2095)</f>
        <v>0</v>
      </c>
      <c r="H2100" s="21">
        <f>Data!B2112</f>
        <v>0</v>
      </c>
      <c r="I2100" s="21">
        <f>Data!C2112</f>
        <v>0</v>
      </c>
      <c r="J2100">
        <f>Data!D2112</f>
        <v>0</v>
      </c>
      <c r="K2100">
        <f>Data!E2112</f>
        <v>0</v>
      </c>
      <c r="L2100">
        <f>Data!F2112</f>
        <v>0</v>
      </c>
      <c r="M2100">
        <f>Data!G2112</f>
        <v>0</v>
      </c>
      <c r="N2100">
        <f>Data!H2112</f>
        <v>0</v>
      </c>
      <c r="O2100">
        <f>Data!I2112</f>
        <v>0</v>
      </c>
      <c r="P2100" s="21">
        <f>Data!J2116</f>
        <v>0</v>
      </c>
      <c r="Q2100">
        <f>Data!K2116</f>
        <v>0</v>
      </c>
      <c r="R2100">
        <f>Data!L2116</f>
        <v>0</v>
      </c>
      <c r="S2100">
        <f>Data!M2116</f>
        <v>0</v>
      </c>
      <c r="T2100">
        <f>Data!N2116</f>
        <v>0</v>
      </c>
      <c r="U2100">
        <f>Data!O2116</f>
        <v>0</v>
      </c>
      <c r="V2100" s="33">
        <f>Data!P2114</f>
        <v>0</v>
      </c>
    </row>
    <row r="2101" spans="7:22" x14ac:dyDescent="0.25">
      <c r="G2101" cm="1">
        <f t="array" aca="1" ref="G2101" ca="1">INDIRECT("Data!A" &amp; 2096)</f>
        <v>0</v>
      </c>
      <c r="H2101" s="21">
        <f>Data!B2113</f>
        <v>0</v>
      </c>
      <c r="I2101" s="21">
        <f>Data!C2113</f>
        <v>0</v>
      </c>
      <c r="J2101">
        <f>Data!D2113</f>
        <v>0</v>
      </c>
      <c r="K2101">
        <f>Data!E2113</f>
        <v>0</v>
      </c>
      <c r="L2101">
        <f>Data!F2113</f>
        <v>0</v>
      </c>
      <c r="M2101">
        <f>Data!G2113</f>
        <v>0</v>
      </c>
      <c r="N2101">
        <f>Data!H2113</f>
        <v>0</v>
      </c>
      <c r="O2101">
        <f>Data!I2113</f>
        <v>0</v>
      </c>
      <c r="P2101" s="21">
        <f>Data!J2117</f>
        <v>0</v>
      </c>
      <c r="Q2101">
        <f>Data!K2117</f>
        <v>0</v>
      </c>
      <c r="R2101">
        <f>Data!L2117</f>
        <v>0</v>
      </c>
      <c r="S2101">
        <f>Data!M2117</f>
        <v>0</v>
      </c>
      <c r="T2101">
        <f>Data!N2117</f>
        <v>0</v>
      </c>
      <c r="U2101">
        <f>Data!O2117</f>
        <v>0</v>
      </c>
      <c r="V2101" s="33">
        <f>Data!P2115</f>
        <v>0</v>
      </c>
    </row>
    <row r="2102" spans="7:22" x14ac:dyDescent="0.25">
      <c r="G2102" cm="1">
        <f t="array" aca="1" ref="G2102" ca="1">INDIRECT("Data!A" &amp; 2097)</f>
        <v>0</v>
      </c>
      <c r="H2102" s="21">
        <f>Data!B2114</f>
        <v>0</v>
      </c>
      <c r="I2102" s="21">
        <f>Data!C2114</f>
        <v>0</v>
      </c>
      <c r="J2102">
        <f>Data!D2114</f>
        <v>0</v>
      </c>
      <c r="K2102">
        <f>Data!E2114</f>
        <v>0</v>
      </c>
      <c r="L2102">
        <f>Data!F2114</f>
        <v>0</v>
      </c>
      <c r="M2102">
        <f>Data!G2114</f>
        <v>0</v>
      </c>
      <c r="N2102">
        <f>Data!H2114</f>
        <v>0</v>
      </c>
      <c r="O2102">
        <f>Data!I2114</f>
        <v>0</v>
      </c>
      <c r="P2102" s="21">
        <f>Data!J2118</f>
        <v>0</v>
      </c>
      <c r="Q2102">
        <f>Data!K2118</f>
        <v>0</v>
      </c>
      <c r="R2102">
        <f>Data!L2118</f>
        <v>0</v>
      </c>
      <c r="S2102">
        <f>Data!M2118</f>
        <v>0</v>
      </c>
      <c r="T2102">
        <f>Data!N2118</f>
        <v>0</v>
      </c>
      <c r="U2102">
        <f>Data!O2118</f>
        <v>0</v>
      </c>
      <c r="V2102" s="33">
        <f>Data!P2116</f>
        <v>0</v>
      </c>
    </row>
    <row r="2103" spans="7:22" x14ac:dyDescent="0.25">
      <c r="G2103" cm="1">
        <f t="array" aca="1" ref="G2103" ca="1">INDIRECT("Data!A" &amp; 2098)</f>
        <v>0</v>
      </c>
      <c r="H2103" s="21">
        <f>Data!B2115</f>
        <v>0</v>
      </c>
      <c r="I2103" s="21">
        <f>Data!C2115</f>
        <v>0</v>
      </c>
      <c r="J2103">
        <f>Data!D2115</f>
        <v>0</v>
      </c>
      <c r="K2103">
        <f>Data!E2115</f>
        <v>0</v>
      </c>
      <c r="L2103">
        <f>Data!F2115</f>
        <v>0</v>
      </c>
      <c r="M2103">
        <f>Data!G2115</f>
        <v>0</v>
      </c>
      <c r="N2103">
        <f>Data!H2115</f>
        <v>0</v>
      </c>
      <c r="O2103">
        <f>Data!I2115</f>
        <v>0</v>
      </c>
      <c r="P2103" s="21">
        <f>Data!J2119</f>
        <v>0</v>
      </c>
      <c r="Q2103">
        <f>Data!K2119</f>
        <v>0</v>
      </c>
      <c r="R2103">
        <f>Data!L2119</f>
        <v>0</v>
      </c>
      <c r="S2103">
        <f>Data!M2119</f>
        <v>0</v>
      </c>
      <c r="T2103">
        <f>Data!N2119</f>
        <v>0</v>
      </c>
      <c r="U2103">
        <f>Data!O2119</f>
        <v>0</v>
      </c>
      <c r="V2103" s="33">
        <f>Data!P2117</f>
        <v>0</v>
      </c>
    </row>
    <row r="2104" spans="7:22" x14ac:dyDescent="0.25">
      <c r="G2104" cm="1">
        <f t="array" aca="1" ref="G2104" ca="1">INDIRECT("Data!A" &amp; 2099)</f>
        <v>0</v>
      </c>
      <c r="H2104" s="21">
        <f>Data!B2116</f>
        <v>0</v>
      </c>
      <c r="I2104" s="21">
        <f>Data!C2116</f>
        <v>0</v>
      </c>
      <c r="J2104">
        <f>Data!D2116</f>
        <v>0</v>
      </c>
      <c r="K2104">
        <f>Data!E2116</f>
        <v>0</v>
      </c>
      <c r="L2104">
        <f>Data!F2116</f>
        <v>0</v>
      </c>
      <c r="M2104">
        <f>Data!G2116</f>
        <v>0</v>
      </c>
      <c r="N2104">
        <f>Data!H2116</f>
        <v>0</v>
      </c>
      <c r="O2104">
        <f>Data!I2116</f>
        <v>0</v>
      </c>
      <c r="P2104" s="21">
        <f>Data!J2120</f>
        <v>0</v>
      </c>
      <c r="Q2104">
        <f>Data!K2120</f>
        <v>0</v>
      </c>
      <c r="R2104">
        <f>Data!L2120</f>
        <v>0</v>
      </c>
      <c r="S2104">
        <f>Data!M2120</f>
        <v>0</v>
      </c>
      <c r="T2104">
        <f>Data!N2120</f>
        <v>0</v>
      </c>
      <c r="U2104">
        <f>Data!O2120</f>
        <v>0</v>
      </c>
      <c r="V2104" s="33">
        <f>Data!P2118</f>
        <v>0</v>
      </c>
    </row>
    <row r="2105" spans="7:22" x14ac:dyDescent="0.25">
      <c r="G2105" cm="1">
        <f t="array" aca="1" ref="G2105" ca="1">INDIRECT("Data!A" &amp; 2100)</f>
        <v>0</v>
      </c>
      <c r="H2105" s="21">
        <f>Data!B2117</f>
        <v>0</v>
      </c>
      <c r="I2105" s="21">
        <f>Data!C2117</f>
        <v>0</v>
      </c>
      <c r="J2105">
        <f>Data!D2117</f>
        <v>0</v>
      </c>
      <c r="K2105">
        <f>Data!E2117</f>
        <v>0</v>
      </c>
      <c r="L2105">
        <f>Data!F2117</f>
        <v>0</v>
      </c>
      <c r="M2105">
        <f>Data!G2117</f>
        <v>0</v>
      </c>
      <c r="N2105">
        <f>Data!H2117</f>
        <v>0</v>
      </c>
      <c r="O2105">
        <f>Data!I2117</f>
        <v>0</v>
      </c>
      <c r="P2105" s="21">
        <f>Data!J2121</f>
        <v>0</v>
      </c>
      <c r="Q2105">
        <f>Data!K2121</f>
        <v>0</v>
      </c>
      <c r="R2105">
        <f>Data!L2121</f>
        <v>0</v>
      </c>
      <c r="S2105">
        <f>Data!M2121</f>
        <v>0</v>
      </c>
      <c r="T2105">
        <f>Data!N2121</f>
        <v>0</v>
      </c>
      <c r="U2105">
        <f>Data!O2121</f>
        <v>0</v>
      </c>
      <c r="V2105" s="33">
        <f>Data!P2119</f>
        <v>0</v>
      </c>
    </row>
    <row r="2106" spans="7:22" x14ac:dyDescent="0.25">
      <c r="G2106" cm="1">
        <f t="array" aca="1" ref="G2106" ca="1">INDIRECT("Data!A" &amp; 2101)</f>
        <v>0</v>
      </c>
      <c r="H2106" s="21">
        <f>Data!B2118</f>
        <v>0</v>
      </c>
      <c r="I2106" s="21">
        <f>Data!C2118</f>
        <v>0</v>
      </c>
      <c r="J2106">
        <f>Data!D2118</f>
        <v>0</v>
      </c>
      <c r="K2106">
        <f>Data!E2118</f>
        <v>0</v>
      </c>
      <c r="L2106">
        <f>Data!F2118</f>
        <v>0</v>
      </c>
      <c r="M2106">
        <f>Data!G2118</f>
        <v>0</v>
      </c>
      <c r="N2106">
        <f>Data!H2118</f>
        <v>0</v>
      </c>
      <c r="O2106">
        <f>Data!I2118</f>
        <v>0</v>
      </c>
      <c r="P2106" s="21">
        <f>Data!J2122</f>
        <v>0</v>
      </c>
      <c r="Q2106">
        <f>Data!K2122</f>
        <v>0</v>
      </c>
      <c r="R2106">
        <f>Data!L2122</f>
        <v>0</v>
      </c>
      <c r="S2106">
        <f>Data!M2122</f>
        <v>0</v>
      </c>
      <c r="T2106">
        <f>Data!N2122</f>
        <v>0</v>
      </c>
      <c r="U2106">
        <f>Data!O2122</f>
        <v>0</v>
      </c>
      <c r="V2106" s="33">
        <f>Data!P2120</f>
        <v>0</v>
      </c>
    </row>
    <row r="2107" spans="7:22" x14ac:dyDescent="0.25">
      <c r="G2107" cm="1">
        <f t="array" aca="1" ref="G2107" ca="1">INDIRECT("Data!A" &amp; 2102)</f>
        <v>0</v>
      </c>
      <c r="H2107" s="21">
        <f>Data!B2119</f>
        <v>0</v>
      </c>
      <c r="I2107" s="21">
        <f>Data!C2119</f>
        <v>0</v>
      </c>
      <c r="J2107">
        <f>Data!D2119</f>
        <v>0</v>
      </c>
      <c r="K2107">
        <f>Data!E2119</f>
        <v>0</v>
      </c>
      <c r="L2107">
        <f>Data!F2119</f>
        <v>0</v>
      </c>
      <c r="M2107">
        <f>Data!G2119</f>
        <v>0</v>
      </c>
      <c r="N2107">
        <f>Data!H2119</f>
        <v>0</v>
      </c>
      <c r="O2107">
        <f>Data!I2119</f>
        <v>0</v>
      </c>
      <c r="P2107" s="21">
        <f>Data!J2123</f>
        <v>0</v>
      </c>
      <c r="Q2107">
        <f>Data!K2123</f>
        <v>0</v>
      </c>
      <c r="R2107">
        <f>Data!L2123</f>
        <v>0</v>
      </c>
      <c r="S2107">
        <f>Data!M2123</f>
        <v>0</v>
      </c>
      <c r="T2107">
        <f>Data!N2123</f>
        <v>0</v>
      </c>
      <c r="U2107">
        <f>Data!O2123</f>
        <v>0</v>
      </c>
      <c r="V2107" s="33">
        <f>Data!P2121</f>
        <v>0</v>
      </c>
    </row>
    <row r="2108" spans="7:22" x14ac:dyDescent="0.25">
      <c r="G2108" cm="1">
        <f t="array" aca="1" ref="G2108" ca="1">INDIRECT("Data!A" &amp; 2103)</f>
        <v>0</v>
      </c>
      <c r="H2108" s="21">
        <f>Data!B2120</f>
        <v>0</v>
      </c>
      <c r="I2108" s="21">
        <f>Data!C2120</f>
        <v>0</v>
      </c>
      <c r="J2108">
        <f>Data!D2120</f>
        <v>0</v>
      </c>
      <c r="K2108">
        <f>Data!E2120</f>
        <v>0</v>
      </c>
      <c r="L2108">
        <f>Data!F2120</f>
        <v>0</v>
      </c>
      <c r="M2108">
        <f>Data!G2120</f>
        <v>0</v>
      </c>
      <c r="N2108">
        <f>Data!H2120</f>
        <v>0</v>
      </c>
      <c r="O2108">
        <f>Data!I2120</f>
        <v>0</v>
      </c>
      <c r="P2108" s="21">
        <f>Data!J2124</f>
        <v>0</v>
      </c>
      <c r="Q2108">
        <f>Data!K2124</f>
        <v>0</v>
      </c>
      <c r="R2108">
        <f>Data!L2124</f>
        <v>0</v>
      </c>
      <c r="S2108">
        <f>Data!M2124</f>
        <v>0</v>
      </c>
      <c r="T2108">
        <f>Data!N2124</f>
        <v>0</v>
      </c>
      <c r="U2108">
        <f>Data!O2124</f>
        <v>0</v>
      </c>
      <c r="V2108" s="33">
        <f>Data!P2122</f>
        <v>0</v>
      </c>
    </row>
    <row r="2109" spans="7:22" x14ac:dyDescent="0.25">
      <c r="G2109" cm="1">
        <f t="array" aca="1" ref="G2109" ca="1">INDIRECT("Data!A" &amp; 2104)</f>
        <v>0</v>
      </c>
      <c r="H2109" s="21">
        <f>Data!B2121</f>
        <v>0</v>
      </c>
      <c r="I2109" s="21">
        <f>Data!C2121</f>
        <v>0</v>
      </c>
      <c r="J2109">
        <f>Data!D2121</f>
        <v>0</v>
      </c>
      <c r="K2109">
        <f>Data!E2121</f>
        <v>0</v>
      </c>
      <c r="L2109">
        <f>Data!F2121</f>
        <v>0</v>
      </c>
      <c r="M2109">
        <f>Data!G2121</f>
        <v>0</v>
      </c>
      <c r="N2109">
        <f>Data!H2121</f>
        <v>0</v>
      </c>
      <c r="O2109">
        <f>Data!I2121</f>
        <v>0</v>
      </c>
      <c r="P2109" s="21">
        <f>Data!J2125</f>
        <v>0</v>
      </c>
      <c r="Q2109">
        <f>Data!K2125</f>
        <v>0</v>
      </c>
      <c r="R2109">
        <f>Data!L2125</f>
        <v>0</v>
      </c>
      <c r="S2109">
        <f>Data!M2125</f>
        <v>0</v>
      </c>
      <c r="T2109">
        <f>Data!N2125</f>
        <v>0</v>
      </c>
      <c r="U2109">
        <f>Data!O2125</f>
        <v>0</v>
      </c>
      <c r="V2109" s="33">
        <f>Data!P2123</f>
        <v>0</v>
      </c>
    </row>
    <row r="2110" spans="7:22" x14ac:dyDescent="0.25">
      <c r="G2110" cm="1">
        <f t="array" aca="1" ref="G2110" ca="1">INDIRECT("Data!A" &amp; 2105)</f>
        <v>0</v>
      </c>
      <c r="H2110" s="21">
        <f>Data!B2122</f>
        <v>0</v>
      </c>
      <c r="I2110" s="21">
        <f>Data!C2122</f>
        <v>0</v>
      </c>
      <c r="J2110">
        <f>Data!D2122</f>
        <v>0</v>
      </c>
      <c r="K2110">
        <f>Data!E2122</f>
        <v>0</v>
      </c>
      <c r="L2110">
        <f>Data!F2122</f>
        <v>0</v>
      </c>
      <c r="M2110">
        <f>Data!G2122</f>
        <v>0</v>
      </c>
      <c r="N2110">
        <f>Data!H2122</f>
        <v>0</v>
      </c>
      <c r="O2110">
        <f>Data!I2122</f>
        <v>0</v>
      </c>
      <c r="P2110" s="21">
        <f>Data!J2126</f>
        <v>0</v>
      </c>
      <c r="Q2110">
        <f>Data!K2126</f>
        <v>0</v>
      </c>
      <c r="R2110">
        <f>Data!L2126</f>
        <v>0</v>
      </c>
      <c r="S2110">
        <f>Data!M2126</f>
        <v>0</v>
      </c>
      <c r="T2110">
        <f>Data!N2126</f>
        <v>0</v>
      </c>
      <c r="U2110">
        <f>Data!O2126</f>
        <v>0</v>
      </c>
      <c r="V2110" s="33">
        <f>Data!P2124</f>
        <v>0</v>
      </c>
    </row>
    <row r="2111" spans="7:22" x14ac:dyDescent="0.25">
      <c r="G2111" cm="1">
        <f t="array" aca="1" ref="G2111" ca="1">INDIRECT("Data!A" &amp; 2106)</f>
        <v>0</v>
      </c>
      <c r="H2111" s="21">
        <f>Data!B2123</f>
        <v>0</v>
      </c>
      <c r="I2111" s="21">
        <f>Data!C2123</f>
        <v>0</v>
      </c>
      <c r="J2111">
        <f>Data!D2123</f>
        <v>0</v>
      </c>
      <c r="K2111">
        <f>Data!E2123</f>
        <v>0</v>
      </c>
      <c r="L2111">
        <f>Data!F2123</f>
        <v>0</v>
      </c>
      <c r="M2111">
        <f>Data!G2123</f>
        <v>0</v>
      </c>
      <c r="N2111">
        <f>Data!H2123</f>
        <v>0</v>
      </c>
      <c r="O2111">
        <f>Data!I2123</f>
        <v>0</v>
      </c>
      <c r="P2111" s="21">
        <f>Data!J2127</f>
        <v>0</v>
      </c>
      <c r="Q2111">
        <f>Data!K2127</f>
        <v>0</v>
      </c>
      <c r="R2111">
        <f>Data!L2127</f>
        <v>0</v>
      </c>
      <c r="S2111">
        <f>Data!M2127</f>
        <v>0</v>
      </c>
      <c r="T2111">
        <f>Data!N2127</f>
        <v>0</v>
      </c>
      <c r="U2111">
        <f>Data!O2127</f>
        <v>0</v>
      </c>
      <c r="V2111" s="33">
        <f>Data!P2125</f>
        <v>0</v>
      </c>
    </row>
    <row r="2112" spans="7:22" x14ac:dyDescent="0.25">
      <c r="G2112" cm="1">
        <f t="array" aca="1" ref="G2112" ca="1">INDIRECT("Data!A" &amp; 2107)</f>
        <v>0</v>
      </c>
      <c r="H2112" s="21">
        <f>Data!B2124</f>
        <v>0</v>
      </c>
      <c r="I2112" s="21">
        <f>Data!C2124</f>
        <v>0</v>
      </c>
      <c r="J2112">
        <f>Data!D2124</f>
        <v>0</v>
      </c>
      <c r="K2112">
        <f>Data!E2124</f>
        <v>0</v>
      </c>
      <c r="L2112">
        <f>Data!F2124</f>
        <v>0</v>
      </c>
      <c r="M2112">
        <f>Data!G2124</f>
        <v>0</v>
      </c>
      <c r="N2112">
        <f>Data!H2124</f>
        <v>0</v>
      </c>
      <c r="O2112">
        <f>Data!I2124</f>
        <v>0</v>
      </c>
      <c r="P2112" s="21">
        <f>Data!J2128</f>
        <v>0</v>
      </c>
      <c r="Q2112">
        <f>Data!K2128</f>
        <v>0</v>
      </c>
      <c r="R2112">
        <f>Data!L2128</f>
        <v>0</v>
      </c>
      <c r="S2112">
        <f>Data!M2128</f>
        <v>0</v>
      </c>
      <c r="T2112">
        <f>Data!N2128</f>
        <v>0</v>
      </c>
      <c r="U2112">
        <f>Data!O2128</f>
        <v>0</v>
      </c>
      <c r="V2112" s="33">
        <f>Data!P2126</f>
        <v>0</v>
      </c>
    </row>
    <row r="2113" spans="7:22" x14ac:dyDescent="0.25">
      <c r="G2113" cm="1">
        <f t="array" aca="1" ref="G2113" ca="1">INDIRECT("Data!A" &amp; 2108)</f>
        <v>0</v>
      </c>
      <c r="H2113" s="21">
        <f>Data!B2125</f>
        <v>0</v>
      </c>
      <c r="I2113" s="21">
        <f>Data!C2125</f>
        <v>0</v>
      </c>
      <c r="J2113">
        <f>Data!D2125</f>
        <v>0</v>
      </c>
      <c r="K2113">
        <f>Data!E2125</f>
        <v>0</v>
      </c>
      <c r="L2113">
        <f>Data!F2125</f>
        <v>0</v>
      </c>
      <c r="M2113">
        <f>Data!G2125</f>
        <v>0</v>
      </c>
      <c r="N2113">
        <f>Data!H2125</f>
        <v>0</v>
      </c>
      <c r="O2113">
        <f>Data!I2125</f>
        <v>0</v>
      </c>
      <c r="P2113" s="21">
        <f>Data!J2129</f>
        <v>0</v>
      </c>
      <c r="Q2113">
        <f>Data!K2129</f>
        <v>0</v>
      </c>
      <c r="R2113">
        <f>Data!L2129</f>
        <v>0</v>
      </c>
      <c r="S2113">
        <f>Data!M2129</f>
        <v>0</v>
      </c>
      <c r="T2113">
        <f>Data!N2129</f>
        <v>0</v>
      </c>
      <c r="U2113">
        <f>Data!O2129</f>
        <v>0</v>
      </c>
      <c r="V2113" s="33">
        <f>Data!P2127</f>
        <v>0</v>
      </c>
    </row>
    <row r="2114" spans="7:22" x14ac:dyDescent="0.25">
      <c r="G2114" cm="1">
        <f t="array" aca="1" ref="G2114" ca="1">INDIRECT("Data!A" &amp; 2109)</f>
        <v>0</v>
      </c>
      <c r="H2114" s="21">
        <f>Data!B2126</f>
        <v>0</v>
      </c>
      <c r="I2114" s="21">
        <f>Data!C2126</f>
        <v>0</v>
      </c>
      <c r="J2114">
        <f>Data!D2126</f>
        <v>0</v>
      </c>
      <c r="K2114">
        <f>Data!E2126</f>
        <v>0</v>
      </c>
      <c r="L2114">
        <f>Data!F2126</f>
        <v>0</v>
      </c>
      <c r="M2114">
        <f>Data!G2126</f>
        <v>0</v>
      </c>
      <c r="N2114">
        <f>Data!H2126</f>
        <v>0</v>
      </c>
      <c r="O2114">
        <f>Data!I2126</f>
        <v>0</v>
      </c>
      <c r="P2114" s="21">
        <f>Data!J2130</f>
        <v>0</v>
      </c>
      <c r="Q2114">
        <f>Data!K2130</f>
        <v>0</v>
      </c>
      <c r="R2114">
        <f>Data!L2130</f>
        <v>0</v>
      </c>
      <c r="S2114">
        <f>Data!M2130</f>
        <v>0</v>
      </c>
      <c r="T2114">
        <f>Data!N2130</f>
        <v>0</v>
      </c>
      <c r="U2114">
        <f>Data!O2130</f>
        <v>0</v>
      </c>
      <c r="V2114" s="33">
        <f>Data!P2128</f>
        <v>0</v>
      </c>
    </row>
    <row r="2115" spans="7:22" x14ac:dyDescent="0.25">
      <c r="G2115" cm="1">
        <f t="array" aca="1" ref="G2115" ca="1">INDIRECT("Data!A" &amp; 2110)</f>
        <v>0</v>
      </c>
      <c r="H2115" s="21">
        <f>Data!B2127</f>
        <v>0</v>
      </c>
      <c r="I2115" s="21">
        <f>Data!C2127</f>
        <v>0</v>
      </c>
      <c r="J2115">
        <f>Data!D2127</f>
        <v>0</v>
      </c>
      <c r="K2115">
        <f>Data!E2127</f>
        <v>0</v>
      </c>
      <c r="L2115">
        <f>Data!F2127</f>
        <v>0</v>
      </c>
      <c r="M2115">
        <f>Data!G2127</f>
        <v>0</v>
      </c>
      <c r="N2115">
        <f>Data!H2127</f>
        <v>0</v>
      </c>
      <c r="O2115">
        <f>Data!I2127</f>
        <v>0</v>
      </c>
      <c r="P2115" s="21">
        <f>Data!J2131</f>
        <v>0</v>
      </c>
      <c r="Q2115">
        <f>Data!K2131</f>
        <v>0</v>
      </c>
      <c r="R2115">
        <f>Data!L2131</f>
        <v>0</v>
      </c>
      <c r="S2115">
        <f>Data!M2131</f>
        <v>0</v>
      </c>
      <c r="T2115">
        <f>Data!N2131</f>
        <v>0</v>
      </c>
      <c r="U2115">
        <f>Data!O2131</f>
        <v>0</v>
      </c>
      <c r="V2115" s="33">
        <f>Data!P2129</f>
        <v>0</v>
      </c>
    </row>
    <row r="2116" spans="7:22" x14ac:dyDescent="0.25">
      <c r="G2116" cm="1">
        <f t="array" aca="1" ref="G2116" ca="1">INDIRECT("Data!A" &amp; 2111)</f>
        <v>0</v>
      </c>
      <c r="H2116" s="21">
        <f>Data!B2128</f>
        <v>0</v>
      </c>
      <c r="I2116" s="21">
        <f>Data!C2128</f>
        <v>0</v>
      </c>
      <c r="J2116">
        <f>Data!D2128</f>
        <v>0</v>
      </c>
      <c r="K2116">
        <f>Data!E2128</f>
        <v>0</v>
      </c>
      <c r="L2116">
        <f>Data!F2128</f>
        <v>0</v>
      </c>
      <c r="M2116">
        <f>Data!G2128</f>
        <v>0</v>
      </c>
      <c r="N2116">
        <f>Data!H2128</f>
        <v>0</v>
      </c>
      <c r="O2116">
        <f>Data!I2128</f>
        <v>0</v>
      </c>
      <c r="P2116" s="21">
        <f>Data!J2132</f>
        <v>0</v>
      </c>
      <c r="Q2116">
        <f>Data!K2132</f>
        <v>0</v>
      </c>
      <c r="R2116">
        <f>Data!L2132</f>
        <v>0</v>
      </c>
      <c r="S2116">
        <f>Data!M2132</f>
        <v>0</v>
      </c>
      <c r="T2116">
        <f>Data!N2132</f>
        <v>0</v>
      </c>
      <c r="U2116">
        <f>Data!O2132</f>
        <v>0</v>
      </c>
      <c r="V2116" s="33">
        <f>Data!P2130</f>
        <v>0</v>
      </c>
    </row>
    <row r="2117" spans="7:22" x14ac:dyDescent="0.25">
      <c r="G2117" cm="1">
        <f t="array" aca="1" ref="G2117" ca="1">INDIRECT("Data!A" &amp; 2112)</f>
        <v>0</v>
      </c>
      <c r="H2117" s="21">
        <f>Data!B2129</f>
        <v>0</v>
      </c>
      <c r="I2117" s="21">
        <f>Data!C2129</f>
        <v>0</v>
      </c>
      <c r="J2117">
        <f>Data!D2129</f>
        <v>0</v>
      </c>
      <c r="K2117">
        <f>Data!E2129</f>
        <v>0</v>
      </c>
      <c r="L2117">
        <f>Data!F2129</f>
        <v>0</v>
      </c>
      <c r="M2117">
        <f>Data!G2129</f>
        <v>0</v>
      </c>
      <c r="N2117">
        <f>Data!H2129</f>
        <v>0</v>
      </c>
      <c r="O2117">
        <f>Data!I2129</f>
        <v>0</v>
      </c>
      <c r="P2117" s="21">
        <f>Data!J2133</f>
        <v>0</v>
      </c>
      <c r="Q2117">
        <f>Data!K2133</f>
        <v>0</v>
      </c>
      <c r="R2117">
        <f>Data!L2133</f>
        <v>0</v>
      </c>
      <c r="S2117">
        <f>Data!M2133</f>
        <v>0</v>
      </c>
      <c r="T2117">
        <f>Data!N2133</f>
        <v>0</v>
      </c>
      <c r="U2117">
        <f>Data!O2133</f>
        <v>0</v>
      </c>
      <c r="V2117" s="33">
        <f>Data!P2131</f>
        <v>0</v>
      </c>
    </row>
    <row r="2118" spans="7:22" x14ac:dyDescent="0.25">
      <c r="G2118" cm="1">
        <f t="array" aca="1" ref="G2118" ca="1">INDIRECT("Data!A" &amp; 2113)</f>
        <v>0</v>
      </c>
      <c r="H2118" s="21">
        <f>Data!B2130</f>
        <v>0</v>
      </c>
      <c r="I2118" s="21">
        <f>Data!C2130</f>
        <v>0</v>
      </c>
      <c r="J2118">
        <f>Data!D2130</f>
        <v>0</v>
      </c>
      <c r="K2118">
        <f>Data!E2130</f>
        <v>0</v>
      </c>
      <c r="L2118">
        <f>Data!F2130</f>
        <v>0</v>
      </c>
      <c r="M2118">
        <f>Data!G2130</f>
        <v>0</v>
      </c>
      <c r="N2118">
        <f>Data!H2130</f>
        <v>0</v>
      </c>
      <c r="O2118">
        <f>Data!I2130</f>
        <v>0</v>
      </c>
      <c r="P2118" s="21">
        <f>Data!J2134</f>
        <v>0</v>
      </c>
      <c r="Q2118">
        <f>Data!K2134</f>
        <v>0</v>
      </c>
      <c r="R2118">
        <f>Data!L2134</f>
        <v>0</v>
      </c>
      <c r="S2118">
        <f>Data!M2134</f>
        <v>0</v>
      </c>
      <c r="T2118">
        <f>Data!N2134</f>
        <v>0</v>
      </c>
      <c r="U2118">
        <f>Data!O2134</f>
        <v>0</v>
      </c>
      <c r="V2118" s="33">
        <f>Data!P2132</f>
        <v>0</v>
      </c>
    </row>
    <row r="2119" spans="7:22" x14ac:dyDescent="0.25">
      <c r="G2119" cm="1">
        <f t="array" aca="1" ref="G2119" ca="1">INDIRECT("Data!A" &amp; 2114)</f>
        <v>0</v>
      </c>
      <c r="H2119" s="21">
        <f>Data!B2131</f>
        <v>0</v>
      </c>
      <c r="I2119" s="21">
        <f>Data!C2131</f>
        <v>0</v>
      </c>
      <c r="J2119">
        <f>Data!D2131</f>
        <v>0</v>
      </c>
      <c r="K2119">
        <f>Data!E2131</f>
        <v>0</v>
      </c>
      <c r="L2119">
        <f>Data!F2131</f>
        <v>0</v>
      </c>
      <c r="M2119">
        <f>Data!G2131</f>
        <v>0</v>
      </c>
      <c r="N2119">
        <f>Data!H2131</f>
        <v>0</v>
      </c>
      <c r="O2119">
        <f>Data!I2131</f>
        <v>0</v>
      </c>
      <c r="P2119" s="21">
        <f>Data!J2135</f>
        <v>0</v>
      </c>
      <c r="Q2119">
        <f>Data!K2135</f>
        <v>0</v>
      </c>
      <c r="R2119">
        <f>Data!L2135</f>
        <v>0</v>
      </c>
      <c r="S2119">
        <f>Data!M2135</f>
        <v>0</v>
      </c>
      <c r="T2119">
        <f>Data!N2135</f>
        <v>0</v>
      </c>
      <c r="U2119">
        <f>Data!O2135</f>
        <v>0</v>
      </c>
      <c r="V2119" s="33">
        <f>Data!P2133</f>
        <v>0</v>
      </c>
    </row>
    <row r="2120" spans="7:22" x14ac:dyDescent="0.25">
      <c r="G2120" cm="1">
        <f t="array" aca="1" ref="G2120" ca="1">INDIRECT("Data!A" &amp; 2115)</f>
        <v>0</v>
      </c>
      <c r="H2120" s="21">
        <f>Data!B2132</f>
        <v>0</v>
      </c>
      <c r="I2120" s="21">
        <f>Data!C2132</f>
        <v>0</v>
      </c>
      <c r="J2120">
        <f>Data!D2132</f>
        <v>0</v>
      </c>
      <c r="K2120">
        <f>Data!E2132</f>
        <v>0</v>
      </c>
      <c r="L2120">
        <f>Data!F2132</f>
        <v>0</v>
      </c>
      <c r="M2120">
        <f>Data!G2132</f>
        <v>0</v>
      </c>
      <c r="N2120">
        <f>Data!H2132</f>
        <v>0</v>
      </c>
      <c r="O2120">
        <f>Data!I2132</f>
        <v>0</v>
      </c>
      <c r="P2120" s="21">
        <f>Data!J2136</f>
        <v>0</v>
      </c>
      <c r="Q2120">
        <f>Data!K2136</f>
        <v>0</v>
      </c>
      <c r="R2120">
        <f>Data!L2136</f>
        <v>0</v>
      </c>
      <c r="S2120">
        <f>Data!M2136</f>
        <v>0</v>
      </c>
      <c r="T2120">
        <f>Data!N2136</f>
        <v>0</v>
      </c>
      <c r="U2120">
        <f>Data!O2136</f>
        <v>0</v>
      </c>
      <c r="V2120" s="33">
        <f>Data!P2134</f>
        <v>0</v>
      </c>
    </row>
    <row r="2121" spans="7:22" x14ac:dyDescent="0.25">
      <c r="G2121" cm="1">
        <f t="array" aca="1" ref="G2121" ca="1">INDIRECT("Data!A" &amp; 2116)</f>
        <v>0</v>
      </c>
      <c r="H2121" s="21">
        <f>Data!B2133</f>
        <v>0</v>
      </c>
      <c r="I2121" s="21">
        <f>Data!C2133</f>
        <v>0</v>
      </c>
      <c r="J2121">
        <f>Data!D2133</f>
        <v>0</v>
      </c>
      <c r="K2121">
        <f>Data!E2133</f>
        <v>0</v>
      </c>
      <c r="L2121">
        <f>Data!F2133</f>
        <v>0</v>
      </c>
      <c r="M2121">
        <f>Data!G2133</f>
        <v>0</v>
      </c>
      <c r="N2121">
        <f>Data!H2133</f>
        <v>0</v>
      </c>
      <c r="O2121">
        <f>Data!I2133</f>
        <v>0</v>
      </c>
      <c r="P2121" s="21">
        <f>Data!J2137</f>
        <v>0</v>
      </c>
      <c r="Q2121">
        <f>Data!K2137</f>
        <v>0</v>
      </c>
      <c r="R2121">
        <f>Data!L2137</f>
        <v>0</v>
      </c>
      <c r="S2121">
        <f>Data!M2137</f>
        <v>0</v>
      </c>
      <c r="T2121">
        <f>Data!N2137</f>
        <v>0</v>
      </c>
      <c r="U2121">
        <f>Data!O2137</f>
        <v>0</v>
      </c>
      <c r="V2121" s="33">
        <f>Data!P2135</f>
        <v>0</v>
      </c>
    </row>
    <row r="2122" spans="7:22" x14ac:dyDescent="0.25">
      <c r="G2122" cm="1">
        <f t="array" aca="1" ref="G2122" ca="1">INDIRECT("Data!A" &amp; 2117)</f>
        <v>0</v>
      </c>
      <c r="H2122" s="21">
        <f>Data!B2134</f>
        <v>0</v>
      </c>
      <c r="I2122" s="21">
        <f>Data!C2134</f>
        <v>0</v>
      </c>
      <c r="J2122">
        <f>Data!D2134</f>
        <v>0</v>
      </c>
      <c r="K2122">
        <f>Data!E2134</f>
        <v>0</v>
      </c>
      <c r="L2122">
        <f>Data!F2134</f>
        <v>0</v>
      </c>
      <c r="M2122">
        <f>Data!G2134</f>
        <v>0</v>
      </c>
      <c r="N2122">
        <f>Data!H2134</f>
        <v>0</v>
      </c>
      <c r="O2122">
        <f>Data!I2134</f>
        <v>0</v>
      </c>
      <c r="P2122" s="21">
        <f>Data!J2138</f>
        <v>0</v>
      </c>
      <c r="Q2122">
        <f>Data!K2138</f>
        <v>0</v>
      </c>
      <c r="R2122">
        <f>Data!L2138</f>
        <v>0</v>
      </c>
      <c r="S2122">
        <f>Data!M2138</f>
        <v>0</v>
      </c>
      <c r="T2122">
        <f>Data!N2138</f>
        <v>0</v>
      </c>
      <c r="U2122">
        <f>Data!O2138</f>
        <v>0</v>
      </c>
      <c r="V2122" s="33">
        <f>Data!P2136</f>
        <v>0</v>
      </c>
    </row>
    <row r="2123" spans="7:22" x14ac:dyDescent="0.25">
      <c r="G2123" cm="1">
        <f t="array" aca="1" ref="G2123" ca="1">INDIRECT("Data!A" &amp; 2118)</f>
        <v>0</v>
      </c>
      <c r="H2123" s="21">
        <f>Data!B2135</f>
        <v>0</v>
      </c>
      <c r="I2123" s="21">
        <f>Data!C2135</f>
        <v>0</v>
      </c>
      <c r="J2123">
        <f>Data!D2135</f>
        <v>0</v>
      </c>
      <c r="K2123">
        <f>Data!E2135</f>
        <v>0</v>
      </c>
      <c r="L2123">
        <f>Data!F2135</f>
        <v>0</v>
      </c>
      <c r="M2123">
        <f>Data!G2135</f>
        <v>0</v>
      </c>
      <c r="N2123">
        <f>Data!H2135</f>
        <v>0</v>
      </c>
      <c r="O2123">
        <f>Data!I2135</f>
        <v>0</v>
      </c>
      <c r="P2123" s="21">
        <f>Data!J2139</f>
        <v>0</v>
      </c>
      <c r="Q2123">
        <f>Data!K2139</f>
        <v>0</v>
      </c>
      <c r="R2123">
        <f>Data!L2139</f>
        <v>0</v>
      </c>
      <c r="S2123">
        <f>Data!M2139</f>
        <v>0</v>
      </c>
      <c r="T2123">
        <f>Data!N2139</f>
        <v>0</v>
      </c>
      <c r="U2123">
        <f>Data!O2139</f>
        <v>0</v>
      </c>
      <c r="V2123" s="33">
        <f>Data!P2137</f>
        <v>0</v>
      </c>
    </row>
    <row r="2124" spans="7:22" x14ac:dyDescent="0.25">
      <c r="G2124" cm="1">
        <f t="array" aca="1" ref="G2124" ca="1">INDIRECT("Data!A" &amp; 2119)</f>
        <v>0</v>
      </c>
      <c r="H2124" s="21">
        <f>Data!B2136</f>
        <v>0</v>
      </c>
      <c r="I2124" s="21">
        <f>Data!C2136</f>
        <v>0</v>
      </c>
      <c r="J2124">
        <f>Data!D2136</f>
        <v>0</v>
      </c>
      <c r="K2124">
        <f>Data!E2136</f>
        <v>0</v>
      </c>
      <c r="L2124">
        <f>Data!F2136</f>
        <v>0</v>
      </c>
      <c r="M2124">
        <f>Data!G2136</f>
        <v>0</v>
      </c>
      <c r="N2124">
        <f>Data!H2136</f>
        <v>0</v>
      </c>
      <c r="O2124">
        <f>Data!I2136</f>
        <v>0</v>
      </c>
      <c r="P2124" s="21">
        <f>Data!J2140</f>
        <v>0</v>
      </c>
      <c r="Q2124">
        <f>Data!K2140</f>
        <v>0</v>
      </c>
      <c r="R2124">
        <f>Data!L2140</f>
        <v>0</v>
      </c>
      <c r="S2124">
        <f>Data!M2140</f>
        <v>0</v>
      </c>
      <c r="T2124">
        <f>Data!N2140</f>
        <v>0</v>
      </c>
      <c r="U2124">
        <f>Data!O2140</f>
        <v>0</v>
      </c>
      <c r="V2124" s="33">
        <f>Data!P2138</f>
        <v>0</v>
      </c>
    </row>
    <row r="2125" spans="7:22" x14ac:dyDescent="0.25">
      <c r="G2125" cm="1">
        <f t="array" aca="1" ref="G2125" ca="1">INDIRECT("Data!A" &amp; 2120)</f>
        <v>0</v>
      </c>
      <c r="H2125" s="21">
        <f>Data!B2137</f>
        <v>0</v>
      </c>
      <c r="I2125" s="21">
        <f>Data!C2137</f>
        <v>0</v>
      </c>
      <c r="J2125">
        <f>Data!D2137</f>
        <v>0</v>
      </c>
      <c r="K2125">
        <f>Data!E2137</f>
        <v>0</v>
      </c>
      <c r="L2125">
        <f>Data!F2137</f>
        <v>0</v>
      </c>
      <c r="M2125">
        <f>Data!G2137</f>
        <v>0</v>
      </c>
      <c r="N2125">
        <f>Data!H2137</f>
        <v>0</v>
      </c>
      <c r="O2125">
        <f>Data!I2137</f>
        <v>0</v>
      </c>
      <c r="P2125" s="21">
        <f>Data!J2141</f>
        <v>0</v>
      </c>
      <c r="Q2125">
        <f>Data!K2141</f>
        <v>0</v>
      </c>
      <c r="R2125">
        <f>Data!L2141</f>
        <v>0</v>
      </c>
      <c r="S2125">
        <f>Data!M2141</f>
        <v>0</v>
      </c>
      <c r="T2125">
        <f>Data!N2141</f>
        <v>0</v>
      </c>
      <c r="U2125">
        <f>Data!O2141</f>
        <v>0</v>
      </c>
      <c r="V2125" s="33">
        <f>Data!P2139</f>
        <v>0</v>
      </c>
    </row>
    <row r="2126" spans="7:22" x14ac:dyDescent="0.25">
      <c r="G2126" cm="1">
        <f t="array" aca="1" ref="G2126" ca="1">INDIRECT("Data!A" &amp; 2121)</f>
        <v>0</v>
      </c>
      <c r="H2126" s="21">
        <f>Data!B2138</f>
        <v>0</v>
      </c>
      <c r="I2126" s="21">
        <f>Data!C2138</f>
        <v>0</v>
      </c>
      <c r="J2126">
        <f>Data!D2138</f>
        <v>0</v>
      </c>
      <c r="K2126">
        <f>Data!E2138</f>
        <v>0</v>
      </c>
      <c r="L2126">
        <f>Data!F2138</f>
        <v>0</v>
      </c>
      <c r="M2126">
        <f>Data!G2138</f>
        <v>0</v>
      </c>
      <c r="N2126">
        <f>Data!H2138</f>
        <v>0</v>
      </c>
      <c r="O2126">
        <f>Data!I2138</f>
        <v>0</v>
      </c>
      <c r="P2126" s="21">
        <f>Data!J2142</f>
        <v>0</v>
      </c>
      <c r="Q2126">
        <f>Data!K2142</f>
        <v>0</v>
      </c>
      <c r="R2126">
        <f>Data!L2142</f>
        <v>0</v>
      </c>
      <c r="S2126">
        <f>Data!M2142</f>
        <v>0</v>
      </c>
      <c r="T2126">
        <f>Data!N2142</f>
        <v>0</v>
      </c>
      <c r="U2126">
        <f>Data!O2142</f>
        <v>0</v>
      </c>
      <c r="V2126" s="33">
        <f>Data!P2140</f>
        <v>0</v>
      </c>
    </row>
    <row r="2127" spans="7:22" x14ac:dyDescent="0.25">
      <c r="G2127" cm="1">
        <f t="array" aca="1" ref="G2127" ca="1">INDIRECT("Data!A" &amp; 2122)</f>
        <v>0</v>
      </c>
      <c r="H2127" s="21">
        <f>Data!B2139</f>
        <v>0</v>
      </c>
      <c r="I2127" s="21">
        <f>Data!C2139</f>
        <v>0</v>
      </c>
      <c r="J2127">
        <f>Data!D2139</f>
        <v>0</v>
      </c>
      <c r="K2127">
        <f>Data!E2139</f>
        <v>0</v>
      </c>
      <c r="L2127">
        <f>Data!F2139</f>
        <v>0</v>
      </c>
      <c r="M2127">
        <f>Data!G2139</f>
        <v>0</v>
      </c>
      <c r="N2127">
        <f>Data!H2139</f>
        <v>0</v>
      </c>
      <c r="O2127">
        <f>Data!I2139</f>
        <v>0</v>
      </c>
      <c r="P2127" s="21">
        <f>Data!J2143</f>
        <v>0</v>
      </c>
      <c r="Q2127">
        <f>Data!K2143</f>
        <v>0</v>
      </c>
      <c r="R2127">
        <f>Data!L2143</f>
        <v>0</v>
      </c>
      <c r="S2127">
        <f>Data!M2143</f>
        <v>0</v>
      </c>
      <c r="T2127">
        <f>Data!N2143</f>
        <v>0</v>
      </c>
      <c r="U2127">
        <f>Data!O2143</f>
        <v>0</v>
      </c>
      <c r="V2127" s="33">
        <f>Data!P2141</f>
        <v>0</v>
      </c>
    </row>
    <row r="2128" spans="7:22" x14ac:dyDescent="0.25">
      <c r="G2128" cm="1">
        <f t="array" aca="1" ref="G2128" ca="1">INDIRECT("Data!A" &amp; 2123)</f>
        <v>0</v>
      </c>
      <c r="H2128" s="21">
        <f>Data!B2140</f>
        <v>0</v>
      </c>
      <c r="I2128" s="21">
        <f>Data!C2140</f>
        <v>0</v>
      </c>
      <c r="J2128">
        <f>Data!D2140</f>
        <v>0</v>
      </c>
      <c r="K2128">
        <f>Data!E2140</f>
        <v>0</v>
      </c>
      <c r="L2128">
        <f>Data!F2140</f>
        <v>0</v>
      </c>
      <c r="M2128">
        <f>Data!G2140</f>
        <v>0</v>
      </c>
      <c r="N2128">
        <f>Data!H2140</f>
        <v>0</v>
      </c>
      <c r="O2128">
        <f>Data!I2140</f>
        <v>0</v>
      </c>
      <c r="P2128" s="21">
        <f>Data!J2144</f>
        <v>0</v>
      </c>
      <c r="Q2128">
        <f>Data!K2144</f>
        <v>0</v>
      </c>
      <c r="R2128">
        <f>Data!L2144</f>
        <v>0</v>
      </c>
      <c r="S2128">
        <f>Data!M2144</f>
        <v>0</v>
      </c>
      <c r="T2128">
        <f>Data!N2144</f>
        <v>0</v>
      </c>
      <c r="U2128">
        <f>Data!O2144</f>
        <v>0</v>
      </c>
      <c r="V2128" s="33">
        <f>Data!P2142</f>
        <v>0</v>
      </c>
    </row>
    <row r="2129" spans="7:22" x14ac:dyDescent="0.25">
      <c r="G2129" cm="1">
        <f t="array" aca="1" ref="G2129" ca="1">INDIRECT("Data!A" &amp; 2124)</f>
        <v>0</v>
      </c>
      <c r="H2129" s="21">
        <f>Data!B2141</f>
        <v>0</v>
      </c>
      <c r="I2129" s="21">
        <f>Data!C2141</f>
        <v>0</v>
      </c>
      <c r="J2129">
        <f>Data!D2141</f>
        <v>0</v>
      </c>
      <c r="K2129">
        <f>Data!E2141</f>
        <v>0</v>
      </c>
      <c r="L2129">
        <f>Data!F2141</f>
        <v>0</v>
      </c>
      <c r="M2129">
        <f>Data!G2141</f>
        <v>0</v>
      </c>
      <c r="N2129">
        <f>Data!H2141</f>
        <v>0</v>
      </c>
      <c r="O2129">
        <f>Data!I2141</f>
        <v>0</v>
      </c>
      <c r="P2129" s="21">
        <f>Data!J2145</f>
        <v>0</v>
      </c>
      <c r="Q2129">
        <f>Data!K2145</f>
        <v>0</v>
      </c>
      <c r="R2129">
        <f>Data!L2145</f>
        <v>0</v>
      </c>
      <c r="S2129">
        <f>Data!M2145</f>
        <v>0</v>
      </c>
      <c r="T2129">
        <f>Data!N2145</f>
        <v>0</v>
      </c>
      <c r="U2129">
        <f>Data!O2145</f>
        <v>0</v>
      </c>
      <c r="V2129" s="33">
        <f>Data!P2143</f>
        <v>0</v>
      </c>
    </row>
    <row r="2130" spans="7:22" x14ac:dyDescent="0.25">
      <c r="G2130" cm="1">
        <f t="array" aca="1" ref="G2130" ca="1">INDIRECT("Data!A" &amp; 2125)</f>
        <v>0</v>
      </c>
      <c r="H2130" s="21">
        <f>Data!B2142</f>
        <v>0</v>
      </c>
      <c r="I2130" s="21">
        <f>Data!C2142</f>
        <v>0</v>
      </c>
      <c r="J2130">
        <f>Data!D2142</f>
        <v>0</v>
      </c>
      <c r="K2130">
        <f>Data!E2142</f>
        <v>0</v>
      </c>
      <c r="L2130">
        <f>Data!F2142</f>
        <v>0</v>
      </c>
      <c r="M2130">
        <f>Data!G2142</f>
        <v>0</v>
      </c>
      <c r="N2130">
        <f>Data!H2142</f>
        <v>0</v>
      </c>
      <c r="O2130">
        <f>Data!I2142</f>
        <v>0</v>
      </c>
      <c r="P2130" s="21">
        <f>Data!J2146</f>
        <v>0</v>
      </c>
      <c r="Q2130">
        <f>Data!K2146</f>
        <v>0</v>
      </c>
      <c r="R2130">
        <f>Data!L2146</f>
        <v>0</v>
      </c>
      <c r="S2130">
        <f>Data!M2146</f>
        <v>0</v>
      </c>
      <c r="T2130">
        <f>Data!N2146</f>
        <v>0</v>
      </c>
      <c r="U2130">
        <f>Data!O2146</f>
        <v>0</v>
      </c>
      <c r="V2130" s="33">
        <f>Data!P2144</f>
        <v>0</v>
      </c>
    </row>
    <row r="2131" spans="7:22" x14ac:dyDescent="0.25">
      <c r="G2131" cm="1">
        <f t="array" aca="1" ref="G2131" ca="1">INDIRECT("Data!A" &amp; 2126)</f>
        <v>0</v>
      </c>
      <c r="H2131" s="21">
        <f>Data!B2143</f>
        <v>0</v>
      </c>
      <c r="I2131" s="21">
        <f>Data!C2143</f>
        <v>0</v>
      </c>
      <c r="J2131">
        <f>Data!D2143</f>
        <v>0</v>
      </c>
      <c r="K2131">
        <f>Data!E2143</f>
        <v>0</v>
      </c>
      <c r="L2131">
        <f>Data!F2143</f>
        <v>0</v>
      </c>
      <c r="M2131">
        <f>Data!G2143</f>
        <v>0</v>
      </c>
      <c r="N2131">
        <f>Data!H2143</f>
        <v>0</v>
      </c>
      <c r="O2131">
        <f>Data!I2143</f>
        <v>0</v>
      </c>
      <c r="P2131" s="21">
        <f>Data!J2147</f>
        <v>0</v>
      </c>
      <c r="Q2131">
        <f>Data!K2147</f>
        <v>0</v>
      </c>
      <c r="R2131">
        <f>Data!L2147</f>
        <v>0</v>
      </c>
      <c r="S2131">
        <f>Data!M2147</f>
        <v>0</v>
      </c>
      <c r="T2131">
        <f>Data!N2147</f>
        <v>0</v>
      </c>
      <c r="U2131">
        <f>Data!O2147</f>
        <v>0</v>
      </c>
      <c r="V2131" s="33">
        <f>Data!P2145</f>
        <v>0</v>
      </c>
    </row>
    <row r="2132" spans="7:22" x14ac:dyDescent="0.25">
      <c r="G2132" cm="1">
        <f t="array" aca="1" ref="G2132" ca="1">INDIRECT("Data!A" &amp; 2127)</f>
        <v>0</v>
      </c>
      <c r="H2132" s="21">
        <f>Data!B2144</f>
        <v>0</v>
      </c>
      <c r="I2132" s="21">
        <f>Data!C2144</f>
        <v>0</v>
      </c>
      <c r="J2132">
        <f>Data!D2144</f>
        <v>0</v>
      </c>
      <c r="K2132">
        <f>Data!E2144</f>
        <v>0</v>
      </c>
      <c r="L2132">
        <f>Data!F2144</f>
        <v>0</v>
      </c>
      <c r="M2132">
        <f>Data!G2144</f>
        <v>0</v>
      </c>
      <c r="N2132">
        <f>Data!H2144</f>
        <v>0</v>
      </c>
      <c r="O2132">
        <f>Data!I2144</f>
        <v>0</v>
      </c>
      <c r="P2132" s="21">
        <f>Data!J2148</f>
        <v>0</v>
      </c>
      <c r="Q2132">
        <f>Data!K2148</f>
        <v>0</v>
      </c>
      <c r="R2132">
        <f>Data!L2148</f>
        <v>0</v>
      </c>
      <c r="S2132">
        <f>Data!M2148</f>
        <v>0</v>
      </c>
      <c r="T2132">
        <f>Data!N2148</f>
        <v>0</v>
      </c>
      <c r="U2132">
        <f>Data!O2148</f>
        <v>0</v>
      </c>
      <c r="V2132" s="33">
        <f>Data!P2146</f>
        <v>0</v>
      </c>
    </row>
    <row r="2133" spans="7:22" x14ac:dyDescent="0.25">
      <c r="G2133" cm="1">
        <f t="array" aca="1" ref="G2133" ca="1">INDIRECT("Data!A" &amp; 2128)</f>
        <v>0</v>
      </c>
      <c r="H2133" s="21">
        <f>Data!B2145</f>
        <v>0</v>
      </c>
      <c r="I2133" s="21">
        <f>Data!C2145</f>
        <v>0</v>
      </c>
      <c r="J2133">
        <f>Data!D2145</f>
        <v>0</v>
      </c>
      <c r="K2133">
        <f>Data!E2145</f>
        <v>0</v>
      </c>
      <c r="L2133">
        <f>Data!F2145</f>
        <v>0</v>
      </c>
      <c r="M2133">
        <f>Data!G2145</f>
        <v>0</v>
      </c>
      <c r="N2133">
        <f>Data!H2145</f>
        <v>0</v>
      </c>
      <c r="O2133">
        <f>Data!I2145</f>
        <v>0</v>
      </c>
      <c r="P2133" s="21">
        <f>Data!J2149</f>
        <v>0</v>
      </c>
      <c r="Q2133">
        <f>Data!K2149</f>
        <v>0</v>
      </c>
      <c r="R2133">
        <f>Data!L2149</f>
        <v>0</v>
      </c>
      <c r="S2133">
        <f>Data!M2149</f>
        <v>0</v>
      </c>
      <c r="T2133">
        <f>Data!N2149</f>
        <v>0</v>
      </c>
      <c r="U2133">
        <f>Data!O2149</f>
        <v>0</v>
      </c>
      <c r="V2133" s="33">
        <f>Data!P2147</f>
        <v>0</v>
      </c>
    </row>
    <row r="2134" spans="7:22" x14ac:dyDescent="0.25">
      <c r="G2134" cm="1">
        <f t="array" aca="1" ref="G2134" ca="1">INDIRECT("Data!A" &amp; 2129)</f>
        <v>0</v>
      </c>
      <c r="H2134" s="21">
        <f>Data!B2146</f>
        <v>0</v>
      </c>
      <c r="I2134" s="21">
        <f>Data!C2146</f>
        <v>0</v>
      </c>
      <c r="J2134">
        <f>Data!D2146</f>
        <v>0</v>
      </c>
      <c r="K2134">
        <f>Data!E2146</f>
        <v>0</v>
      </c>
      <c r="L2134">
        <f>Data!F2146</f>
        <v>0</v>
      </c>
      <c r="M2134">
        <f>Data!G2146</f>
        <v>0</v>
      </c>
      <c r="N2134">
        <f>Data!H2146</f>
        <v>0</v>
      </c>
      <c r="O2134">
        <f>Data!I2146</f>
        <v>0</v>
      </c>
      <c r="P2134" s="21">
        <f>Data!J2150</f>
        <v>0</v>
      </c>
      <c r="Q2134">
        <f>Data!K2150</f>
        <v>0</v>
      </c>
      <c r="R2134">
        <f>Data!L2150</f>
        <v>0</v>
      </c>
      <c r="S2134">
        <f>Data!M2150</f>
        <v>0</v>
      </c>
      <c r="T2134">
        <f>Data!N2150</f>
        <v>0</v>
      </c>
      <c r="U2134">
        <f>Data!O2150</f>
        <v>0</v>
      </c>
      <c r="V2134" s="33">
        <f>Data!P2148</f>
        <v>0</v>
      </c>
    </row>
    <row r="2135" spans="7:22" x14ac:dyDescent="0.25">
      <c r="G2135" cm="1">
        <f t="array" aca="1" ref="G2135" ca="1">INDIRECT("Data!A" &amp; 2130)</f>
        <v>0</v>
      </c>
      <c r="H2135" s="21">
        <f>Data!B2147</f>
        <v>0</v>
      </c>
      <c r="I2135" s="21">
        <f>Data!C2147</f>
        <v>0</v>
      </c>
      <c r="J2135">
        <f>Data!D2147</f>
        <v>0</v>
      </c>
      <c r="K2135">
        <f>Data!E2147</f>
        <v>0</v>
      </c>
      <c r="L2135">
        <f>Data!F2147</f>
        <v>0</v>
      </c>
      <c r="M2135">
        <f>Data!G2147</f>
        <v>0</v>
      </c>
      <c r="N2135">
        <f>Data!H2147</f>
        <v>0</v>
      </c>
      <c r="O2135">
        <f>Data!I2147</f>
        <v>0</v>
      </c>
      <c r="P2135" s="21">
        <f>Data!J2151</f>
        <v>0</v>
      </c>
      <c r="Q2135">
        <f>Data!K2151</f>
        <v>0</v>
      </c>
      <c r="R2135">
        <f>Data!L2151</f>
        <v>0</v>
      </c>
      <c r="S2135">
        <f>Data!M2151</f>
        <v>0</v>
      </c>
      <c r="T2135">
        <f>Data!N2151</f>
        <v>0</v>
      </c>
      <c r="U2135">
        <f>Data!O2151</f>
        <v>0</v>
      </c>
      <c r="V2135" s="33">
        <f>Data!P2149</f>
        <v>0</v>
      </c>
    </row>
    <row r="2136" spans="7:22" x14ac:dyDescent="0.25">
      <c r="G2136" cm="1">
        <f t="array" aca="1" ref="G2136" ca="1">INDIRECT("Data!A" &amp; 2131)</f>
        <v>0</v>
      </c>
      <c r="H2136" s="21">
        <f>Data!B2148</f>
        <v>0</v>
      </c>
      <c r="I2136" s="21">
        <f>Data!C2148</f>
        <v>0</v>
      </c>
      <c r="J2136">
        <f>Data!D2148</f>
        <v>0</v>
      </c>
      <c r="K2136">
        <f>Data!E2148</f>
        <v>0</v>
      </c>
      <c r="L2136">
        <f>Data!F2148</f>
        <v>0</v>
      </c>
      <c r="M2136">
        <f>Data!G2148</f>
        <v>0</v>
      </c>
      <c r="N2136">
        <f>Data!H2148</f>
        <v>0</v>
      </c>
      <c r="O2136">
        <f>Data!I2148</f>
        <v>0</v>
      </c>
      <c r="P2136" s="21">
        <f>Data!J2152</f>
        <v>0</v>
      </c>
      <c r="Q2136">
        <f>Data!K2152</f>
        <v>0</v>
      </c>
      <c r="R2136">
        <f>Data!L2152</f>
        <v>0</v>
      </c>
      <c r="S2136">
        <f>Data!M2152</f>
        <v>0</v>
      </c>
      <c r="T2136">
        <f>Data!N2152</f>
        <v>0</v>
      </c>
      <c r="U2136">
        <f>Data!O2152</f>
        <v>0</v>
      </c>
      <c r="V2136" s="33">
        <f>Data!P2150</f>
        <v>0</v>
      </c>
    </row>
    <row r="2137" spans="7:22" x14ac:dyDescent="0.25">
      <c r="G2137" cm="1">
        <f t="array" aca="1" ref="G2137" ca="1">INDIRECT("Data!A" &amp; 2132)</f>
        <v>0</v>
      </c>
      <c r="H2137" s="21">
        <f>Data!B2149</f>
        <v>0</v>
      </c>
      <c r="I2137" s="21">
        <f>Data!C2149</f>
        <v>0</v>
      </c>
      <c r="J2137">
        <f>Data!D2149</f>
        <v>0</v>
      </c>
      <c r="K2137">
        <f>Data!E2149</f>
        <v>0</v>
      </c>
      <c r="L2137">
        <f>Data!F2149</f>
        <v>0</v>
      </c>
      <c r="M2137">
        <f>Data!G2149</f>
        <v>0</v>
      </c>
      <c r="N2137">
        <f>Data!H2149</f>
        <v>0</v>
      </c>
      <c r="O2137">
        <f>Data!I2149</f>
        <v>0</v>
      </c>
      <c r="P2137" s="21">
        <f>Data!J2153</f>
        <v>0</v>
      </c>
      <c r="Q2137">
        <f>Data!K2153</f>
        <v>0</v>
      </c>
      <c r="R2137">
        <f>Data!L2153</f>
        <v>0</v>
      </c>
      <c r="S2137">
        <f>Data!M2153</f>
        <v>0</v>
      </c>
      <c r="T2137">
        <f>Data!N2153</f>
        <v>0</v>
      </c>
      <c r="U2137">
        <f>Data!O2153</f>
        <v>0</v>
      </c>
      <c r="V2137" s="33">
        <f>Data!P2151</f>
        <v>0</v>
      </c>
    </row>
    <row r="2138" spans="7:22" x14ac:dyDescent="0.25">
      <c r="G2138" cm="1">
        <f t="array" aca="1" ref="G2138" ca="1">INDIRECT("Data!A" &amp; 2133)</f>
        <v>0</v>
      </c>
      <c r="H2138" s="21">
        <f>Data!B2150</f>
        <v>0</v>
      </c>
      <c r="I2138" s="21">
        <f>Data!C2150</f>
        <v>0</v>
      </c>
      <c r="J2138">
        <f>Data!D2150</f>
        <v>0</v>
      </c>
      <c r="K2138">
        <f>Data!E2150</f>
        <v>0</v>
      </c>
      <c r="L2138">
        <f>Data!F2150</f>
        <v>0</v>
      </c>
      <c r="M2138">
        <f>Data!G2150</f>
        <v>0</v>
      </c>
      <c r="N2138">
        <f>Data!H2150</f>
        <v>0</v>
      </c>
      <c r="O2138">
        <f>Data!I2150</f>
        <v>0</v>
      </c>
      <c r="P2138" s="21">
        <f>Data!J2154</f>
        <v>0</v>
      </c>
      <c r="Q2138">
        <f>Data!K2154</f>
        <v>0</v>
      </c>
      <c r="R2138">
        <f>Data!L2154</f>
        <v>0</v>
      </c>
      <c r="S2138">
        <f>Data!M2154</f>
        <v>0</v>
      </c>
      <c r="T2138">
        <f>Data!N2154</f>
        <v>0</v>
      </c>
      <c r="U2138">
        <f>Data!O2154</f>
        <v>0</v>
      </c>
      <c r="V2138" s="33">
        <f>Data!P2152</f>
        <v>0</v>
      </c>
    </row>
    <row r="2139" spans="7:22" x14ac:dyDescent="0.25">
      <c r="G2139" cm="1">
        <f t="array" aca="1" ref="G2139" ca="1">INDIRECT("Data!A" &amp; 2134)</f>
        <v>0</v>
      </c>
      <c r="H2139" s="21">
        <f>Data!B2151</f>
        <v>0</v>
      </c>
      <c r="I2139" s="21">
        <f>Data!C2151</f>
        <v>0</v>
      </c>
      <c r="J2139">
        <f>Data!D2151</f>
        <v>0</v>
      </c>
      <c r="K2139">
        <f>Data!E2151</f>
        <v>0</v>
      </c>
      <c r="L2139">
        <f>Data!F2151</f>
        <v>0</v>
      </c>
      <c r="M2139">
        <f>Data!G2151</f>
        <v>0</v>
      </c>
      <c r="N2139">
        <f>Data!H2151</f>
        <v>0</v>
      </c>
      <c r="O2139">
        <f>Data!I2151</f>
        <v>0</v>
      </c>
      <c r="P2139" s="21">
        <f>Data!J2155</f>
        <v>0</v>
      </c>
      <c r="Q2139">
        <f>Data!K2155</f>
        <v>0</v>
      </c>
      <c r="R2139">
        <f>Data!L2155</f>
        <v>0</v>
      </c>
      <c r="S2139">
        <f>Data!M2155</f>
        <v>0</v>
      </c>
      <c r="T2139">
        <f>Data!N2155</f>
        <v>0</v>
      </c>
      <c r="U2139">
        <f>Data!O2155</f>
        <v>0</v>
      </c>
      <c r="V2139" s="33">
        <f>Data!P2153</f>
        <v>0</v>
      </c>
    </row>
    <row r="2140" spans="7:22" x14ac:dyDescent="0.25">
      <c r="G2140" cm="1">
        <f t="array" aca="1" ref="G2140" ca="1">INDIRECT("Data!A" &amp; 2135)</f>
        <v>0</v>
      </c>
      <c r="H2140" s="21">
        <f>Data!B2152</f>
        <v>0</v>
      </c>
      <c r="I2140" s="21">
        <f>Data!C2152</f>
        <v>0</v>
      </c>
      <c r="J2140">
        <f>Data!D2152</f>
        <v>0</v>
      </c>
      <c r="K2140">
        <f>Data!E2152</f>
        <v>0</v>
      </c>
      <c r="L2140">
        <f>Data!F2152</f>
        <v>0</v>
      </c>
      <c r="M2140">
        <f>Data!G2152</f>
        <v>0</v>
      </c>
      <c r="N2140">
        <f>Data!H2152</f>
        <v>0</v>
      </c>
      <c r="O2140">
        <f>Data!I2152</f>
        <v>0</v>
      </c>
      <c r="P2140" s="21">
        <f>Data!J2156</f>
        <v>0</v>
      </c>
      <c r="Q2140">
        <f>Data!K2156</f>
        <v>0</v>
      </c>
      <c r="R2140">
        <f>Data!L2156</f>
        <v>0</v>
      </c>
      <c r="S2140">
        <f>Data!M2156</f>
        <v>0</v>
      </c>
      <c r="T2140">
        <f>Data!N2156</f>
        <v>0</v>
      </c>
      <c r="U2140">
        <f>Data!O2156</f>
        <v>0</v>
      </c>
      <c r="V2140" s="33">
        <f>Data!P2154</f>
        <v>0</v>
      </c>
    </row>
    <row r="2141" spans="7:22" x14ac:dyDescent="0.25">
      <c r="G2141" cm="1">
        <f t="array" aca="1" ref="G2141" ca="1">INDIRECT("Data!A" &amp; 2136)</f>
        <v>0</v>
      </c>
      <c r="H2141" s="21">
        <f>Data!B2153</f>
        <v>0</v>
      </c>
      <c r="I2141" s="21">
        <f>Data!C2153</f>
        <v>0</v>
      </c>
      <c r="J2141">
        <f>Data!D2153</f>
        <v>0</v>
      </c>
      <c r="K2141">
        <f>Data!E2153</f>
        <v>0</v>
      </c>
      <c r="L2141">
        <f>Data!F2153</f>
        <v>0</v>
      </c>
      <c r="M2141">
        <f>Data!G2153</f>
        <v>0</v>
      </c>
      <c r="N2141">
        <f>Data!H2153</f>
        <v>0</v>
      </c>
      <c r="O2141">
        <f>Data!I2153</f>
        <v>0</v>
      </c>
      <c r="P2141" s="21">
        <f>Data!J2157</f>
        <v>0</v>
      </c>
      <c r="Q2141">
        <f>Data!K2157</f>
        <v>0</v>
      </c>
      <c r="R2141">
        <f>Data!L2157</f>
        <v>0</v>
      </c>
      <c r="S2141">
        <f>Data!M2157</f>
        <v>0</v>
      </c>
      <c r="T2141">
        <f>Data!N2157</f>
        <v>0</v>
      </c>
      <c r="U2141">
        <f>Data!O2157</f>
        <v>0</v>
      </c>
      <c r="V2141" s="33">
        <f>Data!P2155</f>
        <v>0</v>
      </c>
    </row>
    <row r="2142" spans="7:22" x14ac:dyDescent="0.25">
      <c r="G2142" cm="1">
        <f t="array" aca="1" ref="G2142" ca="1">INDIRECT("Data!A" &amp; 2137)</f>
        <v>0</v>
      </c>
      <c r="H2142" s="21">
        <f>Data!B2154</f>
        <v>0</v>
      </c>
      <c r="I2142" s="21">
        <f>Data!C2154</f>
        <v>0</v>
      </c>
      <c r="J2142">
        <f>Data!D2154</f>
        <v>0</v>
      </c>
      <c r="K2142">
        <f>Data!E2154</f>
        <v>0</v>
      </c>
      <c r="L2142">
        <f>Data!F2154</f>
        <v>0</v>
      </c>
      <c r="M2142">
        <f>Data!G2154</f>
        <v>0</v>
      </c>
      <c r="N2142">
        <f>Data!H2154</f>
        <v>0</v>
      </c>
      <c r="O2142">
        <f>Data!I2154</f>
        <v>0</v>
      </c>
      <c r="P2142" s="21">
        <f>Data!J2158</f>
        <v>0</v>
      </c>
      <c r="Q2142">
        <f>Data!K2158</f>
        <v>0</v>
      </c>
      <c r="R2142">
        <f>Data!L2158</f>
        <v>0</v>
      </c>
      <c r="S2142">
        <f>Data!M2158</f>
        <v>0</v>
      </c>
      <c r="T2142">
        <f>Data!N2158</f>
        <v>0</v>
      </c>
      <c r="U2142">
        <f>Data!O2158</f>
        <v>0</v>
      </c>
      <c r="V2142" s="33">
        <f>Data!P2156</f>
        <v>0</v>
      </c>
    </row>
    <row r="2143" spans="7:22" x14ac:dyDescent="0.25">
      <c r="G2143" cm="1">
        <f t="array" aca="1" ref="G2143" ca="1">INDIRECT("Data!A" &amp; 2138)</f>
        <v>0</v>
      </c>
      <c r="H2143" s="21">
        <f>Data!B2155</f>
        <v>0</v>
      </c>
      <c r="I2143" s="21">
        <f>Data!C2155</f>
        <v>0</v>
      </c>
      <c r="J2143">
        <f>Data!D2155</f>
        <v>0</v>
      </c>
      <c r="K2143">
        <f>Data!E2155</f>
        <v>0</v>
      </c>
      <c r="L2143">
        <f>Data!F2155</f>
        <v>0</v>
      </c>
      <c r="M2143">
        <f>Data!G2155</f>
        <v>0</v>
      </c>
      <c r="N2143">
        <f>Data!H2155</f>
        <v>0</v>
      </c>
      <c r="O2143">
        <f>Data!I2155</f>
        <v>0</v>
      </c>
      <c r="P2143" s="21">
        <f>Data!J2159</f>
        <v>0</v>
      </c>
      <c r="Q2143">
        <f>Data!K2159</f>
        <v>0</v>
      </c>
      <c r="R2143">
        <f>Data!L2159</f>
        <v>0</v>
      </c>
      <c r="S2143">
        <f>Data!M2159</f>
        <v>0</v>
      </c>
      <c r="T2143">
        <f>Data!N2159</f>
        <v>0</v>
      </c>
      <c r="U2143">
        <f>Data!O2159</f>
        <v>0</v>
      </c>
      <c r="V2143" s="33">
        <f>Data!P2157</f>
        <v>0</v>
      </c>
    </row>
    <row r="2144" spans="7:22" x14ac:dyDescent="0.25">
      <c r="G2144" cm="1">
        <f t="array" aca="1" ref="G2144" ca="1">INDIRECT("Data!A" &amp; 2139)</f>
        <v>0</v>
      </c>
      <c r="H2144" s="21">
        <f>Data!B2156</f>
        <v>0</v>
      </c>
      <c r="I2144" s="21">
        <f>Data!C2156</f>
        <v>0</v>
      </c>
      <c r="J2144">
        <f>Data!D2156</f>
        <v>0</v>
      </c>
      <c r="K2144">
        <f>Data!E2156</f>
        <v>0</v>
      </c>
      <c r="L2144">
        <f>Data!F2156</f>
        <v>0</v>
      </c>
      <c r="M2144">
        <f>Data!G2156</f>
        <v>0</v>
      </c>
      <c r="N2144">
        <f>Data!H2156</f>
        <v>0</v>
      </c>
      <c r="O2144">
        <f>Data!I2156</f>
        <v>0</v>
      </c>
      <c r="P2144" s="21">
        <f>Data!J2160</f>
        <v>0</v>
      </c>
      <c r="Q2144">
        <f>Data!K2160</f>
        <v>0</v>
      </c>
      <c r="R2144">
        <f>Data!L2160</f>
        <v>0</v>
      </c>
      <c r="S2144">
        <f>Data!M2160</f>
        <v>0</v>
      </c>
      <c r="T2144">
        <f>Data!N2160</f>
        <v>0</v>
      </c>
      <c r="U2144">
        <f>Data!O2160</f>
        <v>0</v>
      </c>
      <c r="V2144" s="33">
        <f>Data!P2158</f>
        <v>0</v>
      </c>
    </row>
    <row r="2145" spans="7:22" x14ac:dyDescent="0.25">
      <c r="G2145" cm="1">
        <f t="array" aca="1" ref="G2145" ca="1">INDIRECT("Data!A" &amp; 2140)</f>
        <v>0</v>
      </c>
      <c r="H2145" s="21">
        <f>Data!B2157</f>
        <v>0</v>
      </c>
      <c r="I2145" s="21">
        <f>Data!C2157</f>
        <v>0</v>
      </c>
      <c r="J2145">
        <f>Data!D2157</f>
        <v>0</v>
      </c>
      <c r="K2145">
        <f>Data!E2157</f>
        <v>0</v>
      </c>
      <c r="L2145">
        <f>Data!F2157</f>
        <v>0</v>
      </c>
      <c r="M2145">
        <f>Data!G2157</f>
        <v>0</v>
      </c>
      <c r="N2145">
        <f>Data!H2157</f>
        <v>0</v>
      </c>
      <c r="O2145">
        <f>Data!I2157</f>
        <v>0</v>
      </c>
      <c r="P2145" s="21">
        <f>Data!J2161</f>
        <v>0</v>
      </c>
      <c r="Q2145">
        <f>Data!K2161</f>
        <v>0</v>
      </c>
      <c r="R2145">
        <f>Data!L2161</f>
        <v>0</v>
      </c>
      <c r="S2145">
        <f>Data!M2161</f>
        <v>0</v>
      </c>
      <c r="T2145">
        <f>Data!N2161</f>
        <v>0</v>
      </c>
      <c r="U2145">
        <f>Data!O2161</f>
        <v>0</v>
      </c>
      <c r="V2145" s="33">
        <f>Data!P2159</f>
        <v>0</v>
      </c>
    </row>
    <row r="2146" spans="7:22" x14ac:dyDescent="0.25">
      <c r="G2146" cm="1">
        <f t="array" aca="1" ref="G2146" ca="1">INDIRECT("Data!A" &amp; 2141)</f>
        <v>0</v>
      </c>
      <c r="H2146" s="21">
        <f>Data!B2158</f>
        <v>0</v>
      </c>
      <c r="I2146" s="21">
        <f>Data!C2158</f>
        <v>0</v>
      </c>
      <c r="J2146">
        <f>Data!D2158</f>
        <v>0</v>
      </c>
      <c r="K2146">
        <f>Data!E2158</f>
        <v>0</v>
      </c>
      <c r="L2146">
        <f>Data!F2158</f>
        <v>0</v>
      </c>
      <c r="M2146">
        <f>Data!G2158</f>
        <v>0</v>
      </c>
      <c r="N2146">
        <f>Data!H2158</f>
        <v>0</v>
      </c>
      <c r="O2146">
        <f>Data!I2158</f>
        <v>0</v>
      </c>
      <c r="P2146" s="21">
        <f>Data!J2162</f>
        <v>0</v>
      </c>
      <c r="Q2146">
        <f>Data!K2162</f>
        <v>0</v>
      </c>
      <c r="R2146">
        <f>Data!L2162</f>
        <v>0</v>
      </c>
      <c r="S2146">
        <f>Data!M2162</f>
        <v>0</v>
      </c>
      <c r="T2146">
        <f>Data!N2162</f>
        <v>0</v>
      </c>
      <c r="U2146">
        <f>Data!O2162</f>
        <v>0</v>
      </c>
      <c r="V2146" s="33">
        <f>Data!P2160</f>
        <v>0</v>
      </c>
    </row>
    <row r="2147" spans="7:22" x14ac:dyDescent="0.25">
      <c r="G2147" cm="1">
        <f t="array" aca="1" ref="G2147" ca="1">INDIRECT("Data!A" &amp; 2142)</f>
        <v>0</v>
      </c>
      <c r="H2147" s="21">
        <f>Data!B2159</f>
        <v>0</v>
      </c>
      <c r="I2147" s="21">
        <f>Data!C2159</f>
        <v>0</v>
      </c>
      <c r="J2147">
        <f>Data!D2159</f>
        <v>0</v>
      </c>
      <c r="K2147">
        <f>Data!E2159</f>
        <v>0</v>
      </c>
      <c r="L2147">
        <f>Data!F2159</f>
        <v>0</v>
      </c>
      <c r="M2147">
        <f>Data!G2159</f>
        <v>0</v>
      </c>
      <c r="N2147">
        <f>Data!H2159</f>
        <v>0</v>
      </c>
      <c r="O2147">
        <f>Data!I2159</f>
        <v>0</v>
      </c>
      <c r="P2147" s="21">
        <f>Data!J2163</f>
        <v>0</v>
      </c>
      <c r="Q2147">
        <f>Data!K2163</f>
        <v>0</v>
      </c>
      <c r="R2147">
        <f>Data!L2163</f>
        <v>0</v>
      </c>
      <c r="S2147">
        <f>Data!M2163</f>
        <v>0</v>
      </c>
      <c r="T2147">
        <f>Data!N2163</f>
        <v>0</v>
      </c>
      <c r="U2147">
        <f>Data!O2163</f>
        <v>0</v>
      </c>
      <c r="V2147" s="33">
        <f>Data!P2161</f>
        <v>0</v>
      </c>
    </row>
    <row r="2148" spans="7:22" x14ac:dyDescent="0.25">
      <c r="G2148" cm="1">
        <f t="array" aca="1" ref="G2148" ca="1">INDIRECT("Data!A" &amp; 2143)</f>
        <v>0</v>
      </c>
      <c r="H2148" s="21">
        <f>Data!B2160</f>
        <v>0</v>
      </c>
      <c r="I2148" s="21">
        <f>Data!C2160</f>
        <v>0</v>
      </c>
      <c r="J2148">
        <f>Data!D2160</f>
        <v>0</v>
      </c>
      <c r="K2148">
        <f>Data!E2160</f>
        <v>0</v>
      </c>
      <c r="L2148">
        <f>Data!F2160</f>
        <v>0</v>
      </c>
      <c r="M2148">
        <f>Data!G2160</f>
        <v>0</v>
      </c>
      <c r="N2148">
        <f>Data!H2160</f>
        <v>0</v>
      </c>
      <c r="O2148">
        <f>Data!I2160</f>
        <v>0</v>
      </c>
      <c r="P2148" s="21">
        <f>Data!J2164</f>
        <v>0</v>
      </c>
      <c r="Q2148">
        <f>Data!K2164</f>
        <v>0</v>
      </c>
      <c r="R2148">
        <f>Data!L2164</f>
        <v>0</v>
      </c>
      <c r="S2148">
        <f>Data!M2164</f>
        <v>0</v>
      </c>
      <c r="T2148">
        <f>Data!N2164</f>
        <v>0</v>
      </c>
      <c r="U2148">
        <f>Data!O2164</f>
        <v>0</v>
      </c>
      <c r="V2148" s="33">
        <f>Data!P2162</f>
        <v>0</v>
      </c>
    </row>
    <row r="2149" spans="7:22" x14ac:dyDescent="0.25">
      <c r="G2149" cm="1">
        <f t="array" aca="1" ref="G2149" ca="1">INDIRECT("Data!A" &amp; 2144)</f>
        <v>0</v>
      </c>
      <c r="H2149" s="21">
        <f>Data!B2161</f>
        <v>0</v>
      </c>
      <c r="I2149" s="21">
        <f>Data!C2161</f>
        <v>0</v>
      </c>
      <c r="J2149">
        <f>Data!D2161</f>
        <v>0</v>
      </c>
      <c r="K2149">
        <f>Data!E2161</f>
        <v>0</v>
      </c>
      <c r="L2149">
        <f>Data!F2161</f>
        <v>0</v>
      </c>
      <c r="M2149">
        <f>Data!G2161</f>
        <v>0</v>
      </c>
      <c r="N2149">
        <f>Data!H2161</f>
        <v>0</v>
      </c>
      <c r="O2149">
        <f>Data!I2161</f>
        <v>0</v>
      </c>
      <c r="P2149" s="21">
        <f>Data!J2165</f>
        <v>0</v>
      </c>
      <c r="Q2149">
        <f>Data!K2165</f>
        <v>0</v>
      </c>
      <c r="R2149">
        <f>Data!L2165</f>
        <v>0</v>
      </c>
      <c r="S2149">
        <f>Data!M2165</f>
        <v>0</v>
      </c>
      <c r="T2149">
        <f>Data!N2165</f>
        <v>0</v>
      </c>
      <c r="U2149">
        <f>Data!O2165</f>
        <v>0</v>
      </c>
      <c r="V2149" s="33">
        <f>Data!P2163</f>
        <v>0</v>
      </c>
    </row>
    <row r="2150" spans="7:22" x14ac:dyDescent="0.25">
      <c r="G2150" cm="1">
        <f t="array" aca="1" ref="G2150" ca="1">INDIRECT("Data!A" &amp; 2145)</f>
        <v>0</v>
      </c>
      <c r="H2150" s="21">
        <f>Data!B2162</f>
        <v>0</v>
      </c>
      <c r="I2150" s="21">
        <f>Data!C2162</f>
        <v>0</v>
      </c>
      <c r="J2150">
        <f>Data!D2162</f>
        <v>0</v>
      </c>
      <c r="K2150">
        <f>Data!E2162</f>
        <v>0</v>
      </c>
      <c r="L2150">
        <f>Data!F2162</f>
        <v>0</v>
      </c>
      <c r="M2150">
        <f>Data!G2162</f>
        <v>0</v>
      </c>
      <c r="N2150">
        <f>Data!H2162</f>
        <v>0</v>
      </c>
      <c r="O2150">
        <f>Data!I2162</f>
        <v>0</v>
      </c>
      <c r="P2150" s="21">
        <f>Data!J2166</f>
        <v>0</v>
      </c>
      <c r="Q2150">
        <f>Data!K2166</f>
        <v>0</v>
      </c>
      <c r="R2150">
        <f>Data!L2166</f>
        <v>0</v>
      </c>
      <c r="S2150">
        <f>Data!M2166</f>
        <v>0</v>
      </c>
      <c r="T2150">
        <f>Data!N2166</f>
        <v>0</v>
      </c>
      <c r="U2150">
        <f>Data!O2166</f>
        <v>0</v>
      </c>
      <c r="V2150" s="33">
        <f>Data!P2164</f>
        <v>0</v>
      </c>
    </row>
    <row r="2151" spans="7:22" x14ac:dyDescent="0.25">
      <c r="G2151" cm="1">
        <f t="array" aca="1" ref="G2151" ca="1">INDIRECT("Data!A" &amp; 2146)</f>
        <v>0</v>
      </c>
      <c r="H2151" s="21">
        <f>Data!B2163</f>
        <v>0</v>
      </c>
      <c r="I2151" s="21">
        <f>Data!C2163</f>
        <v>0</v>
      </c>
      <c r="J2151">
        <f>Data!D2163</f>
        <v>0</v>
      </c>
      <c r="K2151">
        <f>Data!E2163</f>
        <v>0</v>
      </c>
      <c r="L2151">
        <f>Data!F2163</f>
        <v>0</v>
      </c>
      <c r="M2151">
        <f>Data!G2163</f>
        <v>0</v>
      </c>
      <c r="N2151">
        <f>Data!H2163</f>
        <v>0</v>
      </c>
      <c r="O2151">
        <f>Data!I2163</f>
        <v>0</v>
      </c>
      <c r="P2151" s="21">
        <f>Data!J2167</f>
        <v>0</v>
      </c>
      <c r="Q2151">
        <f>Data!K2167</f>
        <v>0</v>
      </c>
      <c r="R2151">
        <f>Data!L2167</f>
        <v>0</v>
      </c>
      <c r="S2151">
        <f>Data!M2167</f>
        <v>0</v>
      </c>
      <c r="T2151">
        <f>Data!N2167</f>
        <v>0</v>
      </c>
      <c r="U2151">
        <f>Data!O2167</f>
        <v>0</v>
      </c>
      <c r="V2151" s="33">
        <f>Data!P2165</f>
        <v>0</v>
      </c>
    </row>
    <row r="2152" spans="7:22" x14ac:dyDescent="0.25">
      <c r="G2152" cm="1">
        <f t="array" aca="1" ref="G2152" ca="1">INDIRECT("Data!A" &amp; 2147)</f>
        <v>0</v>
      </c>
      <c r="H2152" s="21">
        <f>Data!B2164</f>
        <v>0</v>
      </c>
      <c r="I2152" s="21">
        <f>Data!C2164</f>
        <v>0</v>
      </c>
      <c r="J2152">
        <f>Data!D2164</f>
        <v>0</v>
      </c>
      <c r="K2152">
        <f>Data!E2164</f>
        <v>0</v>
      </c>
      <c r="L2152">
        <f>Data!F2164</f>
        <v>0</v>
      </c>
      <c r="M2152">
        <f>Data!G2164</f>
        <v>0</v>
      </c>
      <c r="N2152">
        <f>Data!H2164</f>
        <v>0</v>
      </c>
      <c r="O2152">
        <f>Data!I2164</f>
        <v>0</v>
      </c>
      <c r="P2152" s="21">
        <f>Data!J2168</f>
        <v>0</v>
      </c>
      <c r="Q2152">
        <f>Data!K2168</f>
        <v>0</v>
      </c>
      <c r="R2152">
        <f>Data!L2168</f>
        <v>0</v>
      </c>
      <c r="S2152">
        <f>Data!M2168</f>
        <v>0</v>
      </c>
      <c r="T2152">
        <f>Data!N2168</f>
        <v>0</v>
      </c>
      <c r="U2152">
        <f>Data!O2168</f>
        <v>0</v>
      </c>
      <c r="V2152" s="33">
        <f>Data!P2166</f>
        <v>0</v>
      </c>
    </row>
    <row r="2153" spans="7:22" x14ac:dyDescent="0.25">
      <c r="G2153" cm="1">
        <f t="array" aca="1" ref="G2153" ca="1">INDIRECT("Data!A" &amp; 2148)</f>
        <v>0</v>
      </c>
      <c r="H2153" s="21">
        <f>Data!B2165</f>
        <v>0</v>
      </c>
      <c r="I2153" s="21">
        <f>Data!C2165</f>
        <v>0</v>
      </c>
      <c r="J2153">
        <f>Data!D2165</f>
        <v>0</v>
      </c>
      <c r="K2153">
        <f>Data!E2165</f>
        <v>0</v>
      </c>
      <c r="L2153">
        <f>Data!F2165</f>
        <v>0</v>
      </c>
      <c r="M2153">
        <f>Data!G2165</f>
        <v>0</v>
      </c>
      <c r="N2153">
        <f>Data!H2165</f>
        <v>0</v>
      </c>
      <c r="O2153">
        <f>Data!I2165</f>
        <v>0</v>
      </c>
      <c r="P2153" s="21">
        <f>Data!J2169</f>
        <v>0</v>
      </c>
      <c r="Q2153">
        <f>Data!K2169</f>
        <v>0</v>
      </c>
      <c r="R2153">
        <f>Data!L2169</f>
        <v>0</v>
      </c>
      <c r="S2153">
        <f>Data!M2169</f>
        <v>0</v>
      </c>
      <c r="T2153">
        <f>Data!N2169</f>
        <v>0</v>
      </c>
      <c r="U2153">
        <f>Data!O2169</f>
        <v>0</v>
      </c>
      <c r="V2153" s="33">
        <f>Data!P2167</f>
        <v>0</v>
      </c>
    </row>
    <row r="2154" spans="7:22" x14ac:dyDescent="0.25">
      <c r="G2154" cm="1">
        <f t="array" aca="1" ref="G2154" ca="1">INDIRECT("Data!A" &amp; 2149)</f>
        <v>0</v>
      </c>
      <c r="H2154" s="21">
        <f>Data!B2166</f>
        <v>0</v>
      </c>
      <c r="I2154" s="21">
        <f>Data!C2166</f>
        <v>0</v>
      </c>
      <c r="J2154">
        <f>Data!D2166</f>
        <v>0</v>
      </c>
      <c r="K2154">
        <f>Data!E2166</f>
        <v>0</v>
      </c>
      <c r="L2154">
        <f>Data!F2166</f>
        <v>0</v>
      </c>
      <c r="M2154">
        <f>Data!G2166</f>
        <v>0</v>
      </c>
      <c r="N2154">
        <f>Data!H2166</f>
        <v>0</v>
      </c>
      <c r="O2154">
        <f>Data!I2166</f>
        <v>0</v>
      </c>
      <c r="P2154" s="21">
        <f>Data!J2170</f>
        <v>0</v>
      </c>
      <c r="Q2154">
        <f>Data!K2170</f>
        <v>0</v>
      </c>
      <c r="R2154">
        <f>Data!L2170</f>
        <v>0</v>
      </c>
      <c r="S2154">
        <f>Data!M2170</f>
        <v>0</v>
      </c>
      <c r="T2154">
        <f>Data!N2170</f>
        <v>0</v>
      </c>
      <c r="U2154">
        <f>Data!O2170</f>
        <v>0</v>
      </c>
      <c r="V2154" s="33">
        <f>Data!P2168</f>
        <v>0</v>
      </c>
    </row>
    <row r="2155" spans="7:22" x14ac:dyDescent="0.25">
      <c r="G2155" cm="1">
        <f t="array" aca="1" ref="G2155" ca="1">INDIRECT("Data!A" &amp; 2150)</f>
        <v>0</v>
      </c>
      <c r="H2155" s="21">
        <f>Data!B2167</f>
        <v>0</v>
      </c>
      <c r="I2155" s="21">
        <f>Data!C2167</f>
        <v>0</v>
      </c>
      <c r="J2155">
        <f>Data!D2167</f>
        <v>0</v>
      </c>
      <c r="K2155">
        <f>Data!E2167</f>
        <v>0</v>
      </c>
      <c r="L2155">
        <f>Data!F2167</f>
        <v>0</v>
      </c>
      <c r="M2155">
        <f>Data!G2167</f>
        <v>0</v>
      </c>
      <c r="N2155">
        <f>Data!H2167</f>
        <v>0</v>
      </c>
      <c r="O2155">
        <f>Data!I2167</f>
        <v>0</v>
      </c>
      <c r="P2155" s="21">
        <f>Data!J2171</f>
        <v>0</v>
      </c>
      <c r="Q2155">
        <f>Data!K2171</f>
        <v>0</v>
      </c>
      <c r="R2155">
        <f>Data!L2171</f>
        <v>0</v>
      </c>
      <c r="S2155">
        <f>Data!M2171</f>
        <v>0</v>
      </c>
      <c r="T2155">
        <f>Data!N2171</f>
        <v>0</v>
      </c>
      <c r="U2155">
        <f>Data!O2171</f>
        <v>0</v>
      </c>
      <c r="V2155" s="33">
        <f>Data!P2169</f>
        <v>0</v>
      </c>
    </row>
    <row r="2156" spans="7:22" x14ac:dyDescent="0.25">
      <c r="G2156" cm="1">
        <f t="array" aca="1" ref="G2156" ca="1">INDIRECT("Data!A" &amp; 2151)</f>
        <v>0</v>
      </c>
      <c r="H2156" s="21">
        <f>Data!B2168</f>
        <v>0</v>
      </c>
      <c r="I2156" s="21">
        <f>Data!C2168</f>
        <v>0</v>
      </c>
      <c r="J2156">
        <f>Data!D2168</f>
        <v>0</v>
      </c>
      <c r="K2156">
        <f>Data!E2168</f>
        <v>0</v>
      </c>
      <c r="L2156">
        <f>Data!F2168</f>
        <v>0</v>
      </c>
      <c r="M2156">
        <f>Data!G2168</f>
        <v>0</v>
      </c>
      <c r="N2156">
        <f>Data!H2168</f>
        <v>0</v>
      </c>
      <c r="O2156">
        <f>Data!I2168</f>
        <v>0</v>
      </c>
      <c r="P2156" s="21">
        <f>Data!J2172</f>
        <v>0</v>
      </c>
      <c r="Q2156">
        <f>Data!K2172</f>
        <v>0</v>
      </c>
      <c r="R2156">
        <f>Data!L2172</f>
        <v>0</v>
      </c>
      <c r="S2156">
        <f>Data!M2172</f>
        <v>0</v>
      </c>
      <c r="T2156">
        <f>Data!N2172</f>
        <v>0</v>
      </c>
      <c r="U2156">
        <f>Data!O2172</f>
        <v>0</v>
      </c>
      <c r="V2156" s="33">
        <f>Data!P2170</f>
        <v>0</v>
      </c>
    </row>
    <row r="2157" spans="7:22" x14ac:dyDescent="0.25">
      <c r="G2157" cm="1">
        <f t="array" aca="1" ref="G2157" ca="1">INDIRECT("Data!A" &amp; 2152)</f>
        <v>0</v>
      </c>
      <c r="H2157" s="21">
        <f>Data!B2169</f>
        <v>0</v>
      </c>
      <c r="I2157" s="21">
        <f>Data!C2169</f>
        <v>0</v>
      </c>
      <c r="J2157">
        <f>Data!D2169</f>
        <v>0</v>
      </c>
      <c r="K2157">
        <f>Data!E2169</f>
        <v>0</v>
      </c>
      <c r="L2157">
        <f>Data!F2169</f>
        <v>0</v>
      </c>
      <c r="M2157">
        <f>Data!G2169</f>
        <v>0</v>
      </c>
      <c r="N2157">
        <f>Data!H2169</f>
        <v>0</v>
      </c>
      <c r="O2157">
        <f>Data!I2169</f>
        <v>0</v>
      </c>
      <c r="P2157" s="21">
        <f>Data!J2173</f>
        <v>0</v>
      </c>
      <c r="Q2157">
        <f>Data!K2173</f>
        <v>0</v>
      </c>
      <c r="R2157">
        <f>Data!L2173</f>
        <v>0</v>
      </c>
      <c r="S2157">
        <f>Data!M2173</f>
        <v>0</v>
      </c>
      <c r="T2157">
        <f>Data!N2173</f>
        <v>0</v>
      </c>
      <c r="U2157">
        <f>Data!O2173</f>
        <v>0</v>
      </c>
      <c r="V2157" s="33">
        <f>Data!P2171</f>
        <v>0</v>
      </c>
    </row>
    <row r="2158" spans="7:22" x14ac:dyDescent="0.25">
      <c r="G2158" cm="1">
        <f t="array" aca="1" ref="G2158" ca="1">INDIRECT("Data!A" &amp; 2153)</f>
        <v>0</v>
      </c>
      <c r="H2158" s="21">
        <f>Data!B2170</f>
        <v>0</v>
      </c>
      <c r="I2158" s="21">
        <f>Data!C2170</f>
        <v>0</v>
      </c>
      <c r="J2158">
        <f>Data!D2170</f>
        <v>0</v>
      </c>
      <c r="K2158">
        <f>Data!E2170</f>
        <v>0</v>
      </c>
      <c r="L2158">
        <f>Data!F2170</f>
        <v>0</v>
      </c>
      <c r="M2158">
        <f>Data!G2170</f>
        <v>0</v>
      </c>
      <c r="N2158">
        <f>Data!H2170</f>
        <v>0</v>
      </c>
      <c r="O2158">
        <f>Data!I2170</f>
        <v>0</v>
      </c>
      <c r="P2158" s="21">
        <f>Data!J2174</f>
        <v>0</v>
      </c>
      <c r="Q2158">
        <f>Data!K2174</f>
        <v>0</v>
      </c>
      <c r="R2158">
        <f>Data!L2174</f>
        <v>0</v>
      </c>
      <c r="S2158">
        <f>Data!M2174</f>
        <v>0</v>
      </c>
      <c r="T2158">
        <f>Data!N2174</f>
        <v>0</v>
      </c>
      <c r="U2158">
        <f>Data!O2174</f>
        <v>0</v>
      </c>
      <c r="V2158" s="33">
        <f>Data!P2172</f>
        <v>0</v>
      </c>
    </row>
    <row r="2159" spans="7:22" x14ac:dyDescent="0.25">
      <c r="G2159" cm="1">
        <f t="array" aca="1" ref="G2159" ca="1">INDIRECT("Data!A" &amp; 2154)</f>
        <v>0</v>
      </c>
      <c r="H2159" s="21">
        <f>Data!B2171</f>
        <v>0</v>
      </c>
      <c r="I2159" s="21">
        <f>Data!C2171</f>
        <v>0</v>
      </c>
      <c r="J2159">
        <f>Data!D2171</f>
        <v>0</v>
      </c>
      <c r="K2159">
        <f>Data!E2171</f>
        <v>0</v>
      </c>
      <c r="L2159">
        <f>Data!F2171</f>
        <v>0</v>
      </c>
      <c r="M2159">
        <f>Data!G2171</f>
        <v>0</v>
      </c>
      <c r="N2159">
        <f>Data!H2171</f>
        <v>0</v>
      </c>
      <c r="O2159">
        <f>Data!I2171</f>
        <v>0</v>
      </c>
      <c r="P2159" s="21">
        <f>Data!J2175</f>
        <v>0</v>
      </c>
      <c r="Q2159">
        <f>Data!K2175</f>
        <v>0</v>
      </c>
      <c r="R2159">
        <f>Data!L2175</f>
        <v>0</v>
      </c>
      <c r="S2159">
        <f>Data!M2175</f>
        <v>0</v>
      </c>
      <c r="T2159">
        <f>Data!N2175</f>
        <v>0</v>
      </c>
      <c r="U2159">
        <f>Data!O2175</f>
        <v>0</v>
      </c>
      <c r="V2159" s="33">
        <f>Data!P2173</f>
        <v>0</v>
      </c>
    </row>
    <row r="2160" spans="7:22" x14ac:dyDescent="0.25">
      <c r="G2160" cm="1">
        <f t="array" aca="1" ref="G2160" ca="1">INDIRECT("Data!A" &amp; 2155)</f>
        <v>0</v>
      </c>
      <c r="H2160" s="21">
        <f>Data!B2172</f>
        <v>0</v>
      </c>
      <c r="I2160" s="21">
        <f>Data!C2172</f>
        <v>0</v>
      </c>
      <c r="J2160">
        <f>Data!D2172</f>
        <v>0</v>
      </c>
      <c r="K2160">
        <f>Data!E2172</f>
        <v>0</v>
      </c>
      <c r="L2160">
        <f>Data!F2172</f>
        <v>0</v>
      </c>
      <c r="M2160">
        <f>Data!G2172</f>
        <v>0</v>
      </c>
      <c r="N2160">
        <f>Data!H2172</f>
        <v>0</v>
      </c>
      <c r="O2160">
        <f>Data!I2172</f>
        <v>0</v>
      </c>
      <c r="P2160" s="21">
        <f>Data!J2176</f>
        <v>0</v>
      </c>
      <c r="Q2160">
        <f>Data!K2176</f>
        <v>0</v>
      </c>
      <c r="R2160">
        <f>Data!L2176</f>
        <v>0</v>
      </c>
      <c r="S2160">
        <f>Data!M2176</f>
        <v>0</v>
      </c>
      <c r="T2160">
        <f>Data!N2176</f>
        <v>0</v>
      </c>
      <c r="U2160">
        <f>Data!O2176</f>
        <v>0</v>
      </c>
      <c r="V2160" s="33">
        <f>Data!P2174</f>
        <v>0</v>
      </c>
    </row>
    <row r="2161" spans="7:22" x14ac:dyDescent="0.25">
      <c r="G2161" cm="1">
        <f t="array" aca="1" ref="G2161" ca="1">INDIRECT("Data!A" &amp; 2156)</f>
        <v>0</v>
      </c>
      <c r="H2161" s="21">
        <f>Data!B2173</f>
        <v>0</v>
      </c>
      <c r="I2161" s="21">
        <f>Data!C2173</f>
        <v>0</v>
      </c>
      <c r="J2161">
        <f>Data!D2173</f>
        <v>0</v>
      </c>
      <c r="K2161">
        <f>Data!E2173</f>
        <v>0</v>
      </c>
      <c r="L2161">
        <f>Data!F2173</f>
        <v>0</v>
      </c>
      <c r="M2161">
        <f>Data!G2173</f>
        <v>0</v>
      </c>
      <c r="N2161">
        <f>Data!H2173</f>
        <v>0</v>
      </c>
      <c r="O2161">
        <f>Data!I2173</f>
        <v>0</v>
      </c>
      <c r="P2161" s="21">
        <f>Data!J2177</f>
        <v>0</v>
      </c>
      <c r="Q2161">
        <f>Data!K2177</f>
        <v>0</v>
      </c>
      <c r="R2161">
        <f>Data!L2177</f>
        <v>0</v>
      </c>
      <c r="S2161">
        <f>Data!M2177</f>
        <v>0</v>
      </c>
      <c r="T2161">
        <f>Data!N2177</f>
        <v>0</v>
      </c>
      <c r="U2161">
        <f>Data!O2177</f>
        <v>0</v>
      </c>
      <c r="V2161" s="33">
        <f>Data!P2175</f>
        <v>0</v>
      </c>
    </row>
    <row r="2162" spans="7:22" x14ac:dyDescent="0.25">
      <c r="G2162" cm="1">
        <f t="array" aca="1" ref="G2162" ca="1">INDIRECT("Data!A" &amp; 2157)</f>
        <v>0</v>
      </c>
      <c r="H2162" s="21">
        <f>Data!B2174</f>
        <v>0</v>
      </c>
      <c r="I2162" s="21">
        <f>Data!C2174</f>
        <v>0</v>
      </c>
      <c r="J2162">
        <f>Data!D2174</f>
        <v>0</v>
      </c>
      <c r="K2162">
        <f>Data!E2174</f>
        <v>0</v>
      </c>
      <c r="L2162">
        <f>Data!F2174</f>
        <v>0</v>
      </c>
      <c r="M2162">
        <f>Data!G2174</f>
        <v>0</v>
      </c>
      <c r="N2162">
        <f>Data!H2174</f>
        <v>0</v>
      </c>
      <c r="O2162">
        <f>Data!I2174</f>
        <v>0</v>
      </c>
      <c r="P2162" s="21">
        <f>Data!J2178</f>
        <v>0</v>
      </c>
      <c r="Q2162">
        <f>Data!K2178</f>
        <v>0</v>
      </c>
      <c r="R2162">
        <f>Data!L2178</f>
        <v>0</v>
      </c>
      <c r="S2162">
        <f>Data!M2178</f>
        <v>0</v>
      </c>
      <c r="T2162">
        <f>Data!N2178</f>
        <v>0</v>
      </c>
      <c r="U2162">
        <f>Data!O2178</f>
        <v>0</v>
      </c>
      <c r="V2162" s="33">
        <f>Data!P2176</f>
        <v>0</v>
      </c>
    </row>
    <row r="2163" spans="7:22" x14ac:dyDescent="0.25">
      <c r="G2163" cm="1">
        <f t="array" aca="1" ref="G2163" ca="1">INDIRECT("Data!A" &amp; 2158)</f>
        <v>0</v>
      </c>
      <c r="H2163" s="21">
        <f>Data!B2175</f>
        <v>0</v>
      </c>
      <c r="I2163" s="21">
        <f>Data!C2175</f>
        <v>0</v>
      </c>
      <c r="J2163">
        <f>Data!D2175</f>
        <v>0</v>
      </c>
      <c r="K2163">
        <f>Data!E2175</f>
        <v>0</v>
      </c>
      <c r="L2163">
        <f>Data!F2175</f>
        <v>0</v>
      </c>
      <c r="M2163">
        <f>Data!G2175</f>
        <v>0</v>
      </c>
      <c r="N2163">
        <f>Data!H2175</f>
        <v>0</v>
      </c>
      <c r="O2163">
        <f>Data!I2175</f>
        <v>0</v>
      </c>
      <c r="P2163" s="21">
        <f>Data!J2179</f>
        <v>0</v>
      </c>
      <c r="Q2163">
        <f>Data!K2179</f>
        <v>0</v>
      </c>
      <c r="R2163">
        <f>Data!L2179</f>
        <v>0</v>
      </c>
      <c r="S2163">
        <f>Data!M2179</f>
        <v>0</v>
      </c>
      <c r="T2163">
        <f>Data!N2179</f>
        <v>0</v>
      </c>
      <c r="U2163">
        <f>Data!O2179</f>
        <v>0</v>
      </c>
      <c r="V2163" s="33">
        <f>Data!P2177</f>
        <v>0</v>
      </c>
    </row>
    <row r="2164" spans="7:22" x14ac:dyDescent="0.25">
      <c r="G2164" cm="1">
        <f t="array" aca="1" ref="G2164" ca="1">INDIRECT("Data!A" &amp; 2159)</f>
        <v>0</v>
      </c>
      <c r="H2164" s="21">
        <f>Data!B2176</f>
        <v>0</v>
      </c>
      <c r="I2164" s="21">
        <f>Data!C2176</f>
        <v>0</v>
      </c>
      <c r="J2164">
        <f>Data!D2176</f>
        <v>0</v>
      </c>
      <c r="K2164">
        <f>Data!E2176</f>
        <v>0</v>
      </c>
      <c r="L2164">
        <f>Data!F2176</f>
        <v>0</v>
      </c>
      <c r="M2164">
        <f>Data!G2176</f>
        <v>0</v>
      </c>
      <c r="N2164">
        <f>Data!H2176</f>
        <v>0</v>
      </c>
      <c r="O2164">
        <f>Data!I2176</f>
        <v>0</v>
      </c>
      <c r="P2164" s="21">
        <f>Data!J2180</f>
        <v>0</v>
      </c>
      <c r="Q2164">
        <f>Data!K2180</f>
        <v>0</v>
      </c>
      <c r="R2164">
        <f>Data!L2180</f>
        <v>0</v>
      </c>
      <c r="S2164">
        <f>Data!M2180</f>
        <v>0</v>
      </c>
      <c r="T2164">
        <f>Data!N2180</f>
        <v>0</v>
      </c>
      <c r="U2164">
        <f>Data!O2180</f>
        <v>0</v>
      </c>
      <c r="V2164" s="33">
        <f>Data!P2178</f>
        <v>0</v>
      </c>
    </row>
    <row r="2165" spans="7:22" x14ac:dyDescent="0.25">
      <c r="G2165" cm="1">
        <f t="array" aca="1" ref="G2165" ca="1">INDIRECT("Data!A" &amp; 2160)</f>
        <v>0</v>
      </c>
      <c r="H2165" s="21">
        <f>Data!B2177</f>
        <v>0</v>
      </c>
      <c r="I2165" s="21">
        <f>Data!C2177</f>
        <v>0</v>
      </c>
      <c r="J2165">
        <f>Data!D2177</f>
        <v>0</v>
      </c>
      <c r="K2165">
        <f>Data!E2177</f>
        <v>0</v>
      </c>
      <c r="L2165">
        <f>Data!F2177</f>
        <v>0</v>
      </c>
      <c r="M2165">
        <f>Data!G2177</f>
        <v>0</v>
      </c>
      <c r="N2165">
        <f>Data!H2177</f>
        <v>0</v>
      </c>
      <c r="O2165">
        <f>Data!I2177</f>
        <v>0</v>
      </c>
      <c r="P2165" s="21">
        <f>Data!J2181</f>
        <v>0</v>
      </c>
      <c r="Q2165">
        <f>Data!K2181</f>
        <v>0</v>
      </c>
      <c r="R2165">
        <f>Data!L2181</f>
        <v>0</v>
      </c>
      <c r="S2165">
        <f>Data!M2181</f>
        <v>0</v>
      </c>
      <c r="T2165">
        <f>Data!N2181</f>
        <v>0</v>
      </c>
      <c r="U2165">
        <f>Data!O2181</f>
        <v>0</v>
      </c>
      <c r="V2165" s="33">
        <f>Data!P2179</f>
        <v>0</v>
      </c>
    </row>
    <row r="2166" spans="7:22" x14ac:dyDescent="0.25">
      <c r="G2166" cm="1">
        <f t="array" aca="1" ref="G2166" ca="1">INDIRECT("Data!A" &amp; 2161)</f>
        <v>0</v>
      </c>
      <c r="H2166" s="21">
        <f>Data!B2178</f>
        <v>0</v>
      </c>
      <c r="I2166" s="21">
        <f>Data!C2178</f>
        <v>0</v>
      </c>
      <c r="J2166">
        <f>Data!D2178</f>
        <v>0</v>
      </c>
      <c r="K2166">
        <f>Data!E2178</f>
        <v>0</v>
      </c>
      <c r="L2166">
        <f>Data!F2178</f>
        <v>0</v>
      </c>
      <c r="M2166">
        <f>Data!G2178</f>
        <v>0</v>
      </c>
      <c r="N2166">
        <f>Data!H2178</f>
        <v>0</v>
      </c>
      <c r="O2166">
        <f>Data!I2178</f>
        <v>0</v>
      </c>
      <c r="P2166" s="21">
        <f>Data!J2182</f>
        <v>0</v>
      </c>
      <c r="Q2166">
        <f>Data!K2182</f>
        <v>0</v>
      </c>
      <c r="R2166">
        <f>Data!L2182</f>
        <v>0</v>
      </c>
      <c r="S2166">
        <f>Data!M2182</f>
        <v>0</v>
      </c>
      <c r="T2166">
        <f>Data!N2182</f>
        <v>0</v>
      </c>
      <c r="U2166">
        <f>Data!O2182</f>
        <v>0</v>
      </c>
      <c r="V2166" s="33">
        <f>Data!P2180</f>
        <v>0</v>
      </c>
    </row>
    <row r="2167" spans="7:22" x14ac:dyDescent="0.25">
      <c r="G2167" cm="1">
        <f t="array" aca="1" ref="G2167" ca="1">INDIRECT("Data!A" &amp; 2162)</f>
        <v>0</v>
      </c>
      <c r="H2167" s="21">
        <f>Data!B2179</f>
        <v>0</v>
      </c>
      <c r="I2167" s="21">
        <f>Data!C2179</f>
        <v>0</v>
      </c>
      <c r="J2167">
        <f>Data!D2179</f>
        <v>0</v>
      </c>
      <c r="K2167">
        <f>Data!E2179</f>
        <v>0</v>
      </c>
      <c r="L2167">
        <f>Data!F2179</f>
        <v>0</v>
      </c>
      <c r="M2167">
        <f>Data!G2179</f>
        <v>0</v>
      </c>
      <c r="N2167">
        <f>Data!H2179</f>
        <v>0</v>
      </c>
      <c r="O2167">
        <f>Data!I2179</f>
        <v>0</v>
      </c>
      <c r="P2167" s="21">
        <f>Data!J2183</f>
        <v>0</v>
      </c>
      <c r="Q2167">
        <f>Data!K2183</f>
        <v>0</v>
      </c>
      <c r="R2167">
        <f>Data!L2183</f>
        <v>0</v>
      </c>
      <c r="S2167">
        <f>Data!M2183</f>
        <v>0</v>
      </c>
      <c r="T2167">
        <f>Data!N2183</f>
        <v>0</v>
      </c>
      <c r="U2167">
        <f>Data!O2183</f>
        <v>0</v>
      </c>
      <c r="V2167" s="33">
        <f>Data!P2181</f>
        <v>0</v>
      </c>
    </row>
    <row r="2168" spans="7:22" x14ac:dyDescent="0.25">
      <c r="G2168" cm="1">
        <f t="array" aca="1" ref="G2168" ca="1">INDIRECT("Data!A" &amp; 2163)</f>
        <v>0</v>
      </c>
      <c r="H2168" s="21">
        <f>Data!B2180</f>
        <v>0</v>
      </c>
      <c r="I2168" s="21">
        <f>Data!C2180</f>
        <v>0</v>
      </c>
      <c r="J2168">
        <f>Data!D2180</f>
        <v>0</v>
      </c>
      <c r="K2168">
        <f>Data!E2180</f>
        <v>0</v>
      </c>
      <c r="L2168">
        <f>Data!F2180</f>
        <v>0</v>
      </c>
      <c r="M2168">
        <f>Data!G2180</f>
        <v>0</v>
      </c>
      <c r="N2168">
        <f>Data!H2180</f>
        <v>0</v>
      </c>
      <c r="O2168">
        <f>Data!I2180</f>
        <v>0</v>
      </c>
      <c r="P2168" s="21">
        <f>Data!J2184</f>
        <v>0</v>
      </c>
      <c r="Q2168">
        <f>Data!K2184</f>
        <v>0</v>
      </c>
      <c r="R2168">
        <f>Data!L2184</f>
        <v>0</v>
      </c>
      <c r="S2168">
        <f>Data!M2184</f>
        <v>0</v>
      </c>
      <c r="T2168">
        <f>Data!N2184</f>
        <v>0</v>
      </c>
      <c r="U2168">
        <f>Data!O2184</f>
        <v>0</v>
      </c>
      <c r="V2168" s="33">
        <f>Data!P2182</f>
        <v>0</v>
      </c>
    </row>
    <row r="2169" spans="7:22" x14ac:dyDescent="0.25">
      <c r="G2169" cm="1">
        <f t="array" aca="1" ref="G2169" ca="1">INDIRECT("Data!A" &amp; 2164)</f>
        <v>0</v>
      </c>
      <c r="H2169" s="21">
        <f>Data!B2181</f>
        <v>0</v>
      </c>
      <c r="I2169" s="21">
        <f>Data!C2181</f>
        <v>0</v>
      </c>
      <c r="J2169">
        <f>Data!D2181</f>
        <v>0</v>
      </c>
      <c r="K2169">
        <f>Data!E2181</f>
        <v>0</v>
      </c>
      <c r="L2169">
        <f>Data!F2181</f>
        <v>0</v>
      </c>
      <c r="M2169">
        <f>Data!G2181</f>
        <v>0</v>
      </c>
      <c r="N2169">
        <f>Data!H2181</f>
        <v>0</v>
      </c>
      <c r="O2169">
        <f>Data!I2181</f>
        <v>0</v>
      </c>
      <c r="P2169" s="21">
        <f>Data!J2185</f>
        <v>0</v>
      </c>
      <c r="Q2169">
        <f>Data!K2185</f>
        <v>0</v>
      </c>
      <c r="R2169">
        <f>Data!L2185</f>
        <v>0</v>
      </c>
      <c r="S2169">
        <f>Data!M2185</f>
        <v>0</v>
      </c>
      <c r="T2169">
        <f>Data!N2185</f>
        <v>0</v>
      </c>
      <c r="U2169">
        <f>Data!O2185</f>
        <v>0</v>
      </c>
      <c r="V2169" s="33">
        <f>Data!P2183</f>
        <v>0</v>
      </c>
    </row>
    <row r="2170" spans="7:22" x14ac:dyDescent="0.25">
      <c r="G2170" cm="1">
        <f t="array" aca="1" ref="G2170" ca="1">INDIRECT("Data!A" &amp; 2165)</f>
        <v>0</v>
      </c>
      <c r="H2170" s="21">
        <f>Data!B2182</f>
        <v>0</v>
      </c>
      <c r="I2170" s="21">
        <f>Data!C2182</f>
        <v>0</v>
      </c>
      <c r="J2170">
        <f>Data!D2182</f>
        <v>0</v>
      </c>
      <c r="K2170">
        <f>Data!E2182</f>
        <v>0</v>
      </c>
      <c r="L2170">
        <f>Data!F2182</f>
        <v>0</v>
      </c>
      <c r="M2170">
        <f>Data!G2182</f>
        <v>0</v>
      </c>
      <c r="N2170">
        <f>Data!H2182</f>
        <v>0</v>
      </c>
      <c r="O2170">
        <f>Data!I2182</f>
        <v>0</v>
      </c>
      <c r="P2170" s="21">
        <f>Data!J2186</f>
        <v>0</v>
      </c>
      <c r="Q2170">
        <f>Data!K2186</f>
        <v>0</v>
      </c>
      <c r="R2170">
        <f>Data!L2186</f>
        <v>0</v>
      </c>
      <c r="S2170">
        <f>Data!M2186</f>
        <v>0</v>
      </c>
      <c r="T2170">
        <f>Data!N2186</f>
        <v>0</v>
      </c>
      <c r="U2170">
        <f>Data!O2186</f>
        <v>0</v>
      </c>
      <c r="V2170" s="33">
        <f>Data!P2184</f>
        <v>0</v>
      </c>
    </row>
    <row r="2171" spans="7:22" x14ac:dyDescent="0.25">
      <c r="G2171" cm="1">
        <f t="array" aca="1" ref="G2171" ca="1">INDIRECT("Data!A" &amp; 2166)</f>
        <v>0</v>
      </c>
      <c r="H2171" s="21">
        <f>Data!B2183</f>
        <v>0</v>
      </c>
      <c r="I2171" s="21">
        <f>Data!C2183</f>
        <v>0</v>
      </c>
      <c r="J2171">
        <f>Data!D2183</f>
        <v>0</v>
      </c>
      <c r="K2171">
        <f>Data!E2183</f>
        <v>0</v>
      </c>
      <c r="L2171">
        <f>Data!F2183</f>
        <v>0</v>
      </c>
      <c r="M2171">
        <f>Data!G2183</f>
        <v>0</v>
      </c>
      <c r="N2171">
        <f>Data!H2183</f>
        <v>0</v>
      </c>
      <c r="O2171">
        <f>Data!I2183</f>
        <v>0</v>
      </c>
      <c r="P2171" s="21">
        <f>Data!J2187</f>
        <v>0</v>
      </c>
      <c r="Q2171">
        <f>Data!K2187</f>
        <v>0</v>
      </c>
      <c r="R2171">
        <f>Data!L2187</f>
        <v>0</v>
      </c>
      <c r="S2171">
        <f>Data!M2187</f>
        <v>0</v>
      </c>
      <c r="T2171">
        <f>Data!N2187</f>
        <v>0</v>
      </c>
      <c r="U2171">
        <f>Data!O2187</f>
        <v>0</v>
      </c>
      <c r="V2171" s="33">
        <f>Data!P2185</f>
        <v>0</v>
      </c>
    </row>
    <row r="2172" spans="7:22" x14ac:dyDescent="0.25">
      <c r="G2172" cm="1">
        <f t="array" aca="1" ref="G2172" ca="1">INDIRECT("Data!A" &amp; 2167)</f>
        <v>0</v>
      </c>
      <c r="H2172" s="21">
        <f>Data!B2184</f>
        <v>0</v>
      </c>
      <c r="I2172" s="21">
        <f>Data!C2184</f>
        <v>0</v>
      </c>
      <c r="J2172">
        <f>Data!D2184</f>
        <v>0</v>
      </c>
      <c r="K2172">
        <f>Data!E2184</f>
        <v>0</v>
      </c>
      <c r="L2172">
        <f>Data!F2184</f>
        <v>0</v>
      </c>
      <c r="M2172">
        <f>Data!G2184</f>
        <v>0</v>
      </c>
      <c r="N2172">
        <f>Data!H2184</f>
        <v>0</v>
      </c>
      <c r="O2172">
        <f>Data!I2184</f>
        <v>0</v>
      </c>
      <c r="P2172" s="21">
        <f>Data!J2188</f>
        <v>0</v>
      </c>
      <c r="Q2172">
        <f>Data!K2188</f>
        <v>0</v>
      </c>
      <c r="R2172">
        <f>Data!L2188</f>
        <v>0</v>
      </c>
      <c r="S2172">
        <f>Data!M2188</f>
        <v>0</v>
      </c>
      <c r="T2172">
        <f>Data!N2188</f>
        <v>0</v>
      </c>
      <c r="U2172">
        <f>Data!O2188</f>
        <v>0</v>
      </c>
      <c r="V2172" s="33">
        <f>Data!P2186</f>
        <v>0</v>
      </c>
    </row>
    <row r="2173" spans="7:22" x14ac:dyDescent="0.25">
      <c r="G2173" cm="1">
        <f t="array" aca="1" ref="G2173" ca="1">INDIRECT("Data!A" &amp; 2168)</f>
        <v>0</v>
      </c>
      <c r="H2173" s="21">
        <f>Data!B2185</f>
        <v>0</v>
      </c>
      <c r="I2173" s="21">
        <f>Data!C2185</f>
        <v>0</v>
      </c>
      <c r="J2173">
        <f>Data!D2185</f>
        <v>0</v>
      </c>
      <c r="K2173">
        <f>Data!E2185</f>
        <v>0</v>
      </c>
      <c r="L2173">
        <f>Data!F2185</f>
        <v>0</v>
      </c>
      <c r="M2173">
        <f>Data!G2185</f>
        <v>0</v>
      </c>
      <c r="N2173">
        <f>Data!H2185</f>
        <v>0</v>
      </c>
      <c r="O2173">
        <f>Data!I2185</f>
        <v>0</v>
      </c>
      <c r="P2173" s="21">
        <f>Data!J2189</f>
        <v>0</v>
      </c>
      <c r="Q2173">
        <f>Data!K2189</f>
        <v>0</v>
      </c>
      <c r="R2173">
        <f>Data!L2189</f>
        <v>0</v>
      </c>
      <c r="S2173">
        <f>Data!M2189</f>
        <v>0</v>
      </c>
      <c r="T2173">
        <f>Data!N2189</f>
        <v>0</v>
      </c>
      <c r="U2173">
        <f>Data!O2189</f>
        <v>0</v>
      </c>
      <c r="V2173" s="33">
        <f>Data!P2187</f>
        <v>0</v>
      </c>
    </row>
    <row r="2174" spans="7:22" x14ac:dyDescent="0.25">
      <c r="G2174" cm="1">
        <f t="array" aca="1" ref="G2174" ca="1">INDIRECT("Data!A" &amp; 2169)</f>
        <v>0</v>
      </c>
      <c r="H2174" s="21">
        <f>Data!B2186</f>
        <v>0</v>
      </c>
      <c r="I2174" s="21">
        <f>Data!C2186</f>
        <v>0</v>
      </c>
      <c r="J2174">
        <f>Data!D2186</f>
        <v>0</v>
      </c>
      <c r="K2174">
        <f>Data!E2186</f>
        <v>0</v>
      </c>
      <c r="L2174">
        <f>Data!F2186</f>
        <v>0</v>
      </c>
      <c r="M2174">
        <f>Data!G2186</f>
        <v>0</v>
      </c>
      <c r="N2174">
        <f>Data!H2186</f>
        <v>0</v>
      </c>
      <c r="O2174">
        <f>Data!I2186</f>
        <v>0</v>
      </c>
      <c r="P2174" s="21">
        <f>Data!J2190</f>
        <v>0</v>
      </c>
      <c r="Q2174">
        <f>Data!K2190</f>
        <v>0</v>
      </c>
      <c r="R2174">
        <f>Data!L2190</f>
        <v>0</v>
      </c>
      <c r="S2174">
        <f>Data!M2190</f>
        <v>0</v>
      </c>
      <c r="T2174">
        <f>Data!N2190</f>
        <v>0</v>
      </c>
      <c r="U2174">
        <f>Data!O2190</f>
        <v>0</v>
      </c>
      <c r="V2174" s="33">
        <f>Data!P2188</f>
        <v>0</v>
      </c>
    </row>
    <row r="2175" spans="7:22" x14ac:dyDescent="0.25">
      <c r="G2175" cm="1">
        <f t="array" aca="1" ref="G2175" ca="1">INDIRECT("Data!A" &amp; 2170)</f>
        <v>0</v>
      </c>
      <c r="H2175" s="21">
        <f>Data!B2187</f>
        <v>0</v>
      </c>
      <c r="I2175" s="21">
        <f>Data!C2187</f>
        <v>0</v>
      </c>
      <c r="J2175">
        <f>Data!D2187</f>
        <v>0</v>
      </c>
      <c r="K2175">
        <f>Data!E2187</f>
        <v>0</v>
      </c>
      <c r="L2175">
        <f>Data!F2187</f>
        <v>0</v>
      </c>
      <c r="M2175">
        <f>Data!G2187</f>
        <v>0</v>
      </c>
      <c r="N2175">
        <f>Data!H2187</f>
        <v>0</v>
      </c>
      <c r="O2175">
        <f>Data!I2187</f>
        <v>0</v>
      </c>
      <c r="P2175" s="21">
        <f>Data!J2191</f>
        <v>0</v>
      </c>
      <c r="Q2175">
        <f>Data!K2191</f>
        <v>0</v>
      </c>
      <c r="R2175">
        <f>Data!L2191</f>
        <v>0</v>
      </c>
      <c r="S2175">
        <f>Data!M2191</f>
        <v>0</v>
      </c>
      <c r="T2175">
        <f>Data!N2191</f>
        <v>0</v>
      </c>
      <c r="U2175">
        <f>Data!O2191</f>
        <v>0</v>
      </c>
      <c r="V2175" s="33">
        <f>Data!P2189</f>
        <v>0</v>
      </c>
    </row>
    <row r="2176" spans="7:22" x14ac:dyDescent="0.25">
      <c r="G2176" cm="1">
        <f t="array" aca="1" ref="G2176" ca="1">INDIRECT("Data!A" &amp; 2171)</f>
        <v>0</v>
      </c>
      <c r="H2176" s="21">
        <f>Data!B2188</f>
        <v>0</v>
      </c>
      <c r="I2176" s="21">
        <f>Data!C2188</f>
        <v>0</v>
      </c>
      <c r="J2176">
        <f>Data!D2188</f>
        <v>0</v>
      </c>
      <c r="K2176">
        <f>Data!E2188</f>
        <v>0</v>
      </c>
      <c r="L2176">
        <f>Data!F2188</f>
        <v>0</v>
      </c>
      <c r="M2176">
        <f>Data!G2188</f>
        <v>0</v>
      </c>
      <c r="N2176">
        <f>Data!H2188</f>
        <v>0</v>
      </c>
      <c r="O2176">
        <f>Data!I2188</f>
        <v>0</v>
      </c>
      <c r="P2176" s="21">
        <f>Data!J2192</f>
        <v>0</v>
      </c>
      <c r="Q2176">
        <f>Data!K2192</f>
        <v>0</v>
      </c>
      <c r="R2176">
        <f>Data!L2192</f>
        <v>0</v>
      </c>
      <c r="S2176">
        <f>Data!M2192</f>
        <v>0</v>
      </c>
      <c r="T2176">
        <f>Data!N2192</f>
        <v>0</v>
      </c>
      <c r="U2176">
        <f>Data!O2192</f>
        <v>0</v>
      </c>
      <c r="V2176" s="33">
        <f>Data!P2190</f>
        <v>0</v>
      </c>
    </row>
    <row r="2177" spans="7:22" x14ac:dyDescent="0.25">
      <c r="G2177" cm="1">
        <f t="array" aca="1" ref="G2177" ca="1">INDIRECT("Data!A" &amp; 2172)</f>
        <v>0</v>
      </c>
      <c r="H2177" s="21">
        <f>Data!B2189</f>
        <v>0</v>
      </c>
      <c r="I2177" s="21">
        <f>Data!C2189</f>
        <v>0</v>
      </c>
      <c r="J2177">
        <f>Data!D2189</f>
        <v>0</v>
      </c>
      <c r="K2177">
        <f>Data!E2189</f>
        <v>0</v>
      </c>
      <c r="L2177">
        <f>Data!F2189</f>
        <v>0</v>
      </c>
      <c r="M2177">
        <f>Data!G2189</f>
        <v>0</v>
      </c>
      <c r="N2177">
        <f>Data!H2189</f>
        <v>0</v>
      </c>
      <c r="O2177">
        <f>Data!I2189</f>
        <v>0</v>
      </c>
      <c r="P2177" s="21">
        <f>Data!J2193</f>
        <v>0</v>
      </c>
      <c r="Q2177">
        <f>Data!K2193</f>
        <v>0</v>
      </c>
      <c r="R2177">
        <f>Data!L2193</f>
        <v>0</v>
      </c>
      <c r="S2177">
        <f>Data!M2193</f>
        <v>0</v>
      </c>
      <c r="T2177">
        <f>Data!N2193</f>
        <v>0</v>
      </c>
      <c r="U2177">
        <f>Data!O2193</f>
        <v>0</v>
      </c>
      <c r="V2177" s="33">
        <f>Data!P2191</f>
        <v>0</v>
      </c>
    </row>
    <row r="2178" spans="7:22" x14ac:dyDescent="0.25">
      <c r="G2178" cm="1">
        <f t="array" aca="1" ref="G2178" ca="1">INDIRECT("Data!A" &amp; 2173)</f>
        <v>0</v>
      </c>
      <c r="H2178" s="21">
        <f>Data!B2190</f>
        <v>0</v>
      </c>
      <c r="I2178" s="21">
        <f>Data!C2190</f>
        <v>0</v>
      </c>
      <c r="J2178">
        <f>Data!D2190</f>
        <v>0</v>
      </c>
      <c r="K2178">
        <f>Data!E2190</f>
        <v>0</v>
      </c>
      <c r="L2178">
        <f>Data!F2190</f>
        <v>0</v>
      </c>
      <c r="M2178">
        <f>Data!G2190</f>
        <v>0</v>
      </c>
      <c r="N2178">
        <f>Data!H2190</f>
        <v>0</v>
      </c>
      <c r="O2178">
        <f>Data!I2190</f>
        <v>0</v>
      </c>
      <c r="P2178" s="21">
        <f>Data!J2194</f>
        <v>0</v>
      </c>
      <c r="Q2178">
        <f>Data!K2194</f>
        <v>0</v>
      </c>
      <c r="R2178">
        <f>Data!L2194</f>
        <v>0</v>
      </c>
      <c r="S2178">
        <f>Data!M2194</f>
        <v>0</v>
      </c>
      <c r="T2178">
        <f>Data!N2194</f>
        <v>0</v>
      </c>
      <c r="U2178">
        <f>Data!O2194</f>
        <v>0</v>
      </c>
      <c r="V2178" s="33">
        <f>Data!P2192</f>
        <v>0</v>
      </c>
    </row>
    <row r="2179" spans="7:22" x14ac:dyDescent="0.25">
      <c r="G2179" cm="1">
        <f t="array" aca="1" ref="G2179" ca="1">INDIRECT("Data!A" &amp; 2174)</f>
        <v>0</v>
      </c>
      <c r="H2179" s="21">
        <f>Data!B2191</f>
        <v>0</v>
      </c>
      <c r="I2179" s="21">
        <f>Data!C2191</f>
        <v>0</v>
      </c>
      <c r="J2179">
        <f>Data!D2191</f>
        <v>0</v>
      </c>
      <c r="K2179">
        <f>Data!E2191</f>
        <v>0</v>
      </c>
      <c r="L2179">
        <f>Data!F2191</f>
        <v>0</v>
      </c>
      <c r="M2179">
        <f>Data!G2191</f>
        <v>0</v>
      </c>
      <c r="N2179">
        <f>Data!H2191</f>
        <v>0</v>
      </c>
      <c r="O2179">
        <f>Data!I2191</f>
        <v>0</v>
      </c>
      <c r="P2179" s="21">
        <f>Data!J2195</f>
        <v>0</v>
      </c>
      <c r="Q2179">
        <f>Data!K2195</f>
        <v>0</v>
      </c>
      <c r="R2179">
        <f>Data!L2195</f>
        <v>0</v>
      </c>
      <c r="S2179">
        <f>Data!M2195</f>
        <v>0</v>
      </c>
      <c r="T2179">
        <f>Data!N2195</f>
        <v>0</v>
      </c>
      <c r="U2179">
        <f>Data!O2195</f>
        <v>0</v>
      </c>
      <c r="V2179" s="33">
        <f>Data!P2193</f>
        <v>0</v>
      </c>
    </row>
    <row r="2180" spans="7:22" x14ac:dyDescent="0.25">
      <c r="G2180" cm="1">
        <f t="array" aca="1" ref="G2180" ca="1">INDIRECT("Data!A" &amp; 2175)</f>
        <v>0</v>
      </c>
      <c r="H2180" s="21">
        <f>Data!B2192</f>
        <v>0</v>
      </c>
      <c r="I2180" s="21">
        <f>Data!C2192</f>
        <v>0</v>
      </c>
      <c r="J2180">
        <f>Data!D2192</f>
        <v>0</v>
      </c>
      <c r="K2180">
        <f>Data!E2192</f>
        <v>0</v>
      </c>
      <c r="L2180">
        <f>Data!F2192</f>
        <v>0</v>
      </c>
      <c r="M2180">
        <f>Data!G2192</f>
        <v>0</v>
      </c>
      <c r="N2180">
        <f>Data!H2192</f>
        <v>0</v>
      </c>
      <c r="O2180">
        <f>Data!I2192</f>
        <v>0</v>
      </c>
      <c r="P2180" s="21">
        <f>Data!J2196</f>
        <v>0</v>
      </c>
      <c r="Q2180">
        <f>Data!K2196</f>
        <v>0</v>
      </c>
      <c r="R2180">
        <f>Data!L2196</f>
        <v>0</v>
      </c>
      <c r="S2180">
        <f>Data!M2196</f>
        <v>0</v>
      </c>
      <c r="T2180">
        <f>Data!N2196</f>
        <v>0</v>
      </c>
      <c r="U2180">
        <f>Data!O2196</f>
        <v>0</v>
      </c>
      <c r="V2180" s="33">
        <f>Data!P2194</f>
        <v>0</v>
      </c>
    </row>
    <row r="2181" spans="7:22" x14ac:dyDescent="0.25">
      <c r="G2181" cm="1">
        <f t="array" aca="1" ref="G2181" ca="1">INDIRECT("Data!A" &amp; 2176)</f>
        <v>0</v>
      </c>
      <c r="H2181" s="21">
        <f>Data!B2193</f>
        <v>0</v>
      </c>
      <c r="I2181" s="21">
        <f>Data!C2193</f>
        <v>0</v>
      </c>
      <c r="J2181">
        <f>Data!D2193</f>
        <v>0</v>
      </c>
      <c r="K2181">
        <f>Data!E2193</f>
        <v>0</v>
      </c>
      <c r="L2181">
        <f>Data!F2193</f>
        <v>0</v>
      </c>
      <c r="M2181">
        <f>Data!G2193</f>
        <v>0</v>
      </c>
      <c r="N2181">
        <f>Data!H2193</f>
        <v>0</v>
      </c>
      <c r="O2181">
        <f>Data!I2193</f>
        <v>0</v>
      </c>
      <c r="P2181" s="21">
        <f>Data!J2197</f>
        <v>0</v>
      </c>
      <c r="Q2181">
        <f>Data!K2197</f>
        <v>0</v>
      </c>
      <c r="R2181">
        <f>Data!L2197</f>
        <v>0</v>
      </c>
      <c r="S2181">
        <f>Data!M2197</f>
        <v>0</v>
      </c>
      <c r="T2181">
        <f>Data!N2197</f>
        <v>0</v>
      </c>
      <c r="U2181">
        <f>Data!O2197</f>
        <v>0</v>
      </c>
      <c r="V2181" s="33">
        <f>Data!P2195</f>
        <v>0</v>
      </c>
    </row>
    <row r="2182" spans="7:22" x14ac:dyDescent="0.25">
      <c r="G2182" cm="1">
        <f t="array" aca="1" ref="G2182" ca="1">INDIRECT("Data!A" &amp; 2177)</f>
        <v>0</v>
      </c>
      <c r="H2182" s="21">
        <f>Data!B2194</f>
        <v>0</v>
      </c>
      <c r="I2182" s="21">
        <f>Data!C2194</f>
        <v>0</v>
      </c>
      <c r="J2182">
        <f>Data!D2194</f>
        <v>0</v>
      </c>
      <c r="K2182">
        <f>Data!E2194</f>
        <v>0</v>
      </c>
      <c r="L2182">
        <f>Data!F2194</f>
        <v>0</v>
      </c>
      <c r="M2182">
        <f>Data!G2194</f>
        <v>0</v>
      </c>
      <c r="N2182">
        <f>Data!H2194</f>
        <v>0</v>
      </c>
      <c r="O2182">
        <f>Data!I2194</f>
        <v>0</v>
      </c>
      <c r="P2182" s="21">
        <f>Data!J2198</f>
        <v>0</v>
      </c>
      <c r="Q2182">
        <f>Data!K2198</f>
        <v>0</v>
      </c>
      <c r="R2182">
        <f>Data!L2198</f>
        <v>0</v>
      </c>
      <c r="S2182">
        <f>Data!M2198</f>
        <v>0</v>
      </c>
      <c r="T2182">
        <f>Data!N2198</f>
        <v>0</v>
      </c>
      <c r="U2182">
        <f>Data!O2198</f>
        <v>0</v>
      </c>
      <c r="V2182" s="33">
        <f>Data!P2196</f>
        <v>0</v>
      </c>
    </row>
    <row r="2183" spans="7:22" x14ac:dyDescent="0.25">
      <c r="G2183" cm="1">
        <f t="array" aca="1" ref="G2183" ca="1">INDIRECT("Data!A" &amp; 2178)</f>
        <v>0</v>
      </c>
      <c r="H2183" s="21">
        <f>Data!B2195</f>
        <v>0</v>
      </c>
      <c r="I2183" s="21">
        <f>Data!C2195</f>
        <v>0</v>
      </c>
      <c r="J2183">
        <f>Data!D2195</f>
        <v>0</v>
      </c>
      <c r="K2183">
        <f>Data!E2195</f>
        <v>0</v>
      </c>
      <c r="L2183">
        <f>Data!F2195</f>
        <v>0</v>
      </c>
      <c r="M2183">
        <f>Data!G2195</f>
        <v>0</v>
      </c>
      <c r="N2183">
        <f>Data!H2195</f>
        <v>0</v>
      </c>
      <c r="O2183">
        <f>Data!I2195</f>
        <v>0</v>
      </c>
      <c r="P2183" s="21">
        <f>Data!J2199</f>
        <v>0</v>
      </c>
      <c r="Q2183">
        <f>Data!K2199</f>
        <v>0</v>
      </c>
      <c r="R2183">
        <f>Data!L2199</f>
        <v>0</v>
      </c>
      <c r="S2183">
        <f>Data!M2199</f>
        <v>0</v>
      </c>
      <c r="T2183">
        <f>Data!N2199</f>
        <v>0</v>
      </c>
      <c r="U2183">
        <f>Data!O2199</f>
        <v>0</v>
      </c>
      <c r="V2183" s="33">
        <f>Data!P2197</f>
        <v>0</v>
      </c>
    </row>
    <row r="2184" spans="7:22" x14ac:dyDescent="0.25">
      <c r="G2184" cm="1">
        <f t="array" aca="1" ref="G2184" ca="1">INDIRECT("Data!A" &amp; 2179)</f>
        <v>0</v>
      </c>
      <c r="H2184" s="21">
        <f>Data!B2196</f>
        <v>0</v>
      </c>
      <c r="I2184" s="21">
        <f>Data!C2196</f>
        <v>0</v>
      </c>
      <c r="J2184">
        <f>Data!D2196</f>
        <v>0</v>
      </c>
      <c r="K2184">
        <f>Data!E2196</f>
        <v>0</v>
      </c>
      <c r="L2184">
        <f>Data!F2196</f>
        <v>0</v>
      </c>
      <c r="M2184">
        <f>Data!G2196</f>
        <v>0</v>
      </c>
      <c r="N2184">
        <f>Data!H2196</f>
        <v>0</v>
      </c>
      <c r="O2184">
        <f>Data!I2196</f>
        <v>0</v>
      </c>
      <c r="P2184" s="21">
        <f>Data!J2200</f>
        <v>0</v>
      </c>
      <c r="Q2184">
        <f>Data!K2200</f>
        <v>0</v>
      </c>
      <c r="R2184">
        <f>Data!L2200</f>
        <v>0</v>
      </c>
      <c r="S2184">
        <f>Data!M2200</f>
        <v>0</v>
      </c>
      <c r="T2184">
        <f>Data!N2200</f>
        <v>0</v>
      </c>
      <c r="U2184">
        <f>Data!O2200</f>
        <v>0</v>
      </c>
      <c r="V2184" s="33">
        <f>Data!P2198</f>
        <v>0</v>
      </c>
    </row>
    <row r="2185" spans="7:22" x14ac:dyDescent="0.25">
      <c r="G2185" cm="1">
        <f t="array" aca="1" ref="G2185" ca="1">INDIRECT("Data!A" &amp; 2180)</f>
        <v>0</v>
      </c>
      <c r="H2185" s="21">
        <f>Data!B2197</f>
        <v>0</v>
      </c>
      <c r="I2185" s="21">
        <f>Data!C2197</f>
        <v>0</v>
      </c>
      <c r="J2185">
        <f>Data!D2197</f>
        <v>0</v>
      </c>
      <c r="K2185">
        <f>Data!E2197</f>
        <v>0</v>
      </c>
      <c r="L2185">
        <f>Data!F2197</f>
        <v>0</v>
      </c>
      <c r="M2185">
        <f>Data!G2197</f>
        <v>0</v>
      </c>
      <c r="N2185">
        <f>Data!H2197</f>
        <v>0</v>
      </c>
      <c r="O2185">
        <f>Data!I2197</f>
        <v>0</v>
      </c>
      <c r="P2185" s="21">
        <f>Data!J2201</f>
        <v>0</v>
      </c>
      <c r="Q2185">
        <f>Data!K2201</f>
        <v>0</v>
      </c>
      <c r="R2185">
        <f>Data!L2201</f>
        <v>0</v>
      </c>
      <c r="S2185">
        <f>Data!M2201</f>
        <v>0</v>
      </c>
      <c r="T2185">
        <f>Data!N2201</f>
        <v>0</v>
      </c>
      <c r="U2185">
        <f>Data!O2201</f>
        <v>0</v>
      </c>
      <c r="V2185" s="33">
        <f>Data!P2199</f>
        <v>0</v>
      </c>
    </row>
    <row r="2186" spans="7:22" x14ac:dyDescent="0.25">
      <c r="G2186" cm="1">
        <f t="array" aca="1" ref="G2186" ca="1">INDIRECT("Data!A" &amp; 2181)</f>
        <v>0</v>
      </c>
      <c r="H2186" s="21">
        <f>Data!B2198</f>
        <v>0</v>
      </c>
      <c r="I2186" s="21">
        <f>Data!C2198</f>
        <v>0</v>
      </c>
      <c r="J2186">
        <f>Data!D2198</f>
        <v>0</v>
      </c>
      <c r="K2186">
        <f>Data!E2198</f>
        <v>0</v>
      </c>
      <c r="L2186">
        <f>Data!F2198</f>
        <v>0</v>
      </c>
      <c r="M2186">
        <f>Data!G2198</f>
        <v>0</v>
      </c>
      <c r="N2186">
        <f>Data!H2198</f>
        <v>0</v>
      </c>
      <c r="O2186">
        <f>Data!I2198</f>
        <v>0</v>
      </c>
      <c r="P2186" s="21">
        <f>Data!J2202</f>
        <v>0</v>
      </c>
      <c r="Q2186">
        <f>Data!K2202</f>
        <v>0</v>
      </c>
      <c r="R2186">
        <f>Data!L2202</f>
        <v>0</v>
      </c>
      <c r="S2186">
        <f>Data!M2202</f>
        <v>0</v>
      </c>
      <c r="T2186">
        <f>Data!N2202</f>
        <v>0</v>
      </c>
      <c r="U2186">
        <f>Data!O2202</f>
        <v>0</v>
      </c>
      <c r="V2186" s="33">
        <f>Data!P2200</f>
        <v>0</v>
      </c>
    </row>
    <row r="2187" spans="7:22" x14ac:dyDescent="0.25">
      <c r="G2187" cm="1">
        <f t="array" aca="1" ref="G2187" ca="1">INDIRECT("Data!A" &amp; 2182)</f>
        <v>0</v>
      </c>
      <c r="H2187" s="21">
        <f>Data!B2199</f>
        <v>0</v>
      </c>
      <c r="I2187" s="21">
        <f>Data!C2199</f>
        <v>0</v>
      </c>
      <c r="J2187">
        <f>Data!D2199</f>
        <v>0</v>
      </c>
      <c r="K2187">
        <f>Data!E2199</f>
        <v>0</v>
      </c>
      <c r="L2187">
        <f>Data!F2199</f>
        <v>0</v>
      </c>
      <c r="M2187">
        <f>Data!G2199</f>
        <v>0</v>
      </c>
      <c r="N2187">
        <f>Data!H2199</f>
        <v>0</v>
      </c>
      <c r="O2187">
        <f>Data!I2199</f>
        <v>0</v>
      </c>
      <c r="P2187" s="21">
        <f>Data!J2203</f>
        <v>0</v>
      </c>
      <c r="Q2187">
        <f>Data!K2203</f>
        <v>0</v>
      </c>
      <c r="R2187">
        <f>Data!L2203</f>
        <v>0</v>
      </c>
      <c r="S2187">
        <f>Data!M2203</f>
        <v>0</v>
      </c>
      <c r="T2187">
        <f>Data!N2203</f>
        <v>0</v>
      </c>
      <c r="U2187">
        <f>Data!O2203</f>
        <v>0</v>
      </c>
      <c r="V2187" s="33">
        <f>Data!P2201</f>
        <v>0</v>
      </c>
    </row>
    <row r="2188" spans="7:22" x14ac:dyDescent="0.25">
      <c r="G2188" cm="1">
        <f t="array" aca="1" ref="G2188" ca="1">INDIRECT("Data!A" &amp; 2183)</f>
        <v>0</v>
      </c>
      <c r="H2188" s="21">
        <f>Data!B2200</f>
        <v>0</v>
      </c>
      <c r="I2188" s="21">
        <f>Data!C2200</f>
        <v>0</v>
      </c>
      <c r="J2188">
        <f>Data!D2200</f>
        <v>0</v>
      </c>
      <c r="K2188">
        <f>Data!E2200</f>
        <v>0</v>
      </c>
      <c r="L2188">
        <f>Data!F2200</f>
        <v>0</v>
      </c>
      <c r="M2188">
        <f>Data!G2200</f>
        <v>0</v>
      </c>
      <c r="N2188">
        <f>Data!H2200</f>
        <v>0</v>
      </c>
      <c r="O2188">
        <f>Data!I2200</f>
        <v>0</v>
      </c>
      <c r="P2188" s="21">
        <f>Data!J2204</f>
        <v>0</v>
      </c>
      <c r="Q2188">
        <f>Data!K2204</f>
        <v>0</v>
      </c>
      <c r="R2188">
        <f>Data!L2204</f>
        <v>0</v>
      </c>
      <c r="S2188">
        <f>Data!M2204</f>
        <v>0</v>
      </c>
      <c r="T2188">
        <f>Data!N2204</f>
        <v>0</v>
      </c>
      <c r="U2188">
        <f>Data!O2204</f>
        <v>0</v>
      </c>
      <c r="V2188" s="33">
        <f>Data!P2202</f>
        <v>0</v>
      </c>
    </row>
    <row r="2189" spans="7:22" x14ac:dyDescent="0.25">
      <c r="G2189" cm="1">
        <f t="array" aca="1" ref="G2189" ca="1">INDIRECT("Data!A" &amp; 2184)</f>
        <v>0</v>
      </c>
      <c r="H2189" s="21">
        <f>Data!B2201</f>
        <v>0</v>
      </c>
      <c r="I2189" s="21">
        <f>Data!C2201</f>
        <v>0</v>
      </c>
      <c r="J2189">
        <f>Data!D2201</f>
        <v>0</v>
      </c>
      <c r="K2189">
        <f>Data!E2201</f>
        <v>0</v>
      </c>
      <c r="L2189">
        <f>Data!F2201</f>
        <v>0</v>
      </c>
      <c r="M2189">
        <f>Data!G2201</f>
        <v>0</v>
      </c>
      <c r="N2189">
        <f>Data!H2201</f>
        <v>0</v>
      </c>
      <c r="O2189">
        <f>Data!I2201</f>
        <v>0</v>
      </c>
      <c r="P2189" s="21">
        <f>Data!J2205</f>
        <v>0</v>
      </c>
      <c r="Q2189">
        <f>Data!K2205</f>
        <v>0</v>
      </c>
      <c r="R2189">
        <f>Data!L2205</f>
        <v>0</v>
      </c>
      <c r="S2189">
        <f>Data!M2205</f>
        <v>0</v>
      </c>
      <c r="T2189">
        <f>Data!N2205</f>
        <v>0</v>
      </c>
      <c r="U2189">
        <f>Data!O2205</f>
        <v>0</v>
      </c>
      <c r="V2189" s="33">
        <f>Data!P2203</f>
        <v>0</v>
      </c>
    </row>
    <row r="2190" spans="7:22" x14ac:dyDescent="0.25">
      <c r="G2190" cm="1">
        <f t="array" aca="1" ref="G2190" ca="1">INDIRECT("Data!A" &amp; 2185)</f>
        <v>0</v>
      </c>
      <c r="H2190" s="21">
        <f>Data!B2202</f>
        <v>0</v>
      </c>
      <c r="I2190" s="21">
        <f>Data!C2202</f>
        <v>0</v>
      </c>
      <c r="J2190">
        <f>Data!D2202</f>
        <v>0</v>
      </c>
      <c r="K2190">
        <f>Data!E2202</f>
        <v>0</v>
      </c>
      <c r="L2190">
        <f>Data!F2202</f>
        <v>0</v>
      </c>
      <c r="M2190">
        <f>Data!G2202</f>
        <v>0</v>
      </c>
      <c r="N2190">
        <f>Data!H2202</f>
        <v>0</v>
      </c>
      <c r="O2190">
        <f>Data!I2202</f>
        <v>0</v>
      </c>
      <c r="P2190" s="21">
        <f>Data!J2206</f>
        <v>0</v>
      </c>
      <c r="Q2190">
        <f>Data!K2206</f>
        <v>0</v>
      </c>
      <c r="R2190">
        <f>Data!L2206</f>
        <v>0</v>
      </c>
      <c r="S2190">
        <f>Data!M2206</f>
        <v>0</v>
      </c>
      <c r="T2190">
        <f>Data!N2206</f>
        <v>0</v>
      </c>
      <c r="U2190">
        <f>Data!O2206</f>
        <v>0</v>
      </c>
      <c r="V2190" s="33">
        <f>Data!P2204</f>
        <v>0</v>
      </c>
    </row>
    <row r="2191" spans="7:22" x14ac:dyDescent="0.25">
      <c r="G2191" cm="1">
        <f t="array" aca="1" ref="G2191" ca="1">INDIRECT("Data!A" &amp; 2186)</f>
        <v>0</v>
      </c>
      <c r="H2191" s="21">
        <f>Data!B2203</f>
        <v>0</v>
      </c>
      <c r="I2191" s="21">
        <f>Data!C2203</f>
        <v>0</v>
      </c>
      <c r="J2191">
        <f>Data!D2203</f>
        <v>0</v>
      </c>
      <c r="K2191">
        <f>Data!E2203</f>
        <v>0</v>
      </c>
      <c r="L2191">
        <f>Data!F2203</f>
        <v>0</v>
      </c>
      <c r="M2191">
        <f>Data!G2203</f>
        <v>0</v>
      </c>
      <c r="N2191">
        <f>Data!H2203</f>
        <v>0</v>
      </c>
      <c r="O2191">
        <f>Data!I2203</f>
        <v>0</v>
      </c>
      <c r="P2191" s="21">
        <f>Data!J2207</f>
        <v>0</v>
      </c>
      <c r="Q2191">
        <f>Data!K2207</f>
        <v>0</v>
      </c>
      <c r="R2191">
        <f>Data!L2207</f>
        <v>0</v>
      </c>
      <c r="S2191">
        <f>Data!M2207</f>
        <v>0</v>
      </c>
      <c r="T2191">
        <f>Data!N2207</f>
        <v>0</v>
      </c>
      <c r="U2191">
        <f>Data!O2207</f>
        <v>0</v>
      </c>
      <c r="V2191" s="33">
        <f>Data!P2205</f>
        <v>0</v>
      </c>
    </row>
    <row r="2192" spans="7:22" x14ac:dyDescent="0.25">
      <c r="G2192" cm="1">
        <f t="array" aca="1" ref="G2192" ca="1">INDIRECT("Data!A" &amp; 2187)</f>
        <v>0</v>
      </c>
      <c r="H2192" s="21">
        <f>Data!B2204</f>
        <v>0</v>
      </c>
      <c r="I2192" s="21">
        <f>Data!C2204</f>
        <v>0</v>
      </c>
      <c r="J2192">
        <f>Data!D2204</f>
        <v>0</v>
      </c>
      <c r="K2192">
        <f>Data!E2204</f>
        <v>0</v>
      </c>
      <c r="L2192">
        <f>Data!F2204</f>
        <v>0</v>
      </c>
      <c r="M2192">
        <f>Data!G2204</f>
        <v>0</v>
      </c>
      <c r="N2192">
        <f>Data!H2204</f>
        <v>0</v>
      </c>
      <c r="O2192">
        <f>Data!I2204</f>
        <v>0</v>
      </c>
      <c r="P2192" s="21">
        <f>Data!J2208</f>
        <v>0</v>
      </c>
      <c r="Q2192">
        <f>Data!K2208</f>
        <v>0</v>
      </c>
      <c r="R2192">
        <f>Data!L2208</f>
        <v>0</v>
      </c>
      <c r="S2192">
        <f>Data!M2208</f>
        <v>0</v>
      </c>
      <c r="T2192">
        <f>Data!N2208</f>
        <v>0</v>
      </c>
      <c r="U2192">
        <f>Data!O2208</f>
        <v>0</v>
      </c>
      <c r="V2192" s="33">
        <f>Data!P2206</f>
        <v>0</v>
      </c>
    </row>
    <row r="2193" spans="7:22" x14ac:dyDescent="0.25">
      <c r="G2193" cm="1">
        <f t="array" aca="1" ref="G2193" ca="1">INDIRECT("Data!A" &amp; 2188)</f>
        <v>0</v>
      </c>
      <c r="H2193" s="21">
        <f>Data!B2205</f>
        <v>0</v>
      </c>
      <c r="I2193" s="21">
        <f>Data!C2205</f>
        <v>0</v>
      </c>
      <c r="J2193">
        <f>Data!D2205</f>
        <v>0</v>
      </c>
      <c r="K2193">
        <f>Data!E2205</f>
        <v>0</v>
      </c>
      <c r="L2193">
        <f>Data!F2205</f>
        <v>0</v>
      </c>
      <c r="M2193">
        <f>Data!G2205</f>
        <v>0</v>
      </c>
      <c r="N2193">
        <f>Data!H2205</f>
        <v>0</v>
      </c>
      <c r="O2193">
        <f>Data!I2205</f>
        <v>0</v>
      </c>
      <c r="P2193" s="21">
        <f>Data!J2209</f>
        <v>0</v>
      </c>
      <c r="Q2193">
        <f>Data!K2209</f>
        <v>0</v>
      </c>
      <c r="R2193">
        <f>Data!L2209</f>
        <v>0</v>
      </c>
      <c r="S2193">
        <f>Data!M2209</f>
        <v>0</v>
      </c>
      <c r="T2193">
        <f>Data!N2209</f>
        <v>0</v>
      </c>
      <c r="U2193">
        <f>Data!O2209</f>
        <v>0</v>
      </c>
      <c r="V2193" s="33">
        <f>Data!P2207</f>
        <v>0</v>
      </c>
    </row>
    <row r="2194" spans="7:22" x14ac:dyDescent="0.25">
      <c r="G2194" cm="1">
        <f t="array" aca="1" ref="G2194" ca="1">INDIRECT("Data!A" &amp; 2189)</f>
        <v>0</v>
      </c>
      <c r="H2194" s="21">
        <f>Data!B2206</f>
        <v>0</v>
      </c>
      <c r="I2194" s="21">
        <f>Data!C2206</f>
        <v>0</v>
      </c>
      <c r="J2194">
        <f>Data!D2206</f>
        <v>0</v>
      </c>
      <c r="K2194">
        <f>Data!E2206</f>
        <v>0</v>
      </c>
      <c r="L2194">
        <f>Data!F2206</f>
        <v>0</v>
      </c>
      <c r="M2194">
        <f>Data!G2206</f>
        <v>0</v>
      </c>
      <c r="N2194">
        <f>Data!H2206</f>
        <v>0</v>
      </c>
      <c r="O2194">
        <f>Data!I2206</f>
        <v>0</v>
      </c>
      <c r="P2194" s="21">
        <f>Data!J2210</f>
        <v>0</v>
      </c>
      <c r="Q2194">
        <f>Data!K2210</f>
        <v>0</v>
      </c>
      <c r="R2194">
        <f>Data!L2210</f>
        <v>0</v>
      </c>
      <c r="S2194">
        <f>Data!M2210</f>
        <v>0</v>
      </c>
      <c r="T2194">
        <f>Data!N2210</f>
        <v>0</v>
      </c>
      <c r="U2194">
        <f>Data!O2210</f>
        <v>0</v>
      </c>
      <c r="V2194" s="33">
        <f>Data!P2208</f>
        <v>0</v>
      </c>
    </row>
    <row r="2195" spans="7:22" x14ac:dyDescent="0.25">
      <c r="G2195" cm="1">
        <f t="array" aca="1" ref="G2195" ca="1">INDIRECT("Data!A" &amp; 2190)</f>
        <v>0</v>
      </c>
      <c r="H2195" s="21">
        <f>Data!B2207</f>
        <v>0</v>
      </c>
      <c r="I2195" s="21">
        <f>Data!C2207</f>
        <v>0</v>
      </c>
      <c r="J2195">
        <f>Data!D2207</f>
        <v>0</v>
      </c>
      <c r="K2195">
        <f>Data!E2207</f>
        <v>0</v>
      </c>
      <c r="L2195">
        <f>Data!F2207</f>
        <v>0</v>
      </c>
      <c r="M2195">
        <f>Data!G2207</f>
        <v>0</v>
      </c>
      <c r="N2195">
        <f>Data!H2207</f>
        <v>0</v>
      </c>
      <c r="O2195">
        <f>Data!I2207</f>
        <v>0</v>
      </c>
      <c r="P2195" s="21">
        <f>Data!J2211</f>
        <v>0</v>
      </c>
      <c r="Q2195">
        <f>Data!K2211</f>
        <v>0</v>
      </c>
      <c r="R2195">
        <f>Data!L2211</f>
        <v>0</v>
      </c>
      <c r="S2195">
        <f>Data!M2211</f>
        <v>0</v>
      </c>
      <c r="T2195">
        <f>Data!N2211</f>
        <v>0</v>
      </c>
      <c r="U2195">
        <f>Data!O2211</f>
        <v>0</v>
      </c>
      <c r="V2195" s="33">
        <f>Data!P2209</f>
        <v>0</v>
      </c>
    </row>
    <row r="2196" spans="7:22" x14ac:dyDescent="0.25">
      <c r="G2196" cm="1">
        <f t="array" aca="1" ref="G2196" ca="1">INDIRECT("Data!A" &amp; 2191)</f>
        <v>0</v>
      </c>
      <c r="H2196" s="21">
        <f>Data!B2208</f>
        <v>0</v>
      </c>
      <c r="I2196" s="21">
        <f>Data!C2208</f>
        <v>0</v>
      </c>
      <c r="J2196">
        <f>Data!D2208</f>
        <v>0</v>
      </c>
      <c r="K2196">
        <f>Data!E2208</f>
        <v>0</v>
      </c>
      <c r="L2196">
        <f>Data!F2208</f>
        <v>0</v>
      </c>
      <c r="M2196">
        <f>Data!G2208</f>
        <v>0</v>
      </c>
      <c r="N2196">
        <f>Data!H2208</f>
        <v>0</v>
      </c>
      <c r="O2196">
        <f>Data!I2208</f>
        <v>0</v>
      </c>
      <c r="P2196" s="21">
        <f>Data!J2212</f>
        <v>0</v>
      </c>
      <c r="Q2196">
        <f>Data!K2212</f>
        <v>0</v>
      </c>
      <c r="R2196">
        <f>Data!L2212</f>
        <v>0</v>
      </c>
      <c r="S2196">
        <f>Data!M2212</f>
        <v>0</v>
      </c>
      <c r="T2196">
        <f>Data!N2212</f>
        <v>0</v>
      </c>
      <c r="U2196">
        <f>Data!O2212</f>
        <v>0</v>
      </c>
      <c r="V2196" s="33">
        <f>Data!P2210</f>
        <v>0</v>
      </c>
    </row>
    <row r="2197" spans="7:22" x14ac:dyDescent="0.25">
      <c r="G2197" cm="1">
        <f t="array" aca="1" ref="G2197" ca="1">INDIRECT("Data!A" &amp; 2192)</f>
        <v>0</v>
      </c>
      <c r="H2197" s="21">
        <f>Data!B2209</f>
        <v>0</v>
      </c>
      <c r="I2197" s="21">
        <f>Data!C2209</f>
        <v>0</v>
      </c>
      <c r="J2197">
        <f>Data!D2209</f>
        <v>0</v>
      </c>
      <c r="K2197">
        <f>Data!E2209</f>
        <v>0</v>
      </c>
      <c r="L2197">
        <f>Data!F2209</f>
        <v>0</v>
      </c>
      <c r="M2197">
        <f>Data!G2209</f>
        <v>0</v>
      </c>
      <c r="N2197">
        <f>Data!H2209</f>
        <v>0</v>
      </c>
      <c r="O2197">
        <f>Data!I2209</f>
        <v>0</v>
      </c>
      <c r="P2197" s="21">
        <f>Data!J2213</f>
        <v>0</v>
      </c>
      <c r="Q2197">
        <f>Data!K2213</f>
        <v>0</v>
      </c>
      <c r="R2197">
        <f>Data!L2213</f>
        <v>0</v>
      </c>
      <c r="S2197">
        <f>Data!M2213</f>
        <v>0</v>
      </c>
      <c r="T2197">
        <f>Data!N2213</f>
        <v>0</v>
      </c>
      <c r="U2197">
        <f>Data!O2213</f>
        <v>0</v>
      </c>
      <c r="V2197" s="33">
        <f>Data!P2211</f>
        <v>0</v>
      </c>
    </row>
    <row r="2198" spans="7:22" x14ac:dyDescent="0.25">
      <c r="G2198" cm="1">
        <f t="array" aca="1" ref="G2198" ca="1">INDIRECT("Data!A" &amp; 2193)</f>
        <v>0</v>
      </c>
      <c r="H2198" s="21">
        <f>Data!B2210</f>
        <v>0</v>
      </c>
      <c r="I2198" s="21">
        <f>Data!C2210</f>
        <v>0</v>
      </c>
      <c r="J2198">
        <f>Data!D2210</f>
        <v>0</v>
      </c>
      <c r="K2198">
        <f>Data!E2210</f>
        <v>0</v>
      </c>
      <c r="L2198">
        <f>Data!F2210</f>
        <v>0</v>
      </c>
      <c r="M2198">
        <f>Data!G2210</f>
        <v>0</v>
      </c>
      <c r="N2198">
        <f>Data!H2210</f>
        <v>0</v>
      </c>
      <c r="O2198">
        <f>Data!I2210</f>
        <v>0</v>
      </c>
      <c r="P2198" s="21">
        <f>Data!J2214</f>
        <v>0</v>
      </c>
      <c r="Q2198">
        <f>Data!K2214</f>
        <v>0</v>
      </c>
      <c r="R2198">
        <f>Data!L2214</f>
        <v>0</v>
      </c>
      <c r="S2198">
        <f>Data!M2214</f>
        <v>0</v>
      </c>
      <c r="T2198">
        <f>Data!N2214</f>
        <v>0</v>
      </c>
      <c r="U2198">
        <f>Data!O2214</f>
        <v>0</v>
      </c>
      <c r="V2198" s="33">
        <f>Data!P2212</f>
        <v>0</v>
      </c>
    </row>
    <row r="2199" spans="7:22" x14ac:dyDescent="0.25">
      <c r="G2199" cm="1">
        <f t="array" aca="1" ref="G2199" ca="1">INDIRECT("Data!A" &amp; 2194)</f>
        <v>0</v>
      </c>
      <c r="H2199" s="21">
        <f>Data!B2211</f>
        <v>0</v>
      </c>
      <c r="I2199" s="21">
        <f>Data!C2211</f>
        <v>0</v>
      </c>
      <c r="J2199">
        <f>Data!D2211</f>
        <v>0</v>
      </c>
      <c r="K2199">
        <f>Data!E2211</f>
        <v>0</v>
      </c>
      <c r="L2199">
        <f>Data!F2211</f>
        <v>0</v>
      </c>
      <c r="M2199">
        <f>Data!G2211</f>
        <v>0</v>
      </c>
      <c r="N2199">
        <f>Data!H2211</f>
        <v>0</v>
      </c>
      <c r="O2199">
        <f>Data!I2211</f>
        <v>0</v>
      </c>
      <c r="P2199" s="21">
        <f>Data!J2215</f>
        <v>0</v>
      </c>
      <c r="Q2199">
        <f>Data!K2215</f>
        <v>0</v>
      </c>
      <c r="R2199">
        <f>Data!L2215</f>
        <v>0</v>
      </c>
      <c r="S2199">
        <f>Data!M2215</f>
        <v>0</v>
      </c>
      <c r="T2199">
        <f>Data!N2215</f>
        <v>0</v>
      </c>
      <c r="U2199">
        <f>Data!O2215</f>
        <v>0</v>
      </c>
      <c r="V2199" s="33">
        <f>Data!P2213</f>
        <v>0</v>
      </c>
    </row>
    <row r="2200" spans="7:22" x14ac:dyDescent="0.25">
      <c r="G2200" cm="1">
        <f t="array" aca="1" ref="G2200" ca="1">INDIRECT("Data!A" &amp; 2195)</f>
        <v>0</v>
      </c>
      <c r="H2200" s="21">
        <f>Data!B2212</f>
        <v>0</v>
      </c>
      <c r="I2200" s="21">
        <f>Data!C2212</f>
        <v>0</v>
      </c>
      <c r="J2200">
        <f>Data!D2212</f>
        <v>0</v>
      </c>
      <c r="K2200">
        <f>Data!E2212</f>
        <v>0</v>
      </c>
      <c r="L2200">
        <f>Data!F2212</f>
        <v>0</v>
      </c>
      <c r="M2200">
        <f>Data!G2212</f>
        <v>0</v>
      </c>
      <c r="N2200">
        <f>Data!H2212</f>
        <v>0</v>
      </c>
      <c r="O2200">
        <f>Data!I2212</f>
        <v>0</v>
      </c>
      <c r="P2200" s="21">
        <f>Data!J2216</f>
        <v>0</v>
      </c>
      <c r="Q2200">
        <f>Data!K2216</f>
        <v>0</v>
      </c>
      <c r="R2200">
        <f>Data!L2216</f>
        <v>0</v>
      </c>
      <c r="S2200">
        <f>Data!M2216</f>
        <v>0</v>
      </c>
      <c r="T2200">
        <f>Data!N2216</f>
        <v>0</v>
      </c>
      <c r="U2200">
        <f>Data!O2216</f>
        <v>0</v>
      </c>
      <c r="V2200" s="33">
        <f>Data!P2214</f>
        <v>0</v>
      </c>
    </row>
    <row r="2201" spans="7:22" x14ac:dyDescent="0.25">
      <c r="G2201" cm="1">
        <f t="array" aca="1" ref="G2201" ca="1">INDIRECT("Data!A" &amp; 2196)</f>
        <v>0</v>
      </c>
      <c r="H2201" s="21">
        <f>Data!B2213</f>
        <v>0</v>
      </c>
      <c r="I2201" s="21">
        <f>Data!C2213</f>
        <v>0</v>
      </c>
      <c r="J2201">
        <f>Data!D2213</f>
        <v>0</v>
      </c>
      <c r="K2201">
        <f>Data!E2213</f>
        <v>0</v>
      </c>
      <c r="L2201">
        <f>Data!F2213</f>
        <v>0</v>
      </c>
      <c r="M2201">
        <f>Data!G2213</f>
        <v>0</v>
      </c>
      <c r="N2201">
        <f>Data!H2213</f>
        <v>0</v>
      </c>
      <c r="O2201">
        <f>Data!I2213</f>
        <v>0</v>
      </c>
      <c r="P2201" s="21">
        <f>Data!J2217</f>
        <v>0</v>
      </c>
      <c r="Q2201">
        <f>Data!K2217</f>
        <v>0</v>
      </c>
      <c r="R2201">
        <f>Data!L2217</f>
        <v>0</v>
      </c>
      <c r="S2201">
        <f>Data!M2217</f>
        <v>0</v>
      </c>
      <c r="T2201">
        <f>Data!N2217</f>
        <v>0</v>
      </c>
      <c r="U2201">
        <f>Data!O2217</f>
        <v>0</v>
      </c>
      <c r="V2201" s="33">
        <f>Data!P2215</f>
        <v>0</v>
      </c>
    </row>
    <row r="2202" spans="7:22" x14ac:dyDescent="0.25">
      <c r="G2202" cm="1">
        <f t="array" aca="1" ref="G2202" ca="1">INDIRECT("Data!A" &amp; 2197)</f>
        <v>0</v>
      </c>
      <c r="H2202" s="21">
        <f>Data!B2214</f>
        <v>0</v>
      </c>
      <c r="I2202" s="21">
        <f>Data!C2214</f>
        <v>0</v>
      </c>
      <c r="J2202">
        <f>Data!D2214</f>
        <v>0</v>
      </c>
      <c r="K2202">
        <f>Data!E2214</f>
        <v>0</v>
      </c>
      <c r="L2202">
        <f>Data!F2214</f>
        <v>0</v>
      </c>
      <c r="M2202">
        <f>Data!G2214</f>
        <v>0</v>
      </c>
      <c r="N2202">
        <f>Data!H2214</f>
        <v>0</v>
      </c>
      <c r="O2202">
        <f>Data!I2214</f>
        <v>0</v>
      </c>
      <c r="P2202" s="21">
        <f>Data!J2218</f>
        <v>0</v>
      </c>
      <c r="Q2202">
        <f>Data!K2218</f>
        <v>0</v>
      </c>
      <c r="R2202">
        <f>Data!L2218</f>
        <v>0</v>
      </c>
      <c r="S2202">
        <f>Data!M2218</f>
        <v>0</v>
      </c>
      <c r="T2202">
        <f>Data!N2218</f>
        <v>0</v>
      </c>
      <c r="U2202">
        <f>Data!O2218</f>
        <v>0</v>
      </c>
      <c r="V2202" s="33">
        <f>Data!P2216</f>
        <v>0</v>
      </c>
    </row>
    <row r="2203" spans="7:22" x14ac:dyDescent="0.25">
      <c r="G2203" cm="1">
        <f t="array" aca="1" ref="G2203" ca="1">INDIRECT("Data!A" &amp; 2198)</f>
        <v>0</v>
      </c>
      <c r="H2203" s="21">
        <f>Data!B2215</f>
        <v>0</v>
      </c>
      <c r="I2203" s="21">
        <f>Data!C2215</f>
        <v>0</v>
      </c>
      <c r="J2203">
        <f>Data!D2215</f>
        <v>0</v>
      </c>
      <c r="K2203">
        <f>Data!E2215</f>
        <v>0</v>
      </c>
      <c r="L2203">
        <f>Data!F2215</f>
        <v>0</v>
      </c>
      <c r="M2203">
        <f>Data!G2215</f>
        <v>0</v>
      </c>
      <c r="N2203">
        <f>Data!H2215</f>
        <v>0</v>
      </c>
      <c r="O2203">
        <f>Data!I2215</f>
        <v>0</v>
      </c>
      <c r="P2203" s="21">
        <f>Data!J2219</f>
        <v>0</v>
      </c>
      <c r="Q2203">
        <f>Data!K2219</f>
        <v>0</v>
      </c>
      <c r="R2203">
        <f>Data!L2219</f>
        <v>0</v>
      </c>
      <c r="S2203">
        <f>Data!M2219</f>
        <v>0</v>
      </c>
      <c r="T2203">
        <f>Data!N2219</f>
        <v>0</v>
      </c>
      <c r="U2203">
        <f>Data!O2219</f>
        <v>0</v>
      </c>
      <c r="V2203" s="33">
        <f>Data!P2217</f>
        <v>0</v>
      </c>
    </row>
    <row r="2204" spans="7:22" x14ac:dyDescent="0.25">
      <c r="G2204" cm="1">
        <f t="array" aca="1" ref="G2204" ca="1">INDIRECT("Data!A" &amp; 2199)</f>
        <v>0</v>
      </c>
      <c r="H2204" s="21">
        <f>Data!B2216</f>
        <v>0</v>
      </c>
      <c r="I2204" s="21">
        <f>Data!C2216</f>
        <v>0</v>
      </c>
      <c r="J2204">
        <f>Data!D2216</f>
        <v>0</v>
      </c>
      <c r="K2204">
        <f>Data!E2216</f>
        <v>0</v>
      </c>
      <c r="L2204">
        <f>Data!F2216</f>
        <v>0</v>
      </c>
      <c r="M2204">
        <f>Data!G2216</f>
        <v>0</v>
      </c>
      <c r="N2204">
        <f>Data!H2216</f>
        <v>0</v>
      </c>
      <c r="O2204">
        <f>Data!I2216</f>
        <v>0</v>
      </c>
      <c r="P2204" s="21">
        <f>Data!J2220</f>
        <v>0</v>
      </c>
      <c r="Q2204">
        <f>Data!K2220</f>
        <v>0</v>
      </c>
      <c r="R2204">
        <f>Data!L2220</f>
        <v>0</v>
      </c>
      <c r="S2204">
        <f>Data!M2220</f>
        <v>0</v>
      </c>
      <c r="T2204">
        <f>Data!N2220</f>
        <v>0</v>
      </c>
      <c r="U2204">
        <f>Data!O2220</f>
        <v>0</v>
      </c>
      <c r="V2204" s="33">
        <f>Data!P2218</f>
        <v>0</v>
      </c>
    </row>
    <row r="2205" spans="7:22" x14ac:dyDescent="0.25">
      <c r="G2205" cm="1">
        <f t="array" aca="1" ref="G2205" ca="1">INDIRECT("Data!A" &amp; 2200)</f>
        <v>0</v>
      </c>
      <c r="H2205" s="21">
        <f>Data!B2217</f>
        <v>0</v>
      </c>
      <c r="I2205" s="21">
        <f>Data!C2217</f>
        <v>0</v>
      </c>
      <c r="J2205">
        <f>Data!D2217</f>
        <v>0</v>
      </c>
      <c r="K2205">
        <f>Data!E2217</f>
        <v>0</v>
      </c>
      <c r="L2205">
        <f>Data!F2217</f>
        <v>0</v>
      </c>
      <c r="M2205">
        <f>Data!G2217</f>
        <v>0</v>
      </c>
      <c r="N2205">
        <f>Data!H2217</f>
        <v>0</v>
      </c>
      <c r="O2205">
        <f>Data!I2217</f>
        <v>0</v>
      </c>
      <c r="P2205" s="21">
        <f>Data!J2221</f>
        <v>0</v>
      </c>
      <c r="Q2205">
        <f>Data!K2221</f>
        <v>0</v>
      </c>
      <c r="R2205">
        <f>Data!L2221</f>
        <v>0</v>
      </c>
      <c r="S2205">
        <f>Data!M2221</f>
        <v>0</v>
      </c>
      <c r="T2205">
        <f>Data!N2221</f>
        <v>0</v>
      </c>
      <c r="U2205">
        <f>Data!O2221</f>
        <v>0</v>
      </c>
      <c r="V2205" s="33">
        <f>Data!P2219</f>
        <v>0</v>
      </c>
    </row>
    <row r="2206" spans="7:22" x14ac:dyDescent="0.25">
      <c r="G2206" cm="1">
        <f t="array" aca="1" ref="G2206" ca="1">INDIRECT("Data!A" &amp; 2201)</f>
        <v>0</v>
      </c>
      <c r="H2206" s="21">
        <f>Data!B2218</f>
        <v>0</v>
      </c>
      <c r="I2206" s="21">
        <f>Data!C2218</f>
        <v>0</v>
      </c>
      <c r="J2206">
        <f>Data!D2218</f>
        <v>0</v>
      </c>
      <c r="K2206">
        <f>Data!E2218</f>
        <v>0</v>
      </c>
      <c r="L2206">
        <f>Data!F2218</f>
        <v>0</v>
      </c>
      <c r="M2206">
        <f>Data!G2218</f>
        <v>0</v>
      </c>
      <c r="N2206">
        <f>Data!H2218</f>
        <v>0</v>
      </c>
      <c r="O2206">
        <f>Data!I2218</f>
        <v>0</v>
      </c>
      <c r="P2206" s="21">
        <f>Data!J2222</f>
        <v>0</v>
      </c>
      <c r="Q2206">
        <f>Data!K2222</f>
        <v>0</v>
      </c>
      <c r="R2206">
        <f>Data!L2222</f>
        <v>0</v>
      </c>
      <c r="S2206">
        <f>Data!M2222</f>
        <v>0</v>
      </c>
      <c r="T2206">
        <f>Data!N2222</f>
        <v>0</v>
      </c>
      <c r="U2206">
        <f>Data!O2222</f>
        <v>0</v>
      </c>
      <c r="V2206" s="33">
        <f>Data!P2220</f>
        <v>0</v>
      </c>
    </row>
    <row r="2207" spans="7:22" x14ac:dyDescent="0.25">
      <c r="G2207" cm="1">
        <f t="array" aca="1" ref="G2207" ca="1">INDIRECT("Data!A" &amp; 2202)</f>
        <v>0</v>
      </c>
      <c r="H2207" s="21">
        <f>Data!B2219</f>
        <v>0</v>
      </c>
      <c r="I2207" s="21">
        <f>Data!C2219</f>
        <v>0</v>
      </c>
      <c r="J2207">
        <f>Data!D2219</f>
        <v>0</v>
      </c>
      <c r="K2207">
        <f>Data!E2219</f>
        <v>0</v>
      </c>
      <c r="L2207">
        <f>Data!F2219</f>
        <v>0</v>
      </c>
      <c r="M2207">
        <f>Data!G2219</f>
        <v>0</v>
      </c>
      <c r="N2207">
        <f>Data!H2219</f>
        <v>0</v>
      </c>
      <c r="O2207">
        <f>Data!I2219</f>
        <v>0</v>
      </c>
      <c r="P2207" s="21">
        <f>Data!J2223</f>
        <v>0</v>
      </c>
      <c r="Q2207">
        <f>Data!K2223</f>
        <v>0</v>
      </c>
      <c r="R2207">
        <f>Data!L2223</f>
        <v>0</v>
      </c>
      <c r="S2207">
        <f>Data!M2223</f>
        <v>0</v>
      </c>
      <c r="T2207">
        <f>Data!N2223</f>
        <v>0</v>
      </c>
      <c r="U2207">
        <f>Data!O2223</f>
        <v>0</v>
      </c>
      <c r="V2207" s="33">
        <f>Data!P2221</f>
        <v>0</v>
      </c>
    </row>
    <row r="2208" spans="7:22" x14ac:dyDescent="0.25">
      <c r="G2208" cm="1">
        <f t="array" aca="1" ref="G2208" ca="1">INDIRECT("Data!A" &amp; 2203)</f>
        <v>0</v>
      </c>
      <c r="H2208" s="21">
        <f>Data!B2220</f>
        <v>0</v>
      </c>
      <c r="I2208" s="21">
        <f>Data!C2220</f>
        <v>0</v>
      </c>
      <c r="J2208">
        <f>Data!D2220</f>
        <v>0</v>
      </c>
      <c r="K2208">
        <f>Data!E2220</f>
        <v>0</v>
      </c>
      <c r="L2208">
        <f>Data!F2220</f>
        <v>0</v>
      </c>
      <c r="M2208">
        <f>Data!G2220</f>
        <v>0</v>
      </c>
      <c r="N2208">
        <f>Data!H2220</f>
        <v>0</v>
      </c>
      <c r="O2208">
        <f>Data!I2220</f>
        <v>0</v>
      </c>
      <c r="P2208" s="21">
        <f>Data!J2224</f>
        <v>0</v>
      </c>
      <c r="Q2208">
        <f>Data!K2224</f>
        <v>0</v>
      </c>
      <c r="R2208">
        <f>Data!L2224</f>
        <v>0</v>
      </c>
      <c r="S2208">
        <f>Data!M2224</f>
        <v>0</v>
      </c>
      <c r="T2208">
        <f>Data!N2224</f>
        <v>0</v>
      </c>
      <c r="U2208">
        <f>Data!O2224</f>
        <v>0</v>
      </c>
      <c r="V2208" s="33">
        <f>Data!P2222</f>
        <v>0</v>
      </c>
    </row>
    <row r="2209" spans="7:22" x14ac:dyDescent="0.25">
      <c r="G2209" cm="1">
        <f t="array" aca="1" ref="G2209" ca="1">INDIRECT("Data!A" &amp; 2204)</f>
        <v>0</v>
      </c>
      <c r="H2209" s="21">
        <f>Data!B2221</f>
        <v>0</v>
      </c>
      <c r="I2209" s="21">
        <f>Data!C2221</f>
        <v>0</v>
      </c>
      <c r="J2209">
        <f>Data!D2221</f>
        <v>0</v>
      </c>
      <c r="K2209">
        <f>Data!E2221</f>
        <v>0</v>
      </c>
      <c r="L2209">
        <f>Data!F2221</f>
        <v>0</v>
      </c>
      <c r="M2209">
        <f>Data!G2221</f>
        <v>0</v>
      </c>
      <c r="N2209">
        <f>Data!H2221</f>
        <v>0</v>
      </c>
      <c r="O2209">
        <f>Data!I2221</f>
        <v>0</v>
      </c>
      <c r="P2209" s="21">
        <f>Data!J2225</f>
        <v>0</v>
      </c>
      <c r="Q2209">
        <f>Data!K2225</f>
        <v>0</v>
      </c>
      <c r="R2209">
        <f>Data!L2225</f>
        <v>0</v>
      </c>
      <c r="S2209">
        <f>Data!M2225</f>
        <v>0</v>
      </c>
      <c r="T2209">
        <f>Data!N2225</f>
        <v>0</v>
      </c>
      <c r="U2209">
        <f>Data!O2225</f>
        <v>0</v>
      </c>
      <c r="V2209" s="33">
        <f>Data!P2223</f>
        <v>0</v>
      </c>
    </row>
    <row r="2210" spans="7:22" x14ac:dyDescent="0.25">
      <c r="G2210" cm="1">
        <f t="array" aca="1" ref="G2210" ca="1">INDIRECT("Data!A" &amp; 2205)</f>
        <v>0</v>
      </c>
      <c r="H2210" s="21">
        <f>Data!B2222</f>
        <v>0</v>
      </c>
      <c r="I2210" s="21">
        <f>Data!C2222</f>
        <v>0</v>
      </c>
      <c r="J2210">
        <f>Data!D2222</f>
        <v>0</v>
      </c>
      <c r="K2210">
        <f>Data!E2222</f>
        <v>0</v>
      </c>
      <c r="L2210">
        <f>Data!F2222</f>
        <v>0</v>
      </c>
      <c r="M2210">
        <f>Data!G2222</f>
        <v>0</v>
      </c>
      <c r="N2210">
        <f>Data!H2222</f>
        <v>0</v>
      </c>
      <c r="O2210">
        <f>Data!I2222</f>
        <v>0</v>
      </c>
      <c r="P2210" s="21">
        <f>Data!J2226</f>
        <v>0</v>
      </c>
      <c r="Q2210">
        <f>Data!K2226</f>
        <v>0</v>
      </c>
      <c r="R2210">
        <f>Data!L2226</f>
        <v>0</v>
      </c>
      <c r="S2210">
        <f>Data!M2226</f>
        <v>0</v>
      </c>
      <c r="T2210">
        <f>Data!N2226</f>
        <v>0</v>
      </c>
      <c r="U2210">
        <f>Data!O2226</f>
        <v>0</v>
      </c>
      <c r="V2210" s="33">
        <f>Data!P2224</f>
        <v>0</v>
      </c>
    </row>
    <row r="2211" spans="7:22" x14ac:dyDescent="0.25">
      <c r="G2211" cm="1">
        <f t="array" aca="1" ref="G2211" ca="1">INDIRECT("Data!A" &amp; 2206)</f>
        <v>0</v>
      </c>
      <c r="H2211" s="21">
        <f>Data!B2223</f>
        <v>0</v>
      </c>
      <c r="I2211" s="21">
        <f>Data!C2223</f>
        <v>0</v>
      </c>
      <c r="J2211">
        <f>Data!D2223</f>
        <v>0</v>
      </c>
      <c r="K2211">
        <f>Data!E2223</f>
        <v>0</v>
      </c>
      <c r="L2211">
        <f>Data!F2223</f>
        <v>0</v>
      </c>
      <c r="M2211">
        <f>Data!G2223</f>
        <v>0</v>
      </c>
      <c r="N2211">
        <f>Data!H2223</f>
        <v>0</v>
      </c>
      <c r="O2211">
        <f>Data!I2223</f>
        <v>0</v>
      </c>
      <c r="P2211" s="21">
        <f>Data!J2227</f>
        <v>0</v>
      </c>
      <c r="Q2211">
        <f>Data!K2227</f>
        <v>0</v>
      </c>
      <c r="R2211">
        <f>Data!L2227</f>
        <v>0</v>
      </c>
      <c r="S2211">
        <f>Data!M2227</f>
        <v>0</v>
      </c>
      <c r="T2211">
        <f>Data!N2227</f>
        <v>0</v>
      </c>
      <c r="U2211">
        <f>Data!O2227</f>
        <v>0</v>
      </c>
      <c r="V2211" s="33">
        <f>Data!P2225</f>
        <v>0</v>
      </c>
    </row>
    <row r="2212" spans="7:22" x14ac:dyDescent="0.25">
      <c r="G2212" cm="1">
        <f t="array" aca="1" ref="G2212" ca="1">INDIRECT("Data!A" &amp; 2207)</f>
        <v>0</v>
      </c>
      <c r="H2212" s="21">
        <f>Data!B2224</f>
        <v>0</v>
      </c>
      <c r="I2212" s="21">
        <f>Data!C2224</f>
        <v>0</v>
      </c>
      <c r="J2212">
        <f>Data!D2224</f>
        <v>0</v>
      </c>
      <c r="K2212">
        <f>Data!E2224</f>
        <v>0</v>
      </c>
      <c r="L2212">
        <f>Data!F2224</f>
        <v>0</v>
      </c>
      <c r="M2212">
        <f>Data!G2224</f>
        <v>0</v>
      </c>
      <c r="N2212">
        <f>Data!H2224</f>
        <v>0</v>
      </c>
      <c r="O2212">
        <f>Data!I2224</f>
        <v>0</v>
      </c>
      <c r="P2212" s="21">
        <f>Data!J2228</f>
        <v>0</v>
      </c>
      <c r="Q2212">
        <f>Data!K2228</f>
        <v>0</v>
      </c>
      <c r="R2212">
        <f>Data!L2228</f>
        <v>0</v>
      </c>
      <c r="S2212">
        <f>Data!M2228</f>
        <v>0</v>
      </c>
      <c r="T2212">
        <f>Data!N2228</f>
        <v>0</v>
      </c>
      <c r="U2212">
        <f>Data!O2228</f>
        <v>0</v>
      </c>
      <c r="V2212" s="33">
        <f>Data!P2226</f>
        <v>0</v>
      </c>
    </row>
    <row r="2213" spans="7:22" x14ac:dyDescent="0.25">
      <c r="G2213" cm="1">
        <f t="array" aca="1" ref="G2213" ca="1">INDIRECT("Data!A" &amp; 2208)</f>
        <v>0</v>
      </c>
      <c r="H2213" s="21">
        <f>Data!B2225</f>
        <v>0</v>
      </c>
      <c r="I2213" s="21">
        <f>Data!C2225</f>
        <v>0</v>
      </c>
      <c r="J2213">
        <f>Data!D2225</f>
        <v>0</v>
      </c>
      <c r="K2213">
        <f>Data!E2225</f>
        <v>0</v>
      </c>
      <c r="L2213">
        <f>Data!F2225</f>
        <v>0</v>
      </c>
      <c r="M2213">
        <f>Data!G2225</f>
        <v>0</v>
      </c>
      <c r="N2213">
        <f>Data!H2225</f>
        <v>0</v>
      </c>
      <c r="O2213">
        <f>Data!I2225</f>
        <v>0</v>
      </c>
      <c r="P2213" s="21">
        <f>Data!J2229</f>
        <v>0</v>
      </c>
      <c r="Q2213">
        <f>Data!K2229</f>
        <v>0</v>
      </c>
      <c r="R2213">
        <f>Data!L2229</f>
        <v>0</v>
      </c>
      <c r="S2213">
        <f>Data!M2229</f>
        <v>0</v>
      </c>
      <c r="T2213">
        <f>Data!N2229</f>
        <v>0</v>
      </c>
      <c r="U2213">
        <f>Data!O2229</f>
        <v>0</v>
      </c>
      <c r="V2213" s="33">
        <f>Data!P2227</f>
        <v>0</v>
      </c>
    </row>
    <row r="2214" spans="7:22" x14ac:dyDescent="0.25">
      <c r="G2214" cm="1">
        <f t="array" aca="1" ref="G2214" ca="1">INDIRECT("Data!A" &amp; 2209)</f>
        <v>0</v>
      </c>
      <c r="H2214" s="21">
        <f>Data!B2226</f>
        <v>0</v>
      </c>
      <c r="I2214" s="21">
        <f>Data!C2226</f>
        <v>0</v>
      </c>
      <c r="J2214">
        <f>Data!D2226</f>
        <v>0</v>
      </c>
      <c r="K2214">
        <f>Data!E2226</f>
        <v>0</v>
      </c>
      <c r="L2214">
        <f>Data!F2226</f>
        <v>0</v>
      </c>
      <c r="M2214">
        <f>Data!G2226</f>
        <v>0</v>
      </c>
      <c r="N2214">
        <f>Data!H2226</f>
        <v>0</v>
      </c>
      <c r="O2214">
        <f>Data!I2226</f>
        <v>0</v>
      </c>
      <c r="P2214" s="21">
        <f>Data!J2230</f>
        <v>0</v>
      </c>
      <c r="Q2214">
        <f>Data!K2230</f>
        <v>0</v>
      </c>
      <c r="R2214">
        <f>Data!L2230</f>
        <v>0</v>
      </c>
      <c r="S2214">
        <f>Data!M2230</f>
        <v>0</v>
      </c>
      <c r="T2214">
        <f>Data!N2230</f>
        <v>0</v>
      </c>
      <c r="U2214">
        <f>Data!O2230</f>
        <v>0</v>
      </c>
      <c r="V2214" s="33">
        <f>Data!P2228</f>
        <v>0</v>
      </c>
    </row>
    <row r="2215" spans="7:22" x14ac:dyDescent="0.25">
      <c r="G2215" cm="1">
        <f t="array" aca="1" ref="G2215" ca="1">INDIRECT("Data!A" &amp; 2210)</f>
        <v>0</v>
      </c>
      <c r="H2215" s="21">
        <f>Data!B2227</f>
        <v>0</v>
      </c>
      <c r="I2215" s="21">
        <f>Data!C2227</f>
        <v>0</v>
      </c>
      <c r="J2215">
        <f>Data!D2227</f>
        <v>0</v>
      </c>
      <c r="K2215">
        <f>Data!E2227</f>
        <v>0</v>
      </c>
      <c r="L2215">
        <f>Data!F2227</f>
        <v>0</v>
      </c>
      <c r="M2215">
        <f>Data!G2227</f>
        <v>0</v>
      </c>
      <c r="N2215">
        <f>Data!H2227</f>
        <v>0</v>
      </c>
      <c r="O2215">
        <f>Data!I2227</f>
        <v>0</v>
      </c>
      <c r="P2215" s="21">
        <f>Data!J2231</f>
        <v>0</v>
      </c>
      <c r="Q2215">
        <f>Data!K2231</f>
        <v>0</v>
      </c>
      <c r="R2215">
        <f>Data!L2231</f>
        <v>0</v>
      </c>
      <c r="S2215">
        <f>Data!M2231</f>
        <v>0</v>
      </c>
      <c r="T2215">
        <f>Data!N2231</f>
        <v>0</v>
      </c>
      <c r="U2215">
        <f>Data!O2231</f>
        <v>0</v>
      </c>
      <c r="V2215" s="33">
        <f>Data!P2229</f>
        <v>0</v>
      </c>
    </row>
    <row r="2216" spans="7:22" x14ac:dyDescent="0.25">
      <c r="G2216" cm="1">
        <f t="array" aca="1" ref="G2216" ca="1">INDIRECT("Data!A" &amp; 2211)</f>
        <v>0</v>
      </c>
      <c r="H2216" s="21">
        <f>Data!B2228</f>
        <v>0</v>
      </c>
      <c r="I2216" s="21">
        <f>Data!C2228</f>
        <v>0</v>
      </c>
      <c r="J2216">
        <f>Data!D2228</f>
        <v>0</v>
      </c>
      <c r="K2216">
        <f>Data!E2228</f>
        <v>0</v>
      </c>
      <c r="L2216">
        <f>Data!F2228</f>
        <v>0</v>
      </c>
      <c r="M2216">
        <f>Data!G2228</f>
        <v>0</v>
      </c>
      <c r="N2216">
        <f>Data!H2228</f>
        <v>0</v>
      </c>
      <c r="O2216">
        <f>Data!I2228</f>
        <v>0</v>
      </c>
      <c r="P2216" s="21">
        <f>Data!J2232</f>
        <v>0</v>
      </c>
      <c r="Q2216">
        <f>Data!K2232</f>
        <v>0</v>
      </c>
      <c r="R2216">
        <f>Data!L2232</f>
        <v>0</v>
      </c>
      <c r="S2216">
        <f>Data!M2232</f>
        <v>0</v>
      </c>
      <c r="T2216">
        <f>Data!N2232</f>
        <v>0</v>
      </c>
      <c r="U2216">
        <f>Data!O2232</f>
        <v>0</v>
      </c>
      <c r="V2216" s="33">
        <f>Data!P2230</f>
        <v>0</v>
      </c>
    </row>
    <row r="2217" spans="7:22" x14ac:dyDescent="0.25">
      <c r="G2217" cm="1">
        <f t="array" aca="1" ref="G2217" ca="1">INDIRECT("Data!A" &amp; 2212)</f>
        <v>0</v>
      </c>
      <c r="H2217" s="21">
        <f>Data!B2229</f>
        <v>0</v>
      </c>
      <c r="I2217" s="21">
        <f>Data!C2229</f>
        <v>0</v>
      </c>
      <c r="J2217">
        <f>Data!D2229</f>
        <v>0</v>
      </c>
      <c r="K2217">
        <f>Data!E2229</f>
        <v>0</v>
      </c>
      <c r="L2217">
        <f>Data!F2229</f>
        <v>0</v>
      </c>
      <c r="M2217">
        <f>Data!G2229</f>
        <v>0</v>
      </c>
      <c r="N2217">
        <f>Data!H2229</f>
        <v>0</v>
      </c>
      <c r="O2217">
        <f>Data!I2229</f>
        <v>0</v>
      </c>
      <c r="P2217" s="21">
        <f>Data!J2233</f>
        <v>0</v>
      </c>
      <c r="Q2217">
        <f>Data!K2233</f>
        <v>0</v>
      </c>
      <c r="R2217">
        <f>Data!L2233</f>
        <v>0</v>
      </c>
      <c r="S2217">
        <f>Data!M2233</f>
        <v>0</v>
      </c>
      <c r="T2217">
        <f>Data!N2233</f>
        <v>0</v>
      </c>
      <c r="U2217">
        <f>Data!O2233</f>
        <v>0</v>
      </c>
      <c r="V2217" s="33">
        <f>Data!P2231</f>
        <v>0</v>
      </c>
    </row>
    <row r="2218" spans="7:22" x14ac:dyDescent="0.25">
      <c r="G2218" cm="1">
        <f t="array" aca="1" ref="G2218" ca="1">INDIRECT("Data!A" &amp; 2213)</f>
        <v>0</v>
      </c>
      <c r="H2218" s="21">
        <f>Data!B2230</f>
        <v>0</v>
      </c>
      <c r="I2218" s="21">
        <f>Data!C2230</f>
        <v>0</v>
      </c>
      <c r="J2218">
        <f>Data!D2230</f>
        <v>0</v>
      </c>
      <c r="K2218">
        <f>Data!E2230</f>
        <v>0</v>
      </c>
      <c r="L2218">
        <f>Data!F2230</f>
        <v>0</v>
      </c>
      <c r="M2218">
        <f>Data!G2230</f>
        <v>0</v>
      </c>
      <c r="N2218">
        <f>Data!H2230</f>
        <v>0</v>
      </c>
      <c r="O2218">
        <f>Data!I2230</f>
        <v>0</v>
      </c>
      <c r="P2218" s="21">
        <f>Data!J2234</f>
        <v>0</v>
      </c>
      <c r="Q2218">
        <f>Data!K2234</f>
        <v>0</v>
      </c>
      <c r="R2218">
        <f>Data!L2234</f>
        <v>0</v>
      </c>
      <c r="S2218">
        <f>Data!M2234</f>
        <v>0</v>
      </c>
      <c r="T2218">
        <f>Data!N2234</f>
        <v>0</v>
      </c>
      <c r="U2218">
        <f>Data!O2234</f>
        <v>0</v>
      </c>
      <c r="V2218" s="33">
        <f>Data!P2232</f>
        <v>0</v>
      </c>
    </row>
    <row r="2219" spans="7:22" x14ac:dyDescent="0.25">
      <c r="G2219" cm="1">
        <f t="array" aca="1" ref="G2219" ca="1">INDIRECT("Data!A" &amp; 2214)</f>
        <v>0</v>
      </c>
      <c r="H2219" s="21">
        <f>Data!B2231</f>
        <v>0</v>
      </c>
      <c r="I2219" s="21">
        <f>Data!C2231</f>
        <v>0</v>
      </c>
      <c r="J2219">
        <f>Data!D2231</f>
        <v>0</v>
      </c>
      <c r="K2219">
        <f>Data!E2231</f>
        <v>0</v>
      </c>
      <c r="L2219">
        <f>Data!F2231</f>
        <v>0</v>
      </c>
      <c r="M2219">
        <f>Data!G2231</f>
        <v>0</v>
      </c>
      <c r="N2219">
        <f>Data!H2231</f>
        <v>0</v>
      </c>
      <c r="O2219">
        <f>Data!I2231</f>
        <v>0</v>
      </c>
      <c r="P2219" s="21">
        <f>Data!J2235</f>
        <v>0</v>
      </c>
      <c r="Q2219">
        <f>Data!K2235</f>
        <v>0</v>
      </c>
      <c r="R2219">
        <f>Data!L2235</f>
        <v>0</v>
      </c>
      <c r="S2219">
        <f>Data!M2235</f>
        <v>0</v>
      </c>
      <c r="T2219">
        <f>Data!N2235</f>
        <v>0</v>
      </c>
      <c r="U2219">
        <f>Data!O2235</f>
        <v>0</v>
      </c>
      <c r="V2219" s="33">
        <f>Data!P2233</f>
        <v>0</v>
      </c>
    </row>
    <row r="2220" spans="7:22" x14ac:dyDescent="0.25">
      <c r="G2220" cm="1">
        <f t="array" aca="1" ref="G2220" ca="1">INDIRECT("Data!A" &amp; 2215)</f>
        <v>0</v>
      </c>
      <c r="H2220" s="21">
        <f>Data!B2232</f>
        <v>0</v>
      </c>
      <c r="I2220" s="21">
        <f>Data!C2232</f>
        <v>0</v>
      </c>
      <c r="J2220">
        <f>Data!D2232</f>
        <v>0</v>
      </c>
      <c r="K2220">
        <f>Data!E2232</f>
        <v>0</v>
      </c>
      <c r="L2220">
        <f>Data!F2232</f>
        <v>0</v>
      </c>
      <c r="M2220">
        <f>Data!G2232</f>
        <v>0</v>
      </c>
      <c r="N2220">
        <f>Data!H2232</f>
        <v>0</v>
      </c>
      <c r="O2220">
        <f>Data!I2232</f>
        <v>0</v>
      </c>
      <c r="P2220" s="21">
        <f>Data!J2236</f>
        <v>0</v>
      </c>
      <c r="Q2220">
        <f>Data!K2236</f>
        <v>0</v>
      </c>
      <c r="R2220">
        <f>Data!L2236</f>
        <v>0</v>
      </c>
      <c r="S2220">
        <f>Data!M2236</f>
        <v>0</v>
      </c>
      <c r="T2220">
        <f>Data!N2236</f>
        <v>0</v>
      </c>
      <c r="U2220">
        <f>Data!O2236</f>
        <v>0</v>
      </c>
      <c r="V2220" s="33">
        <f>Data!P2234</f>
        <v>0</v>
      </c>
    </row>
    <row r="2221" spans="7:22" x14ac:dyDescent="0.25">
      <c r="G2221" cm="1">
        <f t="array" aca="1" ref="G2221" ca="1">INDIRECT("Data!A" &amp; 2216)</f>
        <v>0</v>
      </c>
      <c r="H2221" s="21">
        <f>Data!B2233</f>
        <v>0</v>
      </c>
      <c r="I2221" s="21">
        <f>Data!C2233</f>
        <v>0</v>
      </c>
      <c r="J2221">
        <f>Data!D2233</f>
        <v>0</v>
      </c>
      <c r="K2221">
        <f>Data!E2233</f>
        <v>0</v>
      </c>
      <c r="L2221">
        <f>Data!F2233</f>
        <v>0</v>
      </c>
      <c r="M2221">
        <f>Data!G2233</f>
        <v>0</v>
      </c>
      <c r="N2221">
        <f>Data!H2233</f>
        <v>0</v>
      </c>
      <c r="O2221">
        <f>Data!I2233</f>
        <v>0</v>
      </c>
      <c r="P2221" s="21">
        <f>Data!J2237</f>
        <v>0</v>
      </c>
      <c r="Q2221">
        <f>Data!K2237</f>
        <v>0</v>
      </c>
      <c r="R2221">
        <f>Data!L2237</f>
        <v>0</v>
      </c>
      <c r="S2221">
        <f>Data!M2237</f>
        <v>0</v>
      </c>
      <c r="T2221">
        <f>Data!N2237</f>
        <v>0</v>
      </c>
      <c r="U2221">
        <f>Data!O2237</f>
        <v>0</v>
      </c>
      <c r="V2221" s="33">
        <f>Data!P2235</f>
        <v>0</v>
      </c>
    </row>
    <row r="2222" spans="7:22" x14ac:dyDescent="0.25">
      <c r="G2222" cm="1">
        <f t="array" aca="1" ref="G2222" ca="1">INDIRECT("Data!A" &amp; 2217)</f>
        <v>0</v>
      </c>
      <c r="H2222" s="21">
        <f>Data!B2234</f>
        <v>0</v>
      </c>
      <c r="I2222" s="21">
        <f>Data!C2234</f>
        <v>0</v>
      </c>
      <c r="J2222">
        <f>Data!D2234</f>
        <v>0</v>
      </c>
      <c r="K2222">
        <f>Data!E2234</f>
        <v>0</v>
      </c>
      <c r="L2222">
        <f>Data!F2234</f>
        <v>0</v>
      </c>
      <c r="M2222">
        <f>Data!G2234</f>
        <v>0</v>
      </c>
      <c r="N2222">
        <f>Data!H2234</f>
        <v>0</v>
      </c>
      <c r="O2222">
        <f>Data!I2234</f>
        <v>0</v>
      </c>
      <c r="P2222" s="21">
        <f>Data!J2238</f>
        <v>0</v>
      </c>
      <c r="Q2222">
        <f>Data!K2238</f>
        <v>0</v>
      </c>
      <c r="R2222">
        <f>Data!L2238</f>
        <v>0</v>
      </c>
      <c r="S2222">
        <f>Data!M2238</f>
        <v>0</v>
      </c>
      <c r="T2222">
        <f>Data!N2238</f>
        <v>0</v>
      </c>
      <c r="U2222">
        <f>Data!O2238</f>
        <v>0</v>
      </c>
      <c r="V2222" s="33">
        <f>Data!P2236</f>
        <v>0</v>
      </c>
    </row>
    <row r="2223" spans="7:22" x14ac:dyDescent="0.25">
      <c r="G2223" cm="1">
        <f t="array" aca="1" ref="G2223" ca="1">INDIRECT("Data!A" &amp; 2218)</f>
        <v>0</v>
      </c>
      <c r="H2223" s="21">
        <f>Data!B2235</f>
        <v>0</v>
      </c>
      <c r="I2223" s="21">
        <f>Data!C2235</f>
        <v>0</v>
      </c>
      <c r="J2223">
        <f>Data!D2235</f>
        <v>0</v>
      </c>
      <c r="K2223">
        <f>Data!E2235</f>
        <v>0</v>
      </c>
      <c r="L2223">
        <f>Data!F2235</f>
        <v>0</v>
      </c>
      <c r="M2223">
        <f>Data!G2235</f>
        <v>0</v>
      </c>
      <c r="N2223">
        <f>Data!H2235</f>
        <v>0</v>
      </c>
      <c r="O2223">
        <f>Data!I2235</f>
        <v>0</v>
      </c>
      <c r="P2223" s="21">
        <f>Data!J2239</f>
        <v>0</v>
      </c>
      <c r="Q2223">
        <f>Data!K2239</f>
        <v>0</v>
      </c>
      <c r="R2223">
        <f>Data!L2239</f>
        <v>0</v>
      </c>
      <c r="S2223">
        <f>Data!M2239</f>
        <v>0</v>
      </c>
      <c r="T2223">
        <f>Data!N2239</f>
        <v>0</v>
      </c>
      <c r="U2223">
        <f>Data!O2239</f>
        <v>0</v>
      </c>
      <c r="V2223" s="33">
        <f>Data!P2237</f>
        <v>0</v>
      </c>
    </row>
    <row r="2224" spans="7:22" x14ac:dyDescent="0.25">
      <c r="G2224" cm="1">
        <f t="array" aca="1" ref="G2224" ca="1">INDIRECT("Data!A" &amp; 2219)</f>
        <v>0</v>
      </c>
      <c r="H2224" s="21">
        <f>Data!B2236</f>
        <v>0</v>
      </c>
      <c r="I2224" s="21">
        <f>Data!C2236</f>
        <v>0</v>
      </c>
      <c r="J2224">
        <f>Data!D2236</f>
        <v>0</v>
      </c>
      <c r="K2224">
        <f>Data!E2236</f>
        <v>0</v>
      </c>
      <c r="L2224">
        <f>Data!F2236</f>
        <v>0</v>
      </c>
      <c r="M2224">
        <f>Data!G2236</f>
        <v>0</v>
      </c>
      <c r="N2224">
        <f>Data!H2236</f>
        <v>0</v>
      </c>
      <c r="O2224">
        <f>Data!I2236</f>
        <v>0</v>
      </c>
      <c r="P2224" s="21">
        <f>Data!J2240</f>
        <v>0</v>
      </c>
      <c r="Q2224">
        <f>Data!K2240</f>
        <v>0</v>
      </c>
      <c r="R2224">
        <f>Data!L2240</f>
        <v>0</v>
      </c>
      <c r="S2224">
        <f>Data!M2240</f>
        <v>0</v>
      </c>
      <c r="T2224">
        <f>Data!N2240</f>
        <v>0</v>
      </c>
      <c r="U2224">
        <f>Data!O2240</f>
        <v>0</v>
      </c>
      <c r="V2224" s="33">
        <f>Data!P2238</f>
        <v>0</v>
      </c>
    </row>
    <row r="2225" spans="7:22" x14ac:dyDescent="0.25">
      <c r="G2225" cm="1">
        <f t="array" aca="1" ref="G2225" ca="1">INDIRECT("Data!A" &amp; 2220)</f>
        <v>0</v>
      </c>
      <c r="H2225" s="21">
        <f>Data!B2237</f>
        <v>0</v>
      </c>
      <c r="I2225" s="21">
        <f>Data!C2237</f>
        <v>0</v>
      </c>
      <c r="J2225">
        <f>Data!D2237</f>
        <v>0</v>
      </c>
      <c r="K2225">
        <f>Data!E2237</f>
        <v>0</v>
      </c>
      <c r="L2225">
        <f>Data!F2237</f>
        <v>0</v>
      </c>
      <c r="M2225">
        <f>Data!G2237</f>
        <v>0</v>
      </c>
      <c r="N2225">
        <f>Data!H2237</f>
        <v>0</v>
      </c>
      <c r="O2225">
        <f>Data!I2237</f>
        <v>0</v>
      </c>
      <c r="P2225" s="21">
        <f>Data!J2241</f>
        <v>0</v>
      </c>
      <c r="Q2225">
        <f>Data!K2241</f>
        <v>0</v>
      </c>
      <c r="R2225">
        <f>Data!L2241</f>
        <v>0</v>
      </c>
      <c r="S2225">
        <f>Data!M2241</f>
        <v>0</v>
      </c>
      <c r="T2225">
        <f>Data!N2241</f>
        <v>0</v>
      </c>
      <c r="U2225">
        <f>Data!O2241</f>
        <v>0</v>
      </c>
      <c r="V2225" s="33">
        <f>Data!P2239</f>
        <v>0</v>
      </c>
    </row>
    <row r="2226" spans="7:22" x14ac:dyDescent="0.25">
      <c r="G2226" cm="1">
        <f t="array" aca="1" ref="G2226" ca="1">INDIRECT("Data!A" &amp; 2221)</f>
        <v>0</v>
      </c>
      <c r="H2226" s="21">
        <f>Data!B2238</f>
        <v>0</v>
      </c>
      <c r="I2226" s="21">
        <f>Data!C2238</f>
        <v>0</v>
      </c>
      <c r="J2226">
        <f>Data!D2238</f>
        <v>0</v>
      </c>
      <c r="K2226">
        <f>Data!E2238</f>
        <v>0</v>
      </c>
      <c r="L2226">
        <f>Data!F2238</f>
        <v>0</v>
      </c>
      <c r="M2226">
        <f>Data!G2238</f>
        <v>0</v>
      </c>
      <c r="N2226">
        <f>Data!H2238</f>
        <v>0</v>
      </c>
      <c r="O2226">
        <f>Data!I2238</f>
        <v>0</v>
      </c>
      <c r="P2226" s="21">
        <f>Data!J2242</f>
        <v>0</v>
      </c>
      <c r="Q2226">
        <f>Data!K2242</f>
        <v>0</v>
      </c>
      <c r="R2226">
        <f>Data!L2242</f>
        <v>0</v>
      </c>
      <c r="S2226">
        <f>Data!M2242</f>
        <v>0</v>
      </c>
      <c r="T2226">
        <f>Data!N2242</f>
        <v>0</v>
      </c>
      <c r="U2226">
        <f>Data!O2242</f>
        <v>0</v>
      </c>
      <c r="V2226" s="33">
        <f>Data!P2240</f>
        <v>0</v>
      </c>
    </row>
    <row r="2227" spans="7:22" x14ac:dyDescent="0.25">
      <c r="G2227" cm="1">
        <f t="array" aca="1" ref="G2227" ca="1">INDIRECT("Data!A" &amp; 2222)</f>
        <v>0</v>
      </c>
      <c r="H2227" s="21">
        <f>Data!B2239</f>
        <v>0</v>
      </c>
      <c r="I2227" s="21">
        <f>Data!C2239</f>
        <v>0</v>
      </c>
      <c r="J2227">
        <f>Data!D2239</f>
        <v>0</v>
      </c>
      <c r="K2227">
        <f>Data!E2239</f>
        <v>0</v>
      </c>
      <c r="L2227">
        <f>Data!F2239</f>
        <v>0</v>
      </c>
      <c r="M2227">
        <f>Data!G2239</f>
        <v>0</v>
      </c>
      <c r="N2227">
        <f>Data!H2239</f>
        <v>0</v>
      </c>
      <c r="O2227">
        <f>Data!I2239</f>
        <v>0</v>
      </c>
      <c r="P2227" s="21">
        <f>Data!J2243</f>
        <v>0</v>
      </c>
      <c r="Q2227">
        <f>Data!K2243</f>
        <v>0</v>
      </c>
      <c r="R2227">
        <f>Data!L2243</f>
        <v>0</v>
      </c>
      <c r="S2227">
        <f>Data!M2243</f>
        <v>0</v>
      </c>
      <c r="T2227">
        <f>Data!N2243</f>
        <v>0</v>
      </c>
      <c r="U2227">
        <f>Data!O2243</f>
        <v>0</v>
      </c>
      <c r="V2227" s="33">
        <f>Data!P2241</f>
        <v>0</v>
      </c>
    </row>
    <row r="2228" spans="7:22" x14ac:dyDescent="0.25">
      <c r="G2228" cm="1">
        <f t="array" aca="1" ref="G2228" ca="1">INDIRECT("Data!A" &amp; 2223)</f>
        <v>0</v>
      </c>
      <c r="H2228" s="21">
        <f>Data!B2240</f>
        <v>0</v>
      </c>
      <c r="I2228" s="21">
        <f>Data!C2240</f>
        <v>0</v>
      </c>
      <c r="J2228">
        <f>Data!D2240</f>
        <v>0</v>
      </c>
      <c r="K2228">
        <f>Data!E2240</f>
        <v>0</v>
      </c>
      <c r="L2228">
        <f>Data!F2240</f>
        <v>0</v>
      </c>
      <c r="M2228">
        <f>Data!G2240</f>
        <v>0</v>
      </c>
      <c r="N2228">
        <f>Data!H2240</f>
        <v>0</v>
      </c>
      <c r="O2228">
        <f>Data!I2240</f>
        <v>0</v>
      </c>
      <c r="P2228" s="21">
        <f>Data!J2244</f>
        <v>0</v>
      </c>
      <c r="Q2228">
        <f>Data!K2244</f>
        <v>0</v>
      </c>
      <c r="R2228">
        <f>Data!L2244</f>
        <v>0</v>
      </c>
      <c r="S2228">
        <f>Data!M2244</f>
        <v>0</v>
      </c>
      <c r="T2228">
        <f>Data!N2244</f>
        <v>0</v>
      </c>
      <c r="U2228">
        <f>Data!O2244</f>
        <v>0</v>
      </c>
      <c r="V2228" s="33">
        <f>Data!P2242</f>
        <v>0</v>
      </c>
    </row>
    <row r="2229" spans="7:22" x14ac:dyDescent="0.25">
      <c r="G2229" cm="1">
        <f t="array" aca="1" ref="G2229" ca="1">INDIRECT("Data!A" &amp; 2224)</f>
        <v>0</v>
      </c>
      <c r="H2229" s="21">
        <f>Data!B2241</f>
        <v>0</v>
      </c>
      <c r="I2229" s="21">
        <f>Data!C2241</f>
        <v>0</v>
      </c>
      <c r="J2229">
        <f>Data!D2241</f>
        <v>0</v>
      </c>
      <c r="K2229">
        <f>Data!E2241</f>
        <v>0</v>
      </c>
      <c r="L2229">
        <f>Data!F2241</f>
        <v>0</v>
      </c>
      <c r="M2229">
        <f>Data!G2241</f>
        <v>0</v>
      </c>
      <c r="N2229">
        <f>Data!H2241</f>
        <v>0</v>
      </c>
      <c r="O2229">
        <f>Data!I2241</f>
        <v>0</v>
      </c>
      <c r="P2229" s="21">
        <f>Data!J2245</f>
        <v>0</v>
      </c>
      <c r="Q2229">
        <f>Data!K2245</f>
        <v>0</v>
      </c>
      <c r="R2229">
        <f>Data!L2245</f>
        <v>0</v>
      </c>
      <c r="S2229">
        <f>Data!M2245</f>
        <v>0</v>
      </c>
      <c r="T2229">
        <f>Data!N2245</f>
        <v>0</v>
      </c>
      <c r="U2229">
        <f>Data!O2245</f>
        <v>0</v>
      </c>
      <c r="V2229" s="33">
        <f>Data!P2243</f>
        <v>0</v>
      </c>
    </row>
    <row r="2230" spans="7:22" x14ac:dyDescent="0.25">
      <c r="G2230" cm="1">
        <f t="array" aca="1" ref="G2230" ca="1">INDIRECT("Data!A" &amp; 2225)</f>
        <v>0</v>
      </c>
      <c r="H2230" s="21">
        <f>Data!B2242</f>
        <v>0</v>
      </c>
      <c r="I2230" s="21">
        <f>Data!C2242</f>
        <v>0</v>
      </c>
      <c r="J2230">
        <f>Data!D2242</f>
        <v>0</v>
      </c>
      <c r="K2230">
        <f>Data!E2242</f>
        <v>0</v>
      </c>
      <c r="L2230">
        <f>Data!F2242</f>
        <v>0</v>
      </c>
      <c r="M2230">
        <f>Data!G2242</f>
        <v>0</v>
      </c>
      <c r="N2230">
        <f>Data!H2242</f>
        <v>0</v>
      </c>
      <c r="O2230">
        <f>Data!I2242</f>
        <v>0</v>
      </c>
      <c r="P2230" s="21">
        <f>Data!J2246</f>
        <v>0</v>
      </c>
      <c r="Q2230">
        <f>Data!K2246</f>
        <v>0</v>
      </c>
      <c r="R2230">
        <f>Data!L2246</f>
        <v>0</v>
      </c>
      <c r="S2230">
        <f>Data!M2246</f>
        <v>0</v>
      </c>
      <c r="T2230">
        <f>Data!N2246</f>
        <v>0</v>
      </c>
      <c r="U2230">
        <f>Data!O2246</f>
        <v>0</v>
      </c>
      <c r="V2230" s="33">
        <f>Data!P2244</f>
        <v>0</v>
      </c>
    </row>
    <row r="2231" spans="7:22" x14ac:dyDescent="0.25">
      <c r="G2231" cm="1">
        <f t="array" aca="1" ref="G2231" ca="1">INDIRECT("Data!A" &amp; 2226)</f>
        <v>0</v>
      </c>
      <c r="H2231" s="21">
        <f>Data!B2243</f>
        <v>0</v>
      </c>
      <c r="I2231" s="21">
        <f>Data!C2243</f>
        <v>0</v>
      </c>
      <c r="J2231">
        <f>Data!D2243</f>
        <v>0</v>
      </c>
      <c r="K2231">
        <f>Data!E2243</f>
        <v>0</v>
      </c>
      <c r="L2231">
        <f>Data!F2243</f>
        <v>0</v>
      </c>
      <c r="M2231">
        <f>Data!G2243</f>
        <v>0</v>
      </c>
      <c r="N2231">
        <f>Data!H2243</f>
        <v>0</v>
      </c>
      <c r="O2231">
        <f>Data!I2243</f>
        <v>0</v>
      </c>
      <c r="P2231" s="21">
        <f>Data!J2247</f>
        <v>0</v>
      </c>
      <c r="Q2231">
        <f>Data!K2247</f>
        <v>0</v>
      </c>
      <c r="R2231">
        <f>Data!L2247</f>
        <v>0</v>
      </c>
      <c r="S2231">
        <f>Data!M2247</f>
        <v>0</v>
      </c>
      <c r="T2231">
        <f>Data!N2247</f>
        <v>0</v>
      </c>
      <c r="U2231">
        <f>Data!O2247</f>
        <v>0</v>
      </c>
      <c r="V2231" s="33">
        <f>Data!P2245</f>
        <v>0</v>
      </c>
    </row>
    <row r="2232" spans="7:22" x14ac:dyDescent="0.25">
      <c r="G2232" cm="1">
        <f t="array" aca="1" ref="G2232" ca="1">INDIRECT("Data!A" &amp; 2227)</f>
        <v>0</v>
      </c>
      <c r="H2232" s="21">
        <f>Data!B2244</f>
        <v>0</v>
      </c>
      <c r="I2232" s="21">
        <f>Data!C2244</f>
        <v>0</v>
      </c>
      <c r="J2232">
        <f>Data!D2244</f>
        <v>0</v>
      </c>
      <c r="K2232">
        <f>Data!E2244</f>
        <v>0</v>
      </c>
      <c r="L2232">
        <f>Data!F2244</f>
        <v>0</v>
      </c>
      <c r="M2232">
        <f>Data!G2244</f>
        <v>0</v>
      </c>
      <c r="N2232">
        <f>Data!H2244</f>
        <v>0</v>
      </c>
      <c r="O2232">
        <f>Data!I2244</f>
        <v>0</v>
      </c>
      <c r="P2232" s="21">
        <f>Data!J2248</f>
        <v>0</v>
      </c>
      <c r="Q2232">
        <f>Data!K2248</f>
        <v>0</v>
      </c>
      <c r="R2232">
        <f>Data!L2248</f>
        <v>0</v>
      </c>
      <c r="S2232">
        <f>Data!M2248</f>
        <v>0</v>
      </c>
      <c r="T2232">
        <f>Data!N2248</f>
        <v>0</v>
      </c>
      <c r="U2232">
        <f>Data!O2248</f>
        <v>0</v>
      </c>
      <c r="V2232" s="33">
        <f>Data!P2246</f>
        <v>0</v>
      </c>
    </row>
    <row r="2233" spans="7:22" x14ac:dyDescent="0.25">
      <c r="G2233" cm="1">
        <f t="array" aca="1" ref="G2233" ca="1">INDIRECT("Data!A" &amp; 2228)</f>
        <v>0</v>
      </c>
      <c r="H2233" s="21">
        <f>Data!B2245</f>
        <v>0</v>
      </c>
      <c r="I2233" s="21">
        <f>Data!C2245</f>
        <v>0</v>
      </c>
      <c r="J2233">
        <f>Data!D2245</f>
        <v>0</v>
      </c>
      <c r="K2233">
        <f>Data!E2245</f>
        <v>0</v>
      </c>
      <c r="L2233">
        <f>Data!F2245</f>
        <v>0</v>
      </c>
      <c r="M2233">
        <f>Data!G2245</f>
        <v>0</v>
      </c>
      <c r="N2233">
        <f>Data!H2245</f>
        <v>0</v>
      </c>
      <c r="O2233">
        <f>Data!I2245</f>
        <v>0</v>
      </c>
      <c r="P2233" s="21">
        <f>Data!J2249</f>
        <v>0</v>
      </c>
      <c r="Q2233">
        <f>Data!K2249</f>
        <v>0</v>
      </c>
      <c r="R2233">
        <f>Data!L2249</f>
        <v>0</v>
      </c>
      <c r="S2233">
        <f>Data!M2249</f>
        <v>0</v>
      </c>
      <c r="T2233">
        <f>Data!N2249</f>
        <v>0</v>
      </c>
      <c r="U2233">
        <f>Data!O2249</f>
        <v>0</v>
      </c>
      <c r="V2233" s="33">
        <f>Data!P2247</f>
        <v>0</v>
      </c>
    </row>
    <row r="2234" spans="7:22" x14ac:dyDescent="0.25">
      <c r="G2234" cm="1">
        <f t="array" aca="1" ref="G2234" ca="1">INDIRECT("Data!A" &amp; 2229)</f>
        <v>0</v>
      </c>
      <c r="H2234" s="21">
        <f>Data!B2246</f>
        <v>0</v>
      </c>
      <c r="I2234" s="21">
        <f>Data!C2246</f>
        <v>0</v>
      </c>
      <c r="J2234">
        <f>Data!D2246</f>
        <v>0</v>
      </c>
      <c r="K2234">
        <f>Data!E2246</f>
        <v>0</v>
      </c>
      <c r="L2234">
        <f>Data!F2246</f>
        <v>0</v>
      </c>
      <c r="M2234">
        <f>Data!G2246</f>
        <v>0</v>
      </c>
      <c r="N2234">
        <f>Data!H2246</f>
        <v>0</v>
      </c>
      <c r="O2234">
        <f>Data!I2246</f>
        <v>0</v>
      </c>
      <c r="P2234" s="21">
        <f>Data!J2250</f>
        <v>0</v>
      </c>
      <c r="Q2234">
        <f>Data!K2250</f>
        <v>0</v>
      </c>
      <c r="R2234">
        <f>Data!L2250</f>
        <v>0</v>
      </c>
      <c r="S2234">
        <f>Data!M2250</f>
        <v>0</v>
      </c>
      <c r="T2234">
        <f>Data!N2250</f>
        <v>0</v>
      </c>
      <c r="U2234">
        <f>Data!O2250</f>
        <v>0</v>
      </c>
      <c r="V2234" s="33">
        <f>Data!P2248</f>
        <v>0</v>
      </c>
    </row>
    <row r="2235" spans="7:22" x14ac:dyDescent="0.25">
      <c r="G2235" cm="1">
        <f t="array" aca="1" ref="G2235" ca="1">INDIRECT("Data!A" &amp; 2230)</f>
        <v>0</v>
      </c>
      <c r="H2235" s="21">
        <f>Data!B2247</f>
        <v>0</v>
      </c>
      <c r="I2235" s="21">
        <f>Data!C2247</f>
        <v>0</v>
      </c>
      <c r="J2235">
        <f>Data!D2247</f>
        <v>0</v>
      </c>
      <c r="K2235">
        <f>Data!E2247</f>
        <v>0</v>
      </c>
      <c r="L2235">
        <f>Data!F2247</f>
        <v>0</v>
      </c>
      <c r="M2235">
        <f>Data!G2247</f>
        <v>0</v>
      </c>
      <c r="N2235">
        <f>Data!H2247</f>
        <v>0</v>
      </c>
      <c r="O2235">
        <f>Data!I2247</f>
        <v>0</v>
      </c>
      <c r="P2235" s="21">
        <f>Data!J2251</f>
        <v>0</v>
      </c>
      <c r="Q2235">
        <f>Data!K2251</f>
        <v>0</v>
      </c>
      <c r="R2235">
        <f>Data!L2251</f>
        <v>0</v>
      </c>
      <c r="S2235">
        <f>Data!M2251</f>
        <v>0</v>
      </c>
      <c r="T2235">
        <f>Data!N2251</f>
        <v>0</v>
      </c>
      <c r="U2235">
        <f>Data!O2251</f>
        <v>0</v>
      </c>
      <c r="V2235" s="33">
        <f>Data!P2249</f>
        <v>0</v>
      </c>
    </row>
    <row r="2236" spans="7:22" x14ac:dyDescent="0.25">
      <c r="G2236" cm="1">
        <f t="array" aca="1" ref="G2236" ca="1">INDIRECT("Data!A" &amp; 2231)</f>
        <v>0</v>
      </c>
      <c r="H2236" s="21">
        <f>Data!B2248</f>
        <v>0</v>
      </c>
      <c r="I2236" s="21">
        <f>Data!C2248</f>
        <v>0</v>
      </c>
      <c r="J2236">
        <f>Data!D2248</f>
        <v>0</v>
      </c>
      <c r="K2236">
        <f>Data!E2248</f>
        <v>0</v>
      </c>
      <c r="L2236">
        <f>Data!F2248</f>
        <v>0</v>
      </c>
      <c r="M2236">
        <f>Data!G2248</f>
        <v>0</v>
      </c>
      <c r="N2236">
        <f>Data!H2248</f>
        <v>0</v>
      </c>
      <c r="O2236">
        <f>Data!I2248</f>
        <v>0</v>
      </c>
      <c r="P2236" s="21">
        <f>Data!J2252</f>
        <v>0</v>
      </c>
      <c r="Q2236">
        <f>Data!K2252</f>
        <v>0</v>
      </c>
      <c r="R2236">
        <f>Data!L2252</f>
        <v>0</v>
      </c>
      <c r="S2236">
        <f>Data!M2252</f>
        <v>0</v>
      </c>
      <c r="T2236">
        <f>Data!N2252</f>
        <v>0</v>
      </c>
      <c r="U2236">
        <f>Data!O2252</f>
        <v>0</v>
      </c>
      <c r="V2236" s="33">
        <f>Data!P2250</f>
        <v>0</v>
      </c>
    </row>
    <row r="2237" spans="7:22" x14ac:dyDescent="0.25">
      <c r="G2237" cm="1">
        <f t="array" aca="1" ref="G2237" ca="1">INDIRECT("Data!A" &amp; 2232)</f>
        <v>0</v>
      </c>
      <c r="H2237" s="21">
        <f>Data!B2249</f>
        <v>0</v>
      </c>
      <c r="I2237" s="21">
        <f>Data!C2249</f>
        <v>0</v>
      </c>
      <c r="J2237">
        <f>Data!D2249</f>
        <v>0</v>
      </c>
      <c r="K2237">
        <f>Data!E2249</f>
        <v>0</v>
      </c>
      <c r="L2237">
        <f>Data!F2249</f>
        <v>0</v>
      </c>
      <c r="M2237">
        <f>Data!G2249</f>
        <v>0</v>
      </c>
      <c r="N2237">
        <f>Data!H2249</f>
        <v>0</v>
      </c>
      <c r="O2237">
        <f>Data!I2249</f>
        <v>0</v>
      </c>
      <c r="P2237" s="21">
        <f>Data!J2253</f>
        <v>0</v>
      </c>
      <c r="Q2237">
        <f>Data!K2253</f>
        <v>0</v>
      </c>
      <c r="R2237">
        <f>Data!L2253</f>
        <v>0</v>
      </c>
      <c r="S2237">
        <f>Data!M2253</f>
        <v>0</v>
      </c>
      <c r="T2237">
        <f>Data!N2253</f>
        <v>0</v>
      </c>
      <c r="U2237">
        <f>Data!O2253</f>
        <v>0</v>
      </c>
      <c r="V2237" s="33">
        <f>Data!P2251</f>
        <v>0</v>
      </c>
    </row>
    <row r="2238" spans="7:22" x14ac:dyDescent="0.25">
      <c r="G2238" cm="1">
        <f t="array" aca="1" ref="G2238" ca="1">INDIRECT("Data!A" &amp; 2233)</f>
        <v>0</v>
      </c>
      <c r="H2238" s="21">
        <f>Data!B2250</f>
        <v>0</v>
      </c>
      <c r="I2238" s="21">
        <f>Data!C2250</f>
        <v>0</v>
      </c>
      <c r="J2238">
        <f>Data!D2250</f>
        <v>0</v>
      </c>
      <c r="K2238">
        <f>Data!E2250</f>
        <v>0</v>
      </c>
      <c r="L2238">
        <f>Data!F2250</f>
        <v>0</v>
      </c>
      <c r="M2238">
        <f>Data!G2250</f>
        <v>0</v>
      </c>
      <c r="N2238">
        <f>Data!H2250</f>
        <v>0</v>
      </c>
      <c r="O2238">
        <f>Data!I2250</f>
        <v>0</v>
      </c>
      <c r="P2238" s="21">
        <f>Data!J2254</f>
        <v>0</v>
      </c>
      <c r="Q2238">
        <f>Data!K2254</f>
        <v>0</v>
      </c>
      <c r="R2238">
        <f>Data!L2254</f>
        <v>0</v>
      </c>
      <c r="S2238">
        <f>Data!M2254</f>
        <v>0</v>
      </c>
      <c r="T2238">
        <f>Data!N2254</f>
        <v>0</v>
      </c>
      <c r="U2238">
        <f>Data!O2254</f>
        <v>0</v>
      </c>
      <c r="V2238" s="33">
        <f>Data!P2252</f>
        <v>0</v>
      </c>
    </row>
    <row r="2239" spans="7:22" x14ac:dyDescent="0.25">
      <c r="G2239" cm="1">
        <f t="array" aca="1" ref="G2239" ca="1">INDIRECT("Data!A" &amp; 2234)</f>
        <v>0</v>
      </c>
      <c r="H2239" s="21">
        <f>Data!B2251</f>
        <v>0</v>
      </c>
      <c r="I2239" s="21">
        <f>Data!C2251</f>
        <v>0</v>
      </c>
      <c r="J2239">
        <f>Data!D2251</f>
        <v>0</v>
      </c>
      <c r="K2239">
        <f>Data!E2251</f>
        <v>0</v>
      </c>
      <c r="L2239">
        <f>Data!F2251</f>
        <v>0</v>
      </c>
      <c r="M2239">
        <f>Data!G2251</f>
        <v>0</v>
      </c>
      <c r="N2239">
        <f>Data!H2251</f>
        <v>0</v>
      </c>
      <c r="O2239">
        <f>Data!I2251</f>
        <v>0</v>
      </c>
      <c r="P2239" s="21">
        <f>Data!J2255</f>
        <v>0</v>
      </c>
      <c r="Q2239">
        <f>Data!K2255</f>
        <v>0</v>
      </c>
      <c r="R2239">
        <f>Data!L2255</f>
        <v>0</v>
      </c>
      <c r="S2239">
        <f>Data!M2255</f>
        <v>0</v>
      </c>
      <c r="T2239">
        <f>Data!N2255</f>
        <v>0</v>
      </c>
      <c r="U2239">
        <f>Data!O2255</f>
        <v>0</v>
      </c>
      <c r="V2239" s="33">
        <f>Data!P2253</f>
        <v>0</v>
      </c>
    </row>
    <row r="2240" spans="7:22" x14ac:dyDescent="0.25">
      <c r="G2240" cm="1">
        <f t="array" aca="1" ref="G2240" ca="1">INDIRECT("Data!A" &amp; 2235)</f>
        <v>0</v>
      </c>
      <c r="H2240" s="21">
        <f>Data!B2252</f>
        <v>0</v>
      </c>
      <c r="I2240" s="21">
        <f>Data!C2252</f>
        <v>0</v>
      </c>
      <c r="J2240">
        <f>Data!D2252</f>
        <v>0</v>
      </c>
      <c r="K2240">
        <f>Data!E2252</f>
        <v>0</v>
      </c>
      <c r="L2240">
        <f>Data!F2252</f>
        <v>0</v>
      </c>
      <c r="M2240">
        <f>Data!G2252</f>
        <v>0</v>
      </c>
      <c r="N2240">
        <f>Data!H2252</f>
        <v>0</v>
      </c>
      <c r="O2240">
        <f>Data!I2252</f>
        <v>0</v>
      </c>
      <c r="P2240" s="21">
        <f>Data!J2256</f>
        <v>0</v>
      </c>
      <c r="Q2240">
        <f>Data!K2256</f>
        <v>0</v>
      </c>
      <c r="R2240">
        <f>Data!L2256</f>
        <v>0</v>
      </c>
      <c r="S2240">
        <f>Data!M2256</f>
        <v>0</v>
      </c>
      <c r="T2240">
        <f>Data!N2256</f>
        <v>0</v>
      </c>
      <c r="U2240">
        <f>Data!O2256</f>
        <v>0</v>
      </c>
      <c r="V2240" s="33">
        <f>Data!P2254</f>
        <v>0</v>
      </c>
    </row>
    <row r="2241" spans="7:22" x14ac:dyDescent="0.25">
      <c r="G2241" cm="1">
        <f t="array" aca="1" ref="G2241" ca="1">INDIRECT("Data!A" &amp; 2236)</f>
        <v>0</v>
      </c>
      <c r="H2241" s="21">
        <f>Data!B2253</f>
        <v>0</v>
      </c>
      <c r="I2241" s="21">
        <f>Data!C2253</f>
        <v>0</v>
      </c>
      <c r="J2241">
        <f>Data!D2253</f>
        <v>0</v>
      </c>
      <c r="K2241">
        <f>Data!E2253</f>
        <v>0</v>
      </c>
      <c r="L2241">
        <f>Data!F2253</f>
        <v>0</v>
      </c>
      <c r="M2241">
        <f>Data!G2253</f>
        <v>0</v>
      </c>
      <c r="N2241">
        <f>Data!H2253</f>
        <v>0</v>
      </c>
      <c r="O2241">
        <f>Data!I2253</f>
        <v>0</v>
      </c>
      <c r="P2241" s="21">
        <f>Data!J2257</f>
        <v>0</v>
      </c>
      <c r="Q2241">
        <f>Data!K2257</f>
        <v>0</v>
      </c>
      <c r="R2241">
        <f>Data!L2257</f>
        <v>0</v>
      </c>
      <c r="S2241">
        <f>Data!M2257</f>
        <v>0</v>
      </c>
      <c r="T2241">
        <f>Data!N2257</f>
        <v>0</v>
      </c>
      <c r="U2241">
        <f>Data!O2257</f>
        <v>0</v>
      </c>
      <c r="V2241" s="33">
        <f>Data!P2255</f>
        <v>0</v>
      </c>
    </row>
    <row r="2242" spans="7:22" x14ac:dyDescent="0.25">
      <c r="G2242" cm="1">
        <f t="array" aca="1" ref="G2242" ca="1">INDIRECT("Data!A" &amp; 2237)</f>
        <v>0</v>
      </c>
      <c r="H2242" s="21">
        <f>Data!B2254</f>
        <v>0</v>
      </c>
      <c r="I2242" s="21">
        <f>Data!C2254</f>
        <v>0</v>
      </c>
      <c r="J2242">
        <f>Data!D2254</f>
        <v>0</v>
      </c>
      <c r="K2242">
        <f>Data!E2254</f>
        <v>0</v>
      </c>
      <c r="L2242">
        <f>Data!F2254</f>
        <v>0</v>
      </c>
      <c r="M2242">
        <f>Data!G2254</f>
        <v>0</v>
      </c>
      <c r="N2242">
        <f>Data!H2254</f>
        <v>0</v>
      </c>
      <c r="O2242">
        <f>Data!I2254</f>
        <v>0</v>
      </c>
      <c r="P2242" s="21">
        <f>Data!J2258</f>
        <v>0</v>
      </c>
      <c r="Q2242">
        <f>Data!K2258</f>
        <v>0</v>
      </c>
      <c r="R2242">
        <f>Data!L2258</f>
        <v>0</v>
      </c>
      <c r="S2242">
        <f>Data!M2258</f>
        <v>0</v>
      </c>
      <c r="T2242">
        <f>Data!N2258</f>
        <v>0</v>
      </c>
      <c r="U2242">
        <f>Data!O2258</f>
        <v>0</v>
      </c>
      <c r="V2242" s="33">
        <f>Data!P2256</f>
        <v>0</v>
      </c>
    </row>
    <row r="2243" spans="7:22" x14ac:dyDescent="0.25">
      <c r="G2243" cm="1">
        <f t="array" aca="1" ref="G2243" ca="1">INDIRECT("Data!A" &amp; 2238)</f>
        <v>0</v>
      </c>
      <c r="H2243" s="21">
        <f>Data!B2255</f>
        <v>0</v>
      </c>
      <c r="I2243" s="21">
        <f>Data!C2255</f>
        <v>0</v>
      </c>
      <c r="J2243">
        <f>Data!D2255</f>
        <v>0</v>
      </c>
      <c r="K2243">
        <f>Data!E2255</f>
        <v>0</v>
      </c>
      <c r="L2243">
        <f>Data!F2255</f>
        <v>0</v>
      </c>
      <c r="M2243">
        <f>Data!G2255</f>
        <v>0</v>
      </c>
      <c r="N2243">
        <f>Data!H2255</f>
        <v>0</v>
      </c>
      <c r="O2243">
        <f>Data!I2255</f>
        <v>0</v>
      </c>
      <c r="P2243" s="21">
        <f>Data!J2259</f>
        <v>0</v>
      </c>
      <c r="Q2243">
        <f>Data!K2259</f>
        <v>0</v>
      </c>
      <c r="R2243">
        <f>Data!L2259</f>
        <v>0</v>
      </c>
      <c r="S2243">
        <f>Data!M2259</f>
        <v>0</v>
      </c>
      <c r="T2243">
        <f>Data!N2259</f>
        <v>0</v>
      </c>
      <c r="U2243">
        <f>Data!O2259</f>
        <v>0</v>
      </c>
      <c r="V2243" s="33">
        <f>Data!P2257</f>
        <v>0</v>
      </c>
    </row>
    <row r="2244" spans="7:22" x14ac:dyDescent="0.25">
      <c r="G2244" cm="1">
        <f t="array" aca="1" ref="G2244" ca="1">INDIRECT("Data!A" &amp; 2239)</f>
        <v>0</v>
      </c>
      <c r="H2244" s="21">
        <f>Data!B2256</f>
        <v>0</v>
      </c>
      <c r="I2244" s="21">
        <f>Data!C2256</f>
        <v>0</v>
      </c>
      <c r="J2244">
        <f>Data!D2256</f>
        <v>0</v>
      </c>
      <c r="K2244">
        <f>Data!E2256</f>
        <v>0</v>
      </c>
      <c r="L2244">
        <f>Data!F2256</f>
        <v>0</v>
      </c>
      <c r="M2244">
        <f>Data!G2256</f>
        <v>0</v>
      </c>
      <c r="N2244">
        <f>Data!H2256</f>
        <v>0</v>
      </c>
      <c r="O2244">
        <f>Data!I2256</f>
        <v>0</v>
      </c>
      <c r="P2244" s="21">
        <f>Data!J2260</f>
        <v>0</v>
      </c>
      <c r="Q2244">
        <f>Data!K2260</f>
        <v>0</v>
      </c>
      <c r="R2244">
        <f>Data!L2260</f>
        <v>0</v>
      </c>
      <c r="S2244">
        <f>Data!M2260</f>
        <v>0</v>
      </c>
      <c r="T2244">
        <f>Data!N2260</f>
        <v>0</v>
      </c>
      <c r="U2244">
        <f>Data!O2260</f>
        <v>0</v>
      </c>
      <c r="V2244" s="33">
        <f>Data!P2258</f>
        <v>0</v>
      </c>
    </row>
    <row r="2245" spans="7:22" x14ac:dyDescent="0.25">
      <c r="G2245" cm="1">
        <f t="array" aca="1" ref="G2245" ca="1">INDIRECT("Data!A" &amp; 2240)</f>
        <v>0</v>
      </c>
      <c r="H2245" s="21">
        <f>Data!B2257</f>
        <v>0</v>
      </c>
      <c r="I2245" s="21">
        <f>Data!C2257</f>
        <v>0</v>
      </c>
      <c r="J2245">
        <f>Data!D2257</f>
        <v>0</v>
      </c>
      <c r="K2245">
        <f>Data!E2257</f>
        <v>0</v>
      </c>
      <c r="L2245">
        <f>Data!F2257</f>
        <v>0</v>
      </c>
      <c r="M2245">
        <f>Data!G2257</f>
        <v>0</v>
      </c>
      <c r="N2245">
        <f>Data!H2257</f>
        <v>0</v>
      </c>
      <c r="O2245">
        <f>Data!I2257</f>
        <v>0</v>
      </c>
      <c r="P2245" s="21">
        <f>Data!J2261</f>
        <v>0</v>
      </c>
      <c r="Q2245">
        <f>Data!K2261</f>
        <v>0</v>
      </c>
      <c r="R2245">
        <f>Data!L2261</f>
        <v>0</v>
      </c>
      <c r="S2245">
        <f>Data!M2261</f>
        <v>0</v>
      </c>
      <c r="T2245">
        <f>Data!N2261</f>
        <v>0</v>
      </c>
      <c r="U2245">
        <f>Data!O2261</f>
        <v>0</v>
      </c>
      <c r="V2245" s="33">
        <f>Data!P2259</f>
        <v>0</v>
      </c>
    </row>
    <row r="2246" spans="7:22" x14ac:dyDescent="0.25">
      <c r="G2246" cm="1">
        <f t="array" aca="1" ref="G2246" ca="1">INDIRECT("Data!A" &amp; 2241)</f>
        <v>0</v>
      </c>
      <c r="H2246" s="21">
        <f>Data!B2258</f>
        <v>0</v>
      </c>
      <c r="I2246" s="21">
        <f>Data!C2258</f>
        <v>0</v>
      </c>
      <c r="J2246">
        <f>Data!D2258</f>
        <v>0</v>
      </c>
      <c r="K2246">
        <f>Data!E2258</f>
        <v>0</v>
      </c>
      <c r="L2246">
        <f>Data!F2258</f>
        <v>0</v>
      </c>
      <c r="M2246">
        <f>Data!G2258</f>
        <v>0</v>
      </c>
      <c r="N2246">
        <f>Data!H2258</f>
        <v>0</v>
      </c>
      <c r="O2246">
        <f>Data!I2258</f>
        <v>0</v>
      </c>
      <c r="P2246" s="21">
        <f>Data!J2262</f>
        <v>0</v>
      </c>
      <c r="Q2246">
        <f>Data!K2262</f>
        <v>0</v>
      </c>
      <c r="R2246">
        <f>Data!L2262</f>
        <v>0</v>
      </c>
      <c r="S2246">
        <f>Data!M2262</f>
        <v>0</v>
      </c>
      <c r="T2246">
        <f>Data!N2262</f>
        <v>0</v>
      </c>
      <c r="U2246">
        <f>Data!O2262</f>
        <v>0</v>
      </c>
      <c r="V2246" s="33">
        <f>Data!P2260</f>
        <v>0</v>
      </c>
    </row>
    <row r="2247" spans="7:22" x14ac:dyDescent="0.25">
      <c r="G2247" cm="1">
        <f t="array" aca="1" ref="G2247" ca="1">INDIRECT("Data!A" &amp; 2242)</f>
        <v>0</v>
      </c>
      <c r="H2247" s="21">
        <f>Data!B2259</f>
        <v>0</v>
      </c>
      <c r="I2247" s="21">
        <f>Data!C2259</f>
        <v>0</v>
      </c>
      <c r="J2247">
        <f>Data!D2259</f>
        <v>0</v>
      </c>
      <c r="K2247">
        <f>Data!E2259</f>
        <v>0</v>
      </c>
      <c r="L2247">
        <f>Data!F2259</f>
        <v>0</v>
      </c>
      <c r="M2247">
        <f>Data!G2259</f>
        <v>0</v>
      </c>
      <c r="N2247">
        <f>Data!H2259</f>
        <v>0</v>
      </c>
      <c r="O2247">
        <f>Data!I2259</f>
        <v>0</v>
      </c>
      <c r="P2247" s="21">
        <f>Data!J2263</f>
        <v>0</v>
      </c>
      <c r="Q2247">
        <f>Data!K2263</f>
        <v>0</v>
      </c>
      <c r="R2247">
        <f>Data!L2263</f>
        <v>0</v>
      </c>
      <c r="S2247">
        <f>Data!M2263</f>
        <v>0</v>
      </c>
      <c r="T2247">
        <f>Data!N2263</f>
        <v>0</v>
      </c>
      <c r="U2247">
        <f>Data!O2263</f>
        <v>0</v>
      </c>
      <c r="V2247" s="33">
        <f>Data!P2261</f>
        <v>0</v>
      </c>
    </row>
    <row r="2248" spans="7:22" x14ac:dyDescent="0.25">
      <c r="G2248" cm="1">
        <f t="array" aca="1" ref="G2248" ca="1">INDIRECT("Data!A" &amp; 2243)</f>
        <v>0</v>
      </c>
      <c r="H2248" s="21">
        <f>Data!B2260</f>
        <v>0</v>
      </c>
      <c r="I2248" s="21">
        <f>Data!C2260</f>
        <v>0</v>
      </c>
      <c r="J2248">
        <f>Data!D2260</f>
        <v>0</v>
      </c>
      <c r="K2248">
        <f>Data!E2260</f>
        <v>0</v>
      </c>
      <c r="L2248">
        <f>Data!F2260</f>
        <v>0</v>
      </c>
      <c r="M2248">
        <f>Data!G2260</f>
        <v>0</v>
      </c>
      <c r="N2248">
        <f>Data!H2260</f>
        <v>0</v>
      </c>
      <c r="O2248">
        <f>Data!I2260</f>
        <v>0</v>
      </c>
      <c r="P2248" s="21">
        <f>Data!J2264</f>
        <v>0</v>
      </c>
      <c r="Q2248">
        <f>Data!K2264</f>
        <v>0</v>
      </c>
      <c r="R2248">
        <f>Data!L2264</f>
        <v>0</v>
      </c>
      <c r="S2248">
        <f>Data!M2264</f>
        <v>0</v>
      </c>
      <c r="T2248">
        <f>Data!N2264</f>
        <v>0</v>
      </c>
      <c r="U2248">
        <f>Data!O2264</f>
        <v>0</v>
      </c>
      <c r="V2248" s="33">
        <f>Data!P2262</f>
        <v>0</v>
      </c>
    </row>
    <row r="2249" spans="7:22" x14ac:dyDescent="0.25">
      <c r="G2249" cm="1">
        <f t="array" aca="1" ref="G2249" ca="1">INDIRECT("Data!A" &amp; 2244)</f>
        <v>0</v>
      </c>
      <c r="H2249" s="21">
        <f>Data!B2261</f>
        <v>0</v>
      </c>
      <c r="I2249" s="21">
        <f>Data!C2261</f>
        <v>0</v>
      </c>
      <c r="J2249">
        <f>Data!D2261</f>
        <v>0</v>
      </c>
      <c r="K2249">
        <f>Data!E2261</f>
        <v>0</v>
      </c>
      <c r="L2249">
        <f>Data!F2261</f>
        <v>0</v>
      </c>
      <c r="M2249">
        <f>Data!G2261</f>
        <v>0</v>
      </c>
      <c r="N2249">
        <f>Data!H2261</f>
        <v>0</v>
      </c>
      <c r="O2249">
        <f>Data!I2261</f>
        <v>0</v>
      </c>
      <c r="P2249" s="21">
        <f>Data!J2265</f>
        <v>0</v>
      </c>
      <c r="Q2249">
        <f>Data!K2265</f>
        <v>0</v>
      </c>
      <c r="R2249">
        <f>Data!L2265</f>
        <v>0</v>
      </c>
      <c r="S2249">
        <f>Data!M2265</f>
        <v>0</v>
      </c>
      <c r="T2249">
        <f>Data!N2265</f>
        <v>0</v>
      </c>
      <c r="U2249">
        <f>Data!O2265</f>
        <v>0</v>
      </c>
      <c r="V2249" s="33">
        <f>Data!P2263</f>
        <v>0</v>
      </c>
    </row>
    <row r="2250" spans="7:22" x14ac:dyDescent="0.25">
      <c r="G2250" cm="1">
        <f t="array" aca="1" ref="G2250" ca="1">INDIRECT("Data!A" &amp; 2245)</f>
        <v>0</v>
      </c>
      <c r="H2250" s="21">
        <f>Data!B2262</f>
        <v>0</v>
      </c>
      <c r="I2250" s="21">
        <f>Data!C2262</f>
        <v>0</v>
      </c>
      <c r="J2250">
        <f>Data!D2262</f>
        <v>0</v>
      </c>
      <c r="K2250">
        <f>Data!E2262</f>
        <v>0</v>
      </c>
      <c r="L2250">
        <f>Data!F2262</f>
        <v>0</v>
      </c>
      <c r="M2250">
        <f>Data!G2262</f>
        <v>0</v>
      </c>
      <c r="N2250">
        <f>Data!H2262</f>
        <v>0</v>
      </c>
      <c r="O2250">
        <f>Data!I2262</f>
        <v>0</v>
      </c>
      <c r="P2250" s="21">
        <f>Data!J2266</f>
        <v>0</v>
      </c>
      <c r="Q2250">
        <f>Data!K2266</f>
        <v>0</v>
      </c>
      <c r="R2250">
        <f>Data!L2266</f>
        <v>0</v>
      </c>
      <c r="S2250">
        <f>Data!M2266</f>
        <v>0</v>
      </c>
      <c r="T2250">
        <f>Data!N2266</f>
        <v>0</v>
      </c>
      <c r="U2250">
        <f>Data!O2266</f>
        <v>0</v>
      </c>
      <c r="V2250" s="33">
        <f>Data!P2264</f>
        <v>0</v>
      </c>
    </row>
    <row r="2251" spans="7:22" x14ac:dyDescent="0.25">
      <c r="G2251" cm="1">
        <f t="array" aca="1" ref="G2251" ca="1">INDIRECT("Data!A" &amp; 2246)</f>
        <v>0</v>
      </c>
      <c r="H2251" s="21">
        <f>Data!B2263</f>
        <v>0</v>
      </c>
      <c r="I2251" s="21">
        <f>Data!C2263</f>
        <v>0</v>
      </c>
      <c r="J2251">
        <f>Data!D2263</f>
        <v>0</v>
      </c>
      <c r="K2251">
        <f>Data!E2263</f>
        <v>0</v>
      </c>
      <c r="L2251">
        <f>Data!F2263</f>
        <v>0</v>
      </c>
      <c r="M2251">
        <f>Data!G2263</f>
        <v>0</v>
      </c>
      <c r="N2251">
        <f>Data!H2263</f>
        <v>0</v>
      </c>
      <c r="O2251">
        <f>Data!I2263</f>
        <v>0</v>
      </c>
      <c r="P2251" s="21">
        <f>Data!J2267</f>
        <v>0</v>
      </c>
      <c r="Q2251">
        <f>Data!K2267</f>
        <v>0</v>
      </c>
      <c r="R2251">
        <f>Data!L2267</f>
        <v>0</v>
      </c>
      <c r="S2251">
        <f>Data!M2267</f>
        <v>0</v>
      </c>
      <c r="T2251">
        <f>Data!N2267</f>
        <v>0</v>
      </c>
      <c r="U2251">
        <f>Data!O2267</f>
        <v>0</v>
      </c>
      <c r="V2251" s="33">
        <f>Data!P2265</f>
        <v>0</v>
      </c>
    </row>
    <row r="2252" spans="7:22" x14ac:dyDescent="0.25">
      <c r="G2252" cm="1">
        <f t="array" aca="1" ref="G2252" ca="1">INDIRECT("Data!A" &amp; 2247)</f>
        <v>0</v>
      </c>
      <c r="H2252" s="21">
        <f>Data!B2264</f>
        <v>0</v>
      </c>
      <c r="I2252" s="21">
        <f>Data!C2264</f>
        <v>0</v>
      </c>
      <c r="J2252">
        <f>Data!D2264</f>
        <v>0</v>
      </c>
      <c r="K2252">
        <f>Data!E2264</f>
        <v>0</v>
      </c>
      <c r="L2252">
        <f>Data!F2264</f>
        <v>0</v>
      </c>
      <c r="M2252">
        <f>Data!G2264</f>
        <v>0</v>
      </c>
      <c r="N2252">
        <f>Data!H2264</f>
        <v>0</v>
      </c>
      <c r="O2252">
        <f>Data!I2264</f>
        <v>0</v>
      </c>
      <c r="P2252" s="21">
        <f>Data!J2268</f>
        <v>0</v>
      </c>
      <c r="Q2252">
        <f>Data!K2268</f>
        <v>0</v>
      </c>
      <c r="R2252">
        <f>Data!L2268</f>
        <v>0</v>
      </c>
      <c r="S2252">
        <f>Data!M2268</f>
        <v>0</v>
      </c>
      <c r="T2252">
        <f>Data!N2268</f>
        <v>0</v>
      </c>
      <c r="U2252">
        <f>Data!O2268</f>
        <v>0</v>
      </c>
      <c r="V2252" s="33">
        <f>Data!P2266</f>
        <v>0</v>
      </c>
    </row>
    <row r="2253" spans="7:22" x14ac:dyDescent="0.25">
      <c r="G2253" cm="1">
        <f t="array" aca="1" ref="G2253" ca="1">INDIRECT("Data!A" &amp; 2248)</f>
        <v>0</v>
      </c>
      <c r="H2253" s="21">
        <f>Data!B2265</f>
        <v>0</v>
      </c>
      <c r="I2253" s="21">
        <f>Data!C2265</f>
        <v>0</v>
      </c>
      <c r="J2253">
        <f>Data!D2265</f>
        <v>0</v>
      </c>
      <c r="K2253">
        <f>Data!E2265</f>
        <v>0</v>
      </c>
      <c r="L2253">
        <f>Data!F2265</f>
        <v>0</v>
      </c>
      <c r="M2253">
        <f>Data!G2265</f>
        <v>0</v>
      </c>
      <c r="N2253">
        <f>Data!H2265</f>
        <v>0</v>
      </c>
      <c r="O2253">
        <f>Data!I2265</f>
        <v>0</v>
      </c>
      <c r="P2253" s="21">
        <f>Data!J2269</f>
        <v>0</v>
      </c>
      <c r="Q2253">
        <f>Data!K2269</f>
        <v>0</v>
      </c>
      <c r="R2253">
        <f>Data!L2269</f>
        <v>0</v>
      </c>
      <c r="S2253">
        <f>Data!M2269</f>
        <v>0</v>
      </c>
      <c r="T2253">
        <f>Data!N2269</f>
        <v>0</v>
      </c>
      <c r="U2253">
        <f>Data!O2269</f>
        <v>0</v>
      </c>
      <c r="V2253" s="33">
        <f>Data!P2267</f>
        <v>0</v>
      </c>
    </row>
    <row r="2254" spans="7:22" x14ac:dyDescent="0.25">
      <c r="G2254" cm="1">
        <f t="array" aca="1" ref="G2254" ca="1">INDIRECT("Data!A" &amp; 2249)</f>
        <v>0</v>
      </c>
      <c r="H2254" s="21">
        <f>Data!B2266</f>
        <v>0</v>
      </c>
      <c r="I2254" s="21">
        <f>Data!C2266</f>
        <v>0</v>
      </c>
      <c r="J2254">
        <f>Data!D2266</f>
        <v>0</v>
      </c>
      <c r="K2254">
        <f>Data!E2266</f>
        <v>0</v>
      </c>
      <c r="L2254">
        <f>Data!F2266</f>
        <v>0</v>
      </c>
      <c r="M2254">
        <f>Data!G2266</f>
        <v>0</v>
      </c>
      <c r="N2254">
        <f>Data!H2266</f>
        <v>0</v>
      </c>
      <c r="O2254">
        <f>Data!I2266</f>
        <v>0</v>
      </c>
      <c r="P2254" s="21">
        <f>Data!J2270</f>
        <v>0</v>
      </c>
      <c r="Q2254">
        <f>Data!K2270</f>
        <v>0</v>
      </c>
      <c r="R2254">
        <f>Data!L2270</f>
        <v>0</v>
      </c>
      <c r="S2254">
        <f>Data!M2270</f>
        <v>0</v>
      </c>
      <c r="T2254">
        <f>Data!N2270</f>
        <v>0</v>
      </c>
      <c r="U2254">
        <f>Data!O2270</f>
        <v>0</v>
      </c>
      <c r="V2254" s="33">
        <f>Data!P2268</f>
        <v>0</v>
      </c>
    </row>
    <row r="2255" spans="7:22" x14ac:dyDescent="0.25">
      <c r="G2255" cm="1">
        <f t="array" aca="1" ref="G2255" ca="1">INDIRECT("Data!A" &amp; 2250)</f>
        <v>0</v>
      </c>
      <c r="H2255" s="21">
        <f>Data!B2267</f>
        <v>0</v>
      </c>
      <c r="I2255" s="21">
        <f>Data!C2267</f>
        <v>0</v>
      </c>
      <c r="J2255">
        <f>Data!D2267</f>
        <v>0</v>
      </c>
      <c r="K2255">
        <f>Data!E2267</f>
        <v>0</v>
      </c>
      <c r="L2255">
        <f>Data!F2267</f>
        <v>0</v>
      </c>
      <c r="M2255">
        <f>Data!G2267</f>
        <v>0</v>
      </c>
      <c r="N2255">
        <f>Data!H2267</f>
        <v>0</v>
      </c>
      <c r="O2255">
        <f>Data!I2267</f>
        <v>0</v>
      </c>
      <c r="P2255" s="21">
        <f>Data!J2271</f>
        <v>0</v>
      </c>
      <c r="Q2255">
        <f>Data!K2271</f>
        <v>0</v>
      </c>
      <c r="R2255">
        <f>Data!L2271</f>
        <v>0</v>
      </c>
      <c r="S2255">
        <f>Data!M2271</f>
        <v>0</v>
      </c>
      <c r="T2255">
        <f>Data!N2271</f>
        <v>0</v>
      </c>
      <c r="U2255">
        <f>Data!O2271</f>
        <v>0</v>
      </c>
      <c r="V2255" s="33">
        <f>Data!P2269</f>
        <v>0</v>
      </c>
    </row>
    <row r="2256" spans="7:22" x14ac:dyDescent="0.25">
      <c r="G2256" cm="1">
        <f t="array" aca="1" ref="G2256" ca="1">INDIRECT("Data!A" &amp; 2251)</f>
        <v>0</v>
      </c>
      <c r="H2256" s="21">
        <f>Data!B2268</f>
        <v>0</v>
      </c>
      <c r="I2256" s="21">
        <f>Data!C2268</f>
        <v>0</v>
      </c>
      <c r="J2256">
        <f>Data!D2268</f>
        <v>0</v>
      </c>
      <c r="K2256">
        <f>Data!E2268</f>
        <v>0</v>
      </c>
      <c r="L2256">
        <f>Data!F2268</f>
        <v>0</v>
      </c>
      <c r="M2256">
        <f>Data!G2268</f>
        <v>0</v>
      </c>
      <c r="N2256">
        <f>Data!H2268</f>
        <v>0</v>
      </c>
      <c r="O2256">
        <f>Data!I2268</f>
        <v>0</v>
      </c>
      <c r="P2256" s="21">
        <f>Data!J2272</f>
        <v>0</v>
      </c>
      <c r="Q2256">
        <f>Data!K2272</f>
        <v>0</v>
      </c>
      <c r="R2256">
        <f>Data!L2272</f>
        <v>0</v>
      </c>
      <c r="S2256">
        <f>Data!M2272</f>
        <v>0</v>
      </c>
      <c r="T2256">
        <f>Data!N2272</f>
        <v>0</v>
      </c>
      <c r="U2256">
        <f>Data!O2272</f>
        <v>0</v>
      </c>
      <c r="V2256" s="33">
        <f>Data!P2270</f>
        <v>0</v>
      </c>
    </row>
    <row r="2257" spans="7:22" x14ac:dyDescent="0.25">
      <c r="G2257" cm="1">
        <f t="array" aca="1" ref="G2257" ca="1">INDIRECT("Data!A" &amp; 2252)</f>
        <v>0</v>
      </c>
      <c r="H2257" s="21">
        <f>Data!B2269</f>
        <v>0</v>
      </c>
      <c r="I2257" s="21">
        <f>Data!C2269</f>
        <v>0</v>
      </c>
      <c r="J2257">
        <f>Data!D2269</f>
        <v>0</v>
      </c>
      <c r="K2257">
        <f>Data!E2269</f>
        <v>0</v>
      </c>
      <c r="L2257">
        <f>Data!F2269</f>
        <v>0</v>
      </c>
      <c r="M2257">
        <f>Data!G2269</f>
        <v>0</v>
      </c>
      <c r="N2257">
        <f>Data!H2269</f>
        <v>0</v>
      </c>
      <c r="O2257">
        <f>Data!I2269</f>
        <v>0</v>
      </c>
      <c r="P2257" s="21">
        <f>Data!J2273</f>
        <v>0</v>
      </c>
      <c r="Q2257">
        <f>Data!K2273</f>
        <v>0</v>
      </c>
      <c r="R2257">
        <f>Data!L2273</f>
        <v>0</v>
      </c>
      <c r="S2257">
        <f>Data!M2273</f>
        <v>0</v>
      </c>
      <c r="T2257">
        <f>Data!N2273</f>
        <v>0</v>
      </c>
      <c r="U2257">
        <f>Data!O2273</f>
        <v>0</v>
      </c>
      <c r="V2257" s="33">
        <f>Data!P2271</f>
        <v>0</v>
      </c>
    </row>
    <row r="2258" spans="7:22" x14ac:dyDescent="0.25">
      <c r="G2258" cm="1">
        <f t="array" aca="1" ref="G2258" ca="1">INDIRECT("Data!A" &amp; 2253)</f>
        <v>0</v>
      </c>
      <c r="H2258" s="21">
        <f>Data!B2270</f>
        <v>0</v>
      </c>
      <c r="I2258" s="21">
        <f>Data!C2270</f>
        <v>0</v>
      </c>
      <c r="J2258">
        <f>Data!D2270</f>
        <v>0</v>
      </c>
      <c r="K2258">
        <f>Data!E2270</f>
        <v>0</v>
      </c>
      <c r="L2258">
        <f>Data!F2270</f>
        <v>0</v>
      </c>
      <c r="M2258">
        <f>Data!G2270</f>
        <v>0</v>
      </c>
      <c r="N2258">
        <f>Data!H2270</f>
        <v>0</v>
      </c>
      <c r="O2258">
        <f>Data!I2270</f>
        <v>0</v>
      </c>
      <c r="P2258" s="21">
        <f>Data!J2274</f>
        <v>0</v>
      </c>
      <c r="Q2258">
        <f>Data!K2274</f>
        <v>0</v>
      </c>
      <c r="R2258">
        <f>Data!L2274</f>
        <v>0</v>
      </c>
      <c r="S2258">
        <f>Data!M2274</f>
        <v>0</v>
      </c>
      <c r="T2258">
        <f>Data!N2274</f>
        <v>0</v>
      </c>
      <c r="U2258">
        <f>Data!O2274</f>
        <v>0</v>
      </c>
      <c r="V2258" s="33">
        <f>Data!P2272</f>
        <v>0</v>
      </c>
    </row>
    <row r="2259" spans="7:22" x14ac:dyDescent="0.25">
      <c r="G2259" cm="1">
        <f t="array" aca="1" ref="G2259" ca="1">INDIRECT("Data!A" &amp; 2254)</f>
        <v>0</v>
      </c>
      <c r="H2259" s="21">
        <f>Data!B2271</f>
        <v>0</v>
      </c>
      <c r="I2259" s="21">
        <f>Data!C2271</f>
        <v>0</v>
      </c>
      <c r="J2259">
        <f>Data!D2271</f>
        <v>0</v>
      </c>
      <c r="K2259">
        <f>Data!E2271</f>
        <v>0</v>
      </c>
      <c r="L2259">
        <f>Data!F2271</f>
        <v>0</v>
      </c>
      <c r="M2259">
        <f>Data!G2271</f>
        <v>0</v>
      </c>
      <c r="N2259">
        <f>Data!H2271</f>
        <v>0</v>
      </c>
      <c r="O2259">
        <f>Data!I2271</f>
        <v>0</v>
      </c>
      <c r="P2259" s="21">
        <f>Data!J2275</f>
        <v>0</v>
      </c>
      <c r="Q2259">
        <f>Data!K2275</f>
        <v>0</v>
      </c>
      <c r="R2259">
        <f>Data!L2275</f>
        <v>0</v>
      </c>
      <c r="S2259">
        <f>Data!M2275</f>
        <v>0</v>
      </c>
      <c r="T2259">
        <f>Data!N2275</f>
        <v>0</v>
      </c>
      <c r="U2259">
        <f>Data!O2275</f>
        <v>0</v>
      </c>
      <c r="V2259" s="33">
        <f>Data!P2273</f>
        <v>0</v>
      </c>
    </row>
    <row r="2260" spans="7:22" x14ac:dyDescent="0.25">
      <c r="G2260" cm="1">
        <f t="array" aca="1" ref="G2260" ca="1">INDIRECT("Data!A" &amp; 2255)</f>
        <v>0</v>
      </c>
      <c r="H2260" s="21">
        <f>Data!B2272</f>
        <v>0</v>
      </c>
      <c r="I2260" s="21">
        <f>Data!C2272</f>
        <v>0</v>
      </c>
      <c r="J2260">
        <f>Data!D2272</f>
        <v>0</v>
      </c>
      <c r="K2260">
        <f>Data!E2272</f>
        <v>0</v>
      </c>
      <c r="L2260">
        <f>Data!F2272</f>
        <v>0</v>
      </c>
      <c r="M2260">
        <f>Data!G2272</f>
        <v>0</v>
      </c>
      <c r="N2260">
        <f>Data!H2272</f>
        <v>0</v>
      </c>
      <c r="O2260">
        <f>Data!I2272</f>
        <v>0</v>
      </c>
      <c r="P2260" s="21">
        <f>Data!J2276</f>
        <v>0</v>
      </c>
      <c r="Q2260">
        <f>Data!K2276</f>
        <v>0</v>
      </c>
      <c r="R2260">
        <f>Data!L2276</f>
        <v>0</v>
      </c>
      <c r="S2260">
        <f>Data!M2276</f>
        <v>0</v>
      </c>
      <c r="T2260">
        <f>Data!N2276</f>
        <v>0</v>
      </c>
      <c r="U2260">
        <f>Data!O2276</f>
        <v>0</v>
      </c>
      <c r="V2260" s="33">
        <f>Data!P2274</f>
        <v>0</v>
      </c>
    </row>
    <row r="2261" spans="7:22" x14ac:dyDescent="0.25">
      <c r="G2261" cm="1">
        <f t="array" aca="1" ref="G2261" ca="1">INDIRECT("Data!A" &amp; 2256)</f>
        <v>0</v>
      </c>
      <c r="H2261" s="21">
        <f>Data!B2273</f>
        <v>0</v>
      </c>
      <c r="I2261" s="21">
        <f>Data!C2273</f>
        <v>0</v>
      </c>
      <c r="J2261">
        <f>Data!D2273</f>
        <v>0</v>
      </c>
      <c r="K2261">
        <f>Data!E2273</f>
        <v>0</v>
      </c>
      <c r="L2261">
        <f>Data!F2273</f>
        <v>0</v>
      </c>
      <c r="M2261">
        <f>Data!G2273</f>
        <v>0</v>
      </c>
      <c r="N2261">
        <f>Data!H2273</f>
        <v>0</v>
      </c>
      <c r="O2261">
        <f>Data!I2273</f>
        <v>0</v>
      </c>
      <c r="P2261" s="21">
        <f>Data!J2277</f>
        <v>0</v>
      </c>
      <c r="Q2261">
        <f>Data!K2277</f>
        <v>0</v>
      </c>
      <c r="R2261">
        <f>Data!L2277</f>
        <v>0</v>
      </c>
      <c r="S2261">
        <f>Data!M2277</f>
        <v>0</v>
      </c>
      <c r="T2261">
        <f>Data!N2277</f>
        <v>0</v>
      </c>
      <c r="U2261">
        <f>Data!O2277</f>
        <v>0</v>
      </c>
      <c r="V2261" s="33">
        <f>Data!P2275</f>
        <v>0</v>
      </c>
    </row>
    <row r="2262" spans="7:22" x14ac:dyDescent="0.25">
      <c r="G2262" cm="1">
        <f t="array" aca="1" ref="G2262" ca="1">INDIRECT("Data!A" &amp; 2257)</f>
        <v>0</v>
      </c>
      <c r="H2262" s="21">
        <f>Data!B2274</f>
        <v>0</v>
      </c>
      <c r="I2262" s="21">
        <f>Data!C2274</f>
        <v>0</v>
      </c>
      <c r="J2262">
        <f>Data!D2274</f>
        <v>0</v>
      </c>
      <c r="K2262">
        <f>Data!E2274</f>
        <v>0</v>
      </c>
      <c r="L2262">
        <f>Data!F2274</f>
        <v>0</v>
      </c>
      <c r="M2262">
        <f>Data!G2274</f>
        <v>0</v>
      </c>
      <c r="N2262">
        <f>Data!H2274</f>
        <v>0</v>
      </c>
      <c r="O2262">
        <f>Data!I2274</f>
        <v>0</v>
      </c>
      <c r="P2262" s="21">
        <f>Data!J2278</f>
        <v>0</v>
      </c>
      <c r="Q2262">
        <f>Data!K2278</f>
        <v>0</v>
      </c>
      <c r="R2262">
        <f>Data!L2278</f>
        <v>0</v>
      </c>
      <c r="S2262">
        <f>Data!M2278</f>
        <v>0</v>
      </c>
      <c r="T2262">
        <f>Data!N2278</f>
        <v>0</v>
      </c>
      <c r="U2262">
        <f>Data!O2278</f>
        <v>0</v>
      </c>
      <c r="V2262" s="33">
        <f>Data!P2276</f>
        <v>0</v>
      </c>
    </row>
    <row r="2263" spans="7:22" x14ac:dyDescent="0.25">
      <c r="G2263" cm="1">
        <f t="array" aca="1" ref="G2263" ca="1">INDIRECT("Data!A" &amp; 2258)</f>
        <v>0</v>
      </c>
      <c r="H2263" s="21">
        <f>Data!B2275</f>
        <v>0</v>
      </c>
      <c r="I2263" s="21">
        <f>Data!C2275</f>
        <v>0</v>
      </c>
      <c r="J2263">
        <f>Data!D2275</f>
        <v>0</v>
      </c>
      <c r="K2263">
        <f>Data!E2275</f>
        <v>0</v>
      </c>
      <c r="L2263">
        <f>Data!F2275</f>
        <v>0</v>
      </c>
      <c r="M2263">
        <f>Data!G2275</f>
        <v>0</v>
      </c>
      <c r="N2263">
        <f>Data!H2275</f>
        <v>0</v>
      </c>
      <c r="O2263">
        <f>Data!I2275</f>
        <v>0</v>
      </c>
      <c r="P2263" s="21">
        <f>Data!J2279</f>
        <v>0</v>
      </c>
      <c r="Q2263">
        <f>Data!K2279</f>
        <v>0</v>
      </c>
      <c r="R2263">
        <f>Data!L2279</f>
        <v>0</v>
      </c>
      <c r="S2263">
        <f>Data!M2279</f>
        <v>0</v>
      </c>
      <c r="T2263">
        <f>Data!N2279</f>
        <v>0</v>
      </c>
      <c r="U2263">
        <f>Data!O2279</f>
        <v>0</v>
      </c>
      <c r="V2263" s="33">
        <f>Data!P2277</f>
        <v>0</v>
      </c>
    </row>
    <row r="2264" spans="7:22" x14ac:dyDescent="0.25">
      <c r="G2264" cm="1">
        <f t="array" aca="1" ref="G2264" ca="1">INDIRECT("Data!A" &amp; 2259)</f>
        <v>0</v>
      </c>
      <c r="H2264" s="21">
        <f>Data!B2276</f>
        <v>0</v>
      </c>
      <c r="I2264" s="21">
        <f>Data!C2276</f>
        <v>0</v>
      </c>
      <c r="J2264">
        <f>Data!D2276</f>
        <v>0</v>
      </c>
      <c r="K2264">
        <f>Data!E2276</f>
        <v>0</v>
      </c>
      <c r="L2264">
        <f>Data!F2276</f>
        <v>0</v>
      </c>
      <c r="M2264">
        <f>Data!G2276</f>
        <v>0</v>
      </c>
      <c r="N2264">
        <f>Data!H2276</f>
        <v>0</v>
      </c>
      <c r="O2264">
        <f>Data!I2276</f>
        <v>0</v>
      </c>
      <c r="P2264" s="21">
        <f>Data!J2280</f>
        <v>0</v>
      </c>
      <c r="Q2264">
        <f>Data!K2280</f>
        <v>0</v>
      </c>
      <c r="R2264">
        <f>Data!L2280</f>
        <v>0</v>
      </c>
      <c r="S2264">
        <f>Data!M2280</f>
        <v>0</v>
      </c>
      <c r="T2264">
        <f>Data!N2280</f>
        <v>0</v>
      </c>
      <c r="U2264">
        <f>Data!O2280</f>
        <v>0</v>
      </c>
      <c r="V2264" s="33">
        <f>Data!P2278</f>
        <v>0</v>
      </c>
    </row>
    <row r="2265" spans="7:22" x14ac:dyDescent="0.25">
      <c r="G2265" cm="1">
        <f t="array" aca="1" ref="G2265" ca="1">INDIRECT("Data!A" &amp; 2260)</f>
        <v>0</v>
      </c>
      <c r="H2265" s="21">
        <f>Data!B2277</f>
        <v>0</v>
      </c>
      <c r="I2265" s="21">
        <f>Data!C2277</f>
        <v>0</v>
      </c>
      <c r="J2265">
        <f>Data!D2277</f>
        <v>0</v>
      </c>
      <c r="K2265">
        <f>Data!E2277</f>
        <v>0</v>
      </c>
      <c r="L2265">
        <f>Data!F2277</f>
        <v>0</v>
      </c>
      <c r="M2265">
        <f>Data!G2277</f>
        <v>0</v>
      </c>
      <c r="N2265">
        <f>Data!H2277</f>
        <v>0</v>
      </c>
      <c r="O2265">
        <f>Data!I2277</f>
        <v>0</v>
      </c>
      <c r="P2265" s="21">
        <f>Data!J2281</f>
        <v>0</v>
      </c>
      <c r="Q2265">
        <f>Data!K2281</f>
        <v>0</v>
      </c>
      <c r="R2265">
        <f>Data!L2281</f>
        <v>0</v>
      </c>
      <c r="S2265">
        <f>Data!M2281</f>
        <v>0</v>
      </c>
      <c r="T2265">
        <f>Data!N2281</f>
        <v>0</v>
      </c>
      <c r="U2265">
        <f>Data!O2281</f>
        <v>0</v>
      </c>
      <c r="V2265" s="33">
        <f>Data!P2279</f>
        <v>0</v>
      </c>
    </row>
    <row r="2266" spans="7:22" x14ac:dyDescent="0.25">
      <c r="G2266" cm="1">
        <f t="array" aca="1" ref="G2266" ca="1">INDIRECT("Data!A" &amp; 2261)</f>
        <v>0</v>
      </c>
      <c r="H2266" s="21">
        <f>Data!B2278</f>
        <v>0</v>
      </c>
      <c r="I2266" s="21">
        <f>Data!C2278</f>
        <v>0</v>
      </c>
      <c r="J2266">
        <f>Data!D2278</f>
        <v>0</v>
      </c>
      <c r="K2266">
        <f>Data!E2278</f>
        <v>0</v>
      </c>
      <c r="L2266">
        <f>Data!F2278</f>
        <v>0</v>
      </c>
      <c r="M2266">
        <f>Data!G2278</f>
        <v>0</v>
      </c>
      <c r="N2266">
        <f>Data!H2278</f>
        <v>0</v>
      </c>
      <c r="O2266">
        <f>Data!I2278</f>
        <v>0</v>
      </c>
      <c r="P2266" s="21">
        <f>Data!J2282</f>
        <v>0</v>
      </c>
      <c r="Q2266">
        <f>Data!K2282</f>
        <v>0</v>
      </c>
      <c r="R2266">
        <f>Data!L2282</f>
        <v>0</v>
      </c>
      <c r="S2266">
        <f>Data!M2282</f>
        <v>0</v>
      </c>
      <c r="T2266">
        <f>Data!N2282</f>
        <v>0</v>
      </c>
      <c r="U2266">
        <f>Data!O2282</f>
        <v>0</v>
      </c>
      <c r="V2266" s="33">
        <f>Data!P2280</f>
        <v>0</v>
      </c>
    </row>
    <row r="2267" spans="7:22" x14ac:dyDescent="0.25">
      <c r="G2267" cm="1">
        <f t="array" aca="1" ref="G2267" ca="1">INDIRECT("Data!A" &amp; 2262)</f>
        <v>0</v>
      </c>
      <c r="H2267" s="21">
        <f>Data!B2279</f>
        <v>0</v>
      </c>
      <c r="I2267" s="21">
        <f>Data!C2279</f>
        <v>0</v>
      </c>
      <c r="J2267">
        <f>Data!D2279</f>
        <v>0</v>
      </c>
      <c r="K2267">
        <f>Data!E2279</f>
        <v>0</v>
      </c>
      <c r="L2267">
        <f>Data!F2279</f>
        <v>0</v>
      </c>
      <c r="M2267">
        <f>Data!G2279</f>
        <v>0</v>
      </c>
      <c r="N2267">
        <f>Data!H2279</f>
        <v>0</v>
      </c>
      <c r="O2267">
        <f>Data!I2279</f>
        <v>0</v>
      </c>
      <c r="P2267" s="21">
        <f>Data!J2283</f>
        <v>0</v>
      </c>
      <c r="Q2267">
        <f>Data!K2283</f>
        <v>0</v>
      </c>
      <c r="R2267">
        <f>Data!L2283</f>
        <v>0</v>
      </c>
      <c r="S2267">
        <f>Data!M2283</f>
        <v>0</v>
      </c>
      <c r="T2267">
        <f>Data!N2283</f>
        <v>0</v>
      </c>
      <c r="U2267">
        <f>Data!O2283</f>
        <v>0</v>
      </c>
      <c r="V2267" s="33">
        <f>Data!P2281</f>
        <v>0</v>
      </c>
    </row>
    <row r="2268" spans="7:22" x14ac:dyDescent="0.25">
      <c r="G2268" cm="1">
        <f t="array" aca="1" ref="G2268" ca="1">INDIRECT("Data!A" &amp; 2263)</f>
        <v>0</v>
      </c>
      <c r="H2268" s="21">
        <f>Data!B2280</f>
        <v>0</v>
      </c>
      <c r="I2268" s="21">
        <f>Data!C2280</f>
        <v>0</v>
      </c>
      <c r="J2268">
        <f>Data!D2280</f>
        <v>0</v>
      </c>
      <c r="K2268">
        <f>Data!E2280</f>
        <v>0</v>
      </c>
      <c r="L2268">
        <f>Data!F2280</f>
        <v>0</v>
      </c>
      <c r="M2268">
        <f>Data!G2280</f>
        <v>0</v>
      </c>
      <c r="N2268">
        <f>Data!H2280</f>
        <v>0</v>
      </c>
      <c r="O2268">
        <f>Data!I2280</f>
        <v>0</v>
      </c>
      <c r="P2268" s="21">
        <f>Data!J2284</f>
        <v>0</v>
      </c>
      <c r="Q2268">
        <f>Data!K2284</f>
        <v>0</v>
      </c>
      <c r="R2268">
        <f>Data!L2284</f>
        <v>0</v>
      </c>
      <c r="S2268">
        <f>Data!M2284</f>
        <v>0</v>
      </c>
      <c r="T2268">
        <f>Data!N2284</f>
        <v>0</v>
      </c>
      <c r="U2268">
        <f>Data!O2284</f>
        <v>0</v>
      </c>
      <c r="V2268" s="33">
        <f>Data!P2282</f>
        <v>0</v>
      </c>
    </row>
    <row r="2269" spans="7:22" x14ac:dyDescent="0.25">
      <c r="G2269" cm="1">
        <f t="array" aca="1" ref="G2269" ca="1">INDIRECT("Data!A" &amp; 2264)</f>
        <v>0</v>
      </c>
      <c r="H2269" s="21">
        <f>Data!B2281</f>
        <v>0</v>
      </c>
      <c r="I2269" s="21">
        <f>Data!C2281</f>
        <v>0</v>
      </c>
      <c r="J2269">
        <f>Data!D2281</f>
        <v>0</v>
      </c>
      <c r="K2269">
        <f>Data!E2281</f>
        <v>0</v>
      </c>
      <c r="L2269">
        <f>Data!F2281</f>
        <v>0</v>
      </c>
      <c r="M2269">
        <f>Data!G2281</f>
        <v>0</v>
      </c>
      <c r="N2269">
        <f>Data!H2281</f>
        <v>0</v>
      </c>
      <c r="O2269">
        <f>Data!I2281</f>
        <v>0</v>
      </c>
      <c r="P2269" s="21">
        <f>Data!J2285</f>
        <v>0</v>
      </c>
      <c r="Q2269">
        <f>Data!K2285</f>
        <v>0</v>
      </c>
      <c r="R2269">
        <f>Data!L2285</f>
        <v>0</v>
      </c>
      <c r="S2269">
        <f>Data!M2285</f>
        <v>0</v>
      </c>
      <c r="T2269">
        <f>Data!N2285</f>
        <v>0</v>
      </c>
      <c r="U2269">
        <f>Data!O2285</f>
        <v>0</v>
      </c>
      <c r="V2269" s="33">
        <f>Data!P2283</f>
        <v>0</v>
      </c>
    </row>
    <row r="2270" spans="7:22" x14ac:dyDescent="0.25">
      <c r="G2270" cm="1">
        <f t="array" aca="1" ref="G2270" ca="1">INDIRECT("Data!A" &amp; 2265)</f>
        <v>0</v>
      </c>
      <c r="H2270" s="21">
        <f>Data!B2282</f>
        <v>0</v>
      </c>
      <c r="I2270" s="21">
        <f>Data!C2282</f>
        <v>0</v>
      </c>
      <c r="J2270">
        <f>Data!D2282</f>
        <v>0</v>
      </c>
      <c r="K2270">
        <f>Data!E2282</f>
        <v>0</v>
      </c>
      <c r="L2270">
        <f>Data!F2282</f>
        <v>0</v>
      </c>
      <c r="M2270">
        <f>Data!G2282</f>
        <v>0</v>
      </c>
      <c r="N2270">
        <f>Data!H2282</f>
        <v>0</v>
      </c>
      <c r="O2270">
        <f>Data!I2282</f>
        <v>0</v>
      </c>
      <c r="P2270" s="21">
        <f>Data!J2286</f>
        <v>0</v>
      </c>
      <c r="Q2270">
        <f>Data!K2286</f>
        <v>0</v>
      </c>
      <c r="R2270">
        <f>Data!L2286</f>
        <v>0</v>
      </c>
      <c r="S2270">
        <f>Data!M2286</f>
        <v>0</v>
      </c>
      <c r="T2270">
        <f>Data!N2286</f>
        <v>0</v>
      </c>
      <c r="U2270">
        <f>Data!O2286</f>
        <v>0</v>
      </c>
      <c r="V2270" s="33">
        <f>Data!P2284</f>
        <v>0</v>
      </c>
    </row>
    <row r="2271" spans="7:22" x14ac:dyDescent="0.25">
      <c r="G2271" cm="1">
        <f t="array" aca="1" ref="G2271" ca="1">INDIRECT("Data!A" &amp; 2266)</f>
        <v>0</v>
      </c>
      <c r="H2271" s="21">
        <f>Data!B2283</f>
        <v>0</v>
      </c>
      <c r="I2271" s="21">
        <f>Data!C2283</f>
        <v>0</v>
      </c>
      <c r="J2271">
        <f>Data!D2283</f>
        <v>0</v>
      </c>
      <c r="K2271">
        <f>Data!E2283</f>
        <v>0</v>
      </c>
      <c r="L2271">
        <f>Data!F2283</f>
        <v>0</v>
      </c>
      <c r="M2271">
        <f>Data!G2283</f>
        <v>0</v>
      </c>
      <c r="N2271">
        <f>Data!H2283</f>
        <v>0</v>
      </c>
      <c r="O2271">
        <f>Data!I2283</f>
        <v>0</v>
      </c>
      <c r="P2271" s="21">
        <f>Data!J2287</f>
        <v>0</v>
      </c>
      <c r="Q2271">
        <f>Data!K2287</f>
        <v>0</v>
      </c>
      <c r="R2271">
        <f>Data!L2287</f>
        <v>0</v>
      </c>
      <c r="S2271">
        <f>Data!M2287</f>
        <v>0</v>
      </c>
      <c r="T2271">
        <f>Data!N2287</f>
        <v>0</v>
      </c>
      <c r="U2271">
        <f>Data!O2287</f>
        <v>0</v>
      </c>
      <c r="V2271" s="33">
        <f>Data!P2285</f>
        <v>0</v>
      </c>
    </row>
    <row r="2272" spans="7:22" x14ac:dyDescent="0.25">
      <c r="G2272" cm="1">
        <f t="array" aca="1" ref="G2272" ca="1">INDIRECT("Data!A" &amp; 2267)</f>
        <v>0</v>
      </c>
      <c r="H2272" s="21">
        <f>Data!B2284</f>
        <v>0</v>
      </c>
      <c r="I2272" s="21">
        <f>Data!C2284</f>
        <v>0</v>
      </c>
      <c r="J2272">
        <f>Data!D2284</f>
        <v>0</v>
      </c>
      <c r="K2272">
        <f>Data!E2284</f>
        <v>0</v>
      </c>
      <c r="L2272">
        <f>Data!F2284</f>
        <v>0</v>
      </c>
      <c r="M2272">
        <f>Data!G2284</f>
        <v>0</v>
      </c>
      <c r="N2272">
        <f>Data!H2284</f>
        <v>0</v>
      </c>
      <c r="O2272">
        <f>Data!I2284</f>
        <v>0</v>
      </c>
      <c r="P2272" s="21">
        <f>Data!J2288</f>
        <v>0</v>
      </c>
      <c r="Q2272">
        <f>Data!K2288</f>
        <v>0</v>
      </c>
      <c r="R2272">
        <f>Data!L2288</f>
        <v>0</v>
      </c>
      <c r="S2272">
        <f>Data!M2288</f>
        <v>0</v>
      </c>
      <c r="T2272">
        <f>Data!N2288</f>
        <v>0</v>
      </c>
      <c r="U2272">
        <f>Data!O2288</f>
        <v>0</v>
      </c>
      <c r="V2272" s="33">
        <f>Data!P2286</f>
        <v>0</v>
      </c>
    </row>
    <row r="2273" spans="7:22" x14ac:dyDescent="0.25">
      <c r="G2273" cm="1">
        <f t="array" aca="1" ref="G2273" ca="1">INDIRECT("Data!A" &amp; 2268)</f>
        <v>0</v>
      </c>
      <c r="H2273" s="21">
        <f>Data!B2285</f>
        <v>0</v>
      </c>
      <c r="I2273" s="21">
        <f>Data!C2285</f>
        <v>0</v>
      </c>
      <c r="J2273">
        <f>Data!D2285</f>
        <v>0</v>
      </c>
      <c r="K2273">
        <f>Data!E2285</f>
        <v>0</v>
      </c>
      <c r="L2273">
        <f>Data!F2285</f>
        <v>0</v>
      </c>
      <c r="M2273">
        <f>Data!G2285</f>
        <v>0</v>
      </c>
      <c r="N2273">
        <f>Data!H2285</f>
        <v>0</v>
      </c>
      <c r="O2273">
        <f>Data!I2285</f>
        <v>0</v>
      </c>
      <c r="P2273" s="21">
        <f>Data!J2289</f>
        <v>0</v>
      </c>
      <c r="Q2273">
        <f>Data!K2289</f>
        <v>0</v>
      </c>
      <c r="R2273">
        <f>Data!L2289</f>
        <v>0</v>
      </c>
      <c r="S2273">
        <f>Data!M2289</f>
        <v>0</v>
      </c>
      <c r="T2273">
        <f>Data!N2289</f>
        <v>0</v>
      </c>
      <c r="U2273">
        <f>Data!O2289</f>
        <v>0</v>
      </c>
      <c r="V2273" s="33">
        <f>Data!P2287</f>
        <v>0</v>
      </c>
    </row>
    <row r="2274" spans="7:22" x14ac:dyDescent="0.25">
      <c r="G2274" cm="1">
        <f t="array" aca="1" ref="G2274" ca="1">INDIRECT("Data!A" &amp; 2269)</f>
        <v>0</v>
      </c>
      <c r="H2274" s="21">
        <f>Data!B2286</f>
        <v>0</v>
      </c>
      <c r="I2274" s="21">
        <f>Data!C2286</f>
        <v>0</v>
      </c>
      <c r="J2274">
        <f>Data!D2286</f>
        <v>0</v>
      </c>
      <c r="K2274">
        <f>Data!E2286</f>
        <v>0</v>
      </c>
      <c r="L2274">
        <f>Data!F2286</f>
        <v>0</v>
      </c>
      <c r="M2274">
        <f>Data!G2286</f>
        <v>0</v>
      </c>
      <c r="N2274">
        <f>Data!H2286</f>
        <v>0</v>
      </c>
      <c r="O2274">
        <f>Data!I2286</f>
        <v>0</v>
      </c>
      <c r="P2274" s="21">
        <f>Data!J2290</f>
        <v>0</v>
      </c>
      <c r="Q2274">
        <f>Data!K2290</f>
        <v>0</v>
      </c>
      <c r="R2274">
        <f>Data!L2290</f>
        <v>0</v>
      </c>
      <c r="S2274">
        <f>Data!M2290</f>
        <v>0</v>
      </c>
      <c r="T2274">
        <f>Data!N2290</f>
        <v>0</v>
      </c>
      <c r="U2274">
        <f>Data!O2290</f>
        <v>0</v>
      </c>
      <c r="V2274" s="33">
        <f>Data!P2288</f>
        <v>0</v>
      </c>
    </row>
    <row r="2275" spans="7:22" x14ac:dyDescent="0.25">
      <c r="G2275" cm="1">
        <f t="array" aca="1" ref="G2275" ca="1">INDIRECT("Data!A" &amp; 2270)</f>
        <v>0</v>
      </c>
      <c r="H2275" s="21">
        <f>Data!B2287</f>
        <v>0</v>
      </c>
      <c r="I2275" s="21">
        <f>Data!C2287</f>
        <v>0</v>
      </c>
      <c r="J2275">
        <f>Data!D2287</f>
        <v>0</v>
      </c>
      <c r="K2275">
        <f>Data!E2287</f>
        <v>0</v>
      </c>
      <c r="L2275">
        <f>Data!F2287</f>
        <v>0</v>
      </c>
      <c r="M2275">
        <f>Data!G2287</f>
        <v>0</v>
      </c>
      <c r="N2275">
        <f>Data!H2287</f>
        <v>0</v>
      </c>
      <c r="O2275">
        <f>Data!I2287</f>
        <v>0</v>
      </c>
      <c r="P2275" s="21">
        <f>Data!J2291</f>
        <v>0</v>
      </c>
      <c r="Q2275">
        <f>Data!K2291</f>
        <v>0</v>
      </c>
      <c r="R2275">
        <f>Data!L2291</f>
        <v>0</v>
      </c>
      <c r="S2275">
        <f>Data!M2291</f>
        <v>0</v>
      </c>
      <c r="T2275">
        <f>Data!N2291</f>
        <v>0</v>
      </c>
      <c r="U2275">
        <f>Data!O2291</f>
        <v>0</v>
      </c>
      <c r="V2275" s="33">
        <f>Data!P2289</f>
        <v>0</v>
      </c>
    </row>
    <row r="2276" spans="7:22" x14ac:dyDescent="0.25">
      <c r="G2276" cm="1">
        <f t="array" aca="1" ref="G2276" ca="1">INDIRECT("Data!A" &amp; 2271)</f>
        <v>0</v>
      </c>
      <c r="H2276" s="21">
        <f>Data!B2288</f>
        <v>0</v>
      </c>
      <c r="I2276" s="21">
        <f>Data!C2288</f>
        <v>0</v>
      </c>
      <c r="J2276">
        <f>Data!D2288</f>
        <v>0</v>
      </c>
      <c r="K2276">
        <f>Data!E2288</f>
        <v>0</v>
      </c>
      <c r="L2276">
        <f>Data!F2288</f>
        <v>0</v>
      </c>
      <c r="M2276">
        <f>Data!G2288</f>
        <v>0</v>
      </c>
      <c r="N2276">
        <f>Data!H2288</f>
        <v>0</v>
      </c>
      <c r="O2276">
        <f>Data!I2288</f>
        <v>0</v>
      </c>
      <c r="P2276" s="21">
        <f>Data!J2292</f>
        <v>0</v>
      </c>
      <c r="Q2276">
        <f>Data!K2292</f>
        <v>0</v>
      </c>
      <c r="R2276">
        <f>Data!L2292</f>
        <v>0</v>
      </c>
      <c r="S2276">
        <f>Data!M2292</f>
        <v>0</v>
      </c>
      <c r="T2276">
        <f>Data!N2292</f>
        <v>0</v>
      </c>
      <c r="U2276">
        <f>Data!O2292</f>
        <v>0</v>
      </c>
      <c r="V2276" s="33">
        <f>Data!P2290</f>
        <v>0</v>
      </c>
    </row>
    <row r="2277" spans="7:22" x14ac:dyDescent="0.25">
      <c r="G2277" cm="1">
        <f t="array" aca="1" ref="G2277" ca="1">INDIRECT("Data!A" &amp; 2272)</f>
        <v>0</v>
      </c>
      <c r="H2277" s="21">
        <f>Data!B2289</f>
        <v>0</v>
      </c>
      <c r="I2277" s="21">
        <f>Data!C2289</f>
        <v>0</v>
      </c>
      <c r="J2277">
        <f>Data!D2289</f>
        <v>0</v>
      </c>
      <c r="K2277">
        <f>Data!E2289</f>
        <v>0</v>
      </c>
      <c r="L2277">
        <f>Data!F2289</f>
        <v>0</v>
      </c>
      <c r="M2277">
        <f>Data!G2289</f>
        <v>0</v>
      </c>
      <c r="N2277">
        <f>Data!H2289</f>
        <v>0</v>
      </c>
      <c r="O2277">
        <f>Data!I2289</f>
        <v>0</v>
      </c>
      <c r="P2277" s="21">
        <f>Data!J2293</f>
        <v>0</v>
      </c>
      <c r="Q2277">
        <f>Data!K2293</f>
        <v>0</v>
      </c>
      <c r="R2277">
        <f>Data!L2293</f>
        <v>0</v>
      </c>
      <c r="S2277">
        <f>Data!M2293</f>
        <v>0</v>
      </c>
      <c r="T2277">
        <f>Data!N2293</f>
        <v>0</v>
      </c>
      <c r="U2277">
        <f>Data!O2293</f>
        <v>0</v>
      </c>
      <c r="V2277" s="33">
        <f>Data!P2291</f>
        <v>0</v>
      </c>
    </row>
    <row r="2278" spans="7:22" x14ac:dyDescent="0.25">
      <c r="G2278" cm="1">
        <f t="array" aca="1" ref="G2278" ca="1">INDIRECT("Data!A" &amp; 2273)</f>
        <v>0</v>
      </c>
      <c r="H2278" s="21">
        <f>Data!B2290</f>
        <v>0</v>
      </c>
      <c r="I2278" s="21">
        <f>Data!C2290</f>
        <v>0</v>
      </c>
      <c r="J2278">
        <f>Data!D2290</f>
        <v>0</v>
      </c>
      <c r="K2278">
        <f>Data!E2290</f>
        <v>0</v>
      </c>
      <c r="L2278">
        <f>Data!F2290</f>
        <v>0</v>
      </c>
      <c r="M2278">
        <f>Data!G2290</f>
        <v>0</v>
      </c>
      <c r="N2278">
        <f>Data!H2290</f>
        <v>0</v>
      </c>
      <c r="O2278">
        <f>Data!I2290</f>
        <v>0</v>
      </c>
      <c r="P2278" s="21">
        <f>Data!J2294</f>
        <v>0</v>
      </c>
      <c r="Q2278">
        <f>Data!K2294</f>
        <v>0</v>
      </c>
      <c r="R2278">
        <f>Data!L2294</f>
        <v>0</v>
      </c>
      <c r="S2278">
        <f>Data!M2294</f>
        <v>0</v>
      </c>
      <c r="T2278">
        <f>Data!N2294</f>
        <v>0</v>
      </c>
      <c r="U2278">
        <f>Data!O2294</f>
        <v>0</v>
      </c>
      <c r="V2278" s="33">
        <f>Data!P2292</f>
        <v>0</v>
      </c>
    </row>
    <row r="2279" spans="7:22" x14ac:dyDescent="0.25">
      <c r="G2279" cm="1">
        <f t="array" aca="1" ref="G2279" ca="1">INDIRECT("Data!A" &amp; 2274)</f>
        <v>0</v>
      </c>
      <c r="H2279" s="21">
        <f>Data!B2291</f>
        <v>0</v>
      </c>
      <c r="I2279" s="21">
        <f>Data!C2291</f>
        <v>0</v>
      </c>
      <c r="J2279">
        <f>Data!D2291</f>
        <v>0</v>
      </c>
      <c r="K2279">
        <f>Data!E2291</f>
        <v>0</v>
      </c>
      <c r="L2279">
        <f>Data!F2291</f>
        <v>0</v>
      </c>
      <c r="M2279">
        <f>Data!G2291</f>
        <v>0</v>
      </c>
      <c r="N2279">
        <f>Data!H2291</f>
        <v>0</v>
      </c>
      <c r="O2279">
        <f>Data!I2291</f>
        <v>0</v>
      </c>
      <c r="P2279" s="21">
        <f>Data!J2295</f>
        <v>0</v>
      </c>
      <c r="Q2279">
        <f>Data!K2295</f>
        <v>0</v>
      </c>
      <c r="R2279">
        <f>Data!L2295</f>
        <v>0</v>
      </c>
      <c r="S2279">
        <f>Data!M2295</f>
        <v>0</v>
      </c>
      <c r="T2279">
        <f>Data!N2295</f>
        <v>0</v>
      </c>
      <c r="U2279">
        <f>Data!O2295</f>
        <v>0</v>
      </c>
      <c r="V2279" s="33">
        <f>Data!P2293</f>
        <v>0</v>
      </c>
    </row>
    <row r="2280" spans="7:22" x14ac:dyDescent="0.25">
      <c r="G2280" cm="1">
        <f t="array" aca="1" ref="G2280" ca="1">INDIRECT("Data!A" &amp; 2275)</f>
        <v>0</v>
      </c>
      <c r="H2280" s="21">
        <f>Data!B2292</f>
        <v>0</v>
      </c>
      <c r="I2280" s="21">
        <f>Data!C2292</f>
        <v>0</v>
      </c>
      <c r="J2280">
        <f>Data!D2292</f>
        <v>0</v>
      </c>
      <c r="K2280">
        <f>Data!E2292</f>
        <v>0</v>
      </c>
      <c r="L2280">
        <f>Data!F2292</f>
        <v>0</v>
      </c>
      <c r="M2280">
        <f>Data!G2292</f>
        <v>0</v>
      </c>
      <c r="N2280">
        <f>Data!H2292</f>
        <v>0</v>
      </c>
      <c r="O2280">
        <f>Data!I2292</f>
        <v>0</v>
      </c>
      <c r="P2280" s="21">
        <f>Data!J2296</f>
        <v>0</v>
      </c>
      <c r="Q2280">
        <f>Data!K2296</f>
        <v>0</v>
      </c>
      <c r="R2280">
        <f>Data!L2296</f>
        <v>0</v>
      </c>
      <c r="S2280">
        <f>Data!M2296</f>
        <v>0</v>
      </c>
      <c r="T2280">
        <f>Data!N2296</f>
        <v>0</v>
      </c>
      <c r="U2280">
        <f>Data!O2296</f>
        <v>0</v>
      </c>
      <c r="V2280" s="33">
        <f>Data!P2294</f>
        <v>0</v>
      </c>
    </row>
    <row r="2281" spans="7:22" x14ac:dyDescent="0.25">
      <c r="G2281" cm="1">
        <f t="array" aca="1" ref="G2281" ca="1">INDIRECT("Data!A" &amp; 2276)</f>
        <v>0</v>
      </c>
      <c r="H2281" s="21">
        <f>Data!B2293</f>
        <v>0</v>
      </c>
      <c r="I2281" s="21">
        <f>Data!C2293</f>
        <v>0</v>
      </c>
      <c r="J2281">
        <f>Data!D2293</f>
        <v>0</v>
      </c>
      <c r="K2281">
        <f>Data!E2293</f>
        <v>0</v>
      </c>
      <c r="L2281">
        <f>Data!F2293</f>
        <v>0</v>
      </c>
      <c r="M2281">
        <f>Data!G2293</f>
        <v>0</v>
      </c>
      <c r="N2281">
        <f>Data!H2293</f>
        <v>0</v>
      </c>
      <c r="O2281">
        <f>Data!I2293</f>
        <v>0</v>
      </c>
      <c r="P2281" s="21">
        <f>Data!J2297</f>
        <v>0</v>
      </c>
      <c r="Q2281">
        <f>Data!K2297</f>
        <v>0</v>
      </c>
      <c r="R2281">
        <f>Data!L2297</f>
        <v>0</v>
      </c>
      <c r="S2281">
        <f>Data!M2297</f>
        <v>0</v>
      </c>
      <c r="T2281">
        <f>Data!N2297</f>
        <v>0</v>
      </c>
      <c r="U2281">
        <f>Data!O2297</f>
        <v>0</v>
      </c>
      <c r="V2281" s="33">
        <f>Data!P2295</f>
        <v>0</v>
      </c>
    </row>
    <row r="2282" spans="7:22" x14ac:dyDescent="0.25">
      <c r="G2282" cm="1">
        <f t="array" aca="1" ref="G2282" ca="1">INDIRECT("Data!A" &amp; 2277)</f>
        <v>0</v>
      </c>
      <c r="H2282" s="21">
        <f>Data!B2294</f>
        <v>0</v>
      </c>
      <c r="I2282" s="21">
        <f>Data!C2294</f>
        <v>0</v>
      </c>
      <c r="J2282">
        <f>Data!D2294</f>
        <v>0</v>
      </c>
      <c r="K2282">
        <f>Data!E2294</f>
        <v>0</v>
      </c>
      <c r="L2282">
        <f>Data!F2294</f>
        <v>0</v>
      </c>
      <c r="M2282">
        <f>Data!G2294</f>
        <v>0</v>
      </c>
      <c r="N2282">
        <f>Data!H2294</f>
        <v>0</v>
      </c>
      <c r="O2282">
        <f>Data!I2294</f>
        <v>0</v>
      </c>
      <c r="P2282" s="21">
        <f>Data!J2298</f>
        <v>0</v>
      </c>
      <c r="Q2282">
        <f>Data!K2298</f>
        <v>0</v>
      </c>
      <c r="R2282">
        <f>Data!L2298</f>
        <v>0</v>
      </c>
      <c r="S2282">
        <f>Data!M2298</f>
        <v>0</v>
      </c>
      <c r="T2282">
        <f>Data!N2298</f>
        <v>0</v>
      </c>
      <c r="U2282">
        <f>Data!O2298</f>
        <v>0</v>
      </c>
      <c r="V2282" s="33">
        <f>Data!P2296</f>
        <v>0</v>
      </c>
    </row>
    <row r="2283" spans="7:22" x14ac:dyDescent="0.25">
      <c r="G2283" cm="1">
        <f t="array" aca="1" ref="G2283" ca="1">INDIRECT("Data!A" &amp; 2278)</f>
        <v>0</v>
      </c>
      <c r="H2283" s="21">
        <f>Data!B2295</f>
        <v>0</v>
      </c>
      <c r="I2283" s="21">
        <f>Data!C2295</f>
        <v>0</v>
      </c>
      <c r="J2283">
        <f>Data!D2295</f>
        <v>0</v>
      </c>
      <c r="K2283">
        <f>Data!E2295</f>
        <v>0</v>
      </c>
      <c r="L2283">
        <f>Data!F2295</f>
        <v>0</v>
      </c>
      <c r="M2283">
        <f>Data!G2295</f>
        <v>0</v>
      </c>
      <c r="N2283">
        <f>Data!H2295</f>
        <v>0</v>
      </c>
      <c r="O2283">
        <f>Data!I2295</f>
        <v>0</v>
      </c>
      <c r="P2283" s="21">
        <f>Data!J2299</f>
        <v>0</v>
      </c>
      <c r="Q2283">
        <f>Data!K2299</f>
        <v>0</v>
      </c>
      <c r="R2283">
        <f>Data!L2299</f>
        <v>0</v>
      </c>
      <c r="S2283">
        <f>Data!M2299</f>
        <v>0</v>
      </c>
      <c r="T2283">
        <f>Data!N2299</f>
        <v>0</v>
      </c>
      <c r="U2283">
        <f>Data!O2299</f>
        <v>0</v>
      </c>
      <c r="V2283" s="33">
        <f>Data!P2297</f>
        <v>0</v>
      </c>
    </row>
    <row r="2284" spans="7:22" x14ac:dyDescent="0.25">
      <c r="G2284" cm="1">
        <f t="array" aca="1" ref="G2284" ca="1">INDIRECT("Data!A" &amp; 2279)</f>
        <v>0</v>
      </c>
      <c r="H2284" s="21">
        <f>Data!B2296</f>
        <v>0</v>
      </c>
      <c r="I2284" s="21">
        <f>Data!C2296</f>
        <v>0</v>
      </c>
      <c r="J2284">
        <f>Data!D2296</f>
        <v>0</v>
      </c>
      <c r="K2284">
        <f>Data!E2296</f>
        <v>0</v>
      </c>
      <c r="L2284">
        <f>Data!F2296</f>
        <v>0</v>
      </c>
      <c r="M2284">
        <f>Data!G2296</f>
        <v>0</v>
      </c>
      <c r="N2284">
        <f>Data!H2296</f>
        <v>0</v>
      </c>
      <c r="O2284">
        <f>Data!I2296</f>
        <v>0</v>
      </c>
      <c r="P2284" s="21">
        <f>Data!J2300</f>
        <v>0</v>
      </c>
      <c r="Q2284">
        <f>Data!K2300</f>
        <v>0</v>
      </c>
      <c r="R2284">
        <f>Data!L2300</f>
        <v>0</v>
      </c>
      <c r="S2284">
        <f>Data!M2300</f>
        <v>0</v>
      </c>
      <c r="T2284">
        <f>Data!N2300</f>
        <v>0</v>
      </c>
      <c r="U2284">
        <f>Data!O2300</f>
        <v>0</v>
      </c>
      <c r="V2284" s="33">
        <f>Data!P2298</f>
        <v>0</v>
      </c>
    </row>
    <row r="2285" spans="7:22" x14ac:dyDescent="0.25">
      <c r="G2285" cm="1">
        <f t="array" aca="1" ref="G2285" ca="1">INDIRECT("Data!A" &amp; 2280)</f>
        <v>0</v>
      </c>
      <c r="H2285" s="21">
        <f>Data!B2297</f>
        <v>0</v>
      </c>
      <c r="I2285" s="21">
        <f>Data!C2297</f>
        <v>0</v>
      </c>
      <c r="J2285">
        <f>Data!D2297</f>
        <v>0</v>
      </c>
      <c r="K2285">
        <f>Data!E2297</f>
        <v>0</v>
      </c>
      <c r="L2285">
        <f>Data!F2297</f>
        <v>0</v>
      </c>
      <c r="M2285">
        <f>Data!G2297</f>
        <v>0</v>
      </c>
      <c r="N2285">
        <f>Data!H2297</f>
        <v>0</v>
      </c>
      <c r="O2285">
        <f>Data!I2297</f>
        <v>0</v>
      </c>
      <c r="P2285" s="21">
        <f>Data!J2301</f>
        <v>0</v>
      </c>
      <c r="Q2285">
        <f>Data!K2301</f>
        <v>0</v>
      </c>
      <c r="R2285">
        <f>Data!L2301</f>
        <v>0</v>
      </c>
      <c r="S2285">
        <f>Data!M2301</f>
        <v>0</v>
      </c>
      <c r="T2285">
        <f>Data!N2301</f>
        <v>0</v>
      </c>
      <c r="U2285">
        <f>Data!O2301</f>
        <v>0</v>
      </c>
      <c r="V2285" s="33">
        <f>Data!P2299</f>
        <v>0</v>
      </c>
    </row>
    <row r="2286" spans="7:22" x14ac:dyDescent="0.25">
      <c r="G2286" cm="1">
        <f t="array" aca="1" ref="G2286" ca="1">INDIRECT("Data!A" &amp; 2281)</f>
        <v>0</v>
      </c>
      <c r="H2286" s="21">
        <f>Data!B2298</f>
        <v>0</v>
      </c>
      <c r="I2286" s="21">
        <f>Data!C2298</f>
        <v>0</v>
      </c>
      <c r="J2286">
        <f>Data!D2298</f>
        <v>0</v>
      </c>
      <c r="K2286">
        <f>Data!E2298</f>
        <v>0</v>
      </c>
      <c r="L2286">
        <f>Data!F2298</f>
        <v>0</v>
      </c>
      <c r="M2286">
        <f>Data!G2298</f>
        <v>0</v>
      </c>
      <c r="N2286">
        <f>Data!H2298</f>
        <v>0</v>
      </c>
      <c r="O2286">
        <f>Data!I2298</f>
        <v>0</v>
      </c>
      <c r="P2286" s="21">
        <f>Data!J2302</f>
        <v>0</v>
      </c>
      <c r="Q2286">
        <f>Data!K2302</f>
        <v>0</v>
      </c>
      <c r="R2286">
        <f>Data!L2302</f>
        <v>0</v>
      </c>
      <c r="S2286">
        <f>Data!M2302</f>
        <v>0</v>
      </c>
      <c r="T2286">
        <f>Data!N2302</f>
        <v>0</v>
      </c>
      <c r="U2286">
        <f>Data!O2302</f>
        <v>0</v>
      </c>
      <c r="V2286" s="33">
        <f>Data!P2300</f>
        <v>0</v>
      </c>
    </row>
    <row r="2287" spans="7:22" x14ac:dyDescent="0.25">
      <c r="G2287" cm="1">
        <f t="array" aca="1" ref="G2287" ca="1">INDIRECT("Data!A" &amp; 2282)</f>
        <v>0</v>
      </c>
      <c r="H2287" s="21">
        <f>Data!B2299</f>
        <v>0</v>
      </c>
      <c r="I2287" s="21">
        <f>Data!C2299</f>
        <v>0</v>
      </c>
      <c r="J2287">
        <f>Data!D2299</f>
        <v>0</v>
      </c>
      <c r="K2287">
        <f>Data!E2299</f>
        <v>0</v>
      </c>
      <c r="L2287">
        <f>Data!F2299</f>
        <v>0</v>
      </c>
      <c r="M2287">
        <f>Data!G2299</f>
        <v>0</v>
      </c>
      <c r="N2287">
        <f>Data!H2299</f>
        <v>0</v>
      </c>
      <c r="O2287">
        <f>Data!I2299</f>
        <v>0</v>
      </c>
      <c r="P2287" s="21">
        <f>Data!J2303</f>
        <v>0</v>
      </c>
      <c r="Q2287">
        <f>Data!K2303</f>
        <v>0</v>
      </c>
      <c r="R2287">
        <f>Data!L2303</f>
        <v>0</v>
      </c>
      <c r="S2287">
        <f>Data!M2303</f>
        <v>0</v>
      </c>
      <c r="T2287">
        <f>Data!N2303</f>
        <v>0</v>
      </c>
      <c r="U2287">
        <f>Data!O2303</f>
        <v>0</v>
      </c>
      <c r="V2287" s="33">
        <f>Data!P2301</f>
        <v>0</v>
      </c>
    </row>
    <row r="2288" spans="7:22" x14ac:dyDescent="0.25">
      <c r="G2288" cm="1">
        <f t="array" aca="1" ref="G2288" ca="1">INDIRECT("Data!A" &amp; 2283)</f>
        <v>0</v>
      </c>
      <c r="H2288" s="21">
        <f>Data!B2300</f>
        <v>0</v>
      </c>
      <c r="I2288" s="21">
        <f>Data!C2300</f>
        <v>0</v>
      </c>
      <c r="J2288">
        <f>Data!D2300</f>
        <v>0</v>
      </c>
      <c r="K2288">
        <f>Data!E2300</f>
        <v>0</v>
      </c>
      <c r="L2288">
        <f>Data!F2300</f>
        <v>0</v>
      </c>
      <c r="M2288">
        <f>Data!G2300</f>
        <v>0</v>
      </c>
      <c r="N2288">
        <f>Data!H2300</f>
        <v>0</v>
      </c>
      <c r="O2288">
        <f>Data!I2300</f>
        <v>0</v>
      </c>
      <c r="P2288" s="21">
        <f>Data!J2304</f>
        <v>0</v>
      </c>
      <c r="Q2288">
        <f>Data!K2304</f>
        <v>0</v>
      </c>
      <c r="R2288">
        <f>Data!L2304</f>
        <v>0</v>
      </c>
      <c r="S2288">
        <f>Data!M2304</f>
        <v>0</v>
      </c>
      <c r="T2288">
        <f>Data!N2304</f>
        <v>0</v>
      </c>
      <c r="U2288">
        <f>Data!O2304</f>
        <v>0</v>
      </c>
      <c r="V2288" s="33">
        <f>Data!P2302</f>
        <v>0</v>
      </c>
    </row>
    <row r="2289" spans="7:22" x14ac:dyDescent="0.25">
      <c r="G2289" cm="1">
        <f t="array" aca="1" ref="G2289" ca="1">INDIRECT("Data!A" &amp; 2284)</f>
        <v>0</v>
      </c>
      <c r="H2289" s="21">
        <f>Data!B2301</f>
        <v>0</v>
      </c>
      <c r="I2289" s="21">
        <f>Data!C2301</f>
        <v>0</v>
      </c>
      <c r="J2289">
        <f>Data!D2301</f>
        <v>0</v>
      </c>
      <c r="K2289">
        <f>Data!E2301</f>
        <v>0</v>
      </c>
      <c r="L2289">
        <f>Data!F2301</f>
        <v>0</v>
      </c>
      <c r="M2289">
        <f>Data!G2301</f>
        <v>0</v>
      </c>
      <c r="N2289">
        <f>Data!H2301</f>
        <v>0</v>
      </c>
      <c r="O2289">
        <f>Data!I2301</f>
        <v>0</v>
      </c>
      <c r="P2289" s="21">
        <f>Data!J2305</f>
        <v>0</v>
      </c>
      <c r="Q2289">
        <f>Data!K2305</f>
        <v>0</v>
      </c>
      <c r="R2289">
        <f>Data!L2305</f>
        <v>0</v>
      </c>
      <c r="S2289">
        <f>Data!M2305</f>
        <v>0</v>
      </c>
      <c r="T2289">
        <f>Data!N2305</f>
        <v>0</v>
      </c>
      <c r="U2289">
        <f>Data!O2305</f>
        <v>0</v>
      </c>
      <c r="V2289" s="33">
        <f>Data!P2303</f>
        <v>0</v>
      </c>
    </row>
    <row r="2290" spans="7:22" x14ac:dyDescent="0.25">
      <c r="G2290" cm="1">
        <f t="array" aca="1" ref="G2290" ca="1">INDIRECT("Data!A" &amp; 2285)</f>
        <v>0</v>
      </c>
      <c r="H2290" s="21">
        <f>Data!B2302</f>
        <v>0</v>
      </c>
      <c r="I2290" s="21">
        <f>Data!C2302</f>
        <v>0</v>
      </c>
      <c r="J2290">
        <f>Data!D2302</f>
        <v>0</v>
      </c>
      <c r="K2290">
        <f>Data!E2302</f>
        <v>0</v>
      </c>
      <c r="L2290">
        <f>Data!F2302</f>
        <v>0</v>
      </c>
      <c r="M2290">
        <f>Data!G2302</f>
        <v>0</v>
      </c>
      <c r="N2290">
        <f>Data!H2302</f>
        <v>0</v>
      </c>
      <c r="O2290">
        <f>Data!I2302</f>
        <v>0</v>
      </c>
      <c r="P2290" s="21">
        <f>Data!J2306</f>
        <v>0</v>
      </c>
      <c r="Q2290">
        <f>Data!K2306</f>
        <v>0</v>
      </c>
      <c r="R2290">
        <f>Data!L2306</f>
        <v>0</v>
      </c>
      <c r="S2290">
        <f>Data!M2306</f>
        <v>0</v>
      </c>
      <c r="T2290">
        <f>Data!N2306</f>
        <v>0</v>
      </c>
      <c r="U2290">
        <f>Data!O2306</f>
        <v>0</v>
      </c>
      <c r="V2290" s="33">
        <f>Data!P2304</f>
        <v>0</v>
      </c>
    </row>
    <row r="2291" spans="7:22" x14ac:dyDescent="0.25">
      <c r="G2291" cm="1">
        <f t="array" aca="1" ref="G2291" ca="1">INDIRECT("Data!A" &amp; 2286)</f>
        <v>0</v>
      </c>
      <c r="H2291" s="21">
        <f>Data!B2303</f>
        <v>0</v>
      </c>
      <c r="I2291" s="21">
        <f>Data!C2303</f>
        <v>0</v>
      </c>
      <c r="J2291">
        <f>Data!D2303</f>
        <v>0</v>
      </c>
      <c r="K2291">
        <f>Data!E2303</f>
        <v>0</v>
      </c>
      <c r="L2291">
        <f>Data!F2303</f>
        <v>0</v>
      </c>
      <c r="M2291">
        <f>Data!G2303</f>
        <v>0</v>
      </c>
      <c r="N2291">
        <f>Data!H2303</f>
        <v>0</v>
      </c>
      <c r="O2291">
        <f>Data!I2303</f>
        <v>0</v>
      </c>
      <c r="P2291" s="21">
        <f>Data!J2307</f>
        <v>0</v>
      </c>
      <c r="Q2291">
        <f>Data!K2307</f>
        <v>0</v>
      </c>
      <c r="R2291">
        <f>Data!L2307</f>
        <v>0</v>
      </c>
      <c r="S2291">
        <f>Data!M2307</f>
        <v>0</v>
      </c>
      <c r="T2291">
        <f>Data!N2307</f>
        <v>0</v>
      </c>
      <c r="U2291">
        <f>Data!O2307</f>
        <v>0</v>
      </c>
      <c r="V2291" s="33">
        <f>Data!P2305</f>
        <v>0</v>
      </c>
    </row>
    <row r="2292" spans="7:22" x14ac:dyDescent="0.25">
      <c r="G2292" cm="1">
        <f t="array" aca="1" ref="G2292" ca="1">INDIRECT("Data!A" &amp; 2287)</f>
        <v>0</v>
      </c>
      <c r="H2292" s="21">
        <f>Data!B2304</f>
        <v>0</v>
      </c>
      <c r="I2292" s="21">
        <f>Data!C2304</f>
        <v>0</v>
      </c>
      <c r="J2292">
        <f>Data!D2304</f>
        <v>0</v>
      </c>
      <c r="K2292">
        <f>Data!E2304</f>
        <v>0</v>
      </c>
      <c r="L2292">
        <f>Data!F2304</f>
        <v>0</v>
      </c>
      <c r="M2292">
        <f>Data!G2304</f>
        <v>0</v>
      </c>
      <c r="N2292">
        <f>Data!H2304</f>
        <v>0</v>
      </c>
      <c r="O2292">
        <f>Data!I2304</f>
        <v>0</v>
      </c>
      <c r="P2292" s="21">
        <f>Data!J2308</f>
        <v>0</v>
      </c>
      <c r="Q2292">
        <f>Data!K2308</f>
        <v>0</v>
      </c>
      <c r="R2292">
        <f>Data!L2308</f>
        <v>0</v>
      </c>
      <c r="S2292">
        <f>Data!M2308</f>
        <v>0</v>
      </c>
      <c r="T2292">
        <f>Data!N2308</f>
        <v>0</v>
      </c>
      <c r="U2292">
        <f>Data!O2308</f>
        <v>0</v>
      </c>
      <c r="V2292" s="33">
        <f>Data!P2306</f>
        <v>0</v>
      </c>
    </row>
    <row r="2293" spans="7:22" x14ac:dyDescent="0.25">
      <c r="G2293" cm="1">
        <f t="array" aca="1" ref="G2293" ca="1">INDIRECT("Data!A" &amp; 2288)</f>
        <v>0</v>
      </c>
      <c r="H2293" s="21">
        <f>Data!B2305</f>
        <v>0</v>
      </c>
      <c r="I2293" s="21">
        <f>Data!C2305</f>
        <v>0</v>
      </c>
      <c r="J2293">
        <f>Data!D2305</f>
        <v>0</v>
      </c>
      <c r="K2293">
        <f>Data!E2305</f>
        <v>0</v>
      </c>
      <c r="L2293">
        <f>Data!F2305</f>
        <v>0</v>
      </c>
      <c r="M2293">
        <f>Data!G2305</f>
        <v>0</v>
      </c>
      <c r="N2293">
        <f>Data!H2305</f>
        <v>0</v>
      </c>
      <c r="O2293">
        <f>Data!I2305</f>
        <v>0</v>
      </c>
      <c r="P2293" s="21">
        <f>Data!J2309</f>
        <v>0</v>
      </c>
      <c r="Q2293">
        <f>Data!K2309</f>
        <v>0</v>
      </c>
      <c r="R2293">
        <f>Data!L2309</f>
        <v>0</v>
      </c>
      <c r="S2293">
        <f>Data!M2309</f>
        <v>0</v>
      </c>
      <c r="T2293">
        <f>Data!N2309</f>
        <v>0</v>
      </c>
      <c r="U2293">
        <f>Data!O2309</f>
        <v>0</v>
      </c>
      <c r="V2293" s="33">
        <f>Data!P2307</f>
        <v>0</v>
      </c>
    </row>
    <row r="2294" spans="7:22" x14ac:dyDescent="0.25">
      <c r="G2294" cm="1">
        <f t="array" aca="1" ref="G2294" ca="1">INDIRECT("Data!A" &amp; 2289)</f>
        <v>0</v>
      </c>
      <c r="H2294" s="21">
        <f>Data!B2306</f>
        <v>0</v>
      </c>
      <c r="I2294" s="21">
        <f>Data!C2306</f>
        <v>0</v>
      </c>
      <c r="J2294">
        <f>Data!D2306</f>
        <v>0</v>
      </c>
      <c r="K2294">
        <f>Data!E2306</f>
        <v>0</v>
      </c>
      <c r="L2294">
        <f>Data!F2306</f>
        <v>0</v>
      </c>
      <c r="M2294">
        <f>Data!G2306</f>
        <v>0</v>
      </c>
      <c r="N2294">
        <f>Data!H2306</f>
        <v>0</v>
      </c>
      <c r="O2294">
        <f>Data!I2306</f>
        <v>0</v>
      </c>
      <c r="P2294" s="21">
        <f>Data!J2310</f>
        <v>0</v>
      </c>
      <c r="Q2294">
        <f>Data!K2310</f>
        <v>0</v>
      </c>
      <c r="R2294">
        <f>Data!L2310</f>
        <v>0</v>
      </c>
      <c r="S2294">
        <f>Data!M2310</f>
        <v>0</v>
      </c>
      <c r="T2294">
        <f>Data!N2310</f>
        <v>0</v>
      </c>
      <c r="U2294">
        <f>Data!O2310</f>
        <v>0</v>
      </c>
      <c r="V2294" s="33">
        <f>Data!P2308</f>
        <v>0</v>
      </c>
    </row>
    <row r="2295" spans="7:22" x14ac:dyDescent="0.25">
      <c r="G2295" cm="1">
        <f t="array" aca="1" ref="G2295" ca="1">INDIRECT("Data!A" &amp; 2290)</f>
        <v>0</v>
      </c>
      <c r="H2295" s="21">
        <f>Data!B2307</f>
        <v>0</v>
      </c>
      <c r="I2295" s="21">
        <f>Data!C2307</f>
        <v>0</v>
      </c>
      <c r="J2295">
        <f>Data!D2307</f>
        <v>0</v>
      </c>
      <c r="K2295">
        <f>Data!E2307</f>
        <v>0</v>
      </c>
      <c r="L2295">
        <f>Data!F2307</f>
        <v>0</v>
      </c>
      <c r="M2295">
        <f>Data!G2307</f>
        <v>0</v>
      </c>
      <c r="N2295">
        <f>Data!H2307</f>
        <v>0</v>
      </c>
      <c r="O2295">
        <f>Data!I2307</f>
        <v>0</v>
      </c>
      <c r="P2295" s="21">
        <f>Data!J2311</f>
        <v>0</v>
      </c>
      <c r="Q2295">
        <f>Data!K2311</f>
        <v>0</v>
      </c>
      <c r="R2295">
        <f>Data!L2311</f>
        <v>0</v>
      </c>
      <c r="S2295">
        <f>Data!M2311</f>
        <v>0</v>
      </c>
      <c r="T2295">
        <f>Data!N2311</f>
        <v>0</v>
      </c>
      <c r="U2295">
        <f>Data!O2311</f>
        <v>0</v>
      </c>
      <c r="V2295" s="33">
        <f>Data!P2309</f>
        <v>0</v>
      </c>
    </row>
    <row r="2296" spans="7:22" x14ac:dyDescent="0.25">
      <c r="G2296" cm="1">
        <f t="array" aca="1" ref="G2296" ca="1">INDIRECT("Data!A" &amp; 2291)</f>
        <v>0</v>
      </c>
      <c r="H2296" s="21">
        <f>Data!B2308</f>
        <v>0</v>
      </c>
      <c r="I2296" s="21">
        <f>Data!C2308</f>
        <v>0</v>
      </c>
      <c r="J2296">
        <f>Data!D2308</f>
        <v>0</v>
      </c>
      <c r="K2296">
        <f>Data!E2308</f>
        <v>0</v>
      </c>
      <c r="L2296">
        <f>Data!F2308</f>
        <v>0</v>
      </c>
      <c r="M2296">
        <f>Data!G2308</f>
        <v>0</v>
      </c>
      <c r="N2296">
        <f>Data!H2308</f>
        <v>0</v>
      </c>
      <c r="O2296">
        <f>Data!I2308</f>
        <v>0</v>
      </c>
      <c r="P2296" s="21">
        <f>Data!J2312</f>
        <v>0</v>
      </c>
      <c r="Q2296">
        <f>Data!K2312</f>
        <v>0</v>
      </c>
      <c r="R2296">
        <f>Data!L2312</f>
        <v>0</v>
      </c>
      <c r="S2296">
        <f>Data!M2312</f>
        <v>0</v>
      </c>
      <c r="T2296">
        <f>Data!N2312</f>
        <v>0</v>
      </c>
      <c r="U2296">
        <f>Data!O2312</f>
        <v>0</v>
      </c>
      <c r="V2296" s="33">
        <f>Data!P2310</f>
        <v>0</v>
      </c>
    </row>
    <row r="2297" spans="7:22" x14ac:dyDescent="0.25">
      <c r="G2297" cm="1">
        <f t="array" aca="1" ref="G2297" ca="1">INDIRECT("Data!A" &amp; 2292)</f>
        <v>0</v>
      </c>
      <c r="H2297" s="21">
        <f>Data!B2309</f>
        <v>0</v>
      </c>
      <c r="I2297" s="21">
        <f>Data!C2309</f>
        <v>0</v>
      </c>
      <c r="J2297">
        <f>Data!D2309</f>
        <v>0</v>
      </c>
      <c r="K2297">
        <f>Data!E2309</f>
        <v>0</v>
      </c>
      <c r="L2297">
        <f>Data!F2309</f>
        <v>0</v>
      </c>
      <c r="M2297">
        <f>Data!G2309</f>
        <v>0</v>
      </c>
      <c r="N2297">
        <f>Data!H2309</f>
        <v>0</v>
      </c>
      <c r="O2297">
        <f>Data!I2309</f>
        <v>0</v>
      </c>
      <c r="P2297" s="21">
        <f>Data!J2313</f>
        <v>0</v>
      </c>
      <c r="Q2297">
        <f>Data!K2313</f>
        <v>0</v>
      </c>
      <c r="R2297">
        <f>Data!L2313</f>
        <v>0</v>
      </c>
      <c r="S2297">
        <f>Data!M2313</f>
        <v>0</v>
      </c>
      <c r="T2297">
        <f>Data!N2313</f>
        <v>0</v>
      </c>
      <c r="U2297">
        <f>Data!O2313</f>
        <v>0</v>
      </c>
      <c r="V2297" s="33">
        <f>Data!P2311</f>
        <v>0</v>
      </c>
    </row>
    <row r="2298" spans="7:22" x14ac:dyDescent="0.25">
      <c r="G2298" cm="1">
        <f t="array" aca="1" ref="G2298" ca="1">INDIRECT("Data!A" &amp; 2293)</f>
        <v>0</v>
      </c>
      <c r="H2298" s="21">
        <f>Data!B2310</f>
        <v>0</v>
      </c>
      <c r="I2298" s="21">
        <f>Data!C2310</f>
        <v>0</v>
      </c>
      <c r="J2298">
        <f>Data!D2310</f>
        <v>0</v>
      </c>
      <c r="K2298">
        <f>Data!E2310</f>
        <v>0</v>
      </c>
      <c r="L2298">
        <f>Data!F2310</f>
        <v>0</v>
      </c>
      <c r="M2298">
        <f>Data!G2310</f>
        <v>0</v>
      </c>
      <c r="N2298">
        <f>Data!H2310</f>
        <v>0</v>
      </c>
      <c r="O2298">
        <f>Data!I2310</f>
        <v>0</v>
      </c>
      <c r="P2298" s="21">
        <f>Data!J2314</f>
        <v>0</v>
      </c>
      <c r="Q2298">
        <f>Data!K2314</f>
        <v>0</v>
      </c>
      <c r="R2298">
        <f>Data!L2314</f>
        <v>0</v>
      </c>
      <c r="S2298">
        <f>Data!M2314</f>
        <v>0</v>
      </c>
      <c r="T2298">
        <f>Data!N2314</f>
        <v>0</v>
      </c>
      <c r="U2298">
        <f>Data!O2314</f>
        <v>0</v>
      </c>
      <c r="V2298" s="33">
        <f>Data!P2312</f>
        <v>0</v>
      </c>
    </row>
    <row r="2299" spans="7:22" x14ac:dyDescent="0.25">
      <c r="G2299" cm="1">
        <f t="array" aca="1" ref="G2299" ca="1">INDIRECT("Data!A" &amp; 2294)</f>
        <v>0</v>
      </c>
      <c r="H2299" s="21">
        <f>Data!B2311</f>
        <v>0</v>
      </c>
      <c r="I2299" s="21">
        <f>Data!C2311</f>
        <v>0</v>
      </c>
      <c r="J2299">
        <f>Data!D2311</f>
        <v>0</v>
      </c>
      <c r="K2299">
        <f>Data!E2311</f>
        <v>0</v>
      </c>
      <c r="L2299">
        <f>Data!F2311</f>
        <v>0</v>
      </c>
      <c r="M2299">
        <f>Data!G2311</f>
        <v>0</v>
      </c>
      <c r="N2299">
        <f>Data!H2311</f>
        <v>0</v>
      </c>
      <c r="O2299">
        <f>Data!I2311</f>
        <v>0</v>
      </c>
      <c r="P2299" s="21">
        <f>Data!J2315</f>
        <v>0</v>
      </c>
      <c r="Q2299">
        <f>Data!K2315</f>
        <v>0</v>
      </c>
      <c r="R2299">
        <f>Data!L2315</f>
        <v>0</v>
      </c>
      <c r="S2299">
        <f>Data!M2315</f>
        <v>0</v>
      </c>
      <c r="T2299">
        <f>Data!N2315</f>
        <v>0</v>
      </c>
      <c r="U2299">
        <f>Data!O2315</f>
        <v>0</v>
      </c>
      <c r="V2299" s="33">
        <f>Data!P2313</f>
        <v>0</v>
      </c>
    </row>
    <row r="2300" spans="7:22" x14ac:dyDescent="0.25">
      <c r="G2300" cm="1">
        <f t="array" aca="1" ref="G2300" ca="1">INDIRECT("Data!A" &amp; 2295)</f>
        <v>0</v>
      </c>
      <c r="H2300" s="21">
        <f>Data!B2312</f>
        <v>0</v>
      </c>
      <c r="I2300" s="21">
        <f>Data!C2312</f>
        <v>0</v>
      </c>
      <c r="J2300">
        <f>Data!D2312</f>
        <v>0</v>
      </c>
      <c r="K2300">
        <f>Data!E2312</f>
        <v>0</v>
      </c>
      <c r="L2300">
        <f>Data!F2312</f>
        <v>0</v>
      </c>
      <c r="M2300">
        <f>Data!G2312</f>
        <v>0</v>
      </c>
      <c r="N2300">
        <f>Data!H2312</f>
        <v>0</v>
      </c>
      <c r="O2300">
        <f>Data!I2312</f>
        <v>0</v>
      </c>
      <c r="P2300" s="21">
        <f>Data!J2316</f>
        <v>0</v>
      </c>
      <c r="Q2300">
        <f>Data!K2316</f>
        <v>0</v>
      </c>
      <c r="R2300">
        <f>Data!L2316</f>
        <v>0</v>
      </c>
      <c r="S2300">
        <f>Data!M2316</f>
        <v>0</v>
      </c>
      <c r="T2300">
        <f>Data!N2316</f>
        <v>0</v>
      </c>
      <c r="U2300">
        <f>Data!O2316</f>
        <v>0</v>
      </c>
      <c r="V2300" s="33">
        <f>Data!P2314</f>
        <v>0</v>
      </c>
    </row>
    <row r="2301" spans="7:22" x14ac:dyDescent="0.25">
      <c r="G2301" cm="1">
        <f t="array" aca="1" ref="G2301" ca="1">INDIRECT("Data!A" &amp; 2296)</f>
        <v>0</v>
      </c>
      <c r="H2301" s="21">
        <f>Data!B2313</f>
        <v>0</v>
      </c>
      <c r="I2301" s="21">
        <f>Data!C2313</f>
        <v>0</v>
      </c>
      <c r="J2301">
        <f>Data!D2313</f>
        <v>0</v>
      </c>
      <c r="K2301">
        <f>Data!E2313</f>
        <v>0</v>
      </c>
      <c r="L2301">
        <f>Data!F2313</f>
        <v>0</v>
      </c>
      <c r="M2301">
        <f>Data!G2313</f>
        <v>0</v>
      </c>
      <c r="N2301">
        <f>Data!H2313</f>
        <v>0</v>
      </c>
      <c r="O2301">
        <f>Data!I2313</f>
        <v>0</v>
      </c>
      <c r="P2301" s="21">
        <f>Data!J2317</f>
        <v>0</v>
      </c>
      <c r="Q2301">
        <f>Data!K2317</f>
        <v>0</v>
      </c>
      <c r="R2301">
        <f>Data!L2317</f>
        <v>0</v>
      </c>
      <c r="S2301">
        <f>Data!M2317</f>
        <v>0</v>
      </c>
      <c r="T2301">
        <f>Data!N2317</f>
        <v>0</v>
      </c>
      <c r="U2301">
        <f>Data!O2317</f>
        <v>0</v>
      </c>
      <c r="V2301" s="33">
        <f>Data!P2315</f>
        <v>0</v>
      </c>
    </row>
    <row r="2302" spans="7:22" x14ac:dyDescent="0.25">
      <c r="G2302" cm="1">
        <f t="array" aca="1" ref="G2302" ca="1">INDIRECT("Data!A" &amp; 2297)</f>
        <v>0</v>
      </c>
      <c r="H2302" s="21">
        <f>Data!B2314</f>
        <v>0</v>
      </c>
      <c r="I2302" s="21">
        <f>Data!C2314</f>
        <v>0</v>
      </c>
      <c r="J2302">
        <f>Data!D2314</f>
        <v>0</v>
      </c>
      <c r="K2302">
        <f>Data!E2314</f>
        <v>0</v>
      </c>
      <c r="L2302">
        <f>Data!F2314</f>
        <v>0</v>
      </c>
      <c r="M2302">
        <f>Data!G2314</f>
        <v>0</v>
      </c>
      <c r="N2302">
        <f>Data!H2314</f>
        <v>0</v>
      </c>
      <c r="O2302">
        <f>Data!I2314</f>
        <v>0</v>
      </c>
      <c r="P2302" s="21">
        <f>Data!J2318</f>
        <v>0</v>
      </c>
      <c r="Q2302">
        <f>Data!K2318</f>
        <v>0</v>
      </c>
      <c r="R2302">
        <f>Data!L2318</f>
        <v>0</v>
      </c>
      <c r="S2302">
        <f>Data!M2318</f>
        <v>0</v>
      </c>
      <c r="T2302">
        <f>Data!N2318</f>
        <v>0</v>
      </c>
      <c r="U2302">
        <f>Data!O2318</f>
        <v>0</v>
      </c>
      <c r="V2302" s="33">
        <f>Data!P2316</f>
        <v>0</v>
      </c>
    </row>
    <row r="2303" spans="7:22" x14ac:dyDescent="0.25">
      <c r="G2303" cm="1">
        <f t="array" aca="1" ref="G2303" ca="1">INDIRECT("Data!A" &amp; 2298)</f>
        <v>0</v>
      </c>
      <c r="H2303" s="21">
        <f>Data!B2315</f>
        <v>0</v>
      </c>
      <c r="I2303" s="21">
        <f>Data!C2315</f>
        <v>0</v>
      </c>
      <c r="J2303">
        <f>Data!D2315</f>
        <v>0</v>
      </c>
      <c r="K2303">
        <f>Data!E2315</f>
        <v>0</v>
      </c>
      <c r="L2303">
        <f>Data!F2315</f>
        <v>0</v>
      </c>
      <c r="M2303">
        <f>Data!G2315</f>
        <v>0</v>
      </c>
      <c r="N2303">
        <f>Data!H2315</f>
        <v>0</v>
      </c>
      <c r="O2303">
        <f>Data!I2315</f>
        <v>0</v>
      </c>
      <c r="P2303" s="21">
        <f>Data!J2319</f>
        <v>0</v>
      </c>
      <c r="Q2303">
        <f>Data!K2319</f>
        <v>0</v>
      </c>
      <c r="R2303">
        <f>Data!L2319</f>
        <v>0</v>
      </c>
      <c r="S2303">
        <f>Data!M2319</f>
        <v>0</v>
      </c>
      <c r="T2303">
        <f>Data!N2319</f>
        <v>0</v>
      </c>
      <c r="U2303">
        <f>Data!O2319</f>
        <v>0</v>
      </c>
      <c r="V2303" s="33">
        <f>Data!P2317</f>
        <v>0</v>
      </c>
    </row>
    <row r="2304" spans="7:22" x14ac:dyDescent="0.25">
      <c r="G2304" cm="1">
        <f t="array" aca="1" ref="G2304" ca="1">INDIRECT("Data!A" &amp; 2299)</f>
        <v>0</v>
      </c>
      <c r="H2304" s="21">
        <f>Data!B2316</f>
        <v>0</v>
      </c>
      <c r="I2304" s="21">
        <f>Data!C2316</f>
        <v>0</v>
      </c>
      <c r="J2304">
        <f>Data!D2316</f>
        <v>0</v>
      </c>
      <c r="K2304">
        <f>Data!E2316</f>
        <v>0</v>
      </c>
      <c r="L2304">
        <f>Data!F2316</f>
        <v>0</v>
      </c>
      <c r="M2304">
        <f>Data!G2316</f>
        <v>0</v>
      </c>
      <c r="N2304">
        <f>Data!H2316</f>
        <v>0</v>
      </c>
      <c r="O2304">
        <f>Data!I2316</f>
        <v>0</v>
      </c>
      <c r="P2304" s="21">
        <f>Data!J2320</f>
        <v>0</v>
      </c>
      <c r="Q2304">
        <f>Data!K2320</f>
        <v>0</v>
      </c>
      <c r="R2304">
        <f>Data!L2320</f>
        <v>0</v>
      </c>
      <c r="S2304">
        <f>Data!M2320</f>
        <v>0</v>
      </c>
      <c r="T2304">
        <f>Data!N2320</f>
        <v>0</v>
      </c>
      <c r="U2304">
        <f>Data!O2320</f>
        <v>0</v>
      </c>
      <c r="V2304" s="33">
        <f>Data!P2318</f>
        <v>0</v>
      </c>
    </row>
    <row r="2305" spans="7:22" x14ac:dyDescent="0.25">
      <c r="G2305" cm="1">
        <f t="array" aca="1" ref="G2305" ca="1">INDIRECT("Data!A" &amp; 2300)</f>
        <v>0</v>
      </c>
      <c r="H2305" s="21">
        <f>Data!B2317</f>
        <v>0</v>
      </c>
      <c r="I2305" s="21">
        <f>Data!C2317</f>
        <v>0</v>
      </c>
      <c r="J2305">
        <f>Data!D2317</f>
        <v>0</v>
      </c>
      <c r="K2305">
        <f>Data!E2317</f>
        <v>0</v>
      </c>
      <c r="L2305">
        <f>Data!F2317</f>
        <v>0</v>
      </c>
      <c r="M2305">
        <f>Data!G2317</f>
        <v>0</v>
      </c>
      <c r="N2305">
        <f>Data!H2317</f>
        <v>0</v>
      </c>
      <c r="O2305">
        <f>Data!I2317</f>
        <v>0</v>
      </c>
      <c r="P2305" s="21">
        <f>Data!J2321</f>
        <v>0</v>
      </c>
      <c r="Q2305">
        <f>Data!K2321</f>
        <v>0</v>
      </c>
      <c r="R2305">
        <f>Data!L2321</f>
        <v>0</v>
      </c>
      <c r="S2305">
        <f>Data!M2321</f>
        <v>0</v>
      </c>
      <c r="T2305">
        <f>Data!N2321</f>
        <v>0</v>
      </c>
      <c r="U2305">
        <f>Data!O2321</f>
        <v>0</v>
      </c>
      <c r="V2305" s="33">
        <f>Data!P2319</f>
        <v>0</v>
      </c>
    </row>
    <row r="2306" spans="7:22" x14ac:dyDescent="0.25">
      <c r="G2306" cm="1">
        <f t="array" aca="1" ref="G2306" ca="1">INDIRECT("Data!A" &amp; 2301)</f>
        <v>0</v>
      </c>
      <c r="H2306" s="21">
        <f>Data!B2318</f>
        <v>0</v>
      </c>
      <c r="I2306" s="21">
        <f>Data!C2318</f>
        <v>0</v>
      </c>
      <c r="J2306">
        <f>Data!D2318</f>
        <v>0</v>
      </c>
      <c r="K2306">
        <f>Data!E2318</f>
        <v>0</v>
      </c>
      <c r="L2306">
        <f>Data!F2318</f>
        <v>0</v>
      </c>
      <c r="M2306">
        <f>Data!G2318</f>
        <v>0</v>
      </c>
      <c r="N2306">
        <f>Data!H2318</f>
        <v>0</v>
      </c>
      <c r="O2306">
        <f>Data!I2318</f>
        <v>0</v>
      </c>
      <c r="P2306" s="21">
        <f>Data!J2322</f>
        <v>0</v>
      </c>
      <c r="Q2306">
        <f>Data!K2322</f>
        <v>0</v>
      </c>
      <c r="R2306">
        <f>Data!L2322</f>
        <v>0</v>
      </c>
      <c r="S2306">
        <f>Data!M2322</f>
        <v>0</v>
      </c>
      <c r="T2306">
        <f>Data!N2322</f>
        <v>0</v>
      </c>
      <c r="U2306">
        <f>Data!O2322</f>
        <v>0</v>
      </c>
      <c r="V2306" s="33">
        <f>Data!P2320</f>
        <v>0</v>
      </c>
    </row>
    <row r="2307" spans="7:22" x14ac:dyDescent="0.25">
      <c r="G2307" cm="1">
        <f t="array" aca="1" ref="G2307" ca="1">INDIRECT("Data!A" &amp; 2302)</f>
        <v>0</v>
      </c>
      <c r="H2307" s="21">
        <f>Data!B2319</f>
        <v>0</v>
      </c>
      <c r="I2307" s="21">
        <f>Data!C2319</f>
        <v>0</v>
      </c>
      <c r="J2307">
        <f>Data!D2319</f>
        <v>0</v>
      </c>
      <c r="K2307">
        <f>Data!E2319</f>
        <v>0</v>
      </c>
      <c r="L2307">
        <f>Data!F2319</f>
        <v>0</v>
      </c>
      <c r="M2307">
        <f>Data!G2319</f>
        <v>0</v>
      </c>
      <c r="N2307">
        <f>Data!H2319</f>
        <v>0</v>
      </c>
      <c r="O2307">
        <f>Data!I2319</f>
        <v>0</v>
      </c>
      <c r="P2307" s="21">
        <f>Data!J2323</f>
        <v>0</v>
      </c>
      <c r="Q2307">
        <f>Data!K2323</f>
        <v>0</v>
      </c>
      <c r="R2307">
        <f>Data!L2323</f>
        <v>0</v>
      </c>
      <c r="S2307">
        <f>Data!M2323</f>
        <v>0</v>
      </c>
      <c r="T2307">
        <f>Data!N2323</f>
        <v>0</v>
      </c>
      <c r="U2307">
        <f>Data!O2323</f>
        <v>0</v>
      </c>
      <c r="V2307" s="33">
        <f>Data!P2321</f>
        <v>0</v>
      </c>
    </row>
    <row r="2308" spans="7:22" x14ac:dyDescent="0.25">
      <c r="G2308" cm="1">
        <f t="array" aca="1" ref="G2308" ca="1">INDIRECT("Data!A" &amp; 2303)</f>
        <v>0</v>
      </c>
      <c r="H2308" s="21">
        <f>Data!B2320</f>
        <v>0</v>
      </c>
      <c r="I2308" s="21">
        <f>Data!C2320</f>
        <v>0</v>
      </c>
      <c r="J2308">
        <f>Data!D2320</f>
        <v>0</v>
      </c>
      <c r="K2308">
        <f>Data!E2320</f>
        <v>0</v>
      </c>
      <c r="L2308">
        <f>Data!F2320</f>
        <v>0</v>
      </c>
      <c r="M2308">
        <f>Data!G2320</f>
        <v>0</v>
      </c>
      <c r="N2308">
        <f>Data!H2320</f>
        <v>0</v>
      </c>
      <c r="O2308">
        <f>Data!I2320</f>
        <v>0</v>
      </c>
      <c r="P2308" s="21">
        <f>Data!J2324</f>
        <v>0</v>
      </c>
      <c r="Q2308">
        <f>Data!K2324</f>
        <v>0</v>
      </c>
      <c r="R2308">
        <f>Data!L2324</f>
        <v>0</v>
      </c>
      <c r="S2308">
        <f>Data!M2324</f>
        <v>0</v>
      </c>
      <c r="T2308">
        <f>Data!N2324</f>
        <v>0</v>
      </c>
      <c r="U2308">
        <f>Data!O2324</f>
        <v>0</v>
      </c>
      <c r="V2308" s="33">
        <f>Data!P2322</f>
        <v>0</v>
      </c>
    </row>
    <row r="2309" spans="7:22" x14ac:dyDescent="0.25">
      <c r="G2309" cm="1">
        <f t="array" aca="1" ref="G2309" ca="1">INDIRECT("Data!A" &amp; 2304)</f>
        <v>0</v>
      </c>
      <c r="H2309" s="21">
        <f>Data!B2321</f>
        <v>0</v>
      </c>
      <c r="I2309" s="21">
        <f>Data!C2321</f>
        <v>0</v>
      </c>
      <c r="J2309">
        <f>Data!D2321</f>
        <v>0</v>
      </c>
      <c r="K2309">
        <f>Data!E2321</f>
        <v>0</v>
      </c>
      <c r="L2309">
        <f>Data!F2321</f>
        <v>0</v>
      </c>
      <c r="M2309">
        <f>Data!G2321</f>
        <v>0</v>
      </c>
      <c r="N2309">
        <f>Data!H2321</f>
        <v>0</v>
      </c>
      <c r="O2309">
        <f>Data!I2321</f>
        <v>0</v>
      </c>
      <c r="P2309" s="21">
        <f>Data!J2325</f>
        <v>0</v>
      </c>
      <c r="Q2309">
        <f>Data!K2325</f>
        <v>0</v>
      </c>
      <c r="R2309">
        <f>Data!L2325</f>
        <v>0</v>
      </c>
      <c r="S2309">
        <f>Data!M2325</f>
        <v>0</v>
      </c>
      <c r="T2309">
        <f>Data!N2325</f>
        <v>0</v>
      </c>
      <c r="U2309">
        <f>Data!O2325</f>
        <v>0</v>
      </c>
      <c r="V2309" s="33">
        <f>Data!P2323</f>
        <v>0</v>
      </c>
    </row>
    <row r="2310" spans="7:22" x14ac:dyDescent="0.25">
      <c r="G2310" cm="1">
        <f t="array" aca="1" ref="G2310" ca="1">INDIRECT("Data!A" &amp; 2305)</f>
        <v>0</v>
      </c>
      <c r="H2310" s="21">
        <f>Data!B2322</f>
        <v>0</v>
      </c>
      <c r="I2310" s="21">
        <f>Data!C2322</f>
        <v>0</v>
      </c>
      <c r="J2310">
        <f>Data!D2322</f>
        <v>0</v>
      </c>
      <c r="K2310">
        <f>Data!E2322</f>
        <v>0</v>
      </c>
      <c r="L2310">
        <f>Data!F2322</f>
        <v>0</v>
      </c>
      <c r="M2310">
        <f>Data!G2322</f>
        <v>0</v>
      </c>
      <c r="N2310">
        <f>Data!H2322</f>
        <v>0</v>
      </c>
      <c r="O2310">
        <f>Data!I2322</f>
        <v>0</v>
      </c>
      <c r="P2310" s="21">
        <f>Data!J2326</f>
        <v>0</v>
      </c>
      <c r="Q2310">
        <f>Data!K2326</f>
        <v>0</v>
      </c>
      <c r="R2310">
        <f>Data!L2326</f>
        <v>0</v>
      </c>
      <c r="S2310">
        <f>Data!M2326</f>
        <v>0</v>
      </c>
      <c r="T2310">
        <f>Data!N2326</f>
        <v>0</v>
      </c>
      <c r="U2310">
        <f>Data!O2326</f>
        <v>0</v>
      </c>
      <c r="V2310" s="33">
        <f>Data!P2324</f>
        <v>0</v>
      </c>
    </row>
    <row r="2311" spans="7:22" x14ac:dyDescent="0.25">
      <c r="G2311" cm="1">
        <f t="array" aca="1" ref="G2311" ca="1">INDIRECT("Data!A" &amp; 2306)</f>
        <v>0</v>
      </c>
      <c r="H2311" s="21">
        <f>Data!B2323</f>
        <v>0</v>
      </c>
      <c r="I2311" s="21">
        <f>Data!C2323</f>
        <v>0</v>
      </c>
      <c r="J2311">
        <f>Data!D2323</f>
        <v>0</v>
      </c>
      <c r="K2311">
        <f>Data!E2323</f>
        <v>0</v>
      </c>
      <c r="L2311">
        <f>Data!F2323</f>
        <v>0</v>
      </c>
      <c r="M2311">
        <f>Data!G2323</f>
        <v>0</v>
      </c>
      <c r="N2311">
        <f>Data!H2323</f>
        <v>0</v>
      </c>
      <c r="O2311">
        <f>Data!I2323</f>
        <v>0</v>
      </c>
      <c r="P2311" s="21">
        <f>Data!J2327</f>
        <v>0</v>
      </c>
      <c r="Q2311">
        <f>Data!K2327</f>
        <v>0</v>
      </c>
      <c r="R2311">
        <f>Data!L2327</f>
        <v>0</v>
      </c>
      <c r="S2311">
        <f>Data!M2327</f>
        <v>0</v>
      </c>
      <c r="T2311">
        <f>Data!N2327</f>
        <v>0</v>
      </c>
      <c r="U2311">
        <f>Data!O2327</f>
        <v>0</v>
      </c>
      <c r="V2311" s="33">
        <f>Data!P2325</f>
        <v>0</v>
      </c>
    </row>
    <row r="2312" spans="7:22" x14ac:dyDescent="0.25">
      <c r="G2312" cm="1">
        <f t="array" aca="1" ref="G2312" ca="1">INDIRECT("Data!A" &amp; 2307)</f>
        <v>0</v>
      </c>
      <c r="H2312" s="21">
        <f>Data!B2324</f>
        <v>0</v>
      </c>
      <c r="I2312" s="21">
        <f>Data!C2324</f>
        <v>0</v>
      </c>
      <c r="J2312">
        <f>Data!D2324</f>
        <v>0</v>
      </c>
      <c r="K2312">
        <f>Data!E2324</f>
        <v>0</v>
      </c>
      <c r="L2312">
        <f>Data!F2324</f>
        <v>0</v>
      </c>
      <c r="M2312">
        <f>Data!G2324</f>
        <v>0</v>
      </c>
      <c r="N2312">
        <f>Data!H2324</f>
        <v>0</v>
      </c>
      <c r="O2312">
        <f>Data!I2324</f>
        <v>0</v>
      </c>
      <c r="P2312" s="21">
        <f>Data!J2328</f>
        <v>0</v>
      </c>
      <c r="Q2312">
        <f>Data!K2328</f>
        <v>0</v>
      </c>
      <c r="R2312">
        <f>Data!L2328</f>
        <v>0</v>
      </c>
      <c r="S2312">
        <f>Data!M2328</f>
        <v>0</v>
      </c>
      <c r="T2312">
        <f>Data!N2328</f>
        <v>0</v>
      </c>
      <c r="U2312">
        <f>Data!O2328</f>
        <v>0</v>
      </c>
      <c r="V2312" s="33">
        <f>Data!P2326</f>
        <v>0</v>
      </c>
    </row>
    <row r="2313" spans="7:22" x14ac:dyDescent="0.25">
      <c r="G2313" cm="1">
        <f t="array" aca="1" ref="G2313" ca="1">INDIRECT("Data!A" &amp; 2308)</f>
        <v>0</v>
      </c>
      <c r="H2313" s="21">
        <f>Data!B2325</f>
        <v>0</v>
      </c>
      <c r="I2313" s="21">
        <f>Data!C2325</f>
        <v>0</v>
      </c>
      <c r="J2313">
        <f>Data!D2325</f>
        <v>0</v>
      </c>
      <c r="K2313">
        <f>Data!E2325</f>
        <v>0</v>
      </c>
      <c r="L2313">
        <f>Data!F2325</f>
        <v>0</v>
      </c>
      <c r="M2313">
        <f>Data!G2325</f>
        <v>0</v>
      </c>
      <c r="N2313">
        <f>Data!H2325</f>
        <v>0</v>
      </c>
      <c r="O2313">
        <f>Data!I2325</f>
        <v>0</v>
      </c>
      <c r="P2313" s="21">
        <f>Data!J2329</f>
        <v>0</v>
      </c>
      <c r="Q2313">
        <f>Data!K2329</f>
        <v>0</v>
      </c>
      <c r="R2313">
        <f>Data!L2329</f>
        <v>0</v>
      </c>
      <c r="S2313">
        <f>Data!M2329</f>
        <v>0</v>
      </c>
      <c r="T2313">
        <f>Data!N2329</f>
        <v>0</v>
      </c>
      <c r="U2313">
        <f>Data!O2329</f>
        <v>0</v>
      </c>
      <c r="V2313" s="33">
        <f>Data!P2327</f>
        <v>0</v>
      </c>
    </row>
    <row r="2314" spans="7:22" x14ac:dyDescent="0.25">
      <c r="G2314" cm="1">
        <f t="array" aca="1" ref="G2314" ca="1">INDIRECT("Data!A" &amp; 2309)</f>
        <v>0</v>
      </c>
      <c r="H2314" s="21">
        <f>Data!B2326</f>
        <v>0</v>
      </c>
      <c r="I2314" s="21">
        <f>Data!C2326</f>
        <v>0</v>
      </c>
      <c r="J2314">
        <f>Data!D2326</f>
        <v>0</v>
      </c>
      <c r="K2314">
        <f>Data!E2326</f>
        <v>0</v>
      </c>
      <c r="L2314">
        <f>Data!F2326</f>
        <v>0</v>
      </c>
      <c r="M2314">
        <f>Data!G2326</f>
        <v>0</v>
      </c>
      <c r="N2314">
        <f>Data!H2326</f>
        <v>0</v>
      </c>
      <c r="O2314">
        <f>Data!I2326</f>
        <v>0</v>
      </c>
      <c r="P2314" s="21">
        <f>Data!J2330</f>
        <v>0</v>
      </c>
      <c r="Q2314">
        <f>Data!K2330</f>
        <v>0</v>
      </c>
      <c r="R2314">
        <f>Data!L2330</f>
        <v>0</v>
      </c>
      <c r="S2314">
        <f>Data!M2330</f>
        <v>0</v>
      </c>
      <c r="T2314">
        <f>Data!N2330</f>
        <v>0</v>
      </c>
      <c r="U2314">
        <f>Data!O2330</f>
        <v>0</v>
      </c>
      <c r="V2314" s="33">
        <f>Data!P2328</f>
        <v>0</v>
      </c>
    </row>
    <row r="2315" spans="7:22" x14ac:dyDescent="0.25">
      <c r="G2315" cm="1">
        <f t="array" aca="1" ref="G2315" ca="1">INDIRECT("Data!A" &amp; 2310)</f>
        <v>0</v>
      </c>
      <c r="H2315" s="21">
        <f>Data!B2327</f>
        <v>0</v>
      </c>
      <c r="I2315" s="21">
        <f>Data!C2327</f>
        <v>0</v>
      </c>
      <c r="J2315">
        <f>Data!D2327</f>
        <v>0</v>
      </c>
      <c r="K2315">
        <f>Data!E2327</f>
        <v>0</v>
      </c>
      <c r="L2315">
        <f>Data!F2327</f>
        <v>0</v>
      </c>
      <c r="M2315">
        <f>Data!G2327</f>
        <v>0</v>
      </c>
      <c r="N2315">
        <f>Data!H2327</f>
        <v>0</v>
      </c>
      <c r="O2315">
        <f>Data!I2327</f>
        <v>0</v>
      </c>
      <c r="P2315" s="21">
        <f>Data!J2331</f>
        <v>0</v>
      </c>
      <c r="Q2315">
        <f>Data!K2331</f>
        <v>0</v>
      </c>
      <c r="R2315">
        <f>Data!L2331</f>
        <v>0</v>
      </c>
      <c r="S2315">
        <f>Data!M2331</f>
        <v>0</v>
      </c>
      <c r="T2315">
        <f>Data!N2331</f>
        <v>0</v>
      </c>
      <c r="U2315">
        <f>Data!O2331</f>
        <v>0</v>
      </c>
      <c r="V2315" s="33">
        <f>Data!P2329</f>
        <v>0</v>
      </c>
    </row>
    <row r="2316" spans="7:22" x14ac:dyDescent="0.25">
      <c r="G2316" cm="1">
        <f t="array" aca="1" ref="G2316" ca="1">INDIRECT("Data!A" &amp; 2311)</f>
        <v>0</v>
      </c>
      <c r="H2316" s="21">
        <f>Data!B2328</f>
        <v>0</v>
      </c>
      <c r="I2316" s="21">
        <f>Data!C2328</f>
        <v>0</v>
      </c>
      <c r="J2316">
        <f>Data!D2328</f>
        <v>0</v>
      </c>
      <c r="K2316">
        <f>Data!E2328</f>
        <v>0</v>
      </c>
      <c r="L2316">
        <f>Data!F2328</f>
        <v>0</v>
      </c>
      <c r="M2316">
        <f>Data!G2328</f>
        <v>0</v>
      </c>
      <c r="N2316">
        <f>Data!H2328</f>
        <v>0</v>
      </c>
      <c r="O2316">
        <f>Data!I2328</f>
        <v>0</v>
      </c>
      <c r="P2316" s="21">
        <f>Data!J2332</f>
        <v>0</v>
      </c>
      <c r="Q2316">
        <f>Data!K2332</f>
        <v>0</v>
      </c>
      <c r="R2316">
        <f>Data!L2332</f>
        <v>0</v>
      </c>
      <c r="S2316">
        <f>Data!M2332</f>
        <v>0</v>
      </c>
      <c r="T2316">
        <f>Data!N2332</f>
        <v>0</v>
      </c>
      <c r="U2316">
        <f>Data!O2332</f>
        <v>0</v>
      </c>
      <c r="V2316" s="33">
        <f>Data!P2330</f>
        <v>0</v>
      </c>
    </row>
    <row r="2317" spans="7:22" x14ac:dyDescent="0.25">
      <c r="G2317" cm="1">
        <f t="array" aca="1" ref="G2317" ca="1">INDIRECT("Data!A" &amp; 2312)</f>
        <v>0</v>
      </c>
      <c r="H2317" s="21">
        <f>Data!B2329</f>
        <v>0</v>
      </c>
      <c r="I2317" s="21">
        <f>Data!C2329</f>
        <v>0</v>
      </c>
      <c r="J2317">
        <f>Data!D2329</f>
        <v>0</v>
      </c>
      <c r="K2317">
        <f>Data!E2329</f>
        <v>0</v>
      </c>
      <c r="L2317">
        <f>Data!F2329</f>
        <v>0</v>
      </c>
      <c r="M2317">
        <f>Data!G2329</f>
        <v>0</v>
      </c>
      <c r="N2317">
        <f>Data!H2329</f>
        <v>0</v>
      </c>
      <c r="O2317">
        <f>Data!I2329</f>
        <v>0</v>
      </c>
      <c r="P2317" s="21">
        <f>Data!J2333</f>
        <v>0</v>
      </c>
      <c r="Q2317">
        <f>Data!K2333</f>
        <v>0</v>
      </c>
      <c r="R2317">
        <f>Data!L2333</f>
        <v>0</v>
      </c>
      <c r="S2317">
        <f>Data!M2333</f>
        <v>0</v>
      </c>
      <c r="T2317">
        <f>Data!N2333</f>
        <v>0</v>
      </c>
      <c r="U2317">
        <f>Data!O2333</f>
        <v>0</v>
      </c>
      <c r="V2317" s="33">
        <f>Data!P2331</f>
        <v>0</v>
      </c>
    </row>
    <row r="2318" spans="7:22" x14ac:dyDescent="0.25">
      <c r="G2318" cm="1">
        <f t="array" aca="1" ref="G2318" ca="1">INDIRECT("Data!A" &amp; 2313)</f>
        <v>0</v>
      </c>
      <c r="H2318" s="21">
        <f>Data!B2330</f>
        <v>0</v>
      </c>
      <c r="I2318" s="21">
        <f>Data!C2330</f>
        <v>0</v>
      </c>
      <c r="J2318">
        <f>Data!D2330</f>
        <v>0</v>
      </c>
      <c r="K2318">
        <f>Data!E2330</f>
        <v>0</v>
      </c>
      <c r="L2318">
        <f>Data!F2330</f>
        <v>0</v>
      </c>
      <c r="M2318">
        <f>Data!G2330</f>
        <v>0</v>
      </c>
      <c r="N2318">
        <f>Data!H2330</f>
        <v>0</v>
      </c>
      <c r="O2318">
        <f>Data!I2330</f>
        <v>0</v>
      </c>
      <c r="P2318" s="21">
        <f>Data!J2334</f>
        <v>0</v>
      </c>
      <c r="Q2318">
        <f>Data!K2334</f>
        <v>0</v>
      </c>
      <c r="R2318">
        <f>Data!L2334</f>
        <v>0</v>
      </c>
      <c r="S2318">
        <f>Data!M2334</f>
        <v>0</v>
      </c>
      <c r="T2318">
        <f>Data!N2334</f>
        <v>0</v>
      </c>
      <c r="U2318">
        <f>Data!O2334</f>
        <v>0</v>
      </c>
      <c r="V2318" s="33">
        <f>Data!P2332</f>
        <v>0</v>
      </c>
    </row>
    <row r="2319" spans="7:22" x14ac:dyDescent="0.25">
      <c r="G2319" cm="1">
        <f t="array" aca="1" ref="G2319" ca="1">INDIRECT("Data!A" &amp; 2314)</f>
        <v>0</v>
      </c>
      <c r="H2319" s="21">
        <f>Data!B2331</f>
        <v>0</v>
      </c>
      <c r="I2319" s="21">
        <f>Data!C2331</f>
        <v>0</v>
      </c>
      <c r="J2319">
        <f>Data!D2331</f>
        <v>0</v>
      </c>
      <c r="K2319">
        <f>Data!E2331</f>
        <v>0</v>
      </c>
      <c r="L2319">
        <f>Data!F2331</f>
        <v>0</v>
      </c>
      <c r="M2319">
        <f>Data!G2331</f>
        <v>0</v>
      </c>
      <c r="N2319">
        <f>Data!H2331</f>
        <v>0</v>
      </c>
      <c r="O2319">
        <f>Data!I2331</f>
        <v>0</v>
      </c>
      <c r="P2319" s="21">
        <f>Data!J2335</f>
        <v>0</v>
      </c>
      <c r="Q2319">
        <f>Data!K2335</f>
        <v>0</v>
      </c>
      <c r="R2319">
        <f>Data!L2335</f>
        <v>0</v>
      </c>
      <c r="S2319">
        <f>Data!M2335</f>
        <v>0</v>
      </c>
      <c r="T2319">
        <f>Data!N2335</f>
        <v>0</v>
      </c>
      <c r="U2319">
        <f>Data!O2335</f>
        <v>0</v>
      </c>
      <c r="V2319" s="33">
        <f>Data!P2333</f>
        <v>0</v>
      </c>
    </row>
    <row r="2320" spans="7:22" x14ac:dyDescent="0.25">
      <c r="G2320" cm="1">
        <f t="array" aca="1" ref="G2320" ca="1">INDIRECT("Data!A" &amp; 2315)</f>
        <v>0</v>
      </c>
      <c r="H2320" s="21">
        <f>Data!B2332</f>
        <v>0</v>
      </c>
      <c r="I2320" s="21">
        <f>Data!C2332</f>
        <v>0</v>
      </c>
      <c r="J2320">
        <f>Data!D2332</f>
        <v>0</v>
      </c>
      <c r="K2320">
        <f>Data!E2332</f>
        <v>0</v>
      </c>
      <c r="L2320">
        <f>Data!F2332</f>
        <v>0</v>
      </c>
      <c r="M2320">
        <f>Data!G2332</f>
        <v>0</v>
      </c>
      <c r="N2320">
        <f>Data!H2332</f>
        <v>0</v>
      </c>
      <c r="O2320">
        <f>Data!I2332</f>
        <v>0</v>
      </c>
      <c r="P2320" s="21">
        <f>Data!J2336</f>
        <v>0</v>
      </c>
      <c r="Q2320">
        <f>Data!K2336</f>
        <v>0</v>
      </c>
      <c r="R2320">
        <f>Data!L2336</f>
        <v>0</v>
      </c>
      <c r="S2320">
        <f>Data!M2336</f>
        <v>0</v>
      </c>
      <c r="T2320">
        <f>Data!N2336</f>
        <v>0</v>
      </c>
      <c r="U2320">
        <f>Data!O2336</f>
        <v>0</v>
      </c>
      <c r="V2320" s="33">
        <f>Data!P2334</f>
        <v>0</v>
      </c>
    </row>
    <row r="2321" spans="7:22" x14ac:dyDescent="0.25">
      <c r="G2321" cm="1">
        <f t="array" aca="1" ref="G2321" ca="1">INDIRECT("Data!A" &amp; 2316)</f>
        <v>0</v>
      </c>
      <c r="H2321" s="21">
        <f>Data!B2333</f>
        <v>0</v>
      </c>
      <c r="I2321" s="21">
        <f>Data!C2333</f>
        <v>0</v>
      </c>
      <c r="J2321">
        <f>Data!D2333</f>
        <v>0</v>
      </c>
      <c r="K2321">
        <f>Data!E2333</f>
        <v>0</v>
      </c>
      <c r="L2321">
        <f>Data!F2333</f>
        <v>0</v>
      </c>
      <c r="M2321">
        <f>Data!G2333</f>
        <v>0</v>
      </c>
      <c r="N2321">
        <f>Data!H2333</f>
        <v>0</v>
      </c>
      <c r="O2321">
        <f>Data!I2333</f>
        <v>0</v>
      </c>
      <c r="P2321" s="21">
        <f>Data!J2337</f>
        <v>0</v>
      </c>
      <c r="Q2321">
        <f>Data!K2337</f>
        <v>0</v>
      </c>
      <c r="R2321">
        <f>Data!L2337</f>
        <v>0</v>
      </c>
      <c r="S2321">
        <f>Data!M2337</f>
        <v>0</v>
      </c>
      <c r="T2321">
        <f>Data!N2337</f>
        <v>0</v>
      </c>
      <c r="U2321">
        <f>Data!O2337</f>
        <v>0</v>
      </c>
      <c r="V2321" s="33">
        <f>Data!P2335</f>
        <v>0</v>
      </c>
    </row>
    <row r="2322" spans="7:22" x14ac:dyDescent="0.25">
      <c r="G2322" cm="1">
        <f t="array" aca="1" ref="G2322" ca="1">INDIRECT("Data!A" &amp; 2317)</f>
        <v>0</v>
      </c>
      <c r="H2322" s="21">
        <f>Data!B2334</f>
        <v>0</v>
      </c>
      <c r="I2322" s="21">
        <f>Data!C2334</f>
        <v>0</v>
      </c>
      <c r="J2322">
        <f>Data!D2334</f>
        <v>0</v>
      </c>
      <c r="K2322">
        <f>Data!E2334</f>
        <v>0</v>
      </c>
      <c r="L2322">
        <f>Data!F2334</f>
        <v>0</v>
      </c>
      <c r="M2322">
        <f>Data!G2334</f>
        <v>0</v>
      </c>
      <c r="N2322">
        <f>Data!H2334</f>
        <v>0</v>
      </c>
      <c r="O2322">
        <f>Data!I2334</f>
        <v>0</v>
      </c>
      <c r="P2322" s="21">
        <f>Data!J2338</f>
        <v>0</v>
      </c>
      <c r="Q2322">
        <f>Data!K2338</f>
        <v>0</v>
      </c>
      <c r="R2322">
        <f>Data!L2338</f>
        <v>0</v>
      </c>
      <c r="S2322">
        <f>Data!M2338</f>
        <v>0</v>
      </c>
      <c r="T2322">
        <f>Data!N2338</f>
        <v>0</v>
      </c>
      <c r="U2322">
        <f>Data!O2338</f>
        <v>0</v>
      </c>
      <c r="V2322" s="33">
        <f>Data!P2336</f>
        <v>0</v>
      </c>
    </row>
    <row r="2323" spans="7:22" x14ac:dyDescent="0.25">
      <c r="G2323" cm="1">
        <f t="array" aca="1" ref="G2323" ca="1">INDIRECT("Data!A" &amp; 2318)</f>
        <v>0</v>
      </c>
      <c r="H2323" s="21">
        <f>Data!B2335</f>
        <v>0</v>
      </c>
      <c r="I2323" s="21">
        <f>Data!C2335</f>
        <v>0</v>
      </c>
      <c r="J2323">
        <f>Data!D2335</f>
        <v>0</v>
      </c>
      <c r="K2323">
        <f>Data!E2335</f>
        <v>0</v>
      </c>
      <c r="L2323">
        <f>Data!F2335</f>
        <v>0</v>
      </c>
      <c r="M2323">
        <f>Data!G2335</f>
        <v>0</v>
      </c>
      <c r="N2323">
        <f>Data!H2335</f>
        <v>0</v>
      </c>
      <c r="O2323">
        <f>Data!I2335</f>
        <v>0</v>
      </c>
      <c r="P2323" s="21">
        <f>Data!J2339</f>
        <v>0</v>
      </c>
      <c r="Q2323">
        <f>Data!K2339</f>
        <v>0</v>
      </c>
      <c r="R2323">
        <f>Data!L2339</f>
        <v>0</v>
      </c>
      <c r="S2323">
        <f>Data!M2339</f>
        <v>0</v>
      </c>
      <c r="T2323">
        <f>Data!N2339</f>
        <v>0</v>
      </c>
      <c r="U2323">
        <f>Data!O2339</f>
        <v>0</v>
      </c>
      <c r="V2323" s="33">
        <f>Data!P2337</f>
        <v>0</v>
      </c>
    </row>
    <row r="2324" spans="7:22" x14ac:dyDescent="0.25">
      <c r="G2324" cm="1">
        <f t="array" aca="1" ref="G2324" ca="1">INDIRECT("Data!A" &amp; 2319)</f>
        <v>0</v>
      </c>
      <c r="H2324" s="21">
        <f>Data!B2336</f>
        <v>0</v>
      </c>
      <c r="I2324" s="21">
        <f>Data!C2336</f>
        <v>0</v>
      </c>
      <c r="J2324">
        <f>Data!D2336</f>
        <v>0</v>
      </c>
      <c r="K2324">
        <f>Data!E2336</f>
        <v>0</v>
      </c>
      <c r="L2324">
        <f>Data!F2336</f>
        <v>0</v>
      </c>
      <c r="M2324">
        <f>Data!G2336</f>
        <v>0</v>
      </c>
      <c r="N2324">
        <f>Data!H2336</f>
        <v>0</v>
      </c>
      <c r="O2324">
        <f>Data!I2336</f>
        <v>0</v>
      </c>
      <c r="P2324" s="21">
        <f>Data!J2340</f>
        <v>0</v>
      </c>
      <c r="Q2324">
        <f>Data!K2340</f>
        <v>0</v>
      </c>
      <c r="R2324">
        <f>Data!L2340</f>
        <v>0</v>
      </c>
      <c r="S2324">
        <f>Data!M2340</f>
        <v>0</v>
      </c>
      <c r="T2324">
        <f>Data!N2340</f>
        <v>0</v>
      </c>
      <c r="U2324">
        <f>Data!O2340</f>
        <v>0</v>
      </c>
      <c r="V2324" s="33">
        <f>Data!P2338</f>
        <v>0</v>
      </c>
    </row>
    <row r="2325" spans="7:22" x14ac:dyDescent="0.25">
      <c r="G2325" cm="1">
        <f t="array" aca="1" ref="G2325" ca="1">INDIRECT("Data!A" &amp; 2320)</f>
        <v>0</v>
      </c>
      <c r="H2325" s="21">
        <f>Data!B2337</f>
        <v>0</v>
      </c>
      <c r="I2325" s="21">
        <f>Data!C2337</f>
        <v>0</v>
      </c>
      <c r="J2325">
        <f>Data!D2337</f>
        <v>0</v>
      </c>
      <c r="K2325">
        <f>Data!E2337</f>
        <v>0</v>
      </c>
      <c r="L2325">
        <f>Data!F2337</f>
        <v>0</v>
      </c>
      <c r="M2325">
        <f>Data!G2337</f>
        <v>0</v>
      </c>
      <c r="N2325">
        <f>Data!H2337</f>
        <v>0</v>
      </c>
      <c r="O2325">
        <f>Data!I2337</f>
        <v>0</v>
      </c>
      <c r="P2325" s="21">
        <f>Data!J2341</f>
        <v>0</v>
      </c>
      <c r="Q2325">
        <f>Data!K2341</f>
        <v>0</v>
      </c>
      <c r="R2325">
        <f>Data!L2341</f>
        <v>0</v>
      </c>
      <c r="S2325">
        <f>Data!M2341</f>
        <v>0</v>
      </c>
      <c r="T2325">
        <f>Data!N2341</f>
        <v>0</v>
      </c>
      <c r="U2325">
        <f>Data!O2341</f>
        <v>0</v>
      </c>
      <c r="V2325" s="33">
        <f>Data!P2339</f>
        <v>0</v>
      </c>
    </row>
    <row r="2326" spans="7:22" x14ac:dyDescent="0.25">
      <c r="G2326" cm="1">
        <f t="array" aca="1" ref="G2326" ca="1">INDIRECT("Data!A" &amp; 2321)</f>
        <v>0</v>
      </c>
      <c r="H2326" s="21">
        <f>Data!B2338</f>
        <v>0</v>
      </c>
      <c r="I2326" s="21">
        <f>Data!C2338</f>
        <v>0</v>
      </c>
      <c r="J2326">
        <f>Data!D2338</f>
        <v>0</v>
      </c>
      <c r="K2326">
        <f>Data!E2338</f>
        <v>0</v>
      </c>
      <c r="L2326">
        <f>Data!F2338</f>
        <v>0</v>
      </c>
      <c r="M2326">
        <f>Data!G2338</f>
        <v>0</v>
      </c>
      <c r="N2326">
        <f>Data!H2338</f>
        <v>0</v>
      </c>
      <c r="O2326">
        <f>Data!I2338</f>
        <v>0</v>
      </c>
      <c r="P2326" s="21">
        <f>Data!J2342</f>
        <v>0</v>
      </c>
      <c r="Q2326">
        <f>Data!K2342</f>
        <v>0</v>
      </c>
      <c r="R2326">
        <f>Data!L2342</f>
        <v>0</v>
      </c>
      <c r="S2326">
        <f>Data!M2342</f>
        <v>0</v>
      </c>
      <c r="T2326">
        <f>Data!N2342</f>
        <v>0</v>
      </c>
      <c r="U2326">
        <f>Data!O2342</f>
        <v>0</v>
      </c>
      <c r="V2326" s="33">
        <f>Data!P2340</f>
        <v>0</v>
      </c>
    </row>
    <row r="2327" spans="7:22" x14ac:dyDescent="0.25">
      <c r="G2327" cm="1">
        <f t="array" aca="1" ref="G2327" ca="1">INDIRECT("Data!A" &amp; 2322)</f>
        <v>0</v>
      </c>
      <c r="H2327" s="21">
        <f>Data!B2339</f>
        <v>0</v>
      </c>
      <c r="I2327" s="21">
        <f>Data!C2339</f>
        <v>0</v>
      </c>
      <c r="J2327">
        <f>Data!D2339</f>
        <v>0</v>
      </c>
      <c r="K2327">
        <f>Data!E2339</f>
        <v>0</v>
      </c>
      <c r="L2327">
        <f>Data!F2339</f>
        <v>0</v>
      </c>
      <c r="M2327">
        <f>Data!G2339</f>
        <v>0</v>
      </c>
      <c r="N2327">
        <f>Data!H2339</f>
        <v>0</v>
      </c>
      <c r="O2327">
        <f>Data!I2339</f>
        <v>0</v>
      </c>
      <c r="P2327" s="21">
        <f>Data!J2343</f>
        <v>0</v>
      </c>
      <c r="Q2327">
        <f>Data!K2343</f>
        <v>0</v>
      </c>
      <c r="R2327">
        <f>Data!L2343</f>
        <v>0</v>
      </c>
      <c r="S2327">
        <f>Data!M2343</f>
        <v>0</v>
      </c>
      <c r="T2327">
        <f>Data!N2343</f>
        <v>0</v>
      </c>
      <c r="U2327">
        <f>Data!O2343</f>
        <v>0</v>
      </c>
      <c r="V2327" s="33">
        <f>Data!P2341</f>
        <v>0</v>
      </c>
    </row>
    <row r="2328" spans="7:22" x14ac:dyDescent="0.25">
      <c r="G2328" cm="1">
        <f t="array" aca="1" ref="G2328" ca="1">INDIRECT("Data!A" &amp; 2323)</f>
        <v>0</v>
      </c>
      <c r="H2328" s="21">
        <f>Data!B2340</f>
        <v>0</v>
      </c>
      <c r="I2328" s="21">
        <f>Data!C2340</f>
        <v>0</v>
      </c>
      <c r="J2328">
        <f>Data!D2340</f>
        <v>0</v>
      </c>
      <c r="K2328">
        <f>Data!E2340</f>
        <v>0</v>
      </c>
      <c r="L2328">
        <f>Data!F2340</f>
        <v>0</v>
      </c>
      <c r="M2328">
        <f>Data!G2340</f>
        <v>0</v>
      </c>
      <c r="N2328">
        <f>Data!H2340</f>
        <v>0</v>
      </c>
      <c r="O2328">
        <f>Data!I2340</f>
        <v>0</v>
      </c>
      <c r="P2328" s="21">
        <f>Data!J2344</f>
        <v>0</v>
      </c>
      <c r="Q2328">
        <f>Data!K2344</f>
        <v>0</v>
      </c>
      <c r="R2328">
        <f>Data!L2344</f>
        <v>0</v>
      </c>
      <c r="S2328">
        <f>Data!M2344</f>
        <v>0</v>
      </c>
      <c r="T2328">
        <f>Data!N2344</f>
        <v>0</v>
      </c>
      <c r="U2328">
        <f>Data!O2344</f>
        <v>0</v>
      </c>
      <c r="V2328" s="33">
        <f>Data!P2342</f>
        <v>0</v>
      </c>
    </row>
    <row r="2329" spans="7:22" x14ac:dyDescent="0.25">
      <c r="G2329" cm="1">
        <f t="array" aca="1" ref="G2329" ca="1">INDIRECT("Data!A" &amp; 2324)</f>
        <v>0</v>
      </c>
      <c r="H2329" s="21">
        <f>Data!B2341</f>
        <v>0</v>
      </c>
      <c r="I2329" s="21">
        <f>Data!C2341</f>
        <v>0</v>
      </c>
      <c r="J2329">
        <f>Data!D2341</f>
        <v>0</v>
      </c>
      <c r="K2329">
        <f>Data!E2341</f>
        <v>0</v>
      </c>
      <c r="L2329">
        <f>Data!F2341</f>
        <v>0</v>
      </c>
      <c r="M2329">
        <f>Data!G2341</f>
        <v>0</v>
      </c>
      <c r="N2329">
        <f>Data!H2341</f>
        <v>0</v>
      </c>
      <c r="O2329">
        <f>Data!I2341</f>
        <v>0</v>
      </c>
      <c r="P2329" s="21">
        <f>Data!J2345</f>
        <v>0</v>
      </c>
      <c r="Q2329">
        <f>Data!K2345</f>
        <v>0</v>
      </c>
      <c r="R2329">
        <f>Data!L2345</f>
        <v>0</v>
      </c>
      <c r="S2329">
        <f>Data!M2345</f>
        <v>0</v>
      </c>
      <c r="T2329">
        <f>Data!N2345</f>
        <v>0</v>
      </c>
      <c r="U2329">
        <f>Data!O2345</f>
        <v>0</v>
      </c>
      <c r="V2329" s="33">
        <f>Data!P2343</f>
        <v>0</v>
      </c>
    </row>
    <row r="2330" spans="7:22" x14ac:dyDescent="0.25">
      <c r="G2330" cm="1">
        <f t="array" aca="1" ref="G2330" ca="1">INDIRECT("Data!A" &amp; 2325)</f>
        <v>0</v>
      </c>
      <c r="H2330" s="21">
        <f>Data!B2342</f>
        <v>0</v>
      </c>
      <c r="I2330" s="21">
        <f>Data!C2342</f>
        <v>0</v>
      </c>
      <c r="J2330">
        <f>Data!D2342</f>
        <v>0</v>
      </c>
      <c r="K2330">
        <f>Data!E2342</f>
        <v>0</v>
      </c>
      <c r="L2330">
        <f>Data!F2342</f>
        <v>0</v>
      </c>
      <c r="M2330">
        <f>Data!G2342</f>
        <v>0</v>
      </c>
      <c r="N2330">
        <f>Data!H2342</f>
        <v>0</v>
      </c>
      <c r="O2330">
        <f>Data!I2342</f>
        <v>0</v>
      </c>
      <c r="P2330" s="21">
        <f>Data!J2346</f>
        <v>0</v>
      </c>
      <c r="Q2330">
        <f>Data!K2346</f>
        <v>0</v>
      </c>
      <c r="R2330">
        <f>Data!L2346</f>
        <v>0</v>
      </c>
      <c r="S2330">
        <f>Data!M2346</f>
        <v>0</v>
      </c>
      <c r="T2330">
        <f>Data!N2346</f>
        <v>0</v>
      </c>
      <c r="U2330">
        <f>Data!O2346</f>
        <v>0</v>
      </c>
      <c r="V2330" s="33">
        <f>Data!P2344</f>
        <v>0</v>
      </c>
    </row>
    <row r="2331" spans="7:22" x14ac:dyDescent="0.25">
      <c r="G2331" cm="1">
        <f t="array" aca="1" ref="G2331" ca="1">INDIRECT("Data!A" &amp; 2326)</f>
        <v>0</v>
      </c>
      <c r="H2331" s="21">
        <f>Data!B2343</f>
        <v>0</v>
      </c>
      <c r="I2331" s="21">
        <f>Data!C2343</f>
        <v>0</v>
      </c>
      <c r="J2331">
        <f>Data!D2343</f>
        <v>0</v>
      </c>
      <c r="K2331">
        <f>Data!E2343</f>
        <v>0</v>
      </c>
      <c r="L2331">
        <f>Data!F2343</f>
        <v>0</v>
      </c>
      <c r="M2331">
        <f>Data!G2343</f>
        <v>0</v>
      </c>
      <c r="N2331">
        <f>Data!H2343</f>
        <v>0</v>
      </c>
      <c r="O2331">
        <f>Data!I2343</f>
        <v>0</v>
      </c>
      <c r="P2331" s="21">
        <f>Data!J2347</f>
        <v>0</v>
      </c>
      <c r="Q2331">
        <f>Data!K2347</f>
        <v>0</v>
      </c>
      <c r="R2331">
        <f>Data!L2347</f>
        <v>0</v>
      </c>
      <c r="S2331">
        <f>Data!M2347</f>
        <v>0</v>
      </c>
      <c r="T2331">
        <f>Data!N2347</f>
        <v>0</v>
      </c>
      <c r="U2331">
        <f>Data!O2347</f>
        <v>0</v>
      </c>
      <c r="V2331" s="33">
        <f>Data!P2345</f>
        <v>0</v>
      </c>
    </row>
    <row r="2332" spans="7:22" x14ac:dyDescent="0.25">
      <c r="G2332" cm="1">
        <f t="array" aca="1" ref="G2332" ca="1">INDIRECT("Data!A" &amp; 2327)</f>
        <v>0</v>
      </c>
      <c r="H2332" s="21">
        <f>Data!B2344</f>
        <v>0</v>
      </c>
      <c r="I2332" s="21">
        <f>Data!C2344</f>
        <v>0</v>
      </c>
      <c r="J2332">
        <f>Data!D2344</f>
        <v>0</v>
      </c>
      <c r="K2332">
        <f>Data!E2344</f>
        <v>0</v>
      </c>
      <c r="L2332">
        <f>Data!F2344</f>
        <v>0</v>
      </c>
      <c r="M2332">
        <f>Data!G2344</f>
        <v>0</v>
      </c>
      <c r="N2332">
        <f>Data!H2344</f>
        <v>0</v>
      </c>
      <c r="O2332">
        <f>Data!I2344</f>
        <v>0</v>
      </c>
      <c r="P2332" s="21">
        <f>Data!J2348</f>
        <v>0</v>
      </c>
      <c r="Q2332">
        <f>Data!K2348</f>
        <v>0</v>
      </c>
      <c r="R2332">
        <f>Data!L2348</f>
        <v>0</v>
      </c>
      <c r="S2332">
        <f>Data!M2348</f>
        <v>0</v>
      </c>
      <c r="T2332">
        <f>Data!N2348</f>
        <v>0</v>
      </c>
      <c r="U2332">
        <f>Data!O2348</f>
        <v>0</v>
      </c>
      <c r="V2332" s="33">
        <f>Data!P2346</f>
        <v>0</v>
      </c>
    </row>
    <row r="2333" spans="7:22" x14ac:dyDescent="0.25">
      <c r="G2333" cm="1">
        <f t="array" aca="1" ref="G2333" ca="1">INDIRECT("Data!A" &amp; 2328)</f>
        <v>0</v>
      </c>
      <c r="H2333" s="21">
        <f>Data!B2345</f>
        <v>0</v>
      </c>
      <c r="I2333" s="21">
        <f>Data!C2345</f>
        <v>0</v>
      </c>
      <c r="J2333">
        <f>Data!D2345</f>
        <v>0</v>
      </c>
      <c r="K2333">
        <f>Data!E2345</f>
        <v>0</v>
      </c>
      <c r="L2333">
        <f>Data!F2345</f>
        <v>0</v>
      </c>
      <c r="M2333">
        <f>Data!G2345</f>
        <v>0</v>
      </c>
      <c r="N2333">
        <f>Data!H2345</f>
        <v>0</v>
      </c>
      <c r="O2333">
        <f>Data!I2345</f>
        <v>0</v>
      </c>
      <c r="P2333" s="21">
        <f>Data!J2349</f>
        <v>0</v>
      </c>
      <c r="Q2333">
        <f>Data!K2349</f>
        <v>0</v>
      </c>
      <c r="R2333">
        <f>Data!L2349</f>
        <v>0</v>
      </c>
      <c r="S2333">
        <f>Data!M2349</f>
        <v>0</v>
      </c>
      <c r="T2333">
        <f>Data!N2349</f>
        <v>0</v>
      </c>
      <c r="U2333">
        <f>Data!O2349</f>
        <v>0</v>
      </c>
      <c r="V2333" s="33">
        <f>Data!P2347</f>
        <v>0</v>
      </c>
    </row>
    <row r="2334" spans="7:22" x14ac:dyDescent="0.25">
      <c r="G2334" cm="1">
        <f t="array" aca="1" ref="G2334" ca="1">INDIRECT("Data!A" &amp; 2329)</f>
        <v>0</v>
      </c>
      <c r="H2334" s="21">
        <f>Data!B2346</f>
        <v>0</v>
      </c>
      <c r="I2334" s="21">
        <f>Data!C2346</f>
        <v>0</v>
      </c>
      <c r="J2334">
        <f>Data!D2346</f>
        <v>0</v>
      </c>
      <c r="K2334">
        <f>Data!E2346</f>
        <v>0</v>
      </c>
      <c r="L2334">
        <f>Data!F2346</f>
        <v>0</v>
      </c>
      <c r="M2334">
        <f>Data!G2346</f>
        <v>0</v>
      </c>
      <c r="N2334">
        <f>Data!H2346</f>
        <v>0</v>
      </c>
      <c r="O2334">
        <f>Data!I2346</f>
        <v>0</v>
      </c>
      <c r="P2334" s="21">
        <f>Data!J2350</f>
        <v>0</v>
      </c>
      <c r="Q2334">
        <f>Data!K2350</f>
        <v>0</v>
      </c>
      <c r="R2334">
        <f>Data!L2350</f>
        <v>0</v>
      </c>
      <c r="S2334">
        <f>Data!M2350</f>
        <v>0</v>
      </c>
      <c r="T2334">
        <f>Data!N2350</f>
        <v>0</v>
      </c>
      <c r="U2334">
        <f>Data!O2350</f>
        <v>0</v>
      </c>
      <c r="V2334" s="33">
        <f>Data!P2348</f>
        <v>0</v>
      </c>
    </row>
    <row r="2335" spans="7:22" x14ac:dyDescent="0.25">
      <c r="G2335" cm="1">
        <f t="array" aca="1" ref="G2335" ca="1">INDIRECT("Data!A" &amp; 2330)</f>
        <v>0</v>
      </c>
      <c r="H2335" s="21">
        <f>Data!B2347</f>
        <v>0</v>
      </c>
      <c r="I2335" s="21">
        <f>Data!C2347</f>
        <v>0</v>
      </c>
      <c r="J2335">
        <f>Data!D2347</f>
        <v>0</v>
      </c>
      <c r="K2335">
        <f>Data!E2347</f>
        <v>0</v>
      </c>
      <c r="L2335">
        <f>Data!F2347</f>
        <v>0</v>
      </c>
      <c r="M2335">
        <f>Data!G2347</f>
        <v>0</v>
      </c>
      <c r="N2335">
        <f>Data!H2347</f>
        <v>0</v>
      </c>
      <c r="O2335">
        <f>Data!I2347</f>
        <v>0</v>
      </c>
      <c r="P2335" s="21">
        <f>Data!J2351</f>
        <v>0</v>
      </c>
      <c r="Q2335">
        <f>Data!K2351</f>
        <v>0</v>
      </c>
      <c r="R2335">
        <f>Data!L2351</f>
        <v>0</v>
      </c>
      <c r="S2335">
        <f>Data!M2351</f>
        <v>0</v>
      </c>
      <c r="T2335">
        <f>Data!N2351</f>
        <v>0</v>
      </c>
      <c r="U2335">
        <f>Data!O2351</f>
        <v>0</v>
      </c>
      <c r="V2335" s="33">
        <f>Data!P2349</f>
        <v>0</v>
      </c>
    </row>
    <row r="2336" spans="7:22" x14ac:dyDescent="0.25">
      <c r="G2336" cm="1">
        <f t="array" aca="1" ref="G2336" ca="1">INDIRECT("Data!A" &amp; 2331)</f>
        <v>0</v>
      </c>
      <c r="H2336" s="21">
        <f>Data!B2348</f>
        <v>0</v>
      </c>
      <c r="I2336" s="21">
        <f>Data!C2348</f>
        <v>0</v>
      </c>
      <c r="J2336">
        <f>Data!D2348</f>
        <v>0</v>
      </c>
      <c r="K2336">
        <f>Data!E2348</f>
        <v>0</v>
      </c>
      <c r="L2336">
        <f>Data!F2348</f>
        <v>0</v>
      </c>
      <c r="M2336">
        <f>Data!G2348</f>
        <v>0</v>
      </c>
      <c r="N2336">
        <f>Data!H2348</f>
        <v>0</v>
      </c>
      <c r="O2336">
        <f>Data!I2348</f>
        <v>0</v>
      </c>
      <c r="P2336" s="21">
        <f>Data!J2352</f>
        <v>0</v>
      </c>
      <c r="Q2336">
        <f>Data!K2352</f>
        <v>0</v>
      </c>
      <c r="R2336">
        <f>Data!L2352</f>
        <v>0</v>
      </c>
      <c r="S2336">
        <f>Data!M2352</f>
        <v>0</v>
      </c>
      <c r="T2336">
        <f>Data!N2352</f>
        <v>0</v>
      </c>
      <c r="U2336">
        <f>Data!O2352</f>
        <v>0</v>
      </c>
      <c r="V2336" s="33">
        <f>Data!P2350</f>
        <v>0</v>
      </c>
    </row>
    <row r="2337" spans="7:22" x14ac:dyDescent="0.25">
      <c r="G2337" cm="1">
        <f t="array" aca="1" ref="G2337" ca="1">INDIRECT("Data!A" &amp; 2332)</f>
        <v>0</v>
      </c>
      <c r="H2337" s="21">
        <f>Data!B2349</f>
        <v>0</v>
      </c>
      <c r="I2337" s="21">
        <f>Data!C2349</f>
        <v>0</v>
      </c>
      <c r="J2337">
        <f>Data!D2349</f>
        <v>0</v>
      </c>
      <c r="K2337">
        <f>Data!E2349</f>
        <v>0</v>
      </c>
      <c r="L2337">
        <f>Data!F2349</f>
        <v>0</v>
      </c>
      <c r="M2337">
        <f>Data!G2349</f>
        <v>0</v>
      </c>
      <c r="N2337">
        <f>Data!H2349</f>
        <v>0</v>
      </c>
      <c r="O2337">
        <f>Data!I2349</f>
        <v>0</v>
      </c>
      <c r="P2337" s="21">
        <f>Data!J2353</f>
        <v>0</v>
      </c>
      <c r="Q2337">
        <f>Data!K2353</f>
        <v>0</v>
      </c>
      <c r="R2337">
        <f>Data!L2353</f>
        <v>0</v>
      </c>
      <c r="S2337">
        <f>Data!M2353</f>
        <v>0</v>
      </c>
      <c r="T2337">
        <f>Data!N2353</f>
        <v>0</v>
      </c>
      <c r="U2337">
        <f>Data!O2353</f>
        <v>0</v>
      </c>
      <c r="V2337" s="33">
        <f>Data!P2351</f>
        <v>0</v>
      </c>
    </row>
    <row r="2338" spans="7:22" x14ac:dyDescent="0.25">
      <c r="G2338" cm="1">
        <f t="array" aca="1" ref="G2338" ca="1">INDIRECT("Data!A" &amp; 2333)</f>
        <v>0</v>
      </c>
      <c r="H2338" s="21">
        <f>Data!B2350</f>
        <v>0</v>
      </c>
      <c r="I2338" s="21">
        <f>Data!C2350</f>
        <v>0</v>
      </c>
      <c r="J2338">
        <f>Data!D2350</f>
        <v>0</v>
      </c>
      <c r="K2338">
        <f>Data!E2350</f>
        <v>0</v>
      </c>
      <c r="L2338">
        <f>Data!F2350</f>
        <v>0</v>
      </c>
      <c r="M2338">
        <f>Data!G2350</f>
        <v>0</v>
      </c>
      <c r="N2338">
        <f>Data!H2350</f>
        <v>0</v>
      </c>
      <c r="O2338">
        <f>Data!I2350</f>
        <v>0</v>
      </c>
      <c r="P2338" s="21">
        <f>Data!J2354</f>
        <v>0</v>
      </c>
      <c r="Q2338">
        <f>Data!K2354</f>
        <v>0</v>
      </c>
      <c r="R2338">
        <f>Data!L2354</f>
        <v>0</v>
      </c>
      <c r="S2338">
        <f>Data!M2354</f>
        <v>0</v>
      </c>
      <c r="T2338">
        <f>Data!N2354</f>
        <v>0</v>
      </c>
      <c r="U2338">
        <f>Data!O2354</f>
        <v>0</v>
      </c>
      <c r="V2338" s="33">
        <f>Data!P2352</f>
        <v>0</v>
      </c>
    </row>
    <row r="2339" spans="7:22" x14ac:dyDescent="0.25">
      <c r="G2339" cm="1">
        <f t="array" aca="1" ref="G2339" ca="1">INDIRECT("Data!A" &amp; 2334)</f>
        <v>0</v>
      </c>
      <c r="H2339" s="21">
        <f>Data!B2351</f>
        <v>0</v>
      </c>
      <c r="I2339" s="21">
        <f>Data!C2351</f>
        <v>0</v>
      </c>
      <c r="J2339">
        <f>Data!D2351</f>
        <v>0</v>
      </c>
      <c r="K2339">
        <f>Data!E2351</f>
        <v>0</v>
      </c>
      <c r="L2339">
        <f>Data!F2351</f>
        <v>0</v>
      </c>
      <c r="M2339">
        <f>Data!G2351</f>
        <v>0</v>
      </c>
      <c r="N2339">
        <f>Data!H2351</f>
        <v>0</v>
      </c>
      <c r="O2339">
        <f>Data!I2351</f>
        <v>0</v>
      </c>
      <c r="P2339" s="21">
        <f>Data!J2355</f>
        <v>0</v>
      </c>
      <c r="Q2339">
        <f>Data!K2355</f>
        <v>0</v>
      </c>
      <c r="R2339">
        <f>Data!L2355</f>
        <v>0</v>
      </c>
      <c r="S2339">
        <f>Data!M2355</f>
        <v>0</v>
      </c>
      <c r="T2339">
        <f>Data!N2355</f>
        <v>0</v>
      </c>
      <c r="U2339">
        <f>Data!O2355</f>
        <v>0</v>
      </c>
      <c r="V2339" s="33">
        <f>Data!P2353</f>
        <v>0</v>
      </c>
    </row>
    <row r="2340" spans="7:22" x14ac:dyDescent="0.25">
      <c r="G2340" cm="1">
        <f t="array" aca="1" ref="G2340" ca="1">INDIRECT("Data!A" &amp; 2335)</f>
        <v>0</v>
      </c>
      <c r="H2340" s="21">
        <f>Data!B2352</f>
        <v>0</v>
      </c>
      <c r="I2340" s="21">
        <f>Data!C2352</f>
        <v>0</v>
      </c>
      <c r="J2340">
        <f>Data!D2352</f>
        <v>0</v>
      </c>
      <c r="K2340">
        <f>Data!E2352</f>
        <v>0</v>
      </c>
      <c r="L2340">
        <f>Data!F2352</f>
        <v>0</v>
      </c>
      <c r="M2340">
        <f>Data!G2352</f>
        <v>0</v>
      </c>
      <c r="N2340">
        <f>Data!H2352</f>
        <v>0</v>
      </c>
      <c r="O2340">
        <f>Data!I2352</f>
        <v>0</v>
      </c>
      <c r="P2340" s="21">
        <f>Data!J2356</f>
        <v>0</v>
      </c>
      <c r="Q2340">
        <f>Data!K2356</f>
        <v>0</v>
      </c>
      <c r="R2340">
        <f>Data!L2356</f>
        <v>0</v>
      </c>
      <c r="S2340">
        <f>Data!M2356</f>
        <v>0</v>
      </c>
      <c r="T2340">
        <f>Data!N2356</f>
        <v>0</v>
      </c>
      <c r="U2340">
        <f>Data!O2356</f>
        <v>0</v>
      </c>
      <c r="V2340" s="33">
        <f>Data!P2354</f>
        <v>0</v>
      </c>
    </row>
    <row r="2341" spans="7:22" x14ac:dyDescent="0.25">
      <c r="G2341" cm="1">
        <f t="array" aca="1" ref="G2341" ca="1">INDIRECT("Data!A" &amp; 2336)</f>
        <v>0</v>
      </c>
      <c r="H2341" s="21">
        <f>Data!B2353</f>
        <v>0</v>
      </c>
      <c r="I2341" s="21">
        <f>Data!C2353</f>
        <v>0</v>
      </c>
      <c r="J2341">
        <f>Data!D2353</f>
        <v>0</v>
      </c>
      <c r="K2341">
        <f>Data!E2353</f>
        <v>0</v>
      </c>
      <c r="L2341">
        <f>Data!F2353</f>
        <v>0</v>
      </c>
      <c r="M2341">
        <f>Data!G2353</f>
        <v>0</v>
      </c>
      <c r="N2341">
        <f>Data!H2353</f>
        <v>0</v>
      </c>
      <c r="O2341">
        <f>Data!I2353</f>
        <v>0</v>
      </c>
      <c r="P2341" s="21">
        <f>Data!J2357</f>
        <v>0</v>
      </c>
      <c r="Q2341">
        <f>Data!K2357</f>
        <v>0</v>
      </c>
      <c r="R2341">
        <f>Data!L2357</f>
        <v>0</v>
      </c>
      <c r="S2341">
        <f>Data!M2357</f>
        <v>0</v>
      </c>
      <c r="T2341">
        <f>Data!N2357</f>
        <v>0</v>
      </c>
      <c r="U2341">
        <f>Data!O2357</f>
        <v>0</v>
      </c>
      <c r="V2341" s="33">
        <f>Data!P2355</f>
        <v>0</v>
      </c>
    </row>
    <row r="2342" spans="7:22" x14ac:dyDescent="0.25">
      <c r="G2342" cm="1">
        <f t="array" aca="1" ref="G2342" ca="1">INDIRECT("Data!A" &amp; 2337)</f>
        <v>0</v>
      </c>
      <c r="H2342" s="21">
        <f>Data!B2354</f>
        <v>0</v>
      </c>
      <c r="I2342" s="21">
        <f>Data!C2354</f>
        <v>0</v>
      </c>
      <c r="J2342">
        <f>Data!D2354</f>
        <v>0</v>
      </c>
      <c r="K2342">
        <f>Data!E2354</f>
        <v>0</v>
      </c>
      <c r="L2342">
        <f>Data!F2354</f>
        <v>0</v>
      </c>
      <c r="M2342">
        <f>Data!G2354</f>
        <v>0</v>
      </c>
      <c r="N2342">
        <f>Data!H2354</f>
        <v>0</v>
      </c>
      <c r="O2342">
        <f>Data!I2354</f>
        <v>0</v>
      </c>
      <c r="P2342" s="21">
        <f>Data!J2358</f>
        <v>0</v>
      </c>
      <c r="Q2342">
        <f>Data!K2358</f>
        <v>0</v>
      </c>
      <c r="R2342">
        <f>Data!L2358</f>
        <v>0</v>
      </c>
      <c r="S2342">
        <f>Data!M2358</f>
        <v>0</v>
      </c>
      <c r="T2342">
        <f>Data!N2358</f>
        <v>0</v>
      </c>
      <c r="U2342">
        <f>Data!O2358</f>
        <v>0</v>
      </c>
      <c r="V2342" s="33">
        <f>Data!P2356</f>
        <v>0</v>
      </c>
    </row>
    <row r="2343" spans="7:22" x14ac:dyDescent="0.25">
      <c r="G2343" cm="1">
        <f t="array" aca="1" ref="G2343" ca="1">INDIRECT("Data!A" &amp; 2338)</f>
        <v>0</v>
      </c>
      <c r="H2343" s="21">
        <f>Data!B2355</f>
        <v>0</v>
      </c>
      <c r="I2343" s="21">
        <f>Data!C2355</f>
        <v>0</v>
      </c>
      <c r="J2343">
        <f>Data!D2355</f>
        <v>0</v>
      </c>
      <c r="K2343">
        <f>Data!E2355</f>
        <v>0</v>
      </c>
      <c r="L2343">
        <f>Data!F2355</f>
        <v>0</v>
      </c>
      <c r="M2343">
        <f>Data!G2355</f>
        <v>0</v>
      </c>
      <c r="N2343">
        <f>Data!H2355</f>
        <v>0</v>
      </c>
      <c r="O2343">
        <f>Data!I2355</f>
        <v>0</v>
      </c>
      <c r="P2343" s="21">
        <f>Data!J2359</f>
        <v>0</v>
      </c>
      <c r="Q2343">
        <f>Data!K2359</f>
        <v>0</v>
      </c>
      <c r="R2343">
        <f>Data!L2359</f>
        <v>0</v>
      </c>
      <c r="S2343">
        <f>Data!M2359</f>
        <v>0</v>
      </c>
      <c r="T2343">
        <f>Data!N2359</f>
        <v>0</v>
      </c>
      <c r="U2343">
        <f>Data!O2359</f>
        <v>0</v>
      </c>
      <c r="V2343" s="33">
        <f>Data!P2357</f>
        <v>0</v>
      </c>
    </row>
    <row r="2344" spans="7:22" x14ac:dyDescent="0.25">
      <c r="G2344" cm="1">
        <f t="array" aca="1" ref="G2344" ca="1">INDIRECT("Data!A" &amp; 2339)</f>
        <v>0</v>
      </c>
      <c r="H2344" s="21">
        <f>Data!B2356</f>
        <v>0</v>
      </c>
      <c r="I2344" s="21">
        <f>Data!C2356</f>
        <v>0</v>
      </c>
      <c r="J2344">
        <f>Data!D2356</f>
        <v>0</v>
      </c>
      <c r="K2344">
        <f>Data!E2356</f>
        <v>0</v>
      </c>
      <c r="L2344">
        <f>Data!F2356</f>
        <v>0</v>
      </c>
      <c r="M2344">
        <f>Data!G2356</f>
        <v>0</v>
      </c>
      <c r="N2344">
        <f>Data!H2356</f>
        <v>0</v>
      </c>
      <c r="O2344">
        <f>Data!I2356</f>
        <v>0</v>
      </c>
      <c r="P2344" s="21">
        <f>Data!J2360</f>
        <v>0</v>
      </c>
      <c r="Q2344">
        <f>Data!K2360</f>
        <v>0</v>
      </c>
      <c r="R2344">
        <f>Data!L2360</f>
        <v>0</v>
      </c>
      <c r="S2344">
        <f>Data!M2360</f>
        <v>0</v>
      </c>
      <c r="T2344">
        <f>Data!N2360</f>
        <v>0</v>
      </c>
      <c r="U2344">
        <f>Data!O2360</f>
        <v>0</v>
      </c>
      <c r="V2344" s="33">
        <f>Data!P2358</f>
        <v>0</v>
      </c>
    </row>
    <row r="2345" spans="7:22" x14ac:dyDescent="0.25">
      <c r="G2345" cm="1">
        <f t="array" aca="1" ref="G2345" ca="1">INDIRECT("Data!A" &amp; 2340)</f>
        <v>0</v>
      </c>
      <c r="H2345" s="21">
        <f>Data!B2357</f>
        <v>0</v>
      </c>
      <c r="I2345" s="21">
        <f>Data!C2357</f>
        <v>0</v>
      </c>
      <c r="J2345">
        <f>Data!D2357</f>
        <v>0</v>
      </c>
      <c r="K2345">
        <f>Data!E2357</f>
        <v>0</v>
      </c>
      <c r="L2345">
        <f>Data!F2357</f>
        <v>0</v>
      </c>
      <c r="M2345">
        <f>Data!G2357</f>
        <v>0</v>
      </c>
      <c r="N2345">
        <f>Data!H2357</f>
        <v>0</v>
      </c>
      <c r="O2345">
        <f>Data!I2357</f>
        <v>0</v>
      </c>
      <c r="P2345" s="21">
        <f>Data!J2361</f>
        <v>0</v>
      </c>
      <c r="Q2345">
        <f>Data!K2361</f>
        <v>0</v>
      </c>
      <c r="R2345">
        <f>Data!L2361</f>
        <v>0</v>
      </c>
      <c r="S2345">
        <f>Data!M2361</f>
        <v>0</v>
      </c>
      <c r="T2345">
        <f>Data!N2361</f>
        <v>0</v>
      </c>
      <c r="U2345">
        <f>Data!O2361</f>
        <v>0</v>
      </c>
      <c r="V2345" s="33">
        <f>Data!P2359</f>
        <v>0</v>
      </c>
    </row>
    <row r="2346" spans="7:22" x14ac:dyDescent="0.25">
      <c r="G2346" cm="1">
        <f t="array" aca="1" ref="G2346" ca="1">INDIRECT("Data!A" &amp; 2341)</f>
        <v>0</v>
      </c>
      <c r="H2346" s="21">
        <f>Data!B2358</f>
        <v>0</v>
      </c>
      <c r="I2346" s="21">
        <f>Data!C2358</f>
        <v>0</v>
      </c>
      <c r="J2346">
        <f>Data!D2358</f>
        <v>0</v>
      </c>
      <c r="K2346">
        <f>Data!E2358</f>
        <v>0</v>
      </c>
      <c r="L2346">
        <f>Data!F2358</f>
        <v>0</v>
      </c>
      <c r="M2346">
        <f>Data!G2358</f>
        <v>0</v>
      </c>
      <c r="N2346">
        <f>Data!H2358</f>
        <v>0</v>
      </c>
      <c r="O2346">
        <f>Data!I2358</f>
        <v>0</v>
      </c>
      <c r="P2346" s="21">
        <f>Data!J2362</f>
        <v>0</v>
      </c>
      <c r="Q2346">
        <f>Data!K2362</f>
        <v>0</v>
      </c>
      <c r="R2346">
        <f>Data!L2362</f>
        <v>0</v>
      </c>
      <c r="S2346">
        <f>Data!M2362</f>
        <v>0</v>
      </c>
      <c r="T2346">
        <f>Data!N2362</f>
        <v>0</v>
      </c>
      <c r="U2346">
        <f>Data!O2362</f>
        <v>0</v>
      </c>
      <c r="V2346" s="33">
        <f>Data!P2360</f>
        <v>0</v>
      </c>
    </row>
    <row r="2347" spans="7:22" x14ac:dyDescent="0.25">
      <c r="G2347" cm="1">
        <f t="array" aca="1" ref="G2347" ca="1">INDIRECT("Data!A" &amp; 2342)</f>
        <v>0</v>
      </c>
      <c r="H2347" s="21">
        <f>Data!B2359</f>
        <v>0</v>
      </c>
      <c r="I2347" s="21">
        <f>Data!C2359</f>
        <v>0</v>
      </c>
      <c r="J2347">
        <f>Data!D2359</f>
        <v>0</v>
      </c>
      <c r="K2347">
        <f>Data!E2359</f>
        <v>0</v>
      </c>
      <c r="L2347">
        <f>Data!F2359</f>
        <v>0</v>
      </c>
      <c r="M2347">
        <f>Data!G2359</f>
        <v>0</v>
      </c>
      <c r="N2347">
        <f>Data!H2359</f>
        <v>0</v>
      </c>
      <c r="O2347">
        <f>Data!I2359</f>
        <v>0</v>
      </c>
      <c r="P2347" s="21">
        <f>Data!J2363</f>
        <v>0</v>
      </c>
      <c r="Q2347">
        <f>Data!K2363</f>
        <v>0</v>
      </c>
      <c r="R2347">
        <f>Data!L2363</f>
        <v>0</v>
      </c>
      <c r="S2347">
        <f>Data!M2363</f>
        <v>0</v>
      </c>
      <c r="T2347">
        <f>Data!N2363</f>
        <v>0</v>
      </c>
      <c r="U2347">
        <f>Data!O2363</f>
        <v>0</v>
      </c>
      <c r="V2347" s="33">
        <f>Data!P2361</f>
        <v>0</v>
      </c>
    </row>
    <row r="2348" spans="7:22" x14ac:dyDescent="0.25">
      <c r="G2348" cm="1">
        <f t="array" aca="1" ref="G2348" ca="1">INDIRECT("Data!A" &amp; 2343)</f>
        <v>0</v>
      </c>
      <c r="H2348" s="21">
        <f>Data!B2360</f>
        <v>0</v>
      </c>
      <c r="I2348" s="21">
        <f>Data!C2360</f>
        <v>0</v>
      </c>
      <c r="J2348">
        <f>Data!D2360</f>
        <v>0</v>
      </c>
      <c r="K2348">
        <f>Data!E2360</f>
        <v>0</v>
      </c>
      <c r="L2348">
        <f>Data!F2360</f>
        <v>0</v>
      </c>
      <c r="M2348">
        <f>Data!G2360</f>
        <v>0</v>
      </c>
      <c r="N2348">
        <f>Data!H2360</f>
        <v>0</v>
      </c>
      <c r="O2348">
        <f>Data!I2360</f>
        <v>0</v>
      </c>
      <c r="P2348" s="21">
        <f>Data!J2364</f>
        <v>0</v>
      </c>
      <c r="Q2348">
        <f>Data!K2364</f>
        <v>0</v>
      </c>
      <c r="R2348">
        <f>Data!L2364</f>
        <v>0</v>
      </c>
      <c r="S2348">
        <f>Data!M2364</f>
        <v>0</v>
      </c>
      <c r="T2348">
        <f>Data!N2364</f>
        <v>0</v>
      </c>
      <c r="U2348">
        <f>Data!O2364</f>
        <v>0</v>
      </c>
      <c r="V2348" s="33">
        <f>Data!P2362</f>
        <v>0</v>
      </c>
    </row>
    <row r="2349" spans="7:22" x14ac:dyDescent="0.25">
      <c r="G2349" cm="1">
        <f t="array" aca="1" ref="G2349" ca="1">INDIRECT("Data!A" &amp; 2344)</f>
        <v>0</v>
      </c>
      <c r="H2349" s="21">
        <f>Data!B2361</f>
        <v>0</v>
      </c>
      <c r="I2349" s="21">
        <f>Data!C2361</f>
        <v>0</v>
      </c>
      <c r="J2349">
        <f>Data!D2361</f>
        <v>0</v>
      </c>
      <c r="K2349">
        <f>Data!E2361</f>
        <v>0</v>
      </c>
      <c r="L2349">
        <f>Data!F2361</f>
        <v>0</v>
      </c>
      <c r="M2349">
        <f>Data!G2361</f>
        <v>0</v>
      </c>
      <c r="N2349">
        <f>Data!H2361</f>
        <v>0</v>
      </c>
      <c r="O2349">
        <f>Data!I2361</f>
        <v>0</v>
      </c>
      <c r="P2349" s="21">
        <f>Data!J2365</f>
        <v>0</v>
      </c>
      <c r="Q2349">
        <f>Data!K2365</f>
        <v>0</v>
      </c>
      <c r="R2349">
        <f>Data!L2365</f>
        <v>0</v>
      </c>
      <c r="S2349">
        <f>Data!M2365</f>
        <v>0</v>
      </c>
      <c r="T2349">
        <f>Data!N2365</f>
        <v>0</v>
      </c>
      <c r="U2349">
        <f>Data!O2365</f>
        <v>0</v>
      </c>
      <c r="V2349" s="33">
        <f>Data!P2363</f>
        <v>0</v>
      </c>
    </row>
    <row r="2350" spans="7:22" x14ac:dyDescent="0.25">
      <c r="G2350" cm="1">
        <f t="array" aca="1" ref="G2350" ca="1">INDIRECT("Data!A" &amp; 2345)</f>
        <v>0</v>
      </c>
      <c r="H2350" s="21">
        <f>Data!B2362</f>
        <v>0</v>
      </c>
      <c r="I2350" s="21">
        <f>Data!C2362</f>
        <v>0</v>
      </c>
      <c r="J2350">
        <f>Data!D2362</f>
        <v>0</v>
      </c>
      <c r="K2350">
        <f>Data!E2362</f>
        <v>0</v>
      </c>
      <c r="L2350">
        <f>Data!F2362</f>
        <v>0</v>
      </c>
      <c r="M2350">
        <f>Data!G2362</f>
        <v>0</v>
      </c>
      <c r="N2350">
        <f>Data!H2362</f>
        <v>0</v>
      </c>
      <c r="O2350">
        <f>Data!I2362</f>
        <v>0</v>
      </c>
      <c r="P2350" s="21">
        <f>Data!J2366</f>
        <v>0</v>
      </c>
      <c r="Q2350">
        <f>Data!K2366</f>
        <v>0</v>
      </c>
      <c r="R2350">
        <f>Data!L2366</f>
        <v>0</v>
      </c>
      <c r="S2350">
        <f>Data!M2366</f>
        <v>0</v>
      </c>
      <c r="T2350">
        <f>Data!N2366</f>
        <v>0</v>
      </c>
      <c r="U2350">
        <f>Data!O2366</f>
        <v>0</v>
      </c>
      <c r="V2350" s="33">
        <f>Data!P2364</f>
        <v>0</v>
      </c>
    </row>
    <row r="2351" spans="7:22" x14ac:dyDescent="0.25">
      <c r="G2351" cm="1">
        <f t="array" aca="1" ref="G2351" ca="1">INDIRECT("Data!A" &amp; 2346)</f>
        <v>0</v>
      </c>
      <c r="H2351" s="21">
        <f>Data!B2363</f>
        <v>0</v>
      </c>
      <c r="I2351" s="21">
        <f>Data!C2363</f>
        <v>0</v>
      </c>
      <c r="J2351">
        <f>Data!D2363</f>
        <v>0</v>
      </c>
      <c r="K2351">
        <f>Data!E2363</f>
        <v>0</v>
      </c>
      <c r="L2351">
        <f>Data!F2363</f>
        <v>0</v>
      </c>
      <c r="M2351">
        <f>Data!G2363</f>
        <v>0</v>
      </c>
      <c r="N2351">
        <f>Data!H2363</f>
        <v>0</v>
      </c>
      <c r="O2351">
        <f>Data!I2363</f>
        <v>0</v>
      </c>
      <c r="P2351" s="21">
        <f>Data!J2367</f>
        <v>0</v>
      </c>
      <c r="Q2351">
        <f>Data!K2367</f>
        <v>0</v>
      </c>
      <c r="R2351">
        <f>Data!L2367</f>
        <v>0</v>
      </c>
      <c r="S2351">
        <f>Data!M2367</f>
        <v>0</v>
      </c>
      <c r="T2351">
        <f>Data!N2367</f>
        <v>0</v>
      </c>
      <c r="U2351">
        <f>Data!O2367</f>
        <v>0</v>
      </c>
      <c r="V2351" s="33">
        <f>Data!P2365</f>
        <v>0</v>
      </c>
    </row>
    <row r="2352" spans="7:22" x14ac:dyDescent="0.25">
      <c r="G2352" cm="1">
        <f t="array" aca="1" ref="G2352" ca="1">INDIRECT("Data!A" &amp; 2347)</f>
        <v>0</v>
      </c>
      <c r="H2352" s="21">
        <f>Data!B2364</f>
        <v>0</v>
      </c>
      <c r="I2352" s="21">
        <f>Data!C2364</f>
        <v>0</v>
      </c>
      <c r="J2352">
        <f>Data!D2364</f>
        <v>0</v>
      </c>
      <c r="K2352">
        <f>Data!E2364</f>
        <v>0</v>
      </c>
      <c r="L2352">
        <f>Data!F2364</f>
        <v>0</v>
      </c>
      <c r="M2352">
        <f>Data!G2364</f>
        <v>0</v>
      </c>
      <c r="N2352">
        <f>Data!H2364</f>
        <v>0</v>
      </c>
      <c r="O2352">
        <f>Data!I2364</f>
        <v>0</v>
      </c>
      <c r="P2352" s="21">
        <f>Data!J2368</f>
        <v>0</v>
      </c>
      <c r="Q2352">
        <f>Data!K2368</f>
        <v>0</v>
      </c>
      <c r="R2352">
        <f>Data!L2368</f>
        <v>0</v>
      </c>
      <c r="S2352">
        <f>Data!M2368</f>
        <v>0</v>
      </c>
      <c r="T2352">
        <f>Data!N2368</f>
        <v>0</v>
      </c>
      <c r="U2352">
        <f>Data!O2368</f>
        <v>0</v>
      </c>
      <c r="V2352" s="33">
        <f>Data!P2366</f>
        <v>0</v>
      </c>
    </row>
    <row r="2353" spans="7:22" x14ac:dyDescent="0.25">
      <c r="G2353" cm="1">
        <f t="array" aca="1" ref="G2353" ca="1">INDIRECT("Data!A" &amp; 2348)</f>
        <v>0</v>
      </c>
      <c r="H2353" s="21">
        <f>Data!B2365</f>
        <v>0</v>
      </c>
      <c r="I2353" s="21">
        <f>Data!C2365</f>
        <v>0</v>
      </c>
      <c r="J2353">
        <f>Data!D2365</f>
        <v>0</v>
      </c>
      <c r="K2353">
        <f>Data!E2365</f>
        <v>0</v>
      </c>
      <c r="L2353">
        <f>Data!F2365</f>
        <v>0</v>
      </c>
      <c r="M2353">
        <f>Data!G2365</f>
        <v>0</v>
      </c>
      <c r="N2353">
        <f>Data!H2365</f>
        <v>0</v>
      </c>
      <c r="O2353">
        <f>Data!I2365</f>
        <v>0</v>
      </c>
      <c r="P2353" s="21">
        <f>Data!J2369</f>
        <v>0</v>
      </c>
      <c r="Q2353">
        <f>Data!K2369</f>
        <v>0</v>
      </c>
      <c r="R2353">
        <f>Data!L2369</f>
        <v>0</v>
      </c>
      <c r="S2353">
        <f>Data!M2369</f>
        <v>0</v>
      </c>
      <c r="T2353">
        <f>Data!N2369</f>
        <v>0</v>
      </c>
      <c r="U2353">
        <f>Data!O2369</f>
        <v>0</v>
      </c>
      <c r="V2353" s="33">
        <f>Data!P2367</f>
        <v>0</v>
      </c>
    </row>
    <row r="2354" spans="7:22" x14ac:dyDescent="0.25">
      <c r="G2354" cm="1">
        <f t="array" aca="1" ref="G2354" ca="1">INDIRECT("Data!A" &amp; 2349)</f>
        <v>0</v>
      </c>
      <c r="H2354" s="21">
        <f>Data!B2366</f>
        <v>0</v>
      </c>
      <c r="I2354" s="21">
        <f>Data!C2366</f>
        <v>0</v>
      </c>
      <c r="J2354">
        <f>Data!D2366</f>
        <v>0</v>
      </c>
      <c r="K2354">
        <f>Data!E2366</f>
        <v>0</v>
      </c>
      <c r="L2354">
        <f>Data!F2366</f>
        <v>0</v>
      </c>
      <c r="M2354">
        <f>Data!G2366</f>
        <v>0</v>
      </c>
      <c r="N2354">
        <f>Data!H2366</f>
        <v>0</v>
      </c>
      <c r="O2354">
        <f>Data!I2366</f>
        <v>0</v>
      </c>
      <c r="P2354" s="21">
        <f>Data!J2370</f>
        <v>0</v>
      </c>
      <c r="Q2354">
        <f>Data!K2370</f>
        <v>0</v>
      </c>
      <c r="R2354">
        <f>Data!L2370</f>
        <v>0</v>
      </c>
      <c r="S2354">
        <f>Data!M2370</f>
        <v>0</v>
      </c>
      <c r="T2354">
        <f>Data!N2370</f>
        <v>0</v>
      </c>
      <c r="U2354">
        <f>Data!O2370</f>
        <v>0</v>
      </c>
      <c r="V2354" s="33">
        <f>Data!P2368</f>
        <v>0</v>
      </c>
    </row>
    <row r="2355" spans="7:22" x14ac:dyDescent="0.25">
      <c r="G2355" cm="1">
        <f t="array" aca="1" ref="G2355" ca="1">INDIRECT("Data!A" &amp; 2350)</f>
        <v>0</v>
      </c>
      <c r="H2355" s="21">
        <f>Data!B2367</f>
        <v>0</v>
      </c>
      <c r="I2355" s="21">
        <f>Data!C2367</f>
        <v>0</v>
      </c>
      <c r="J2355">
        <f>Data!D2367</f>
        <v>0</v>
      </c>
      <c r="K2355">
        <f>Data!E2367</f>
        <v>0</v>
      </c>
      <c r="L2355">
        <f>Data!F2367</f>
        <v>0</v>
      </c>
      <c r="M2355">
        <f>Data!G2367</f>
        <v>0</v>
      </c>
      <c r="N2355">
        <f>Data!H2367</f>
        <v>0</v>
      </c>
      <c r="O2355">
        <f>Data!I2367</f>
        <v>0</v>
      </c>
      <c r="P2355" s="21">
        <f>Data!J2371</f>
        <v>0</v>
      </c>
      <c r="Q2355">
        <f>Data!K2371</f>
        <v>0</v>
      </c>
      <c r="R2355">
        <f>Data!L2371</f>
        <v>0</v>
      </c>
      <c r="S2355">
        <f>Data!M2371</f>
        <v>0</v>
      </c>
      <c r="T2355">
        <f>Data!N2371</f>
        <v>0</v>
      </c>
      <c r="U2355">
        <f>Data!O2371</f>
        <v>0</v>
      </c>
      <c r="V2355" s="33">
        <f>Data!P2369</f>
        <v>0</v>
      </c>
    </row>
    <row r="2356" spans="7:22" x14ac:dyDescent="0.25">
      <c r="G2356" cm="1">
        <f t="array" aca="1" ref="G2356" ca="1">INDIRECT("Data!A" &amp; 2351)</f>
        <v>0</v>
      </c>
      <c r="H2356" s="21">
        <f>Data!B2368</f>
        <v>0</v>
      </c>
      <c r="I2356" s="21">
        <f>Data!C2368</f>
        <v>0</v>
      </c>
      <c r="J2356">
        <f>Data!D2368</f>
        <v>0</v>
      </c>
      <c r="K2356">
        <f>Data!E2368</f>
        <v>0</v>
      </c>
      <c r="L2356">
        <f>Data!F2368</f>
        <v>0</v>
      </c>
      <c r="M2356">
        <f>Data!G2368</f>
        <v>0</v>
      </c>
      <c r="N2356">
        <f>Data!H2368</f>
        <v>0</v>
      </c>
      <c r="O2356">
        <f>Data!I2368</f>
        <v>0</v>
      </c>
      <c r="P2356" s="21">
        <f>Data!J2372</f>
        <v>0</v>
      </c>
      <c r="Q2356">
        <f>Data!K2372</f>
        <v>0</v>
      </c>
      <c r="R2356">
        <f>Data!L2372</f>
        <v>0</v>
      </c>
      <c r="S2356">
        <f>Data!M2372</f>
        <v>0</v>
      </c>
      <c r="T2356">
        <f>Data!N2372</f>
        <v>0</v>
      </c>
      <c r="U2356">
        <f>Data!O2372</f>
        <v>0</v>
      </c>
      <c r="V2356" s="33">
        <f>Data!P2370</f>
        <v>0</v>
      </c>
    </row>
    <row r="2357" spans="7:22" x14ac:dyDescent="0.25">
      <c r="G2357" cm="1">
        <f t="array" aca="1" ref="G2357" ca="1">INDIRECT("Data!A" &amp; 2352)</f>
        <v>0</v>
      </c>
      <c r="H2357" s="21">
        <f>Data!B2369</f>
        <v>0</v>
      </c>
      <c r="I2357" s="21">
        <f>Data!C2369</f>
        <v>0</v>
      </c>
      <c r="J2357">
        <f>Data!D2369</f>
        <v>0</v>
      </c>
      <c r="K2357">
        <f>Data!E2369</f>
        <v>0</v>
      </c>
      <c r="L2357">
        <f>Data!F2369</f>
        <v>0</v>
      </c>
      <c r="M2357">
        <f>Data!G2369</f>
        <v>0</v>
      </c>
      <c r="N2357">
        <f>Data!H2369</f>
        <v>0</v>
      </c>
      <c r="O2357">
        <f>Data!I2369</f>
        <v>0</v>
      </c>
      <c r="P2357" s="21">
        <f>Data!J2373</f>
        <v>0</v>
      </c>
      <c r="Q2357">
        <f>Data!K2373</f>
        <v>0</v>
      </c>
      <c r="R2357">
        <f>Data!L2373</f>
        <v>0</v>
      </c>
      <c r="S2357">
        <f>Data!M2373</f>
        <v>0</v>
      </c>
      <c r="T2357">
        <f>Data!N2373</f>
        <v>0</v>
      </c>
      <c r="U2357">
        <f>Data!O2373</f>
        <v>0</v>
      </c>
      <c r="V2357" s="33">
        <f>Data!P2371</f>
        <v>0</v>
      </c>
    </row>
    <row r="2358" spans="7:22" x14ac:dyDescent="0.25">
      <c r="G2358" cm="1">
        <f t="array" aca="1" ref="G2358" ca="1">INDIRECT("Data!A" &amp; 2353)</f>
        <v>0</v>
      </c>
      <c r="H2358" s="21">
        <f>Data!B2370</f>
        <v>0</v>
      </c>
      <c r="I2358" s="21">
        <f>Data!C2370</f>
        <v>0</v>
      </c>
      <c r="J2358">
        <f>Data!D2370</f>
        <v>0</v>
      </c>
      <c r="K2358">
        <f>Data!E2370</f>
        <v>0</v>
      </c>
      <c r="L2358">
        <f>Data!F2370</f>
        <v>0</v>
      </c>
      <c r="M2358">
        <f>Data!G2370</f>
        <v>0</v>
      </c>
      <c r="N2358">
        <f>Data!H2370</f>
        <v>0</v>
      </c>
      <c r="O2358">
        <f>Data!I2370</f>
        <v>0</v>
      </c>
      <c r="P2358" s="21">
        <f>Data!J2374</f>
        <v>0</v>
      </c>
      <c r="Q2358">
        <f>Data!K2374</f>
        <v>0</v>
      </c>
      <c r="R2358">
        <f>Data!L2374</f>
        <v>0</v>
      </c>
      <c r="S2358">
        <f>Data!M2374</f>
        <v>0</v>
      </c>
      <c r="T2358">
        <f>Data!N2374</f>
        <v>0</v>
      </c>
      <c r="U2358">
        <f>Data!O2374</f>
        <v>0</v>
      </c>
      <c r="V2358" s="33">
        <f>Data!P2372</f>
        <v>0</v>
      </c>
    </row>
    <row r="2359" spans="7:22" x14ac:dyDescent="0.25">
      <c r="G2359" cm="1">
        <f t="array" aca="1" ref="G2359" ca="1">INDIRECT("Data!A" &amp; 2354)</f>
        <v>0</v>
      </c>
      <c r="H2359" s="21">
        <f>Data!B2371</f>
        <v>0</v>
      </c>
      <c r="I2359" s="21">
        <f>Data!C2371</f>
        <v>0</v>
      </c>
      <c r="J2359">
        <f>Data!D2371</f>
        <v>0</v>
      </c>
      <c r="K2359">
        <f>Data!E2371</f>
        <v>0</v>
      </c>
      <c r="L2359">
        <f>Data!F2371</f>
        <v>0</v>
      </c>
      <c r="M2359">
        <f>Data!G2371</f>
        <v>0</v>
      </c>
      <c r="N2359">
        <f>Data!H2371</f>
        <v>0</v>
      </c>
      <c r="O2359">
        <f>Data!I2371</f>
        <v>0</v>
      </c>
      <c r="P2359" s="21">
        <f>Data!J2375</f>
        <v>0</v>
      </c>
      <c r="Q2359">
        <f>Data!K2375</f>
        <v>0</v>
      </c>
      <c r="R2359">
        <f>Data!L2375</f>
        <v>0</v>
      </c>
      <c r="S2359">
        <f>Data!M2375</f>
        <v>0</v>
      </c>
      <c r="T2359">
        <f>Data!N2375</f>
        <v>0</v>
      </c>
      <c r="U2359">
        <f>Data!O2375</f>
        <v>0</v>
      </c>
      <c r="V2359" s="33">
        <f>Data!P2373</f>
        <v>0</v>
      </c>
    </row>
    <row r="2360" spans="7:22" x14ac:dyDescent="0.25">
      <c r="G2360" cm="1">
        <f t="array" aca="1" ref="G2360" ca="1">INDIRECT("Data!A" &amp; 2355)</f>
        <v>0</v>
      </c>
      <c r="H2360" s="21">
        <f>Data!B2372</f>
        <v>0</v>
      </c>
      <c r="I2360" s="21">
        <f>Data!C2372</f>
        <v>0</v>
      </c>
      <c r="J2360">
        <f>Data!D2372</f>
        <v>0</v>
      </c>
      <c r="K2360">
        <f>Data!E2372</f>
        <v>0</v>
      </c>
      <c r="L2360">
        <f>Data!F2372</f>
        <v>0</v>
      </c>
      <c r="M2360">
        <f>Data!G2372</f>
        <v>0</v>
      </c>
      <c r="N2360">
        <f>Data!H2372</f>
        <v>0</v>
      </c>
      <c r="O2360">
        <f>Data!I2372</f>
        <v>0</v>
      </c>
      <c r="P2360" s="21">
        <f>Data!J2376</f>
        <v>0</v>
      </c>
      <c r="Q2360">
        <f>Data!K2376</f>
        <v>0</v>
      </c>
      <c r="R2360">
        <f>Data!L2376</f>
        <v>0</v>
      </c>
      <c r="S2360">
        <f>Data!M2376</f>
        <v>0</v>
      </c>
      <c r="T2360">
        <f>Data!N2376</f>
        <v>0</v>
      </c>
      <c r="U2360">
        <f>Data!O2376</f>
        <v>0</v>
      </c>
      <c r="V2360" s="33">
        <f>Data!P2374</f>
        <v>0</v>
      </c>
    </row>
    <row r="2361" spans="7:22" x14ac:dyDescent="0.25">
      <c r="G2361" cm="1">
        <f t="array" aca="1" ref="G2361" ca="1">INDIRECT("Data!A" &amp; 2356)</f>
        <v>0</v>
      </c>
      <c r="H2361" s="21">
        <f>Data!B2373</f>
        <v>0</v>
      </c>
      <c r="I2361" s="21">
        <f>Data!C2373</f>
        <v>0</v>
      </c>
      <c r="J2361">
        <f>Data!D2373</f>
        <v>0</v>
      </c>
      <c r="K2361">
        <f>Data!E2373</f>
        <v>0</v>
      </c>
      <c r="L2361">
        <f>Data!F2373</f>
        <v>0</v>
      </c>
      <c r="M2361">
        <f>Data!G2373</f>
        <v>0</v>
      </c>
      <c r="N2361">
        <f>Data!H2373</f>
        <v>0</v>
      </c>
      <c r="O2361">
        <f>Data!I2373</f>
        <v>0</v>
      </c>
      <c r="P2361" s="21">
        <f>Data!J2377</f>
        <v>0</v>
      </c>
      <c r="Q2361">
        <f>Data!K2377</f>
        <v>0</v>
      </c>
      <c r="R2361">
        <f>Data!L2377</f>
        <v>0</v>
      </c>
      <c r="S2361">
        <f>Data!M2377</f>
        <v>0</v>
      </c>
      <c r="T2361">
        <f>Data!N2377</f>
        <v>0</v>
      </c>
      <c r="U2361">
        <f>Data!O2377</f>
        <v>0</v>
      </c>
      <c r="V2361" s="33">
        <f>Data!P2375</f>
        <v>0</v>
      </c>
    </row>
    <row r="2362" spans="7:22" x14ac:dyDescent="0.25">
      <c r="G2362" cm="1">
        <f t="array" aca="1" ref="G2362" ca="1">INDIRECT("Data!A" &amp; 2357)</f>
        <v>0</v>
      </c>
      <c r="H2362" s="21">
        <f>Data!B2374</f>
        <v>0</v>
      </c>
      <c r="I2362" s="21">
        <f>Data!C2374</f>
        <v>0</v>
      </c>
      <c r="J2362">
        <f>Data!D2374</f>
        <v>0</v>
      </c>
      <c r="K2362">
        <f>Data!E2374</f>
        <v>0</v>
      </c>
      <c r="L2362">
        <f>Data!F2374</f>
        <v>0</v>
      </c>
      <c r="M2362">
        <f>Data!G2374</f>
        <v>0</v>
      </c>
      <c r="N2362">
        <f>Data!H2374</f>
        <v>0</v>
      </c>
      <c r="O2362">
        <f>Data!I2374</f>
        <v>0</v>
      </c>
      <c r="P2362" s="21">
        <f>Data!J2378</f>
        <v>0</v>
      </c>
      <c r="Q2362">
        <f>Data!K2378</f>
        <v>0</v>
      </c>
      <c r="R2362">
        <f>Data!L2378</f>
        <v>0</v>
      </c>
      <c r="S2362">
        <f>Data!M2378</f>
        <v>0</v>
      </c>
      <c r="T2362">
        <f>Data!N2378</f>
        <v>0</v>
      </c>
      <c r="U2362">
        <f>Data!O2378</f>
        <v>0</v>
      </c>
      <c r="V2362" s="33">
        <f>Data!P2376</f>
        <v>0</v>
      </c>
    </row>
    <row r="2363" spans="7:22" x14ac:dyDescent="0.25">
      <c r="G2363" cm="1">
        <f t="array" aca="1" ref="G2363" ca="1">INDIRECT("Data!A" &amp; 2358)</f>
        <v>0</v>
      </c>
      <c r="H2363" s="21">
        <f>Data!B2375</f>
        <v>0</v>
      </c>
      <c r="I2363" s="21">
        <f>Data!C2375</f>
        <v>0</v>
      </c>
      <c r="J2363">
        <f>Data!D2375</f>
        <v>0</v>
      </c>
      <c r="K2363">
        <f>Data!E2375</f>
        <v>0</v>
      </c>
      <c r="L2363">
        <f>Data!F2375</f>
        <v>0</v>
      </c>
      <c r="M2363">
        <f>Data!G2375</f>
        <v>0</v>
      </c>
      <c r="N2363">
        <f>Data!H2375</f>
        <v>0</v>
      </c>
      <c r="O2363">
        <f>Data!I2375</f>
        <v>0</v>
      </c>
      <c r="P2363" s="21">
        <f>Data!J2379</f>
        <v>0</v>
      </c>
      <c r="Q2363">
        <f>Data!K2379</f>
        <v>0</v>
      </c>
      <c r="R2363">
        <f>Data!L2379</f>
        <v>0</v>
      </c>
      <c r="S2363">
        <f>Data!M2379</f>
        <v>0</v>
      </c>
      <c r="T2363">
        <f>Data!N2379</f>
        <v>0</v>
      </c>
      <c r="U2363">
        <f>Data!O2379</f>
        <v>0</v>
      </c>
      <c r="V2363" s="33">
        <f>Data!P2377</f>
        <v>0</v>
      </c>
    </row>
    <row r="2364" spans="7:22" x14ac:dyDescent="0.25">
      <c r="G2364" cm="1">
        <f t="array" aca="1" ref="G2364" ca="1">INDIRECT("Data!A" &amp; 2359)</f>
        <v>0</v>
      </c>
      <c r="H2364" s="21">
        <f>Data!B2376</f>
        <v>0</v>
      </c>
      <c r="I2364" s="21">
        <f>Data!C2376</f>
        <v>0</v>
      </c>
      <c r="J2364">
        <f>Data!D2376</f>
        <v>0</v>
      </c>
      <c r="K2364">
        <f>Data!E2376</f>
        <v>0</v>
      </c>
      <c r="L2364">
        <f>Data!F2376</f>
        <v>0</v>
      </c>
      <c r="M2364">
        <f>Data!G2376</f>
        <v>0</v>
      </c>
      <c r="N2364">
        <f>Data!H2376</f>
        <v>0</v>
      </c>
      <c r="O2364">
        <f>Data!I2376</f>
        <v>0</v>
      </c>
      <c r="P2364" s="21">
        <f>Data!J2380</f>
        <v>0</v>
      </c>
      <c r="Q2364">
        <f>Data!K2380</f>
        <v>0</v>
      </c>
      <c r="R2364">
        <f>Data!L2380</f>
        <v>0</v>
      </c>
      <c r="S2364">
        <f>Data!M2380</f>
        <v>0</v>
      </c>
      <c r="T2364">
        <f>Data!N2380</f>
        <v>0</v>
      </c>
      <c r="U2364">
        <f>Data!O2380</f>
        <v>0</v>
      </c>
      <c r="V2364" s="33">
        <f>Data!P2378</f>
        <v>0</v>
      </c>
    </row>
    <row r="2365" spans="7:22" x14ac:dyDescent="0.25">
      <c r="G2365" cm="1">
        <f t="array" aca="1" ref="G2365" ca="1">INDIRECT("Data!A" &amp; 2360)</f>
        <v>0</v>
      </c>
      <c r="H2365" s="21">
        <f>Data!B2377</f>
        <v>0</v>
      </c>
      <c r="I2365" s="21">
        <f>Data!C2377</f>
        <v>0</v>
      </c>
      <c r="J2365">
        <f>Data!D2377</f>
        <v>0</v>
      </c>
      <c r="K2365">
        <f>Data!E2377</f>
        <v>0</v>
      </c>
      <c r="L2365">
        <f>Data!F2377</f>
        <v>0</v>
      </c>
      <c r="M2365">
        <f>Data!G2377</f>
        <v>0</v>
      </c>
      <c r="N2365">
        <f>Data!H2377</f>
        <v>0</v>
      </c>
      <c r="O2365">
        <f>Data!I2377</f>
        <v>0</v>
      </c>
      <c r="P2365" s="21">
        <f>Data!J2381</f>
        <v>0</v>
      </c>
      <c r="Q2365">
        <f>Data!K2381</f>
        <v>0</v>
      </c>
      <c r="R2365">
        <f>Data!L2381</f>
        <v>0</v>
      </c>
      <c r="S2365">
        <f>Data!M2381</f>
        <v>0</v>
      </c>
      <c r="T2365">
        <f>Data!N2381</f>
        <v>0</v>
      </c>
      <c r="U2365">
        <f>Data!O2381</f>
        <v>0</v>
      </c>
      <c r="V2365" s="33">
        <f>Data!P2379</f>
        <v>0</v>
      </c>
    </row>
    <row r="2366" spans="7:22" x14ac:dyDescent="0.25">
      <c r="G2366" cm="1">
        <f t="array" aca="1" ref="G2366" ca="1">INDIRECT("Data!A" &amp; 2361)</f>
        <v>0</v>
      </c>
      <c r="H2366" s="21">
        <f>Data!B2378</f>
        <v>0</v>
      </c>
      <c r="I2366" s="21">
        <f>Data!C2378</f>
        <v>0</v>
      </c>
      <c r="J2366">
        <f>Data!D2378</f>
        <v>0</v>
      </c>
      <c r="K2366">
        <f>Data!E2378</f>
        <v>0</v>
      </c>
      <c r="L2366">
        <f>Data!F2378</f>
        <v>0</v>
      </c>
      <c r="M2366">
        <f>Data!G2378</f>
        <v>0</v>
      </c>
      <c r="N2366">
        <f>Data!H2378</f>
        <v>0</v>
      </c>
      <c r="O2366">
        <f>Data!I2378</f>
        <v>0</v>
      </c>
      <c r="P2366" s="21">
        <f>Data!J2382</f>
        <v>0</v>
      </c>
      <c r="Q2366">
        <f>Data!K2382</f>
        <v>0</v>
      </c>
      <c r="R2366">
        <f>Data!L2382</f>
        <v>0</v>
      </c>
      <c r="S2366">
        <f>Data!M2382</f>
        <v>0</v>
      </c>
      <c r="T2366">
        <f>Data!N2382</f>
        <v>0</v>
      </c>
      <c r="U2366">
        <f>Data!O2382</f>
        <v>0</v>
      </c>
      <c r="V2366" s="33">
        <f>Data!P2380</f>
        <v>0</v>
      </c>
    </row>
    <row r="2367" spans="7:22" x14ac:dyDescent="0.25">
      <c r="G2367" cm="1">
        <f t="array" aca="1" ref="G2367" ca="1">INDIRECT("Data!A" &amp; 2362)</f>
        <v>0</v>
      </c>
      <c r="H2367" s="21">
        <f>Data!B2379</f>
        <v>0</v>
      </c>
      <c r="I2367" s="21">
        <f>Data!C2379</f>
        <v>0</v>
      </c>
      <c r="J2367">
        <f>Data!D2379</f>
        <v>0</v>
      </c>
      <c r="K2367">
        <f>Data!E2379</f>
        <v>0</v>
      </c>
      <c r="L2367">
        <f>Data!F2379</f>
        <v>0</v>
      </c>
      <c r="M2367">
        <f>Data!G2379</f>
        <v>0</v>
      </c>
      <c r="N2367">
        <f>Data!H2379</f>
        <v>0</v>
      </c>
      <c r="O2367">
        <f>Data!I2379</f>
        <v>0</v>
      </c>
      <c r="P2367" s="21">
        <f>Data!J2383</f>
        <v>0</v>
      </c>
      <c r="Q2367">
        <f>Data!K2383</f>
        <v>0</v>
      </c>
      <c r="R2367">
        <f>Data!L2383</f>
        <v>0</v>
      </c>
      <c r="S2367">
        <f>Data!M2383</f>
        <v>0</v>
      </c>
      <c r="T2367">
        <f>Data!N2383</f>
        <v>0</v>
      </c>
      <c r="U2367">
        <f>Data!O2383</f>
        <v>0</v>
      </c>
      <c r="V2367" s="33">
        <f>Data!P2381</f>
        <v>0</v>
      </c>
    </row>
    <row r="2368" spans="7:22" x14ac:dyDescent="0.25">
      <c r="G2368" cm="1">
        <f t="array" aca="1" ref="G2368" ca="1">INDIRECT("Data!A" &amp; 2363)</f>
        <v>0</v>
      </c>
      <c r="H2368" s="21">
        <f>Data!B2380</f>
        <v>0</v>
      </c>
      <c r="I2368" s="21">
        <f>Data!C2380</f>
        <v>0</v>
      </c>
      <c r="J2368">
        <f>Data!D2380</f>
        <v>0</v>
      </c>
      <c r="K2368">
        <f>Data!E2380</f>
        <v>0</v>
      </c>
      <c r="L2368">
        <f>Data!F2380</f>
        <v>0</v>
      </c>
      <c r="M2368">
        <f>Data!G2380</f>
        <v>0</v>
      </c>
      <c r="N2368">
        <f>Data!H2380</f>
        <v>0</v>
      </c>
      <c r="O2368">
        <f>Data!I2380</f>
        <v>0</v>
      </c>
      <c r="P2368" s="21">
        <f>Data!J2384</f>
        <v>0</v>
      </c>
      <c r="Q2368">
        <f>Data!K2384</f>
        <v>0</v>
      </c>
      <c r="R2368">
        <f>Data!L2384</f>
        <v>0</v>
      </c>
      <c r="S2368">
        <f>Data!M2384</f>
        <v>0</v>
      </c>
      <c r="T2368">
        <f>Data!N2384</f>
        <v>0</v>
      </c>
      <c r="U2368">
        <f>Data!O2384</f>
        <v>0</v>
      </c>
      <c r="V2368" s="33">
        <f>Data!P2382</f>
        <v>0</v>
      </c>
    </row>
    <row r="2369" spans="7:22" x14ac:dyDescent="0.25">
      <c r="G2369" cm="1">
        <f t="array" aca="1" ref="G2369" ca="1">INDIRECT("Data!A" &amp; 2364)</f>
        <v>0</v>
      </c>
      <c r="H2369" s="21">
        <f>Data!B2381</f>
        <v>0</v>
      </c>
      <c r="I2369" s="21">
        <f>Data!C2381</f>
        <v>0</v>
      </c>
      <c r="J2369">
        <f>Data!D2381</f>
        <v>0</v>
      </c>
      <c r="K2369">
        <f>Data!E2381</f>
        <v>0</v>
      </c>
      <c r="L2369">
        <f>Data!F2381</f>
        <v>0</v>
      </c>
      <c r="M2369">
        <f>Data!G2381</f>
        <v>0</v>
      </c>
      <c r="N2369">
        <f>Data!H2381</f>
        <v>0</v>
      </c>
      <c r="O2369">
        <f>Data!I2381</f>
        <v>0</v>
      </c>
      <c r="P2369" s="21">
        <f>Data!J2385</f>
        <v>0</v>
      </c>
      <c r="Q2369">
        <f>Data!K2385</f>
        <v>0</v>
      </c>
      <c r="R2369">
        <f>Data!L2385</f>
        <v>0</v>
      </c>
      <c r="S2369">
        <f>Data!M2385</f>
        <v>0</v>
      </c>
      <c r="T2369">
        <f>Data!N2385</f>
        <v>0</v>
      </c>
      <c r="U2369">
        <f>Data!O2385</f>
        <v>0</v>
      </c>
      <c r="V2369" s="33">
        <f>Data!P2383</f>
        <v>0</v>
      </c>
    </row>
    <row r="2370" spans="7:22" x14ac:dyDescent="0.25">
      <c r="G2370" cm="1">
        <f t="array" aca="1" ref="G2370" ca="1">INDIRECT("Data!A" &amp; 2365)</f>
        <v>0</v>
      </c>
      <c r="H2370" s="21">
        <f>Data!B2382</f>
        <v>0</v>
      </c>
      <c r="I2370" s="21">
        <f>Data!C2382</f>
        <v>0</v>
      </c>
      <c r="J2370">
        <f>Data!D2382</f>
        <v>0</v>
      </c>
      <c r="K2370">
        <f>Data!E2382</f>
        <v>0</v>
      </c>
      <c r="L2370">
        <f>Data!F2382</f>
        <v>0</v>
      </c>
      <c r="M2370">
        <f>Data!G2382</f>
        <v>0</v>
      </c>
      <c r="N2370">
        <f>Data!H2382</f>
        <v>0</v>
      </c>
      <c r="O2370">
        <f>Data!I2382</f>
        <v>0</v>
      </c>
      <c r="P2370" s="21">
        <f>Data!J2386</f>
        <v>0</v>
      </c>
      <c r="Q2370">
        <f>Data!K2386</f>
        <v>0</v>
      </c>
      <c r="R2370">
        <f>Data!L2386</f>
        <v>0</v>
      </c>
      <c r="S2370">
        <f>Data!M2386</f>
        <v>0</v>
      </c>
      <c r="T2370">
        <f>Data!N2386</f>
        <v>0</v>
      </c>
      <c r="U2370">
        <f>Data!O2386</f>
        <v>0</v>
      </c>
      <c r="V2370" s="33">
        <f>Data!P2384</f>
        <v>0</v>
      </c>
    </row>
    <row r="2371" spans="7:22" x14ac:dyDescent="0.25">
      <c r="G2371" cm="1">
        <f t="array" aca="1" ref="G2371" ca="1">INDIRECT("Data!A" &amp; 2366)</f>
        <v>0</v>
      </c>
      <c r="H2371" s="21">
        <f>Data!B2383</f>
        <v>0</v>
      </c>
      <c r="I2371" s="21">
        <f>Data!C2383</f>
        <v>0</v>
      </c>
      <c r="J2371">
        <f>Data!D2383</f>
        <v>0</v>
      </c>
      <c r="K2371">
        <f>Data!E2383</f>
        <v>0</v>
      </c>
      <c r="L2371">
        <f>Data!F2383</f>
        <v>0</v>
      </c>
      <c r="M2371">
        <f>Data!G2383</f>
        <v>0</v>
      </c>
      <c r="N2371">
        <f>Data!H2383</f>
        <v>0</v>
      </c>
      <c r="O2371">
        <f>Data!I2383</f>
        <v>0</v>
      </c>
      <c r="P2371" s="21">
        <f>Data!J2387</f>
        <v>0</v>
      </c>
      <c r="Q2371">
        <f>Data!K2387</f>
        <v>0</v>
      </c>
      <c r="R2371">
        <f>Data!L2387</f>
        <v>0</v>
      </c>
      <c r="S2371">
        <f>Data!M2387</f>
        <v>0</v>
      </c>
      <c r="T2371">
        <f>Data!N2387</f>
        <v>0</v>
      </c>
      <c r="U2371">
        <f>Data!O2387</f>
        <v>0</v>
      </c>
      <c r="V2371" s="33">
        <f>Data!P2385</f>
        <v>0</v>
      </c>
    </row>
    <row r="2372" spans="7:22" x14ac:dyDescent="0.25">
      <c r="G2372" cm="1">
        <f t="array" aca="1" ref="G2372" ca="1">INDIRECT("Data!A" &amp; 2367)</f>
        <v>0</v>
      </c>
      <c r="H2372" s="21">
        <f>Data!B2384</f>
        <v>0</v>
      </c>
      <c r="I2372" s="21">
        <f>Data!C2384</f>
        <v>0</v>
      </c>
      <c r="J2372">
        <f>Data!D2384</f>
        <v>0</v>
      </c>
      <c r="K2372">
        <f>Data!E2384</f>
        <v>0</v>
      </c>
      <c r="L2372">
        <f>Data!F2384</f>
        <v>0</v>
      </c>
      <c r="M2372">
        <f>Data!G2384</f>
        <v>0</v>
      </c>
      <c r="N2372">
        <f>Data!H2384</f>
        <v>0</v>
      </c>
      <c r="O2372">
        <f>Data!I2384</f>
        <v>0</v>
      </c>
      <c r="P2372" s="21">
        <f>Data!J2388</f>
        <v>0</v>
      </c>
      <c r="Q2372">
        <f>Data!K2388</f>
        <v>0</v>
      </c>
      <c r="R2372">
        <f>Data!L2388</f>
        <v>0</v>
      </c>
      <c r="S2372">
        <f>Data!M2388</f>
        <v>0</v>
      </c>
      <c r="T2372">
        <f>Data!N2388</f>
        <v>0</v>
      </c>
      <c r="U2372">
        <f>Data!O2388</f>
        <v>0</v>
      </c>
      <c r="V2372" s="33">
        <f>Data!P2386</f>
        <v>0</v>
      </c>
    </row>
    <row r="2373" spans="7:22" x14ac:dyDescent="0.25">
      <c r="G2373" cm="1">
        <f t="array" aca="1" ref="G2373" ca="1">INDIRECT("Data!A" &amp; 2368)</f>
        <v>0</v>
      </c>
      <c r="H2373" s="21">
        <f>Data!B2385</f>
        <v>0</v>
      </c>
      <c r="I2373" s="21">
        <f>Data!C2385</f>
        <v>0</v>
      </c>
      <c r="J2373">
        <f>Data!D2385</f>
        <v>0</v>
      </c>
      <c r="K2373">
        <f>Data!E2385</f>
        <v>0</v>
      </c>
      <c r="L2373">
        <f>Data!F2385</f>
        <v>0</v>
      </c>
      <c r="M2373">
        <f>Data!G2385</f>
        <v>0</v>
      </c>
      <c r="N2373">
        <f>Data!H2385</f>
        <v>0</v>
      </c>
      <c r="O2373">
        <f>Data!I2385</f>
        <v>0</v>
      </c>
      <c r="P2373" s="21">
        <f>Data!J2389</f>
        <v>0</v>
      </c>
      <c r="Q2373">
        <f>Data!K2389</f>
        <v>0</v>
      </c>
      <c r="R2373">
        <f>Data!L2389</f>
        <v>0</v>
      </c>
      <c r="S2373">
        <f>Data!M2389</f>
        <v>0</v>
      </c>
      <c r="T2373">
        <f>Data!N2389</f>
        <v>0</v>
      </c>
      <c r="U2373">
        <f>Data!O2389</f>
        <v>0</v>
      </c>
      <c r="V2373" s="33">
        <f>Data!P2387</f>
        <v>0</v>
      </c>
    </row>
    <row r="2374" spans="7:22" x14ac:dyDescent="0.25">
      <c r="G2374" cm="1">
        <f t="array" aca="1" ref="G2374" ca="1">INDIRECT("Data!A" &amp; 2369)</f>
        <v>0</v>
      </c>
      <c r="H2374" s="21">
        <f>Data!B2386</f>
        <v>0</v>
      </c>
      <c r="I2374" s="21">
        <f>Data!C2386</f>
        <v>0</v>
      </c>
      <c r="J2374">
        <f>Data!D2386</f>
        <v>0</v>
      </c>
      <c r="K2374">
        <f>Data!E2386</f>
        <v>0</v>
      </c>
      <c r="L2374">
        <f>Data!F2386</f>
        <v>0</v>
      </c>
      <c r="M2374">
        <f>Data!G2386</f>
        <v>0</v>
      </c>
      <c r="N2374">
        <f>Data!H2386</f>
        <v>0</v>
      </c>
      <c r="O2374">
        <f>Data!I2386</f>
        <v>0</v>
      </c>
      <c r="P2374" s="21">
        <f>Data!J2390</f>
        <v>0</v>
      </c>
      <c r="Q2374">
        <f>Data!K2390</f>
        <v>0</v>
      </c>
      <c r="R2374">
        <f>Data!L2390</f>
        <v>0</v>
      </c>
      <c r="S2374">
        <f>Data!M2390</f>
        <v>0</v>
      </c>
      <c r="T2374">
        <f>Data!N2390</f>
        <v>0</v>
      </c>
      <c r="U2374">
        <f>Data!O2390</f>
        <v>0</v>
      </c>
      <c r="V2374" s="33">
        <f>Data!P2388</f>
        <v>0</v>
      </c>
    </row>
    <row r="2375" spans="7:22" x14ac:dyDescent="0.25">
      <c r="G2375" cm="1">
        <f t="array" aca="1" ref="G2375" ca="1">INDIRECT("Data!A" &amp; 2370)</f>
        <v>0</v>
      </c>
      <c r="H2375" s="21">
        <f>Data!B2387</f>
        <v>0</v>
      </c>
      <c r="I2375" s="21">
        <f>Data!C2387</f>
        <v>0</v>
      </c>
      <c r="J2375">
        <f>Data!D2387</f>
        <v>0</v>
      </c>
      <c r="K2375">
        <f>Data!E2387</f>
        <v>0</v>
      </c>
      <c r="L2375">
        <f>Data!F2387</f>
        <v>0</v>
      </c>
      <c r="M2375">
        <f>Data!G2387</f>
        <v>0</v>
      </c>
      <c r="N2375">
        <f>Data!H2387</f>
        <v>0</v>
      </c>
      <c r="O2375">
        <f>Data!I2387</f>
        <v>0</v>
      </c>
      <c r="P2375" s="21">
        <f>Data!J2391</f>
        <v>0</v>
      </c>
      <c r="Q2375">
        <f>Data!K2391</f>
        <v>0</v>
      </c>
      <c r="R2375">
        <f>Data!L2391</f>
        <v>0</v>
      </c>
      <c r="S2375">
        <f>Data!M2391</f>
        <v>0</v>
      </c>
      <c r="T2375">
        <f>Data!N2391</f>
        <v>0</v>
      </c>
      <c r="U2375">
        <f>Data!O2391</f>
        <v>0</v>
      </c>
      <c r="V2375" s="33">
        <f>Data!P2389</f>
        <v>0</v>
      </c>
    </row>
    <row r="2376" spans="7:22" x14ac:dyDescent="0.25">
      <c r="G2376" cm="1">
        <f t="array" aca="1" ref="G2376" ca="1">INDIRECT("Data!A" &amp; 2371)</f>
        <v>0</v>
      </c>
      <c r="H2376" s="21">
        <f>Data!B2388</f>
        <v>0</v>
      </c>
      <c r="I2376" s="21">
        <f>Data!C2388</f>
        <v>0</v>
      </c>
      <c r="J2376">
        <f>Data!D2388</f>
        <v>0</v>
      </c>
      <c r="K2376">
        <f>Data!E2388</f>
        <v>0</v>
      </c>
      <c r="L2376">
        <f>Data!F2388</f>
        <v>0</v>
      </c>
      <c r="M2376">
        <f>Data!G2388</f>
        <v>0</v>
      </c>
      <c r="N2376">
        <f>Data!H2388</f>
        <v>0</v>
      </c>
      <c r="O2376">
        <f>Data!I2388</f>
        <v>0</v>
      </c>
      <c r="P2376" s="21">
        <f>Data!J2392</f>
        <v>0</v>
      </c>
      <c r="Q2376">
        <f>Data!K2392</f>
        <v>0</v>
      </c>
      <c r="R2376">
        <f>Data!L2392</f>
        <v>0</v>
      </c>
      <c r="S2376">
        <f>Data!M2392</f>
        <v>0</v>
      </c>
      <c r="T2376">
        <f>Data!N2392</f>
        <v>0</v>
      </c>
      <c r="U2376">
        <f>Data!O2392</f>
        <v>0</v>
      </c>
      <c r="V2376" s="33">
        <f>Data!P2390</f>
        <v>0</v>
      </c>
    </row>
    <row r="2377" spans="7:22" x14ac:dyDescent="0.25">
      <c r="G2377" cm="1">
        <f t="array" aca="1" ref="G2377" ca="1">INDIRECT("Data!A" &amp; 2372)</f>
        <v>0</v>
      </c>
      <c r="H2377" s="21">
        <f>Data!B2389</f>
        <v>0</v>
      </c>
      <c r="I2377" s="21">
        <f>Data!C2389</f>
        <v>0</v>
      </c>
      <c r="J2377">
        <f>Data!D2389</f>
        <v>0</v>
      </c>
      <c r="K2377">
        <f>Data!E2389</f>
        <v>0</v>
      </c>
      <c r="L2377">
        <f>Data!F2389</f>
        <v>0</v>
      </c>
      <c r="M2377">
        <f>Data!G2389</f>
        <v>0</v>
      </c>
      <c r="N2377">
        <f>Data!H2389</f>
        <v>0</v>
      </c>
      <c r="O2377">
        <f>Data!I2389</f>
        <v>0</v>
      </c>
      <c r="P2377" s="21">
        <f>Data!J2393</f>
        <v>0</v>
      </c>
      <c r="Q2377">
        <f>Data!K2393</f>
        <v>0</v>
      </c>
      <c r="R2377">
        <f>Data!L2393</f>
        <v>0</v>
      </c>
      <c r="S2377">
        <f>Data!M2393</f>
        <v>0</v>
      </c>
      <c r="T2377">
        <f>Data!N2393</f>
        <v>0</v>
      </c>
      <c r="U2377">
        <f>Data!O2393</f>
        <v>0</v>
      </c>
      <c r="V2377" s="33">
        <f>Data!P2391</f>
        <v>0</v>
      </c>
    </row>
    <row r="2378" spans="7:22" x14ac:dyDescent="0.25">
      <c r="G2378" cm="1">
        <f t="array" aca="1" ref="G2378" ca="1">INDIRECT("Data!A" &amp; 2373)</f>
        <v>0</v>
      </c>
      <c r="H2378" s="21">
        <f>Data!B2390</f>
        <v>0</v>
      </c>
      <c r="I2378" s="21">
        <f>Data!C2390</f>
        <v>0</v>
      </c>
      <c r="J2378">
        <f>Data!D2390</f>
        <v>0</v>
      </c>
      <c r="K2378">
        <f>Data!E2390</f>
        <v>0</v>
      </c>
      <c r="L2378">
        <f>Data!F2390</f>
        <v>0</v>
      </c>
      <c r="M2378">
        <f>Data!G2390</f>
        <v>0</v>
      </c>
      <c r="N2378">
        <f>Data!H2390</f>
        <v>0</v>
      </c>
      <c r="O2378">
        <f>Data!I2390</f>
        <v>0</v>
      </c>
      <c r="P2378" s="21">
        <f>Data!J2394</f>
        <v>0</v>
      </c>
      <c r="Q2378">
        <f>Data!K2394</f>
        <v>0</v>
      </c>
      <c r="R2378">
        <f>Data!L2394</f>
        <v>0</v>
      </c>
      <c r="S2378">
        <f>Data!M2394</f>
        <v>0</v>
      </c>
      <c r="T2378">
        <f>Data!N2394</f>
        <v>0</v>
      </c>
      <c r="U2378">
        <f>Data!O2394</f>
        <v>0</v>
      </c>
      <c r="V2378" s="33">
        <f>Data!P2392</f>
        <v>0</v>
      </c>
    </row>
    <row r="2379" spans="7:22" x14ac:dyDescent="0.25">
      <c r="G2379" cm="1">
        <f t="array" aca="1" ref="G2379" ca="1">INDIRECT("Data!A" &amp; 2374)</f>
        <v>0</v>
      </c>
      <c r="H2379" s="21">
        <f>Data!B2391</f>
        <v>0</v>
      </c>
      <c r="I2379" s="21">
        <f>Data!C2391</f>
        <v>0</v>
      </c>
      <c r="J2379">
        <f>Data!D2391</f>
        <v>0</v>
      </c>
      <c r="K2379">
        <f>Data!E2391</f>
        <v>0</v>
      </c>
      <c r="L2379">
        <f>Data!F2391</f>
        <v>0</v>
      </c>
      <c r="M2379">
        <f>Data!G2391</f>
        <v>0</v>
      </c>
      <c r="N2379">
        <f>Data!H2391</f>
        <v>0</v>
      </c>
      <c r="O2379">
        <f>Data!I2391</f>
        <v>0</v>
      </c>
      <c r="P2379" s="21">
        <f>Data!J2395</f>
        <v>0</v>
      </c>
      <c r="Q2379">
        <f>Data!K2395</f>
        <v>0</v>
      </c>
      <c r="R2379">
        <f>Data!L2395</f>
        <v>0</v>
      </c>
      <c r="S2379">
        <f>Data!M2395</f>
        <v>0</v>
      </c>
      <c r="T2379">
        <f>Data!N2395</f>
        <v>0</v>
      </c>
      <c r="U2379">
        <f>Data!O2395</f>
        <v>0</v>
      </c>
      <c r="V2379" s="33">
        <f>Data!P2393</f>
        <v>0</v>
      </c>
    </row>
    <row r="2380" spans="7:22" x14ac:dyDescent="0.25">
      <c r="G2380" cm="1">
        <f t="array" aca="1" ref="G2380" ca="1">INDIRECT("Data!A" &amp; 2375)</f>
        <v>0</v>
      </c>
      <c r="H2380" s="21">
        <f>Data!B2392</f>
        <v>0</v>
      </c>
      <c r="I2380" s="21">
        <f>Data!C2392</f>
        <v>0</v>
      </c>
      <c r="J2380">
        <f>Data!D2392</f>
        <v>0</v>
      </c>
      <c r="K2380">
        <f>Data!E2392</f>
        <v>0</v>
      </c>
      <c r="L2380">
        <f>Data!F2392</f>
        <v>0</v>
      </c>
      <c r="M2380">
        <f>Data!G2392</f>
        <v>0</v>
      </c>
      <c r="N2380">
        <f>Data!H2392</f>
        <v>0</v>
      </c>
      <c r="O2380">
        <f>Data!I2392</f>
        <v>0</v>
      </c>
      <c r="P2380" s="21">
        <f>Data!J2396</f>
        <v>0</v>
      </c>
      <c r="Q2380">
        <f>Data!K2396</f>
        <v>0</v>
      </c>
      <c r="R2380">
        <f>Data!L2396</f>
        <v>0</v>
      </c>
      <c r="S2380">
        <f>Data!M2396</f>
        <v>0</v>
      </c>
      <c r="T2380">
        <f>Data!N2396</f>
        <v>0</v>
      </c>
      <c r="U2380">
        <f>Data!O2396</f>
        <v>0</v>
      </c>
      <c r="V2380" s="33">
        <f>Data!P2394</f>
        <v>0</v>
      </c>
    </row>
    <row r="2381" spans="7:22" x14ac:dyDescent="0.25">
      <c r="G2381" cm="1">
        <f t="array" aca="1" ref="G2381" ca="1">INDIRECT("Data!A" &amp; 2376)</f>
        <v>0</v>
      </c>
      <c r="H2381" s="21">
        <f>Data!B2393</f>
        <v>0</v>
      </c>
      <c r="I2381" s="21">
        <f>Data!C2393</f>
        <v>0</v>
      </c>
      <c r="J2381">
        <f>Data!D2393</f>
        <v>0</v>
      </c>
      <c r="K2381">
        <f>Data!E2393</f>
        <v>0</v>
      </c>
      <c r="L2381">
        <f>Data!F2393</f>
        <v>0</v>
      </c>
      <c r="M2381">
        <f>Data!G2393</f>
        <v>0</v>
      </c>
      <c r="N2381">
        <f>Data!H2393</f>
        <v>0</v>
      </c>
      <c r="O2381">
        <f>Data!I2393</f>
        <v>0</v>
      </c>
      <c r="P2381" s="21">
        <f>Data!J2397</f>
        <v>0</v>
      </c>
      <c r="Q2381">
        <f>Data!K2397</f>
        <v>0</v>
      </c>
      <c r="R2381">
        <f>Data!L2397</f>
        <v>0</v>
      </c>
      <c r="S2381">
        <f>Data!M2397</f>
        <v>0</v>
      </c>
      <c r="T2381">
        <f>Data!N2397</f>
        <v>0</v>
      </c>
      <c r="U2381">
        <f>Data!O2397</f>
        <v>0</v>
      </c>
      <c r="V2381" s="33">
        <f>Data!P2395</f>
        <v>0</v>
      </c>
    </row>
    <row r="2382" spans="7:22" x14ac:dyDescent="0.25">
      <c r="G2382" cm="1">
        <f t="array" aca="1" ref="G2382" ca="1">INDIRECT("Data!A" &amp; 2377)</f>
        <v>0</v>
      </c>
      <c r="H2382" s="21">
        <f>Data!B2394</f>
        <v>0</v>
      </c>
      <c r="I2382" s="21">
        <f>Data!C2394</f>
        <v>0</v>
      </c>
      <c r="J2382">
        <f>Data!D2394</f>
        <v>0</v>
      </c>
      <c r="K2382">
        <f>Data!E2394</f>
        <v>0</v>
      </c>
      <c r="L2382">
        <f>Data!F2394</f>
        <v>0</v>
      </c>
      <c r="M2382">
        <f>Data!G2394</f>
        <v>0</v>
      </c>
      <c r="N2382">
        <f>Data!H2394</f>
        <v>0</v>
      </c>
      <c r="O2382">
        <f>Data!I2394</f>
        <v>0</v>
      </c>
      <c r="P2382" s="21">
        <f>Data!J2398</f>
        <v>0</v>
      </c>
      <c r="Q2382">
        <f>Data!K2398</f>
        <v>0</v>
      </c>
      <c r="R2382">
        <f>Data!L2398</f>
        <v>0</v>
      </c>
      <c r="S2382">
        <f>Data!M2398</f>
        <v>0</v>
      </c>
      <c r="T2382">
        <f>Data!N2398</f>
        <v>0</v>
      </c>
      <c r="U2382">
        <f>Data!O2398</f>
        <v>0</v>
      </c>
      <c r="V2382" s="33">
        <f>Data!P2396</f>
        <v>0</v>
      </c>
    </row>
    <row r="2383" spans="7:22" x14ac:dyDescent="0.25">
      <c r="G2383" cm="1">
        <f t="array" aca="1" ref="G2383" ca="1">INDIRECT("Data!A" &amp; 2378)</f>
        <v>0</v>
      </c>
      <c r="H2383" s="21">
        <f>Data!B2395</f>
        <v>0</v>
      </c>
      <c r="I2383" s="21">
        <f>Data!C2395</f>
        <v>0</v>
      </c>
      <c r="J2383">
        <f>Data!D2395</f>
        <v>0</v>
      </c>
      <c r="K2383">
        <f>Data!E2395</f>
        <v>0</v>
      </c>
      <c r="L2383">
        <f>Data!F2395</f>
        <v>0</v>
      </c>
      <c r="M2383">
        <f>Data!G2395</f>
        <v>0</v>
      </c>
      <c r="N2383">
        <f>Data!H2395</f>
        <v>0</v>
      </c>
      <c r="O2383">
        <f>Data!I2395</f>
        <v>0</v>
      </c>
      <c r="P2383" s="21">
        <f>Data!J2399</f>
        <v>0</v>
      </c>
      <c r="Q2383">
        <f>Data!K2399</f>
        <v>0</v>
      </c>
      <c r="R2383">
        <f>Data!L2399</f>
        <v>0</v>
      </c>
      <c r="S2383">
        <f>Data!M2399</f>
        <v>0</v>
      </c>
      <c r="T2383">
        <f>Data!N2399</f>
        <v>0</v>
      </c>
      <c r="U2383">
        <f>Data!O2399</f>
        <v>0</v>
      </c>
      <c r="V2383" s="33">
        <f>Data!P2397</f>
        <v>0</v>
      </c>
    </row>
    <row r="2384" spans="7:22" x14ac:dyDescent="0.25">
      <c r="G2384" cm="1">
        <f t="array" aca="1" ref="G2384" ca="1">INDIRECT("Data!A" &amp; 2379)</f>
        <v>0</v>
      </c>
      <c r="H2384" s="21">
        <f>Data!B2396</f>
        <v>0</v>
      </c>
      <c r="I2384" s="21">
        <f>Data!C2396</f>
        <v>0</v>
      </c>
      <c r="J2384">
        <f>Data!D2396</f>
        <v>0</v>
      </c>
      <c r="K2384">
        <f>Data!E2396</f>
        <v>0</v>
      </c>
      <c r="L2384">
        <f>Data!F2396</f>
        <v>0</v>
      </c>
      <c r="M2384">
        <f>Data!G2396</f>
        <v>0</v>
      </c>
      <c r="N2384">
        <f>Data!H2396</f>
        <v>0</v>
      </c>
      <c r="O2384">
        <f>Data!I2396</f>
        <v>0</v>
      </c>
      <c r="P2384" s="21">
        <f>Data!J2400</f>
        <v>0</v>
      </c>
      <c r="Q2384">
        <f>Data!K2400</f>
        <v>0</v>
      </c>
      <c r="R2384">
        <f>Data!L2400</f>
        <v>0</v>
      </c>
      <c r="S2384">
        <f>Data!M2400</f>
        <v>0</v>
      </c>
      <c r="T2384">
        <f>Data!N2400</f>
        <v>0</v>
      </c>
      <c r="U2384">
        <f>Data!O2400</f>
        <v>0</v>
      </c>
      <c r="V2384" s="33">
        <f>Data!P2398</f>
        <v>0</v>
      </c>
    </row>
    <row r="2385" spans="7:22" x14ac:dyDescent="0.25">
      <c r="G2385" cm="1">
        <f t="array" aca="1" ref="G2385" ca="1">INDIRECT("Data!A" &amp; 2380)</f>
        <v>0</v>
      </c>
      <c r="H2385" s="21">
        <f>Data!B2397</f>
        <v>0</v>
      </c>
      <c r="I2385" s="21">
        <f>Data!C2397</f>
        <v>0</v>
      </c>
      <c r="J2385">
        <f>Data!D2397</f>
        <v>0</v>
      </c>
      <c r="K2385">
        <f>Data!E2397</f>
        <v>0</v>
      </c>
      <c r="L2385">
        <f>Data!F2397</f>
        <v>0</v>
      </c>
      <c r="M2385">
        <f>Data!G2397</f>
        <v>0</v>
      </c>
      <c r="N2385">
        <f>Data!H2397</f>
        <v>0</v>
      </c>
      <c r="O2385">
        <f>Data!I2397</f>
        <v>0</v>
      </c>
      <c r="P2385" s="21">
        <f>Data!J2401</f>
        <v>0</v>
      </c>
      <c r="Q2385">
        <f>Data!K2401</f>
        <v>0</v>
      </c>
      <c r="R2385">
        <f>Data!L2401</f>
        <v>0</v>
      </c>
      <c r="S2385">
        <f>Data!M2401</f>
        <v>0</v>
      </c>
      <c r="T2385">
        <f>Data!N2401</f>
        <v>0</v>
      </c>
      <c r="U2385">
        <f>Data!O2401</f>
        <v>0</v>
      </c>
      <c r="V2385" s="33">
        <f>Data!P2399</f>
        <v>0</v>
      </c>
    </row>
    <row r="2386" spans="7:22" x14ac:dyDescent="0.25">
      <c r="G2386" cm="1">
        <f t="array" aca="1" ref="G2386" ca="1">INDIRECT("Data!A" &amp; 2381)</f>
        <v>0</v>
      </c>
      <c r="H2386" s="21">
        <f>Data!B2398</f>
        <v>0</v>
      </c>
      <c r="I2386" s="21">
        <f>Data!C2398</f>
        <v>0</v>
      </c>
      <c r="J2386">
        <f>Data!D2398</f>
        <v>0</v>
      </c>
      <c r="K2386">
        <f>Data!E2398</f>
        <v>0</v>
      </c>
      <c r="L2386">
        <f>Data!F2398</f>
        <v>0</v>
      </c>
      <c r="M2386">
        <f>Data!G2398</f>
        <v>0</v>
      </c>
      <c r="N2386">
        <f>Data!H2398</f>
        <v>0</v>
      </c>
      <c r="O2386">
        <f>Data!I2398</f>
        <v>0</v>
      </c>
      <c r="P2386" s="21">
        <f>Data!J2402</f>
        <v>0</v>
      </c>
      <c r="Q2386">
        <f>Data!K2402</f>
        <v>0</v>
      </c>
      <c r="R2386">
        <f>Data!L2402</f>
        <v>0</v>
      </c>
      <c r="S2386">
        <f>Data!M2402</f>
        <v>0</v>
      </c>
      <c r="T2386">
        <f>Data!N2402</f>
        <v>0</v>
      </c>
      <c r="U2386">
        <f>Data!O2402</f>
        <v>0</v>
      </c>
      <c r="V2386" s="33">
        <f>Data!P2400</f>
        <v>0</v>
      </c>
    </row>
    <row r="2387" spans="7:22" x14ac:dyDescent="0.25">
      <c r="G2387" cm="1">
        <f t="array" aca="1" ref="G2387" ca="1">INDIRECT("Data!A" &amp; 2382)</f>
        <v>0</v>
      </c>
      <c r="H2387" s="21">
        <f>Data!B2399</f>
        <v>0</v>
      </c>
      <c r="I2387" s="21">
        <f>Data!C2399</f>
        <v>0</v>
      </c>
      <c r="J2387">
        <f>Data!D2399</f>
        <v>0</v>
      </c>
      <c r="K2387">
        <f>Data!E2399</f>
        <v>0</v>
      </c>
      <c r="L2387">
        <f>Data!F2399</f>
        <v>0</v>
      </c>
      <c r="M2387">
        <f>Data!G2399</f>
        <v>0</v>
      </c>
      <c r="N2387">
        <f>Data!H2399</f>
        <v>0</v>
      </c>
      <c r="O2387">
        <f>Data!I2399</f>
        <v>0</v>
      </c>
      <c r="P2387" s="21">
        <f>Data!J2403</f>
        <v>0</v>
      </c>
      <c r="Q2387">
        <f>Data!K2403</f>
        <v>0</v>
      </c>
      <c r="R2387">
        <f>Data!L2403</f>
        <v>0</v>
      </c>
      <c r="S2387">
        <f>Data!M2403</f>
        <v>0</v>
      </c>
      <c r="T2387">
        <f>Data!N2403</f>
        <v>0</v>
      </c>
      <c r="U2387">
        <f>Data!O2403</f>
        <v>0</v>
      </c>
      <c r="V2387" s="33">
        <f>Data!P2401</f>
        <v>0</v>
      </c>
    </row>
    <row r="2388" spans="7:22" x14ac:dyDescent="0.25">
      <c r="G2388" cm="1">
        <f t="array" aca="1" ref="G2388" ca="1">INDIRECT("Data!A" &amp; 2383)</f>
        <v>0</v>
      </c>
      <c r="H2388" s="21">
        <f>Data!B2400</f>
        <v>0</v>
      </c>
      <c r="I2388" s="21">
        <f>Data!C2400</f>
        <v>0</v>
      </c>
      <c r="J2388">
        <f>Data!D2400</f>
        <v>0</v>
      </c>
      <c r="K2388">
        <f>Data!E2400</f>
        <v>0</v>
      </c>
      <c r="L2388">
        <f>Data!F2400</f>
        <v>0</v>
      </c>
      <c r="M2388">
        <f>Data!G2400</f>
        <v>0</v>
      </c>
      <c r="N2388">
        <f>Data!H2400</f>
        <v>0</v>
      </c>
      <c r="O2388">
        <f>Data!I2400</f>
        <v>0</v>
      </c>
      <c r="P2388" s="21">
        <f>Data!J2404</f>
        <v>0</v>
      </c>
      <c r="Q2388">
        <f>Data!K2404</f>
        <v>0</v>
      </c>
      <c r="R2388">
        <f>Data!L2404</f>
        <v>0</v>
      </c>
      <c r="S2388">
        <f>Data!M2404</f>
        <v>0</v>
      </c>
      <c r="T2388">
        <f>Data!N2404</f>
        <v>0</v>
      </c>
      <c r="U2388">
        <f>Data!O2404</f>
        <v>0</v>
      </c>
      <c r="V2388" s="33">
        <f>Data!P2402</f>
        <v>0</v>
      </c>
    </row>
    <row r="2389" spans="7:22" x14ac:dyDescent="0.25">
      <c r="G2389" cm="1">
        <f t="array" aca="1" ref="G2389" ca="1">INDIRECT("Data!A" &amp; 2384)</f>
        <v>0</v>
      </c>
      <c r="H2389" s="21">
        <f>Data!B2401</f>
        <v>0</v>
      </c>
      <c r="I2389" s="21">
        <f>Data!C2401</f>
        <v>0</v>
      </c>
      <c r="J2389">
        <f>Data!D2401</f>
        <v>0</v>
      </c>
      <c r="K2389">
        <f>Data!E2401</f>
        <v>0</v>
      </c>
      <c r="L2389">
        <f>Data!F2401</f>
        <v>0</v>
      </c>
      <c r="M2389">
        <f>Data!G2401</f>
        <v>0</v>
      </c>
      <c r="N2389">
        <f>Data!H2401</f>
        <v>0</v>
      </c>
      <c r="O2389">
        <f>Data!I2401</f>
        <v>0</v>
      </c>
      <c r="P2389" s="21">
        <f>Data!J2405</f>
        <v>0</v>
      </c>
      <c r="Q2389">
        <f>Data!K2405</f>
        <v>0</v>
      </c>
      <c r="R2389">
        <f>Data!L2405</f>
        <v>0</v>
      </c>
      <c r="S2389">
        <f>Data!M2405</f>
        <v>0</v>
      </c>
      <c r="T2389">
        <f>Data!N2405</f>
        <v>0</v>
      </c>
      <c r="U2389">
        <f>Data!O2405</f>
        <v>0</v>
      </c>
      <c r="V2389" s="33">
        <f>Data!P2403</f>
        <v>0</v>
      </c>
    </row>
    <row r="2390" spans="7:22" x14ac:dyDescent="0.25">
      <c r="G2390" cm="1">
        <f t="array" aca="1" ref="G2390" ca="1">INDIRECT("Data!A" &amp; 2385)</f>
        <v>0</v>
      </c>
      <c r="H2390" s="21">
        <f>Data!B2402</f>
        <v>0</v>
      </c>
      <c r="I2390" s="21">
        <f>Data!C2402</f>
        <v>0</v>
      </c>
      <c r="J2390">
        <f>Data!D2402</f>
        <v>0</v>
      </c>
      <c r="K2390">
        <f>Data!E2402</f>
        <v>0</v>
      </c>
      <c r="L2390">
        <f>Data!F2402</f>
        <v>0</v>
      </c>
      <c r="M2390">
        <f>Data!G2402</f>
        <v>0</v>
      </c>
      <c r="N2390">
        <f>Data!H2402</f>
        <v>0</v>
      </c>
      <c r="O2390">
        <f>Data!I2402</f>
        <v>0</v>
      </c>
      <c r="P2390" s="21">
        <f>Data!J2406</f>
        <v>0</v>
      </c>
      <c r="Q2390">
        <f>Data!K2406</f>
        <v>0</v>
      </c>
      <c r="R2390">
        <f>Data!L2406</f>
        <v>0</v>
      </c>
      <c r="S2390">
        <f>Data!M2406</f>
        <v>0</v>
      </c>
      <c r="T2390">
        <f>Data!N2406</f>
        <v>0</v>
      </c>
      <c r="U2390">
        <f>Data!O2406</f>
        <v>0</v>
      </c>
      <c r="V2390" s="33">
        <f>Data!P2404</f>
        <v>0</v>
      </c>
    </row>
    <row r="2391" spans="7:22" x14ac:dyDescent="0.25">
      <c r="G2391" cm="1">
        <f t="array" aca="1" ref="G2391" ca="1">INDIRECT("Data!A" &amp; 2386)</f>
        <v>0</v>
      </c>
      <c r="H2391" s="21">
        <f>Data!B2403</f>
        <v>0</v>
      </c>
      <c r="I2391" s="21">
        <f>Data!C2403</f>
        <v>0</v>
      </c>
      <c r="J2391">
        <f>Data!D2403</f>
        <v>0</v>
      </c>
      <c r="K2391">
        <f>Data!E2403</f>
        <v>0</v>
      </c>
      <c r="L2391">
        <f>Data!F2403</f>
        <v>0</v>
      </c>
      <c r="M2391">
        <f>Data!G2403</f>
        <v>0</v>
      </c>
      <c r="N2391">
        <f>Data!H2403</f>
        <v>0</v>
      </c>
      <c r="O2391">
        <f>Data!I2403</f>
        <v>0</v>
      </c>
      <c r="P2391" s="21">
        <f>Data!J2407</f>
        <v>0</v>
      </c>
      <c r="Q2391">
        <f>Data!K2407</f>
        <v>0</v>
      </c>
      <c r="R2391">
        <f>Data!L2407</f>
        <v>0</v>
      </c>
      <c r="S2391">
        <f>Data!M2407</f>
        <v>0</v>
      </c>
      <c r="T2391">
        <f>Data!N2407</f>
        <v>0</v>
      </c>
      <c r="U2391">
        <f>Data!O2407</f>
        <v>0</v>
      </c>
      <c r="V2391" s="33">
        <f>Data!P2405</f>
        <v>0</v>
      </c>
    </row>
    <row r="2392" spans="7:22" x14ac:dyDescent="0.25">
      <c r="G2392" cm="1">
        <f t="array" aca="1" ref="G2392" ca="1">INDIRECT("Data!A" &amp; 2387)</f>
        <v>0</v>
      </c>
      <c r="H2392" s="21">
        <f>Data!B2404</f>
        <v>0</v>
      </c>
      <c r="I2392" s="21">
        <f>Data!C2404</f>
        <v>0</v>
      </c>
      <c r="J2392">
        <f>Data!D2404</f>
        <v>0</v>
      </c>
      <c r="K2392">
        <f>Data!E2404</f>
        <v>0</v>
      </c>
      <c r="L2392">
        <f>Data!F2404</f>
        <v>0</v>
      </c>
      <c r="M2392">
        <f>Data!G2404</f>
        <v>0</v>
      </c>
      <c r="N2392">
        <f>Data!H2404</f>
        <v>0</v>
      </c>
      <c r="O2392">
        <f>Data!I2404</f>
        <v>0</v>
      </c>
      <c r="P2392" s="21">
        <f>Data!J2408</f>
        <v>0</v>
      </c>
      <c r="Q2392">
        <f>Data!K2408</f>
        <v>0</v>
      </c>
      <c r="R2392">
        <f>Data!L2408</f>
        <v>0</v>
      </c>
      <c r="S2392">
        <f>Data!M2408</f>
        <v>0</v>
      </c>
      <c r="T2392">
        <f>Data!N2408</f>
        <v>0</v>
      </c>
      <c r="U2392">
        <f>Data!O2408</f>
        <v>0</v>
      </c>
      <c r="V2392" s="33">
        <f>Data!P2406</f>
        <v>0</v>
      </c>
    </row>
    <row r="2393" spans="7:22" x14ac:dyDescent="0.25">
      <c r="G2393" cm="1">
        <f t="array" aca="1" ref="G2393" ca="1">INDIRECT("Data!A" &amp; 2388)</f>
        <v>0</v>
      </c>
      <c r="H2393" s="21">
        <f>Data!B2405</f>
        <v>0</v>
      </c>
      <c r="I2393" s="21">
        <f>Data!C2405</f>
        <v>0</v>
      </c>
      <c r="J2393">
        <f>Data!D2405</f>
        <v>0</v>
      </c>
      <c r="K2393">
        <f>Data!E2405</f>
        <v>0</v>
      </c>
      <c r="L2393">
        <f>Data!F2405</f>
        <v>0</v>
      </c>
      <c r="M2393">
        <f>Data!G2405</f>
        <v>0</v>
      </c>
      <c r="N2393">
        <f>Data!H2405</f>
        <v>0</v>
      </c>
      <c r="O2393">
        <f>Data!I2405</f>
        <v>0</v>
      </c>
      <c r="P2393" s="21">
        <f>Data!J2409</f>
        <v>0</v>
      </c>
      <c r="Q2393">
        <f>Data!K2409</f>
        <v>0</v>
      </c>
      <c r="R2393">
        <f>Data!L2409</f>
        <v>0</v>
      </c>
      <c r="S2393">
        <f>Data!M2409</f>
        <v>0</v>
      </c>
      <c r="T2393">
        <f>Data!N2409</f>
        <v>0</v>
      </c>
      <c r="U2393">
        <f>Data!O2409</f>
        <v>0</v>
      </c>
      <c r="V2393" s="33">
        <f>Data!P2407</f>
        <v>0</v>
      </c>
    </row>
    <row r="2394" spans="7:22" x14ac:dyDescent="0.25">
      <c r="G2394" cm="1">
        <f t="array" aca="1" ref="G2394" ca="1">INDIRECT("Data!A" &amp; 2389)</f>
        <v>0</v>
      </c>
      <c r="H2394" s="21">
        <f>Data!B2406</f>
        <v>0</v>
      </c>
      <c r="I2394" s="21">
        <f>Data!C2406</f>
        <v>0</v>
      </c>
      <c r="J2394">
        <f>Data!D2406</f>
        <v>0</v>
      </c>
      <c r="K2394">
        <f>Data!E2406</f>
        <v>0</v>
      </c>
      <c r="L2394">
        <f>Data!F2406</f>
        <v>0</v>
      </c>
      <c r="M2394">
        <f>Data!G2406</f>
        <v>0</v>
      </c>
      <c r="N2394">
        <f>Data!H2406</f>
        <v>0</v>
      </c>
      <c r="O2394">
        <f>Data!I2406</f>
        <v>0</v>
      </c>
      <c r="P2394" s="21">
        <f>Data!J2410</f>
        <v>0</v>
      </c>
      <c r="Q2394">
        <f>Data!K2410</f>
        <v>0</v>
      </c>
      <c r="R2394">
        <f>Data!L2410</f>
        <v>0</v>
      </c>
      <c r="S2394">
        <f>Data!M2410</f>
        <v>0</v>
      </c>
      <c r="T2394">
        <f>Data!N2410</f>
        <v>0</v>
      </c>
      <c r="U2394">
        <f>Data!O2410</f>
        <v>0</v>
      </c>
      <c r="V2394" s="33">
        <f>Data!P2408</f>
        <v>0</v>
      </c>
    </row>
    <row r="2395" spans="7:22" x14ac:dyDescent="0.25">
      <c r="G2395" cm="1">
        <f t="array" aca="1" ref="G2395" ca="1">INDIRECT("Data!A" &amp; 2390)</f>
        <v>0</v>
      </c>
      <c r="H2395" s="21">
        <f>Data!B2407</f>
        <v>0</v>
      </c>
      <c r="I2395" s="21">
        <f>Data!C2407</f>
        <v>0</v>
      </c>
      <c r="J2395">
        <f>Data!D2407</f>
        <v>0</v>
      </c>
      <c r="K2395">
        <f>Data!E2407</f>
        <v>0</v>
      </c>
      <c r="L2395">
        <f>Data!F2407</f>
        <v>0</v>
      </c>
      <c r="M2395">
        <f>Data!G2407</f>
        <v>0</v>
      </c>
      <c r="N2395">
        <f>Data!H2407</f>
        <v>0</v>
      </c>
      <c r="O2395">
        <f>Data!I2407</f>
        <v>0</v>
      </c>
      <c r="P2395" s="21">
        <f>Data!J2411</f>
        <v>0</v>
      </c>
      <c r="Q2395">
        <f>Data!K2411</f>
        <v>0</v>
      </c>
      <c r="R2395">
        <f>Data!L2411</f>
        <v>0</v>
      </c>
      <c r="S2395">
        <f>Data!M2411</f>
        <v>0</v>
      </c>
      <c r="T2395">
        <f>Data!N2411</f>
        <v>0</v>
      </c>
      <c r="U2395">
        <f>Data!O2411</f>
        <v>0</v>
      </c>
      <c r="V2395" s="33">
        <f>Data!P2409</f>
        <v>0</v>
      </c>
    </row>
    <row r="2396" spans="7:22" x14ac:dyDescent="0.25">
      <c r="G2396" cm="1">
        <f t="array" aca="1" ref="G2396" ca="1">INDIRECT("Data!A" &amp; 2391)</f>
        <v>0</v>
      </c>
      <c r="H2396" s="21">
        <f>Data!B2408</f>
        <v>0</v>
      </c>
      <c r="I2396" s="21">
        <f>Data!C2408</f>
        <v>0</v>
      </c>
      <c r="J2396">
        <f>Data!D2408</f>
        <v>0</v>
      </c>
      <c r="K2396">
        <f>Data!E2408</f>
        <v>0</v>
      </c>
      <c r="L2396">
        <f>Data!F2408</f>
        <v>0</v>
      </c>
      <c r="M2396">
        <f>Data!G2408</f>
        <v>0</v>
      </c>
      <c r="N2396">
        <f>Data!H2408</f>
        <v>0</v>
      </c>
      <c r="O2396">
        <f>Data!I2408</f>
        <v>0</v>
      </c>
      <c r="P2396" s="21">
        <f>Data!J2412</f>
        <v>0</v>
      </c>
      <c r="Q2396">
        <f>Data!K2412</f>
        <v>0</v>
      </c>
      <c r="R2396">
        <f>Data!L2412</f>
        <v>0</v>
      </c>
      <c r="S2396">
        <f>Data!M2412</f>
        <v>0</v>
      </c>
      <c r="T2396">
        <f>Data!N2412</f>
        <v>0</v>
      </c>
      <c r="U2396">
        <f>Data!O2412</f>
        <v>0</v>
      </c>
      <c r="V2396" s="33">
        <f>Data!P2410</f>
        <v>0</v>
      </c>
    </row>
    <row r="2397" spans="7:22" x14ac:dyDescent="0.25">
      <c r="G2397" cm="1">
        <f t="array" aca="1" ref="G2397" ca="1">INDIRECT("Data!A" &amp; 2392)</f>
        <v>0</v>
      </c>
      <c r="H2397" s="21">
        <f>Data!B2409</f>
        <v>0</v>
      </c>
      <c r="I2397" s="21">
        <f>Data!C2409</f>
        <v>0</v>
      </c>
      <c r="J2397">
        <f>Data!D2409</f>
        <v>0</v>
      </c>
      <c r="K2397">
        <f>Data!E2409</f>
        <v>0</v>
      </c>
      <c r="L2397">
        <f>Data!F2409</f>
        <v>0</v>
      </c>
      <c r="M2397">
        <f>Data!G2409</f>
        <v>0</v>
      </c>
      <c r="N2397">
        <f>Data!H2409</f>
        <v>0</v>
      </c>
      <c r="O2397">
        <f>Data!I2409</f>
        <v>0</v>
      </c>
      <c r="P2397" s="21">
        <f>Data!J2413</f>
        <v>0</v>
      </c>
      <c r="Q2397">
        <f>Data!K2413</f>
        <v>0</v>
      </c>
      <c r="R2397">
        <f>Data!L2413</f>
        <v>0</v>
      </c>
      <c r="S2397">
        <f>Data!M2413</f>
        <v>0</v>
      </c>
      <c r="T2397">
        <f>Data!N2413</f>
        <v>0</v>
      </c>
      <c r="U2397">
        <f>Data!O2413</f>
        <v>0</v>
      </c>
      <c r="V2397" s="33">
        <f>Data!P2411</f>
        <v>0</v>
      </c>
    </row>
    <row r="2398" spans="7:22" x14ac:dyDescent="0.25">
      <c r="G2398" cm="1">
        <f t="array" aca="1" ref="G2398" ca="1">INDIRECT("Data!A" &amp; 2393)</f>
        <v>0</v>
      </c>
      <c r="H2398" s="21">
        <f>Data!B2410</f>
        <v>0</v>
      </c>
      <c r="I2398" s="21">
        <f>Data!C2410</f>
        <v>0</v>
      </c>
      <c r="J2398">
        <f>Data!D2410</f>
        <v>0</v>
      </c>
      <c r="K2398">
        <f>Data!E2410</f>
        <v>0</v>
      </c>
      <c r="L2398">
        <f>Data!F2410</f>
        <v>0</v>
      </c>
      <c r="M2398">
        <f>Data!G2410</f>
        <v>0</v>
      </c>
      <c r="N2398">
        <f>Data!H2410</f>
        <v>0</v>
      </c>
      <c r="O2398">
        <f>Data!I2410</f>
        <v>0</v>
      </c>
      <c r="P2398" s="21">
        <f>Data!J2414</f>
        <v>0</v>
      </c>
      <c r="Q2398">
        <f>Data!K2414</f>
        <v>0</v>
      </c>
      <c r="R2398">
        <f>Data!L2414</f>
        <v>0</v>
      </c>
      <c r="S2398">
        <f>Data!M2414</f>
        <v>0</v>
      </c>
      <c r="T2398">
        <f>Data!N2414</f>
        <v>0</v>
      </c>
      <c r="U2398">
        <f>Data!O2414</f>
        <v>0</v>
      </c>
      <c r="V2398" s="33">
        <f>Data!P2412</f>
        <v>0</v>
      </c>
    </row>
    <row r="2399" spans="7:22" x14ac:dyDescent="0.25">
      <c r="G2399" cm="1">
        <f t="array" aca="1" ref="G2399" ca="1">INDIRECT("Data!A" &amp; 2394)</f>
        <v>0</v>
      </c>
      <c r="H2399" s="21">
        <f>Data!B2411</f>
        <v>0</v>
      </c>
      <c r="I2399" s="21">
        <f>Data!C2411</f>
        <v>0</v>
      </c>
      <c r="J2399">
        <f>Data!D2411</f>
        <v>0</v>
      </c>
      <c r="K2399">
        <f>Data!E2411</f>
        <v>0</v>
      </c>
      <c r="L2399">
        <f>Data!F2411</f>
        <v>0</v>
      </c>
      <c r="M2399">
        <f>Data!G2411</f>
        <v>0</v>
      </c>
      <c r="N2399">
        <f>Data!H2411</f>
        <v>0</v>
      </c>
      <c r="O2399">
        <f>Data!I2411</f>
        <v>0</v>
      </c>
      <c r="P2399" s="21">
        <f>Data!J2415</f>
        <v>0</v>
      </c>
      <c r="Q2399">
        <f>Data!K2415</f>
        <v>0</v>
      </c>
      <c r="R2399">
        <f>Data!L2415</f>
        <v>0</v>
      </c>
      <c r="S2399">
        <f>Data!M2415</f>
        <v>0</v>
      </c>
      <c r="T2399">
        <f>Data!N2415</f>
        <v>0</v>
      </c>
      <c r="U2399">
        <f>Data!O2415</f>
        <v>0</v>
      </c>
      <c r="V2399" s="33">
        <f>Data!P2413</f>
        <v>0</v>
      </c>
    </row>
    <row r="2400" spans="7:22" x14ac:dyDescent="0.25">
      <c r="G2400" cm="1">
        <f t="array" aca="1" ref="G2400" ca="1">INDIRECT("Data!A" &amp; 2395)</f>
        <v>0</v>
      </c>
      <c r="H2400" s="21">
        <f>Data!B2412</f>
        <v>0</v>
      </c>
      <c r="I2400" s="21">
        <f>Data!C2412</f>
        <v>0</v>
      </c>
      <c r="J2400">
        <f>Data!D2412</f>
        <v>0</v>
      </c>
      <c r="K2400">
        <f>Data!E2412</f>
        <v>0</v>
      </c>
      <c r="L2400">
        <f>Data!F2412</f>
        <v>0</v>
      </c>
      <c r="M2400">
        <f>Data!G2412</f>
        <v>0</v>
      </c>
      <c r="N2400">
        <f>Data!H2412</f>
        <v>0</v>
      </c>
      <c r="O2400">
        <f>Data!I2412</f>
        <v>0</v>
      </c>
      <c r="P2400" s="21">
        <f>Data!J2416</f>
        <v>0</v>
      </c>
      <c r="Q2400">
        <f>Data!K2416</f>
        <v>0</v>
      </c>
      <c r="R2400">
        <f>Data!L2416</f>
        <v>0</v>
      </c>
      <c r="S2400">
        <f>Data!M2416</f>
        <v>0</v>
      </c>
      <c r="T2400">
        <f>Data!N2416</f>
        <v>0</v>
      </c>
      <c r="U2400">
        <f>Data!O2416</f>
        <v>0</v>
      </c>
      <c r="V2400" s="33">
        <f>Data!P2414</f>
        <v>0</v>
      </c>
    </row>
    <row r="2401" spans="7:22" x14ac:dyDescent="0.25">
      <c r="G2401" cm="1">
        <f t="array" aca="1" ref="G2401" ca="1">INDIRECT("Data!A" &amp; 2396)</f>
        <v>0</v>
      </c>
      <c r="H2401" s="21">
        <f>Data!B2413</f>
        <v>0</v>
      </c>
      <c r="I2401" s="21">
        <f>Data!C2413</f>
        <v>0</v>
      </c>
      <c r="J2401">
        <f>Data!D2413</f>
        <v>0</v>
      </c>
      <c r="K2401">
        <f>Data!E2413</f>
        <v>0</v>
      </c>
      <c r="L2401">
        <f>Data!F2413</f>
        <v>0</v>
      </c>
      <c r="M2401">
        <f>Data!G2413</f>
        <v>0</v>
      </c>
      <c r="N2401">
        <f>Data!H2413</f>
        <v>0</v>
      </c>
      <c r="O2401">
        <f>Data!I2413</f>
        <v>0</v>
      </c>
      <c r="P2401" s="21">
        <f>Data!J2417</f>
        <v>0</v>
      </c>
      <c r="Q2401">
        <f>Data!K2417</f>
        <v>0</v>
      </c>
      <c r="R2401">
        <f>Data!L2417</f>
        <v>0</v>
      </c>
      <c r="S2401">
        <f>Data!M2417</f>
        <v>0</v>
      </c>
      <c r="T2401">
        <f>Data!N2417</f>
        <v>0</v>
      </c>
      <c r="U2401">
        <f>Data!O2417</f>
        <v>0</v>
      </c>
      <c r="V2401" s="33">
        <f>Data!P2415</f>
        <v>0</v>
      </c>
    </row>
    <row r="2402" spans="7:22" x14ac:dyDescent="0.25">
      <c r="G2402" cm="1">
        <f t="array" aca="1" ref="G2402" ca="1">INDIRECT("Data!A" &amp; 2397)</f>
        <v>0</v>
      </c>
      <c r="H2402" s="21">
        <f>Data!B2414</f>
        <v>0</v>
      </c>
      <c r="I2402" s="21">
        <f>Data!C2414</f>
        <v>0</v>
      </c>
      <c r="J2402">
        <f>Data!D2414</f>
        <v>0</v>
      </c>
      <c r="K2402">
        <f>Data!E2414</f>
        <v>0</v>
      </c>
      <c r="L2402">
        <f>Data!F2414</f>
        <v>0</v>
      </c>
      <c r="M2402">
        <f>Data!G2414</f>
        <v>0</v>
      </c>
      <c r="N2402">
        <f>Data!H2414</f>
        <v>0</v>
      </c>
      <c r="O2402">
        <f>Data!I2414</f>
        <v>0</v>
      </c>
      <c r="P2402" s="21">
        <f>Data!J2418</f>
        <v>0</v>
      </c>
      <c r="Q2402">
        <f>Data!K2418</f>
        <v>0</v>
      </c>
      <c r="R2402">
        <f>Data!L2418</f>
        <v>0</v>
      </c>
      <c r="S2402">
        <f>Data!M2418</f>
        <v>0</v>
      </c>
      <c r="T2402">
        <f>Data!N2418</f>
        <v>0</v>
      </c>
      <c r="U2402">
        <f>Data!O2418</f>
        <v>0</v>
      </c>
      <c r="V2402" s="33">
        <f>Data!P2416</f>
        <v>0</v>
      </c>
    </row>
    <row r="2403" spans="7:22" x14ac:dyDescent="0.25">
      <c r="G2403" cm="1">
        <f t="array" aca="1" ref="G2403" ca="1">INDIRECT("Data!A" &amp; 2398)</f>
        <v>0</v>
      </c>
      <c r="H2403" s="21">
        <f>Data!B2415</f>
        <v>0</v>
      </c>
      <c r="I2403" s="21">
        <f>Data!C2415</f>
        <v>0</v>
      </c>
      <c r="J2403">
        <f>Data!D2415</f>
        <v>0</v>
      </c>
      <c r="K2403">
        <f>Data!E2415</f>
        <v>0</v>
      </c>
      <c r="L2403">
        <f>Data!F2415</f>
        <v>0</v>
      </c>
      <c r="M2403">
        <f>Data!G2415</f>
        <v>0</v>
      </c>
      <c r="N2403">
        <f>Data!H2415</f>
        <v>0</v>
      </c>
      <c r="O2403">
        <f>Data!I2415</f>
        <v>0</v>
      </c>
      <c r="P2403" s="21">
        <f>Data!J2419</f>
        <v>0</v>
      </c>
      <c r="Q2403">
        <f>Data!K2419</f>
        <v>0</v>
      </c>
      <c r="R2403">
        <f>Data!L2419</f>
        <v>0</v>
      </c>
      <c r="S2403">
        <f>Data!M2419</f>
        <v>0</v>
      </c>
      <c r="T2403">
        <f>Data!N2419</f>
        <v>0</v>
      </c>
      <c r="U2403">
        <f>Data!O2419</f>
        <v>0</v>
      </c>
      <c r="V2403" s="33">
        <f>Data!P2417</f>
        <v>0</v>
      </c>
    </row>
    <row r="2404" spans="7:22" x14ac:dyDescent="0.25">
      <c r="G2404" cm="1">
        <f t="array" aca="1" ref="G2404" ca="1">INDIRECT("Data!A" &amp; 2399)</f>
        <v>0</v>
      </c>
      <c r="H2404" s="21">
        <f>Data!B2416</f>
        <v>0</v>
      </c>
      <c r="I2404" s="21">
        <f>Data!C2416</f>
        <v>0</v>
      </c>
      <c r="J2404">
        <f>Data!D2416</f>
        <v>0</v>
      </c>
      <c r="K2404">
        <f>Data!E2416</f>
        <v>0</v>
      </c>
      <c r="L2404">
        <f>Data!F2416</f>
        <v>0</v>
      </c>
      <c r="M2404">
        <f>Data!G2416</f>
        <v>0</v>
      </c>
      <c r="N2404">
        <f>Data!H2416</f>
        <v>0</v>
      </c>
      <c r="O2404">
        <f>Data!I2416</f>
        <v>0</v>
      </c>
      <c r="P2404" s="21">
        <f>Data!J2420</f>
        <v>0</v>
      </c>
      <c r="Q2404">
        <f>Data!K2420</f>
        <v>0</v>
      </c>
      <c r="R2404">
        <f>Data!L2420</f>
        <v>0</v>
      </c>
      <c r="S2404">
        <f>Data!M2420</f>
        <v>0</v>
      </c>
      <c r="T2404">
        <f>Data!N2420</f>
        <v>0</v>
      </c>
      <c r="U2404">
        <f>Data!O2420</f>
        <v>0</v>
      </c>
      <c r="V2404" s="33">
        <f>Data!P2418</f>
        <v>0</v>
      </c>
    </row>
    <row r="2405" spans="7:22" x14ac:dyDescent="0.25">
      <c r="G2405" cm="1">
        <f t="array" aca="1" ref="G2405" ca="1">INDIRECT("Data!A" &amp; 2400)</f>
        <v>0</v>
      </c>
      <c r="H2405" s="21">
        <f>Data!B2417</f>
        <v>0</v>
      </c>
      <c r="I2405" s="21">
        <f>Data!C2417</f>
        <v>0</v>
      </c>
      <c r="J2405">
        <f>Data!D2417</f>
        <v>0</v>
      </c>
      <c r="K2405">
        <f>Data!E2417</f>
        <v>0</v>
      </c>
      <c r="L2405">
        <f>Data!F2417</f>
        <v>0</v>
      </c>
      <c r="M2405">
        <f>Data!G2417</f>
        <v>0</v>
      </c>
      <c r="N2405">
        <f>Data!H2417</f>
        <v>0</v>
      </c>
      <c r="O2405">
        <f>Data!I2417</f>
        <v>0</v>
      </c>
      <c r="P2405" s="21">
        <f>Data!J2421</f>
        <v>0</v>
      </c>
      <c r="Q2405">
        <f>Data!K2421</f>
        <v>0</v>
      </c>
      <c r="R2405">
        <f>Data!L2421</f>
        <v>0</v>
      </c>
      <c r="S2405">
        <f>Data!M2421</f>
        <v>0</v>
      </c>
      <c r="T2405">
        <f>Data!N2421</f>
        <v>0</v>
      </c>
      <c r="U2405">
        <f>Data!O2421</f>
        <v>0</v>
      </c>
      <c r="V2405" s="33">
        <f>Data!P2419</f>
        <v>0</v>
      </c>
    </row>
    <row r="2406" spans="7:22" x14ac:dyDescent="0.25">
      <c r="G2406" cm="1">
        <f t="array" aca="1" ref="G2406" ca="1">INDIRECT("Data!A" &amp; 2401)</f>
        <v>0</v>
      </c>
      <c r="H2406" s="21">
        <f>Data!B2418</f>
        <v>0</v>
      </c>
      <c r="I2406" s="21">
        <f>Data!C2418</f>
        <v>0</v>
      </c>
      <c r="J2406">
        <f>Data!D2418</f>
        <v>0</v>
      </c>
      <c r="K2406">
        <f>Data!E2418</f>
        <v>0</v>
      </c>
      <c r="L2406">
        <f>Data!F2418</f>
        <v>0</v>
      </c>
      <c r="M2406">
        <f>Data!G2418</f>
        <v>0</v>
      </c>
      <c r="N2406">
        <f>Data!H2418</f>
        <v>0</v>
      </c>
      <c r="O2406">
        <f>Data!I2418</f>
        <v>0</v>
      </c>
      <c r="P2406" s="21">
        <f>Data!J2422</f>
        <v>0</v>
      </c>
      <c r="Q2406">
        <f>Data!K2422</f>
        <v>0</v>
      </c>
      <c r="R2406">
        <f>Data!L2422</f>
        <v>0</v>
      </c>
      <c r="S2406">
        <f>Data!M2422</f>
        <v>0</v>
      </c>
      <c r="T2406">
        <f>Data!N2422</f>
        <v>0</v>
      </c>
      <c r="U2406">
        <f>Data!O2422</f>
        <v>0</v>
      </c>
      <c r="V2406" s="33">
        <f>Data!P2420</f>
        <v>0</v>
      </c>
    </row>
    <row r="2407" spans="7:22" x14ac:dyDescent="0.25">
      <c r="G2407" cm="1">
        <f t="array" aca="1" ref="G2407" ca="1">INDIRECT("Data!A" &amp; 2402)</f>
        <v>0</v>
      </c>
      <c r="H2407" s="21">
        <f>Data!B2419</f>
        <v>0</v>
      </c>
      <c r="I2407" s="21">
        <f>Data!C2419</f>
        <v>0</v>
      </c>
      <c r="J2407">
        <f>Data!D2419</f>
        <v>0</v>
      </c>
      <c r="K2407">
        <f>Data!E2419</f>
        <v>0</v>
      </c>
      <c r="L2407">
        <f>Data!F2419</f>
        <v>0</v>
      </c>
      <c r="M2407">
        <f>Data!G2419</f>
        <v>0</v>
      </c>
      <c r="N2407">
        <f>Data!H2419</f>
        <v>0</v>
      </c>
      <c r="O2407">
        <f>Data!I2419</f>
        <v>0</v>
      </c>
      <c r="P2407" s="21">
        <f>Data!J2423</f>
        <v>0</v>
      </c>
      <c r="Q2407">
        <f>Data!K2423</f>
        <v>0</v>
      </c>
      <c r="R2407">
        <f>Data!L2423</f>
        <v>0</v>
      </c>
      <c r="S2407">
        <f>Data!M2423</f>
        <v>0</v>
      </c>
      <c r="T2407">
        <f>Data!N2423</f>
        <v>0</v>
      </c>
      <c r="U2407">
        <f>Data!O2423</f>
        <v>0</v>
      </c>
      <c r="V2407" s="33">
        <f>Data!P2421</f>
        <v>0</v>
      </c>
    </row>
    <row r="2408" spans="7:22" x14ac:dyDescent="0.25">
      <c r="G2408" cm="1">
        <f t="array" aca="1" ref="G2408" ca="1">INDIRECT("Data!A" &amp; 2403)</f>
        <v>0</v>
      </c>
      <c r="H2408" s="21">
        <f>Data!B2420</f>
        <v>0</v>
      </c>
      <c r="I2408" s="21">
        <f>Data!C2420</f>
        <v>0</v>
      </c>
      <c r="J2408">
        <f>Data!D2420</f>
        <v>0</v>
      </c>
      <c r="K2408">
        <f>Data!E2420</f>
        <v>0</v>
      </c>
      <c r="L2408">
        <f>Data!F2420</f>
        <v>0</v>
      </c>
      <c r="M2408">
        <f>Data!G2420</f>
        <v>0</v>
      </c>
      <c r="N2408">
        <f>Data!H2420</f>
        <v>0</v>
      </c>
      <c r="O2408">
        <f>Data!I2420</f>
        <v>0</v>
      </c>
      <c r="P2408" s="21">
        <f>Data!J2424</f>
        <v>0</v>
      </c>
      <c r="Q2408">
        <f>Data!K2424</f>
        <v>0</v>
      </c>
      <c r="R2408">
        <f>Data!L2424</f>
        <v>0</v>
      </c>
      <c r="S2408">
        <f>Data!M2424</f>
        <v>0</v>
      </c>
      <c r="T2408">
        <f>Data!N2424</f>
        <v>0</v>
      </c>
      <c r="U2408">
        <f>Data!O2424</f>
        <v>0</v>
      </c>
      <c r="V2408" s="33">
        <f>Data!P2422</f>
        <v>0</v>
      </c>
    </row>
    <row r="2409" spans="7:22" x14ac:dyDescent="0.25">
      <c r="G2409" cm="1">
        <f t="array" aca="1" ref="G2409" ca="1">INDIRECT("Data!A" &amp; 2404)</f>
        <v>0</v>
      </c>
      <c r="H2409" s="21">
        <f>Data!B2421</f>
        <v>0</v>
      </c>
      <c r="I2409" s="21">
        <f>Data!C2421</f>
        <v>0</v>
      </c>
      <c r="J2409">
        <f>Data!D2421</f>
        <v>0</v>
      </c>
      <c r="K2409">
        <f>Data!E2421</f>
        <v>0</v>
      </c>
      <c r="L2409">
        <f>Data!F2421</f>
        <v>0</v>
      </c>
      <c r="M2409">
        <f>Data!G2421</f>
        <v>0</v>
      </c>
      <c r="N2409">
        <f>Data!H2421</f>
        <v>0</v>
      </c>
      <c r="O2409">
        <f>Data!I2421</f>
        <v>0</v>
      </c>
      <c r="P2409" s="21">
        <f>Data!J2425</f>
        <v>0</v>
      </c>
      <c r="Q2409">
        <f>Data!K2425</f>
        <v>0</v>
      </c>
      <c r="R2409">
        <f>Data!L2425</f>
        <v>0</v>
      </c>
      <c r="S2409">
        <f>Data!M2425</f>
        <v>0</v>
      </c>
      <c r="T2409">
        <f>Data!N2425</f>
        <v>0</v>
      </c>
      <c r="U2409">
        <f>Data!O2425</f>
        <v>0</v>
      </c>
      <c r="V2409" s="33">
        <f>Data!P2423</f>
        <v>0</v>
      </c>
    </row>
    <row r="2410" spans="7:22" x14ac:dyDescent="0.25">
      <c r="G2410" cm="1">
        <f t="array" aca="1" ref="G2410" ca="1">INDIRECT("Data!A" &amp; 2405)</f>
        <v>0</v>
      </c>
      <c r="H2410" s="21">
        <f>Data!B2422</f>
        <v>0</v>
      </c>
      <c r="I2410" s="21">
        <f>Data!C2422</f>
        <v>0</v>
      </c>
      <c r="J2410">
        <f>Data!D2422</f>
        <v>0</v>
      </c>
      <c r="K2410">
        <f>Data!E2422</f>
        <v>0</v>
      </c>
      <c r="L2410">
        <f>Data!F2422</f>
        <v>0</v>
      </c>
      <c r="M2410">
        <f>Data!G2422</f>
        <v>0</v>
      </c>
      <c r="N2410">
        <f>Data!H2422</f>
        <v>0</v>
      </c>
      <c r="O2410">
        <f>Data!I2422</f>
        <v>0</v>
      </c>
      <c r="P2410" s="21">
        <f>Data!J2426</f>
        <v>0</v>
      </c>
      <c r="Q2410">
        <f>Data!K2426</f>
        <v>0</v>
      </c>
      <c r="R2410">
        <f>Data!L2426</f>
        <v>0</v>
      </c>
      <c r="S2410">
        <f>Data!M2426</f>
        <v>0</v>
      </c>
      <c r="T2410">
        <f>Data!N2426</f>
        <v>0</v>
      </c>
      <c r="U2410">
        <f>Data!O2426</f>
        <v>0</v>
      </c>
      <c r="V2410" s="33">
        <f>Data!P2424</f>
        <v>0</v>
      </c>
    </row>
    <row r="2411" spans="7:22" x14ac:dyDescent="0.25">
      <c r="G2411" cm="1">
        <f t="array" aca="1" ref="G2411" ca="1">INDIRECT("Data!A" &amp; 2406)</f>
        <v>0</v>
      </c>
      <c r="H2411" s="21">
        <f>Data!B2423</f>
        <v>0</v>
      </c>
      <c r="I2411" s="21">
        <f>Data!C2423</f>
        <v>0</v>
      </c>
      <c r="J2411">
        <f>Data!D2423</f>
        <v>0</v>
      </c>
      <c r="K2411">
        <f>Data!E2423</f>
        <v>0</v>
      </c>
      <c r="L2411">
        <f>Data!F2423</f>
        <v>0</v>
      </c>
      <c r="M2411">
        <f>Data!G2423</f>
        <v>0</v>
      </c>
      <c r="N2411">
        <f>Data!H2423</f>
        <v>0</v>
      </c>
      <c r="O2411">
        <f>Data!I2423</f>
        <v>0</v>
      </c>
      <c r="P2411" s="21">
        <f>Data!J2427</f>
        <v>0</v>
      </c>
      <c r="Q2411">
        <f>Data!K2427</f>
        <v>0</v>
      </c>
      <c r="R2411">
        <f>Data!L2427</f>
        <v>0</v>
      </c>
      <c r="S2411">
        <f>Data!M2427</f>
        <v>0</v>
      </c>
      <c r="T2411">
        <f>Data!N2427</f>
        <v>0</v>
      </c>
      <c r="U2411">
        <f>Data!O2427</f>
        <v>0</v>
      </c>
      <c r="V2411" s="33">
        <f>Data!P2425</f>
        <v>0</v>
      </c>
    </row>
    <row r="2412" spans="7:22" x14ac:dyDescent="0.25">
      <c r="G2412" cm="1">
        <f t="array" aca="1" ref="G2412" ca="1">INDIRECT("Data!A" &amp; 2407)</f>
        <v>0</v>
      </c>
      <c r="H2412" s="21">
        <f>Data!B2424</f>
        <v>0</v>
      </c>
      <c r="I2412" s="21">
        <f>Data!C2424</f>
        <v>0</v>
      </c>
      <c r="J2412">
        <f>Data!D2424</f>
        <v>0</v>
      </c>
      <c r="K2412">
        <f>Data!E2424</f>
        <v>0</v>
      </c>
      <c r="L2412">
        <f>Data!F2424</f>
        <v>0</v>
      </c>
      <c r="M2412">
        <f>Data!G2424</f>
        <v>0</v>
      </c>
      <c r="N2412">
        <f>Data!H2424</f>
        <v>0</v>
      </c>
      <c r="O2412">
        <f>Data!I2424</f>
        <v>0</v>
      </c>
      <c r="P2412" s="21">
        <f>Data!J2428</f>
        <v>0</v>
      </c>
      <c r="Q2412">
        <f>Data!K2428</f>
        <v>0</v>
      </c>
      <c r="R2412">
        <f>Data!L2428</f>
        <v>0</v>
      </c>
      <c r="S2412">
        <f>Data!M2428</f>
        <v>0</v>
      </c>
      <c r="T2412">
        <f>Data!N2428</f>
        <v>0</v>
      </c>
      <c r="U2412">
        <f>Data!O2428</f>
        <v>0</v>
      </c>
      <c r="V2412" s="33">
        <f>Data!P2426</f>
        <v>0</v>
      </c>
    </row>
    <row r="2413" spans="7:22" x14ac:dyDescent="0.25">
      <c r="G2413" cm="1">
        <f t="array" aca="1" ref="G2413" ca="1">INDIRECT("Data!A" &amp; 2408)</f>
        <v>0</v>
      </c>
      <c r="H2413" s="21">
        <f>Data!B2425</f>
        <v>0</v>
      </c>
      <c r="I2413" s="21">
        <f>Data!C2425</f>
        <v>0</v>
      </c>
      <c r="J2413">
        <f>Data!D2425</f>
        <v>0</v>
      </c>
      <c r="K2413">
        <f>Data!E2425</f>
        <v>0</v>
      </c>
      <c r="L2413">
        <f>Data!F2425</f>
        <v>0</v>
      </c>
      <c r="M2413">
        <f>Data!G2425</f>
        <v>0</v>
      </c>
      <c r="N2413">
        <f>Data!H2425</f>
        <v>0</v>
      </c>
      <c r="O2413">
        <f>Data!I2425</f>
        <v>0</v>
      </c>
      <c r="P2413" s="21">
        <f>Data!J2429</f>
        <v>0</v>
      </c>
      <c r="Q2413">
        <f>Data!K2429</f>
        <v>0</v>
      </c>
      <c r="R2413">
        <f>Data!L2429</f>
        <v>0</v>
      </c>
      <c r="S2413">
        <f>Data!M2429</f>
        <v>0</v>
      </c>
      <c r="T2413">
        <f>Data!N2429</f>
        <v>0</v>
      </c>
      <c r="U2413">
        <f>Data!O2429</f>
        <v>0</v>
      </c>
      <c r="V2413" s="33">
        <f>Data!P2427</f>
        <v>0</v>
      </c>
    </row>
    <row r="2414" spans="7:22" x14ac:dyDescent="0.25">
      <c r="G2414" cm="1">
        <f t="array" aca="1" ref="G2414" ca="1">INDIRECT("Data!A" &amp; 2409)</f>
        <v>0</v>
      </c>
      <c r="H2414" s="21">
        <f>Data!B2426</f>
        <v>0</v>
      </c>
      <c r="I2414" s="21">
        <f>Data!C2426</f>
        <v>0</v>
      </c>
      <c r="J2414">
        <f>Data!D2426</f>
        <v>0</v>
      </c>
      <c r="K2414">
        <f>Data!E2426</f>
        <v>0</v>
      </c>
      <c r="L2414">
        <f>Data!F2426</f>
        <v>0</v>
      </c>
      <c r="M2414">
        <f>Data!G2426</f>
        <v>0</v>
      </c>
      <c r="N2414">
        <f>Data!H2426</f>
        <v>0</v>
      </c>
      <c r="O2414">
        <f>Data!I2426</f>
        <v>0</v>
      </c>
      <c r="P2414" s="21">
        <f>Data!J2430</f>
        <v>0</v>
      </c>
      <c r="Q2414">
        <f>Data!K2430</f>
        <v>0</v>
      </c>
      <c r="R2414">
        <f>Data!L2430</f>
        <v>0</v>
      </c>
      <c r="S2414">
        <f>Data!M2430</f>
        <v>0</v>
      </c>
      <c r="T2414">
        <f>Data!N2430</f>
        <v>0</v>
      </c>
      <c r="U2414">
        <f>Data!O2430</f>
        <v>0</v>
      </c>
      <c r="V2414" s="33">
        <f>Data!P2428</f>
        <v>0</v>
      </c>
    </row>
    <row r="2415" spans="7:22" x14ac:dyDescent="0.25">
      <c r="G2415" cm="1">
        <f t="array" aca="1" ref="G2415" ca="1">INDIRECT("Data!A" &amp; 2410)</f>
        <v>0</v>
      </c>
      <c r="H2415" s="21">
        <f>Data!B2427</f>
        <v>0</v>
      </c>
      <c r="I2415" s="21">
        <f>Data!C2427</f>
        <v>0</v>
      </c>
      <c r="J2415">
        <f>Data!D2427</f>
        <v>0</v>
      </c>
      <c r="K2415">
        <f>Data!E2427</f>
        <v>0</v>
      </c>
      <c r="L2415">
        <f>Data!F2427</f>
        <v>0</v>
      </c>
      <c r="M2415">
        <f>Data!G2427</f>
        <v>0</v>
      </c>
      <c r="N2415">
        <f>Data!H2427</f>
        <v>0</v>
      </c>
      <c r="O2415">
        <f>Data!I2427</f>
        <v>0</v>
      </c>
      <c r="P2415" s="21">
        <f>Data!J2431</f>
        <v>0</v>
      </c>
      <c r="Q2415">
        <f>Data!K2431</f>
        <v>0</v>
      </c>
      <c r="R2415">
        <f>Data!L2431</f>
        <v>0</v>
      </c>
      <c r="S2415">
        <f>Data!M2431</f>
        <v>0</v>
      </c>
      <c r="T2415">
        <f>Data!N2431</f>
        <v>0</v>
      </c>
      <c r="U2415">
        <f>Data!O2431</f>
        <v>0</v>
      </c>
      <c r="V2415" s="33">
        <f>Data!P2429</f>
        <v>0</v>
      </c>
    </row>
    <row r="2416" spans="7:22" x14ac:dyDescent="0.25">
      <c r="G2416" cm="1">
        <f t="array" aca="1" ref="G2416" ca="1">INDIRECT("Data!A" &amp; 2411)</f>
        <v>0</v>
      </c>
      <c r="H2416" s="21">
        <f>Data!B2428</f>
        <v>0</v>
      </c>
      <c r="I2416" s="21">
        <f>Data!C2428</f>
        <v>0</v>
      </c>
      <c r="J2416">
        <f>Data!D2428</f>
        <v>0</v>
      </c>
      <c r="K2416">
        <f>Data!E2428</f>
        <v>0</v>
      </c>
      <c r="L2416">
        <f>Data!F2428</f>
        <v>0</v>
      </c>
      <c r="M2416">
        <f>Data!G2428</f>
        <v>0</v>
      </c>
      <c r="N2416">
        <f>Data!H2428</f>
        <v>0</v>
      </c>
      <c r="O2416">
        <f>Data!I2428</f>
        <v>0</v>
      </c>
      <c r="P2416" s="21">
        <f>Data!J2432</f>
        <v>0</v>
      </c>
      <c r="Q2416">
        <f>Data!K2432</f>
        <v>0</v>
      </c>
      <c r="R2416">
        <f>Data!L2432</f>
        <v>0</v>
      </c>
      <c r="S2416">
        <f>Data!M2432</f>
        <v>0</v>
      </c>
      <c r="T2416">
        <f>Data!N2432</f>
        <v>0</v>
      </c>
      <c r="U2416">
        <f>Data!O2432</f>
        <v>0</v>
      </c>
      <c r="V2416" s="33">
        <f>Data!P2430</f>
        <v>0</v>
      </c>
    </row>
    <row r="2417" spans="7:22" x14ac:dyDescent="0.25">
      <c r="G2417" cm="1">
        <f t="array" aca="1" ref="G2417" ca="1">INDIRECT("Data!A" &amp; 2412)</f>
        <v>0</v>
      </c>
      <c r="H2417" s="21">
        <f>Data!B2429</f>
        <v>0</v>
      </c>
      <c r="I2417" s="21">
        <f>Data!C2429</f>
        <v>0</v>
      </c>
      <c r="J2417">
        <f>Data!D2429</f>
        <v>0</v>
      </c>
      <c r="K2417">
        <f>Data!E2429</f>
        <v>0</v>
      </c>
      <c r="L2417">
        <f>Data!F2429</f>
        <v>0</v>
      </c>
      <c r="M2417">
        <f>Data!G2429</f>
        <v>0</v>
      </c>
      <c r="N2417">
        <f>Data!H2429</f>
        <v>0</v>
      </c>
      <c r="O2417">
        <f>Data!I2429</f>
        <v>0</v>
      </c>
      <c r="P2417" s="21">
        <f>Data!J2433</f>
        <v>0</v>
      </c>
      <c r="Q2417">
        <f>Data!K2433</f>
        <v>0</v>
      </c>
      <c r="R2417">
        <f>Data!L2433</f>
        <v>0</v>
      </c>
      <c r="S2417">
        <f>Data!M2433</f>
        <v>0</v>
      </c>
      <c r="T2417">
        <f>Data!N2433</f>
        <v>0</v>
      </c>
      <c r="U2417">
        <f>Data!O2433</f>
        <v>0</v>
      </c>
      <c r="V2417" s="33">
        <f>Data!P2431</f>
        <v>0</v>
      </c>
    </row>
    <row r="2418" spans="7:22" x14ac:dyDescent="0.25">
      <c r="G2418" cm="1">
        <f t="array" aca="1" ref="G2418" ca="1">INDIRECT("Data!A" &amp; 2413)</f>
        <v>0</v>
      </c>
      <c r="H2418" s="21">
        <f>Data!B2430</f>
        <v>0</v>
      </c>
      <c r="I2418" s="21">
        <f>Data!C2430</f>
        <v>0</v>
      </c>
      <c r="J2418">
        <f>Data!D2430</f>
        <v>0</v>
      </c>
      <c r="K2418">
        <f>Data!E2430</f>
        <v>0</v>
      </c>
      <c r="L2418">
        <f>Data!F2430</f>
        <v>0</v>
      </c>
      <c r="M2418">
        <f>Data!G2430</f>
        <v>0</v>
      </c>
      <c r="N2418">
        <f>Data!H2430</f>
        <v>0</v>
      </c>
      <c r="O2418">
        <f>Data!I2430</f>
        <v>0</v>
      </c>
      <c r="P2418" s="21">
        <f>Data!J2434</f>
        <v>0</v>
      </c>
      <c r="Q2418">
        <f>Data!K2434</f>
        <v>0</v>
      </c>
      <c r="R2418">
        <f>Data!L2434</f>
        <v>0</v>
      </c>
      <c r="S2418">
        <f>Data!M2434</f>
        <v>0</v>
      </c>
      <c r="T2418">
        <f>Data!N2434</f>
        <v>0</v>
      </c>
      <c r="U2418">
        <f>Data!O2434</f>
        <v>0</v>
      </c>
      <c r="V2418" s="33">
        <f>Data!P2432</f>
        <v>0</v>
      </c>
    </row>
    <row r="2419" spans="7:22" x14ac:dyDescent="0.25">
      <c r="G2419" cm="1">
        <f t="array" aca="1" ref="G2419" ca="1">INDIRECT("Data!A" &amp; 2414)</f>
        <v>0</v>
      </c>
      <c r="H2419" s="21">
        <f>Data!B2431</f>
        <v>0</v>
      </c>
      <c r="I2419" s="21">
        <f>Data!C2431</f>
        <v>0</v>
      </c>
      <c r="J2419">
        <f>Data!D2431</f>
        <v>0</v>
      </c>
      <c r="K2419">
        <f>Data!E2431</f>
        <v>0</v>
      </c>
      <c r="L2419">
        <f>Data!F2431</f>
        <v>0</v>
      </c>
      <c r="M2419">
        <f>Data!G2431</f>
        <v>0</v>
      </c>
      <c r="N2419">
        <f>Data!H2431</f>
        <v>0</v>
      </c>
      <c r="O2419">
        <f>Data!I2431</f>
        <v>0</v>
      </c>
      <c r="P2419" s="21">
        <f>Data!J2435</f>
        <v>0</v>
      </c>
      <c r="Q2419">
        <f>Data!K2435</f>
        <v>0</v>
      </c>
      <c r="R2419">
        <f>Data!L2435</f>
        <v>0</v>
      </c>
      <c r="S2419">
        <f>Data!M2435</f>
        <v>0</v>
      </c>
      <c r="T2419">
        <f>Data!N2435</f>
        <v>0</v>
      </c>
      <c r="U2419">
        <f>Data!O2435</f>
        <v>0</v>
      </c>
      <c r="V2419" s="33">
        <f>Data!P2433</f>
        <v>0</v>
      </c>
    </row>
    <row r="2420" spans="7:22" x14ac:dyDescent="0.25">
      <c r="G2420" cm="1">
        <f t="array" aca="1" ref="G2420" ca="1">INDIRECT("Data!A" &amp; 2415)</f>
        <v>0</v>
      </c>
      <c r="H2420" s="21">
        <f>Data!B2432</f>
        <v>0</v>
      </c>
      <c r="I2420" s="21">
        <f>Data!C2432</f>
        <v>0</v>
      </c>
      <c r="J2420">
        <f>Data!D2432</f>
        <v>0</v>
      </c>
      <c r="K2420">
        <f>Data!E2432</f>
        <v>0</v>
      </c>
      <c r="L2420">
        <f>Data!F2432</f>
        <v>0</v>
      </c>
      <c r="M2420">
        <f>Data!G2432</f>
        <v>0</v>
      </c>
      <c r="N2420">
        <f>Data!H2432</f>
        <v>0</v>
      </c>
      <c r="O2420">
        <f>Data!I2432</f>
        <v>0</v>
      </c>
      <c r="P2420" s="21">
        <f>Data!J2436</f>
        <v>0</v>
      </c>
      <c r="Q2420">
        <f>Data!K2436</f>
        <v>0</v>
      </c>
      <c r="R2420">
        <f>Data!L2436</f>
        <v>0</v>
      </c>
      <c r="S2420">
        <f>Data!M2436</f>
        <v>0</v>
      </c>
      <c r="T2420">
        <f>Data!N2436</f>
        <v>0</v>
      </c>
      <c r="U2420">
        <f>Data!O2436</f>
        <v>0</v>
      </c>
      <c r="V2420" s="33">
        <f>Data!P2434</f>
        <v>0</v>
      </c>
    </row>
    <row r="2421" spans="7:22" x14ac:dyDescent="0.25">
      <c r="G2421" cm="1">
        <f t="array" aca="1" ref="G2421" ca="1">INDIRECT("Data!A" &amp; 2416)</f>
        <v>0</v>
      </c>
      <c r="H2421" s="21">
        <f>Data!B2433</f>
        <v>0</v>
      </c>
      <c r="I2421" s="21">
        <f>Data!C2433</f>
        <v>0</v>
      </c>
      <c r="J2421">
        <f>Data!D2433</f>
        <v>0</v>
      </c>
      <c r="K2421">
        <f>Data!E2433</f>
        <v>0</v>
      </c>
      <c r="L2421">
        <f>Data!F2433</f>
        <v>0</v>
      </c>
      <c r="M2421">
        <f>Data!G2433</f>
        <v>0</v>
      </c>
      <c r="N2421">
        <f>Data!H2433</f>
        <v>0</v>
      </c>
      <c r="O2421">
        <f>Data!I2433</f>
        <v>0</v>
      </c>
      <c r="P2421" s="21">
        <f>Data!J2437</f>
        <v>0</v>
      </c>
      <c r="Q2421">
        <f>Data!K2437</f>
        <v>0</v>
      </c>
      <c r="R2421">
        <f>Data!L2437</f>
        <v>0</v>
      </c>
      <c r="S2421">
        <f>Data!M2437</f>
        <v>0</v>
      </c>
      <c r="T2421">
        <f>Data!N2437</f>
        <v>0</v>
      </c>
      <c r="U2421">
        <f>Data!O2437</f>
        <v>0</v>
      </c>
      <c r="V2421" s="33">
        <f>Data!P2435</f>
        <v>0</v>
      </c>
    </row>
    <row r="2422" spans="7:22" x14ac:dyDescent="0.25">
      <c r="G2422" cm="1">
        <f t="array" aca="1" ref="G2422" ca="1">INDIRECT("Data!A" &amp; 2417)</f>
        <v>0</v>
      </c>
      <c r="H2422" s="21">
        <f>Data!B2434</f>
        <v>0</v>
      </c>
      <c r="I2422" s="21">
        <f>Data!C2434</f>
        <v>0</v>
      </c>
      <c r="J2422">
        <f>Data!D2434</f>
        <v>0</v>
      </c>
      <c r="K2422">
        <f>Data!E2434</f>
        <v>0</v>
      </c>
      <c r="L2422">
        <f>Data!F2434</f>
        <v>0</v>
      </c>
      <c r="M2422">
        <f>Data!G2434</f>
        <v>0</v>
      </c>
      <c r="N2422">
        <f>Data!H2434</f>
        <v>0</v>
      </c>
      <c r="O2422">
        <f>Data!I2434</f>
        <v>0</v>
      </c>
      <c r="P2422" s="21">
        <f>Data!J2438</f>
        <v>0</v>
      </c>
      <c r="Q2422">
        <f>Data!K2438</f>
        <v>0</v>
      </c>
      <c r="R2422">
        <f>Data!L2438</f>
        <v>0</v>
      </c>
      <c r="S2422">
        <f>Data!M2438</f>
        <v>0</v>
      </c>
      <c r="T2422">
        <f>Data!N2438</f>
        <v>0</v>
      </c>
      <c r="U2422">
        <f>Data!O2438</f>
        <v>0</v>
      </c>
      <c r="V2422" s="33">
        <f>Data!P2436</f>
        <v>0</v>
      </c>
    </row>
    <row r="2423" spans="7:22" x14ac:dyDescent="0.25">
      <c r="G2423" cm="1">
        <f t="array" aca="1" ref="G2423" ca="1">INDIRECT("Data!A" &amp; 2418)</f>
        <v>0</v>
      </c>
      <c r="H2423" s="21">
        <f>Data!B2435</f>
        <v>0</v>
      </c>
      <c r="I2423" s="21">
        <f>Data!C2435</f>
        <v>0</v>
      </c>
      <c r="J2423">
        <f>Data!D2435</f>
        <v>0</v>
      </c>
      <c r="K2423">
        <f>Data!E2435</f>
        <v>0</v>
      </c>
      <c r="L2423">
        <f>Data!F2435</f>
        <v>0</v>
      </c>
      <c r="M2423">
        <f>Data!G2435</f>
        <v>0</v>
      </c>
      <c r="N2423">
        <f>Data!H2435</f>
        <v>0</v>
      </c>
      <c r="O2423">
        <f>Data!I2435</f>
        <v>0</v>
      </c>
      <c r="P2423" s="21">
        <f>Data!J2439</f>
        <v>0</v>
      </c>
      <c r="Q2423">
        <f>Data!K2439</f>
        <v>0</v>
      </c>
      <c r="R2423">
        <f>Data!L2439</f>
        <v>0</v>
      </c>
      <c r="S2423">
        <f>Data!M2439</f>
        <v>0</v>
      </c>
      <c r="T2423">
        <f>Data!N2439</f>
        <v>0</v>
      </c>
      <c r="U2423">
        <f>Data!O2439</f>
        <v>0</v>
      </c>
      <c r="V2423" s="33">
        <f>Data!P2437</f>
        <v>0</v>
      </c>
    </row>
    <row r="2424" spans="7:22" x14ac:dyDescent="0.25">
      <c r="G2424" cm="1">
        <f t="array" aca="1" ref="G2424" ca="1">INDIRECT("Data!A" &amp; 2419)</f>
        <v>0</v>
      </c>
      <c r="H2424" s="21">
        <f>Data!B2436</f>
        <v>0</v>
      </c>
      <c r="I2424" s="21">
        <f>Data!C2436</f>
        <v>0</v>
      </c>
      <c r="J2424">
        <f>Data!D2436</f>
        <v>0</v>
      </c>
      <c r="K2424">
        <f>Data!E2436</f>
        <v>0</v>
      </c>
      <c r="L2424">
        <f>Data!F2436</f>
        <v>0</v>
      </c>
      <c r="M2424">
        <f>Data!G2436</f>
        <v>0</v>
      </c>
      <c r="N2424">
        <f>Data!H2436</f>
        <v>0</v>
      </c>
      <c r="O2424">
        <f>Data!I2436</f>
        <v>0</v>
      </c>
      <c r="P2424" s="21">
        <f>Data!J2440</f>
        <v>0</v>
      </c>
      <c r="Q2424">
        <f>Data!K2440</f>
        <v>0</v>
      </c>
      <c r="R2424">
        <f>Data!L2440</f>
        <v>0</v>
      </c>
      <c r="S2424">
        <f>Data!M2440</f>
        <v>0</v>
      </c>
      <c r="T2424">
        <f>Data!N2440</f>
        <v>0</v>
      </c>
      <c r="U2424">
        <f>Data!O2440</f>
        <v>0</v>
      </c>
      <c r="V2424" s="33">
        <f>Data!P2438</f>
        <v>0</v>
      </c>
    </row>
    <row r="2425" spans="7:22" x14ac:dyDescent="0.25">
      <c r="G2425" cm="1">
        <f t="array" aca="1" ref="G2425" ca="1">INDIRECT("Data!A" &amp; 2420)</f>
        <v>0</v>
      </c>
      <c r="H2425" s="21">
        <f>Data!B2437</f>
        <v>0</v>
      </c>
      <c r="I2425" s="21">
        <f>Data!C2437</f>
        <v>0</v>
      </c>
      <c r="J2425">
        <f>Data!D2437</f>
        <v>0</v>
      </c>
      <c r="K2425">
        <f>Data!E2437</f>
        <v>0</v>
      </c>
      <c r="L2425">
        <f>Data!F2437</f>
        <v>0</v>
      </c>
      <c r="M2425">
        <f>Data!G2437</f>
        <v>0</v>
      </c>
      <c r="N2425">
        <f>Data!H2437</f>
        <v>0</v>
      </c>
      <c r="O2425">
        <f>Data!I2437</f>
        <v>0</v>
      </c>
      <c r="P2425" s="21">
        <f>Data!J2441</f>
        <v>0</v>
      </c>
      <c r="Q2425">
        <f>Data!K2441</f>
        <v>0</v>
      </c>
      <c r="R2425">
        <f>Data!L2441</f>
        <v>0</v>
      </c>
      <c r="S2425">
        <f>Data!M2441</f>
        <v>0</v>
      </c>
      <c r="T2425">
        <f>Data!N2441</f>
        <v>0</v>
      </c>
      <c r="U2425">
        <f>Data!O2441</f>
        <v>0</v>
      </c>
      <c r="V2425" s="33">
        <f>Data!P2439</f>
        <v>0</v>
      </c>
    </row>
    <row r="2426" spans="7:22" x14ac:dyDescent="0.25">
      <c r="G2426" cm="1">
        <f t="array" aca="1" ref="G2426" ca="1">INDIRECT("Data!A" &amp; 2421)</f>
        <v>0</v>
      </c>
      <c r="H2426" s="21">
        <f>Data!B2438</f>
        <v>0</v>
      </c>
      <c r="I2426" s="21">
        <f>Data!C2438</f>
        <v>0</v>
      </c>
      <c r="J2426">
        <f>Data!D2438</f>
        <v>0</v>
      </c>
      <c r="K2426">
        <f>Data!E2438</f>
        <v>0</v>
      </c>
      <c r="L2426">
        <f>Data!F2438</f>
        <v>0</v>
      </c>
      <c r="M2426">
        <f>Data!G2438</f>
        <v>0</v>
      </c>
      <c r="N2426">
        <f>Data!H2438</f>
        <v>0</v>
      </c>
      <c r="O2426">
        <f>Data!I2438</f>
        <v>0</v>
      </c>
      <c r="P2426" s="21">
        <f>Data!J2442</f>
        <v>0</v>
      </c>
      <c r="Q2426">
        <f>Data!K2442</f>
        <v>0</v>
      </c>
      <c r="R2426">
        <f>Data!L2442</f>
        <v>0</v>
      </c>
      <c r="S2426">
        <f>Data!M2442</f>
        <v>0</v>
      </c>
      <c r="T2426">
        <f>Data!N2442</f>
        <v>0</v>
      </c>
      <c r="U2426">
        <f>Data!O2442</f>
        <v>0</v>
      </c>
      <c r="V2426" s="33">
        <f>Data!P2440</f>
        <v>0</v>
      </c>
    </row>
    <row r="2427" spans="7:22" x14ac:dyDescent="0.25">
      <c r="G2427" cm="1">
        <f t="array" aca="1" ref="G2427" ca="1">INDIRECT("Data!A" &amp; 2422)</f>
        <v>0</v>
      </c>
      <c r="H2427" s="21">
        <f>Data!B2439</f>
        <v>0</v>
      </c>
      <c r="I2427" s="21">
        <f>Data!C2439</f>
        <v>0</v>
      </c>
      <c r="J2427">
        <f>Data!D2439</f>
        <v>0</v>
      </c>
      <c r="K2427">
        <f>Data!E2439</f>
        <v>0</v>
      </c>
      <c r="L2427">
        <f>Data!F2439</f>
        <v>0</v>
      </c>
      <c r="M2427">
        <f>Data!G2439</f>
        <v>0</v>
      </c>
      <c r="N2427">
        <f>Data!H2439</f>
        <v>0</v>
      </c>
      <c r="O2427">
        <f>Data!I2439</f>
        <v>0</v>
      </c>
      <c r="P2427" s="21">
        <f>Data!J2443</f>
        <v>0</v>
      </c>
      <c r="Q2427">
        <f>Data!K2443</f>
        <v>0</v>
      </c>
      <c r="R2427">
        <f>Data!L2443</f>
        <v>0</v>
      </c>
      <c r="S2427">
        <f>Data!M2443</f>
        <v>0</v>
      </c>
      <c r="T2427">
        <f>Data!N2443</f>
        <v>0</v>
      </c>
      <c r="U2427">
        <f>Data!O2443</f>
        <v>0</v>
      </c>
      <c r="V2427" s="33">
        <f>Data!P2441</f>
        <v>0</v>
      </c>
    </row>
    <row r="2428" spans="7:22" x14ac:dyDescent="0.25">
      <c r="G2428" cm="1">
        <f t="array" aca="1" ref="G2428" ca="1">INDIRECT("Data!A" &amp; 2423)</f>
        <v>0</v>
      </c>
      <c r="H2428" s="21">
        <f>Data!B2440</f>
        <v>0</v>
      </c>
      <c r="I2428" s="21">
        <f>Data!C2440</f>
        <v>0</v>
      </c>
      <c r="J2428">
        <f>Data!D2440</f>
        <v>0</v>
      </c>
      <c r="K2428">
        <f>Data!E2440</f>
        <v>0</v>
      </c>
      <c r="L2428">
        <f>Data!F2440</f>
        <v>0</v>
      </c>
      <c r="M2428">
        <f>Data!G2440</f>
        <v>0</v>
      </c>
      <c r="N2428">
        <f>Data!H2440</f>
        <v>0</v>
      </c>
      <c r="O2428">
        <f>Data!I2440</f>
        <v>0</v>
      </c>
      <c r="P2428" s="21">
        <f>Data!J2444</f>
        <v>0</v>
      </c>
      <c r="Q2428">
        <f>Data!K2444</f>
        <v>0</v>
      </c>
      <c r="R2428">
        <f>Data!L2444</f>
        <v>0</v>
      </c>
      <c r="S2428">
        <f>Data!M2444</f>
        <v>0</v>
      </c>
      <c r="T2428">
        <f>Data!N2444</f>
        <v>0</v>
      </c>
      <c r="U2428">
        <f>Data!O2444</f>
        <v>0</v>
      </c>
      <c r="V2428" s="33">
        <f>Data!P2442</f>
        <v>0</v>
      </c>
    </row>
    <row r="2429" spans="7:22" x14ac:dyDescent="0.25">
      <c r="G2429" cm="1">
        <f t="array" aca="1" ref="G2429" ca="1">INDIRECT("Data!A" &amp; 2424)</f>
        <v>0</v>
      </c>
      <c r="H2429" s="21">
        <f>Data!B2441</f>
        <v>0</v>
      </c>
      <c r="I2429" s="21">
        <f>Data!C2441</f>
        <v>0</v>
      </c>
      <c r="J2429">
        <f>Data!D2441</f>
        <v>0</v>
      </c>
      <c r="K2429">
        <f>Data!E2441</f>
        <v>0</v>
      </c>
      <c r="L2429">
        <f>Data!F2441</f>
        <v>0</v>
      </c>
      <c r="M2429">
        <f>Data!G2441</f>
        <v>0</v>
      </c>
      <c r="N2429">
        <f>Data!H2441</f>
        <v>0</v>
      </c>
      <c r="O2429">
        <f>Data!I2441</f>
        <v>0</v>
      </c>
      <c r="P2429" s="21">
        <f>Data!J2445</f>
        <v>0</v>
      </c>
      <c r="Q2429">
        <f>Data!K2445</f>
        <v>0</v>
      </c>
      <c r="R2429">
        <f>Data!L2445</f>
        <v>0</v>
      </c>
      <c r="S2429">
        <f>Data!M2445</f>
        <v>0</v>
      </c>
      <c r="T2429">
        <f>Data!N2445</f>
        <v>0</v>
      </c>
      <c r="U2429">
        <f>Data!O2445</f>
        <v>0</v>
      </c>
      <c r="V2429" s="33">
        <f>Data!P2443</f>
        <v>0</v>
      </c>
    </row>
    <row r="2430" spans="7:22" x14ac:dyDescent="0.25">
      <c r="G2430" cm="1">
        <f t="array" aca="1" ref="G2430" ca="1">INDIRECT("Data!A" &amp; 2425)</f>
        <v>0</v>
      </c>
      <c r="H2430" s="21">
        <f>Data!B2442</f>
        <v>0</v>
      </c>
      <c r="I2430" s="21">
        <f>Data!C2442</f>
        <v>0</v>
      </c>
      <c r="J2430">
        <f>Data!D2442</f>
        <v>0</v>
      </c>
      <c r="K2430">
        <f>Data!E2442</f>
        <v>0</v>
      </c>
      <c r="L2430">
        <f>Data!F2442</f>
        <v>0</v>
      </c>
      <c r="M2430">
        <f>Data!G2442</f>
        <v>0</v>
      </c>
      <c r="N2430">
        <f>Data!H2442</f>
        <v>0</v>
      </c>
      <c r="O2430">
        <f>Data!I2442</f>
        <v>0</v>
      </c>
      <c r="P2430" s="21">
        <f>Data!J2446</f>
        <v>0</v>
      </c>
      <c r="Q2430">
        <f>Data!K2446</f>
        <v>0</v>
      </c>
      <c r="R2430">
        <f>Data!L2446</f>
        <v>0</v>
      </c>
      <c r="S2430">
        <f>Data!M2446</f>
        <v>0</v>
      </c>
      <c r="T2430">
        <f>Data!N2446</f>
        <v>0</v>
      </c>
      <c r="U2430">
        <f>Data!O2446</f>
        <v>0</v>
      </c>
      <c r="V2430" s="33">
        <f>Data!P2444</f>
        <v>0</v>
      </c>
    </row>
    <row r="2431" spans="7:22" x14ac:dyDescent="0.25">
      <c r="G2431" cm="1">
        <f t="array" aca="1" ref="G2431" ca="1">INDIRECT("Data!A" &amp; 2426)</f>
        <v>0</v>
      </c>
      <c r="H2431" s="21">
        <f>Data!B2443</f>
        <v>0</v>
      </c>
      <c r="I2431" s="21">
        <f>Data!C2443</f>
        <v>0</v>
      </c>
      <c r="J2431">
        <f>Data!D2443</f>
        <v>0</v>
      </c>
      <c r="K2431">
        <f>Data!E2443</f>
        <v>0</v>
      </c>
      <c r="L2431">
        <f>Data!F2443</f>
        <v>0</v>
      </c>
      <c r="M2431">
        <f>Data!G2443</f>
        <v>0</v>
      </c>
      <c r="N2431">
        <f>Data!H2443</f>
        <v>0</v>
      </c>
      <c r="O2431">
        <f>Data!I2443</f>
        <v>0</v>
      </c>
      <c r="P2431" s="21">
        <f>Data!J2447</f>
        <v>0</v>
      </c>
      <c r="Q2431">
        <f>Data!K2447</f>
        <v>0</v>
      </c>
      <c r="R2431">
        <f>Data!L2447</f>
        <v>0</v>
      </c>
      <c r="S2431">
        <f>Data!M2447</f>
        <v>0</v>
      </c>
      <c r="T2431">
        <f>Data!N2447</f>
        <v>0</v>
      </c>
      <c r="U2431">
        <f>Data!O2447</f>
        <v>0</v>
      </c>
      <c r="V2431" s="33">
        <f>Data!P2445</f>
        <v>0</v>
      </c>
    </row>
    <row r="2432" spans="7:22" x14ac:dyDescent="0.25">
      <c r="G2432" cm="1">
        <f t="array" aca="1" ref="G2432" ca="1">INDIRECT("Data!A" &amp; 2427)</f>
        <v>0</v>
      </c>
      <c r="H2432" s="21">
        <f>Data!B2444</f>
        <v>0</v>
      </c>
      <c r="I2432" s="21">
        <f>Data!C2444</f>
        <v>0</v>
      </c>
      <c r="J2432">
        <f>Data!D2444</f>
        <v>0</v>
      </c>
      <c r="K2432">
        <f>Data!E2444</f>
        <v>0</v>
      </c>
      <c r="L2432">
        <f>Data!F2444</f>
        <v>0</v>
      </c>
      <c r="M2432">
        <f>Data!G2444</f>
        <v>0</v>
      </c>
      <c r="N2432">
        <f>Data!H2444</f>
        <v>0</v>
      </c>
      <c r="O2432">
        <f>Data!I2444</f>
        <v>0</v>
      </c>
      <c r="P2432" s="21">
        <f>Data!J2448</f>
        <v>0</v>
      </c>
      <c r="Q2432">
        <f>Data!K2448</f>
        <v>0</v>
      </c>
      <c r="R2432">
        <f>Data!L2448</f>
        <v>0</v>
      </c>
      <c r="S2432">
        <f>Data!M2448</f>
        <v>0</v>
      </c>
      <c r="T2432">
        <f>Data!N2448</f>
        <v>0</v>
      </c>
      <c r="U2432">
        <f>Data!O2448</f>
        <v>0</v>
      </c>
      <c r="V2432" s="33">
        <f>Data!P2446</f>
        <v>0</v>
      </c>
    </row>
    <row r="2433" spans="7:22" x14ac:dyDescent="0.25">
      <c r="G2433" cm="1">
        <f t="array" aca="1" ref="G2433" ca="1">INDIRECT("Data!A" &amp; 2428)</f>
        <v>0</v>
      </c>
      <c r="H2433" s="21">
        <f>Data!B2445</f>
        <v>0</v>
      </c>
      <c r="I2433" s="21">
        <f>Data!C2445</f>
        <v>0</v>
      </c>
      <c r="J2433">
        <f>Data!D2445</f>
        <v>0</v>
      </c>
      <c r="K2433">
        <f>Data!E2445</f>
        <v>0</v>
      </c>
      <c r="L2433">
        <f>Data!F2445</f>
        <v>0</v>
      </c>
      <c r="M2433">
        <f>Data!G2445</f>
        <v>0</v>
      </c>
      <c r="N2433">
        <f>Data!H2445</f>
        <v>0</v>
      </c>
      <c r="O2433">
        <f>Data!I2445</f>
        <v>0</v>
      </c>
      <c r="P2433" s="21">
        <f>Data!J2449</f>
        <v>0</v>
      </c>
      <c r="Q2433">
        <f>Data!K2449</f>
        <v>0</v>
      </c>
      <c r="R2433">
        <f>Data!L2449</f>
        <v>0</v>
      </c>
      <c r="S2433">
        <f>Data!M2449</f>
        <v>0</v>
      </c>
      <c r="T2433">
        <f>Data!N2449</f>
        <v>0</v>
      </c>
      <c r="U2433">
        <f>Data!O2449</f>
        <v>0</v>
      </c>
      <c r="V2433" s="33">
        <f>Data!P2447</f>
        <v>0</v>
      </c>
    </row>
    <row r="2434" spans="7:22" x14ac:dyDescent="0.25">
      <c r="G2434" cm="1">
        <f t="array" aca="1" ref="G2434" ca="1">INDIRECT("Data!A" &amp; 2429)</f>
        <v>0</v>
      </c>
      <c r="H2434" s="21">
        <f>Data!B2446</f>
        <v>0</v>
      </c>
      <c r="I2434" s="21">
        <f>Data!C2446</f>
        <v>0</v>
      </c>
      <c r="J2434">
        <f>Data!D2446</f>
        <v>0</v>
      </c>
      <c r="K2434">
        <f>Data!E2446</f>
        <v>0</v>
      </c>
      <c r="L2434">
        <f>Data!F2446</f>
        <v>0</v>
      </c>
      <c r="M2434">
        <f>Data!G2446</f>
        <v>0</v>
      </c>
      <c r="N2434">
        <f>Data!H2446</f>
        <v>0</v>
      </c>
      <c r="O2434">
        <f>Data!I2446</f>
        <v>0</v>
      </c>
      <c r="P2434" s="21">
        <f>Data!J2450</f>
        <v>0</v>
      </c>
      <c r="Q2434">
        <f>Data!K2450</f>
        <v>0</v>
      </c>
      <c r="R2434">
        <f>Data!L2450</f>
        <v>0</v>
      </c>
      <c r="S2434">
        <f>Data!M2450</f>
        <v>0</v>
      </c>
      <c r="T2434">
        <f>Data!N2450</f>
        <v>0</v>
      </c>
      <c r="U2434">
        <f>Data!O2450</f>
        <v>0</v>
      </c>
      <c r="V2434" s="33">
        <f>Data!P2448</f>
        <v>0</v>
      </c>
    </row>
    <row r="2435" spans="7:22" x14ac:dyDescent="0.25">
      <c r="G2435" cm="1">
        <f t="array" aca="1" ref="G2435" ca="1">INDIRECT("Data!A" &amp; 2430)</f>
        <v>0</v>
      </c>
      <c r="H2435" s="21">
        <f>Data!B2447</f>
        <v>0</v>
      </c>
      <c r="I2435" s="21">
        <f>Data!C2447</f>
        <v>0</v>
      </c>
      <c r="J2435">
        <f>Data!D2447</f>
        <v>0</v>
      </c>
      <c r="K2435">
        <f>Data!E2447</f>
        <v>0</v>
      </c>
      <c r="L2435">
        <f>Data!F2447</f>
        <v>0</v>
      </c>
      <c r="M2435">
        <f>Data!G2447</f>
        <v>0</v>
      </c>
      <c r="N2435">
        <f>Data!H2447</f>
        <v>0</v>
      </c>
      <c r="O2435">
        <f>Data!I2447</f>
        <v>0</v>
      </c>
      <c r="P2435" s="21">
        <f>Data!J2451</f>
        <v>0</v>
      </c>
      <c r="Q2435">
        <f>Data!K2451</f>
        <v>0</v>
      </c>
      <c r="R2435">
        <f>Data!L2451</f>
        <v>0</v>
      </c>
      <c r="S2435">
        <f>Data!M2451</f>
        <v>0</v>
      </c>
      <c r="T2435">
        <f>Data!N2451</f>
        <v>0</v>
      </c>
      <c r="U2435">
        <f>Data!O2451</f>
        <v>0</v>
      </c>
      <c r="V2435" s="33">
        <f>Data!P2449</f>
        <v>0</v>
      </c>
    </row>
    <row r="2436" spans="7:22" x14ac:dyDescent="0.25">
      <c r="G2436" cm="1">
        <f t="array" aca="1" ref="G2436" ca="1">INDIRECT("Data!A" &amp; 2431)</f>
        <v>0</v>
      </c>
      <c r="H2436" s="21">
        <f>Data!B2448</f>
        <v>0</v>
      </c>
      <c r="I2436" s="21">
        <f>Data!C2448</f>
        <v>0</v>
      </c>
      <c r="J2436">
        <f>Data!D2448</f>
        <v>0</v>
      </c>
      <c r="K2436">
        <f>Data!E2448</f>
        <v>0</v>
      </c>
      <c r="L2436">
        <f>Data!F2448</f>
        <v>0</v>
      </c>
      <c r="M2436">
        <f>Data!G2448</f>
        <v>0</v>
      </c>
      <c r="N2436">
        <f>Data!H2448</f>
        <v>0</v>
      </c>
      <c r="O2436">
        <f>Data!I2448</f>
        <v>0</v>
      </c>
      <c r="P2436" s="21">
        <f>Data!J2452</f>
        <v>0</v>
      </c>
      <c r="Q2436">
        <f>Data!K2452</f>
        <v>0</v>
      </c>
      <c r="R2436">
        <f>Data!L2452</f>
        <v>0</v>
      </c>
      <c r="S2436">
        <f>Data!M2452</f>
        <v>0</v>
      </c>
      <c r="T2436">
        <f>Data!N2452</f>
        <v>0</v>
      </c>
      <c r="U2436">
        <f>Data!O2452</f>
        <v>0</v>
      </c>
      <c r="V2436" s="33">
        <f>Data!P2450</f>
        <v>0</v>
      </c>
    </row>
    <row r="2437" spans="7:22" x14ac:dyDescent="0.25">
      <c r="G2437" cm="1">
        <f t="array" aca="1" ref="G2437" ca="1">INDIRECT("Data!A" &amp; 2432)</f>
        <v>0</v>
      </c>
      <c r="H2437" s="21">
        <f>Data!B2449</f>
        <v>0</v>
      </c>
      <c r="I2437" s="21">
        <f>Data!C2449</f>
        <v>0</v>
      </c>
      <c r="J2437">
        <f>Data!D2449</f>
        <v>0</v>
      </c>
      <c r="K2437">
        <f>Data!E2449</f>
        <v>0</v>
      </c>
      <c r="L2437">
        <f>Data!F2449</f>
        <v>0</v>
      </c>
      <c r="M2437">
        <f>Data!G2449</f>
        <v>0</v>
      </c>
      <c r="N2437">
        <f>Data!H2449</f>
        <v>0</v>
      </c>
      <c r="O2437">
        <f>Data!I2449</f>
        <v>0</v>
      </c>
      <c r="P2437" s="21">
        <f>Data!J2453</f>
        <v>0</v>
      </c>
      <c r="Q2437">
        <f>Data!K2453</f>
        <v>0</v>
      </c>
      <c r="R2437">
        <f>Data!L2453</f>
        <v>0</v>
      </c>
      <c r="S2437">
        <f>Data!M2453</f>
        <v>0</v>
      </c>
      <c r="T2437">
        <f>Data!N2453</f>
        <v>0</v>
      </c>
      <c r="U2437">
        <f>Data!O2453</f>
        <v>0</v>
      </c>
      <c r="V2437" s="33">
        <f>Data!P2451</f>
        <v>0</v>
      </c>
    </row>
    <row r="2438" spans="7:22" x14ac:dyDescent="0.25">
      <c r="G2438" cm="1">
        <f t="array" aca="1" ref="G2438" ca="1">INDIRECT("Data!A" &amp; 2433)</f>
        <v>0</v>
      </c>
      <c r="H2438" s="21">
        <f>Data!B2450</f>
        <v>0</v>
      </c>
      <c r="I2438" s="21">
        <f>Data!C2450</f>
        <v>0</v>
      </c>
      <c r="J2438">
        <f>Data!D2450</f>
        <v>0</v>
      </c>
      <c r="K2438">
        <f>Data!E2450</f>
        <v>0</v>
      </c>
      <c r="L2438">
        <f>Data!F2450</f>
        <v>0</v>
      </c>
      <c r="M2438">
        <f>Data!G2450</f>
        <v>0</v>
      </c>
      <c r="N2438">
        <f>Data!H2450</f>
        <v>0</v>
      </c>
      <c r="O2438">
        <f>Data!I2450</f>
        <v>0</v>
      </c>
      <c r="P2438" s="21">
        <f>Data!J2454</f>
        <v>0</v>
      </c>
      <c r="Q2438">
        <f>Data!K2454</f>
        <v>0</v>
      </c>
      <c r="R2438">
        <f>Data!L2454</f>
        <v>0</v>
      </c>
      <c r="S2438">
        <f>Data!M2454</f>
        <v>0</v>
      </c>
      <c r="T2438">
        <f>Data!N2454</f>
        <v>0</v>
      </c>
      <c r="U2438">
        <f>Data!O2454</f>
        <v>0</v>
      </c>
      <c r="V2438" s="33">
        <f>Data!P2452</f>
        <v>0</v>
      </c>
    </row>
    <row r="2439" spans="7:22" x14ac:dyDescent="0.25">
      <c r="G2439" cm="1">
        <f t="array" aca="1" ref="G2439" ca="1">INDIRECT("Data!A" &amp; 2434)</f>
        <v>0</v>
      </c>
      <c r="H2439" s="21">
        <f>Data!B2451</f>
        <v>0</v>
      </c>
      <c r="I2439" s="21">
        <f>Data!C2451</f>
        <v>0</v>
      </c>
      <c r="J2439">
        <f>Data!D2451</f>
        <v>0</v>
      </c>
      <c r="K2439">
        <f>Data!E2451</f>
        <v>0</v>
      </c>
      <c r="L2439">
        <f>Data!F2451</f>
        <v>0</v>
      </c>
      <c r="M2439">
        <f>Data!G2451</f>
        <v>0</v>
      </c>
      <c r="N2439">
        <f>Data!H2451</f>
        <v>0</v>
      </c>
      <c r="O2439">
        <f>Data!I2451</f>
        <v>0</v>
      </c>
      <c r="P2439" s="21">
        <f>Data!J2455</f>
        <v>0</v>
      </c>
      <c r="Q2439">
        <f>Data!K2455</f>
        <v>0</v>
      </c>
      <c r="R2439">
        <f>Data!L2455</f>
        <v>0</v>
      </c>
      <c r="S2439">
        <f>Data!M2455</f>
        <v>0</v>
      </c>
      <c r="T2439">
        <f>Data!N2455</f>
        <v>0</v>
      </c>
      <c r="U2439">
        <f>Data!O2455</f>
        <v>0</v>
      </c>
      <c r="V2439" s="33">
        <f>Data!P2453</f>
        <v>0</v>
      </c>
    </row>
    <row r="2440" spans="7:22" x14ac:dyDescent="0.25">
      <c r="G2440" cm="1">
        <f t="array" aca="1" ref="G2440" ca="1">INDIRECT("Data!A" &amp; 2435)</f>
        <v>0</v>
      </c>
      <c r="H2440" s="21">
        <f>Data!B2452</f>
        <v>0</v>
      </c>
      <c r="I2440" s="21">
        <f>Data!C2452</f>
        <v>0</v>
      </c>
      <c r="J2440">
        <f>Data!D2452</f>
        <v>0</v>
      </c>
      <c r="K2440">
        <f>Data!E2452</f>
        <v>0</v>
      </c>
      <c r="L2440">
        <f>Data!F2452</f>
        <v>0</v>
      </c>
      <c r="M2440">
        <f>Data!G2452</f>
        <v>0</v>
      </c>
      <c r="N2440">
        <f>Data!H2452</f>
        <v>0</v>
      </c>
      <c r="O2440">
        <f>Data!I2452</f>
        <v>0</v>
      </c>
      <c r="P2440" s="21">
        <f>Data!J2456</f>
        <v>0</v>
      </c>
      <c r="Q2440">
        <f>Data!K2456</f>
        <v>0</v>
      </c>
      <c r="R2440">
        <f>Data!L2456</f>
        <v>0</v>
      </c>
      <c r="S2440">
        <f>Data!M2456</f>
        <v>0</v>
      </c>
      <c r="T2440">
        <f>Data!N2456</f>
        <v>0</v>
      </c>
      <c r="U2440">
        <f>Data!O2456</f>
        <v>0</v>
      </c>
      <c r="V2440" s="33">
        <f>Data!P2454</f>
        <v>0</v>
      </c>
    </row>
    <row r="2441" spans="7:22" x14ac:dyDescent="0.25">
      <c r="G2441" cm="1">
        <f t="array" aca="1" ref="G2441" ca="1">INDIRECT("Data!A" &amp; 2436)</f>
        <v>0</v>
      </c>
      <c r="H2441" s="21">
        <f>Data!B2453</f>
        <v>0</v>
      </c>
      <c r="I2441" s="21">
        <f>Data!C2453</f>
        <v>0</v>
      </c>
      <c r="J2441">
        <f>Data!D2453</f>
        <v>0</v>
      </c>
      <c r="K2441">
        <f>Data!E2453</f>
        <v>0</v>
      </c>
      <c r="L2441">
        <f>Data!F2453</f>
        <v>0</v>
      </c>
      <c r="M2441">
        <f>Data!G2453</f>
        <v>0</v>
      </c>
      <c r="N2441">
        <f>Data!H2453</f>
        <v>0</v>
      </c>
      <c r="O2441">
        <f>Data!I2453</f>
        <v>0</v>
      </c>
      <c r="P2441" s="21">
        <f>Data!J2457</f>
        <v>0</v>
      </c>
      <c r="Q2441">
        <f>Data!K2457</f>
        <v>0</v>
      </c>
      <c r="R2441">
        <f>Data!L2457</f>
        <v>0</v>
      </c>
      <c r="S2441">
        <f>Data!M2457</f>
        <v>0</v>
      </c>
      <c r="T2441">
        <f>Data!N2457</f>
        <v>0</v>
      </c>
      <c r="U2441">
        <f>Data!O2457</f>
        <v>0</v>
      </c>
      <c r="V2441" s="33">
        <f>Data!P2455</f>
        <v>0</v>
      </c>
    </row>
    <row r="2442" spans="7:22" x14ac:dyDescent="0.25">
      <c r="G2442" cm="1">
        <f t="array" aca="1" ref="G2442" ca="1">INDIRECT("Data!A" &amp; 2437)</f>
        <v>0</v>
      </c>
      <c r="H2442" s="21">
        <f>Data!B2454</f>
        <v>0</v>
      </c>
      <c r="I2442" s="21">
        <f>Data!C2454</f>
        <v>0</v>
      </c>
      <c r="J2442">
        <f>Data!D2454</f>
        <v>0</v>
      </c>
      <c r="K2442">
        <f>Data!E2454</f>
        <v>0</v>
      </c>
      <c r="L2442">
        <f>Data!F2454</f>
        <v>0</v>
      </c>
      <c r="M2442">
        <f>Data!G2454</f>
        <v>0</v>
      </c>
      <c r="N2442">
        <f>Data!H2454</f>
        <v>0</v>
      </c>
      <c r="O2442">
        <f>Data!I2454</f>
        <v>0</v>
      </c>
      <c r="P2442" s="21">
        <f>Data!J2458</f>
        <v>0</v>
      </c>
      <c r="Q2442">
        <f>Data!K2458</f>
        <v>0</v>
      </c>
      <c r="R2442">
        <f>Data!L2458</f>
        <v>0</v>
      </c>
      <c r="S2442">
        <f>Data!M2458</f>
        <v>0</v>
      </c>
      <c r="T2442">
        <f>Data!N2458</f>
        <v>0</v>
      </c>
      <c r="U2442">
        <f>Data!O2458</f>
        <v>0</v>
      </c>
      <c r="V2442" s="33">
        <f>Data!P2456</f>
        <v>0</v>
      </c>
    </row>
    <row r="2443" spans="7:22" x14ac:dyDescent="0.25">
      <c r="G2443" cm="1">
        <f t="array" aca="1" ref="G2443" ca="1">INDIRECT("Data!A" &amp; 2438)</f>
        <v>0</v>
      </c>
      <c r="H2443" s="21">
        <f>Data!B2455</f>
        <v>0</v>
      </c>
      <c r="I2443" s="21">
        <f>Data!C2455</f>
        <v>0</v>
      </c>
      <c r="J2443">
        <f>Data!D2455</f>
        <v>0</v>
      </c>
      <c r="K2443">
        <f>Data!E2455</f>
        <v>0</v>
      </c>
      <c r="L2443">
        <f>Data!F2455</f>
        <v>0</v>
      </c>
      <c r="M2443">
        <f>Data!G2455</f>
        <v>0</v>
      </c>
      <c r="N2443">
        <f>Data!H2455</f>
        <v>0</v>
      </c>
      <c r="O2443">
        <f>Data!I2455</f>
        <v>0</v>
      </c>
      <c r="P2443" s="21">
        <f>Data!J2459</f>
        <v>0</v>
      </c>
      <c r="Q2443">
        <f>Data!K2459</f>
        <v>0</v>
      </c>
      <c r="R2443">
        <f>Data!L2459</f>
        <v>0</v>
      </c>
      <c r="S2443">
        <f>Data!M2459</f>
        <v>0</v>
      </c>
      <c r="T2443">
        <f>Data!N2459</f>
        <v>0</v>
      </c>
      <c r="U2443">
        <f>Data!O2459</f>
        <v>0</v>
      </c>
      <c r="V2443" s="33">
        <f>Data!P2457</f>
        <v>0</v>
      </c>
    </row>
    <row r="2444" spans="7:22" x14ac:dyDescent="0.25">
      <c r="G2444" cm="1">
        <f t="array" aca="1" ref="G2444" ca="1">INDIRECT("Data!A" &amp; 2439)</f>
        <v>0</v>
      </c>
      <c r="H2444" s="21">
        <f>Data!B2456</f>
        <v>0</v>
      </c>
      <c r="I2444" s="21">
        <f>Data!C2456</f>
        <v>0</v>
      </c>
      <c r="J2444">
        <f>Data!D2456</f>
        <v>0</v>
      </c>
      <c r="K2444">
        <f>Data!E2456</f>
        <v>0</v>
      </c>
      <c r="L2444">
        <f>Data!F2456</f>
        <v>0</v>
      </c>
      <c r="M2444">
        <f>Data!G2456</f>
        <v>0</v>
      </c>
      <c r="N2444">
        <f>Data!H2456</f>
        <v>0</v>
      </c>
      <c r="O2444">
        <f>Data!I2456</f>
        <v>0</v>
      </c>
      <c r="P2444" s="21">
        <f>Data!J2460</f>
        <v>0</v>
      </c>
      <c r="Q2444">
        <f>Data!K2460</f>
        <v>0</v>
      </c>
      <c r="R2444">
        <f>Data!L2460</f>
        <v>0</v>
      </c>
      <c r="S2444">
        <f>Data!M2460</f>
        <v>0</v>
      </c>
      <c r="T2444">
        <f>Data!N2460</f>
        <v>0</v>
      </c>
      <c r="U2444">
        <f>Data!O2460</f>
        <v>0</v>
      </c>
      <c r="V2444" s="33">
        <f>Data!P2458</f>
        <v>0</v>
      </c>
    </row>
    <row r="2445" spans="7:22" x14ac:dyDescent="0.25">
      <c r="G2445" cm="1">
        <f t="array" aca="1" ref="G2445" ca="1">INDIRECT("Data!A" &amp; 2440)</f>
        <v>0</v>
      </c>
      <c r="H2445" s="21">
        <f>Data!B2457</f>
        <v>0</v>
      </c>
      <c r="I2445" s="21">
        <f>Data!C2457</f>
        <v>0</v>
      </c>
      <c r="J2445">
        <f>Data!D2457</f>
        <v>0</v>
      </c>
      <c r="K2445">
        <f>Data!E2457</f>
        <v>0</v>
      </c>
      <c r="L2445">
        <f>Data!F2457</f>
        <v>0</v>
      </c>
      <c r="M2445">
        <f>Data!G2457</f>
        <v>0</v>
      </c>
      <c r="N2445">
        <f>Data!H2457</f>
        <v>0</v>
      </c>
      <c r="O2445">
        <f>Data!I2457</f>
        <v>0</v>
      </c>
      <c r="P2445" s="21">
        <f>Data!J2461</f>
        <v>0</v>
      </c>
      <c r="Q2445">
        <f>Data!K2461</f>
        <v>0</v>
      </c>
      <c r="R2445">
        <f>Data!L2461</f>
        <v>0</v>
      </c>
      <c r="S2445">
        <f>Data!M2461</f>
        <v>0</v>
      </c>
      <c r="T2445">
        <f>Data!N2461</f>
        <v>0</v>
      </c>
      <c r="U2445">
        <f>Data!O2461</f>
        <v>0</v>
      </c>
      <c r="V2445" s="33">
        <f>Data!P2459</f>
        <v>0</v>
      </c>
    </row>
    <row r="2446" spans="7:22" x14ac:dyDescent="0.25">
      <c r="G2446" cm="1">
        <f t="array" aca="1" ref="G2446" ca="1">INDIRECT("Data!A" &amp; 2441)</f>
        <v>0</v>
      </c>
      <c r="H2446" s="21">
        <f>Data!B2458</f>
        <v>0</v>
      </c>
      <c r="I2446" s="21">
        <f>Data!C2458</f>
        <v>0</v>
      </c>
      <c r="J2446">
        <f>Data!D2458</f>
        <v>0</v>
      </c>
      <c r="K2446">
        <f>Data!E2458</f>
        <v>0</v>
      </c>
      <c r="L2446">
        <f>Data!F2458</f>
        <v>0</v>
      </c>
      <c r="M2446">
        <f>Data!G2458</f>
        <v>0</v>
      </c>
      <c r="N2446">
        <f>Data!H2458</f>
        <v>0</v>
      </c>
      <c r="O2446">
        <f>Data!I2458</f>
        <v>0</v>
      </c>
      <c r="P2446" s="21">
        <f>Data!J2462</f>
        <v>0</v>
      </c>
      <c r="Q2446">
        <f>Data!K2462</f>
        <v>0</v>
      </c>
      <c r="R2446">
        <f>Data!L2462</f>
        <v>0</v>
      </c>
      <c r="S2446">
        <f>Data!M2462</f>
        <v>0</v>
      </c>
      <c r="T2446">
        <f>Data!N2462</f>
        <v>0</v>
      </c>
      <c r="U2446">
        <f>Data!O2462</f>
        <v>0</v>
      </c>
      <c r="V2446" s="33">
        <f>Data!P2460</f>
        <v>0</v>
      </c>
    </row>
    <row r="2447" spans="7:22" x14ac:dyDescent="0.25">
      <c r="G2447" cm="1">
        <f t="array" aca="1" ref="G2447" ca="1">INDIRECT("Data!A" &amp; 2442)</f>
        <v>0</v>
      </c>
      <c r="H2447" s="21">
        <f>Data!B2459</f>
        <v>0</v>
      </c>
      <c r="I2447" s="21">
        <f>Data!C2459</f>
        <v>0</v>
      </c>
      <c r="J2447">
        <f>Data!D2459</f>
        <v>0</v>
      </c>
      <c r="K2447">
        <f>Data!E2459</f>
        <v>0</v>
      </c>
      <c r="L2447">
        <f>Data!F2459</f>
        <v>0</v>
      </c>
      <c r="M2447">
        <f>Data!G2459</f>
        <v>0</v>
      </c>
      <c r="N2447">
        <f>Data!H2459</f>
        <v>0</v>
      </c>
      <c r="O2447">
        <f>Data!I2459</f>
        <v>0</v>
      </c>
      <c r="P2447" s="21">
        <f>Data!J2463</f>
        <v>0</v>
      </c>
      <c r="Q2447">
        <f>Data!K2463</f>
        <v>0</v>
      </c>
      <c r="R2447">
        <f>Data!L2463</f>
        <v>0</v>
      </c>
      <c r="S2447">
        <f>Data!M2463</f>
        <v>0</v>
      </c>
      <c r="T2447">
        <f>Data!N2463</f>
        <v>0</v>
      </c>
      <c r="U2447">
        <f>Data!O2463</f>
        <v>0</v>
      </c>
      <c r="V2447" s="33">
        <f>Data!P2461</f>
        <v>0</v>
      </c>
    </row>
    <row r="2448" spans="7:22" x14ac:dyDescent="0.25">
      <c r="G2448" cm="1">
        <f t="array" aca="1" ref="G2448" ca="1">INDIRECT("Data!A" &amp; 2443)</f>
        <v>0</v>
      </c>
      <c r="H2448" s="21">
        <f>Data!B2460</f>
        <v>0</v>
      </c>
      <c r="I2448" s="21">
        <f>Data!C2460</f>
        <v>0</v>
      </c>
      <c r="J2448">
        <f>Data!D2460</f>
        <v>0</v>
      </c>
      <c r="K2448">
        <f>Data!E2460</f>
        <v>0</v>
      </c>
      <c r="L2448">
        <f>Data!F2460</f>
        <v>0</v>
      </c>
      <c r="M2448">
        <f>Data!G2460</f>
        <v>0</v>
      </c>
      <c r="N2448">
        <f>Data!H2460</f>
        <v>0</v>
      </c>
      <c r="O2448">
        <f>Data!I2460</f>
        <v>0</v>
      </c>
      <c r="P2448" s="21">
        <f>Data!J2464</f>
        <v>0</v>
      </c>
      <c r="Q2448">
        <f>Data!K2464</f>
        <v>0</v>
      </c>
      <c r="R2448">
        <f>Data!L2464</f>
        <v>0</v>
      </c>
      <c r="S2448">
        <f>Data!M2464</f>
        <v>0</v>
      </c>
      <c r="T2448">
        <f>Data!N2464</f>
        <v>0</v>
      </c>
      <c r="U2448">
        <f>Data!O2464</f>
        <v>0</v>
      </c>
      <c r="V2448" s="33">
        <f>Data!P2462</f>
        <v>0</v>
      </c>
    </row>
    <row r="2449" spans="7:22" x14ac:dyDescent="0.25">
      <c r="G2449" cm="1">
        <f t="array" aca="1" ref="G2449" ca="1">INDIRECT("Data!A" &amp; 2444)</f>
        <v>0</v>
      </c>
      <c r="H2449" s="21">
        <f>Data!B2461</f>
        <v>0</v>
      </c>
      <c r="I2449" s="21">
        <f>Data!C2461</f>
        <v>0</v>
      </c>
      <c r="J2449">
        <f>Data!D2461</f>
        <v>0</v>
      </c>
      <c r="K2449">
        <f>Data!E2461</f>
        <v>0</v>
      </c>
      <c r="L2449">
        <f>Data!F2461</f>
        <v>0</v>
      </c>
      <c r="M2449">
        <f>Data!G2461</f>
        <v>0</v>
      </c>
      <c r="N2449">
        <f>Data!H2461</f>
        <v>0</v>
      </c>
      <c r="O2449">
        <f>Data!I2461</f>
        <v>0</v>
      </c>
      <c r="P2449" s="21">
        <f>Data!J2465</f>
        <v>0</v>
      </c>
      <c r="Q2449">
        <f>Data!K2465</f>
        <v>0</v>
      </c>
      <c r="R2449">
        <f>Data!L2465</f>
        <v>0</v>
      </c>
      <c r="S2449">
        <f>Data!M2465</f>
        <v>0</v>
      </c>
      <c r="T2449">
        <f>Data!N2465</f>
        <v>0</v>
      </c>
      <c r="U2449">
        <f>Data!O2465</f>
        <v>0</v>
      </c>
      <c r="V2449" s="33">
        <f>Data!P2463</f>
        <v>0</v>
      </c>
    </row>
    <row r="2450" spans="7:22" x14ac:dyDescent="0.25">
      <c r="G2450" cm="1">
        <f t="array" aca="1" ref="G2450" ca="1">INDIRECT("Data!A" &amp; 2445)</f>
        <v>0</v>
      </c>
      <c r="H2450" s="21">
        <f>Data!B2462</f>
        <v>0</v>
      </c>
      <c r="I2450" s="21">
        <f>Data!C2462</f>
        <v>0</v>
      </c>
      <c r="J2450">
        <f>Data!D2462</f>
        <v>0</v>
      </c>
      <c r="K2450">
        <f>Data!E2462</f>
        <v>0</v>
      </c>
      <c r="L2450">
        <f>Data!F2462</f>
        <v>0</v>
      </c>
      <c r="M2450">
        <f>Data!G2462</f>
        <v>0</v>
      </c>
      <c r="N2450">
        <f>Data!H2462</f>
        <v>0</v>
      </c>
      <c r="O2450">
        <f>Data!I2462</f>
        <v>0</v>
      </c>
      <c r="P2450" s="21">
        <f>Data!J2466</f>
        <v>0</v>
      </c>
      <c r="Q2450">
        <f>Data!K2466</f>
        <v>0</v>
      </c>
      <c r="R2450">
        <f>Data!L2466</f>
        <v>0</v>
      </c>
      <c r="S2450">
        <f>Data!M2466</f>
        <v>0</v>
      </c>
      <c r="T2450">
        <f>Data!N2466</f>
        <v>0</v>
      </c>
      <c r="U2450">
        <f>Data!O2466</f>
        <v>0</v>
      </c>
      <c r="V2450" s="33">
        <f>Data!P2464</f>
        <v>0</v>
      </c>
    </row>
    <row r="2451" spans="7:22" x14ac:dyDescent="0.25">
      <c r="G2451" cm="1">
        <f t="array" aca="1" ref="G2451" ca="1">INDIRECT("Data!A" &amp; 2446)</f>
        <v>0</v>
      </c>
      <c r="H2451" s="21">
        <f>Data!B2463</f>
        <v>0</v>
      </c>
      <c r="I2451" s="21">
        <f>Data!C2463</f>
        <v>0</v>
      </c>
      <c r="J2451">
        <f>Data!D2463</f>
        <v>0</v>
      </c>
      <c r="K2451">
        <f>Data!E2463</f>
        <v>0</v>
      </c>
      <c r="L2451">
        <f>Data!F2463</f>
        <v>0</v>
      </c>
      <c r="M2451">
        <f>Data!G2463</f>
        <v>0</v>
      </c>
      <c r="N2451">
        <f>Data!H2463</f>
        <v>0</v>
      </c>
      <c r="O2451">
        <f>Data!I2463</f>
        <v>0</v>
      </c>
      <c r="P2451" s="21">
        <f>Data!J2467</f>
        <v>0</v>
      </c>
      <c r="Q2451">
        <f>Data!K2467</f>
        <v>0</v>
      </c>
      <c r="R2451">
        <f>Data!L2467</f>
        <v>0</v>
      </c>
      <c r="S2451">
        <f>Data!M2467</f>
        <v>0</v>
      </c>
      <c r="T2451">
        <f>Data!N2467</f>
        <v>0</v>
      </c>
      <c r="U2451">
        <f>Data!O2467</f>
        <v>0</v>
      </c>
      <c r="V2451" s="33">
        <f>Data!P2465</f>
        <v>0</v>
      </c>
    </row>
    <row r="2452" spans="7:22" x14ac:dyDescent="0.25">
      <c r="G2452" cm="1">
        <f t="array" aca="1" ref="G2452" ca="1">INDIRECT("Data!A" &amp; 2447)</f>
        <v>0</v>
      </c>
      <c r="H2452" s="21">
        <f>Data!B2464</f>
        <v>0</v>
      </c>
      <c r="I2452" s="21">
        <f>Data!C2464</f>
        <v>0</v>
      </c>
      <c r="J2452">
        <f>Data!D2464</f>
        <v>0</v>
      </c>
      <c r="K2452">
        <f>Data!E2464</f>
        <v>0</v>
      </c>
      <c r="L2452">
        <f>Data!F2464</f>
        <v>0</v>
      </c>
      <c r="M2452">
        <f>Data!G2464</f>
        <v>0</v>
      </c>
      <c r="N2452">
        <f>Data!H2464</f>
        <v>0</v>
      </c>
      <c r="O2452">
        <f>Data!I2464</f>
        <v>0</v>
      </c>
      <c r="P2452" s="21">
        <f>Data!J2468</f>
        <v>0</v>
      </c>
      <c r="Q2452">
        <f>Data!K2468</f>
        <v>0</v>
      </c>
      <c r="R2452">
        <f>Data!L2468</f>
        <v>0</v>
      </c>
      <c r="S2452">
        <f>Data!M2468</f>
        <v>0</v>
      </c>
      <c r="T2452">
        <f>Data!N2468</f>
        <v>0</v>
      </c>
      <c r="U2452">
        <f>Data!O2468</f>
        <v>0</v>
      </c>
      <c r="V2452" s="33">
        <f>Data!P2466</f>
        <v>0</v>
      </c>
    </row>
    <row r="2453" spans="7:22" x14ac:dyDescent="0.25">
      <c r="G2453" cm="1">
        <f t="array" aca="1" ref="G2453" ca="1">INDIRECT("Data!A" &amp; 2448)</f>
        <v>0</v>
      </c>
      <c r="H2453" s="21">
        <f>Data!B2465</f>
        <v>0</v>
      </c>
      <c r="I2453" s="21">
        <f>Data!C2465</f>
        <v>0</v>
      </c>
      <c r="J2453">
        <f>Data!D2465</f>
        <v>0</v>
      </c>
      <c r="K2453">
        <f>Data!E2465</f>
        <v>0</v>
      </c>
      <c r="L2453">
        <f>Data!F2465</f>
        <v>0</v>
      </c>
      <c r="M2453">
        <f>Data!G2465</f>
        <v>0</v>
      </c>
      <c r="N2453">
        <f>Data!H2465</f>
        <v>0</v>
      </c>
      <c r="O2453">
        <f>Data!I2465</f>
        <v>0</v>
      </c>
      <c r="P2453" s="21">
        <f>Data!J2469</f>
        <v>0</v>
      </c>
      <c r="Q2453">
        <f>Data!K2469</f>
        <v>0</v>
      </c>
      <c r="R2453">
        <f>Data!L2469</f>
        <v>0</v>
      </c>
      <c r="S2453">
        <f>Data!M2469</f>
        <v>0</v>
      </c>
      <c r="T2453">
        <f>Data!N2469</f>
        <v>0</v>
      </c>
      <c r="U2453">
        <f>Data!O2469</f>
        <v>0</v>
      </c>
      <c r="V2453" s="33">
        <f>Data!P2467</f>
        <v>0</v>
      </c>
    </row>
    <row r="2454" spans="7:22" x14ac:dyDescent="0.25">
      <c r="G2454" cm="1">
        <f t="array" aca="1" ref="G2454" ca="1">INDIRECT("Data!A" &amp; 2449)</f>
        <v>0</v>
      </c>
      <c r="H2454" s="21">
        <f>Data!B2466</f>
        <v>0</v>
      </c>
      <c r="I2454" s="21">
        <f>Data!C2466</f>
        <v>0</v>
      </c>
      <c r="J2454">
        <f>Data!D2466</f>
        <v>0</v>
      </c>
      <c r="K2454">
        <f>Data!E2466</f>
        <v>0</v>
      </c>
      <c r="L2454">
        <f>Data!F2466</f>
        <v>0</v>
      </c>
      <c r="M2454">
        <f>Data!G2466</f>
        <v>0</v>
      </c>
      <c r="N2454">
        <f>Data!H2466</f>
        <v>0</v>
      </c>
      <c r="O2454">
        <f>Data!I2466</f>
        <v>0</v>
      </c>
      <c r="P2454" s="21">
        <f>Data!J2470</f>
        <v>0</v>
      </c>
      <c r="Q2454">
        <f>Data!K2470</f>
        <v>0</v>
      </c>
      <c r="R2454">
        <f>Data!L2470</f>
        <v>0</v>
      </c>
      <c r="S2454">
        <f>Data!M2470</f>
        <v>0</v>
      </c>
      <c r="T2454">
        <f>Data!N2470</f>
        <v>0</v>
      </c>
      <c r="U2454">
        <f>Data!O2470</f>
        <v>0</v>
      </c>
      <c r="V2454" s="33">
        <f>Data!P2468</f>
        <v>0</v>
      </c>
    </row>
    <row r="2455" spans="7:22" x14ac:dyDescent="0.25">
      <c r="G2455" cm="1">
        <f t="array" aca="1" ref="G2455" ca="1">INDIRECT("Data!A" &amp; 2450)</f>
        <v>0</v>
      </c>
      <c r="H2455" s="21">
        <f>Data!B2467</f>
        <v>0</v>
      </c>
      <c r="I2455" s="21">
        <f>Data!C2467</f>
        <v>0</v>
      </c>
      <c r="J2455">
        <f>Data!D2467</f>
        <v>0</v>
      </c>
      <c r="K2455">
        <f>Data!E2467</f>
        <v>0</v>
      </c>
      <c r="L2455">
        <f>Data!F2467</f>
        <v>0</v>
      </c>
      <c r="M2455">
        <f>Data!G2467</f>
        <v>0</v>
      </c>
      <c r="N2455">
        <f>Data!H2467</f>
        <v>0</v>
      </c>
      <c r="O2455">
        <f>Data!I2467</f>
        <v>0</v>
      </c>
      <c r="P2455" s="21">
        <f>Data!J2471</f>
        <v>0</v>
      </c>
      <c r="Q2455">
        <f>Data!K2471</f>
        <v>0</v>
      </c>
      <c r="R2455">
        <f>Data!L2471</f>
        <v>0</v>
      </c>
      <c r="S2455">
        <f>Data!M2471</f>
        <v>0</v>
      </c>
      <c r="T2455">
        <f>Data!N2471</f>
        <v>0</v>
      </c>
      <c r="U2455">
        <f>Data!O2471</f>
        <v>0</v>
      </c>
      <c r="V2455" s="33">
        <f>Data!P2469</f>
        <v>0</v>
      </c>
    </row>
    <row r="2456" spans="7:22" x14ac:dyDescent="0.25">
      <c r="G2456" cm="1">
        <f t="array" aca="1" ref="G2456" ca="1">INDIRECT("Data!A" &amp; 2451)</f>
        <v>0</v>
      </c>
      <c r="H2456" s="21">
        <f>Data!B2468</f>
        <v>0</v>
      </c>
      <c r="I2456" s="21">
        <f>Data!C2468</f>
        <v>0</v>
      </c>
      <c r="J2456">
        <f>Data!D2468</f>
        <v>0</v>
      </c>
      <c r="K2456">
        <f>Data!E2468</f>
        <v>0</v>
      </c>
      <c r="L2456">
        <f>Data!F2468</f>
        <v>0</v>
      </c>
      <c r="M2456">
        <f>Data!G2468</f>
        <v>0</v>
      </c>
      <c r="N2456">
        <f>Data!H2468</f>
        <v>0</v>
      </c>
      <c r="O2456">
        <f>Data!I2468</f>
        <v>0</v>
      </c>
      <c r="P2456" s="21">
        <f>Data!J2472</f>
        <v>0</v>
      </c>
      <c r="Q2456">
        <f>Data!K2472</f>
        <v>0</v>
      </c>
      <c r="R2456">
        <f>Data!L2472</f>
        <v>0</v>
      </c>
      <c r="S2456">
        <f>Data!M2472</f>
        <v>0</v>
      </c>
      <c r="T2456">
        <f>Data!N2472</f>
        <v>0</v>
      </c>
      <c r="U2456">
        <f>Data!O2472</f>
        <v>0</v>
      </c>
      <c r="V2456" s="33">
        <f>Data!P2470</f>
        <v>0</v>
      </c>
    </row>
    <row r="2457" spans="7:22" x14ac:dyDescent="0.25">
      <c r="G2457" cm="1">
        <f t="array" aca="1" ref="G2457" ca="1">INDIRECT("Data!A" &amp; 2452)</f>
        <v>0</v>
      </c>
      <c r="H2457" s="21">
        <f>Data!B2469</f>
        <v>0</v>
      </c>
      <c r="I2457" s="21">
        <f>Data!C2469</f>
        <v>0</v>
      </c>
      <c r="J2457">
        <f>Data!D2469</f>
        <v>0</v>
      </c>
      <c r="K2457">
        <f>Data!E2469</f>
        <v>0</v>
      </c>
      <c r="L2457">
        <f>Data!F2469</f>
        <v>0</v>
      </c>
      <c r="M2457">
        <f>Data!G2469</f>
        <v>0</v>
      </c>
      <c r="N2457">
        <f>Data!H2469</f>
        <v>0</v>
      </c>
      <c r="O2457">
        <f>Data!I2469</f>
        <v>0</v>
      </c>
      <c r="P2457" s="21">
        <f>Data!J2473</f>
        <v>0</v>
      </c>
      <c r="Q2457">
        <f>Data!K2473</f>
        <v>0</v>
      </c>
      <c r="R2457">
        <f>Data!L2473</f>
        <v>0</v>
      </c>
      <c r="S2457">
        <f>Data!M2473</f>
        <v>0</v>
      </c>
      <c r="T2457">
        <f>Data!N2473</f>
        <v>0</v>
      </c>
      <c r="U2457">
        <f>Data!O2473</f>
        <v>0</v>
      </c>
      <c r="V2457" s="33">
        <f>Data!P2471</f>
        <v>0</v>
      </c>
    </row>
    <row r="2458" spans="7:22" x14ac:dyDescent="0.25">
      <c r="G2458" cm="1">
        <f t="array" aca="1" ref="G2458" ca="1">INDIRECT("Data!A" &amp; 2453)</f>
        <v>0</v>
      </c>
      <c r="H2458" s="21">
        <f>Data!B2470</f>
        <v>0</v>
      </c>
      <c r="I2458" s="21">
        <f>Data!C2470</f>
        <v>0</v>
      </c>
      <c r="J2458">
        <f>Data!D2470</f>
        <v>0</v>
      </c>
      <c r="K2458">
        <f>Data!E2470</f>
        <v>0</v>
      </c>
      <c r="L2458">
        <f>Data!F2470</f>
        <v>0</v>
      </c>
      <c r="M2458">
        <f>Data!G2470</f>
        <v>0</v>
      </c>
      <c r="N2458">
        <f>Data!H2470</f>
        <v>0</v>
      </c>
      <c r="O2458">
        <f>Data!I2470</f>
        <v>0</v>
      </c>
      <c r="P2458" s="21">
        <f>Data!J2474</f>
        <v>0</v>
      </c>
      <c r="Q2458">
        <f>Data!K2474</f>
        <v>0</v>
      </c>
      <c r="R2458">
        <f>Data!L2474</f>
        <v>0</v>
      </c>
      <c r="S2458">
        <f>Data!M2474</f>
        <v>0</v>
      </c>
      <c r="T2458">
        <f>Data!N2474</f>
        <v>0</v>
      </c>
      <c r="U2458">
        <f>Data!O2474</f>
        <v>0</v>
      </c>
      <c r="V2458" s="33">
        <f>Data!P2472</f>
        <v>0</v>
      </c>
    </row>
    <row r="2459" spans="7:22" x14ac:dyDescent="0.25">
      <c r="G2459" cm="1">
        <f t="array" aca="1" ref="G2459" ca="1">INDIRECT("Data!A" &amp; 2454)</f>
        <v>0</v>
      </c>
      <c r="H2459" s="21">
        <f>Data!B2471</f>
        <v>0</v>
      </c>
      <c r="I2459" s="21">
        <f>Data!C2471</f>
        <v>0</v>
      </c>
      <c r="J2459">
        <f>Data!D2471</f>
        <v>0</v>
      </c>
      <c r="K2459">
        <f>Data!E2471</f>
        <v>0</v>
      </c>
      <c r="L2459">
        <f>Data!F2471</f>
        <v>0</v>
      </c>
      <c r="M2459">
        <f>Data!G2471</f>
        <v>0</v>
      </c>
      <c r="N2459">
        <f>Data!H2471</f>
        <v>0</v>
      </c>
      <c r="O2459">
        <f>Data!I2471</f>
        <v>0</v>
      </c>
      <c r="P2459" s="21">
        <f>Data!J2475</f>
        <v>0</v>
      </c>
      <c r="Q2459">
        <f>Data!K2475</f>
        <v>0</v>
      </c>
      <c r="R2459">
        <f>Data!L2475</f>
        <v>0</v>
      </c>
      <c r="S2459">
        <f>Data!M2475</f>
        <v>0</v>
      </c>
      <c r="T2459">
        <f>Data!N2475</f>
        <v>0</v>
      </c>
      <c r="U2459">
        <f>Data!O2475</f>
        <v>0</v>
      </c>
      <c r="V2459" s="33">
        <f>Data!P2473</f>
        <v>0</v>
      </c>
    </row>
    <row r="2460" spans="7:22" x14ac:dyDescent="0.25">
      <c r="G2460" cm="1">
        <f t="array" aca="1" ref="G2460" ca="1">INDIRECT("Data!A" &amp; 2455)</f>
        <v>0</v>
      </c>
      <c r="H2460" s="21">
        <f>Data!B2472</f>
        <v>0</v>
      </c>
      <c r="I2460" s="21">
        <f>Data!C2472</f>
        <v>0</v>
      </c>
      <c r="J2460">
        <f>Data!D2472</f>
        <v>0</v>
      </c>
      <c r="K2460">
        <f>Data!E2472</f>
        <v>0</v>
      </c>
      <c r="L2460">
        <f>Data!F2472</f>
        <v>0</v>
      </c>
      <c r="M2460">
        <f>Data!G2472</f>
        <v>0</v>
      </c>
      <c r="N2460">
        <f>Data!H2472</f>
        <v>0</v>
      </c>
      <c r="O2460">
        <f>Data!I2472</f>
        <v>0</v>
      </c>
      <c r="P2460" s="21">
        <f>Data!J2476</f>
        <v>0</v>
      </c>
      <c r="Q2460">
        <f>Data!K2476</f>
        <v>0</v>
      </c>
      <c r="R2460">
        <f>Data!L2476</f>
        <v>0</v>
      </c>
      <c r="S2460">
        <f>Data!M2476</f>
        <v>0</v>
      </c>
      <c r="T2460">
        <f>Data!N2476</f>
        <v>0</v>
      </c>
      <c r="U2460">
        <f>Data!O2476</f>
        <v>0</v>
      </c>
      <c r="V2460" s="33">
        <f>Data!P2474</f>
        <v>0</v>
      </c>
    </row>
    <row r="2461" spans="7:22" x14ac:dyDescent="0.25">
      <c r="G2461" cm="1">
        <f t="array" aca="1" ref="G2461" ca="1">INDIRECT("Data!A" &amp; 2456)</f>
        <v>0</v>
      </c>
      <c r="H2461" s="21">
        <f>Data!B2473</f>
        <v>0</v>
      </c>
      <c r="I2461" s="21">
        <f>Data!C2473</f>
        <v>0</v>
      </c>
      <c r="J2461">
        <f>Data!D2473</f>
        <v>0</v>
      </c>
      <c r="K2461">
        <f>Data!E2473</f>
        <v>0</v>
      </c>
      <c r="L2461">
        <f>Data!F2473</f>
        <v>0</v>
      </c>
      <c r="M2461">
        <f>Data!G2473</f>
        <v>0</v>
      </c>
      <c r="N2461">
        <f>Data!H2473</f>
        <v>0</v>
      </c>
      <c r="O2461">
        <f>Data!I2473</f>
        <v>0</v>
      </c>
      <c r="P2461" s="21">
        <f>Data!J2477</f>
        <v>0</v>
      </c>
      <c r="Q2461">
        <f>Data!K2477</f>
        <v>0</v>
      </c>
      <c r="R2461">
        <f>Data!L2477</f>
        <v>0</v>
      </c>
      <c r="S2461">
        <f>Data!M2477</f>
        <v>0</v>
      </c>
      <c r="T2461">
        <f>Data!N2477</f>
        <v>0</v>
      </c>
      <c r="U2461">
        <f>Data!O2477</f>
        <v>0</v>
      </c>
      <c r="V2461" s="33">
        <f>Data!P2475</f>
        <v>0</v>
      </c>
    </row>
    <row r="2462" spans="7:22" x14ac:dyDescent="0.25">
      <c r="G2462" cm="1">
        <f t="array" aca="1" ref="G2462" ca="1">INDIRECT("Data!A" &amp; 2457)</f>
        <v>0</v>
      </c>
      <c r="H2462" s="21">
        <f>Data!B2474</f>
        <v>0</v>
      </c>
      <c r="I2462" s="21">
        <f>Data!C2474</f>
        <v>0</v>
      </c>
      <c r="J2462">
        <f>Data!D2474</f>
        <v>0</v>
      </c>
      <c r="K2462">
        <f>Data!E2474</f>
        <v>0</v>
      </c>
      <c r="L2462">
        <f>Data!F2474</f>
        <v>0</v>
      </c>
      <c r="M2462">
        <f>Data!G2474</f>
        <v>0</v>
      </c>
      <c r="N2462">
        <f>Data!H2474</f>
        <v>0</v>
      </c>
      <c r="O2462">
        <f>Data!I2474</f>
        <v>0</v>
      </c>
      <c r="P2462" s="21">
        <f>Data!J2478</f>
        <v>0</v>
      </c>
      <c r="Q2462">
        <f>Data!K2478</f>
        <v>0</v>
      </c>
      <c r="R2462">
        <f>Data!L2478</f>
        <v>0</v>
      </c>
      <c r="S2462">
        <f>Data!M2478</f>
        <v>0</v>
      </c>
      <c r="T2462">
        <f>Data!N2478</f>
        <v>0</v>
      </c>
      <c r="U2462">
        <f>Data!O2478</f>
        <v>0</v>
      </c>
      <c r="V2462" s="33">
        <f>Data!P2476</f>
        <v>0</v>
      </c>
    </row>
    <row r="2463" spans="7:22" x14ac:dyDescent="0.25">
      <c r="G2463" cm="1">
        <f t="array" aca="1" ref="G2463" ca="1">INDIRECT("Data!A" &amp; 2458)</f>
        <v>0</v>
      </c>
      <c r="H2463" s="21">
        <f>Data!B2475</f>
        <v>0</v>
      </c>
      <c r="I2463" s="21">
        <f>Data!C2475</f>
        <v>0</v>
      </c>
      <c r="J2463">
        <f>Data!D2475</f>
        <v>0</v>
      </c>
      <c r="K2463">
        <f>Data!E2475</f>
        <v>0</v>
      </c>
      <c r="L2463">
        <f>Data!F2475</f>
        <v>0</v>
      </c>
      <c r="M2463">
        <f>Data!G2475</f>
        <v>0</v>
      </c>
      <c r="N2463">
        <f>Data!H2475</f>
        <v>0</v>
      </c>
      <c r="O2463">
        <f>Data!I2475</f>
        <v>0</v>
      </c>
      <c r="P2463" s="21">
        <f>Data!J2479</f>
        <v>0</v>
      </c>
      <c r="Q2463">
        <f>Data!K2479</f>
        <v>0</v>
      </c>
      <c r="R2463">
        <f>Data!L2479</f>
        <v>0</v>
      </c>
      <c r="S2463">
        <f>Data!M2479</f>
        <v>0</v>
      </c>
      <c r="T2463">
        <f>Data!N2479</f>
        <v>0</v>
      </c>
      <c r="U2463">
        <f>Data!O2479</f>
        <v>0</v>
      </c>
      <c r="V2463" s="33">
        <f>Data!P2477</f>
        <v>0</v>
      </c>
    </row>
    <row r="2464" spans="7:22" x14ac:dyDescent="0.25">
      <c r="G2464" cm="1">
        <f t="array" aca="1" ref="G2464" ca="1">INDIRECT("Data!A" &amp; 2459)</f>
        <v>0</v>
      </c>
      <c r="H2464" s="21">
        <f>Data!B2476</f>
        <v>0</v>
      </c>
      <c r="I2464" s="21">
        <f>Data!C2476</f>
        <v>0</v>
      </c>
      <c r="J2464">
        <f>Data!D2476</f>
        <v>0</v>
      </c>
      <c r="K2464">
        <f>Data!E2476</f>
        <v>0</v>
      </c>
      <c r="L2464">
        <f>Data!F2476</f>
        <v>0</v>
      </c>
      <c r="M2464">
        <f>Data!G2476</f>
        <v>0</v>
      </c>
      <c r="N2464">
        <f>Data!H2476</f>
        <v>0</v>
      </c>
      <c r="O2464">
        <f>Data!I2476</f>
        <v>0</v>
      </c>
      <c r="P2464" s="21">
        <f>Data!J2480</f>
        <v>0</v>
      </c>
      <c r="Q2464">
        <f>Data!K2480</f>
        <v>0</v>
      </c>
      <c r="R2464">
        <f>Data!L2480</f>
        <v>0</v>
      </c>
      <c r="S2464">
        <f>Data!M2480</f>
        <v>0</v>
      </c>
      <c r="T2464">
        <f>Data!N2480</f>
        <v>0</v>
      </c>
      <c r="U2464">
        <f>Data!O2480</f>
        <v>0</v>
      </c>
      <c r="V2464" s="33">
        <f>Data!P2478</f>
        <v>0</v>
      </c>
    </row>
    <row r="2465" spans="7:22" x14ac:dyDescent="0.25">
      <c r="G2465" cm="1">
        <f t="array" aca="1" ref="G2465" ca="1">INDIRECT("Data!A" &amp; 2460)</f>
        <v>0</v>
      </c>
      <c r="H2465" s="21">
        <f>Data!B2477</f>
        <v>0</v>
      </c>
      <c r="I2465" s="21">
        <f>Data!C2477</f>
        <v>0</v>
      </c>
      <c r="J2465">
        <f>Data!D2477</f>
        <v>0</v>
      </c>
      <c r="K2465">
        <f>Data!E2477</f>
        <v>0</v>
      </c>
      <c r="L2465">
        <f>Data!F2477</f>
        <v>0</v>
      </c>
      <c r="M2465">
        <f>Data!G2477</f>
        <v>0</v>
      </c>
      <c r="N2465">
        <f>Data!H2477</f>
        <v>0</v>
      </c>
      <c r="O2465">
        <f>Data!I2477</f>
        <v>0</v>
      </c>
      <c r="P2465" s="21">
        <f>Data!J2481</f>
        <v>0</v>
      </c>
      <c r="Q2465">
        <f>Data!K2481</f>
        <v>0</v>
      </c>
      <c r="R2465">
        <f>Data!L2481</f>
        <v>0</v>
      </c>
      <c r="S2465">
        <f>Data!M2481</f>
        <v>0</v>
      </c>
      <c r="T2465">
        <f>Data!N2481</f>
        <v>0</v>
      </c>
      <c r="U2465">
        <f>Data!O2481</f>
        <v>0</v>
      </c>
      <c r="V2465" s="33">
        <f>Data!P2479</f>
        <v>0</v>
      </c>
    </row>
    <row r="2466" spans="7:22" x14ac:dyDescent="0.25">
      <c r="G2466" cm="1">
        <f t="array" aca="1" ref="G2466" ca="1">INDIRECT("Data!A" &amp; 2461)</f>
        <v>0</v>
      </c>
      <c r="H2466" s="21">
        <f>Data!B2478</f>
        <v>0</v>
      </c>
      <c r="I2466" s="21">
        <f>Data!C2478</f>
        <v>0</v>
      </c>
      <c r="J2466">
        <f>Data!D2478</f>
        <v>0</v>
      </c>
      <c r="K2466">
        <f>Data!E2478</f>
        <v>0</v>
      </c>
      <c r="L2466">
        <f>Data!F2478</f>
        <v>0</v>
      </c>
      <c r="M2466">
        <f>Data!G2478</f>
        <v>0</v>
      </c>
      <c r="N2466">
        <f>Data!H2478</f>
        <v>0</v>
      </c>
      <c r="O2466">
        <f>Data!I2478</f>
        <v>0</v>
      </c>
      <c r="P2466" s="21">
        <f>Data!J2482</f>
        <v>0</v>
      </c>
      <c r="Q2466">
        <f>Data!K2482</f>
        <v>0</v>
      </c>
      <c r="R2466">
        <f>Data!L2482</f>
        <v>0</v>
      </c>
      <c r="S2466">
        <f>Data!M2482</f>
        <v>0</v>
      </c>
      <c r="T2466">
        <f>Data!N2482</f>
        <v>0</v>
      </c>
      <c r="U2466">
        <f>Data!O2482</f>
        <v>0</v>
      </c>
      <c r="V2466" s="33">
        <f>Data!P2480</f>
        <v>0</v>
      </c>
    </row>
    <row r="2467" spans="7:22" x14ac:dyDescent="0.25">
      <c r="G2467" cm="1">
        <f t="array" aca="1" ref="G2467" ca="1">INDIRECT("Data!A" &amp; 2462)</f>
        <v>0</v>
      </c>
      <c r="H2467" s="21">
        <f>Data!B2479</f>
        <v>0</v>
      </c>
      <c r="I2467" s="21">
        <f>Data!C2479</f>
        <v>0</v>
      </c>
      <c r="J2467">
        <f>Data!D2479</f>
        <v>0</v>
      </c>
      <c r="K2467">
        <f>Data!E2479</f>
        <v>0</v>
      </c>
      <c r="L2467">
        <f>Data!F2479</f>
        <v>0</v>
      </c>
      <c r="M2467">
        <f>Data!G2479</f>
        <v>0</v>
      </c>
      <c r="N2467">
        <f>Data!H2479</f>
        <v>0</v>
      </c>
      <c r="O2467">
        <f>Data!I2479</f>
        <v>0</v>
      </c>
      <c r="P2467" s="21">
        <f>Data!J2483</f>
        <v>0</v>
      </c>
      <c r="Q2467">
        <f>Data!K2483</f>
        <v>0</v>
      </c>
      <c r="R2467">
        <f>Data!L2483</f>
        <v>0</v>
      </c>
      <c r="S2467">
        <f>Data!M2483</f>
        <v>0</v>
      </c>
      <c r="T2467">
        <f>Data!N2483</f>
        <v>0</v>
      </c>
      <c r="U2467">
        <f>Data!O2483</f>
        <v>0</v>
      </c>
      <c r="V2467" s="33">
        <f>Data!P2481</f>
        <v>0</v>
      </c>
    </row>
    <row r="2468" spans="7:22" x14ac:dyDescent="0.25">
      <c r="G2468" cm="1">
        <f t="array" aca="1" ref="G2468" ca="1">INDIRECT("Data!A" &amp; 2463)</f>
        <v>0</v>
      </c>
      <c r="H2468" s="21">
        <f>Data!B2480</f>
        <v>0</v>
      </c>
      <c r="I2468" s="21">
        <f>Data!C2480</f>
        <v>0</v>
      </c>
      <c r="J2468">
        <f>Data!D2480</f>
        <v>0</v>
      </c>
      <c r="K2468">
        <f>Data!E2480</f>
        <v>0</v>
      </c>
      <c r="L2468">
        <f>Data!F2480</f>
        <v>0</v>
      </c>
      <c r="M2468">
        <f>Data!G2480</f>
        <v>0</v>
      </c>
      <c r="N2468">
        <f>Data!H2480</f>
        <v>0</v>
      </c>
      <c r="O2468">
        <f>Data!I2480</f>
        <v>0</v>
      </c>
      <c r="P2468" s="21">
        <f>Data!J2484</f>
        <v>0</v>
      </c>
      <c r="Q2468">
        <f>Data!K2484</f>
        <v>0</v>
      </c>
      <c r="R2468">
        <f>Data!L2484</f>
        <v>0</v>
      </c>
      <c r="S2468">
        <f>Data!M2484</f>
        <v>0</v>
      </c>
      <c r="T2468">
        <f>Data!N2484</f>
        <v>0</v>
      </c>
      <c r="U2468">
        <f>Data!O2484</f>
        <v>0</v>
      </c>
      <c r="V2468" s="33">
        <f>Data!P2482</f>
        <v>0</v>
      </c>
    </row>
    <row r="2469" spans="7:22" x14ac:dyDescent="0.25">
      <c r="G2469" cm="1">
        <f t="array" aca="1" ref="G2469" ca="1">INDIRECT("Data!A" &amp; 2464)</f>
        <v>0</v>
      </c>
      <c r="H2469" s="21">
        <f>Data!B2481</f>
        <v>0</v>
      </c>
      <c r="I2469" s="21">
        <f>Data!C2481</f>
        <v>0</v>
      </c>
      <c r="J2469">
        <f>Data!D2481</f>
        <v>0</v>
      </c>
      <c r="K2469">
        <f>Data!E2481</f>
        <v>0</v>
      </c>
      <c r="L2469">
        <f>Data!F2481</f>
        <v>0</v>
      </c>
      <c r="M2469">
        <f>Data!G2481</f>
        <v>0</v>
      </c>
      <c r="N2469">
        <f>Data!H2481</f>
        <v>0</v>
      </c>
      <c r="O2469">
        <f>Data!I2481</f>
        <v>0</v>
      </c>
      <c r="P2469" s="21">
        <f>Data!J2485</f>
        <v>0</v>
      </c>
      <c r="Q2469">
        <f>Data!K2485</f>
        <v>0</v>
      </c>
      <c r="R2469">
        <f>Data!L2485</f>
        <v>0</v>
      </c>
      <c r="S2469">
        <f>Data!M2485</f>
        <v>0</v>
      </c>
      <c r="T2469">
        <f>Data!N2485</f>
        <v>0</v>
      </c>
      <c r="U2469">
        <f>Data!O2485</f>
        <v>0</v>
      </c>
      <c r="V2469" s="33">
        <f>Data!P2483</f>
        <v>0</v>
      </c>
    </row>
    <row r="2470" spans="7:22" x14ac:dyDescent="0.25">
      <c r="G2470" cm="1">
        <f t="array" aca="1" ref="G2470" ca="1">INDIRECT("Data!A" &amp; 2465)</f>
        <v>0</v>
      </c>
      <c r="H2470" s="21">
        <f>Data!B2482</f>
        <v>0</v>
      </c>
      <c r="I2470" s="21">
        <f>Data!C2482</f>
        <v>0</v>
      </c>
      <c r="J2470">
        <f>Data!D2482</f>
        <v>0</v>
      </c>
      <c r="K2470">
        <f>Data!E2482</f>
        <v>0</v>
      </c>
      <c r="L2470">
        <f>Data!F2482</f>
        <v>0</v>
      </c>
      <c r="M2470">
        <f>Data!G2482</f>
        <v>0</v>
      </c>
      <c r="N2470">
        <f>Data!H2482</f>
        <v>0</v>
      </c>
      <c r="O2470">
        <f>Data!I2482</f>
        <v>0</v>
      </c>
      <c r="P2470" s="21">
        <f>Data!J2486</f>
        <v>0</v>
      </c>
      <c r="Q2470">
        <f>Data!K2486</f>
        <v>0</v>
      </c>
      <c r="R2470">
        <f>Data!L2486</f>
        <v>0</v>
      </c>
      <c r="S2470">
        <f>Data!M2486</f>
        <v>0</v>
      </c>
      <c r="T2470">
        <f>Data!N2486</f>
        <v>0</v>
      </c>
      <c r="U2470">
        <f>Data!O2486</f>
        <v>0</v>
      </c>
      <c r="V2470" s="33">
        <f>Data!P2484</f>
        <v>0</v>
      </c>
    </row>
    <row r="2471" spans="7:22" x14ac:dyDescent="0.25">
      <c r="G2471" cm="1">
        <f t="array" aca="1" ref="G2471" ca="1">INDIRECT("Data!A" &amp; 2466)</f>
        <v>0</v>
      </c>
      <c r="H2471" s="21">
        <f>Data!B2483</f>
        <v>0</v>
      </c>
      <c r="I2471" s="21">
        <f>Data!C2483</f>
        <v>0</v>
      </c>
      <c r="J2471">
        <f>Data!D2483</f>
        <v>0</v>
      </c>
      <c r="K2471">
        <f>Data!E2483</f>
        <v>0</v>
      </c>
      <c r="L2471">
        <f>Data!F2483</f>
        <v>0</v>
      </c>
      <c r="M2471">
        <f>Data!G2483</f>
        <v>0</v>
      </c>
      <c r="N2471">
        <f>Data!H2483</f>
        <v>0</v>
      </c>
      <c r="O2471">
        <f>Data!I2483</f>
        <v>0</v>
      </c>
      <c r="P2471" s="21">
        <f>Data!J2487</f>
        <v>0</v>
      </c>
      <c r="Q2471">
        <f>Data!K2487</f>
        <v>0</v>
      </c>
      <c r="R2471">
        <f>Data!L2487</f>
        <v>0</v>
      </c>
      <c r="S2471">
        <f>Data!M2487</f>
        <v>0</v>
      </c>
      <c r="T2471">
        <f>Data!N2487</f>
        <v>0</v>
      </c>
      <c r="U2471">
        <f>Data!O2487</f>
        <v>0</v>
      </c>
      <c r="V2471" s="33">
        <f>Data!P2485</f>
        <v>0</v>
      </c>
    </row>
    <row r="2472" spans="7:22" x14ac:dyDescent="0.25">
      <c r="G2472" cm="1">
        <f t="array" aca="1" ref="G2472" ca="1">INDIRECT("Data!A" &amp; 2467)</f>
        <v>0</v>
      </c>
      <c r="H2472" s="21">
        <f>Data!B2484</f>
        <v>0</v>
      </c>
      <c r="I2472" s="21">
        <f>Data!C2484</f>
        <v>0</v>
      </c>
      <c r="J2472">
        <f>Data!D2484</f>
        <v>0</v>
      </c>
      <c r="K2472">
        <f>Data!E2484</f>
        <v>0</v>
      </c>
      <c r="L2472">
        <f>Data!F2484</f>
        <v>0</v>
      </c>
      <c r="M2472">
        <f>Data!G2484</f>
        <v>0</v>
      </c>
      <c r="N2472">
        <f>Data!H2484</f>
        <v>0</v>
      </c>
      <c r="O2472">
        <f>Data!I2484</f>
        <v>0</v>
      </c>
      <c r="P2472" s="21">
        <f>Data!J2488</f>
        <v>0</v>
      </c>
      <c r="Q2472">
        <f>Data!K2488</f>
        <v>0</v>
      </c>
      <c r="R2472">
        <f>Data!L2488</f>
        <v>0</v>
      </c>
      <c r="S2472">
        <f>Data!M2488</f>
        <v>0</v>
      </c>
      <c r="T2472">
        <f>Data!N2488</f>
        <v>0</v>
      </c>
      <c r="U2472">
        <f>Data!O2488</f>
        <v>0</v>
      </c>
      <c r="V2472" s="33">
        <f>Data!P2486</f>
        <v>0</v>
      </c>
    </row>
    <row r="2473" spans="7:22" x14ac:dyDescent="0.25">
      <c r="G2473" cm="1">
        <f t="array" aca="1" ref="G2473" ca="1">INDIRECT("Data!A" &amp; 2468)</f>
        <v>0</v>
      </c>
      <c r="H2473" s="21">
        <f>Data!B2485</f>
        <v>0</v>
      </c>
      <c r="I2473" s="21">
        <f>Data!C2485</f>
        <v>0</v>
      </c>
      <c r="J2473">
        <f>Data!D2485</f>
        <v>0</v>
      </c>
      <c r="K2473">
        <f>Data!E2485</f>
        <v>0</v>
      </c>
      <c r="L2473">
        <f>Data!F2485</f>
        <v>0</v>
      </c>
      <c r="M2473">
        <f>Data!G2485</f>
        <v>0</v>
      </c>
      <c r="N2473">
        <f>Data!H2485</f>
        <v>0</v>
      </c>
      <c r="O2473">
        <f>Data!I2485</f>
        <v>0</v>
      </c>
      <c r="P2473" s="21">
        <f>Data!J2489</f>
        <v>0</v>
      </c>
      <c r="Q2473">
        <f>Data!K2489</f>
        <v>0</v>
      </c>
      <c r="R2473">
        <f>Data!L2489</f>
        <v>0</v>
      </c>
      <c r="S2473">
        <f>Data!M2489</f>
        <v>0</v>
      </c>
      <c r="T2473">
        <f>Data!N2489</f>
        <v>0</v>
      </c>
      <c r="U2473">
        <f>Data!O2489</f>
        <v>0</v>
      </c>
      <c r="V2473" s="33">
        <f>Data!P2487</f>
        <v>0</v>
      </c>
    </row>
    <row r="2474" spans="7:22" x14ac:dyDescent="0.25">
      <c r="G2474" cm="1">
        <f t="array" aca="1" ref="G2474" ca="1">INDIRECT("Data!A" &amp; 2469)</f>
        <v>0</v>
      </c>
      <c r="H2474" s="21">
        <f>Data!B2486</f>
        <v>0</v>
      </c>
      <c r="I2474" s="21">
        <f>Data!C2486</f>
        <v>0</v>
      </c>
      <c r="J2474">
        <f>Data!D2486</f>
        <v>0</v>
      </c>
      <c r="K2474">
        <f>Data!E2486</f>
        <v>0</v>
      </c>
      <c r="L2474">
        <f>Data!F2486</f>
        <v>0</v>
      </c>
      <c r="M2474">
        <f>Data!G2486</f>
        <v>0</v>
      </c>
      <c r="N2474">
        <f>Data!H2486</f>
        <v>0</v>
      </c>
      <c r="O2474">
        <f>Data!I2486</f>
        <v>0</v>
      </c>
      <c r="P2474" s="21">
        <f>Data!J2490</f>
        <v>0</v>
      </c>
      <c r="Q2474">
        <f>Data!K2490</f>
        <v>0</v>
      </c>
      <c r="R2474">
        <f>Data!L2490</f>
        <v>0</v>
      </c>
      <c r="S2474">
        <f>Data!M2490</f>
        <v>0</v>
      </c>
      <c r="T2474">
        <f>Data!N2490</f>
        <v>0</v>
      </c>
      <c r="U2474">
        <f>Data!O2490</f>
        <v>0</v>
      </c>
      <c r="V2474" s="33">
        <f>Data!P2488</f>
        <v>0</v>
      </c>
    </row>
    <row r="2475" spans="7:22" x14ac:dyDescent="0.25">
      <c r="G2475" cm="1">
        <f t="array" aca="1" ref="G2475" ca="1">INDIRECT("Data!A" &amp; 2470)</f>
        <v>0</v>
      </c>
      <c r="H2475" s="21">
        <f>Data!B2487</f>
        <v>0</v>
      </c>
      <c r="I2475" s="21">
        <f>Data!C2487</f>
        <v>0</v>
      </c>
      <c r="J2475">
        <f>Data!D2487</f>
        <v>0</v>
      </c>
      <c r="K2475">
        <f>Data!E2487</f>
        <v>0</v>
      </c>
      <c r="L2475">
        <f>Data!F2487</f>
        <v>0</v>
      </c>
      <c r="M2475">
        <f>Data!G2487</f>
        <v>0</v>
      </c>
      <c r="N2475">
        <f>Data!H2487</f>
        <v>0</v>
      </c>
      <c r="O2475">
        <f>Data!I2487</f>
        <v>0</v>
      </c>
      <c r="P2475" s="21">
        <f>Data!J2491</f>
        <v>0</v>
      </c>
      <c r="Q2475">
        <f>Data!K2491</f>
        <v>0</v>
      </c>
      <c r="R2475">
        <f>Data!L2491</f>
        <v>0</v>
      </c>
      <c r="S2475">
        <f>Data!M2491</f>
        <v>0</v>
      </c>
      <c r="T2475">
        <f>Data!N2491</f>
        <v>0</v>
      </c>
      <c r="U2475">
        <f>Data!O2491</f>
        <v>0</v>
      </c>
      <c r="V2475" s="33">
        <f>Data!P2489</f>
        <v>0</v>
      </c>
    </row>
    <row r="2476" spans="7:22" x14ac:dyDescent="0.25">
      <c r="G2476" cm="1">
        <f t="array" aca="1" ref="G2476" ca="1">INDIRECT("Data!A" &amp; 2471)</f>
        <v>0</v>
      </c>
      <c r="H2476" s="21">
        <f>Data!B2488</f>
        <v>0</v>
      </c>
      <c r="I2476" s="21">
        <f>Data!C2488</f>
        <v>0</v>
      </c>
      <c r="J2476">
        <f>Data!D2488</f>
        <v>0</v>
      </c>
      <c r="K2476">
        <f>Data!E2488</f>
        <v>0</v>
      </c>
      <c r="L2476">
        <f>Data!F2488</f>
        <v>0</v>
      </c>
      <c r="M2476">
        <f>Data!G2488</f>
        <v>0</v>
      </c>
      <c r="N2476">
        <f>Data!H2488</f>
        <v>0</v>
      </c>
      <c r="O2476">
        <f>Data!I2488</f>
        <v>0</v>
      </c>
      <c r="P2476" s="21">
        <f>Data!J2492</f>
        <v>0</v>
      </c>
      <c r="Q2476">
        <f>Data!K2492</f>
        <v>0</v>
      </c>
      <c r="R2476">
        <f>Data!L2492</f>
        <v>0</v>
      </c>
      <c r="S2476">
        <f>Data!M2492</f>
        <v>0</v>
      </c>
      <c r="T2476">
        <f>Data!N2492</f>
        <v>0</v>
      </c>
      <c r="U2476">
        <f>Data!O2492</f>
        <v>0</v>
      </c>
      <c r="V2476" s="33">
        <f>Data!P2490</f>
        <v>0</v>
      </c>
    </row>
    <row r="2477" spans="7:22" x14ac:dyDescent="0.25">
      <c r="G2477" cm="1">
        <f t="array" aca="1" ref="G2477" ca="1">INDIRECT("Data!A" &amp; 2472)</f>
        <v>0</v>
      </c>
      <c r="H2477" s="21">
        <f>Data!B2489</f>
        <v>0</v>
      </c>
      <c r="I2477" s="21">
        <f>Data!C2489</f>
        <v>0</v>
      </c>
      <c r="J2477">
        <f>Data!D2489</f>
        <v>0</v>
      </c>
      <c r="K2477">
        <f>Data!E2489</f>
        <v>0</v>
      </c>
      <c r="L2477">
        <f>Data!F2489</f>
        <v>0</v>
      </c>
      <c r="M2477">
        <f>Data!G2489</f>
        <v>0</v>
      </c>
      <c r="N2477">
        <f>Data!H2489</f>
        <v>0</v>
      </c>
      <c r="O2477">
        <f>Data!I2489</f>
        <v>0</v>
      </c>
      <c r="P2477" s="21">
        <f>Data!J2493</f>
        <v>0</v>
      </c>
      <c r="Q2477">
        <f>Data!K2493</f>
        <v>0</v>
      </c>
      <c r="R2477">
        <f>Data!L2493</f>
        <v>0</v>
      </c>
      <c r="S2477">
        <f>Data!M2493</f>
        <v>0</v>
      </c>
      <c r="T2477">
        <f>Data!N2493</f>
        <v>0</v>
      </c>
      <c r="U2477">
        <f>Data!O2493</f>
        <v>0</v>
      </c>
      <c r="V2477" s="33">
        <f>Data!P2491</f>
        <v>0</v>
      </c>
    </row>
    <row r="2478" spans="7:22" x14ac:dyDescent="0.25">
      <c r="G2478" cm="1">
        <f t="array" aca="1" ref="G2478" ca="1">INDIRECT("Data!A" &amp; 2473)</f>
        <v>0</v>
      </c>
      <c r="H2478" s="21">
        <f>Data!B2490</f>
        <v>0</v>
      </c>
      <c r="I2478" s="21">
        <f>Data!C2490</f>
        <v>0</v>
      </c>
      <c r="J2478">
        <f>Data!D2490</f>
        <v>0</v>
      </c>
      <c r="K2478">
        <f>Data!E2490</f>
        <v>0</v>
      </c>
      <c r="L2478">
        <f>Data!F2490</f>
        <v>0</v>
      </c>
      <c r="M2478">
        <f>Data!G2490</f>
        <v>0</v>
      </c>
      <c r="N2478">
        <f>Data!H2490</f>
        <v>0</v>
      </c>
      <c r="O2478">
        <f>Data!I2490</f>
        <v>0</v>
      </c>
      <c r="P2478" s="21">
        <f>Data!J2494</f>
        <v>0</v>
      </c>
      <c r="Q2478">
        <f>Data!K2494</f>
        <v>0</v>
      </c>
      <c r="R2478">
        <f>Data!L2494</f>
        <v>0</v>
      </c>
      <c r="S2478">
        <f>Data!M2494</f>
        <v>0</v>
      </c>
      <c r="T2478">
        <f>Data!N2494</f>
        <v>0</v>
      </c>
      <c r="U2478">
        <f>Data!O2494</f>
        <v>0</v>
      </c>
      <c r="V2478" s="33">
        <f>Data!P2492</f>
        <v>0</v>
      </c>
    </row>
    <row r="2479" spans="7:22" x14ac:dyDescent="0.25">
      <c r="G2479" cm="1">
        <f t="array" aca="1" ref="G2479" ca="1">INDIRECT("Data!A" &amp; 2474)</f>
        <v>0</v>
      </c>
      <c r="H2479" s="21">
        <f>Data!B2491</f>
        <v>0</v>
      </c>
      <c r="I2479" s="21">
        <f>Data!C2491</f>
        <v>0</v>
      </c>
      <c r="J2479">
        <f>Data!D2491</f>
        <v>0</v>
      </c>
      <c r="K2479">
        <f>Data!E2491</f>
        <v>0</v>
      </c>
      <c r="L2479">
        <f>Data!F2491</f>
        <v>0</v>
      </c>
      <c r="M2479">
        <f>Data!G2491</f>
        <v>0</v>
      </c>
      <c r="N2479">
        <f>Data!H2491</f>
        <v>0</v>
      </c>
      <c r="O2479">
        <f>Data!I2491</f>
        <v>0</v>
      </c>
      <c r="P2479" s="21">
        <f>Data!J2495</f>
        <v>0</v>
      </c>
      <c r="Q2479">
        <f>Data!K2495</f>
        <v>0</v>
      </c>
      <c r="R2479">
        <f>Data!L2495</f>
        <v>0</v>
      </c>
      <c r="S2479">
        <f>Data!M2495</f>
        <v>0</v>
      </c>
      <c r="T2479">
        <f>Data!N2495</f>
        <v>0</v>
      </c>
      <c r="U2479">
        <f>Data!O2495</f>
        <v>0</v>
      </c>
      <c r="V2479" s="33">
        <f>Data!P2493</f>
        <v>0</v>
      </c>
    </row>
    <row r="2480" spans="7:22" x14ac:dyDescent="0.25">
      <c r="G2480" cm="1">
        <f t="array" aca="1" ref="G2480" ca="1">INDIRECT("Data!A" &amp; 2475)</f>
        <v>0</v>
      </c>
      <c r="H2480" s="21">
        <f>Data!B2492</f>
        <v>0</v>
      </c>
      <c r="I2480" s="21">
        <f>Data!C2492</f>
        <v>0</v>
      </c>
      <c r="J2480">
        <f>Data!D2492</f>
        <v>0</v>
      </c>
      <c r="K2480">
        <f>Data!E2492</f>
        <v>0</v>
      </c>
      <c r="L2480">
        <f>Data!F2492</f>
        <v>0</v>
      </c>
      <c r="M2480">
        <f>Data!G2492</f>
        <v>0</v>
      </c>
      <c r="N2480">
        <f>Data!H2492</f>
        <v>0</v>
      </c>
      <c r="O2480">
        <f>Data!I2492</f>
        <v>0</v>
      </c>
      <c r="P2480" s="21">
        <f>Data!J2496</f>
        <v>0</v>
      </c>
      <c r="Q2480">
        <f>Data!K2496</f>
        <v>0</v>
      </c>
      <c r="R2480">
        <f>Data!L2496</f>
        <v>0</v>
      </c>
      <c r="S2480">
        <f>Data!M2496</f>
        <v>0</v>
      </c>
      <c r="T2480">
        <f>Data!N2496</f>
        <v>0</v>
      </c>
      <c r="U2480">
        <f>Data!O2496</f>
        <v>0</v>
      </c>
      <c r="V2480" s="33">
        <f>Data!P2494</f>
        <v>0</v>
      </c>
    </row>
    <row r="2481" spans="7:22" x14ac:dyDescent="0.25">
      <c r="G2481" cm="1">
        <f t="array" aca="1" ref="G2481" ca="1">INDIRECT("Data!A" &amp; 2476)</f>
        <v>0</v>
      </c>
      <c r="H2481" s="21">
        <f>Data!B2493</f>
        <v>0</v>
      </c>
      <c r="I2481" s="21">
        <f>Data!C2493</f>
        <v>0</v>
      </c>
      <c r="J2481">
        <f>Data!D2493</f>
        <v>0</v>
      </c>
      <c r="K2481">
        <f>Data!E2493</f>
        <v>0</v>
      </c>
      <c r="L2481">
        <f>Data!F2493</f>
        <v>0</v>
      </c>
      <c r="M2481">
        <f>Data!G2493</f>
        <v>0</v>
      </c>
      <c r="N2481">
        <f>Data!H2493</f>
        <v>0</v>
      </c>
      <c r="O2481">
        <f>Data!I2493</f>
        <v>0</v>
      </c>
      <c r="P2481" s="21">
        <f>Data!J2497</f>
        <v>0</v>
      </c>
      <c r="Q2481">
        <f>Data!K2497</f>
        <v>0</v>
      </c>
      <c r="R2481">
        <f>Data!L2497</f>
        <v>0</v>
      </c>
      <c r="S2481">
        <f>Data!M2497</f>
        <v>0</v>
      </c>
      <c r="T2481">
        <f>Data!N2497</f>
        <v>0</v>
      </c>
      <c r="U2481">
        <f>Data!O2497</f>
        <v>0</v>
      </c>
      <c r="V2481" s="33">
        <f>Data!P2495</f>
        <v>0</v>
      </c>
    </row>
    <row r="2482" spans="7:22" x14ac:dyDescent="0.25">
      <c r="G2482" cm="1">
        <f t="array" aca="1" ref="G2482" ca="1">INDIRECT("Data!A" &amp; 2477)</f>
        <v>0</v>
      </c>
      <c r="H2482" s="21">
        <f>Data!B2494</f>
        <v>0</v>
      </c>
      <c r="I2482" s="21">
        <f>Data!C2494</f>
        <v>0</v>
      </c>
      <c r="J2482">
        <f>Data!D2494</f>
        <v>0</v>
      </c>
      <c r="K2482">
        <f>Data!E2494</f>
        <v>0</v>
      </c>
      <c r="L2482">
        <f>Data!F2494</f>
        <v>0</v>
      </c>
      <c r="M2482">
        <f>Data!G2494</f>
        <v>0</v>
      </c>
      <c r="N2482">
        <f>Data!H2494</f>
        <v>0</v>
      </c>
      <c r="O2482">
        <f>Data!I2494</f>
        <v>0</v>
      </c>
      <c r="P2482" s="21">
        <f>Data!J2498</f>
        <v>0</v>
      </c>
      <c r="Q2482">
        <f>Data!K2498</f>
        <v>0</v>
      </c>
      <c r="R2482">
        <f>Data!L2498</f>
        <v>0</v>
      </c>
      <c r="S2482">
        <f>Data!M2498</f>
        <v>0</v>
      </c>
      <c r="T2482">
        <f>Data!N2498</f>
        <v>0</v>
      </c>
      <c r="U2482">
        <f>Data!O2498</f>
        <v>0</v>
      </c>
      <c r="V2482" s="33">
        <f>Data!P2496</f>
        <v>0</v>
      </c>
    </row>
    <row r="2483" spans="7:22" x14ac:dyDescent="0.25">
      <c r="G2483" cm="1">
        <f t="array" aca="1" ref="G2483" ca="1">INDIRECT("Data!A" &amp; 2478)</f>
        <v>0</v>
      </c>
      <c r="H2483" s="21">
        <f>Data!B2495</f>
        <v>0</v>
      </c>
      <c r="I2483" s="21">
        <f>Data!C2495</f>
        <v>0</v>
      </c>
      <c r="J2483">
        <f>Data!D2495</f>
        <v>0</v>
      </c>
      <c r="K2483">
        <f>Data!E2495</f>
        <v>0</v>
      </c>
      <c r="L2483">
        <f>Data!F2495</f>
        <v>0</v>
      </c>
      <c r="M2483">
        <f>Data!G2495</f>
        <v>0</v>
      </c>
      <c r="N2483">
        <f>Data!H2495</f>
        <v>0</v>
      </c>
      <c r="O2483">
        <f>Data!I2495</f>
        <v>0</v>
      </c>
      <c r="P2483" s="21">
        <f>Data!J2499</f>
        <v>0</v>
      </c>
      <c r="Q2483">
        <f>Data!K2499</f>
        <v>0</v>
      </c>
      <c r="R2483">
        <f>Data!L2499</f>
        <v>0</v>
      </c>
      <c r="S2483">
        <f>Data!M2499</f>
        <v>0</v>
      </c>
      <c r="T2483">
        <f>Data!N2499</f>
        <v>0</v>
      </c>
      <c r="U2483">
        <f>Data!O2499</f>
        <v>0</v>
      </c>
      <c r="V2483" s="33">
        <f>Data!P2497</f>
        <v>0</v>
      </c>
    </row>
    <row r="2484" spans="7:22" x14ac:dyDescent="0.25">
      <c r="G2484" cm="1">
        <f t="array" aca="1" ref="G2484" ca="1">INDIRECT("Data!A" &amp; 2479)</f>
        <v>0</v>
      </c>
      <c r="H2484" s="21">
        <f>Data!B2496</f>
        <v>0</v>
      </c>
      <c r="I2484" s="21">
        <f>Data!C2496</f>
        <v>0</v>
      </c>
      <c r="J2484">
        <f>Data!D2496</f>
        <v>0</v>
      </c>
      <c r="K2484">
        <f>Data!E2496</f>
        <v>0</v>
      </c>
      <c r="L2484">
        <f>Data!F2496</f>
        <v>0</v>
      </c>
      <c r="M2484">
        <f>Data!G2496</f>
        <v>0</v>
      </c>
      <c r="N2484">
        <f>Data!H2496</f>
        <v>0</v>
      </c>
      <c r="O2484">
        <f>Data!I2496</f>
        <v>0</v>
      </c>
      <c r="P2484" s="21">
        <f>Data!J2500</f>
        <v>0</v>
      </c>
      <c r="Q2484">
        <f>Data!K2500</f>
        <v>0</v>
      </c>
      <c r="R2484">
        <f>Data!L2500</f>
        <v>0</v>
      </c>
      <c r="S2484">
        <f>Data!M2500</f>
        <v>0</v>
      </c>
      <c r="T2484">
        <f>Data!N2500</f>
        <v>0</v>
      </c>
      <c r="U2484">
        <f>Data!O2500</f>
        <v>0</v>
      </c>
      <c r="V2484" s="33">
        <f>Data!P2498</f>
        <v>0</v>
      </c>
    </row>
    <row r="2485" spans="7:22" x14ac:dyDescent="0.25">
      <c r="G2485" cm="1">
        <f t="array" aca="1" ref="G2485" ca="1">INDIRECT("Data!A" &amp; 2480)</f>
        <v>0</v>
      </c>
      <c r="H2485" s="21">
        <f>Data!B2497</f>
        <v>0</v>
      </c>
      <c r="I2485" s="21">
        <f>Data!C2497</f>
        <v>0</v>
      </c>
      <c r="J2485">
        <f>Data!D2497</f>
        <v>0</v>
      </c>
      <c r="K2485">
        <f>Data!E2497</f>
        <v>0</v>
      </c>
      <c r="L2485">
        <f>Data!F2497</f>
        <v>0</v>
      </c>
      <c r="M2485">
        <f>Data!G2497</f>
        <v>0</v>
      </c>
      <c r="N2485">
        <f>Data!H2497</f>
        <v>0</v>
      </c>
      <c r="O2485">
        <f>Data!I2497</f>
        <v>0</v>
      </c>
      <c r="P2485" s="21">
        <f>Data!J2501</f>
        <v>0</v>
      </c>
      <c r="Q2485">
        <f>Data!K2501</f>
        <v>0</v>
      </c>
      <c r="R2485">
        <f>Data!L2501</f>
        <v>0</v>
      </c>
      <c r="S2485">
        <f>Data!M2501</f>
        <v>0</v>
      </c>
      <c r="T2485">
        <f>Data!N2501</f>
        <v>0</v>
      </c>
      <c r="U2485">
        <f>Data!O2501</f>
        <v>0</v>
      </c>
      <c r="V2485" s="33">
        <f>Data!P2499</f>
        <v>0</v>
      </c>
    </row>
    <row r="2486" spans="7:22" x14ac:dyDescent="0.25">
      <c r="G2486" cm="1">
        <f t="array" aca="1" ref="G2486" ca="1">INDIRECT("Data!A" &amp; 2481)</f>
        <v>0</v>
      </c>
      <c r="H2486" s="21">
        <f>Data!B2498</f>
        <v>0</v>
      </c>
      <c r="I2486" s="21">
        <f>Data!C2498</f>
        <v>0</v>
      </c>
      <c r="J2486">
        <f>Data!D2498</f>
        <v>0</v>
      </c>
      <c r="K2486">
        <f>Data!E2498</f>
        <v>0</v>
      </c>
      <c r="L2486">
        <f>Data!F2498</f>
        <v>0</v>
      </c>
      <c r="M2486">
        <f>Data!G2498</f>
        <v>0</v>
      </c>
      <c r="N2486">
        <f>Data!H2498</f>
        <v>0</v>
      </c>
      <c r="O2486">
        <f>Data!I2498</f>
        <v>0</v>
      </c>
      <c r="P2486" s="21">
        <f>Data!J2502</f>
        <v>0</v>
      </c>
      <c r="Q2486">
        <f>Data!K2502</f>
        <v>0</v>
      </c>
      <c r="R2486">
        <f>Data!L2502</f>
        <v>0</v>
      </c>
      <c r="S2486">
        <f>Data!M2502</f>
        <v>0</v>
      </c>
      <c r="T2486">
        <f>Data!N2502</f>
        <v>0</v>
      </c>
      <c r="U2486">
        <f>Data!O2502</f>
        <v>0</v>
      </c>
      <c r="V2486" s="33">
        <f>Data!P2500</f>
        <v>0</v>
      </c>
    </row>
    <row r="2487" spans="7:22" x14ac:dyDescent="0.25">
      <c r="G2487" cm="1">
        <f t="array" aca="1" ref="G2487" ca="1">INDIRECT("Data!A" &amp; 2482)</f>
        <v>0</v>
      </c>
      <c r="H2487" s="21">
        <f>Data!B2499</f>
        <v>0</v>
      </c>
      <c r="I2487" s="21">
        <f>Data!C2499</f>
        <v>0</v>
      </c>
      <c r="J2487">
        <f>Data!D2499</f>
        <v>0</v>
      </c>
      <c r="K2487">
        <f>Data!E2499</f>
        <v>0</v>
      </c>
      <c r="L2487">
        <f>Data!F2499</f>
        <v>0</v>
      </c>
      <c r="M2487">
        <f>Data!G2499</f>
        <v>0</v>
      </c>
      <c r="N2487">
        <f>Data!H2499</f>
        <v>0</v>
      </c>
      <c r="O2487">
        <f>Data!I2499</f>
        <v>0</v>
      </c>
      <c r="P2487" s="21">
        <f>Data!J2503</f>
        <v>0</v>
      </c>
      <c r="Q2487">
        <f>Data!K2503</f>
        <v>0</v>
      </c>
      <c r="R2487">
        <f>Data!L2503</f>
        <v>0</v>
      </c>
      <c r="S2487">
        <f>Data!M2503</f>
        <v>0</v>
      </c>
      <c r="T2487">
        <f>Data!N2503</f>
        <v>0</v>
      </c>
      <c r="U2487">
        <f>Data!O2503</f>
        <v>0</v>
      </c>
      <c r="V2487" s="33">
        <f>Data!P2501</f>
        <v>0</v>
      </c>
    </row>
    <row r="2488" spans="7:22" x14ac:dyDescent="0.25">
      <c r="G2488" cm="1">
        <f t="array" aca="1" ref="G2488" ca="1">INDIRECT("Data!A" &amp; 2483)</f>
        <v>0</v>
      </c>
      <c r="H2488" s="21">
        <f>Data!B2500</f>
        <v>0</v>
      </c>
      <c r="I2488" s="21">
        <f>Data!C2500</f>
        <v>0</v>
      </c>
      <c r="J2488">
        <f>Data!D2500</f>
        <v>0</v>
      </c>
      <c r="K2488">
        <f>Data!E2500</f>
        <v>0</v>
      </c>
      <c r="L2488">
        <f>Data!F2500</f>
        <v>0</v>
      </c>
      <c r="M2488">
        <f>Data!G2500</f>
        <v>0</v>
      </c>
      <c r="N2488">
        <f>Data!H2500</f>
        <v>0</v>
      </c>
      <c r="O2488">
        <f>Data!I2500</f>
        <v>0</v>
      </c>
      <c r="P2488" s="21">
        <f>Data!J2504</f>
        <v>0</v>
      </c>
      <c r="Q2488">
        <f>Data!K2504</f>
        <v>0</v>
      </c>
      <c r="R2488">
        <f>Data!L2504</f>
        <v>0</v>
      </c>
      <c r="S2488">
        <f>Data!M2504</f>
        <v>0</v>
      </c>
      <c r="T2488">
        <f>Data!N2504</f>
        <v>0</v>
      </c>
      <c r="U2488">
        <f>Data!O2504</f>
        <v>0</v>
      </c>
      <c r="V2488" s="33">
        <f>Data!P2502</f>
        <v>0</v>
      </c>
    </row>
    <row r="2489" spans="7:22" x14ac:dyDescent="0.25">
      <c r="G2489" cm="1">
        <f t="array" aca="1" ref="G2489" ca="1">INDIRECT("Data!A" &amp; 2484)</f>
        <v>0</v>
      </c>
      <c r="H2489" s="21">
        <f>Data!B2501</f>
        <v>0</v>
      </c>
      <c r="I2489" s="21">
        <f>Data!C2501</f>
        <v>0</v>
      </c>
      <c r="J2489">
        <f>Data!D2501</f>
        <v>0</v>
      </c>
      <c r="K2489">
        <f>Data!E2501</f>
        <v>0</v>
      </c>
      <c r="L2489">
        <f>Data!F2501</f>
        <v>0</v>
      </c>
      <c r="M2489">
        <f>Data!G2501</f>
        <v>0</v>
      </c>
      <c r="N2489">
        <f>Data!H2501</f>
        <v>0</v>
      </c>
      <c r="O2489">
        <f>Data!I2501</f>
        <v>0</v>
      </c>
      <c r="P2489" s="21">
        <f>Data!J2505</f>
        <v>0</v>
      </c>
      <c r="Q2489">
        <f>Data!K2505</f>
        <v>0</v>
      </c>
      <c r="R2489">
        <f>Data!L2505</f>
        <v>0</v>
      </c>
      <c r="S2489">
        <f>Data!M2505</f>
        <v>0</v>
      </c>
      <c r="T2489">
        <f>Data!N2505</f>
        <v>0</v>
      </c>
      <c r="U2489">
        <f>Data!O2505</f>
        <v>0</v>
      </c>
      <c r="V2489" s="33">
        <f>Data!P2503</f>
        <v>0</v>
      </c>
    </row>
    <row r="2490" spans="7:22" x14ac:dyDescent="0.25">
      <c r="G2490" cm="1">
        <f t="array" aca="1" ref="G2490" ca="1">INDIRECT("Data!A" &amp; 2485)</f>
        <v>0</v>
      </c>
      <c r="H2490" s="21">
        <f>Data!B2502</f>
        <v>0</v>
      </c>
      <c r="I2490" s="21">
        <f>Data!C2502</f>
        <v>0</v>
      </c>
      <c r="J2490">
        <f>Data!D2502</f>
        <v>0</v>
      </c>
      <c r="K2490">
        <f>Data!E2502</f>
        <v>0</v>
      </c>
      <c r="L2490">
        <f>Data!F2502</f>
        <v>0</v>
      </c>
      <c r="M2490">
        <f>Data!G2502</f>
        <v>0</v>
      </c>
      <c r="N2490">
        <f>Data!H2502</f>
        <v>0</v>
      </c>
      <c r="O2490">
        <f>Data!I2502</f>
        <v>0</v>
      </c>
      <c r="P2490" s="21">
        <f>Data!J2506</f>
        <v>0</v>
      </c>
      <c r="Q2490">
        <f>Data!K2506</f>
        <v>0</v>
      </c>
      <c r="R2490">
        <f>Data!L2506</f>
        <v>0</v>
      </c>
      <c r="S2490">
        <f>Data!M2506</f>
        <v>0</v>
      </c>
      <c r="T2490">
        <f>Data!N2506</f>
        <v>0</v>
      </c>
      <c r="U2490">
        <f>Data!O2506</f>
        <v>0</v>
      </c>
      <c r="V2490" s="33">
        <f>Data!P2504</f>
        <v>0</v>
      </c>
    </row>
    <row r="2491" spans="7:22" x14ac:dyDescent="0.25">
      <c r="G2491" cm="1">
        <f t="array" aca="1" ref="G2491" ca="1">INDIRECT("Data!A" &amp; 2486)</f>
        <v>0</v>
      </c>
      <c r="H2491" s="21">
        <f>Data!B2503</f>
        <v>0</v>
      </c>
      <c r="I2491" s="21">
        <f>Data!C2503</f>
        <v>0</v>
      </c>
      <c r="J2491">
        <f>Data!D2503</f>
        <v>0</v>
      </c>
      <c r="K2491">
        <f>Data!E2503</f>
        <v>0</v>
      </c>
      <c r="L2491">
        <f>Data!F2503</f>
        <v>0</v>
      </c>
      <c r="M2491">
        <f>Data!G2503</f>
        <v>0</v>
      </c>
      <c r="N2491">
        <f>Data!H2503</f>
        <v>0</v>
      </c>
      <c r="O2491">
        <f>Data!I2503</f>
        <v>0</v>
      </c>
      <c r="P2491" s="21">
        <f>Data!J2507</f>
        <v>0</v>
      </c>
      <c r="Q2491">
        <f>Data!K2507</f>
        <v>0</v>
      </c>
      <c r="R2491">
        <f>Data!L2507</f>
        <v>0</v>
      </c>
      <c r="S2491">
        <f>Data!M2507</f>
        <v>0</v>
      </c>
      <c r="T2491">
        <f>Data!N2507</f>
        <v>0</v>
      </c>
      <c r="U2491">
        <f>Data!O2507</f>
        <v>0</v>
      </c>
      <c r="V2491" s="33">
        <f>Data!P2505</f>
        <v>0</v>
      </c>
    </row>
    <row r="2492" spans="7:22" x14ac:dyDescent="0.25">
      <c r="G2492" cm="1">
        <f t="array" aca="1" ref="G2492" ca="1">INDIRECT("Data!A" &amp; 2487)</f>
        <v>0</v>
      </c>
      <c r="H2492" s="21">
        <f>Data!B2504</f>
        <v>0</v>
      </c>
      <c r="I2492" s="21">
        <f>Data!C2504</f>
        <v>0</v>
      </c>
      <c r="J2492">
        <f>Data!D2504</f>
        <v>0</v>
      </c>
      <c r="K2492">
        <f>Data!E2504</f>
        <v>0</v>
      </c>
      <c r="L2492">
        <f>Data!F2504</f>
        <v>0</v>
      </c>
      <c r="M2492">
        <f>Data!G2504</f>
        <v>0</v>
      </c>
      <c r="N2492">
        <f>Data!H2504</f>
        <v>0</v>
      </c>
      <c r="O2492">
        <f>Data!I2504</f>
        <v>0</v>
      </c>
      <c r="P2492" s="21">
        <f>Data!J2508</f>
        <v>0</v>
      </c>
      <c r="Q2492">
        <f>Data!K2508</f>
        <v>0</v>
      </c>
      <c r="R2492">
        <f>Data!L2508</f>
        <v>0</v>
      </c>
      <c r="S2492">
        <f>Data!M2508</f>
        <v>0</v>
      </c>
      <c r="T2492">
        <f>Data!N2508</f>
        <v>0</v>
      </c>
      <c r="U2492">
        <f>Data!O2508</f>
        <v>0</v>
      </c>
      <c r="V2492" s="33">
        <f>Data!P2506</f>
        <v>0</v>
      </c>
    </row>
    <row r="2493" spans="7:22" x14ac:dyDescent="0.25">
      <c r="G2493" cm="1">
        <f t="array" aca="1" ref="G2493" ca="1">INDIRECT("Data!A" &amp; 2488)</f>
        <v>0</v>
      </c>
      <c r="H2493" s="21">
        <f>Data!B2505</f>
        <v>0</v>
      </c>
      <c r="I2493" s="21">
        <f>Data!C2505</f>
        <v>0</v>
      </c>
      <c r="J2493">
        <f>Data!D2505</f>
        <v>0</v>
      </c>
      <c r="K2493">
        <f>Data!E2505</f>
        <v>0</v>
      </c>
      <c r="L2493">
        <f>Data!F2505</f>
        <v>0</v>
      </c>
      <c r="M2493">
        <f>Data!G2505</f>
        <v>0</v>
      </c>
      <c r="N2493">
        <f>Data!H2505</f>
        <v>0</v>
      </c>
      <c r="O2493">
        <f>Data!I2505</f>
        <v>0</v>
      </c>
      <c r="P2493" s="21">
        <f>Data!J2509</f>
        <v>0</v>
      </c>
      <c r="Q2493">
        <f>Data!K2509</f>
        <v>0</v>
      </c>
      <c r="R2493">
        <f>Data!L2509</f>
        <v>0</v>
      </c>
      <c r="S2493">
        <f>Data!M2509</f>
        <v>0</v>
      </c>
      <c r="T2493">
        <f>Data!N2509</f>
        <v>0</v>
      </c>
      <c r="U2493">
        <f>Data!O2509</f>
        <v>0</v>
      </c>
      <c r="V2493" s="33">
        <f>Data!P2507</f>
        <v>0</v>
      </c>
    </row>
    <row r="2494" spans="7:22" x14ac:dyDescent="0.25">
      <c r="G2494" cm="1">
        <f t="array" aca="1" ref="G2494" ca="1">INDIRECT("Data!A" &amp; 2489)</f>
        <v>0</v>
      </c>
      <c r="H2494" s="21">
        <f>Data!B2506</f>
        <v>0</v>
      </c>
      <c r="I2494" s="21">
        <f>Data!C2506</f>
        <v>0</v>
      </c>
      <c r="J2494">
        <f>Data!D2506</f>
        <v>0</v>
      </c>
      <c r="K2494">
        <f>Data!E2506</f>
        <v>0</v>
      </c>
      <c r="L2494">
        <f>Data!F2506</f>
        <v>0</v>
      </c>
      <c r="M2494">
        <f>Data!G2506</f>
        <v>0</v>
      </c>
      <c r="N2494">
        <f>Data!H2506</f>
        <v>0</v>
      </c>
      <c r="O2494">
        <f>Data!I2506</f>
        <v>0</v>
      </c>
      <c r="P2494" s="21">
        <f>Data!J2510</f>
        <v>0</v>
      </c>
      <c r="Q2494">
        <f>Data!K2510</f>
        <v>0</v>
      </c>
      <c r="R2494">
        <f>Data!L2510</f>
        <v>0</v>
      </c>
      <c r="S2494">
        <f>Data!M2510</f>
        <v>0</v>
      </c>
      <c r="T2494">
        <f>Data!N2510</f>
        <v>0</v>
      </c>
      <c r="U2494">
        <f>Data!O2510</f>
        <v>0</v>
      </c>
      <c r="V2494" s="33">
        <f>Data!P2508</f>
        <v>0</v>
      </c>
    </row>
    <row r="2495" spans="7:22" x14ac:dyDescent="0.25">
      <c r="G2495" cm="1">
        <f t="array" aca="1" ref="G2495" ca="1">INDIRECT("Data!A" &amp; 2490)</f>
        <v>0</v>
      </c>
      <c r="H2495" s="21">
        <f>Data!B2507</f>
        <v>0</v>
      </c>
      <c r="I2495" s="21">
        <f>Data!C2507</f>
        <v>0</v>
      </c>
      <c r="J2495">
        <f>Data!D2507</f>
        <v>0</v>
      </c>
      <c r="K2495">
        <f>Data!E2507</f>
        <v>0</v>
      </c>
      <c r="L2495">
        <f>Data!F2507</f>
        <v>0</v>
      </c>
      <c r="M2495">
        <f>Data!G2507</f>
        <v>0</v>
      </c>
      <c r="N2495">
        <f>Data!H2507</f>
        <v>0</v>
      </c>
      <c r="O2495">
        <f>Data!I2507</f>
        <v>0</v>
      </c>
      <c r="P2495" s="21">
        <f>Data!J2511</f>
        <v>0</v>
      </c>
      <c r="Q2495">
        <f>Data!K2511</f>
        <v>0</v>
      </c>
      <c r="R2495">
        <f>Data!L2511</f>
        <v>0</v>
      </c>
      <c r="S2495">
        <f>Data!M2511</f>
        <v>0</v>
      </c>
      <c r="T2495">
        <f>Data!N2511</f>
        <v>0</v>
      </c>
      <c r="U2495">
        <f>Data!O2511</f>
        <v>0</v>
      </c>
      <c r="V2495" s="33">
        <f>Data!P2509</f>
        <v>0</v>
      </c>
    </row>
    <row r="2496" spans="7:22" x14ac:dyDescent="0.25">
      <c r="G2496" cm="1">
        <f t="array" aca="1" ref="G2496" ca="1">INDIRECT("Data!A" &amp; 2491)</f>
        <v>0</v>
      </c>
      <c r="H2496" s="21">
        <f>Data!B2508</f>
        <v>0</v>
      </c>
      <c r="I2496" s="21">
        <f>Data!C2508</f>
        <v>0</v>
      </c>
      <c r="J2496">
        <f>Data!D2508</f>
        <v>0</v>
      </c>
      <c r="K2496">
        <f>Data!E2508</f>
        <v>0</v>
      </c>
      <c r="L2496">
        <f>Data!F2508</f>
        <v>0</v>
      </c>
      <c r="M2496">
        <f>Data!G2508</f>
        <v>0</v>
      </c>
      <c r="N2496">
        <f>Data!H2508</f>
        <v>0</v>
      </c>
      <c r="O2496">
        <f>Data!I2508</f>
        <v>0</v>
      </c>
      <c r="P2496" s="21">
        <f>Data!J2512</f>
        <v>0</v>
      </c>
      <c r="Q2496">
        <f>Data!K2512</f>
        <v>0</v>
      </c>
      <c r="R2496">
        <f>Data!L2512</f>
        <v>0</v>
      </c>
      <c r="S2496">
        <f>Data!M2512</f>
        <v>0</v>
      </c>
      <c r="T2496">
        <f>Data!N2512</f>
        <v>0</v>
      </c>
      <c r="U2496">
        <f>Data!O2512</f>
        <v>0</v>
      </c>
      <c r="V2496" s="33">
        <f>Data!P2510</f>
        <v>0</v>
      </c>
    </row>
    <row r="2497" spans="7:22" x14ac:dyDescent="0.25">
      <c r="G2497" cm="1">
        <f t="array" aca="1" ref="G2497" ca="1">INDIRECT("Data!A" &amp; 2492)</f>
        <v>0</v>
      </c>
      <c r="H2497" s="21">
        <f>Data!B2509</f>
        <v>0</v>
      </c>
      <c r="I2497" s="21">
        <f>Data!C2509</f>
        <v>0</v>
      </c>
      <c r="J2497">
        <f>Data!D2509</f>
        <v>0</v>
      </c>
      <c r="K2497">
        <f>Data!E2509</f>
        <v>0</v>
      </c>
      <c r="L2497">
        <f>Data!F2509</f>
        <v>0</v>
      </c>
      <c r="M2497">
        <f>Data!G2509</f>
        <v>0</v>
      </c>
      <c r="N2497">
        <f>Data!H2509</f>
        <v>0</v>
      </c>
      <c r="O2497">
        <f>Data!I2509</f>
        <v>0</v>
      </c>
      <c r="P2497" s="21">
        <f>Data!J2513</f>
        <v>0</v>
      </c>
      <c r="Q2497">
        <f>Data!K2513</f>
        <v>0</v>
      </c>
      <c r="R2497">
        <f>Data!L2513</f>
        <v>0</v>
      </c>
      <c r="S2497">
        <f>Data!M2513</f>
        <v>0</v>
      </c>
      <c r="T2497">
        <f>Data!N2513</f>
        <v>0</v>
      </c>
      <c r="U2497">
        <f>Data!O2513</f>
        <v>0</v>
      </c>
      <c r="V2497" s="33">
        <f>Data!P2511</f>
        <v>0</v>
      </c>
    </row>
    <row r="2498" spans="7:22" x14ac:dyDescent="0.25">
      <c r="G2498" cm="1">
        <f t="array" aca="1" ref="G2498" ca="1">INDIRECT("Data!A" &amp; 2493)</f>
        <v>0</v>
      </c>
      <c r="H2498" s="21">
        <f>Data!B2510</f>
        <v>0</v>
      </c>
      <c r="I2498" s="21">
        <f>Data!C2510</f>
        <v>0</v>
      </c>
      <c r="J2498">
        <f>Data!D2510</f>
        <v>0</v>
      </c>
      <c r="K2498">
        <f>Data!E2510</f>
        <v>0</v>
      </c>
      <c r="L2498">
        <f>Data!F2510</f>
        <v>0</v>
      </c>
      <c r="M2498">
        <f>Data!G2510</f>
        <v>0</v>
      </c>
      <c r="N2498">
        <f>Data!H2510</f>
        <v>0</v>
      </c>
      <c r="O2498">
        <f>Data!I2510</f>
        <v>0</v>
      </c>
      <c r="P2498" s="21">
        <f>Data!J2514</f>
        <v>0</v>
      </c>
      <c r="Q2498">
        <f>Data!K2514</f>
        <v>0</v>
      </c>
      <c r="R2498">
        <f>Data!L2514</f>
        <v>0</v>
      </c>
      <c r="S2498">
        <f>Data!M2514</f>
        <v>0</v>
      </c>
      <c r="T2498">
        <f>Data!N2514</f>
        <v>0</v>
      </c>
      <c r="U2498">
        <f>Data!O2514</f>
        <v>0</v>
      </c>
      <c r="V2498" s="33">
        <f>Data!P2512</f>
        <v>0</v>
      </c>
    </row>
    <row r="2499" spans="7:22" x14ac:dyDescent="0.25">
      <c r="G2499" cm="1">
        <f t="array" aca="1" ref="G2499" ca="1">INDIRECT("Data!A" &amp; 2494)</f>
        <v>0</v>
      </c>
      <c r="H2499" s="21">
        <f>Data!B2511</f>
        <v>0</v>
      </c>
      <c r="I2499" s="21">
        <f>Data!C2511</f>
        <v>0</v>
      </c>
      <c r="J2499">
        <f>Data!D2511</f>
        <v>0</v>
      </c>
      <c r="K2499">
        <f>Data!E2511</f>
        <v>0</v>
      </c>
      <c r="L2499">
        <f>Data!F2511</f>
        <v>0</v>
      </c>
      <c r="M2499">
        <f>Data!G2511</f>
        <v>0</v>
      </c>
      <c r="N2499">
        <f>Data!H2511</f>
        <v>0</v>
      </c>
      <c r="O2499">
        <f>Data!I2511</f>
        <v>0</v>
      </c>
      <c r="P2499" s="21">
        <f>Data!J2515</f>
        <v>0</v>
      </c>
      <c r="Q2499">
        <f>Data!K2515</f>
        <v>0</v>
      </c>
      <c r="R2499">
        <f>Data!L2515</f>
        <v>0</v>
      </c>
      <c r="S2499">
        <f>Data!M2515</f>
        <v>0</v>
      </c>
      <c r="T2499">
        <f>Data!N2515</f>
        <v>0</v>
      </c>
      <c r="U2499">
        <f>Data!O2515</f>
        <v>0</v>
      </c>
      <c r="V2499" s="33">
        <f>Data!P2513</f>
        <v>0</v>
      </c>
    </row>
    <row r="2500" spans="7:22" x14ac:dyDescent="0.25">
      <c r="G2500" cm="1">
        <f t="array" aca="1" ref="G2500" ca="1">INDIRECT("Data!A" &amp; 2495)</f>
        <v>0</v>
      </c>
      <c r="H2500" s="21">
        <f>Data!B2512</f>
        <v>0</v>
      </c>
      <c r="I2500" s="21">
        <f>Data!C2512</f>
        <v>0</v>
      </c>
      <c r="J2500">
        <f>Data!D2512</f>
        <v>0</v>
      </c>
      <c r="K2500">
        <f>Data!E2512</f>
        <v>0</v>
      </c>
      <c r="L2500">
        <f>Data!F2512</f>
        <v>0</v>
      </c>
      <c r="M2500">
        <f>Data!G2512</f>
        <v>0</v>
      </c>
      <c r="N2500">
        <f>Data!H2512</f>
        <v>0</v>
      </c>
      <c r="O2500">
        <f>Data!I2512</f>
        <v>0</v>
      </c>
      <c r="P2500" s="21">
        <f>Data!J2516</f>
        <v>0</v>
      </c>
      <c r="Q2500">
        <f>Data!K2516</f>
        <v>0</v>
      </c>
      <c r="R2500">
        <f>Data!L2516</f>
        <v>0</v>
      </c>
      <c r="S2500">
        <f>Data!M2516</f>
        <v>0</v>
      </c>
      <c r="T2500">
        <f>Data!N2516</f>
        <v>0</v>
      </c>
      <c r="U2500">
        <f>Data!O2516</f>
        <v>0</v>
      </c>
      <c r="V2500" s="33">
        <f>Data!P2514</f>
        <v>0</v>
      </c>
    </row>
    <row r="2501" spans="7:22" x14ac:dyDescent="0.25">
      <c r="G2501" cm="1">
        <f t="array" aca="1" ref="G2501" ca="1">INDIRECT("Data!A" &amp; 2496)</f>
        <v>0</v>
      </c>
      <c r="H2501" s="21">
        <f>Data!B2513</f>
        <v>0</v>
      </c>
      <c r="I2501" s="21">
        <f>Data!C2513</f>
        <v>0</v>
      </c>
      <c r="J2501">
        <f>Data!D2513</f>
        <v>0</v>
      </c>
      <c r="K2501">
        <f>Data!E2513</f>
        <v>0</v>
      </c>
      <c r="L2501">
        <f>Data!F2513</f>
        <v>0</v>
      </c>
      <c r="M2501">
        <f>Data!G2513</f>
        <v>0</v>
      </c>
      <c r="N2501">
        <f>Data!H2513</f>
        <v>0</v>
      </c>
      <c r="O2501">
        <f>Data!I2513</f>
        <v>0</v>
      </c>
      <c r="P2501" s="21">
        <f>Data!J2517</f>
        <v>0</v>
      </c>
      <c r="Q2501">
        <f>Data!K2517</f>
        <v>0</v>
      </c>
      <c r="R2501">
        <f>Data!L2517</f>
        <v>0</v>
      </c>
      <c r="S2501">
        <f>Data!M2517</f>
        <v>0</v>
      </c>
      <c r="T2501">
        <f>Data!N2517</f>
        <v>0</v>
      </c>
      <c r="U2501">
        <f>Data!O2517</f>
        <v>0</v>
      </c>
      <c r="V2501" s="33">
        <f>Data!P2515</f>
        <v>0</v>
      </c>
    </row>
    <row r="2502" spans="7:22" x14ac:dyDescent="0.25">
      <c r="G2502" cm="1">
        <f t="array" aca="1" ref="G2502" ca="1">INDIRECT("Data!A" &amp; 2497)</f>
        <v>0</v>
      </c>
      <c r="H2502" s="21">
        <f>Data!B2514</f>
        <v>0</v>
      </c>
      <c r="I2502" s="21">
        <f>Data!C2514</f>
        <v>0</v>
      </c>
      <c r="J2502">
        <f>Data!D2514</f>
        <v>0</v>
      </c>
      <c r="K2502">
        <f>Data!E2514</f>
        <v>0</v>
      </c>
      <c r="L2502">
        <f>Data!F2514</f>
        <v>0</v>
      </c>
      <c r="M2502">
        <f>Data!G2514</f>
        <v>0</v>
      </c>
      <c r="N2502">
        <f>Data!H2514</f>
        <v>0</v>
      </c>
      <c r="O2502">
        <f>Data!I2514</f>
        <v>0</v>
      </c>
      <c r="P2502" s="21">
        <f>Data!J2518</f>
        <v>0</v>
      </c>
      <c r="Q2502">
        <f>Data!K2518</f>
        <v>0</v>
      </c>
      <c r="R2502">
        <f>Data!L2518</f>
        <v>0</v>
      </c>
      <c r="S2502">
        <f>Data!M2518</f>
        <v>0</v>
      </c>
      <c r="T2502">
        <f>Data!N2518</f>
        <v>0</v>
      </c>
      <c r="U2502">
        <f>Data!O2518</f>
        <v>0</v>
      </c>
      <c r="V2502" s="33">
        <f>Data!P2516</f>
        <v>0</v>
      </c>
    </row>
    <row r="2503" spans="7:22" x14ac:dyDescent="0.25">
      <c r="G2503" cm="1">
        <f t="array" aca="1" ref="G2503" ca="1">INDIRECT("Data!A" &amp; 2498)</f>
        <v>0</v>
      </c>
      <c r="H2503" s="21">
        <f>Data!B2515</f>
        <v>0</v>
      </c>
      <c r="I2503" s="21">
        <f>Data!C2515</f>
        <v>0</v>
      </c>
      <c r="J2503">
        <f>Data!D2515</f>
        <v>0</v>
      </c>
      <c r="K2503">
        <f>Data!E2515</f>
        <v>0</v>
      </c>
      <c r="L2503">
        <f>Data!F2515</f>
        <v>0</v>
      </c>
      <c r="M2503">
        <f>Data!G2515</f>
        <v>0</v>
      </c>
      <c r="N2503">
        <f>Data!H2515</f>
        <v>0</v>
      </c>
      <c r="O2503">
        <f>Data!I2515</f>
        <v>0</v>
      </c>
      <c r="P2503" s="21">
        <f>Data!J2519</f>
        <v>0</v>
      </c>
      <c r="Q2503">
        <f>Data!K2519</f>
        <v>0</v>
      </c>
      <c r="R2503">
        <f>Data!L2519</f>
        <v>0</v>
      </c>
      <c r="S2503">
        <f>Data!M2519</f>
        <v>0</v>
      </c>
      <c r="T2503">
        <f>Data!N2519</f>
        <v>0</v>
      </c>
      <c r="U2503">
        <f>Data!O2519</f>
        <v>0</v>
      </c>
      <c r="V2503" s="33">
        <f>Data!P2517</f>
        <v>0</v>
      </c>
    </row>
    <row r="2504" spans="7:22" x14ac:dyDescent="0.25">
      <c r="G2504" cm="1">
        <f t="array" aca="1" ref="G2504" ca="1">INDIRECT("Data!A" &amp; 2499)</f>
        <v>0</v>
      </c>
      <c r="H2504" s="21">
        <f>Data!B2516</f>
        <v>0</v>
      </c>
      <c r="I2504" s="21">
        <f>Data!C2516</f>
        <v>0</v>
      </c>
      <c r="J2504">
        <f>Data!D2516</f>
        <v>0</v>
      </c>
      <c r="K2504">
        <f>Data!E2516</f>
        <v>0</v>
      </c>
      <c r="L2504">
        <f>Data!F2516</f>
        <v>0</v>
      </c>
      <c r="M2504">
        <f>Data!G2516</f>
        <v>0</v>
      </c>
      <c r="N2504">
        <f>Data!H2516</f>
        <v>0</v>
      </c>
      <c r="O2504">
        <f>Data!I2516</f>
        <v>0</v>
      </c>
      <c r="P2504" s="21">
        <f>Data!J2520</f>
        <v>0</v>
      </c>
      <c r="Q2504">
        <f>Data!K2520</f>
        <v>0</v>
      </c>
      <c r="R2504">
        <f>Data!L2520</f>
        <v>0</v>
      </c>
      <c r="S2504">
        <f>Data!M2520</f>
        <v>0</v>
      </c>
      <c r="T2504">
        <f>Data!N2520</f>
        <v>0</v>
      </c>
      <c r="U2504">
        <f>Data!O2520</f>
        <v>0</v>
      </c>
      <c r="V2504" s="33">
        <f>Data!P2518</f>
        <v>0</v>
      </c>
    </row>
    <row r="2505" spans="7:22" x14ac:dyDescent="0.25">
      <c r="G2505" cm="1">
        <f t="array" aca="1" ref="G2505" ca="1">INDIRECT("Data!A" &amp; 2500)</f>
        <v>0</v>
      </c>
      <c r="H2505" s="21">
        <f>Data!B2517</f>
        <v>0</v>
      </c>
      <c r="I2505" s="21">
        <f>Data!C2517</f>
        <v>0</v>
      </c>
      <c r="J2505">
        <f>Data!D2517</f>
        <v>0</v>
      </c>
      <c r="K2505">
        <f>Data!E2517</f>
        <v>0</v>
      </c>
      <c r="L2505">
        <f>Data!F2517</f>
        <v>0</v>
      </c>
      <c r="M2505">
        <f>Data!G2517</f>
        <v>0</v>
      </c>
      <c r="N2505">
        <f>Data!H2517</f>
        <v>0</v>
      </c>
      <c r="O2505">
        <f>Data!I2517</f>
        <v>0</v>
      </c>
      <c r="P2505" s="21">
        <f>Data!J2521</f>
        <v>0</v>
      </c>
      <c r="Q2505">
        <f>Data!K2521</f>
        <v>0</v>
      </c>
      <c r="R2505">
        <f>Data!L2521</f>
        <v>0</v>
      </c>
      <c r="S2505">
        <f>Data!M2521</f>
        <v>0</v>
      </c>
      <c r="T2505">
        <f>Data!N2521</f>
        <v>0</v>
      </c>
      <c r="U2505">
        <f>Data!O2521</f>
        <v>0</v>
      </c>
      <c r="V2505" s="33">
        <f>Data!P2519</f>
        <v>0</v>
      </c>
    </row>
    <row r="2506" spans="7:22" x14ac:dyDescent="0.25">
      <c r="G2506" cm="1">
        <f t="array" aca="1" ref="G2506" ca="1">INDIRECT("Data!A" &amp; 2501)</f>
        <v>0</v>
      </c>
      <c r="H2506" s="21">
        <f>Data!B2518</f>
        <v>0</v>
      </c>
      <c r="I2506" s="21">
        <f>Data!C2518</f>
        <v>0</v>
      </c>
      <c r="J2506">
        <f>Data!D2518</f>
        <v>0</v>
      </c>
      <c r="K2506">
        <f>Data!E2518</f>
        <v>0</v>
      </c>
      <c r="L2506">
        <f>Data!F2518</f>
        <v>0</v>
      </c>
      <c r="M2506">
        <f>Data!G2518</f>
        <v>0</v>
      </c>
      <c r="N2506">
        <f>Data!H2518</f>
        <v>0</v>
      </c>
      <c r="O2506">
        <f>Data!I2518</f>
        <v>0</v>
      </c>
      <c r="P2506" s="21">
        <f>Data!J2522</f>
        <v>0</v>
      </c>
      <c r="Q2506">
        <f>Data!K2522</f>
        <v>0</v>
      </c>
      <c r="R2506">
        <f>Data!L2522</f>
        <v>0</v>
      </c>
      <c r="S2506">
        <f>Data!M2522</f>
        <v>0</v>
      </c>
      <c r="T2506">
        <f>Data!N2522</f>
        <v>0</v>
      </c>
      <c r="U2506">
        <f>Data!O2522</f>
        <v>0</v>
      </c>
      <c r="V2506" s="33">
        <f>Data!P2520</f>
        <v>0</v>
      </c>
    </row>
    <row r="2507" spans="7:22" x14ac:dyDescent="0.25">
      <c r="G2507" cm="1">
        <f t="array" aca="1" ref="G2507" ca="1">INDIRECT("Data!A" &amp; 2502)</f>
        <v>0</v>
      </c>
      <c r="H2507" s="21">
        <f>Data!B2519</f>
        <v>0</v>
      </c>
      <c r="I2507" s="21">
        <f>Data!C2519</f>
        <v>0</v>
      </c>
      <c r="J2507">
        <f>Data!D2519</f>
        <v>0</v>
      </c>
      <c r="K2507">
        <f>Data!E2519</f>
        <v>0</v>
      </c>
      <c r="L2507">
        <f>Data!F2519</f>
        <v>0</v>
      </c>
      <c r="M2507">
        <f>Data!G2519</f>
        <v>0</v>
      </c>
      <c r="N2507">
        <f>Data!H2519</f>
        <v>0</v>
      </c>
      <c r="O2507">
        <f>Data!I2519</f>
        <v>0</v>
      </c>
      <c r="P2507" s="21">
        <f>Data!J2523</f>
        <v>0</v>
      </c>
      <c r="Q2507">
        <f>Data!K2523</f>
        <v>0</v>
      </c>
      <c r="R2507">
        <f>Data!L2523</f>
        <v>0</v>
      </c>
      <c r="S2507">
        <f>Data!M2523</f>
        <v>0</v>
      </c>
      <c r="T2507">
        <f>Data!N2523</f>
        <v>0</v>
      </c>
      <c r="U2507">
        <f>Data!O2523</f>
        <v>0</v>
      </c>
      <c r="V2507" s="33">
        <f>Data!P2521</f>
        <v>0</v>
      </c>
    </row>
    <row r="2508" spans="7:22" x14ac:dyDescent="0.25">
      <c r="G2508" cm="1">
        <f t="array" aca="1" ref="G2508" ca="1">INDIRECT("Data!A" &amp; 2503)</f>
        <v>0</v>
      </c>
      <c r="H2508" s="21">
        <f>Data!B2520</f>
        <v>0</v>
      </c>
      <c r="I2508" s="21">
        <f>Data!C2520</f>
        <v>0</v>
      </c>
      <c r="J2508">
        <f>Data!D2520</f>
        <v>0</v>
      </c>
      <c r="K2508">
        <f>Data!E2520</f>
        <v>0</v>
      </c>
      <c r="L2508">
        <f>Data!F2520</f>
        <v>0</v>
      </c>
      <c r="M2508">
        <f>Data!G2520</f>
        <v>0</v>
      </c>
      <c r="N2508">
        <f>Data!H2520</f>
        <v>0</v>
      </c>
      <c r="O2508">
        <f>Data!I2520</f>
        <v>0</v>
      </c>
      <c r="P2508" s="21">
        <f>Data!J2524</f>
        <v>0</v>
      </c>
      <c r="Q2508">
        <f>Data!K2524</f>
        <v>0</v>
      </c>
      <c r="R2508">
        <f>Data!L2524</f>
        <v>0</v>
      </c>
      <c r="S2508">
        <f>Data!M2524</f>
        <v>0</v>
      </c>
      <c r="T2508">
        <f>Data!N2524</f>
        <v>0</v>
      </c>
      <c r="U2508">
        <f>Data!O2524</f>
        <v>0</v>
      </c>
      <c r="V2508" s="33">
        <f>Data!P2522</f>
        <v>0</v>
      </c>
    </row>
    <row r="2509" spans="7:22" x14ac:dyDescent="0.25">
      <c r="G2509" cm="1">
        <f t="array" aca="1" ref="G2509" ca="1">INDIRECT("Data!A" &amp; 2504)</f>
        <v>0</v>
      </c>
      <c r="H2509" s="21">
        <f>Data!B2521</f>
        <v>0</v>
      </c>
      <c r="I2509" s="21">
        <f>Data!C2521</f>
        <v>0</v>
      </c>
      <c r="J2509">
        <f>Data!D2521</f>
        <v>0</v>
      </c>
      <c r="K2509">
        <f>Data!E2521</f>
        <v>0</v>
      </c>
      <c r="L2509">
        <f>Data!F2521</f>
        <v>0</v>
      </c>
      <c r="M2509">
        <f>Data!G2521</f>
        <v>0</v>
      </c>
      <c r="N2509">
        <f>Data!H2521</f>
        <v>0</v>
      </c>
      <c r="O2509">
        <f>Data!I2521</f>
        <v>0</v>
      </c>
      <c r="P2509" s="21">
        <f>Data!J2525</f>
        <v>0</v>
      </c>
      <c r="Q2509">
        <f>Data!K2525</f>
        <v>0</v>
      </c>
      <c r="R2509">
        <f>Data!L2525</f>
        <v>0</v>
      </c>
      <c r="S2509">
        <f>Data!M2525</f>
        <v>0</v>
      </c>
      <c r="T2509">
        <f>Data!N2525</f>
        <v>0</v>
      </c>
      <c r="U2509">
        <f>Data!O2525</f>
        <v>0</v>
      </c>
      <c r="V2509" s="33">
        <f>Data!P2523</f>
        <v>0</v>
      </c>
    </row>
    <row r="2510" spans="7:22" x14ac:dyDescent="0.25">
      <c r="G2510" cm="1">
        <f t="array" aca="1" ref="G2510" ca="1">INDIRECT("Data!A" &amp; 2505)</f>
        <v>0</v>
      </c>
      <c r="H2510" s="21">
        <f>Data!B2522</f>
        <v>0</v>
      </c>
      <c r="I2510" s="21">
        <f>Data!C2522</f>
        <v>0</v>
      </c>
      <c r="J2510">
        <f>Data!D2522</f>
        <v>0</v>
      </c>
      <c r="K2510">
        <f>Data!E2522</f>
        <v>0</v>
      </c>
      <c r="L2510">
        <f>Data!F2522</f>
        <v>0</v>
      </c>
      <c r="M2510">
        <f>Data!G2522</f>
        <v>0</v>
      </c>
      <c r="N2510">
        <f>Data!H2522</f>
        <v>0</v>
      </c>
      <c r="O2510">
        <f>Data!I2522</f>
        <v>0</v>
      </c>
      <c r="P2510" s="21">
        <f>Data!J2526</f>
        <v>0</v>
      </c>
      <c r="Q2510">
        <f>Data!K2526</f>
        <v>0</v>
      </c>
      <c r="R2510">
        <f>Data!L2526</f>
        <v>0</v>
      </c>
      <c r="S2510">
        <f>Data!M2526</f>
        <v>0</v>
      </c>
      <c r="T2510">
        <f>Data!N2526</f>
        <v>0</v>
      </c>
      <c r="U2510">
        <f>Data!O2526</f>
        <v>0</v>
      </c>
      <c r="V2510" s="33">
        <f>Data!P2524</f>
        <v>0</v>
      </c>
    </row>
    <row r="2511" spans="7:22" x14ac:dyDescent="0.25">
      <c r="G2511" cm="1">
        <f t="array" aca="1" ref="G2511" ca="1">INDIRECT("Data!A" &amp; 2506)</f>
        <v>0</v>
      </c>
      <c r="H2511" s="21">
        <f>Data!B2523</f>
        <v>0</v>
      </c>
      <c r="I2511" s="21">
        <f>Data!C2523</f>
        <v>0</v>
      </c>
      <c r="J2511">
        <f>Data!D2523</f>
        <v>0</v>
      </c>
      <c r="K2511">
        <f>Data!E2523</f>
        <v>0</v>
      </c>
      <c r="L2511">
        <f>Data!F2523</f>
        <v>0</v>
      </c>
      <c r="M2511">
        <f>Data!G2523</f>
        <v>0</v>
      </c>
      <c r="N2511">
        <f>Data!H2523</f>
        <v>0</v>
      </c>
      <c r="O2511">
        <f>Data!I2523</f>
        <v>0</v>
      </c>
      <c r="P2511" s="21">
        <f>Data!J2527</f>
        <v>0</v>
      </c>
      <c r="Q2511">
        <f>Data!K2527</f>
        <v>0</v>
      </c>
      <c r="R2511">
        <f>Data!L2527</f>
        <v>0</v>
      </c>
      <c r="S2511">
        <f>Data!M2527</f>
        <v>0</v>
      </c>
      <c r="T2511">
        <f>Data!N2527</f>
        <v>0</v>
      </c>
      <c r="U2511">
        <f>Data!O2527</f>
        <v>0</v>
      </c>
      <c r="V2511" s="33">
        <f>Data!P2525</f>
        <v>0</v>
      </c>
    </row>
    <row r="2512" spans="7:22" x14ac:dyDescent="0.25">
      <c r="G2512" cm="1">
        <f t="array" aca="1" ref="G2512" ca="1">INDIRECT("Data!A" &amp; 2507)</f>
        <v>0</v>
      </c>
      <c r="H2512" s="21">
        <f>Data!B2524</f>
        <v>0</v>
      </c>
      <c r="I2512" s="21">
        <f>Data!C2524</f>
        <v>0</v>
      </c>
      <c r="J2512">
        <f>Data!D2524</f>
        <v>0</v>
      </c>
      <c r="K2512">
        <f>Data!E2524</f>
        <v>0</v>
      </c>
      <c r="L2512">
        <f>Data!F2524</f>
        <v>0</v>
      </c>
      <c r="M2512">
        <f>Data!G2524</f>
        <v>0</v>
      </c>
      <c r="N2512">
        <f>Data!H2524</f>
        <v>0</v>
      </c>
      <c r="O2512">
        <f>Data!I2524</f>
        <v>0</v>
      </c>
      <c r="P2512" s="21">
        <f>Data!J2528</f>
        <v>0</v>
      </c>
      <c r="Q2512">
        <f>Data!K2528</f>
        <v>0</v>
      </c>
      <c r="R2512">
        <f>Data!L2528</f>
        <v>0</v>
      </c>
      <c r="S2512">
        <f>Data!M2528</f>
        <v>0</v>
      </c>
      <c r="T2512">
        <f>Data!N2528</f>
        <v>0</v>
      </c>
      <c r="U2512">
        <f>Data!O2528</f>
        <v>0</v>
      </c>
      <c r="V2512" s="33">
        <f>Data!P2526</f>
        <v>0</v>
      </c>
    </row>
    <row r="2513" spans="7:22" x14ac:dyDescent="0.25">
      <c r="G2513" cm="1">
        <f t="array" aca="1" ref="G2513" ca="1">INDIRECT("Data!A" &amp; 2508)</f>
        <v>0</v>
      </c>
      <c r="H2513" s="21">
        <f>Data!B2525</f>
        <v>0</v>
      </c>
      <c r="I2513" s="21">
        <f>Data!C2525</f>
        <v>0</v>
      </c>
      <c r="J2513">
        <f>Data!D2525</f>
        <v>0</v>
      </c>
      <c r="K2513">
        <f>Data!E2525</f>
        <v>0</v>
      </c>
      <c r="L2513">
        <f>Data!F2525</f>
        <v>0</v>
      </c>
      <c r="M2513">
        <f>Data!G2525</f>
        <v>0</v>
      </c>
      <c r="N2513">
        <f>Data!H2525</f>
        <v>0</v>
      </c>
      <c r="O2513">
        <f>Data!I2525</f>
        <v>0</v>
      </c>
      <c r="P2513" s="21">
        <f>Data!J2529</f>
        <v>0</v>
      </c>
      <c r="Q2513">
        <f>Data!K2529</f>
        <v>0</v>
      </c>
      <c r="R2513">
        <f>Data!L2529</f>
        <v>0</v>
      </c>
      <c r="S2513">
        <f>Data!M2529</f>
        <v>0</v>
      </c>
      <c r="T2513">
        <f>Data!N2529</f>
        <v>0</v>
      </c>
      <c r="U2513">
        <f>Data!O2529</f>
        <v>0</v>
      </c>
      <c r="V2513" s="33">
        <f>Data!P2527</f>
        <v>0</v>
      </c>
    </row>
    <row r="2514" spans="7:22" x14ac:dyDescent="0.25">
      <c r="G2514" cm="1">
        <f t="array" aca="1" ref="G2514" ca="1">INDIRECT("Data!A" &amp; 2509)</f>
        <v>0</v>
      </c>
      <c r="H2514" s="21">
        <f>Data!B2526</f>
        <v>0</v>
      </c>
      <c r="I2514" s="21">
        <f>Data!C2526</f>
        <v>0</v>
      </c>
      <c r="J2514">
        <f>Data!D2526</f>
        <v>0</v>
      </c>
      <c r="K2514">
        <f>Data!E2526</f>
        <v>0</v>
      </c>
      <c r="L2514">
        <f>Data!F2526</f>
        <v>0</v>
      </c>
      <c r="M2514">
        <f>Data!G2526</f>
        <v>0</v>
      </c>
      <c r="N2514">
        <f>Data!H2526</f>
        <v>0</v>
      </c>
      <c r="O2514">
        <f>Data!I2526</f>
        <v>0</v>
      </c>
      <c r="P2514" s="21">
        <f>Data!J2530</f>
        <v>0</v>
      </c>
      <c r="Q2514">
        <f>Data!K2530</f>
        <v>0</v>
      </c>
      <c r="R2514">
        <f>Data!L2530</f>
        <v>0</v>
      </c>
      <c r="S2514">
        <f>Data!M2530</f>
        <v>0</v>
      </c>
      <c r="T2514">
        <f>Data!N2530</f>
        <v>0</v>
      </c>
      <c r="U2514">
        <f>Data!O2530</f>
        <v>0</v>
      </c>
      <c r="V2514" s="33">
        <f>Data!P2528</f>
        <v>0</v>
      </c>
    </row>
    <row r="2515" spans="7:22" x14ac:dyDescent="0.25">
      <c r="G2515" cm="1">
        <f t="array" aca="1" ref="G2515" ca="1">INDIRECT("Data!A" &amp; 2510)</f>
        <v>0</v>
      </c>
      <c r="H2515" s="21">
        <f>Data!B2527</f>
        <v>0</v>
      </c>
      <c r="I2515" s="21">
        <f>Data!C2527</f>
        <v>0</v>
      </c>
      <c r="J2515">
        <f>Data!D2527</f>
        <v>0</v>
      </c>
      <c r="K2515">
        <f>Data!E2527</f>
        <v>0</v>
      </c>
      <c r="L2515">
        <f>Data!F2527</f>
        <v>0</v>
      </c>
      <c r="M2515">
        <f>Data!G2527</f>
        <v>0</v>
      </c>
      <c r="N2515">
        <f>Data!H2527</f>
        <v>0</v>
      </c>
      <c r="O2515">
        <f>Data!I2527</f>
        <v>0</v>
      </c>
      <c r="P2515" s="21">
        <f>Data!J2531</f>
        <v>0</v>
      </c>
      <c r="Q2515">
        <f>Data!K2531</f>
        <v>0</v>
      </c>
      <c r="R2515">
        <f>Data!L2531</f>
        <v>0</v>
      </c>
      <c r="S2515">
        <f>Data!M2531</f>
        <v>0</v>
      </c>
      <c r="T2515">
        <f>Data!N2531</f>
        <v>0</v>
      </c>
      <c r="U2515">
        <f>Data!O2531</f>
        <v>0</v>
      </c>
      <c r="V2515" s="33">
        <f>Data!P2529</f>
        <v>0</v>
      </c>
    </row>
    <row r="2516" spans="7:22" x14ac:dyDescent="0.25">
      <c r="G2516" cm="1">
        <f t="array" aca="1" ref="G2516" ca="1">INDIRECT("Data!A" &amp; 2511)</f>
        <v>0</v>
      </c>
      <c r="H2516" s="21">
        <f>Data!B2528</f>
        <v>0</v>
      </c>
      <c r="I2516" s="21">
        <f>Data!C2528</f>
        <v>0</v>
      </c>
      <c r="J2516">
        <f>Data!D2528</f>
        <v>0</v>
      </c>
      <c r="K2516">
        <f>Data!E2528</f>
        <v>0</v>
      </c>
      <c r="L2516">
        <f>Data!F2528</f>
        <v>0</v>
      </c>
      <c r="M2516">
        <f>Data!G2528</f>
        <v>0</v>
      </c>
      <c r="N2516">
        <f>Data!H2528</f>
        <v>0</v>
      </c>
      <c r="O2516">
        <f>Data!I2528</f>
        <v>0</v>
      </c>
      <c r="P2516" s="21">
        <f>Data!J2532</f>
        <v>0</v>
      </c>
      <c r="Q2516">
        <f>Data!K2532</f>
        <v>0</v>
      </c>
      <c r="R2516">
        <f>Data!L2532</f>
        <v>0</v>
      </c>
      <c r="S2516">
        <f>Data!M2532</f>
        <v>0</v>
      </c>
      <c r="T2516">
        <f>Data!N2532</f>
        <v>0</v>
      </c>
      <c r="U2516">
        <f>Data!O2532</f>
        <v>0</v>
      </c>
      <c r="V2516" s="33">
        <f>Data!P2530</f>
        <v>0</v>
      </c>
    </row>
    <row r="2517" spans="7:22" x14ac:dyDescent="0.25">
      <c r="G2517" cm="1">
        <f t="array" aca="1" ref="G2517" ca="1">INDIRECT("Data!A" &amp; 2512)</f>
        <v>0</v>
      </c>
      <c r="H2517" s="21">
        <f>Data!B2529</f>
        <v>0</v>
      </c>
      <c r="I2517" s="21">
        <f>Data!C2529</f>
        <v>0</v>
      </c>
      <c r="J2517">
        <f>Data!D2529</f>
        <v>0</v>
      </c>
      <c r="K2517">
        <f>Data!E2529</f>
        <v>0</v>
      </c>
      <c r="L2517">
        <f>Data!F2529</f>
        <v>0</v>
      </c>
      <c r="M2517">
        <f>Data!G2529</f>
        <v>0</v>
      </c>
      <c r="N2517">
        <f>Data!H2529</f>
        <v>0</v>
      </c>
      <c r="O2517">
        <f>Data!I2529</f>
        <v>0</v>
      </c>
      <c r="P2517" s="21">
        <f>Data!J2533</f>
        <v>0</v>
      </c>
      <c r="Q2517">
        <f>Data!K2533</f>
        <v>0</v>
      </c>
      <c r="R2517">
        <f>Data!L2533</f>
        <v>0</v>
      </c>
      <c r="S2517">
        <f>Data!M2533</f>
        <v>0</v>
      </c>
      <c r="T2517">
        <f>Data!N2533</f>
        <v>0</v>
      </c>
      <c r="U2517">
        <f>Data!O2533</f>
        <v>0</v>
      </c>
      <c r="V2517" s="33">
        <f>Data!P2531</f>
        <v>0</v>
      </c>
    </row>
    <row r="2518" spans="7:22" x14ac:dyDescent="0.25">
      <c r="G2518" cm="1">
        <f t="array" aca="1" ref="G2518" ca="1">INDIRECT("Data!A" &amp; 2513)</f>
        <v>0</v>
      </c>
      <c r="H2518" s="21">
        <f>Data!B2530</f>
        <v>0</v>
      </c>
      <c r="I2518" s="21">
        <f>Data!C2530</f>
        <v>0</v>
      </c>
      <c r="J2518">
        <f>Data!D2530</f>
        <v>0</v>
      </c>
      <c r="K2518">
        <f>Data!E2530</f>
        <v>0</v>
      </c>
      <c r="L2518">
        <f>Data!F2530</f>
        <v>0</v>
      </c>
      <c r="M2518">
        <f>Data!G2530</f>
        <v>0</v>
      </c>
      <c r="N2518">
        <f>Data!H2530</f>
        <v>0</v>
      </c>
      <c r="O2518">
        <f>Data!I2530</f>
        <v>0</v>
      </c>
      <c r="P2518" s="21">
        <f>Data!J2534</f>
        <v>0</v>
      </c>
      <c r="Q2518">
        <f>Data!K2534</f>
        <v>0</v>
      </c>
      <c r="R2518">
        <f>Data!L2534</f>
        <v>0</v>
      </c>
      <c r="S2518">
        <f>Data!M2534</f>
        <v>0</v>
      </c>
      <c r="T2518">
        <f>Data!N2534</f>
        <v>0</v>
      </c>
      <c r="U2518">
        <f>Data!O2534</f>
        <v>0</v>
      </c>
      <c r="V2518" s="33">
        <f>Data!P2532</f>
        <v>0</v>
      </c>
    </row>
    <row r="2519" spans="7:22" x14ac:dyDescent="0.25">
      <c r="G2519" cm="1">
        <f t="array" aca="1" ref="G2519" ca="1">INDIRECT("Data!A" &amp; 2514)</f>
        <v>0</v>
      </c>
      <c r="H2519" s="21">
        <f>Data!B2531</f>
        <v>0</v>
      </c>
      <c r="I2519" s="21">
        <f>Data!C2531</f>
        <v>0</v>
      </c>
      <c r="J2519">
        <f>Data!D2531</f>
        <v>0</v>
      </c>
      <c r="K2519">
        <f>Data!E2531</f>
        <v>0</v>
      </c>
      <c r="L2519">
        <f>Data!F2531</f>
        <v>0</v>
      </c>
      <c r="M2519">
        <f>Data!G2531</f>
        <v>0</v>
      </c>
      <c r="N2519">
        <f>Data!H2531</f>
        <v>0</v>
      </c>
      <c r="O2519">
        <f>Data!I2531</f>
        <v>0</v>
      </c>
      <c r="P2519" s="21">
        <f>Data!J2535</f>
        <v>0</v>
      </c>
      <c r="Q2519">
        <f>Data!K2535</f>
        <v>0</v>
      </c>
      <c r="R2519">
        <f>Data!L2535</f>
        <v>0</v>
      </c>
      <c r="S2519">
        <f>Data!M2535</f>
        <v>0</v>
      </c>
      <c r="T2519">
        <f>Data!N2535</f>
        <v>0</v>
      </c>
      <c r="U2519">
        <f>Data!O2535</f>
        <v>0</v>
      </c>
      <c r="V2519" s="33">
        <f>Data!P2533</f>
        <v>0</v>
      </c>
    </row>
    <row r="2520" spans="7:22" x14ac:dyDescent="0.25">
      <c r="G2520" cm="1">
        <f t="array" aca="1" ref="G2520" ca="1">INDIRECT("Data!A" &amp; 2515)</f>
        <v>0</v>
      </c>
      <c r="H2520" s="21">
        <f>Data!B2532</f>
        <v>0</v>
      </c>
      <c r="I2520" s="21">
        <f>Data!C2532</f>
        <v>0</v>
      </c>
      <c r="J2520">
        <f>Data!D2532</f>
        <v>0</v>
      </c>
      <c r="K2520">
        <f>Data!E2532</f>
        <v>0</v>
      </c>
      <c r="L2520">
        <f>Data!F2532</f>
        <v>0</v>
      </c>
      <c r="M2520">
        <f>Data!G2532</f>
        <v>0</v>
      </c>
      <c r="N2520">
        <f>Data!H2532</f>
        <v>0</v>
      </c>
      <c r="O2520">
        <f>Data!I2532</f>
        <v>0</v>
      </c>
      <c r="P2520" s="21">
        <f>Data!J2536</f>
        <v>0</v>
      </c>
      <c r="Q2520">
        <f>Data!K2536</f>
        <v>0</v>
      </c>
      <c r="R2520">
        <f>Data!L2536</f>
        <v>0</v>
      </c>
      <c r="S2520">
        <f>Data!M2536</f>
        <v>0</v>
      </c>
      <c r="T2520">
        <f>Data!N2536</f>
        <v>0</v>
      </c>
      <c r="U2520">
        <f>Data!O2536</f>
        <v>0</v>
      </c>
      <c r="V2520" s="33">
        <f>Data!P2534</f>
        <v>0</v>
      </c>
    </row>
    <row r="2521" spans="7:22" x14ac:dyDescent="0.25">
      <c r="G2521" cm="1">
        <f t="array" aca="1" ref="G2521" ca="1">INDIRECT("Data!A" &amp; 2516)</f>
        <v>0</v>
      </c>
      <c r="H2521" s="21">
        <f>Data!B2533</f>
        <v>0</v>
      </c>
      <c r="I2521" s="21">
        <f>Data!C2533</f>
        <v>0</v>
      </c>
      <c r="J2521">
        <f>Data!D2533</f>
        <v>0</v>
      </c>
      <c r="K2521">
        <f>Data!E2533</f>
        <v>0</v>
      </c>
      <c r="L2521">
        <f>Data!F2533</f>
        <v>0</v>
      </c>
      <c r="M2521">
        <f>Data!G2533</f>
        <v>0</v>
      </c>
      <c r="N2521">
        <f>Data!H2533</f>
        <v>0</v>
      </c>
      <c r="O2521">
        <f>Data!I2533</f>
        <v>0</v>
      </c>
      <c r="P2521" s="21">
        <f>Data!J2537</f>
        <v>0</v>
      </c>
      <c r="Q2521">
        <f>Data!K2537</f>
        <v>0</v>
      </c>
      <c r="R2521">
        <f>Data!L2537</f>
        <v>0</v>
      </c>
      <c r="S2521">
        <f>Data!M2537</f>
        <v>0</v>
      </c>
      <c r="T2521">
        <f>Data!N2537</f>
        <v>0</v>
      </c>
      <c r="U2521">
        <f>Data!O2537</f>
        <v>0</v>
      </c>
      <c r="V2521" s="33">
        <f>Data!P2535</f>
        <v>0</v>
      </c>
    </row>
    <row r="2522" spans="7:22" x14ac:dyDescent="0.25">
      <c r="G2522" cm="1">
        <f t="array" aca="1" ref="G2522" ca="1">INDIRECT("Data!A" &amp; 2517)</f>
        <v>0</v>
      </c>
      <c r="H2522" s="21">
        <f>Data!B2534</f>
        <v>0</v>
      </c>
      <c r="I2522" s="21">
        <f>Data!C2534</f>
        <v>0</v>
      </c>
      <c r="J2522">
        <f>Data!D2534</f>
        <v>0</v>
      </c>
      <c r="K2522">
        <f>Data!E2534</f>
        <v>0</v>
      </c>
      <c r="L2522">
        <f>Data!F2534</f>
        <v>0</v>
      </c>
      <c r="M2522">
        <f>Data!G2534</f>
        <v>0</v>
      </c>
      <c r="N2522">
        <f>Data!H2534</f>
        <v>0</v>
      </c>
      <c r="O2522">
        <f>Data!I2534</f>
        <v>0</v>
      </c>
      <c r="P2522" s="21">
        <f>Data!J2538</f>
        <v>0</v>
      </c>
      <c r="Q2522">
        <f>Data!K2538</f>
        <v>0</v>
      </c>
      <c r="R2522">
        <f>Data!L2538</f>
        <v>0</v>
      </c>
      <c r="S2522">
        <f>Data!M2538</f>
        <v>0</v>
      </c>
      <c r="T2522">
        <f>Data!N2538</f>
        <v>0</v>
      </c>
      <c r="U2522">
        <f>Data!O2538</f>
        <v>0</v>
      </c>
      <c r="V2522" s="33">
        <f>Data!P2536</f>
        <v>0</v>
      </c>
    </row>
    <row r="2523" spans="7:22" x14ac:dyDescent="0.25">
      <c r="G2523" cm="1">
        <f t="array" aca="1" ref="G2523" ca="1">INDIRECT("Data!A" &amp; 2518)</f>
        <v>0</v>
      </c>
      <c r="H2523" s="21">
        <f>Data!B2535</f>
        <v>0</v>
      </c>
      <c r="I2523" s="21">
        <f>Data!C2535</f>
        <v>0</v>
      </c>
      <c r="J2523">
        <f>Data!D2535</f>
        <v>0</v>
      </c>
      <c r="K2523">
        <f>Data!E2535</f>
        <v>0</v>
      </c>
      <c r="L2523">
        <f>Data!F2535</f>
        <v>0</v>
      </c>
      <c r="M2523">
        <f>Data!G2535</f>
        <v>0</v>
      </c>
      <c r="N2523">
        <f>Data!H2535</f>
        <v>0</v>
      </c>
      <c r="O2523">
        <f>Data!I2535</f>
        <v>0</v>
      </c>
      <c r="P2523" s="21">
        <f>Data!J2539</f>
        <v>0</v>
      </c>
      <c r="Q2523">
        <f>Data!K2539</f>
        <v>0</v>
      </c>
      <c r="R2523">
        <f>Data!L2539</f>
        <v>0</v>
      </c>
      <c r="S2523">
        <f>Data!M2539</f>
        <v>0</v>
      </c>
      <c r="T2523">
        <f>Data!N2539</f>
        <v>0</v>
      </c>
      <c r="U2523">
        <f>Data!O2539</f>
        <v>0</v>
      </c>
      <c r="V2523" s="33">
        <f>Data!P2537</f>
        <v>0</v>
      </c>
    </row>
    <row r="2524" spans="7:22" x14ac:dyDescent="0.25">
      <c r="G2524" cm="1">
        <f t="array" aca="1" ref="G2524" ca="1">INDIRECT("Data!A" &amp; 2519)</f>
        <v>0</v>
      </c>
      <c r="H2524" s="21">
        <f>Data!B2536</f>
        <v>0</v>
      </c>
      <c r="I2524" s="21">
        <f>Data!C2536</f>
        <v>0</v>
      </c>
      <c r="J2524">
        <f>Data!D2536</f>
        <v>0</v>
      </c>
      <c r="K2524">
        <f>Data!E2536</f>
        <v>0</v>
      </c>
      <c r="L2524">
        <f>Data!F2536</f>
        <v>0</v>
      </c>
      <c r="M2524">
        <f>Data!G2536</f>
        <v>0</v>
      </c>
      <c r="N2524">
        <f>Data!H2536</f>
        <v>0</v>
      </c>
      <c r="O2524">
        <f>Data!I2536</f>
        <v>0</v>
      </c>
      <c r="P2524" s="21">
        <f>Data!J2540</f>
        <v>0</v>
      </c>
      <c r="Q2524">
        <f>Data!K2540</f>
        <v>0</v>
      </c>
      <c r="R2524">
        <f>Data!L2540</f>
        <v>0</v>
      </c>
      <c r="S2524">
        <f>Data!M2540</f>
        <v>0</v>
      </c>
      <c r="T2524">
        <f>Data!N2540</f>
        <v>0</v>
      </c>
      <c r="U2524">
        <f>Data!O2540</f>
        <v>0</v>
      </c>
      <c r="V2524" s="33">
        <f>Data!P2538</f>
        <v>0</v>
      </c>
    </row>
    <row r="2525" spans="7:22" x14ac:dyDescent="0.25">
      <c r="G2525" cm="1">
        <f t="array" aca="1" ref="G2525" ca="1">INDIRECT("Data!A" &amp; 2520)</f>
        <v>0</v>
      </c>
      <c r="H2525" s="21">
        <f>Data!B2537</f>
        <v>0</v>
      </c>
      <c r="I2525" s="21">
        <f>Data!C2537</f>
        <v>0</v>
      </c>
      <c r="J2525">
        <f>Data!D2537</f>
        <v>0</v>
      </c>
      <c r="K2525">
        <f>Data!E2537</f>
        <v>0</v>
      </c>
      <c r="L2525">
        <f>Data!F2537</f>
        <v>0</v>
      </c>
      <c r="M2525">
        <f>Data!G2537</f>
        <v>0</v>
      </c>
      <c r="N2525">
        <f>Data!H2537</f>
        <v>0</v>
      </c>
      <c r="O2525">
        <f>Data!I2537</f>
        <v>0</v>
      </c>
      <c r="P2525" s="21">
        <f>Data!J2541</f>
        <v>0</v>
      </c>
      <c r="Q2525">
        <f>Data!K2541</f>
        <v>0</v>
      </c>
      <c r="R2525">
        <f>Data!L2541</f>
        <v>0</v>
      </c>
      <c r="S2525">
        <f>Data!M2541</f>
        <v>0</v>
      </c>
      <c r="T2525">
        <f>Data!N2541</f>
        <v>0</v>
      </c>
      <c r="U2525">
        <f>Data!O2541</f>
        <v>0</v>
      </c>
      <c r="V2525" s="33">
        <f>Data!P2539</f>
        <v>0</v>
      </c>
    </row>
    <row r="2526" spans="7:22" x14ac:dyDescent="0.25">
      <c r="G2526" cm="1">
        <f t="array" aca="1" ref="G2526" ca="1">INDIRECT("Data!A" &amp; 2521)</f>
        <v>0</v>
      </c>
      <c r="H2526" s="21">
        <f>Data!B2538</f>
        <v>0</v>
      </c>
      <c r="I2526" s="21">
        <f>Data!C2538</f>
        <v>0</v>
      </c>
      <c r="J2526">
        <f>Data!D2538</f>
        <v>0</v>
      </c>
      <c r="K2526">
        <f>Data!E2538</f>
        <v>0</v>
      </c>
      <c r="L2526">
        <f>Data!F2538</f>
        <v>0</v>
      </c>
      <c r="M2526">
        <f>Data!G2538</f>
        <v>0</v>
      </c>
      <c r="N2526">
        <f>Data!H2538</f>
        <v>0</v>
      </c>
      <c r="O2526">
        <f>Data!I2538</f>
        <v>0</v>
      </c>
      <c r="P2526" s="21">
        <f>Data!J2542</f>
        <v>0</v>
      </c>
      <c r="Q2526">
        <f>Data!K2542</f>
        <v>0</v>
      </c>
      <c r="R2526">
        <f>Data!L2542</f>
        <v>0</v>
      </c>
      <c r="S2526">
        <f>Data!M2542</f>
        <v>0</v>
      </c>
      <c r="T2526">
        <f>Data!N2542</f>
        <v>0</v>
      </c>
      <c r="U2526">
        <f>Data!O2542</f>
        <v>0</v>
      </c>
      <c r="V2526" s="33">
        <f>Data!P2540</f>
        <v>0</v>
      </c>
    </row>
    <row r="2527" spans="7:22" x14ac:dyDescent="0.25">
      <c r="G2527" cm="1">
        <f t="array" aca="1" ref="G2527" ca="1">INDIRECT("Data!A" &amp; 2522)</f>
        <v>0</v>
      </c>
      <c r="H2527" s="21">
        <f>Data!B2539</f>
        <v>0</v>
      </c>
      <c r="I2527" s="21">
        <f>Data!C2539</f>
        <v>0</v>
      </c>
      <c r="J2527">
        <f>Data!D2539</f>
        <v>0</v>
      </c>
      <c r="K2527">
        <f>Data!E2539</f>
        <v>0</v>
      </c>
      <c r="L2527">
        <f>Data!F2539</f>
        <v>0</v>
      </c>
      <c r="M2527">
        <f>Data!G2539</f>
        <v>0</v>
      </c>
      <c r="N2527">
        <f>Data!H2539</f>
        <v>0</v>
      </c>
      <c r="O2527">
        <f>Data!I2539</f>
        <v>0</v>
      </c>
      <c r="P2527" s="21">
        <f>Data!J2543</f>
        <v>0</v>
      </c>
      <c r="Q2527">
        <f>Data!K2543</f>
        <v>0</v>
      </c>
      <c r="R2527">
        <f>Data!L2543</f>
        <v>0</v>
      </c>
      <c r="S2527">
        <f>Data!M2543</f>
        <v>0</v>
      </c>
      <c r="T2527">
        <f>Data!N2543</f>
        <v>0</v>
      </c>
      <c r="U2527">
        <f>Data!O2543</f>
        <v>0</v>
      </c>
      <c r="V2527" s="33">
        <f>Data!P2541</f>
        <v>0</v>
      </c>
    </row>
    <row r="2528" spans="7:22" x14ac:dyDescent="0.25">
      <c r="G2528" cm="1">
        <f t="array" aca="1" ref="G2528" ca="1">INDIRECT("Data!A" &amp; 2523)</f>
        <v>0</v>
      </c>
      <c r="H2528" s="21">
        <f>Data!B2540</f>
        <v>0</v>
      </c>
      <c r="I2528" s="21">
        <f>Data!C2540</f>
        <v>0</v>
      </c>
      <c r="J2528">
        <f>Data!D2540</f>
        <v>0</v>
      </c>
      <c r="K2528">
        <f>Data!E2540</f>
        <v>0</v>
      </c>
      <c r="L2528">
        <f>Data!F2540</f>
        <v>0</v>
      </c>
      <c r="M2528">
        <f>Data!G2540</f>
        <v>0</v>
      </c>
      <c r="N2528">
        <f>Data!H2540</f>
        <v>0</v>
      </c>
      <c r="O2528">
        <f>Data!I2540</f>
        <v>0</v>
      </c>
      <c r="P2528" s="21">
        <f>Data!J2544</f>
        <v>0</v>
      </c>
      <c r="Q2528">
        <f>Data!K2544</f>
        <v>0</v>
      </c>
      <c r="R2528">
        <f>Data!L2544</f>
        <v>0</v>
      </c>
      <c r="S2528">
        <f>Data!M2544</f>
        <v>0</v>
      </c>
      <c r="T2528">
        <f>Data!N2544</f>
        <v>0</v>
      </c>
      <c r="U2528">
        <f>Data!O2544</f>
        <v>0</v>
      </c>
      <c r="V2528" s="33">
        <f>Data!P2542</f>
        <v>0</v>
      </c>
    </row>
    <row r="2529" spans="7:22" x14ac:dyDescent="0.25">
      <c r="G2529" cm="1">
        <f t="array" aca="1" ref="G2529" ca="1">INDIRECT("Data!A" &amp; 2524)</f>
        <v>0</v>
      </c>
      <c r="H2529" s="21">
        <f>Data!B2541</f>
        <v>0</v>
      </c>
      <c r="I2529" s="21">
        <f>Data!C2541</f>
        <v>0</v>
      </c>
      <c r="J2529">
        <f>Data!D2541</f>
        <v>0</v>
      </c>
      <c r="K2529">
        <f>Data!E2541</f>
        <v>0</v>
      </c>
      <c r="L2529">
        <f>Data!F2541</f>
        <v>0</v>
      </c>
      <c r="M2529">
        <f>Data!G2541</f>
        <v>0</v>
      </c>
      <c r="N2529">
        <f>Data!H2541</f>
        <v>0</v>
      </c>
      <c r="O2529">
        <f>Data!I2541</f>
        <v>0</v>
      </c>
      <c r="P2529" s="21">
        <f>Data!J2545</f>
        <v>0</v>
      </c>
      <c r="Q2529">
        <f>Data!K2545</f>
        <v>0</v>
      </c>
      <c r="R2529">
        <f>Data!L2545</f>
        <v>0</v>
      </c>
      <c r="S2529">
        <f>Data!M2545</f>
        <v>0</v>
      </c>
      <c r="T2529">
        <f>Data!N2545</f>
        <v>0</v>
      </c>
      <c r="U2529">
        <f>Data!O2545</f>
        <v>0</v>
      </c>
      <c r="V2529" s="33">
        <f>Data!P2543</f>
        <v>0</v>
      </c>
    </row>
    <row r="2530" spans="7:22" x14ac:dyDescent="0.25">
      <c r="G2530" cm="1">
        <f t="array" aca="1" ref="G2530" ca="1">INDIRECT("Data!A" &amp; 2525)</f>
        <v>0</v>
      </c>
      <c r="H2530" s="21">
        <f>Data!B2542</f>
        <v>0</v>
      </c>
      <c r="I2530" s="21">
        <f>Data!C2542</f>
        <v>0</v>
      </c>
      <c r="J2530">
        <f>Data!D2542</f>
        <v>0</v>
      </c>
      <c r="K2530">
        <f>Data!E2542</f>
        <v>0</v>
      </c>
      <c r="L2530">
        <f>Data!F2542</f>
        <v>0</v>
      </c>
      <c r="M2530">
        <f>Data!G2542</f>
        <v>0</v>
      </c>
      <c r="N2530">
        <f>Data!H2542</f>
        <v>0</v>
      </c>
      <c r="O2530">
        <f>Data!I2542</f>
        <v>0</v>
      </c>
      <c r="P2530" s="21">
        <f>Data!J2546</f>
        <v>0</v>
      </c>
      <c r="Q2530">
        <f>Data!K2546</f>
        <v>0</v>
      </c>
      <c r="R2530">
        <f>Data!L2546</f>
        <v>0</v>
      </c>
      <c r="S2530">
        <f>Data!M2546</f>
        <v>0</v>
      </c>
      <c r="T2530">
        <f>Data!N2546</f>
        <v>0</v>
      </c>
      <c r="U2530">
        <f>Data!O2546</f>
        <v>0</v>
      </c>
      <c r="V2530" s="33">
        <f>Data!P2544</f>
        <v>0</v>
      </c>
    </row>
    <row r="2531" spans="7:22" x14ac:dyDescent="0.25">
      <c r="G2531" cm="1">
        <f t="array" aca="1" ref="G2531" ca="1">INDIRECT("Data!A" &amp; 2526)</f>
        <v>0</v>
      </c>
      <c r="H2531" s="21">
        <f>Data!B2543</f>
        <v>0</v>
      </c>
      <c r="I2531" s="21">
        <f>Data!C2543</f>
        <v>0</v>
      </c>
      <c r="J2531">
        <f>Data!D2543</f>
        <v>0</v>
      </c>
      <c r="K2531">
        <f>Data!E2543</f>
        <v>0</v>
      </c>
      <c r="L2531">
        <f>Data!F2543</f>
        <v>0</v>
      </c>
      <c r="M2531">
        <f>Data!G2543</f>
        <v>0</v>
      </c>
      <c r="N2531">
        <f>Data!H2543</f>
        <v>0</v>
      </c>
      <c r="O2531">
        <f>Data!I2543</f>
        <v>0</v>
      </c>
      <c r="P2531" s="21">
        <f>Data!J2547</f>
        <v>0</v>
      </c>
      <c r="Q2531">
        <f>Data!K2547</f>
        <v>0</v>
      </c>
      <c r="R2531">
        <f>Data!L2547</f>
        <v>0</v>
      </c>
      <c r="S2531">
        <f>Data!M2547</f>
        <v>0</v>
      </c>
      <c r="T2531">
        <f>Data!N2547</f>
        <v>0</v>
      </c>
      <c r="U2531">
        <f>Data!O2547</f>
        <v>0</v>
      </c>
      <c r="V2531" s="33">
        <f>Data!P2545</f>
        <v>0</v>
      </c>
    </row>
    <row r="2532" spans="7:22" x14ac:dyDescent="0.25">
      <c r="G2532" cm="1">
        <f t="array" aca="1" ref="G2532" ca="1">INDIRECT("Data!A" &amp; 2527)</f>
        <v>0</v>
      </c>
      <c r="H2532" s="21">
        <f>Data!B2544</f>
        <v>0</v>
      </c>
      <c r="I2532" s="21">
        <f>Data!C2544</f>
        <v>0</v>
      </c>
      <c r="J2532">
        <f>Data!D2544</f>
        <v>0</v>
      </c>
      <c r="K2532">
        <f>Data!E2544</f>
        <v>0</v>
      </c>
      <c r="L2532">
        <f>Data!F2544</f>
        <v>0</v>
      </c>
      <c r="M2532">
        <f>Data!G2544</f>
        <v>0</v>
      </c>
      <c r="N2532">
        <f>Data!H2544</f>
        <v>0</v>
      </c>
      <c r="O2532">
        <f>Data!I2544</f>
        <v>0</v>
      </c>
      <c r="P2532" s="21">
        <f>Data!J2548</f>
        <v>0</v>
      </c>
      <c r="Q2532">
        <f>Data!K2548</f>
        <v>0</v>
      </c>
      <c r="R2532">
        <f>Data!L2548</f>
        <v>0</v>
      </c>
      <c r="S2532">
        <f>Data!M2548</f>
        <v>0</v>
      </c>
      <c r="T2532">
        <f>Data!N2548</f>
        <v>0</v>
      </c>
      <c r="U2532">
        <f>Data!O2548</f>
        <v>0</v>
      </c>
      <c r="V2532" s="33">
        <f>Data!P2546</f>
        <v>0</v>
      </c>
    </row>
    <row r="2533" spans="7:22" x14ac:dyDescent="0.25">
      <c r="G2533" cm="1">
        <f t="array" aca="1" ref="G2533" ca="1">INDIRECT("Data!A" &amp; 2528)</f>
        <v>0</v>
      </c>
      <c r="H2533" s="21">
        <f>Data!B2545</f>
        <v>0</v>
      </c>
      <c r="I2533" s="21">
        <f>Data!C2545</f>
        <v>0</v>
      </c>
      <c r="J2533">
        <f>Data!D2545</f>
        <v>0</v>
      </c>
      <c r="K2533">
        <f>Data!E2545</f>
        <v>0</v>
      </c>
      <c r="L2533">
        <f>Data!F2545</f>
        <v>0</v>
      </c>
      <c r="M2533">
        <f>Data!G2545</f>
        <v>0</v>
      </c>
      <c r="N2533">
        <f>Data!H2545</f>
        <v>0</v>
      </c>
      <c r="O2533">
        <f>Data!I2545</f>
        <v>0</v>
      </c>
      <c r="P2533" s="21">
        <f>Data!J2549</f>
        <v>0</v>
      </c>
      <c r="Q2533">
        <f>Data!K2549</f>
        <v>0</v>
      </c>
      <c r="R2533">
        <f>Data!L2549</f>
        <v>0</v>
      </c>
      <c r="S2533">
        <f>Data!M2549</f>
        <v>0</v>
      </c>
      <c r="T2533">
        <f>Data!N2549</f>
        <v>0</v>
      </c>
      <c r="U2533">
        <f>Data!O2549</f>
        <v>0</v>
      </c>
      <c r="V2533" s="33">
        <f>Data!P2547</f>
        <v>0</v>
      </c>
    </row>
    <row r="2534" spans="7:22" x14ac:dyDescent="0.25">
      <c r="G2534" cm="1">
        <f t="array" aca="1" ref="G2534" ca="1">INDIRECT("Data!A" &amp; 2529)</f>
        <v>0</v>
      </c>
      <c r="H2534" s="21">
        <f>Data!B2546</f>
        <v>0</v>
      </c>
      <c r="I2534" s="21">
        <f>Data!C2546</f>
        <v>0</v>
      </c>
      <c r="J2534">
        <f>Data!D2546</f>
        <v>0</v>
      </c>
      <c r="K2534">
        <f>Data!E2546</f>
        <v>0</v>
      </c>
      <c r="L2534">
        <f>Data!F2546</f>
        <v>0</v>
      </c>
      <c r="M2534">
        <f>Data!G2546</f>
        <v>0</v>
      </c>
      <c r="N2534">
        <f>Data!H2546</f>
        <v>0</v>
      </c>
      <c r="O2534">
        <f>Data!I2546</f>
        <v>0</v>
      </c>
      <c r="P2534" s="21">
        <f>Data!J2550</f>
        <v>0</v>
      </c>
      <c r="Q2534">
        <f>Data!K2550</f>
        <v>0</v>
      </c>
      <c r="R2534">
        <f>Data!L2550</f>
        <v>0</v>
      </c>
      <c r="S2534">
        <f>Data!M2550</f>
        <v>0</v>
      </c>
      <c r="T2534">
        <f>Data!N2550</f>
        <v>0</v>
      </c>
      <c r="U2534">
        <f>Data!O2550</f>
        <v>0</v>
      </c>
      <c r="V2534" s="33">
        <f>Data!P2548</f>
        <v>0</v>
      </c>
    </row>
    <row r="2535" spans="7:22" x14ac:dyDescent="0.25">
      <c r="G2535" cm="1">
        <f t="array" aca="1" ref="G2535" ca="1">INDIRECT("Data!A" &amp; 2530)</f>
        <v>0</v>
      </c>
      <c r="H2535" s="21">
        <f>Data!B2547</f>
        <v>0</v>
      </c>
      <c r="I2535" s="21">
        <f>Data!C2547</f>
        <v>0</v>
      </c>
      <c r="J2535">
        <f>Data!D2547</f>
        <v>0</v>
      </c>
      <c r="K2535">
        <f>Data!E2547</f>
        <v>0</v>
      </c>
      <c r="L2535">
        <f>Data!F2547</f>
        <v>0</v>
      </c>
      <c r="M2535">
        <f>Data!G2547</f>
        <v>0</v>
      </c>
      <c r="N2535">
        <f>Data!H2547</f>
        <v>0</v>
      </c>
      <c r="O2535">
        <f>Data!I2547</f>
        <v>0</v>
      </c>
      <c r="P2535" s="21">
        <f>Data!J2551</f>
        <v>0</v>
      </c>
      <c r="Q2535">
        <f>Data!K2551</f>
        <v>0</v>
      </c>
      <c r="R2535">
        <f>Data!L2551</f>
        <v>0</v>
      </c>
      <c r="S2535">
        <f>Data!M2551</f>
        <v>0</v>
      </c>
      <c r="T2535">
        <f>Data!N2551</f>
        <v>0</v>
      </c>
      <c r="U2535">
        <f>Data!O2551</f>
        <v>0</v>
      </c>
      <c r="V2535" s="33">
        <f>Data!P2549</f>
        <v>0</v>
      </c>
    </row>
    <row r="2536" spans="7:22" x14ac:dyDescent="0.25">
      <c r="G2536" cm="1">
        <f t="array" aca="1" ref="G2536" ca="1">INDIRECT("Data!A" &amp; 2531)</f>
        <v>0</v>
      </c>
      <c r="H2536" s="21">
        <f>Data!B2548</f>
        <v>0</v>
      </c>
      <c r="I2536" s="21">
        <f>Data!C2548</f>
        <v>0</v>
      </c>
      <c r="J2536">
        <f>Data!D2548</f>
        <v>0</v>
      </c>
      <c r="K2536">
        <f>Data!E2548</f>
        <v>0</v>
      </c>
      <c r="L2536">
        <f>Data!F2548</f>
        <v>0</v>
      </c>
      <c r="M2536">
        <f>Data!G2548</f>
        <v>0</v>
      </c>
      <c r="N2536">
        <f>Data!H2548</f>
        <v>0</v>
      </c>
      <c r="O2536">
        <f>Data!I2548</f>
        <v>0</v>
      </c>
      <c r="P2536" s="21">
        <f>Data!J2552</f>
        <v>0</v>
      </c>
      <c r="Q2536">
        <f>Data!K2552</f>
        <v>0</v>
      </c>
      <c r="R2536">
        <f>Data!L2552</f>
        <v>0</v>
      </c>
      <c r="S2536">
        <f>Data!M2552</f>
        <v>0</v>
      </c>
      <c r="T2536">
        <f>Data!N2552</f>
        <v>0</v>
      </c>
      <c r="U2536">
        <f>Data!O2552</f>
        <v>0</v>
      </c>
      <c r="V2536" s="33">
        <f>Data!P2550</f>
        <v>0</v>
      </c>
    </row>
    <row r="2537" spans="7:22" x14ac:dyDescent="0.25">
      <c r="G2537" cm="1">
        <f t="array" aca="1" ref="G2537" ca="1">INDIRECT("Data!A" &amp; 2532)</f>
        <v>0</v>
      </c>
      <c r="H2537" s="21">
        <f>Data!B2549</f>
        <v>0</v>
      </c>
      <c r="I2537" s="21">
        <f>Data!C2549</f>
        <v>0</v>
      </c>
      <c r="J2537">
        <f>Data!D2549</f>
        <v>0</v>
      </c>
      <c r="K2537">
        <f>Data!E2549</f>
        <v>0</v>
      </c>
      <c r="L2537">
        <f>Data!F2549</f>
        <v>0</v>
      </c>
      <c r="M2537">
        <f>Data!G2549</f>
        <v>0</v>
      </c>
      <c r="N2537">
        <f>Data!H2549</f>
        <v>0</v>
      </c>
      <c r="O2537">
        <f>Data!I2549</f>
        <v>0</v>
      </c>
      <c r="P2537" s="21">
        <f>Data!J2553</f>
        <v>0</v>
      </c>
      <c r="Q2537">
        <f>Data!K2553</f>
        <v>0</v>
      </c>
      <c r="R2537">
        <f>Data!L2553</f>
        <v>0</v>
      </c>
      <c r="S2537">
        <f>Data!M2553</f>
        <v>0</v>
      </c>
      <c r="T2537">
        <f>Data!N2553</f>
        <v>0</v>
      </c>
      <c r="U2537">
        <f>Data!O2553</f>
        <v>0</v>
      </c>
      <c r="V2537" s="33">
        <f>Data!P2551</f>
        <v>0</v>
      </c>
    </row>
    <row r="2538" spans="7:22" x14ac:dyDescent="0.25">
      <c r="G2538" cm="1">
        <f t="array" aca="1" ref="G2538" ca="1">INDIRECT("Data!A" &amp; 2533)</f>
        <v>0</v>
      </c>
      <c r="H2538" s="21">
        <f>Data!B2550</f>
        <v>0</v>
      </c>
      <c r="I2538" s="21">
        <f>Data!C2550</f>
        <v>0</v>
      </c>
      <c r="J2538">
        <f>Data!D2550</f>
        <v>0</v>
      </c>
      <c r="K2538">
        <f>Data!E2550</f>
        <v>0</v>
      </c>
      <c r="L2538">
        <f>Data!F2550</f>
        <v>0</v>
      </c>
      <c r="M2538">
        <f>Data!G2550</f>
        <v>0</v>
      </c>
      <c r="N2538">
        <f>Data!H2550</f>
        <v>0</v>
      </c>
      <c r="O2538">
        <f>Data!I2550</f>
        <v>0</v>
      </c>
      <c r="P2538" s="21">
        <f>Data!J2554</f>
        <v>0</v>
      </c>
      <c r="Q2538">
        <f>Data!K2554</f>
        <v>0</v>
      </c>
      <c r="R2538">
        <f>Data!L2554</f>
        <v>0</v>
      </c>
      <c r="S2538">
        <f>Data!M2554</f>
        <v>0</v>
      </c>
      <c r="T2538">
        <f>Data!N2554</f>
        <v>0</v>
      </c>
      <c r="U2538">
        <f>Data!O2554</f>
        <v>0</v>
      </c>
      <c r="V2538" s="33">
        <f>Data!P2552</f>
        <v>0</v>
      </c>
    </row>
    <row r="2539" spans="7:22" x14ac:dyDescent="0.25">
      <c r="G2539" cm="1">
        <f t="array" aca="1" ref="G2539" ca="1">INDIRECT("Data!A" &amp; 2534)</f>
        <v>0</v>
      </c>
      <c r="H2539" s="21">
        <f>Data!B2551</f>
        <v>0</v>
      </c>
      <c r="I2539" s="21">
        <f>Data!C2551</f>
        <v>0</v>
      </c>
      <c r="J2539">
        <f>Data!D2551</f>
        <v>0</v>
      </c>
      <c r="K2539">
        <f>Data!E2551</f>
        <v>0</v>
      </c>
      <c r="L2539">
        <f>Data!F2551</f>
        <v>0</v>
      </c>
      <c r="M2539">
        <f>Data!G2551</f>
        <v>0</v>
      </c>
      <c r="N2539">
        <f>Data!H2551</f>
        <v>0</v>
      </c>
      <c r="O2539">
        <f>Data!I2551</f>
        <v>0</v>
      </c>
      <c r="P2539" s="21">
        <f>Data!J2555</f>
        <v>0</v>
      </c>
      <c r="Q2539">
        <f>Data!K2555</f>
        <v>0</v>
      </c>
      <c r="R2539">
        <f>Data!L2555</f>
        <v>0</v>
      </c>
      <c r="S2539">
        <f>Data!M2555</f>
        <v>0</v>
      </c>
      <c r="T2539">
        <f>Data!N2555</f>
        <v>0</v>
      </c>
      <c r="U2539">
        <f>Data!O2555</f>
        <v>0</v>
      </c>
      <c r="V2539" s="33">
        <f>Data!P2553</f>
        <v>0</v>
      </c>
    </row>
    <row r="2540" spans="7:22" x14ac:dyDescent="0.25">
      <c r="G2540" cm="1">
        <f t="array" aca="1" ref="G2540" ca="1">INDIRECT("Data!A" &amp; 2535)</f>
        <v>0</v>
      </c>
      <c r="H2540" s="21">
        <f>Data!B2552</f>
        <v>0</v>
      </c>
      <c r="I2540" s="21">
        <f>Data!C2552</f>
        <v>0</v>
      </c>
      <c r="J2540">
        <f>Data!D2552</f>
        <v>0</v>
      </c>
      <c r="K2540">
        <f>Data!E2552</f>
        <v>0</v>
      </c>
      <c r="L2540">
        <f>Data!F2552</f>
        <v>0</v>
      </c>
      <c r="M2540">
        <f>Data!G2552</f>
        <v>0</v>
      </c>
      <c r="N2540">
        <f>Data!H2552</f>
        <v>0</v>
      </c>
      <c r="O2540">
        <f>Data!I2552</f>
        <v>0</v>
      </c>
      <c r="P2540" s="21">
        <f>Data!J2556</f>
        <v>0</v>
      </c>
      <c r="Q2540">
        <f>Data!K2556</f>
        <v>0</v>
      </c>
      <c r="R2540">
        <f>Data!L2556</f>
        <v>0</v>
      </c>
      <c r="S2540">
        <f>Data!M2556</f>
        <v>0</v>
      </c>
      <c r="T2540">
        <f>Data!N2556</f>
        <v>0</v>
      </c>
      <c r="U2540">
        <f>Data!O2556</f>
        <v>0</v>
      </c>
      <c r="V2540" s="33">
        <f>Data!P2554</f>
        <v>0</v>
      </c>
    </row>
    <row r="2541" spans="7:22" x14ac:dyDescent="0.25">
      <c r="G2541" cm="1">
        <f t="array" aca="1" ref="G2541" ca="1">INDIRECT("Data!A" &amp; 2536)</f>
        <v>0</v>
      </c>
      <c r="H2541" s="21">
        <f>Data!B2553</f>
        <v>0</v>
      </c>
      <c r="I2541" s="21">
        <f>Data!C2553</f>
        <v>0</v>
      </c>
      <c r="J2541">
        <f>Data!D2553</f>
        <v>0</v>
      </c>
      <c r="K2541">
        <f>Data!E2553</f>
        <v>0</v>
      </c>
      <c r="L2541">
        <f>Data!F2553</f>
        <v>0</v>
      </c>
      <c r="M2541">
        <f>Data!G2553</f>
        <v>0</v>
      </c>
      <c r="N2541">
        <f>Data!H2553</f>
        <v>0</v>
      </c>
      <c r="O2541">
        <f>Data!I2553</f>
        <v>0</v>
      </c>
      <c r="P2541" s="21">
        <f>Data!J2557</f>
        <v>0</v>
      </c>
      <c r="Q2541">
        <f>Data!K2557</f>
        <v>0</v>
      </c>
      <c r="R2541">
        <f>Data!L2557</f>
        <v>0</v>
      </c>
      <c r="S2541">
        <f>Data!M2557</f>
        <v>0</v>
      </c>
      <c r="T2541">
        <f>Data!N2557</f>
        <v>0</v>
      </c>
      <c r="U2541">
        <f>Data!O2557</f>
        <v>0</v>
      </c>
      <c r="V2541" s="33">
        <f>Data!P2555</f>
        <v>0</v>
      </c>
    </row>
    <row r="2542" spans="7:22" x14ac:dyDescent="0.25">
      <c r="G2542" cm="1">
        <f t="array" aca="1" ref="G2542" ca="1">INDIRECT("Data!A" &amp; 2537)</f>
        <v>0</v>
      </c>
      <c r="H2542" s="21">
        <f>Data!B2554</f>
        <v>0</v>
      </c>
      <c r="I2542" s="21">
        <f>Data!C2554</f>
        <v>0</v>
      </c>
      <c r="J2542">
        <f>Data!D2554</f>
        <v>0</v>
      </c>
      <c r="K2542">
        <f>Data!E2554</f>
        <v>0</v>
      </c>
      <c r="L2542">
        <f>Data!F2554</f>
        <v>0</v>
      </c>
      <c r="M2542">
        <f>Data!G2554</f>
        <v>0</v>
      </c>
      <c r="N2542">
        <f>Data!H2554</f>
        <v>0</v>
      </c>
      <c r="O2542">
        <f>Data!I2554</f>
        <v>0</v>
      </c>
      <c r="P2542" s="21">
        <f>Data!J2558</f>
        <v>0</v>
      </c>
      <c r="Q2542">
        <f>Data!K2558</f>
        <v>0</v>
      </c>
      <c r="R2542">
        <f>Data!L2558</f>
        <v>0</v>
      </c>
      <c r="S2542">
        <f>Data!M2558</f>
        <v>0</v>
      </c>
      <c r="T2542">
        <f>Data!N2558</f>
        <v>0</v>
      </c>
      <c r="U2542">
        <f>Data!O2558</f>
        <v>0</v>
      </c>
      <c r="V2542" s="33">
        <f>Data!P2556</f>
        <v>0</v>
      </c>
    </row>
    <row r="2543" spans="7:22" x14ac:dyDescent="0.25">
      <c r="G2543" cm="1">
        <f t="array" aca="1" ref="G2543" ca="1">INDIRECT("Data!A" &amp; 2538)</f>
        <v>0</v>
      </c>
      <c r="H2543" s="21">
        <f>Data!B2555</f>
        <v>0</v>
      </c>
      <c r="I2543" s="21">
        <f>Data!C2555</f>
        <v>0</v>
      </c>
      <c r="J2543">
        <f>Data!D2555</f>
        <v>0</v>
      </c>
      <c r="K2543">
        <f>Data!E2555</f>
        <v>0</v>
      </c>
      <c r="L2543">
        <f>Data!F2555</f>
        <v>0</v>
      </c>
      <c r="M2543">
        <f>Data!G2555</f>
        <v>0</v>
      </c>
      <c r="N2543">
        <f>Data!H2555</f>
        <v>0</v>
      </c>
      <c r="O2543">
        <f>Data!I2555</f>
        <v>0</v>
      </c>
      <c r="P2543" s="21">
        <f>Data!J2559</f>
        <v>0</v>
      </c>
      <c r="Q2543">
        <f>Data!K2559</f>
        <v>0</v>
      </c>
      <c r="R2543">
        <f>Data!L2559</f>
        <v>0</v>
      </c>
      <c r="S2543">
        <f>Data!M2559</f>
        <v>0</v>
      </c>
      <c r="T2543">
        <f>Data!N2559</f>
        <v>0</v>
      </c>
      <c r="U2543">
        <f>Data!O2559</f>
        <v>0</v>
      </c>
      <c r="V2543" s="33">
        <f>Data!P2557</f>
        <v>0</v>
      </c>
    </row>
    <row r="2544" spans="7:22" x14ac:dyDescent="0.25">
      <c r="G2544" cm="1">
        <f t="array" aca="1" ref="G2544" ca="1">INDIRECT("Data!A" &amp; 2539)</f>
        <v>0</v>
      </c>
      <c r="H2544" s="21">
        <f>Data!B2556</f>
        <v>0</v>
      </c>
      <c r="I2544" s="21">
        <f>Data!C2556</f>
        <v>0</v>
      </c>
      <c r="J2544">
        <f>Data!D2556</f>
        <v>0</v>
      </c>
      <c r="K2544">
        <f>Data!E2556</f>
        <v>0</v>
      </c>
      <c r="L2544">
        <f>Data!F2556</f>
        <v>0</v>
      </c>
      <c r="M2544">
        <f>Data!G2556</f>
        <v>0</v>
      </c>
      <c r="N2544">
        <f>Data!H2556</f>
        <v>0</v>
      </c>
      <c r="O2544">
        <f>Data!I2556</f>
        <v>0</v>
      </c>
      <c r="P2544" s="21">
        <f>Data!J2560</f>
        <v>0</v>
      </c>
      <c r="Q2544">
        <f>Data!K2560</f>
        <v>0</v>
      </c>
      <c r="R2544">
        <f>Data!L2560</f>
        <v>0</v>
      </c>
      <c r="S2544">
        <f>Data!M2560</f>
        <v>0</v>
      </c>
      <c r="T2544">
        <f>Data!N2560</f>
        <v>0</v>
      </c>
      <c r="U2544">
        <f>Data!O2560</f>
        <v>0</v>
      </c>
      <c r="V2544" s="33">
        <f>Data!P2558</f>
        <v>0</v>
      </c>
    </row>
    <row r="2545" spans="7:22" x14ac:dyDescent="0.25">
      <c r="G2545" cm="1">
        <f t="array" aca="1" ref="G2545" ca="1">INDIRECT("Data!A" &amp; 2540)</f>
        <v>0</v>
      </c>
      <c r="H2545" s="21">
        <f>Data!B2557</f>
        <v>0</v>
      </c>
      <c r="I2545" s="21">
        <f>Data!C2557</f>
        <v>0</v>
      </c>
      <c r="J2545">
        <f>Data!D2557</f>
        <v>0</v>
      </c>
      <c r="K2545">
        <f>Data!E2557</f>
        <v>0</v>
      </c>
      <c r="L2545">
        <f>Data!F2557</f>
        <v>0</v>
      </c>
      <c r="M2545">
        <f>Data!G2557</f>
        <v>0</v>
      </c>
      <c r="N2545">
        <f>Data!H2557</f>
        <v>0</v>
      </c>
      <c r="O2545">
        <f>Data!I2557</f>
        <v>0</v>
      </c>
      <c r="P2545" s="21">
        <f>Data!J2561</f>
        <v>0</v>
      </c>
      <c r="Q2545">
        <f>Data!K2561</f>
        <v>0</v>
      </c>
      <c r="R2545">
        <f>Data!L2561</f>
        <v>0</v>
      </c>
      <c r="S2545">
        <f>Data!M2561</f>
        <v>0</v>
      </c>
      <c r="T2545">
        <f>Data!N2561</f>
        <v>0</v>
      </c>
      <c r="U2545">
        <f>Data!O2561</f>
        <v>0</v>
      </c>
      <c r="V2545" s="33">
        <f>Data!P2559</f>
        <v>0</v>
      </c>
    </row>
    <row r="2546" spans="7:22" x14ac:dyDescent="0.25">
      <c r="G2546" cm="1">
        <f t="array" aca="1" ref="G2546" ca="1">INDIRECT("Data!A" &amp; 2541)</f>
        <v>0</v>
      </c>
      <c r="H2546" s="21">
        <f>Data!B2558</f>
        <v>0</v>
      </c>
      <c r="I2546" s="21">
        <f>Data!C2558</f>
        <v>0</v>
      </c>
      <c r="J2546">
        <f>Data!D2558</f>
        <v>0</v>
      </c>
      <c r="K2546">
        <f>Data!E2558</f>
        <v>0</v>
      </c>
      <c r="L2546">
        <f>Data!F2558</f>
        <v>0</v>
      </c>
      <c r="M2546">
        <f>Data!G2558</f>
        <v>0</v>
      </c>
      <c r="N2546">
        <f>Data!H2558</f>
        <v>0</v>
      </c>
      <c r="O2546">
        <f>Data!I2558</f>
        <v>0</v>
      </c>
      <c r="P2546" s="21">
        <f>Data!J2562</f>
        <v>0</v>
      </c>
      <c r="Q2546">
        <f>Data!K2562</f>
        <v>0</v>
      </c>
      <c r="R2546">
        <f>Data!L2562</f>
        <v>0</v>
      </c>
      <c r="S2546">
        <f>Data!M2562</f>
        <v>0</v>
      </c>
      <c r="T2546">
        <f>Data!N2562</f>
        <v>0</v>
      </c>
      <c r="U2546">
        <f>Data!O2562</f>
        <v>0</v>
      </c>
      <c r="V2546" s="33">
        <f>Data!P2560</f>
        <v>0</v>
      </c>
    </row>
    <row r="2547" spans="7:22" x14ac:dyDescent="0.25">
      <c r="G2547" cm="1">
        <f t="array" aca="1" ref="G2547" ca="1">INDIRECT("Data!A" &amp; 2542)</f>
        <v>0</v>
      </c>
      <c r="H2547" s="21">
        <f>Data!B2559</f>
        <v>0</v>
      </c>
      <c r="I2547" s="21">
        <f>Data!C2559</f>
        <v>0</v>
      </c>
      <c r="J2547">
        <f>Data!D2559</f>
        <v>0</v>
      </c>
      <c r="K2547">
        <f>Data!E2559</f>
        <v>0</v>
      </c>
      <c r="L2547">
        <f>Data!F2559</f>
        <v>0</v>
      </c>
      <c r="M2547">
        <f>Data!G2559</f>
        <v>0</v>
      </c>
      <c r="N2547">
        <f>Data!H2559</f>
        <v>0</v>
      </c>
      <c r="O2547">
        <f>Data!I2559</f>
        <v>0</v>
      </c>
      <c r="P2547" s="21">
        <f>Data!J2563</f>
        <v>0</v>
      </c>
      <c r="Q2547">
        <f>Data!K2563</f>
        <v>0</v>
      </c>
      <c r="R2547">
        <f>Data!L2563</f>
        <v>0</v>
      </c>
      <c r="S2547">
        <f>Data!M2563</f>
        <v>0</v>
      </c>
      <c r="T2547">
        <f>Data!N2563</f>
        <v>0</v>
      </c>
      <c r="U2547">
        <f>Data!O2563</f>
        <v>0</v>
      </c>
      <c r="V2547" s="33">
        <f>Data!P2561</f>
        <v>0</v>
      </c>
    </row>
    <row r="2548" spans="7:22" x14ac:dyDescent="0.25">
      <c r="G2548" cm="1">
        <f t="array" aca="1" ref="G2548" ca="1">INDIRECT("Data!A" &amp; 2543)</f>
        <v>0</v>
      </c>
      <c r="H2548" s="21">
        <f>Data!B2560</f>
        <v>0</v>
      </c>
      <c r="I2548" s="21">
        <f>Data!C2560</f>
        <v>0</v>
      </c>
      <c r="J2548">
        <f>Data!D2560</f>
        <v>0</v>
      </c>
      <c r="K2548">
        <f>Data!E2560</f>
        <v>0</v>
      </c>
      <c r="L2548">
        <f>Data!F2560</f>
        <v>0</v>
      </c>
      <c r="M2548">
        <f>Data!G2560</f>
        <v>0</v>
      </c>
      <c r="N2548">
        <f>Data!H2560</f>
        <v>0</v>
      </c>
      <c r="O2548">
        <f>Data!I2560</f>
        <v>0</v>
      </c>
      <c r="P2548" s="21">
        <f>Data!J2564</f>
        <v>0</v>
      </c>
      <c r="Q2548">
        <f>Data!K2564</f>
        <v>0</v>
      </c>
      <c r="R2548">
        <f>Data!L2564</f>
        <v>0</v>
      </c>
      <c r="S2548">
        <f>Data!M2564</f>
        <v>0</v>
      </c>
      <c r="T2548">
        <f>Data!N2564</f>
        <v>0</v>
      </c>
      <c r="U2548">
        <f>Data!O2564</f>
        <v>0</v>
      </c>
      <c r="V2548" s="33">
        <f>Data!P2562</f>
        <v>0</v>
      </c>
    </row>
    <row r="2549" spans="7:22" x14ac:dyDescent="0.25">
      <c r="G2549" cm="1">
        <f t="array" aca="1" ref="G2549" ca="1">INDIRECT("Data!A" &amp; 2544)</f>
        <v>0</v>
      </c>
      <c r="H2549" s="21">
        <f>Data!B2561</f>
        <v>0</v>
      </c>
      <c r="I2549" s="21">
        <f>Data!C2561</f>
        <v>0</v>
      </c>
      <c r="J2549">
        <f>Data!D2561</f>
        <v>0</v>
      </c>
      <c r="K2549">
        <f>Data!E2561</f>
        <v>0</v>
      </c>
      <c r="L2549">
        <f>Data!F2561</f>
        <v>0</v>
      </c>
      <c r="M2549">
        <f>Data!G2561</f>
        <v>0</v>
      </c>
      <c r="N2549">
        <f>Data!H2561</f>
        <v>0</v>
      </c>
      <c r="O2549">
        <f>Data!I2561</f>
        <v>0</v>
      </c>
      <c r="P2549" s="21">
        <f>Data!J2565</f>
        <v>0</v>
      </c>
      <c r="Q2549">
        <f>Data!K2565</f>
        <v>0</v>
      </c>
      <c r="R2549">
        <f>Data!L2565</f>
        <v>0</v>
      </c>
      <c r="S2549">
        <f>Data!M2565</f>
        <v>0</v>
      </c>
      <c r="T2549">
        <f>Data!N2565</f>
        <v>0</v>
      </c>
      <c r="U2549">
        <f>Data!O2565</f>
        <v>0</v>
      </c>
      <c r="V2549" s="33">
        <f>Data!P2563</f>
        <v>0</v>
      </c>
    </row>
    <row r="2550" spans="7:22" x14ac:dyDescent="0.25">
      <c r="G2550" cm="1">
        <f t="array" aca="1" ref="G2550" ca="1">INDIRECT("Data!A" &amp; 2545)</f>
        <v>0</v>
      </c>
      <c r="H2550" s="21">
        <f>Data!B2562</f>
        <v>0</v>
      </c>
      <c r="I2550" s="21">
        <f>Data!C2562</f>
        <v>0</v>
      </c>
      <c r="J2550">
        <f>Data!D2562</f>
        <v>0</v>
      </c>
      <c r="K2550">
        <f>Data!E2562</f>
        <v>0</v>
      </c>
      <c r="L2550">
        <f>Data!F2562</f>
        <v>0</v>
      </c>
      <c r="M2550">
        <f>Data!G2562</f>
        <v>0</v>
      </c>
      <c r="N2550">
        <f>Data!H2562</f>
        <v>0</v>
      </c>
      <c r="O2550">
        <f>Data!I2562</f>
        <v>0</v>
      </c>
      <c r="P2550" s="21">
        <f>Data!J2566</f>
        <v>0</v>
      </c>
      <c r="Q2550">
        <f>Data!K2566</f>
        <v>0</v>
      </c>
      <c r="R2550">
        <f>Data!L2566</f>
        <v>0</v>
      </c>
      <c r="S2550">
        <f>Data!M2566</f>
        <v>0</v>
      </c>
      <c r="T2550">
        <f>Data!N2566</f>
        <v>0</v>
      </c>
      <c r="U2550">
        <f>Data!O2566</f>
        <v>0</v>
      </c>
      <c r="V2550" s="33">
        <f>Data!P2564</f>
        <v>0</v>
      </c>
    </row>
    <row r="2551" spans="7:22" x14ac:dyDescent="0.25">
      <c r="G2551" cm="1">
        <f t="array" aca="1" ref="G2551" ca="1">INDIRECT("Data!A" &amp; 2546)</f>
        <v>0</v>
      </c>
      <c r="H2551" s="21">
        <f>Data!B2563</f>
        <v>0</v>
      </c>
      <c r="I2551" s="21">
        <f>Data!C2563</f>
        <v>0</v>
      </c>
      <c r="J2551">
        <f>Data!D2563</f>
        <v>0</v>
      </c>
      <c r="K2551">
        <f>Data!E2563</f>
        <v>0</v>
      </c>
      <c r="L2551">
        <f>Data!F2563</f>
        <v>0</v>
      </c>
      <c r="M2551">
        <f>Data!G2563</f>
        <v>0</v>
      </c>
      <c r="N2551">
        <f>Data!H2563</f>
        <v>0</v>
      </c>
      <c r="O2551">
        <f>Data!I2563</f>
        <v>0</v>
      </c>
      <c r="P2551" s="21">
        <f>Data!J2567</f>
        <v>0</v>
      </c>
      <c r="Q2551">
        <f>Data!K2567</f>
        <v>0</v>
      </c>
      <c r="R2551">
        <f>Data!L2567</f>
        <v>0</v>
      </c>
      <c r="S2551">
        <f>Data!M2567</f>
        <v>0</v>
      </c>
      <c r="T2551">
        <f>Data!N2567</f>
        <v>0</v>
      </c>
      <c r="U2551">
        <f>Data!O2567</f>
        <v>0</v>
      </c>
      <c r="V2551" s="33">
        <f>Data!P2565</f>
        <v>0</v>
      </c>
    </row>
    <row r="2552" spans="7:22" x14ac:dyDescent="0.25">
      <c r="G2552" cm="1">
        <f t="array" aca="1" ref="G2552" ca="1">INDIRECT("Data!A" &amp; 2547)</f>
        <v>0</v>
      </c>
      <c r="H2552" s="21">
        <f>Data!B2564</f>
        <v>0</v>
      </c>
      <c r="I2552" s="21">
        <f>Data!C2564</f>
        <v>0</v>
      </c>
      <c r="J2552">
        <f>Data!D2564</f>
        <v>0</v>
      </c>
      <c r="K2552">
        <f>Data!E2564</f>
        <v>0</v>
      </c>
      <c r="L2552">
        <f>Data!F2564</f>
        <v>0</v>
      </c>
      <c r="M2552">
        <f>Data!G2564</f>
        <v>0</v>
      </c>
      <c r="N2552">
        <f>Data!H2564</f>
        <v>0</v>
      </c>
      <c r="O2552">
        <f>Data!I2564</f>
        <v>0</v>
      </c>
      <c r="P2552" s="21">
        <f>Data!J2568</f>
        <v>0</v>
      </c>
      <c r="Q2552">
        <f>Data!K2568</f>
        <v>0</v>
      </c>
      <c r="R2552">
        <f>Data!L2568</f>
        <v>0</v>
      </c>
      <c r="S2552">
        <f>Data!M2568</f>
        <v>0</v>
      </c>
      <c r="T2552">
        <f>Data!N2568</f>
        <v>0</v>
      </c>
      <c r="U2552">
        <f>Data!O2568</f>
        <v>0</v>
      </c>
      <c r="V2552" s="33">
        <f>Data!P2566</f>
        <v>0</v>
      </c>
    </row>
    <row r="2553" spans="7:22" x14ac:dyDescent="0.25">
      <c r="G2553" cm="1">
        <f t="array" aca="1" ref="G2553" ca="1">INDIRECT("Data!A" &amp; 2548)</f>
        <v>0</v>
      </c>
      <c r="H2553" s="21">
        <f>Data!B2565</f>
        <v>0</v>
      </c>
      <c r="I2553" s="21">
        <f>Data!C2565</f>
        <v>0</v>
      </c>
      <c r="J2553">
        <f>Data!D2565</f>
        <v>0</v>
      </c>
      <c r="K2553">
        <f>Data!E2565</f>
        <v>0</v>
      </c>
      <c r="L2553">
        <f>Data!F2565</f>
        <v>0</v>
      </c>
      <c r="M2553">
        <f>Data!G2565</f>
        <v>0</v>
      </c>
      <c r="N2553">
        <f>Data!H2565</f>
        <v>0</v>
      </c>
      <c r="O2553">
        <f>Data!I2565</f>
        <v>0</v>
      </c>
      <c r="P2553" s="21">
        <f>Data!J2569</f>
        <v>0</v>
      </c>
      <c r="Q2553">
        <f>Data!K2569</f>
        <v>0</v>
      </c>
      <c r="R2553">
        <f>Data!L2569</f>
        <v>0</v>
      </c>
      <c r="S2553">
        <f>Data!M2569</f>
        <v>0</v>
      </c>
      <c r="T2553">
        <f>Data!N2569</f>
        <v>0</v>
      </c>
      <c r="U2553">
        <f>Data!O2569</f>
        <v>0</v>
      </c>
      <c r="V2553" s="33">
        <f>Data!P2567</f>
        <v>0</v>
      </c>
    </row>
    <row r="2554" spans="7:22" x14ac:dyDescent="0.25">
      <c r="G2554" cm="1">
        <f t="array" aca="1" ref="G2554" ca="1">INDIRECT("Data!A" &amp; 2549)</f>
        <v>0</v>
      </c>
      <c r="H2554" s="21">
        <f>Data!B2566</f>
        <v>0</v>
      </c>
      <c r="I2554" s="21">
        <f>Data!C2566</f>
        <v>0</v>
      </c>
      <c r="J2554">
        <f>Data!D2566</f>
        <v>0</v>
      </c>
      <c r="K2554">
        <f>Data!E2566</f>
        <v>0</v>
      </c>
      <c r="L2554">
        <f>Data!F2566</f>
        <v>0</v>
      </c>
      <c r="M2554">
        <f>Data!G2566</f>
        <v>0</v>
      </c>
      <c r="N2554">
        <f>Data!H2566</f>
        <v>0</v>
      </c>
      <c r="O2554">
        <f>Data!I2566</f>
        <v>0</v>
      </c>
      <c r="P2554" s="21">
        <f>Data!J2570</f>
        <v>0</v>
      </c>
      <c r="Q2554">
        <f>Data!K2570</f>
        <v>0</v>
      </c>
      <c r="R2554">
        <f>Data!L2570</f>
        <v>0</v>
      </c>
      <c r="S2554">
        <f>Data!M2570</f>
        <v>0</v>
      </c>
      <c r="T2554">
        <f>Data!N2570</f>
        <v>0</v>
      </c>
      <c r="U2554">
        <f>Data!O2570</f>
        <v>0</v>
      </c>
      <c r="V2554" s="33">
        <f>Data!P2568</f>
        <v>0</v>
      </c>
    </row>
    <row r="2555" spans="7:22" x14ac:dyDescent="0.25">
      <c r="G2555" cm="1">
        <f t="array" aca="1" ref="G2555" ca="1">INDIRECT("Data!A" &amp; 2550)</f>
        <v>0</v>
      </c>
      <c r="H2555" s="21">
        <f>Data!B2567</f>
        <v>0</v>
      </c>
      <c r="I2555" s="21">
        <f>Data!C2567</f>
        <v>0</v>
      </c>
      <c r="J2555">
        <f>Data!D2567</f>
        <v>0</v>
      </c>
      <c r="K2555">
        <f>Data!E2567</f>
        <v>0</v>
      </c>
      <c r="L2555">
        <f>Data!F2567</f>
        <v>0</v>
      </c>
      <c r="M2555">
        <f>Data!G2567</f>
        <v>0</v>
      </c>
      <c r="N2555">
        <f>Data!H2567</f>
        <v>0</v>
      </c>
      <c r="O2555">
        <f>Data!I2567</f>
        <v>0</v>
      </c>
      <c r="P2555" s="21">
        <f>Data!J2571</f>
        <v>0</v>
      </c>
      <c r="Q2555">
        <f>Data!K2571</f>
        <v>0</v>
      </c>
      <c r="R2555">
        <f>Data!L2571</f>
        <v>0</v>
      </c>
      <c r="S2555">
        <f>Data!M2571</f>
        <v>0</v>
      </c>
      <c r="T2555">
        <f>Data!N2571</f>
        <v>0</v>
      </c>
      <c r="U2555">
        <f>Data!O2571</f>
        <v>0</v>
      </c>
      <c r="V2555" s="33">
        <f>Data!P2569</f>
        <v>0</v>
      </c>
    </row>
    <row r="2556" spans="7:22" x14ac:dyDescent="0.25">
      <c r="G2556" cm="1">
        <f t="array" aca="1" ref="G2556" ca="1">INDIRECT("Data!A" &amp; 2551)</f>
        <v>0</v>
      </c>
      <c r="H2556" s="21">
        <f>Data!B2568</f>
        <v>0</v>
      </c>
      <c r="I2556" s="21">
        <f>Data!C2568</f>
        <v>0</v>
      </c>
      <c r="J2556">
        <f>Data!D2568</f>
        <v>0</v>
      </c>
      <c r="K2556">
        <f>Data!E2568</f>
        <v>0</v>
      </c>
      <c r="L2556">
        <f>Data!F2568</f>
        <v>0</v>
      </c>
      <c r="M2556">
        <f>Data!G2568</f>
        <v>0</v>
      </c>
      <c r="N2556">
        <f>Data!H2568</f>
        <v>0</v>
      </c>
      <c r="O2556">
        <f>Data!I2568</f>
        <v>0</v>
      </c>
      <c r="P2556" s="21">
        <f>Data!J2572</f>
        <v>0</v>
      </c>
      <c r="Q2556">
        <f>Data!K2572</f>
        <v>0</v>
      </c>
      <c r="R2556">
        <f>Data!L2572</f>
        <v>0</v>
      </c>
      <c r="S2556">
        <f>Data!M2572</f>
        <v>0</v>
      </c>
      <c r="T2556">
        <f>Data!N2572</f>
        <v>0</v>
      </c>
      <c r="U2556">
        <f>Data!O2572</f>
        <v>0</v>
      </c>
      <c r="V2556" s="33">
        <f>Data!P2570</f>
        <v>0</v>
      </c>
    </row>
    <row r="2557" spans="7:22" x14ac:dyDescent="0.25">
      <c r="G2557" cm="1">
        <f t="array" aca="1" ref="G2557" ca="1">INDIRECT("Data!A" &amp; 2552)</f>
        <v>0</v>
      </c>
      <c r="H2557" s="21">
        <f>Data!B2569</f>
        <v>0</v>
      </c>
      <c r="I2557" s="21">
        <f>Data!C2569</f>
        <v>0</v>
      </c>
      <c r="J2557">
        <f>Data!D2569</f>
        <v>0</v>
      </c>
      <c r="K2557">
        <f>Data!E2569</f>
        <v>0</v>
      </c>
      <c r="L2557">
        <f>Data!F2569</f>
        <v>0</v>
      </c>
      <c r="M2557">
        <f>Data!G2569</f>
        <v>0</v>
      </c>
      <c r="N2557">
        <f>Data!H2569</f>
        <v>0</v>
      </c>
      <c r="O2557">
        <f>Data!I2569</f>
        <v>0</v>
      </c>
      <c r="P2557" s="21">
        <f>Data!J2573</f>
        <v>0</v>
      </c>
      <c r="Q2557">
        <f>Data!K2573</f>
        <v>0</v>
      </c>
      <c r="R2557">
        <f>Data!L2573</f>
        <v>0</v>
      </c>
      <c r="S2557">
        <f>Data!M2573</f>
        <v>0</v>
      </c>
      <c r="T2557">
        <f>Data!N2573</f>
        <v>0</v>
      </c>
      <c r="U2557">
        <f>Data!O2573</f>
        <v>0</v>
      </c>
      <c r="V2557" s="33">
        <f>Data!P2571</f>
        <v>0</v>
      </c>
    </row>
    <row r="2558" spans="7:22" x14ac:dyDescent="0.25">
      <c r="G2558" cm="1">
        <f t="array" aca="1" ref="G2558" ca="1">INDIRECT("Data!A" &amp; 2553)</f>
        <v>0</v>
      </c>
      <c r="H2558" s="21">
        <f>Data!B2570</f>
        <v>0</v>
      </c>
      <c r="I2558" s="21">
        <f>Data!C2570</f>
        <v>0</v>
      </c>
      <c r="J2558">
        <f>Data!D2570</f>
        <v>0</v>
      </c>
      <c r="K2558">
        <f>Data!E2570</f>
        <v>0</v>
      </c>
      <c r="L2558">
        <f>Data!F2570</f>
        <v>0</v>
      </c>
      <c r="M2558">
        <f>Data!G2570</f>
        <v>0</v>
      </c>
      <c r="N2558">
        <f>Data!H2570</f>
        <v>0</v>
      </c>
      <c r="O2558">
        <f>Data!I2570</f>
        <v>0</v>
      </c>
      <c r="P2558" s="21">
        <f>Data!J2574</f>
        <v>0</v>
      </c>
      <c r="Q2558">
        <f>Data!K2574</f>
        <v>0</v>
      </c>
      <c r="R2558">
        <f>Data!L2574</f>
        <v>0</v>
      </c>
      <c r="S2558">
        <f>Data!M2574</f>
        <v>0</v>
      </c>
      <c r="T2558">
        <f>Data!N2574</f>
        <v>0</v>
      </c>
      <c r="U2558">
        <f>Data!O2574</f>
        <v>0</v>
      </c>
      <c r="V2558" s="33">
        <f>Data!P2572</f>
        <v>0</v>
      </c>
    </row>
    <row r="2559" spans="7:22" x14ac:dyDescent="0.25">
      <c r="G2559" cm="1">
        <f t="array" aca="1" ref="G2559" ca="1">INDIRECT("Data!A" &amp; 2554)</f>
        <v>0</v>
      </c>
      <c r="H2559" s="21">
        <f>Data!B2571</f>
        <v>0</v>
      </c>
      <c r="I2559" s="21">
        <f>Data!C2571</f>
        <v>0</v>
      </c>
      <c r="J2559">
        <f>Data!D2571</f>
        <v>0</v>
      </c>
      <c r="K2559">
        <f>Data!E2571</f>
        <v>0</v>
      </c>
      <c r="L2559">
        <f>Data!F2571</f>
        <v>0</v>
      </c>
      <c r="M2559">
        <f>Data!G2571</f>
        <v>0</v>
      </c>
      <c r="N2559">
        <f>Data!H2571</f>
        <v>0</v>
      </c>
      <c r="O2559">
        <f>Data!I2571</f>
        <v>0</v>
      </c>
      <c r="P2559" s="21">
        <f>Data!J2575</f>
        <v>0</v>
      </c>
      <c r="Q2559">
        <f>Data!K2575</f>
        <v>0</v>
      </c>
      <c r="R2559">
        <f>Data!L2575</f>
        <v>0</v>
      </c>
      <c r="S2559">
        <f>Data!M2575</f>
        <v>0</v>
      </c>
      <c r="T2559">
        <f>Data!N2575</f>
        <v>0</v>
      </c>
      <c r="U2559">
        <f>Data!O2575</f>
        <v>0</v>
      </c>
      <c r="V2559" s="33">
        <f>Data!P2573</f>
        <v>0</v>
      </c>
    </row>
    <row r="2560" spans="7:22" x14ac:dyDescent="0.25">
      <c r="G2560" cm="1">
        <f t="array" aca="1" ref="G2560" ca="1">INDIRECT("Data!A" &amp; 2555)</f>
        <v>0</v>
      </c>
      <c r="H2560" s="21">
        <f>Data!B2572</f>
        <v>0</v>
      </c>
      <c r="I2560" s="21">
        <f>Data!C2572</f>
        <v>0</v>
      </c>
      <c r="J2560">
        <f>Data!D2572</f>
        <v>0</v>
      </c>
      <c r="K2560">
        <f>Data!E2572</f>
        <v>0</v>
      </c>
      <c r="L2560">
        <f>Data!F2572</f>
        <v>0</v>
      </c>
      <c r="M2560">
        <f>Data!G2572</f>
        <v>0</v>
      </c>
      <c r="N2560">
        <f>Data!H2572</f>
        <v>0</v>
      </c>
      <c r="O2560">
        <f>Data!I2572</f>
        <v>0</v>
      </c>
      <c r="P2560" s="21">
        <f>Data!J2576</f>
        <v>0</v>
      </c>
      <c r="Q2560">
        <f>Data!K2576</f>
        <v>0</v>
      </c>
      <c r="R2560">
        <f>Data!L2576</f>
        <v>0</v>
      </c>
      <c r="S2560">
        <f>Data!M2576</f>
        <v>0</v>
      </c>
      <c r="T2560">
        <f>Data!N2576</f>
        <v>0</v>
      </c>
      <c r="U2560">
        <f>Data!O2576</f>
        <v>0</v>
      </c>
      <c r="V2560" s="33">
        <f>Data!P2574</f>
        <v>0</v>
      </c>
    </row>
    <row r="2561" spans="7:22" x14ac:dyDescent="0.25">
      <c r="G2561" cm="1">
        <f t="array" aca="1" ref="G2561" ca="1">INDIRECT("Data!A" &amp; 2556)</f>
        <v>0</v>
      </c>
      <c r="H2561" s="21">
        <f>Data!B2573</f>
        <v>0</v>
      </c>
      <c r="I2561" s="21">
        <f>Data!C2573</f>
        <v>0</v>
      </c>
      <c r="J2561">
        <f>Data!D2573</f>
        <v>0</v>
      </c>
      <c r="K2561">
        <f>Data!E2573</f>
        <v>0</v>
      </c>
      <c r="L2561">
        <f>Data!F2573</f>
        <v>0</v>
      </c>
      <c r="M2561">
        <f>Data!G2573</f>
        <v>0</v>
      </c>
      <c r="N2561">
        <f>Data!H2573</f>
        <v>0</v>
      </c>
      <c r="O2561">
        <f>Data!I2573</f>
        <v>0</v>
      </c>
      <c r="P2561" s="21">
        <f>Data!J2577</f>
        <v>0</v>
      </c>
      <c r="Q2561">
        <f>Data!K2577</f>
        <v>0</v>
      </c>
      <c r="R2561">
        <f>Data!L2577</f>
        <v>0</v>
      </c>
      <c r="S2561">
        <f>Data!M2577</f>
        <v>0</v>
      </c>
      <c r="T2561">
        <f>Data!N2577</f>
        <v>0</v>
      </c>
      <c r="U2561">
        <f>Data!O2577</f>
        <v>0</v>
      </c>
      <c r="V2561" s="33">
        <f>Data!P2575</f>
        <v>0</v>
      </c>
    </row>
    <row r="2562" spans="7:22" x14ac:dyDescent="0.25">
      <c r="G2562" cm="1">
        <f t="array" aca="1" ref="G2562" ca="1">INDIRECT("Data!A" &amp; 2557)</f>
        <v>0</v>
      </c>
      <c r="H2562" s="21">
        <f>Data!B2574</f>
        <v>0</v>
      </c>
      <c r="I2562" s="21">
        <f>Data!C2574</f>
        <v>0</v>
      </c>
      <c r="J2562">
        <f>Data!D2574</f>
        <v>0</v>
      </c>
      <c r="K2562">
        <f>Data!E2574</f>
        <v>0</v>
      </c>
      <c r="L2562">
        <f>Data!F2574</f>
        <v>0</v>
      </c>
      <c r="M2562">
        <f>Data!G2574</f>
        <v>0</v>
      </c>
      <c r="N2562">
        <f>Data!H2574</f>
        <v>0</v>
      </c>
      <c r="O2562">
        <f>Data!I2574</f>
        <v>0</v>
      </c>
      <c r="P2562" s="21">
        <f>Data!J2578</f>
        <v>0</v>
      </c>
      <c r="Q2562">
        <f>Data!K2578</f>
        <v>0</v>
      </c>
      <c r="R2562">
        <f>Data!L2578</f>
        <v>0</v>
      </c>
      <c r="S2562">
        <f>Data!M2578</f>
        <v>0</v>
      </c>
      <c r="T2562">
        <f>Data!N2578</f>
        <v>0</v>
      </c>
      <c r="U2562">
        <f>Data!O2578</f>
        <v>0</v>
      </c>
      <c r="V2562" s="33">
        <f>Data!P2576</f>
        <v>0</v>
      </c>
    </row>
    <row r="2563" spans="7:22" x14ac:dyDescent="0.25">
      <c r="G2563" cm="1">
        <f t="array" aca="1" ref="G2563" ca="1">INDIRECT("Data!A" &amp; 2558)</f>
        <v>0</v>
      </c>
      <c r="H2563" s="21">
        <f>Data!B2575</f>
        <v>0</v>
      </c>
      <c r="I2563" s="21">
        <f>Data!C2575</f>
        <v>0</v>
      </c>
      <c r="J2563">
        <f>Data!D2575</f>
        <v>0</v>
      </c>
      <c r="K2563">
        <f>Data!E2575</f>
        <v>0</v>
      </c>
      <c r="L2563">
        <f>Data!F2575</f>
        <v>0</v>
      </c>
      <c r="M2563">
        <f>Data!G2575</f>
        <v>0</v>
      </c>
      <c r="N2563">
        <f>Data!H2575</f>
        <v>0</v>
      </c>
      <c r="O2563">
        <f>Data!I2575</f>
        <v>0</v>
      </c>
      <c r="P2563" s="21">
        <f>Data!J2579</f>
        <v>0</v>
      </c>
      <c r="Q2563">
        <f>Data!K2579</f>
        <v>0</v>
      </c>
      <c r="R2563">
        <f>Data!L2579</f>
        <v>0</v>
      </c>
      <c r="S2563">
        <f>Data!M2579</f>
        <v>0</v>
      </c>
      <c r="T2563">
        <f>Data!N2579</f>
        <v>0</v>
      </c>
      <c r="U2563">
        <f>Data!O2579</f>
        <v>0</v>
      </c>
      <c r="V2563" s="33">
        <f>Data!P2577</f>
        <v>0</v>
      </c>
    </row>
    <row r="2564" spans="7:22" x14ac:dyDescent="0.25">
      <c r="G2564" cm="1">
        <f t="array" aca="1" ref="G2564" ca="1">INDIRECT("Data!A" &amp; 2559)</f>
        <v>0</v>
      </c>
      <c r="H2564" s="21">
        <f>Data!B2576</f>
        <v>0</v>
      </c>
      <c r="I2564" s="21">
        <f>Data!C2576</f>
        <v>0</v>
      </c>
      <c r="J2564">
        <f>Data!D2576</f>
        <v>0</v>
      </c>
      <c r="K2564">
        <f>Data!E2576</f>
        <v>0</v>
      </c>
      <c r="L2564">
        <f>Data!F2576</f>
        <v>0</v>
      </c>
      <c r="M2564">
        <f>Data!G2576</f>
        <v>0</v>
      </c>
      <c r="N2564">
        <f>Data!H2576</f>
        <v>0</v>
      </c>
      <c r="O2564">
        <f>Data!I2576</f>
        <v>0</v>
      </c>
      <c r="P2564" s="21">
        <f>Data!J2580</f>
        <v>0</v>
      </c>
      <c r="Q2564">
        <f>Data!K2580</f>
        <v>0</v>
      </c>
      <c r="R2564">
        <f>Data!L2580</f>
        <v>0</v>
      </c>
      <c r="S2564">
        <f>Data!M2580</f>
        <v>0</v>
      </c>
      <c r="T2564">
        <f>Data!N2580</f>
        <v>0</v>
      </c>
      <c r="U2564">
        <f>Data!O2580</f>
        <v>0</v>
      </c>
      <c r="V2564" s="33">
        <f>Data!P2578</f>
        <v>0</v>
      </c>
    </row>
    <row r="2565" spans="7:22" x14ac:dyDescent="0.25">
      <c r="G2565" cm="1">
        <f t="array" aca="1" ref="G2565" ca="1">INDIRECT("Data!A" &amp; 2560)</f>
        <v>0</v>
      </c>
      <c r="H2565" s="21">
        <f>Data!B2577</f>
        <v>0</v>
      </c>
      <c r="I2565" s="21">
        <f>Data!C2577</f>
        <v>0</v>
      </c>
      <c r="J2565">
        <f>Data!D2577</f>
        <v>0</v>
      </c>
      <c r="K2565">
        <f>Data!E2577</f>
        <v>0</v>
      </c>
      <c r="L2565">
        <f>Data!F2577</f>
        <v>0</v>
      </c>
      <c r="M2565">
        <f>Data!G2577</f>
        <v>0</v>
      </c>
      <c r="N2565">
        <f>Data!H2577</f>
        <v>0</v>
      </c>
      <c r="O2565">
        <f>Data!I2577</f>
        <v>0</v>
      </c>
      <c r="P2565" s="21">
        <f>Data!J2581</f>
        <v>0</v>
      </c>
      <c r="Q2565">
        <f>Data!K2581</f>
        <v>0</v>
      </c>
      <c r="R2565">
        <f>Data!L2581</f>
        <v>0</v>
      </c>
      <c r="S2565">
        <f>Data!M2581</f>
        <v>0</v>
      </c>
      <c r="T2565">
        <f>Data!N2581</f>
        <v>0</v>
      </c>
      <c r="U2565">
        <f>Data!O2581</f>
        <v>0</v>
      </c>
      <c r="V2565" s="33">
        <f>Data!P2579</f>
        <v>0</v>
      </c>
    </row>
    <row r="2566" spans="7:22" x14ac:dyDescent="0.25">
      <c r="G2566" cm="1">
        <f t="array" aca="1" ref="G2566" ca="1">INDIRECT("Data!A" &amp; 2561)</f>
        <v>0</v>
      </c>
      <c r="H2566" s="21">
        <f>Data!B2578</f>
        <v>0</v>
      </c>
      <c r="I2566" s="21">
        <f>Data!C2578</f>
        <v>0</v>
      </c>
      <c r="J2566">
        <f>Data!D2578</f>
        <v>0</v>
      </c>
      <c r="K2566">
        <f>Data!E2578</f>
        <v>0</v>
      </c>
      <c r="L2566">
        <f>Data!F2578</f>
        <v>0</v>
      </c>
      <c r="M2566">
        <f>Data!G2578</f>
        <v>0</v>
      </c>
      <c r="N2566">
        <f>Data!H2578</f>
        <v>0</v>
      </c>
      <c r="O2566">
        <f>Data!I2578</f>
        <v>0</v>
      </c>
      <c r="P2566" s="21">
        <f>Data!J2582</f>
        <v>0</v>
      </c>
      <c r="Q2566">
        <f>Data!K2582</f>
        <v>0</v>
      </c>
      <c r="R2566">
        <f>Data!L2582</f>
        <v>0</v>
      </c>
      <c r="S2566">
        <f>Data!M2582</f>
        <v>0</v>
      </c>
      <c r="T2566">
        <f>Data!N2582</f>
        <v>0</v>
      </c>
      <c r="U2566">
        <f>Data!O2582</f>
        <v>0</v>
      </c>
      <c r="V2566" s="33">
        <f>Data!P2580</f>
        <v>0</v>
      </c>
    </row>
    <row r="2567" spans="7:22" x14ac:dyDescent="0.25">
      <c r="G2567" cm="1">
        <f t="array" aca="1" ref="G2567" ca="1">INDIRECT("Data!A" &amp; 2562)</f>
        <v>0</v>
      </c>
      <c r="H2567" s="21">
        <f>Data!B2579</f>
        <v>0</v>
      </c>
      <c r="I2567" s="21">
        <f>Data!C2579</f>
        <v>0</v>
      </c>
      <c r="J2567">
        <f>Data!D2579</f>
        <v>0</v>
      </c>
      <c r="K2567">
        <f>Data!E2579</f>
        <v>0</v>
      </c>
      <c r="L2567">
        <f>Data!F2579</f>
        <v>0</v>
      </c>
      <c r="M2567">
        <f>Data!G2579</f>
        <v>0</v>
      </c>
      <c r="N2567">
        <f>Data!H2579</f>
        <v>0</v>
      </c>
      <c r="O2567">
        <f>Data!I2579</f>
        <v>0</v>
      </c>
      <c r="P2567" s="21">
        <f>Data!J2583</f>
        <v>0</v>
      </c>
      <c r="Q2567">
        <f>Data!K2583</f>
        <v>0</v>
      </c>
      <c r="R2567">
        <f>Data!L2583</f>
        <v>0</v>
      </c>
      <c r="S2567">
        <f>Data!M2583</f>
        <v>0</v>
      </c>
      <c r="T2567">
        <f>Data!N2583</f>
        <v>0</v>
      </c>
      <c r="U2567">
        <f>Data!O2583</f>
        <v>0</v>
      </c>
      <c r="V2567" s="33">
        <f>Data!P2581</f>
        <v>0</v>
      </c>
    </row>
    <row r="2568" spans="7:22" x14ac:dyDescent="0.25">
      <c r="G2568" cm="1">
        <f t="array" aca="1" ref="G2568" ca="1">INDIRECT("Data!A" &amp; 2563)</f>
        <v>0</v>
      </c>
      <c r="H2568" s="21">
        <f>Data!B2580</f>
        <v>0</v>
      </c>
      <c r="I2568" s="21">
        <f>Data!C2580</f>
        <v>0</v>
      </c>
      <c r="J2568">
        <f>Data!D2580</f>
        <v>0</v>
      </c>
      <c r="K2568">
        <f>Data!E2580</f>
        <v>0</v>
      </c>
      <c r="L2568">
        <f>Data!F2580</f>
        <v>0</v>
      </c>
      <c r="M2568">
        <f>Data!G2580</f>
        <v>0</v>
      </c>
      <c r="N2568">
        <f>Data!H2580</f>
        <v>0</v>
      </c>
      <c r="O2568">
        <f>Data!I2580</f>
        <v>0</v>
      </c>
      <c r="P2568" s="21">
        <f>Data!J2584</f>
        <v>0</v>
      </c>
      <c r="Q2568">
        <f>Data!K2584</f>
        <v>0</v>
      </c>
      <c r="R2568">
        <f>Data!L2584</f>
        <v>0</v>
      </c>
      <c r="S2568">
        <f>Data!M2584</f>
        <v>0</v>
      </c>
      <c r="T2568">
        <f>Data!N2584</f>
        <v>0</v>
      </c>
      <c r="U2568">
        <f>Data!O2584</f>
        <v>0</v>
      </c>
      <c r="V2568" s="33">
        <f>Data!P2582</f>
        <v>0</v>
      </c>
    </row>
    <row r="2569" spans="7:22" x14ac:dyDescent="0.25">
      <c r="G2569" cm="1">
        <f t="array" aca="1" ref="G2569" ca="1">INDIRECT("Data!A" &amp; 2564)</f>
        <v>0</v>
      </c>
      <c r="H2569" s="21">
        <f>Data!B2581</f>
        <v>0</v>
      </c>
      <c r="I2569" s="21">
        <f>Data!C2581</f>
        <v>0</v>
      </c>
      <c r="J2569">
        <f>Data!D2581</f>
        <v>0</v>
      </c>
      <c r="K2569">
        <f>Data!E2581</f>
        <v>0</v>
      </c>
      <c r="L2569">
        <f>Data!F2581</f>
        <v>0</v>
      </c>
      <c r="M2569">
        <f>Data!G2581</f>
        <v>0</v>
      </c>
      <c r="N2569">
        <f>Data!H2581</f>
        <v>0</v>
      </c>
      <c r="O2569">
        <f>Data!I2581</f>
        <v>0</v>
      </c>
      <c r="P2569" s="21">
        <f>Data!J2585</f>
        <v>0</v>
      </c>
      <c r="Q2569">
        <f>Data!K2585</f>
        <v>0</v>
      </c>
      <c r="R2569">
        <f>Data!L2585</f>
        <v>0</v>
      </c>
      <c r="S2569">
        <f>Data!M2585</f>
        <v>0</v>
      </c>
      <c r="T2569">
        <f>Data!N2585</f>
        <v>0</v>
      </c>
      <c r="U2569">
        <f>Data!O2585</f>
        <v>0</v>
      </c>
      <c r="V2569" s="33">
        <f>Data!P2583</f>
        <v>0</v>
      </c>
    </row>
    <row r="2570" spans="7:22" x14ac:dyDescent="0.25">
      <c r="G2570" cm="1">
        <f t="array" aca="1" ref="G2570" ca="1">INDIRECT("Data!A" &amp; 2565)</f>
        <v>0</v>
      </c>
      <c r="H2570" s="21">
        <f>Data!B2582</f>
        <v>0</v>
      </c>
      <c r="I2570" s="21">
        <f>Data!C2582</f>
        <v>0</v>
      </c>
      <c r="J2570">
        <f>Data!D2582</f>
        <v>0</v>
      </c>
      <c r="K2570">
        <f>Data!E2582</f>
        <v>0</v>
      </c>
      <c r="L2570">
        <f>Data!F2582</f>
        <v>0</v>
      </c>
      <c r="M2570">
        <f>Data!G2582</f>
        <v>0</v>
      </c>
      <c r="N2570">
        <f>Data!H2582</f>
        <v>0</v>
      </c>
      <c r="O2570">
        <f>Data!I2582</f>
        <v>0</v>
      </c>
      <c r="P2570" s="21">
        <f>Data!J2586</f>
        <v>0</v>
      </c>
      <c r="Q2570">
        <f>Data!K2586</f>
        <v>0</v>
      </c>
      <c r="R2570">
        <f>Data!L2586</f>
        <v>0</v>
      </c>
      <c r="S2570">
        <f>Data!M2586</f>
        <v>0</v>
      </c>
      <c r="T2570">
        <f>Data!N2586</f>
        <v>0</v>
      </c>
      <c r="U2570">
        <f>Data!O2586</f>
        <v>0</v>
      </c>
      <c r="V2570" s="33">
        <f>Data!P2584</f>
        <v>0</v>
      </c>
    </row>
    <row r="2571" spans="7:22" x14ac:dyDescent="0.25">
      <c r="G2571" cm="1">
        <f t="array" aca="1" ref="G2571" ca="1">INDIRECT("Data!A" &amp; 2566)</f>
        <v>0</v>
      </c>
      <c r="H2571" s="21">
        <f>Data!B2583</f>
        <v>0</v>
      </c>
      <c r="I2571" s="21">
        <f>Data!C2583</f>
        <v>0</v>
      </c>
      <c r="J2571">
        <f>Data!D2583</f>
        <v>0</v>
      </c>
      <c r="K2571">
        <f>Data!E2583</f>
        <v>0</v>
      </c>
      <c r="L2571">
        <f>Data!F2583</f>
        <v>0</v>
      </c>
      <c r="M2571">
        <f>Data!G2583</f>
        <v>0</v>
      </c>
      <c r="N2571">
        <f>Data!H2583</f>
        <v>0</v>
      </c>
      <c r="O2571">
        <f>Data!I2583</f>
        <v>0</v>
      </c>
      <c r="P2571" s="21">
        <f>Data!J2587</f>
        <v>0</v>
      </c>
      <c r="Q2571">
        <f>Data!K2587</f>
        <v>0</v>
      </c>
      <c r="R2571">
        <f>Data!L2587</f>
        <v>0</v>
      </c>
      <c r="S2571">
        <f>Data!M2587</f>
        <v>0</v>
      </c>
      <c r="T2571">
        <f>Data!N2587</f>
        <v>0</v>
      </c>
      <c r="U2571">
        <f>Data!O2587</f>
        <v>0</v>
      </c>
      <c r="V2571" s="33">
        <f>Data!P2585</f>
        <v>0</v>
      </c>
    </row>
    <row r="2572" spans="7:22" x14ac:dyDescent="0.25">
      <c r="G2572" cm="1">
        <f t="array" aca="1" ref="G2572" ca="1">INDIRECT("Data!A" &amp; 2567)</f>
        <v>0</v>
      </c>
      <c r="H2572" s="21">
        <f>Data!B2584</f>
        <v>0</v>
      </c>
      <c r="I2572" s="21">
        <f>Data!C2584</f>
        <v>0</v>
      </c>
      <c r="J2572">
        <f>Data!D2584</f>
        <v>0</v>
      </c>
      <c r="K2572">
        <f>Data!E2584</f>
        <v>0</v>
      </c>
      <c r="L2572">
        <f>Data!F2584</f>
        <v>0</v>
      </c>
      <c r="M2572">
        <f>Data!G2584</f>
        <v>0</v>
      </c>
      <c r="N2572">
        <f>Data!H2584</f>
        <v>0</v>
      </c>
      <c r="O2572">
        <f>Data!I2584</f>
        <v>0</v>
      </c>
      <c r="P2572" s="21">
        <f>Data!J2588</f>
        <v>0</v>
      </c>
      <c r="Q2572">
        <f>Data!K2588</f>
        <v>0</v>
      </c>
      <c r="R2572">
        <f>Data!L2588</f>
        <v>0</v>
      </c>
      <c r="S2572">
        <f>Data!M2588</f>
        <v>0</v>
      </c>
      <c r="T2572">
        <f>Data!N2588</f>
        <v>0</v>
      </c>
      <c r="U2572">
        <f>Data!O2588</f>
        <v>0</v>
      </c>
      <c r="V2572" s="33">
        <f>Data!P2586</f>
        <v>0</v>
      </c>
    </row>
    <row r="2573" spans="7:22" x14ac:dyDescent="0.25">
      <c r="G2573" cm="1">
        <f t="array" aca="1" ref="G2573" ca="1">INDIRECT("Data!A" &amp; 2568)</f>
        <v>0</v>
      </c>
      <c r="H2573" s="21">
        <f>Data!B2585</f>
        <v>0</v>
      </c>
      <c r="I2573" s="21">
        <f>Data!C2585</f>
        <v>0</v>
      </c>
      <c r="J2573">
        <f>Data!D2585</f>
        <v>0</v>
      </c>
      <c r="K2573">
        <f>Data!E2585</f>
        <v>0</v>
      </c>
      <c r="L2573">
        <f>Data!F2585</f>
        <v>0</v>
      </c>
      <c r="M2573">
        <f>Data!G2585</f>
        <v>0</v>
      </c>
      <c r="N2573">
        <f>Data!H2585</f>
        <v>0</v>
      </c>
      <c r="O2573">
        <f>Data!I2585</f>
        <v>0</v>
      </c>
      <c r="P2573" s="21">
        <f>Data!J2589</f>
        <v>0</v>
      </c>
      <c r="Q2573">
        <f>Data!K2589</f>
        <v>0</v>
      </c>
      <c r="R2573">
        <f>Data!L2589</f>
        <v>0</v>
      </c>
      <c r="S2573">
        <f>Data!M2589</f>
        <v>0</v>
      </c>
      <c r="T2573">
        <f>Data!N2589</f>
        <v>0</v>
      </c>
      <c r="U2573">
        <f>Data!O2589</f>
        <v>0</v>
      </c>
      <c r="V2573" s="33">
        <f>Data!P2587</f>
        <v>0</v>
      </c>
    </row>
    <row r="2574" spans="7:22" x14ac:dyDescent="0.25">
      <c r="G2574" cm="1">
        <f t="array" aca="1" ref="G2574" ca="1">INDIRECT("Data!A" &amp; 2569)</f>
        <v>0</v>
      </c>
      <c r="H2574" s="21">
        <f>Data!B2586</f>
        <v>0</v>
      </c>
      <c r="I2574" s="21">
        <f>Data!C2586</f>
        <v>0</v>
      </c>
      <c r="J2574">
        <f>Data!D2586</f>
        <v>0</v>
      </c>
      <c r="K2574">
        <f>Data!E2586</f>
        <v>0</v>
      </c>
      <c r="L2574">
        <f>Data!F2586</f>
        <v>0</v>
      </c>
      <c r="M2574">
        <f>Data!G2586</f>
        <v>0</v>
      </c>
      <c r="N2574">
        <f>Data!H2586</f>
        <v>0</v>
      </c>
      <c r="O2574">
        <f>Data!I2586</f>
        <v>0</v>
      </c>
      <c r="P2574" s="21">
        <f>Data!J2590</f>
        <v>0</v>
      </c>
      <c r="Q2574">
        <f>Data!K2590</f>
        <v>0</v>
      </c>
      <c r="R2574">
        <f>Data!L2590</f>
        <v>0</v>
      </c>
      <c r="S2574">
        <f>Data!M2590</f>
        <v>0</v>
      </c>
      <c r="T2574">
        <f>Data!N2590</f>
        <v>0</v>
      </c>
      <c r="U2574">
        <f>Data!O2590</f>
        <v>0</v>
      </c>
      <c r="V2574" s="33">
        <f>Data!P2588</f>
        <v>0</v>
      </c>
    </row>
    <row r="2575" spans="7:22" x14ac:dyDescent="0.25">
      <c r="G2575" cm="1">
        <f t="array" aca="1" ref="G2575" ca="1">INDIRECT("Data!A" &amp; 2570)</f>
        <v>0</v>
      </c>
      <c r="H2575" s="21">
        <f>Data!B2587</f>
        <v>0</v>
      </c>
      <c r="I2575" s="21">
        <f>Data!C2587</f>
        <v>0</v>
      </c>
      <c r="J2575">
        <f>Data!D2587</f>
        <v>0</v>
      </c>
      <c r="K2575">
        <f>Data!E2587</f>
        <v>0</v>
      </c>
      <c r="L2575">
        <f>Data!F2587</f>
        <v>0</v>
      </c>
      <c r="M2575">
        <f>Data!G2587</f>
        <v>0</v>
      </c>
      <c r="N2575">
        <f>Data!H2587</f>
        <v>0</v>
      </c>
      <c r="O2575">
        <f>Data!I2587</f>
        <v>0</v>
      </c>
      <c r="P2575" s="21">
        <f>Data!J2591</f>
        <v>0</v>
      </c>
      <c r="Q2575">
        <f>Data!K2591</f>
        <v>0</v>
      </c>
      <c r="R2575">
        <f>Data!L2591</f>
        <v>0</v>
      </c>
      <c r="S2575">
        <f>Data!M2591</f>
        <v>0</v>
      </c>
      <c r="T2575">
        <f>Data!N2591</f>
        <v>0</v>
      </c>
      <c r="U2575">
        <f>Data!O2591</f>
        <v>0</v>
      </c>
      <c r="V2575" s="33">
        <f>Data!P2589</f>
        <v>0</v>
      </c>
    </row>
    <row r="2576" spans="7:22" x14ac:dyDescent="0.25">
      <c r="G2576" cm="1">
        <f t="array" aca="1" ref="G2576" ca="1">INDIRECT("Data!A" &amp; 2571)</f>
        <v>0</v>
      </c>
      <c r="H2576" s="21">
        <f>Data!B2588</f>
        <v>0</v>
      </c>
      <c r="I2576" s="21">
        <f>Data!C2588</f>
        <v>0</v>
      </c>
      <c r="J2576">
        <f>Data!D2588</f>
        <v>0</v>
      </c>
      <c r="K2576">
        <f>Data!E2588</f>
        <v>0</v>
      </c>
      <c r="L2576">
        <f>Data!F2588</f>
        <v>0</v>
      </c>
      <c r="M2576">
        <f>Data!G2588</f>
        <v>0</v>
      </c>
      <c r="N2576">
        <f>Data!H2588</f>
        <v>0</v>
      </c>
      <c r="O2576">
        <f>Data!I2588</f>
        <v>0</v>
      </c>
      <c r="P2576" s="21">
        <f>Data!J2592</f>
        <v>0</v>
      </c>
      <c r="Q2576">
        <f>Data!K2592</f>
        <v>0</v>
      </c>
      <c r="R2576">
        <f>Data!L2592</f>
        <v>0</v>
      </c>
      <c r="S2576">
        <f>Data!M2592</f>
        <v>0</v>
      </c>
      <c r="T2576">
        <f>Data!N2592</f>
        <v>0</v>
      </c>
      <c r="U2576">
        <f>Data!O2592</f>
        <v>0</v>
      </c>
      <c r="V2576" s="33">
        <f>Data!P2590</f>
        <v>0</v>
      </c>
    </row>
    <row r="2577" spans="7:22" x14ac:dyDescent="0.25">
      <c r="G2577" cm="1">
        <f t="array" aca="1" ref="G2577" ca="1">INDIRECT("Data!A" &amp; 2572)</f>
        <v>0</v>
      </c>
      <c r="H2577" s="21">
        <f>Data!B2589</f>
        <v>0</v>
      </c>
      <c r="I2577" s="21">
        <f>Data!C2589</f>
        <v>0</v>
      </c>
      <c r="J2577">
        <f>Data!D2589</f>
        <v>0</v>
      </c>
      <c r="K2577">
        <f>Data!E2589</f>
        <v>0</v>
      </c>
      <c r="L2577">
        <f>Data!F2589</f>
        <v>0</v>
      </c>
      <c r="M2577">
        <f>Data!G2589</f>
        <v>0</v>
      </c>
      <c r="N2577">
        <f>Data!H2589</f>
        <v>0</v>
      </c>
      <c r="O2577">
        <f>Data!I2589</f>
        <v>0</v>
      </c>
      <c r="P2577" s="21">
        <f>Data!J2593</f>
        <v>0</v>
      </c>
      <c r="Q2577">
        <f>Data!K2593</f>
        <v>0</v>
      </c>
      <c r="R2577">
        <f>Data!L2593</f>
        <v>0</v>
      </c>
      <c r="S2577">
        <f>Data!M2593</f>
        <v>0</v>
      </c>
      <c r="T2577">
        <f>Data!N2593</f>
        <v>0</v>
      </c>
      <c r="U2577">
        <f>Data!O2593</f>
        <v>0</v>
      </c>
      <c r="V2577" s="33">
        <f>Data!P2591</f>
        <v>0</v>
      </c>
    </row>
    <row r="2578" spans="7:22" x14ac:dyDescent="0.25">
      <c r="G2578" cm="1">
        <f t="array" aca="1" ref="G2578" ca="1">INDIRECT("Data!A" &amp; 2573)</f>
        <v>0</v>
      </c>
      <c r="H2578" s="21">
        <f>Data!B2590</f>
        <v>0</v>
      </c>
      <c r="I2578" s="21">
        <f>Data!C2590</f>
        <v>0</v>
      </c>
      <c r="J2578">
        <f>Data!D2590</f>
        <v>0</v>
      </c>
      <c r="K2578">
        <f>Data!E2590</f>
        <v>0</v>
      </c>
      <c r="L2578">
        <f>Data!F2590</f>
        <v>0</v>
      </c>
      <c r="M2578">
        <f>Data!G2590</f>
        <v>0</v>
      </c>
      <c r="N2578">
        <f>Data!H2590</f>
        <v>0</v>
      </c>
      <c r="O2578">
        <f>Data!I2590</f>
        <v>0</v>
      </c>
      <c r="P2578" s="21">
        <f>Data!J2594</f>
        <v>0</v>
      </c>
      <c r="Q2578">
        <f>Data!K2594</f>
        <v>0</v>
      </c>
      <c r="R2578">
        <f>Data!L2594</f>
        <v>0</v>
      </c>
      <c r="S2578">
        <f>Data!M2594</f>
        <v>0</v>
      </c>
      <c r="T2578">
        <f>Data!N2594</f>
        <v>0</v>
      </c>
      <c r="U2578">
        <f>Data!O2594</f>
        <v>0</v>
      </c>
      <c r="V2578" s="33">
        <f>Data!P2592</f>
        <v>0</v>
      </c>
    </row>
    <row r="2579" spans="7:22" x14ac:dyDescent="0.25">
      <c r="G2579" cm="1">
        <f t="array" aca="1" ref="G2579" ca="1">INDIRECT("Data!A" &amp; 2574)</f>
        <v>0</v>
      </c>
      <c r="H2579" s="21">
        <f>Data!B2591</f>
        <v>0</v>
      </c>
      <c r="I2579" s="21">
        <f>Data!C2591</f>
        <v>0</v>
      </c>
      <c r="J2579">
        <f>Data!D2591</f>
        <v>0</v>
      </c>
      <c r="K2579">
        <f>Data!E2591</f>
        <v>0</v>
      </c>
      <c r="L2579">
        <f>Data!F2591</f>
        <v>0</v>
      </c>
      <c r="M2579">
        <f>Data!G2591</f>
        <v>0</v>
      </c>
      <c r="N2579">
        <f>Data!H2591</f>
        <v>0</v>
      </c>
      <c r="O2579">
        <f>Data!I2591</f>
        <v>0</v>
      </c>
      <c r="P2579" s="21">
        <f>Data!J2595</f>
        <v>0</v>
      </c>
      <c r="Q2579">
        <f>Data!K2595</f>
        <v>0</v>
      </c>
      <c r="R2579">
        <f>Data!L2595</f>
        <v>0</v>
      </c>
      <c r="S2579">
        <f>Data!M2595</f>
        <v>0</v>
      </c>
      <c r="T2579">
        <f>Data!N2595</f>
        <v>0</v>
      </c>
      <c r="U2579">
        <f>Data!O2595</f>
        <v>0</v>
      </c>
      <c r="V2579" s="33">
        <f>Data!P2593</f>
        <v>0</v>
      </c>
    </row>
    <row r="2580" spans="7:22" x14ac:dyDescent="0.25">
      <c r="G2580" cm="1">
        <f t="array" aca="1" ref="G2580" ca="1">INDIRECT("Data!A" &amp; 2575)</f>
        <v>0</v>
      </c>
      <c r="H2580" s="21">
        <f>Data!B2592</f>
        <v>0</v>
      </c>
      <c r="I2580" s="21">
        <f>Data!C2592</f>
        <v>0</v>
      </c>
      <c r="J2580">
        <f>Data!D2592</f>
        <v>0</v>
      </c>
      <c r="K2580">
        <f>Data!E2592</f>
        <v>0</v>
      </c>
      <c r="L2580">
        <f>Data!F2592</f>
        <v>0</v>
      </c>
      <c r="M2580">
        <f>Data!G2592</f>
        <v>0</v>
      </c>
      <c r="N2580">
        <f>Data!H2592</f>
        <v>0</v>
      </c>
      <c r="O2580">
        <f>Data!I2592</f>
        <v>0</v>
      </c>
      <c r="P2580" s="21">
        <f>Data!J2596</f>
        <v>0</v>
      </c>
      <c r="Q2580">
        <f>Data!K2596</f>
        <v>0</v>
      </c>
      <c r="R2580">
        <f>Data!L2596</f>
        <v>0</v>
      </c>
      <c r="S2580">
        <f>Data!M2596</f>
        <v>0</v>
      </c>
      <c r="T2580">
        <f>Data!N2596</f>
        <v>0</v>
      </c>
      <c r="U2580">
        <f>Data!O2596</f>
        <v>0</v>
      </c>
      <c r="V2580" s="33">
        <f>Data!P2594</f>
        <v>0</v>
      </c>
    </row>
    <row r="2581" spans="7:22" x14ac:dyDescent="0.25">
      <c r="G2581" cm="1">
        <f t="array" aca="1" ref="G2581" ca="1">INDIRECT("Data!A" &amp; 2576)</f>
        <v>0</v>
      </c>
      <c r="H2581" s="21">
        <f>Data!B2593</f>
        <v>0</v>
      </c>
      <c r="I2581" s="21">
        <f>Data!C2593</f>
        <v>0</v>
      </c>
      <c r="J2581">
        <f>Data!D2593</f>
        <v>0</v>
      </c>
      <c r="K2581">
        <f>Data!E2593</f>
        <v>0</v>
      </c>
      <c r="L2581">
        <f>Data!F2593</f>
        <v>0</v>
      </c>
      <c r="M2581">
        <f>Data!G2593</f>
        <v>0</v>
      </c>
      <c r="N2581">
        <f>Data!H2593</f>
        <v>0</v>
      </c>
      <c r="O2581">
        <f>Data!I2593</f>
        <v>0</v>
      </c>
      <c r="P2581" s="21">
        <f>Data!J2597</f>
        <v>0</v>
      </c>
      <c r="Q2581">
        <f>Data!K2597</f>
        <v>0</v>
      </c>
      <c r="R2581">
        <f>Data!L2597</f>
        <v>0</v>
      </c>
      <c r="S2581">
        <f>Data!M2597</f>
        <v>0</v>
      </c>
      <c r="T2581">
        <f>Data!N2597</f>
        <v>0</v>
      </c>
      <c r="U2581">
        <f>Data!O2597</f>
        <v>0</v>
      </c>
      <c r="V2581" s="33">
        <f>Data!P2595</f>
        <v>0</v>
      </c>
    </row>
    <row r="2582" spans="7:22" x14ac:dyDescent="0.25">
      <c r="G2582" cm="1">
        <f t="array" aca="1" ref="G2582" ca="1">INDIRECT("Data!A" &amp; 2577)</f>
        <v>0</v>
      </c>
      <c r="H2582" s="21">
        <f>Data!B2594</f>
        <v>0</v>
      </c>
      <c r="I2582" s="21">
        <f>Data!C2594</f>
        <v>0</v>
      </c>
      <c r="J2582">
        <f>Data!D2594</f>
        <v>0</v>
      </c>
      <c r="K2582">
        <f>Data!E2594</f>
        <v>0</v>
      </c>
      <c r="L2582">
        <f>Data!F2594</f>
        <v>0</v>
      </c>
      <c r="M2582">
        <f>Data!G2594</f>
        <v>0</v>
      </c>
      <c r="N2582">
        <f>Data!H2594</f>
        <v>0</v>
      </c>
      <c r="O2582">
        <f>Data!I2594</f>
        <v>0</v>
      </c>
      <c r="P2582" s="21">
        <f>Data!J2598</f>
        <v>0</v>
      </c>
      <c r="Q2582">
        <f>Data!K2598</f>
        <v>0</v>
      </c>
      <c r="R2582">
        <f>Data!L2598</f>
        <v>0</v>
      </c>
      <c r="S2582">
        <f>Data!M2598</f>
        <v>0</v>
      </c>
      <c r="T2582">
        <f>Data!N2598</f>
        <v>0</v>
      </c>
      <c r="U2582">
        <f>Data!O2598</f>
        <v>0</v>
      </c>
      <c r="V2582" s="33">
        <f>Data!P2596</f>
        <v>0</v>
      </c>
    </row>
    <row r="2583" spans="7:22" x14ac:dyDescent="0.25">
      <c r="G2583" cm="1">
        <f t="array" aca="1" ref="G2583" ca="1">INDIRECT("Data!A" &amp; 2578)</f>
        <v>0</v>
      </c>
      <c r="H2583" s="21">
        <f>Data!B2595</f>
        <v>0</v>
      </c>
      <c r="I2583" s="21">
        <f>Data!C2595</f>
        <v>0</v>
      </c>
      <c r="J2583">
        <f>Data!D2595</f>
        <v>0</v>
      </c>
      <c r="K2583">
        <f>Data!E2595</f>
        <v>0</v>
      </c>
      <c r="L2583">
        <f>Data!F2595</f>
        <v>0</v>
      </c>
      <c r="M2583">
        <f>Data!G2595</f>
        <v>0</v>
      </c>
      <c r="N2583">
        <f>Data!H2595</f>
        <v>0</v>
      </c>
      <c r="O2583">
        <f>Data!I2595</f>
        <v>0</v>
      </c>
      <c r="P2583" s="21">
        <f>Data!J2599</f>
        <v>0</v>
      </c>
      <c r="Q2583">
        <f>Data!K2599</f>
        <v>0</v>
      </c>
      <c r="R2583">
        <f>Data!L2599</f>
        <v>0</v>
      </c>
      <c r="S2583">
        <f>Data!M2599</f>
        <v>0</v>
      </c>
      <c r="T2583">
        <f>Data!N2599</f>
        <v>0</v>
      </c>
      <c r="U2583">
        <f>Data!O2599</f>
        <v>0</v>
      </c>
      <c r="V2583" s="33">
        <f>Data!P2597</f>
        <v>0</v>
      </c>
    </row>
    <row r="2584" spans="7:22" x14ac:dyDescent="0.25">
      <c r="G2584" cm="1">
        <f t="array" aca="1" ref="G2584" ca="1">INDIRECT("Data!A" &amp; 2579)</f>
        <v>0</v>
      </c>
      <c r="H2584" s="21">
        <f>Data!B2596</f>
        <v>0</v>
      </c>
      <c r="I2584" s="21">
        <f>Data!C2596</f>
        <v>0</v>
      </c>
      <c r="J2584">
        <f>Data!D2596</f>
        <v>0</v>
      </c>
      <c r="K2584">
        <f>Data!E2596</f>
        <v>0</v>
      </c>
      <c r="L2584">
        <f>Data!F2596</f>
        <v>0</v>
      </c>
      <c r="M2584">
        <f>Data!G2596</f>
        <v>0</v>
      </c>
      <c r="N2584">
        <f>Data!H2596</f>
        <v>0</v>
      </c>
      <c r="O2584">
        <f>Data!I2596</f>
        <v>0</v>
      </c>
      <c r="P2584" s="21">
        <f>Data!J2600</f>
        <v>0</v>
      </c>
      <c r="Q2584">
        <f>Data!K2600</f>
        <v>0</v>
      </c>
      <c r="R2584">
        <f>Data!L2600</f>
        <v>0</v>
      </c>
      <c r="S2584">
        <f>Data!M2600</f>
        <v>0</v>
      </c>
      <c r="T2584">
        <f>Data!N2600</f>
        <v>0</v>
      </c>
      <c r="U2584">
        <f>Data!O2600</f>
        <v>0</v>
      </c>
      <c r="V2584" s="33">
        <f>Data!P2598</f>
        <v>0</v>
      </c>
    </row>
    <row r="2585" spans="7:22" x14ac:dyDescent="0.25">
      <c r="G2585" cm="1">
        <f t="array" aca="1" ref="G2585" ca="1">INDIRECT("Data!A" &amp; 2580)</f>
        <v>0</v>
      </c>
      <c r="H2585" s="21">
        <f>Data!B2597</f>
        <v>0</v>
      </c>
      <c r="I2585" s="21">
        <f>Data!C2597</f>
        <v>0</v>
      </c>
      <c r="J2585">
        <f>Data!D2597</f>
        <v>0</v>
      </c>
      <c r="K2585">
        <f>Data!E2597</f>
        <v>0</v>
      </c>
      <c r="L2585">
        <f>Data!F2597</f>
        <v>0</v>
      </c>
      <c r="M2585">
        <f>Data!G2597</f>
        <v>0</v>
      </c>
      <c r="N2585">
        <f>Data!H2597</f>
        <v>0</v>
      </c>
      <c r="O2585">
        <f>Data!I2597</f>
        <v>0</v>
      </c>
      <c r="P2585" s="21">
        <f>Data!J2601</f>
        <v>0</v>
      </c>
      <c r="Q2585">
        <f>Data!K2601</f>
        <v>0</v>
      </c>
      <c r="R2585">
        <f>Data!L2601</f>
        <v>0</v>
      </c>
      <c r="S2585">
        <f>Data!M2601</f>
        <v>0</v>
      </c>
      <c r="T2585">
        <f>Data!N2601</f>
        <v>0</v>
      </c>
      <c r="U2585">
        <f>Data!O2601</f>
        <v>0</v>
      </c>
      <c r="V2585" s="33">
        <f>Data!P2599</f>
        <v>0</v>
      </c>
    </row>
    <row r="2586" spans="7:22" x14ac:dyDescent="0.25">
      <c r="G2586" cm="1">
        <f t="array" aca="1" ref="G2586" ca="1">INDIRECT("Data!A" &amp; 2581)</f>
        <v>0</v>
      </c>
      <c r="H2586" s="21">
        <f>Data!B2598</f>
        <v>0</v>
      </c>
      <c r="I2586" s="21">
        <f>Data!C2598</f>
        <v>0</v>
      </c>
      <c r="J2586">
        <f>Data!D2598</f>
        <v>0</v>
      </c>
      <c r="K2586">
        <f>Data!E2598</f>
        <v>0</v>
      </c>
      <c r="L2586">
        <f>Data!F2598</f>
        <v>0</v>
      </c>
      <c r="M2586">
        <f>Data!G2598</f>
        <v>0</v>
      </c>
      <c r="N2586">
        <f>Data!H2598</f>
        <v>0</v>
      </c>
      <c r="O2586">
        <f>Data!I2598</f>
        <v>0</v>
      </c>
      <c r="P2586" s="21">
        <f>Data!J2602</f>
        <v>0</v>
      </c>
      <c r="Q2586">
        <f>Data!K2602</f>
        <v>0</v>
      </c>
      <c r="R2586">
        <f>Data!L2602</f>
        <v>0</v>
      </c>
      <c r="S2586">
        <f>Data!M2602</f>
        <v>0</v>
      </c>
      <c r="T2586">
        <f>Data!N2602</f>
        <v>0</v>
      </c>
      <c r="U2586">
        <f>Data!O2602</f>
        <v>0</v>
      </c>
      <c r="V2586" s="33">
        <f>Data!P2600</f>
        <v>0</v>
      </c>
    </row>
    <row r="2587" spans="7:22" x14ac:dyDescent="0.25">
      <c r="G2587" cm="1">
        <f t="array" aca="1" ref="G2587" ca="1">INDIRECT("Data!A" &amp; 2582)</f>
        <v>0</v>
      </c>
      <c r="H2587" s="21">
        <f>Data!B2599</f>
        <v>0</v>
      </c>
      <c r="I2587" s="21">
        <f>Data!C2599</f>
        <v>0</v>
      </c>
      <c r="J2587">
        <f>Data!D2599</f>
        <v>0</v>
      </c>
      <c r="K2587">
        <f>Data!E2599</f>
        <v>0</v>
      </c>
      <c r="L2587">
        <f>Data!F2599</f>
        <v>0</v>
      </c>
      <c r="M2587">
        <f>Data!G2599</f>
        <v>0</v>
      </c>
      <c r="N2587">
        <f>Data!H2599</f>
        <v>0</v>
      </c>
      <c r="O2587">
        <f>Data!I2599</f>
        <v>0</v>
      </c>
      <c r="P2587" s="21">
        <f>Data!J2603</f>
        <v>0</v>
      </c>
      <c r="Q2587">
        <f>Data!K2603</f>
        <v>0</v>
      </c>
      <c r="R2587">
        <f>Data!L2603</f>
        <v>0</v>
      </c>
      <c r="S2587">
        <f>Data!M2603</f>
        <v>0</v>
      </c>
      <c r="T2587">
        <f>Data!N2603</f>
        <v>0</v>
      </c>
      <c r="U2587">
        <f>Data!O2603</f>
        <v>0</v>
      </c>
      <c r="V2587" s="33">
        <f>Data!P2601</f>
        <v>0</v>
      </c>
    </row>
    <row r="2588" spans="7:22" x14ac:dyDescent="0.25">
      <c r="G2588" cm="1">
        <f t="array" aca="1" ref="G2588" ca="1">INDIRECT("Data!A" &amp; 2583)</f>
        <v>0</v>
      </c>
      <c r="H2588" s="21">
        <f>Data!B2600</f>
        <v>0</v>
      </c>
      <c r="I2588" s="21">
        <f>Data!C2600</f>
        <v>0</v>
      </c>
      <c r="J2588">
        <f>Data!D2600</f>
        <v>0</v>
      </c>
      <c r="K2588">
        <f>Data!E2600</f>
        <v>0</v>
      </c>
      <c r="L2588">
        <f>Data!F2600</f>
        <v>0</v>
      </c>
      <c r="M2588">
        <f>Data!G2600</f>
        <v>0</v>
      </c>
      <c r="N2588">
        <f>Data!H2600</f>
        <v>0</v>
      </c>
      <c r="O2588">
        <f>Data!I2600</f>
        <v>0</v>
      </c>
      <c r="P2588" s="21">
        <f>Data!J2604</f>
        <v>0</v>
      </c>
      <c r="Q2588">
        <f>Data!K2604</f>
        <v>0</v>
      </c>
      <c r="R2588">
        <f>Data!L2604</f>
        <v>0</v>
      </c>
      <c r="S2588">
        <f>Data!M2604</f>
        <v>0</v>
      </c>
      <c r="T2588">
        <f>Data!N2604</f>
        <v>0</v>
      </c>
      <c r="U2588">
        <f>Data!O2604</f>
        <v>0</v>
      </c>
      <c r="V2588" s="33">
        <f>Data!P2602</f>
        <v>0</v>
      </c>
    </row>
    <row r="2589" spans="7:22" x14ac:dyDescent="0.25">
      <c r="G2589" cm="1">
        <f t="array" aca="1" ref="G2589" ca="1">INDIRECT("Data!A" &amp; 2584)</f>
        <v>0</v>
      </c>
      <c r="H2589" s="21">
        <f>Data!B2601</f>
        <v>0</v>
      </c>
      <c r="I2589" s="21">
        <f>Data!C2601</f>
        <v>0</v>
      </c>
      <c r="J2589">
        <f>Data!D2601</f>
        <v>0</v>
      </c>
      <c r="K2589">
        <f>Data!E2601</f>
        <v>0</v>
      </c>
      <c r="L2589">
        <f>Data!F2601</f>
        <v>0</v>
      </c>
      <c r="M2589">
        <f>Data!G2601</f>
        <v>0</v>
      </c>
      <c r="N2589">
        <f>Data!H2601</f>
        <v>0</v>
      </c>
      <c r="O2589">
        <f>Data!I2601</f>
        <v>0</v>
      </c>
      <c r="P2589" s="21">
        <f>Data!J2605</f>
        <v>0</v>
      </c>
      <c r="Q2589">
        <f>Data!K2605</f>
        <v>0</v>
      </c>
      <c r="R2589">
        <f>Data!L2605</f>
        <v>0</v>
      </c>
      <c r="S2589">
        <f>Data!M2605</f>
        <v>0</v>
      </c>
      <c r="T2589">
        <f>Data!N2605</f>
        <v>0</v>
      </c>
      <c r="U2589">
        <f>Data!O2605</f>
        <v>0</v>
      </c>
      <c r="V2589" s="33">
        <f>Data!P2603</f>
        <v>0</v>
      </c>
    </row>
    <row r="2590" spans="7:22" x14ac:dyDescent="0.25">
      <c r="G2590" cm="1">
        <f t="array" aca="1" ref="G2590" ca="1">INDIRECT("Data!A" &amp; 2585)</f>
        <v>0</v>
      </c>
      <c r="H2590" s="21">
        <f>Data!B2602</f>
        <v>0</v>
      </c>
      <c r="I2590" s="21">
        <f>Data!C2602</f>
        <v>0</v>
      </c>
      <c r="J2590">
        <f>Data!D2602</f>
        <v>0</v>
      </c>
      <c r="K2590">
        <f>Data!E2602</f>
        <v>0</v>
      </c>
      <c r="L2590">
        <f>Data!F2602</f>
        <v>0</v>
      </c>
      <c r="M2590">
        <f>Data!G2602</f>
        <v>0</v>
      </c>
      <c r="N2590">
        <f>Data!H2602</f>
        <v>0</v>
      </c>
      <c r="O2590">
        <f>Data!I2602</f>
        <v>0</v>
      </c>
      <c r="P2590" s="21">
        <f>Data!J2606</f>
        <v>0</v>
      </c>
      <c r="Q2590">
        <f>Data!K2606</f>
        <v>0</v>
      </c>
      <c r="R2590">
        <f>Data!L2606</f>
        <v>0</v>
      </c>
      <c r="S2590">
        <f>Data!M2606</f>
        <v>0</v>
      </c>
      <c r="T2590">
        <f>Data!N2606</f>
        <v>0</v>
      </c>
      <c r="U2590">
        <f>Data!O2606</f>
        <v>0</v>
      </c>
      <c r="V2590" s="33">
        <f>Data!P2604</f>
        <v>0</v>
      </c>
    </row>
    <row r="2591" spans="7:22" x14ac:dyDescent="0.25">
      <c r="G2591" cm="1">
        <f t="array" aca="1" ref="G2591" ca="1">INDIRECT("Data!A" &amp; 2586)</f>
        <v>0</v>
      </c>
      <c r="H2591" s="21">
        <f>Data!B2603</f>
        <v>0</v>
      </c>
      <c r="I2591" s="21">
        <f>Data!C2603</f>
        <v>0</v>
      </c>
      <c r="J2591">
        <f>Data!D2603</f>
        <v>0</v>
      </c>
      <c r="K2591">
        <f>Data!E2603</f>
        <v>0</v>
      </c>
      <c r="L2591">
        <f>Data!F2603</f>
        <v>0</v>
      </c>
      <c r="M2591">
        <f>Data!G2603</f>
        <v>0</v>
      </c>
      <c r="N2591">
        <f>Data!H2603</f>
        <v>0</v>
      </c>
      <c r="O2591">
        <f>Data!I2603</f>
        <v>0</v>
      </c>
      <c r="P2591" s="21">
        <f>Data!J2607</f>
        <v>0</v>
      </c>
      <c r="Q2591">
        <f>Data!K2607</f>
        <v>0</v>
      </c>
      <c r="R2591">
        <f>Data!L2607</f>
        <v>0</v>
      </c>
      <c r="S2591">
        <f>Data!M2607</f>
        <v>0</v>
      </c>
      <c r="T2591">
        <f>Data!N2607</f>
        <v>0</v>
      </c>
      <c r="U2591">
        <f>Data!O2607</f>
        <v>0</v>
      </c>
      <c r="V2591" s="33">
        <f>Data!P2605</f>
        <v>0</v>
      </c>
    </row>
    <row r="2592" spans="7:22" x14ac:dyDescent="0.25">
      <c r="G2592" cm="1">
        <f t="array" aca="1" ref="G2592" ca="1">INDIRECT("Data!A" &amp; 2587)</f>
        <v>0</v>
      </c>
      <c r="H2592" s="21">
        <f>Data!B2604</f>
        <v>0</v>
      </c>
      <c r="I2592" s="21">
        <f>Data!C2604</f>
        <v>0</v>
      </c>
      <c r="J2592">
        <f>Data!D2604</f>
        <v>0</v>
      </c>
      <c r="K2592">
        <f>Data!E2604</f>
        <v>0</v>
      </c>
      <c r="L2592">
        <f>Data!F2604</f>
        <v>0</v>
      </c>
      <c r="M2592">
        <f>Data!G2604</f>
        <v>0</v>
      </c>
      <c r="N2592">
        <f>Data!H2604</f>
        <v>0</v>
      </c>
      <c r="O2592">
        <f>Data!I2604</f>
        <v>0</v>
      </c>
      <c r="P2592" s="21">
        <f>Data!J2608</f>
        <v>0</v>
      </c>
      <c r="Q2592">
        <f>Data!K2608</f>
        <v>0</v>
      </c>
      <c r="R2592">
        <f>Data!L2608</f>
        <v>0</v>
      </c>
      <c r="S2592">
        <f>Data!M2608</f>
        <v>0</v>
      </c>
      <c r="T2592">
        <f>Data!N2608</f>
        <v>0</v>
      </c>
      <c r="U2592">
        <f>Data!O2608</f>
        <v>0</v>
      </c>
      <c r="V2592" s="33">
        <f>Data!P2606</f>
        <v>0</v>
      </c>
    </row>
    <row r="2593" spans="7:22" x14ac:dyDescent="0.25">
      <c r="G2593" cm="1">
        <f t="array" aca="1" ref="G2593" ca="1">INDIRECT("Data!A" &amp; 2588)</f>
        <v>0</v>
      </c>
      <c r="H2593" s="21">
        <f>Data!B2605</f>
        <v>0</v>
      </c>
      <c r="I2593" s="21">
        <f>Data!C2605</f>
        <v>0</v>
      </c>
      <c r="J2593">
        <f>Data!D2605</f>
        <v>0</v>
      </c>
      <c r="K2593">
        <f>Data!E2605</f>
        <v>0</v>
      </c>
      <c r="L2593">
        <f>Data!F2605</f>
        <v>0</v>
      </c>
      <c r="M2593">
        <f>Data!G2605</f>
        <v>0</v>
      </c>
      <c r="N2593">
        <f>Data!H2605</f>
        <v>0</v>
      </c>
      <c r="O2593">
        <f>Data!I2605</f>
        <v>0</v>
      </c>
      <c r="P2593" s="21">
        <f>Data!J2609</f>
        <v>0</v>
      </c>
      <c r="Q2593">
        <f>Data!K2609</f>
        <v>0</v>
      </c>
      <c r="R2593">
        <f>Data!L2609</f>
        <v>0</v>
      </c>
      <c r="S2593">
        <f>Data!M2609</f>
        <v>0</v>
      </c>
      <c r="T2593">
        <f>Data!N2609</f>
        <v>0</v>
      </c>
      <c r="U2593">
        <f>Data!O2609</f>
        <v>0</v>
      </c>
      <c r="V2593" s="33">
        <f>Data!P2607</f>
        <v>0</v>
      </c>
    </row>
    <row r="2594" spans="7:22" x14ac:dyDescent="0.25">
      <c r="G2594" cm="1">
        <f t="array" aca="1" ref="G2594" ca="1">INDIRECT("Data!A" &amp; 2589)</f>
        <v>0</v>
      </c>
      <c r="H2594" s="21">
        <f>Data!B2606</f>
        <v>0</v>
      </c>
      <c r="I2594" s="21">
        <f>Data!C2606</f>
        <v>0</v>
      </c>
      <c r="J2594">
        <f>Data!D2606</f>
        <v>0</v>
      </c>
      <c r="K2594">
        <f>Data!E2606</f>
        <v>0</v>
      </c>
      <c r="L2594">
        <f>Data!F2606</f>
        <v>0</v>
      </c>
      <c r="M2594">
        <f>Data!G2606</f>
        <v>0</v>
      </c>
      <c r="N2594">
        <f>Data!H2606</f>
        <v>0</v>
      </c>
      <c r="O2594">
        <f>Data!I2606</f>
        <v>0</v>
      </c>
      <c r="P2594" s="21">
        <f>Data!J2610</f>
        <v>0</v>
      </c>
      <c r="Q2594">
        <f>Data!K2610</f>
        <v>0</v>
      </c>
      <c r="R2594">
        <f>Data!L2610</f>
        <v>0</v>
      </c>
      <c r="S2594">
        <f>Data!M2610</f>
        <v>0</v>
      </c>
      <c r="T2594">
        <f>Data!N2610</f>
        <v>0</v>
      </c>
      <c r="U2594">
        <f>Data!O2610</f>
        <v>0</v>
      </c>
      <c r="V2594" s="33">
        <f>Data!P2608</f>
        <v>0</v>
      </c>
    </row>
    <row r="2595" spans="7:22" x14ac:dyDescent="0.25">
      <c r="G2595" cm="1">
        <f t="array" aca="1" ref="G2595" ca="1">INDIRECT("Data!A" &amp; 2590)</f>
        <v>0</v>
      </c>
      <c r="H2595" s="21">
        <f>Data!B2607</f>
        <v>0</v>
      </c>
      <c r="I2595" s="21">
        <f>Data!C2607</f>
        <v>0</v>
      </c>
      <c r="J2595">
        <f>Data!D2607</f>
        <v>0</v>
      </c>
      <c r="K2595">
        <f>Data!E2607</f>
        <v>0</v>
      </c>
      <c r="L2595">
        <f>Data!F2607</f>
        <v>0</v>
      </c>
      <c r="M2595">
        <f>Data!G2607</f>
        <v>0</v>
      </c>
      <c r="N2595">
        <f>Data!H2607</f>
        <v>0</v>
      </c>
      <c r="O2595">
        <f>Data!I2607</f>
        <v>0</v>
      </c>
      <c r="P2595" s="21">
        <f>Data!J2611</f>
        <v>0</v>
      </c>
      <c r="Q2595">
        <f>Data!K2611</f>
        <v>0</v>
      </c>
      <c r="R2595">
        <f>Data!L2611</f>
        <v>0</v>
      </c>
      <c r="S2595">
        <f>Data!M2611</f>
        <v>0</v>
      </c>
      <c r="T2595">
        <f>Data!N2611</f>
        <v>0</v>
      </c>
      <c r="U2595">
        <f>Data!O2611</f>
        <v>0</v>
      </c>
      <c r="V2595" s="33">
        <f>Data!P2609</f>
        <v>0</v>
      </c>
    </row>
    <row r="2596" spans="7:22" x14ac:dyDescent="0.25">
      <c r="G2596" cm="1">
        <f t="array" aca="1" ref="G2596" ca="1">INDIRECT("Data!A" &amp; 2591)</f>
        <v>0</v>
      </c>
      <c r="H2596" s="21">
        <f>Data!B2608</f>
        <v>0</v>
      </c>
      <c r="I2596" s="21">
        <f>Data!C2608</f>
        <v>0</v>
      </c>
      <c r="J2596">
        <f>Data!D2608</f>
        <v>0</v>
      </c>
      <c r="K2596">
        <f>Data!E2608</f>
        <v>0</v>
      </c>
      <c r="L2596">
        <f>Data!F2608</f>
        <v>0</v>
      </c>
      <c r="M2596">
        <f>Data!G2608</f>
        <v>0</v>
      </c>
      <c r="N2596">
        <f>Data!H2608</f>
        <v>0</v>
      </c>
      <c r="O2596">
        <f>Data!I2608</f>
        <v>0</v>
      </c>
      <c r="P2596" s="21">
        <f>Data!J2612</f>
        <v>0</v>
      </c>
      <c r="Q2596">
        <f>Data!K2612</f>
        <v>0</v>
      </c>
      <c r="R2596">
        <f>Data!L2612</f>
        <v>0</v>
      </c>
      <c r="S2596">
        <f>Data!M2612</f>
        <v>0</v>
      </c>
      <c r="T2596">
        <f>Data!N2612</f>
        <v>0</v>
      </c>
      <c r="U2596">
        <f>Data!O2612</f>
        <v>0</v>
      </c>
      <c r="V2596" s="33">
        <f>Data!P2610</f>
        <v>0</v>
      </c>
    </row>
    <row r="2597" spans="7:22" x14ac:dyDescent="0.25">
      <c r="G2597" cm="1">
        <f t="array" aca="1" ref="G2597" ca="1">INDIRECT("Data!A" &amp; 2592)</f>
        <v>0</v>
      </c>
      <c r="H2597" s="21">
        <f>Data!B2609</f>
        <v>0</v>
      </c>
      <c r="I2597" s="21">
        <f>Data!C2609</f>
        <v>0</v>
      </c>
      <c r="J2597">
        <f>Data!D2609</f>
        <v>0</v>
      </c>
      <c r="K2597">
        <f>Data!E2609</f>
        <v>0</v>
      </c>
      <c r="L2597">
        <f>Data!F2609</f>
        <v>0</v>
      </c>
      <c r="M2597">
        <f>Data!G2609</f>
        <v>0</v>
      </c>
      <c r="N2597">
        <f>Data!H2609</f>
        <v>0</v>
      </c>
      <c r="O2597">
        <f>Data!I2609</f>
        <v>0</v>
      </c>
      <c r="P2597" s="21">
        <f>Data!J2613</f>
        <v>0</v>
      </c>
      <c r="Q2597">
        <f>Data!K2613</f>
        <v>0</v>
      </c>
      <c r="R2597">
        <f>Data!L2613</f>
        <v>0</v>
      </c>
      <c r="S2597">
        <f>Data!M2613</f>
        <v>0</v>
      </c>
      <c r="T2597">
        <f>Data!N2613</f>
        <v>0</v>
      </c>
      <c r="U2597">
        <f>Data!O2613</f>
        <v>0</v>
      </c>
      <c r="V2597" s="33">
        <f>Data!P2611</f>
        <v>0</v>
      </c>
    </row>
    <row r="2598" spans="7:22" x14ac:dyDescent="0.25">
      <c r="G2598" cm="1">
        <f t="array" aca="1" ref="G2598" ca="1">INDIRECT("Data!A" &amp; 2593)</f>
        <v>0</v>
      </c>
      <c r="H2598" s="21">
        <f>Data!B2610</f>
        <v>0</v>
      </c>
      <c r="I2598" s="21">
        <f>Data!C2610</f>
        <v>0</v>
      </c>
      <c r="J2598">
        <f>Data!D2610</f>
        <v>0</v>
      </c>
      <c r="K2598">
        <f>Data!E2610</f>
        <v>0</v>
      </c>
      <c r="L2598">
        <f>Data!F2610</f>
        <v>0</v>
      </c>
      <c r="M2598">
        <f>Data!G2610</f>
        <v>0</v>
      </c>
      <c r="N2598">
        <f>Data!H2610</f>
        <v>0</v>
      </c>
      <c r="O2598">
        <f>Data!I2610</f>
        <v>0</v>
      </c>
      <c r="P2598" s="21">
        <f>Data!J2614</f>
        <v>0</v>
      </c>
      <c r="Q2598">
        <f>Data!K2614</f>
        <v>0</v>
      </c>
      <c r="R2598">
        <f>Data!L2614</f>
        <v>0</v>
      </c>
      <c r="S2598">
        <f>Data!M2614</f>
        <v>0</v>
      </c>
      <c r="T2598">
        <f>Data!N2614</f>
        <v>0</v>
      </c>
      <c r="U2598">
        <f>Data!O2614</f>
        <v>0</v>
      </c>
      <c r="V2598" s="33">
        <f>Data!P2612</f>
        <v>0</v>
      </c>
    </row>
    <row r="2599" spans="7:22" x14ac:dyDescent="0.25">
      <c r="G2599" cm="1">
        <f t="array" aca="1" ref="G2599" ca="1">INDIRECT("Data!A" &amp; 2594)</f>
        <v>0</v>
      </c>
      <c r="H2599" s="21">
        <f>Data!B2611</f>
        <v>0</v>
      </c>
      <c r="I2599" s="21">
        <f>Data!C2611</f>
        <v>0</v>
      </c>
      <c r="J2599">
        <f>Data!D2611</f>
        <v>0</v>
      </c>
      <c r="K2599">
        <f>Data!E2611</f>
        <v>0</v>
      </c>
      <c r="L2599">
        <f>Data!F2611</f>
        <v>0</v>
      </c>
      <c r="M2599">
        <f>Data!G2611</f>
        <v>0</v>
      </c>
      <c r="N2599">
        <f>Data!H2611</f>
        <v>0</v>
      </c>
      <c r="O2599">
        <f>Data!I2611</f>
        <v>0</v>
      </c>
      <c r="P2599" s="21">
        <f>Data!J2615</f>
        <v>0</v>
      </c>
      <c r="Q2599">
        <f>Data!K2615</f>
        <v>0</v>
      </c>
      <c r="R2599">
        <f>Data!L2615</f>
        <v>0</v>
      </c>
      <c r="S2599">
        <f>Data!M2615</f>
        <v>0</v>
      </c>
      <c r="T2599">
        <f>Data!N2615</f>
        <v>0</v>
      </c>
      <c r="U2599">
        <f>Data!O2615</f>
        <v>0</v>
      </c>
      <c r="V2599" s="33">
        <f>Data!P2613</f>
        <v>0</v>
      </c>
    </row>
    <row r="2600" spans="7:22" x14ac:dyDescent="0.25">
      <c r="G2600" cm="1">
        <f t="array" aca="1" ref="G2600" ca="1">INDIRECT("Data!A" &amp; 2595)</f>
        <v>0</v>
      </c>
      <c r="H2600" s="21">
        <f>Data!B2612</f>
        <v>0</v>
      </c>
      <c r="I2600" s="21">
        <f>Data!C2612</f>
        <v>0</v>
      </c>
      <c r="J2600">
        <f>Data!D2612</f>
        <v>0</v>
      </c>
      <c r="K2600">
        <f>Data!E2612</f>
        <v>0</v>
      </c>
      <c r="L2600">
        <f>Data!F2612</f>
        <v>0</v>
      </c>
      <c r="M2600">
        <f>Data!G2612</f>
        <v>0</v>
      </c>
      <c r="N2600">
        <f>Data!H2612</f>
        <v>0</v>
      </c>
      <c r="O2600">
        <f>Data!I2612</f>
        <v>0</v>
      </c>
      <c r="P2600" s="21">
        <f>Data!J2616</f>
        <v>0</v>
      </c>
      <c r="Q2600">
        <f>Data!K2616</f>
        <v>0</v>
      </c>
      <c r="R2600">
        <f>Data!L2616</f>
        <v>0</v>
      </c>
      <c r="S2600">
        <f>Data!M2616</f>
        <v>0</v>
      </c>
      <c r="T2600">
        <f>Data!N2616</f>
        <v>0</v>
      </c>
      <c r="U2600">
        <f>Data!O2616</f>
        <v>0</v>
      </c>
      <c r="V2600" s="33">
        <f>Data!P2614</f>
        <v>0</v>
      </c>
    </row>
    <row r="2601" spans="7:22" x14ac:dyDescent="0.25">
      <c r="G2601" cm="1">
        <f t="array" aca="1" ref="G2601" ca="1">INDIRECT("Data!A" &amp; 2596)</f>
        <v>0</v>
      </c>
      <c r="H2601" s="21">
        <f>Data!B2613</f>
        <v>0</v>
      </c>
      <c r="I2601" s="21">
        <f>Data!C2613</f>
        <v>0</v>
      </c>
      <c r="J2601">
        <f>Data!D2613</f>
        <v>0</v>
      </c>
      <c r="K2601">
        <f>Data!E2613</f>
        <v>0</v>
      </c>
      <c r="L2601">
        <f>Data!F2613</f>
        <v>0</v>
      </c>
      <c r="M2601">
        <f>Data!G2613</f>
        <v>0</v>
      </c>
      <c r="N2601">
        <f>Data!H2613</f>
        <v>0</v>
      </c>
      <c r="O2601">
        <f>Data!I2613</f>
        <v>0</v>
      </c>
      <c r="P2601" s="21">
        <f>Data!J2617</f>
        <v>0</v>
      </c>
      <c r="Q2601">
        <f>Data!K2617</f>
        <v>0</v>
      </c>
      <c r="R2601">
        <f>Data!L2617</f>
        <v>0</v>
      </c>
      <c r="S2601">
        <f>Data!M2617</f>
        <v>0</v>
      </c>
      <c r="T2601">
        <f>Data!N2617</f>
        <v>0</v>
      </c>
      <c r="U2601">
        <f>Data!O2617</f>
        <v>0</v>
      </c>
      <c r="V2601" s="33">
        <f>Data!P2615</f>
        <v>0</v>
      </c>
    </row>
    <row r="2602" spans="7:22" x14ac:dyDescent="0.25">
      <c r="G2602" cm="1">
        <f t="array" aca="1" ref="G2602" ca="1">INDIRECT("Data!A" &amp; 2597)</f>
        <v>0</v>
      </c>
      <c r="H2602" s="21">
        <f>Data!B2614</f>
        <v>0</v>
      </c>
      <c r="I2602" s="21">
        <f>Data!C2614</f>
        <v>0</v>
      </c>
      <c r="J2602">
        <f>Data!D2614</f>
        <v>0</v>
      </c>
      <c r="K2602">
        <f>Data!E2614</f>
        <v>0</v>
      </c>
      <c r="L2602">
        <f>Data!F2614</f>
        <v>0</v>
      </c>
      <c r="M2602">
        <f>Data!G2614</f>
        <v>0</v>
      </c>
      <c r="N2602">
        <f>Data!H2614</f>
        <v>0</v>
      </c>
      <c r="O2602">
        <f>Data!I2614</f>
        <v>0</v>
      </c>
      <c r="P2602" s="21">
        <f>Data!J2618</f>
        <v>0</v>
      </c>
      <c r="Q2602">
        <f>Data!K2618</f>
        <v>0</v>
      </c>
      <c r="R2602">
        <f>Data!L2618</f>
        <v>0</v>
      </c>
      <c r="S2602">
        <f>Data!M2618</f>
        <v>0</v>
      </c>
      <c r="T2602">
        <f>Data!N2618</f>
        <v>0</v>
      </c>
      <c r="U2602">
        <f>Data!O2618</f>
        <v>0</v>
      </c>
      <c r="V2602" s="33">
        <f>Data!P2616</f>
        <v>0</v>
      </c>
    </row>
    <row r="2603" spans="7:22" x14ac:dyDescent="0.25">
      <c r="G2603" cm="1">
        <f t="array" aca="1" ref="G2603" ca="1">INDIRECT("Data!A" &amp; 2598)</f>
        <v>0</v>
      </c>
      <c r="H2603" s="21">
        <f>Data!B2615</f>
        <v>0</v>
      </c>
      <c r="I2603" s="21">
        <f>Data!C2615</f>
        <v>0</v>
      </c>
      <c r="J2603">
        <f>Data!D2615</f>
        <v>0</v>
      </c>
      <c r="K2603">
        <f>Data!E2615</f>
        <v>0</v>
      </c>
      <c r="L2603">
        <f>Data!F2615</f>
        <v>0</v>
      </c>
      <c r="M2603">
        <f>Data!G2615</f>
        <v>0</v>
      </c>
      <c r="N2603">
        <f>Data!H2615</f>
        <v>0</v>
      </c>
      <c r="O2603">
        <f>Data!I2615</f>
        <v>0</v>
      </c>
      <c r="P2603" s="21">
        <f>Data!J2619</f>
        <v>0</v>
      </c>
      <c r="Q2603">
        <f>Data!K2619</f>
        <v>0</v>
      </c>
      <c r="R2603">
        <f>Data!L2619</f>
        <v>0</v>
      </c>
      <c r="S2603">
        <f>Data!M2619</f>
        <v>0</v>
      </c>
      <c r="T2603">
        <f>Data!N2619</f>
        <v>0</v>
      </c>
      <c r="U2603">
        <f>Data!O2619</f>
        <v>0</v>
      </c>
      <c r="V2603" s="33">
        <f>Data!P2617</f>
        <v>0</v>
      </c>
    </row>
    <row r="2604" spans="7:22" x14ac:dyDescent="0.25">
      <c r="G2604" cm="1">
        <f t="array" aca="1" ref="G2604" ca="1">INDIRECT("Data!A" &amp; 2599)</f>
        <v>0</v>
      </c>
      <c r="H2604" s="21">
        <f>Data!B2616</f>
        <v>0</v>
      </c>
      <c r="I2604" s="21">
        <f>Data!C2616</f>
        <v>0</v>
      </c>
      <c r="J2604">
        <f>Data!D2616</f>
        <v>0</v>
      </c>
      <c r="K2604">
        <f>Data!E2616</f>
        <v>0</v>
      </c>
      <c r="L2604">
        <f>Data!F2616</f>
        <v>0</v>
      </c>
      <c r="M2604">
        <f>Data!G2616</f>
        <v>0</v>
      </c>
      <c r="N2604">
        <f>Data!H2616</f>
        <v>0</v>
      </c>
      <c r="O2604">
        <f>Data!I2616</f>
        <v>0</v>
      </c>
      <c r="P2604" s="21">
        <f>Data!J2620</f>
        <v>0</v>
      </c>
      <c r="Q2604">
        <f>Data!K2620</f>
        <v>0</v>
      </c>
      <c r="R2604">
        <f>Data!L2620</f>
        <v>0</v>
      </c>
      <c r="S2604">
        <f>Data!M2620</f>
        <v>0</v>
      </c>
      <c r="T2604">
        <f>Data!N2620</f>
        <v>0</v>
      </c>
      <c r="U2604">
        <f>Data!O2620</f>
        <v>0</v>
      </c>
      <c r="V2604" s="33">
        <f>Data!P2618</f>
        <v>0</v>
      </c>
    </row>
    <row r="2605" spans="7:22" x14ac:dyDescent="0.25">
      <c r="G2605" cm="1">
        <f t="array" aca="1" ref="G2605" ca="1">INDIRECT("Data!A" &amp; 2600)</f>
        <v>0</v>
      </c>
      <c r="H2605" s="21">
        <f>Data!B2617</f>
        <v>0</v>
      </c>
      <c r="I2605" s="21">
        <f>Data!C2617</f>
        <v>0</v>
      </c>
      <c r="J2605">
        <f>Data!D2617</f>
        <v>0</v>
      </c>
      <c r="K2605">
        <f>Data!E2617</f>
        <v>0</v>
      </c>
      <c r="L2605">
        <f>Data!F2617</f>
        <v>0</v>
      </c>
      <c r="M2605">
        <f>Data!G2617</f>
        <v>0</v>
      </c>
      <c r="N2605">
        <f>Data!H2617</f>
        <v>0</v>
      </c>
      <c r="O2605">
        <f>Data!I2617</f>
        <v>0</v>
      </c>
      <c r="P2605" s="21">
        <f>Data!J2621</f>
        <v>0</v>
      </c>
      <c r="Q2605">
        <f>Data!K2621</f>
        <v>0</v>
      </c>
      <c r="R2605">
        <f>Data!L2621</f>
        <v>0</v>
      </c>
      <c r="S2605">
        <f>Data!M2621</f>
        <v>0</v>
      </c>
      <c r="T2605">
        <f>Data!N2621</f>
        <v>0</v>
      </c>
      <c r="U2605">
        <f>Data!O2621</f>
        <v>0</v>
      </c>
      <c r="V2605" s="33">
        <f>Data!P2619</f>
        <v>0</v>
      </c>
    </row>
    <row r="2606" spans="7:22" x14ac:dyDescent="0.25">
      <c r="G2606" cm="1">
        <f t="array" aca="1" ref="G2606" ca="1">INDIRECT("Data!A" &amp; 2601)</f>
        <v>0</v>
      </c>
      <c r="H2606" s="21">
        <f>Data!B2618</f>
        <v>0</v>
      </c>
      <c r="I2606" s="21">
        <f>Data!C2618</f>
        <v>0</v>
      </c>
      <c r="J2606">
        <f>Data!D2618</f>
        <v>0</v>
      </c>
      <c r="K2606">
        <f>Data!E2618</f>
        <v>0</v>
      </c>
      <c r="L2606">
        <f>Data!F2618</f>
        <v>0</v>
      </c>
      <c r="M2606">
        <f>Data!G2618</f>
        <v>0</v>
      </c>
      <c r="N2606">
        <f>Data!H2618</f>
        <v>0</v>
      </c>
      <c r="O2606">
        <f>Data!I2618</f>
        <v>0</v>
      </c>
      <c r="P2606" s="21">
        <f>Data!J2622</f>
        <v>0</v>
      </c>
      <c r="Q2606">
        <f>Data!K2622</f>
        <v>0</v>
      </c>
      <c r="R2606">
        <f>Data!L2622</f>
        <v>0</v>
      </c>
      <c r="S2606">
        <f>Data!M2622</f>
        <v>0</v>
      </c>
      <c r="T2606">
        <f>Data!N2622</f>
        <v>0</v>
      </c>
      <c r="U2606">
        <f>Data!O2622</f>
        <v>0</v>
      </c>
      <c r="V2606" s="33">
        <f>Data!P2620</f>
        <v>0</v>
      </c>
    </row>
    <row r="2607" spans="7:22" x14ac:dyDescent="0.25">
      <c r="G2607" cm="1">
        <f t="array" aca="1" ref="G2607" ca="1">INDIRECT("Data!A" &amp; 2602)</f>
        <v>0</v>
      </c>
      <c r="H2607" s="21">
        <f>Data!B2619</f>
        <v>0</v>
      </c>
      <c r="I2607" s="21">
        <f>Data!C2619</f>
        <v>0</v>
      </c>
      <c r="J2607">
        <f>Data!D2619</f>
        <v>0</v>
      </c>
      <c r="K2607">
        <f>Data!E2619</f>
        <v>0</v>
      </c>
      <c r="L2607">
        <f>Data!F2619</f>
        <v>0</v>
      </c>
      <c r="M2607">
        <f>Data!G2619</f>
        <v>0</v>
      </c>
      <c r="N2607">
        <f>Data!H2619</f>
        <v>0</v>
      </c>
      <c r="O2607">
        <f>Data!I2619</f>
        <v>0</v>
      </c>
      <c r="P2607" s="21">
        <f>Data!J2623</f>
        <v>0</v>
      </c>
      <c r="Q2607">
        <f>Data!K2623</f>
        <v>0</v>
      </c>
      <c r="R2607">
        <f>Data!L2623</f>
        <v>0</v>
      </c>
      <c r="S2607">
        <f>Data!M2623</f>
        <v>0</v>
      </c>
      <c r="T2607">
        <f>Data!N2623</f>
        <v>0</v>
      </c>
      <c r="U2607">
        <f>Data!O2623</f>
        <v>0</v>
      </c>
      <c r="V2607" s="33">
        <f>Data!P2621</f>
        <v>0</v>
      </c>
    </row>
    <row r="2608" spans="7:22" x14ac:dyDescent="0.25">
      <c r="G2608" cm="1">
        <f t="array" aca="1" ref="G2608" ca="1">INDIRECT("Data!A" &amp; 2603)</f>
        <v>0</v>
      </c>
      <c r="H2608" s="21">
        <f>Data!B2620</f>
        <v>0</v>
      </c>
      <c r="I2608" s="21">
        <f>Data!C2620</f>
        <v>0</v>
      </c>
      <c r="J2608">
        <f>Data!D2620</f>
        <v>0</v>
      </c>
      <c r="K2608">
        <f>Data!E2620</f>
        <v>0</v>
      </c>
      <c r="L2608">
        <f>Data!F2620</f>
        <v>0</v>
      </c>
      <c r="M2608">
        <f>Data!G2620</f>
        <v>0</v>
      </c>
      <c r="N2608">
        <f>Data!H2620</f>
        <v>0</v>
      </c>
      <c r="O2608">
        <f>Data!I2620</f>
        <v>0</v>
      </c>
      <c r="P2608" s="21">
        <f>Data!J2624</f>
        <v>0</v>
      </c>
      <c r="Q2608">
        <f>Data!K2624</f>
        <v>0</v>
      </c>
      <c r="R2608">
        <f>Data!L2624</f>
        <v>0</v>
      </c>
      <c r="S2608">
        <f>Data!M2624</f>
        <v>0</v>
      </c>
      <c r="T2608">
        <f>Data!N2624</f>
        <v>0</v>
      </c>
      <c r="U2608">
        <f>Data!O2624</f>
        <v>0</v>
      </c>
      <c r="V2608" s="33">
        <f>Data!P2622</f>
        <v>0</v>
      </c>
    </row>
    <row r="2609" spans="7:22" x14ac:dyDescent="0.25">
      <c r="G2609" cm="1">
        <f t="array" aca="1" ref="G2609" ca="1">INDIRECT("Data!A" &amp; 2604)</f>
        <v>0</v>
      </c>
      <c r="H2609" s="21">
        <f>Data!B2621</f>
        <v>0</v>
      </c>
      <c r="I2609" s="21">
        <f>Data!C2621</f>
        <v>0</v>
      </c>
      <c r="J2609">
        <f>Data!D2621</f>
        <v>0</v>
      </c>
      <c r="K2609">
        <f>Data!E2621</f>
        <v>0</v>
      </c>
      <c r="L2609">
        <f>Data!F2621</f>
        <v>0</v>
      </c>
      <c r="M2609">
        <f>Data!G2621</f>
        <v>0</v>
      </c>
      <c r="N2609">
        <f>Data!H2621</f>
        <v>0</v>
      </c>
      <c r="O2609">
        <f>Data!I2621</f>
        <v>0</v>
      </c>
      <c r="P2609" s="21">
        <f>Data!J2625</f>
        <v>0</v>
      </c>
      <c r="Q2609">
        <f>Data!K2625</f>
        <v>0</v>
      </c>
      <c r="R2609">
        <f>Data!L2625</f>
        <v>0</v>
      </c>
      <c r="S2609">
        <f>Data!M2625</f>
        <v>0</v>
      </c>
      <c r="T2609">
        <f>Data!N2625</f>
        <v>0</v>
      </c>
      <c r="U2609">
        <f>Data!O2625</f>
        <v>0</v>
      </c>
      <c r="V2609" s="33">
        <f>Data!P2623</f>
        <v>0</v>
      </c>
    </row>
    <row r="2610" spans="7:22" x14ac:dyDescent="0.25">
      <c r="G2610" cm="1">
        <f t="array" aca="1" ref="G2610" ca="1">INDIRECT("Data!A" &amp; 2605)</f>
        <v>0</v>
      </c>
      <c r="H2610" s="21">
        <f>Data!B2622</f>
        <v>0</v>
      </c>
      <c r="I2610" s="21">
        <f>Data!C2622</f>
        <v>0</v>
      </c>
      <c r="J2610">
        <f>Data!D2622</f>
        <v>0</v>
      </c>
      <c r="K2610">
        <f>Data!E2622</f>
        <v>0</v>
      </c>
      <c r="L2610">
        <f>Data!F2622</f>
        <v>0</v>
      </c>
      <c r="M2610">
        <f>Data!G2622</f>
        <v>0</v>
      </c>
      <c r="N2610">
        <f>Data!H2622</f>
        <v>0</v>
      </c>
      <c r="O2610">
        <f>Data!I2622</f>
        <v>0</v>
      </c>
      <c r="P2610" s="21">
        <f>Data!J2626</f>
        <v>0</v>
      </c>
      <c r="Q2610">
        <f>Data!K2626</f>
        <v>0</v>
      </c>
      <c r="R2610">
        <f>Data!L2626</f>
        <v>0</v>
      </c>
      <c r="S2610">
        <f>Data!M2626</f>
        <v>0</v>
      </c>
      <c r="T2610">
        <f>Data!N2626</f>
        <v>0</v>
      </c>
      <c r="U2610">
        <f>Data!O2626</f>
        <v>0</v>
      </c>
      <c r="V2610" s="33">
        <f>Data!P2624</f>
        <v>0</v>
      </c>
    </row>
    <row r="2611" spans="7:22" x14ac:dyDescent="0.25">
      <c r="G2611" cm="1">
        <f t="array" aca="1" ref="G2611" ca="1">INDIRECT("Data!A" &amp; 2606)</f>
        <v>0</v>
      </c>
      <c r="H2611" s="21">
        <f>Data!B2623</f>
        <v>0</v>
      </c>
      <c r="I2611" s="21">
        <f>Data!C2623</f>
        <v>0</v>
      </c>
      <c r="J2611">
        <f>Data!D2623</f>
        <v>0</v>
      </c>
      <c r="K2611">
        <f>Data!E2623</f>
        <v>0</v>
      </c>
      <c r="L2611">
        <f>Data!F2623</f>
        <v>0</v>
      </c>
      <c r="M2611">
        <f>Data!G2623</f>
        <v>0</v>
      </c>
      <c r="N2611">
        <f>Data!H2623</f>
        <v>0</v>
      </c>
      <c r="O2611">
        <f>Data!I2623</f>
        <v>0</v>
      </c>
      <c r="P2611" s="21">
        <f>Data!J2627</f>
        <v>0</v>
      </c>
      <c r="Q2611">
        <f>Data!K2627</f>
        <v>0</v>
      </c>
      <c r="R2611">
        <f>Data!L2627</f>
        <v>0</v>
      </c>
      <c r="S2611">
        <f>Data!M2627</f>
        <v>0</v>
      </c>
      <c r="T2611">
        <f>Data!N2627</f>
        <v>0</v>
      </c>
      <c r="U2611">
        <f>Data!O2627</f>
        <v>0</v>
      </c>
      <c r="V2611" s="33">
        <f>Data!P2625</f>
        <v>0</v>
      </c>
    </row>
    <row r="2612" spans="7:22" x14ac:dyDescent="0.25">
      <c r="G2612" cm="1">
        <f t="array" aca="1" ref="G2612" ca="1">INDIRECT("Data!A" &amp; 2607)</f>
        <v>0</v>
      </c>
      <c r="H2612" s="21">
        <f>Data!B2624</f>
        <v>0</v>
      </c>
      <c r="I2612" s="21">
        <f>Data!C2624</f>
        <v>0</v>
      </c>
      <c r="J2612">
        <f>Data!D2624</f>
        <v>0</v>
      </c>
      <c r="K2612">
        <f>Data!E2624</f>
        <v>0</v>
      </c>
      <c r="L2612">
        <f>Data!F2624</f>
        <v>0</v>
      </c>
      <c r="M2612">
        <f>Data!G2624</f>
        <v>0</v>
      </c>
      <c r="N2612">
        <f>Data!H2624</f>
        <v>0</v>
      </c>
      <c r="O2612">
        <f>Data!I2624</f>
        <v>0</v>
      </c>
      <c r="P2612" s="21">
        <f>Data!J2628</f>
        <v>0</v>
      </c>
      <c r="Q2612">
        <f>Data!K2628</f>
        <v>0</v>
      </c>
      <c r="R2612">
        <f>Data!L2628</f>
        <v>0</v>
      </c>
      <c r="S2612">
        <f>Data!M2628</f>
        <v>0</v>
      </c>
      <c r="T2612">
        <f>Data!N2628</f>
        <v>0</v>
      </c>
      <c r="U2612">
        <f>Data!O2628</f>
        <v>0</v>
      </c>
      <c r="V2612" s="33">
        <f>Data!P2626</f>
        <v>0</v>
      </c>
    </row>
    <row r="2613" spans="7:22" x14ac:dyDescent="0.25">
      <c r="G2613" cm="1">
        <f t="array" aca="1" ref="G2613" ca="1">INDIRECT("Data!A" &amp; 2608)</f>
        <v>0</v>
      </c>
      <c r="H2613" s="21">
        <f>Data!B2625</f>
        <v>0</v>
      </c>
      <c r="I2613" s="21">
        <f>Data!C2625</f>
        <v>0</v>
      </c>
      <c r="J2613">
        <f>Data!D2625</f>
        <v>0</v>
      </c>
      <c r="K2613">
        <f>Data!E2625</f>
        <v>0</v>
      </c>
      <c r="L2613">
        <f>Data!F2625</f>
        <v>0</v>
      </c>
      <c r="M2613">
        <f>Data!G2625</f>
        <v>0</v>
      </c>
      <c r="N2613">
        <f>Data!H2625</f>
        <v>0</v>
      </c>
      <c r="O2613">
        <f>Data!I2625</f>
        <v>0</v>
      </c>
      <c r="P2613" s="21">
        <f>Data!J2629</f>
        <v>0</v>
      </c>
      <c r="Q2613">
        <f>Data!K2629</f>
        <v>0</v>
      </c>
      <c r="R2613">
        <f>Data!L2629</f>
        <v>0</v>
      </c>
      <c r="S2613">
        <f>Data!M2629</f>
        <v>0</v>
      </c>
      <c r="T2613">
        <f>Data!N2629</f>
        <v>0</v>
      </c>
      <c r="U2613">
        <f>Data!O2629</f>
        <v>0</v>
      </c>
      <c r="V2613" s="33">
        <f>Data!P2627</f>
        <v>0</v>
      </c>
    </row>
    <row r="2614" spans="7:22" x14ac:dyDescent="0.25">
      <c r="G2614" cm="1">
        <f t="array" aca="1" ref="G2614" ca="1">INDIRECT("Data!A" &amp; 2609)</f>
        <v>0</v>
      </c>
      <c r="H2614" s="21">
        <f>Data!B2626</f>
        <v>0</v>
      </c>
      <c r="I2614" s="21">
        <f>Data!C2626</f>
        <v>0</v>
      </c>
      <c r="J2614">
        <f>Data!D2626</f>
        <v>0</v>
      </c>
      <c r="K2614">
        <f>Data!E2626</f>
        <v>0</v>
      </c>
      <c r="L2614">
        <f>Data!F2626</f>
        <v>0</v>
      </c>
      <c r="M2614">
        <f>Data!G2626</f>
        <v>0</v>
      </c>
      <c r="N2614">
        <f>Data!H2626</f>
        <v>0</v>
      </c>
      <c r="O2614">
        <f>Data!I2626</f>
        <v>0</v>
      </c>
      <c r="P2614" s="21">
        <f>Data!J2630</f>
        <v>0</v>
      </c>
      <c r="Q2614">
        <f>Data!K2630</f>
        <v>0</v>
      </c>
      <c r="R2614">
        <f>Data!L2630</f>
        <v>0</v>
      </c>
      <c r="S2614">
        <f>Data!M2630</f>
        <v>0</v>
      </c>
      <c r="T2614">
        <f>Data!N2630</f>
        <v>0</v>
      </c>
      <c r="U2614">
        <f>Data!O2630</f>
        <v>0</v>
      </c>
      <c r="V2614" s="33">
        <f>Data!P2628</f>
        <v>0</v>
      </c>
    </row>
    <row r="2615" spans="7:22" x14ac:dyDescent="0.25">
      <c r="G2615" cm="1">
        <f t="array" aca="1" ref="G2615" ca="1">INDIRECT("Data!A" &amp; 2610)</f>
        <v>0</v>
      </c>
      <c r="H2615" s="21">
        <f>Data!B2627</f>
        <v>0</v>
      </c>
      <c r="I2615" s="21">
        <f>Data!C2627</f>
        <v>0</v>
      </c>
      <c r="J2615">
        <f>Data!D2627</f>
        <v>0</v>
      </c>
      <c r="K2615">
        <f>Data!E2627</f>
        <v>0</v>
      </c>
      <c r="L2615">
        <f>Data!F2627</f>
        <v>0</v>
      </c>
      <c r="M2615">
        <f>Data!G2627</f>
        <v>0</v>
      </c>
      <c r="N2615">
        <f>Data!H2627</f>
        <v>0</v>
      </c>
      <c r="O2615">
        <f>Data!I2627</f>
        <v>0</v>
      </c>
      <c r="P2615" s="21">
        <f>Data!J2631</f>
        <v>0</v>
      </c>
      <c r="Q2615">
        <f>Data!K2631</f>
        <v>0</v>
      </c>
      <c r="R2615">
        <f>Data!L2631</f>
        <v>0</v>
      </c>
      <c r="S2615">
        <f>Data!M2631</f>
        <v>0</v>
      </c>
      <c r="T2615">
        <f>Data!N2631</f>
        <v>0</v>
      </c>
      <c r="U2615">
        <f>Data!O2631</f>
        <v>0</v>
      </c>
      <c r="V2615" s="33">
        <f>Data!P2629</f>
        <v>0</v>
      </c>
    </row>
    <row r="2616" spans="7:22" x14ac:dyDescent="0.25">
      <c r="G2616" cm="1">
        <f t="array" aca="1" ref="G2616" ca="1">INDIRECT("Data!A" &amp; 2611)</f>
        <v>0</v>
      </c>
      <c r="H2616" s="21">
        <f>Data!B2628</f>
        <v>0</v>
      </c>
      <c r="I2616" s="21">
        <f>Data!C2628</f>
        <v>0</v>
      </c>
      <c r="J2616">
        <f>Data!D2628</f>
        <v>0</v>
      </c>
      <c r="K2616">
        <f>Data!E2628</f>
        <v>0</v>
      </c>
      <c r="L2616">
        <f>Data!F2628</f>
        <v>0</v>
      </c>
      <c r="M2616">
        <f>Data!G2628</f>
        <v>0</v>
      </c>
      <c r="N2616">
        <f>Data!H2628</f>
        <v>0</v>
      </c>
      <c r="O2616">
        <f>Data!I2628</f>
        <v>0</v>
      </c>
      <c r="P2616" s="21">
        <f>Data!J2632</f>
        <v>0</v>
      </c>
      <c r="Q2616">
        <f>Data!K2632</f>
        <v>0</v>
      </c>
      <c r="R2616">
        <f>Data!L2632</f>
        <v>0</v>
      </c>
      <c r="S2616">
        <f>Data!M2632</f>
        <v>0</v>
      </c>
      <c r="T2616">
        <f>Data!N2632</f>
        <v>0</v>
      </c>
      <c r="U2616">
        <f>Data!O2632</f>
        <v>0</v>
      </c>
      <c r="V2616" s="33">
        <f>Data!P2630</f>
        <v>0</v>
      </c>
    </row>
    <row r="2617" spans="7:22" x14ac:dyDescent="0.25">
      <c r="G2617" cm="1">
        <f t="array" aca="1" ref="G2617" ca="1">INDIRECT("Data!A" &amp; 2612)</f>
        <v>0</v>
      </c>
      <c r="H2617" s="21">
        <f>Data!B2629</f>
        <v>0</v>
      </c>
      <c r="I2617" s="21">
        <f>Data!C2629</f>
        <v>0</v>
      </c>
      <c r="J2617">
        <f>Data!D2629</f>
        <v>0</v>
      </c>
      <c r="K2617">
        <f>Data!E2629</f>
        <v>0</v>
      </c>
      <c r="L2617">
        <f>Data!F2629</f>
        <v>0</v>
      </c>
      <c r="M2617">
        <f>Data!G2629</f>
        <v>0</v>
      </c>
      <c r="N2617">
        <f>Data!H2629</f>
        <v>0</v>
      </c>
      <c r="O2617">
        <f>Data!I2629</f>
        <v>0</v>
      </c>
      <c r="P2617" s="21">
        <f>Data!J2633</f>
        <v>0</v>
      </c>
      <c r="Q2617">
        <f>Data!K2633</f>
        <v>0</v>
      </c>
      <c r="R2617">
        <f>Data!L2633</f>
        <v>0</v>
      </c>
      <c r="S2617">
        <f>Data!M2633</f>
        <v>0</v>
      </c>
      <c r="T2617">
        <f>Data!N2633</f>
        <v>0</v>
      </c>
      <c r="U2617">
        <f>Data!O2633</f>
        <v>0</v>
      </c>
      <c r="V2617" s="33">
        <f>Data!P2631</f>
        <v>0</v>
      </c>
    </row>
    <row r="2618" spans="7:22" x14ac:dyDescent="0.25">
      <c r="G2618" cm="1">
        <f t="array" aca="1" ref="G2618" ca="1">INDIRECT("Data!A" &amp; 2613)</f>
        <v>0</v>
      </c>
      <c r="H2618" s="21">
        <f>Data!B2630</f>
        <v>0</v>
      </c>
      <c r="I2618" s="21">
        <f>Data!C2630</f>
        <v>0</v>
      </c>
      <c r="J2618">
        <f>Data!D2630</f>
        <v>0</v>
      </c>
      <c r="K2618">
        <f>Data!E2630</f>
        <v>0</v>
      </c>
      <c r="L2618">
        <f>Data!F2630</f>
        <v>0</v>
      </c>
      <c r="M2618">
        <f>Data!G2630</f>
        <v>0</v>
      </c>
      <c r="N2618">
        <f>Data!H2630</f>
        <v>0</v>
      </c>
      <c r="O2618">
        <f>Data!I2630</f>
        <v>0</v>
      </c>
      <c r="P2618" s="21">
        <f>Data!J2634</f>
        <v>0</v>
      </c>
      <c r="Q2618">
        <f>Data!K2634</f>
        <v>0</v>
      </c>
      <c r="R2618">
        <f>Data!L2634</f>
        <v>0</v>
      </c>
      <c r="S2618">
        <f>Data!M2634</f>
        <v>0</v>
      </c>
      <c r="T2618">
        <f>Data!N2634</f>
        <v>0</v>
      </c>
      <c r="U2618">
        <f>Data!O2634</f>
        <v>0</v>
      </c>
      <c r="V2618" s="33">
        <f>Data!P2632</f>
        <v>0</v>
      </c>
    </row>
    <row r="2619" spans="7:22" x14ac:dyDescent="0.25">
      <c r="G2619" cm="1">
        <f t="array" aca="1" ref="G2619" ca="1">INDIRECT("Data!A" &amp; 2614)</f>
        <v>0</v>
      </c>
      <c r="H2619" s="21">
        <f>Data!B2631</f>
        <v>0</v>
      </c>
      <c r="I2619" s="21">
        <f>Data!C2631</f>
        <v>0</v>
      </c>
      <c r="J2619">
        <f>Data!D2631</f>
        <v>0</v>
      </c>
      <c r="K2619">
        <f>Data!E2631</f>
        <v>0</v>
      </c>
      <c r="L2619">
        <f>Data!F2631</f>
        <v>0</v>
      </c>
      <c r="M2619">
        <f>Data!G2631</f>
        <v>0</v>
      </c>
      <c r="N2619">
        <f>Data!H2631</f>
        <v>0</v>
      </c>
      <c r="O2619">
        <f>Data!I2631</f>
        <v>0</v>
      </c>
      <c r="P2619" s="21">
        <f>Data!J2635</f>
        <v>0</v>
      </c>
      <c r="Q2619">
        <f>Data!K2635</f>
        <v>0</v>
      </c>
      <c r="R2619">
        <f>Data!L2635</f>
        <v>0</v>
      </c>
      <c r="S2619">
        <f>Data!M2635</f>
        <v>0</v>
      </c>
      <c r="T2619">
        <f>Data!N2635</f>
        <v>0</v>
      </c>
      <c r="U2619">
        <f>Data!O2635</f>
        <v>0</v>
      </c>
      <c r="V2619" s="33">
        <f>Data!P2633</f>
        <v>0</v>
      </c>
    </row>
    <row r="2620" spans="7:22" x14ac:dyDescent="0.25">
      <c r="G2620" cm="1">
        <f t="array" aca="1" ref="G2620" ca="1">INDIRECT("Data!A" &amp; 2615)</f>
        <v>0</v>
      </c>
      <c r="H2620" s="21">
        <f>Data!B2632</f>
        <v>0</v>
      </c>
      <c r="I2620" s="21">
        <f>Data!C2632</f>
        <v>0</v>
      </c>
      <c r="J2620">
        <f>Data!D2632</f>
        <v>0</v>
      </c>
      <c r="K2620">
        <f>Data!E2632</f>
        <v>0</v>
      </c>
      <c r="L2620">
        <f>Data!F2632</f>
        <v>0</v>
      </c>
      <c r="M2620">
        <f>Data!G2632</f>
        <v>0</v>
      </c>
      <c r="N2620">
        <f>Data!H2632</f>
        <v>0</v>
      </c>
      <c r="O2620">
        <f>Data!I2632</f>
        <v>0</v>
      </c>
      <c r="P2620" s="21">
        <f>Data!J2636</f>
        <v>0</v>
      </c>
      <c r="Q2620">
        <f>Data!K2636</f>
        <v>0</v>
      </c>
      <c r="R2620">
        <f>Data!L2636</f>
        <v>0</v>
      </c>
      <c r="S2620">
        <f>Data!M2636</f>
        <v>0</v>
      </c>
      <c r="T2620">
        <f>Data!N2636</f>
        <v>0</v>
      </c>
      <c r="U2620">
        <f>Data!O2636</f>
        <v>0</v>
      </c>
      <c r="V2620" s="33">
        <f>Data!P2634</f>
        <v>0</v>
      </c>
    </row>
    <row r="2621" spans="7:22" x14ac:dyDescent="0.25">
      <c r="G2621" cm="1">
        <f t="array" aca="1" ref="G2621" ca="1">INDIRECT("Data!A" &amp; 2616)</f>
        <v>0</v>
      </c>
      <c r="H2621" s="21">
        <f>Data!B2633</f>
        <v>0</v>
      </c>
      <c r="I2621" s="21">
        <f>Data!C2633</f>
        <v>0</v>
      </c>
      <c r="J2621">
        <f>Data!D2633</f>
        <v>0</v>
      </c>
      <c r="K2621">
        <f>Data!E2633</f>
        <v>0</v>
      </c>
      <c r="L2621">
        <f>Data!F2633</f>
        <v>0</v>
      </c>
      <c r="M2621">
        <f>Data!G2633</f>
        <v>0</v>
      </c>
      <c r="N2621">
        <f>Data!H2633</f>
        <v>0</v>
      </c>
      <c r="O2621">
        <f>Data!I2633</f>
        <v>0</v>
      </c>
      <c r="P2621" s="21">
        <f>Data!J2637</f>
        <v>0</v>
      </c>
      <c r="Q2621">
        <f>Data!K2637</f>
        <v>0</v>
      </c>
      <c r="R2621">
        <f>Data!L2637</f>
        <v>0</v>
      </c>
      <c r="S2621">
        <f>Data!M2637</f>
        <v>0</v>
      </c>
      <c r="T2621">
        <f>Data!N2637</f>
        <v>0</v>
      </c>
      <c r="U2621">
        <f>Data!O2637</f>
        <v>0</v>
      </c>
      <c r="V2621" s="33">
        <f>Data!P2635</f>
        <v>0</v>
      </c>
    </row>
    <row r="2622" spans="7:22" x14ac:dyDescent="0.25">
      <c r="G2622" cm="1">
        <f t="array" aca="1" ref="G2622" ca="1">INDIRECT("Data!A" &amp; 2617)</f>
        <v>0</v>
      </c>
      <c r="H2622" s="21">
        <f>Data!B2634</f>
        <v>0</v>
      </c>
      <c r="I2622" s="21">
        <f>Data!C2634</f>
        <v>0</v>
      </c>
      <c r="J2622">
        <f>Data!D2634</f>
        <v>0</v>
      </c>
      <c r="K2622">
        <f>Data!E2634</f>
        <v>0</v>
      </c>
      <c r="L2622">
        <f>Data!F2634</f>
        <v>0</v>
      </c>
      <c r="M2622">
        <f>Data!G2634</f>
        <v>0</v>
      </c>
      <c r="N2622">
        <f>Data!H2634</f>
        <v>0</v>
      </c>
      <c r="O2622">
        <f>Data!I2634</f>
        <v>0</v>
      </c>
      <c r="P2622" s="21">
        <f>Data!J2638</f>
        <v>0</v>
      </c>
      <c r="Q2622">
        <f>Data!K2638</f>
        <v>0</v>
      </c>
      <c r="R2622">
        <f>Data!L2638</f>
        <v>0</v>
      </c>
      <c r="S2622">
        <f>Data!M2638</f>
        <v>0</v>
      </c>
      <c r="T2622">
        <f>Data!N2638</f>
        <v>0</v>
      </c>
      <c r="U2622">
        <f>Data!O2638</f>
        <v>0</v>
      </c>
      <c r="V2622" s="33">
        <f>Data!P2636</f>
        <v>0</v>
      </c>
    </row>
    <row r="2623" spans="7:22" x14ac:dyDescent="0.25">
      <c r="G2623" cm="1">
        <f t="array" aca="1" ref="G2623" ca="1">INDIRECT("Data!A" &amp; 2618)</f>
        <v>0</v>
      </c>
      <c r="H2623" s="21">
        <f>Data!B2635</f>
        <v>0</v>
      </c>
      <c r="I2623" s="21">
        <f>Data!C2635</f>
        <v>0</v>
      </c>
      <c r="J2623">
        <f>Data!D2635</f>
        <v>0</v>
      </c>
      <c r="K2623">
        <f>Data!E2635</f>
        <v>0</v>
      </c>
      <c r="L2623">
        <f>Data!F2635</f>
        <v>0</v>
      </c>
      <c r="M2623">
        <f>Data!G2635</f>
        <v>0</v>
      </c>
      <c r="N2623">
        <f>Data!H2635</f>
        <v>0</v>
      </c>
      <c r="O2623">
        <f>Data!I2635</f>
        <v>0</v>
      </c>
      <c r="P2623" s="21">
        <f>Data!J2639</f>
        <v>0</v>
      </c>
      <c r="Q2623">
        <f>Data!K2639</f>
        <v>0</v>
      </c>
      <c r="R2623">
        <f>Data!L2639</f>
        <v>0</v>
      </c>
      <c r="S2623">
        <f>Data!M2639</f>
        <v>0</v>
      </c>
      <c r="T2623">
        <f>Data!N2639</f>
        <v>0</v>
      </c>
      <c r="U2623">
        <f>Data!O2639</f>
        <v>0</v>
      </c>
      <c r="V2623" s="33">
        <f>Data!P2637</f>
        <v>0</v>
      </c>
    </row>
    <row r="2624" spans="7:22" x14ac:dyDescent="0.25">
      <c r="G2624" cm="1">
        <f t="array" aca="1" ref="G2624" ca="1">INDIRECT("Data!A" &amp; 2619)</f>
        <v>0</v>
      </c>
      <c r="H2624" s="21">
        <f>Data!B2636</f>
        <v>0</v>
      </c>
      <c r="I2624" s="21">
        <f>Data!C2636</f>
        <v>0</v>
      </c>
      <c r="J2624">
        <f>Data!D2636</f>
        <v>0</v>
      </c>
      <c r="K2624">
        <f>Data!E2636</f>
        <v>0</v>
      </c>
      <c r="L2624">
        <f>Data!F2636</f>
        <v>0</v>
      </c>
      <c r="M2624">
        <f>Data!G2636</f>
        <v>0</v>
      </c>
      <c r="N2624">
        <f>Data!H2636</f>
        <v>0</v>
      </c>
      <c r="O2624">
        <f>Data!I2636</f>
        <v>0</v>
      </c>
      <c r="P2624" s="21">
        <f>Data!J2640</f>
        <v>0</v>
      </c>
      <c r="Q2624">
        <f>Data!K2640</f>
        <v>0</v>
      </c>
      <c r="R2624">
        <f>Data!L2640</f>
        <v>0</v>
      </c>
      <c r="S2624">
        <f>Data!M2640</f>
        <v>0</v>
      </c>
      <c r="T2624">
        <f>Data!N2640</f>
        <v>0</v>
      </c>
      <c r="U2624">
        <f>Data!O2640</f>
        <v>0</v>
      </c>
      <c r="V2624" s="33">
        <f>Data!P2638</f>
        <v>0</v>
      </c>
    </row>
    <row r="2625" spans="7:22" x14ac:dyDescent="0.25">
      <c r="G2625" cm="1">
        <f t="array" aca="1" ref="G2625" ca="1">INDIRECT("Data!A" &amp; 2620)</f>
        <v>0</v>
      </c>
      <c r="H2625" s="21">
        <f>Data!B2637</f>
        <v>0</v>
      </c>
      <c r="I2625" s="21">
        <f>Data!C2637</f>
        <v>0</v>
      </c>
      <c r="J2625">
        <f>Data!D2637</f>
        <v>0</v>
      </c>
      <c r="K2625">
        <f>Data!E2637</f>
        <v>0</v>
      </c>
      <c r="L2625">
        <f>Data!F2637</f>
        <v>0</v>
      </c>
      <c r="M2625">
        <f>Data!G2637</f>
        <v>0</v>
      </c>
      <c r="N2625">
        <f>Data!H2637</f>
        <v>0</v>
      </c>
      <c r="O2625">
        <f>Data!I2637</f>
        <v>0</v>
      </c>
      <c r="P2625" s="21">
        <f>Data!J2641</f>
        <v>0</v>
      </c>
      <c r="Q2625">
        <f>Data!K2641</f>
        <v>0</v>
      </c>
      <c r="R2625">
        <f>Data!L2641</f>
        <v>0</v>
      </c>
      <c r="S2625">
        <f>Data!M2641</f>
        <v>0</v>
      </c>
      <c r="T2625">
        <f>Data!N2641</f>
        <v>0</v>
      </c>
      <c r="U2625">
        <f>Data!O2641</f>
        <v>0</v>
      </c>
      <c r="V2625" s="33">
        <f>Data!P2639</f>
        <v>0</v>
      </c>
    </row>
    <row r="2626" spans="7:22" x14ac:dyDescent="0.25">
      <c r="G2626" cm="1">
        <f t="array" aca="1" ref="G2626" ca="1">INDIRECT("Data!A" &amp; 2621)</f>
        <v>0</v>
      </c>
      <c r="H2626" s="21">
        <f>Data!B2638</f>
        <v>0</v>
      </c>
      <c r="I2626" s="21">
        <f>Data!C2638</f>
        <v>0</v>
      </c>
      <c r="J2626">
        <f>Data!D2638</f>
        <v>0</v>
      </c>
      <c r="K2626">
        <f>Data!E2638</f>
        <v>0</v>
      </c>
      <c r="L2626">
        <f>Data!F2638</f>
        <v>0</v>
      </c>
      <c r="M2626">
        <f>Data!G2638</f>
        <v>0</v>
      </c>
      <c r="N2626">
        <f>Data!H2638</f>
        <v>0</v>
      </c>
      <c r="O2626">
        <f>Data!I2638</f>
        <v>0</v>
      </c>
      <c r="P2626" s="21">
        <f>Data!J2642</f>
        <v>0</v>
      </c>
      <c r="Q2626">
        <f>Data!K2642</f>
        <v>0</v>
      </c>
      <c r="R2626">
        <f>Data!L2642</f>
        <v>0</v>
      </c>
      <c r="S2626">
        <f>Data!M2642</f>
        <v>0</v>
      </c>
      <c r="T2626">
        <f>Data!N2642</f>
        <v>0</v>
      </c>
      <c r="U2626">
        <f>Data!O2642</f>
        <v>0</v>
      </c>
      <c r="V2626" s="33">
        <f>Data!P2640</f>
        <v>0</v>
      </c>
    </row>
    <row r="2627" spans="7:22" x14ac:dyDescent="0.25">
      <c r="G2627" cm="1">
        <f t="array" aca="1" ref="G2627" ca="1">INDIRECT("Data!A" &amp; 2622)</f>
        <v>0</v>
      </c>
      <c r="H2627" s="21">
        <f>Data!B2639</f>
        <v>0</v>
      </c>
      <c r="I2627" s="21">
        <f>Data!C2639</f>
        <v>0</v>
      </c>
      <c r="J2627">
        <f>Data!D2639</f>
        <v>0</v>
      </c>
      <c r="K2627">
        <f>Data!E2639</f>
        <v>0</v>
      </c>
      <c r="L2627">
        <f>Data!F2639</f>
        <v>0</v>
      </c>
      <c r="M2627">
        <f>Data!G2639</f>
        <v>0</v>
      </c>
      <c r="N2627">
        <f>Data!H2639</f>
        <v>0</v>
      </c>
      <c r="O2627">
        <f>Data!I2639</f>
        <v>0</v>
      </c>
      <c r="P2627" s="21">
        <f>Data!J2643</f>
        <v>0</v>
      </c>
      <c r="Q2627">
        <f>Data!K2643</f>
        <v>0</v>
      </c>
      <c r="R2627">
        <f>Data!L2643</f>
        <v>0</v>
      </c>
      <c r="S2627">
        <f>Data!M2643</f>
        <v>0</v>
      </c>
      <c r="T2627">
        <f>Data!N2643</f>
        <v>0</v>
      </c>
      <c r="U2627">
        <f>Data!O2643</f>
        <v>0</v>
      </c>
      <c r="V2627" s="33">
        <f>Data!P2641</f>
        <v>0</v>
      </c>
    </row>
    <row r="2628" spans="7:22" x14ac:dyDescent="0.25">
      <c r="G2628" cm="1">
        <f t="array" aca="1" ref="G2628" ca="1">INDIRECT("Data!A" &amp; 2623)</f>
        <v>0</v>
      </c>
      <c r="H2628" s="21">
        <f>Data!B2640</f>
        <v>0</v>
      </c>
      <c r="I2628" s="21">
        <f>Data!C2640</f>
        <v>0</v>
      </c>
      <c r="J2628">
        <f>Data!D2640</f>
        <v>0</v>
      </c>
      <c r="K2628">
        <f>Data!E2640</f>
        <v>0</v>
      </c>
      <c r="L2628">
        <f>Data!F2640</f>
        <v>0</v>
      </c>
      <c r="M2628">
        <f>Data!G2640</f>
        <v>0</v>
      </c>
      <c r="N2628">
        <f>Data!H2640</f>
        <v>0</v>
      </c>
      <c r="O2628">
        <f>Data!I2640</f>
        <v>0</v>
      </c>
      <c r="P2628" s="21">
        <f>Data!J2644</f>
        <v>0</v>
      </c>
      <c r="Q2628">
        <f>Data!K2644</f>
        <v>0</v>
      </c>
      <c r="R2628">
        <f>Data!L2644</f>
        <v>0</v>
      </c>
      <c r="S2628">
        <f>Data!M2644</f>
        <v>0</v>
      </c>
      <c r="T2628">
        <f>Data!N2644</f>
        <v>0</v>
      </c>
      <c r="U2628">
        <f>Data!O2644</f>
        <v>0</v>
      </c>
      <c r="V2628" s="33">
        <f>Data!P2642</f>
        <v>0</v>
      </c>
    </row>
    <row r="2629" spans="7:22" x14ac:dyDescent="0.25">
      <c r="G2629" cm="1">
        <f t="array" aca="1" ref="G2629" ca="1">INDIRECT("Data!A" &amp; 2624)</f>
        <v>0</v>
      </c>
      <c r="H2629" s="21">
        <f>Data!B2641</f>
        <v>0</v>
      </c>
      <c r="I2629" s="21">
        <f>Data!C2641</f>
        <v>0</v>
      </c>
      <c r="J2629">
        <f>Data!D2641</f>
        <v>0</v>
      </c>
      <c r="K2629">
        <f>Data!E2641</f>
        <v>0</v>
      </c>
      <c r="L2629">
        <f>Data!F2641</f>
        <v>0</v>
      </c>
      <c r="M2629">
        <f>Data!G2641</f>
        <v>0</v>
      </c>
      <c r="N2629">
        <f>Data!H2641</f>
        <v>0</v>
      </c>
      <c r="O2629">
        <f>Data!I2641</f>
        <v>0</v>
      </c>
      <c r="P2629" s="21">
        <f>Data!J2645</f>
        <v>0</v>
      </c>
      <c r="Q2629">
        <f>Data!K2645</f>
        <v>0</v>
      </c>
      <c r="R2629">
        <f>Data!L2645</f>
        <v>0</v>
      </c>
      <c r="S2629">
        <f>Data!M2645</f>
        <v>0</v>
      </c>
      <c r="T2629">
        <f>Data!N2645</f>
        <v>0</v>
      </c>
      <c r="U2629">
        <f>Data!O2645</f>
        <v>0</v>
      </c>
      <c r="V2629" s="33">
        <f>Data!P2643</f>
        <v>0</v>
      </c>
    </row>
    <row r="2630" spans="7:22" x14ac:dyDescent="0.25">
      <c r="G2630" cm="1">
        <f t="array" aca="1" ref="G2630" ca="1">INDIRECT("Data!A" &amp; 2625)</f>
        <v>0</v>
      </c>
      <c r="H2630" s="21">
        <f>Data!B2642</f>
        <v>0</v>
      </c>
      <c r="I2630" s="21">
        <f>Data!C2642</f>
        <v>0</v>
      </c>
      <c r="J2630">
        <f>Data!D2642</f>
        <v>0</v>
      </c>
      <c r="K2630">
        <f>Data!E2642</f>
        <v>0</v>
      </c>
      <c r="L2630">
        <f>Data!F2642</f>
        <v>0</v>
      </c>
      <c r="M2630">
        <f>Data!G2642</f>
        <v>0</v>
      </c>
      <c r="N2630">
        <f>Data!H2642</f>
        <v>0</v>
      </c>
      <c r="O2630">
        <f>Data!I2642</f>
        <v>0</v>
      </c>
      <c r="P2630" s="21">
        <f>Data!J2646</f>
        <v>0</v>
      </c>
      <c r="Q2630">
        <f>Data!K2646</f>
        <v>0</v>
      </c>
      <c r="R2630">
        <f>Data!L2646</f>
        <v>0</v>
      </c>
      <c r="S2630">
        <f>Data!M2646</f>
        <v>0</v>
      </c>
      <c r="T2630">
        <f>Data!N2646</f>
        <v>0</v>
      </c>
      <c r="U2630">
        <f>Data!O2646</f>
        <v>0</v>
      </c>
      <c r="V2630" s="33">
        <f>Data!P2644</f>
        <v>0</v>
      </c>
    </row>
    <row r="2631" spans="7:22" x14ac:dyDescent="0.25">
      <c r="G2631" cm="1">
        <f t="array" aca="1" ref="G2631" ca="1">INDIRECT("Data!A" &amp; 2626)</f>
        <v>0</v>
      </c>
      <c r="H2631" s="21">
        <f>Data!B2643</f>
        <v>0</v>
      </c>
      <c r="I2631" s="21">
        <f>Data!C2643</f>
        <v>0</v>
      </c>
      <c r="J2631">
        <f>Data!D2643</f>
        <v>0</v>
      </c>
      <c r="K2631">
        <f>Data!E2643</f>
        <v>0</v>
      </c>
      <c r="L2631">
        <f>Data!F2643</f>
        <v>0</v>
      </c>
      <c r="M2631">
        <f>Data!G2643</f>
        <v>0</v>
      </c>
      <c r="N2631">
        <f>Data!H2643</f>
        <v>0</v>
      </c>
      <c r="O2631">
        <f>Data!I2643</f>
        <v>0</v>
      </c>
      <c r="P2631" s="21">
        <f>Data!J2647</f>
        <v>0</v>
      </c>
      <c r="Q2631">
        <f>Data!K2647</f>
        <v>0</v>
      </c>
      <c r="R2631">
        <f>Data!L2647</f>
        <v>0</v>
      </c>
      <c r="S2631">
        <f>Data!M2647</f>
        <v>0</v>
      </c>
      <c r="T2631">
        <f>Data!N2647</f>
        <v>0</v>
      </c>
      <c r="U2631">
        <f>Data!O2647</f>
        <v>0</v>
      </c>
      <c r="V2631" s="33">
        <f>Data!P2645</f>
        <v>0</v>
      </c>
    </row>
    <row r="2632" spans="7:22" x14ac:dyDescent="0.25">
      <c r="G2632" cm="1">
        <f t="array" aca="1" ref="G2632" ca="1">INDIRECT("Data!A" &amp; 2627)</f>
        <v>0</v>
      </c>
      <c r="H2632" s="21">
        <f>Data!B2644</f>
        <v>0</v>
      </c>
      <c r="I2632" s="21">
        <f>Data!C2644</f>
        <v>0</v>
      </c>
      <c r="J2632">
        <f>Data!D2644</f>
        <v>0</v>
      </c>
      <c r="K2632">
        <f>Data!E2644</f>
        <v>0</v>
      </c>
      <c r="L2632">
        <f>Data!F2644</f>
        <v>0</v>
      </c>
      <c r="M2632">
        <f>Data!G2644</f>
        <v>0</v>
      </c>
      <c r="N2632">
        <f>Data!H2644</f>
        <v>0</v>
      </c>
      <c r="O2632">
        <f>Data!I2644</f>
        <v>0</v>
      </c>
      <c r="P2632" s="21">
        <f>Data!J2648</f>
        <v>0</v>
      </c>
      <c r="Q2632">
        <f>Data!K2648</f>
        <v>0</v>
      </c>
      <c r="R2632">
        <f>Data!L2648</f>
        <v>0</v>
      </c>
      <c r="S2632">
        <f>Data!M2648</f>
        <v>0</v>
      </c>
      <c r="T2632">
        <f>Data!N2648</f>
        <v>0</v>
      </c>
      <c r="U2632">
        <f>Data!O2648</f>
        <v>0</v>
      </c>
      <c r="V2632" s="33">
        <f>Data!P2646</f>
        <v>0</v>
      </c>
    </row>
    <row r="2633" spans="7:22" x14ac:dyDescent="0.25">
      <c r="G2633" cm="1">
        <f t="array" aca="1" ref="G2633" ca="1">INDIRECT("Data!A" &amp; 2628)</f>
        <v>0</v>
      </c>
      <c r="H2633" s="21">
        <f>Data!B2645</f>
        <v>0</v>
      </c>
      <c r="I2633" s="21">
        <f>Data!C2645</f>
        <v>0</v>
      </c>
      <c r="J2633">
        <f>Data!D2645</f>
        <v>0</v>
      </c>
      <c r="K2633">
        <f>Data!E2645</f>
        <v>0</v>
      </c>
      <c r="L2633">
        <f>Data!F2645</f>
        <v>0</v>
      </c>
      <c r="M2633">
        <f>Data!G2645</f>
        <v>0</v>
      </c>
      <c r="N2633">
        <f>Data!H2645</f>
        <v>0</v>
      </c>
      <c r="O2633">
        <f>Data!I2645</f>
        <v>0</v>
      </c>
      <c r="P2633" s="21">
        <f>Data!J2649</f>
        <v>0</v>
      </c>
      <c r="Q2633">
        <f>Data!K2649</f>
        <v>0</v>
      </c>
      <c r="R2633">
        <f>Data!L2649</f>
        <v>0</v>
      </c>
      <c r="S2633">
        <f>Data!M2649</f>
        <v>0</v>
      </c>
      <c r="T2633">
        <f>Data!N2649</f>
        <v>0</v>
      </c>
      <c r="U2633">
        <f>Data!O2649</f>
        <v>0</v>
      </c>
      <c r="V2633" s="33">
        <f>Data!P2647</f>
        <v>0</v>
      </c>
    </row>
    <row r="2634" spans="7:22" x14ac:dyDescent="0.25">
      <c r="G2634" cm="1">
        <f t="array" aca="1" ref="G2634" ca="1">INDIRECT("Data!A" &amp; 2629)</f>
        <v>0</v>
      </c>
      <c r="H2634" s="21">
        <f>Data!B2646</f>
        <v>0</v>
      </c>
      <c r="I2634" s="21">
        <f>Data!C2646</f>
        <v>0</v>
      </c>
      <c r="J2634">
        <f>Data!D2646</f>
        <v>0</v>
      </c>
      <c r="K2634">
        <f>Data!E2646</f>
        <v>0</v>
      </c>
      <c r="L2634">
        <f>Data!F2646</f>
        <v>0</v>
      </c>
      <c r="M2634">
        <f>Data!G2646</f>
        <v>0</v>
      </c>
      <c r="N2634">
        <f>Data!H2646</f>
        <v>0</v>
      </c>
      <c r="O2634">
        <f>Data!I2646</f>
        <v>0</v>
      </c>
      <c r="P2634" s="21">
        <f>Data!J2650</f>
        <v>0</v>
      </c>
      <c r="Q2634">
        <f>Data!K2650</f>
        <v>0</v>
      </c>
      <c r="R2634">
        <f>Data!L2650</f>
        <v>0</v>
      </c>
      <c r="S2634">
        <f>Data!M2650</f>
        <v>0</v>
      </c>
      <c r="T2634">
        <f>Data!N2650</f>
        <v>0</v>
      </c>
      <c r="U2634">
        <f>Data!O2650</f>
        <v>0</v>
      </c>
      <c r="V2634" s="33">
        <f>Data!P2648</f>
        <v>0</v>
      </c>
    </row>
    <row r="2635" spans="7:22" x14ac:dyDescent="0.25">
      <c r="G2635" cm="1">
        <f t="array" aca="1" ref="G2635" ca="1">INDIRECT("Data!A" &amp; 2630)</f>
        <v>0</v>
      </c>
      <c r="H2635" s="21">
        <f>Data!B2647</f>
        <v>0</v>
      </c>
      <c r="I2635" s="21">
        <f>Data!C2647</f>
        <v>0</v>
      </c>
      <c r="J2635">
        <f>Data!D2647</f>
        <v>0</v>
      </c>
      <c r="K2635">
        <f>Data!E2647</f>
        <v>0</v>
      </c>
      <c r="L2635">
        <f>Data!F2647</f>
        <v>0</v>
      </c>
      <c r="M2635">
        <f>Data!G2647</f>
        <v>0</v>
      </c>
      <c r="N2635">
        <f>Data!H2647</f>
        <v>0</v>
      </c>
      <c r="O2635">
        <f>Data!I2647</f>
        <v>0</v>
      </c>
      <c r="P2635" s="21">
        <f>Data!J2651</f>
        <v>0</v>
      </c>
      <c r="Q2635">
        <f>Data!K2651</f>
        <v>0</v>
      </c>
      <c r="R2635">
        <f>Data!L2651</f>
        <v>0</v>
      </c>
      <c r="S2635">
        <f>Data!M2651</f>
        <v>0</v>
      </c>
      <c r="T2635">
        <f>Data!N2651</f>
        <v>0</v>
      </c>
      <c r="U2635">
        <f>Data!O2651</f>
        <v>0</v>
      </c>
      <c r="V2635" s="33">
        <f>Data!P2649</f>
        <v>0</v>
      </c>
    </row>
    <row r="2636" spans="7:22" x14ac:dyDescent="0.25">
      <c r="G2636" cm="1">
        <f t="array" aca="1" ref="G2636" ca="1">INDIRECT("Data!A" &amp; 2631)</f>
        <v>0</v>
      </c>
      <c r="H2636" s="21">
        <f>Data!B2648</f>
        <v>0</v>
      </c>
      <c r="I2636" s="21">
        <f>Data!C2648</f>
        <v>0</v>
      </c>
      <c r="J2636">
        <f>Data!D2648</f>
        <v>0</v>
      </c>
      <c r="K2636">
        <f>Data!E2648</f>
        <v>0</v>
      </c>
      <c r="L2636">
        <f>Data!F2648</f>
        <v>0</v>
      </c>
      <c r="M2636">
        <f>Data!G2648</f>
        <v>0</v>
      </c>
      <c r="N2636">
        <f>Data!H2648</f>
        <v>0</v>
      </c>
      <c r="O2636">
        <f>Data!I2648</f>
        <v>0</v>
      </c>
      <c r="P2636" s="21">
        <f>Data!J2652</f>
        <v>0</v>
      </c>
      <c r="Q2636">
        <f>Data!K2652</f>
        <v>0</v>
      </c>
      <c r="R2636">
        <f>Data!L2652</f>
        <v>0</v>
      </c>
      <c r="S2636">
        <f>Data!M2652</f>
        <v>0</v>
      </c>
      <c r="T2636">
        <f>Data!N2652</f>
        <v>0</v>
      </c>
      <c r="U2636">
        <f>Data!O2652</f>
        <v>0</v>
      </c>
      <c r="V2636" s="33">
        <f>Data!P2650</f>
        <v>0</v>
      </c>
    </row>
    <row r="2637" spans="7:22" x14ac:dyDescent="0.25">
      <c r="G2637" cm="1">
        <f t="array" aca="1" ref="G2637" ca="1">INDIRECT("Data!A" &amp; 2632)</f>
        <v>0</v>
      </c>
      <c r="H2637" s="21">
        <f>Data!B2649</f>
        <v>0</v>
      </c>
      <c r="I2637" s="21">
        <f>Data!C2649</f>
        <v>0</v>
      </c>
      <c r="J2637">
        <f>Data!D2649</f>
        <v>0</v>
      </c>
      <c r="K2637">
        <f>Data!E2649</f>
        <v>0</v>
      </c>
      <c r="L2637">
        <f>Data!F2649</f>
        <v>0</v>
      </c>
      <c r="M2637">
        <f>Data!G2649</f>
        <v>0</v>
      </c>
      <c r="N2637">
        <f>Data!H2649</f>
        <v>0</v>
      </c>
      <c r="O2637">
        <f>Data!I2649</f>
        <v>0</v>
      </c>
      <c r="P2637" s="21">
        <f>Data!J2653</f>
        <v>0</v>
      </c>
      <c r="Q2637">
        <f>Data!K2653</f>
        <v>0</v>
      </c>
      <c r="R2637">
        <f>Data!L2653</f>
        <v>0</v>
      </c>
      <c r="S2637">
        <f>Data!M2653</f>
        <v>0</v>
      </c>
      <c r="T2637">
        <f>Data!N2653</f>
        <v>0</v>
      </c>
      <c r="U2637">
        <f>Data!O2653</f>
        <v>0</v>
      </c>
      <c r="V2637" s="33">
        <f>Data!P2651</f>
        <v>0</v>
      </c>
    </row>
    <row r="2638" spans="7:22" x14ac:dyDescent="0.25">
      <c r="G2638" cm="1">
        <f t="array" aca="1" ref="G2638" ca="1">INDIRECT("Data!A" &amp; 2633)</f>
        <v>0</v>
      </c>
      <c r="H2638" s="21">
        <f>Data!B2650</f>
        <v>0</v>
      </c>
      <c r="I2638" s="21">
        <f>Data!C2650</f>
        <v>0</v>
      </c>
      <c r="J2638">
        <f>Data!D2650</f>
        <v>0</v>
      </c>
      <c r="K2638">
        <f>Data!E2650</f>
        <v>0</v>
      </c>
      <c r="L2638">
        <f>Data!F2650</f>
        <v>0</v>
      </c>
      <c r="M2638">
        <f>Data!G2650</f>
        <v>0</v>
      </c>
      <c r="N2638">
        <f>Data!H2650</f>
        <v>0</v>
      </c>
      <c r="O2638">
        <f>Data!I2650</f>
        <v>0</v>
      </c>
      <c r="P2638" s="21">
        <f>Data!J2654</f>
        <v>0</v>
      </c>
      <c r="Q2638">
        <f>Data!K2654</f>
        <v>0</v>
      </c>
      <c r="R2638">
        <f>Data!L2654</f>
        <v>0</v>
      </c>
      <c r="S2638">
        <f>Data!M2654</f>
        <v>0</v>
      </c>
      <c r="T2638">
        <f>Data!N2654</f>
        <v>0</v>
      </c>
      <c r="U2638">
        <f>Data!O2654</f>
        <v>0</v>
      </c>
      <c r="V2638" s="33">
        <f>Data!P2652</f>
        <v>0</v>
      </c>
    </row>
    <row r="2639" spans="7:22" x14ac:dyDescent="0.25">
      <c r="G2639" cm="1">
        <f t="array" aca="1" ref="G2639" ca="1">INDIRECT("Data!A" &amp; 2634)</f>
        <v>0</v>
      </c>
      <c r="H2639" s="21">
        <f>Data!B2651</f>
        <v>0</v>
      </c>
      <c r="I2639" s="21">
        <f>Data!C2651</f>
        <v>0</v>
      </c>
      <c r="J2639">
        <f>Data!D2651</f>
        <v>0</v>
      </c>
      <c r="K2639">
        <f>Data!E2651</f>
        <v>0</v>
      </c>
      <c r="L2639">
        <f>Data!F2651</f>
        <v>0</v>
      </c>
      <c r="M2639">
        <f>Data!G2651</f>
        <v>0</v>
      </c>
      <c r="N2639">
        <f>Data!H2651</f>
        <v>0</v>
      </c>
      <c r="O2639">
        <f>Data!I2651</f>
        <v>0</v>
      </c>
      <c r="P2639" s="21">
        <f>Data!J2655</f>
        <v>0</v>
      </c>
      <c r="Q2639">
        <f>Data!K2655</f>
        <v>0</v>
      </c>
      <c r="R2639">
        <f>Data!L2655</f>
        <v>0</v>
      </c>
      <c r="S2639">
        <f>Data!M2655</f>
        <v>0</v>
      </c>
      <c r="T2639">
        <f>Data!N2655</f>
        <v>0</v>
      </c>
      <c r="U2639">
        <f>Data!O2655</f>
        <v>0</v>
      </c>
      <c r="V2639" s="33">
        <f>Data!P2653</f>
        <v>0</v>
      </c>
    </row>
    <row r="2640" spans="7:22" x14ac:dyDescent="0.25">
      <c r="G2640" cm="1">
        <f t="array" aca="1" ref="G2640" ca="1">INDIRECT("Data!A" &amp; 2635)</f>
        <v>0</v>
      </c>
      <c r="H2640" s="21">
        <f>Data!B2652</f>
        <v>0</v>
      </c>
      <c r="I2640" s="21">
        <f>Data!C2652</f>
        <v>0</v>
      </c>
      <c r="J2640">
        <f>Data!D2652</f>
        <v>0</v>
      </c>
      <c r="K2640">
        <f>Data!E2652</f>
        <v>0</v>
      </c>
      <c r="L2640">
        <f>Data!F2652</f>
        <v>0</v>
      </c>
      <c r="M2640">
        <f>Data!G2652</f>
        <v>0</v>
      </c>
      <c r="N2640">
        <f>Data!H2652</f>
        <v>0</v>
      </c>
      <c r="O2640">
        <f>Data!I2652</f>
        <v>0</v>
      </c>
      <c r="P2640" s="21">
        <f>Data!J2656</f>
        <v>0</v>
      </c>
      <c r="Q2640">
        <f>Data!K2656</f>
        <v>0</v>
      </c>
      <c r="R2640">
        <f>Data!L2656</f>
        <v>0</v>
      </c>
      <c r="S2640">
        <f>Data!M2656</f>
        <v>0</v>
      </c>
      <c r="T2640">
        <f>Data!N2656</f>
        <v>0</v>
      </c>
      <c r="U2640">
        <f>Data!O2656</f>
        <v>0</v>
      </c>
      <c r="V2640" s="33">
        <f>Data!P2654</f>
        <v>0</v>
      </c>
    </row>
    <row r="2641" spans="7:22" x14ac:dyDescent="0.25">
      <c r="G2641" cm="1">
        <f t="array" aca="1" ref="G2641" ca="1">INDIRECT("Data!A" &amp; 2636)</f>
        <v>0</v>
      </c>
      <c r="H2641" s="21">
        <f>Data!B2653</f>
        <v>0</v>
      </c>
      <c r="I2641" s="21">
        <f>Data!C2653</f>
        <v>0</v>
      </c>
      <c r="J2641">
        <f>Data!D2653</f>
        <v>0</v>
      </c>
      <c r="K2641">
        <f>Data!E2653</f>
        <v>0</v>
      </c>
      <c r="L2641">
        <f>Data!F2653</f>
        <v>0</v>
      </c>
      <c r="M2641">
        <f>Data!G2653</f>
        <v>0</v>
      </c>
      <c r="N2641">
        <f>Data!H2653</f>
        <v>0</v>
      </c>
      <c r="O2641">
        <f>Data!I2653</f>
        <v>0</v>
      </c>
      <c r="P2641" s="21">
        <f>Data!J2657</f>
        <v>0</v>
      </c>
      <c r="Q2641">
        <f>Data!K2657</f>
        <v>0</v>
      </c>
      <c r="R2641">
        <f>Data!L2657</f>
        <v>0</v>
      </c>
      <c r="S2641">
        <f>Data!M2657</f>
        <v>0</v>
      </c>
      <c r="T2641">
        <f>Data!N2657</f>
        <v>0</v>
      </c>
      <c r="U2641">
        <f>Data!O2657</f>
        <v>0</v>
      </c>
      <c r="V2641" s="33">
        <f>Data!P2655</f>
        <v>0</v>
      </c>
    </row>
    <row r="2642" spans="7:22" x14ac:dyDescent="0.25">
      <c r="G2642" cm="1">
        <f t="array" aca="1" ref="G2642" ca="1">INDIRECT("Data!A" &amp; 2637)</f>
        <v>0</v>
      </c>
      <c r="H2642" s="21">
        <f>Data!B2654</f>
        <v>0</v>
      </c>
      <c r="I2642" s="21">
        <f>Data!C2654</f>
        <v>0</v>
      </c>
      <c r="J2642">
        <f>Data!D2654</f>
        <v>0</v>
      </c>
      <c r="K2642">
        <f>Data!E2654</f>
        <v>0</v>
      </c>
      <c r="L2642">
        <f>Data!F2654</f>
        <v>0</v>
      </c>
      <c r="M2642">
        <f>Data!G2654</f>
        <v>0</v>
      </c>
      <c r="N2642">
        <f>Data!H2654</f>
        <v>0</v>
      </c>
      <c r="O2642">
        <f>Data!I2654</f>
        <v>0</v>
      </c>
      <c r="P2642" s="21">
        <f>Data!J2658</f>
        <v>0</v>
      </c>
      <c r="Q2642">
        <f>Data!K2658</f>
        <v>0</v>
      </c>
      <c r="R2642">
        <f>Data!L2658</f>
        <v>0</v>
      </c>
      <c r="S2642">
        <f>Data!M2658</f>
        <v>0</v>
      </c>
      <c r="T2642">
        <f>Data!N2658</f>
        <v>0</v>
      </c>
      <c r="U2642">
        <f>Data!O2658</f>
        <v>0</v>
      </c>
      <c r="V2642" s="33">
        <f>Data!P2656</f>
        <v>0</v>
      </c>
    </row>
    <row r="2643" spans="7:22" x14ac:dyDescent="0.25">
      <c r="G2643" cm="1">
        <f t="array" aca="1" ref="G2643" ca="1">INDIRECT("Data!A" &amp; 2638)</f>
        <v>0</v>
      </c>
      <c r="H2643" s="21">
        <f>Data!B2655</f>
        <v>0</v>
      </c>
      <c r="I2643" s="21">
        <f>Data!C2655</f>
        <v>0</v>
      </c>
      <c r="J2643">
        <f>Data!D2655</f>
        <v>0</v>
      </c>
      <c r="K2643">
        <f>Data!E2655</f>
        <v>0</v>
      </c>
      <c r="L2643">
        <f>Data!F2655</f>
        <v>0</v>
      </c>
      <c r="M2643">
        <f>Data!G2655</f>
        <v>0</v>
      </c>
      <c r="N2643">
        <f>Data!H2655</f>
        <v>0</v>
      </c>
      <c r="O2643">
        <f>Data!I2655</f>
        <v>0</v>
      </c>
      <c r="P2643" s="21">
        <f>Data!J2659</f>
        <v>0</v>
      </c>
      <c r="Q2643">
        <f>Data!K2659</f>
        <v>0</v>
      </c>
      <c r="R2643">
        <f>Data!L2659</f>
        <v>0</v>
      </c>
      <c r="S2643">
        <f>Data!M2659</f>
        <v>0</v>
      </c>
      <c r="T2643">
        <f>Data!N2659</f>
        <v>0</v>
      </c>
      <c r="U2643">
        <f>Data!O2659</f>
        <v>0</v>
      </c>
      <c r="V2643" s="33">
        <f>Data!P2657</f>
        <v>0</v>
      </c>
    </row>
    <row r="2644" spans="7:22" x14ac:dyDescent="0.25">
      <c r="G2644" cm="1">
        <f t="array" aca="1" ref="G2644" ca="1">INDIRECT("Data!A" &amp; 2639)</f>
        <v>0</v>
      </c>
      <c r="H2644" s="21">
        <f>Data!B2656</f>
        <v>0</v>
      </c>
      <c r="I2644" s="21">
        <f>Data!C2656</f>
        <v>0</v>
      </c>
      <c r="J2644">
        <f>Data!D2656</f>
        <v>0</v>
      </c>
      <c r="K2644">
        <f>Data!E2656</f>
        <v>0</v>
      </c>
      <c r="L2644">
        <f>Data!F2656</f>
        <v>0</v>
      </c>
      <c r="M2644">
        <f>Data!G2656</f>
        <v>0</v>
      </c>
      <c r="N2644">
        <f>Data!H2656</f>
        <v>0</v>
      </c>
      <c r="O2644">
        <f>Data!I2656</f>
        <v>0</v>
      </c>
      <c r="P2644" s="21">
        <f>Data!J2660</f>
        <v>0</v>
      </c>
      <c r="Q2644">
        <f>Data!K2660</f>
        <v>0</v>
      </c>
      <c r="R2644">
        <f>Data!L2660</f>
        <v>0</v>
      </c>
      <c r="S2644">
        <f>Data!M2660</f>
        <v>0</v>
      </c>
      <c r="T2644">
        <f>Data!N2660</f>
        <v>0</v>
      </c>
      <c r="U2644">
        <f>Data!O2660</f>
        <v>0</v>
      </c>
      <c r="V2644" s="33">
        <f>Data!P2658</f>
        <v>0</v>
      </c>
    </row>
    <row r="2645" spans="7:22" x14ac:dyDescent="0.25">
      <c r="G2645" cm="1">
        <f t="array" aca="1" ref="G2645" ca="1">INDIRECT("Data!A" &amp; 2640)</f>
        <v>0</v>
      </c>
      <c r="H2645" s="21">
        <f>Data!B2657</f>
        <v>0</v>
      </c>
      <c r="I2645" s="21">
        <f>Data!C2657</f>
        <v>0</v>
      </c>
      <c r="J2645">
        <f>Data!D2657</f>
        <v>0</v>
      </c>
      <c r="K2645">
        <f>Data!E2657</f>
        <v>0</v>
      </c>
      <c r="L2645">
        <f>Data!F2657</f>
        <v>0</v>
      </c>
      <c r="M2645">
        <f>Data!G2657</f>
        <v>0</v>
      </c>
      <c r="N2645">
        <f>Data!H2657</f>
        <v>0</v>
      </c>
      <c r="O2645">
        <f>Data!I2657</f>
        <v>0</v>
      </c>
      <c r="P2645" s="21">
        <f>Data!J2661</f>
        <v>0</v>
      </c>
      <c r="Q2645">
        <f>Data!K2661</f>
        <v>0</v>
      </c>
      <c r="R2645">
        <f>Data!L2661</f>
        <v>0</v>
      </c>
      <c r="S2645">
        <f>Data!M2661</f>
        <v>0</v>
      </c>
      <c r="T2645">
        <f>Data!N2661</f>
        <v>0</v>
      </c>
      <c r="U2645">
        <f>Data!O2661</f>
        <v>0</v>
      </c>
      <c r="V2645" s="33">
        <f>Data!P2659</f>
        <v>0</v>
      </c>
    </row>
    <row r="2646" spans="7:22" x14ac:dyDescent="0.25">
      <c r="G2646" cm="1">
        <f t="array" aca="1" ref="G2646" ca="1">INDIRECT("Data!A" &amp; 2641)</f>
        <v>0</v>
      </c>
      <c r="H2646" s="21">
        <f>Data!B2658</f>
        <v>0</v>
      </c>
      <c r="I2646" s="21">
        <f>Data!C2658</f>
        <v>0</v>
      </c>
      <c r="J2646">
        <f>Data!D2658</f>
        <v>0</v>
      </c>
      <c r="K2646">
        <f>Data!E2658</f>
        <v>0</v>
      </c>
      <c r="L2646">
        <f>Data!F2658</f>
        <v>0</v>
      </c>
      <c r="M2646">
        <f>Data!G2658</f>
        <v>0</v>
      </c>
      <c r="N2646">
        <f>Data!H2658</f>
        <v>0</v>
      </c>
      <c r="O2646">
        <f>Data!I2658</f>
        <v>0</v>
      </c>
      <c r="P2646" s="21">
        <f>Data!J2662</f>
        <v>0</v>
      </c>
      <c r="Q2646">
        <f>Data!K2662</f>
        <v>0</v>
      </c>
      <c r="R2646">
        <f>Data!L2662</f>
        <v>0</v>
      </c>
      <c r="S2646">
        <f>Data!M2662</f>
        <v>0</v>
      </c>
      <c r="T2646">
        <f>Data!N2662</f>
        <v>0</v>
      </c>
      <c r="U2646">
        <f>Data!O2662</f>
        <v>0</v>
      </c>
      <c r="V2646" s="33">
        <f>Data!P2660</f>
        <v>0</v>
      </c>
    </row>
    <row r="2647" spans="7:22" x14ac:dyDescent="0.25">
      <c r="G2647" cm="1">
        <f t="array" aca="1" ref="G2647" ca="1">INDIRECT("Data!A" &amp; 2642)</f>
        <v>0</v>
      </c>
      <c r="H2647" s="21">
        <f>Data!B2659</f>
        <v>0</v>
      </c>
      <c r="I2647" s="21">
        <f>Data!C2659</f>
        <v>0</v>
      </c>
      <c r="J2647">
        <f>Data!D2659</f>
        <v>0</v>
      </c>
      <c r="K2647">
        <f>Data!E2659</f>
        <v>0</v>
      </c>
      <c r="L2647">
        <f>Data!F2659</f>
        <v>0</v>
      </c>
      <c r="M2647">
        <f>Data!G2659</f>
        <v>0</v>
      </c>
      <c r="N2647">
        <f>Data!H2659</f>
        <v>0</v>
      </c>
      <c r="O2647">
        <f>Data!I2659</f>
        <v>0</v>
      </c>
      <c r="P2647" s="21">
        <f>Data!J2663</f>
        <v>0</v>
      </c>
      <c r="Q2647">
        <f>Data!K2663</f>
        <v>0</v>
      </c>
      <c r="R2647">
        <f>Data!L2663</f>
        <v>0</v>
      </c>
      <c r="S2647">
        <f>Data!M2663</f>
        <v>0</v>
      </c>
      <c r="T2647">
        <f>Data!N2663</f>
        <v>0</v>
      </c>
      <c r="U2647">
        <f>Data!O2663</f>
        <v>0</v>
      </c>
      <c r="V2647" s="33">
        <f>Data!P2661</f>
        <v>0</v>
      </c>
    </row>
    <row r="2648" spans="7:22" x14ac:dyDescent="0.25">
      <c r="G2648" cm="1">
        <f t="array" aca="1" ref="G2648" ca="1">INDIRECT("Data!A" &amp; 2643)</f>
        <v>0</v>
      </c>
      <c r="H2648" s="21">
        <f>Data!B2660</f>
        <v>0</v>
      </c>
      <c r="I2648" s="21">
        <f>Data!C2660</f>
        <v>0</v>
      </c>
      <c r="J2648">
        <f>Data!D2660</f>
        <v>0</v>
      </c>
      <c r="K2648">
        <f>Data!E2660</f>
        <v>0</v>
      </c>
      <c r="L2648">
        <f>Data!F2660</f>
        <v>0</v>
      </c>
      <c r="M2648">
        <f>Data!G2660</f>
        <v>0</v>
      </c>
      <c r="N2648">
        <f>Data!H2660</f>
        <v>0</v>
      </c>
      <c r="O2648">
        <f>Data!I2660</f>
        <v>0</v>
      </c>
      <c r="P2648" s="21">
        <f>Data!J2664</f>
        <v>0</v>
      </c>
      <c r="Q2648">
        <f>Data!K2664</f>
        <v>0</v>
      </c>
      <c r="R2648">
        <f>Data!L2664</f>
        <v>0</v>
      </c>
      <c r="S2648">
        <f>Data!M2664</f>
        <v>0</v>
      </c>
      <c r="T2648">
        <f>Data!N2664</f>
        <v>0</v>
      </c>
      <c r="U2648">
        <f>Data!O2664</f>
        <v>0</v>
      </c>
      <c r="V2648" s="33">
        <f>Data!P2662</f>
        <v>0</v>
      </c>
    </row>
    <row r="2649" spans="7:22" x14ac:dyDescent="0.25">
      <c r="G2649" cm="1">
        <f t="array" aca="1" ref="G2649" ca="1">INDIRECT("Data!A" &amp; 2644)</f>
        <v>0</v>
      </c>
      <c r="H2649" s="21">
        <f>Data!B2661</f>
        <v>0</v>
      </c>
      <c r="I2649" s="21">
        <f>Data!C2661</f>
        <v>0</v>
      </c>
      <c r="J2649">
        <f>Data!D2661</f>
        <v>0</v>
      </c>
      <c r="K2649">
        <f>Data!E2661</f>
        <v>0</v>
      </c>
      <c r="L2649">
        <f>Data!F2661</f>
        <v>0</v>
      </c>
      <c r="M2649">
        <f>Data!G2661</f>
        <v>0</v>
      </c>
      <c r="N2649">
        <f>Data!H2661</f>
        <v>0</v>
      </c>
      <c r="O2649">
        <f>Data!I2661</f>
        <v>0</v>
      </c>
      <c r="P2649" s="21">
        <f>Data!J2665</f>
        <v>0</v>
      </c>
      <c r="Q2649">
        <f>Data!K2665</f>
        <v>0</v>
      </c>
      <c r="R2649">
        <f>Data!L2665</f>
        <v>0</v>
      </c>
      <c r="S2649">
        <f>Data!M2665</f>
        <v>0</v>
      </c>
      <c r="T2649">
        <f>Data!N2665</f>
        <v>0</v>
      </c>
      <c r="U2649">
        <f>Data!O2665</f>
        <v>0</v>
      </c>
      <c r="V2649" s="33">
        <f>Data!P2663</f>
        <v>0</v>
      </c>
    </row>
    <row r="2650" spans="7:22" x14ac:dyDescent="0.25">
      <c r="G2650" cm="1">
        <f t="array" aca="1" ref="G2650" ca="1">INDIRECT("Data!A" &amp; 2645)</f>
        <v>0</v>
      </c>
      <c r="H2650" s="21">
        <f>Data!B2662</f>
        <v>0</v>
      </c>
      <c r="I2650" s="21">
        <f>Data!C2662</f>
        <v>0</v>
      </c>
      <c r="J2650">
        <f>Data!D2662</f>
        <v>0</v>
      </c>
      <c r="K2650">
        <f>Data!E2662</f>
        <v>0</v>
      </c>
      <c r="L2650">
        <f>Data!F2662</f>
        <v>0</v>
      </c>
      <c r="M2650">
        <f>Data!G2662</f>
        <v>0</v>
      </c>
      <c r="N2650">
        <f>Data!H2662</f>
        <v>0</v>
      </c>
      <c r="O2650">
        <f>Data!I2662</f>
        <v>0</v>
      </c>
      <c r="P2650" s="21">
        <f>Data!J2666</f>
        <v>0</v>
      </c>
      <c r="Q2650">
        <f>Data!K2666</f>
        <v>0</v>
      </c>
      <c r="R2650">
        <f>Data!L2666</f>
        <v>0</v>
      </c>
      <c r="S2650">
        <f>Data!M2666</f>
        <v>0</v>
      </c>
      <c r="T2650">
        <f>Data!N2666</f>
        <v>0</v>
      </c>
      <c r="U2650">
        <f>Data!O2666</f>
        <v>0</v>
      </c>
      <c r="V2650" s="33">
        <f>Data!P2664</f>
        <v>0</v>
      </c>
    </row>
    <row r="2651" spans="7:22" x14ac:dyDescent="0.25">
      <c r="G2651" cm="1">
        <f t="array" aca="1" ref="G2651" ca="1">INDIRECT("Data!A" &amp; 2646)</f>
        <v>0</v>
      </c>
      <c r="H2651" s="21">
        <f>Data!B2663</f>
        <v>0</v>
      </c>
      <c r="I2651" s="21">
        <f>Data!C2663</f>
        <v>0</v>
      </c>
      <c r="J2651">
        <f>Data!D2663</f>
        <v>0</v>
      </c>
      <c r="K2651">
        <f>Data!E2663</f>
        <v>0</v>
      </c>
      <c r="L2651">
        <f>Data!F2663</f>
        <v>0</v>
      </c>
      <c r="M2651">
        <f>Data!G2663</f>
        <v>0</v>
      </c>
      <c r="N2651">
        <f>Data!H2663</f>
        <v>0</v>
      </c>
      <c r="O2651">
        <f>Data!I2663</f>
        <v>0</v>
      </c>
      <c r="P2651" s="21">
        <f>Data!J2667</f>
        <v>0</v>
      </c>
      <c r="Q2651">
        <f>Data!K2667</f>
        <v>0</v>
      </c>
      <c r="R2651">
        <f>Data!L2667</f>
        <v>0</v>
      </c>
      <c r="S2651">
        <f>Data!M2667</f>
        <v>0</v>
      </c>
      <c r="T2651">
        <f>Data!N2667</f>
        <v>0</v>
      </c>
      <c r="U2651">
        <f>Data!O2667</f>
        <v>0</v>
      </c>
      <c r="V2651" s="33">
        <f>Data!P2665</f>
        <v>0</v>
      </c>
    </row>
    <row r="2652" spans="7:22" x14ac:dyDescent="0.25">
      <c r="G2652" cm="1">
        <f t="array" aca="1" ref="G2652" ca="1">INDIRECT("Data!A" &amp; 2647)</f>
        <v>0</v>
      </c>
      <c r="H2652" s="21">
        <f>Data!B2664</f>
        <v>0</v>
      </c>
      <c r="I2652" s="21">
        <f>Data!C2664</f>
        <v>0</v>
      </c>
      <c r="J2652">
        <f>Data!D2664</f>
        <v>0</v>
      </c>
      <c r="K2652">
        <f>Data!E2664</f>
        <v>0</v>
      </c>
      <c r="L2652">
        <f>Data!F2664</f>
        <v>0</v>
      </c>
      <c r="M2652">
        <f>Data!G2664</f>
        <v>0</v>
      </c>
      <c r="N2652">
        <f>Data!H2664</f>
        <v>0</v>
      </c>
      <c r="O2652">
        <f>Data!I2664</f>
        <v>0</v>
      </c>
      <c r="P2652" s="21">
        <f>Data!J2668</f>
        <v>0</v>
      </c>
      <c r="Q2652">
        <f>Data!K2668</f>
        <v>0</v>
      </c>
      <c r="R2652">
        <f>Data!L2668</f>
        <v>0</v>
      </c>
      <c r="S2652">
        <f>Data!M2668</f>
        <v>0</v>
      </c>
      <c r="T2652">
        <f>Data!N2668</f>
        <v>0</v>
      </c>
      <c r="U2652">
        <f>Data!O2668</f>
        <v>0</v>
      </c>
      <c r="V2652" s="33">
        <f>Data!P2666</f>
        <v>0</v>
      </c>
    </row>
    <row r="2653" spans="7:22" x14ac:dyDescent="0.25">
      <c r="G2653" cm="1">
        <f t="array" aca="1" ref="G2653" ca="1">INDIRECT("Data!A" &amp; 2648)</f>
        <v>0</v>
      </c>
      <c r="H2653" s="21">
        <f>Data!B2665</f>
        <v>0</v>
      </c>
      <c r="I2653" s="21">
        <f>Data!C2665</f>
        <v>0</v>
      </c>
      <c r="J2653">
        <f>Data!D2665</f>
        <v>0</v>
      </c>
      <c r="K2653">
        <f>Data!E2665</f>
        <v>0</v>
      </c>
      <c r="L2653">
        <f>Data!F2665</f>
        <v>0</v>
      </c>
      <c r="M2653">
        <f>Data!G2665</f>
        <v>0</v>
      </c>
      <c r="N2653">
        <f>Data!H2665</f>
        <v>0</v>
      </c>
      <c r="O2653">
        <f>Data!I2665</f>
        <v>0</v>
      </c>
      <c r="P2653" s="21">
        <f>Data!J2669</f>
        <v>0</v>
      </c>
      <c r="Q2653">
        <f>Data!K2669</f>
        <v>0</v>
      </c>
      <c r="R2653">
        <f>Data!L2669</f>
        <v>0</v>
      </c>
      <c r="S2653">
        <f>Data!M2669</f>
        <v>0</v>
      </c>
      <c r="T2653">
        <f>Data!N2669</f>
        <v>0</v>
      </c>
      <c r="U2653">
        <f>Data!O2669</f>
        <v>0</v>
      </c>
      <c r="V2653" s="33">
        <f>Data!P2667</f>
        <v>0</v>
      </c>
    </row>
    <row r="2654" spans="7:22" x14ac:dyDescent="0.25">
      <c r="G2654" cm="1">
        <f t="array" aca="1" ref="G2654" ca="1">INDIRECT("Data!A" &amp; 2649)</f>
        <v>0</v>
      </c>
      <c r="H2654" s="21">
        <f>Data!B2666</f>
        <v>0</v>
      </c>
      <c r="I2654" s="21">
        <f>Data!C2666</f>
        <v>0</v>
      </c>
      <c r="J2654">
        <f>Data!D2666</f>
        <v>0</v>
      </c>
      <c r="K2654">
        <f>Data!E2666</f>
        <v>0</v>
      </c>
      <c r="L2654">
        <f>Data!F2666</f>
        <v>0</v>
      </c>
      <c r="M2654">
        <f>Data!G2666</f>
        <v>0</v>
      </c>
      <c r="N2654">
        <f>Data!H2666</f>
        <v>0</v>
      </c>
      <c r="O2654">
        <f>Data!I2666</f>
        <v>0</v>
      </c>
      <c r="P2654" s="21">
        <f>Data!J2670</f>
        <v>0</v>
      </c>
      <c r="Q2654">
        <f>Data!K2670</f>
        <v>0</v>
      </c>
      <c r="R2654">
        <f>Data!L2670</f>
        <v>0</v>
      </c>
      <c r="S2654">
        <f>Data!M2670</f>
        <v>0</v>
      </c>
      <c r="T2654">
        <f>Data!N2670</f>
        <v>0</v>
      </c>
      <c r="U2654">
        <f>Data!O2670</f>
        <v>0</v>
      </c>
      <c r="V2654" s="33">
        <f>Data!P2668</f>
        <v>0</v>
      </c>
    </row>
    <row r="2655" spans="7:22" x14ac:dyDescent="0.25">
      <c r="G2655" cm="1">
        <f t="array" aca="1" ref="G2655" ca="1">INDIRECT("Data!A" &amp; 2650)</f>
        <v>0</v>
      </c>
      <c r="H2655" s="21">
        <f>Data!B2667</f>
        <v>0</v>
      </c>
      <c r="I2655" s="21">
        <f>Data!C2667</f>
        <v>0</v>
      </c>
      <c r="J2655">
        <f>Data!D2667</f>
        <v>0</v>
      </c>
      <c r="K2655">
        <f>Data!E2667</f>
        <v>0</v>
      </c>
      <c r="L2655">
        <f>Data!F2667</f>
        <v>0</v>
      </c>
      <c r="M2655">
        <f>Data!G2667</f>
        <v>0</v>
      </c>
      <c r="N2655">
        <f>Data!H2667</f>
        <v>0</v>
      </c>
      <c r="O2655">
        <f>Data!I2667</f>
        <v>0</v>
      </c>
      <c r="P2655" s="21">
        <f>Data!J2671</f>
        <v>0</v>
      </c>
      <c r="Q2655">
        <f>Data!K2671</f>
        <v>0</v>
      </c>
      <c r="R2655">
        <f>Data!L2671</f>
        <v>0</v>
      </c>
      <c r="S2655">
        <f>Data!M2671</f>
        <v>0</v>
      </c>
      <c r="T2655">
        <f>Data!N2671</f>
        <v>0</v>
      </c>
      <c r="U2655">
        <f>Data!O2671</f>
        <v>0</v>
      </c>
      <c r="V2655" s="33">
        <f>Data!P2669</f>
        <v>0</v>
      </c>
    </row>
    <row r="2656" spans="7:22" x14ac:dyDescent="0.25">
      <c r="G2656" cm="1">
        <f t="array" aca="1" ref="G2656" ca="1">INDIRECT("Data!A" &amp; 2651)</f>
        <v>0</v>
      </c>
      <c r="H2656" s="21">
        <f>Data!B2668</f>
        <v>0</v>
      </c>
      <c r="I2656" s="21">
        <f>Data!C2668</f>
        <v>0</v>
      </c>
      <c r="J2656">
        <f>Data!D2668</f>
        <v>0</v>
      </c>
      <c r="K2656">
        <f>Data!E2668</f>
        <v>0</v>
      </c>
      <c r="L2656">
        <f>Data!F2668</f>
        <v>0</v>
      </c>
      <c r="M2656">
        <f>Data!G2668</f>
        <v>0</v>
      </c>
      <c r="N2656">
        <f>Data!H2668</f>
        <v>0</v>
      </c>
      <c r="O2656">
        <f>Data!I2668</f>
        <v>0</v>
      </c>
      <c r="P2656" s="21">
        <f>Data!J2672</f>
        <v>0</v>
      </c>
      <c r="Q2656">
        <f>Data!K2672</f>
        <v>0</v>
      </c>
      <c r="R2656">
        <f>Data!L2672</f>
        <v>0</v>
      </c>
      <c r="S2656">
        <f>Data!M2672</f>
        <v>0</v>
      </c>
      <c r="T2656">
        <f>Data!N2672</f>
        <v>0</v>
      </c>
      <c r="U2656">
        <f>Data!O2672</f>
        <v>0</v>
      </c>
      <c r="V2656" s="33">
        <f>Data!P2670</f>
        <v>0</v>
      </c>
    </row>
    <row r="2657" spans="7:22" x14ac:dyDescent="0.25">
      <c r="G2657" cm="1">
        <f t="array" aca="1" ref="G2657" ca="1">INDIRECT("Data!A" &amp; 2652)</f>
        <v>0</v>
      </c>
      <c r="H2657" s="21">
        <f>Data!B2669</f>
        <v>0</v>
      </c>
      <c r="I2657" s="21">
        <f>Data!C2669</f>
        <v>0</v>
      </c>
      <c r="J2657">
        <f>Data!D2669</f>
        <v>0</v>
      </c>
      <c r="K2657">
        <f>Data!E2669</f>
        <v>0</v>
      </c>
      <c r="L2657">
        <f>Data!F2669</f>
        <v>0</v>
      </c>
      <c r="M2657">
        <f>Data!G2669</f>
        <v>0</v>
      </c>
      <c r="N2657">
        <f>Data!H2669</f>
        <v>0</v>
      </c>
      <c r="O2657">
        <f>Data!I2669</f>
        <v>0</v>
      </c>
      <c r="P2657" s="21">
        <f>Data!J2673</f>
        <v>0</v>
      </c>
      <c r="Q2657">
        <f>Data!K2673</f>
        <v>0</v>
      </c>
      <c r="R2657">
        <f>Data!L2673</f>
        <v>0</v>
      </c>
      <c r="S2657">
        <f>Data!M2673</f>
        <v>0</v>
      </c>
      <c r="T2657">
        <f>Data!N2673</f>
        <v>0</v>
      </c>
      <c r="U2657">
        <f>Data!O2673</f>
        <v>0</v>
      </c>
      <c r="V2657" s="33">
        <f>Data!P2671</f>
        <v>0</v>
      </c>
    </row>
    <row r="2658" spans="7:22" x14ac:dyDescent="0.25">
      <c r="G2658" cm="1">
        <f t="array" aca="1" ref="G2658" ca="1">INDIRECT("Data!A" &amp; 2653)</f>
        <v>0</v>
      </c>
      <c r="H2658" s="21">
        <f>Data!B2670</f>
        <v>0</v>
      </c>
      <c r="I2658" s="21">
        <f>Data!C2670</f>
        <v>0</v>
      </c>
      <c r="J2658">
        <f>Data!D2670</f>
        <v>0</v>
      </c>
      <c r="K2658">
        <f>Data!E2670</f>
        <v>0</v>
      </c>
      <c r="L2658">
        <f>Data!F2670</f>
        <v>0</v>
      </c>
      <c r="M2658">
        <f>Data!G2670</f>
        <v>0</v>
      </c>
      <c r="N2658">
        <f>Data!H2670</f>
        <v>0</v>
      </c>
      <c r="O2658">
        <f>Data!I2670</f>
        <v>0</v>
      </c>
      <c r="P2658" s="21">
        <f>Data!J2674</f>
        <v>0</v>
      </c>
      <c r="Q2658">
        <f>Data!K2674</f>
        <v>0</v>
      </c>
      <c r="R2658">
        <f>Data!L2674</f>
        <v>0</v>
      </c>
      <c r="S2658">
        <f>Data!M2674</f>
        <v>0</v>
      </c>
      <c r="T2658">
        <f>Data!N2674</f>
        <v>0</v>
      </c>
      <c r="U2658">
        <f>Data!O2674</f>
        <v>0</v>
      </c>
      <c r="V2658" s="33">
        <f>Data!P2672</f>
        <v>0</v>
      </c>
    </row>
    <row r="2659" spans="7:22" x14ac:dyDescent="0.25">
      <c r="G2659" cm="1">
        <f t="array" aca="1" ref="G2659" ca="1">INDIRECT("Data!A" &amp; 2654)</f>
        <v>0</v>
      </c>
      <c r="H2659" s="21">
        <f>Data!B2671</f>
        <v>0</v>
      </c>
      <c r="I2659" s="21">
        <f>Data!C2671</f>
        <v>0</v>
      </c>
      <c r="J2659">
        <f>Data!D2671</f>
        <v>0</v>
      </c>
      <c r="K2659">
        <f>Data!E2671</f>
        <v>0</v>
      </c>
      <c r="L2659">
        <f>Data!F2671</f>
        <v>0</v>
      </c>
      <c r="M2659">
        <f>Data!G2671</f>
        <v>0</v>
      </c>
      <c r="N2659">
        <f>Data!H2671</f>
        <v>0</v>
      </c>
      <c r="O2659">
        <f>Data!I2671</f>
        <v>0</v>
      </c>
      <c r="P2659" s="21">
        <f>Data!J2675</f>
        <v>0</v>
      </c>
      <c r="Q2659">
        <f>Data!K2675</f>
        <v>0</v>
      </c>
      <c r="R2659">
        <f>Data!L2675</f>
        <v>0</v>
      </c>
      <c r="S2659">
        <f>Data!M2675</f>
        <v>0</v>
      </c>
      <c r="T2659">
        <f>Data!N2675</f>
        <v>0</v>
      </c>
      <c r="U2659">
        <f>Data!O2675</f>
        <v>0</v>
      </c>
      <c r="V2659" s="33">
        <f>Data!P2673</f>
        <v>0</v>
      </c>
    </row>
    <row r="2660" spans="7:22" x14ac:dyDescent="0.25">
      <c r="G2660" cm="1">
        <f t="array" aca="1" ref="G2660" ca="1">INDIRECT("Data!A" &amp; 2655)</f>
        <v>0</v>
      </c>
      <c r="H2660" s="21">
        <f>Data!B2672</f>
        <v>0</v>
      </c>
      <c r="I2660" s="21">
        <f>Data!C2672</f>
        <v>0</v>
      </c>
      <c r="J2660">
        <f>Data!D2672</f>
        <v>0</v>
      </c>
      <c r="K2660">
        <f>Data!E2672</f>
        <v>0</v>
      </c>
      <c r="L2660">
        <f>Data!F2672</f>
        <v>0</v>
      </c>
      <c r="M2660">
        <f>Data!G2672</f>
        <v>0</v>
      </c>
      <c r="N2660">
        <f>Data!H2672</f>
        <v>0</v>
      </c>
      <c r="O2660">
        <f>Data!I2672</f>
        <v>0</v>
      </c>
      <c r="P2660" s="21">
        <f>Data!J2676</f>
        <v>0</v>
      </c>
      <c r="Q2660">
        <f>Data!K2676</f>
        <v>0</v>
      </c>
      <c r="R2660">
        <f>Data!L2676</f>
        <v>0</v>
      </c>
      <c r="S2660">
        <f>Data!M2676</f>
        <v>0</v>
      </c>
      <c r="T2660">
        <f>Data!N2676</f>
        <v>0</v>
      </c>
      <c r="U2660">
        <f>Data!O2676</f>
        <v>0</v>
      </c>
      <c r="V2660" s="33">
        <f>Data!P2674</f>
        <v>0</v>
      </c>
    </row>
    <row r="2661" spans="7:22" x14ac:dyDescent="0.25">
      <c r="G2661" cm="1">
        <f t="array" aca="1" ref="G2661" ca="1">INDIRECT("Data!A" &amp; 2656)</f>
        <v>0</v>
      </c>
      <c r="H2661" s="21">
        <f>Data!B2673</f>
        <v>0</v>
      </c>
      <c r="I2661" s="21">
        <f>Data!C2673</f>
        <v>0</v>
      </c>
      <c r="J2661">
        <f>Data!D2673</f>
        <v>0</v>
      </c>
      <c r="K2661">
        <f>Data!E2673</f>
        <v>0</v>
      </c>
      <c r="L2661">
        <f>Data!F2673</f>
        <v>0</v>
      </c>
      <c r="M2661">
        <f>Data!G2673</f>
        <v>0</v>
      </c>
      <c r="N2661">
        <f>Data!H2673</f>
        <v>0</v>
      </c>
      <c r="O2661">
        <f>Data!I2673</f>
        <v>0</v>
      </c>
      <c r="P2661" s="21">
        <f>Data!J2677</f>
        <v>0</v>
      </c>
      <c r="Q2661">
        <f>Data!K2677</f>
        <v>0</v>
      </c>
      <c r="R2661">
        <f>Data!L2677</f>
        <v>0</v>
      </c>
      <c r="S2661">
        <f>Data!M2677</f>
        <v>0</v>
      </c>
      <c r="T2661">
        <f>Data!N2677</f>
        <v>0</v>
      </c>
      <c r="U2661">
        <f>Data!O2677</f>
        <v>0</v>
      </c>
      <c r="V2661" s="33">
        <f>Data!P2675</f>
        <v>0</v>
      </c>
    </row>
    <row r="2662" spans="7:22" x14ac:dyDescent="0.25">
      <c r="G2662" cm="1">
        <f t="array" aca="1" ref="G2662" ca="1">INDIRECT("Data!A" &amp; 2657)</f>
        <v>0</v>
      </c>
      <c r="H2662" s="21">
        <f>Data!B2674</f>
        <v>0</v>
      </c>
      <c r="I2662" s="21">
        <f>Data!C2674</f>
        <v>0</v>
      </c>
      <c r="J2662">
        <f>Data!D2674</f>
        <v>0</v>
      </c>
      <c r="K2662">
        <f>Data!E2674</f>
        <v>0</v>
      </c>
      <c r="L2662">
        <f>Data!F2674</f>
        <v>0</v>
      </c>
      <c r="M2662">
        <f>Data!G2674</f>
        <v>0</v>
      </c>
      <c r="N2662">
        <f>Data!H2674</f>
        <v>0</v>
      </c>
      <c r="O2662">
        <f>Data!I2674</f>
        <v>0</v>
      </c>
      <c r="P2662" s="21">
        <f>Data!J2678</f>
        <v>0</v>
      </c>
      <c r="Q2662">
        <f>Data!K2678</f>
        <v>0</v>
      </c>
      <c r="R2662">
        <f>Data!L2678</f>
        <v>0</v>
      </c>
      <c r="S2662">
        <f>Data!M2678</f>
        <v>0</v>
      </c>
      <c r="T2662">
        <f>Data!N2678</f>
        <v>0</v>
      </c>
      <c r="U2662">
        <f>Data!O2678</f>
        <v>0</v>
      </c>
      <c r="V2662" s="33">
        <f>Data!P2676</f>
        <v>0</v>
      </c>
    </row>
    <row r="2663" spans="7:22" x14ac:dyDescent="0.25">
      <c r="G2663" cm="1">
        <f t="array" aca="1" ref="G2663" ca="1">INDIRECT("Data!A" &amp; 2658)</f>
        <v>0</v>
      </c>
      <c r="H2663" s="21">
        <f>Data!B2675</f>
        <v>0</v>
      </c>
      <c r="I2663" s="21">
        <f>Data!C2675</f>
        <v>0</v>
      </c>
      <c r="J2663">
        <f>Data!D2675</f>
        <v>0</v>
      </c>
      <c r="K2663">
        <f>Data!E2675</f>
        <v>0</v>
      </c>
      <c r="L2663">
        <f>Data!F2675</f>
        <v>0</v>
      </c>
      <c r="M2663">
        <f>Data!G2675</f>
        <v>0</v>
      </c>
      <c r="N2663">
        <f>Data!H2675</f>
        <v>0</v>
      </c>
      <c r="O2663">
        <f>Data!I2675</f>
        <v>0</v>
      </c>
      <c r="P2663" s="21">
        <f>Data!J2679</f>
        <v>0</v>
      </c>
      <c r="Q2663">
        <f>Data!K2679</f>
        <v>0</v>
      </c>
      <c r="R2663">
        <f>Data!L2679</f>
        <v>0</v>
      </c>
      <c r="S2663">
        <f>Data!M2679</f>
        <v>0</v>
      </c>
      <c r="T2663">
        <f>Data!N2679</f>
        <v>0</v>
      </c>
      <c r="U2663">
        <f>Data!O2679</f>
        <v>0</v>
      </c>
      <c r="V2663" s="33">
        <f>Data!P2677</f>
        <v>0</v>
      </c>
    </row>
    <row r="2664" spans="7:22" x14ac:dyDescent="0.25">
      <c r="G2664" cm="1">
        <f t="array" aca="1" ref="G2664" ca="1">INDIRECT("Data!A" &amp; 2659)</f>
        <v>0</v>
      </c>
      <c r="H2664" s="21">
        <f>Data!B2676</f>
        <v>0</v>
      </c>
      <c r="I2664" s="21">
        <f>Data!C2676</f>
        <v>0</v>
      </c>
      <c r="J2664">
        <f>Data!D2676</f>
        <v>0</v>
      </c>
      <c r="K2664">
        <f>Data!E2676</f>
        <v>0</v>
      </c>
      <c r="L2664">
        <f>Data!F2676</f>
        <v>0</v>
      </c>
      <c r="M2664">
        <f>Data!G2676</f>
        <v>0</v>
      </c>
      <c r="N2664">
        <f>Data!H2676</f>
        <v>0</v>
      </c>
      <c r="O2664">
        <f>Data!I2676</f>
        <v>0</v>
      </c>
      <c r="P2664" s="21">
        <f>Data!J2680</f>
        <v>0</v>
      </c>
      <c r="Q2664">
        <f>Data!K2680</f>
        <v>0</v>
      </c>
      <c r="R2664">
        <f>Data!L2680</f>
        <v>0</v>
      </c>
      <c r="S2664">
        <f>Data!M2680</f>
        <v>0</v>
      </c>
      <c r="T2664">
        <f>Data!N2680</f>
        <v>0</v>
      </c>
      <c r="U2664">
        <f>Data!O2680</f>
        <v>0</v>
      </c>
      <c r="V2664" s="33">
        <f>Data!P2678</f>
        <v>0</v>
      </c>
    </row>
    <row r="2665" spans="7:22" x14ac:dyDescent="0.25">
      <c r="G2665" cm="1">
        <f t="array" aca="1" ref="G2665" ca="1">INDIRECT("Data!A" &amp; 2660)</f>
        <v>0</v>
      </c>
      <c r="H2665" s="21">
        <f>Data!B2677</f>
        <v>0</v>
      </c>
      <c r="I2665" s="21">
        <f>Data!C2677</f>
        <v>0</v>
      </c>
      <c r="J2665">
        <f>Data!D2677</f>
        <v>0</v>
      </c>
      <c r="K2665">
        <f>Data!E2677</f>
        <v>0</v>
      </c>
      <c r="L2665">
        <f>Data!F2677</f>
        <v>0</v>
      </c>
      <c r="M2665">
        <f>Data!G2677</f>
        <v>0</v>
      </c>
      <c r="N2665">
        <f>Data!H2677</f>
        <v>0</v>
      </c>
      <c r="O2665">
        <f>Data!I2677</f>
        <v>0</v>
      </c>
      <c r="P2665" s="21">
        <f>Data!J2681</f>
        <v>0</v>
      </c>
      <c r="Q2665">
        <f>Data!K2681</f>
        <v>0</v>
      </c>
      <c r="R2665">
        <f>Data!L2681</f>
        <v>0</v>
      </c>
      <c r="S2665">
        <f>Data!M2681</f>
        <v>0</v>
      </c>
      <c r="T2665">
        <f>Data!N2681</f>
        <v>0</v>
      </c>
      <c r="U2665">
        <f>Data!O2681</f>
        <v>0</v>
      </c>
      <c r="V2665" s="33">
        <f>Data!P2679</f>
        <v>0</v>
      </c>
    </row>
    <row r="2666" spans="7:22" x14ac:dyDescent="0.25">
      <c r="G2666" cm="1">
        <f t="array" aca="1" ref="G2666" ca="1">INDIRECT("Data!A" &amp; 2661)</f>
        <v>0</v>
      </c>
      <c r="H2666" s="21">
        <f>Data!B2678</f>
        <v>0</v>
      </c>
      <c r="I2666" s="21">
        <f>Data!C2678</f>
        <v>0</v>
      </c>
      <c r="J2666">
        <f>Data!D2678</f>
        <v>0</v>
      </c>
      <c r="K2666">
        <f>Data!E2678</f>
        <v>0</v>
      </c>
      <c r="L2666">
        <f>Data!F2678</f>
        <v>0</v>
      </c>
      <c r="M2666">
        <f>Data!G2678</f>
        <v>0</v>
      </c>
      <c r="N2666">
        <f>Data!H2678</f>
        <v>0</v>
      </c>
      <c r="O2666">
        <f>Data!I2678</f>
        <v>0</v>
      </c>
      <c r="P2666" s="21">
        <f>Data!J2682</f>
        <v>0</v>
      </c>
      <c r="Q2666">
        <f>Data!K2682</f>
        <v>0</v>
      </c>
      <c r="R2666">
        <f>Data!L2682</f>
        <v>0</v>
      </c>
      <c r="S2666">
        <f>Data!M2682</f>
        <v>0</v>
      </c>
      <c r="T2666">
        <f>Data!N2682</f>
        <v>0</v>
      </c>
      <c r="U2666">
        <f>Data!O2682</f>
        <v>0</v>
      </c>
      <c r="V2666" s="33">
        <f>Data!P2680</f>
        <v>0</v>
      </c>
    </row>
    <row r="2667" spans="7:22" x14ac:dyDescent="0.25">
      <c r="G2667" cm="1">
        <f t="array" aca="1" ref="G2667" ca="1">INDIRECT("Data!A" &amp; 2662)</f>
        <v>0</v>
      </c>
      <c r="H2667" s="21">
        <f>Data!B2679</f>
        <v>0</v>
      </c>
      <c r="I2667" s="21">
        <f>Data!C2679</f>
        <v>0</v>
      </c>
      <c r="J2667">
        <f>Data!D2679</f>
        <v>0</v>
      </c>
      <c r="K2667">
        <f>Data!E2679</f>
        <v>0</v>
      </c>
      <c r="L2667">
        <f>Data!F2679</f>
        <v>0</v>
      </c>
      <c r="M2667">
        <f>Data!G2679</f>
        <v>0</v>
      </c>
      <c r="N2667">
        <f>Data!H2679</f>
        <v>0</v>
      </c>
      <c r="O2667">
        <f>Data!I2679</f>
        <v>0</v>
      </c>
      <c r="P2667" s="21">
        <f>Data!J2683</f>
        <v>0</v>
      </c>
      <c r="Q2667">
        <f>Data!K2683</f>
        <v>0</v>
      </c>
      <c r="R2667">
        <f>Data!L2683</f>
        <v>0</v>
      </c>
      <c r="S2667">
        <f>Data!M2683</f>
        <v>0</v>
      </c>
      <c r="T2667">
        <f>Data!N2683</f>
        <v>0</v>
      </c>
      <c r="U2667">
        <f>Data!O2683</f>
        <v>0</v>
      </c>
      <c r="V2667" s="33">
        <f>Data!P2681</f>
        <v>0</v>
      </c>
    </row>
    <row r="2668" spans="7:22" x14ac:dyDescent="0.25">
      <c r="G2668" cm="1">
        <f t="array" aca="1" ref="G2668" ca="1">INDIRECT("Data!A" &amp; 2663)</f>
        <v>0</v>
      </c>
      <c r="H2668" s="21">
        <f>Data!B2680</f>
        <v>0</v>
      </c>
      <c r="I2668" s="21">
        <f>Data!C2680</f>
        <v>0</v>
      </c>
      <c r="J2668">
        <f>Data!D2680</f>
        <v>0</v>
      </c>
      <c r="K2668">
        <f>Data!E2680</f>
        <v>0</v>
      </c>
      <c r="L2668">
        <f>Data!F2680</f>
        <v>0</v>
      </c>
      <c r="M2668">
        <f>Data!G2680</f>
        <v>0</v>
      </c>
      <c r="N2668">
        <f>Data!H2680</f>
        <v>0</v>
      </c>
      <c r="O2668">
        <f>Data!I2680</f>
        <v>0</v>
      </c>
      <c r="P2668" s="21">
        <f>Data!J2684</f>
        <v>0</v>
      </c>
      <c r="Q2668">
        <f>Data!K2684</f>
        <v>0</v>
      </c>
      <c r="R2668">
        <f>Data!L2684</f>
        <v>0</v>
      </c>
      <c r="S2668">
        <f>Data!M2684</f>
        <v>0</v>
      </c>
      <c r="T2668">
        <f>Data!N2684</f>
        <v>0</v>
      </c>
      <c r="U2668">
        <f>Data!O2684</f>
        <v>0</v>
      </c>
      <c r="V2668" s="33">
        <f>Data!P2682</f>
        <v>0</v>
      </c>
    </row>
    <row r="2669" spans="7:22" x14ac:dyDescent="0.25">
      <c r="G2669" cm="1">
        <f t="array" aca="1" ref="G2669" ca="1">INDIRECT("Data!A" &amp; 2664)</f>
        <v>0</v>
      </c>
      <c r="H2669" s="21">
        <f>Data!B2681</f>
        <v>0</v>
      </c>
      <c r="I2669" s="21">
        <f>Data!C2681</f>
        <v>0</v>
      </c>
      <c r="J2669">
        <f>Data!D2681</f>
        <v>0</v>
      </c>
      <c r="K2669">
        <f>Data!E2681</f>
        <v>0</v>
      </c>
      <c r="L2669">
        <f>Data!F2681</f>
        <v>0</v>
      </c>
      <c r="M2669">
        <f>Data!G2681</f>
        <v>0</v>
      </c>
      <c r="N2669">
        <f>Data!H2681</f>
        <v>0</v>
      </c>
      <c r="O2669">
        <f>Data!I2681</f>
        <v>0</v>
      </c>
      <c r="P2669" s="21">
        <f>Data!J2685</f>
        <v>0</v>
      </c>
      <c r="Q2669">
        <f>Data!K2685</f>
        <v>0</v>
      </c>
      <c r="R2669">
        <f>Data!L2685</f>
        <v>0</v>
      </c>
      <c r="S2669">
        <f>Data!M2685</f>
        <v>0</v>
      </c>
      <c r="T2669">
        <f>Data!N2685</f>
        <v>0</v>
      </c>
      <c r="U2669">
        <f>Data!O2685</f>
        <v>0</v>
      </c>
      <c r="V2669" s="33">
        <f>Data!P2683</f>
        <v>0</v>
      </c>
    </row>
    <row r="2670" spans="7:22" x14ac:dyDescent="0.25">
      <c r="G2670" cm="1">
        <f t="array" aca="1" ref="G2670" ca="1">INDIRECT("Data!A" &amp; 2665)</f>
        <v>0</v>
      </c>
      <c r="H2670" s="21">
        <f>Data!B2682</f>
        <v>0</v>
      </c>
      <c r="I2670" s="21">
        <f>Data!C2682</f>
        <v>0</v>
      </c>
      <c r="J2670">
        <f>Data!D2682</f>
        <v>0</v>
      </c>
      <c r="K2670">
        <f>Data!E2682</f>
        <v>0</v>
      </c>
      <c r="L2670">
        <f>Data!F2682</f>
        <v>0</v>
      </c>
      <c r="M2670">
        <f>Data!G2682</f>
        <v>0</v>
      </c>
      <c r="N2670">
        <f>Data!H2682</f>
        <v>0</v>
      </c>
      <c r="O2670">
        <f>Data!I2682</f>
        <v>0</v>
      </c>
      <c r="P2670" s="21">
        <f>Data!J2686</f>
        <v>0</v>
      </c>
      <c r="Q2670">
        <f>Data!K2686</f>
        <v>0</v>
      </c>
      <c r="R2670">
        <f>Data!L2686</f>
        <v>0</v>
      </c>
      <c r="S2670">
        <f>Data!M2686</f>
        <v>0</v>
      </c>
      <c r="T2670">
        <f>Data!N2686</f>
        <v>0</v>
      </c>
      <c r="U2670">
        <f>Data!O2686</f>
        <v>0</v>
      </c>
      <c r="V2670" s="33">
        <f>Data!P2684</f>
        <v>0</v>
      </c>
    </row>
    <row r="2671" spans="7:22" x14ac:dyDescent="0.25">
      <c r="G2671" cm="1">
        <f t="array" aca="1" ref="G2671" ca="1">INDIRECT("Data!A" &amp; 2666)</f>
        <v>0</v>
      </c>
      <c r="H2671" s="21">
        <f>Data!B2683</f>
        <v>0</v>
      </c>
      <c r="I2671" s="21">
        <f>Data!C2683</f>
        <v>0</v>
      </c>
      <c r="J2671">
        <f>Data!D2683</f>
        <v>0</v>
      </c>
      <c r="K2671">
        <f>Data!E2683</f>
        <v>0</v>
      </c>
      <c r="L2671">
        <f>Data!F2683</f>
        <v>0</v>
      </c>
      <c r="M2671">
        <f>Data!G2683</f>
        <v>0</v>
      </c>
      <c r="N2671">
        <f>Data!H2683</f>
        <v>0</v>
      </c>
      <c r="O2671">
        <f>Data!I2683</f>
        <v>0</v>
      </c>
      <c r="P2671" s="21">
        <f>Data!J2687</f>
        <v>0</v>
      </c>
      <c r="Q2671">
        <f>Data!K2687</f>
        <v>0</v>
      </c>
      <c r="R2671">
        <f>Data!L2687</f>
        <v>0</v>
      </c>
      <c r="S2671">
        <f>Data!M2687</f>
        <v>0</v>
      </c>
      <c r="T2671">
        <f>Data!N2687</f>
        <v>0</v>
      </c>
      <c r="U2671">
        <f>Data!O2687</f>
        <v>0</v>
      </c>
      <c r="V2671" s="33">
        <f>Data!P2685</f>
        <v>0</v>
      </c>
    </row>
    <row r="2672" spans="7:22" x14ac:dyDescent="0.25">
      <c r="G2672" cm="1">
        <f t="array" aca="1" ref="G2672" ca="1">INDIRECT("Data!A" &amp; 2667)</f>
        <v>0</v>
      </c>
      <c r="H2672" s="21">
        <f>Data!B2684</f>
        <v>0</v>
      </c>
      <c r="I2672" s="21">
        <f>Data!C2684</f>
        <v>0</v>
      </c>
      <c r="J2672">
        <f>Data!D2684</f>
        <v>0</v>
      </c>
      <c r="K2672">
        <f>Data!E2684</f>
        <v>0</v>
      </c>
      <c r="L2672">
        <f>Data!F2684</f>
        <v>0</v>
      </c>
      <c r="M2672">
        <f>Data!G2684</f>
        <v>0</v>
      </c>
      <c r="N2672">
        <f>Data!H2684</f>
        <v>0</v>
      </c>
      <c r="O2672">
        <f>Data!I2684</f>
        <v>0</v>
      </c>
      <c r="P2672" s="21">
        <f>Data!J2688</f>
        <v>0</v>
      </c>
      <c r="Q2672">
        <f>Data!K2688</f>
        <v>0</v>
      </c>
      <c r="R2672">
        <f>Data!L2688</f>
        <v>0</v>
      </c>
      <c r="S2672">
        <f>Data!M2688</f>
        <v>0</v>
      </c>
      <c r="T2672">
        <f>Data!N2688</f>
        <v>0</v>
      </c>
      <c r="U2672">
        <f>Data!O2688</f>
        <v>0</v>
      </c>
      <c r="V2672" s="33">
        <f>Data!P2686</f>
        <v>0</v>
      </c>
    </row>
    <row r="2673" spans="7:22" x14ac:dyDescent="0.25">
      <c r="G2673" cm="1">
        <f t="array" aca="1" ref="G2673" ca="1">INDIRECT("Data!A" &amp; 2668)</f>
        <v>0</v>
      </c>
      <c r="H2673" s="21">
        <f>Data!B2685</f>
        <v>0</v>
      </c>
      <c r="I2673" s="21">
        <f>Data!C2685</f>
        <v>0</v>
      </c>
      <c r="J2673">
        <f>Data!D2685</f>
        <v>0</v>
      </c>
      <c r="K2673">
        <f>Data!E2685</f>
        <v>0</v>
      </c>
      <c r="L2673">
        <f>Data!F2685</f>
        <v>0</v>
      </c>
      <c r="M2673">
        <f>Data!G2685</f>
        <v>0</v>
      </c>
      <c r="N2673">
        <f>Data!H2685</f>
        <v>0</v>
      </c>
      <c r="O2673">
        <f>Data!I2685</f>
        <v>0</v>
      </c>
      <c r="P2673" s="21">
        <f>Data!J2689</f>
        <v>0</v>
      </c>
      <c r="Q2673">
        <f>Data!K2689</f>
        <v>0</v>
      </c>
      <c r="R2673">
        <f>Data!L2689</f>
        <v>0</v>
      </c>
      <c r="S2673">
        <f>Data!M2689</f>
        <v>0</v>
      </c>
      <c r="T2673">
        <f>Data!N2689</f>
        <v>0</v>
      </c>
      <c r="U2673">
        <f>Data!O2689</f>
        <v>0</v>
      </c>
      <c r="V2673" s="33">
        <f>Data!P2687</f>
        <v>0</v>
      </c>
    </row>
    <row r="2674" spans="7:22" x14ac:dyDescent="0.25">
      <c r="G2674" cm="1">
        <f t="array" aca="1" ref="G2674" ca="1">INDIRECT("Data!A" &amp; 2669)</f>
        <v>0</v>
      </c>
      <c r="H2674" s="21">
        <f>Data!B2686</f>
        <v>0</v>
      </c>
      <c r="I2674" s="21">
        <f>Data!C2686</f>
        <v>0</v>
      </c>
      <c r="J2674">
        <f>Data!D2686</f>
        <v>0</v>
      </c>
      <c r="K2674">
        <f>Data!E2686</f>
        <v>0</v>
      </c>
      <c r="L2674">
        <f>Data!F2686</f>
        <v>0</v>
      </c>
      <c r="M2674">
        <f>Data!G2686</f>
        <v>0</v>
      </c>
      <c r="N2674">
        <f>Data!H2686</f>
        <v>0</v>
      </c>
      <c r="O2674">
        <f>Data!I2686</f>
        <v>0</v>
      </c>
      <c r="P2674" s="21">
        <f>Data!J2690</f>
        <v>0</v>
      </c>
      <c r="Q2674">
        <f>Data!K2690</f>
        <v>0</v>
      </c>
      <c r="R2674">
        <f>Data!L2690</f>
        <v>0</v>
      </c>
      <c r="S2674">
        <f>Data!M2690</f>
        <v>0</v>
      </c>
      <c r="T2674">
        <f>Data!N2690</f>
        <v>0</v>
      </c>
      <c r="U2674">
        <f>Data!O2690</f>
        <v>0</v>
      </c>
      <c r="V2674" s="33">
        <f>Data!P2688</f>
        <v>0</v>
      </c>
    </row>
    <row r="2675" spans="7:22" x14ac:dyDescent="0.25">
      <c r="G2675" cm="1">
        <f t="array" aca="1" ref="G2675" ca="1">INDIRECT("Data!A" &amp; 2670)</f>
        <v>0</v>
      </c>
      <c r="H2675" s="21">
        <f>Data!B2687</f>
        <v>0</v>
      </c>
      <c r="I2675" s="21">
        <f>Data!C2687</f>
        <v>0</v>
      </c>
      <c r="J2675">
        <f>Data!D2687</f>
        <v>0</v>
      </c>
      <c r="K2675">
        <f>Data!E2687</f>
        <v>0</v>
      </c>
      <c r="L2675">
        <f>Data!F2687</f>
        <v>0</v>
      </c>
      <c r="M2675">
        <f>Data!G2687</f>
        <v>0</v>
      </c>
      <c r="N2675">
        <f>Data!H2687</f>
        <v>0</v>
      </c>
      <c r="O2675">
        <f>Data!I2687</f>
        <v>0</v>
      </c>
      <c r="P2675" s="21">
        <f>Data!J2691</f>
        <v>0</v>
      </c>
      <c r="Q2675">
        <f>Data!K2691</f>
        <v>0</v>
      </c>
      <c r="R2675">
        <f>Data!L2691</f>
        <v>0</v>
      </c>
      <c r="S2675">
        <f>Data!M2691</f>
        <v>0</v>
      </c>
      <c r="T2675">
        <f>Data!N2691</f>
        <v>0</v>
      </c>
      <c r="U2675">
        <f>Data!O2691</f>
        <v>0</v>
      </c>
      <c r="V2675" s="33">
        <f>Data!P2689</f>
        <v>0</v>
      </c>
    </row>
    <row r="2676" spans="7:22" x14ac:dyDescent="0.25">
      <c r="G2676" cm="1">
        <f t="array" aca="1" ref="G2676" ca="1">INDIRECT("Data!A" &amp; 2671)</f>
        <v>0</v>
      </c>
      <c r="H2676" s="21">
        <f>Data!B2688</f>
        <v>0</v>
      </c>
      <c r="I2676" s="21">
        <f>Data!C2688</f>
        <v>0</v>
      </c>
      <c r="J2676">
        <f>Data!D2688</f>
        <v>0</v>
      </c>
      <c r="K2676">
        <f>Data!E2688</f>
        <v>0</v>
      </c>
      <c r="L2676">
        <f>Data!F2688</f>
        <v>0</v>
      </c>
      <c r="M2676">
        <f>Data!G2688</f>
        <v>0</v>
      </c>
      <c r="N2676">
        <f>Data!H2688</f>
        <v>0</v>
      </c>
      <c r="O2676">
        <f>Data!I2688</f>
        <v>0</v>
      </c>
      <c r="P2676" s="21">
        <f>Data!J2692</f>
        <v>0</v>
      </c>
      <c r="Q2676">
        <f>Data!K2692</f>
        <v>0</v>
      </c>
      <c r="R2676">
        <f>Data!L2692</f>
        <v>0</v>
      </c>
      <c r="S2676">
        <f>Data!M2692</f>
        <v>0</v>
      </c>
      <c r="T2676">
        <f>Data!N2692</f>
        <v>0</v>
      </c>
      <c r="U2676">
        <f>Data!O2692</f>
        <v>0</v>
      </c>
      <c r="V2676" s="33">
        <f>Data!P2690</f>
        <v>0</v>
      </c>
    </row>
    <row r="2677" spans="7:22" x14ac:dyDescent="0.25">
      <c r="G2677" cm="1">
        <f t="array" aca="1" ref="G2677" ca="1">INDIRECT("Data!A" &amp; 2672)</f>
        <v>0</v>
      </c>
      <c r="H2677" s="21">
        <f>Data!B2689</f>
        <v>0</v>
      </c>
      <c r="I2677" s="21">
        <f>Data!C2689</f>
        <v>0</v>
      </c>
      <c r="J2677">
        <f>Data!D2689</f>
        <v>0</v>
      </c>
      <c r="K2677">
        <f>Data!E2689</f>
        <v>0</v>
      </c>
      <c r="L2677">
        <f>Data!F2689</f>
        <v>0</v>
      </c>
      <c r="M2677">
        <f>Data!G2689</f>
        <v>0</v>
      </c>
      <c r="N2677">
        <f>Data!H2689</f>
        <v>0</v>
      </c>
      <c r="O2677">
        <f>Data!I2689</f>
        <v>0</v>
      </c>
      <c r="P2677" s="21">
        <f>Data!J2693</f>
        <v>0</v>
      </c>
      <c r="Q2677">
        <f>Data!K2693</f>
        <v>0</v>
      </c>
      <c r="R2677">
        <f>Data!L2693</f>
        <v>0</v>
      </c>
      <c r="S2677">
        <f>Data!M2693</f>
        <v>0</v>
      </c>
      <c r="T2677">
        <f>Data!N2693</f>
        <v>0</v>
      </c>
      <c r="U2677">
        <f>Data!O2693</f>
        <v>0</v>
      </c>
      <c r="V2677" s="33">
        <f>Data!P2691</f>
        <v>0</v>
      </c>
    </row>
    <row r="2678" spans="7:22" x14ac:dyDescent="0.25">
      <c r="G2678" cm="1">
        <f t="array" aca="1" ref="G2678" ca="1">INDIRECT("Data!A" &amp; 2673)</f>
        <v>0</v>
      </c>
      <c r="H2678" s="21">
        <f>Data!B2690</f>
        <v>0</v>
      </c>
      <c r="I2678" s="21">
        <f>Data!C2690</f>
        <v>0</v>
      </c>
      <c r="J2678">
        <f>Data!D2690</f>
        <v>0</v>
      </c>
      <c r="K2678">
        <f>Data!E2690</f>
        <v>0</v>
      </c>
      <c r="L2678">
        <f>Data!F2690</f>
        <v>0</v>
      </c>
      <c r="M2678">
        <f>Data!G2690</f>
        <v>0</v>
      </c>
      <c r="N2678">
        <f>Data!H2690</f>
        <v>0</v>
      </c>
      <c r="O2678">
        <f>Data!I2690</f>
        <v>0</v>
      </c>
      <c r="P2678" s="21">
        <f>Data!J2694</f>
        <v>0</v>
      </c>
      <c r="Q2678">
        <f>Data!K2694</f>
        <v>0</v>
      </c>
      <c r="R2678">
        <f>Data!L2694</f>
        <v>0</v>
      </c>
      <c r="S2678">
        <f>Data!M2694</f>
        <v>0</v>
      </c>
      <c r="T2678">
        <f>Data!N2694</f>
        <v>0</v>
      </c>
      <c r="U2678">
        <f>Data!O2694</f>
        <v>0</v>
      </c>
      <c r="V2678" s="33">
        <f>Data!P2692</f>
        <v>0</v>
      </c>
    </row>
    <row r="2679" spans="7:22" x14ac:dyDescent="0.25">
      <c r="G2679" cm="1">
        <f t="array" aca="1" ref="G2679" ca="1">INDIRECT("Data!A" &amp; 2674)</f>
        <v>0</v>
      </c>
      <c r="H2679" s="21">
        <f>Data!B2691</f>
        <v>0</v>
      </c>
      <c r="I2679" s="21">
        <f>Data!C2691</f>
        <v>0</v>
      </c>
      <c r="J2679">
        <f>Data!D2691</f>
        <v>0</v>
      </c>
      <c r="K2679">
        <f>Data!E2691</f>
        <v>0</v>
      </c>
      <c r="L2679">
        <f>Data!F2691</f>
        <v>0</v>
      </c>
      <c r="M2679">
        <f>Data!G2691</f>
        <v>0</v>
      </c>
      <c r="N2679">
        <f>Data!H2691</f>
        <v>0</v>
      </c>
      <c r="O2679">
        <f>Data!I2691</f>
        <v>0</v>
      </c>
      <c r="P2679" s="21">
        <f>Data!J2695</f>
        <v>0</v>
      </c>
      <c r="Q2679">
        <f>Data!K2695</f>
        <v>0</v>
      </c>
      <c r="R2679">
        <f>Data!L2695</f>
        <v>0</v>
      </c>
      <c r="S2679">
        <f>Data!M2695</f>
        <v>0</v>
      </c>
      <c r="T2679">
        <f>Data!N2695</f>
        <v>0</v>
      </c>
      <c r="U2679">
        <f>Data!O2695</f>
        <v>0</v>
      </c>
      <c r="V2679" s="33">
        <f>Data!P2693</f>
        <v>0</v>
      </c>
    </row>
    <row r="2680" spans="7:22" x14ac:dyDescent="0.25">
      <c r="G2680" cm="1">
        <f t="array" aca="1" ref="G2680" ca="1">INDIRECT("Data!A" &amp; 2675)</f>
        <v>0</v>
      </c>
      <c r="H2680" s="21">
        <f>Data!B2692</f>
        <v>0</v>
      </c>
      <c r="I2680" s="21">
        <f>Data!C2692</f>
        <v>0</v>
      </c>
      <c r="J2680">
        <f>Data!D2692</f>
        <v>0</v>
      </c>
      <c r="K2680">
        <f>Data!E2692</f>
        <v>0</v>
      </c>
      <c r="L2680">
        <f>Data!F2692</f>
        <v>0</v>
      </c>
      <c r="M2680">
        <f>Data!G2692</f>
        <v>0</v>
      </c>
      <c r="N2680">
        <f>Data!H2692</f>
        <v>0</v>
      </c>
      <c r="O2680">
        <f>Data!I2692</f>
        <v>0</v>
      </c>
      <c r="P2680" s="21">
        <f>Data!J2696</f>
        <v>0</v>
      </c>
      <c r="Q2680">
        <f>Data!K2696</f>
        <v>0</v>
      </c>
      <c r="R2680">
        <f>Data!L2696</f>
        <v>0</v>
      </c>
      <c r="S2680">
        <f>Data!M2696</f>
        <v>0</v>
      </c>
      <c r="T2680">
        <f>Data!N2696</f>
        <v>0</v>
      </c>
      <c r="U2680">
        <f>Data!O2696</f>
        <v>0</v>
      </c>
      <c r="V2680" s="33">
        <f>Data!P2694</f>
        <v>0</v>
      </c>
    </row>
    <row r="2681" spans="7:22" x14ac:dyDescent="0.25">
      <c r="G2681" cm="1">
        <f t="array" aca="1" ref="G2681" ca="1">INDIRECT("Data!A" &amp; 2676)</f>
        <v>0</v>
      </c>
      <c r="H2681" s="21">
        <f>Data!B2693</f>
        <v>0</v>
      </c>
      <c r="I2681" s="21">
        <f>Data!C2693</f>
        <v>0</v>
      </c>
      <c r="J2681">
        <f>Data!D2693</f>
        <v>0</v>
      </c>
      <c r="K2681">
        <f>Data!E2693</f>
        <v>0</v>
      </c>
      <c r="L2681">
        <f>Data!F2693</f>
        <v>0</v>
      </c>
      <c r="M2681">
        <f>Data!G2693</f>
        <v>0</v>
      </c>
      <c r="N2681">
        <f>Data!H2693</f>
        <v>0</v>
      </c>
      <c r="O2681">
        <f>Data!I2693</f>
        <v>0</v>
      </c>
      <c r="P2681" s="21">
        <f>Data!J2697</f>
        <v>0</v>
      </c>
      <c r="Q2681">
        <f>Data!K2697</f>
        <v>0</v>
      </c>
      <c r="R2681">
        <f>Data!L2697</f>
        <v>0</v>
      </c>
      <c r="S2681">
        <f>Data!M2697</f>
        <v>0</v>
      </c>
      <c r="T2681">
        <f>Data!N2697</f>
        <v>0</v>
      </c>
      <c r="U2681">
        <f>Data!O2697</f>
        <v>0</v>
      </c>
      <c r="V2681" s="33">
        <f>Data!P2695</f>
        <v>0</v>
      </c>
    </row>
    <row r="2682" spans="7:22" x14ac:dyDescent="0.25">
      <c r="G2682" cm="1">
        <f t="array" aca="1" ref="G2682" ca="1">INDIRECT("Data!A" &amp; 2677)</f>
        <v>0</v>
      </c>
      <c r="H2682" s="21">
        <f>Data!B2694</f>
        <v>0</v>
      </c>
      <c r="I2682" s="21">
        <f>Data!C2694</f>
        <v>0</v>
      </c>
      <c r="J2682">
        <f>Data!D2694</f>
        <v>0</v>
      </c>
      <c r="K2682">
        <f>Data!E2694</f>
        <v>0</v>
      </c>
      <c r="L2682">
        <f>Data!F2694</f>
        <v>0</v>
      </c>
      <c r="M2682">
        <f>Data!G2694</f>
        <v>0</v>
      </c>
      <c r="N2682">
        <f>Data!H2694</f>
        <v>0</v>
      </c>
      <c r="O2682">
        <f>Data!I2694</f>
        <v>0</v>
      </c>
      <c r="P2682" s="21">
        <f>Data!J2698</f>
        <v>0</v>
      </c>
      <c r="Q2682">
        <f>Data!K2698</f>
        <v>0</v>
      </c>
      <c r="R2682">
        <f>Data!L2698</f>
        <v>0</v>
      </c>
      <c r="S2682">
        <f>Data!M2698</f>
        <v>0</v>
      </c>
      <c r="T2682">
        <f>Data!N2698</f>
        <v>0</v>
      </c>
      <c r="U2682">
        <f>Data!O2698</f>
        <v>0</v>
      </c>
      <c r="V2682" s="33">
        <f>Data!P2696</f>
        <v>0</v>
      </c>
    </row>
    <row r="2683" spans="7:22" x14ac:dyDescent="0.25">
      <c r="G2683" cm="1">
        <f t="array" aca="1" ref="G2683" ca="1">INDIRECT("Data!A" &amp; 2678)</f>
        <v>0</v>
      </c>
      <c r="H2683" s="21">
        <f>Data!B2695</f>
        <v>0</v>
      </c>
      <c r="I2683" s="21">
        <f>Data!C2695</f>
        <v>0</v>
      </c>
      <c r="J2683">
        <f>Data!D2695</f>
        <v>0</v>
      </c>
      <c r="K2683">
        <f>Data!E2695</f>
        <v>0</v>
      </c>
      <c r="L2683">
        <f>Data!F2695</f>
        <v>0</v>
      </c>
      <c r="M2683">
        <f>Data!G2695</f>
        <v>0</v>
      </c>
      <c r="N2683">
        <f>Data!H2695</f>
        <v>0</v>
      </c>
      <c r="O2683">
        <f>Data!I2695</f>
        <v>0</v>
      </c>
      <c r="P2683" s="21">
        <f>Data!J2699</f>
        <v>0</v>
      </c>
      <c r="Q2683">
        <f>Data!K2699</f>
        <v>0</v>
      </c>
      <c r="R2683">
        <f>Data!L2699</f>
        <v>0</v>
      </c>
      <c r="S2683">
        <f>Data!M2699</f>
        <v>0</v>
      </c>
      <c r="T2683">
        <f>Data!N2699</f>
        <v>0</v>
      </c>
      <c r="U2683">
        <f>Data!O2699</f>
        <v>0</v>
      </c>
      <c r="V2683" s="33">
        <f>Data!P2697</f>
        <v>0</v>
      </c>
    </row>
    <row r="2684" spans="7:22" x14ac:dyDescent="0.25">
      <c r="G2684" cm="1">
        <f t="array" aca="1" ref="G2684" ca="1">INDIRECT("Data!A" &amp; 2679)</f>
        <v>0</v>
      </c>
      <c r="H2684" s="21">
        <f>Data!B2696</f>
        <v>0</v>
      </c>
      <c r="I2684" s="21">
        <f>Data!C2696</f>
        <v>0</v>
      </c>
      <c r="J2684">
        <f>Data!D2696</f>
        <v>0</v>
      </c>
      <c r="K2684">
        <f>Data!E2696</f>
        <v>0</v>
      </c>
      <c r="L2684">
        <f>Data!F2696</f>
        <v>0</v>
      </c>
      <c r="M2684">
        <f>Data!G2696</f>
        <v>0</v>
      </c>
      <c r="N2684">
        <f>Data!H2696</f>
        <v>0</v>
      </c>
      <c r="O2684">
        <f>Data!I2696</f>
        <v>0</v>
      </c>
      <c r="P2684" s="21">
        <f>Data!J2700</f>
        <v>0</v>
      </c>
      <c r="Q2684">
        <f>Data!K2700</f>
        <v>0</v>
      </c>
      <c r="R2684">
        <f>Data!L2700</f>
        <v>0</v>
      </c>
      <c r="S2684">
        <f>Data!M2700</f>
        <v>0</v>
      </c>
      <c r="T2684">
        <f>Data!N2700</f>
        <v>0</v>
      </c>
      <c r="U2684">
        <f>Data!O2700</f>
        <v>0</v>
      </c>
      <c r="V2684" s="33">
        <f>Data!P2698</f>
        <v>0</v>
      </c>
    </row>
    <row r="2685" spans="7:22" x14ac:dyDescent="0.25">
      <c r="G2685" cm="1">
        <f t="array" aca="1" ref="G2685" ca="1">INDIRECT("Data!A" &amp; 2680)</f>
        <v>0</v>
      </c>
      <c r="H2685" s="21">
        <f>Data!B2697</f>
        <v>0</v>
      </c>
      <c r="I2685" s="21">
        <f>Data!C2697</f>
        <v>0</v>
      </c>
      <c r="J2685">
        <f>Data!D2697</f>
        <v>0</v>
      </c>
      <c r="K2685">
        <f>Data!E2697</f>
        <v>0</v>
      </c>
      <c r="L2685">
        <f>Data!F2697</f>
        <v>0</v>
      </c>
      <c r="M2685">
        <f>Data!G2697</f>
        <v>0</v>
      </c>
      <c r="N2685">
        <f>Data!H2697</f>
        <v>0</v>
      </c>
      <c r="O2685">
        <f>Data!I2697</f>
        <v>0</v>
      </c>
      <c r="P2685" s="21">
        <f>Data!J2701</f>
        <v>0</v>
      </c>
      <c r="Q2685">
        <f>Data!K2701</f>
        <v>0</v>
      </c>
      <c r="R2685">
        <f>Data!L2701</f>
        <v>0</v>
      </c>
      <c r="S2685">
        <f>Data!M2701</f>
        <v>0</v>
      </c>
      <c r="T2685">
        <f>Data!N2701</f>
        <v>0</v>
      </c>
      <c r="U2685">
        <f>Data!O2701</f>
        <v>0</v>
      </c>
      <c r="V2685" s="33">
        <f>Data!P2699</f>
        <v>0</v>
      </c>
    </row>
    <row r="2686" spans="7:22" x14ac:dyDescent="0.25">
      <c r="G2686" cm="1">
        <f t="array" aca="1" ref="G2686" ca="1">INDIRECT("Data!A" &amp; 2681)</f>
        <v>0</v>
      </c>
      <c r="H2686" s="21">
        <f>Data!B2698</f>
        <v>0</v>
      </c>
      <c r="I2686" s="21">
        <f>Data!C2698</f>
        <v>0</v>
      </c>
      <c r="J2686">
        <f>Data!D2698</f>
        <v>0</v>
      </c>
      <c r="K2686">
        <f>Data!E2698</f>
        <v>0</v>
      </c>
      <c r="L2686">
        <f>Data!F2698</f>
        <v>0</v>
      </c>
      <c r="M2686">
        <f>Data!G2698</f>
        <v>0</v>
      </c>
      <c r="N2686">
        <f>Data!H2698</f>
        <v>0</v>
      </c>
      <c r="O2686">
        <f>Data!I2698</f>
        <v>0</v>
      </c>
      <c r="P2686" s="21">
        <f>Data!J2702</f>
        <v>0</v>
      </c>
      <c r="Q2686">
        <f>Data!K2702</f>
        <v>0</v>
      </c>
      <c r="R2686">
        <f>Data!L2702</f>
        <v>0</v>
      </c>
      <c r="S2686">
        <f>Data!M2702</f>
        <v>0</v>
      </c>
      <c r="T2686">
        <f>Data!N2702</f>
        <v>0</v>
      </c>
      <c r="U2686">
        <f>Data!O2702</f>
        <v>0</v>
      </c>
      <c r="V2686" s="33">
        <f>Data!P2700</f>
        <v>0</v>
      </c>
    </row>
    <row r="2687" spans="7:22" x14ac:dyDescent="0.25">
      <c r="G2687" cm="1">
        <f t="array" aca="1" ref="G2687" ca="1">INDIRECT("Data!A" &amp; 2682)</f>
        <v>0</v>
      </c>
      <c r="H2687" s="21">
        <f>Data!B2699</f>
        <v>0</v>
      </c>
      <c r="I2687" s="21">
        <f>Data!C2699</f>
        <v>0</v>
      </c>
      <c r="J2687">
        <f>Data!D2699</f>
        <v>0</v>
      </c>
      <c r="K2687">
        <f>Data!E2699</f>
        <v>0</v>
      </c>
      <c r="L2687">
        <f>Data!F2699</f>
        <v>0</v>
      </c>
      <c r="M2687">
        <f>Data!G2699</f>
        <v>0</v>
      </c>
      <c r="N2687">
        <f>Data!H2699</f>
        <v>0</v>
      </c>
      <c r="O2687">
        <f>Data!I2699</f>
        <v>0</v>
      </c>
      <c r="P2687" s="21">
        <f>Data!J2703</f>
        <v>0</v>
      </c>
      <c r="Q2687">
        <f>Data!K2703</f>
        <v>0</v>
      </c>
      <c r="R2687">
        <f>Data!L2703</f>
        <v>0</v>
      </c>
      <c r="S2687">
        <f>Data!M2703</f>
        <v>0</v>
      </c>
      <c r="T2687">
        <f>Data!N2703</f>
        <v>0</v>
      </c>
      <c r="U2687">
        <f>Data!O2703</f>
        <v>0</v>
      </c>
      <c r="V2687" s="33">
        <f>Data!P2701</f>
        <v>0</v>
      </c>
    </row>
    <row r="2688" spans="7:22" x14ac:dyDescent="0.25">
      <c r="G2688" cm="1">
        <f t="array" aca="1" ref="G2688" ca="1">INDIRECT("Data!A" &amp; 2683)</f>
        <v>0</v>
      </c>
      <c r="H2688" s="21">
        <f>Data!B2700</f>
        <v>0</v>
      </c>
      <c r="I2688" s="21">
        <f>Data!C2700</f>
        <v>0</v>
      </c>
      <c r="J2688">
        <f>Data!D2700</f>
        <v>0</v>
      </c>
      <c r="K2688">
        <f>Data!E2700</f>
        <v>0</v>
      </c>
      <c r="L2688">
        <f>Data!F2700</f>
        <v>0</v>
      </c>
      <c r="M2688">
        <f>Data!G2700</f>
        <v>0</v>
      </c>
      <c r="N2688">
        <f>Data!H2700</f>
        <v>0</v>
      </c>
      <c r="O2688">
        <f>Data!I2700</f>
        <v>0</v>
      </c>
      <c r="P2688" s="21">
        <f>Data!J2704</f>
        <v>0</v>
      </c>
      <c r="Q2688">
        <f>Data!K2704</f>
        <v>0</v>
      </c>
      <c r="R2688">
        <f>Data!L2704</f>
        <v>0</v>
      </c>
      <c r="S2688">
        <f>Data!M2704</f>
        <v>0</v>
      </c>
      <c r="T2688">
        <f>Data!N2704</f>
        <v>0</v>
      </c>
      <c r="U2688">
        <f>Data!O2704</f>
        <v>0</v>
      </c>
      <c r="V2688" s="33">
        <f>Data!P2702</f>
        <v>0</v>
      </c>
    </row>
    <row r="2689" spans="7:22" x14ac:dyDescent="0.25">
      <c r="G2689" cm="1">
        <f t="array" aca="1" ref="G2689" ca="1">INDIRECT("Data!A" &amp; 2684)</f>
        <v>0</v>
      </c>
      <c r="H2689" s="21">
        <f>Data!B2701</f>
        <v>0</v>
      </c>
      <c r="I2689" s="21">
        <f>Data!C2701</f>
        <v>0</v>
      </c>
      <c r="J2689">
        <f>Data!D2701</f>
        <v>0</v>
      </c>
      <c r="K2689">
        <f>Data!E2701</f>
        <v>0</v>
      </c>
      <c r="L2689">
        <f>Data!F2701</f>
        <v>0</v>
      </c>
      <c r="M2689">
        <f>Data!G2701</f>
        <v>0</v>
      </c>
      <c r="N2689">
        <f>Data!H2701</f>
        <v>0</v>
      </c>
      <c r="O2689">
        <f>Data!I2701</f>
        <v>0</v>
      </c>
      <c r="P2689" s="21">
        <f>Data!J2705</f>
        <v>0</v>
      </c>
      <c r="Q2689">
        <f>Data!K2705</f>
        <v>0</v>
      </c>
      <c r="R2689">
        <f>Data!L2705</f>
        <v>0</v>
      </c>
      <c r="S2689">
        <f>Data!M2705</f>
        <v>0</v>
      </c>
      <c r="T2689">
        <f>Data!N2705</f>
        <v>0</v>
      </c>
      <c r="U2689">
        <f>Data!O2705</f>
        <v>0</v>
      </c>
      <c r="V2689" s="33">
        <f>Data!P2703</f>
        <v>0</v>
      </c>
    </row>
    <row r="2690" spans="7:22" x14ac:dyDescent="0.25">
      <c r="G2690" cm="1">
        <f t="array" aca="1" ref="G2690" ca="1">INDIRECT("Data!A" &amp; 2685)</f>
        <v>0</v>
      </c>
      <c r="H2690" s="21">
        <f>Data!B2702</f>
        <v>0</v>
      </c>
      <c r="I2690" s="21">
        <f>Data!C2702</f>
        <v>0</v>
      </c>
      <c r="J2690">
        <f>Data!D2702</f>
        <v>0</v>
      </c>
      <c r="K2690">
        <f>Data!E2702</f>
        <v>0</v>
      </c>
      <c r="L2690">
        <f>Data!F2702</f>
        <v>0</v>
      </c>
      <c r="M2690">
        <f>Data!G2702</f>
        <v>0</v>
      </c>
      <c r="N2690">
        <f>Data!H2702</f>
        <v>0</v>
      </c>
      <c r="O2690">
        <f>Data!I2702</f>
        <v>0</v>
      </c>
      <c r="P2690" s="21">
        <f>Data!J2706</f>
        <v>0</v>
      </c>
      <c r="Q2690">
        <f>Data!K2706</f>
        <v>0</v>
      </c>
      <c r="R2690">
        <f>Data!L2706</f>
        <v>0</v>
      </c>
      <c r="S2690">
        <f>Data!M2706</f>
        <v>0</v>
      </c>
      <c r="T2690">
        <f>Data!N2706</f>
        <v>0</v>
      </c>
      <c r="U2690">
        <f>Data!O2706</f>
        <v>0</v>
      </c>
      <c r="V2690" s="33">
        <f>Data!P2704</f>
        <v>0</v>
      </c>
    </row>
    <row r="2691" spans="7:22" x14ac:dyDescent="0.25">
      <c r="G2691" cm="1">
        <f t="array" aca="1" ref="G2691" ca="1">INDIRECT("Data!A" &amp; 2686)</f>
        <v>0</v>
      </c>
      <c r="H2691" s="21">
        <f>Data!B2703</f>
        <v>0</v>
      </c>
      <c r="I2691" s="21">
        <f>Data!C2703</f>
        <v>0</v>
      </c>
      <c r="J2691">
        <f>Data!D2703</f>
        <v>0</v>
      </c>
      <c r="K2691">
        <f>Data!E2703</f>
        <v>0</v>
      </c>
      <c r="L2691">
        <f>Data!F2703</f>
        <v>0</v>
      </c>
      <c r="M2691">
        <f>Data!G2703</f>
        <v>0</v>
      </c>
      <c r="N2691">
        <f>Data!H2703</f>
        <v>0</v>
      </c>
      <c r="O2691">
        <f>Data!I2703</f>
        <v>0</v>
      </c>
      <c r="P2691" s="21">
        <f>Data!J2707</f>
        <v>0</v>
      </c>
      <c r="Q2691">
        <f>Data!K2707</f>
        <v>0</v>
      </c>
      <c r="R2691">
        <f>Data!L2707</f>
        <v>0</v>
      </c>
      <c r="S2691">
        <f>Data!M2707</f>
        <v>0</v>
      </c>
      <c r="T2691">
        <f>Data!N2707</f>
        <v>0</v>
      </c>
      <c r="U2691">
        <f>Data!O2707</f>
        <v>0</v>
      </c>
      <c r="V2691" s="33">
        <f>Data!P2705</f>
        <v>0</v>
      </c>
    </row>
    <row r="2692" spans="7:22" x14ac:dyDescent="0.25">
      <c r="G2692" cm="1">
        <f t="array" aca="1" ref="G2692" ca="1">INDIRECT("Data!A" &amp; 2687)</f>
        <v>0</v>
      </c>
      <c r="H2692" s="21">
        <f>Data!B2704</f>
        <v>0</v>
      </c>
      <c r="I2692" s="21">
        <f>Data!C2704</f>
        <v>0</v>
      </c>
      <c r="J2692">
        <f>Data!D2704</f>
        <v>0</v>
      </c>
      <c r="K2692">
        <f>Data!E2704</f>
        <v>0</v>
      </c>
      <c r="L2692">
        <f>Data!F2704</f>
        <v>0</v>
      </c>
      <c r="M2692">
        <f>Data!G2704</f>
        <v>0</v>
      </c>
      <c r="N2692">
        <f>Data!H2704</f>
        <v>0</v>
      </c>
      <c r="O2692">
        <f>Data!I2704</f>
        <v>0</v>
      </c>
      <c r="P2692" s="21">
        <f>Data!J2708</f>
        <v>0</v>
      </c>
      <c r="Q2692">
        <f>Data!K2708</f>
        <v>0</v>
      </c>
      <c r="R2692">
        <f>Data!L2708</f>
        <v>0</v>
      </c>
      <c r="S2692">
        <f>Data!M2708</f>
        <v>0</v>
      </c>
      <c r="T2692">
        <f>Data!N2708</f>
        <v>0</v>
      </c>
      <c r="U2692">
        <f>Data!O2708</f>
        <v>0</v>
      </c>
      <c r="V2692" s="33">
        <f>Data!P2706</f>
        <v>0</v>
      </c>
    </row>
    <row r="2693" spans="7:22" x14ac:dyDescent="0.25">
      <c r="G2693" cm="1">
        <f t="array" aca="1" ref="G2693" ca="1">INDIRECT("Data!A" &amp; 2688)</f>
        <v>0</v>
      </c>
      <c r="H2693" s="21">
        <f>Data!B2705</f>
        <v>0</v>
      </c>
      <c r="I2693" s="21">
        <f>Data!C2705</f>
        <v>0</v>
      </c>
      <c r="J2693">
        <f>Data!D2705</f>
        <v>0</v>
      </c>
      <c r="K2693">
        <f>Data!E2705</f>
        <v>0</v>
      </c>
      <c r="L2693">
        <f>Data!F2705</f>
        <v>0</v>
      </c>
      <c r="M2693">
        <f>Data!G2705</f>
        <v>0</v>
      </c>
      <c r="N2693">
        <f>Data!H2705</f>
        <v>0</v>
      </c>
      <c r="O2693">
        <f>Data!I2705</f>
        <v>0</v>
      </c>
      <c r="P2693" s="21">
        <f>Data!J2709</f>
        <v>0</v>
      </c>
      <c r="Q2693">
        <f>Data!K2709</f>
        <v>0</v>
      </c>
      <c r="R2693">
        <f>Data!L2709</f>
        <v>0</v>
      </c>
      <c r="S2693">
        <f>Data!M2709</f>
        <v>0</v>
      </c>
      <c r="T2693">
        <f>Data!N2709</f>
        <v>0</v>
      </c>
      <c r="U2693">
        <f>Data!O2709</f>
        <v>0</v>
      </c>
      <c r="V2693" s="33">
        <f>Data!P2707</f>
        <v>0</v>
      </c>
    </row>
    <row r="2694" spans="7:22" x14ac:dyDescent="0.25">
      <c r="G2694" cm="1">
        <f t="array" aca="1" ref="G2694" ca="1">INDIRECT("Data!A" &amp; 2689)</f>
        <v>0</v>
      </c>
      <c r="H2694" s="21">
        <f>Data!B2706</f>
        <v>0</v>
      </c>
      <c r="I2694" s="21">
        <f>Data!C2706</f>
        <v>0</v>
      </c>
      <c r="J2694">
        <f>Data!D2706</f>
        <v>0</v>
      </c>
      <c r="K2694">
        <f>Data!E2706</f>
        <v>0</v>
      </c>
      <c r="L2694">
        <f>Data!F2706</f>
        <v>0</v>
      </c>
      <c r="M2694">
        <f>Data!G2706</f>
        <v>0</v>
      </c>
      <c r="N2694">
        <f>Data!H2706</f>
        <v>0</v>
      </c>
      <c r="O2694">
        <f>Data!I2706</f>
        <v>0</v>
      </c>
      <c r="P2694" s="21">
        <f>Data!J2710</f>
        <v>0</v>
      </c>
      <c r="Q2694">
        <f>Data!K2710</f>
        <v>0</v>
      </c>
      <c r="R2694">
        <f>Data!L2710</f>
        <v>0</v>
      </c>
      <c r="S2694">
        <f>Data!M2710</f>
        <v>0</v>
      </c>
      <c r="T2694">
        <f>Data!N2710</f>
        <v>0</v>
      </c>
      <c r="U2694">
        <f>Data!O2710</f>
        <v>0</v>
      </c>
      <c r="V2694" s="33">
        <f>Data!P2708</f>
        <v>0</v>
      </c>
    </row>
    <row r="2695" spans="7:22" x14ac:dyDescent="0.25">
      <c r="G2695" cm="1">
        <f t="array" aca="1" ref="G2695" ca="1">INDIRECT("Data!A" &amp; 2690)</f>
        <v>0</v>
      </c>
      <c r="H2695" s="21">
        <f>Data!B2707</f>
        <v>0</v>
      </c>
      <c r="I2695" s="21">
        <f>Data!C2707</f>
        <v>0</v>
      </c>
      <c r="J2695">
        <f>Data!D2707</f>
        <v>0</v>
      </c>
      <c r="K2695">
        <f>Data!E2707</f>
        <v>0</v>
      </c>
      <c r="L2695">
        <f>Data!F2707</f>
        <v>0</v>
      </c>
      <c r="M2695">
        <f>Data!G2707</f>
        <v>0</v>
      </c>
      <c r="N2695">
        <f>Data!H2707</f>
        <v>0</v>
      </c>
      <c r="O2695">
        <f>Data!I2707</f>
        <v>0</v>
      </c>
      <c r="P2695" s="21">
        <f>Data!J2711</f>
        <v>0</v>
      </c>
      <c r="Q2695">
        <f>Data!K2711</f>
        <v>0</v>
      </c>
      <c r="R2695">
        <f>Data!L2711</f>
        <v>0</v>
      </c>
      <c r="S2695">
        <f>Data!M2711</f>
        <v>0</v>
      </c>
      <c r="T2695">
        <f>Data!N2711</f>
        <v>0</v>
      </c>
      <c r="U2695">
        <f>Data!O2711</f>
        <v>0</v>
      </c>
      <c r="V2695" s="33">
        <f>Data!P2709</f>
        <v>0</v>
      </c>
    </row>
    <row r="2696" spans="7:22" x14ac:dyDescent="0.25">
      <c r="G2696" cm="1">
        <f t="array" aca="1" ref="G2696" ca="1">INDIRECT("Data!A" &amp; 2691)</f>
        <v>0</v>
      </c>
      <c r="H2696" s="21">
        <f>Data!B2708</f>
        <v>0</v>
      </c>
      <c r="I2696" s="21">
        <f>Data!C2708</f>
        <v>0</v>
      </c>
      <c r="J2696">
        <f>Data!D2708</f>
        <v>0</v>
      </c>
      <c r="K2696">
        <f>Data!E2708</f>
        <v>0</v>
      </c>
      <c r="L2696">
        <f>Data!F2708</f>
        <v>0</v>
      </c>
      <c r="M2696">
        <f>Data!G2708</f>
        <v>0</v>
      </c>
      <c r="N2696">
        <f>Data!H2708</f>
        <v>0</v>
      </c>
      <c r="O2696">
        <f>Data!I2708</f>
        <v>0</v>
      </c>
      <c r="P2696" s="21">
        <f>Data!J2712</f>
        <v>0</v>
      </c>
      <c r="Q2696">
        <f>Data!K2712</f>
        <v>0</v>
      </c>
      <c r="R2696">
        <f>Data!L2712</f>
        <v>0</v>
      </c>
      <c r="S2696">
        <f>Data!M2712</f>
        <v>0</v>
      </c>
      <c r="T2696">
        <f>Data!N2712</f>
        <v>0</v>
      </c>
      <c r="U2696">
        <f>Data!O2712</f>
        <v>0</v>
      </c>
      <c r="V2696" s="33">
        <f>Data!P2710</f>
        <v>0</v>
      </c>
    </row>
    <row r="2697" spans="7:22" x14ac:dyDescent="0.25">
      <c r="G2697" cm="1">
        <f t="array" aca="1" ref="G2697" ca="1">INDIRECT("Data!A" &amp; 2692)</f>
        <v>0</v>
      </c>
      <c r="H2697" s="21">
        <f>Data!B2709</f>
        <v>0</v>
      </c>
      <c r="I2697" s="21">
        <f>Data!C2709</f>
        <v>0</v>
      </c>
      <c r="J2697">
        <f>Data!D2709</f>
        <v>0</v>
      </c>
      <c r="K2697">
        <f>Data!E2709</f>
        <v>0</v>
      </c>
      <c r="L2697">
        <f>Data!F2709</f>
        <v>0</v>
      </c>
      <c r="M2697">
        <f>Data!G2709</f>
        <v>0</v>
      </c>
      <c r="N2697">
        <f>Data!H2709</f>
        <v>0</v>
      </c>
      <c r="O2697">
        <f>Data!I2709</f>
        <v>0</v>
      </c>
      <c r="P2697" s="21">
        <f>Data!J2713</f>
        <v>0</v>
      </c>
      <c r="Q2697">
        <f>Data!K2713</f>
        <v>0</v>
      </c>
      <c r="R2697">
        <f>Data!L2713</f>
        <v>0</v>
      </c>
      <c r="S2697">
        <f>Data!M2713</f>
        <v>0</v>
      </c>
      <c r="T2697">
        <f>Data!N2713</f>
        <v>0</v>
      </c>
      <c r="U2697">
        <f>Data!O2713</f>
        <v>0</v>
      </c>
      <c r="V2697" s="33">
        <f>Data!P2711</f>
        <v>0</v>
      </c>
    </row>
    <row r="2698" spans="7:22" x14ac:dyDescent="0.25">
      <c r="G2698" cm="1">
        <f t="array" aca="1" ref="G2698" ca="1">INDIRECT("Data!A" &amp; 2693)</f>
        <v>0</v>
      </c>
      <c r="H2698" s="21">
        <f>Data!B2710</f>
        <v>0</v>
      </c>
      <c r="I2698" s="21">
        <f>Data!C2710</f>
        <v>0</v>
      </c>
      <c r="J2698">
        <f>Data!D2710</f>
        <v>0</v>
      </c>
      <c r="K2698">
        <f>Data!E2710</f>
        <v>0</v>
      </c>
      <c r="L2698">
        <f>Data!F2710</f>
        <v>0</v>
      </c>
      <c r="M2698">
        <f>Data!G2710</f>
        <v>0</v>
      </c>
      <c r="N2698">
        <f>Data!H2710</f>
        <v>0</v>
      </c>
      <c r="O2698">
        <f>Data!I2710</f>
        <v>0</v>
      </c>
      <c r="P2698" s="21">
        <f>Data!J2714</f>
        <v>0</v>
      </c>
      <c r="Q2698">
        <f>Data!K2714</f>
        <v>0</v>
      </c>
      <c r="R2698">
        <f>Data!L2714</f>
        <v>0</v>
      </c>
      <c r="S2698">
        <f>Data!M2714</f>
        <v>0</v>
      </c>
      <c r="T2698">
        <f>Data!N2714</f>
        <v>0</v>
      </c>
      <c r="U2698">
        <f>Data!O2714</f>
        <v>0</v>
      </c>
      <c r="V2698" s="33">
        <f>Data!P2712</f>
        <v>0</v>
      </c>
    </row>
    <row r="2699" spans="7:22" x14ac:dyDescent="0.25">
      <c r="G2699" cm="1">
        <f t="array" aca="1" ref="G2699" ca="1">INDIRECT("Data!A" &amp; 2694)</f>
        <v>0</v>
      </c>
      <c r="H2699" s="21">
        <f>Data!B2711</f>
        <v>0</v>
      </c>
      <c r="I2699" s="21">
        <f>Data!C2711</f>
        <v>0</v>
      </c>
      <c r="J2699">
        <f>Data!D2711</f>
        <v>0</v>
      </c>
      <c r="K2699">
        <f>Data!E2711</f>
        <v>0</v>
      </c>
      <c r="L2699">
        <f>Data!F2711</f>
        <v>0</v>
      </c>
      <c r="M2699">
        <f>Data!G2711</f>
        <v>0</v>
      </c>
      <c r="N2699">
        <f>Data!H2711</f>
        <v>0</v>
      </c>
      <c r="O2699">
        <f>Data!I2711</f>
        <v>0</v>
      </c>
      <c r="P2699" s="21">
        <f>Data!J2715</f>
        <v>0</v>
      </c>
      <c r="Q2699">
        <f>Data!K2715</f>
        <v>0</v>
      </c>
      <c r="R2699">
        <f>Data!L2715</f>
        <v>0</v>
      </c>
      <c r="S2699">
        <f>Data!M2715</f>
        <v>0</v>
      </c>
      <c r="T2699">
        <f>Data!N2715</f>
        <v>0</v>
      </c>
      <c r="U2699">
        <f>Data!O2715</f>
        <v>0</v>
      </c>
      <c r="V2699" s="33">
        <f>Data!P2713</f>
        <v>0</v>
      </c>
    </row>
    <row r="2700" spans="7:22" x14ac:dyDescent="0.25">
      <c r="G2700" cm="1">
        <f t="array" aca="1" ref="G2700" ca="1">INDIRECT("Data!A" &amp; 2695)</f>
        <v>0</v>
      </c>
      <c r="H2700" s="21">
        <f>Data!B2712</f>
        <v>0</v>
      </c>
      <c r="I2700" s="21">
        <f>Data!C2712</f>
        <v>0</v>
      </c>
      <c r="J2700">
        <f>Data!D2712</f>
        <v>0</v>
      </c>
      <c r="K2700">
        <f>Data!E2712</f>
        <v>0</v>
      </c>
      <c r="L2700">
        <f>Data!F2712</f>
        <v>0</v>
      </c>
      <c r="M2700">
        <f>Data!G2712</f>
        <v>0</v>
      </c>
      <c r="N2700">
        <f>Data!H2712</f>
        <v>0</v>
      </c>
      <c r="O2700">
        <f>Data!I2712</f>
        <v>0</v>
      </c>
      <c r="P2700" s="21">
        <f>Data!J2716</f>
        <v>0</v>
      </c>
      <c r="Q2700">
        <f>Data!K2716</f>
        <v>0</v>
      </c>
      <c r="R2700">
        <f>Data!L2716</f>
        <v>0</v>
      </c>
      <c r="S2700">
        <f>Data!M2716</f>
        <v>0</v>
      </c>
      <c r="T2700">
        <f>Data!N2716</f>
        <v>0</v>
      </c>
      <c r="U2700">
        <f>Data!O2716</f>
        <v>0</v>
      </c>
      <c r="V2700" s="33">
        <f>Data!P2714</f>
        <v>0</v>
      </c>
    </row>
    <row r="2701" spans="7:22" x14ac:dyDescent="0.25">
      <c r="G2701" cm="1">
        <f t="array" aca="1" ref="G2701" ca="1">INDIRECT("Data!A" &amp; 2696)</f>
        <v>0</v>
      </c>
      <c r="H2701" s="21">
        <f>Data!B2713</f>
        <v>0</v>
      </c>
      <c r="I2701" s="21">
        <f>Data!C2713</f>
        <v>0</v>
      </c>
      <c r="J2701">
        <f>Data!D2713</f>
        <v>0</v>
      </c>
      <c r="K2701">
        <f>Data!E2713</f>
        <v>0</v>
      </c>
      <c r="L2701">
        <f>Data!F2713</f>
        <v>0</v>
      </c>
      <c r="M2701">
        <f>Data!G2713</f>
        <v>0</v>
      </c>
      <c r="N2701">
        <f>Data!H2713</f>
        <v>0</v>
      </c>
      <c r="O2701">
        <f>Data!I2713</f>
        <v>0</v>
      </c>
      <c r="P2701" s="21">
        <f>Data!J2717</f>
        <v>0</v>
      </c>
      <c r="Q2701">
        <f>Data!K2717</f>
        <v>0</v>
      </c>
      <c r="R2701">
        <f>Data!L2717</f>
        <v>0</v>
      </c>
      <c r="S2701">
        <f>Data!M2717</f>
        <v>0</v>
      </c>
      <c r="T2701">
        <f>Data!N2717</f>
        <v>0</v>
      </c>
      <c r="U2701">
        <f>Data!O2717</f>
        <v>0</v>
      </c>
      <c r="V2701" s="33">
        <f>Data!P2715</f>
        <v>0</v>
      </c>
    </row>
    <row r="2702" spans="7:22" x14ac:dyDescent="0.25">
      <c r="G2702" cm="1">
        <f t="array" aca="1" ref="G2702" ca="1">INDIRECT("Data!A" &amp; 2697)</f>
        <v>0</v>
      </c>
      <c r="H2702" s="21">
        <f>Data!B2714</f>
        <v>0</v>
      </c>
      <c r="I2702" s="21">
        <f>Data!C2714</f>
        <v>0</v>
      </c>
      <c r="J2702">
        <f>Data!D2714</f>
        <v>0</v>
      </c>
      <c r="K2702">
        <f>Data!E2714</f>
        <v>0</v>
      </c>
      <c r="L2702">
        <f>Data!F2714</f>
        <v>0</v>
      </c>
      <c r="M2702">
        <f>Data!G2714</f>
        <v>0</v>
      </c>
      <c r="N2702">
        <f>Data!H2714</f>
        <v>0</v>
      </c>
      <c r="O2702">
        <f>Data!I2714</f>
        <v>0</v>
      </c>
      <c r="P2702" s="21">
        <f>Data!J2718</f>
        <v>0</v>
      </c>
      <c r="Q2702">
        <f>Data!K2718</f>
        <v>0</v>
      </c>
      <c r="R2702">
        <f>Data!L2718</f>
        <v>0</v>
      </c>
      <c r="S2702">
        <f>Data!M2718</f>
        <v>0</v>
      </c>
      <c r="T2702">
        <f>Data!N2718</f>
        <v>0</v>
      </c>
      <c r="U2702">
        <f>Data!O2718</f>
        <v>0</v>
      </c>
      <c r="V2702" s="33">
        <f>Data!P2716</f>
        <v>0</v>
      </c>
    </row>
    <row r="2703" spans="7:22" x14ac:dyDescent="0.25">
      <c r="G2703" cm="1">
        <f t="array" aca="1" ref="G2703" ca="1">INDIRECT("Data!A" &amp; 2698)</f>
        <v>0</v>
      </c>
      <c r="H2703" s="21">
        <f>Data!B2715</f>
        <v>0</v>
      </c>
      <c r="I2703" s="21">
        <f>Data!C2715</f>
        <v>0</v>
      </c>
      <c r="J2703">
        <f>Data!D2715</f>
        <v>0</v>
      </c>
      <c r="K2703">
        <f>Data!E2715</f>
        <v>0</v>
      </c>
      <c r="L2703">
        <f>Data!F2715</f>
        <v>0</v>
      </c>
      <c r="M2703">
        <f>Data!G2715</f>
        <v>0</v>
      </c>
      <c r="N2703">
        <f>Data!H2715</f>
        <v>0</v>
      </c>
      <c r="O2703">
        <f>Data!I2715</f>
        <v>0</v>
      </c>
      <c r="P2703" s="21">
        <f>Data!J2719</f>
        <v>0</v>
      </c>
      <c r="Q2703">
        <f>Data!K2719</f>
        <v>0</v>
      </c>
      <c r="R2703">
        <f>Data!L2719</f>
        <v>0</v>
      </c>
      <c r="S2703">
        <f>Data!M2719</f>
        <v>0</v>
      </c>
      <c r="T2703">
        <f>Data!N2719</f>
        <v>0</v>
      </c>
      <c r="U2703">
        <f>Data!O2719</f>
        <v>0</v>
      </c>
      <c r="V2703" s="33">
        <f>Data!P2717</f>
        <v>0</v>
      </c>
    </row>
    <row r="2704" spans="7:22" x14ac:dyDescent="0.25">
      <c r="G2704" cm="1">
        <f t="array" aca="1" ref="G2704" ca="1">INDIRECT("Data!A" &amp; 2699)</f>
        <v>0</v>
      </c>
      <c r="H2704" s="21">
        <f>Data!B2716</f>
        <v>0</v>
      </c>
      <c r="I2704" s="21">
        <f>Data!C2716</f>
        <v>0</v>
      </c>
      <c r="J2704">
        <f>Data!D2716</f>
        <v>0</v>
      </c>
      <c r="K2704">
        <f>Data!E2716</f>
        <v>0</v>
      </c>
      <c r="L2704">
        <f>Data!F2716</f>
        <v>0</v>
      </c>
      <c r="M2704">
        <f>Data!G2716</f>
        <v>0</v>
      </c>
      <c r="N2704">
        <f>Data!H2716</f>
        <v>0</v>
      </c>
      <c r="O2704">
        <f>Data!I2716</f>
        <v>0</v>
      </c>
      <c r="P2704" s="21">
        <f>Data!J2720</f>
        <v>0</v>
      </c>
      <c r="Q2704">
        <f>Data!K2720</f>
        <v>0</v>
      </c>
      <c r="R2704">
        <f>Data!L2720</f>
        <v>0</v>
      </c>
      <c r="S2704">
        <f>Data!M2720</f>
        <v>0</v>
      </c>
      <c r="T2704">
        <f>Data!N2720</f>
        <v>0</v>
      </c>
      <c r="U2704">
        <f>Data!O2720</f>
        <v>0</v>
      </c>
      <c r="V2704" s="33">
        <f>Data!P2718</f>
        <v>0</v>
      </c>
    </row>
    <row r="2705" spans="7:22" x14ac:dyDescent="0.25">
      <c r="G2705" cm="1">
        <f t="array" aca="1" ref="G2705" ca="1">INDIRECT("Data!A" &amp; 700)</f>
        <v>0</v>
      </c>
      <c r="H2705" s="21">
        <f>Data!B2717</f>
        <v>0</v>
      </c>
      <c r="I2705" s="21">
        <f>Data!C2717</f>
        <v>0</v>
      </c>
      <c r="J2705">
        <f>Data!D2717</f>
        <v>0</v>
      </c>
      <c r="K2705">
        <f>Data!E2717</f>
        <v>0</v>
      </c>
      <c r="L2705">
        <f>Data!F2717</f>
        <v>0</v>
      </c>
      <c r="M2705">
        <f>Data!G2717</f>
        <v>0</v>
      </c>
      <c r="N2705">
        <f>Data!H2717</f>
        <v>0</v>
      </c>
      <c r="O2705">
        <f>Data!I2717</f>
        <v>0</v>
      </c>
      <c r="P2705" s="21">
        <f>Data!J2721</f>
        <v>0</v>
      </c>
      <c r="Q2705">
        <f>Data!K2721</f>
        <v>0</v>
      </c>
      <c r="R2705">
        <f>Data!L2721</f>
        <v>0</v>
      </c>
      <c r="S2705">
        <f>Data!M2721</f>
        <v>0</v>
      </c>
      <c r="T2705">
        <f>Data!N2721</f>
        <v>0</v>
      </c>
      <c r="U2705">
        <f>Data!O2721</f>
        <v>0</v>
      </c>
      <c r="V2705" s="33">
        <f>Data!P2719</f>
        <v>0</v>
      </c>
    </row>
    <row r="2706" spans="7:22" x14ac:dyDescent="0.25">
      <c r="G2706" cm="1">
        <f t="array" aca="1" ref="G2706" ca="1">INDIRECT("Data!A" &amp; 701)</f>
        <v>0</v>
      </c>
      <c r="H2706" s="21">
        <f>Data!B2718</f>
        <v>0</v>
      </c>
      <c r="I2706" s="21">
        <f>Data!C2718</f>
        <v>0</v>
      </c>
      <c r="J2706">
        <f>Data!D2718</f>
        <v>0</v>
      </c>
      <c r="K2706">
        <f>Data!E2718</f>
        <v>0</v>
      </c>
      <c r="L2706">
        <f>Data!F2718</f>
        <v>0</v>
      </c>
      <c r="M2706">
        <f>Data!G2718</f>
        <v>0</v>
      </c>
      <c r="N2706">
        <f>Data!H2718</f>
        <v>0</v>
      </c>
      <c r="O2706">
        <f>Data!I2718</f>
        <v>0</v>
      </c>
      <c r="P2706" s="21">
        <f>Data!J2722</f>
        <v>0</v>
      </c>
      <c r="Q2706">
        <f>Data!K2722</f>
        <v>0</v>
      </c>
      <c r="R2706">
        <f>Data!L2722</f>
        <v>0</v>
      </c>
      <c r="S2706">
        <f>Data!M2722</f>
        <v>0</v>
      </c>
      <c r="T2706">
        <f>Data!N2722</f>
        <v>0</v>
      </c>
      <c r="U2706">
        <f>Data!O2722</f>
        <v>0</v>
      </c>
      <c r="V2706" s="33">
        <f>Data!P2720</f>
        <v>0</v>
      </c>
    </row>
    <row r="2707" spans="7:22" x14ac:dyDescent="0.25">
      <c r="G2707" cm="1">
        <f t="array" aca="1" ref="G2707" ca="1">INDIRECT("Data!A" &amp; 702)</f>
        <v>0</v>
      </c>
      <c r="H2707" s="21">
        <f>Data!B2719</f>
        <v>0</v>
      </c>
      <c r="I2707" s="21">
        <f>Data!C2719</f>
        <v>0</v>
      </c>
      <c r="J2707">
        <f>Data!D2719</f>
        <v>0</v>
      </c>
      <c r="K2707">
        <f>Data!E2719</f>
        <v>0</v>
      </c>
      <c r="L2707">
        <f>Data!F2719</f>
        <v>0</v>
      </c>
      <c r="M2707">
        <f>Data!G2719</f>
        <v>0</v>
      </c>
      <c r="N2707">
        <f>Data!H2719</f>
        <v>0</v>
      </c>
      <c r="O2707">
        <f>Data!I2719</f>
        <v>0</v>
      </c>
      <c r="P2707" s="21">
        <f>Data!J2723</f>
        <v>0</v>
      </c>
      <c r="Q2707">
        <f>Data!K2723</f>
        <v>0</v>
      </c>
      <c r="R2707">
        <f>Data!L2723</f>
        <v>0</v>
      </c>
      <c r="S2707">
        <f>Data!M2723</f>
        <v>0</v>
      </c>
      <c r="T2707">
        <f>Data!N2723</f>
        <v>0</v>
      </c>
      <c r="U2707">
        <f>Data!O2723</f>
        <v>0</v>
      </c>
      <c r="V2707" s="33">
        <f>Data!P2721</f>
        <v>0</v>
      </c>
    </row>
    <row r="2708" spans="7:22" x14ac:dyDescent="0.25">
      <c r="G2708" cm="1">
        <f t="array" aca="1" ref="G2708" ca="1">INDIRECT("Data!A" &amp; 703)</f>
        <v>0</v>
      </c>
      <c r="H2708" s="21">
        <f>Data!B2720</f>
        <v>0</v>
      </c>
      <c r="I2708" s="21">
        <f>Data!C2720</f>
        <v>0</v>
      </c>
      <c r="J2708">
        <f>Data!D2720</f>
        <v>0</v>
      </c>
      <c r="K2708">
        <f>Data!E2720</f>
        <v>0</v>
      </c>
      <c r="L2708">
        <f>Data!F2720</f>
        <v>0</v>
      </c>
      <c r="M2708">
        <f>Data!G2720</f>
        <v>0</v>
      </c>
      <c r="N2708">
        <f>Data!H2720</f>
        <v>0</v>
      </c>
      <c r="O2708">
        <f>Data!I2720</f>
        <v>0</v>
      </c>
      <c r="P2708" s="21">
        <f>Data!J2724</f>
        <v>0</v>
      </c>
      <c r="Q2708">
        <f>Data!K2724</f>
        <v>0</v>
      </c>
      <c r="R2708">
        <f>Data!L2724</f>
        <v>0</v>
      </c>
      <c r="S2708">
        <f>Data!M2724</f>
        <v>0</v>
      </c>
      <c r="T2708">
        <f>Data!N2724</f>
        <v>0</v>
      </c>
      <c r="U2708">
        <f>Data!O2724</f>
        <v>0</v>
      </c>
      <c r="V2708" s="33">
        <f>Data!P2722</f>
        <v>0</v>
      </c>
    </row>
    <row r="2709" spans="7:22" x14ac:dyDescent="0.25">
      <c r="G2709" cm="1">
        <f t="array" aca="1" ref="G2709" ca="1">INDIRECT("Data!A" &amp; 704)</f>
        <v>0</v>
      </c>
      <c r="H2709" s="21">
        <f>Data!B2721</f>
        <v>0</v>
      </c>
      <c r="I2709" s="21">
        <f>Data!C2721</f>
        <v>0</v>
      </c>
      <c r="J2709">
        <f>Data!D2721</f>
        <v>0</v>
      </c>
      <c r="K2709">
        <f>Data!E2721</f>
        <v>0</v>
      </c>
      <c r="L2709">
        <f>Data!F2721</f>
        <v>0</v>
      </c>
      <c r="M2709">
        <f>Data!G2721</f>
        <v>0</v>
      </c>
      <c r="N2709">
        <f>Data!H2721</f>
        <v>0</v>
      </c>
      <c r="O2709">
        <f>Data!I2721</f>
        <v>0</v>
      </c>
      <c r="P2709" s="21">
        <f>Data!J2725</f>
        <v>0</v>
      </c>
      <c r="Q2709">
        <f>Data!K2725</f>
        <v>0</v>
      </c>
      <c r="R2709">
        <f>Data!L2725</f>
        <v>0</v>
      </c>
      <c r="S2709">
        <f>Data!M2725</f>
        <v>0</v>
      </c>
      <c r="T2709">
        <f>Data!N2725</f>
        <v>0</v>
      </c>
      <c r="U2709">
        <f>Data!O2725</f>
        <v>0</v>
      </c>
      <c r="V2709" s="33">
        <f>Data!P2723</f>
        <v>0</v>
      </c>
    </row>
    <row r="2710" spans="7:22" x14ac:dyDescent="0.25">
      <c r="G2710" cm="1">
        <f t="array" aca="1" ref="G2710" ca="1">INDIRECT("Data!A" &amp; 705)</f>
        <v>0</v>
      </c>
      <c r="H2710" s="21">
        <f>Data!B2722</f>
        <v>0</v>
      </c>
      <c r="I2710" s="21">
        <f>Data!C2722</f>
        <v>0</v>
      </c>
      <c r="J2710">
        <f>Data!D2722</f>
        <v>0</v>
      </c>
      <c r="K2710">
        <f>Data!E2722</f>
        <v>0</v>
      </c>
      <c r="L2710">
        <f>Data!F2722</f>
        <v>0</v>
      </c>
      <c r="M2710">
        <f>Data!G2722</f>
        <v>0</v>
      </c>
      <c r="N2710">
        <f>Data!H2722</f>
        <v>0</v>
      </c>
      <c r="O2710">
        <f>Data!I2722</f>
        <v>0</v>
      </c>
      <c r="P2710" s="21">
        <f>Data!J2726</f>
        <v>0</v>
      </c>
      <c r="Q2710">
        <f>Data!K2726</f>
        <v>0</v>
      </c>
      <c r="R2710">
        <f>Data!L2726</f>
        <v>0</v>
      </c>
      <c r="S2710">
        <f>Data!M2726</f>
        <v>0</v>
      </c>
      <c r="T2710">
        <f>Data!N2726</f>
        <v>0</v>
      </c>
      <c r="U2710">
        <f>Data!O2726</f>
        <v>0</v>
      </c>
      <c r="V2710" s="33">
        <f>Data!P2724</f>
        <v>0</v>
      </c>
    </row>
    <row r="2711" spans="7:22" x14ac:dyDescent="0.25">
      <c r="G2711" cm="1">
        <f t="array" aca="1" ref="G2711" ca="1">INDIRECT("Data!A" &amp; 706)</f>
        <v>0</v>
      </c>
      <c r="H2711" s="21">
        <f>Data!B2723</f>
        <v>0</v>
      </c>
      <c r="I2711" s="21">
        <f>Data!C2723</f>
        <v>0</v>
      </c>
      <c r="J2711">
        <f>Data!D2723</f>
        <v>0</v>
      </c>
      <c r="K2711">
        <f>Data!E2723</f>
        <v>0</v>
      </c>
      <c r="L2711">
        <f>Data!F2723</f>
        <v>0</v>
      </c>
      <c r="M2711">
        <f>Data!G2723</f>
        <v>0</v>
      </c>
      <c r="N2711">
        <f>Data!H2723</f>
        <v>0</v>
      </c>
      <c r="O2711">
        <f>Data!I2723</f>
        <v>0</v>
      </c>
      <c r="P2711" s="21">
        <f>Data!J2727</f>
        <v>0</v>
      </c>
      <c r="Q2711">
        <f>Data!K2727</f>
        <v>0</v>
      </c>
      <c r="R2711">
        <f>Data!L2727</f>
        <v>0</v>
      </c>
      <c r="S2711">
        <f>Data!M2727</f>
        <v>0</v>
      </c>
      <c r="T2711">
        <f>Data!N2727</f>
        <v>0</v>
      </c>
      <c r="U2711">
        <f>Data!O2727</f>
        <v>0</v>
      </c>
      <c r="V2711" s="33">
        <f>Data!P2725</f>
        <v>0</v>
      </c>
    </row>
    <row r="2712" spans="7:22" x14ac:dyDescent="0.25">
      <c r="G2712" cm="1">
        <f t="array" aca="1" ref="G2712" ca="1">INDIRECT("Data!A" &amp; 707)</f>
        <v>0</v>
      </c>
      <c r="H2712" s="21">
        <f>Data!B2724</f>
        <v>0</v>
      </c>
      <c r="I2712" s="21">
        <f>Data!C2724</f>
        <v>0</v>
      </c>
      <c r="J2712">
        <f>Data!D2724</f>
        <v>0</v>
      </c>
      <c r="K2712">
        <f>Data!E2724</f>
        <v>0</v>
      </c>
      <c r="L2712">
        <f>Data!F2724</f>
        <v>0</v>
      </c>
      <c r="M2712">
        <f>Data!G2724</f>
        <v>0</v>
      </c>
      <c r="N2712">
        <f>Data!H2724</f>
        <v>0</v>
      </c>
      <c r="O2712">
        <f>Data!I2724</f>
        <v>0</v>
      </c>
      <c r="P2712" s="21">
        <f>Data!J2728</f>
        <v>0</v>
      </c>
      <c r="Q2712">
        <f>Data!K2728</f>
        <v>0</v>
      </c>
      <c r="R2712">
        <f>Data!L2728</f>
        <v>0</v>
      </c>
      <c r="S2712">
        <f>Data!M2728</f>
        <v>0</v>
      </c>
      <c r="T2712">
        <f>Data!N2728</f>
        <v>0</v>
      </c>
      <c r="U2712">
        <f>Data!O2728</f>
        <v>0</v>
      </c>
      <c r="V2712" s="33">
        <f>Data!P2726</f>
        <v>0</v>
      </c>
    </row>
    <row r="2713" spans="7:22" x14ac:dyDescent="0.25">
      <c r="G2713" cm="1">
        <f t="array" aca="1" ref="G2713" ca="1">INDIRECT("Data!A" &amp; 708)</f>
        <v>0</v>
      </c>
      <c r="H2713" s="21">
        <f>Data!B2725</f>
        <v>0</v>
      </c>
      <c r="I2713" s="21">
        <f>Data!C2725</f>
        <v>0</v>
      </c>
      <c r="J2713">
        <f>Data!D2725</f>
        <v>0</v>
      </c>
      <c r="K2713">
        <f>Data!E2725</f>
        <v>0</v>
      </c>
      <c r="L2713">
        <f>Data!F2725</f>
        <v>0</v>
      </c>
      <c r="M2713">
        <f>Data!G2725</f>
        <v>0</v>
      </c>
      <c r="N2713">
        <f>Data!H2725</f>
        <v>0</v>
      </c>
      <c r="O2713">
        <f>Data!I2725</f>
        <v>0</v>
      </c>
      <c r="P2713" s="21">
        <f>Data!J2729</f>
        <v>0</v>
      </c>
      <c r="Q2713">
        <f>Data!K2729</f>
        <v>0</v>
      </c>
      <c r="R2713">
        <f>Data!L2729</f>
        <v>0</v>
      </c>
      <c r="S2713">
        <f>Data!M2729</f>
        <v>0</v>
      </c>
      <c r="T2713">
        <f>Data!N2729</f>
        <v>0</v>
      </c>
      <c r="U2713">
        <f>Data!O2729</f>
        <v>0</v>
      </c>
      <c r="V2713" s="33">
        <f>Data!P2727</f>
        <v>0</v>
      </c>
    </row>
    <row r="2714" spans="7:22" x14ac:dyDescent="0.25">
      <c r="G2714" cm="1">
        <f t="array" aca="1" ref="G2714" ca="1">INDIRECT("Data!A" &amp; 709)</f>
        <v>0</v>
      </c>
      <c r="H2714" s="21">
        <f>Data!B2726</f>
        <v>0</v>
      </c>
      <c r="I2714" s="21">
        <f>Data!C2726</f>
        <v>0</v>
      </c>
      <c r="J2714">
        <f>Data!D2726</f>
        <v>0</v>
      </c>
      <c r="K2714">
        <f>Data!E2726</f>
        <v>0</v>
      </c>
      <c r="L2714">
        <f>Data!F2726</f>
        <v>0</v>
      </c>
      <c r="M2714">
        <f>Data!G2726</f>
        <v>0</v>
      </c>
      <c r="N2714">
        <f>Data!H2726</f>
        <v>0</v>
      </c>
      <c r="O2714">
        <f>Data!I2726</f>
        <v>0</v>
      </c>
      <c r="P2714" s="21">
        <f>Data!J2730</f>
        <v>0</v>
      </c>
      <c r="Q2714">
        <f>Data!K2730</f>
        <v>0</v>
      </c>
      <c r="R2714">
        <f>Data!L2730</f>
        <v>0</v>
      </c>
      <c r="S2714">
        <f>Data!M2730</f>
        <v>0</v>
      </c>
      <c r="T2714">
        <f>Data!N2730</f>
        <v>0</v>
      </c>
      <c r="U2714">
        <f>Data!O2730</f>
        <v>0</v>
      </c>
      <c r="V2714" s="33">
        <f>Data!P2728</f>
        <v>0</v>
      </c>
    </row>
    <row r="2715" spans="7:22" x14ac:dyDescent="0.25">
      <c r="G2715" cm="1">
        <f t="array" aca="1" ref="G2715" ca="1">INDIRECT("Data!A" &amp; 710)</f>
        <v>0</v>
      </c>
      <c r="H2715" s="21">
        <f>Data!B2727</f>
        <v>0</v>
      </c>
      <c r="I2715" s="21">
        <f>Data!C2727</f>
        <v>0</v>
      </c>
      <c r="J2715">
        <f>Data!D2727</f>
        <v>0</v>
      </c>
      <c r="K2715">
        <f>Data!E2727</f>
        <v>0</v>
      </c>
      <c r="L2715">
        <f>Data!F2727</f>
        <v>0</v>
      </c>
      <c r="M2715">
        <f>Data!G2727</f>
        <v>0</v>
      </c>
      <c r="N2715">
        <f>Data!H2727</f>
        <v>0</v>
      </c>
      <c r="O2715">
        <f>Data!I2727</f>
        <v>0</v>
      </c>
      <c r="P2715" s="21">
        <f>Data!J2731</f>
        <v>0</v>
      </c>
      <c r="Q2715">
        <f>Data!K2731</f>
        <v>0</v>
      </c>
      <c r="R2715">
        <f>Data!L2731</f>
        <v>0</v>
      </c>
      <c r="S2715">
        <f>Data!M2731</f>
        <v>0</v>
      </c>
      <c r="T2715">
        <f>Data!N2731</f>
        <v>0</v>
      </c>
      <c r="U2715">
        <f>Data!O2731</f>
        <v>0</v>
      </c>
      <c r="V2715" s="33">
        <f>Data!P2729</f>
        <v>0</v>
      </c>
    </row>
    <row r="2716" spans="7:22" x14ac:dyDescent="0.25">
      <c r="G2716" cm="1">
        <f t="array" aca="1" ref="G2716" ca="1">INDIRECT("Data!A" &amp; 711)</f>
        <v>0</v>
      </c>
      <c r="H2716" s="21">
        <f>Data!B2728</f>
        <v>0</v>
      </c>
      <c r="I2716" s="21">
        <f>Data!C2728</f>
        <v>0</v>
      </c>
      <c r="J2716">
        <f>Data!D2728</f>
        <v>0</v>
      </c>
      <c r="K2716">
        <f>Data!E2728</f>
        <v>0</v>
      </c>
      <c r="L2716">
        <f>Data!F2728</f>
        <v>0</v>
      </c>
      <c r="M2716">
        <f>Data!G2728</f>
        <v>0</v>
      </c>
      <c r="N2716">
        <f>Data!H2728</f>
        <v>0</v>
      </c>
      <c r="O2716">
        <f>Data!I2728</f>
        <v>0</v>
      </c>
      <c r="P2716" s="21">
        <f>Data!J2732</f>
        <v>0</v>
      </c>
      <c r="Q2716">
        <f>Data!K2732</f>
        <v>0</v>
      </c>
      <c r="R2716">
        <f>Data!L2732</f>
        <v>0</v>
      </c>
      <c r="S2716">
        <f>Data!M2732</f>
        <v>0</v>
      </c>
      <c r="T2716">
        <f>Data!N2732</f>
        <v>0</v>
      </c>
      <c r="U2716">
        <f>Data!O2732</f>
        <v>0</v>
      </c>
      <c r="V2716" s="33">
        <f>Data!P2730</f>
        <v>0</v>
      </c>
    </row>
    <row r="2717" spans="7:22" x14ac:dyDescent="0.25">
      <c r="G2717" cm="1">
        <f t="array" aca="1" ref="G2717" ca="1">INDIRECT("Data!A" &amp; 712)</f>
        <v>0</v>
      </c>
      <c r="H2717" s="21">
        <f>Data!B2729</f>
        <v>0</v>
      </c>
      <c r="I2717" s="21">
        <f>Data!C2729</f>
        <v>0</v>
      </c>
      <c r="J2717">
        <f>Data!D2729</f>
        <v>0</v>
      </c>
      <c r="K2717">
        <f>Data!E2729</f>
        <v>0</v>
      </c>
      <c r="L2717">
        <f>Data!F2729</f>
        <v>0</v>
      </c>
      <c r="M2717">
        <f>Data!G2729</f>
        <v>0</v>
      </c>
      <c r="N2717">
        <f>Data!H2729</f>
        <v>0</v>
      </c>
      <c r="O2717">
        <f>Data!I2729</f>
        <v>0</v>
      </c>
      <c r="P2717" s="21">
        <f>Data!J2733</f>
        <v>0</v>
      </c>
      <c r="Q2717">
        <f>Data!K2733</f>
        <v>0</v>
      </c>
      <c r="R2717">
        <f>Data!L2733</f>
        <v>0</v>
      </c>
      <c r="S2717">
        <f>Data!M2733</f>
        <v>0</v>
      </c>
      <c r="T2717">
        <f>Data!N2733</f>
        <v>0</v>
      </c>
      <c r="U2717">
        <f>Data!O2733</f>
        <v>0</v>
      </c>
      <c r="V2717" s="33">
        <f>Data!P2731</f>
        <v>0</v>
      </c>
    </row>
    <row r="2718" spans="7:22" x14ac:dyDescent="0.25">
      <c r="G2718" cm="1">
        <f t="array" aca="1" ref="G2718" ca="1">INDIRECT("Data!A" &amp; 713)</f>
        <v>0</v>
      </c>
      <c r="H2718" s="21">
        <f>Data!B2730</f>
        <v>0</v>
      </c>
      <c r="I2718" s="21">
        <f>Data!C2730</f>
        <v>0</v>
      </c>
      <c r="J2718">
        <f>Data!D2730</f>
        <v>0</v>
      </c>
      <c r="K2718">
        <f>Data!E2730</f>
        <v>0</v>
      </c>
      <c r="L2718">
        <f>Data!F2730</f>
        <v>0</v>
      </c>
      <c r="M2718">
        <f>Data!G2730</f>
        <v>0</v>
      </c>
      <c r="N2718">
        <f>Data!H2730</f>
        <v>0</v>
      </c>
      <c r="O2718">
        <f>Data!I2730</f>
        <v>0</v>
      </c>
      <c r="P2718" s="21">
        <f>Data!J2734</f>
        <v>0</v>
      </c>
      <c r="Q2718">
        <f>Data!K2734</f>
        <v>0</v>
      </c>
      <c r="R2718">
        <f>Data!L2734</f>
        <v>0</v>
      </c>
      <c r="S2718">
        <f>Data!M2734</f>
        <v>0</v>
      </c>
      <c r="T2718">
        <f>Data!N2734</f>
        <v>0</v>
      </c>
      <c r="U2718">
        <f>Data!O2734</f>
        <v>0</v>
      </c>
      <c r="V2718" s="33">
        <f>Data!P2732</f>
        <v>0</v>
      </c>
    </row>
    <row r="2719" spans="7:22" x14ac:dyDescent="0.25">
      <c r="G2719" cm="1">
        <f t="array" aca="1" ref="G2719" ca="1">INDIRECT("Data!A" &amp; 714)</f>
        <v>0</v>
      </c>
      <c r="H2719" s="21">
        <f>Data!B2731</f>
        <v>0</v>
      </c>
      <c r="I2719" s="21">
        <f>Data!C2731</f>
        <v>0</v>
      </c>
      <c r="J2719">
        <f>Data!D2731</f>
        <v>0</v>
      </c>
      <c r="K2719">
        <f>Data!E2731</f>
        <v>0</v>
      </c>
      <c r="L2719">
        <f>Data!F2731</f>
        <v>0</v>
      </c>
      <c r="M2719">
        <f>Data!G2731</f>
        <v>0</v>
      </c>
      <c r="N2719">
        <f>Data!H2731</f>
        <v>0</v>
      </c>
      <c r="O2719">
        <f>Data!I2731</f>
        <v>0</v>
      </c>
      <c r="P2719" s="21">
        <f>Data!J2735</f>
        <v>0</v>
      </c>
      <c r="Q2719">
        <f>Data!K2735</f>
        <v>0</v>
      </c>
      <c r="R2719">
        <f>Data!L2735</f>
        <v>0</v>
      </c>
      <c r="S2719">
        <f>Data!M2735</f>
        <v>0</v>
      </c>
      <c r="T2719">
        <f>Data!N2735</f>
        <v>0</v>
      </c>
      <c r="U2719">
        <f>Data!O2735</f>
        <v>0</v>
      </c>
      <c r="V2719" s="33">
        <f>Data!P2733</f>
        <v>0</v>
      </c>
    </row>
    <row r="2720" spans="7:22" x14ac:dyDescent="0.25">
      <c r="G2720" cm="1">
        <f t="array" aca="1" ref="G2720" ca="1">INDIRECT("Data!A" &amp; 715)</f>
        <v>0</v>
      </c>
      <c r="H2720" s="21">
        <f>Data!B2732</f>
        <v>0</v>
      </c>
      <c r="I2720" s="21">
        <f>Data!C2732</f>
        <v>0</v>
      </c>
      <c r="J2720">
        <f>Data!D2732</f>
        <v>0</v>
      </c>
      <c r="K2720">
        <f>Data!E2732</f>
        <v>0</v>
      </c>
      <c r="L2720">
        <f>Data!F2732</f>
        <v>0</v>
      </c>
      <c r="M2720">
        <f>Data!G2732</f>
        <v>0</v>
      </c>
      <c r="N2720">
        <f>Data!H2732</f>
        <v>0</v>
      </c>
      <c r="O2720">
        <f>Data!I2732</f>
        <v>0</v>
      </c>
      <c r="P2720" s="21">
        <f>Data!J2736</f>
        <v>0</v>
      </c>
      <c r="Q2720">
        <f>Data!K2736</f>
        <v>0</v>
      </c>
      <c r="R2720">
        <f>Data!L2736</f>
        <v>0</v>
      </c>
      <c r="S2720">
        <f>Data!M2736</f>
        <v>0</v>
      </c>
      <c r="T2720">
        <f>Data!N2736</f>
        <v>0</v>
      </c>
      <c r="U2720">
        <f>Data!O2736</f>
        <v>0</v>
      </c>
      <c r="V2720" s="33">
        <f>Data!P2734</f>
        <v>0</v>
      </c>
    </row>
    <row r="2721" spans="7:22" x14ac:dyDescent="0.25">
      <c r="G2721" cm="1">
        <f t="array" aca="1" ref="G2721" ca="1">INDIRECT("Data!A" &amp; 716)</f>
        <v>0</v>
      </c>
      <c r="H2721" s="21">
        <f>Data!B2733</f>
        <v>0</v>
      </c>
      <c r="I2721" s="21">
        <f>Data!C2733</f>
        <v>0</v>
      </c>
      <c r="J2721">
        <f>Data!D2733</f>
        <v>0</v>
      </c>
      <c r="K2721">
        <f>Data!E2733</f>
        <v>0</v>
      </c>
      <c r="L2721">
        <f>Data!F2733</f>
        <v>0</v>
      </c>
      <c r="M2721">
        <f>Data!G2733</f>
        <v>0</v>
      </c>
      <c r="N2721">
        <f>Data!H2733</f>
        <v>0</v>
      </c>
      <c r="O2721">
        <f>Data!I2733</f>
        <v>0</v>
      </c>
      <c r="P2721" s="21">
        <f>Data!J2737</f>
        <v>0</v>
      </c>
      <c r="Q2721">
        <f>Data!K2737</f>
        <v>0</v>
      </c>
      <c r="R2721">
        <f>Data!L2737</f>
        <v>0</v>
      </c>
      <c r="S2721">
        <f>Data!M2737</f>
        <v>0</v>
      </c>
      <c r="T2721">
        <f>Data!N2737</f>
        <v>0</v>
      </c>
      <c r="U2721">
        <f>Data!O2737</f>
        <v>0</v>
      </c>
      <c r="V2721" s="33">
        <f>Data!P2735</f>
        <v>0</v>
      </c>
    </row>
    <row r="2722" spans="7:22" x14ac:dyDescent="0.25">
      <c r="G2722" cm="1">
        <f t="array" aca="1" ref="G2722" ca="1">INDIRECT("Data!A" &amp; 717)</f>
        <v>0</v>
      </c>
      <c r="H2722" s="21">
        <f>Data!B2734</f>
        <v>0</v>
      </c>
      <c r="I2722" s="21">
        <f>Data!C2734</f>
        <v>0</v>
      </c>
      <c r="J2722">
        <f>Data!D2734</f>
        <v>0</v>
      </c>
      <c r="K2722">
        <f>Data!E2734</f>
        <v>0</v>
      </c>
      <c r="L2722">
        <f>Data!F2734</f>
        <v>0</v>
      </c>
      <c r="M2722">
        <f>Data!G2734</f>
        <v>0</v>
      </c>
      <c r="N2722">
        <f>Data!H2734</f>
        <v>0</v>
      </c>
      <c r="O2722">
        <f>Data!I2734</f>
        <v>0</v>
      </c>
      <c r="P2722" s="21">
        <f>Data!J2738</f>
        <v>0</v>
      </c>
      <c r="Q2722">
        <f>Data!K2738</f>
        <v>0</v>
      </c>
      <c r="R2722">
        <f>Data!L2738</f>
        <v>0</v>
      </c>
      <c r="S2722">
        <f>Data!M2738</f>
        <v>0</v>
      </c>
      <c r="T2722">
        <f>Data!N2738</f>
        <v>0</v>
      </c>
      <c r="U2722">
        <f>Data!O2738</f>
        <v>0</v>
      </c>
      <c r="V2722" s="33">
        <f>Data!P2736</f>
        <v>0</v>
      </c>
    </row>
    <row r="2723" spans="7:22" x14ac:dyDescent="0.25">
      <c r="G2723" cm="1">
        <f t="array" aca="1" ref="G2723" ca="1">INDIRECT("Data!A" &amp; 718)</f>
        <v>0</v>
      </c>
      <c r="H2723" s="21">
        <f>Data!B2735</f>
        <v>0</v>
      </c>
      <c r="I2723" s="21">
        <f>Data!C2735</f>
        <v>0</v>
      </c>
      <c r="J2723">
        <f>Data!D2735</f>
        <v>0</v>
      </c>
      <c r="K2723">
        <f>Data!E2735</f>
        <v>0</v>
      </c>
      <c r="L2723">
        <f>Data!F2735</f>
        <v>0</v>
      </c>
      <c r="M2723">
        <f>Data!G2735</f>
        <v>0</v>
      </c>
      <c r="N2723">
        <f>Data!H2735</f>
        <v>0</v>
      </c>
      <c r="O2723">
        <f>Data!I2735</f>
        <v>0</v>
      </c>
      <c r="P2723" s="21">
        <f>Data!J2739</f>
        <v>0</v>
      </c>
      <c r="Q2723">
        <f>Data!K2739</f>
        <v>0</v>
      </c>
      <c r="R2723">
        <f>Data!L2739</f>
        <v>0</v>
      </c>
      <c r="S2723">
        <f>Data!M2739</f>
        <v>0</v>
      </c>
      <c r="T2723">
        <f>Data!N2739</f>
        <v>0</v>
      </c>
      <c r="U2723">
        <f>Data!O2739</f>
        <v>0</v>
      </c>
      <c r="V2723" s="33">
        <f>Data!P2737</f>
        <v>0</v>
      </c>
    </row>
    <row r="2724" spans="7:22" x14ac:dyDescent="0.25">
      <c r="G2724" cm="1">
        <f t="array" aca="1" ref="G2724" ca="1">INDIRECT("Data!A" &amp; 719)</f>
        <v>0</v>
      </c>
      <c r="H2724" s="21">
        <f>Data!B2736</f>
        <v>0</v>
      </c>
      <c r="I2724" s="21">
        <f>Data!C2736</f>
        <v>0</v>
      </c>
      <c r="J2724">
        <f>Data!D2736</f>
        <v>0</v>
      </c>
      <c r="K2724">
        <f>Data!E2736</f>
        <v>0</v>
      </c>
      <c r="L2724">
        <f>Data!F2736</f>
        <v>0</v>
      </c>
      <c r="M2724">
        <f>Data!G2736</f>
        <v>0</v>
      </c>
      <c r="N2724">
        <f>Data!H2736</f>
        <v>0</v>
      </c>
      <c r="O2724">
        <f>Data!I2736</f>
        <v>0</v>
      </c>
      <c r="P2724" s="21">
        <f>Data!J2740</f>
        <v>0</v>
      </c>
      <c r="Q2724">
        <f>Data!K2740</f>
        <v>0</v>
      </c>
      <c r="R2724">
        <f>Data!L2740</f>
        <v>0</v>
      </c>
      <c r="S2724">
        <f>Data!M2740</f>
        <v>0</v>
      </c>
      <c r="T2724">
        <f>Data!N2740</f>
        <v>0</v>
      </c>
      <c r="U2724">
        <f>Data!O2740</f>
        <v>0</v>
      </c>
      <c r="V2724" s="33">
        <f>Data!P2738</f>
        <v>0</v>
      </c>
    </row>
    <row r="2725" spans="7:22" x14ac:dyDescent="0.25">
      <c r="G2725" cm="1">
        <f t="array" aca="1" ref="G2725" ca="1">INDIRECT("Data!A" &amp; 720)</f>
        <v>0</v>
      </c>
      <c r="H2725" s="21">
        <f>Data!B2737</f>
        <v>0</v>
      </c>
      <c r="I2725" s="21">
        <f>Data!C2737</f>
        <v>0</v>
      </c>
      <c r="J2725">
        <f>Data!D2737</f>
        <v>0</v>
      </c>
      <c r="K2725">
        <f>Data!E2737</f>
        <v>0</v>
      </c>
      <c r="L2725">
        <f>Data!F2737</f>
        <v>0</v>
      </c>
      <c r="M2725">
        <f>Data!G2737</f>
        <v>0</v>
      </c>
      <c r="N2725">
        <f>Data!H2737</f>
        <v>0</v>
      </c>
      <c r="O2725">
        <f>Data!I2737</f>
        <v>0</v>
      </c>
      <c r="P2725" s="21">
        <f>Data!J2741</f>
        <v>0</v>
      </c>
      <c r="Q2725">
        <f>Data!K2741</f>
        <v>0</v>
      </c>
      <c r="R2725">
        <f>Data!L2741</f>
        <v>0</v>
      </c>
      <c r="S2725">
        <f>Data!M2741</f>
        <v>0</v>
      </c>
      <c r="T2725">
        <f>Data!N2741</f>
        <v>0</v>
      </c>
      <c r="U2725">
        <f>Data!O2741</f>
        <v>0</v>
      </c>
      <c r="V2725" s="33">
        <f>Data!P2739</f>
        <v>0</v>
      </c>
    </row>
    <row r="2726" spans="7:22" x14ac:dyDescent="0.25">
      <c r="G2726" cm="1">
        <f t="array" aca="1" ref="G2726" ca="1">INDIRECT("Data!A" &amp; 721)</f>
        <v>0</v>
      </c>
      <c r="H2726" s="21">
        <f>Data!B2738</f>
        <v>0</v>
      </c>
      <c r="I2726" s="21">
        <f>Data!C2738</f>
        <v>0</v>
      </c>
      <c r="J2726">
        <f>Data!D2738</f>
        <v>0</v>
      </c>
      <c r="K2726">
        <f>Data!E2738</f>
        <v>0</v>
      </c>
      <c r="L2726">
        <f>Data!F2738</f>
        <v>0</v>
      </c>
      <c r="M2726">
        <f>Data!G2738</f>
        <v>0</v>
      </c>
      <c r="N2726">
        <f>Data!H2738</f>
        <v>0</v>
      </c>
      <c r="O2726">
        <f>Data!I2738</f>
        <v>0</v>
      </c>
      <c r="P2726" s="21">
        <f>Data!J2742</f>
        <v>0</v>
      </c>
      <c r="Q2726">
        <f>Data!K2742</f>
        <v>0</v>
      </c>
      <c r="R2726">
        <f>Data!L2742</f>
        <v>0</v>
      </c>
      <c r="S2726">
        <f>Data!M2742</f>
        <v>0</v>
      </c>
      <c r="T2726">
        <f>Data!N2742</f>
        <v>0</v>
      </c>
      <c r="U2726">
        <f>Data!O2742</f>
        <v>0</v>
      </c>
      <c r="V2726" s="33">
        <f>Data!P2740</f>
        <v>0</v>
      </c>
    </row>
    <row r="2727" spans="7:22" x14ac:dyDescent="0.25">
      <c r="G2727" cm="1">
        <f t="array" aca="1" ref="G2727" ca="1">INDIRECT("Data!A" &amp; 722)</f>
        <v>0</v>
      </c>
      <c r="H2727" s="21">
        <f>Data!B2739</f>
        <v>0</v>
      </c>
      <c r="I2727" s="21">
        <f>Data!C2739</f>
        <v>0</v>
      </c>
      <c r="J2727">
        <f>Data!D2739</f>
        <v>0</v>
      </c>
      <c r="K2727">
        <f>Data!E2739</f>
        <v>0</v>
      </c>
      <c r="L2727">
        <f>Data!F2739</f>
        <v>0</v>
      </c>
      <c r="M2727">
        <f>Data!G2739</f>
        <v>0</v>
      </c>
      <c r="N2727">
        <f>Data!H2739</f>
        <v>0</v>
      </c>
      <c r="O2727">
        <f>Data!I2739</f>
        <v>0</v>
      </c>
      <c r="P2727" s="21">
        <f>Data!J2743</f>
        <v>0</v>
      </c>
      <c r="Q2727">
        <f>Data!K2743</f>
        <v>0</v>
      </c>
      <c r="R2727">
        <f>Data!L2743</f>
        <v>0</v>
      </c>
      <c r="S2727">
        <f>Data!M2743</f>
        <v>0</v>
      </c>
      <c r="T2727">
        <f>Data!N2743</f>
        <v>0</v>
      </c>
      <c r="U2727">
        <f>Data!O2743</f>
        <v>0</v>
      </c>
      <c r="V2727" s="33">
        <f>Data!P2741</f>
        <v>0</v>
      </c>
    </row>
    <row r="2728" spans="7:22" x14ac:dyDescent="0.25">
      <c r="G2728" cm="1">
        <f t="array" aca="1" ref="G2728" ca="1">INDIRECT("Data!A" &amp; 723)</f>
        <v>0</v>
      </c>
      <c r="H2728" s="21">
        <f>Data!B2740</f>
        <v>0</v>
      </c>
      <c r="I2728" s="21">
        <f>Data!C2740</f>
        <v>0</v>
      </c>
      <c r="J2728">
        <f>Data!D2740</f>
        <v>0</v>
      </c>
      <c r="K2728">
        <f>Data!E2740</f>
        <v>0</v>
      </c>
      <c r="L2728">
        <f>Data!F2740</f>
        <v>0</v>
      </c>
      <c r="M2728">
        <f>Data!G2740</f>
        <v>0</v>
      </c>
      <c r="N2728">
        <f>Data!H2740</f>
        <v>0</v>
      </c>
      <c r="O2728">
        <f>Data!I2740</f>
        <v>0</v>
      </c>
      <c r="P2728" s="21">
        <f>Data!J2744</f>
        <v>0</v>
      </c>
      <c r="Q2728">
        <f>Data!K2744</f>
        <v>0</v>
      </c>
      <c r="R2728">
        <f>Data!L2744</f>
        <v>0</v>
      </c>
      <c r="S2728">
        <f>Data!M2744</f>
        <v>0</v>
      </c>
      <c r="T2728">
        <f>Data!N2744</f>
        <v>0</v>
      </c>
      <c r="U2728">
        <f>Data!O2744</f>
        <v>0</v>
      </c>
      <c r="V2728" s="33">
        <f>Data!P2742</f>
        <v>0</v>
      </c>
    </row>
    <row r="2729" spans="7:22" x14ac:dyDescent="0.25">
      <c r="G2729" cm="1">
        <f t="array" aca="1" ref="G2729" ca="1">INDIRECT("Data!A" &amp; 724)</f>
        <v>0</v>
      </c>
      <c r="H2729" s="21">
        <f>Data!B2741</f>
        <v>0</v>
      </c>
      <c r="I2729" s="21">
        <f>Data!C2741</f>
        <v>0</v>
      </c>
      <c r="J2729">
        <f>Data!D2741</f>
        <v>0</v>
      </c>
      <c r="K2729">
        <f>Data!E2741</f>
        <v>0</v>
      </c>
      <c r="L2729">
        <f>Data!F2741</f>
        <v>0</v>
      </c>
      <c r="M2729">
        <f>Data!G2741</f>
        <v>0</v>
      </c>
      <c r="N2729">
        <f>Data!H2741</f>
        <v>0</v>
      </c>
      <c r="O2729">
        <f>Data!I2741</f>
        <v>0</v>
      </c>
      <c r="P2729" s="21">
        <f>Data!J2745</f>
        <v>0</v>
      </c>
      <c r="Q2729">
        <f>Data!K2745</f>
        <v>0</v>
      </c>
      <c r="R2729">
        <f>Data!L2745</f>
        <v>0</v>
      </c>
      <c r="S2729">
        <f>Data!M2745</f>
        <v>0</v>
      </c>
      <c r="T2729">
        <f>Data!N2745</f>
        <v>0</v>
      </c>
      <c r="U2729">
        <f>Data!O2745</f>
        <v>0</v>
      </c>
      <c r="V2729" s="33">
        <f>Data!P2743</f>
        <v>0</v>
      </c>
    </row>
    <row r="2730" spans="7:22" x14ac:dyDescent="0.25">
      <c r="G2730" cm="1">
        <f t="array" aca="1" ref="G2730" ca="1">INDIRECT("Data!A" &amp; 725)</f>
        <v>0</v>
      </c>
      <c r="H2730" s="21">
        <f>Data!B2742</f>
        <v>0</v>
      </c>
      <c r="I2730" s="21">
        <f>Data!C2742</f>
        <v>0</v>
      </c>
      <c r="J2730">
        <f>Data!D2742</f>
        <v>0</v>
      </c>
      <c r="K2730">
        <f>Data!E2742</f>
        <v>0</v>
      </c>
      <c r="L2730">
        <f>Data!F2742</f>
        <v>0</v>
      </c>
      <c r="M2730">
        <f>Data!G2742</f>
        <v>0</v>
      </c>
      <c r="N2730">
        <f>Data!H2742</f>
        <v>0</v>
      </c>
      <c r="O2730">
        <f>Data!I2742</f>
        <v>0</v>
      </c>
      <c r="P2730" s="21">
        <f>Data!J2746</f>
        <v>0</v>
      </c>
      <c r="Q2730">
        <f>Data!K2746</f>
        <v>0</v>
      </c>
      <c r="R2730">
        <f>Data!L2746</f>
        <v>0</v>
      </c>
      <c r="S2730">
        <f>Data!M2746</f>
        <v>0</v>
      </c>
      <c r="T2730">
        <f>Data!N2746</f>
        <v>0</v>
      </c>
      <c r="U2730">
        <f>Data!O2746</f>
        <v>0</v>
      </c>
      <c r="V2730" s="33">
        <f>Data!P2744</f>
        <v>0</v>
      </c>
    </row>
    <row r="2731" spans="7:22" x14ac:dyDescent="0.25">
      <c r="G2731" cm="1">
        <f t="array" aca="1" ref="G2731" ca="1">INDIRECT("Data!A" &amp; 726)</f>
        <v>0</v>
      </c>
      <c r="H2731" s="21">
        <f>Data!B2743</f>
        <v>0</v>
      </c>
      <c r="I2731" s="21">
        <f>Data!C2743</f>
        <v>0</v>
      </c>
      <c r="J2731">
        <f>Data!D2743</f>
        <v>0</v>
      </c>
      <c r="K2731">
        <f>Data!E2743</f>
        <v>0</v>
      </c>
      <c r="L2731">
        <f>Data!F2743</f>
        <v>0</v>
      </c>
      <c r="M2731">
        <f>Data!G2743</f>
        <v>0</v>
      </c>
      <c r="N2731">
        <f>Data!H2743</f>
        <v>0</v>
      </c>
      <c r="O2731">
        <f>Data!I2743</f>
        <v>0</v>
      </c>
      <c r="P2731" s="21">
        <f>Data!J2747</f>
        <v>0</v>
      </c>
      <c r="Q2731">
        <f>Data!K2747</f>
        <v>0</v>
      </c>
      <c r="R2731">
        <f>Data!L2747</f>
        <v>0</v>
      </c>
      <c r="S2731">
        <f>Data!M2747</f>
        <v>0</v>
      </c>
      <c r="T2731">
        <f>Data!N2747</f>
        <v>0</v>
      </c>
      <c r="U2731">
        <f>Data!O2747</f>
        <v>0</v>
      </c>
      <c r="V2731" s="33">
        <f>Data!P2745</f>
        <v>0</v>
      </c>
    </row>
    <row r="2732" spans="7:22" x14ac:dyDescent="0.25">
      <c r="G2732" cm="1">
        <f t="array" aca="1" ref="G2732" ca="1">INDIRECT("Data!A" &amp; 727)</f>
        <v>0</v>
      </c>
      <c r="H2732" s="21">
        <f>Data!B2744</f>
        <v>0</v>
      </c>
      <c r="I2732" s="21">
        <f>Data!C2744</f>
        <v>0</v>
      </c>
      <c r="J2732">
        <f>Data!D2744</f>
        <v>0</v>
      </c>
      <c r="K2732">
        <f>Data!E2744</f>
        <v>0</v>
      </c>
      <c r="L2732">
        <f>Data!F2744</f>
        <v>0</v>
      </c>
      <c r="M2732">
        <f>Data!G2744</f>
        <v>0</v>
      </c>
      <c r="N2732">
        <f>Data!H2744</f>
        <v>0</v>
      </c>
      <c r="O2732">
        <f>Data!I2744</f>
        <v>0</v>
      </c>
      <c r="P2732" s="21">
        <f>Data!J2748</f>
        <v>0</v>
      </c>
      <c r="Q2732">
        <f>Data!K2748</f>
        <v>0</v>
      </c>
      <c r="R2732">
        <f>Data!L2748</f>
        <v>0</v>
      </c>
      <c r="S2732">
        <f>Data!M2748</f>
        <v>0</v>
      </c>
      <c r="T2732">
        <f>Data!N2748</f>
        <v>0</v>
      </c>
      <c r="U2732">
        <f>Data!O2748</f>
        <v>0</v>
      </c>
      <c r="V2732" s="33">
        <f>Data!P2746</f>
        <v>0</v>
      </c>
    </row>
    <row r="2733" spans="7:22" x14ac:dyDescent="0.25">
      <c r="G2733" cm="1">
        <f t="array" aca="1" ref="G2733" ca="1">INDIRECT("Data!A" &amp; 728)</f>
        <v>0</v>
      </c>
      <c r="H2733" s="21">
        <f>Data!B2745</f>
        <v>0</v>
      </c>
      <c r="I2733" s="21">
        <f>Data!C2745</f>
        <v>0</v>
      </c>
      <c r="J2733">
        <f>Data!D2745</f>
        <v>0</v>
      </c>
      <c r="K2733">
        <f>Data!E2745</f>
        <v>0</v>
      </c>
      <c r="L2733">
        <f>Data!F2745</f>
        <v>0</v>
      </c>
      <c r="M2733">
        <f>Data!G2745</f>
        <v>0</v>
      </c>
      <c r="N2733">
        <f>Data!H2745</f>
        <v>0</v>
      </c>
      <c r="O2733">
        <f>Data!I2745</f>
        <v>0</v>
      </c>
      <c r="P2733" s="21">
        <f>Data!J2749</f>
        <v>0</v>
      </c>
      <c r="Q2733">
        <f>Data!K2749</f>
        <v>0</v>
      </c>
      <c r="R2733">
        <f>Data!L2749</f>
        <v>0</v>
      </c>
      <c r="S2733">
        <f>Data!M2749</f>
        <v>0</v>
      </c>
      <c r="T2733">
        <f>Data!N2749</f>
        <v>0</v>
      </c>
      <c r="U2733">
        <f>Data!O2749</f>
        <v>0</v>
      </c>
      <c r="V2733" s="33">
        <f>Data!P2747</f>
        <v>0</v>
      </c>
    </row>
    <row r="2734" spans="7:22" x14ac:dyDescent="0.25">
      <c r="G2734" cm="1">
        <f t="array" aca="1" ref="G2734" ca="1">INDIRECT("Data!A" &amp; 729)</f>
        <v>0</v>
      </c>
      <c r="H2734" s="21">
        <f>Data!B2746</f>
        <v>0</v>
      </c>
      <c r="I2734" s="21">
        <f>Data!C2746</f>
        <v>0</v>
      </c>
      <c r="J2734">
        <f>Data!D2746</f>
        <v>0</v>
      </c>
      <c r="K2734">
        <f>Data!E2746</f>
        <v>0</v>
      </c>
      <c r="L2734">
        <f>Data!F2746</f>
        <v>0</v>
      </c>
      <c r="M2734">
        <f>Data!G2746</f>
        <v>0</v>
      </c>
      <c r="N2734">
        <f>Data!H2746</f>
        <v>0</v>
      </c>
      <c r="O2734">
        <f>Data!I2746</f>
        <v>0</v>
      </c>
      <c r="P2734" s="21">
        <f>Data!J2750</f>
        <v>0</v>
      </c>
      <c r="Q2734">
        <f>Data!K2750</f>
        <v>0</v>
      </c>
      <c r="R2734">
        <f>Data!L2750</f>
        <v>0</v>
      </c>
      <c r="S2734">
        <f>Data!M2750</f>
        <v>0</v>
      </c>
      <c r="T2734">
        <f>Data!N2750</f>
        <v>0</v>
      </c>
      <c r="U2734">
        <f>Data!O2750</f>
        <v>0</v>
      </c>
      <c r="V2734" s="33">
        <f>Data!P2748</f>
        <v>0</v>
      </c>
    </row>
    <row r="2735" spans="7:22" x14ac:dyDescent="0.25">
      <c r="G2735" cm="1">
        <f t="array" aca="1" ref="G2735" ca="1">INDIRECT("Data!A" &amp; 730)</f>
        <v>0</v>
      </c>
      <c r="H2735" s="21">
        <f>Data!B2747</f>
        <v>0</v>
      </c>
      <c r="I2735" s="21">
        <f>Data!C2747</f>
        <v>0</v>
      </c>
      <c r="J2735">
        <f>Data!D2747</f>
        <v>0</v>
      </c>
      <c r="K2735">
        <f>Data!E2747</f>
        <v>0</v>
      </c>
      <c r="L2735">
        <f>Data!F2747</f>
        <v>0</v>
      </c>
      <c r="M2735">
        <f>Data!G2747</f>
        <v>0</v>
      </c>
      <c r="N2735">
        <f>Data!H2747</f>
        <v>0</v>
      </c>
      <c r="O2735">
        <f>Data!I2747</f>
        <v>0</v>
      </c>
      <c r="P2735" s="21">
        <f>Data!J2751</f>
        <v>0</v>
      </c>
      <c r="Q2735">
        <f>Data!K2751</f>
        <v>0</v>
      </c>
      <c r="R2735">
        <f>Data!L2751</f>
        <v>0</v>
      </c>
      <c r="S2735">
        <f>Data!M2751</f>
        <v>0</v>
      </c>
      <c r="T2735">
        <f>Data!N2751</f>
        <v>0</v>
      </c>
      <c r="U2735">
        <f>Data!O2751</f>
        <v>0</v>
      </c>
      <c r="V2735" s="33">
        <f>Data!P2749</f>
        <v>0</v>
      </c>
    </row>
    <row r="2736" spans="7:22" x14ac:dyDescent="0.25">
      <c r="G2736" cm="1">
        <f t="array" aca="1" ref="G2736" ca="1">INDIRECT("Data!A" &amp; 731)</f>
        <v>0</v>
      </c>
      <c r="H2736" s="21">
        <f>Data!B2748</f>
        <v>0</v>
      </c>
      <c r="I2736" s="21">
        <f>Data!C2748</f>
        <v>0</v>
      </c>
      <c r="J2736">
        <f>Data!D2748</f>
        <v>0</v>
      </c>
      <c r="K2736">
        <f>Data!E2748</f>
        <v>0</v>
      </c>
      <c r="L2736">
        <f>Data!F2748</f>
        <v>0</v>
      </c>
      <c r="M2736">
        <f>Data!G2748</f>
        <v>0</v>
      </c>
      <c r="N2736">
        <f>Data!H2748</f>
        <v>0</v>
      </c>
      <c r="O2736">
        <f>Data!I2748</f>
        <v>0</v>
      </c>
      <c r="P2736" s="21">
        <f>Data!J2752</f>
        <v>0</v>
      </c>
      <c r="Q2736">
        <f>Data!K2752</f>
        <v>0</v>
      </c>
      <c r="R2736">
        <f>Data!L2752</f>
        <v>0</v>
      </c>
      <c r="S2736">
        <f>Data!M2752</f>
        <v>0</v>
      </c>
      <c r="T2736">
        <f>Data!N2752</f>
        <v>0</v>
      </c>
      <c r="U2736">
        <f>Data!O2752</f>
        <v>0</v>
      </c>
      <c r="V2736" s="33">
        <f>Data!P2750</f>
        <v>0</v>
      </c>
    </row>
    <row r="2737" spans="7:22" x14ac:dyDescent="0.25">
      <c r="G2737" cm="1">
        <f t="array" aca="1" ref="G2737" ca="1">INDIRECT("Data!A" &amp; 732)</f>
        <v>0</v>
      </c>
      <c r="H2737" s="21">
        <f>Data!B2749</f>
        <v>0</v>
      </c>
      <c r="I2737" s="21">
        <f>Data!C2749</f>
        <v>0</v>
      </c>
      <c r="J2737">
        <f>Data!D2749</f>
        <v>0</v>
      </c>
      <c r="K2737">
        <f>Data!E2749</f>
        <v>0</v>
      </c>
      <c r="L2737">
        <f>Data!F2749</f>
        <v>0</v>
      </c>
      <c r="M2737">
        <f>Data!G2749</f>
        <v>0</v>
      </c>
      <c r="N2737">
        <f>Data!H2749</f>
        <v>0</v>
      </c>
      <c r="O2737">
        <f>Data!I2749</f>
        <v>0</v>
      </c>
      <c r="P2737" s="21">
        <f>Data!J2753</f>
        <v>0</v>
      </c>
      <c r="Q2737">
        <f>Data!K2753</f>
        <v>0</v>
      </c>
      <c r="R2737">
        <f>Data!L2753</f>
        <v>0</v>
      </c>
      <c r="S2737">
        <f>Data!M2753</f>
        <v>0</v>
      </c>
      <c r="T2737">
        <f>Data!N2753</f>
        <v>0</v>
      </c>
      <c r="U2737">
        <f>Data!O2753</f>
        <v>0</v>
      </c>
      <c r="V2737" s="33">
        <f>Data!P2751</f>
        <v>0</v>
      </c>
    </row>
    <row r="2738" spans="7:22" x14ac:dyDescent="0.25">
      <c r="G2738" cm="1">
        <f t="array" aca="1" ref="G2738" ca="1">INDIRECT("Data!A" &amp; 733)</f>
        <v>0</v>
      </c>
      <c r="H2738" s="21">
        <f>Data!B2750</f>
        <v>0</v>
      </c>
      <c r="I2738" s="21">
        <f>Data!C2750</f>
        <v>0</v>
      </c>
      <c r="J2738">
        <f>Data!D2750</f>
        <v>0</v>
      </c>
      <c r="K2738">
        <f>Data!E2750</f>
        <v>0</v>
      </c>
      <c r="L2738">
        <f>Data!F2750</f>
        <v>0</v>
      </c>
      <c r="M2738">
        <f>Data!G2750</f>
        <v>0</v>
      </c>
      <c r="N2738">
        <f>Data!H2750</f>
        <v>0</v>
      </c>
      <c r="O2738">
        <f>Data!I2750</f>
        <v>0</v>
      </c>
      <c r="P2738" s="21">
        <f>Data!J2754</f>
        <v>0</v>
      </c>
      <c r="Q2738">
        <f>Data!K2754</f>
        <v>0</v>
      </c>
      <c r="R2738">
        <f>Data!L2754</f>
        <v>0</v>
      </c>
      <c r="S2738">
        <f>Data!M2754</f>
        <v>0</v>
      </c>
      <c r="T2738">
        <f>Data!N2754</f>
        <v>0</v>
      </c>
      <c r="U2738">
        <f>Data!O2754</f>
        <v>0</v>
      </c>
      <c r="V2738" s="33">
        <f>Data!P2752</f>
        <v>0</v>
      </c>
    </row>
    <row r="2739" spans="7:22" x14ac:dyDescent="0.25">
      <c r="G2739" cm="1">
        <f t="array" aca="1" ref="G2739" ca="1">INDIRECT("Data!A" &amp; 734)</f>
        <v>0</v>
      </c>
      <c r="H2739" s="21">
        <f>Data!B2751</f>
        <v>0</v>
      </c>
      <c r="I2739" s="21">
        <f>Data!C2751</f>
        <v>0</v>
      </c>
      <c r="J2739">
        <f>Data!D2751</f>
        <v>0</v>
      </c>
      <c r="K2739">
        <f>Data!E2751</f>
        <v>0</v>
      </c>
      <c r="L2739">
        <f>Data!F2751</f>
        <v>0</v>
      </c>
      <c r="M2739">
        <f>Data!G2751</f>
        <v>0</v>
      </c>
      <c r="N2739">
        <f>Data!H2751</f>
        <v>0</v>
      </c>
      <c r="O2739">
        <f>Data!I2751</f>
        <v>0</v>
      </c>
      <c r="P2739" s="21">
        <f>Data!J2755</f>
        <v>0</v>
      </c>
      <c r="Q2739">
        <f>Data!K2755</f>
        <v>0</v>
      </c>
      <c r="R2739">
        <f>Data!L2755</f>
        <v>0</v>
      </c>
      <c r="S2739">
        <f>Data!M2755</f>
        <v>0</v>
      </c>
      <c r="T2739">
        <f>Data!N2755</f>
        <v>0</v>
      </c>
      <c r="U2739">
        <f>Data!O2755</f>
        <v>0</v>
      </c>
      <c r="V2739" s="33">
        <f>Data!P2753</f>
        <v>0</v>
      </c>
    </row>
    <row r="2740" spans="7:22" x14ac:dyDescent="0.25">
      <c r="G2740" cm="1">
        <f t="array" aca="1" ref="G2740" ca="1">INDIRECT("Data!A" &amp; 735)</f>
        <v>0</v>
      </c>
      <c r="H2740" s="21">
        <f>Data!B2752</f>
        <v>0</v>
      </c>
      <c r="I2740" s="21">
        <f>Data!C2752</f>
        <v>0</v>
      </c>
      <c r="J2740">
        <f>Data!D2752</f>
        <v>0</v>
      </c>
      <c r="K2740">
        <f>Data!E2752</f>
        <v>0</v>
      </c>
      <c r="L2740">
        <f>Data!F2752</f>
        <v>0</v>
      </c>
      <c r="M2740">
        <f>Data!G2752</f>
        <v>0</v>
      </c>
      <c r="N2740">
        <f>Data!H2752</f>
        <v>0</v>
      </c>
      <c r="O2740">
        <f>Data!I2752</f>
        <v>0</v>
      </c>
      <c r="P2740" s="21">
        <f>Data!J2756</f>
        <v>0</v>
      </c>
      <c r="Q2740">
        <f>Data!K2756</f>
        <v>0</v>
      </c>
      <c r="R2740">
        <f>Data!L2756</f>
        <v>0</v>
      </c>
      <c r="S2740">
        <f>Data!M2756</f>
        <v>0</v>
      </c>
      <c r="T2740">
        <f>Data!N2756</f>
        <v>0</v>
      </c>
      <c r="U2740">
        <f>Data!O2756</f>
        <v>0</v>
      </c>
      <c r="V2740" s="33">
        <f>Data!P2754</f>
        <v>0</v>
      </c>
    </row>
    <row r="2741" spans="7:22" x14ac:dyDescent="0.25">
      <c r="G2741" cm="1">
        <f t="array" aca="1" ref="G2741" ca="1">INDIRECT("Data!A" &amp; 736)</f>
        <v>0</v>
      </c>
      <c r="H2741" s="21">
        <f>Data!B2753</f>
        <v>0</v>
      </c>
      <c r="I2741" s="21">
        <f>Data!C2753</f>
        <v>0</v>
      </c>
      <c r="J2741">
        <f>Data!D2753</f>
        <v>0</v>
      </c>
      <c r="K2741">
        <f>Data!E2753</f>
        <v>0</v>
      </c>
      <c r="L2741">
        <f>Data!F2753</f>
        <v>0</v>
      </c>
      <c r="M2741">
        <f>Data!G2753</f>
        <v>0</v>
      </c>
      <c r="N2741">
        <f>Data!H2753</f>
        <v>0</v>
      </c>
      <c r="O2741">
        <f>Data!I2753</f>
        <v>0</v>
      </c>
      <c r="P2741" s="21">
        <f>Data!J2757</f>
        <v>0</v>
      </c>
      <c r="Q2741">
        <f>Data!K2757</f>
        <v>0</v>
      </c>
      <c r="R2741">
        <f>Data!L2757</f>
        <v>0</v>
      </c>
      <c r="S2741">
        <f>Data!M2757</f>
        <v>0</v>
      </c>
      <c r="T2741">
        <f>Data!N2757</f>
        <v>0</v>
      </c>
      <c r="U2741">
        <f>Data!O2757</f>
        <v>0</v>
      </c>
      <c r="V2741" s="33">
        <f>Data!P2755</f>
        <v>0</v>
      </c>
    </row>
    <row r="2742" spans="7:22" x14ac:dyDescent="0.25">
      <c r="G2742" cm="1">
        <f t="array" aca="1" ref="G2742" ca="1">INDIRECT("Data!A" &amp; 737)</f>
        <v>0</v>
      </c>
      <c r="H2742" s="21">
        <f>Data!B2754</f>
        <v>0</v>
      </c>
      <c r="I2742" s="21">
        <f>Data!C2754</f>
        <v>0</v>
      </c>
      <c r="J2742">
        <f>Data!D2754</f>
        <v>0</v>
      </c>
      <c r="K2742">
        <f>Data!E2754</f>
        <v>0</v>
      </c>
      <c r="L2742">
        <f>Data!F2754</f>
        <v>0</v>
      </c>
      <c r="M2742">
        <f>Data!G2754</f>
        <v>0</v>
      </c>
      <c r="N2742">
        <f>Data!H2754</f>
        <v>0</v>
      </c>
      <c r="O2742">
        <f>Data!I2754</f>
        <v>0</v>
      </c>
      <c r="P2742" s="21">
        <f>Data!J2758</f>
        <v>0</v>
      </c>
      <c r="Q2742">
        <f>Data!K2758</f>
        <v>0</v>
      </c>
      <c r="R2742">
        <f>Data!L2758</f>
        <v>0</v>
      </c>
      <c r="S2742">
        <f>Data!M2758</f>
        <v>0</v>
      </c>
      <c r="T2742">
        <f>Data!N2758</f>
        <v>0</v>
      </c>
      <c r="U2742">
        <f>Data!O2758</f>
        <v>0</v>
      </c>
      <c r="V2742" s="33">
        <f>Data!P2756</f>
        <v>0</v>
      </c>
    </row>
    <row r="2743" spans="7:22" x14ac:dyDescent="0.25">
      <c r="G2743" cm="1">
        <f t="array" aca="1" ref="G2743" ca="1">INDIRECT("Data!A" &amp; 738)</f>
        <v>0</v>
      </c>
      <c r="H2743" s="21">
        <f>Data!B2755</f>
        <v>0</v>
      </c>
      <c r="I2743" s="21">
        <f>Data!C2755</f>
        <v>0</v>
      </c>
      <c r="J2743">
        <f>Data!D2755</f>
        <v>0</v>
      </c>
      <c r="K2743">
        <f>Data!E2755</f>
        <v>0</v>
      </c>
      <c r="L2743">
        <f>Data!F2755</f>
        <v>0</v>
      </c>
      <c r="M2743">
        <f>Data!G2755</f>
        <v>0</v>
      </c>
      <c r="N2743">
        <f>Data!H2755</f>
        <v>0</v>
      </c>
      <c r="O2743">
        <f>Data!I2755</f>
        <v>0</v>
      </c>
      <c r="P2743" s="21">
        <f>Data!J2759</f>
        <v>0</v>
      </c>
      <c r="Q2743">
        <f>Data!K2759</f>
        <v>0</v>
      </c>
      <c r="R2743">
        <f>Data!L2759</f>
        <v>0</v>
      </c>
      <c r="S2743">
        <f>Data!M2759</f>
        <v>0</v>
      </c>
      <c r="T2743">
        <f>Data!N2759</f>
        <v>0</v>
      </c>
      <c r="U2743">
        <f>Data!O2759</f>
        <v>0</v>
      </c>
      <c r="V2743" s="33">
        <f>Data!P2757</f>
        <v>0</v>
      </c>
    </row>
    <row r="2744" spans="7:22" x14ac:dyDescent="0.25">
      <c r="G2744" cm="1">
        <f t="array" aca="1" ref="G2744" ca="1">INDIRECT("Data!A" &amp; 739)</f>
        <v>0</v>
      </c>
      <c r="H2744" s="21">
        <f>Data!B2756</f>
        <v>0</v>
      </c>
      <c r="I2744" s="21">
        <f>Data!C2756</f>
        <v>0</v>
      </c>
      <c r="J2744">
        <f>Data!D2756</f>
        <v>0</v>
      </c>
      <c r="K2744">
        <f>Data!E2756</f>
        <v>0</v>
      </c>
      <c r="L2744">
        <f>Data!F2756</f>
        <v>0</v>
      </c>
      <c r="M2744">
        <f>Data!G2756</f>
        <v>0</v>
      </c>
      <c r="N2744">
        <f>Data!H2756</f>
        <v>0</v>
      </c>
      <c r="O2744">
        <f>Data!I2756</f>
        <v>0</v>
      </c>
      <c r="P2744" s="21">
        <f>Data!J2760</f>
        <v>0</v>
      </c>
      <c r="Q2744">
        <f>Data!K2760</f>
        <v>0</v>
      </c>
      <c r="R2744">
        <f>Data!L2760</f>
        <v>0</v>
      </c>
      <c r="S2744">
        <f>Data!M2760</f>
        <v>0</v>
      </c>
      <c r="T2744">
        <f>Data!N2760</f>
        <v>0</v>
      </c>
      <c r="U2744">
        <f>Data!O2760</f>
        <v>0</v>
      </c>
      <c r="V2744" s="33">
        <f>Data!P2758</f>
        <v>0</v>
      </c>
    </row>
    <row r="2745" spans="7:22" x14ac:dyDescent="0.25">
      <c r="G2745" cm="1">
        <f t="array" aca="1" ref="G2745" ca="1">INDIRECT("Data!A" &amp; 740)</f>
        <v>0</v>
      </c>
      <c r="H2745" s="21">
        <f>Data!B2757</f>
        <v>0</v>
      </c>
      <c r="I2745" s="21">
        <f>Data!C2757</f>
        <v>0</v>
      </c>
      <c r="J2745">
        <f>Data!D2757</f>
        <v>0</v>
      </c>
      <c r="K2745">
        <f>Data!E2757</f>
        <v>0</v>
      </c>
      <c r="L2745">
        <f>Data!F2757</f>
        <v>0</v>
      </c>
      <c r="M2745">
        <f>Data!G2757</f>
        <v>0</v>
      </c>
      <c r="N2745">
        <f>Data!H2757</f>
        <v>0</v>
      </c>
      <c r="O2745">
        <f>Data!I2757</f>
        <v>0</v>
      </c>
      <c r="P2745" s="21">
        <f>Data!J2761</f>
        <v>0</v>
      </c>
      <c r="Q2745">
        <f>Data!K2761</f>
        <v>0</v>
      </c>
      <c r="R2745">
        <f>Data!L2761</f>
        <v>0</v>
      </c>
      <c r="S2745">
        <f>Data!M2761</f>
        <v>0</v>
      </c>
      <c r="T2745">
        <f>Data!N2761</f>
        <v>0</v>
      </c>
      <c r="U2745">
        <f>Data!O2761</f>
        <v>0</v>
      </c>
      <c r="V2745" s="33">
        <f>Data!P2759</f>
        <v>0</v>
      </c>
    </row>
    <row r="2746" spans="7:22" x14ac:dyDescent="0.25">
      <c r="G2746" cm="1">
        <f t="array" aca="1" ref="G2746" ca="1">INDIRECT("Data!A" &amp; 741)</f>
        <v>0</v>
      </c>
      <c r="H2746" s="21">
        <f>Data!B2758</f>
        <v>0</v>
      </c>
      <c r="I2746" s="21">
        <f>Data!C2758</f>
        <v>0</v>
      </c>
      <c r="J2746">
        <f>Data!D2758</f>
        <v>0</v>
      </c>
      <c r="K2746">
        <f>Data!E2758</f>
        <v>0</v>
      </c>
      <c r="L2746">
        <f>Data!F2758</f>
        <v>0</v>
      </c>
      <c r="M2746">
        <f>Data!G2758</f>
        <v>0</v>
      </c>
      <c r="N2746">
        <f>Data!H2758</f>
        <v>0</v>
      </c>
      <c r="O2746">
        <f>Data!I2758</f>
        <v>0</v>
      </c>
      <c r="P2746" s="21">
        <f>Data!J2762</f>
        <v>0</v>
      </c>
      <c r="Q2746">
        <f>Data!K2762</f>
        <v>0</v>
      </c>
      <c r="R2746">
        <f>Data!L2762</f>
        <v>0</v>
      </c>
      <c r="S2746">
        <f>Data!M2762</f>
        <v>0</v>
      </c>
      <c r="T2746">
        <f>Data!N2762</f>
        <v>0</v>
      </c>
      <c r="U2746">
        <f>Data!O2762</f>
        <v>0</v>
      </c>
      <c r="V2746" s="33">
        <f>Data!P2760</f>
        <v>0</v>
      </c>
    </row>
    <row r="2747" spans="7:22" x14ac:dyDescent="0.25">
      <c r="G2747" cm="1">
        <f t="array" aca="1" ref="G2747" ca="1">INDIRECT("Data!A" &amp; 742)</f>
        <v>0</v>
      </c>
      <c r="H2747" s="21">
        <f>Data!B2759</f>
        <v>0</v>
      </c>
      <c r="I2747" s="21">
        <f>Data!C2759</f>
        <v>0</v>
      </c>
      <c r="J2747">
        <f>Data!D2759</f>
        <v>0</v>
      </c>
      <c r="K2747">
        <f>Data!E2759</f>
        <v>0</v>
      </c>
      <c r="L2747">
        <f>Data!F2759</f>
        <v>0</v>
      </c>
      <c r="M2747">
        <f>Data!G2759</f>
        <v>0</v>
      </c>
      <c r="N2747">
        <f>Data!H2759</f>
        <v>0</v>
      </c>
      <c r="O2747">
        <f>Data!I2759</f>
        <v>0</v>
      </c>
      <c r="P2747" s="21">
        <f>Data!J2763</f>
        <v>0</v>
      </c>
      <c r="Q2747">
        <f>Data!K2763</f>
        <v>0</v>
      </c>
      <c r="R2747">
        <f>Data!L2763</f>
        <v>0</v>
      </c>
      <c r="S2747">
        <f>Data!M2763</f>
        <v>0</v>
      </c>
      <c r="T2747">
        <f>Data!N2763</f>
        <v>0</v>
      </c>
      <c r="U2747">
        <f>Data!O2763</f>
        <v>0</v>
      </c>
      <c r="V2747" s="33">
        <f>Data!P2761</f>
        <v>0</v>
      </c>
    </row>
    <row r="2748" spans="7:22" x14ac:dyDescent="0.25">
      <c r="G2748" cm="1">
        <f t="array" aca="1" ref="G2748" ca="1">INDIRECT("Data!A" &amp; 743)</f>
        <v>0</v>
      </c>
      <c r="H2748" s="21">
        <f>Data!B2760</f>
        <v>0</v>
      </c>
      <c r="I2748" s="21">
        <f>Data!C2760</f>
        <v>0</v>
      </c>
      <c r="J2748">
        <f>Data!D2760</f>
        <v>0</v>
      </c>
      <c r="K2748">
        <f>Data!E2760</f>
        <v>0</v>
      </c>
      <c r="L2748">
        <f>Data!F2760</f>
        <v>0</v>
      </c>
      <c r="M2748">
        <f>Data!G2760</f>
        <v>0</v>
      </c>
      <c r="N2748">
        <f>Data!H2760</f>
        <v>0</v>
      </c>
      <c r="O2748">
        <f>Data!I2760</f>
        <v>0</v>
      </c>
      <c r="P2748" s="21">
        <f>Data!J2764</f>
        <v>0</v>
      </c>
      <c r="Q2748">
        <f>Data!K2764</f>
        <v>0</v>
      </c>
      <c r="R2748">
        <f>Data!L2764</f>
        <v>0</v>
      </c>
      <c r="S2748">
        <f>Data!M2764</f>
        <v>0</v>
      </c>
      <c r="T2748">
        <f>Data!N2764</f>
        <v>0</v>
      </c>
      <c r="U2748">
        <f>Data!O2764</f>
        <v>0</v>
      </c>
      <c r="V2748" s="33">
        <f>Data!P2762</f>
        <v>0</v>
      </c>
    </row>
    <row r="2749" spans="7:22" x14ac:dyDescent="0.25">
      <c r="G2749" cm="1">
        <f t="array" aca="1" ref="G2749" ca="1">INDIRECT("Data!A" &amp; 744)</f>
        <v>0</v>
      </c>
      <c r="H2749" s="21">
        <f>Data!B2761</f>
        <v>0</v>
      </c>
      <c r="I2749" s="21">
        <f>Data!C2761</f>
        <v>0</v>
      </c>
      <c r="J2749">
        <f>Data!D2761</f>
        <v>0</v>
      </c>
      <c r="K2749">
        <f>Data!E2761</f>
        <v>0</v>
      </c>
      <c r="L2749">
        <f>Data!F2761</f>
        <v>0</v>
      </c>
      <c r="M2749">
        <f>Data!G2761</f>
        <v>0</v>
      </c>
      <c r="N2749">
        <f>Data!H2761</f>
        <v>0</v>
      </c>
      <c r="O2749">
        <f>Data!I2761</f>
        <v>0</v>
      </c>
      <c r="P2749" s="21">
        <f>Data!J2765</f>
        <v>0</v>
      </c>
      <c r="Q2749">
        <f>Data!K2765</f>
        <v>0</v>
      </c>
      <c r="R2749">
        <f>Data!L2765</f>
        <v>0</v>
      </c>
      <c r="S2749">
        <f>Data!M2765</f>
        <v>0</v>
      </c>
      <c r="T2749">
        <f>Data!N2765</f>
        <v>0</v>
      </c>
      <c r="U2749">
        <f>Data!O2765</f>
        <v>0</v>
      </c>
      <c r="V2749" s="33">
        <f>Data!P2763</f>
        <v>0</v>
      </c>
    </row>
    <row r="2750" spans="7:22" x14ac:dyDescent="0.25">
      <c r="G2750" cm="1">
        <f t="array" aca="1" ref="G2750" ca="1">INDIRECT("Data!A" &amp; 745)</f>
        <v>0</v>
      </c>
      <c r="H2750" s="21">
        <f>Data!B2762</f>
        <v>0</v>
      </c>
      <c r="I2750" s="21">
        <f>Data!C2762</f>
        <v>0</v>
      </c>
      <c r="J2750">
        <f>Data!D2762</f>
        <v>0</v>
      </c>
      <c r="K2750">
        <f>Data!E2762</f>
        <v>0</v>
      </c>
      <c r="L2750">
        <f>Data!F2762</f>
        <v>0</v>
      </c>
      <c r="M2750">
        <f>Data!G2762</f>
        <v>0</v>
      </c>
      <c r="N2750">
        <f>Data!H2762</f>
        <v>0</v>
      </c>
      <c r="O2750">
        <f>Data!I2762</f>
        <v>0</v>
      </c>
      <c r="P2750" s="21">
        <f>Data!J2766</f>
        <v>0</v>
      </c>
      <c r="Q2750">
        <f>Data!K2766</f>
        <v>0</v>
      </c>
      <c r="R2750">
        <f>Data!L2766</f>
        <v>0</v>
      </c>
      <c r="S2750">
        <f>Data!M2766</f>
        <v>0</v>
      </c>
      <c r="T2750">
        <f>Data!N2766</f>
        <v>0</v>
      </c>
      <c r="U2750">
        <f>Data!O2766</f>
        <v>0</v>
      </c>
      <c r="V2750" s="33">
        <f>Data!P2764</f>
        <v>0</v>
      </c>
    </row>
    <row r="2751" spans="7:22" x14ac:dyDescent="0.25">
      <c r="G2751" cm="1">
        <f t="array" aca="1" ref="G2751" ca="1">INDIRECT("Data!A" &amp; 746)</f>
        <v>0</v>
      </c>
      <c r="H2751" s="21">
        <f>Data!B2763</f>
        <v>0</v>
      </c>
      <c r="I2751" s="21">
        <f>Data!C2763</f>
        <v>0</v>
      </c>
      <c r="J2751">
        <f>Data!D2763</f>
        <v>0</v>
      </c>
      <c r="K2751">
        <f>Data!E2763</f>
        <v>0</v>
      </c>
      <c r="L2751">
        <f>Data!F2763</f>
        <v>0</v>
      </c>
      <c r="M2751">
        <f>Data!G2763</f>
        <v>0</v>
      </c>
      <c r="N2751">
        <f>Data!H2763</f>
        <v>0</v>
      </c>
      <c r="O2751">
        <f>Data!I2763</f>
        <v>0</v>
      </c>
      <c r="P2751" s="21">
        <f>Data!J2767</f>
        <v>0</v>
      </c>
      <c r="Q2751">
        <f>Data!K2767</f>
        <v>0</v>
      </c>
      <c r="R2751">
        <f>Data!L2767</f>
        <v>0</v>
      </c>
      <c r="S2751">
        <f>Data!M2767</f>
        <v>0</v>
      </c>
      <c r="T2751">
        <f>Data!N2767</f>
        <v>0</v>
      </c>
      <c r="U2751">
        <f>Data!O2767</f>
        <v>0</v>
      </c>
      <c r="V2751" s="33">
        <f>Data!P2765</f>
        <v>0</v>
      </c>
    </row>
    <row r="2752" spans="7:22" x14ac:dyDescent="0.25">
      <c r="G2752" cm="1">
        <f t="array" aca="1" ref="G2752" ca="1">INDIRECT("Data!A" &amp; 747)</f>
        <v>0</v>
      </c>
      <c r="H2752" s="21">
        <f>Data!B2764</f>
        <v>0</v>
      </c>
      <c r="I2752" s="21">
        <f>Data!C2764</f>
        <v>0</v>
      </c>
      <c r="J2752">
        <f>Data!D2764</f>
        <v>0</v>
      </c>
      <c r="K2752">
        <f>Data!E2764</f>
        <v>0</v>
      </c>
      <c r="L2752">
        <f>Data!F2764</f>
        <v>0</v>
      </c>
      <c r="M2752">
        <f>Data!G2764</f>
        <v>0</v>
      </c>
      <c r="N2752">
        <f>Data!H2764</f>
        <v>0</v>
      </c>
      <c r="O2752">
        <f>Data!I2764</f>
        <v>0</v>
      </c>
      <c r="P2752" s="21">
        <f>Data!J2768</f>
        <v>0</v>
      </c>
      <c r="Q2752">
        <f>Data!K2768</f>
        <v>0</v>
      </c>
      <c r="R2752">
        <f>Data!L2768</f>
        <v>0</v>
      </c>
      <c r="S2752">
        <f>Data!M2768</f>
        <v>0</v>
      </c>
      <c r="T2752">
        <f>Data!N2768</f>
        <v>0</v>
      </c>
      <c r="U2752">
        <f>Data!O2768</f>
        <v>0</v>
      </c>
      <c r="V2752" s="33">
        <f>Data!P2766</f>
        <v>0</v>
      </c>
    </row>
    <row r="2753" spans="7:22" x14ac:dyDescent="0.25">
      <c r="G2753" cm="1">
        <f t="array" aca="1" ref="G2753" ca="1">INDIRECT("Data!A" &amp; 748)</f>
        <v>0</v>
      </c>
      <c r="H2753" s="21">
        <f>Data!B2765</f>
        <v>0</v>
      </c>
      <c r="I2753" s="21">
        <f>Data!C2765</f>
        <v>0</v>
      </c>
      <c r="J2753">
        <f>Data!D2765</f>
        <v>0</v>
      </c>
      <c r="K2753">
        <f>Data!E2765</f>
        <v>0</v>
      </c>
      <c r="L2753">
        <f>Data!F2765</f>
        <v>0</v>
      </c>
      <c r="M2753">
        <f>Data!G2765</f>
        <v>0</v>
      </c>
      <c r="N2753">
        <f>Data!H2765</f>
        <v>0</v>
      </c>
      <c r="O2753">
        <f>Data!I2765</f>
        <v>0</v>
      </c>
      <c r="P2753" s="21">
        <f>Data!J2769</f>
        <v>0</v>
      </c>
      <c r="Q2753">
        <f>Data!K2769</f>
        <v>0</v>
      </c>
      <c r="R2753">
        <f>Data!L2769</f>
        <v>0</v>
      </c>
      <c r="S2753">
        <f>Data!M2769</f>
        <v>0</v>
      </c>
      <c r="T2753">
        <f>Data!N2769</f>
        <v>0</v>
      </c>
      <c r="U2753">
        <f>Data!O2769</f>
        <v>0</v>
      </c>
      <c r="V2753" s="33">
        <f>Data!P2767</f>
        <v>0</v>
      </c>
    </row>
    <row r="2754" spans="7:22" x14ac:dyDescent="0.25">
      <c r="G2754" cm="1">
        <f t="array" aca="1" ref="G2754" ca="1">INDIRECT("Data!A" &amp; 749)</f>
        <v>0</v>
      </c>
      <c r="H2754" s="21">
        <f>Data!B2766</f>
        <v>0</v>
      </c>
      <c r="I2754" s="21">
        <f>Data!C2766</f>
        <v>0</v>
      </c>
      <c r="J2754">
        <f>Data!D2766</f>
        <v>0</v>
      </c>
      <c r="K2754">
        <f>Data!E2766</f>
        <v>0</v>
      </c>
      <c r="L2754">
        <f>Data!F2766</f>
        <v>0</v>
      </c>
      <c r="M2754">
        <f>Data!G2766</f>
        <v>0</v>
      </c>
      <c r="N2754">
        <f>Data!H2766</f>
        <v>0</v>
      </c>
      <c r="O2754">
        <f>Data!I2766</f>
        <v>0</v>
      </c>
      <c r="P2754" s="21">
        <f>Data!J2770</f>
        <v>0</v>
      </c>
      <c r="Q2754">
        <f>Data!K2770</f>
        <v>0</v>
      </c>
      <c r="R2754">
        <f>Data!L2770</f>
        <v>0</v>
      </c>
      <c r="S2754">
        <f>Data!M2770</f>
        <v>0</v>
      </c>
      <c r="T2754">
        <f>Data!N2770</f>
        <v>0</v>
      </c>
      <c r="U2754">
        <f>Data!O2770</f>
        <v>0</v>
      </c>
      <c r="V2754" s="33">
        <f>Data!P2768</f>
        <v>0</v>
      </c>
    </row>
    <row r="2755" spans="7:22" x14ac:dyDescent="0.25">
      <c r="G2755" cm="1">
        <f t="array" aca="1" ref="G2755" ca="1">INDIRECT("Data!A" &amp; 750)</f>
        <v>0</v>
      </c>
      <c r="H2755" s="21">
        <f>Data!B2767</f>
        <v>0</v>
      </c>
      <c r="I2755" s="21">
        <f>Data!C2767</f>
        <v>0</v>
      </c>
      <c r="J2755">
        <f>Data!D2767</f>
        <v>0</v>
      </c>
      <c r="K2755">
        <f>Data!E2767</f>
        <v>0</v>
      </c>
      <c r="L2755">
        <f>Data!F2767</f>
        <v>0</v>
      </c>
      <c r="M2755">
        <f>Data!G2767</f>
        <v>0</v>
      </c>
      <c r="N2755">
        <f>Data!H2767</f>
        <v>0</v>
      </c>
      <c r="O2755">
        <f>Data!I2767</f>
        <v>0</v>
      </c>
      <c r="P2755" s="21">
        <f>Data!J2771</f>
        <v>0</v>
      </c>
      <c r="Q2755">
        <f>Data!K2771</f>
        <v>0</v>
      </c>
      <c r="R2755">
        <f>Data!L2771</f>
        <v>0</v>
      </c>
      <c r="S2755">
        <f>Data!M2771</f>
        <v>0</v>
      </c>
      <c r="T2755">
        <f>Data!N2771</f>
        <v>0</v>
      </c>
      <c r="U2755">
        <f>Data!O2771</f>
        <v>0</v>
      </c>
      <c r="V2755" s="33">
        <f>Data!P2769</f>
        <v>0</v>
      </c>
    </row>
    <row r="2756" spans="7:22" x14ac:dyDescent="0.25">
      <c r="G2756" cm="1">
        <f t="array" aca="1" ref="G2756" ca="1">INDIRECT("Data!A" &amp; 751)</f>
        <v>0</v>
      </c>
      <c r="H2756" s="21">
        <f>Data!B2768</f>
        <v>0</v>
      </c>
      <c r="I2756" s="21">
        <f>Data!C2768</f>
        <v>0</v>
      </c>
      <c r="J2756">
        <f>Data!D2768</f>
        <v>0</v>
      </c>
      <c r="K2756">
        <f>Data!E2768</f>
        <v>0</v>
      </c>
      <c r="L2756">
        <f>Data!F2768</f>
        <v>0</v>
      </c>
      <c r="M2756">
        <f>Data!G2768</f>
        <v>0</v>
      </c>
      <c r="N2756">
        <f>Data!H2768</f>
        <v>0</v>
      </c>
      <c r="O2756">
        <f>Data!I2768</f>
        <v>0</v>
      </c>
      <c r="P2756" s="21">
        <f>Data!J2772</f>
        <v>0</v>
      </c>
      <c r="Q2756">
        <f>Data!K2772</f>
        <v>0</v>
      </c>
      <c r="R2756">
        <f>Data!L2772</f>
        <v>0</v>
      </c>
      <c r="S2756">
        <f>Data!M2772</f>
        <v>0</v>
      </c>
      <c r="T2756">
        <f>Data!N2772</f>
        <v>0</v>
      </c>
      <c r="U2756">
        <f>Data!O2772</f>
        <v>0</v>
      </c>
      <c r="V2756" s="33">
        <f>Data!P2770</f>
        <v>0</v>
      </c>
    </row>
    <row r="2757" spans="7:22" x14ac:dyDescent="0.25">
      <c r="G2757" cm="1">
        <f t="array" aca="1" ref="G2757" ca="1">INDIRECT("Data!A" &amp; 752)</f>
        <v>0</v>
      </c>
      <c r="H2757" s="21">
        <f>Data!B2769</f>
        <v>0</v>
      </c>
      <c r="I2757" s="21">
        <f>Data!C2769</f>
        <v>0</v>
      </c>
      <c r="J2757">
        <f>Data!D2769</f>
        <v>0</v>
      </c>
      <c r="K2757">
        <f>Data!E2769</f>
        <v>0</v>
      </c>
      <c r="L2757">
        <f>Data!F2769</f>
        <v>0</v>
      </c>
      <c r="M2757">
        <f>Data!G2769</f>
        <v>0</v>
      </c>
      <c r="N2757">
        <f>Data!H2769</f>
        <v>0</v>
      </c>
      <c r="O2757">
        <f>Data!I2769</f>
        <v>0</v>
      </c>
      <c r="P2757" s="21">
        <f>Data!J2773</f>
        <v>0</v>
      </c>
      <c r="Q2757">
        <f>Data!K2773</f>
        <v>0</v>
      </c>
      <c r="R2757">
        <f>Data!L2773</f>
        <v>0</v>
      </c>
      <c r="S2757">
        <f>Data!M2773</f>
        <v>0</v>
      </c>
      <c r="T2757">
        <f>Data!N2773</f>
        <v>0</v>
      </c>
      <c r="U2757">
        <f>Data!O2773</f>
        <v>0</v>
      </c>
      <c r="V2757" s="33">
        <f>Data!P2771</f>
        <v>0</v>
      </c>
    </row>
    <row r="2758" spans="7:22" x14ac:dyDescent="0.25">
      <c r="G2758" cm="1">
        <f t="array" aca="1" ref="G2758" ca="1">INDIRECT("Data!A" &amp; 753)</f>
        <v>0</v>
      </c>
      <c r="H2758" s="21">
        <f>Data!B2770</f>
        <v>0</v>
      </c>
      <c r="I2758" s="21">
        <f>Data!C2770</f>
        <v>0</v>
      </c>
      <c r="J2758">
        <f>Data!D2770</f>
        <v>0</v>
      </c>
      <c r="K2758">
        <f>Data!E2770</f>
        <v>0</v>
      </c>
      <c r="L2758">
        <f>Data!F2770</f>
        <v>0</v>
      </c>
      <c r="M2758">
        <f>Data!G2770</f>
        <v>0</v>
      </c>
      <c r="N2758">
        <f>Data!H2770</f>
        <v>0</v>
      </c>
      <c r="O2758">
        <f>Data!I2770</f>
        <v>0</v>
      </c>
      <c r="P2758" s="21">
        <f>Data!J2774</f>
        <v>0</v>
      </c>
      <c r="Q2758">
        <f>Data!K2774</f>
        <v>0</v>
      </c>
      <c r="R2758">
        <f>Data!L2774</f>
        <v>0</v>
      </c>
      <c r="S2758">
        <f>Data!M2774</f>
        <v>0</v>
      </c>
      <c r="T2758">
        <f>Data!N2774</f>
        <v>0</v>
      </c>
      <c r="U2758">
        <f>Data!O2774</f>
        <v>0</v>
      </c>
      <c r="V2758" s="33">
        <f>Data!P2772</f>
        <v>0</v>
      </c>
    </row>
    <row r="2759" spans="7:22" x14ac:dyDescent="0.25">
      <c r="G2759" cm="1">
        <f t="array" aca="1" ref="G2759" ca="1">INDIRECT("Data!A" &amp; 754)</f>
        <v>0</v>
      </c>
      <c r="H2759" s="21">
        <f>Data!B2771</f>
        <v>0</v>
      </c>
      <c r="I2759" s="21">
        <f>Data!C2771</f>
        <v>0</v>
      </c>
      <c r="J2759">
        <f>Data!D2771</f>
        <v>0</v>
      </c>
      <c r="K2759">
        <f>Data!E2771</f>
        <v>0</v>
      </c>
      <c r="L2759">
        <f>Data!F2771</f>
        <v>0</v>
      </c>
      <c r="M2759">
        <f>Data!G2771</f>
        <v>0</v>
      </c>
      <c r="N2759">
        <f>Data!H2771</f>
        <v>0</v>
      </c>
      <c r="O2759">
        <f>Data!I2771</f>
        <v>0</v>
      </c>
      <c r="P2759" s="21">
        <f>Data!J2775</f>
        <v>0</v>
      </c>
      <c r="Q2759">
        <f>Data!K2775</f>
        <v>0</v>
      </c>
      <c r="R2759">
        <f>Data!L2775</f>
        <v>0</v>
      </c>
      <c r="S2759">
        <f>Data!M2775</f>
        <v>0</v>
      </c>
      <c r="T2759">
        <f>Data!N2775</f>
        <v>0</v>
      </c>
      <c r="U2759">
        <f>Data!O2775</f>
        <v>0</v>
      </c>
      <c r="V2759" s="33">
        <f>Data!P2773</f>
        <v>0</v>
      </c>
    </row>
    <row r="2760" spans="7:22" x14ac:dyDescent="0.25">
      <c r="G2760" cm="1">
        <f t="array" aca="1" ref="G2760" ca="1">INDIRECT("Data!A" &amp; 755)</f>
        <v>0</v>
      </c>
      <c r="H2760" s="21">
        <f>Data!B2772</f>
        <v>0</v>
      </c>
      <c r="I2760" s="21">
        <f>Data!C2772</f>
        <v>0</v>
      </c>
      <c r="J2760">
        <f>Data!D2772</f>
        <v>0</v>
      </c>
      <c r="K2760">
        <f>Data!E2772</f>
        <v>0</v>
      </c>
      <c r="L2760">
        <f>Data!F2772</f>
        <v>0</v>
      </c>
      <c r="M2760">
        <f>Data!G2772</f>
        <v>0</v>
      </c>
      <c r="N2760">
        <f>Data!H2772</f>
        <v>0</v>
      </c>
      <c r="O2760">
        <f>Data!I2772</f>
        <v>0</v>
      </c>
      <c r="P2760" s="21">
        <f>Data!J2776</f>
        <v>0</v>
      </c>
      <c r="Q2760">
        <f>Data!K2776</f>
        <v>0</v>
      </c>
      <c r="R2760">
        <f>Data!L2776</f>
        <v>0</v>
      </c>
      <c r="S2760">
        <f>Data!M2776</f>
        <v>0</v>
      </c>
      <c r="T2760">
        <f>Data!N2776</f>
        <v>0</v>
      </c>
      <c r="U2760">
        <f>Data!O2776</f>
        <v>0</v>
      </c>
      <c r="V2760" s="33">
        <f>Data!P2774</f>
        <v>0</v>
      </c>
    </row>
    <row r="2761" spans="7:22" x14ac:dyDescent="0.25">
      <c r="G2761" cm="1">
        <f t="array" aca="1" ref="G2761" ca="1">INDIRECT("Data!A" &amp; 756)</f>
        <v>0</v>
      </c>
      <c r="H2761" s="21">
        <f>Data!B2773</f>
        <v>0</v>
      </c>
      <c r="I2761" s="21">
        <f>Data!C2773</f>
        <v>0</v>
      </c>
      <c r="J2761">
        <f>Data!D2773</f>
        <v>0</v>
      </c>
      <c r="K2761">
        <f>Data!E2773</f>
        <v>0</v>
      </c>
      <c r="L2761">
        <f>Data!F2773</f>
        <v>0</v>
      </c>
      <c r="M2761">
        <f>Data!G2773</f>
        <v>0</v>
      </c>
      <c r="N2761">
        <f>Data!H2773</f>
        <v>0</v>
      </c>
      <c r="O2761">
        <f>Data!I2773</f>
        <v>0</v>
      </c>
      <c r="P2761" s="21">
        <f>Data!J2777</f>
        <v>0</v>
      </c>
      <c r="Q2761">
        <f>Data!K2777</f>
        <v>0</v>
      </c>
      <c r="R2761">
        <f>Data!L2777</f>
        <v>0</v>
      </c>
      <c r="S2761">
        <f>Data!M2777</f>
        <v>0</v>
      </c>
      <c r="T2761">
        <f>Data!N2777</f>
        <v>0</v>
      </c>
      <c r="U2761">
        <f>Data!O2777</f>
        <v>0</v>
      </c>
      <c r="V2761" s="33">
        <f>Data!P2775</f>
        <v>0</v>
      </c>
    </row>
    <row r="2762" spans="7:22" x14ac:dyDescent="0.25">
      <c r="G2762" cm="1">
        <f t="array" aca="1" ref="G2762" ca="1">INDIRECT("Data!A" &amp; 757)</f>
        <v>0</v>
      </c>
      <c r="H2762" s="21">
        <f>Data!B2774</f>
        <v>0</v>
      </c>
      <c r="I2762" s="21">
        <f>Data!C2774</f>
        <v>0</v>
      </c>
      <c r="J2762">
        <f>Data!D2774</f>
        <v>0</v>
      </c>
      <c r="K2762">
        <f>Data!E2774</f>
        <v>0</v>
      </c>
      <c r="L2762">
        <f>Data!F2774</f>
        <v>0</v>
      </c>
      <c r="M2762">
        <f>Data!G2774</f>
        <v>0</v>
      </c>
      <c r="N2762">
        <f>Data!H2774</f>
        <v>0</v>
      </c>
      <c r="O2762">
        <f>Data!I2774</f>
        <v>0</v>
      </c>
      <c r="P2762" s="21">
        <f>Data!J2778</f>
        <v>0</v>
      </c>
      <c r="Q2762">
        <f>Data!K2778</f>
        <v>0</v>
      </c>
      <c r="R2762">
        <f>Data!L2778</f>
        <v>0</v>
      </c>
      <c r="S2762">
        <f>Data!M2778</f>
        <v>0</v>
      </c>
      <c r="T2762">
        <f>Data!N2778</f>
        <v>0</v>
      </c>
      <c r="U2762">
        <f>Data!O2778</f>
        <v>0</v>
      </c>
      <c r="V2762" s="33">
        <f>Data!P2776</f>
        <v>0</v>
      </c>
    </row>
    <row r="2763" spans="7:22" x14ac:dyDescent="0.25">
      <c r="G2763" cm="1">
        <f t="array" aca="1" ref="G2763" ca="1">INDIRECT("Data!A" &amp; 758)</f>
        <v>0</v>
      </c>
      <c r="H2763" s="21">
        <f>Data!B2775</f>
        <v>0</v>
      </c>
      <c r="I2763" s="21">
        <f>Data!C2775</f>
        <v>0</v>
      </c>
      <c r="J2763">
        <f>Data!D2775</f>
        <v>0</v>
      </c>
      <c r="K2763">
        <f>Data!E2775</f>
        <v>0</v>
      </c>
      <c r="L2763">
        <f>Data!F2775</f>
        <v>0</v>
      </c>
      <c r="M2763">
        <f>Data!G2775</f>
        <v>0</v>
      </c>
      <c r="N2763">
        <f>Data!H2775</f>
        <v>0</v>
      </c>
      <c r="O2763">
        <f>Data!I2775</f>
        <v>0</v>
      </c>
      <c r="P2763" s="21">
        <f>Data!J2779</f>
        <v>0</v>
      </c>
      <c r="Q2763">
        <f>Data!K2779</f>
        <v>0</v>
      </c>
      <c r="R2763">
        <f>Data!L2779</f>
        <v>0</v>
      </c>
      <c r="S2763">
        <f>Data!M2779</f>
        <v>0</v>
      </c>
      <c r="T2763">
        <f>Data!N2779</f>
        <v>0</v>
      </c>
      <c r="U2763">
        <f>Data!O2779</f>
        <v>0</v>
      </c>
      <c r="V2763" s="33">
        <f>Data!P2777</f>
        <v>0</v>
      </c>
    </row>
    <row r="2764" spans="7:22" x14ac:dyDescent="0.25">
      <c r="G2764" cm="1">
        <f t="array" aca="1" ref="G2764" ca="1">INDIRECT("Data!A" &amp; 759)</f>
        <v>0</v>
      </c>
      <c r="H2764" s="21">
        <f>Data!B2776</f>
        <v>0</v>
      </c>
      <c r="I2764" s="21">
        <f>Data!C2776</f>
        <v>0</v>
      </c>
      <c r="J2764">
        <f>Data!D2776</f>
        <v>0</v>
      </c>
      <c r="K2764">
        <f>Data!E2776</f>
        <v>0</v>
      </c>
      <c r="L2764">
        <f>Data!F2776</f>
        <v>0</v>
      </c>
      <c r="M2764">
        <f>Data!G2776</f>
        <v>0</v>
      </c>
      <c r="N2764">
        <f>Data!H2776</f>
        <v>0</v>
      </c>
      <c r="O2764">
        <f>Data!I2776</f>
        <v>0</v>
      </c>
      <c r="P2764" s="21">
        <f>Data!J2780</f>
        <v>0</v>
      </c>
      <c r="Q2764">
        <f>Data!K2780</f>
        <v>0</v>
      </c>
      <c r="R2764">
        <f>Data!L2780</f>
        <v>0</v>
      </c>
      <c r="S2764">
        <f>Data!M2780</f>
        <v>0</v>
      </c>
      <c r="T2764">
        <f>Data!N2780</f>
        <v>0</v>
      </c>
      <c r="U2764">
        <f>Data!O2780</f>
        <v>0</v>
      </c>
      <c r="V2764" s="33">
        <f>Data!P2778</f>
        <v>0</v>
      </c>
    </row>
    <row r="2765" spans="7:22" x14ac:dyDescent="0.25">
      <c r="G2765" cm="1">
        <f t="array" aca="1" ref="G2765" ca="1">INDIRECT("Data!A" &amp; 760)</f>
        <v>0</v>
      </c>
      <c r="H2765" s="21">
        <f>Data!B2777</f>
        <v>0</v>
      </c>
      <c r="I2765" s="21">
        <f>Data!C2777</f>
        <v>0</v>
      </c>
      <c r="J2765">
        <f>Data!D2777</f>
        <v>0</v>
      </c>
      <c r="K2765">
        <f>Data!E2777</f>
        <v>0</v>
      </c>
      <c r="L2765">
        <f>Data!F2777</f>
        <v>0</v>
      </c>
      <c r="M2765">
        <f>Data!G2777</f>
        <v>0</v>
      </c>
      <c r="N2765">
        <f>Data!H2777</f>
        <v>0</v>
      </c>
      <c r="O2765">
        <f>Data!I2777</f>
        <v>0</v>
      </c>
      <c r="P2765" s="21">
        <f>Data!J2781</f>
        <v>0</v>
      </c>
      <c r="Q2765">
        <f>Data!K2781</f>
        <v>0</v>
      </c>
      <c r="R2765">
        <f>Data!L2781</f>
        <v>0</v>
      </c>
      <c r="S2765">
        <f>Data!M2781</f>
        <v>0</v>
      </c>
      <c r="T2765">
        <f>Data!N2781</f>
        <v>0</v>
      </c>
      <c r="U2765">
        <f>Data!O2781</f>
        <v>0</v>
      </c>
      <c r="V2765" s="33">
        <f>Data!P2779</f>
        <v>0</v>
      </c>
    </row>
    <row r="2766" spans="7:22" x14ac:dyDescent="0.25">
      <c r="G2766" cm="1">
        <f t="array" aca="1" ref="G2766" ca="1">INDIRECT("Data!A" &amp; 761)</f>
        <v>0</v>
      </c>
      <c r="H2766" s="21">
        <f>Data!B2778</f>
        <v>0</v>
      </c>
      <c r="I2766" s="21">
        <f>Data!C2778</f>
        <v>0</v>
      </c>
      <c r="J2766">
        <f>Data!D2778</f>
        <v>0</v>
      </c>
      <c r="K2766">
        <f>Data!E2778</f>
        <v>0</v>
      </c>
      <c r="L2766">
        <f>Data!F2778</f>
        <v>0</v>
      </c>
      <c r="M2766">
        <f>Data!G2778</f>
        <v>0</v>
      </c>
      <c r="N2766">
        <f>Data!H2778</f>
        <v>0</v>
      </c>
      <c r="O2766">
        <f>Data!I2778</f>
        <v>0</v>
      </c>
      <c r="P2766" s="21">
        <f>Data!J2782</f>
        <v>0</v>
      </c>
      <c r="Q2766">
        <f>Data!K2782</f>
        <v>0</v>
      </c>
      <c r="R2766">
        <f>Data!L2782</f>
        <v>0</v>
      </c>
      <c r="S2766">
        <f>Data!M2782</f>
        <v>0</v>
      </c>
      <c r="T2766">
        <f>Data!N2782</f>
        <v>0</v>
      </c>
      <c r="U2766">
        <f>Data!O2782</f>
        <v>0</v>
      </c>
      <c r="V2766" s="33">
        <f>Data!P2780</f>
        <v>0</v>
      </c>
    </row>
    <row r="2767" spans="7:22" x14ac:dyDescent="0.25">
      <c r="G2767" cm="1">
        <f t="array" aca="1" ref="G2767" ca="1">INDIRECT("Data!A" &amp; 762)</f>
        <v>0</v>
      </c>
      <c r="H2767" s="21">
        <f>Data!B2779</f>
        <v>0</v>
      </c>
      <c r="I2767" s="21">
        <f>Data!C2779</f>
        <v>0</v>
      </c>
      <c r="J2767">
        <f>Data!D2779</f>
        <v>0</v>
      </c>
      <c r="K2767">
        <f>Data!E2779</f>
        <v>0</v>
      </c>
      <c r="L2767">
        <f>Data!F2779</f>
        <v>0</v>
      </c>
      <c r="M2767">
        <f>Data!G2779</f>
        <v>0</v>
      </c>
      <c r="N2767">
        <f>Data!H2779</f>
        <v>0</v>
      </c>
      <c r="O2767">
        <f>Data!I2779</f>
        <v>0</v>
      </c>
      <c r="P2767" s="21">
        <f>Data!J2783</f>
        <v>0</v>
      </c>
      <c r="Q2767">
        <f>Data!K2783</f>
        <v>0</v>
      </c>
      <c r="R2767">
        <f>Data!L2783</f>
        <v>0</v>
      </c>
      <c r="S2767">
        <f>Data!M2783</f>
        <v>0</v>
      </c>
      <c r="T2767">
        <f>Data!N2783</f>
        <v>0</v>
      </c>
      <c r="U2767">
        <f>Data!O2783</f>
        <v>0</v>
      </c>
      <c r="V2767" s="33">
        <f>Data!P2781</f>
        <v>0</v>
      </c>
    </row>
    <row r="2768" spans="7:22" x14ac:dyDescent="0.25">
      <c r="G2768" cm="1">
        <f t="array" aca="1" ref="G2768" ca="1">INDIRECT("Data!A" &amp; 763)</f>
        <v>0</v>
      </c>
      <c r="H2768" s="21">
        <f>Data!B2780</f>
        <v>0</v>
      </c>
      <c r="I2768" s="21">
        <f>Data!C2780</f>
        <v>0</v>
      </c>
      <c r="J2768">
        <f>Data!D2780</f>
        <v>0</v>
      </c>
      <c r="K2768">
        <f>Data!E2780</f>
        <v>0</v>
      </c>
      <c r="L2768">
        <f>Data!F2780</f>
        <v>0</v>
      </c>
      <c r="M2768">
        <f>Data!G2780</f>
        <v>0</v>
      </c>
      <c r="N2768">
        <f>Data!H2780</f>
        <v>0</v>
      </c>
      <c r="O2768">
        <f>Data!I2780</f>
        <v>0</v>
      </c>
      <c r="P2768" s="21">
        <f>Data!J2784</f>
        <v>0</v>
      </c>
      <c r="Q2768">
        <f>Data!K2784</f>
        <v>0</v>
      </c>
      <c r="R2768">
        <f>Data!L2784</f>
        <v>0</v>
      </c>
      <c r="S2768">
        <f>Data!M2784</f>
        <v>0</v>
      </c>
      <c r="T2768">
        <f>Data!N2784</f>
        <v>0</v>
      </c>
      <c r="U2768">
        <f>Data!O2784</f>
        <v>0</v>
      </c>
      <c r="V2768" s="33">
        <f>Data!P2782</f>
        <v>0</v>
      </c>
    </row>
    <row r="2769" spans="7:22" x14ac:dyDescent="0.25">
      <c r="G2769" cm="1">
        <f t="array" aca="1" ref="G2769" ca="1">INDIRECT("Data!A" &amp; 764)</f>
        <v>0</v>
      </c>
      <c r="H2769" s="21">
        <f>Data!B2781</f>
        <v>0</v>
      </c>
      <c r="I2769" s="21">
        <f>Data!C2781</f>
        <v>0</v>
      </c>
      <c r="J2769">
        <f>Data!D2781</f>
        <v>0</v>
      </c>
      <c r="K2769">
        <f>Data!E2781</f>
        <v>0</v>
      </c>
      <c r="L2769">
        <f>Data!F2781</f>
        <v>0</v>
      </c>
      <c r="M2769">
        <f>Data!G2781</f>
        <v>0</v>
      </c>
      <c r="N2769">
        <f>Data!H2781</f>
        <v>0</v>
      </c>
      <c r="O2769">
        <f>Data!I2781</f>
        <v>0</v>
      </c>
      <c r="P2769" s="21">
        <f>Data!J2785</f>
        <v>0</v>
      </c>
      <c r="Q2769">
        <f>Data!K2785</f>
        <v>0</v>
      </c>
      <c r="R2769">
        <f>Data!L2785</f>
        <v>0</v>
      </c>
      <c r="S2769">
        <f>Data!M2785</f>
        <v>0</v>
      </c>
      <c r="T2769">
        <f>Data!N2785</f>
        <v>0</v>
      </c>
      <c r="U2769">
        <f>Data!O2785</f>
        <v>0</v>
      </c>
      <c r="V2769" s="33">
        <f>Data!P2783</f>
        <v>0</v>
      </c>
    </row>
    <row r="2770" spans="7:22" x14ac:dyDescent="0.25">
      <c r="G2770" cm="1">
        <f t="array" aca="1" ref="G2770" ca="1">INDIRECT("Data!A" &amp; 765)</f>
        <v>0</v>
      </c>
      <c r="H2770" s="21">
        <f>Data!B2782</f>
        <v>0</v>
      </c>
      <c r="I2770" s="21">
        <f>Data!C2782</f>
        <v>0</v>
      </c>
      <c r="J2770">
        <f>Data!D2782</f>
        <v>0</v>
      </c>
      <c r="K2770">
        <f>Data!E2782</f>
        <v>0</v>
      </c>
      <c r="L2770">
        <f>Data!F2782</f>
        <v>0</v>
      </c>
      <c r="M2770">
        <f>Data!G2782</f>
        <v>0</v>
      </c>
      <c r="N2770">
        <f>Data!H2782</f>
        <v>0</v>
      </c>
      <c r="O2770">
        <f>Data!I2782</f>
        <v>0</v>
      </c>
      <c r="P2770" s="21">
        <f>Data!J2786</f>
        <v>0</v>
      </c>
      <c r="Q2770">
        <f>Data!K2786</f>
        <v>0</v>
      </c>
      <c r="R2770">
        <f>Data!L2786</f>
        <v>0</v>
      </c>
      <c r="S2770">
        <f>Data!M2786</f>
        <v>0</v>
      </c>
      <c r="T2770">
        <f>Data!N2786</f>
        <v>0</v>
      </c>
      <c r="U2770">
        <f>Data!O2786</f>
        <v>0</v>
      </c>
      <c r="V2770" s="33">
        <f>Data!P2784</f>
        <v>0</v>
      </c>
    </row>
    <row r="2771" spans="7:22" x14ac:dyDescent="0.25">
      <c r="G2771" cm="1">
        <f t="array" aca="1" ref="G2771" ca="1">INDIRECT("Data!A" &amp; 766)</f>
        <v>0</v>
      </c>
      <c r="H2771" s="21">
        <f>Data!B2783</f>
        <v>0</v>
      </c>
      <c r="I2771" s="21">
        <f>Data!C2783</f>
        <v>0</v>
      </c>
      <c r="J2771">
        <f>Data!D2783</f>
        <v>0</v>
      </c>
      <c r="K2771">
        <f>Data!E2783</f>
        <v>0</v>
      </c>
      <c r="L2771">
        <f>Data!F2783</f>
        <v>0</v>
      </c>
      <c r="M2771">
        <f>Data!G2783</f>
        <v>0</v>
      </c>
      <c r="N2771">
        <f>Data!H2783</f>
        <v>0</v>
      </c>
      <c r="O2771">
        <f>Data!I2783</f>
        <v>0</v>
      </c>
      <c r="P2771" s="21">
        <f>Data!J2787</f>
        <v>0</v>
      </c>
      <c r="Q2771">
        <f>Data!K2787</f>
        <v>0</v>
      </c>
      <c r="R2771">
        <f>Data!L2787</f>
        <v>0</v>
      </c>
      <c r="S2771">
        <f>Data!M2787</f>
        <v>0</v>
      </c>
      <c r="T2771">
        <f>Data!N2787</f>
        <v>0</v>
      </c>
      <c r="U2771">
        <f>Data!O2787</f>
        <v>0</v>
      </c>
      <c r="V2771" s="33">
        <f>Data!P2785</f>
        <v>0</v>
      </c>
    </row>
    <row r="2772" spans="7:22" x14ac:dyDescent="0.25">
      <c r="G2772" cm="1">
        <f t="array" aca="1" ref="G2772" ca="1">INDIRECT("Data!A" &amp; 767)</f>
        <v>0</v>
      </c>
      <c r="H2772" s="21">
        <f>Data!B2784</f>
        <v>0</v>
      </c>
      <c r="I2772" s="21">
        <f>Data!C2784</f>
        <v>0</v>
      </c>
      <c r="J2772">
        <f>Data!D2784</f>
        <v>0</v>
      </c>
      <c r="K2772">
        <f>Data!E2784</f>
        <v>0</v>
      </c>
      <c r="L2772">
        <f>Data!F2784</f>
        <v>0</v>
      </c>
      <c r="M2772">
        <f>Data!G2784</f>
        <v>0</v>
      </c>
      <c r="N2772">
        <f>Data!H2784</f>
        <v>0</v>
      </c>
      <c r="O2772">
        <f>Data!I2784</f>
        <v>0</v>
      </c>
      <c r="P2772" s="21">
        <f>Data!J2788</f>
        <v>0</v>
      </c>
      <c r="Q2772">
        <f>Data!K2788</f>
        <v>0</v>
      </c>
      <c r="R2772">
        <f>Data!L2788</f>
        <v>0</v>
      </c>
      <c r="S2772">
        <f>Data!M2788</f>
        <v>0</v>
      </c>
      <c r="T2772">
        <f>Data!N2788</f>
        <v>0</v>
      </c>
      <c r="U2772">
        <f>Data!O2788</f>
        <v>0</v>
      </c>
      <c r="V2772" s="33">
        <f>Data!P2786</f>
        <v>0</v>
      </c>
    </row>
    <row r="2773" spans="7:22" x14ac:dyDescent="0.25">
      <c r="G2773" cm="1">
        <f t="array" aca="1" ref="G2773" ca="1">INDIRECT("Data!A" &amp; 768)</f>
        <v>0</v>
      </c>
      <c r="H2773" s="21">
        <f>Data!B2785</f>
        <v>0</v>
      </c>
      <c r="I2773" s="21">
        <f>Data!C2785</f>
        <v>0</v>
      </c>
      <c r="J2773">
        <f>Data!D2785</f>
        <v>0</v>
      </c>
      <c r="K2773">
        <f>Data!E2785</f>
        <v>0</v>
      </c>
      <c r="L2773">
        <f>Data!F2785</f>
        <v>0</v>
      </c>
      <c r="M2773">
        <f>Data!G2785</f>
        <v>0</v>
      </c>
      <c r="N2773">
        <f>Data!H2785</f>
        <v>0</v>
      </c>
      <c r="O2773">
        <f>Data!I2785</f>
        <v>0</v>
      </c>
      <c r="P2773" s="21">
        <f>Data!J2789</f>
        <v>0</v>
      </c>
      <c r="Q2773">
        <f>Data!K2789</f>
        <v>0</v>
      </c>
      <c r="R2773">
        <f>Data!L2789</f>
        <v>0</v>
      </c>
      <c r="S2773">
        <f>Data!M2789</f>
        <v>0</v>
      </c>
      <c r="T2773">
        <f>Data!N2789</f>
        <v>0</v>
      </c>
      <c r="U2773">
        <f>Data!O2789</f>
        <v>0</v>
      </c>
      <c r="V2773" s="33">
        <f>Data!P2787</f>
        <v>0</v>
      </c>
    </row>
    <row r="2774" spans="7:22" x14ac:dyDescent="0.25">
      <c r="G2774" cm="1">
        <f t="array" aca="1" ref="G2774" ca="1">INDIRECT("Data!A" &amp; 769)</f>
        <v>0</v>
      </c>
      <c r="H2774" s="21">
        <f>Data!B2786</f>
        <v>0</v>
      </c>
      <c r="I2774" s="21">
        <f>Data!C2786</f>
        <v>0</v>
      </c>
      <c r="J2774">
        <f>Data!D2786</f>
        <v>0</v>
      </c>
      <c r="K2774">
        <f>Data!E2786</f>
        <v>0</v>
      </c>
      <c r="L2774">
        <f>Data!F2786</f>
        <v>0</v>
      </c>
      <c r="M2774">
        <f>Data!G2786</f>
        <v>0</v>
      </c>
      <c r="N2774">
        <f>Data!H2786</f>
        <v>0</v>
      </c>
      <c r="O2774">
        <f>Data!I2786</f>
        <v>0</v>
      </c>
      <c r="P2774" s="21">
        <f>Data!J2790</f>
        <v>0</v>
      </c>
      <c r="Q2774">
        <f>Data!K2790</f>
        <v>0</v>
      </c>
      <c r="R2774">
        <f>Data!L2790</f>
        <v>0</v>
      </c>
      <c r="S2774">
        <f>Data!M2790</f>
        <v>0</v>
      </c>
      <c r="T2774">
        <f>Data!N2790</f>
        <v>0</v>
      </c>
      <c r="U2774">
        <f>Data!O2790</f>
        <v>0</v>
      </c>
      <c r="V2774" s="33">
        <f>Data!P2788</f>
        <v>0</v>
      </c>
    </row>
    <row r="2775" spans="7:22" x14ac:dyDescent="0.25">
      <c r="G2775" cm="1">
        <f t="array" aca="1" ref="G2775" ca="1">INDIRECT("Data!A" &amp; 770)</f>
        <v>0</v>
      </c>
      <c r="H2775" s="21">
        <f>Data!B2787</f>
        <v>0</v>
      </c>
      <c r="I2775" s="21">
        <f>Data!C2787</f>
        <v>0</v>
      </c>
      <c r="J2775">
        <f>Data!D2787</f>
        <v>0</v>
      </c>
      <c r="K2775">
        <f>Data!E2787</f>
        <v>0</v>
      </c>
      <c r="L2775">
        <f>Data!F2787</f>
        <v>0</v>
      </c>
      <c r="M2775">
        <f>Data!G2787</f>
        <v>0</v>
      </c>
      <c r="N2775">
        <f>Data!H2787</f>
        <v>0</v>
      </c>
      <c r="O2775">
        <f>Data!I2787</f>
        <v>0</v>
      </c>
      <c r="P2775" s="21">
        <f>Data!J2791</f>
        <v>0</v>
      </c>
      <c r="Q2775">
        <f>Data!K2791</f>
        <v>0</v>
      </c>
      <c r="R2775">
        <f>Data!L2791</f>
        <v>0</v>
      </c>
      <c r="S2775">
        <f>Data!M2791</f>
        <v>0</v>
      </c>
      <c r="T2775">
        <f>Data!N2791</f>
        <v>0</v>
      </c>
      <c r="U2775">
        <f>Data!O2791</f>
        <v>0</v>
      </c>
      <c r="V2775" s="33">
        <f>Data!P2789</f>
        <v>0</v>
      </c>
    </row>
    <row r="2776" spans="7:22" x14ac:dyDescent="0.25">
      <c r="G2776" cm="1">
        <f t="array" aca="1" ref="G2776" ca="1">INDIRECT("Data!A" &amp; 771)</f>
        <v>0</v>
      </c>
      <c r="H2776" s="21">
        <f>Data!B2788</f>
        <v>0</v>
      </c>
      <c r="I2776" s="21">
        <f>Data!C2788</f>
        <v>0</v>
      </c>
      <c r="J2776">
        <f>Data!D2788</f>
        <v>0</v>
      </c>
      <c r="K2776">
        <f>Data!E2788</f>
        <v>0</v>
      </c>
      <c r="L2776">
        <f>Data!F2788</f>
        <v>0</v>
      </c>
      <c r="M2776">
        <f>Data!G2788</f>
        <v>0</v>
      </c>
      <c r="N2776">
        <f>Data!H2788</f>
        <v>0</v>
      </c>
      <c r="O2776">
        <f>Data!I2788</f>
        <v>0</v>
      </c>
      <c r="P2776" s="21">
        <f>Data!J2792</f>
        <v>0</v>
      </c>
      <c r="Q2776">
        <f>Data!K2792</f>
        <v>0</v>
      </c>
      <c r="R2776">
        <f>Data!L2792</f>
        <v>0</v>
      </c>
      <c r="S2776">
        <f>Data!M2792</f>
        <v>0</v>
      </c>
      <c r="T2776">
        <f>Data!N2792</f>
        <v>0</v>
      </c>
      <c r="U2776">
        <f>Data!O2792</f>
        <v>0</v>
      </c>
      <c r="V2776" s="33">
        <f>Data!P2790</f>
        <v>0</v>
      </c>
    </row>
    <row r="2777" spans="7:22" x14ac:dyDescent="0.25">
      <c r="G2777" cm="1">
        <f t="array" aca="1" ref="G2777" ca="1">INDIRECT("Data!A" &amp; 772)</f>
        <v>0</v>
      </c>
      <c r="H2777" s="21">
        <f>Data!B2789</f>
        <v>0</v>
      </c>
      <c r="I2777" s="21">
        <f>Data!C2789</f>
        <v>0</v>
      </c>
      <c r="J2777">
        <f>Data!D2789</f>
        <v>0</v>
      </c>
      <c r="K2777">
        <f>Data!E2789</f>
        <v>0</v>
      </c>
      <c r="L2777">
        <f>Data!F2789</f>
        <v>0</v>
      </c>
      <c r="M2777">
        <f>Data!G2789</f>
        <v>0</v>
      </c>
      <c r="N2777">
        <f>Data!H2789</f>
        <v>0</v>
      </c>
      <c r="O2777">
        <f>Data!I2789</f>
        <v>0</v>
      </c>
      <c r="P2777" s="21">
        <f>Data!J2793</f>
        <v>0</v>
      </c>
      <c r="Q2777">
        <f>Data!K2793</f>
        <v>0</v>
      </c>
      <c r="R2777">
        <f>Data!L2793</f>
        <v>0</v>
      </c>
      <c r="S2777">
        <f>Data!M2793</f>
        <v>0</v>
      </c>
      <c r="T2777">
        <f>Data!N2793</f>
        <v>0</v>
      </c>
      <c r="U2777">
        <f>Data!O2793</f>
        <v>0</v>
      </c>
      <c r="V2777" s="33">
        <f>Data!P2791</f>
        <v>0</v>
      </c>
    </row>
    <row r="2778" spans="7:22" x14ac:dyDescent="0.25">
      <c r="G2778" cm="1">
        <f t="array" aca="1" ref="G2778" ca="1">INDIRECT("Data!A" &amp; 773)</f>
        <v>0</v>
      </c>
      <c r="H2778" s="21">
        <f>Data!B2790</f>
        <v>0</v>
      </c>
      <c r="I2778" s="21">
        <f>Data!C2790</f>
        <v>0</v>
      </c>
      <c r="J2778">
        <f>Data!D2790</f>
        <v>0</v>
      </c>
      <c r="K2778">
        <f>Data!E2790</f>
        <v>0</v>
      </c>
      <c r="L2778">
        <f>Data!F2790</f>
        <v>0</v>
      </c>
      <c r="M2778">
        <f>Data!G2790</f>
        <v>0</v>
      </c>
      <c r="N2778">
        <f>Data!H2790</f>
        <v>0</v>
      </c>
      <c r="O2778">
        <f>Data!I2790</f>
        <v>0</v>
      </c>
      <c r="P2778" s="21">
        <f>Data!J2794</f>
        <v>0</v>
      </c>
      <c r="Q2778">
        <f>Data!K2794</f>
        <v>0</v>
      </c>
      <c r="R2778">
        <f>Data!L2794</f>
        <v>0</v>
      </c>
      <c r="S2778">
        <f>Data!M2794</f>
        <v>0</v>
      </c>
      <c r="T2778">
        <f>Data!N2794</f>
        <v>0</v>
      </c>
      <c r="U2778">
        <f>Data!O2794</f>
        <v>0</v>
      </c>
      <c r="V2778" s="33">
        <f>Data!P2792</f>
        <v>0</v>
      </c>
    </row>
    <row r="2779" spans="7:22" x14ac:dyDescent="0.25">
      <c r="G2779" cm="1">
        <f t="array" aca="1" ref="G2779" ca="1">INDIRECT("Data!A" &amp; 774)</f>
        <v>0</v>
      </c>
      <c r="H2779" s="21">
        <f>Data!B2791</f>
        <v>0</v>
      </c>
      <c r="I2779" s="21">
        <f>Data!C2791</f>
        <v>0</v>
      </c>
      <c r="J2779">
        <f>Data!D2791</f>
        <v>0</v>
      </c>
      <c r="K2779">
        <f>Data!E2791</f>
        <v>0</v>
      </c>
      <c r="L2779">
        <f>Data!F2791</f>
        <v>0</v>
      </c>
      <c r="M2779">
        <f>Data!G2791</f>
        <v>0</v>
      </c>
      <c r="N2779">
        <f>Data!H2791</f>
        <v>0</v>
      </c>
      <c r="O2779">
        <f>Data!I2791</f>
        <v>0</v>
      </c>
      <c r="P2779" s="21">
        <f>Data!J2795</f>
        <v>0</v>
      </c>
      <c r="Q2779">
        <f>Data!K2795</f>
        <v>0</v>
      </c>
      <c r="R2779">
        <f>Data!L2795</f>
        <v>0</v>
      </c>
      <c r="S2779">
        <f>Data!M2795</f>
        <v>0</v>
      </c>
      <c r="T2779">
        <f>Data!N2795</f>
        <v>0</v>
      </c>
      <c r="U2779">
        <f>Data!O2795</f>
        <v>0</v>
      </c>
      <c r="V2779" s="33">
        <f>Data!P2793</f>
        <v>0</v>
      </c>
    </row>
    <row r="2780" spans="7:22" x14ac:dyDescent="0.25">
      <c r="G2780" cm="1">
        <f t="array" aca="1" ref="G2780" ca="1">INDIRECT("Data!A" &amp; 775)</f>
        <v>0</v>
      </c>
      <c r="H2780" s="21">
        <f>Data!B2792</f>
        <v>0</v>
      </c>
      <c r="I2780" s="21">
        <f>Data!C2792</f>
        <v>0</v>
      </c>
      <c r="J2780">
        <f>Data!D2792</f>
        <v>0</v>
      </c>
      <c r="K2780">
        <f>Data!E2792</f>
        <v>0</v>
      </c>
      <c r="L2780">
        <f>Data!F2792</f>
        <v>0</v>
      </c>
      <c r="M2780">
        <f>Data!G2792</f>
        <v>0</v>
      </c>
      <c r="N2780">
        <f>Data!H2792</f>
        <v>0</v>
      </c>
      <c r="O2780">
        <f>Data!I2792</f>
        <v>0</v>
      </c>
      <c r="P2780" s="21">
        <f>Data!J2796</f>
        <v>0</v>
      </c>
      <c r="Q2780">
        <f>Data!K2796</f>
        <v>0</v>
      </c>
      <c r="R2780">
        <f>Data!L2796</f>
        <v>0</v>
      </c>
      <c r="S2780">
        <f>Data!M2796</f>
        <v>0</v>
      </c>
      <c r="T2780">
        <f>Data!N2796</f>
        <v>0</v>
      </c>
      <c r="U2780">
        <f>Data!O2796</f>
        <v>0</v>
      </c>
      <c r="V2780" s="33">
        <f>Data!P2794</f>
        <v>0</v>
      </c>
    </row>
    <row r="2781" spans="7:22" x14ac:dyDescent="0.25">
      <c r="G2781" cm="1">
        <f t="array" aca="1" ref="G2781" ca="1">INDIRECT("Data!A" &amp; 776)</f>
        <v>0</v>
      </c>
      <c r="H2781" s="21">
        <f>Data!B2793</f>
        <v>0</v>
      </c>
      <c r="I2781" s="21">
        <f>Data!C2793</f>
        <v>0</v>
      </c>
      <c r="J2781">
        <f>Data!D2793</f>
        <v>0</v>
      </c>
      <c r="K2781">
        <f>Data!E2793</f>
        <v>0</v>
      </c>
      <c r="L2781">
        <f>Data!F2793</f>
        <v>0</v>
      </c>
      <c r="M2781">
        <f>Data!G2793</f>
        <v>0</v>
      </c>
      <c r="N2781">
        <f>Data!H2793</f>
        <v>0</v>
      </c>
      <c r="O2781">
        <f>Data!I2793</f>
        <v>0</v>
      </c>
      <c r="P2781" s="21">
        <f>Data!J2797</f>
        <v>0</v>
      </c>
      <c r="Q2781">
        <f>Data!K2797</f>
        <v>0</v>
      </c>
      <c r="R2781">
        <f>Data!L2797</f>
        <v>0</v>
      </c>
      <c r="S2781">
        <f>Data!M2797</f>
        <v>0</v>
      </c>
      <c r="T2781">
        <f>Data!N2797</f>
        <v>0</v>
      </c>
      <c r="U2781">
        <f>Data!O2797</f>
        <v>0</v>
      </c>
      <c r="V2781" s="33">
        <f>Data!P2795</f>
        <v>0</v>
      </c>
    </row>
    <row r="2782" spans="7:22" x14ac:dyDescent="0.25">
      <c r="G2782" cm="1">
        <f t="array" aca="1" ref="G2782" ca="1">INDIRECT("Data!A" &amp; 777)</f>
        <v>0</v>
      </c>
      <c r="H2782" s="21">
        <f>Data!B2794</f>
        <v>0</v>
      </c>
      <c r="I2782" s="21">
        <f>Data!C2794</f>
        <v>0</v>
      </c>
      <c r="J2782">
        <f>Data!D2794</f>
        <v>0</v>
      </c>
      <c r="K2782">
        <f>Data!E2794</f>
        <v>0</v>
      </c>
      <c r="L2782">
        <f>Data!F2794</f>
        <v>0</v>
      </c>
      <c r="M2782">
        <f>Data!G2794</f>
        <v>0</v>
      </c>
      <c r="N2782">
        <f>Data!H2794</f>
        <v>0</v>
      </c>
      <c r="O2782">
        <f>Data!I2794</f>
        <v>0</v>
      </c>
      <c r="P2782" s="21">
        <f>Data!J2798</f>
        <v>0</v>
      </c>
      <c r="Q2782">
        <f>Data!K2798</f>
        <v>0</v>
      </c>
      <c r="R2782">
        <f>Data!L2798</f>
        <v>0</v>
      </c>
      <c r="S2782">
        <f>Data!M2798</f>
        <v>0</v>
      </c>
      <c r="T2782">
        <f>Data!N2798</f>
        <v>0</v>
      </c>
      <c r="U2782">
        <f>Data!O2798</f>
        <v>0</v>
      </c>
      <c r="V2782" s="33">
        <f>Data!P2796</f>
        <v>0</v>
      </c>
    </row>
    <row r="2783" spans="7:22" x14ac:dyDescent="0.25">
      <c r="G2783" cm="1">
        <f t="array" aca="1" ref="G2783" ca="1">INDIRECT("Data!A" &amp; 778)</f>
        <v>0</v>
      </c>
      <c r="H2783" s="21">
        <f>Data!B2795</f>
        <v>0</v>
      </c>
      <c r="I2783" s="21">
        <f>Data!C2795</f>
        <v>0</v>
      </c>
      <c r="J2783">
        <f>Data!D2795</f>
        <v>0</v>
      </c>
      <c r="K2783">
        <f>Data!E2795</f>
        <v>0</v>
      </c>
      <c r="L2783">
        <f>Data!F2795</f>
        <v>0</v>
      </c>
      <c r="M2783">
        <f>Data!G2795</f>
        <v>0</v>
      </c>
      <c r="N2783">
        <f>Data!H2795</f>
        <v>0</v>
      </c>
      <c r="O2783">
        <f>Data!I2795</f>
        <v>0</v>
      </c>
      <c r="P2783" s="21">
        <f>Data!J2799</f>
        <v>0</v>
      </c>
      <c r="Q2783">
        <f>Data!K2799</f>
        <v>0</v>
      </c>
      <c r="R2783">
        <f>Data!L2799</f>
        <v>0</v>
      </c>
      <c r="S2783">
        <f>Data!M2799</f>
        <v>0</v>
      </c>
      <c r="T2783">
        <f>Data!N2799</f>
        <v>0</v>
      </c>
      <c r="U2783">
        <f>Data!O2799</f>
        <v>0</v>
      </c>
      <c r="V2783" s="33">
        <f>Data!P2797</f>
        <v>0</v>
      </c>
    </row>
    <row r="2784" spans="7:22" x14ac:dyDescent="0.25">
      <c r="G2784" cm="1">
        <f t="array" aca="1" ref="G2784" ca="1">INDIRECT("Data!A" &amp; 779)</f>
        <v>0</v>
      </c>
      <c r="H2784" s="21">
        <f>Data!B2796</f>
        <v>0</v>
      </c>
      <c r="I2784" s="21">
        <f>Data!C2796</f>
        <v>0</v>
      </c>
      <c r="J2784">
        <f>Data!D2796</f>
        <v>0</v>
      </c>
      <c r="K2784">
        <f>Data!E2796</f>
        <v>0</v>
      </c>
      <c r="L2784">
        <f>Data!F2796</f>
        <v>0</v>
      </c>
      <c r="M2784">
        <f>Data!G2796</f>
        <v>0</v>
      </c>
      <c r="N2784">
        <f>Data!H2796</f>
        <v>0</v>
      </c>
      <c r="O2784">
        <f>Data!I2796</f>
        <v>0</v>
      </c>
      <c r="P2784" s="21">
        <f>Data!J2800</f>
        <v>0</v>
      </c>
      <c r="Q2784">
        <f>Data!K2800</f>
        <v>0</v>
      </c>
      <c r="R2784">
        <f>Data!L2800</f>
        <v>0</v>
      </c>
      <c r="S2784">
        <f>Data!M2800</f>
        <v>0</v>
      </c>
      <c r="T2784">
        <f>Data!N2800</f>
        <v>0</v>
      </c>
      <c r="U2784">
        <f>Data!O2800</f>
        <v>0</v>
      </c>
      <c r="V2784" s="33">
        <f>Data!P2798</f>
        <v>0</v>
      </c>
    </row>
    <row r="2785" spans="7:22" x14ac:dyDescent="0.25">
      <c r="G2785" cm="1">
        <f t="array" aca="1" ref="G2785" ca="1">INDIRECT("Data!A" &amp; 780)</f>
        <v>0</v>
      </c>
      <c r="H2785" s="21">
        <f>Data!B2797</f>
        <v>0</v>
      </c>
      <c r="I2785" s="21">
        <f>Data!C2797</f>
        <v>0</v>
      </c>
      <c r="J2785">
        <f>Data!D2797</f>
        <v>0</v>
      </c>
      <c r="K2785">
        <f>Data!E2797</f>
        <v>0</v>
      </c>
      <c r="L2785">
        <f>Data!F2797</f>
        <v>0</v>
      </c>
      <c r="M2785">
        <f>Data!G2797</f>
        <v>0</v>
      </c>
      <c r="N2785">
        <f>Data!H2797</f>
        <v>0</v>
      </c>
      <c r="O2785">
        <f>Data!I2797</f>
        <v>0</v>
      </c>
      <c r="P2785" s="21">
        <f>Data!J2801</f>
        <v>0</v>
      </c>
      <c r="Q2785">
        <f>Data!K2801</f>
        <v>0</v>
      </c>
      <c r="R2785">
        <f>Data!L2801</f>
        <v>0</v>
      </c>
      <c r="S2785">
        <f>Data!M2801</f>
        <v>0</v>
      </c>
      <c r="T2785">
        <f>Data!N2801</f>
        <v>0</v>
      </c>
      <c r="U2785">
        <f>Data!O2801</f>
        <v>0</v>
      </c>
      <c r="V2785" s="33">
        <f>Data!P2799</f>
        <v>0</v>
      </c>
    </row>
    <row r="2786" spans="7:22" x14ac:dyDescent="0.25">
      <c r="G2786" cm="1">
        <f t="array" aca="1" ref="G2786" ca="1">INDIRECT("Data!A" &amp; 781)</f>
        <v>0</v>
      </c>
      <c r="H2786" s="21">
        <f>Data!B2798</f>
        <v>0</v>
      </c>
      <c r="I2786" s="21">
        <f>Data!C2798</f>
        <v>0</v>
      </c>
      <c r="J2786">
        <f>Data!D2798</f>
        <v>0</v>
      </c>
      <c r="K2786">
        <f>Data!E2798</f>
        <v>0</v>
      </c>
      <c r="L2786">
        <f>Data!F2798</f>
        <v>0</v>
      </c>
      <c r="M2786">
        <f>Data!G2798</f>
        <v>0</v>
      </c>
      <c r="N2786">
        <f>Data!H2798</f>
        <v>0</v>
      </c>
      <c r="O2786">
        <f>Data!I2798</f>
        <v>0</v>
      </c>
      <c r="P2786" s="21">
        <f>Data!J2802</f>
        <v>0</v>
      </c>
      <c r="Q2786">
        <f>Data!K2802</f>
        <v>0</v>
      </c>
      <c r="R2786">
        <f>Data!L2802</f>
        <v>0</v>
      </c>
      <c r="S2786">
        <f>Data!M2802</f>
        <v>0</v>
      </c>
      <c r="T2786">
        <f>Data!N2802</f>
        <v>0</v>
      </c>
      <c r="U2786">
        <f>Data!O2802</f>
        <v>0</v>
      </c>
      <c r="V2786" s="33">
        <f>Data!P2800</f>
        <v>0</v>
      </c>
    </row>
    <row r="2787" spans="7:22" x14ac:dyDescent="0.25">
      <c r="G2787" cm="1">
        <f t="array" aca="1" ref="G2787" ca="1">INDIRECT("Data!A" &amp; 782)</f>
        <v>0</v>
      </c>
      <c r="H2787" s="21">
        <f>Data!B2799</f>
        <v>0</v>
      </c>
      <c r="I2787" s="21">
        <f>Data!C2799</f>
        <v>0</v>
      </c>
      <c r="J2787">
        <f>Data!D2799</f>
        <v>0</v>
      </c>
      <c r="K2787">
        <f>Data!E2799</f>
        <v>0</v>
      </c>
      <c r="L2787">
        <f>Data!F2799</f>
        <v>0</v>
      </c>
      <c r="M2787">
        <f>Data!G2799</f>
        <v>0</v>
      </c>
      <c r="N2787">
        <f>Data!H2799</f>
        <v>0</v>
      </c>
      <c r="O2787">
        <f>Data!I2799</f>
        <v>0</v>
      </c>
      <c r="P2787" s="21">
        <f>Data!J2803</f>
        <v>0</v>
      </c>
      <c r="Q2787">
        <f>Data!K2803</f>
        <v>0</v>
      </c>
      <c r="R2787">
        <f>Data!L2803</f>
        <v>0</v>
      </c>
      <c r="S2787">
        <f>Data!M2803</f>
        <v>0</v>
      </c>
      <c r="T2787">
        <f>Data!N2803</f>
        <v>0</v>
      </c>
      <c r="U2787">
        <f>Data!O2803</f>
        <v>0</v>
      </c>
      <c r="V2787" s="33">
        <f>Data!P2801</f>
        <v>0</v>
      </c>
    </row>
    <row r="2788" spans="7:22" x14ac:dyDescent="0.25">
      <c r="G2788" cm="1">
        <f t="array" aca="1" ref="G2788" ca="1">INDIRECT("Data!A" &amp; 783)</f>
        <v>0</v>
      </c>
      <c r="H2788" s="21">
        <f>Data!B2800</f>
        <v>0</v>
      </c>
      <c r="I2788" s="21">
        <f>Data!C2800</f>
        <v>0</v>
      </c>
      <c r="J2788">
        <f>Data!D2800</f>
        <v>0</v>
      </c>
      <c r="K2788">
        <f>Data!E2800</f>
        <v>0</v>
      </c>
      <c r="L2788">
        <f>Data!F2800</f>
        <v>0</v>
      </c>
      <c r="M2788">
        <f>Data!G2800</f>
        <v>0</v>
      </c>
      <c r="N2788">
        <f>Data!H2800</f>
        <v>0</v>
      </c>
      <c r="O2788">
        <f>Data!I2800</f>
        <v>0</v>
      </c>
      <c r="P2788" s="21">
        <f>Data!J2804</f>
        <v>0</v>
      </c>
      <c r="Q2788">
        <f>Data!K2804</f>
        <v>0</v>
      </c>
      <c r="R2788">
        <f>Data!L2804</f>
        <v>0</v>
      </c>
      <c r="S2788">
        <f>Data!M2804</f>
        <v>0</v>
      </c>
      <c r="T2788">
        <f>Data!N2804</f>
        <v>0</v>
      </c>
      <c r="U2788">
        <f>Data!O2804</f>
        <v>0</v>
      </c>
      <c r="V2788" s="33">
        <f>Data!P2802</f>
        <v>0</v>
      </c>
    </row>
    <row r="2789" spans="7:22" x14ac:dyDescent="0.25">
      <c r="G2789" cm="1">
        <f t="array" aca="1" ref="G2789" ca="1">INDIRECT("Data!A" &amp; 784)</f>
        <v>0</v>
      </c>
      <c r="H2789" s="21">
        <f>Data!B2801</f>
        <v>0</v>
      </c>
      <c r="I2789" s="21">
        <f>Data!C2801</f>
        <v>0</v>
      </c>
      <c r="J2789">
        <f>Data!D2801</f>
        <v>0</v>
      </c>
      <c r="K2789">
        <f>Data!E2801</f>
        <v>0</v>
      </c>
      <c r="L2789">
        <f>Data!F2801</f>
        <v>0</v>
      </c>
      <c r="M2789">
        <f>Data!G2801</f>
        <v>0</v>
      </c>
      <c r="N2789">
        <f>Data!H2801</f>
        <v>0</v>
      </c>
      <c r="O2789">
        <f>Data!I2801</f>
        <v>0</v>
      </c>
      <c r="P2789" s="21">
        <f>Data!J2805</f>
        <v>0</v>
      </c>
      <c r="Q2789">
        <f>Data!K2805</f>
        <v>0</v>
      </c>
      <c r="R2789">
        <f>Data!L2805</f>
        <v>0</v>
      </c>
      <c r="S2789">
        <f>Data!M2805</f>
        <v>0</v>
      </c>
      <c r="T2789">
        <f>Data!N2805</f>
        <v>0</v>
      </c>
      <c r="U2789">
        <f>Data!O2805</f>
        <v>0</v>
      </c>
      <c r="V2789" s="33">
        <f>Data!P2803</f>
        <v>0</v>
      </c>
    </row>
    <row r="2790" spans="7:22" x14ac:dyDescent="0.25">
      <c r="G2790" cm="1">
        <f t="array" aca="1" ref="G2790" ca="1">INDIRECT("Data!A" &amp; 785)</f>
        <v>0</v>
      </c>
      <c r="H2790" s="21">
        <f>Data!B2802</f>
        <v>0</v>
      </c>
      <c r="I2790" s="21">
        <f>Data!C2802</f>
        <v>0</v>
      </c>
      <c r="J2790">
        <f>Data!D2802</f>
        <v>0</v>
      </c>
      <c r="K2790">
        <f>Data!E2802</f>
        <v>0</v>
      </c>
      <c r="L2790">
        <f>Data!F2802</f>
        <v>0</v>
      </c>
      <c r="M2790">
        <f>Data!G2802</f>
        <v>0</v>
      </c>
      <c r="N2790">
        <f>Data!H2802</f>
        <v>0</v>
      </c>
      <c r="O2790">
        <f>Data!I2802</f>
        <v>0</v>
      </c>
      <c r="P2790" s="21">
        <f>Data!J2806</f>
        <v>0</v>
      </c>
      <c r="Q2790">
        <f>Data!K2806</f>
        <v>0</v>
      </c>
      <c r="R2790">
        <f>Data!L2806</f>
        <v>0</v>
      </c>
      <c r="S2790">
        <f>Data!M2806</f>
        <v>0</v>
      </c>
      <c r="T2790">
        <f>Data!N2806</f>
        <v>0</v>
      </c>
      <c r="U2790">
        <f>Data!O2806</f>
        <v>0</v>
      </c>
      <c r="V2790" s="33">
        <f>Data!P2804</f>
        <v>0</v>
      </c>
    </row>
    <row r="2791" spans="7:22" x14ac:dyDescent="0.25">
      <c r="G2791" cm="1">
        <f t="array" aca="1" ref="G2791" ca="1">INDIRECT("Data!A" &amp; 786)</f>
        <v>0</v>
      </c>
      <c r="H2791" s="21">
        <f>Data!B2803</f>
        <v>0</v>
      </c>
      <c r="I2791" s="21">
        <f>Data!C2803</f>
        <v>0</v>
      </c>
      <c r="J2791">
        <f>Data!D2803</f>
        <v>0</v>
      </c>
      <c r="K2791">
        <f>Data!E2803</f>
        <v>0</v>
      </c>
      <c r="L2791">
        <f>Data!F2803</f>
        <v>0</v>
      </c>
      <c r="M2791">
        <f>Data!G2803</f>
        <v>0</v>
      </c>
      <c r="N2791">
        <f>Data!H2803</f>
        <v>0</v>
      </c>
      <c r="O2791">
        <f>Data!I2803</f>
        <v>0</v>
      </c>
      <c r="P2791" s="21">
        <f>Data!J2807</f>
        <v>0</v>
      </c>
      <c r="Q2791">
        <f>Data!K2807</f>
        <v>0</v>
      </c>
      <c r="R2791">
        <f>Data!L2807</f>
        <v>0</v>
      </c>
      <c r="S2791">
        <f>Data!M2807</f>
        <v>0</v>
      </c>
      <c r="T2791">
        <f>Data!N2807</f>
        <v>0</v>
      </c>
      <c r="U2791">
        <f>Data!O2807</f>
        <v>0</v>
      </c>
      <c r="V2791" s="33">
        <f>Data!P2805</f>
        <v>0</v>
      </c>
    </row>
    <row r="2792" spans="7:22" x14ac:dyDescent="0.25">
      <c r="G2792" cm="1">
        <f t="array" aca="1" ref="G2792" ca="1">INDIRECT("Data!A" &amp; 787)</f>
        <v>0</v>
      </c>
      <c r="H2792" s="21">
        <f>Data!B2804</f>
        <v>0</v>
      </c>
      <c r="I2792" s="21">
        <f>Data!C2804</f>
        <v>0</v>
      </c>
      <c r="J2792">
        <f>Data!D2804</f>
        <v>0</v>
      </c>
      <c r="K2792">
        <f>Data!E2804</f>
        <v>0</v>
      </c>
      <c r="L2792">
        <f>Data!F2804</f>
        <v>0</v>
      </c>
      <c r="M2792">
        <f>Data!G2804</f>
        <v>0</v>
      </c>
      <c r="N2792">
        <f>Data!H2804</f>
        <v>0</v>
      </c>
      <c r="O2792">
        <f>Data!I2804</f>
        <v>0</v>
      </c>
      <c r="P2792" s="21">
        <f>Data!J2808</f>
        <v>0</v>
      </c>
      <c r="Q2792">
        <f>Data!K2808</f>
        <v>0</v>
      </c>
      <c r="R2792">
        <f>Data!L2808</f>
        <v>0</v>
      </c>
      <c r="S2792">
        <f>Data!M2808</f>
        <v>0</v>
      </c>
      <c r="T2792">
        <f>Data!N2808</f>
        <v>0</v>
      </c>
      <c r="U2792">
        <f>Data!O2808</f>
        <v>0</v>
      </c>
      <c r="V2792" s="33">
        <f>Data!P2806</f>
        <v>0</v>
      </c>
    </row>
    <row r="2793" spans="7:22" x14ac:dyDescent="0.25">
      <c r="G2793" cm="1">
        <f t="array" aca="1" ref="G2793" ca="1">INDIRECT("Data!A" &amp; 788)</f>
        <v>0</v>
      </c>
      <c r="H2793" s="21">
        <f>Data!B2805</f>
        <v>0</v>
      </c>
      <c r="I2793" s="21">
        <f>Data!C2805</f>
        <v>0</v>
      </c>
      <c r="J2793">
        <f>Data!D2805</f>
        <v>0</v>
      </c>
      <c r="K2793">
        <f>Data!E2805</f>
        <v>0</v>
      </c>
      <c r="L2793">
        <f>Data!F2805</f>
        <v>0</v>
      </c>
      <c r="M2793">
        <f>Data!G2805</f>
        <v>0</v>
      </c>
      <c r="N2793">
        <f>Data!H2805</f>
        <v>0</v>
      </c>
      <c r="O2793">
        <f>Data!I2805</f>
        <v>0</v>
      </c>
      <c r="P2793" s="21">
        <f>Data!J2809</f>
        <v>0</v>
      </c>
      <c r="Q2793">
        <f>Data!K2809</f>
        <v>0</v>
      </c>
      <c r="R2793">
        <f>Data!L2809</f>
        <v>0</v>
      </c>
      <c r="S2793">
        <f>Data!M2809</f>
        <v>0</v>
      </c>
      <c r="T2793">
        <f>Data!N2809</f>
        <v>0</v>
      </c>
      <c r="U2793">
        <f>Data!O2809</f>
        <v>0</v>
      </c>
      <c r="V2793" s="33">
        <f>Data!P2807</f>
        <v>0</v>
      </c>
    </row>
    <row r="2794" spans="7:22" x14ac:dyDescent="0.25">
      <c r="G2794" cm="1">
        <f t="array" aca="1" ref="G2794" ca="1">INDIRECT("Data!A" &amp; 789)</f>
        <v>0</v>
      </c>
      <c r="H2794" s="21">
        <f>Data!B2806</f>
        <v>0</v>
      </c>
      <c r="I2794" s="21">
        <f>Data!C2806</f>
        <v>0</v>
      </c>
      <c r="J2794">
        <f>Data!D2806</f>
        <v>0</v>
      </c>
      <c r="K2794">
        <f>Data!E2806</f>
        <v>0</v>
      </c>
      <c r="L2794">
        <f>Data!F2806</f>
        <v>0</v>
      </c>
      <c r="M2794">
        <f>Data!G2806</f>
        <v>0</v>
      </c>
      <c r="N2794">
        <f>Data!H2806</f>
        <v>0</v>
      </c>
      <c r="O2794">
        <f>Data!I2806</f>
        <v>0</v>
      </c>
      <c r="P2794" s="21">
        <f>Data!J2810</f>
        <v>0</v>
      </c>
      <c r="Q2794">
        <f>Data!K2810</f>
        <v>0</v>
      </c>
      <c r="R2794">
        <f>Data!L2810</f>
        <v>0</v>
      </c>
      <c r="S2794">
        <f>Data!M2810</f>
        <v>0</v>
      </c>
      <c r="T2794">
        <f>Data!N2810</f>
        <v>0</v>
      </c>
      <c r="U2794">
        <f>Data!O2810</f>
        <v>0</v>
      </c>
      <c r="V2794" s="33">
        <f>Data!P2808</f>
        <v>0</v>
      </c>
    </row>
    <row r="2795" spans="7:22" x14ac:dyDescent="0.25">
      <c r="G2795" cm="1">
        <f t="array" aca="1" ref="G2795" ca="1">INDIRECT("Data!A" &amp; 790)</f>
        <v>0</v>
      </c>
      <c r="H2795" s="21">
        <f>Data!B2807</f>
        <v>0</v>
      </c>
      <c r="I2795" s="21">
        <f>Data!C2807</f>
        <v>0</v>
      </c>
      <c r="J2795">
        <f>Data!D2807</f>
        <v>0</v>
      </c>
      <c r="K2795">
        <f>Data!E2807</f>
        <v>0</v>
      </c>
      <c r="L2795">
        <f>Data!F2807</f>
        <v>0</v>
      </c>
      <c r="M2795">
        <f>Data!G2807</f>
        <v>0</v>
      </c>
      <c r="N2795">
        <f>Data!H2807</f>
        <v>0</v>
      </c>
      <c r="O2795">
        <f>Data!I2807</f>
        <v>0</v>
      </c>
      <c r="P2795" s="21">
        <f>Data!J2811</f>
        <v>0</v>
      </c>
      <c r="Q2795">
        <f>Data!K2811</f>
        <v>0</v>
      </c>
      <c r="R2795">
        <f>Data!L2811</f>
        <v>0</v>
      </c>
      <c r="S2795">
        <f>Data!M2811</f>
        <v>0</v>
      </c>
      <c r="T2795">
        <f>Data!N2811</f>
        <v>0</v>
      </c>
      <c r="U2795">
        <f>Data!O2811</f>
        <v>0</v>
      </c>
      <c r="V2795" s="33">
        <f>Data!P2809</f>
        <v>0</v>
      </c>
    </row>
    <row r="2796" spans="7:22" x14ac:dyDescent="0.25">
      <c r="G2796" cm="1">
        <f t="array" aca="1" ref="G2796" ca="1">INDIRECT("Data!A" &amp; 791)</f>
        <v>0</v>
      </c>
      <c r="H2796" s="21">
        <f>Data!B2808</f>
        <v>0</v>
      </c>
      <c r="I2796" s="21">
        <f>Data!C2808</f>
        <v>0</v>
      </c>
      <c r="J2796">
        <f>Data!D2808</f>
        <v>0</v>
      </c>
      <c r="K2796">
        <f>Data!E2808</f>
        <v>0</v>
      </c>
      <c r="L2796">
        <f>Data!F2808</f>
        <v>0</v>
      </c>
      <c r="M2796">
        <f>Data!G2808</f>
        <v>0</v>
      </c>
      <c r="N2796">
        <f>Data!H2808</f>
        <v>0</v>
      </c>
      <c r="O2796">
        <f>Data!I2808</f>
        <v>0</v>
      </c>
      <c r="P2796" s="21">
        <f>Data!J2812</f>
        <v>0</v>
      </c>
      <c r="Q2796">
        <f>Data!K2812</f>
        <v>0</v>
      </c>
      <c r="R2796">
        <f>Data!L2812</f>
        <v>0</v>
      </c>
      <c r="S2796">
        <f>Data!M2812</f>
        <v>0</v>
      </c>
      <c r="T2796">
        <f>Data!N2812</f>
        <v>0</v>
      </c>
      <c r="U2796">
        <f>Data!O2812</f>
        <v>0</v>
      </c>
      <c r="V2796" s="33">
        <f>Data!P2810</f>
        <v>0</v>
      </c>
    </row>
    <row r="2797" spans="7:22" x14ac:dyDescent="0.25">
      <c r="G2797" cm="1">
        <f t="array" aca="1" ref="G2797" ca="1">INDIRECT("Data!A" &amp; 792)</f>
        <v>0</v>
      </c>
      <c r="H2797" s="21">
        <f>Data!B2809</f>
        <v>0</v>
      </c>
      <c r="I2797" s="21">
        <f>Data!C2809</f>
        <v>0</v>
      </c>
      <c r="J2797">
        <f>Data!D2809</f>
        <v>0</v>
      </c>
      <c r="K2797">
        <f>Data!E2809</f>
        <v>0</v>
      </c>
      <c r="L2797">
        <f>Data!F2809</f>
        <v>0</v>
      </c>
      <c r="M2797">
        <f>Data!G2809</f>
        <v>0</v>
      </c>
      <c r="N2797">
        <f>Data!H2809</f>
        <v>0</v>
      </c>
      <c r="O2797">
        <f>Data!I2809</f>
        <v>0</v>
      </c>
      <c r="P2797" s="21">
        <f>Data!J2813</f>
        <v>0</v>
      </c>
      <c r="Q2797">
        <f>Data!K2813</f>
        <v>0</v>
      </c>
      <c r="R2797">
        <f>Data!L2813</f>
        <v>0</v>
      </c>
      <c r="S2797">
        <f>Data!M2813</f>
        <v>0</v>
      </c>
      <c r="T2797">
        <f>Data!N2813</f>
        <v>0</v>
      </c>
      <c r="U2797">
        <f>Data!O2813</f>
        <v>0</v>
      </c>
      <c r="V2797" s="33">
        <f>Data!P2811</f>
        <v>0</v>
      </c>
    </row>
    <row r="2798" spans="7:22" x14ac:dyDescent="0.25">
      <c r="G2798" cm="1">
        <f t="array" aca="1" ref="G2798" ca="1">INDIRECT("Data!A" &amp; 793)</f>
        <v>0</v>
      </c>
      <c r="H2798" s="21">
        <f>Data!B2810</f>
        <v>0</v>
      </c>
      <c r="I2798" s="21">
        <f>Data!C2810</f>
        <v>0</v>
      </c>
      <c r="J2798">
        <f>Data!D2810</f>
        <v>0</v>
      </c>
      <c r="K2798">
        <f>Data!E2810</f>
        <v>0</v>
      </c>
      <c r="L2798">
        <f>Data!F2810</f>
        <v>0</v>
      </c>
      <c r="M2798">
        <f>Data!G2810</f>
        <v>0</v>
      </c>
      <c r="N2798">
        <f>Data!H2810</f>
        <v>0</v>
      </c>
      <c r="O2798">
        <f>Data!I2810</f>
        <v>0</v>
      </c>
      <c r="P2798" s="21">
        <f>Data!J2814</f>
        <v>0</v>
      </c>
      <c r="Q2798">
        <f>Data!K2814</f>
        <v>0</v>
      </c>
      <c r="R2798">
        <f>Data!L2814</f>
        <v>0</v>
      </c>
      <c r="S2798">
        <f>Data!M2814</f>
        <v>0</v>
      </c>
      <c r="T2798">
        <f>Data!N2814</f>
        <v>0</v>
      </c>
      <c r="U2798">
        <f>Data!O2814</f>
        <v>0</v>
      </c>
      <c r="V2798" s="33">
        <f>Data!P2812</f>
        <v>0</v>
      </c>
    </row>
    <row r="2799" spans="7:22" x14ac:dyDescent="0.25">
      <c r="G2799" cm="1">
        <f t="array" aca="1" ref="G2799" ca="1">INDIRECT("Data!A" &amp; 794)</f>
        <v>0</v>
      </c>
      <c r="H2799" s="21">
        <f>Data!B2811</f>
        <v>0</v>
      </c>
      <c r="I2799" s="21">
        <f>Data!C2811</f>
        <v>0</v>
      </c>
      <c r="J2799">
        <f>Data!D2811</f>
        <v>0</v>
      </c>
      <c r="K2799">
        <f>Data!E2811</f>
        <v>0</v>
      </c>
      <c r="L2799">
        <f>Data!F2811</f>
        <v>0</v>
      </c>
      <c r="M2799">
        <f>Data!G2811</f>
        <v>0</v>
      </c>
      <c r="N2799">
        <f>Data!H2811</f>
        <v>0</v>
      </c>
      <c r="O2799">
        <f>Data!I2811</f>
        <v>0</v>
      </c>
      <c r="P2799" s="21">
        <f>Data!J2815</f>
        <v>0</v>
      </c>
      <c r="Q2799">
        <f>Data!K2815</f>
        <v>0</v>
      </c>
      <c r="R2799">
        <f>Data!L2815</f>
        <v>0</v>
      </c>
      <c r="S2799">
        <f>Data!M2815</f>
        <v>0</v>
      </c>
      <c r="T2799">
        <f>Data!N2815</f>
        <v>0</v>
      </c>
      <c r="U2799">
        <f>Data!O2815</f>
        <v>0</v>
      </c>
      <c r="V2799" s="33">
        <f>Data!P2813</f>
        <v>0</v>
      </c>
    </row>
    <row r="2800" spans="7:22" x14ac:dyDescent="0.25">
      <c r="G2800" cm="1">
        <f t="array" aca="1" ref="G2800" ca="1">INDIRECT("Data!A" &amp; 795)</f>
        <v>0</v>
      </c>
      <c r="H2800" s="21">
        <f>Data!B2812</f>
        <v>0</v>
      </c>
      <c r="I2800" s="21">
        <f>Data!C2812</f>
        <v>0</v>
      </c>
      <c r="J2800">
        <f>Data!D2812</f>
        <v>0</v>
      </c>
      <c r="K2800">
        <f>Data!E2812</f>
        <v>0</v>
      </c>
      <c r="L2800">
        <f>Data!F2812</f>
        <v>0</v>
      </c>
      <c r="M2800">
        <f>Data!G2812</f>
        <v>0</v>
      </c>
      <c r="N2800">
        <f>Data!H2812</f>
        <v>0</v>
      </c>
      <c r="O2800">
        <f>Data!I2812</f>
        <v>0</v>
      </c>
      <c r="P2800" s="21">
        <f>Data!J2816</f>
        <v>0</v>
      </c>
      <c r="Q2800">
        <f>Data!K2816</f>
        <v>0</v>
      </c>
      <c r="R2800">
        <f>Data!L2816</f>
        <v>0</v>
      </c>
      <c r="S2800">
        <f>Data!M2816</f>
        <v>0</v>
      </c>
      <c r="T2800">
        <f>Data!N2816</f>
        <v>0</v>
      </c>
      <c r="U2800">
        <f>Data!O2816</f>
        <v>0</v>
      </c>
      <c r="V2800" s="33">
        <f>Data!P2814</f>
        <v>0</v>
      </c>
    </row>
    <row r="2801" spans="7:22" x14ac:dyDescent="0.25">
      <c r="G2801" cm="1">
        <f t="array" aca="1" ref="G2801" ca="1">INDIRECT("Data!A" &amp; 796)</f>
        <v>0</v>
      </c>
      <c r="H2801" s="21">
        <f>Data!B2813</f>
        <v>0</v>
      </c>
      <c r="I2801" s="21">
        <f>Data!C2813</f>
        <v>0</v>
      </c>
      <c r="J2801">
        <f>Data!D2813</f>
        <v>0</v>
      </c>
      <c r="K2801">
        <f>Data!E2813</f>
        <v>0</v>
      </c>
      <c r="L2801">
        <f>Data!F2813</f>
        <v>0</v>
      </c>
      <c r="M2801">
        <f>Data!G2813</f>
        <v>0</v>
      </c>
      <c r="N2801">
        <f>Data!H2813</f>
        <v>0</v>
      </c>
      <c r="O2801">
        <f>Data!I2813</f>
        <v>0</v>
      </c>
      <c r="P2801" s="21">
        <f>Data!J2817</f>
        <v>0</v>
      </c>
      <c r="Q2801">
        <f>Data!K2817</f>
        <v>0</v>
      </c>
      <c r="R2801">
        <f>Data!L2817</f>
        <v>0</v>
      </c>
      <c r="S2801">
        <f>Data!M2817</f>
        <v>0</v>
      </c>
      <c r="T2801">
        <f>Data!N2817</f>
        <v>0</v>
      </c>
      <c r="U2801">
        <f>Data!O2817</f>
        <v>0</v>
      </c>
      <c r="V2801" s="33">
        <f>Data!P2815</f>
        <v>0</v>
      </c>
    </row>
    <row r="2802" spans="7:22" x14ac:dyDescent="0.25">
      <c r="G2802" cm="1">
        <f t="array" aca="1" ref="G2802" ca="1">INDIRECT("Data!A" &amp; 797)</f>
        <v>0</v>
      </c>
      <c r="H2802" s="21">
        <f>Data!B2814</f>
        <v>0</v>
      </c>
      <c r="I2802" s="21">
        <f>Data!C2814</f>
        <v>0</v>
      </c>
      <c r="J2802">
        <f>Data!D2814</f>
        <v>0</v>
      </c>
      <c r="K2802">
        <f>Data!E2814</f>
        <v>0</v>
      </c>
      <c r="L2802">
        <f>Data!F2814</f>
        <v>0</v>
      </c>
      <c r="M2802">
        <f>Data!G2814</f>
        <v>0</v>
      </c>
      <c r="N2802">
        <f>Data!H2814</f>
        <v>0</v>
      </c>
      <c r="O2802">
        <f>Data!I2814</f>
        <v>0</v>
      </c>
      <c r="P2802" s="21">
        <f>Data!J2818</f>
        <v>0</v>
      </c>
      <c r="Q2802">
        <f>Data!K2818</f>
        <v>0</v>
      </c>
      <c r="R2802">
        <f>Data!L2818</f>
        <v>0</v>
      </c>
      <c r="S2802">
        <f>Data!M2818</f>
        <v>0</v>
      </c>
      <c r="T2802">
        <f>Data!N2818</f>
        <v>0</v>
      </c>
      <c r="U2802">
        <f>Data!O2818</f>
        <v>0</v>
      </c>
      <c r="V2802" s="33">
        <f>Data!P2816</f>
        <v>0</v>
      </c>
    </row>
    <row r="2803" spans="7:22" x14ac:dyDescent="0.25">
      <c r="G2803" cm="1">
        <f t="array" aca="1" ref="G2803" ca="1">INDIRECT("Data!A" &amp; 798)</f>
        <v>0</v>
      </c>
      <c r="H2803" s="21">
        <f>Data!B2815</f>
        <v>0</v>
      </c>
      <c r="I2803" s="21">
        <f>Data!C2815</f>
        <v>0</v>
      </c>
      <c r="J2803">
        <f>Data!D2815</f>
        <v>0</v>
      </c>
      <c r="K2803">
        <f>Data!E2815</f>
        <v>0</v>
      </c>
      <c r="L2803">
        <f>Data!F2815</f>
        <v>0</v>
      </c>
      <c r="M2803">
        <f>Data!G2815</f>
        <v>0</v>
      </c>
      <c r="N2803">
        <f>Data!H2815</f>
        <v>0</v>
      </c>
      <c r="O2803">
        <f>Data!I2815</f>
        <v>0</v>
      </c>
      <c r="P2803" s="21">
        <f>Data!J2819</f>
        <v>0</v>
      </c>
      <c r="Q2803">
        <f>Data!K2819</f>
        <v>0</v>
      </c>
      <c r="R2803">
        <f>Data!L2819</f>
        <v>0</v>
      </c>
      <c r="S2803">
        <f>Data!M2819</f>
        <v>0</v>
      </c>
      <c r="T2803">
        <f>Data!N2819</f>
        <v>0</v>
      </c>
      <c r="U2803">
        <f>Data!O2819</f>
        <v>0</v>
      </c>
      <c r="V2803" s="33">
        <f>Data!P2817</f>
        <v>0</v>
      </c>
    </row>
    <row r="2804" spans="7:22" x14ac:dyDescent="0.25">
      <c r="G2804" cm="1">
        <f t="array" aca="1" ref="G2804" ca="1">INDIRECT("Data!A" &amp; 799)</f>
        <v>0</v>
      </c>
      <c r="H2804" s="21">
        <f>Data!B2816</f>
        <v>0</v>
      </c>
      <c r="I2804" s="21">
        <f>Data!C2816</f>
        <v>0</v>
      </c>
      <c r="J2804">
        <f>Data!D2816</f>
        <v>0</v>
      </c>
      <c r="K2804">
        <f>Data!E2816</f>
        <v>0</v>
      </c>
      <c r="L2804">
        <f>Data!F2816</f>
        <v>0</v>
      </c>
      <c r="M2804">
        <f>Data!G2816</f>
        <v>0</v>
      </c>
      <c r="N2804">
        <f>Data!H2816</f>
        <v>0</v>
      </c>
      <c r="O2804">
        <f>Data!I2816</f>
        <v>0</v>
      </c>
      <c r="P2804" s="21">
        <f>Data!J2820</f>
        <v>0</v>
      </c>
      <c r="Q2804">
        <f>Data!K2820</f>
        <v>0</v>
      </c>
      <c r="R2804">
        <f>Data!L2820</f>
        <v>0</v>
      </c>
      <c r="S2804">
        <f>Data!M2820</f>
        <v>0</v>
      </c>
      <c r="T2804">
        <f>Data!N2820</f>
        <v>0</v>
      </c>
      <c r="U2804">
        <f>Data!O2820</f>
        <v>0</v>
      </c>
      <c r="V2804" s="33">
        <f>Data!P2818</f>
        <v>0</v>
      </c>
    </row>
    <row r="2805" spans="7:22" x14ac:dyDescent="0.25">
      <c r="G2805" cm="1">
        <f t="array" aca="1" ref="G2805" ca="1">INDIRECT("Data!A" &amp; 800)</f>
        <v>0</v>
      </c>
      <c r="H2805" s="21">
        <f>Data!B2817</f>
        <v>0</v>
      </c>
      <c r="I2805" s="21">
        <f>Data!C2817</f>
        <v>0</v>
      </c>
      <c r="J2805">
        <f>Data!D2817</f>
        <v>0</v>
      </c>
      <c r="K2805">
        <f>Data!E2817</f>
        <v>0</v>
      </c>
      <c r="L2805">
        <f>Data!F2817</f>
        <v>0</v>
      </c>
      <c r="M2805">
        <f>Data!G2817</f>
        <v>0</v>
      </c>
      <c r="N2805">
        <f>Data!H2817</f>
        <v>0</v>
      </c>
      <c r="O2805">
        <f>Data!I2817</f>
        <v>0</v>
      </c>
      <c r="P2805" s="21">
        <f>Data!J2821</f>
        <v>0</v>
      </c>
      <c r="Q2805">
        <f>Data!K2821</f>
        <v>0</v>
      </c>
      <c r="R2805">
        <f>Data!L2821</f>
        <v>0</v>
      </c>
      <c r="S2805">
        <f>Data!M2821</f>
        <v>0</v>
      </c>
      <c r="T2805">
        <f>Data!N2821</f>
        <v>0</v>
      </c>
      <c r="U2805">
        <f>Data!O2821</f>
        <v>0</v>
      </c>
      <c r="V2805" s="33">
        <f>Data!P2819</f>
        <v>0</v>
      </c>
    </row>
    <row r="2806" spans="7:22" x14ac:dyDescent="0.25">
      <c r="G2806" cm="1">
        <f t="array" aca="1" ref="G2806" ca="1">INDIRECT("Data!A" &amp; 801)</f>
        <v>0</v>
      </c>
      <c r="H2806" s="21">
        <f>Data!B2818</f>
        <v>0</v>
      </c>
      <c r="I2806" s="21">
        <f>Data!C2818</f>
        <v>0</v>
      </c>
      <c r="J2806">
        <f>Data!D2818</f>
        <v>0</v>
      </c>
      <c r="K2806">
        <f>Data!E2818</f>
        <v>0</v>
      </c>
      <c r="L2806">
        <f>Data!F2818</f>
        <v>0</v>
      </c>
      <c r="M2806">
        <f>Data!G2818</f>
        <v>0</v>
      </c>
      <c r="N2806">
        <f>Data!H2818</f>
        <v>0</v>
      </c>
      <c r="O2806">
        <f>Data!I2818</f>
        <v>0</v>
      </c>
      <c r="P2806" s="21">
        <f>Data!J2822</f>
        <v>0</v>
      </c>
      <c r="Q2806">
        <f>Data!K2822</f>
        <v>0</v>
      </c>
      <c r="R2806">
        <f>Data!L2822</f>
        <v>0</v>
      </c>
      <c r="S2806">
        <f>Data!M2822</f>
        <v>0</v>
      </c>
      <c r="T2806">
        <f>Data!N2822</f>
        <v>0</v>
      </c>
      <c r="U2806">
        <f>Data!O2822</f>
        <v>0</v>
      </c>
      <c r="V2806" s="33">
        <f>Data!P2820</f>
        <v>0</v>
      </c>
    </row>
    <row r="2807" spans="7:22" x14ac:dyDescent="0.25">
      <c r="G2807" cm="1">
        <f t="array" aca="1" ref="G2807" ca="1">INDIRECT("Data!A" &amp; 802)</f>
        <v>0</v>
      </c>
      <c r="H2807" s="21">
        <f>Data!B2819</f>
        <v>0</v>
      </c>
      <c r="I2807" s="21">
        <f>Data!C2819</f>
        <v>0</v>
      </c>
      <c r="J2807">
        <f>Data!D2819</f>
        <v>0</v>
      </c>
      <c r="K2807">
        <f>Data!E2819</f>
        <v>0</v>
      </c>
      <c r="L2807">
        <f>Data!F2819</f>
        <v>0</v>
      </c>
      <c r="M2807">
        <f>Data!G2819</f>
        <v>0</v>
      </c>
      <c r="N2807">
        <f>Data!H2819</f>
        <v>0</v>
      </c>
      <c r="O2807">
        <f>Data!I2819</f>
        <v>0</v>
      </c>
      <c r="P2807" s="21">
        <f>Data!J2823</f>
        <v>0</v>
      </c>
      <c r="Q2807">
        <f>Data!K2823</f>
        <v>0</v>
      </c>
      <c r="R2807">
        <f>Data!L2823</f>
        <v>0</v>
      </c>
      <c r="S2807">
        <f>Data!M2823</f>
        <v>0</v>
      </c>
      <c r="T2807">
        <f>Data!N2823</f>
        <v>0</v>
      </c>
      <c r="U2807">
        <f>Data!O2823</f>
        <v>0</v>
      </c>
      <c r="V2807" s="33">
        <f>Data!P2821</f>
        <v>0</v>
      </c>
    </row>
    <row r="2808" spans="7:22" x14ac:dyDescent="0.25">
      <c r="G2808" cm="1">
        <f t="array" aca="1" ref="G2808" ca="1">INDIRECT("Data!A" &amp; 803)</f>
        <v>0</v>
      </c>
      <c r="H2808" s="21">
        <f>Data!B2820</f>
        <v>0</v>
      </c>
      <c r="I2808" s="21">
        <f>Data!C2820</f>
        <v>0</v>
      </c>
      <c r="J2808">
        <f>Data!D2820</f>
        <v>0</v>
      </c>
      <c r="K2808">
        <f>Data!E2820</f>
        <v>0</v>
      </c>
      <c r="L2808">
        <f>Data!F2820</f>
        <v>0</v>
      </c>
      <c r="M2808">
        <f>Data!G2820</f>
        <v>0</v>
      </c>
      <c r="N2808">
        <f>Data!H2820</f>
        <v>0</v>
      </c>
      <c r="O2808">
        <f>Data!I2820</f>
        <v>0</v>
      </c>
      <c r="P2808" s="21">
        <f>Data!J2824</f>
        <v>0</v>
      </c>
      <c r="Q2808">
        <f>Data!K2824</f>
        <v>0</v>
      </c>
      <c r="R2808">
        <f>Data!L2824</f>
        <v>0</v>
      </c>
      <c r="S2808">
        <f>Data!M2824</f>
        <v>0</v>
      </c>
      <c r="T2808">
        <f>Data!N2824</f>
        <v>0</v>
      </c>
      <c r="U2808">
        <f>Data!O2824</f>
        <v>0</v>
      </c>
      <c r="V2808" s="33">
        <f>Data!P2822</f>
        <v>0</v>
      </c>
    </row>
    <row r="2809" spans="7:22" x14ac:dyDescent="0.25">
      <c r="G2809" cm="1">
        <f t="array" aca="1" ref="G2809" ca="1">INDIRECT("Data!A" &amp; 804)</f>
        <v>0</v>
      </c>
      <c r="H2809" s="21">
        <f>Data!B2821</f>
        <v>0</v>
      </c>
      <c r="I2809" s="21">
        <f>Data!C2821</f>
        <v>0</v>
      </c>
      <c r="J2809">
        <f>Data!D2821</f>
        <v>0</v>
      </c>
      <c r="K2809">
        <f>Data!E2821</f>
        <v>0</v>
      </c>
      <c r="L2809">
        <f>Data!F2821</f>
        <v>0</v>
      </c>
      <c r="M2809">
        <f>Data!G2821</f>
        <v>0</v>
      </c>
      <c r="N2809">
        <f>Data!H2821</f>
        <v>0</v>
      </c>
      <c r="O2809">
        <f>Data!I2821</f>
        <v>0</v>
      </c>
      <c r="P2809" s="21">
        <f>Data!J2825</f>
        <v>0</v>
      </c>
      <c r="Q2809">
        <f>Data!K2825</f>
        <v>0</v>
      </c>
      <c r="R2809">
        <f>Data!L2825</f>
        <v>0</v>
      </c>
      <c r="S2809">
        <f>Data!M2825</f>
        <v>0</v>
      </c>
      <c r="T2809">
        <f>Data!N2825</f>
        <v>0</v>
      </c>
      <c r="U2809">
        <f>Data!O2825</f>
        <v>0</v>
      </c>
      <c r="V2809" s="33">
        <f>Data!P2823</f>
        <v>0</v>
      </c>
    </row>
    <row r="2810" spans="7:22" x14ac:dyDescent="0.25">
      <c r="G2810" cm="1">
        <f t="array" aca="1" ref="G2810" ca="1">INDIRECT("Data!A" &amp; 805)</f>
        <v>0</v>
      </c>
      <c r="H2810" s="21">
        <f>Data!B2822</f>
        <v>0</v>
      </c>
      <c r="I2810" s="21">
        <f>Data!C2822</f>
        <v>0</v>
      </c>
      <c r="J2810">
        <f>Data!D2822</f>
        <v>0</v>
      </c>
      <c r="K2810">
        <f>Data!E2822</f>
        <v>0</v>
      </c>
      <c r="L2810">
        <f>Data!F2822</f>
        <v>0</v>
      </c>
      <c r="M2810">
        <f>Data!G2822</f>
        <v>0</v>
      </c>
      <c r="N2810">
        <f>Data!H2822</f>
        <v>0</v>
      </c>
      <c r="O2810">
        <f>Data!I2822</f>
        <v>0</v>
      </c>
      <c r="P2810" s="21">
        <f>Data!J2826</f>
        <v>0</v>
      </c>
      <c r="Q2810">
        <f>Data!K2826</f>
        <v>0</v>
      </c>
      <c r="R2810">
        <f>Data!L2826</f>
        <v>0</v>
      </c>
      <c r="S2810">
        <f>Data!M2826</f>
        <v>0</v>
      </c>
      <c r="T2810">
        <f>Data!N2826</f>
        <v>0</v>
      </c>
      <c r="U2810">
        <f>Data!O2826</f>
        <v>0</v>
      </c>
      <c r="V2810" s="33">
        <f>Data!P2824</f>
        <v>0</v>
      </c>
    </row>
    <row r="2811" spans="7:22" x14ac:dyDescent="0.25">
      <c r="G2811" cm="1">
        <f t="array" aca="1" ref="G2811" ca="1">INDIRECT("Data!A" &amp; 806)</f>
        <v>0</v>
      </c>
      <c r="H2811" s="21">
        <f>Data!B2823</f>
        <v>0</v>
      </c>
      <c r="I2811" s="21">
        <f>Data!C2823</f>
        <v>0</v>
      </c>
      <c r="J2811">
        <f>Data!D2823</f>
        <v>0</v>
      </c>
      <c r="K2811">
        <f>Data!E2823</f>
        <v>0</v>
      </c>
      <c r="L2811">
        <f>Data!F2823</f>
        <v>0</v>
      </c>
      <c r="M2811">
        <f>Data!G2823</f>
        <v>0</v>
      </c>
      <c r="N2811">
        <f>Data!H2823</f>
        <v>0</v>
      </c>
      <c r="O2811">
        <f>Data!I2823</f>
        <v>0</v>
      </c>
      <c r="P2811" s="21">
        <f>Data!J2827</f>
        <v>0</v>
      </c>
      <c r="Q2811">
        <f>Data!K2827</f>
        <v>0</v>
      </c>
      <c r="R2811">
        <f>Data!L2827</f>
        <v>0</v>
      </c>
      <c r="S2811">
        <f>Data!M2827</f>
        <v>0</v>
      </c>
      <c r="T2811">
        <f>Data!N2827</f>
        <v>0</v>
      </c>
      <c r="U2811">
        <f>Data!O2827</f>
        <v>0</v>
      </c>
      <c r="V2811" s="33">
        <f>Data!P2825</f>
        <v>0</v>
      </c>
    </row>
    <row r="2812" spans="7:22" x14ac:dyDescent="0.25">
      <c r="G2812" cm="1">
        <f t="array" aca="1" ref="G2812" ca="1">INDIRECT("Data!A" &amp; 807)</f>
        <v>0</v>
      </c>
      <c r="H2812" s="21">
        <f>Data!B2824</f>
        <v>0</v>
      </c>
      <c r="I2812" s="21">
        <f>Data!C2824</f>
        <v>0</v>
      </c>
      <c r="J2812">
        <f>Data!D2824</f>
        <v>0</v>
      </c>
      <c r="K2812">
        <f>Data!E2824</f>
        <v>0</v>
      </c>
      <c r="L2812">
        <f>Data!F2824</f>
        <v>0</v>
      </c>
      <c r="M2812">
        <f>Data!G2824</f>
        <v>0</v>
      </c>
      <c r="N2812">
        <f>Data!H2824</f>
        <v>0</v>
      </c>
      <c r="O2812">
        <f>Data!I2824</f>
        <v>0</v>
      </c>
      <c r="P2812" s="21">
        <f>Data!J2828</f>
        <v>0</v>
      </c>
      <c r="Q2812">
        <f>Data!K2828</f>
        <v>0</v>
      </c>
      <c r="R2812">
        <f>Data!L2828</f>
        <v>0</v>
      </c>
      <c r="S2812">
        <f>Data!M2828</f>
        <v>0</v>
      </c>
      <c r="T2812">
        <f>Data!N2828</f>
        <v>0</v>
      </c>
      <c r="U2812">
        <f>Data!O2828</f>
        <v>0</v>
      </c>
      <c r="V2812" s="33">
        <f>Data!P2826</f>
        <v>0</v>
      </c>
    </row>
    <row r="2813" spans="7:22" x14ac:dyDescent="0.25">
      <c r="G2813" cm="1">
        <f t="array" aca="1" ref="G2813" ca="1">INDIRECT("Data!A" &amp; 808)</f>
        <v>0</v>
      </c>
      <c r="H2813" s="21">
        <f>Data!B2825</f>
        <v>0</v>
      </c>
      <c r="I2813" s="21">
        <f>Data!C2825</f>
        <v>0</v>
      </c>
      <c r="J2813">
        <f>Data!D2825</f>
        <v>0</v>
      </c>
      <c r="K2813">
        <f>Data!E2825</f>
        <v>0</v>
      </c>
      <c r="L2813">
        <f>Data!F2825</f>
        <v>0</v>
      </c>
      <c r="M2813">
        <f>Data!G2825</f>
        <v>0</v>
      </c>
      <c r="N2813">
        <f>Data!H2825</f>
        <v>0</v>
      </c>
      <c r="O2813">
        <f>Data!I2825</f>
        <v>0</v>
      </c>
      <c r="P2813" s="21">
        <f>Data!J2829</f>
        <v>0</v>
      </c>
      <c r="Q2813">
        <f>Data!K2829</f>
        <v>0</v>
      </c>
      <c r="R2813">
        <f>Data!L2829</f>
        <v>0</v>
      </c>
      <c r="S2813">
        <f>Data!M2829</f>
        <v>0</v>
      </c>
      <c r="T2813">
        <f>Data!N2829</f>
        <v>0</v>
      </c>
      <c r="U2813">
        <f>Data!O2829</f>
        <v>0</v>
      </c>
      <c r="V2813" s="33">
        <f>Data!P2827</f>
        <v>0</v>
      </c>
    </row>
    <row r="2814" spans="7:22" x14ac:dyDescent="0.25">
      <c r="G2814" cm="1">
        <f t="array" aca="1" ref="G2814" ca="1">INDIRECT("Data!A" &amp; 809)</f>
        <v>0</v>
      </c>
      <c r="H2814" s="21">
        <f>Data!B2826</f>
        <v>0</v>
      </c>
      <c r="I2814" s="21">
        <f>Data!C2826</f>
        <v>0</v>
      </c>
      <c r="J2814">
        <f>Data!D2826</f>
        <v>0</v>
      </c>
      <c r="K2814">
        <f>Data!E2826</f>
        <v>0</v>
      </c>
      <c r="L2814">
        <f>Data!F2826</f>
        <v>0</v>
      </c>
      <c r="M2814">
        <f>Data!G2826</f>
        <v>0</v>
      </c>
      <c r="N2814">
        <f>Data!H2826</f>
        <v>0</v>
      </c>
      <c r="O2814">
        <f>Data!I2826</f>
        <v>0</v>
      </c>
      <c r="P2814" s="21">
        <f>Data!J2830</f>
        <v>0</v>
      </c>
      <c r="Q2814">
        <f>Data!K2830</f>
        <v>0</v>
      </c>
      <c r="R2814">
        <f>Data!L2830</f>
        <v>0</v>
      </c>
      <c r="S2814">
        <f>Data!M2830</f>
        <v>0</v>
      </c>
      <c r="T2814">
        <f>Data!N2830</f>
        <v>0</v>
      </c>
      <c r="U2814">
        <f>Data!O2830</f>
        <v>0</v>
      </c>
      <c r="V2814" s="33">
        <f>Data!P2828</f>
        <v>0</v>
      </c>
    </row>
    <row r="2815" spans="7:22" x14ac:dyDescent="0.25">
      <c r="G2815" cm="1">
        <f t="array" aca="1" ref="G2815" ca="1">INDIRECT("Data!A" &amp; 810)</f>
        <v>0</v>
      </c>
      <c r="H2815" s="21">
        <f>Data!B2827</f>
        <v>0</v>
      </c>
      <c r="I2815" s="21">
        <f>Data!C2827</f>
        <v>0</v>
      </c>
      <c r="J2815">
        <f>Data!D2827</f>
        <v>0</v>
      </c>
      <c r="K2815">
        <f>Data!E2827</f>
        <v>0</v>
      </c>
      <c r="L2815">
        <f>Data!F2827</f>
        <v>0</v>
      </c>
      <c r="M2815">
        <f>Data!G2827</f>
        <v>0</v>
      </c>
      <c r="N2815">
        <f>Data!H2827</f>
        <v>0</v>
      </c>
      <c r="O2815">
        <f>Data!I2827</f>
        <v>0</v>
      </c>
      <c r="P2815" s="21">
        <f>Data!J2831</f>
        <v>0</v>
      </c>
      <c r="Q2815">
        <f>Data!K2831</f>
        <v>0</v>
      </c>
      <c r="R2815">
        <f>Data!L2831</f>
        <v>0</v>
      </c>
      <c r="S2815">
        <f>Data!M2831</f>
        <v>0</v>
      </c>
      <c r="T2815">
        <f>Data!N2831</f>
        <v>0</v>
      </c>
      <c r="U2815">
        <f>Data!O2831</f>
        <v>0</v>
      </c>
      <c r="V2815" s="33">
        <f>Data!P2829</f>
        <v>0</v>
      </c>
    </row>
    <row r="2816" spans="7:22" x14ac:dyDescent="0.25">
      <c r="G2816" cm="1">
        <f t="array" aca="1" ref="G2816" ca="1">INDIRECT("Data!A" &amp; 811)</f>
        <v>0</v>
      </c>
      <c r="H2816" s="21">
        <f>Data!B2828</f>
        <v>0</v>
      </c>
      <c r="I2816" s="21">
        <f>Data!C2828</f>
        <v>0</v>
      </c>
      <c r="J2816">
        <f>Data!D2828</f>
        <v>0</v>
      </c>
      <c r="K2816">
        <f>Data!E2828</f>
        <v>0</v>
      </c>
      <c r="L2816">
        <f>Data!F2828</f>
        <v>0</v>
      </c>
      <c r="M2816">
        <f>Data!G2828</f>
        <v>0</v>
      </c>
      <c r="N2816">
        <f>Data!H2828</f>
        <v>0</v>
      </c>
      <c r="O2816">
        <f>Data!I2828</f>
        <v>0</v>
      </c>
      <c r="P2816" s="21">
        <f>Data!J2832</f>
        <v>0</v>
      </c>
      <c r="Q2816">
        <f>Data!K2832</f>
        <v>0</v>
      </c>
      <c r="R2816">
        <f>Data!L2832</f>
        <v>0</v>
      </c>
      <c r="S2816">
        <f>Data!M2832</f>
        <v>0</v>
      </c>
      <c r="T2816">
        <f>Data!N2832</f>
        <v>0</v>
      </c>
      <c r="U2816">
        <f>Data!O2832</f>
        <v>0</v>
      </c>
      <c r="V2816" s="33">
        <f>Data!P2830</f>
        <v>0</v>
      </c>
    </row>
    <row r="2817" spans="7:22" x14ac:dyDescent="0.25">
      <c r="G2817" cm="1">
        <f t="array" aca="1" ref="G2817" ca="1">INDIRECT("Data!A" &amp; 812)</f>
        <v>0</v>
      </c>
      <c r="H2817" s="21">
        <f>Data!B2829</f>
        <v>0</v>
      </c>
      <c r="I2817" s="21">
        <f>Data!C2829</f>
        <v>0</v>
      </c>
      <c r="J2817">
        <f>Data!D2829</f>
        <v>0</v>
      </c>
      <c r="K2817">
        <f>Data!E2829</f>
        <v>0</v>
      </c>
      <c r="L2817">
        <f>Data!F2829</f>
        <v>0</v>
      </c>
      <c r="M2817">
        <f>Data!G2829</f>
        <v>0</v>
      </c>
      <c r="N2817">
        <f>Data!H2829</f>
        <v>0</v>
      </c>
      <c r="O2817">
        <f>Data!I2829</f>
        <v>0</v>
      </c>
      <c r="P2817" s="21">
        <f>Data!J2833</f>
        <v>0</v>
      </c>
      <c r="Q2817">
        <f>Data!K2833</f>
        <v>0</v>
      </c>
      <c r="R2817">
        <f>Data!L2833</f>
        <v>0</v>
      </c>
      <c r="S2817">
        <f>Data!M2833</f>
        <v>0</v>
      </c>
      <c r="T2817">
        <f>Data!N2833</f>
        <v>0</v>
      </c>
      <c r="U2817">
        <f>Data!O2833</f>
        <v>0</v>
      </c>
      <c r="V2817" s="33">
        <f>Data!P2831</f>
        <v>0</v>
      </c>
    </row>
    <row r="2818" spans="7:22" x14ac:dyDescent="0.25">
      <c r="G2818" cm="1">
        <f t="array" aca="1" ref="G2818" ca="1">INDIRECT("Data!A" &amp; 813)</f>
        <v>0</v>
      </c>
      <c r="H2818" s="21">
        <f>Data!B2830</f>
        <v>0</v>
      </c>
      <c r="I2818" s="21">
        <f>Data!C2830</f>
        <v>0</v>
      </c>
      <c r="J2818">
        <f>Data!D2830</f>
        <v>0</v>
      </c>
      <c r="K2818">
        <f>Data!E2830</f>
        <v>0</v>
      </c>
      <c r="L2818">
        <f>Data!F2830</f>
        <v>0</v>
      </c>
      <c r="M2818">
        <f>Data!G2830</f>
        <v>0</v>
      </c>
      <c r="N2818">
        <f>Data!H2830</f>
        <v>0</v>
      </c>
      <c r="O2818">
        <f>Data!I2830</f>
        <v>0</v>
      </c>
      <c r="P2818" s="21">
        <f>Data!J2834</f>
        <v>0</v>
      </c>
      <c r="Q2818">
        <f>Data!K2834</f>
        <v>0</v>
      </c>
      <c r="R2818">
        <f>Data!L2834</f>
        <v>0</v>
      </c>
      <c r="S2818">
        <f>Data!M2834</f>
        <v>0</v>
      </c>
      <c r="T2818">
        <f>Data!N2834</f>
        <v>0</v>
      </c>
      <c r="U2818">
        <f>Data!O2834</f>
        <v>0</v>
      </c>
      <c r="V2818" s="33">
        <f>Data!P2832</f>
        <v>0</v>
      </c>
    </row>
    <row r="2819" spans="7:22" x14ac:dyDescent="0.25">
      <c r="G2819" cm="1">
        <f t="array" aca="1" ref="G2819" ca="1">INDIRECT("Data!A" &amp; 814)</f>
        <v>0</v>
      </c>
      <c r="H2819" s="21">
        <f>Data!B2831</f>
        <v>0</v>
      </c>
      <c r="I2819" s="21">
        <f>Data!C2831</f>
        <v>0</v>
      </c>
      <c r="J2819">
        <f>Data!D2831</f>
        <v>0</v>
      </c>
      <c r="K2819">
        <f>Data!E2831</f>
        <v>0</v>
      </c>
      <c r="L2819">
        <f>Data!F2831</f>
        <v>0</v>
      </c>
      <c r="M2819">
        <f>Data!G2831</f>
        <v>0</v>
      </c>
      <c r="N2819">
        <f>Data!H2831</f>
        <v>0</v>
      </c>
      <c r="O2819">
        <f>Data!I2831</f>
        <v>0</v>
      </c>
      <c r="P2819" s="21">
        <f>Data!J2835</f>
        <v>0</v>
      </c>
      <c r="Q2819">
        <f>Data!K2835</f>
        <v>0</v>
      </c>
      <c r="R2819">
        <f>Data!L2835</f>
        <v>0</v>
      </c>
      <c r="S2819">
        <f>Data!M2835</f>
        <v>0</v>
      </c>
      <c r="T2819">
        <f>Data!N2835</f>
        <v>0</v>
      </c>
      <c r="U2819">
        <f>Data!O2835</f>
        <v>0</v>
      </c>
      <c r="V2819" s="33">
        <f>Data!P2833</f>
        <v>0</v>
      </c>
    </row>
    <row r="2820" spans="7:22" x14ac:dyDescent="0.25">
      <c r="G2820" cm="1">
        <f t="array" aca="1" ref="G2820" ca="1">INDIRECT("Data!A" &amp; 815)</f>
        <v>0</v>
      </c>
      <c r="H2820" s="21">
        <f>Data!B2832</f>
        <v>0</v>
      </c>
      <c r="I2820" s="21">
        <f>Data!C2832</f>
        <v>0</v>
      </c>
      <c r="J2820">
        <f>Data!D2832</f>
        <v>0</v>
      </c>
      <c r="K2820">
        <f>Data!E2832</f>
        <v>0</v>
      </c>
      <c r="L2820">
        <f>Data!F2832</f>
        <v>0</v>
      </c>
      <c r="M2820">
        <f>Data!G2832</f>
        <v>0</v>
      </c>
      <c r="N2820">
        <f>Data!H2832</f>
        <v>0</v>
      </c>
      <c r="O2820">
        <f>Data!I2832</f>
        <v>0</v>
      </c>
      <c r="P2820" s="21">
        <f>Data!J2836</f>
        <v>0</v>
      </c>
      <c r="Q2820">
        <f>Data!K2836</f>
        <v>0</v>
      </c>
      <c r="R2820">
        <f>Data!L2836</f>
        <v>0</v>
      </c>
      <c r="S2820">
        <f>Data!M2836</f>
        <v>0</v>
      </c>
      <c r="T2820">
        <f>Data!N2836</f>
        <v>0</v>
      </c>
      <c r="U2820">
        <f>Data!O2836</f>
        <v>0</v>
      </c>
      <c r="V2820" s="33">
        <f>Data!P2834</f>
        <v>0</v>
      </c>
    </row>
    <row r="2821" spans="7:22" x14ac:dyDescent="0.25">
      <c r="G2821" cm="1">
        <f t="array" aca="1" ref="G2821" ca="1">INDIRECT("Data!A" &amp; 816)</f>
        <v>0</v>
      </c>
      <c r="H2821" s="21">
        <f>Data!B2833</f>
        <v>0</v>
      </c>
      <c r="I2821" s="21">
        <f>Data!C2833</f>
        <v>0</v>
      </c>
      <c r="J2821">
        <f>Data!D2833</f>
        <v>0</v>
      </c>
      <c r="K2821">
        <f>Data!E2833</f>
        <v>0</v>
      </c>
      <c r="L2821">
        <f>Data!F2833</f>
        <v>0</v>
      </c>
      <c r="M2821">
        <f>Data!G2833</f>
        <v>0</v>
      </c>
      <c r="N2821">
        <f>Data!H2833</f>
        <v>0</v>
      </c>
      <c r="O2821">
        <f>Data!I2833</f>
        <v>0</v>
      </c>
      <c r="P2821" s="21">
        <f>Data!J2837</f>
        <v>0</v>
      </c>
      <c r="Q2821">
        <f>Data!K2837</f>
        <v>0</v>
      </c>
      <c r="R2821">
        <f>Data!L2837</f>
        <v>0</v>
      </c>
      <c r="S2821">
        <f>Data!M2837</f>
        <v>0</v>
      </c>
      <c r="T2821">
        <f>Data!N2837</f>
        <v>0</v>
      </c>
      <c r="U2821">
        <f>Data!O2837</f>
        <v>0</v>
      </c>
      <c r="V2821" s="33">
        <f>Data!P2835</f>
        <v>0</v>
      </c>
    </row>
    <row r="2822" spans="7:22" x14ac:dyDescent="0.25">
      <c r="G2822" cm="1">
        <f t="array" aca="1" ref="G2822" ca="1">INDIRECT("Data!A" &amp; 817)</f>
        <v>0</v>
      </c>
      <c r="H2822" s="21">
        <f>Data!B2834</f>
        <v>0</v>
      </c>
      <c r="I2822" s="21">
        <f>Data!C2834</f>
        <v>0</v>
      </c>
      <c r="J2822">
        <f>Data!D2834</f>
        <v>0</v>
      </c>
      <c r="K2822">
        <f>Data!E2834</f>
        <v>0</v>
      </c>
      <c r="L2822">
        <f>Data!F2834</f>
        <v>0</v>
      </c>
      <c r="M2822">
        <f>Data!G2834</f>
        <v>0</v>
      </c>
      <c r="N2822">
        <f>Data!H2834</f>
        <v>0</v>
      </c>
      <c r="O2822">
        <f>Data!I2834</f>
        <v>0</v>
      </c>
      <c r="P2822" s="21">
        <f>Data!J2838</f>
        <v>0</v>
      </c>
      <c r="Q2822">
        <f>Data!K2838</f>
        <v>0</v>
      </c>
      <c r="R2822">
        <f>Data!L2838</f>
        <v>0</v>
      </c>
      <c r="S2822">
        <f>Data!M2838</f>
        <v>0</v>
      </c>
      <c r="T2822">
        <f>Data!N2838</f>
        <v>0</v>
      </c>
      <c r="U2822">
        <f>Data!O2838</f>
        <v>0</v>
      </c>
      <c r="V2822" s="33">
        <f>Data!P2836</f>
        <v>0</v>
      </c>
    </row>
    <row r="2823" spans="7:22" x14ac:dyDescent="0.25">
      <c r="G2823" cm="1">
        <f t="array" aca="1" ref="G2823" ca="1">INDIRECT("Data!A" &amp; 818)</f>
        <v>0</v>
      </c>
      <c r="H2823" s="21">
        <f>Data!B2835</f>
        <v>0</v>
      </c>
      <c r="I2823" s="21">
        <f>Data!C2835</f>
        <v>0</v>
      </c>
      <c r="J2823">
        <f>Data!D2835</f>
        <v>0</v>
      </c>
      <c r="K2823">
        <f>Data!E2835</f>
        <v>0</v>
      </c>
      <c r="L2823">
        <f>Data!F2835</f>
        <v>0</v>
      </c>
      <c r="M2823">
        <f>Data!G2835</f>
        <v>0</v>
      </c>
      <c r="N2823">
        <f>Data!H2835</f>
        <v>0</v>
      </c>
      <c r="O2823">
        <f>Data!I2835</f>
        <v>0</v>
      </c>
      <c r="P2823" s="21">
        <f>Data!J2839</f>
        <v>0</v>
      </c>
      <c r="Q2823">
        <f>Data!K2839</f>
        <v>0</v>
      </c>
      <c r="R2823">
        <f>Data!L2839</f>
        <v>0</v>
      </c>
      <c r="S2823">
        <f>Data!M2839</f>
        <v>0</v>
      </c>
      <c r="T2823">
        <f>Data!N2839</f>
        <v>0</v>
      </c>
      <c r="U2823">
        <f>Data!O2839</f>
        <v>0</v>
      </c>
      <c r="V2823" s="33">
        <f>Data!P2837</f>
        <v>0</v>
      </c>
    </row>
    <row r="2824" spans="7:22" x14ac:dyDescent="0.25">
      <c r="G2824" cm="1">
        <f t="array" aca="1" ref="G2824" ca="1">INDIRECT("Data!A" &amp; 819)</f>
        <v>0</v>
      </c>
      <c r="H2824" s="21">
        <f>Data!B2836</f>
        <v>0</v>
      </c>
      <c r="I2824" s="21">
        <f>Data!C2836</f>
        <v>0</v>
      </c>
      <c r="J2824">
        <f>Data!D2836</f>
        <v>0</v>
      </c>
      <c r="K2824">
        <f>Data!E2836</f>
        <v>0</v>
      </c>
      <c r="L2824">
        <f>Data!F2836</f>
        <v>0</v>
      </c>
      <c r="M2824">
        <f>Data!G2836</f>
        <v>0</v>
      </c>
      <c r="N2824">
        <f>Data!H2836</f>
        <v>0</v>
      </c>
      <c r="O2824">
        <f>Data!I2836</f>
        <v>0</v>
      </c>
      <c r="P2824" s="21">
        <f>Data!J2840</f>
        <v>0</v>
      </c>
      <c r="Q2824">
        <f>Data!K2840</f>
        <v>0</v>
      </c>
      <c r="R2824">
        <f>Data!L2840</f>
        <v>0</v>
      </c>
      <c r="S2824">
        <f>Data!M2840</f>
        <v>0</v>
      </c>
      <c r="T2824">
        <f>Data!N2840</f>
        <v>0</v>
      </c>
      <c r="U2824">
        <f>Data!O2840</f>
        <v>0</v>
      </c>
      <c r="V2824" s="33">
        <f>Data!P2838</f>
        <v>0</v>
      </c>
    </row>
    <row r="2825" spans="7:22" x14ac:dyDescent="0.25">
      <c r="G2825" cm="1">
        <f t="array" aca="1" ref="G2825" ca="1">INDIRECT("Data!A" &amp; 820)</f>
        <v>0</v>
      </c>
      <c r="H2825" s="21">
        <f>Data!B2837</f>
        <v>0</v>
      </c>
      <c r="I2825" s="21">
        <f>Data!C2837</f>
        <v>0</v>
      </c>
      <c r="J2825">
        <f>Data!D2837</f>
        <v>0</v>
      </c>
      <c r="K2825">
        <f>Data!E2837</f>
        <v>0</v>
      </c>
      <c r="L2825">
        <f>Data!F2837</f>
        <v>0</v>
      </c>
      <c r="M2825">
        <f>Data!G2837</f>
        <v>0</v>
      </c>
      <c r="N2825">
        <f>Data!H2837</f>
        <v>0</v>
      </c>
      <c r="O2825">
        <f>Data!I2837</f>
        <v>0</v>
      </c>
      <c r="P2825" s="21">
        <f>Data!J2841</f>
        <v>0</v>
      </c>
      <c r="Q2825">
        <f>Data!K2841</f>
        <v>0</v>
      </c>
      <c r="R2825">
        <f>Data!L2841</f>
        <v>0</v>
      </c>
      <c r="S2825">
        <f>Data!M2841</f>
        <v>0</v>
      </c>
      <c r="T2825">
        <f>Data!N2841</f>
        <v>0</v>
      </c>
      <c r="U2825">
        <f>Data!O2841</f>
        <v>0</v>
      </c>
      <c r="V2825" s="33">
        <f>Data!P2839</f>
        <v>0</v>
      </c>
    </row>
    <row r="2826" spans="7:22" x14ac:dyDescent="0.25">
      <c r="G2826" cm="1">
        <f t="array" aca="1" ref="G2826" ca="1">INDIRECT("Data!A" &amp; 821)</f>
        <v>0</v>
      </c>
      <c r="H2826" s="21">
        <f>Data!B2838</f>
        <v>0</v>
      </c>
      <c r="I2826" s="21">
        <f>Data!C2838</f>
        <v>0</v>
      </c>
      <c r="J2826">
        <f>Data!D2838</f>
        <v>0</v>
      </c>
      <c r="K2826">
        <f>Data!E2838</f>
        <v>0</v>
      </c>
      <c r="L2826">
        <f>Data!F2838</f>
        <v>0</v>
      </c>
      <c r="M2826">
        <f>Data!G2838</f>
        <v>0</v>
      </c>
      <c r="N2826">
        <f>Data!H2838</f>
        <v>0</v>
      </c>
      <c r="O2826">
        <f>Data!I2838</f>
        <v>0</v>
      </c>
      <c r="P2826" s="21">
        <f>Data!J2842</f>
        <v>0</v>
      </c>
      <c r="Q2826">
        <f>Data!K2842</f>
        <v>0</v>
      </c>
      <c r="R2826">
        <f>Data!L2842</f>
        <v>0</v>
      </c>
      <c r="S2826">
        <f>Data!M2842</f>
        <v>0</v>
      </c>
      <c r="T2826">
        <f>Data!N2842</f>
        <v>0</v>
      </c>
      <c r="U2826">
        <f>Data!O2842</f>
        <v>0</v>
      </c>
      <c r="V2826" s="33">
        <f>Data!P2840</f>
        <v>0</v>
      </c>
    </row>
    <row r="2827" spans="7:22" x14ac:dyDescent="0.25">
      <c r="G2827" cm="1">
        <f t="array" aca="1" ref="G2827" ca="1">INDIRECT("Data!A" &amp; 822)</f>
        <v>0</v>
      </c>
      <c r="H2827" s="21">
        <f>Data!B2839</f>
        <v>0</v>
      </c>
      <c r="I2827" s="21">
        <f>Data!C2839</f>
        <v>0</v>
      </c>
      <c r="J2827">
        <f>Data!D2839</f>
        <v>0</v>
      </c>
      <c r="K2827">
        <f>Data!E2839</f>
        <v>0</v>
      </c>
      <c r="L2827">
        <f>Data!F2839</f>
        <v>0</v>
      </c>
      <c r="M2827">
        <f>Data!G2839</f>
        <v>0</v>
      </c>
      <c r="N2827">
        <f>Data!H2839</f>
        <v>0</v>
      </c>
      <c r="O2827">
        <f>Data!I2839</f>
        <v>0</v>
      </c>
      <c r="P2827" s="21">
        <f>Data!J2843</f>
        <v>0</v>
      </c>
      <c r="Q2827">
        <f>Data!K2843</f>
        <v>0</v>
      </c>
      <c r="R2827">
        <f>Data!L2843</f>
        <v>0</v>
      </c>
      <c r="S2827">
        <f>Data!M2843</f>
        <v>0</v>
      </c>
      <c r="T2827">
        <f>Data!N2843</f>
        <v>0</v>
      </c>
      <c r="U2827">
        <f>Data!O2843</f>
        <v>0</v>
      </c>
      <c r="V2827" s="33">
        <f>Data!P2841</f>
        <v>0</v>
      </c>
    </row>
    <row r="2828" spans="7:22" x14ac:dyDescent="0.25">
      <c r="G2828" cm="1">
        <f t="array" aca="1" ref="G2828" ca="1">INDIRECT("Data!A" &amp; 823)</f>
        <v>0</v>
      </c>
      <c r="H2828" s="21">
        <f>Data!B2840</f>
        <v>0</v>
      </c>
      <c r="I2828" s="21">
        <f>Data!C2840</f>
        <v>0</v>
      </c>
      <c r="J2828">
        <f>Data!D2840</f>
        <v>0</v>
      </c>
      <c r="K2828">
        <f>Data!E2840</f>
        <v>0</v>
      </c>
      <c r="L2828">
        <f>Data!F2840</f>
        <v>0</v>
      </c>
      <c r="M2828">
        <f>Data!G2840</f>
        <v>0</v>
      </c>
      <c r="N2828">
        <f>Data!H2840</f>
        <v>0</v>
      </c>
      <c r="O2828">
        <f>Data!I2840</f>
        <v>0</v>
      </c>
      <c r="P2828" s="21">
        <f>Data!J2844</f>
        <v>0</v>
      </c>
      <c r="Q2828">
        <f>Data!K2844</f>
        <v>0</v>
      </c>
      <c r="R2828">
        <f>Data!L2844</f>
        <v>0</v>
      </c>
      <c r="S2828">
        <f>Data!M2844</f>
        <v>0</v>
      </c>
      <c r="T2828">
        <f>Data!N2844</f>
        <v>0</v>
      </c>
      <c r="U2828">
        <f>Data!O2844</f>
        <v>0</v>
      </c>
      <c r="V2828" s="33">
        <f>Data!P2842</f>
        <v>0</v>
      </c>
    </row>
    <row r="2829" spans="7:22" x14ac:dyDescent="0.25">
      <c r="G2829" cm="1">
        <f t="array" aca="1" ref="G2829" ca="1">INDIRECT("Data!A" &amp; 824)</f>
        <v>0</v>
      </c>
      <c r="H2829" s="21">
        <f>Data!B2841</f>
        <v>0</v>
      </c>
      <c r="I2829" s="21">
        <f>Data!C2841</f>
        <v>0</v>
      </c>
      <c r="J2829">
        <f>Data!D2841</f>
        <v>0</v>
      </c>
      <c r="K2829">
        <f>Data!E2841</f>
        <v>0</v>
      </c>
      <c r="L2829">
        <f>Data!F2841</f>
        <v>0</v>
      </c>
      <c r="M2829">
        <f>Data!G2841</f>
        <v>0</v>
      </c>
      <c r="N2829">
        <f>Data!H2841</f>
        <v>0</v>
      </c>
      <c r="O2829">
        <f>Data!I2841</f>
        <v>0</v>
      </c>
      <c r="P2829" s="21">
        <f>Data!J2845</f>
        <v>0</v>
      </c>
      <c r="Q2829">
        <f>Data!K2845</f>
        <v>0</v>
      </c>
      <c r="R2829">
        <f>Data!L2845</f>
        <v>0</v>
      </c>
      <c r="S2829">
        <f>Data!M2845</f>
        <v>0</v>
      </c>
      <c r="T2829">
        <f>Data!N2845</f>
        <v>0</v>
      </c>
      <c r="U2829">
        <f>Data!O2845</f>
        <v>0</v>
      </c>
      <c r="V2829" s="33">
        <f>Data!P2843</f>
        <v>0</v>
      </c>
    </row>
    <row r="2830" spans="7:22" x14ac:dyDescent="0.25">
      <c r="G2830" cm="1">
        <f t="array" aca="1" ref="G2830" ca="1">INDIRECT("Data!A" &amp; 825)</f>
        <v>0</v>
      </c>
      <c r="H2830" s="21">
        <f>Data!B2842</f>
        <v>0</v>
      </c>
      <c r="I2830" s="21">
        <f>Data!C2842</f>
        <v>0</v>
      </c>
      <c r="J2830">
        <f>Data!D2842</f>
        <v>0</v>
      </c>
      <c r="K2830">
        <f>Data!E2842</f>
        <v>0</v>
      </c>
      <c r="L2830">
        <f>Data!F2842</f>
        <v>0</v>
      </c>
      <c r="M2830">
        <f>Data!G2842</f>
        <v>0</v>
      </c>
      <c r="N2830">
        <f>Data!H2842</f>
        <v>0</v>
      </c>
      <c r="O2830">
        <f>Data!I2842</f>
        <v>0</v>
      </c>
      <c r="P2830" s="21">
        <f>Data!J2846</f>
        <v>0</v>
      </c>
      <c r="Q2830">
        <f>Data!K2846</f>
        <v>0</v>
      </c>
      <c r="R2830">
        <f>Data!L2846</f>
        <v>0</v>
      </c>
      <c r="S2830">
        <f>Data!M2846</f>
        <v>0</v>
      </c>
      <c r="T2830">
        <f>Data!N2846</f>
        <v>0</v>
      </c>
      <c r="U2830">
        <f>Data!O2846</f>
        <v>0</v>
      </c>
      <c r="V2830" s="33">
        <f>Data!P2844</f>
        <v>0</v>
      </c>
    </row>
    <row r="2831" spans="7:22" x14ac:dyDescent="0.25">
      <c r="G2831" cm="1">
        <f t="array" aca="1" ref="G2831" ca="1">INDIRECT("Data!A" &amp; 826)</f>
        <v>0</v>
      </c>
      <c r="H2831" s="21">
        <f>Data!B2843</f>
        <v>0</v>
      </c>
      <c r="I2831" s="21">
        <f>Data!C2843</f>
        <v>0</v>
      </c>
      <c r="J2831">
        <f>Data!D2843</f>
        <v>0</v>
      </c>
      <c r="K2831">
        <f>Data!E2843</f>
        <v>0</v>
      </c>
      <c r="L2831">
        <f>Data!F2843</f>
        <v>0</v>
      </c>
      <c r="M2831">
        <f>Data!G2843</f>
        <v>0</v>
      </c>
      <c r="N2831">
        <f>Data!H2843</f>
        <v>0</v>
      </c>
      <c r="O2831">
        <f>Data!I2843</f>
        <v>0</v>
      </c>
      <c r="P2831" s="21">
        <f>Data!J2847</f>
        <v>0</v>
      </c>
      <c r="Q2831">
        <f>Data!K2847</f>
        <v>0</v>
      </c>
      <c r="R2831">
        <f>Data!L2847</f>
        <v>0</v>
      </c>
      <c r="S2831">
        <f>Data!M2847</f>
        <v>0</v>
      </c>
      <c r="T2831">
        <f>Data!N2847</f>
        <v>0</v>
      </c>
      <c r="U2831">
        <f>Data!O2847</f>
        <v>0</v>
      </c>
      <c r="V2831" s="33">
        <f>Data!P2845</f>
        <v>0</v>
      </c>
    </row>
    <row r="2832" spans="7:22" x14ac:dyDescent="0.25">
      <c r="G2832" cm="1">
        <f t="array" aca="1" ref="G2832" ca="1">INDIRECT("Data!A" &amp; 827)</f>
        <v>0</v>
      </c>
      <c r="H2832" s="21">
        <f>Data!B2844</f>
        <v>0</v>
      </c>
      <c r="I2832" s="21">
        <f>Data!C2844</f>
        <v>0</v>
      </c>
      <c r="J2832">
        <f>Data!D2844</f>
        <v>0</v>
      </c>
      <c r="K2832">
        <f>Data!E2844</f>
        <v>0</v>
      </c>
      <c r="L2832">
        <f>Data!F2844</f>
        <v>0</v>
      </c>
      <c r="M2832">
        <f>Data!G2844</f>
        <v>0</v>
      </c>
      <c r="N2832">
        <f>Data!H2844</f>
        <v>0</v>
      </c>
      <c r="O2832">
        <f>Data!I2844</f>
        <v>0</v>
      </c>
      <c r="P2832" s="21">
        <f>Data!J2848</f>
        <v>0</v>
      </c>
      <c r="Q2832">
        <f>Data!K2848</f>
        <v>0</v>
      </c>
      <c r="R2832">
        <f>Data!L2848</f>
        <v>0</v>
      </c>
      <c r="S2832">
        <f>Data!M2848</f>
        <v>0</v>
      </c>
      <c r="T2832">
        <f>Data!N2848</f>
        <v>0</v>
      </c>
      <c r="U2832">
        <f>Data!O2848</f>
        <v>0</v>
      </c>
      <c r="V2832" s="33">
        <f>Data!P2846</f>
        <v>0</v>
      </c>
    </row>
    <row r="2833" spans="7:22" x14ac:dyDescent="0.25">
      <c r="G2833" cm="1">
        <f t="array" aca="1" ref="G2833" ca="1">INDIRECT("Data!A" &amp; 828)</f>
        <v>0</v>
      </c>
      <c r="H2833" s="21">
        <f>Data!B2845</f>
        <v>0</v>
      </c>
      <c r="I2833" s="21">
        <f>Data!C2845</f>
        <v>0</v>
      </c>
      <c r="J2833">
        <f>Data!D2845</f>
        <v>0</v>
      </c>
      <c r="K2833">
        <f>Data!E2845</f>
        <v>0</v>
      </c>
      <c r="L2833">
        <f>Data!F2845</f>
        <v>0</v>
      </c>
      <c r="M2833">
        <f>Data!G2845</f>
        <v>0</v>
      </c>
      <c r="N2833">
        <f>Data!H2845</f>
        <v>0</v>
      </c>
      <c r="O2833">
        <f>Data!I2845</f>
        <v>0</v>
      </c>
      <c r="P2833" s="21">
        <f>Data!J2849</f>
        <v>0</v>
      </c>
      <c r="Q2833">
        <f>Data!K2849</f>
        <v>0</v>
      </c>
      <c r="R2833">
        <f>Data!L2849</f>
        <v>0</v>
      </c>
      <c r="S2833">
        <f>Data!M2849</f>
        <v>0</v>
      </c>
      <c r="T2833">
        <f>Data!N2849</f>
        <v>0</v>
      </c>
      <c r="U2833">
        <f>Data!O2849</f>
        <v>0</v>
      </c>
      <c r="V2833" s="33">
        <f>Data!P2847</f>
        <v>0</v>
      </c>
    </row>
    <row r="2834" spans="7:22" x14ac:dyDescent="0.25">
      <c r="G2834" cm="1">
        <f t="array" aca="1" ref="G2834" ca="1">INDIRECT("Data!A" &amp; 829)</f>
        <v>0</v>
      </c>
      <c r="H2834" s="21">
        <f>Data!B2846</f>
        <v>0</v>
      </c>
      <c r="I2834" s="21">
        <f>Data!C2846</f>
        <v>0</v>
      </c>
      <c r="J2834">
        <f>Data!D2846</f>
        <v>0</v>
      </c>
      <c r="K2834">
        <f>Data!E2846</f>
        <v>0</v>
      </c>
      <c r="L2834">
        <f>Data!F2846</f>
        <v>0</v>
      </c>
      <c r="M2834">
        <f>Data!G2846</f>
        <v>0</v>
      </c>
      <c r="N2834">
        <f>Data!H2846</f>
        <v>0</v>
      </c>
      <c r="O2834">
        <f>Data!I2846</f>
        <v>0</v>
      </c>
      <c r="P2834" s="21">
        <f>Data!J2850</f>
        <v>0</v>
      </c>
      <c r="Q2834">
        <f>Data!K2850</f>
        <v>0</v>
      </c>
      <c r="R2834">
        <f>Data!L2850</f>
        <v>0</v>
      </c>
      <c r="S2834">
        <f>Data!M2850</f>
        <v>0</v>
      </c>
      <c r="T2834">
        <f>Data!N2850</f>
        <v>0</v>
      </c>
      <c r="U2834">
        <f>Data!O2850</f>
        <v>0</v>
      </c>
      <c r="V2834" s="33">
        <f>Data!P2848</f>
        <v>0</v>
      </c>
    </row>
    <row r="2835" spans="7:22" x14ac:dyDescent="0.25">
      <c r="G2835" cm="1">
        <f t="array" aca="1" ref="G2835" ca="1">INDIRECT("Data!A" &amp; 830)</f>
        <v>0</v>
      </c>
      <c r="H2835" s="21">
        <f>Data!B2847</f>
        <v>0</v>
      </c>
      <c r="I2835" s="21">
        <f>Data!C2847</f>
        <v>0</v>
      </c>
      <c r="J2835">
        <f>Data!D2847</f>
        <v>0</v>
      </c>
      <c r="K2835">
        <f>Data!E2847</f>
        <v>0</v>
      </c>
      <c r="L2835">
        <f>Data!F2847</f>
        <v>0</v>
      </c>
      <c r="M2835">
        <f>Data!G2847</f>
        <v>0</v>
      </c>
      <c r="N2835">
        <f>Data!H2847</f>
        <v>0</v>
      </c>
      <c r="O2835">
        <f>Data!I2847</f>
        <v>0</v>
      </c>
      <c r="P2835" s="21">
        <f>Data!J2851</f>
        <v>0</v>
      </c>
      <c r="Q2835">
        <f>Data!K2851</f>
        <v>0</v>
      </c>
      <c r="R2835">
        <f>Data!L2851</f>
        <v>0</v>
      </c>
      <c r="S2835">
        <f>Data!M2851</f>
        <v>0</v>
      </c>
      <c r="T2835">
        <f>Data!N2851</f>
        <v>0</v>
      </c>
      <c r="U2835">
        <f>Data!O2851</f>
        <v>0</v>
      </c>
      <c r="V2835" s="33">
        <f>Data!P2849</f>
        <v>0</v>
      </c>
    </row>
    <row r="2836" spans="7:22" x14ac:dyDescent="0.25">
      <c r="G2836" cm="1">
        <f t="array" aca="1" ref="G2836" ca="1">INDIRECT("Data!A" &amp; 831)</f>
        <v>0</v>
      </c>
      <c r="H2836" s="21">
        <f>Data!B2848</f>
        <v>0</v>
      </c>
      <c r="I2836" s="21">
        <f>Data!C2848</f>
        <v>0</v>
      </c>
      <c r="J2836">
        <f>Data!D2848</f>
        <v>0</v>
      </c>
      <c r="K2836">
        <f>Data!E2848</f>
        <v>0</v>
      </c>
      <c r="L2836">
        <f>Data!F2848</f>
        <v>0</v>
      </c>
      <c r="M2836">
        <f>Data!G2848</f>
        <v>0</v>
      </c>
      <c r="N2836">
        <f>Data!H2848</f>
        <v>0</v>
      </c>
      <c r="O2836">
        <f>Data!I2848</f>
        <v>0</v>
      </c>
      <c r="P2836" s="21">
        <f>Data!J2852</f>
        <v>0</v>
      </c>
      <c r="Q2836">
        <f>Data!K2852</f>
        <v>0</v>
      </c>
      <c r="R2836">
        <f>Data!L2852</f>
        <v>0</v>
      </c>
      <c r="S2836">
        <f>Data!M2852</f>
        <v>0</v>
      </c>
      <c r="T2836">
        <f>Data!N2852</f>
        <v>0</v>
      </c>
      <c r="U2836">
        <f>Data!O2852</f>
        <v>0</v>
      </c>
      <c r="V2836" s="33">
        <f>Data!P2850</f>
        <v>0</v>
      </c>
    </row>
    <row r="2837" spans="7:22" x14ac:dyDescent="0.25">
      <c r="G2837" cm="1">
        <f t="array" aca="1" ref="G2837" ca="1">INDIRECT("Data!A" &amp; 832)</f>
        <v>0</v>
      </c>
      <c r="H2837" s="21">
        <f>Data!B2849</f>
        <v>0</v>
      </c>
      <c r="I2837" s="21">
        <f>Data!C2849</f>
        <v>0</v>
      </c>
      <c r="J2837">
        <f>Data!D2849</f>
        <v>0</v>
      </c>
      <c r="K2837">
        <f>Data!E2849</f>
        <v>0</v>
      </c>
      <c r="L2837">
        <f>Data!F2849</f>
        <v>0</v>
      </c>
      <c r="M2837">
        <f>Data!G2849</f>
        <v>0</v>
      </c>
      <c r="N2837">
        <f>Data!H2849</f>
        <v>0</v>
      </c>
      <c r="O2837">
        <f>Data!I2849</f>
        <v>0</v>
      </c>
      <c r="P2837" s="21">
        <f>Data!J2853</f>
        <v>0</v>
      </c>
      <c r="Q2837">
        <f>Data!K2853</f>
        <v>0</v>
      </c>
      <c r="R2837">
        <f>Data!L2853</f>
        <v>0</v>
      </c>
      <c r="S2837">
        <f>Data!M2853</f>
        <v>0</v>
      </c>
      <c r="T2837">
        <f>Data!N2853</f>
        <v>0</v>
      </c>
      <c r="U2837">
        <f>Data!O2853</f>
        <v>0</v>
      </c>
      <c r="V2837" s="33">
        <f>Data!P2851</f>
        <v>0</v>
      </c>
    </row>
    <row r="2838" spans="7:22" x14ac:dyDescent="0.25">
      <c r="G2838" cm="1">
        <f t="array" aca="1" ref="G2838" ca="1">INDIRECT("Data!A" &amp; 833)</f>
        <v>0</v>
      </c>
      <c r="H2838" s="21">
        <f>Data!B2850</f>
        <v>0</v>
      </c>
      <c r="I2838" s="21">
        <f>Data!C2850</f>
        <v>0</v>
      </c>
      <c r="J2838">
        <f>Data!D2850</f>
        <v>0</v>
      </c>
      <c r="K2838">
        <f>Data!E2850</f>
        <v>0</v>
      </c>
      <c r="L2838">
        <f>Data!F2850</f>
        <v>0</v>
      </c>
      <c r="M2838">
        <f>Data!G2850</f>
        <v>0</v>
      </c>
      <c r="N2838">
        <f>Data!H2850</f>
        <v>0</v>
      </c>
      <c r="O2838">
        <f>Data!I2850</f>
        <v>0</v>
      </c>
      <c r="P2838" s="21">
        <f>Data!J2854</f>
        <v>0</v>
      </c>
      <c r="Q2838">
        <f>Data!K2854</f>
        <v>0</v>
      </c>
      <c r="R2838">
        <f>Data!L2854</f>
        <v>0</v>
      </c>
      <c r="S2838">
        <f>Data!M2854</f>
        <v>0</v>
      </c>
      <c r="T2838">
        <f>Data!N2854</f>
        <v>0</v>
      </c>
      <c r="U2838">
        <f>Data!O2854</f>
        <v>0</v>
      </c>
      <c r="V2838" s="33">
        <f>Data!P2852</f>
        <v>0</v>
      </c>
    </row>
    <row r="2839" spans="7:22" x14ac:dyDescent="0.25">
      <c r="G2839" cm="1">
        <f t="array" aca="1" ref="G2839" ca="1">INDIRECT("Data!A" &amp; 834)</f>
        <v>0</v>
      </c>
      <c r="H2839" s="21">
        <f>Data!B2851</f>
        <v>0</v>
      </c>
      <c r="I2839" s="21">
        <f>Data!C2851</f>
        <v>0</v>
      </c>
      <c r="J2839">
        <f>Data!D2851</f>
        <v>0</v>
      </c>
      <c r="K2839">
        <f>Data!E2851</f>
        <v>0</v>
      </c>
      <c r="L2839">
        <f>Data!F2851</f>
        <v>0</v>
      </c>
      <c r="M2839">
        <f>Data!G2851</f>
        <v>0</v>
      </c>
      <c r="N2839">
        <f>Data!H2851</f>
        <v>0</v>
      </c>
      <c r="O2839">
        <f>Data!I2851</f>
        <v>0</v>
      </c>
      <c r="P2839" s="21">
        <f>Data!J2855</f>
        <v>0</v>
      </c>
      <c r="Q2839">
        <f>Data!K2855</f>
        <v>0</v>
      </c>
      <c r="R2839">
        <f>Data!L2855</f>
        <v>0</v>
      </c>
      <c r="S2839">
        <f>Data!M2855</f>
        <v>0</v>
      </c>
      <c r="T2839">
        <f>Data!N2855</f>
        <v>0</v>
      </c>
      <c r="U2839">
        <f>Data!O2855</f>
        <v>0</v>
      </c>
      <c r="V2839" s="33">
        <f>Data!P2853</f>
        <v>0</v>
      </c>
    </row>
    <row r="2840" spans="7:22" x14ac:dyDescent="0.25">
      <c r="G2840" cm="1">
        <f t="array" aca="1" ref="G2840" ca="1">INDIRECT("Data!A" &amp; 835)</f>
        <v>0</v>
      </c>
      <c r="H2840" s="21">
        <f>Data!B2852</f>
        <v>0</v>
      </c>
      <c r="I2840" s="21">
        <f>Data!C2852</f>
        <v>0</v>
      </c>
      <c r="J2840">
        <f>Data!D2852</f>
        <v>0</v>
      </c>
      <c r="K2840">
        <f>Data!E2852</f>
        <v>0</v>
      </c>
      <c r="L2840">
        <f>Data!F2852</f>
        <v>0</v>
      </c>
      <c r="M2840">
        <f>Data!G2852</f>
        <v>0</v>
      </c>
      <c r="N2840">
        <f>Data!H2852</f>
        <v>0</v>
      </c>
      <c r="O2840">
        <f>Data!I2852</f>
        <v>0</v>
      </c>
      <c r="P2840" s="21">
        <f>Data!J2856</f>
        <v>0</v>
      </c>
      <c r="Q2840">
        <f>Data!K2856</f>
        <v>0</v>
      </c>
      <c r="R2840">
        <f>Data!L2856</f>
        <v>0</v>
      </c>
      <c r="S2840">
        <f>Data!M2856</f>
        <v>0</v>
      </c>
      <c r="T2840">
        <f>Data!N2856</f>
        <v>0</v>
      </c>
      <c r="U2840">
        <f>Data!O2856</f>
        <v>0</v>
      </c>
      <c r="V2840" s="33">
        <f>Data!P2854</f>
        <v>0</v>
      </c>
    </row>
    <row r="2841" spans="7:22" x14ac:dyDescent="0.25">
      <c r="G2841" cm="1">
        <f t="array" aca="1" ref="G2841" ca="1">INDIRECT("Data!A" &amp; 836)</f>
        <v>0</v>
      </c>
      <c r="H2841" s="21">
        <f>Data!B2853</f>
        <v>0</v>
      </c>
      <c r="I2841" s="21">
        <f>Data!C2853</f>
        <v>0</v>
      </c>
      <c r="J2841">
        <f>Data!D2853</f>
        <v>0</v>
      </c>
      <c r="K2841">
        <f>Data!E2853</f>
        <v>0</v>
      </c>
      <c r="L2841">
        <f>Data!F2853</f>
        <v>0</v>
      </c>
      <c r="M2841">
        <f>Data!G2853</f>
        <v>0</v>
      </c>
      <c r="N2841">
        <f>Data!H2853</f>
        <v>0</v>
      </c>
      <c r="O2841">
        <f>Data!I2853</f>
        <v>0</v>
      </c>
      <c r="P2841" s="21">
        <f>Data!J2857</f>
        <v>0</v>
      </c>
      <c r="Q2841">
        <f>Data!K2857</f>
        <v>0</v>
      </c>
      <c r="R2841">
        <f>Data!L2857</f>
        <v>0</v>
      </c>
      <c r="S2841">
        <f>Data!M2857</f>
        <v>0</v>
      </c>
      <c r="T2841">
        <f>Data!N2857</f>
        <v>0</v>
      </c>
      <c r="U2841">
        <f>Data!O2857</f>
        <v>0</v>
      </c>
      <c r="V2841" s="33">
        <f>Data!P2855</f>
        <v>0</v>
      </c>
    </row>
    <row r="2842" spans="7:22" x14ac:dyDescent="0.25">
      <c r="G2842" cm="1">
        <f t="array" aca="1" ref="G2842" ca="1">INDIRECT("Data!A" &amp; 837)</f>
        <v>0</v>
      </c>
      <c r="H2842" s="21">
        <f>Data!B2854</f>
        <v>0</v>
      </c>
      <c r="I2842" s="21">
        <f>Data!C2854</f>
        <v>0</v>
      </c>
      <c r="J2842">
        <f>Data!D2854</f>
        <v>0</v>
      </c>
      <c r="K2842">
        <f>Data!E2854</f>
        <v>0</v>
      </c>
      <c r="L2842">
        <f>Data!F2854</f>
        <v>0</v>
      </c>
      <c r="M2842">
        <f>Data!G2854</f>
        <v>0</v>
      </c>
      <c r="N2842">
        <f>Data!H2854</f>
        <v>0</v>
      </c>
      <c r="O2842">
        <f>Data!I2854</f>
        <v>0</v>
      </c>
      <c r="P2842" s="21">
        <f>Data!J2858</f>
        <v>0</v>
      </c>
      <c r="Q2842">
        <f>Data!K2858</f>
        <v>0</v>
      </c>
      <c r="R2842">
        <f>Data!L2858</f>
        <v>0</v>
      </c>
      <c r="S2842">
        <f>Data!M2858</f>
        <v>0</v>
      </c>
      <c r="T2842">
        <f>Data!N2858</f>
        <v>0</v>
      </c>
      <c r="U2842">
        <f>Data!O2858</f>
        <v>0</v>
      </c>
      <c r="V2842" s="33">
        <f>Data!P2856</f>
        <v>0</v>
      </c>
    </row>
    <row r="2843" spans="7:22" x14ac:dyDescent="0.25">
      <c r="G2843" cm="1">
        <f t="array" aca="1" ref="G2843" ca="1">INDIRECT("Data!A" &amp; 838)</f>
        <v>0</v>
      </c>
      <c r="H2843" s="21">
        <f>Data!B2855</f>
        <v>0</v>
      </c>
      <c r="I2843" s="21">
        <f>Data!C2855</f>
        <v>0</v>
      </c>
      <c r="J2843">
        <f>Data!D2855</f>
        <v>0</v>
      </c>
      <c r="K2843">
        <f>Data!E2855</f>
        <v>0</v>
      </c>
      <c r="L2843">
        <f>Data!F2855</f>
        <v>0</v>
      </c>
      <c r="M2843">
        <f>Data!G2855</f>
        <v>0</v>
      </c>
      <c r="N2843">
        <f>Data!H2855</f>
        <v>0</v>
      </c>
      <c r="O2843">
        <f>Data!I2855</f>
        <v>0</v>
      </c>
      <c r="P2843" s="21">
        <f>Data!J2859</f>
        <v>0</v>
      </c>
      <c r="Q2843">
        <f>Data!K2859</f>
        <v>0</v>
      </c>
      <c r="R2843">
        <f>Data!L2859</f>
        <v>0</v>
      </c>
      <c r="S2843">
        <f>Data!M2859</f>
        <v>0</v>
      </c>
      <c r="T2843">
        <f>Data!N2859</f>
        <v>0</v>
      </c>
      <c r="U2843">
        <f>Data!O2859</f>
        <v>0</v>
      </c>
      <c r="V2843" s="33">
        <f>Data!P2857</f>
        <v>0</v>
      </c>
    </row>
    <row r="2844" spans="7:22" x14ac:dyDescent="0.25">
      <c r="G2844" cm="1">
        <f t="array" aca="1" ref="G2844" ca="1">INDIRECT("Data!A" &amp; 839)</f>
        <v>0</v>
      </c>
      <c r="H2844" s="21">
        <f>Data!B2856</f>
        <v>0</v>
      </c>
      <c r="I2844" s="21">
        <f>Data!C2856</f>
        <v>0</v>
      </c>
      <c r="J2844">
        <f>Data!D2856</f>
        <v>0</v>
      </c>
      <c r="K2844">
        <f>Data!E2856</f>
        <v>0</v>
      </c>
      <c r="L2844">
        <f>Data!F2856</f>
        <v>0</v>
      </c>
      <c r="M2844">
        <f>Data!G2856</f>
        <v>0</v>
      </c>
      <c r="N2844">
        <f>Data!H2856</f>
        <v>0</v>
      </c>
      <c r="O2844">
        <f>Data!I2856</f>
        <v>0</v>
      </c>
      <c r="P2844" s="21">
        <f>Data!J2860</f>
        <v>0</v>
      </c>
      <c r="Q2844">
        <f>Data!K2860</f>
        <v>0</v>
      </c>
      <c r="R2844">
        <f>Data!L2860</f>
        <v>0</v>
      </c>
      <c r="S2844">
        <f>Data!M2860</f>
        <v>0</v>
      </c>
      <c r="T2844">
        <f>Data!N2860</f>
        <v>0</v>
      </c>
      <c r="U2844">
        <f>Data!O2860</f>
        <v>0</v>
      </c>
      <c r="V2844" s="33">
        <f>Data!P2858</f>
        <v>0</v>
      </c>
    </row>
    <row r="2845" spans="7:22" x14ac:dyDescent="0.25">
      <c r="G2845" cm="1">
        <f t="array" aca="1" ref="G2845" ca="1">INDIRECT("Data!A" &amp; 840)</f>
        <v>0</v>
      </c>
      <c r="H2845" s="21">
        <f>Data!B2857</f>
        <v>0</v>
      </c>
      <c r="I2845" s="21">
        <f>Data!C2857</f>
        <v>0</v>
      </c>
      <c r="J2845">
        <f>Data!D2857</f>
        <v>0</v>
      </c>
      <c r="K2845">
        <f>Data!E2857</f>
        <v>0</v>
      </c>
      <c r="L2845">
        <f>Data!F2857</f>
        <v>0</v>
      </c>
      <c r="M2845">
        <f>Data!G2857</f>
        <v>0</v>
      </c>
      <c r="N2845">
        <f>Data!H2857</f>
        <v>0</v>
      </c>
      <c r="O2845">
        <f>Data!I2857</f>
        <v>0</v>
      </c>
      <c r="P2845" s="21">
        <f>Data!J2861</f>
        <v>0</v>
      </c>
      <c r="Q2845">
        <f>Data!K2861</f>
        <v>0</v>
      </c>
      <c r="R2845">
        <f>Data!L2861</f>
        <v>0</v>
      </c>
      <c r="S2845">
        <f>Data!M2861</f>
        <v>0</v>
      </c>
      <c r="T2845">
        <f>Data!N2861</f>
        <v>0</v>
      </c>
      <c r="U2845">
        <f>Data!O2861</f>
        <v>0</v>
      </c>
      <c r="V2845" s="33">
        <f>Data!P2859</f>
        <v>0</v>
      </c>
    </row>
    <row r="2846" spans="7:22" x14ac:dyDescent="0.25">
      <c r="G2846" cm="1">
        <f t="array" aca="1" ref="G2846" ca="1">INDIRECT("Data!A" &amp; 841)</f>
        <v>0</v>
      </c>
      <c r="H2846" s="21">
        <f>Data!B2858</f>
        <v>0</v>
      </c>
      <c r="I2846" s="21">
        <f>Data!C2858</f>
        <v>0</v>
      </c>
      <c r="J2846">
        <f>Data!D2858</f>
        <v>0</v>
      </c>
      <c r="K2846">
        <f>Data!E2858</f>
        <v>0</v>
      </c>
      <c r="L2846">
        <f>Data!F2858</f>
        <v>0</v>
      </c>
      <c r="M2846">
        <f>Data!G2858</f>
        <v>0</v>
      </c>
      <c r="N2846">
        <f>Data!H2858</f>
        <v>0</v>
      </c>
      <c r="O2846">
        <f>Data!I2858</f>
        <v>0</v>
      </c>
      <c r="P2846" s="21">
        <f>Data!J2862</f>
        <v>0</v>
      </c>
      <c r="Q2846">
        <f>Data!K2862</f>
        <v>0</v>
      </c>
      <c r="R2846">
        <f>Data!L2862</f>
        <v>0</v>
      </c>
      <c r="S2846">
        <f>Data!M2862</f>
        <v>0</v>
      </c>
      <c r="T2846">
        <f>Data!N2862</f>
        <v>0</v>
      </c>
      <c r="U2846">
        <f>Data!O2862</f>
        <v>0</v>
      </c>
      <c r="V2846" s="33">
        <f>Data!P2860</f>
        <v>0</v>
      </c>
    </row>
    <row r="2847" spans="7:22" x14ac:dyDescent="0.25">
      <c r="G2847" cm="1">
        <f t="array" aca="1" ref="G2847" ca="1">INDIRECT("Data!A" &amp; 842)</f>
        <v>0</v>
      </c>
      <c r="H2847" s="21">
        <f>Data!B2859</f>
        <v>0</v>
      </c>
      <c r="I2847" s="21">
        <f>Data!C2859</f>
        <v>0</v>
      </c>
      <c r="J2847">
        <f>Data!D2859</f>
        <v>0</v>
      </c>
      <c r="K2847">
        <f>Data!E2859</f>
        <v>0</v>
      </c>
      <c r="L2847">
        <f>Data!F2859</f>
        <v>0</v>
      </c>
      <c r="M2847">
        <f>Data!G2859</f>
        <v>0</v>
      </c>
      <c r="N2847">
        <f>Data!H2859</f>
        <v>0</v>
      </c>
      <c r="O2847">
        <f>Data!I2859</f>
        <v>0</v>
      </c>
      <c r="P2847" s="21">
        <f>Data!J2863</f>
        <v>0</v>
      </c>
      <c r="Q2847">
        <f>Data!K2863</f>
        <v>0</v>
      </c>
      <c r="R2847">
        <f>Data!L2863</f>
        <v>0</v>
      </c>
      <c r="S2847">
        <f>Data!M2863</f>
        <v>0</v>
      </c>
      <c r="T2847">
        <f>Data!N2863</f>
        <v>0</v>
      </c>
      <c r="U2847">
        <f>Data!O2863</f>
        <v>0</v>
      </c>
      <c r="V2847" s="33">
        <f>Data!P2861</f>
        <v>0</v>
      </c>
    </row>
    <row r="2848" spans="7:22" x14ac:dyDescent="0.25">
      <c r="G2848" cm="1">
        <f t="array" aca="1" ref="G2848" ca="1">INDIRECT("Data!A" &amp; 843)</f>
        <v>0</v>
      </c>
      <c r="H2848" s="21">
        <f>Data!B2860</f>
        <v>0</v>
      </c>
      <c r="I2848" s="21">
        <f>Data!C2860</f>
        <v>0</v>
      </c>
      <c r="J2848">
        <f>Data!D2860</f>
        <v>0</v>
      </c>
      <c r="K2848">
        <f>Data!E2860</f>
        <v>0</v>
      </c>
      <c r="L2848">
        <f>Data!F2860</f>
        <v>0</v>
      </c>
      <c r="M2848">
        <f>Data!G2860</f>
        <v>0</v>
      </c>
      <c r="N2848">
        <f>Data!H2860</f>
        <v>0</v>
      </c>
      <c r="O2848">
        <f>Data!I2860</f>
        <v>0</v>
      </c>
      <c r="P2848" s="21">
        <f>Data!J2864</f>
        <v>0</v>
      </c>
      <c r="Q2848">
        <f>Data!K2864</f>
        <v>0</v>
      </c>
      <c r="R2848">
        <f>Data!L2864</f>
        <v>0</v>
      </c>
      <c r="S2848">
        <f>Data!M2864</f>
        <v>0</v>
      </c>
      <c r="T2848">
        <f>Data!N2864</f>
        <v>0</v>
      </c>
      <c r="U2848">
        <f>Data!O2864</f>
        <v>0</v>
      </c>
      <c r="V2848" s="33">
        <f>Data!P2862</f>
        <v>0</v>
      </c>
    </row>
    <row r="2849" spans="7:22" x14ac:dyDescent="0.25">
      <c r="G2849" cm="1">
        <f t="array" aca="1" ref="G2849" ca="1">INDIRECT("Data!A" &amp; 844)</f>
        <v>0</v>
      </c>
      <c r="H2849" s="21">
        <f>Data!B2861</f>
        <v>0</v>
      </c>
      <c r="I2849" s="21">
        <f>Data!C2861</f>
        <v>0</v>
      </c>
      <c r="J2849">
        <f>Data!D2861</f>
        <v>0</v>
      </c>
      <c r="K2849">
        <f>Data!E2861</f>
        <v>0</v>
      </c>
      <c r="L2849">
        <f>Data!F2861</f>
        <v>0</v>
      </c>
      <c r="M2849">
        <f>Data!G2861</f>
        <v>0</v>
      </c>
      <c r="N2849">
        <f>Data!H2861</f>
        <v>0</v>
      </c>
      <c r="O2849">
        <f>Data!I2861</f>
        <v>0</v>
      </c>
      <c r="P2849" s="21">
        <f>Data!J2865</f>
        <v>0</v>
      </c>
      <c r="Q2849">
        <f>Data!K2865</f>
        <v>0</v>
      </c>
      <c r="R2849">
        <f>Data!L2865</f>
        <v>0</v>
      </c>
      <c r="S2849">
        <f>Data!M2865</f>
        <v>0</v>
      </c>
      <c r="T2849">
        <f>Data!N2865</f>
        <v>0</v>
      </c>
      <c r="U2849">
        <f>Data!O2865</f>
        <v>0</v>
      </c>
      <c r="V2849" s="33">
        <f>Data!P2863</f>
        <v>0</v>
      </c>
    </row>
    <row r="2850" spans="7:22" x14ac:dyDescent="0.25">
      <c r="G2850" cm="1">
        <f t="array" aca="1" ref="G2850" ca="1">INDIRECT("Data!A" &amp; 845)</f>
        <v>0</v>
      </c>
      <c r="H2850" s="21">
        <f>Data!B2862</f>
        <v>0</v>
      </c>
      <c r="I2850" s="21">
        <f>Data!C2862</f>
        <v>0</v>
      </c>
      <c r="J2850">
        <f>Data!D2862</f>
        <v>0</v>
      </c>
      <c r="K2850">
        <f>Data!E2862</f>
        <v>0</v>
      </c>
      <c r="L2850">
        <f>Data!F2862</f>
        <v>0</v>
      </c>
      <c r="M2850">
        <f>Data!G2862</f>
        <v>0</v>
      </c>
      <c r="N2850">
        <f>Data!H2862</f>
        <v>0</v>
      </c>
      <c r="O2850">
        <f>Data!I2862</f>
        <v>0</v>
      </c>
      <c r="P2850" s="21">
        <f>Data!J2866</f>
        <v>0</v>
      </c>
      <c r="Q2850">
        <f>Data!K2866</f>
        <v>0</v>
      </c>
      <c r="R2850">
        <f>Data!L2866</f>
        <v>0</v>
      </c>
      <c r="S2850">
        <f>Data!M2866</f>
        <v>0</v>
      </c>
      <c r="T2850">
        <f>Data!N2866</f>
        <v>0</v>
      </c>
      <c r="U2850">
        <f>Data!O2866</f>
        <v>0</v>
      </c>
      <c r="V2850" s="33">
        <f>Data!P2864</f>
        <v>0</v>
      </c>
    </row>
    <row r="2851" spans="7:22" x14ac:dyDescent="0.25">
      <c r="G2851" cm="1">
        <f t="array" aca="1" ref="G2851" ca="1">INDIRECT("Data!A" &amp; 846)</f>
        <v>0</v>
      </c>
      <c r="H2851" s="21">
        <f>Data!B2863</f>
        <v>0</v>
      </c>
      <c r="I2851" s="21">
        <f>Data!C2863</f>
        <v>0</v>
      </c>
      <c r="J2851">
        <f>Data!D2863</f>
        <v>0</v>
      </c>
      <c r="K2851">
        <f>Data!E2863</f>
        <v>0</v>
      </c>
      <c r="L2851">
        <f>Data!F2863</f>
        <v>0</v>
      </c>
      <c r="M2851">
        <f>Data!G2863</f>
        <v>0</v>
      </c>
      <c r="N2851">
        <f>Data!H2863</f>
        <v>0</v>
      </c>
      <c r="O2851">
        <f>Data!I2863</f>
        <v>0</v>
      </c>
      <c r="P2851" s="21">
        <f>Data!J2867</f>
        <v>0</v>
      </c>
      <c r="Q2851">
        <f>Data!K2867</f>
        <v>0</v>
      </c>
      <c r="R2851">
        <f>Data!L2867</f>
        <v>0</v>
      </c>
      <c r="S2851">
        <f>Data!M2867</f>
        <v>0</v>
      </c>
      <c r="T2851">
        <f>Data!N2867</f>
        <v>0</v>
      </c>
      <c r="U2851">
        <f>Data!O2867</f>
        <v>0</v>
      </c>
      <c r="V2851" s="33">
        <f>Data!P2865</f>
        <v>0</v>
      </c>
    </row>
    <row r="2852" spans="7:22" x14ac:dyDescent="0.25">
      <c r="G2852" cm="1">
        <f t="array" aca="1" ref="G2852" ca="1">INDIRECT("Data!A" &amp; 847)</f>
        <v>0</v>
      </c>
      <c r="H2852" s="21">
        <f>Data!B2864</f>
        <v>0</v>
      </c>
      <c r="I2852" s="21">
        <f>Data!C2864</f>
        <v>0</v>
      </c>
      <c r="J2852">
        <f>Data!D2864</f>
        <v>0</v>
      </c>
      <c r="K2852">
        <f>Data!E2864</f>
        <v>0</v>
      </c>
      <c r="L2852">
        <f>Data!F2864</f>
        <v>0</v>
      </c>
      <c r="M2852">
        <f>Data!G2864</f>
        <v>0</v>
      </c>
      <c r="N2852">
        <f>Data!H2864</f>
        <v>0</v>
      </c>
      <c r="O2852">
        <f>Data!I2864</f>
        <v>0</v>
      </c>
      <c r="P2852" s="21">
        <f>Data!J2868</f>
        <v>0</v>
      </c>
      <c r="Q2852">
        <f>Data!K2868</f>
        <v>0</v>
      </c>
      <c r="R2852">
        <f>Data!L2868</f>
        <v>0</v>
      </c>
      <c r="S2852">
        <f>Data!M2868</f>
        <v>0</v>
      </c>
      <c r="T2852">
        <f>Data!N2868</f>
        <v>0</v>
      </c>
      <c r="U2852">
        <f>Data!O2868</f>
        <v>0</v>
      </c>
      <c r="V2852" s="33">
        <f>Data!P2866</f>
        <v>0</v>
      </c>
    </row>
    <row r="2853" spans="7:22" x14ac:dyDescent="0.25">
      <c r="G2853" cm="1">
        <f t="array" aca="1" ref="G2853" ca="1">INDIRECT("Data!A" &amp; 848)</f>
        <v>0</v>
      </c>
      <c r="H2853" s="21">
        <f>Data!B2865</f>
        <v>0</v>
      </c>
      <c r="I2853" s="21">
        <f>Data!C2865</f>
        <v>0</v>
      </c>
      <c r="J2853">
        <f>Data!D2865</f>
        <v>0</v>
      </c>
      <c r="K2853">
        <f>Data!E2865</f>
        <v>0</v>
      </c>
      <c r="L2853">
        <f>Data!F2865</f>
        <v>0</v>
      </c>
      <c r="M2853">
        <f>Data!G2865</f>
        <v>0</v>
      </c>
      <c r="N2853">
        <f>Data!H2865</f>
        <v>0</v>
      </c>
      <c r="O2853">
        <f>Data!I2865</f>
        <v>0</v>
      </c>
      <c r="P2853" s="21">
        <f>Data!J2869</f>
        <v>0</v>
      </c>
      <c r="Q2853">
        <f>Data!K2869</f>
        <v>0</v>
      </c>
      <c r="R2853">
        <f>Data!L2869</f>
        <v>0</v>
      </c>
      <c r="S2853">
        <f>Data!M2869</f>
        <v>0</v>
      </c>
      <c r="T2853">
        <f>Data!N2869</f>
        <v>0</v>
      </c>
      <c r="U2853">
        <f>Data!O2869</f>
        <v>0</v>
      </c>
      <c r="V2853" s="33">
        <f>Data!P2867</f>
        <v>0</v>
      </c>
    </row>
    <row r="2854" spans="7:22" x14ac:dyDescent="0.25">
      <c r="G2854" cm="1">
        <f t="array" aca="1" ref="G2854" ca="1">INDIRECT("Data!A" &amp; 849)</f>
        <v>0</v>
      </c>
      <c r="H2854" s="21">
        <f>Data!B2866</f>
        <v>0</v>
      </c>
      <c r="I2854" s="21">
        <f>Data!C2866</f>
        <v>0</v>
      </c>
      <c r="J2854">
        <f>Data!D2866</f>
        <v>0</v>
      </c>
      <c r="K2854">
        <f>Data!E2866</f>
        <v>0</v>
      </c>
      <c r="L2854">
        <f>Data!F2866</f>
        <v>0</v>
      </c>
      <c r="M2854">
        <f>Data!G2866</f>
        <v>0</v>
      </c>
      <c r="N2854">
        <f>Data!H2866</f>
        <v>0</v>
      </c>
      <c r="O2854">
        <f>Data!I2866</f>
        <v>0</v>
      </c>
      <c r="P2854" s="21">
        <f>Data!J2870</f>
        <v>0</v>
      </c>
      <c r="Q2854">
        <f>Data!K2870</f>
        <v>0</v>
      </c>
      <c r="R2854">
        <f>Data!L2870</f>
        <v>0</v>
      </c>
      <c r="S2854">
        <f>Data!M2870</f>
        <v>0</v>
      </c>
      <c r="T2854">
        <f>Data!N2870</f>
        <v>0</v>
      </c>
      <c r="U2854">
        <f>Data!O2870</f>
        <v>0</v>
      </c>
      <c r="V2854" s="33">
        <f>Data!P2868</f>
        <v>0</v>
      </c>
    </row>
    <row r="2855" spans="7:22" x14ac:dyDescent="0.25">
      <c r="G2855" cm="1">
        <f t="array" aca="1" ref="G2855" ca="1">INDIRECT("Data!A" &amp; 850)</f>
        <v>0</v>
      </c>
      <c r="H2855" s="21">
        <f>Data!B2867</f>
        <v>0</v>
      </c>
      <c r="I2855" s="21">
        <f>Data!C2867</f>
        <v>0</v>
      </c>
      <c r="J2855">
        <f>Data!D2867</f>
        <v>0</v>
      </c>
      <c r="K2855">
        <f>Data!E2867</f>
        <v>0</v>
      </c>
      <c r="L2855">
        <f>Data!F2867</f>
        <v>0</v>
      </c>
      <c r="M2855">
        <f>Data!G2867</f>
        <v>0</v>
      </c>
      <c r="N2855">
        <f>Data!H2867</f>
        <v>0</v>
      </c>
      <c r="O2855">
        <f>Data!I2867</f>
        <v>0</v>
      </c>
      <c r="P2855" s="21">
        <f>Data!J2871</f>
        <v>0</v>
      </c>
      <c r="Q2855">
        <f>Data!K2871</f>
        <v>0</v>
      </c>
      <c r="R2855">
        <f>Data!L2871</f>
        <v>0</v>
      </c>
      <c r="S2855">
        <f>Data!M2871</f>
        <v>0</v>
      </c>
      <c r="T2855">
        <f>Data!N2871</f>
        <v>0</v>
      </c>
      <c r="U2855">
        <f>Data!O2871</f>
        <v>0</v>
      </c>
      <c r="V2855" s="33">
        <f>Data!P2869</f>
        <v>0</v>
      </c>
    </row>
    <row r="2856" spans="7:22" x14ac:dyDescent="0.25">
      <c r="G2856" cm="1">
        <f t="array" aca="1" ref="G2856" ca="1">INDIRECT("Data!A" &amp; 851)</f>
        <v>0</v>
      </c>
      <c r="H2856" s="21">
        <f>Data!B2868</f>
        <v>0</v>
      </c>
      <c r="I2856" s="21">
        <f>Data!C2868</f>
        <v>0</v>
      </c>
      <c r="J2856">
        <f>Data!D2868</f>
        <v>0</v>
      </c>
      <c r="K2856">
        <f>Data!E2868</f>
        <v>0</v>
      </c>
      <c r="L2856">
        <f>Data!F2868</f>
        <v>0</v>
      </c>
      <c r="M2856">
        <f>Data!G2868</f>
        <v>0</v>
      </c>
      <c r="N2856">
        <f>Data!H2868</f>
        <v>0</v>
      </c>
      <c r="O2856">
        <f>Data!I2868</f>
        <v>0</v>
      </c>
      <c r="P2856" s="21">
        <f>Data!J2872</f>
        <v>0</v>
      </c>
      <c r="Q2856">
        <f>Data!K2872</f>
        <v>0</v>
      </c>
      <c r="R2856">
        <f>Data!L2872</f>
        <v>0</v>
      </c>
      <c r="S2856">
        <f>Data!M2872</f>
        <v>0</v>
      </c>
      <c r="T2856">
        <f>Data!N2872</f>
        <v>0</v>
      </c>
      <c r="U2856">
        <f>Data!O2872</f>
        <v>0</v>
      </c>
      <c r="V2856" s="33">
        <f>Data!P2870</f>
        <v>0</v>
      </c>
    </row>
    <row r="2857" spans="7:22" x14ac:dyDescent="0.25">
      <c r="G2857" cm="1">
        <f t="array" aca="1" ref="G2857" ca="1">INDIRECT("Data!A" &amp; 852)</f>
        <v>0</v>
      </c>
      <c r="H2857" s="21">
        <f>Data!B2869</f>
        <v>0</v>
      </c>
      <c r="I2857" s="21">
        <f>Data!C2869</f>
        <v>0</v>
      </c>
      <c r="J2857">
        <f>Data!D2869</f>
        <v>0</v>
      </c>
      <c r="K2857">
        <f>Data!E2869</f>
        <v>0</v>
      </c>
      <c r="L2857">
        <f>Data!F2869</f>
        <v>0</v>
      </c>
      <c r="M2857">
        <f>Data!G2869</f>
        <v>0</v>
      </c>
      <c r="N2857">
        <f>Data!H2869</f>
        <v>0</v>
      </c>
      <c r="O2857">
        <f>Data!I2869</f>
        <v>0</v>
      </c>
      <c r="P2857" s="21">
        <f>Data!J2873</f>
        <v>0</v>
      </c>
      <c r="Q2857">
        <f>Data!K2873</f>
        <v>0</v>
      </c>
      <c r="R2857">
        <f>Data!L2873</f>
        <v>0</v>
      </c>
      <c r="S2857">
        <f>Data!M2873</f>
        <v>0</v>
      </c>
      <c r="T2857">
        <f>Data!N2873</f>
        <v>0</v>
      </c>
      <c r="U2857">
        <f>Data!O2873</f>
        <v>0</v>
      </c>
      <c r="V2857" s="33">
        <f>Data!P2871</f>
        <v>0</v>
      </c>
    </row>
    <row r="2858" spans="7:22" x14ac:dyDescent="0.25">
      <c r="G2858" cm="1">
        <f t="array" aca="1" ref="G2858" ca="1">INDIRECT("Data!A" &amp; 853)</f>
        <v>0</v>
      </c>
      <c r="H2858" s="21">
        <f>Data!B2870</f>
        <v>0</v>
      </c>
      <c r="I2858" s="21">
        <f>Data!C2870</f>
        <v>0</v>
      </c>
      <c r="J2858">
        <f>Data!D2870</f>
        <v>0</v>
      </c>
      <c r="K2858">
        <f>Data!E2870</f>
        <v>0</v>
      </c>
      <c r="L2858">
        <f>Data!F2870</f>
        <v>0</v>
      </c>
      <c r="M2858">
        <f>Data!G2870</f>
        <v>0</v>
      </c>
      <c r="N2858">
        <f>Data!H2870</f>
        <v>0</v>
      </c>
      <c r="O2858">
        <f>Data!I2870</f>
        <v>0</v>
      </c>
      <c r="P2858" s="21">
        <f>Data!J2874</f>
        <v>0</v>
      </c>
      <c r="Q2858">
        <f>Data!K2874</f>
        <v>0</v>
      </c>
      <c r="R2858">
        <f>Data!L2874</f>
        <v>0</v>
      </c>
      <c r="S2858">
        <f>Data!M2874</f>
        <v>0</v>
      </c>
      <c r="T2858">
        <f>Data!N2874</f>
        <v>0</v>
      </c>
      <c r="U2858">
        <f>Data!O2874</f>
        <v>0</v>
      </c>
      <c r="V2858" s="33">
        <f>Data!P2872</f>
        <v>0</v>
      </c>
    </row>
    <row r="2859" spans="7:22" x14ac:dyDescent="0.25">
      <c r="G2859" cm="1">
        <f t="array" aca="1" ref="G2859" ca="1">INDIRECT("Data!A" &amp; 854)</f>
        <v>0</v>
      </c>
      <c r="H2859" s="21">
        <f>Data!B2871</f>
        <v>0</v>
      </c>
      <c r="I2859" s="21">
        <f>Data!C2871</f>
        <v>0</v>
      </c>
      <c r="J2859">
        <f>Data!D2871</f>
        <v>0</v>
      </c>
      <c r="K2859">
        <f>Data!E2871</f>
        <v>0</v>
      </c>
      <c r="L2859">
        <f>Data!F2871</f>
        <v>0</v>
      </c>
      <c r="M2859">
        <f>Data!G2871</f>
        <v>0</v>
      </c>
      <c r="N2859">
        <f>Data!H2871</f>
        <v>0</v>
      </c>
      <c r="O2859">
        <f>Data!I2871</f>
        <v>0</v>
      </c>
      <c r="P2859" s="21">
        <f>Data!J2875</f>
        <v>0</v>
      </c>
      <c r="Q2859">
        <f>Data!K2875</f>
        <v>0</v>
      </c>
      <c r="R2859">
        <f>Data!L2875</f>
        <v>0</v>
      </c>
      <c r="S2859">
        <f>Data!M2875</f>
        <v>0</v>
      </c>
      <c r="T2859">
        <f>Data!N2875</f>
        <v>0</v>
      </c>
      <c r="U2859">
        <f>Data!O2875</f>
        <v>0</v>
      </c>
      <c r="V2859" s="33">
        <f>Data!P2873</f>
        <v>0</v>
      </c>
    </row>
    <row r="2860" spans="7:22" x14ac:dyDescent="0.25">
      <c r="G2860" cm="1">
        <f t="array" aca="1" ref="G2860" ca="1">INDIRECT("Data!A" &amp; 855)</f>
        <v>0</v>
      </c>
      <c r="H2860" s="21">
        <f>Data!B2872</f>
        <v>0</v>
      </c>
      <c r="I2860" s="21">
        <f>Data!C2872</f>
        <v>0</v>
      </c>
      <c r="J2860">
        <f>Data!D2872</f>
        <v>0</v>
      </c>
      <c r="K2860">
        <f>Data!E2872</f>
        <v>0</v>
      </c>
      <c r="L2860">
        <f>Data!F2872</f>
        <v>0</v>
      </c>
      <c r="M2860">
        <f>Data!G2872</f>
        <v>0</v>
      </c>
      <c r="N2860">
        <f>Data!H2872</f>
        <v>0</v>
      </c>
      <c r="O2860">
        <f>Data!I2872</f>
        <v>0</v>
      </c>
      <c r="P2860" s="21">
        <f>Data!J2876</f>
        <v>0</v>
      </c>
      <c r="Q2860">
        <f>Data!K2876</f>
        <v>0</v>
      </c>
      <c r="R2860">
        <f>Data!L2876</f>
        <v>0</v>
      </c>
      <c r="S2860">
        <f>Data!M2876</f>
        <v>0</v>
      </c>
      <c r="T2860">
        <f>Data!N2876</f>
        <v>0</v>
      </c>
      <c r="U2860">
        <f>Data!O2876</f>
        <v>0</v>
      </c>
      <c r="V2860" s="33">
        <f>Data!P2874</f>
        <v>0</v>
      </c>
    </row>
    <row r="2861" spans="7:22" x14ac:dyDescent="0.25">
      <c r="G2861" cm="1">
        <f t="array" aca="1" ref="G2861" ca="1">INDIRECT("Data!A" &amp; 856)</f>
        <v>0</v>
      </c>
      <c r="H2861" s="21">
        <f>Data!B2873</f>
        <v>0</v>
      </c>
      <c r="I2861" s="21">
        <f>Data!C2873</f>
        <v>0</v>
      </c>
      <c r="J2861">
        <f>Data!D2873</f>
        <v>0</v>
      </c>
      <c r="K2861">
        <f>Data!E2873</f>
        <v>0</v>
      </c>
      <c r="L2861">
        <f>Data!F2873</f>
        <v>0</v>
      </c>
      <c r="M2861">
        <f>Data!G2873</f>
        <v>0</v>
      </c>
      <c r="N2861">
        <f>Data!H2873</f>
        <v>0</v>
      </c>
      <c r="O2861">
        <f>Data!I2873</f>
        <v>0</v>
      </c>
      <c r="P2861" s="21">
        <f>Data!J2877</f>
        <v>0</v>
      </c>
      <c r="Q2861">
        <f>Data!K2877</f>
        <v>0</v>
      </c>
      <c r="R2861">
        <f>Data!L2877</f>
        <v>0</v>
      </c>
      <c r="S2861">
        <f>Data!M2877</f>
        <v>0</v>
      </c>
      <c r="T2861">
        <f>Data!N2877</f>
        <v>0</v>
      </c>
      <c r="U2861">
        <f>Data!O2877</f>
        <v>0</v>
      </c>
      <c r="V2861" s="33">
        <f>Data!P2875</f>
        <v>0</v>
      </c>
    </row>
    <row r="2862" spans="7:22" x14ac:dyDescent="0.25">
      <c r="G2862" cm="1">
        <f t="array" aca="1" ref="G2862" ca="1">INDIRECT("Data!A" &amp; 857)</f>
        <v>0</v>
      </c>
      <c r="H2862" s="21">
        <f>Data!B2874</f>
        <v>0</v>
      </c>
      <c r="I2862" s="21">
        <f>Data!C2874</f>
        <v>0</v>
      </c>
      <c r="J2862">
        <f>Data!D2874</f>
        <v>0</v>
      </c>
      <c r="K2862">
        <f>Data!E2874</f>
        <v>0</v>
      </c>
      <c r="L2862">
        <f>Data!F2874</f>
        <v>0</v>
      </c>
      <c r="M2862">
        <f>Data!G2874</f>
        <v>0</v>
      </c>
      <c r="N2862">
        <f>Data!H2874</f>
        <v>0</v>
      </c>
      <c r="O2862">
        <f>Data!I2874</f>
        <v>0</v>
      </c>
      <c r="P2862" s="21">
        <f>Data!J2878</f>
        <v>0</v>
      </c>
      <c r="Q2862">
        <f>Data!K2878</f>
        <v>0</v>
      </c>
      <c r="R2862">
        <f>Data!L2878</f>
        <v>0</v>
      </c>
      <c r="S2862">
        <f>Data!M2878</f>
        <v>0</v>
      </c>
      <c r="T2862">
        <f>Data!N2878</f>
        <v>0</v>
      </c>
      <c r="U2862">
        <f>Data!O2878</f>
        <v>0</v>
      </c>
      <c r="V2862" s="33">
        <f>Data!P2876</f>
        <v>0</v>
      </c>
    </row>
    <row r="2863" spans="7:22" x14ac:dyDescent="0.25">
      <c r="G2863" cm="1">
        <f t="array" aca="1" ref="G2863" ca="1">INDIRECT("Data!A" &amp; 858)</f>
        <v>0</v>
      </c>
      <c r="H2863" s="21">
        <f>Data!B2875</f>
        <v>0</v>
      </c>
      <c r="I2863" s="21">
        <f>Data!C2875</f>
        <v>0</v>
      </c>
      <c r="J2863">
        <f>Data!D2875</f>
        <v>0</v>
      </c>
      <c r="K2863">
        <f>Data!E2875</f>
        <v>0</v>
      </c>
      <c r="L2863">
        <f>Data!F2875</f>
        <v>0</v>
      </c>
      <c r="M2863">
        <f>Data!G2875</f>
        <v>0</v>
      </c>
      <c r="N2863">
        <f>Data!H2875</f>
        <v>0</v>
      </c>
      <c r="O2863">
        <f>Data!I2875</f>
        <v>0</v>
      </c>
      <c r="P2863" s="21">
        <f>Data!J2879</f>
        <v>0</v>
      </c>
      <c r="Q2863">
        <f>Data!K2879</f>
        <v>0</v>
      </c>
      <c r="R2863">
        <f>Data!L2879</f>
        <v>0</v>
      </c>
      <c r="S2863">
        <f>Data!M2879</f>
        <v>0</v>
      </c>
      <c r="T2863">
        <f>Data!N2879</f>
        <v>0</v>
      </c>
      <c r="U2863">
        <f>Data!O2879</f>
        <v>0</v>
      </c>
      <c r="V2863" s="33">
        <f>Data!P2877</f>
        <v>0</v>
      </c>
    </row>
    <row r="2864" spans="7:22" x14ac:dyDescent="0.25">
      <c r="G2864" cm="1">
        <f t="array" aca="1" ref="G2864" ca="1">INDIRECT("Data!A" &amp; 859)</f>
        <v>0</v>
      </c>
      <c r="H2864" s="21">
        <f>Data!B2876</f>
        <v>0</v>
      </c>
      <c r="I2864" s="21">
        <f>Data!C2876</f>
        <v>0</v>
      </c>
      <c r="J2864">
        <f>Data!D2876</f>
        <v>0</v>
      </c>
      <c r="K2864">
        <f>Data!E2876</f>
        <v>0</v>
      </c>
      <c r="L2864">
        <f>Data!F2876</f>
        <v>0</v>
      </c>
      <c r="M2864">
        <f>Data!G2876</f>
        <v>0</v>
      </c>
      <c r="N2864">
        <f>Data!H2876</f>
        <v>0</v>
      </c>
      <c r="O2864">
        <f>Data!I2876</f>
        <v>0</v>
      </c>
      <c r="P2864" s="21">
        <f>Data!J2880</f>
        <v>0</v>
      </c>
      <c r="Q2864">
        <f>Data!K2880</f>
        <v>0</v>
      </c>
      <c r="R2864">
        <f>Data!L2880</f>
        <v>0</v>
      </c>
      <c r="S2864">
        <f>Data!M2880</f>
        <v>0</v>
      </c>
      <c r="T2864">
        <f>Data!N2880</f>
        <v>0</v>
      </c>
      <c r="U2864">
        <f>Data!O2880</f>
        <v>0</v>
      </c>
      <c r="V2864" s="33">
        <f>Data!P2878</f>
        <v>0</v>
      </c>
    </row>
    <row r="2865" spans="7:22" x14ac:dyDescent="0.25">
      <c r="G2865" cm="1">
        <f t="array" aca="1" ref="G2865" ca="1">INDIRECT("Data!A" &amp; 860)</f>
        <v>0</v>
      </c>
      <c r="H2865" s="21">
        <f>Data!B2877</f>
        <v>0</v>
      </c>
      <c r="I2865" s="21">
        <f>Data!C2877</f>
        <v>0</v>
      </c>
      <c r="J2865">
        <f>Data!D2877</f>
        <v>0</v>
      </c>
      <c r="K2865">
        <f>Data!E2877</f>
        <v>0</v>
      </c>
      <c r="L2865">
        <f>Data!F2877</f>
        <v>0</v>
      </c>
      <c r="M2865">
        <f>Data!G2877</f>
        <v>0</v>
      </c>
      <c r="N2865">
        <f>Data!H2877</f>
        <v>0</v>
      </c>
      <c r="O2865">
        <f>Data!I2877</f>
        <v>0</v>
      </c>
      <c r="P2865" s="21">
        <f>Data!J2881</f>
        <v>0</v>
      </c>
      <c r="Q2865">
        <f>Data!K2881</f>
        <v>0</v>
      </c>
      <c r="R2865">
        <f>Data!L2881</f>
        <v>0</v>
      </c>
      <c r="S2865">
        <f>Data!M2881</f>
        <v>0</v>
      </c>
      <c r="T2865">
        <f>Data!N2881</f>
        <v>0</v>
      </c>
      <c r="U2865">
        <f>Data!O2881</f>
        <v>0</v>
      </c>
      <c r="V2865" s="33">
        <f>Data!P2879</f>
        <v>0</v>
      </c>
    </row>
    <row r="2866" spans="7:22" x14ac:dyDescent="0.25">
      <c r="G2866" cm="1">
        <f t="array" aca="1" ref="G2866" ca="1">INDIRECT("Data!A" &amp; 861)</f>
        <v>0</v>
      </c>
      <c r="H2866" s="21">
        <f>Data!B2878</f>
        <v>0</v>
      </c>
      <c r="I2866" s="21">
        <f>Data!C2878</f>
        <v>0</v>
      </c>
      <c r="J2866">
        <f>Data!D2878</f>
        <v>0</v>
      </c>
      <c r="K2866">
        <f>Data!E2878</f>
        <v>0</v>
      </c>
      <c r="L2866">
        <f>Data!F2878</f>
        <v>0</v>
      </c>
      <c r="M2866">
        <f>Data!G2878</f>
        <v>0</v>
      </c>
      <c r="N2866">
        <f>Data!H2878</f>
        <v>0</v>
      </c>
      <c r="O2866">
        <f>Data!I2878</f>
        <v>0</v>
      </c>
      <c r="P2866" s="21">
        <f>Data!J2882</f>
        <v>0</v>
      </c>
      <c r="Q2866">
        <f>Data!K2882</f>
        <v>0</v>
      </c>
      <c r="R2866">
        <f>Data!L2882</f>
        <v>0</v>
      </c>
      <c r="S2866">
        <f>Data!M2882</f>
        <v>0</v>
      </c>
      <c r="T2866">
        <f>Data!N2882</f>
        <v>0</v>
      </c>
      <c r="U2866">
        <f>Data!O2882</f>
        <v>0</v>
      </c>
      <c r="V2866" s="33">
        <f>Data!P2880</f>
        <v>0</v>
      </c>
    </row>
    <row r="2867" spans="7:22" x14ac:dyDescent="0.25">
      <c r="G2867" cm="1">
        <f t="array" aca="1" ref="G2867" ca="1">INDIRECT("Data!A" &amp; 862)</f>
        <v>0</v>
      </c>
      <c r="H2867" s="21">
        <f>Data!B2879</f>
        <v>0</v>
      </c>
      <c r="I2867" s="21">
        <f>Data!C2879</f>
        <v>0</v>
      </c>
      <c r="J2867">
        <f>Data!D2879</f>
        <v>0</v>
      </c>
      <c r="K2867">
        <f>Data!E2879</f>
        <v>0</v>
      </c>
      <c r="L2867">
        <f>Data!F2879</f>
        <v>0</v>
      </c>
      <c r="M2867">
        <f>Data!G2879</f>
        <v>0</v>
      </c>
      <c r="N2867">
        <f>Data!H2879</f>
        <v>0</v>
      </c>
      <c r="O2867">
        <f>Data!I2879</f>
        <v>0</v>
      </c>
      <c r="P2867" s="21">
        <f>Data!J2883</f>
        <v>0</v>
      </c>
      <c r="Q2867">
        <f>Data!K2883</f>
        <v>0</v>
      </c>
      <c r="R2867">
        <f>Data!L2883</f>
        <v>0</v>
      </c>
      <c r="S2867">
        <f>Data!M2883</f>
        <v>0</v>
      </c>
      <c r="T2867">
        <f>Data!N2883</f>
        <v>0</v>
      </c>
      <c r="U2867">
        <f>Data!O2883</f>
        <v>0</v>
      </c>
      <c r="V2867" s="33">
        <f>Data!P2881</f>
        <v>0</v>
      </c>
    </row>
    <row r="2868" spans="7:22" x14ac:dyDescent="0.25">
      <c r="G2868" cm="1">
        <f t="array" aca="1" ref="G2868" ca="1">INDIRECT("Data!A" &amp; 863)</f>
        <v>0</v>
      </c>
      <c r="H2868" s="21">
        <f>Data!B2880</f>
        <v>0</v>
      </c>
      <c r="I2868" s="21">
        <f>Data!C2880</f>
        <v>0</v>
      </c>
      <c r="J2868">
        <f>Data!D2880</f>
        <v>0</v>
      </c>
      <c r="K2868">
        <f>Data!E2880</f>
        <v>0</v>
      </c>
      <c r="L2868">
        <f>Data!F2880</f>
        <v>0</v>
      </c>
      <c r="M2868">
        <f>Data!G2880</f>
        <v>0</v>
      </c>
      <c r="N2868">
        <f>Data!H2880</f>
        <v>0</v>
      </c>
      <c r="O2868">
        <f>Data!I2880</f>
        <v>0</v>
      </c>
      <c r="P2868" s="21">
        <f>Data!J2884</f>
        <v>0</v>
      </c>
      <c r="Q2868">
        <f>Data!K2884</f>
        <v>0</v>
      </c>
      <c r="R2868">
        <f>Data!L2884</f>
        <v>0</v>
      </c>
      <c r="S2868">
        <f>Data!M2884</f>
        <v>0</v>
      </c>
      <c r="T2868">
        <f>Data!N2884</f>
        <v>0</v>
      </c>
      <c r="U2868">
        <f>Data!O2884</f>
        <v>0</v>
      </c>
      <c r="V2868" s="33">
        <f>Data!P2882</f>
        <v>0</v>
      </c>
    </row>
    <row r="2869" spans="7:22" x14ac:dyDescent="0.25">
      <c r="G2869" cm="1">
        <f t="array" aca="1" ref="G2869" ca="1">INDIRECT("Data!A" &amp; 864)</f>
        <v>0</v>
      </c>
      <c r="H2869" s="21">
        <f>Data!B2881</f>
        <v>0</v>
      </c>
      <c r="I2869" s="21">
        <f>Data!C2881</f>
        <v>0</v>
      </c>
      <c r="J2869">
        <f>Data!D2881</f>
        <v>0</v>
      </c>
      <c r="K2869">
        <f>Data!E2881</f>
        <v>0</v>
      </c>
      <c r="L2869">
        <f>Data!F2881</f>
        <v>0</v>
      </c>
      <c r="M2869">
        <f>Data!G2881</f>
        <v>0</v>
      </c>
      <c r="N2869">
        <f>Data!H2881</f>
        <v>0</v>
      </c>
      <c r="O2869">
        <f>Data!I2881</f>
        <v>0</v>
      </c>
      <c r="P2869" s="21">
        <f>Data!J2885</f>
        <v>0</v>
      </c>
      <c r="Q2869">
        <f>Data!K2885</f>
        <v>0</v>
      </c>
      <c r="R2869">
        <f>Data!L2885</f>
        <v>0</v>
      </c>
      <c r="S2869">
        <f>Data!M2885</f>
        <v>0</v>
      </c>
      <c r="T2869">
        <f>Data!N2885</f>
        <v>0</v>
      </c>
      <c r="U2869">
        <f>Data!O2885</f>
        <v>0</v>
      </c>
      <c r="V2869" s="33">
        <f>Data!P2883</f>
        <v>0</v>
      </c>
    </row>
    <row r="2870" spans="7:22" x14ac:dyDescent="0.25">
      <c r="G2870" cm="1">
        <f t="array" aca="1" ref="G2870" ca="1">INDIRECT("Data!A" &amp; 865)</f>
        <v>0</v>
      </c>
      <c r="H2870" s="21">
        <f>Data!B2882</f>
        <v>0</v>
      </c>
      <c r="I2870" s="21">
        <f>Data!C2882</f>
        <v>0</v>
      </c>
      <c r="J2870">
        <f>Data!D2882</f>
        <v>0</v>
      </c>
      <c r="K2870">
        <f>Data!E2882</f>
        <v>0</v>
      </c>
      <c r="L2870">
        <f>Data!F2882</f>
        <v>0</v>
      </c>
      <c r="M2870">
        <f>Data!G2882</f>
        <v>0</v>
      </c>
      <c r="N2870">
        <f>Data!H2882</f>
        <v>0</v>
      </c>
      <c r="O2870">
        <f>Data!I2882</f>
        <v>0</v>
      </c>
      <c r="P2870" s="21">
        <f>Data!J2886</f>
        <v>0</v>
      </c>
      <c r="Q2870">
        <f>Data!K2886</f>
        <v>0</v>
      </c>
      <c r="R2870">
        <f>Data!L2886</f>
        <v>0</v>
      </c>
      <c r="S2870">
        <f>Data!M2886</f>
        <v>0</v>
      </c>
      <c r="T2870">
        <f>Data!N2886</f>
        <v>0</v>
      </c>
      <c r="U2870">
        <f>Data!O2886</f>
        <v>0</v>
      </c>
      <c r="V2870" s="33">
        <f>Data!P2884</f>
        <v>0</v>
      </c>
    </row>
    <row r="2871" spans="7:22" x14ac:dyDescent="0.25">
      <c r="G2871" cm="1">
        <f t="array" aca="1" ref="G2871" ca="1">INDIRECT("Data!A" &amp; 866)</f>
        <v>0</v>
      </c>
      <c r="H2871" s="21">
        <f>Data!B2883</f>
        <v>0</v>
      </c>
      <c r="I2871" s="21">
        <f>Data!C2883</f>
        <v>0</v>
      </c>
      <c r="J2871">
        <f>Data!D2883</f>
        <v>0</v>
      </c>
      <c r="K2871">
        <f>Data!E2883</f>
        <v>0</v>
      </c>
      <c r="L2871">
        <f>Data!F2883</f>
        <v>0</v>
      </c>
      <c r="M2871">
        <f>Data!G2883</f>
        <v>0</v>
      </c>
      <c r="N2871">
        <f>Data!H2883</f>
        <v>0</v>
      </c>
      <c r="O2871">
        <f>Data!I2883</f>
        <v>0</v>
      </c>
      <c r="P2871" s="21">
        <f>Data!J2887</f>
        <v>0</v>
      </c>
      <c r="Q2871">
        <f>Data!K2887</f>
        <v>0</v>
      </c>
      <c r="R2871">
        <f>Data!L2887</f>
        <v>0</v>
      </c>
      <c r="S2871">
        <f>Data!M2887</f>
        <v>0</v>
      </c>
      <c r="T2871">
        <f>Data!N2887</f>
        <v>0</v>
      </c>
      <c r="U2871">
        <f>Data!O2887</f>
        <v>0</v>
      </c>
      <c r="V2871" s="33">
        <f>Data!P2885</f>
        <v>0</v>
      </c>
    </row>
    <row r="2872" spans="7:22" x14ac:dyDescent="0.25">
      <c r="G2872" cm="1">
        <f t="array" aca="1" ref="G2872" ca="1">INDIRECT("Data!A" &amp; 867)</f>
        <v>0</v>
      </c>
      <c r="H2872" s="21">
        <f>Data!B2884</f>
        <v>0</v>
      </c>
      <c r="I2872" s="21">
        <f>Data!C2884</f>
        <v>0</v>
      </c>
      <c r="J2872">
        <f>Data!D2884</f>
        <v>0</v>
      </c>
      <c r="K2872">
        <f>Data!E2884</f>
        <v>0</v>
      </c>
      <c r="L2872">
        <f>Data!F2884</f>
        <v>0</v>
      </c>
      <c r="M2872">
        <f>Data!G2884</f>
        <v>0</v>
      </c>
      <c r="N2872">
        <f>Data!H2884</f>
        <v>0</v>
      </c>
      <c r="O2872">
        <f>Data!I2884</f>
        <v>0</v>
      </c>
      <c r="P2872" s="21">
        <f>Data!J2888</f>
        <v>0</v>
      </c>
      <c r="Q2872">
        <f>Data!K2888</f>
        <v>0</v>
      </c>
      <c r="R2872">
        <f>Data!L2888</f>
        <v>0</v>
      </c>
      <c r="S2872">
        <f>Data!M2888</f>
        <v>0</v>
      </c>
      <c r="T2872">
        <f>Data!N2888</f>
        <v>0</v>
      </c>
      <c r="U2872">
        <f>Data!O2888</f>
        <v>0</v>
      </c>
      <c r="V2872" s="33">
        <f>Data!P2886</f>
        <v>0</v>
      </c>
    </row>
    <row r="2873" spans="7:22" x14ac:dyDescent="0.25">
      <c r="G2873" cm="1">
        <f t="array" aca="1" ref="G2873" ca="1">INDIRECT("Data!A" &amp; 868)</f>
        <v>0</v>
      </c>
      <c r="H2873" s="21">
        <f>Data!B2885</f>
        <v>0</v>
      </c>
      <c r="I2873" s="21">
        <f>Data!C2885</f>
        <v>0</v>
      </c>
      <c r="J2873">
        <f>Data!D2885</f>
        <v>0</v>
      </c>
      <c r="K2873">
        <f>Data!E2885</f>
        <v>0</v>
      </c>
      <c r="L2873">
        <f>Data!F2885</f>
        <v>0</v>
      </c>
      <c r="M2873">
        <f>Data!G2885</f>
        <v>0</v>
      </c>
      <c r="N2873">
        <f>Data!H2885</f>
        <v>0</v>
      </c>
      <c r="O2873">
        <f>Data!I2885</f>
        <v>0</v>
      </c>
      <c r="P2873" s="21">
        <f>Data!J2889</f>
        <v>0</v>
      </c>
      <c r="Q2873">
        <f>Data!K2889</f>
        <v>0</v>
      </c>
      <c r="R2873">
        <f>Data!L2889</f>
        <v>0</v>
      </c>
      <c r="S2873">
        <f>Data!M2889</f>
        <v>0</v>
      </c>
      <c r="T2873">
        <f>Data!N2889</f>
        <v>0</v>
      </c>
      <c r="U2873">
        <f>Data!O2889</f>
        <v>0</v>
      </c>
      <c r="V2873" s="33">
        <f>Data!P2887</f>
        <v>0</v>
      </c>
    </row>
    <row r="2874" spans="7:22" x14ac:dyDescent="0.25">
      <c r="G2874" cm="1">
        <f t="array" aca="1" ref="G2874" ca="1">INDIRECT("Data!A" &amp; 869)</f>
        <v>0</v>
      </c>
      <c r="H2874" s="21">
        <f>Data!B2886</f>
        <v>0</v>
      </c>
      <c r="I2874" s="21">
        <f>Data!C2886</f>
        <v>0</v>
      </c>
      <c r="J2874">
        <f>Data!D2886</f>
        <v>0</v>
      </c>
      <c r="K2874">
        <f>Data!E2886</f>
        <v>0</v>
      </c>
      <c r="L2874">
        <f>Data!F2886</f>
        <v>0</v>
      </c>
      <c r="M2874">
        <f>Data!G2886</f>
        <v>0</v>
      </c>
      <c r="N2874">
        <f>Data!H2886</f>
        <v>0</v>
      </c>
      <c r="O2874">
        <f>Data!I2886</f>
        <v>0</v>
      </c>
      <c r="P2874" s="21">
        <f>Data!J2890</f>
        <v>0</v>
      </c>
      <c r="Q2874">
        <f>Data!K2890</f>
        <v>0</v>
      </c>
      <c r="R2874">
        <f>Data!L2890</f>
        <v>0</v>
      </c>
      <c r="S2874">
        <f>Data!M2890</f>
        <v>0</v>
      </c>
      <c r="T2874">
        <f>Data!N2890</f>
        <v>0</v>
      </c>
      <c r="U2874">
        <f>Data!O2890</f>
        <v>0</v>
      </c>
      <c r="V2874" s="33">
        <f>Data!P2888</f>
        <v>0</v>
      </c>
    </row>
    <row r="2875" spans="7:22" x14ac:dyDescent="0.25">
      <c r="G2875" cm="1">
        <f t="array" aca="1" ref="G2875" ca="1">INDIRECT("Data!A" &amp; 870)</f>
        <v>0</v>
      </c>
      <c r="H2875" s="21">
        <f>Data!B2887</f>
        <v>0</v>
      </c>
      <c r="I2875" s="21">
        <f>Data!C2887</f>
        <v>0</v>
      </c>
      <c r="J2875">
        <f>Data!D2887</f>
        <v>0</v>
      </c>
      <c r="K2875">
        <f>Data!E2887</f>
        <v>0</v>
      </c>
      <c r="L2875">
        <f>Data!F2887</f>
        <v>0</v>
      </c>
      <c r="M2875">
        <f>Data!G2887</f>
        <v>0</v>
      </c>
      <c r="N2875">
        <f>Data!H2887</f>
        <v>0</v>
      </c>
      <c r="O2875">
        <f>Data!I2887</f>
        <v>0</v>
      </c>
      <c r="P2875" s="21">
        <f>Data!J2891</f>
        <v>0</v>
      </c>
      <c r="Q2875">
        <f>Data!K2891</f>
        <v>0</v>
      </c>
      <c r="R2875">
        <f>Data!L2891</f>
        <v>0</v>
      </c>
      <c r="S2875">
        <f>Data!M2891</f>
        <v>0</v>
      </c>
      <c r="T2875">
        <f>Data!N2891</f>
        <v>0</v>
      </c>
      <c r="U2875">
        <f>Data!O2891</f>
        <v>0</v>
      </c>
      <c r="V2875" s="33">
        <f>Data!P2889</f>
        <v>0</v>
      </c>
    </row>
    <row r="2876" spans="7:22" x14ac:dyDescent="0.25">
      <c r="G2876" cm="1">
        <f t="array" aca="1" ref="G2876" ca="1">INDIRECT("Data!A" &amp; 871)</f>
        <v>0</v>
      </c>
      <c r="H2876" s="21">
        <f>Data!B2888</f>
        <v>0</v>
      </c>
      <c r="I2876" s="21">
        <f>Data!C2888</f>
        <v>0</v>
      </c>
      <c r="J2876">
        <f>Data!D2888</f>
        <v>0</v>
      </c>
      <c r="K2876">
        <f>Data!E2888</f>
        <v>0</v>
      </c>
      <c r="L2876">
        <f>Data!F2888</f>
        <v>0</v>
      </c>
      <c r="M2876">
        <f>Data!G2888</f>
        <v>0</v>
      </c>
      <c r="N2876">
        <f>Data!H2888</f>
        <v>0</v>
      </c>
      <c r="O2876">
        <f>Data!I2888</f>
        <v>0</v>
      </c>
      <c r="P2876" s="21">
        <f>Data!J2892</f>
        <v>0</v>
      </c>
      <c r="Q2876">
        <f>Data!K2892</f>
        <v>0</v>
      </c>
      <c r="R2876">
        <f>Data!L2892</f>
        <v>0</v>
      </c>
      <c r="S2876">
        <f>Data!M2892</f>
        <v>0</v>
      </c>
      <c r="T2876">
        <f>Data!N2892</f>
        <v>0</v>
      </c>
      <c r="U2876">
        <f>Data!O2892</f>
        <v>0</v>
      </c>
      <c r="V2876" s="33">
        <f>Data!P2890</f>
        <v>0</v>
      </c>
    </row>
    <row r="2877" spans="7:22" x14ac:dyDescent="0.25">
      <c r="G2877" cm="1">
        <f t="array" aca="1" ref="G2877" ca="1">INDIRECT("Data!A" &amp; 872)</f>
        <v>0</v>
      </c>
      <c r="H2877" s="21">
        <f>Data!B2889</f>
        <v>0</v>
      </c>
      <c r="I2877" s="21">
        <f>Data!C2889</f>
        <v>0</v>
      </c>
      <c r="J2877">
        <f>Data!D2889</f>
        <v>0</v>
      </c>
      <c r="K2877">
        <f>Data!E2889</f>
        <v>0</v>
      </c>
      <c r="L2877">
        <f>Data!F2889</f>
        <v>0</v>
      </c>
      <c r="M2877">
        <f>Data!G2889</f>
        <v>0</v>
      </c>
      <c r="N2877">
        <f>Data!H2889</f>
        <v>0</v>
      </c>
      <c r="O2877">
        <f>Data!I2889</f>
        <v>0</v>
      </c>
      <c r="P2877" s="21">
        <f>Data!J2893</f>
        <v>0</v>
      </c>
      <c r="Q2877">
        <f>Data!K2893</f>
        <v>0</v>
      </c>
      <c r="R2877">
        <f>Data!L2893</f>
        <v>0</v>
      </c>
      <c r="S2877">
        <f>Data!M2893</f>
        <v>0</v>
      </c>
      <c r="T2877">
        <f>Data!N2893</f>
        <v>0</v>
      </c>
      <c r="U2877">
        <f>Data!O2893</f>
        <v>0</v>
      </c>
      <c r="V2877" s="33">
        <f>Data!P2891</f>
        <v>0</v>
      </c>
    </row>
    <row r="2878" spans="7:22" x14ac:dyDescent="0.25">
      <c r="G2878" cm="1">
        <f t="array" aca="1" ref="G2878" ca="1">INDIRECT("Data!A" &amp; 873)</f>
        <v>0</v>
      </c>
      <c r="H2878" s="21">
        <f>Data!B2890</f>
        <v>0</v>
      </c>
      <c r="I2878" s="21">
        <f>Data!C2890</f>
        <v>0</v>
      </c>
      <c r="J2878">
        <f>Data!D2890</f>
        <v>0</v>
      </c>
      <c r="K2878">
        <f>Data!E2890</f>
        <v>0</v>
      </c>
      <c r="L2878">
        <f>Data!F2890</f>
        <v>0</v>
      </c>
      <c r="M2878">
        <f>Data!G2890</f>
        <v>0</v>
      </c>
      <c r="N2878">
        <f>Data!H2890</f>
        <v>0</v>
      </c>
      <c r="O2878">
        <f>Data!I2890</f>
        <v>0</v>
      </c>
      <c r="P2878" s="21">
        <f>Data!J2894</f>
        <v>0</v>
      </c>
      <c r="Q2878">
        <f>Data!K2894</f>
        <v>0</v>
      </c>
      <c r="R2878">
        <f>Data!L2894</f>
        <v>0</v>
      </c>
      <c r="S2878">
        <f>Data!M2894</f>
        <v>0</v>
      </c>
      <c r="T2878">
        <f>Data!N2894</f>
        <v>0</v>
      </c>
      <c r="U2878">
        <f>Data!O2894</f>
        <v>0</v>
      </c>
      <c r="V2878" s="33">
        <f>Data!P2892</f>
        <v>0</v>
      </c>
    </row>
    <row r="2879" spans="7:22" x14ac:dyDescent="0.25">
      <c r="G2879" cm="1">
        <f t="array" aca="1" ref="G2879" ca="1">INDIRECT("Data!A" &amp; 874)</f>
        <v>0</v>
      </c>
      <c r="H2879" s="21">
        <f>Data!B2891</f>
        <v>0</v>
      </c>
      <c r="I2879" s="21">
        <f>Data!C2891</f>
        <v>0</v>
      </c>
      <c r="J2879">
        <f>Data!D2891</f>
        <v>0</v>
      </c>
      <c r="K2879">
        <f>Data!E2891</f>
        <v>0</v>
      </c>
      <c r="L2879">
        <f>Data!F2891</f>
        <v>0</v>
      </c>
      <c r="M2879">
        <f>Data!G2891</f>
        <v>0</v>
      </c>
      <c r="N2879">
        <f>Data!H2891</f>
        <v>0</v>
      </c>
      <c r="O2879">
        <f>Data!I2891</f>
        <v>0</v>
      </c>
      <c r="P2879" s="21">
        <f>Data!J2895</f>
        <v>0</v>
      </c>
      <c r="Q2879">
        <f>Data!K2895</f>
        <v>0</v>
      </c>
      <c r="R2879">
        <f>Data!L2895</f>
        <v>0</v>
      </c>
      <c r="S2879">
        <f>Data!M2895</f>
        <v>0</v>
      </c>
      <c r="T2879">
        <f>Data!N2895</f>
        <v>0</v>
      </c>
      <c r="U2879">
        <f>Data!O2895</f>
        <v>0</v>
      </c>
      <c r="V2879" s="33">
        <f>Data!P2893</f>
        <v>0</v>
      </c>
    </row>
    <row r="2880" spans="7:22" x14ac:dyDescent="0.25">
      <c r="G2880" cm="1">
        <f t="array" aca="1" ref="G2880" ca="1">INDIRECT("Data!A" &amp; 875)</f>
        <v>0</v>
      </c>
      <c r="H2880" s="21">
        <f>Data!B2892</f>
        <v>0</v>
      </c>
      <c r="I2880" s="21">
        <f>Data!C2892</f>
        <v>0</v>
      </c>
      <c r="J2880">
        <f>Data!D2892</f>
        <v>0</v>
      </c>
      <c r="K2880">
        <f>Data!E2892</f>
        <v>0</v>
      </c>
      <c r="L2880">
        <f>Data!F2892</f>
        <v>0</v>
      </c>
      <c r="M2880">
        <f>Data!G2892</f>
        <v>0</v>
      </c>
      <c r="N2880">
        <f>Data!H2892</f>
        <v>0</v>
      </c>
      <c r="O2880">
        <f>Data!I2892</f>
        <v>0</v>
      </c>
      <c r="P2880" s="21">
        <f>Data!J2896</f>
        <v>0</v>
      </c>
      <c r="Q2880">
        <f>Data!K2896</f>
        <v>0</v>
      </c>
      <c r="R2880">
        <f>Data!L2896</f>
        <v>0</v>
      </c>
      <c r="S2880">
        <f>Data!M2896</f>
        <v>0</v>
      </c>
      <c r="T2880">
        <f>Data!N2896</f>
        <v>0</v>
      </c>
      <c r="U2880">
        <f>Data!O2896</f>
        <v>0</v>
      </c>
      <c r="V2880" s="33">
        <f>Data!P2894</f>
        <v>0</v>
      </c>
    </row>
    <row r="2881" spans="7:22" x14ac:dyDescent="0.25">
      <c r="G2881" cm="1">
        <f t="array" aca="1" ref="G2881" ca="1">INDIRECT("Data!A" &amp; 876)</f>
        <v>0</v>
      </c>
      <c r="H2881" s="21">
        <f>Data!B2893</f>
        <v>0</v>
      </c>
      <c r="I2881" s="21">
        <f>Data!C2893</f>
        <v>0</v>
      </c>
      <c r="J2881">
        <f>Data!D2893</f>
        <v>0</v>
      </c>
      <c r="K2881">
        <f>Data!E2893</f>
        <v>0</v>
      </c>
      <c r="L2881">
        <f>Data!F2893</f>
        <v>0</v>
      </c>
      <c r="M2881">
        <f>Data!G2893</f>
        <v>0</v>
      </c>
      <c r="N2881">
        <f>Data!H2893</f>
        <v>0</v>
      </c>
      <c r="O2881">
        <f>Data!I2893</f>
        <v>0</v>
      </c>
      <c r="P2881" s="21">
        <f>Data!J2897</f>
        <v>0</v>
      </c>
      <c r="Q2881">
        <f>Data!K2897</f>
        <v>0</v>
      </c>
      <c r="R2881">
        <f>Data!L2897</f>
        <v>0</v>
      </c>
      <c r="S2881">
        <f>Data!M2897</f>
        <v>0</v>
      </c>
      <c r="T2881">
        <f>Data!N2897</f>
        <v>0</v>
      </c>
      <c r="U2881">
        <f>Data!O2897</f>
        <v>0</v>
      </c>
      <c r="V2881" s="33">
        <f>Data!P2895</f>
        <v>0</v>
      </c>
    </row>
    <row r="2882" spans="7:22" x14ac:dyDescent="0.25">
      <c r="G2882" cm="1">
        <f t="array" aca="1" ref="G2882" ca="1">INDIRECT("Data!A" &amp; 877)</f>
        <v>0</v>
      </c>
      <c r="H2882" s="21">
        <f>Data!B2894</f>
        <v>0</v>
      </c>
      <c r="I2882" s="21">
        <f>Data!C2894</f>
        <v>0</v>
      </c>
      <c r="J2882">
        <f>Data!D2894</f>
        <v>0</v>
      </c>
      <c r="K2882">
        <f>Data!E2894</f>
        <v>0</v>
      </c>
      <c r="L2882">
        <f>Data!F2894</f>
        <v>0</v>
      </c>
      <c r="M2882">
        <f>Data!G2894</f>
        <v>0</v>
      </c>
      <c r="N2882">
        <f>Data!H2894</f>
        <v>0</v>
      </c>
      <c r="O2882">
        <f>Data!I2894</f>
        <v>0</v>
      </c>
      <c r="P2882" s="21">
        <f>Data!J2898</f>
        <v>0</v>
      </c>
      <c r="Q2882">
        <f>Data!K2898</f>
        <v>0</v>
      </c>
      <c r="R2882">
        <f>Data!L2898</f>
        <v>0</v>
      </c>
      <c r="S2882">
        <f>Data!M2898</f>
        <v>0</v>
      </c>
      <c r="T2882">
        <f>Data!N2898</f>
        <v>0</v>
      </c>
      <c r="U2882">
        <f>Data!O2898</f>
        <v>0</v>
      </c>
      <c r="V2882" s="33">
        <f>Data!P2896</f>
        <v>0</v>
      </c>
    </row>
    <row r="2883" spans="7:22" x14ac:dyDescent="0.25">
      <c r="G2883" cm="1">
        <f t="array" aca="1" ref="G2883" ca="1">INDIRECT("Data!A" &amp; 878)</f>
        <v>0</v>
      </c>
      <c r="H2883" s="21">
        <f>Data!B2895</f>
        <v>0</v>
      </c>
      <c r="I2883" s="21">
        <f>Data!C2895</f>
        <v>0</v>
      </c>
      <c r="J2883">
        <f>Data!D2895</f>
        <v>0</v>
      </c>
      <c r="K2883">
        <f>Data!E2895</f>
        <v>0</v>
      </c>
      <c r="L2883">
        <f>Data!F2895</f>
        <v>0</v>
      </c>
      <c r="M2883">
        <f>Data!G2895</f>
        <v>0</v>
      </c>
      <c r="N2883">
        <f>Data!H2895</f>
        <v>0</v>
      </c>
      <c r="O2883">
        <f>Data!I2895</f>
        <v>0</v>
      </c>
      <c r="P2883" s="21">
        <f>Data!J2899</f>
        <v>0</v>
      </c>
      <c r="Q2883">
        <f>Data!K2899</f>
        <v>0</v>
      </c>
      <c r="R2883">
        <f>Data!L2899</f>
        <v>0</v>
      </c>
      <c r="S2883">
        <f>Data!M2899</f>
        <v>0</v>
      </c>
      <c r="T2883">
        <f>Data!N2899</f>
        <v>0</v>
      </c>
      <c r="U2883">
        <f>Data!O2899</f>
        <v>0</v>
      </c>
      <c r="V2883" s="33">
        <f>Data!P2897</f>
        <v>0</v>
      </c>
    </row>
    <row r="2884" spans="7:22" x14ac:dyDescent="0.25">
      <c r="G2884" cm="1">
        <f t="array" aca="1" ref="G2884" ca="1">INDIRECT("Data!A" &amp; 879)</f>
        <v>0</v>
      </c>
      <c r="H2884" s="21">
        <f>Data!B2896</f>
        <v>0</v>
      </c>
      <c r="I2884" s="21">
        <f>Data!C2896</f>
        <v>0</v>
      </c>
      <c r="J2884">
        <f>Data!D2896</f>
        <v>0</v>
      </c>
      <c r="K2884">
        <f>Data!E2896</f>
        <v>0</v>
      </c>
      <c r="L2884">
        <f>Data!F2896</f>
        <v>0</v>
      </c>
      <c r="M2884">
        <f>Data!G2896</f>
        <v>0</v>
      </c>
      <c r="N2884">
        <f>Data!H2896</f>
        <v>0</v>
      </c>
      <c r="O2884">
        <f>Data!I2896</f>
        <v>0</v>
      </c>
      <c r="P2884" s="21">
        <f>Data!J2900</f>
        <v>0</v>
      </c>
      <c r="Q2884">
        <f>Data!K2900</f>
        <v>0</v>
      </c>
      <c r="R2884">
        <f>Data!L2900</f>
        <v>0</v>
      </c>
      <c r="S2884">
        <f>Data!M2900</f>
        <v>0</v>
      </c>
      <c r="T2884">
        <f>Data!N2900</f>
        <v>0</v>
      </c>
      <c r="U2884">
        <f>Data!O2900</f>
        <v>0</v>
      </c>
      <c r="V2884" s="33">
        <f>Data!P2898</f>
        <v>0</v>
      </c>
    </row>
    <row r="2885" spans="7:22" x14ac:dyDescent="0.25">
      <c r="G2885" cm="1">
        <f t="array" aca="1" ref="G2885" ca="1">INDIRECT("Data!A" &amp; 880)</f>
        <v>0</v>
      </c>
      <c r="H2885" s="21">
        <f>Data!B2897</f>
        <v>0</v>
      </c>
      <c r="I2885" s="21">
        <f>Data!C2897</f>
        <v>0</v>
      </c>
      <c r="J2885">
        <f>Data!D2897</f>
        <v>0</v>
      </c>
      <c r="K2885">
        <f>Data!E2897</f>
        <v>0</v>
      </c>
      <c r="L2885">
        <f>Data!F2897</f>
        <v>0</v>
      </c>
      <c r="M2885">
        <f>Data!G2897</f>
        <v>0</v>
      </c>
      <c r="N2885">
        <f>Data!H2897</f>
        <v>0</v>
      </c>
      <c r="O2885">
        <f>Data!I2897</f>
        <v>0</v>
      </c>
      <c r="P2885" s="21">
        <f>Data!J2901</f>
        <v>0</v>
      </c>
      <c r="Q2885">
        <f>Data!K2901</f>
        <v>0</v>
      </c>
      <c r="R2885">
        <f>Data!L2901</f>
        <v>0</v>
      </c>
      <c r="S2885">
        <f>Data!M2901</f>
        <v>0</v>
      </c>
      <c r="T2885">
        <f>Data!N2901</f>
        <v>0</v>
      </c>
      <c r="U2885">
        <f>Data!O2901</f>
        <v>0</v>
      </c>
      <c r="V2885" s="33">
        <f>Data!P2899</f>
        <v>0</v>
      </c>
    </row>
    <row r="2886" spans="7:22" x14ac:dyDescent="0.25">
      <c r="G2886" cm="1">
        <f t="array" aca="1" ref="G2886" ca="1">INDIRECT("Data!A" &amp; 881)</f>
        <v>0</v>
      </c>
      <c r="H2886" s="21">
        <f>Data!B2898</f>
        <v>0</v>
      </c>
      <c r="I2886" s="21">
        <f>Data!C2898</f>
        <v>0</v>
      </c>
      <c r="J2886">
        <f>Data!D2898</f>
        <v>0</v>
      </c>
      <c r="K2886">
        <f>Data!E2898</f>
        <v>0</v>
      </c>
      <c r="L2886">
        <f>Data!F2898</f>
        <v>0</v>
      </c>
      <c r="M2886">
        <f>Data!G2898</f>
        <v>0</v>
      </c>
      <c r="N2886">
        <f>Data!H2898</f>
        <v>0</v>
      </c>
      <c r="O2886">
        <f>Data!I2898</f>
        <v>0</v>
      </c>
      <c r="P2886" s="21">
        <f>Data!J2902</f>
        <v>0</v>
      </c>
      <c r="Q2886">
        <f>Data!K2902</f>
        <v>0</v>
      </c>
      <c r="R2886">
        <f>Data!L2902</f>
        <v>0</v>
      </c>
      <c r="S2886">
        <f>Data!M2902</f>
        <v>0</v>
      </c>
      <c r="T2886">
        <f>Data!N2902</f>
        <v>0</v>
      </c>
      <c r="U2886">
        <f>Data!O2902</f>
        <v>0</v>
      </c>
      <c r="V2886" s="33">
        <f>Data!P2900</f>
        <v>0</v>
      </c>
    </row>
    <row r="2887" spans="7:22" x14ac:dyDescent="0.25">
      <c r="G2887" cm="1">
        <f t="array" aca="1" ref="G2887" ca="1">INDIRECT("Data!A" &amp; 882)</f>
        <v>0</v>
      </c>
      <c r="H2887" s="21">
        <f>Data!B2899</f>
        <v>0</v>
      </c>
      <c r="I2887" s="21">
        <f>Data!C2899</f>
        <v>0</v>
      </c>
      <c r="J2887">
        <f>Data!D2899</f>
        <v>0</v>
      </c>
      <c r="K2887">
        <f>Data!E2899</f>
        <v>0</v>
      </c>
      <c r="L2887">
        <f>Data!F2899</f>
        <v>0</v>
      </c>
      <c r="M2887">
        <f>Data!G2899</f>
        <v>0</v>
      </c>
      <c r="N2887">
        <f>Data!H2899</f>
        <v>0</v>
      </c>
      <c r="O2887">
        <f>Data!I2899</f>
        <v>0</v>
      </c>
      <c r="P2887" s="21">
        <f>Data!J2903</f>
        <v>0</v>
      </c>
      <c r="Q2887">
        <f>Data!K2903</f>
        <v>0</v>
      </c>
      <c r="R2887">
        <f>Data!L2903</f>
        <v>0</v>
      </c>
      <c r="S2887">
        <f>Data!M2903</f>
        <v>0</v>
      </c>
      <c r="T2887">
        <f>Data!N2903</f>
        <v>0</v>
      </c>
      <c r="U2887">
        <f>Data!O2903</f>
        <v>0</v>
      </c>
      <c r="V2887" s="33">
        <f>Data!P2901</f>
        <v>0</v>
      </c>
    </row>
    <row r="2888" spans="7:22" x14ac:dyDescent="0.25">
      <c r="G2888" cm="1">
        <f t="array" aca="1" ref="G2888" ca="1">INDIRECT("Data!A" &amp; 883)</f>
        <v>0</v>
      </c>
      <c r="H2888" s="21">
        <f>Data!B2900</f>
        <v>0</v>
      </c>
      <c r="I2888" s="21">
        <f>Data!C2900</f>
        <v>0</v>
      </c>
      <c r="J2888">
        <f>Data!D2900</f>
        <v>0</v>
      </c>
      <c r="K2888">
        <f>Data!E2900</f>
        <v>0</v>
      </c>
      <c r="L2888">
        <f>Data!F2900</f>
        <v>0</v>
      </c>
      <c r="M2888">
        <f>Data!G2900</f>
        <v>0</v>
      </c>
      <c r="N2888">
        <f>Data!H2900</f>
        <v>0</v>
      </c>
      <c r="O2888">
        <f>Data!I2900</f>
        <v>0</v>
      </c>
      <c r="P2888" s="21">
        <f>Data!J2904</f>
        <v>0</v>
      </c>
      <c r="Q2888">
        <f>Data!K2904</f>
        <v>0</v>
      </c>
      <c r="R2888">
        <f>Data!L2904</f>
        <v>0</v>
      </c>
      <c r="S2888">
        <f>Data!M2904</f>
        <v>0</v>
      </c>
      <c r="T2888">
        <f>Data!N2904</f>
        <v>0</v>
      </c>
      <c r="U2888">
        <f>Data!O2904</f>
        <v>0</v>
      </c>
      <c r="V2888" s="33">
        <f>Data!P2902</f>
        <v>0</v>
      </c>
    </row>
    <row r="2889" spans="7:22" x14ac:dyDescent="0.25">
      <c r="G2889" cm="1">
        <f t="array" aca="1" ref="G2889" ca="1">INDIRECT("Data!A" &amp; 884)</f>
        <v>0</v>
      </c>
      <c r="H2889" s="21">
        <f>Data!B2901</f>
        <v>0</v>
      </c>
      <c r="I2889" s="21">
        <f>Data!C2901</f>
        <v>0</v>
      </c>
      <c r="J2889">
        <f>Data!D2901</f>
        <v>0</v>
      </c>
      <c r="K2889">
        <f>Data!E2901</f>
        <v>0</v>
      </c>
      <c r="L2889">
        <f>Data!F2901</f>
        <v>0</v>
      </c>
      <c r="M2889">
        <f>Data!G2901</f>
        <v>0</v>
      </c>
      <c r="N2889">
        <f>Data!H2901</f>
        <v>0</v>
      </c>
      <c r="O2889">
        <f>Data!I2901</f>
        <v>0</v>
      </c>
      <c r="P2889" s="21">
        <f>Data!J2905</f>
        <v>0</v>
      </c>
      <c r="Q2889">
        <f>Data!K2905</f>
        <v>0</v>
      </c>
      <c r="R2889">
        <f>Data!L2905</f>
        <v>0</v>
      </c>
      <c r="S2889">
        <f>Data!M2905</f>
        <v>0</v>
      </c>
      <c r="T2889">
        <f>Data!N2905</f>
        <v>0</v>
      </c>
      <c r="U2889">
        <f>Data!O2905</f>
        <v>0</v>
      </c>
      <c r="V2889" s="33">
        <f>Data!P2903</f>
        <v>0</v>
      </c>
    </row>
    <row r="2890" spans="7:22" x14ac:dyDescent="0.25">
      <c r="G2890" cm="1">
        <f t="array" aca="1" ref="G2890" ca="1">INDIRECT("Data!A" &amp; 885)</f>
        <v>0</v>
      </c>
      <c r="H2890" s="21">
        <f>Data!B2902</f>
        <v>0</v>
      </c>
      <c r="I2890" s="21">
        <f>Data!C2902</f>
        <v>0</v>
      </c>
      <c r="J2890">
        <f>Data!D2902</f>
        <v>0</v>
      </c>
      <c r="K2890">
        <f>Data!E2902</f>
        <v>0</v>
      </c>
      <c r="L2890">
        <f>Data!F2902</f>
        <v>0</v>
      </c>
      <c r="M2890">
        <f>Data!G2902</f>
        <v>0</v>
      </c>
      <c r="N2890">
        <f>Data!H2902</f>
        <v>0</v>
      </c>
      <c r="O2890">
        <f>Data!I2902</f>
        <v>0</v>
      </c>
      <c r="P2890" s="21">
        <f>Data!J2906</f>
        <v>0</v>
      </c>
      <c r="Q2890">
        <f>Data!K2906</f>
        <v>0</v>
      </c>
      <c r="R2890">
        <f>Data!L2906</f>
        <v>0</v>
      </c>
      <c r="S2890">
        <f>Data!M2906</f>
        <v>0</v>
      </c>
      <c r="T2890">
        <f>Data!N2906</f>
        <v>0</v>
      </c>
      <c r="U2890">
        <f>Data!O2906</f>
        <v>0</v>
      </c>
      <c r="V2890" s="33">
        <f>Data!P2904</f>
        <v>0</v>
      </c>
    </row>
    <row r="2891" spans="7:22" x14ac:dyDescent="0.25">
      <c r="G2891" cm="1">
        <f t="array" aca="1" ref="G2891" ca="1">INDIRECT("Data!A" &amp; 886)</f>
        <v>0</v>
      </c>
      <c r="H2891" s="21">
        <f>Data!B2903</f>
        <v>0</v>
      </c>
      <c r="I2891" s="21">
        <f>Data!C2903</f>
        <v>0</v>
      </c>
      <c r="J2891">
        <f>Data!D2903</f>
        <v>0</v>
      </c>
      <c r="K2891">
        <f>Data!E2903</f>
        <v>0</v>
      </c>
      <c r="L2891">
        <f>Data!F2903</f>
        <v>0</v>
      </c>
      <c r="M2891">
        <f>Data!G2903</f>
        <v>0</v>
      </c>
      <c r="N2891">
        <f>Data!H2903</f>
        <v>0</v>
      </c>
      <c r="O2891">
        <f>Data!I2903</f>
        <v>0</v>
      </c>
      <c r="P2891" s="21">
        <f>Data!J2907</f>
        <v>0</v>
      </c>
      <c r="Q2891">
        <f>Data!K2907</f>
        <v>0</v>
      </c>
      <c r="R2891">
        <f>Data!L2907</f>
        <v>0</v>
      </c>
      <c r="S2891">
        <f>Data!M2907</f>
        <v>0</v>
      </c>
      <c r="T2891">
        <f>Data!N2907</f>
        <v>0</v>
      </c>
      <c r="U2891">
        <f>Data!O2907</f>
        <v>0</v>
      </c>
      <c r="V2891" s="33">
        <f>Data!P2905</f>
        <v>0</v>
      </c>
    </row>
    <row r="2892" spans="7:22" x14ac:dyDescent="0.25">
      <c r="G2892" cm="1">
        <f t="array" aca="1" ref="G2892" ca="1">INDIRECT("Data!A" &amp; 887)</f>
        <v>0</v>
      </c>
      <c r="H2892" s="21">
        <f>Data!B2904</f>
        <v>0</v>
      </c>
      <c r="I2892" s="21">
        <f>Data!C2904</f>
        <v>0</v>
      </c>
      <c r="J2892">
        <f>Data!D2904</f>
        <v>0</v>
      </c>
      <c r="K2892">
        <f>Data!E2904</f>
        <v>0</v>
      </c>
      <c r="L2892">
        <f>Data!F2904</f>
        <v>0</v>
      </c>
      <c r="M2892">
        <f>Data!G2904</f>
        <v>0</v>
      </c>
      <c r="N2892">
        <f>Data!H2904</f>
        <v>0</v>
      </c>
      <c r="O2892">
        <f>Data!I2904</f>
        <v>0</v>
      </c>
      <c r="P2892" s="21">
        <f>Data!J2908</f>
        <v>0</v>
      </c>
      <c r="Q2892">
        <f>Data!K2908</f>
        <v>0</v>
      </c>
      <c r="R2892">
        <f>Data!L2908</f>
        <v>0</v>
      </c>
      <c r="S2892">
        <f>Data!M2908</f>
        <v>0</v>
      </c>
      <c r="T2892">
        <f>Data!N2908</f>
        <v>0</v>
      </c>
      <c r="U2892">
        <f>Data!O2908</f>
        <v>0</v>
      </c>
      <c r="V2892" s="33">
        <f>Data!P2906</f>
        <v>0</v>
      </c>
    </row>
    <row r="2893" spans="7:22" x14ac:dyDescent="0.25">
      <c r="G2893" cm="1">
        <f t="array" aca="1" ref="G2893" ca="1">INDIRECT("Data!A" &amp; 888)</f>
        <v>0</v>
      </c>
      <c r="H2893" s="21">
        <f>Data!B2905</f>
        <v>0</v>
      </c>
      <c r="I2893" s="21">
        <f>Data!C2905</f>
        <v>0</v>
      </c>
      <c r="J2893">
        <f>Data!D2905</f>
        <v>0</v>
      </c>
      <c r="K2893">
        <f>Data!E2905</f>
        <v>0</v>
      </c>
      <c r="L2893">
        <f>Data!F2905</f>
        <v>0</v>
      </c>
      <c r="M2893">
        <f>Data!G2905</f>
        <v>0</v>
      </c>
      <c r="N2893">
        <f>Data!H2905</f>
        <v>0</v>
      </c>
      <c r="O2893">
        <f>Data!I2905</f>
        <v>0</v>
      </c>
      <c r="P2893" s="21">
        <f>Data!J2909</f>
        <v>0</v>
      </c>
      <c r="Q2893">
        <f>Data!K2909</f>
        <v>0</v>
      </c>
      <c r="R2893">
        <f>Data!L2909</f>
        <v>0</v>
      </c>
      <c r="S2893">
        <f>Data!M2909</f>
        <v>0</v>
      </c>
      <c r="T2893">
        <f>Data!N2909</f>
        <v>0</v>
      </c>
      <c r="U2893">
        <f>Data!O2909</f>
        <v>0</v>
      </c>
      <c r="V2893" s="33">
        <f>Data!P2907</f>
        <v>0</v>
      </c>
    </row>
    <row r="2894" spans="7:22" x14ac:dyDescent="0.25">
      <c r="G2894" cm="1">
        <f t="array" aca="1" ref="G2894" ca="1">INDIRECT("Data!A" &amp; 889)</f>
        <v>0</v>
      </c>
      <c r="H2894" s="21">
        <f>Data!B2906</f>
        <v>0</v>
      </c>
      <c r="I2894" s="21">
        <f>Data!C2906</f>
        <v>0</v>
      </c>
      <c r="J2894">
        <f>Data!D2906</f>
        <v>0</v>
      </c>
      <c r="K2894">
        <f>Data!E2906</f>
        <v>0</v>
      </c>
      <c r="L2894">
        <f>Data!F2906</f>
        <v>0</v>
      </c>
      <c r="M2894">
        <f>Data!G2906</f>
        <v>0</v>
      </c>
      <c r="N2894">
        <f>Data!H2906</f>
        <v>0</v>
      </c>
      <c r="O2894">
        <f>Data!I2906</f>
        <v>0</v>
      </c>
      <c r="P2894" s="21">
        <f>Data!J2910</f>
        <v>0</v>
      </c>
      <c r="Q2894">
        <f>Data!K2910</f>
        <v>0</v>
      </c>
      <c r="R2894">
        <f>Data!L2910</f>
        <v>0</v>
      </c>
      <c r="S2894">
        <f>Data!M2910</f>
        <v>0</v>
      </c>
      <c r="T2894">
        <f>Data!N2910</f>
        <v>0</v>
      </c>
      <c r="U2894">
        <f>Data!O2910</f>
        <v>0</v>
      </c>
      <c r="V2894" s="33">
        <f>Data!P2908</f>
        <v>0</v>
      </c>
    </row>
    <row r="2895" spans="7:22" x14ac:dyDescent="0.25">
      <c r="G2895" cm="1">
        <f t="array" aca="1" ref="G2895" ca="1">INDIRECT("Data!A" &amp; 890)</f>
        <v>0</v>
      </c>
      <c r="H2895" s="21">
        <f>Data!B2907</f>
        <v>0</v>
      </c>
      <c r="I2895" s="21">
        <f>Data!C2907</f>
        <v>0</v>
      </c>
      <c r="J2895">
        <f>Data!D2907</f>
        <v>0</v>
      </c>
      <c r="K2895">
        <f>Data!E2907</f>
        <v>0</v>
      </c>
      <c r="L2895">
        <f>Data!F2907</f>
        <v>0</v>
      </c>
      <c r="M2895">
        <f>Data!G2907</f>
        <v>0</v>
      </c>
      <c r="N2895">
        <f>Data!H2907</f>
        <v>0</v>
      </c>
      <c r="O2895">
        <f>Data!I2907</f>
        <v>0</v>
      </c>
      <c r="P2895" s="21">
        <f>Data!J2911</f>
        <v>0</v>
      </c>
      <c r="Q2895">
        <f>Data!K2911</f>
        <v>0</v>
      </c>
      <c r="R2895">
        <f>Data!L2911</f>
        <v>0</v>
      </c>
      <c r="S2895">
        <f>Data!M2911</f>
        <v>0</v>
      </c>
      <c r="T2895">
        <f>Data!N2911</f>
        <v>0</v>
      </c>
      <c r="U2895">
        <f>Data!O2911</f>
        <v>0</v>
      </c>
      <c r="V2895" s="33">
        <f>Data!P2909</f>
        <v>0</v>
      </c>
    </row>
    <row r="2896" spans="7:22" x14ac:dyDescent="0.25">
      <c r="G2896" cm="1">
        <f t="array" aca="1" ref="G2896" ca="1">INDIRECT("Data!A" &amp; 891)</f>
        <v>0</v>
      </c>
      <c r="H2896" s="21">
        <f>Data!B2908</f>
        <v>0</v>
      </c>
      <c r="I2896" s="21">
        <f>Data!C2908</f>
        <v>0</v>
      </c>
      <c r="J2896">
        <f>Data!D2908</f>
        <v>0</v>
      </c>
      <c r="K2896">
        <f>Data!E2908</f>
        <v>0</v>
      </c>
      <c r="L2896">
        <f>Data!F2908</f>
        <v>0</v>
      </c>
      <c r="M2896">
        <f>Data!G2908</f>
        <v>0</v>
      </c>
      <c r="N2896">
        <f>Data!H2908</f>
        <v>0</v>
      </c>
      <c r="O2896">
        <f>Data!I2908</f>
        <v>0</v>
      </c>
      <c r="P2896" s="21">
        <f>Data!J2912</f>
        <v>0</v>
      </c>
      <c r="Q2896">
        <f>Data!K2912</f>
        <v>0</v>
      </c>
      <c r="R2896">
        <f>Data!L2912</f>
        <v>0</v>
      </c>
      <c r="S2896">
        <f>Data!M2912</f>
        <v>0</v>
      </c>
      <c r="T2896">
        <f>Data!N2912</f>
        <v>0</v>
      </c>
      <c r="U2896">
        <f>Data!O2912</f>
        <v>0</v>
      </c>
      <c r="V2896" s="33">
        <f>Data!P2910</f>
        <v>0</v>
      </c>
    </row>
    <row r="2897" spans="7:22" x14ac:dyDescent="0.25">
      <c r="G2897" cm="1">
        <f t="array" aca="1" ref="G2897" ca="1">INDIRECT("Data!A" &amp; 892)</f>
        <v>0</v>
      </c>
      <c r="H2897" s="21">
        <f>Data!B2909</f>
        <v>0</v>
      </c>
      <c r="I2897" s="21">
        <f>Data!C2909</f>
        <v>0</v>
      </c>
      <c r="J2897">
        <f>Data!D2909</f>
        <v>0</v>
      </c>
      <c r="K2897">
        <f>Data!E2909</f>
        <v>0</v>
      </c>
      <c r="L2897">
        <f>Data!F2909</f>
        <v>0</v>
      </c>
      <c r="M2897">
        <f>Data!G2909</f>
        <v>0</v>
      </c>
      <c r="N2897">
        <f>Data!H2909</f>
        <v>0</v>
      </c>
      <c r="O2897">
        <f>Data!I2909</f>
        <v>0</v>
      </c>
      <c r="P2897" s="21">
        <f>Data!J2913</f>
        <v>0</v>
      </c>
      <c r="Q2897">
        <f>Data!K2913</f>
        <v>0</v>
      </c>
      <c r="R2897">
        <f>Data!L2913</f>
        <v>0</v>
      </c>
      <c r="S2897">
        <f>Data!M2913</f>
        <v>0</v>
      </c>
      <c r="T2897">
        <f>Data!N2913</f>
        <v>0</v>
      </c>
      <c r="U2897">
        <f>Data!O2913</f>
        <v>0</v>
      </c>
      <c r="V2897" s="33">
        <f>Data!P2911</f>
        <v>0</v>
      </c>
    </row>
    <row r="2898" spans="7:22" x14ac:dyDescent="0.25">
      <c r="G2898" cm="1">
        <f t="array" aca="1" ref="G2898" ca="1">INDIRECT("Data!A" &amp; 893)</f>
        <v>0</v>
      </c>
      <c r="H2898" s="21">
        <f>Data!B2910</f>
        <v>0</v>
      </c>
      <c r="I2898" s="21">
        <f>Data!C2910</f>
        <v>0</v>
      </c>
      <c r="J2898">
        <f>Data!D2910</f>
        <v>0</v>
      </c>
      <c r="K2898">
        <f>Data!E2910</f>
        <v>0</v>
      </c>
      <c r="L2898">
        <f>Data!F2910</f>
        <v>0</v>
      </c>
      <c r="M2898">
        <f>Data!G2910</f>
        <v>0</v>
      </c>
      <c r="N2898">
        <f>Data!H2910</f>
        <v>0</v>
      </c>
      <c r="O2898">
        <f>Data!I2910</f>
        <v>0</v>
      </c>
      <c r="P2898" s="21">
        <f>Data!J2914</f>
        <v>0</v>
      </c>
      <c r="Q2898">
        <f>Data!K2914</f>
        <v>0</v>
      </c>
      <c r="R2898">
        <f>Data!L2914</f>
        <v>0</v>
      </c>
      <c r="S2898">
        <f>Data!M2914</f>
        <v>0</v>
      </c>
      <c r="T2898">
        <f>Data!N2914</f>
        <v>0</v>
      </c>
      <c r="U2898">
        <f>Data!O2914</f>
        <v>0</v>
      </c>
      <c r="V2898" s="33">
        <f>Data!P2912</f>
        <v>0</v>
      </c>
    </row>
    <row r="2899" spans="7:22" x14ac:dyDescent="0.25">
      <c r="G2899" cm="1">
        <f t="array" aca="1" ref="G2899" ca="1">INDIRECT("Data!A" &amp; 894)</f>
        <v>0</v>
      </c>
      <c r="H2899" s="21">
        <f>Data!B2911</f>
        <v>0</v>
      </c>
      <c r="I2899" s="21">
        <f>Data!C2911</f>
        <v>0</v>
      </c>
      <c r="J2899">
        <f>Data!D2911</f>
        <v>0</v>
      </c>
      <c r="K2899">
        <f>Data!E2911</f>
        <v>0</v>
      </c>
      <c r="L2899">
        <f>Data!F2911</f>
        <v>0</v>
      </c>
      <c r="M2899">
        <f>Data!G2911</f>
        <v>0</v>
      </c>
      <c r="N2899">
        <f>Data!H2911</f>
        <v>0</v>
      </c>
      <c r="O2899">
        <f>Data!I2911</f>
        <v>0</v>
      </c>
      <c r="P2899" s="21">
        <f>Data!J2915</f>
        <v>0</v>
      </c>
      <c r="Q2899">
        <f>Data!K2915</f>
        <v>0</v>
      </c>
      <c r="R2899">
        <f>Data!L2915</f>
        <v>0</v>
      </c>
      <c r="S2899">
        <f>Data!M2915</f>
        <v>0</v>
      </c>
      <c r="T2899">
        <f>Data!N2915</f>
        <v>0</v>
      </c>
      <c r="U2899">
        <f>Data!O2915</f>
        <v>0</v>
      </c>
      <c r="V2899" s="33">
        <f>Data!P2913</f>
        <v>0</v>
      </c>
    </row>
    <row r="2900" spans="7:22" x14ac:dyDescent="0.25">
      <c r="G2900" cm="1">
        <f t="array" aca="1" ref="G2900" ca="1">INDIRECT("Data!A" &amp; 895)</f>
        <v>0</v>
      </c>
      <c r="H2900" s="21">
        <f>Data!B2912</f>
        <v>0</v>
      </c>
      <c r="I2900" s="21">
        <f>Data!C2912</f>
        <v>0</v>
      </c>
      <c r="J2900">
        <f>Data!D2912</f>
        <v>0</v>
      </c>
      <c r="K2900">
        <f>Data!E2912</f>
        <v>0</v>
      </c>
      <c r="L2900">
        <f>Data!F2912</f>
        <v>0</v>
      </c>
      <c r="M2900">
        <f>Data!G2912</f>
        <v>0</v>
      </c>
      <c r="N2900">
        <f>Data!H2912</f>
        <v>0</v>
      </c>
      <c r="O2900">
        <f>Data!I2912</f>
        <v>0</v>
      </c>
      <c r="P2900" s="21">
        <f>Data!J2916</f>
        <v>0</v>
      </c>
      <c r="Q2900">
        <f>Data!K2916</f>
        <v>0</v>
      </c>
      <c r="R2900">
        <f>Data!L2916</f>
        <v>0</v>
      </c>
      <c r="S2900">
        <f>Data!M2916</f>
        <v>0</v>
      </c>
      <c r="T2900">
        <f>Data!N2916</f>
        <v>0</v>
      </c>
      <c r="U2900">
        <f>Data!O2916</f>
        <v>0</v>
      </c>
      <c r="V2900" s="33">
        <f>Data!P2914</f>
        <v>0</v>
      </c>
    </row>
    <row r="2901" spans="7:22" x14ac:dyDescent="0.25">
      <c r="G2901" cm="1">
        <f t="array" aca="1" ref="G2901" ca="1">INDIRECT("Data!A" &amp; 896)</f>
        <v>0</v>
      </c>
      <c r="H2901" s="21">
        <f>Data!B2913</f>
        <v>0</v>
      </c>
      <c r="I2901" s="21">
        <f>Data!C2913</f>
        <v>0</v>
      </c>
      <c r="J2901">
        <f>Data!D2913</f>
        <v>0</v>
      </c>
      <c r="K2901">
        <f>Data!E2913</f>
        <v>0</v>
      </c>
      <c r="L2901">
        <f>Data!F2913</f>
        <v>0</v>
      </c>
      <c r="M2901">
        <f>Data!G2913</f>
        <v>0</v>
      </c>
      <c r="N2901">
        <f>Data!H2913</f>
        <v>0</v>
      </c>
      <c r="O2901">
        <f>Data!I2913</f>
        <v>0</v>
      </c>
      <c r="P2901" s="21">
        <f>Data!J2917</f>
        <v>0</v>
      </c>
      <c r="Q2901">
        <f>Data!K2917</f>
        <v>0</v>
      </c>
      <c r="R2901">
        <f>Data!L2917</f>
        <v>0</v>
      </c>
      <c r="S2901">
        <f>Data!M2917</f>
        <v>0</v>
      </c>
      <c r="T2901">
        <f>Data!N2917</f>
        <v>0</v>
      </c>
      <c r="U2901">
        <f>Data!O2917</f>
        <v>0</v>
      </c>
      <c r="V2901" s="33">
        <f>Data!P2915</f>
        <v>0</v>
      </c>
    </row>
    <row r="2902" spans="7:22" x14ac:dyDescent="0.25">
      <c r="G2902" cm="1">
        <f t="array" aca="1" ref="G2902" ca="1">INDIRECT("Data!A" &amp; 897)</f>
        <v>0</v>
      </c>
      <c r="H2902" s="21">
        <f>Data!B2914</f>
        <v>0</v>
      </c>
      <c r="I2902" s="21">
        <f>Data!C2914</f>
        <v>0</v>
      </c>
      <c r="J2902">
        <f>Data!D2914</f>
        <v>0</v>
      </c>
      <c r="K2902">
        <f>Data!E2914</f>
        <v>0</v>
      </c>
      <c r="L2902">
        <f>Data!F2914</f>
        <v>0</v>
      </c>
      <c r="M2902">
        <f>Data!G2914</f>
        <v>0</v>
      </c>
      <c r="N2902">
        <f>Data!H2914</f>
        <v>0</v>
      </c>
      <c r="O2902">
        <f>Data!I2914</f>
        <v>0</v>
      </c>
      <c r="P2902" s="21">
        <f>Data!J2918</f>
        <v>0</v>
      </c>
      <c r="Q2902">
        <f>Data!K2918</f>
        <v>0</v>
      </c>
      <c r="R2902">
        <f>Data!L2918</f>
        <v>0</v>
      </c>
      <c r="S2902">
        <f>Data!M2918</f>
        <v>0</v>
      </c>
      <c r="T2902">
        <f>Data!N2918</f>
        <v>0</v>
      </c>
      <c r="U2902">
        <f>Data!O2918</f>
        <v>0</v>
      </c>
      <c r="V2902" s="33">
        <f>Data!P2916</f>
        <v>0</v>
      </c>
    </row>
    <row r="2903" spans="7:22" x14ac:dyDescent="0.25">
      <c r="G2903" cm="1">
        <f t="array" aca="1" ref="G2903" ca="1">INDIRECT("Data!A" &amp; 898)</f>
        <v>0</v>
      </c>
      <c r="H2903" s="21">
        <f>Data!B2915</f>
        <v>0</v>
      </c>
      <c r="I2903" s="21">
        <f>Data!C2915</f>
        <v>0</v>
      </c>
      <c r="J2903">
        <f>Data!D2915</f>
        <v>0</v>
      </c>
      <c r="K2903">
        <f>Data!E2915</f>
        <v>0</v>
      </c>
      <c r="L2903">
        <f>Data!F2915</f>
        <v>0</v>
      </c>
      <c r="M2903">
        <f>Data!G2915</f>
        <v>0</v>
      </c>
      <c r="N2903">
        <f>Data!H2915</f>
        <v>0</v>
      </c>
      <c r="O2903">
        <f>Data!I2915</f>
        <v>0</v>
      </c>
      <c r="P2903" s="21">
        <f>Data!J2919</f>
        <v>0</v>
      </c>
      <c r="Q2903">
        <f>Data!K2919</f>
        <v>0</v>
      </c>
      <c r="R2903">
        <f>Data!L2919</f>
        <v>0</v>
      </c>
      <c r="S2903">
        <f>Data!M2919</f>
        <v>0</v>
      </c>
      <c r="T2903">
        <f>Data!N2919</f>
        <v>0</v>
      </c>
      <c r="U2903">
        <f>Data!O2919</f>
        <v>0</v>
      </c>
      <c r="V2903" s="33">
        <f>Data!P2917</f>
        <v>0</v>
      </c>
    </row>
    <row r="2904" spans="7:22" x14ac:dyDescent="0.25">
      <c r="G2904" cm="1">
        <f t="array" aca="1" ref="G2904" ca="1">INDIRECT("Data!A" &amp; 899)</f>
        <v>0</v>
      </c>
      <c r="H2904" s="21">
        <f>Data!B2916</f>
        <v>0</v>
      </c>
      <c r="I2904" s="21">
        <f>Data!C2916</f>
        <v>0</v>
      </c>
      <c r="J2904">
        <f>Data!D2916</f>
        <v>0</v>
      </c>
      <c r="K2904">
        <f>Data!E2916</f>
        <v>0</v>
      </c>
      <c r="L2904">
        <f>Data!F2916</f>
        <v>0</v>
      </c>
      <c r="M2904">
        <f>Data!G2916</f>
        <v>0</v>
      </c>
      <c r="N2904">
        <f>Data!H2916</f>
        <v>0</v>
      </c>
      <c r="O2904">
        <f>Data!I2916</f>
        <v>0</v>
      </c>
      <c r="P2904" s="21">
        <f>Data!J2920</f>
        <v>0</v>
      </c>
      <c r="Q2904">
        <f>Data!K2920</f>
        <v>0</v>
      </c>
      <c r="R2904">
        <f>Data!L2920</f>
        <v>0</v>
      </c>
      <c r="S2904">
        <f>Data!M2920</f>
        <v>0</v>
      </c>
      <c r="T2904">
        <f>Data!N2920</f>
        <v>0</v>
      </c>
      <c r="U2904">
        <f>Data!O2920</f>
        <v>0</v>
      </c>
      <c r="V2904" s="33">
        <f>Data!P2918</f>
        <v>0</v>
      </c>
    </row>
    <row r="2905" spans="7:22" x14ac:dyDescent="0.25">
      <c r="G2905" cm="1">
        <f t="array" aca="1" ref="G2905" ca="1">INDIRECT("Data!A" &amp; 900)</f>
        <v>0</v>
      </c>
      <c r="H2905" s="21">
        <f>Data!B2917</f>
        <v>0</v>
      </c>
      <c r="I2905" s="21">
        <f>Data!C2917</f>
        <v>0</v>
      </c>
      <c r="J2905">
        <f>Data!D2917</f>
        <v>0</v>
      </c>
      <c r="K2905">
        <f>Data!E2917</f>
        <v>0</v>
      </c>
      <c r="L2905">
        <f>Data!F2917</f>
        <v>0</v>
      </c>
      <c r="M2905">
        <f>Data!G2917</f>
        <v>0</v>
      </c>
      <c r="N2905">
        <f>Data!H2917</f>
        <v>0</v>
      </c>
      <c r="O2905">
        <f>Data!I2917</f>
        <v>0</v>
      </c>
      <c r="P2905" s="21">
        <f>Data!J2921</f>
        <v>0</v>
      </c>
      <c r="Q2905">
        <f>Data!K2921</f>
        <v>0</v>
      </c>
      <c r="R2905">
        <f>Data!L2921</f>
        <v>0</v>
      </c>
      <c r="S2905">
        <f>Data!M2921</f>
        <v>0</v>
      </c>
      <c r="T2905">
        <f>Data!N2921</f>
        <v>0</v>
      </c>
      <c r="U2905">
        <f>Data!O2921</f>
        <v>0</v>
      </c>
      <c r="V2905" s="33">
        <f>Data!P2919</f>
        <v>0</v>
      </c>
    </row>
    <row r="2906" spans="7:22" x14ac:dyDescent="0.25">
      <c r="G2906" cm="1">
        <f t="array" aca="1" ref="G2906" ca="1">INDIRECT("Data!A" &amp; 901)</f>
        <v>0</v>
      </c>
      <c r="H2906" s="21">
        <f>Data!B2918</f>
        <v>0</v>
      </c>
      <c r="I2906" s="21">
        <f>Data!C2918</f>
        <v>0</v>
      </c>
      <c r="J2906">
        <f>Data!D2918</f>
        <v>0</v>
      </c>
      <c r="K2906">
        <f>Data!E2918</f>
        <v>0</v>
      </c>
      <c r="L2906">
        <f>Data!F2918</f>
        <v>0</v>
      </c>
      <c r="M2906">
        <f>Data!G2918</f>
        <v>0</v>
      </c>
      <c r="N2906">
        <f>Data!H2918</f>
        <v>0</v>
      </c>
      <c r="O2906">
        <f>Data!I2918</f>
        <v>0</v>
      </c>
      <c r="P2906" s="21">
        <f>Data!J2922</f>
        <v>0</v>
      </c>
      <c r="Q2906">
        <f>Data!K2922</f>
        <v>0</v>
      </c>
      <c r="R2906">
        <f>Data!L2922</f>
        <v>0</v>
      </c>
      <c r="S2906">
        <f>Data!M2922</f>
        <v>0</v>
      </c>
      <c r="T2906">
        <f>Data!N2922</f>
        <v>0</v>
      </c>
      <c r="U2906">
        <f>Data!O2922</f>
        <v>0</v>
      </c>
      <c r="V2906" s="33">
        <f>Data!P2920</f>
        <v>0</v>
      </c>
    </row>
    <row r="2907" spans="7:22" x14ac:dyDescent="0.25">
      <c r="G2907" cm="1">
        <f t="array" aca="1" ref="G2907" ca="1">INDIRECT("Data!A" &amp; 902)</f>
        <v>0</v>
      </c>
      <c r="H2907" s="21">
        <f>Data!B2919</f>
        <v>0</v>
      </c>
      <c r="I2907" s="21">
        <f>Data!C2919</f>
        <v>0</v>
      </c>
      <c r="J2907">
        <f>Data!D2919</f>
        <v>0</v>
      </c>
      <c r="K2907">
        <f>Data!E2919</f>
        <v>0</v>
      </c>
      <c r="L2907">
        <f>Data!F2919</f>
        <v>0</v>
      </c>
      <c r="M2907">
        <f>Data!G2919</f>
        <v>0</v>
      </c>
      <c r="N2907">
        <f>Data!H2919</f>
        <v>0</v>
      </c>
      <c r="O2907">
        <f>Data!I2919</f>
        <v>0</v>
      </c>
      <c r="P2907" s="21">
        <f>Data!J2923</f>
        <v>0</v>
      </c>
      <c r="Q2907">
        <f>Data!K2923</f>
        <v>0</v>
      </c>
      <c r="R2907">
        <f>Data!L2923</f>
        <v>0</v>
      </c>
      <c r="S2907">
        <f>Data!M2923</f>
        <v>0</v>
      </c>
      <c r="T2907">
        <f>Data!N2923</f>
        <v>0</v>
      </c>
      <c r="U2907">
        <f>Data!O2923</f>
        <v>0</v>
      </c>
      <c r="V2907" s="33">
        <f>Data!P2921</f>
        <v>0</v>
      </c>
    </row>
    <row r="2908" spans="7:22" x14ac:dyDescent="0.25">
      <c r="G2908" cm="1">
        <f t="array" aca="1" ref="G2908" ca="1">INDIRECT("Data!A" &amp; 903)</f>
        <v>0</v>
      </c>
      <c r="H2908" s="21">
        <f>Data!B2920</f>
        <v>0</v>
      </c>
      <c r="I2908" s="21">
        <f>Data!C2920</f>
        <v>0</v>
      </c>
      <c r="J2908">
        <f>Data!D2920</f>
        <v>0</v>
      </c>
      <c r="K2908">
        <f>Data!E2920</f>
        <v>0</v>
      </c>
      <c r="L2908">
        <f>Data!F2920</f>
        <v>0</v>
      </c>
      <c r="M2908">
        <f>Data!G2920</f>
        <v>0</v>
      </c>
      <c r="N2908">
        <f>Data!H2920</f>
        <v>0</v>
      </c>
      <c r="O2908">
        <f>Data!I2920</f>
        <v>0</v>
      </c>
      <c r="P2908" s="21">
        <f>Data!J2924</f>
        <v>0</v>
      </c>
      <c r="Q2908">
        <f>Data!K2924</f>
        <v>0</v>
      </c>
      <c r="R2908">
        <f>Data!L2924</f>
        <v>0</v>
      </c>
      <c r="S2908">
        <f>Data!M2924</f>
        <v>0</v>
      </c>
      <c r="T2908">
        <f>Data!N2924</f>
        <v>0</v>
      </c>
      <c r="U2908">
        <f>Data!O2924</f>
        <v>0</v>
      </c>
      <c r="V2908" s="33">
        <f>Data!P2922</f>
        <v>0</v>
      </c>
    </row>
    <row r="2909" spans="7:22" x14ac:dyDescent="0.25">
      <c r="G2909" cm="1">
        <f t="array" aca="1" ref="G2909" ca="1">INDIRECT("Data!A" &amp; 904)</f>
        <v>0</v>
      </c>
      <c r="H2909" s="21">
        <f>Data!B2921</f>
        <v>0</v>
      </c>
      <c r="I2909" s="21">
        <f>Data!C2921</f>
        <v>0</v>
      </c>
      <c r="J2909">
        <f>Data!D2921</f>
        <v>0</v>
      </c>
      <c r="K2909">
        <f>Data!E2921</f>
        <v>0</v>
      </c>
      <c r="L2909">
        <f>Data!F2921</f>
        <v>0</v>
      </c>
      <c r="M2909">
        <f>Data!G2921</f>
        <v>0</v>
      </c>
      <c r="N2909">
        <f>Data!H2921</f>
        <v>0</v>
      </c>
      <c r="O2909">
        <f>Data!I2921</f>
        <v>0</v>
      </c>
      <c r="P2909" s="21">
        <f>Data!J2925</f>
        <v>0</v>
      </c>
      <c r="Q2909">
        <f>Data!K2925</f>
        <v>0</v>
      </c>
      <c r="R2909">
        <f>Data!L2925</f>
        <v>0</v>
      </c>
      <c r="S2909">
        <f>Data!M2925</f>
        <v>0</v>
      </c>
      <c r="T2909">
        <f>Data!N2925</f>
        <v>0</v>
      </c>
      <c r="U2909">
        <f>Data!O2925</f>
        <v>0</v>
      </c>
      <c r="V2909" s="33">
        <f>Data!P2923</f>
        <v>0</v>
      </c>
    </row>
    <row r="2910" spans="7:22" x14ac:dyDescent="0.25">
      <c r="G2910" cm="1">
        <f t="array" aca="1" ref="G2910" ca="1">INDIRECT("Data!A" &amp; 905)</f>
        <v>0</v>
      </c>
      <c r="H2910" s="21">
        <f>Data!B2922</f>
        <v>0</v>
      </c>
      <c r="I2910" s="21">
        <f>Data!C2922</f>
        <v>0</v>
      </c>
      <c r="J2910">
        <f>Data!D2922</f>
        <v>0</v>
      </c>
      <c r="K2910">
        <f>Data!E2922</f>
        <v>0</v>
      </c>
      <c r="L2910">
        <f>Data!F2922</f>
        <v>0</v>
      </c>
      <c r="M2910">
        <f>Data!G2922</f>
        <v>0</v>
      </c>
      <c r="N2910">
        <f>Data!H2922</f>
        <v>0</v>
      </c>
      <c r="O2910">
        <f>Data!I2922</f>
        <v>0</v>
      </c>
      <c r="P2910" s="21">
        <f>Data!J2926</f>
        <v>0</v>
      </c>
      <c r="Q2910">
        <f>Data!K2926</f>
        <v>0</v>
      </c>
      <c r="R2910">
        <f>Data!L2926</f>
        <v>0</v>
      </c>
      <c r="S2910">
        <f>Data!M2926</f>
        <v>0</v>
      </c>
      <c r="T2910">
        <f>Data!N2926</f>
        <v>0</v>
      </c>
      <c r="U2910">
        <f>Data!O2926</f>
        <v>0</v>
      </c>
      <c r="V2910" s="33">
        <f>Data!P2924</f>
        <v>0</v>
      </c>
    </row>
    <row r="2911" spans="7:22" x14ac:dyDescent="0.25">
      <c r="G2911" cm="1">
        <f t="array" aca="1" ref="G2911" ca="1">INDIRECT("Data!A" &amp; 906)</f>
        <v>0</v>
      </c>
      <c r="H2911" s="21">
        <f>Data!B2923</f>
        <v>0</v>
      </c>
      <c r="I2911" s="21">
        <f>Data!C2923</f>
        <v>0</v>
      </c>
      <c r="J2911">
        <f>Data!D2923</f>
        <v>0</v>
      </c>
      <c r="K2911">
        <f>Data!E2923</f>
        <v>0</v>
      </c>
      <c r="L2911">
        <f>Data!F2923</f>
        <v>0</v>
      </c>
      <c r="M2911">
        <f>Data!G2923</f>
        <v>0</v>
      </c>
      <c r="N2911">
        <f>Data!H2923</f>
        <v>0</v>
      </c>
      <c r="O2911">
        <f>Data!I2923</f>
        <v>0</v>
      </c>
      <c r="P2911" s="21">
        <f>Data!J2927</f>
        <v>0</v>
      </c>
      <c r="Q2911">
        <f>Data!K2927</f>
        <v>0</v>
      </c>
      <c r="R2911">
        <f>Data!L2927</f>
        <v>0</v>
      </c>
      <c r="S2911">
        <f>Data!M2927</f>
        <v>0</v>
      </c>
      <c r="T2911">
        <f>Data!N2927</f>
        <v>0</v>
      </c>
      <c r="U2911">
        <f>Data!O2927</f>
        <v>0</v>
      </c>
      <c r="V2911" s="33">
        <f>Data!P2925</f>
        <v>0</v>
      </c>
    </row>
    <row r="2912" spans="7:22" x14ac:dyDescent="0.25">
      <c r="G2912" cm="1">
        <f t="array" aca="1" ref="G2912" ca="1">INDIRECT("Data!A" &amp; 907)</f>
        <v>0</v>
      </c>
      <c r="H2912" s="21">
        <f>Data!B2924</f>
        <v>0</v>
      </c>
      <c r="I2912" s="21">
        <f>Data!C2924</f>
        <v>0</v>
      </c>
      <c r="J2912">
        <f>Data!D2924</f>
        <v>0</v>
      </c>
      <c r="K2912">
        <f>Data!E2924</f>
        <v>0</v>
      </c>
      <c r="L2912">
        <f>Data!F2924</f>
        <v>0</v>
      </c>
      <c r="M2912">
        <f>Data!G2924</f>
        <v>0</v>
      </c>
      <c r="N2912">
        <f>Data!H2924</f>
        <v>0</v>
      </c>
      <c r="O2912">
        <f>Data!I2924</f>
        <v>0</v>
      </c>
      <c r="P2912" s="21">
        <f>Data!J2928</f>
        <v>0</v>
      </c>
      <c r="Q2912">
        <f>Data!K2928</f>
        <v>0</v>
      </c>
      <c r="R2912">
        <f>Data!L2928</f>
        <v>0</v>
      </c>
      <c r="S2912">
        <f>Data!M2928</f>
        <v>0</v>
      </c>
      <c r="T2912">
        <f>Data!N2928</f>
        <v>0</v>
      </c>
      <c r="U2912">
        <f>Data!O2928</f>
        <v>0</v>
      </c>
      <c r="V2912" s="33">
        <f>Data!P2926</f>
        <v>0</v>
      </c>
    </row>
    <row r="2913" spans="7:22" x14ac:dyDescent="0.25">
      <c r="G2913" cm="1">
        <f t="array" aca="1" ref="G2913" ca="1">INDIRECT("Data!A" &amp; 908)</f>
        <v>0</v>
      </c>
      <c r="H2913" s="21">
        <f>Data!B2925</f>
        <v>0</v>
      </c>
      <c r="I2913" s="21">
        <f>Data!C2925</f>
        <v>0</v>
      </c>
      <c r="J2913">
        <f>Data!D2925</f>
        <v>0</v>
      </c>
      <c r="K2913">
        <f>Data!E2925</f>
        <v>0</v>
      </c>
      <c r="L2913">
        <f>Data!F2925</f>
        <v>0</v>
      </c>
      <c r="M2913">
        <f>Data!G2925</f>
        <v>0</v>
      </c>
      <c r="N2913">
        <f>Data!H2925</f>
        <v>0</v>
      </c>
      <c r="O2913">
        <f>Data!I2925</f>
        <v>0</v>
      </c>
      <c r="P2913" s="21">
        <f>Data!J2929</f>
        <v>0</v>
      </c>
      <c r="Q2913">
        <f>Data!K2929</f>
        <v>0</v>
      </c>
      <c r="R2913">
        <f>Data!L2929</f>
        <v>0</v>
      </c>
      <c r="S2913">
        <f>Data!M2929</f>
        <v>0</v>
      </c>
      <c r="T2913">
        <f>Data!N2929</f>
        <v>0</v>
      </c>
      <c r="U2913">
        <f>Data!O2929</f>
        <v>0</v>
      </c>
      <c r="V2913" s="33">
        <f>Data!P2927</f>
        <v>0</v>
      </c>
    </row>
    <row r="2914" spans="7:22" x14ac:dyDescent="0.25">
      <c r="G2914" cm="1">
        <f t="array" aca="1" ref="G2914" ca="1">INDIRECT("Data!A" &amp; 909)</f>
        <v>0</v>
      </c>
      <c r="H2914" s="21">
        <f>Data!B2926</f>
        <v>0</v>
      </c>
      <c r="I2914" s="21">
        <f>Data!C2926</f>
        <v>0</v>
      </c>
      <c r="J2914">
        <f>Data!D2926</f>
        <v>0</v>
      </c>
      <c r="K2914">
        <f>Data!E2926</f>
        <v>0</v>
      </c>
      <c r="L2914">
        <f>Data!F2926</f>
        <v>0</v>
      </c>
      <c r="M2914">
        <f>Data!G2926</f>
        <v>0</v>
      </c>
      <c r="N2914">
        <f>Data!H2926</f>
        <v>0</v>
      </c>
      <c r="O2914">
        <f>Data!I2926</f>
        <v>0</v>
      </c>
      <c r="P2914" s="21">
        <f>Data!J2930</f>
        <v>0</v>
      </c>
      <c r="Q2914">
        <f>Data!K2930</f>
        <v>0</v>
      </c>
      <c r="R2914">
        <f>Data!L2930</f>
        <v>0</v>
      </c>
      <c r="S2914">
        <f>Data!M2930</f>
        <v>0</v>
      </c>
      <c r="T2914">
        <f>Data!N2930</f>
        <v>0</v>
      </c>
      <c r="U2914">
        <f>Data!O2930</f>
        <v>0</v>
      </c>
      <c r="V2914" s="33">
        <f>Data!P2928</f>
        <v>0</v>
      </c>
    </row>
    <row r="2915" spans="7:22" x14ac:dyDescent="0.25">
      <c r="G2915" cm="1">
        <f t="array" aca="1" ref="G2915" ca="1">INDIRECT("Data!A" &amp; 910)</f>
        <v>0</v>
      </c>
      <c r="H2915" s="21">
        <f>Data!B2927</f>
        <v>0</v>
      </c>
      <c r="I2915" s="21">
        <f>Data!C2927</f>
        <v>0</v>
      </c>
      <c r="J2915">
        <f>Data!D2927</f>
        <v>0</v>
      </c>
      <c r="K2915">
        <f>Data!E2927</f>
        <v>0</v>
      </c>
      <c r="L2915">
        <f>Data!F2927</f>
        <v>0</v>
      </c>
      <c r="M2915">
        <f>Data!G2927</f>
        <v>0</v>
      </c>
      <c r="N2915">
        <f>Data!H2927</f>
        <v>0</v>
      </c>
      <c r="O2915">
        <f>Data!I2927</f>
        <v>0</v>
      </c>
      <c r="P2915" s="21">
        <f>Data!J2931</f>
        <v>0</v>
      </c>
      <c r="Q2915">
        <f>Data!K2931</f>
        <v>0</v>
      </c>
      <c r="R2915">
        <f>Data!L2931</f>
        <v>0</v>
      </c>
      <c r="S2915">
        <f>Data!M2931</f>
        <v>0</v>
      </c>
      <c r="T2915">
        <f>Data!N2931</f>
        <v>0</v>
      </c>
      <c r="U2915">
        <f>Data!O2931</f>
        <v>0</v>
      </c>
      <c r="V2915" s="33">
        <f>Data!P2929</f>
        <v>0</v>
      </c>
    </row>
    <row r="2916" spans="7:22" x14ac:dyDescent="0.25">
      <c r="G2916" cm="1">
        <f t="array" aca="1" ref="G2916" ca="1">INDIRECT("Data!A" &amp; 911)</f>
        <v>0</v>
      </c>
      <c r="H2916" s="21">
        <f>Data!B2928</f>
        <v>0</v>
      </c>
      <c r="I2916" s="21">
        <f>Data!C2928</f>
        <v>0</v>
      </c>
      <c r="J2916">
        <f>Data!D2928</f>
        <v>0</v>
      </c>
      <c r="K2916">
        <f>Data!E2928</f>
        <v>0</v>
      </c>
      <c r="L2916">
        <f>Data!F2928</f>
        <v>0</v>
      </c>
      <c r="M2916">
        <f>Data!G2928</f>
        <v>0</v>
      </c>
      <c r="N2916">
        <f>Data!H2928</f>
        <v>0</v>
      </c>
      <c r="O2916">
        <f>Data!I2928</f>
        <v>0</v>
      </c>
      <c r="P2916" s="21">
        <f>Data!J2932</f>
        <v>0</v>
      </c>
      <c r="Q2916">
        <f>Data!K2932</f>
        <v>0</v>
      </c>
      <c r="R2916">
        <f>Data!L2932</f>
        <v>0</v>
      </c>
      <c r="S2916">
        <f>Data!M2932</f>
        <v>0</v>
      </c>
      <c r="T2916">
        <f>Data!N2932</f>
        <v>0</v>
      </c>
      <c r="U2916">
        <f>Data!O2932</f>
        <v>0</v>
      </c>
      <c r="V2916" s="33">
        <f>Data!P2930</f>
        <v>0</v>
      </c>
    </row>
    <row r="2917" spans="7:22" x14ac:dyDescent="0.25">
      <c r="G2917" cm="1">
        <f t="array" aca="1" ref="G2917" ca="1">INDIRECT("Data!A" &amp; 912)</f>
        <v>0</v>
      </c>
      <c r="H2917" s="21">
        <f>Data!B2929</f>
        <v>0</v>
      </c>
      <c r="I2917" s="21">
        <f>Data!C2929</f>
        <v>0</v>
      </c>
      <c r="J2917">
        <f>Data!D2929</f>
        <v>0</v>
      </c>
      <c r="K2917">
        <f>Data!E2929</f>
        <v>0</v>
      </c>
      <c r="L2917">
        <f>Data!F2929</f>
        <v>0</v>
      </c>
      <c r="M2917">
        <f>Data!G2929</f>
        <v>0</v>
      </c>
      <c r="N2917">
        <f>Data!H2929</f>
        <v>0</v>
      </c>
      <c r="O2917">
        <f>Data!I2929</f>
        <v>0</v>
      </c>
      <c r="P2917" s="21">
        <f>Data!J2933</f>
        <v>0</v>
      </c>
      <c r="Q2917">
        <f>Data!K2933</f>
        <v>0</v>
      </c>
      <c r="R2917">
        <f>Data!L2933</f>
        <v>0</v>
      </c>
      <c r="S2917">
        <f>Data!M2933</f>
        <v>0</v>
      </c>
      <c r="T2917">
        <f>Data!N2933</f>
        <v>0</v>
      </c>
      <c r="U2917">
        <f>Data!O2933</f>
        <v>0</v>
      </c>
      <c r="V2917" s="33">
        <f>Data!P2931</f>
        <v>0</v>
      </c>
    </row>
    <row r="2918" spans="7:22" x14ac:dyDescent="0.25">
      <c r="G2918" cm="1">
        <f t="array" aca="1" ref="G2918" ca="1">INDIRECT("Data!A" &amp; 913)</f>
        <v>0</v>
      </c>
      <c r="H2918" s="21">
        <f>Data!B2930</f>
        <v>0</v>
      </c>
      <c r="I2918" s="21">
        <f>Data!C2930</f>
        <v>0</v>
      </c>
      <c r="J2918">
        <f>Data!D2930</f>
        <v>0</v>
      </c>
      <c r="K2918">
        <f>Data!E2930</f>
        <v>0</v>
      </c>
      <c r="L2918">
        <f>Data!F2930</f>
        <v>0</v>
      </c>
      <c r="M2918">
        <f>Data!G2930</f>
        <v>0</v>
      </c>
      <c r="N2918">
        <f>Data!H2930</f>
        <v>0</v>
      </c>
      <c r="O2918">
        <f>Data!I2930</f>
        <v>0</v>
      </c>
      <c r="P2918" s="21">
        <f>Data!J2934</f>
        <v>0</v>
      </c>
      <c r="Q2918">
        <f>Data!K2934</f>
        <v>0</v>
      </c>
      <c r="R2918">
        <f>Data!L2934</f>
        <v>0</v>
      </c>
      <c r="S2918">
        <f>Data!M2934</f>
        <v>0</v>
      </c>
      <c r="T2918">
        <f>Data!N2934</f>
        <v>0</v>
      </c>
      <c r="U2918">
        <f>Data!O2934</f>
        <v>0</v>
      </c>
      <c r="V2918" s="33">
        <f>Data!P2932</f>
        <v>0</v>
      </c>
    </row>
    <row r="2919" spans="7:22" x14ac:dyDescent="0.25">
      <c r="G2919" cm="1">
        <f t="array" aca="1" ref="G2919" ca="1">INDIRECT("Data!A" &amp; 914)</f>
        <v>0</v>
      </c>
      <c r="H2919" s="21">
        <f>Data!B2931</f>
        <v>0</v>
      </c>
      <c r="I2919" s="21">
        <f>Data!C2931</f>
        <v>0</v>
      </c>
      <c r="J2919">
        <f>Data!D2931</f>
        <v>0</v>
      </c>
      <c r="K2919">
        <f>Data!E2931</f>
        <v>0</v>
      </c>
      <c r="L2919">
        <f>Data!F2931</f>
        <v>0</v>
      </c>
      <c r="M2919">
        <f>Data!G2931</f>
        <v>0</v>
      </c>
      <c r="N2919">
        <f>Data!H2931</f>
        <v>0</v>
      </c>
      <c r="O2919">
        <f>Data!I2931</f>
        <v>0</v>
      </c>
      <c r="P2919" s="21">
        <f>Data!J2935</f>
        <v>0</v>
      </c>
      <c r="Q2919">
        <f>Data!K2935</f>
        <v>0</v>
      </c>
      <c r="R2919">
        <f>Data!L2935</f>
        <v>0</v>
      </c>
      <c r="S2919">
        <f>Data!M2935</f>
        <v>0</v>
      </c>
      <c r="T2919">
        <f>Data!N2935</f>
        <v>0</v>
      </c>
      <c r="U2919">
        <f>Data!O2935</f>
        <v>0</v>
      </c>
      <c r="V2919" s="33">
        <f>Data!P2933</f>
        <v>0</v>
      </c>
    </row>
    <row r="2920" spans="7:22" x14ac:dyDescent="0.25">
      <c r="G2920" cm="1">
        <f t="array" aca="1" ref="G2920" ca="1">INDIRECT("Data!A" &amp; 915)</f>
        <v>0</v>
      </c>
      <c r="H2920" s="21">
        <f>Data!B2932</f>
        <v>0</v>
      </c>
      <c r="I2920" s="21">
        <f>Data!C2932</f>
        <v>0</v>
      </c>
      <c r="J2920">
        <f>Data!D2932</f>
        <v>0</v>
      </c>
      <c r="K2920">
        <f>Data!E2932</f>
        <v>0</v>
      </c>
      <c r="L2920">
        <f>Data!F2932</f>
        <v>0</v>
      </c>
      <c r="M2920">
        <f>Data!G2932</f>
        <v>0</v>
      </c>
      <c r="N2920">
        <f>Data!H2932</f>
        <v>0</v>
      </c>
      <c r="O2920">
        <f>Data!I2932</f>
        <v>0</v>
      </c>
      <c r="P2920" s="21">
        <f>Data!J2936</f>
        <v>0</v>
      </c>
      <c r="Q2920">
        <f>Data!K2936</f>
        <v>0</v>
      </c>
      <c r="R2920">
        <f>Data!L2936</f>
        <v>0</v>
      </c>
      <c r="S2920">
        <f>Data!M2936</f>
        <v>0</v>
      </c>
      <c r="T2920">
        <f>Data!N2936</f>
        <v>0</v>
      </c>
      <c r="U2920">
        <f>Data!O2936</f>
        <v>0</v>
      </c>
      <c r="V2920" s="33">
        <f>Data!P2934</f>
        <v>0</v>
      </c>
    </row>
    <row r="2921" spans="7:22" x14ac:dyDescent="0.25">
      <c r="G2921" cm="1">
        <f t="array" aca="1" ref="G2921" ca="1">INDIRECT("Data!A" &amp; 916)</f>
        <v>0</v>
      </c>
      <c r="H2921" s="21">
        <f>Data!B2933</f>
        <v>0</v>
      </c>
      <c r="I2921" s="21">
        <f>Data!C2933</f>
        <v>0</v>
      </c>
      <c r="J2921">
        <f>Data!D2933</f>
        <v>0</v>
      </c>
      <c r="K2921">
        <f>Data!E2933</f>
        <v>0</v>
      </c>
      <c r="L2921">
        <f>Data!F2933</f>
        <v>0</v>
      </c>
      <c r="M2921">
        <f>Data!G2933</f>
        <v>0</v>
      </c>
      <c r="N2921">
        <f>Data!H2933</f>
        <v>0</v>
      </c>
      <c r="O2921">
        <f>Data!I2933</f>
        <v>0</v>
      </c>
      <c r="P2921" s="21">
        <f>Data!J2937</f>
        <v>0</v>
      </c>
      <c r="Q2921">
        <f>Data!K2937</f>
        <v>0</v>
      </c>
      <c r="R2921">
        <f>Data!L2937</f>
        <v>0</v>
      </c>
      <c r="S2921">
        <f>Data!M2937</f>
        <v>0</v>
      </c>
      <c r="T2921">
        <f>Data!N2937</f>
        <v>0</v>
      </c>
      <c r="U2921">
        <f>Data!O2937</f>
        <v>0</v>
      </c>
      <c r="V2921" s="33">
        <f>Data!P2935</f>
        <v>0</v>
      </c>
    </row>
    <row r="2922" spans="7:22" x14ac:dyDescent="0.25">
      <c r="G2922" cm="1">
        <f t="array" aca="1" ref="G2922" ca="1">INDIRECT("Data!A" &amp; 917)</f>
        <v>0</v>
      </c>
      <c r="H2922" s="21">
        <f>Data!B2934</f>
        <v>0</v>
      </c>
      <c r="I2922" s="21">
        <f>Data!C2934</f>
        <v>0</v>
      </c>
      <c r="J2922">
        <f>Data!D2934</f>
        <v>0</v>
      </c>
      <c r="K2922">
        <f>Data!E2934</f>
        <v>0</v>
      </c>
      <c r="L2922">
        <f>Data!F2934</f>
        <v>0</v>
      </c>
      <c r="M2922">
        <f>Data!G2934</f>
        <v>0</v>
      </c>
      <c r="N2922">
        <f>Data!H2934</f>
        <v>0</v>
      </c>
      <c r="O2922">
        <f>Data!I2934</f>
        <v>0</v>
      </c>
      <c r="P2922" s="21">
        <f>Data!J2938</f>
        <v>0</v>
      </c>
      <c r="Q2922">
        <f>Data!K2938</f>
        <v>0</v>
      </c>
      <c r="R2922">
        <f>Data!L2938</f>
        <v>0</v>
      </c>
      <c r="S2922">
        <f>Data!M2938</f>
        <v>0</v>
      </c>
      <c r="T2922">
        <f>Data!N2938</f>
        <v>0</v>
      </c>
      <c r="U2922">
        <f>Data!O2938</f>
        <v>0</v>
      </c>
      <c r="V2922" s="33">
        <f>Data!P2936</f>
        <v>0</v>
      </c>
    </row>
    <row r="2923" spans="7:22" x14ac:dyDescent="0.25">
      <c r="G2923" cm="1">
        <f t="array" aca="1" ref="G2923" ca="1">INDIRECT("Data!A" &amp; 918)</f>
        <v>0</v>
      </c>
      <c r="H2923" s="21">
        <f>Data!B2935</f>
        <v>0</v>
      </c>
      <c r="I2923" s="21">
        <f>Data!C2935</f>
        <v>0</v>
      </c>
      <c r="J2923">
        <f>Data!D2935</f>
        <v>0</v>
      </c>
      <c r="K2923">
        <f>Data!E2935</f>
        <v>0</v>
      </c>
      <c r="L2923">
        <f>Data!F2935</f>
        <v>0</v>
      </c>
      <c r="M2923">
        <f>Data!G2935</f>
        <v>0</v>
      </c>
      <c r="N2923">
        <f>Data!H2935</f>
        <v>0</v>
      </c>
      <c r="O2923">
        <f>Data!I2935</f>
        <v>0</v>
      </c>
      <c r="P2923" s="21">
        <f>Data!J2939</f>
        <v>0</v>
      </c>
      <c r="Q2923">
        <f>Data!K2939</f>
        <v>0</v>
      </c>
      <c r="R2923">
        <f>Data!L2939</f>
        <v>0</v>
      </c>
      <c r="S2923">
        <f>Data!M2939</f>
        <v>0</v>
      </c>
      <c r="T2923">
        <f>Data!N2939</f>
        <v>0</v>
      </c>
      <c r="U2923">
        <f>Data!O2939</f>
        <v>0</v>
      </c>
      <c r="V2923" s="33">
        <f>Data!P2937</f>
        <v>0</v>
      </c>
    </row>
    <row r="2924" spans="7:22" x14ac:dyDescent="0.25">
      <c r="G2924" cm="1">
        <f t="array" aca="1" ref="G2924" ca="1">INDIRECT("Data!A" &amp; 919)</f>
        <v>0</v>
      </c>
      <c r="H2924" s="21">
        <f>Data!B2936</f>
        <v>0</v>
      </c>
      <c r="I2924" s="21">
        <f>Data!C2936</f>
        <v>0</v>
      </c>
      <c r="J2924">
        <f>Data!D2936</f>
        <v>0</v>
      </c>
      <c r="K2924">
        <f>Data!E2936</f>
        <v>0</v>
      </c>
      <c r="L2924">
        <f>Data!F2936</f>
        <v>0</v>
      </c>
      <c r="M2924">
        <f>Data!G2936</f>
        <v>0</v>
      </c>
      <c r="N2924">
        <f>Data!H2936</f>
        <v>0</v>
      </c>
      <c r="O2924">
        <f>Data!I2936</f>
        <v>0</v>
      </c>
      <c r="P2924" s="21">
        <f>Data!J2940</f>
        <v>0</v>
      </c>
      <c r="Q2924">
        <f>Data!K2940</f>
        <v>0</v>
      </c>
      <c r="R2924">
        <f>Data!L2940</f>
        <v>0</v>
      </c>
      <c r="S2924">
        <f>Data!M2940</f>
        <v>0</v>
      </c>
      <c r="T2924">
        <f>Data!N2940</f>
        <v>0</v>
      </c>
      <c r="U2924">
        <f>Data!O2940</f>
        <v>0</v>
      </c>
      <c r="V2924" s="33">
        <f>Data!P2938</f>
        <v>0</v>
      </c>
    </row>
    <row r="2925" spans="7:22" x14ac:dyDescent="0.25">
      <c r="G2925" cm="1">
        <f t="array" aca="1" ref="G2925" ca="1">INDIRECT("Data!A" &amp; 920)</f>
        <v>0</v>
      </c>
      <c r="H2925" s="21">
        <f>Data!B2937</f>
        <v>0</v>
      </c>
      <c r="I2925" s="21">
        <f>Data!C2937</f>
        <v>0</v>
      </c>
      <c r="J2925">
        <f>Data!D2937</f>
        <v>0</v>
      </c>
      <c r="K2925">
        <f>Data!E2937</f>
        <v>0</v>
      </c>
      <c r="L2925">
        <f>Data!F2937</f>
        <v>0</v>
      </c>
      <c r="M2925">
        <f>Data!G2937</f>
        <v>0</v>
      </c>
      <c r="N2925">
        <f>Data!H2937</f>
        <v>0</v>
      </c>
      <c r="O2925">
        <f>Data!I2937</f>
        <v>0</v>
      </c>
      <c r="P2925" s="21">
        <f>Data!J2941</f>
        <v>0</v>
      </c>
      <c r="Q2925">
        <f>Data!K2941</f>
        <v>0</v>
      </c>
      <c r="R2925">
        <f>Data!L2941</f>
        <v>0</v>
      </c>
      <c r="S2925">
        <f>Data!M2941</f>
        <v>0</v>
      </c>
      <c r="T2925">
        <f>Data!N2941</f>
        <v>0</v>
      </c>
      <c r="U2925">
        <f>Data!O2941</f>
        <v>0</v>
      </c>
      <c r="V2925" s="33">
        <f>Data!P2939</f>
        <v>0</v>
      </c>
    </row>
    <row r="2926" spans="7:22" x14ac:dyDescent="0.25">
      <c r="G2926" cm="1">
        <f t="array" aca="1" ref="G2926" ca="1">INDIRECT("Data!A" &amp; 921)</f>
        <v>0</v>
      </c>
      <c r="H2926" s="21">
        <f>Data!B2938</f>
        <v>0</v>
      </c>
      <c r="I2926" s="21">
        <f>Data!C2938</f>
        <v>0</v>
      </c>
      <c r="J2926">
        <f>Data!D2938</f>
        <v>0</v>
      </c>
      <c r="K2926">
        <f>Data!E2938</f>
        <v>0</v>
      </c>
      <c r="L2926">
        <f>Data!F2938</f>
        <v>0</v>
      </c>
      <c r="M2926">
        <f>Data!G2938</f>
        <v>0</v>
      </c>
      <c r="N2926">
        <f>Data!H2938</f>
        <v>0</v>
      </c>
      <c r="O2926">
        <f>Data!I2938</f>
        <v>0</v>
      </c>
      <c r="P2926" s="21">
        <f>Data!J2942</f>
        <v>0</v>
      </c>
      <c r="Q2926">
        <f>Data!K2942</f>
        <v>0</v>
      </c>
      <c r="R2926">
        <f>Data!L2942</f>
        <v>0</v>
      </c>
      <c r="S2926">
        <f>Data!M2942</f>
        <v>0</v>
      </c>
      <c r="T2926">
        <f>Data!N2942</f>
        <v>0</v>
      </c>
      <c r="U2926">
        <f>Data!O2942</f>
        <v>0</v>
      </c>
      <c r="V2926" s="33">
        <f>Data!P2940</f>
        <v>0</v>
      </c>
    </row>
    <row r="2927" spans="7:22" x14ac:dyDescent="0.25">
      <c r="G2927" cm="1">
        <f t="array" aca="1" ref="G2927" ca="1">INDIRECT("Data!A" &amp; 922)</f>
        <v>0</v>
      </c>
      <c r="H2927" s="21">
        <f>Data!B2939</f>
        <v>0</v>
      </c>
      <c r="I2927" s="21">
        <f>Data!C2939</f>
        <v>0</v>
      </c>
      <c r="J2927">
        <f>Data!D2939</f>
        <v>0</v>
      </c>
      <c r="K2927">
        <f>Data!E2939</f>
        <v>0</v>
      </c>
      <c r="L2927">
        <f>Data!F2939</f>
        <v>0</v>
      </c>
      <c r="M2927">
        <f>Data!G2939</f>
        <v>0</v>
      </c>
      <c r="N2927">
        <f>Data!H2939</f>
        <v>0</v>
      </c>
      <c r="O2927">
        <f>Data!I2939</f>
        <v>0</v>
      </c>
      <c r="P2927" s="21">
        <f>Data!J2943</f>
        <v>0</v>
      </c>
      <c r="Q2927">
        <f>Data!K2943</f>
        <v>0</v>
      </c>
      <c r="R2927">
        <f>Data!L2943</f>
        <v>0</v>
      </c>
      <c r="S2927">
        <f>Data!M2943</f>
        <v>0</v>
      </c>
      <c r="T2927">
        <f>Data!N2943</f>
        <v>0</v>
      </c>
      <c r="U2927">
        <f>Data!O2943</f>
        <v>0</v>
      </c>
      <c r="V2927" s="33">
        <f>Data!P2941</f>
        <v>0</v>
      </c>
    </row>
    <row r="2928" spans="7:22" x14ac:dyDescent="0.25">
      <c r="G2928" cm="1">
        <f t="array" aca="1" ref="G2928" ca="1">INDIRECT("Data!A" &amp; 923)</f>
        <v>0</v>
      </c>
      <c r="H2928" s="21">
        <f>Data!B2940</f>
        <v>0</v>
      </c>
      <c r="I2928" s="21">
        <f>Data!C2940</f>
        <v>0</v>
      </c>
      <c r="J2928">
        <f>Data!D2940</f>
        <v>0</v>
      </c>
      <c r="K2928">
        <f>Data!E2940</f>
        <v>0</v>
      </c>
      <c r="L2928">
        <f>Data!F2940</f>
        <v>0</v>
      </c>
      <c r="M2928">
        <f>Data!G2940</f>
        <v>0</v>
      </c>
      <c r="N2928">
        <f>Data!H2940</f>
        <v>0</v>
      </c>
      <c r="O2928">
        <f>Data!I2940</f>
        <v>0</v>
      </c>
      <c r="P2928" s="21">
        <f>Data!J2944</f>
        <v>0</v>
      </c>
      <c r="Q2928">
        <f>Data!K2944</f>
        <v>0</v>
      </c>
      <c r="R2928">
        <f>Data!L2944</f>
        <v>0</v>
      </c>
      <c r="S2928">
        <f>Data!M2944</f>
        <v>0</v>
      </c>
      <c r="T2928">
        <f>Data!N2944</f>
        <v>0</v>
      </c>
      <c r="U2928">
        <f>Data!O2944</f>
        <v>0</v>
      </c>
      <c r="V2928" s="33">
        <f>Data!P2942</f>
        <v>0</v>
      </c>
    </row>
    <row r="2929" spans="7:22" x14ac:dyDescent="0.25">
      <c r="G2929" cm="1">
        <f t="array" aca="1" ref="G2929" ca="1">INDIRECT("Data!A" &amp; 924)</f>
        <v>0</v>
      </c>
      <c r="H2929" s="21">
        <f>Data!B2941</f>
        <v>0</v>
      </c>
      <c r="I2929" s="21">
        <f>Data!C2941</f>
        <v>0</v>
      </c>
      <c r="J2929">
        <f>Data!D2941</f>
        <v>0</v>
      </c>
      <c r="K2929">
        <f>Data!E2941</f>
        <v>0</v>
      </c>
      <c r="L2929">
        <f>Data!F2941</f>
        <v>0</v>
      </c>
      <c r="M2929">
        <f>Data!G2941</f>
        <v>0</v>
      </c>
      <c r="N2929">
        <f>Data!H2941</f>
        <v>0</v>
      </c>
      <c r="O2929">
        <f>Data!I2941</f>
        <v>0</v>
      </c>
      <c r="P2929" s="21">
        <f>Data!J2945</f>
        <v>0</v>
      </c>
      <c r="Q2929">
        <f>Data!K2945</f>
        <v>0</v>
      </c>
      <c r="R2929">
        <f>Data!L2945</f>
        <v>0</v>
      </c>
      <c r="S2929">
        <f>Data!M2945</f>
        <v>0</v>
      </c>
      <c r="T2929">
        <f>Data!N2945</f>
        <v>0</v>
      </c>
      <c r="U2929">
        <f>Data!O2945</f>
        <v>0</v>
      </c>
      <c r="V2929" s="33">
        <f>Data!P2943</f>
        <v>0</v>
      </c>
    </row>
    <row r="2930" spans="7:22" x14ac:dyDescent="0.25">
      <c r="G2930" cm="1">
        <f t="array" aca="1" ref="G2930" ca="1">INDIRECT("Data!A" &amp; 925)</f>
        <v>0</v>
      </c>
      <c r="H2930" s="21">
        <f>Data!B2942</f>
        <v>0</v>
      </c>
      <c r="I2930" s="21">
        <f>Data!C2942</f>
        <v>0</v>
      </c>
      <c r="J2930">
        <f>Data!D2942</f>
        <v>0</v>
      </c>
      <c r="K2930">
        <f>Data!E2942</f>
        <v>0</v>
      </c>
      <c r="L2930">
        <f>Data!F2942</f>
        <v>0</v>
      </c>
      <c r="M2930">
        <f>Data!G2942</f>
        <v>0</v>
      </c>
      <c r="N2930">
        <f>Data!H2942</f>
        <v>0</v>
      </c>
      <c r="O2930">
        <f>Data!I2942</f>
        <v>0</v>
      </c>
      <c r="P2930" s="21">
        <f>Data!J2946</f>
        <v>0</v>
      </c>
      <c r="Q2930">
        <f>Data!K2946</f>
        <v>0</v>
      </c>
      <c r="R2930">
        <f>Data!L2946</f>
        <v>0</v>
      </c>
      <c r="S2930">
        <f>Data!M2946</f>
        <v>0</v>
      </c>
      <c r="T2930">
        <f>Data!N2946</f>
        <v>0</v>
      </c>
      <c r="U2930">
        <f>Data!O2946</f>
        <v>0</v>
      </c>
      <c r="V2930" s="33">
        <f>Data!P2944</f>
        <v>0</v>
      </c>
    </row>
    <row r="2931" spans="7:22" x14ac:dyDescent="0.25">
      <c r="G2931" cm="1">
        <f t="array" aca="1" ref="G2931" ca="1">INDIRECT("Data!A" &amp; 926)</f>
        <v>0</v>
      </c>
      <c r="H2931" s="21">
        <f>Data!B2943</f>
        <v>0</v>
      </c>
      <c r="I2931" s="21">
        <f>Data!C2943</f>
        <v>0</v>
      </c>
      <c r="J2931">
        <f>Data!D2943</f>
        <v>0</v>
      </c>
      <c r="K2931">
        <f>Data!E2943</f>
        <v>0</v>
      </c>
      <c r="L2931">
        <f>Data!F2943</f>
        <v>0</v>
      </c>
      <c r="M2931">
        <f>Data!G2943</f>
        <v>0</v>
      </c>
      <c r="N2931">
        <f>Data!H2943</f>
        <v>0</v>
      </c>
      <c r="O2931">
        <f>Data!I2943</f>
        <v>0</v>
      </c>
      <c r="P2931" s="21">
        <f>Data!J2947</f>
        <v>0</v>
      </c>
      <c r="Q2931">
        <f>Data!K2947</f>
        <v>0</v>
      </c>
      <c r="R2931">
        <f>Data!L2947</f>
        <v>0</v>
      </c>
      <c r="S2931">
        <f>Data!M2947</f>
        <v>0</v>
      </c>
      <c r="T2931">
        <f>Data!N2947</f>
        <v>0</v>
      </c>
      <c r="U2931">
        <f>Data!O2947</f>
        <v>0</v>
      </c>
      <c r="V2931" s="33">
        <f>Data!P2945</f>
        <v>0</v>
      </c>
    </row>
    <row r="2932" spans="7:22" x14ac:dyDescent="0.25">
      <c r="G2932" cm="1">
        <f t="array" aca="1" ref="G2932" ca="1">INDIRECT("Data!A" &amp; 927)</f>
        <v>0</v>
      </c>
      <c r="H2932" s="21">
        <f>Data!B2944</f>
        <v>0</v>
      </c>
      <c r="I2932" s="21">
        <f>Data!C2944</f>
        <v>0</v>
      </c>
      <c r="J2932">
        <f>Data!D2944</f>
        <v>0</v>
      </c>
      <c r="K2932">
        <f>Data!E2944</f>
        <v>0</v>
      </c>
      <c r="L2932">
        <f>Data!F2944</f>
        <v>0</v>
      </c>
      <c r="M2932">
        <f>Data!G2944</f>
        <v>0</v>
      </c>
      <c r="N2932">
        <f>Data!H2944</f>
        <v>0</v>
      </c>
      <c r="O2932">
        <f>Data!I2944</f>
        <v>0</v>
      </c>
      <c r="P2932" s="21">
        <f>Data!J2948</f>
        <v>0</v>
      </c>
      <c r="Q2932">
        <f>Data!K2948</f>
        <v>0</v>
      </c>
      <c r="R2932">
        <f>Data!L2948</f>
        <v>0</v>
      </c>
      <c r="S2932">
        <f>Data!M2948</f>
        <v>0</v>
      </c>
      <c r="T2932">
        <f>Data!N2948</f>
        <v>0</v>
      </c>
      <c r="U2932">
        <f>Data!O2948</f>
        <v>0</v>
      </c>
      <c r="V2932" s="33">
        <f>Data!P2946</f>
        <v>0</v>
      </c>
    </row>
    <row r="2933" spans="7:22" x14ac:dyDescent="0.25">
      <c r="G2933" cm="1">
        <f t="array" aca="1" ref="G2933" ca="1">INDIRECT("Data!A" &amp; 928)</f>
        <v>0</v>
      </c>
      <c r="H2933" s="21">
        <f>Data!B2945</f>
        <v>0</v>
      </c>
      <c r="I2933" s="21">
        <f>Data!C2945</f>
        <v>0</v>
      </c>
      <c r="J2933">
        <f>Data!D2945</f>
        <v>0</v>
      </c>
      <c r="K2933">
        <f>Data!E2945</f>
        <v>0</v>
      </c>
      <c r="L2933">
        <f>Data!F2945</f>
        <v>0</v>
      </c>
      <c r="M2933">
        <f>Data!G2945</f>
        <v>0</v>
      </c>
      <c r="N2933">
        <f>Data!H2945</f>
        <v>0</v>
      </c>
      <c r="O2933">
        <f>Data!I2945</f>
        <v>0</v>
      </c>
      <c r="P2933" s="21">
        <f>Data!J2949</f>
        <v>0</v>
      </c>
      <c r="Q2933">
        <f>Data!K2949</f>
        <v>0</v>
      </c>
      <c r="R2933">
        <f>Data!L2949</f>
        <v>0</v>
      </c>
      <c r="S2933">
        <f>Data!M2949</f>
        <v>0</v>
      </c>
      <c r="T2933">
        <f>Data!N2949</f>
        <v>0</v>
      </c>
      <c r="U2933">
        <f>Data!O2949</f>
        <v>0</v>
      </c>
      <c r="V2933" s="33">
        <f>Data!P2947</f>
        <v>0</v>
      </c>
    </row>
    <row r="2934" spans="7:22" x14ac:dyDescent="0.25">
      <c r="G2934" cm="1">
        <f t="array" aca="1" ref="G2934" ca="1">INDIRECT("Data!A" &amp; 929)</f>
        <v>0</v>
      </c>
      <c r="H2934" s="21">
        <f>Data!B2946</f>
        <v>0</v>
      </c>
      <c r="I2934" s="21">
        <f>Data!C2946</f>
        <v>0</v>
      </c>
      <c r="J2934">
        <f>Data!D2946</f>
        <v>0</v>
      </c>
      <c r="K2934">
        <f>Data!E2946</f>
        <v>0</v>
      </c>
      <c r="L2934">
        <f>Data!F2946</f>
        <v>0</v>
      </c>
      <c r="M2934">
        <f>Data!G2946</f>
        <v>0</v>
      </c>
      <c r="N2934">
        <f>Data!H2946</f>
        <v>0</v>
      </c>
      <c r="O2934">
        <f>Data!I2946</f>
        <v>0</v>
      </c>
      <c r="P2934" s="21">
        <f>Data!J2950</f>
        <v>0</v>
      </c>
      <c r="Q2934">
        <f>Data!K2950</f>
        <v>0</v>
      </c>
      <c r="R2934">
        <f>Data!L2950</f>
        <v>0</v>
      </c>
      <c r="S2934">
        <f>Data!M2950</f>
        <v>0</v>
      </c>
      <c r="T2934">
        <f>Data!N2950</f>
        <v>0</v>
      </c>
      <c r="U2934">
        <f>Data!O2950</f>
        <v>0</v>
      </c>
      <c r="V2934" s="33">
        <f>Data!P2948</f>
        <v>0</v>
      </c>
    </row>
    <row r="2935" spans="7:22" x14ac:dyDescent="0.25">
      <c r="G2935" cm="1">
        <f t="array" aca="1" ref="G2935" ca="1">INDIRECT("Data!A" &amp; 930)</f>
        <v>0</v>
      </c>
      <c r="H2935" s="21">
        <f>Data!B2947</f>
        <v>0</v>
      </c>
      <c r="I2935" s="21">
        <f>Data!C2947</f>
        <v>0</v>
      </c>
      <c r="J2935">
        <f>Data!D2947</f>
        <v>0</v>
      </c>
      <c r="K2935">
        <f>Data!E2947</f>
        <v>0</v>
      </c>
      <c r="L2935">
        <f>Data!F2947</f>
        <v>0</v>
      </c>
      <c r="M2935">
        <f>Data!G2947</f>
        <v>0</v>
      </c>
      <c r="N2935">
        <f>Data!H2947</f>
        <v>0</v>
      </c>
      <c r="O2935">
        <f>Data!I2947</f>
        <v>0</v>
      </c>
      <c r="P2935" s="21">
        <f>Data!J2951</f>
        <v>0</v>
      </c>
      <c r="Q2935">
        <f>Data!K2951</f>
        <v>0</v>
      </c>
      <c r="R2935">
        <f>Data!L2951</f>
        <v>0</v>
      </c>
      <c r="S2935">
        <f>Data!M2951</f>
        <v>0</v>
      </c>
      <c r="T2935">
        <f>Data!N2951</f>
        <v>0</v>
      </c>
      <c r="U2935">
        <f>Data!O2951</f>
        <v>0</v>
      </c>
      <c r="V2935" s="33">
        <f>Data!P2949</f>
        <v>0</v>
      </c>
    </row>
    <row r="2936" spans="7:22" x14ac:dyDescent="0.25">
      <c r="G2936" cm="1">
        <f t="array" aca="1" ref="G2936" ca="1">INDIRECT("Data!A" &amp; 931)</f>
        <v>0</v>
      </c>
      <c r="H2936" s="21">
        <f>Data!B2948</f>
        <v>0</v>
      </c>
      <c r="I2936" s="21">
        <f>Data!C2948</f>
        <v>0</v>
      </c>
      <c r="J2936">
        <f>Data!D2948</f>
        <v>0</v>
      </c>
      <c r="K2936">
        <f>Data!E2948</f>
        <v>0</v>
      </c>
      <c r="L2936">
        <f>Data!F2948</f>
        <v>0</v>
      </c>
      <c r="M2936">
        <f>Data!G2948</f>
        <v>0</v>
      </c>
      <c r="N2936">
        <f>Data!H2948</f>
        <v>0</v>
      </c>
      <c r="O2936">
        <f>Data!I2948</f>
        <v>0</v>
      </c>
      <c r="P2936" s="21">
        <f>Data!J2952</f>
        <v>0</v>
      </c>
      <c r="Q2936">
        <f>Data!K2952</f>
        <v>0</v>
      </c>
      <c r="R2936">
        <f>Data!L2952</f>
        <v>0</v>
      </c>
      <c r="S2936">
        <f>Data!M2952</f>
        <v>0</v>
      </c>
      <c r="T2936">
        <f>Data!N2952</f>
        <v>0</v>
      </c>
      <c r="U2936">
        <f>Data!O2952</f>
        <v>0</v>
      </c>
      <c r="V2936" s="33">
        <f>Data!P2950</f>
        <v>0</v>
      </c>
    </row>
    <row r="2937" spans="7:22" x14ac:dyDescent="0.25">
      <c r="G2937" cm="1">
        <f t="array" aca="1" ref="G2937" ca="1">INDIRECT("Data!A" &amp; 932)</f>
        <v>0</v>
      </c>
      <c r="H2937" s="21">
        <f>Data!B2949</f>
        <v>0</v>
      </c>
      <c r="I2937" s="21">
        <f>Data!C2949</f>
        <v>0</v>
      </c>
      <c r="J2937">
        <f>Data!D2949</f>
        <v>0</v>
      </c>
      <c r="K2937">
        <f>Data!E2949</f>
        <v>0</v>
      </c>
      <c r="L2937">
        <f>Data!F2949</f>
        <v>0</v>
      </c>
      <c r="M2937">
        <f>Data!G2949</f>
        <v>0</v>
      </c>
      <c r="N2937">
        <f>Data!H2949</f>
        <v>0</v>
      </c>
      <c r="O2937">
        <f>Data!I2949</f>
        <v>0</v>
      </c>
      <c r="P2937" s="21">
        <f>Data!J2953</f>
        <v>0</v>
      </c>
      <c r="Q2937">
        <f>Data!K2953</f>
        <v>0</v>
      </c>
      <c r="R2937">
        <f>Data!L2953</f>
        <v>0</v>
      </c>
      <c r="S2937">
        <f>Data!M2953</f>
        <v>0</v>
      </c>
      <c r="T2937">
        <f>Data!N2953</f>
        <v>0</v>
      </c>
      <c r="U2937">
        <f>Data!O2953</f>
        <v>0</v>
      </c>
      <c r="V2937" s="33">
        <f>Data!P2951</f>
        <v>0</v>
      </c>
    </row>
    <row r="2938" spans="7:22" x14ac:dyDescent="0.25">
      <c r="G2938" cm="1">
        <f t="array" aca="1" ref="G2938" ca="1">INDIRECT("Data!A" &amp; 933)</f>
        <v>0</v>
      </c>
      <c r="H2938" s="21">
        <f>Data!B2950</f>
        <v>0</v>
      </c>
      <c r="I2938" s="21">
        <f>Data!C2950</f>
        <v>0</v>
      </c>
      <c r="J2938">
        <f>Data!D2950</f>
        <v>0</v>
      </c>
      <c r="K2938">
        <f>Data!E2950</f>
        <v>0</v>
      </c>
      <c r="L2938">
        <f>Data!F2950</f>
        <v>0</v>
      </c>
      <c r="M2938">
        <f>Data!G2950</f>
        <v>0</v>
      </c>
      <c r="N2938">
        <f>Data!H2950</f>
        <v>0</v>
      </c>
      <c r="O2938">
        <f>Data!I2950</f>
        <v>0</v>
      </c>
      <c r="P2938" s="21">
        <f>Data!J2954</f>
        <v>0</v>
      </c>
      <c r="Q2938">
        <f>Data!K2954</f>
        <v>0</v>
      </c>
      <c r="R2938">
        <f>Data!L2954</f>
        <v>0</v>
      </c>
      <c r="S2938">
        <f>Data!M2954</f>
        <v>0</v>
      </c>
      <c r="T2938">
        <f>Data!N2954</f>
        <v>0</v>
      </c>
      <c r="U2938">
        <f>Data!O2954</f>
        <v>0</v>
      </c>
      <c r="V2938" s="33">
        <f>Data!P2952</f>
        <v>0</v>
      </c>
    </row>
    <row r="2939" spans="7:22" x14ac:dyDescent="0.25">
      <c r="G2939" cm="1">
        <f t="array" aca="1" ref="G2939" ca="1">INDIRECT("Data!A" &amp; 934)</f>
        <v>0</v>
      </c>
      <c r="H2939" s="21">
        <f>Data!B2951</f>
        <v>0</v>
      </c>
      <c r="I2939" s="21">
        <f>Data!C2951</f>
        <v>0</v>
      </c>
      <c r="J2939">
        <f>Data!D2951</f>
        <v>0</v>
      </c>
      <c r="K2939">
        <f>Data!E2951</f>
        <v>0</v>
      </c>
      <c r="L2939">
        <f>Data!F2951</f>
        <v>0</v>
      </c>
      <c r="M2939">
        <f>Data!G2951</f>
        <v>0</v>
      </c>
      <c r="N2939">
        <f>Data!H2951</f>
        <v>0</v>
      </c>
      <c r="O2939">
        <f>Data!I2951</f>
        <v>0</v>
      </c>
      <c r="P2939" s="21">
        <f>Data!J2955</f>
        <v>0</v>
      </c>
      <c r="Q2939">
        <f>Data!K2955</f>
        <v>0</v>
      </c>
      <c r="R2939">
        <f>Data!L2955</f>
        <v>0</v>
      </c>
      <c r="S2939">
        <f>Data!M2955</f>
        <v>0</v>
      </c>
      <c r="T2939">
        <f>Data!N2955</f>
        <v>0</v>
      </c>
      <c r="U2939">
        <f>Data!O2955</f>
        <v>0</v>
      </c>
      <c r="V2939" s="33">
        <f>Data!P2953</f>
        <v>0</v>
      </c>
    </row>
    <row r="2940" spans="7:22" x14ac:dyDescent="0.25">
      <c r="G2940" cm="1">
        <f t="array" aca="1" ref="G2940" ca="1">INDIRECT("Data!A" &amp; 935)</f>
        <v>0</v>
      </c>
      <c r="H2940" s="21">
        <f>Data!B2952</f>
        <v>0</v>
      </c>
      <c r="I2940" s="21">
        <f>Data!C2952</f>
        <v>0</v>
      </c>
      <c r="J2940">
        <f>Data!D2952</f>
        <v>0</v>
      </c>
      <c r="K2940">
        <f>Data!E2952</f>
        <v>0</v>
      </c>
      <c r="L2940">
        <f>Data!F2952</f>
        <v>0</v>
      </c>
      <c r="M2940">
        <f>Data!G2952</f>
        <v>0</v>
      </c>
      <c r="N2940">
        <f>Data!H2952</f>
        <v>0</v>
      </c>
      <c r="O2940">
        <f>Data!I2952</f>
        <v>0</v>
      </c>
      <c r="P2940" s="21">
        <f>Data!J2956</f>
        <v>0</v>
      </c>
      <c r="Q2940">
        <f>Data!K2956</f>
        <v>0</v>
      </c>
      <c r="R2940">
        <f>Data!L2956</f>
        <v>0</v>
      </c>
      <c r="S2940">
        <f>Data!M2956</f>
        <v>0</v>
      </c>
      <c r="T2940">
        <f>Data!N2956</f>
        <v>0</v>
      </c>
      <c r="U2940">
        <f>Data!O2956</f>
        <v>0</v>
      </c>
      <c r="V2940" s="33">
        <f>Data!P2954</f>
        <v>0</v>
      </c>
    </row>
    <row r="2941" spans="7:22" x14ac:dyDescent="0.25">
      <c r="G2941" cm="1">
        <f t="array" aca="1" ref="G2941" ca="1">INDIRECT("Data!A" &amp; 936)</f>
        <v>0</v>
      </c>
      <c r="H2941" s="21">
        <f>Data!B2953</f>
        <v>0</v>
      </c>
      <c r="I2941" s="21">
        <f>Data!C2953</f>
        <v>0</v>
      </c>
      <c r="J2941">
        <f>Data!D2953</f>
        <v>0</v>
      </c>
      <c r="K2941">
        <f>Data!E2953</f>
        <v>0</v>
      </c>
      <c r="L2941">
        <f>Data!F2953</f>
        <v>0</v>
      </c>
      <c r="M2941">
        <f>Data!G2953</f>
        <v>0</v>
      </c>
      <c r="N2941">
        <f>Data!H2953</f>
        <v>0</v>
      </c>
      <c r="O2941">
        <f>Data!I2953</f>
        <v>0</v>
      </c>
      <c r="P2941" s="21">
        <f>Data!J2957</f>
        <v>0</v>
      </c>
      <c r="Q2941">
        <f>Data!K2957</f>
        <v>0</v>
      </c>
      <c r="R2941">
        <f>Data!L2957</f>
        <v>0</v>
      </c>
      <c r="S2941">
        <f>Data!M2957</f>
        <v>0</v>
      </c>
      <c r="T2941">
        <f>Data!N2957</f>
        <v>0</v>
      </c>
      <c r="U2941">
        <f>Data!O2957</f>
        <v>0</v>
      </c>
      <c r="V2941" s="33">
        <f>Data!P2955</f>
        <v>0</v>
      </c>
    </row>
    <row r="2942" spans="7:22" x14ac:dyDescent="0.25">
      <c r="G2942" cm="1">
        <f t="array" aca="1" ref="G2942" ca="1">INDIRECT("Data!A" &amp; 937)</f>
        <v>0</v>
      </c>
      <c r="H2942" s="21">
        <f>Data!B2954</f>
        <v>0</v>
      </c>
      <c r="I2942" s="21">
        <f>Data!C2954</f>
        <v>0</v>
      </c>
      <c r="J2942">
        <f>Data!D2954</f>
        <v>0</v>
      </c>
      <c r="K2942">
        <f>Data!E2954</f>
        <v>0</v>
      </c>
      <c r="L2942">
        <f>Data!F2954</f>
        <v>0</v>
      </c>
      <c r="M2942">
        <f>Data!G2954</f>
        <v>0</v>
      </c>
      <c r="N2942">
        <f>Data!H2954</f>
        <v>0</v>
      </c>
      <c r="O2942">
        <f>Data!I2954</f>
        <v>0</v>
      </c>
      <c r="P2942" s="21">
        <f>Data!J2958</f>
        <v>0</v>
      </c>
      <c r="Q2942">
        <f>Data!K2958</f>
        <v>0</v>
      </c>
      <c r="R2942">
        <f>Data!L2958</f>
        <v>0</v>
      </c>
      <c r="S2942">
        <f>Data!M2958</f>
        <v>0</v>
      </c>
      <c r="T2942">
        <f>Data!N2958</f>
        <v>0</v>
      </c>
      <c r="U2942">
        <f>Data!O2958</f>
        <v>0</v>
      </c>
      <c r="V2942" s="33">
        <f>Data!P2956</f>
        <v>0</v>
      </c>
    </row>
    <row r="2943" spans="7:22" x14ac:dyDescent="0.25">
      <c r="G2943" cm="1">
        <f t="array" aca="1" ref="G2943" ca="1">INDIRECT("Data!A" &amp; 938)</f>
        <v>0</v>
      </c>
      <c r="H2943" s="21">
        <f>Data!B2955</f>
        <v>0</v>
      </c>
      <c r="I2943" s="21">
        <f>Data!C2955</f>
        <v>0</v>
      </c>
      <c r="J2943">
        <f>Data!D2955</f>
        <v>0</v>
      </c>
      <c r="K2943">
        <f>Data!E2955</f>
        <v>0</v>
      </c>
      <c r="L2943">
        <f>Data!F2955</f>
        <v>0</v>
      </c>
      <c r="M2943">
        <f>Data!G2955</f>
        <v>0</v>
      </c>
      <c r="N2943">
        <f>Data!H2955</f>
        <v>0</v>
      </c>
      <c r="O2943">
        <f>Data!I2955</f>
        <v>0</v>
      </c>
      <c r="P2943" s="21">
        <f>Data!J2959</f>
        <v>0</v>
      </c>
      <c r="Q2943">
        <f>Data!K2959</f>
        <v>0</v>
      </c>
      <c r="R2943">
        <f>Data!L2959</f>
        <v>0</v>
      </c>
      <c r="S2943">
        <f>Data!M2959</f>
        <v>0</v>
      </c>
      <c r="T2943">
        <f>Data!N2959</f>
        <v>0</v>
      </c>
      <c r="U2943">
        <f>Data!O2959</f>
        <v>0</v>
      </c>
      <c r="V2943" s="33">
        <f>Data!P2957</f>
        <v>0</v>
      </c>
    </row>
    <row r="2944" spans="7:22" x14ac:dyDescent="0.25">
      <c r="G2944" cm="1">
        <f t="array" aca="1" ref="G2944" ca="1">INDIRECT("Data!A" &amp; 939)</f>
        <v>0</v>
      </c>
      <c r="H2944" s="21">
        <f>Data!B2956</f>
        <v>0</v>
      </c>
      <c r="I2944" s="21">
        <f>Data!C2956</f>
        <v>0</v>
      </c>
      <c r="J2944">
        <f>Data!D2956</f>
        <v>0</v>
      </c>
      <c r="K2944">
        <f>Data!E2956</f>
        <v>0</v>
      </c>
      <c r="L2944">
        <f>Data!F2956</f>
        <v>0</v>
      </c>
      <c r="M2944">
        <f>Data!G2956</f>
        <v>0</v>
      </c>
      <c r="N2944">
        <f>Data!H2956</f>
        <v>0</v>
      </c>
      <c r="O2944">
        <f>Data!I2956</f>
        <v>0</v>
      </c>
      <c r="P2944" s="21">
        <f>Data!J2960</f>
        <v>0</v>
      </c>
      <c r="Q2944">
        <f>Data!K2960</f>
        <v>0</v>
      </c>
      <c r="R2944">
        <f>Data!L2960</f>
        <v>0</v>
      </c>
      <c r="S2944">
        <f>Data!M2960</f>
        <v>0</v>
      </c>
      <c r="T2944">
        <f>Data!N2960</f>
        <v>0</v>
      </c>
      <c r="U2944">
        <f>Data!O2960</f>
        <v>0</v>
      </c>
      <c r="V2944" s="33">
        <f>Data!P2958</f>
        <v>0</v>
      </c>
    </row>
    <row r="2945" spans="7:22" x14ac:dyDescent="0.25">
      <c r="G2945" cm="1">
        <f t="array" aca="1" ref="G2945" ca="1">INDIRECT("Data!A" &amp; 940)</f>
        <v>0</v>
      </c>
      <c r="H2945" s="21">
        <f>Data!B2957</f>
        <v>0</v>
      </c>
      <c r="I2945" s="21">
        <f>Data!C2957</f>
        <v>0</v>
      </c>
      <c r="J2945">
        <f>Data!D2957</f>
        <v>0</v>
      </c>
      <c r="K2945">
        <f>Data!E2957</f>
        <v>0</v>
      </c>
      <c r="L2945">
        <f>Data!F2957</f>
        <v>0</v>
      </c>
      <c r="M2945">
        <f>Data!G2957</f>
        <v>0</v>
      </c>
      <c r="N2945">
        <f>Data!H2957</f>
        <v>0</v>
      </c>
      <c r="O2945">
        <f>Data!I2957</f>
        <v>0</v>
      </c>
      <c r="P2945" s="21">
        <f>Data!J2961</f>
        <v>0</v>
      </c>
      <c r="Q2945">
        <f>Data!K2961</f>
        <v>0</v>
      </c>
      <c r="R2945">
        <f>Data!L2961</f>
        <v>0</v>
      </c>
      <c r="S2945">
        <f>Data!M2961</f>
        <v>0</v>
      </c>
      <c r="T2945">
        <f>Data!N2961</f>
        <v>0</v>
      </c>
      <c r="U2945">
        <f>Data!O2961</f>
        <v>0</v>
      </c>
      <c r="V2945" s="33">
        <f>Data!P2959</f>
        <v>0</v>
      </c>
    </row>
    <row r="2946" spans="7:22" x14ac:dyDescent="0.25">
      <c r="G2946" cm="1">
        <f t="array" aca="1" ref="G2946" ca="1">INDIRECT("Data!A" &amp; 941)</f>
        <v>0</v>
      </c>
      <c r="H2946" s="21">
        <f>Data!B2958</f>
        <v>0</v>
      </c>
      <c r="I2946" s="21">
        <f>Data!C2958</f>
        <v>0</v>
      </c>
      <c r="J2946">
        <f>Data!D2958</f>
        <v>0</v>
      </c>
      <c r="K2946">
        <f>Data!E2958</f>
        <v>0</v>
      </c>
      <c r="L2946">
        <f>Data!F2958</f>
        <v>0</v>
      </c>
      <c r="M2946">
        <f>Data!G2958</f>
        <v>0</v>
      </c>
      <c r="N2946">
        <f>Data!H2958</f>
        <v>0</v>
      </c>
      <c r="O2946">
        <f>Data!I2958</f>
        <v>0</v>
      </c>
      <c r="P2946" s="21">
        <f>Data!J2962</f>
        <v>0</v>
      </c>
      <c r="Q2946">
        <f>Data!K2962</f>
        <v>0</v>
      </c>
      <c r="R2946">
        <f>Data!L2962</f>
        <v>0</v>
      </c>
      <c r="S2946">
        <f>Data!M2962</f>
        <v>0</v>
      </c>
      <c r="T2946">
        <f>Data!N2962</f>
        <v>0</v>
      </c>
      <c r="U2946">
        <f>Data!O2962</f>
        <v>0</v>
      </c>
      <c r="V2946" s="33">
        <f>Data!P2960</f>
        <v>0</v>
      </c>
    </row>
    <row r="2947" spans="7:22" x14ac:dyDescent="0.25">
      <c r="G2947" cm="1">
        <f t="array" aca="1" ref="G2947" ca="1">INDIRECT("Data!A" &amp; 942)</f>
        <v>0</v>
      </c>
      <c r="H2947" s="21">
        <f>Data!B2959</f>
        <v>0</v>
      </c>
      <c r="I2947" s="21">
        <f>Data!C2959</f>
        <v>0</v>
      </c>
      <c r="J2947">
        <f>Data!D2959</f>
        <v>0</v>
      </c>
      <c r="K2947">
        <f>Data!E2959</f>
        <v>0</v>
      </c>
      <c r="L2947">
        <f>Data!F2959</f>
        <v>0</v>
      </c>
      <c r="M2947">
        <f>Data!G2959</f>
        <v>0</v>
      </c>
      <c r="N2947">
        <f>Data!H2959</f>
        <v>0</v>
      </c>
      <c r="O2947">
        <f>Data!I2959</f>
        <v>0</v>
      </c>
      <c r="P2947" s="21">
        <f>Data!J2963</f>
        <v>0</v>
      </c>
      <c r="Q2947">
        <f>Data!K2963</f>
        <v>0</v>
      </c>
      <c r="R2947">
        <f>Data!L2963</f>
        <v>0</v>
      </c>
      <c r="S2947">
        <f>Data!M2963</f>
        <v>0</v>
      </c>
      <c r="T2947">
        <f>Data!N2963</f>
        <v>0</v>
      </c>
      <c r="U2947">
        <f>Data!O2963</f>
        <v>0</v>
      </c>
      <c r="V2947" s="33">
        <f>Data!P2961</f>
        <v>0</v>
      </c>
    </row>
    <row r="2948" spans="7:22" x14ac:dyDescent="0.25">
      <c r="G2948" cm="1">
        <f t="array" aca="1" ref="G2948" ca="1">INDIRECT("Data!A" &amp; 943)</f>
        <v>0</v>
      </c>
      <c r="H2948" s="21">
        <f>Data!B2960</f>
        <v>0</v>
      </c>
      <c r="I2948" s="21">
        <f>Data!C2960</f>
        <v>0</v>
      </c>
      <c r="J2948">
        <f>Data!D2960</f>
        <v>0</v>
      </c>
      <c r="K2948">
        <f>Data!E2960</f>
        <v>0</v>
      </c>
      <c r="L2948">
        <f>Data!F2960</f>
        <v>0</v>
      </c>
      <c r="M2948">
        <f>Data!G2960</f>
        <v>0</v>
      </c>
      <c r="N2948">
        <f>Data!H2960</f>
        <v>0</v>
      </c>
      <c r="O2948">
        <f>Data!I2960</f>
        <v>0</v>
      </c>
      <c r="P2948" s="21">
        <f>Data!J2964</f>
        <v>0</v>
      </c>
      <c r="Q2948">
        <f>Data!K2964</f>
        <v>0</v>
      </c>
      <c r="R2948">
        <f>Data!L2964</f>
        <v>0</v>
      </c>
      <c r="S2948">
        <f>Data!M2964</f>
        <v>0</v>
      </c>
      <c r="T2948">
        <f>Data!N2964</f>
        <v>0</v>
      </c>
      <c r="U2948">
        <f>Data!O2964</f>
        <v>0</v>
      </c>
      <c r="V2948" s="33">
        <f>Data!P2962</f>
        <v>0</v>
      </c>
    </row>
    <row r="2949" spans="7:22" x14ac:dyDescent="0.25">
      <c r="G2949" cm="1">
        <f t="array" aca="1" ref="G2949" ca="1">INDIRECT("Data!A" &amp; 944)</f>
        <v>0</v>
      </c>
      <c r="H2949" s="21">
        <f>Data!B2961</f>
        <v>0</v>
      </c>
      <c r="I2949" s="21">
        <f>Data!C2961</f>
        <v>0</v>
      </c>
      <c r="J2949">
        <f>Data!D2961</f>
        <v>0</v>
      </c>
      <c r="K2949">
        <f>Data!E2961</f>
        <v>0</v>
      </c>
      <c r="L2949">
        <f>Data!F2961</f>
        <v>0</v>
      </c>
      <c r="M2949">
        <f>Data!G2961</f>
        <v>0</v>
      </c>
      <c r="N2949">
        <f>Data!H2961</f>
        <v>0</v>
      </c>
      <c r="O2949">
        <f>Data!I2961</f>
        <v>0</v>
      </c>
      <c r="P2949" s="21">
        <f>Data!J2965</f>
        <v>0</v>
      </c>
      <c r="Q2949">
        <f>Data!K2965</f>
        <v>0</v>
      </c>
      <c r="R2949">
        <f>Data!L2965</f>
        <v>0</v>
      </c>
      <c r="S2949">
        <f>Data!M2965</f>
        <v>0</v>
      </c>
      <c r="T2949">
        <f>Data!N2965</f>
        <v>0</v>
      </c>
      <c r="U2949">
        <f>Data!O2965</f>
        <v>0</v>
      </c>
      <c r="V2949" s="33">
        <f>Data!P2963</f>
        <v>0</v>
      </c>
    </row>
    <row r="2950" spans="7:22" x14ac:dyDescent="0.25">
      <c r="G2950" cm="1">
        <f t="array" aca="1" ref="G2950" ca="1">INDIRECT("Data!A" &amp; 945)</f>
        <v>0</v>
      </c>
      <c r="H2950" s="21">
        <f>Data!B2962</f>
        <v>0</v>
      </c>
      <c r="I2950" s="21">
        <f>Data!C2962</f>
        <v>0</v>
      </c>
      <c r="J2950">
        <f>Data!D2962</f>
        <v>0</v>
      </c>
      <c r="K2950">
        <f>Data!E2962</f>
        <v>0</v>
      </c>
      <c r="L2950">
        <f>Data!F2962</f>
        <v>0</v>
      </c>
      <c r="M2950">
        <f>Data!G2962</f>
        <v>0</v>
      </c>
      <c r="N2950">
        <f>Data!H2962</f>
        <v>0</v>
      </c>
      <c r="O2950">
        <f>Data!I2962</f>
        <v>0</v>
      </c>
      <c r="P2950" s="21">
        <f>Data!J2966</f>
        <v>0</v>
      </c>
      <c r="Q2950">
        <f>Data!K2966</f>
        <v>0</v>
      </c>
      <c r="R2950">
        <f>Data!L2966</f>
        <v>0</v>
      </c>
      <c r="S2950">
        <f>Data!M2966</f>
        <v>0</v>
      </c>
      <c r="T2950">
        <f>Data!N2966</f>
        <v>0</v>
      </c>
      <c r="U2950">
        <f>Data!O2966</f>
        <v>0</v>
      </c>
      <c r="V2950" s="33">
        <f>Data!P2964</f>
        <v>0</v>
      </c>
    </row>
    <row r="2951" spans="7:22" x14ac:dyDescent="0.25">
      <c r="G2951" cm="1">
        <f t="array" aca="1" ref="G2951" ca="1">INDIRECT("Data!A" &amp; 946)</f>
        <v>0</v>
      </c>
      <c r="H2951" s="21">
        <f>Data!B2963</f>
        <v>0</v>
      </c>
      <c r="I2951" s="21">
        <f>Data!C2963</f>
        <v>0</v>
      </c>
      <c r="J2951">
        <f>Data!D2963</f>
        <v>0</v>
      </c>
      <c r="K2951">
        <f>Data!E2963</f>
        <v>0</v>
      </c>
      <c r="L2951">
        <f>Data!F2963</f>
        <v>0</v>
      </c>
      <c r="M2951">
        <f>Data!G2963</f>
        <v>0</v>
      </c>
      <c r="N2951">
        <f>Data!H2963</f>
        <v>0</v>
      </c>
      <c r="O2951">
        <f>Data!I2963</f>
        <v>0</v>
      </c>
      <c r="P2951" s="21">
        <f>Data!J2967</f>
        <v>0</v>
      </c>
      <c r="Q2951">
        <f>Data!K2967</f>
        <v>0</v>
      </c>
      <c r="R2951">
        <f>Data!L2967</f>
        <v>0</v>
      </c>
      <c r="S2951">
        <f>Data!M2967</f>
        <v>0</v>
      </c>
      <c r="T2951">
        <f>Data!N2967</f>
        <v>0</v>
      </c>
      <c r="U2951">
        <f>Data!O2967</f>
        <v>0</v>
      </c>
      <c r="V2951" s="33">
        <f>Data!P2965</f>
        <v>0</v>
      </c>
    </row>
    <row r="2952" spans="7:22" x14ac:dyDescent="0.25">
      <c r="G2952" cm="1">
        <f t="array" aca="1" ref="G2952" ca="1">INDIRECT("Data!A" &amp; 947)</f>
        <v>0</v>
      </c>
      <c r="H2952" s="21">
        <f>Data!B2964</f>
        <v>0</v>
      </c>
      <c r="I2952" s="21">
        <f>Data!C2964</f>
        <v>0</v>
      </c>
      <c r="J2952">
        <f>Data!D2964</f>
        <v>0</v>
      </c>
      <c r="K2952">
        <f>Data!E2964</f>
        <v>0</v>
      </c>
      <c r="L2952">
        <f>Data!F2964</f>
        <v>0</v>
      </c>
      <c r="M2952">
        <f>Data!G2964</f>
        <v>0</v>
      </c>
      <c r="N2952">
        <f>Data!H2964</f>
        <v>0</v>
      </c>
      <c r="O2952">
        <f>Data!I2964</f>
        <v>0</v>
      </c>
      <c r="P2952" s="21">
        <f>Data!J2968</f>
        <v>0</v>
      </c>
      <c r="Q2952">
        <f>Data!K2968</f>
        <v>0</v>
      </c>
      <c r="R2952">
        <f>Data!L2968</f>
        <v>0</v>
      </c>
      <c r="S2952">
        <f>Data!M2968</f>
        <v>0</v>
      </c>
      <c r="T2952">
        <f>Data!N2968</f>
        <v>0</v>
      </c>
      <c r="U2952">
        <f>Data!O2968</f>
        <v>0</v>
      </c>
      <c r="V2952" s="33">
        <f>Data!P2966</f>
        <v>0</v>
      </c>
    </row>
    <row r="2953" spans="7:22" x14ac:dyDescent="0.25">
      <c r="G2953" cm="1">
        <f t="array" aca="1" ref="G2953" ca="1">INDIRECT("Data!A" &amp; 948)</f>
        <v>0</v>
      </c>
      <c r="H2953" s="21">
        <f>Data!B2965</f>
        <v>0</v>
      </c>
      <c r="I2953" s="21">
        <f>Data!C2965</f>
        <v>0</v>
      </c>
      <c r="J2953">
        <f>Data!D2965</f>
        <v>0</v>
      </c>
      <c r="K2953">
        <f>Data!E2965</f>
        <v>0</v>
      </c>
      <c r="L2953">
        <f>Data!F2965</f>
        <v>0</v>
      </c>
      <c r="M2953">
        <f>Data!G2965</f>
        <v>0</v>
      </c>
      <c r="N2953">
        <f>Data!H2965</f>
        <v>0</v>
      </c>
      <c r="O2953">
        <f>Data!I2965</f>
        <v>0</v>
      </c>
      <c r="P2953" s="21">
        <f>Data!J2969</f>
        <v>0</v>
      </c>
      <c r="Q2953">
        <f>Data!K2969</f>
        <v>0</v>
      </c>
      <c r="R2953">
        <f>Data!L2969</f>
        <v>0</v>
      </c>
      <c r="S2953">
        <f>Data!M2969</f>
        <v>0</v>
      </c>
      <c r="T2953">
        <f>Data!N2969</f>
        <v>0</v>
      </c>
      <c r="U2953">
        <f>Data!O2969</f>
        <v>0</v>
      </c>
      <c r="V2953" s="33">
        <f>Data!P2967</f>
        <v>0</v>
      </c>
    </row>
    <row r="2954" spans="7:22" x14ac:dyDescent="0.25">
      <c r="G2954" cm="1">
        <f t="array" aca="1" ref="G2954" ca="1">INDIRECT("Data!A" &amp; 949)</f>
        <v>0</v>
      </c>
      <c r="H2954" s="21">
        <f>Data!B2966</f>
        <v>0</v>
      </c>
      <c r="I2954" s="21">
        <f>Data!C2966</f>
        <v>0</v>
      </c>
      <c r="J2954">
        <f>Data!D2966</f>
        <v>0</v>
      </c>
      <c r="K2954">
        <f>Data!E2966</f>
        <v>0</v>
      </c>
      <c r="L2954">
        <f>Data!F2966</f>
        <v>0</v>
      </c>
      <c r="M2954">
        <f>Data!G2966</f>
        <v>0</v>
      </c>
      <c r="N2954">
        <f>Data!H2966</f>
        <v>0</v>
      </c>
      <c r="O2954">
        <f>Data!I2966</f>
        <v>0</v>
      </c>
      <c r="P2954" s="21">
        <f>Data!J2970</f>
        <v>0</v>
      </c>
      <c r="Q2954">
        <f>Data!K2970</f>
        <v>0</v>
      </c>
      <c r="R2954">
        <f>Data!L2970</f>
        <v>0</v>
      </c>
      <c r="S2954">
        <f>Data!M2970</f>
        <v>0</v>
      </c>
      <c r="T2954">
        <f>Data!N2970</f>
        <v>0</v>
      </c>
      <c r="U2954">
        <f>Data!O2970</f>
        <v>0</v>
      </c>
      <c r="V2954" s="33">
        <f>Data!P2968</f>
        <v>0</v>
      </c>
    </row>
    <row r="2955" spans="7:22" x14ac:dyDescent="0.25">
      <c r="G2955" cm="1">
        <f t="array" aca="1" ref="G2955" ca="1">INDIRECT("Data!A" &amp; 950)</f>
        <v>0</v>
      </c>
      <c r="H2955" s="21">
        <f>Data!B2967</f>
        <v>0</v>
      </c>
      <c r="I2955" s="21">
        <f>Data!C2967</f>
        <v>0</v>
      </c>
      <c r="J2955">
        <f>Data!D2967</f>
        <v>0</v>
      </c>
      <c r="K2955">
        <f>Data!E2967</f>
        <v>0</v>
      </c>
      <c r="L2955">
        <f>Data!F2967</f>
        <v>0</v>
      </c>
      <c r="M2955">
        <f>Data!G2967</f>
        <v>0</v>
      </c>
      <c r="N2955">
        <f>Data!H2967</f>
        <v>0</v>
      </c>
      <c r="O2955">
        <f>Data!I2967</f>
        <v>0</v>
      </c>
      <c r="P2955" s="21">
        <f>Data!J2971</f>
        <v>0</v>
      </c>
      <c r="Q2955">
        <f>Data!K2971</f>
        <v>0</v>
      </c>
      <c r="R2955">
        <f>Data!L2971</f>
        <v>0</v>
      </c>
      <c r="S2955">
        <f>Data!M2971</f>
        <v>0</v>
      </c>
      <c r="T2955">
        <f>Data!N2971</f>
        <v>0</v>
      </c>
      <c r="U2955">
        <f>Data!O2971</f>
        <v>0</v>
      </c>
      <c r="V2955" s="33">
        <f>Data!P2969</f>
        <v>0</v>
      </c>
    </row>
    <row r="2956" spans="7:22" x14ac:dyDescent="0.25">
      <c r="G2956" cm="1">
        <f t="array" aca="1" ref="G2956" ca="1">INDIRECT("Data!A" &amp; 951)</f>
        <v>0</v>
      </c>
      <c r="H2956" s="21">
        <f>Data!B2968</f>
        <v>0</v>
      </c>
      <c r="I2956" s="21">
        <f>Data!C2968</f>
        <v>0</v>
      </c>
      <c r="J2956">
        <f>Data!D2968</f>
        <v>0</v>
      </c>
      <c r="K2956">
        <f>Data!E2968</f>
        <v>0</v>
      </c>
      <c r="L2956">
        <f>Data!F2968</f>
        <v>0</v>
      </c>
      <c r="M2956">
        <f>Data!G2968</f>
        <v>0</v>
      </c>
      <c r="N2956">
        <f>Data!H2968</f>
        <v>0</v>
      </c>
      <c r="O2956">
        <f>Data!I2968</f>
        <v>0</v>
      </c>
      <c r="P2956" s="21">
        <f>Data!J2972</f>
        <v>0</v>
      </c>
      <c r="Q2956">
        <f>Data!K2972</f>
        <v>0</v>
      </c>
      <c r="R2956">
        <f>Data!L2972</f>
        <v>0</v>
      </c>
      <c r="S2956">
        <f>Data!M2972</f>
        <v>0</v>
      </c>
      <c r="T2956">
        <f>Data!N2972</f>
        <v>0</v>
      </c>
      <c r="U2956">
        <f>Data!O2972</f>
        <v>0</v>
      </c>
      <c r="V2956" s="33">
        <f>Data!P2970</f>
        <v>0</v>
      </c>
    </row>
    <row r="2957" spans="7:22" x14ac:dyDescent="0.25">
      <c r="G2957" cm="1">
        <f t="array" aca="1" ref="G2957" ca="1">INDIRECT("Data!A" &amp; 952)</f>
        <v>0</v>
      </c>
      <c r="H2957" s="21">
        <f>Data!B2969</f>
        <v>0</v>
      </c>
      <c r="I2957" s="21">
        <f>Data!C2969</f>
        <v>0</v>
      </c>
      <c r="J2957">
        <f>Data!D2969</f>
        <v>0</v>
      </c>
      <c r="K2957">
        <f>Data!E2969</f>
        <v>0</v>
      </c>
      <c r="L2957">
        <f>Data!F2969</f>
        <v>0</v>
      </c>
      <c r="M2957">
        <f>Data!G2969</f>
        <v>0</v>
      </c>
      <c r="N2957">
        <f>Data!H2969</f>
        <v>0</v>
      </c>
      <c r="O2957">
        <f>Data!I2969</f>
        <v>0</v>
      </c>
      <c r="P2957" s="21">
        <f>Data!J2973</f>
        <v>0</v>
      </c>
      <c r="Q2957">
        <f>Data!K2973</f>
        <v>0</v>
      </c>
      <c r="R2957">
        <f>Data!L2973</f>
        <v>0</v>
      </c>
      <c r="S2957">
        <f>Data!M2973</f>
        <v>0</v>
      </c>
      <c r="T2957">
        <f>Data!N2973</f>
        <v>0</v>
      </c>
      <c r="U2957">
        <f>Data!O2973</f>
        <v>0</v>
      </c>
      <c r="V2957" s="33">
        <f>Data!P2971</f>
        <v>0</v>
      </c>
    </row>
    <row r="2958" spans="7:22" x14ac:dyDescent="0.25">
      <c r="G2958" cm="1">
        <f t="array" aca="1" ref="G2958" ca="1">INDIRECT("Data!A" &amp; 953)</f>
        <v>0</v>
      </c>
      <c r="H2958" s="21">
        <f>Data!B2970</f>
        <v>0</v>
      </c>
      <c r="I2958" s="21">
        <f>Data!C2970</f>
        <v>0</v>
      </c>
      <c r="J2958">
        <f>Data!D2970</f>
        <v>0</v>
      </c>
      <c r="K2958">
        <f>Data!E2970</f>
        <v>0</v>
      </c>
      <c r="L2958">
        <f>Data!F2970</f>
        <v>0</v>
      </c>
      <c r="M2958">
        <f>Data!G2970</f>
        <v>0</v>
      </c>
      <c r="N2958">
        <f>Data!H2970</f>
        <v>0</v>
      </c>
      <c r="O2958">
        <f>Data!I2970</f>
        <v>0</v>
      </c>
      <c r="P2958" s="21">
        <f>Data!J2974</f>
        <v>0</v>
      </c>
      <c r="Q2958">
        <f>Data!K2974</f>
        <v>0</v>
      </c>
      <c r="R2958">
        <f>Data!L2974</f>
        <v>0</v>
      </c>
      <c r="S2958">
        <f>Data!M2974</f>
        <v>0</v>
      </c>
      <c r="T2958">
        <f>Data!N2974</f>
        <v>0</v>
      </c>
      <c r="U2958">
        <f>Data!O2974</f>
        <v>0</v>
      </c>
      <c r="V2958" s="33">
        <f>Data!P2972</f>
        <v>0</v>
      </c>
    </row>
    <row r="2959" spans="7:22" x14ac:dyDescent="0.25">
      <c r="G2959" cm="1">
        <f t="array" aca="1" ref="G2959" ca="1">INDIRECT("Data!A" &amp; 954)</f>
        <v>0</v>
      </c>
      <c r="H2959" s="21">
        <f>Data!B2971</f>
        <v>0</v>
      </c>
      <c r="I2959" s="21">
        <f>Data!C2971</f>
        <v>0</v>
      </c>
      <c r="J2959">
        <f>Data!D2971</f>
        <v>0</v>
      </c>
      <c r="K2959">
        <f>Data!E2971</f>
        <v>0</v>
      </c>
      <c r="L2959">
        <f>Data!F2971</f>
        <v>0</v>
      </c>
      <c r="M2959">
        <f>Data!G2971</f>
        <v>0</v>
      </c>
      <c r="N2959">
        <f>Data!H2971</f>
        <v>0</v>
      </c>
      <c r="O2959">
        <f>Data!I2971</f>
        <v>0</v>
      </c>
      <c r="P2959" s="21">
        <f>Data!J2975</f>
        <v>0</v>
      </c>
      <c r="Q2959">
        <f>Data!K2975</f>
        <v>0</v>
      </c>
      <c r="R2959">
        <f>Data!L2975</f>
        <v>0</v>
      </c>
      <c r="S2959">
        <f>Data!M2975</f>
        <v>0</v>
      </c>
      <c r="T2959">
        <f>Data!N2975</f>
        <v>0</v>
      </c>
      <c r="U2959">
        <f>Data!O2975</f>
        <v>0</v>
      </c>
      <c r="V2959" s="33">
        <f>Data!P2973</f>
        <v>0</v>
      </c>
    </row>
    <row r="2960" spans="7:22" x14ac:dyDescent="0.25">
      <c r="G2960" cm="1">
        <f t="array" aca="1" ref="G2960" ca="1">INDIRECT("Data!A" &amp; 955)</f>
        <v>0</v>
      </c>
      <c r="H2960" s="21">
        <f>Data!B2972</f>
        <v>0</v>
      </c>
      <c r="I2960" s="21">
        <f>Data!C2972</f>
        <v>0</v>
      </c>
      <c r="J2960">
        <f>Data!D2972</f>
        <v>0</v>
      </c>
      <c r="K2960">
        <f>Data!E2972</f>
        <v>0</v>
      </c>
      <c r="L2960">
        <f>Data!F2972</f>
        <v>0</v>
      </c>
      <c r="M2960">
        <f>Data!G2972</f>
        <v>0</v>
      </c>
      <c r="N2960">
        <f>Data!H2972</f>
        <v>0</v>
      </c>
      <c r="O2960">
        <f>Data!I2972</f>
        <v>0</v>
      </c>
      <c r="P2960" s="21">
        <f>Data!J2976</f>
        <v>0</v>
      </c>
      <c r="Q2960">
        <f>Data!K2976</f>
        <v>0</v>
      </c>
      <c r="R2960">
        <f>Data!L2976</f>
        <v>0</v>
      </c>
      <c r="S2960">
        <f>Data!M2976</f>
        <v>0</v>
      </c>
      <c r="T2960">
        <f>Data!N2976</f>
        <v>0</v>
      </c>
      <c r="U2960">
        <f>Data!O2976</f>
        <v>0</v>
      </c>
      <c r="V2960" s="33">
        <f>Data!P2974</f>
        <v>0</v>
      </c>
    </row>
    <row r="2961" spans="7:22" x14ac:dyDescent="0.25">
      <c r="G2961" cm="1">
        <f t="array" aca="1" ref="G2961" ca="1">INDIRECT("Data!A" &amp; 956)</f>
        <v>0</v>
      </c>
      <c r="H2961" s="21">
        <f>Data!B2973</f>
        <v>0</v>
      </c>
      <c r="I2961" s="21">
        <f>Data!C2973</f>
        <v>0</v>
      </c>
      <c r="J2961">
        <f>Data!D2973</f>
        <v>0</v>
      </c>
      <c r="K2961">
        <f>Data!E2973</f>
        <v>0</v>
      </c>
      <c r="L2961">
        <f>Data!F2973</f>
        <v>0</v>
      </c>
      <c r="M2961">
        <f>Data!G2973</f>
        <v>0</v>
      </c>
      <c r="N2961">
        <f>Data!H2973</f>
        <v>0</v>
      </c>
      <c r="O2961">
        <f>Data!I2973</f>
        <v>0</v>
      </c>
      <c r="P2961" s="21">
        <f>Data!J2977</f>
        <v>0</v>
      </c>
      <c r="Q2961">
        <f>Data!K2977</f>
        <v>0</v>
      </c>
      <c r="R2961">
        <f>Data!L2977</f>
        <v>0</v>
      </c>
      <c r="S2961">
        <f>Data!M2977</f>
        <v>0</v>
      </c>
      <c r="T2961">
        <f>Data!N2977</f>
        <v>0</v>
      </c>
      <c r="U2961">
        <f>Data!O2977</f>
        <v>0</v>
      </c>
      <c r="V2961" s="33">
        <f>Data!P2975</f>
        <v>0</v>
      </c>
    </row>
    <row r="2962" spans="7:22" x14ac:dyDescent="0.25">
      <c r="G2962" cm="1">
        <f t="array" aca="1" ref="G2962" ca="1">INDIRECT("Data!A" &amp; 957)</f>
        <v>0</v>
      </c>
      <c r="H2962" s="21">
        <f>Data!B2974</f>
        <v>0</v>
      </c>
      <c r="I2962" s="21">
        <f>Data!C2974</f>
        <v>0</v>
      </c>
      <c r="J2962">
        <f>Data!D2974</f>
        <v>0</v>
      </c>
      <c r="K2962">
        <f>Data!E2974</f>
        <v>0</v>
      </c>
      <c r="L2962">
        <f>Data!F2974</f>
        <v>0</v>
      </c>
      <c r="M2962">
        <f>Data!G2974</f>
        <v>0</v>
      </c>
      <c r="N2962">
        <f>Data!H2974</f>
        <v>0</v>
      </c>
      <c r="O2962">
        <f>Data!I2974</f>
        <v>0</v>
      </c>
      <c r="P2962" s="21">
        <f>Data!J2978</f>
        <v>0</v>
      </c>
      <c r="Q2962">
        <f>Data!K2978</f>
        <v>0</v>
      </c>
      <c r="R2962">
        <f>Data!L2978</f>
        <v>0</v>
      </c>
      <c r="S2962">
        <f>Data!M2978</f>
        <v>0</v>
      </c>
      <c r="T2962">
        <f>Data!N2978</f>
        <v>0</v>
      </c>
      <c r="U2962">
        <f>Data!O2978</f>
        <v>0</v>
      </c>
      <c r="V2962" s="33">
        <f>Data!P2976</f>
        <v>0</v>
      </c>
    </row>
    <row r="2963" spans="7:22" x14ac:dyDescent="0.25">
      <c r="G2963" cm="1">
        <f t="array" aca="1" ref="G2963" ca="1">INDIRECT("Data!A" &amp; 958)</f>
        <v>0</v>
      </c>
      <c r="H2963" s="21">
        <f>Data!B2975</f>
        <v>0</v>
      </c>
      <c r="I2963" s="21">
        <f>Data!C2975</f>
        <v>0</v>
      </c>
      <c r="J2963">
        <f>Data!D2975</f>
        <v>0</v>
      </c>
      <c r="K2963">
        <f>Data!E2975</f>
        <v>0</v>
      </c>
      <c r="L2963">
        <f>Data!F2975</f>
        <v>0</v>
      </c>
      <c r="M2963">
        <f>Data!G2975</f>
        <v>0</v>
      </c>
      <c r="N2963">
        <f>Data!H2975</f>
        <v>0</v>
      </c>
      <c r="O2963">
        <f>Data!I2975</f>
        <v>0</v>
      </c>
      <c r="P2963" s="21">
        <f>Data!J2979</f>
        <v>0</v>
      </c>
      <c r="Q2963">
        <f>Data!K2979</f>
        <v>0</v>
      </c>
      <c r="R2963">
        <f>Data!L2979</f>
        <v>0</v>
      </c>
      <c r="S2963">
        <f>Data!M2979</f>
        <v>0</v>
      </c>
      <c r="T2963">
        <f>Data!N2979</f>
        <v>0</v>
      </c>
      <c r="U2963">
        <f>Data!O2979</f>
        <v>0</v>
      </c>
      <c r="V2963" s="33">
        <f>Data!P2977</f>
        <v>0</v>
      </c>
    </row>
    <row r="2964" spans="7:22" x14ac:dyDescent="0.25">
      <c r="G2964" cm="1">
        <f t="array" aca="1" ref="G2964" ca="1">INDIRECT("Data!A" &amp; 959)</f>
        <v>0</v>
      </c>
      <c r="H2964" s="21">
        <f>Data!B2976</f>
        <v>0</v>
      </c>
      <c r="I2964" s="21">
        <f>Data!C2976</f>
        <v>0</v>
      </c>
      <c r="J2964">
        <f>Data!D2976</f>
        <v>0</v>
      </c>
      <c r="K2964">
        <f>Data!E2976</f>
        <v>0</v>
      </c>
      <c r="L2964">
        <f>Data!F2976</f>
        <v>0</v>
      </c>
      <c r="M2964">
        <f>Data!G2976</f>
        <v>0</v>
      </c>
      <c r="N2964">
        <f>Data!H2976</f>
        <v>0</v>
      </c>
      <c r="O2964">
        <f>Data!I2976</f>
        <v>0</v>
      </c>
      <c r="P2964" s="21">
        <f>Data!J2980</f>
        <v>0</v>
      </c>
      <c r="Q2964">
        <f>Data!K2980</f>
        <v>0</v>
      </c>
      <c r="R2964">
        <f>Data!L2980</f>
        <v>0</v>
      </c>
      <c r="S2964">
        <f>Data!M2980</f>
        <v>0</v>
      </c>
      <c r="T2964">
        <f>Data!N2980</f>
        <v>0</v>
      </c>
      <c r="U2964">
        <f>Data!O2980</f>
        <v>0</v>
      </c>
      <c r="V2964" s="33">
        <f>Data!P2978</f>
        <v>0</v>
      </c>
    </row>
    <row r="2965" spans="7:22" x14ac:dyDescent="0.25">
      <c r="G2965" cm="1">
        <f t="array" aca="1" ref="G2965" ca="1">INDIRECT("Data!A" &amp; 960)</f>
        <v>0</v>
      </c>
      <c r="H2965" s="21">
        <f>Data!B2977</f>
        <v>0</v>
      </c>
      <c r="I2965" s="21">
        <f>Data!C2977</f>
        <v>0</v>
      </c>
      <c r="J2965">
        <f>Data!D2977</f>
        <v>0</v>
      </c>
      <c r="K2965">
        <f>Data!E2977</f>
        <v>0</v>
      </c>
      <c r="L2965">
        <f>Data!F2977</f>
        <v>0</v>
      </c>
      <c r="M2965">
        <f>Data!G2977</f>
        <v>0</v>
      </c>
      <c r="N2965">
        <f>Data!H2977</f>
        <v>0</v>
      </c>
      <c r="O2965">
        <f>Data!I2977</f>
        <v>0</v>
      </c>
      <c r="P2965" s="21">
        <f>Data!J2981</f>
        <v>0</v>
      </c>
      <c r="Q2965">
        <f>Data!K2981</f>
        <v>0</v>
      </c>
      <c r="R2965">
        <f>Data!L2981</f>
        <v>0</v>
      </c>
      <c r="S2965">
        <f>Data!M2981</f>
        <v>0</v>
      </c>
      <c r="T2965">
        <f>Data!N2981</f>
        <v>0</v>
      </c>
      <c r="U2965">
        <f>Data!O2981</f>
        <v>0</v>
      </c>
      <c r="V2965" s="33">
        <f>Data!P2979</f>
        <v>0</v>
      </c>
    </row>
    <row r="2966" spans="7:22" x14ac:dyDescent="0.25">
      <c r="G2966" cm="1">
        <f t="array" aca="1" ref="G2966" ca="1">INDIRECT("Data!A" &amp; 961)</f>
        <v>0</v>
      </c>
      <c r="H2966" s="21">
        <f>Data!B2978</f>
        <v>0</v>
      </c>
      <c r="I2966" s="21">
        <f>Data!C2978</f>
        <v>0</v>
      </c>
      <c r="J2966">
        <f>Data!D2978</f>
        <v>0</v>
      </c>
      <c r="K2966">
        <f>Data!E2978</f>
        <v>0</v>
      </c>
      <c r="L2966">
        <f>Data!F2978</f>
        <v>0</v>
      </c>
      <c r="M2966">
        <f>Data!G2978</f>
        <v>0</v>
      </c>
      <c r="N2966">
        <f>Data!H2978</f>
        <v>0</v>
      </c>
      <c r="O2966">
        <f>Data!I2978</f>
        <v>0</v>
      </c>
      <c r="P2966" s="21">
        <f>Data!J2982</f>
        <v>0</v>
      </c>
      <c r="Q2966">
        <f>Data!K2982</f>
        <v>0</v>
      </c>
      <c r="R2966">
        <f>Data!L2982</f>
        <v>0</v>
      </c>
      <c r="S2966">
        <f>Data!M2982</f>
        <v>0</v>
      </c>
      <c r="T2966">
        <f>Data!N2982</f>
        <v>0</v>
      </c>
      <c r="U2966">
        <f>Data!O2982</f>
        <v>0</v>
      </c>
      <c r="V2966" s="33">
        <f>Data!P2980</f>
        <v>0</v>
      </c>
    </row>
    <row r="2967" spans="7:22" x14ac:dyDescent="0.25">
      <c r="G2967" cm="1">
        <f t="array" aca="1" ref="G2967" ca="1">INDIRECT("Data!A" &amp; 962)</f>
        <v>0</v>
      </c>
      <c r="H2967" s="21">
        <f>Data!B2979</f>
        <v>0</v>
      </c>
      <c r="I2967" s="21">
        <f>Data!C2979</f>
        <v>0</v>
      </c>
      <c r="J2967">
        <f>Data!D2979</f>
        <v>0</v>
      </c>
      <c r="K2967">
        <f>Data!E2979</f>
        <v>0</v>
      </c>
      <c r="L2967">
        <f>Data!F2979</f>
        <v>0</v>
      </c>
      <c r="M2967">
        <f>Data!G2979</f>
        <v>0</v>
      </c>
      <c r="N2967">
        <f>Data!H2979</f>
        <v>0</v>
      </c>
      <c r="O2967">
        <f>Data!I2979</f>
        <v>0</v>
      </c>
      <c r="P2967" s="21">
        <f>Data!J2983</f>
        <v>0</v>
      </c>
      <c r="Q2967">
        <f>Data!K2983</f>
        <v>0</v>
      </c>
      <c r="R2967">
        <f>Data!L2983</f>
        <v>0</v>
      </c>
      <c r="S2967">
        <f>Data!M2983</f>
        <v>0</v>
      </c>
      <c r="T2967">
        <f>Data!N2983</f>
        <v>0</v>
      </c>
      <c r="U2967">
        <f>Data!O2983</f>
        <v>0</v>
      </c>
      <c r="V2967" s="33">
        <f>Data!P2981</f>
        <v>0</v>
      </c>
    </row>
    <row r="2968" spans="7:22" x14ac:dyDescent="0.25">
      <c r="G2968" cm="1">
        <f t="array" aca="1" ref="G2968" ca="1">INDIRECT("Data!A" &amp; 963)</f>
        <v>0</v>
      </c>
      <c r="H2968" s="21">
        <f>Data!B2980</f>
        <v>0</v>
      </c>
      <c r="I2968" s="21">
        <f>Data!C2980</f>
        <v>0</v>
      </c>
      <c r="J2968">
        <f>Data!D2980</f>
        <v>0</v>
      </c>
      <c r="K2968">
        <f>Data!E2980</f>
        <v>0</v>
      </c>
      <c r="L2968">
        <f>Data!F2980</f>
        <v>0</v>
      </c>
      <c r="M2968">
        <f>Data!G2980</f>
        <v>0</v>
      </c>
      <c r="N2968">
        <f>Data!H2980</f>
        <v>0</v>
      </c>
      <c r="O2968">
        <f>Data!I2980</f>
        <v>0</v>
      </c>
      <c r="P2968" s="21">
        <f>Data!J2984</f>
        <v>0</v>
      </c>
      <c r="Q2968">
        <f>Data!K2984</f>
        <v>0</v>
      </c>
      <c r="R2968">
        <f>Data!L2984</f>
        <v>0</v>
      </c>
      <c r="S2968">
        <f>Data!M2984</f>
        <v>0</v>
      </c>
      <c r="T2968">
        <f>Data!N2984</f>
        <v>0</v>
      </c>
      <c r="U2968">
        <f>Data!O2984</f>
        <v>0</v>
      </c>
      <c r="V2968" s="33">
        <f>Data!P2982</f>
        <v>0</v>
      </c>
    </row>
    <row r="2969" spans="7:22" x14ac:dyDescent="0.25">
      <c r="G2969" cm="1">
        <f t="array" aca="1" ref="G2969" ca="1">INDIRECT("Data!A" &amp; 964)</f>
        <v>0</v>
      </c>
      <c r="H2969" s="21">
        <f>Data!B2981</f>
        <v>0</v>
      </c>
      <c r="I2969" s="21">
        <f>Data!C2981</f>
        <v>0</v>
      </c>
      <c r="J2969">
        <f>Data!D2981</f>
        <v>0</v>
      </c>
      <c r="K2969">
        <f>Data!E2981</f>
        <v>0</v>
      </c>
      <c r="L2969">
        <f>Data!F2981</f>
        <v>0</v>
      </c>
      <c r="M2969">
        <f>Data!G2981</f>
        <v>0</v>
      </c>
      <c r="N2969">
        <f>Data!H2981</f>
        <v>0</v>
      </c>
      <c r="O2969">
        <f>Data!I2981</f>
        <v>0</v>
      </c>
      <c r="P2969" s="21">
        <f>Data!J2985</f>
        <v>0</v>
      </c>
      <c r="Q2969">
        <f>Data!K2985</f>
        <v>0</v>
      </c>
      <c r="R2969">
        <f>Data!L2985</f>
        <v>0</v>
      </c>
      <c r="S2969">
        <f>Data!M2985</f>
        <v>0</v>
      </c>
      <c r="T2969">
        <f>Data!N2985</f>
        <v>0</v>
      </c>
      <c r="U2969">
        <f>Data!O2985</f>
        <v>0</v>
      </c>
      <c r="V2969" s="33">
        <f>Data!P2983</f>
        <v>0</v>
      </c>
    </row>
    <row r="2970" spans="7:22" x14ac:dyDescent="0.25">
      <c r="G2970" cm="1">
        <f t="array" aca="1" ref="G2970" ca="1">INDIRECT("Data!A" &amp; 965)</f>
        <v>0</v>
      </c>
      <c r="H2970" s="21">
        <f>Data!B2982</f>
        <v>0</v>
      </c>
      <c r="I2970" s="21">
        <f>Data!C2982</f>
        <v>0</v>
      </c>
      <c r="J2970">
        <f>Data!D2982</f>
        <v>0</v>
      </c>
      <c r="K2970">
        <f>Data!E2982</f>
        <v>0</v>
      </c>
      <c r="L2970">
        <f>Data!F2982</f>
        <v>0</v>
      </c>
      <c r="M2970">
        <f>Data!G2982</f>
        <v>0</v>
      </c>
      <c r="N2970">
        <f>Data!H2982</f>
        <v>0</v>
      </c>
      <c r="O2970">
        <f>Data!I2982</f>
        <v>0</v>
      </c>
      <c r="P2970" s="21">
        <f>Data!J2986</f>
        <v>0</v>
      </c>
      <c r="Q2970">
        <f>Data!K2986</f>
        <v>0</v>
      </c>
      <c r="R2970">
        <f>Data!L2986</f>
        <v>0</v>
      </c>
      <c r="S2970">
        <f>Data!M2986</f>
        <v>0</v>
      </c>
      <c r="T2970">
        <f>Data!N2986</f>
        <v>0</v>
      </c>
      <c r="U2970">
        <f>Data!O2986</f>
        <v>0</v>
      </c>
      <c r="V2970" s="33">
        <f>Data!P2984</f>
        <v>0</v>
      </c>
    </row>
    <row r="2971" spans="7:22" x14ac:dyDescent="0.25">
      <c r="G2971" cm="1">
        <f t="array" aca="1" ref="G2971" ca="1">INDIRECT("Data!A" &amp; 966)</f>
        <v>0</v>
      </c>
      <c r="H2971" s="21">
        <f>Data!B2983</f>
        <v>0</v>
      </c>
      <c r="I2971" s="21">
        <f>Data!C2983</f>
        <v>0</v>
      </c>
      <c r="J2971">
        <f>Data!D2983</f>
        <v>0</v>
      </c>
      <c r="K2971">
        <f>Data!E2983</f>
        <v>0</v>
      </c>
      <c r="L2971">
        <f>Data!F2983</f>
        <v>0</v>
      </c>
      <c r="M2971">
        <f>Data!G2983</f>
        <v>0</v>
      </c>
      <c r="N2971">
        <f>Data!H2983</f>
        <v>0</v>
      </c>
      <c r="O2971">
        <f>Data!I2983</f>
        <v>0</v>
      </c>
      <c r="P2971" s="21">
        <f>Data!J2987</f>
        <v>0</v>
      </c>
      <c r="Q2971">
        <f>Data!K2987</f>
        <v>0</v>
      </c>
      <c r="R2971">
        <f>Data!L2987</f>
        <v>0</v>
      </c>
      <c r="S2971">
        <f>Data!M2987</f>
        <v>0</v>
      </c>
      <c r="T2971">
        <f>Data!N2987</f>
        <v>0</v>
      </c>
      <c r="U2971">
        <f>Data!O2987</f>
        <v>0</v>
      </c>
      <c r="V2971" s="33">
        <f>Data!P2985</f>
        <v>0</v>
      </c>
    </row>
    <row r="2972" spans="7:22" x14ac:dyDescent="0.25">
      <c r="G2972" cm="1">
        <f t="array" aca="1" ref="G2972" ca="1">INDIRECT("Data!A" &amp; 967)</f>
        <v>0</v>
      </c>
      <c r="H2972" s="21">
        <f>Data!B2984</f>
        <v>0</v>
      </c>
      <c r="I2972" s="21">
        <f>Data!C2984</f>
        <v>0</v>
      </c>
      <c r="J2972">
        <f>Data!D2984</f>
        <v>0</v>
      </c>
      <c r="K2972">
        <f>Data!E2984</f>
        <v>0</v>
      </c>
      <c r="L2972">
        <f>Data!F2984</f>
        <v>0</v>
      </c>
      <c r="M2972">
        <f>Data!G2984</f>
        <v>0</v>
      </c>
      <c r="N2972">
        <f>Data!H2984</f>
        <v>0</v>
      </c>
      <c r="O2972">
        <f>Data!I2984</f>
        <v>0</v>
      </c>
      <c r="P2972" s="21">
        <f>Data!J2988</f>
        <v>0</v>
      </c>
      <c r="Q2972">
        <f>Data!K2988</f>
        <v>0</v>
      </c>
      <c r="R2972">
        <f>Data!L2988</f>
        <v>0</v>
      </c>
      <c r="S2972">
        <f>Data!M2988</f>
        <v>0</v>
      </c>
      <c r="T2972">
        <f>Data!N2988</f>
        <v>0</v>
      </c>
      <c r="U2972">
        <f>Data!O2988</f>
        <v>0</v>
      </c>
      <c r="V2972" s="33">
        <f>Data!P2986</f>
        <v>0</v>
      </c>
    </row>
    <row r="2973" spans="7:22" x14ac:dyDescent="0.25">
      <c r="G2973" cm="1">
        <f t="array" aca="1" ref="G2973" ca="1">INDIRECT("Data!A" &amp; 968)</f>
        <v>0</v>
      </c>
      <c r="H2973" s="21">
        <f>Data!B2985</f>
        <v>0</v>
      </c>
      <c r="I2973" s="21">
        <f>Data!C2985</f>
        <v>0</v>
      </c>
      <c r="J2973">
        <f>Data!D2985</f>
        <v>0</v>
      </c>
      <c r="K2973">
        <f>Data!E2985</f>
        <v>0</v>
      </c>
      <c r="L2973">
        <f>Data!F2985</f>
        <v>0</v>
      </c>
      <c r="M2973">
        <f>Data!G2985</f>
        <v>0</v>
      </c>
      <c r="N2973">
        <f>Data!H2985</f>
        <v>0</v>
      </c>
      <c r="O2973">
        <f>Data!I2985</f>
        <v>0</v>
      </c>
      <c r="P2973" s="21">
        <f>Data!J2989</f>
        <v>0</v>
      </c>
      <c r="Q2973">
        <f>Data!K2989</f>
        <v>0</v>
      </c>
      <c r="R2973">
        <f>Data!L2989</f>
        <v>0</v>
      </c>
      <c r="S2973">
        <f>Data!M2989</f>
        <v>0</v>
      </c>
      <c r="T2973">
        <f>Data!N2989</f>
        <v>0</v>
      </c>
      <c r="U2973">
        <f>Data!O2989</f>
        <v>0</v>
      </c>
      <c r="V2973" s="33">
        <f>Data!P2987</f>
        <v>0</v>
      </c>
    </row>
    <row r="2974" spans="7:22" x14ac:dyDescent="0.25">
      <c r="G2974" cm="1">
        <f t="array" aca="1" ref="G2974" ca="1">INDIRECT("Data!A" &amp; 969)</f>
        <v>0</v>
      </c>
      <c r="H2974" s="21">
        <f>Data!B2986</f>
        <v>0</v>
      </c>
      <c r="I2974" s="21">
        <f>Data!C2986</f>
        <v>0</v>
      </c>
      <c r="J2974">
        <f>Data!D2986</f>
        <v>0</v>
      </c>
      <c r="K2974">
        <f>Data!E2986</f>
        <v>0</v>
      </c>
      <c r="L2974">
        <f>Data!F2986</f>
        <v>0</v>
      </c>
      <c r="M2974">
        <f>Data!G2986</f>
        <v>0</v>
      </c>
      <c r="N2974">
        <f>Data!H2986</f>
        <v>0</v>
      </c>
      <c r="O2974">
        <f>Data!I2986</f>
        <v>0</v>
      </c>
      <c r="P2974" s="21">
        <f>Data!J2990</f>
        <v>0</v>
      </c>
      <c r="Q2974">
        <f>Data!K2990</f>
        <v>0</v>
      </c>
      <c r="R2974">
        <f>Data!L2990</f>
        <v>0</v>
      </c>
      <c r="S2974">
        <f>Data!M2990</f>
        <v>0</v>
      </c>
      <c r="T2974">
        <f>Data!N2990</f>
        <v>0</v>
      </c>
      <c r="U2974">
        <f>Data!O2990</f>
        <v>0</v>
      </c>
      <c r="V2974" s="33">
        <f>Data!P2988</f>
        <v>0</v>
      </c>
    </row>
    <row r="2975" spans="7:22" x14ac:dyDescent="0.25">
      <c r="G2975" cm="1">
        <f t="array" aca="1" ref="G2975" ca="1">INDIRECT("Data!A" &amp; 970)</f>
        <v>0</v>
      </c>
      <c r="H2975" s="21">
        <f>Data!B2987</f>
        <v>0</v>
      </c>
      <c r="I2975" s="21">
        <f>Data!C2987</f>
        <v>0</v>
      </c>
      <c r="J2975">
        <f>Data!D2987</f>
        <v>0</v>
      </c>
      <c r="K2975">
        <f>Data!E2987</f>
        <v>0</v>
      </c>
      <c r="L2975">
        <f>Data!F2987</f>
        <v>0</v>
      </c>
      <c r="M2975">
        <f>Data!G2987</f>
        <v>0</v>
      </c>
      <c r="N2975">
        <f>Data!H2987</f>
        <v>0</v>
      </c>
      <c r="O2975">
        <f>Data!I2987</f>
        <v>0</v>
      </c>
      <c r="P2975" s="21">
        <f>Data!J2991</f>
        <v>0</v>
      </c>
      <c r="Q2975">
        <f>Data!K2991</f>
        <v>0</v>
      </c>
      <c r="R2975">
        <f>Data!L2991</f>
        <v>0</v>
      </c>
      <c r="S2975">
        <f>Data!M2991</f>
        <v>0</v>
      </c>
      <c r="T2975">
        <f>Data!N2991</f>
        <v>0</v>
      </c>
      <c r="U2975">
        <f>Data!O2991</f>
        <v>0</v>
      </c>
      <c r="V2975" s="33">
        <f>Data!P2989</f>
        <v>0</v>
      </c>
    </row>
    <row r="2976" spans="7:22" x14ac:dyDescent="0.25">
      <c r="G2976" cm="1">
        <f t="array" aca="1" ref="G2976" ca="1">INDIRECT("Data!A" &amp; 971)</f>
        <v>0</v>
      </c>
      <c r="H2976" s="21">
        <f>Data!B2988</f>
        <v>0</v>
      </c>
      <c r="I2976" s="21">
        <f>Data!C2988</f>
        <v>0</v>
      </c>
      <c r="J2976">
        <f>Data!D2988</f>
        <v>0</v>
      </c>
      <c r="K2976">
        <f>Data!E2988</f>
        <v>0</v>
      </c>
      <c r="L2976">
        <f>Data!F2988</f>
        <v>0</v>
      </c>
      <c r="M2976">
        <f>Data!G2988</f>
        <v>0</v>
      </c>
      <c r="N2976">
        <f>Data!H2988</f>
        <v>0</v>
      </c>
      <c r="O2976">
        <f>Data!I2988</f>
        <v>0</v>
      </c>
      <c r="P2976" s="21">
        <f>Data!J2992</f>
        <v>0</v>
      </c>
      <c r="Q2976">
        <f>Data!K2992</f>
        <v>0</v>
      </c>
      <c r="R2976">
        <f>Data!L2992</f>
        <v>0</v>
      </c>
      <c r="S2976">
        <f>Data!M2992</f>
        <v>0</v>
      </c>
      <c r="T2976">
        <f>Data!N2992</f>
        <v>0</v>
      </c>
      <c r="U2976">
        <f>Data!O2992</f>
        <v>0</v>
      </c>
      <c r="V2976" s="33">
        <f>Data!P2990</f>
        <v>0</v>
      </c>
    </row>
    <row r="2977" spans="7:22" x14ac:dyDescent="0.25">
      <c r="G2977" cm="1">
        <f t="array" aca="1" ref="G2977" ca="1">INDIRECT("Data!A" &amp; 972)</f>
        <v>0</v>
      </c>
      <c r="H2977" s="21">
        <f>Data!B2989</f>
        <v>0</v>
      </c>
      <c r="I2977" s="21">
        <f>Data!C2989</f>
        <v>0</v>
      </c>
      <c r="J2977">
        <f>Data!D2989</f>
        <v>0</v>
      </c>
      <c r="K2977">
        <f>Data!E2989</f>
        <v>0</v>
      </c>
      <c r="L2977">
        <f>Data!F2989</f>
        <v>0</v>
      </c>
      <c r="M2977">
        <f>Data!G2989</f>
        <v>0</v>
      </c>
      <c r="N2977">
        <f>Data!H2989</f>
        <v>0</v>
      </c>
      <c r="O2977">
        <f>Data!I2989</f>
        <v>0</v>
      </c>
      <c r="P2977" s="21">
        <f>Data!J2993</f>
        <v>0</v>
      </c>
      <c r="Q2977">
        <f>Data!K2993</f>
        <v>0</v>
      </c>
      <c r="R2977">
        <f>Data!L2993</f>
        <v>0</v>
      </c>
      <c r="S2977">
        <f>Data!M2993</f>
        <v>0</v>
      </c>
      <c r="T2977">
        <f>Data!N2993</f>
        <v>0</v>
      </c>
      <c r="U2977">
        <f>Data!O2993</f>
        <v>0</v>
      </c>
      <c r="V2977" s="33">
        <f>Data!P2991</f>
        <v>0</v>
      </c>
    </row>
    <row r="2978" spans="7:22" x14ac:dyDescent="0.25">
      <c r="G2978" cm="1">
        <f t="array" aca="1" ref="G2978" ca="1">INDIRECT("Data!A" &amp; 973)</f>
        <v>0</v>
      </c>
      <c r="H2978" s="21">
        <f>Data!B2990</f>
        <v>0</v>
      </c>
      <c r="I2978" s="21">
        <f>Data!C2990</f>
        <v>0</v>
      </c>
      <c r="J2978">
        <f>Data!D2990</f>
        <v>0</v>
      </c>
      <c r="K2978">
        <f>Data!E2990</f>
        <v>0</v>
      </c>
      <c r="L2978">
        <f>Data!F2990</f>
        <v>0</v>
      </c>
      <c r="M2978">
        <f>Data!G2990</f>
        <v>0</v>
      </c>
      <c r="N2978">
        <f>Data!H2990</f>
        <v>0</v>
      </c>
      <c r="O2978">
        <f>Data!I2990</f>
        <v>0</v>
      </c>
      <c r="P2978" s="21">
        <f>Data!J2994</f>
        <v>0</v>
      </c>
      <c r="Q2978">
        <f>Data!K2994</f>
        <v>0</v>
      </c>
      <c r="R2978">
        <f>Data!L2994</f>
        <v>0</v>
      </c>
      <c r="S2978">
        <f>Data!M2994</f>
        <v>0</v>
      </c>
      <c r="T2978">
        <f>Data!N2994</f>
        <v>0</v>
      </c>
      <c r="U2978">
        <f>Data!O2994</f>
        <v>0</v>
      </c>
      <c r="V2978" s="33">
        <f>Data!P2992</f>
        <v>0</v>
      </c>
    </row>
    <row r="2979" spans="7:22" x14ac:dyDescent="0.25">
      <c r="G2979" cm="1">
        <f t="array" aca="1" ref="G2979" ca="1">INDIRECT("Data!A" &amp; 974)</f>
        <v>0</v>
      </c>
      <c r="H2979" s="21">
        <f>Data!B2991</f>
        <v>0</v>
      </c>
      <c r="I2979" s="21">
        <f>Data!C2991</f>
        <v>0</v>
      </c>
      <c r="J2979">
        <f>Data!D2991</f>
        <v>0</v>
      </c>
      <c r="K2979">
        <f>Data!E2991</f>
        <v>0</v>
      </c>
      <c r="L2979">
        <f>Data!F2991</f>
        <v>0</v>
      </c>
      <c r="M2979">
        <f>Data!G2991</f>
        <v>0</v>
      </c>
      <c r="N2979">
        <f>Data!H2991</f>
        <v>0</v>
      </c>
      <c r="O2979">
        <f>Data!I2991</f>
        <v>0</v>
      </c>
      <c r="P2979" s="21">
        <f>Data!J2995</f>
        <v>0</v>
      </c>
      <c r="Q2979">
        <f>Data!K2995</f>
        <v>0</v>
      </c>
      <c r="R2979">
        <f>Data!L2995</f>
        <v>0</v>
      </c>
      <c r="S2979">
        <f>Data!M2995</f>
        <v>0</v>
      </c>
      <c r="T2979">
        <f>Data!N2995</f>
        <v>0</v>
      </c>
      <c r="U2979">
        <f>Data!O2995</f>
        <v>0</v>
      </c>
      <c r="V2979" s="33">
        <f>Data!P2993</f>
        <v>0</v>
      </c>
    </row>
    <row r="2980" spans="7:22" x14ac:dyDescent="0.25">
      <c r="G2980" cm="1">
        <f t="array" aca="1" ref="G2980" ca="1">INDIRECT("Data!A" &amp; 975)</f>
        <v>0</v>
      </c>
      <c r="H2980" s="21">
        <f>Data!B2992</f>
        <v>0</v>
      </c>
      <c r="I2980" s="21">
        <f>Data!C2992</f>
        <v>0</v>
      </c>
      <c r="J2980">
        <f>Data!D2992</f>
        <v>0</v>
      </c>
      <c r="K2980">
        <f>Data!E2992</f>
        <v>0</v>
      </c>
      <c r="L2980">
        <f>Data!F2992</f>
        <v>0</v>
      </c>
      <c r="M2980">
        <f>Data!G2992</f>
        <v>0</v>
      </c>
      <c r="N2980">
        <f>Data!H2992</f>
        <v>0</v>
      </c>
      <c r="O2980">
        <f>Data!I2992</f>
        <v>0</v>
      </c>
      <c r="P2980" s="21">
        <f>Data!J2996</f>
        <v>0</v>
      </c>
      <c r="Q2980">
        <f>Data!K2996</f>
        <v>0</v>
      </c>
      <c r="R2980">
        <f>Data!L2996</f>
        <v>0</v>
      </c>
      <c r="S2980">
        <f>Data!M2996</f>
        <v>0</v>
      </c>
      <c r="T2980">
        <f>Data!N2996</f>
        <v>0</v>
      </c>
      <c r="U2980">
        <f>Data!O2996</f>
        <v>0</v>
      </c>
      <c r="V2980" s="33">
        <f>Data!P2994</f>
        <v>0</v>
      </c>
    </row>
    <row r="2981" spans="7:22" x14ac:dyDescent="0.25">
      <c r="G2981" cm="1">
        <f t="array" aca="1" ref="G2981" ca="1">INDIRECT("Data!A" &amp; 976)</f>
        <v>0</v>
      </c>
      <c r="H2981" s="21">
        <f>Data!B2993</f>
        <v>0</v>
      </c>
      <c r="I2981" s="21">
        <f>Data!C2993</f>
        <v>0</v>
      </c>
      <c r="J2981">
        <f>Data!D2993</f>
        <v>0</v>
      </c>
      <c r="K2981">
        <f>Data!E2993</f>
        <v>0</v>
      </c>
      <c r="L2981">
        <f>Data!F2993</f>
        <v>0</v>
      </c>
      <c r="M2981">
        <f>Data!G2993</f>
        <v>0</v>
      </c>
      <c r="N2981">
        <f>Data!H2993</f>
        <v>0</v>
      </c>
      <c r="O2981">
        <f>Data!I2993</f>
        <v>0</v>
      </c>
      <c r="P2981" s="21">
        <f>Data!J2997</f>
        <v>0</v>
      </c>
      <c r="Q2981">
        <f>Data!K2997</f>
        <v>0</v>
      </c>
      <c r="R2981">
        <f>Data!L2997</f>
        <v>0</v>
      </c>
      <c r="S2981">
        <f>Data!M2997</f>
        <v>0</v>
      </c>
      <c r="T2981">
        <f>Data!N2997</f>
        <v>0</v>
      </c>
      <c r="U2981">
        <f>Data!O2997</f>
        <v>0</v>
      </c>
      <c r="V2981" s="33">
        <f>Data!P2995</f>
        <v>0</v>
      </c>
    </row>
    <row r="2982" spans="7:22" x14ac:dyDescent="0.25">
      <c r="G2982" cm="1">
        <f t="array" aca="1" ref="G2982" ca="1">INDIRECT("Data!A" &amp; 977)</f>
        <v>0</v>
      </c>
      <c r="H2982" s="21">
        <f>Data!B2994</f>
        <v>0</v>
      </c>
      <c r="I2982" s="21">
        <f>Data!C2994</f>
        <v>0</v>
      </c>
      <c r="J2982">
        <f>Data!D2994</f>
        <v>0</v>
      </c>
      <c r="K2982">
        <f>Data!E2994</f>
        <v>0</v>
      </c>
      <c r="L2982">
        <f>Data!F2994</f>
        <v>0</v>
      </c>
      <c r="M2982">
        <f>Data!G2994</f>
        <v>0</v>
      </c>
      <c r="N2982">
        <f>Data!H2994</f>
        <v>0</v>
      </c>
      <c r="O2982">
        <f>Data!I2994</f>
        <v>0</v>
      </c>
      <c r="P2982" s="21">
        <f>Data!J2998</f>
        <v>0</v>
      </c>
      <c r="Q2982">
        <f>Data!K2998</f>
        <v>0</v>
      </c>
      <c r="R2982">
        <f>Data!L2998</f>
        <v>0</v>
      </c>
      <c r="S2982">
        <f>Data!M2998</f>
        <v>0</v>
      </c>
      <c r="T2982">
        <f>Data!N2998</f>
        <v>0</v>
      </c>
      <c r="U2982">
        <f>Data!O2998</f>
        <v>0</v>
      </c>
      <c r="V2982" s="33">
        <f>Data!P2996</f>
        <v>0</v>
      </c>
    </row>
    <row r="2983" spans="7:22" x14ac:dyDescent="0.25">
      <c r="G2983" cm="1">
        <f t="array" aca="1" ref="G2983" ca="1">INDIRECT("Data!A" &amp; 978)</f>
        <v>0</v>
      </c>
      <c r="H2983" s="21">
        <f>Data!B2995</f>
        <v>0</v>
      </c>
      <c r="I2983" s="21">
        <f>Data!C2995</f>
        <v>0</v>
      </c>
      <c r="J2983">
        <f>Data!D2995</f>
        <v>0</v>
      </c>
      <c r="K2983">
        <f>Data!E2995</f>
        <v>0</v>
      </c>
      <c r="L2983">
        <f>Data!F2995</f>
        <v>0</v>
      </c>
      <c r="M2983">
        <f>Data!G2995</f>
        <v>0</v>
      </c>
      <c r="N2983">
        <f>Data!H2995</f>
        <v>0</v>
      </c>
      <c r="O2983">
        <f>Data!I2995</f>
        <v>0</v>
      </c>
      <c r="P2983" s="21">
        <f>Data!J2999</f>
        <v>0</v>
      </c>
      <c r="Q2983">
        <f>Data!K2999</f>
        <v>0</v>
      </c>
      <c r="R2983">
        <f>Data!L2999</f>
        <v>0</v>
      </c>
      <c r="S2983">
        <f>Data!M2999</f>
        <v>0</v>
      </c>
      <c r="T2983">
        <f>Data!N2999</f>
        <v>0</v>
      </c>
      <c r="U2983">
        <f>Data!O2999</f>
        <v>0</v>
      </c>
      <c r="V2983" s="33">
        <f>Data!P2997</f>
        <v>0</v>
      </c>
    </row>
    <row r="2984" spans="7:22" x14ac:dyDescent="0.25">
      <c r="G2984" cm="1">
        <f t="array" aca="1" ref="G2984" ca="1">INDIRECT("Data!A" &amp; 979)</f>
        <v>0</v>
      </c>
      <c r="H2984" s="21">
        <f>Data!B2996</f>
        <v>0</v>
      </c>
      <c r="I2984" s="21">
        <f>Data!C2996</f>
        <v>0</v>
      </c>
      <c r="J2984">
        <f>Data!D2996</f>
        <v>0</v>
      </c>
      <c r="K2984">
        <f>Data!E2996</f>
        <v>0</v>
      </c>
      <c r="L2984">
        <f>Data!F2996</f>
        <v>0</v>
      </c>
      <c r="M2984">
        <f>Data!G2996</f>
        <v>0</v>
      </c>
      <c r="N2984">
        <f>Data!H2996</f>
        <v>0</v>
      </c>
      <c r="O2984">
        <f>Data!I2996</f>
        <v>0</v>
      </c>
      <c r="P2984" s="21">
        <f>Data!J3000</f>
        <v>0</v>
      </c>
      <c r="Q2984">
        <f>Data!K3000</f>
        <v>0</v>
      </c>
      <c r="R2984">
        <f>Data!L3000</f>
        <v>0</v>
      </c>
      <c r="S2984">
        <f>Data!M3000</f>
        <v>0</v>
      </c>
      <c r="T2984">
        <f>Data!N3000</f>
        <v>0</v>
      </c>
      <c r="U2984">
        <f>Data!O3000</f>
        <v>0</v>
      </c>
      <c r="V2984" s="33">
        <f>Data!P2998</f>
        <v>0</v>
      </c>
    </row>
    <row r="2985" spans="7:22" x14ac:dyDescent="0.25">
      <c r="G2985" cm="1">
        <f t="array" aca="1" ref="G2985" ca="1">INDIRECT("Data!A" &amp; 980)</f>
        <v>0</v>
      </c>
      <c r="H2985" s="21">
        <f>Data!B2997</f>
        <v>0</v>
      </c>
      <c r="I2985" s="21">
        <f>Data!C2997</f>
        <v>0</v>
      </c>
      <c r="J2985">
        <f>Data!D2997</f>
        <v>0</v>
      </c>
      <c r="K2985">
        <f>Data!E2997</f>
        <v>0</v>
      </c>
      <c r="L2985">
        <f>Data!F2997</f>
        <v>0</v>
      </c>
      <c r="M2985">
        <f>Data!G2997</f>
        <v>0</v>
      </c>
      <c r="N2985">
        <f>Data!H2997</f>
        <v>0</v>
      </c>
      <c r="O2985">
        <f>Data!I2997</f>
        <v>0</v>
      </c>
      <c r="P2985" s="21">
        <f>Data!J3001</f>
        <v>0</v>
      </c>
      <c r="Q2985">
        <f>Data!K3001</f>
        <v>0</v>
      </c>
      <c r="R2985">
        <f>Data!L3001</f>
        <v>0</v>
      </c>
      <c r="S2985">
        <f>Data!M3001</f>
        <v>0</v>
      </c>
      <c r="T2985">
        <f>Data!N3001</f>
        <v>0</v>
      </c>
      <c r="U2985">
        <f>Data!O3001</f>
        <v>0</v>
      </c>
      <c r="V2985" s="33">
        <f>Data!P2999</f>
        <v>0</v>
      </c>
    </row>
    <row r="2986" spans="7:22" x14ac:dyDescent="0.25">
      <c r="G2986" cm="1">
        <f t="array" aca="1" ref="G2986" ca="1">INDIRECT("Data!A" &amp; 981)</f>
        <v>0</v>
      </c>
      <c r="H2986" s="21">
        <f>Data!B2998</f>
        <v>0</v>
      </c>
      <c r="I2986" s="21">
        <f>Data!C2998</f>
        <v>0</v>
      </c>
      <c r="J2986">
        <f>Data!D2998</f>
        <v>0</v>
      </c>
      <c r="K2986">
        <f>Data!E2998</f>
        <v>0</v>
      </c>
      <c r="L2986">
        <f>Data!F2998</f>
        <v>0</v>
      </c>
      <c r="M2986">
        <f>Data!G2998</f>
        <v>0</v>
      </c>
      <c r="N2986">
        <f>Data!H2998</f>
        <v>0</v>
      </c>
      <c r="O2986">
        <f>Data!I2998</f>
        <v>0</v>
      </c>
      <c r="P2986" s="21">
        <f>Data!J3002</f>
        <v>0</v>
      </c>
      <c r="Q2986">
        <f>Data!K3002</f>
        <v>0</v>
      </c>
      <c r="R2986">
        <f>Data!L3002</f>
        <v>0</v>
      </c>
      <c r="S2986">
        <f>Data!M3002</f>
        <v>0</v>
      </c>
      <c r="T2986">
        <f>Data!N3002</f>
        <v>0</v>
      </c>
      <c r="U2986">
        <f>Data!O3002</f>
        <v>0</v>
      </c>
      <c r="V2986" s="33">
        <f>Data!P3000</f>
        <v>0</v>
      </c>
    </row>
    <row r="2987" spans="7:22" x14ac:dyDescent="0.25">
      <c r="G2987" cm="1">
        <f t="array" aca="1" ref="G2987" ca="1">INDIRECT("Data!A" &amp; 982)</f>
        <v>0</v>
      </c>
      <c r="H2987" s="21">
        <f>Data!B2999</f>
        <v>0</v>
      </c>
      <c r="I2987" s="21">
        <f>Data!C2999</f>
        <v>0</v>
      </c>
      <c r="J2987">
        <f>Data!D2999</f>
        <v>0</v>
      </c>
      <c r="K2987">
        <f>Data!E2999</f>
        <v>0</v>
      </c>
      <c r="L2987">
        <f>Data!F2999</f>
        <v>0</v>
      </c>
      <c r="M2987">
        <f>Data!G2999</f>
        <v>0</v>
      </c>
      <c r="N2987">
        <f>Data!H2999</f>
        <v>0</v>
      </c>
      <c r="O2987">
        <f>Data!I2999</f>
        <v>0</v>
      </c>
      <c r="P2987" s="21">
        <f>Data!J3003</f>
        <v>0</v>
      </c>
      <c r="Q2987">
        <f>Data!K3003</f>
        <v>0</v>
      </c>
      <c r="R2987">
        <f>Data!L3003</f>
        <v>0</v>
      </c>
      <c r="S2987">
        <f>Data!M3003</f>
        <v>0</v>
      </c>
      <c r="T2987">
        <f>Data!N3003</f>
        <v>0</v>
      </c>
      <c r="U2987">
        <f>Data!O3003</f>
        <v>0</v>
      </c>
      <c r="V2987" s="33">
        <f>Data!P3001</f>
        <v>0</v>
      </c>
    </row>
    <row r="2988" spans="7:22" x14ac:dyDescent="0.25">
      <c r="G2988" cm="1">
        <f t="array" aca="1" ref="G2988" ca="1">INDIRECT("Data!A" &amp; 983)</f>
        <v>0</v>
      </c>
      <c r="H2988" s="21">
        <f>Data!B3000</f>
        <v>0</v>
      </c>
      <c r="I2988" s="21">
        <f>Data!C3000</f>
        <v>0</v>
      </c>
      <c r="J2988">
        <f>Data!D3000</f>
        <v>0</v>
      </c>
      <c r="K2988">
        <f>Data!E3000</f>
        <v>0</v>
      </c>
      <c r="L2988">
        <f>Data!F3000</f>
        <v>0</v>
      </c>
      <c r="M2988">
        <f>Data!G3000</f>
        <v>0</v>
      </c>
      <c r="N2988">
        <f>Data!H3000</f>
        <v>0</v>
      </c>
      <c r="O2988">
        <f>Data!I3000</f>
        <v>0</v>
      </c>
      <c r="P2988" s="21">
        <f>Data!J3004</f>
        <v>0</v>
      </c>
      <c r="Q2988">
        <f>Data!K3004</f>
        <v>0</v>
      </c>
      <c r="R2988">
        <f>Data!L3004</f>
        <v>0</v>
      </c>
      <c r="S2988">
        <f>Data!M3004</f>
        <v>0</v>
      </c>
      <c r="T2988">
        <f>Data!N3004</f>
        <v>0</v>
      </c>
      <c r="U2988">
        <f>Data!O3004</f>
        <v>0</v>
      </c>
      <c r="V2988" s="33">
        <f>Data!P3002</f>
        <v>0</v>
      </c>
    </row>
    <row r="2989" spans="7:22" x14ac:dyDescent="0.25">
      <c r="G2989" cm="1">
        <f t="array" aca="1" ref="G2989" ca="1">INDIRECT("Data!A" &amp; 984)</f>
        <v>0</v>
      </c>
      <c r="H2989" s="21">
        <f>Data!B3001</f>
        <v>0</v>
      </c>
      <c r="I2989" s="21">
        <f>Data!C3001</f>
        <v>0</v>
      </c>
      <c r="J2989">
        <f>Data!D3001</f>
        <v>0</v>
      </c>
      <c r="K2989">
        <f>Data!E3001</f>
        <v>0</v>
      </c>
      <c r="L2989">
        <f>Data!F3001</f>
        <v>0</v>
      </c>
      <c r="M2989">
        <f>Data!G3001</f>
        <v>0</v>
      </c>
      <c r="N2989">
        <f>Data!H3001</f>
        <v>0</v>
      </c>
      <c r="O2989">
        <f>Data!I3001</f>
        <v>0</v>
      </c>
      <c r="P2989" s="21">
        <f>Data!J3005</f>
        <v>0</v>
      </c>
      <c r="Q2989">
        <f>Data!K3005</f>
        <v>0</v>
      </c>
      <c r="R2989">
        <f>Data!L3005</f>
        <v>0</v>
      </c>
      <c r="S2989">
        <f>Data!M3005</f>
        <v>0</v>
      </c>
      <c r="T2989">
        <f>Data!N3005</f>
        <v>0</v>
      </c>
      <c r="U2989">
        <f>Data!O3005</f>
        <v>0</v>
      </c>
      <c r="V2989" s="33">
        <f>Data!P3003</f>
        <v>0</v>
      </c>
    </row>
    <row r="2990" spans="7:22" x14ac:dyDescent="0.25">
      <c r="G2990" cm="1">
        <f t="array" aca="1" ref="G2990" ca="1">INDIRECT("Data!A" &amp; 985)</f>
        <v>0</v>
      </c>
      <c r="H2990" s="21">
        <f>Data!B3002</f>
        <v>0</v>
      </c>
      <c r="I2990" s="21">
        <f>Data!C3002</f>
        <v>0</v>
      </c>
      <c r="J2990">
        <f>Data!D3002</f>
        <v>0</v>
      </c>
      <c r="K2990">
        <f>Data!E3002</f>
        <v>0</v>
      </c>
      <c r="L2990">
        <f>Data!F3002</f>
        <v>0</v>
      </c>
      <c r="M2990">
        <f>Data!G3002</f>
        <v>0</v>
      </c>
      <c r="N2990">
        <f>Data!H3002</f>
        <v>0</v>
      </c>
      <c r="O2990">
        <f>Data!I3002</f>
        <v>0</v>
      </c>
      <c r="P2990" s="21">
        <f>Data!J3006</f>
        <v>0</v>
      </c>
      <c r="Q2990">
        <f>Data!K3006</f>
        <v>0</v>
      </c>
      <c r="R2990">
        <f>Data!L3006</f>
        <v>0</v>
      </c>
      <c r="S2990">
        <f>Data!M3006</f>
        <v>0</v>
      </c>
      <c r="T2990">
        <f>Data!N3006</f>
        <v>0</v>
      </c>
      <c r="U2990">
        <f>Data!O3006</f>
        <v>0</v>
      </c>
      <c r="V2990" s="33">
        <f>Data!P3004</f>
        <v>0</v>
      </c>
    </row>
    <row r="2991" spans="7:22" x14ac:dyDescent="0.25">
      <c r="G2991" cm="1">
        <f t="array" aca="1" ref="G2991" ca="1">INDIRECT("Data!A" &amp; 986)</f>
        <v>0</v>
      </c>
      <c r="H2991" s="21">
        <f>Data!B3003</f>
        <v>0</v>
      </c>
      <c r="I2991" s="21">
        <f>Data!C3003</f>
        <v>0</v>
      </c>
      <c r="J2991">
        <f>Data!D3003</f>
        <v>0</v>
      </c>
      <c r="K2991">
        <f>Data!E3003</f>
        <v>0</v>
      </c>
      <c r="L2991">
        <f>Data!F3003</f>
        <v>0</v>
      </c>
      <c r="M2991">
        <f>Data!G3003</f>
        <v>0</v>
      </c>
      <c r="N2991">
        <f>Data!H3003</f>
        <v>0</v>
      </c>
      <c r="O2991">
        <f>Data!I3003</f>
        <v>0</v>
      </c>
      <c r="P2991" s="21">
        <f>Data!J3007</f>
        <v>0</v>
      </c>
      <c r="Q2991">
        <f>Data!K3007</f>
        <v>0</v>
      </c>
      <c r="R2991">
        <f>Data!L3007</f>
        <v>0</v>
      </c>
      <c r="S2991">
        <f>Data!M3007</f>
        <v>0</v>
      </c>
      <c r="T2991">
        <f>Data!N3007</f>
        <v>0</v>
      </c>
      <c r="U2991">
        <f>Data!O3007</f>
        <v>0</v>
      </c>
      <c r="V2991" s="33">
        <f>Data!P3005</f>
        <v>0</v>
      </c>
    </row>
    <row r="2992" spans="7:22" x14ac:dyDescent="0.25">
      <c r="G2992" cm="1">
        <f t="array" aca="1" ref="G2992" ca="1">INDIRECT("Data!A" &amp; 987)</f>
        <v>0</v>
      </c>
      <c r="H2992" s="21">
        <f>Data!B3004</f>
        <v>0</v>
      </c>
      <c r="I2992" s="21">
        <f>Data!C3004</f>
        <v>0</v>
      </c>
      <c r="J2992">
        <f>Data!D3004</f>
        <v>0</v>
      </c>
      <c r="K2992">
        <f>Data!E3004</f>
        <v>0</v>
      </c>
      <c r="L2992">
        <f>Data!F3004</f>
        <v>0</v>
      </c>
      <c r="M2992">
        <f>Data!G3004</f>
        <v>0</v>
      </c>
      <c r="N2992">
        <f>Data!H3004</f>
        <v>0</v>
      </c>
      <c r="O2992">
        <f>Data!I3004</f>
        <v>0</v>
      </c>
      <c r="P2992" s="21">
        <f>Data!J3008</f>
        <v>0</v>
      </c>
      <c r="Q2992">
        <f>Data!K3008</f>
        <v>0</v>
      </c>
      <c r="R2992">
        <f>Data!L3008</f>
        <v>0</v>
      </c>
      <c r="S2992">
        <f>Data!M3008</f>
        <v>0</v>
      </c>
      <c r="T2992">
        <f>Data!N3008</f>
        <v>0</v>
      </c>
      <c r="U2992">
        <f>Data!O3008</f>
        <v>0</v>
      </c>
      <c r="V2992" s="33">
        <f>Data!P3006</f>
        <v>0</v>
      </c>
    </row>
    <row r="2993" spans="7:22" x14ac:dyDescent="0.25">
      <c r="G2993" cm="1">
        <f t="array" aca="1" ref="G2993" ca="1">INDIRECT("Data!A" &amp; 988)</f>
        <v>0</v>
      </c>
      <c r="H2993" s="21">
        <f>Data!B3005</f>
        <v>0</v>
      </c>
      <c r="I2993" s="21">
        <f>Data!C3005</f>
        <v>0</v>
      </c>
      <c r="J2993">
        <f>Data!D3005</f>
        <v>0</v>
      </c>
      <c r="K2993">
        <f>Data!E3005</f>
        <v>0</v>
      </c>
      <c r="L2993">
        <f>Data!F3005</f>
        <v>0</v>
      </c>
      <c r="M2993">
        <f>Data!G3005</f>
        <v>0</v>
      </c>
      <c r="N2993">
        <f>Data!H3005</f>
        <v>0</v>
      </c>
      <c r="O2993">
        <f>Data!I3005</f>
        <v>0</v>
      </c>
      <c r="P2993" s="21">
        <f>Data!J3009</f>
        <v>0</v>
      </c>
      <c r="Q2993">
        <f>Data!K3009</f>
        <v>0</v>
      </c>
      <c r="R2993">
        <f>Data!L3009</f>
        <v>0</v>
      </c>
      <c r="S2993">
        <f>Data!M3009</f>
        <v>0</v>
      </c>
      <c r="T2993">
        <f>Data!N3009</f>
        <v>0</v>
      </c>
      <c r="U2993">
        <f>Data!O3009</f>
        <v>0</v>
      </c>
      <c r="V2993" s="33">
        <f>Data!P3007</f>
        <v>0</v>
      </c>
    </row>
    <row r="2994" spans="7:22" x14ac:dyDescent="0.25">
      <c r="G2994" cm="1">
        <f t="array" aca="1" ref="G2994" ca="1">INDIRECT("Data!A" &amp; 989)</f>
        <v>0</v>
      </c>
      <c r="H2994" s="21">
        <f>Data!B3006</f>
        <v>0</v>
      </c>
      <c r="I2994" s="21">
        <f>Data!C3006</f>
        <v>0</v>
      </c>
      <c r="J2994">
        <f>Data!D3006</f>
        <v>0</v>
      </c>
      <c r="K2994">
        <f>Data!E3006</f>
        <v>0</v>
      </c>
      <c r="L2994">
        <f>Data!F3006</f>
        <v>0</v>
      </c>
      <c r="M2994">
        <f>Data!G3006</f>
        <v>0</v>
      </c>
      <c r="N2994">
        <f>Data!H3006</f>
        <v>0</v>
      </c>
      <c r="O2994">
        <f>Data!I3006</f>
        <v>0</v>
      </c>
      <c r="P2994" s="21">
        <f>Data!J3010</f>
        <v>0</v>
      </c>
      <c r="Q2994">
        <f>Data!K3010</f>
        <v>0</v>
      </c>
      <c r="R2994">
        <f>Data!L3010</f>
        <v>0</v>
      </c>
      <c r="S2994">
        <f>Data!M3010</f>
        <v>0</v>
      </c>
      <c r="T2994">
        <f>Data!N3010</f>
        <v>0</v>
      </c>
      <c r="U2994">
        <f>Data!O3010</f>
        <v>0</v>
      </c>
      <c r="V2994" s="33">
        <f>Data!P3008</f>
        <v>0</v>
      </c>
    </row>
    <row r="2995" spans="7:22" x14ac:dyDescent="0.25">
      <c r="G2995" cm="1">
        <f t="array" aca="1" ref="G2995" ca="1">INDIRECT("Data!A" &amp; 990)</f>
        <v>0</v>
      </c>
      <c r="H2995" s="21">
        <f>Data!B3007</f>
        <v>0</v>
      </c>
      <c r="I2995" s="21">
        <f>Data!C3007</f>
        <v>0</v>
      </c>
      <c r="J2995">
        <f>Data!D3007</f>
        <v>0</v>
      </c>
      <c r="K2995">
        <f>Data!E3007</f>
        <v>0</v>
      </c>
      <c r="L2995">
        <f>Data!F3007</f>
        <v>0</v>
      </c>
      <c r="M2995">
        <f>Data!G3007</f>
        <v>0</v>
      </c>
      <c r="N2995">
        <f>Data!H3007</f>
        <v>0</v>
      </c>
      <c r="O2995">
        <f>Data!I3007</f>
        <v>0</v>
      </c>
      <c r="P2995" s="21">
        <f>Data!J3011</f>
        <v>0</v>
      </c>
      <c r="Q2995">
        <f>Data!K3011</f>
        <v>0</v>
      </c>
      <c r="R2995">
        <f>Data!L3011</f>
        <v>0</v>
      </c>
      <c r="S2995">
        <f>Data!M3011</f>
        <v>0</v>
      </c>
      <c r="T2995">
        <f>Data!N3011</f>
        <v>0</v>
      </c>
      <c r="U2995">
        <f>Data!O3011</f>
        <v>0</v>
      </c>
      <c r="V2995" s="33">
        <f>Data!P3009</f>
        <v>0</v>
      </c>
    </row>
    <row r="2996" spans="7:22" x14ac:dyDescent="0.25">
      <c r="G2996" cm="1">
        <f t="array" aca="1" ref="G2996" ca="1">INDIRECT("Data!A" &amp; 991)</f>
        <v>0</v>
      </c>
      <c r="H2996" s="21">
        <f>Data!B3008</f>
        <v>0</v>
      </c>
      <c r="I2996" s="21">
        <f>Data!C3008</f>
        <v>0</v>
      </c>
      <c r="J2996">
        <f>Data!D3008</f>
        <v>0</v>
      </c>
      <c r="K2996">
        <f>Data!E3008</f>
        <v>0</v>
      </c>
      <c r="L2996">
        <f>Data!F3008</f>
        <v>0</v>
      </c>
      <c r="M2996">
        <f>Data!G3008</f>
        <v>0</v>
      </c>
      <c r="N2996">
        <f>Data!H3008</f>
        <v>0</v>
      </c>
      <c r="O2996">
        <f>Data!I3008</f>
        <v>0</v>
      </c>
      <c r="P2996" s="21">
        <f>Data!J3012</f>
        <v>0</v>
      </c>
      <c r="Q2996">
        <f>Data!K3012</f>
        <v>0</v>
      </c>
      <c r="R2996">
        <f>Data!L3012</f>
        <v>0</v>
      </c>
      <c r="S2996">
        <f>Data!M3012</f>
        <v>0</v>
      </c>
      <c r="T2996">
        <f>Data!N3012</f>
        <v>0</v>
      </c>
      <c r="U2996">
        <f>Data!O3012</f>
        <v>0</v>
      </c>
      <c r="V2996" s="33">
        <f>Data!P3010</f>
        <v>0</v>
      </c>
    </row>
    <row r="2997" spans="7:22" x14ac:dyDescent="0.25">
      <c r="G2997" cm="1">
        <f t="array" aca="1" ref="G2997" ca="1">INDIRECT("Data!A" &amp; 992)</f>
        <v>0</v>
      </c>
      <c r="H2997" s="21">
        <f>Data!B3009</f>
        <v>0</v>
      </c>
      <c r="I2997" s="21">
        <f>Data!C3009</f>
        <v>0</v>
      </c>
      <c r="J2997">
        <f>Data!D3009</f>
        <v>0</v>
      </c>
      <c r="K2997">
        <f>Data!E3009</f>
        <v>0</v>
      </c>
      <c r="L2997">
        <f>Data!F3009</f>
        <v>0</v>
      </c>
      <c r="M2997">
        <f>Data!G3009</f>
        <v>0</v>
      </c>
      <c r="N2997">
        <f>Data!H3009</f>
        <v>0</v>
      </c>
      <c r="O2997">
        <f>Data!I3009</f>
        <v>0</v>
      </c>
      <c r="P2997" s="21">
        <f>Data!J3013</f>
        <v>0</v>
      </c>
      <c r="Q2997">
        <f>Data!K3013</f>
        <v>0</v>
      </c>
      <c r="R2997">
        <f>Data!L3013</f>
        <v>0</v>
      </c>
      <c r="S2997">
        <f>Data!M3013</f>
        <v>0</v>
      </c>
      <c r="T2997">
        <f>Data!N3013</f>
        <v>0</v>
      </c>
      <c r="U2997">
        <f>Data!O3013</f>
        <v>0</v>
      </c>
      <c r="V2997" s="33">
        <f>Data!P3011</f>
        <v>0</v>
      </c>
    </row>
    <row r="2998" spans="7:22" x14ac:dyDescent="0.25">
      <c r="G2998" cm="1">
        <f t="array" aca="1" ref="G2998" ca="1">INDIRECT("Data!A" &amp; 993)</f>
        <v>0</v>
      </c>
      <c r="H2998" s="21">
        <f>Data!B3010</f>
        <v>0</v>
      </c>
      <c r="I2998" s="21">
        <f>Data!C3010</f>
        <v>0</v>
      </c>
      <c r="J2998">
        <f>Data!D3010</f>
        <v>0</v>
      </c>
      <c r="K2998">
        <f>Data!E3010</f>
        <v>0</v>
      </c>
      <c r="L2998">
        <f>Data!F3010</f>
        <v>0</v>
      </c>
      <c r="M2998">
        <f>Data!G3010</f>
        <v>0</v>
      </c>
      <c r="N2998">
        <f>Data!H3010</f>
        <v>0</v>
      </c>
      <c r="O2998">
        <f>Data!I3010</f>
        <v>0</v>
      </c>
      <c r="P2998" s="21">
        <f>Data!J3014</f>
        <v>0</v>
      </c>
      <c r="Q2998">
        <f>Data!K3014</f>
        <v>0</v>
      </c>
      <c r="R2998">
        <f>Data!L3014</f>
        <v>0</v>
      </c>
      <c r="S2998">
        <f>Data!M3014</f>
        <v>0</v>
      </c>
      <c r="T2998">
        <f>Data!N3014</f>
        <v>0</v>
      </c>
      <c r="U2998">
        <f>Data!O3014</f>
        <v>0</v>
      </c>
      <c r="V2998" s="33">
        <f>Data!P3012</f>
        <v>0</v>
      </c>
    </row>
    <row r="2999" spans="7:22" x14ac:dyDescent="0.25">
      <c r="G2999" cm="1">
        <f t="array" aca="1" ref="G2999" ca="1">INDIRECT("Data!A" &amp; 994)</f>
        <v>0</v>
      </c>
      <c r="H2999" s="21">
        <f>Data!B3011</f>
        <v>0</v>
      </c>
      <c r="I2999" s="21">
        <f>Data!C3011</f>
        <v>0</v>
      </c>
      <c r="J2999">
        <f>Data!D3011</f>
        <v>0</v>
      </c>
      <c r="K2999">
        <f>Data!E3011</f>
        <v>0</v>
      </c>
      <c r="L2999">
        <f>Data!F3011</f>
        <v>0</v>
      </c>
      <c r="M2999">
        <f>Data!G3011</f>
        <v>0</v>
      </c>
      <c r="N2999">
        <f>Data!H3011</f>
        <v>0</v>
      </c>
      <c r="O2999">
        <f>Data!I3011</f>
        <v>0</v>
      </c>
      <c r="P2999" s="21">
        <f>Data!J3015</f>
        <v>0</v>
      </c>
      <c r="Q2999">
        <f>Data!K3015</f>
        <v>0</v>
      </c>
      <c r="R2999">
        <f>Data!L3015</f>
        <v>0</v>
      </c>
      <c r="S2999">
        <f>Data!M3015</f>
        <v>0</v>
      </c>
      <c r="T2999">
        <f>Data!N3015</f>
        <v>0</v>
      </c>
      <c r="U2999">
        <f>Data!O3015</f>
        <v>0</v>
      </c>
      <c r="V2999" s="33">
        <f>Data!P3013</f>
        <v>0</v>
      </c>
    </row>
    <row r="3000" spans="7:22" x14ac:dyDescent="0.25">
      <c r="G3000" cm="1">
        <f t="array" aca="1" ref="G3000" ca="1">INDIRECT("Data!A" &amp; 995)</f>
        <v>0</v>
      </c>
      <c r="H3000" s="21">
        <f>Data!B3012</f>
        <v>0</v>
      </c>
      <c r="I3000" s="21">
        <f>Data!C3012</f>
        <v>0</v>
      </c>
      <c r="J3000">
        <f>Data!D3012</f>
        <v>0</v>
      </c>
      <c r="K3000">
        <f>Data!E3012</f>
        <v>0</v>
      </c>
      <c r="L3000">
        <f>Data!F3012</f>
        <v>0</v>
      </c>
      <c r="M3000">
        <f>Data!G3012</f>
        <v>0</v>
      </c>
      <c r="N3000">
        <f>Data!H3012</f>
        <v>0</v>
      </c>
      <c r="O3000">
        <f>Data!I3012</f>
        <v>0</v>
      </c>
      <c r="P3000" s="21">
        <f>Data!J3016</f>
        <v>0</v>
      </c>
      <c r="Q3000">
        <f>Data!K3016</f>
        <v>0</v>
      </c>
      <c r="R3000">
        <f>Data!L3016</f>
        <v>0</v>
      </c>
      <c r="S3000">
        <f>Data!M3016</f>
        <v>0</v>
      </c>
      <c r="T3000">
        <f>Data!N3016</f>
        <v>0</v>
      </c>
      <c r="U3000">
        <f>Data!O3016</f>
        <v>0</v>
      </c>
      <c r="V3000" s="33">
        <f>Data!P3014</f>
        <v>0</v>
      </c>
    </row>
    <row r="3001" spans="7:22" x14ac:dyDescent="0.25">
      <c r="G3001" cm="1">
        <f t="array" aca="1" ref="G3001" ca="1">INDIRECT("Data!A" &amp; 996)</f>
        <v>0</v>
      </c>
      <c r="H3001" s="21">
        <f>Data!B3013</f>
        <v>0</v>
      </c>
      <c r="I3001" s="21">
        <f>Data!C3013</f>
        <v>0</v>
      </c>
      <c r="J3001">
        <f>Data!D3013</f>
        <v>0</v>
      </c>
      <c r="K3001">
        <f>Data!E3013</f>
        <v>0</v>
      </c>
      <c r="L3001">
        <f>Data!F3013</f>
        <v>0</v>
      </c>
      <c r="M3001">
        <f>Data!G3013</f>
        <v>0</v>
      </c>
      <c r="N3001">
        <f>Data!H3013</f>
        <v>0</v>
      </c>
      <c r="O3001">
        <f>Data!I3013</f>
        <v>0</v>
      </c>
      <c r="P3001" s="21">
        <f>Data!J3017</f>
        <v>0</v>
      </c>
      <c r="Q3001">
        <f>Data!K3017</f>
        <v>0</v>
      </c>
      <c r="R3001">
        <f>Data!L3017</f>
        <v>0</v>
      </c>
      <c r="S3001">
        <f>Data!M3017</f>
        <v>0</v>
      </c>
      <c r="T3001">
        <f>Data!N3017</f>
        <v>0</v>
      </c>
      <c r="U3001">
        <f>Data!O3017</f>
        <v>0</v>
      </c>
      <c r="V3001" s="33">
        <f>Data!P3015</f>
        <v>0</v>
      </c>
    </row>
    <row r="3002" spans="7:22" x14ac:dyDescent="0.25">
      <c r="G3002" cm="1">
        <f t="array" aca="1" ref="G3002" ca="1">INDIRECT("Data!A" &amp; 997)</f>
        <v>0</v>
      </c>
      <c r="H3002" s="21">
        <f>Data!B3014</f>
        <v>0</v>
      </c>
      <c r="I3002" s="21">
        <f>Data!C3014</f>
        <v>0</v>
      </c>
      <c r="J3002">
        <f>Data!D3014</f>
        <v>0</v>
      </c>
      <c r="K3002">
        <f>Data!E3014</f>
        <v>0</v>
      </c>
      <c r="L3002">
        <f>Data!F3014</f>
        <v>0</v>
      </c>
      <c r="M3002">
        <f>Data!G3014</f>
        <v>0</v>
      </c>
      <c r="N3002">
        <f>Data!H3014</f>
        <v>0</v>
      </c>
      <c r="O3002">
        <f>Data!I3014</f>
        <v>0</v>
      </c>
      <c r="P3002" s="21">
        <f>Data!J3018</f>
        <v>0</v>
      </c>
      <c r="Q3002">
        <f>Data!K3018</f>
        <v>0</v>
      </c>
      <c r="R3002">
        <f>Data!L3018</f>
        <v>0</v>
      </c>
      <c r="S3002">
        <f>Data!M3018</f>
        <v>0</v>
      </c>
      <c r="T3002">
        <f>Data!N3018</f>
        <v>0</v>
      </c>
      <c r="U3002">
        <f>Data!O3018</f>
        <v>0</v>
      </c>
      <c r="V3002" s="33">
        <f>Data!P3016</f>
        <v>0</v>
      </c>
    </row>
    <row r="3003" spans="7:22" x14ac:dyDescent="0.25">
      <c r="G3003" cm="1">
        <f t="array" aca="1" ref="G3003" ca="1">INDIRECT("Data!A" &amp; 998)</f>
        <v>0</v>
      </c>
      <c r="H3003" s="21">
        <f>Data!B3015</f>
        <v>0</v>
      </c>
      <c r="I3003" s="21">
        <f>Data!C3015</f>
        <v>0</v>
      </c>
      <c r="J3003">
        <f>Data!D3015</f>
        <v>0</v>
      </c>
      <c r="K3003">
        <f>Data!E3015</f>
        <v>0</v>
      </c>
      <c r="L3003">
        <f>Data!F3015</f>
        <v>0</v>
      </c>
      <c r="M3003">
        <f>Data!G3015</f>
        <v>0</v>
      </c>
      <c r="N3003">
        <f>Data!H3015</f>
        <v>0</v>
      </c>
      <c r="O3003">
        <f>Data!I3015</f>
        <v>0</v>
      </c>
      <c r="P3003" s="21">
        <f>Data!J3019</f>
        <v>0</v>
      </c>
      <c r="Q3003">
        <f>Data!K3019</f>
        <v>0</v>
      </c>
      <c r="R3003">
        <f>Data!L3019</f>
        <v>0</v>
      </c>
      <c r="S3003">
        <f>Data!M3019</f>
        <v>0</v>
      </c>
      <c r="T3003">
        <f>Data!N3019</f>
        <v>0</v>
      </c>
      <c r="U3003">
        <f>Data!O3019</f>
        <v>0</v>
      </c>
      <c r="V3003" s="33">
        <f>Data!P3017</f>
        <v>0</v>
      </c>
    </row>
    <row r="3004" spans="7:22" x14ac:dyDescent="0.25">
      <c r="G3004" cm="1">
        <f t="array" aca="1" ref="G3004" ca="1">INDIRECT("Data!A" &amp; 999)</f>
        <v>0</v>
      </c>
      <c r="H3004" s="21">
        <f>Data!B3016</f>
        <v>0</v>
      </c>
      <c r="I3004" s="21">
        <f>Data!C3016</f>
        <v>0</v>
      </c>
      <c r="J3004">
        <f>Data!D3016</f>
        <v>0</v>
      </c>
      <c r="K3004">
        <f>Data!E3016</f>
        <v>0</v>
      </c>
      <c r="L3004">
        <f>Data!F3016</f>
        <v>0</v>
      </c>
      <c r="M3004">
        <f>Data!G3016</f>
        <v>0</v>
      </c>
      <c r="N3004">
        <f>Data!H3016</f>
        <v>0</v>
      </c>
      <c r="O3004">
        <f>Data!I3016</f>
        <v>0</v>
      </c>
      <c r="P3004" s="21">
        <f>Data!J3020</f>
        <v>0</v>
      </c>
      <c r="Q3004">
        <f>Data!K3020</f>
        <v>0</v>
      </c>
      <c r="R3004">
        <f>Data!L3020</f>
        <v>0</v>
      </c>
      <c r="S3004">
        <f>Data!M3020</f>
        <v>0</v>
      </c>
      <c r="T3004">
        <f>Data!N3020</f>
        <v>0</v>
      </c>
      <c r="U3004">
        <f>Data!O3020</f>
        <v>0</v>
      </c>
      <c r="V3004" s="33">
        <f>Data!P3018</f>
        <v>0</v>
      </c>
    </row>
    <row r="3005" spans="7:22" x14ac:dyDescent="0.25">
      <c r="G3005">
        <f>Data!B3017</f>
        <v>0</v>
      </c>
      <c r="H3005" s="21">
        <f>Data!B3017</f>
        <v>0</v>
      </c>
      <c r="I3005" s="21">
        <f>Data!C3017</f>
        <v>0</v>
      </c>
      <c r="J3005">
        <f>Data!D3017</f>
        <v>0</v>
      </c>
      <c r="K3005">
        <f>Data!E3017</f>
        <v>0</v>
      </c>
      <c r="L3005">
        <f>Data!F3017</f>
        <v>0</v>
      </c>
      <c r="M3005">
        <f>Data!G3017</f>
        <v>0</v>
      </c>
      <c r="N3005">
        <f>Data!H3017</f>
        <v>0</v>
      </c>
      <c r="O3005">
        <f>Data!I3017</f>
        <v>0</v>
      </c>
      <c r="P3005" s="21">
        <f>Data!J3021</f>
        <v>0</v>
      </c>
      <c r="Q3005">
        <f>Data!K3021</f>
        <v>0</v>
      </c>
      <c r="R3005">
        <f>Data!L3021</f>
        <v>0</v>
      </c>
      <c r="S3005">
        <f>Data!M3021</f>
        <v>0</v>
      </c>
      <c r="T3005">
        <f>Data!N3021</f>
        <v>0</v>
      </c>
      <c r="U3005">
        <f>Data!O3021</f>
        <v>0</v>
      </c>
      <c r="V3005" s="33">
        <f>Data!P3019</f>
        <v>0</v>
      </c>
    </row>
    <row r="3006" spans="7:22" x14ac:dyDescent="0.25">
      <c r="G3006">
        <f>Data!B3018</f>
        <v>0</v>
      </c>
      <c r="H3006" s="21">
        <f>Data!B3018</f>
        <v>0</v>
      </c>
      <c r="I3006" s="21">
        <f>Data!C3018</f>
        <v>0</v>
      </c>
      <c r="J3006">
        <f>Data!D3018</f>
        <v>0</v>
      </c>
      <c r="K3006">
        <f>Data!E3018</f>
        <v>0</v>
      </c>
      <c r="L3006">
        <f>Data!F3018</f>
        <v>0</v>
      </c>
      <c r="M3006">
        <f>Data!G3018</f>
        <v>0</v>
      </c>
      <c r="N3006">
        <f>Data!H3018</f>
        <v>0</v>
      </c>
      <c r="O3006">
        <f>Data!I3018</f>
        <v>0</v>
      </c>
      <c r="P3006" s="21">
        <f>Data!J3022</f>
        <v>0</v>
      </c>
      <c r="Q3006">
        <f>Data!K3022</f>
        <v>0</v>
      </c>
      <c r="R3006">
        <f>Data!L3022</f>
        <v>0</v>
      </c>
      <c r="S3006">
        <f>Data!M3022</f>
        <v>0</v>
      </c>
      <c r="T3006">
        <f>Data!N3022</f>
        <v>0</v>
      </c>
      <c r="U3006">
        <f>Data!O3022</f>
        <v>0</v>
      </c>
      <c r="V3006" s="33">
        <f>Data!P3020</f>
        <v>0</v>
      </c>
    </row>
    <row r="3007" spans="7:22" x14ac:dyDescent="0.25">
      <c r="G3007">
        <f>Data!B3019</f>
        <v>0</v>
      </c>
      <c r="H3007" s="21">
        <f>Data!B3019</f>
        <v>0</v>
      </c>
      <c r="I3007" s="21">
        <f>Data!C3019</f>
        <v>0</v>
      </c>
      <c r="J3007">
        <f>Data!D3019</f>
        <v>0</v>
      </c>
      <c r="K3007">
        <f>Data!E3019</f>
        <v>0</v>
      </c>
      <c r="L3007">
        <f>Data!F3019</f>
        <v>0</v>
      </c>
      <c r="M3007">
        <f>Data!G3019</f>
        <v>0</v>
      </c>
      <c r="N3007">
        <f>Data!H3019</f>
        <v>0</v>
      </c>
      <c r="O3007">
        <f>Data!I3019</f>
        <v>0</v>
      </c>
      <c r="P3007" s="21">
        <f>Data!J3023</f>
        <v>0</v>
      </c>
      <c r="Q3007">
        <f>Data!K3023</f>
        <v>0</v>
      </c>
      <c r="R3007">
        <f>Data!L3023</f>
        <v>0</v>
      </c>
      <c r="S3007">
        <f>Data!M3023</f>
        <v>0</v>
      </c>
      <c r="T3007">
        <f>Data!N3023</f>
        <v>0</v>
      </c>
      <c r="U3007">
        <f>Data!O3023</f>
        <v>0</v>
      </c>
      <c r="V3007" s="33">
        <f>Data!P3021</f>
        <v>0</v>
      </c>
    </row>
    <row r="3008" spans="7:22" x14ac:dyDescent="0.25">
      <c r="G3008">
        <f>Data!B3020</f>
        <v>0</v>
      </c>
      <c r="H3008" s="21">
        <f>Data!B3020</f>
        <v>0</v>
      </c>
      <c r="I3008" s="21">
        <f>Data!C3020</f>
        <v>0</v>
      </c>
      <c r="J3008">
        <f>Data!D3020</f>
        <v>0</v>
      </c>
      <c r="K3008">
        <f>Data!E3020</f>
        <v>0</v>
      </c>
      <c r="L3008">
        <f>Data!F3020</f>
        <v>0</v>
      </c>
      <c r="M3008">
        <f>Data!G3020</f>
        <v>0</v>
      </c>
      <c r="N3008">
        <f>Data!H3020</f>
        <v>0</v>
      </c>
      <c r="O3008">
        <f>Data!I3020</f>
        <v>0</v>
      </c>
      <c r="P3008" s="21">
        <f>Data!J3024</f>
        <v>0</v>
      </c>
      <c r="Q3008">
        <f>Data!K3024</f>
        <v>0</v>
      </c>
      <c r="R3008">
        <f>Data!L3024</f>
        <v>0</v>
      </c>
      <c r="S3008">
        <f>Data!M3024</f>
        <v>0</v>
      </c>
      <c r="T3008">
        <f>Data!N3024</f>
        <v>0</v>
      </c>
      <c r="U3008">
        <f>Data!O3024</f>
        <v>0</v>
      </c>
      <c r="V3008" s="33">
        <f>Data!P3022</f>
        <v>0</v>
      </c>
    </row>
    <row r="3009" spans="7:22" x14ac:dyDescent="0.25">
      <c r="G3009">
        <f>Data!B3021</f>
        <v>0</v>
      </c>
      <c r="H3009" s="21">
        <f>Data!B3021</f>
        <v>0</v>
      </c>
      <c r="I3009" s="21">
        <f>Data!C3021</f>
        <v>0</v>
      </c>
      <c r="J3009">
        <f>Data!D3021</f>
        <v>0</v>
      </c>
      <c r="K3009">
        <f>Data!E3021</f>
        <v>0</v>
      </c>
      <c r="L3009">
        <f>Data!F3021</f>
        <v>0</v>
      </c>
      <c r="M3009">
        <f>Data!G3021</f>
        <v>0</v>
      </c>
      <c r="N3009">
        <f>Data!H3021</f>
        <v>0</v>
      </c>
      <c r="O3009">
        <f>Data!I3021</f>
        <v>0</v>
      </c>
      <c r="P3009" s="21">
        <f>Data!J3025</f>
        <v>0</v>
      </c>
      <c r="Q3009">
        <f>Data!K3025</f>
        <v>0</v>
      </c>
      <c r="R3009">
        <f>Data!L3025</f>
        <v>0</v>
      </c>
      <c r="S3009">
        <f>Data!M3025</f>
        <v>0</v>
      </c>
      <c r="T3009">
        <f>Data!N3025</f>
        <v>0</v>
      </c>
      <c r="U3009">
        <f>Data!O3025</f>
        <v>0</v>
      </c>
      <c r="V3009" s="33">
        <f>Data!P3023</f>
        <v>0</v>
      </c>
    </row>
    <row r="3010" spans="7:22" x14ac:dyDescent="0.25">
      <c r="G3010">
        <f>Data!B3022</f>
        <v>0</v>
      </c>
      <c r="H3010" s="21">
        <f>Data!B3022</f>
        <v>0</v>
      </c>
      <c r="I3010" s="21">
        <f>Data!C3022</f>
        <v>0</v>
      </c>
      <c r="J3010">
        <f>Data!D3022</f>
        <v>0</v>
      </c>
      <c r="K3010">
        <f>Data!E3022</f>
        <v>0</v>
      </c>
      <c r="L3010">
        <f>Data!F3022</f>
        <v>0</v>
      </c>
      <c r="M3010">
        <f>Data!G3022</f>
        <v>0</v>
      </c>
      <c r="N3010">
        <f>Data!H3022</f>
        <v>0</v>
      </c>
      <c r="O3010">
        <f>Data!I3022</f>
        <v>0</v>
      </c>
      <c r="P3010" s="21">
        <f>Data!J3026</f>
        <v>0</v>
      </c>
      <c r="Q3010">
        <f>Data!K3026</f>
        <v>0</v>
      </c>
      <c r="R3010">
        <f>Data!L3026</f>
        <v>0</v>
      </c>
      <c r="S3010">
        <f>Data!M3026</f>
        <v>0</v>
      </c>
      <c r="T3010">
        <f>Data!N3026</f>
        <v>0</v>
      </c>
      <c r="U3010">
        <f>Data!O3026</f>
        <v>0</v>
      </c>
      <c r="V3010" s="33">
        <f>Data!P3024</f>
        <v>0</v>
      </c>
    </row>
    <row r="3011" spans="7:22" x14ac:dyDescent="0.25">
      <c r="G3011">
        <f>Data!B3023</f>
        <v>0</v>
      </c>
      <c r="H3011" s="21">
        <f>Data!B3023</f>
        <v>0</v>
      </c>
      <c r="I3011" s="21">
        <f>Data!C3023</f>
        <v>0</v>
      </c>
      <c r="J3011">
        <f>Data!D3023</f>
        <v>0</v>
      </c>
      <c r="K3011">
        <f>Data!E3023</f>
        <v>0</v>
      </c>
      <c r="L3011">
        <f>Data!F3023</f>
        <v>0</v>
      </c>
      <c r="M3011">
        <f>Data!G3023</f>
        <v>0</v>
      </c>
      <c r="N3011">
        <f>Data!H3023</f>
        <v>0</v>
      </c>
      <c r="O3011">
        <f>Data!I3023</f>
        <v>0</v>
      </c>
      <c r="P3011" s="21">
        <f>Data!J3027</f>
        <v>0</v>
      </c>
      <c r="Q3011">
        <f>Data!K3027</f>
        <v>0</v>
      </c>
      <c r="R3011">
        <f>Data!L3027</f>
        <v>0</v>
      </c>
      <c r="S3011">
        <f>Data!M3027</f>
        <v>0</v>
      </c>
      <c r="T3011">
        <f>Data!N3027</f>
        <v>0</v>
      </c>
      <c r="U3011">
        <f>Data!O3027</f>
        <v>0</v>
      </c>
      <c r="V3011" s="33">
        <f>Data!P3025</f>
        <v>0</v>
      </c>
    </row>
    <row r="3012" spans="7:22" x14ac:dyDescent="0.25">
      <c r="G3012">
        <f>Data!B3024</f>
        <v>0</v>
      </c>
      <c r="H3012" s="21">
        <f>Data!B3024</f>
        <v>0</v>
      </c>
      <c r="I3012" s="21">
        <f>Data!C3024</f>
        <v>0</v>
      </c>
      <c r="J3012">
        <f>Data!D3024</f>
        <v>0</v>
      </c>
      <c r="K3012">
        <f>Data!E3024</f>
        <v>0</v>
      </c>
      <c r="L3012">
        <f>Data!F3024</f>
        <v>0</v>
      </c>
      <c r="M3012">
        <f>Data!G3024</f>
        <v>0</v>
      </c>
      <c r="N3012">
        <f>Data!H3024</f>
        <v>0</v>
      </c>
      <c r="O3012">
        <f>Data!I3024</f>
        <v>0</v>
      </c>
      <c r="P3012" s="21">
        <f>Data!J3028</f>
        <v>0</v>
      </c>
      <c r="Q3012">
        <f>Data!K3028</f>
        <v>0</v>
      </c>
      <c r="R3012">
        <f>Data!L3028</f>
        <v>0</v>
      </c>
      <c r="S3012">
        <f>Data!M3028</f>
        <v>0</v>
      </c>
      <c r="T3012">
        <f>Data!N3028</f>
        <v>0</v>
      </c>
      <c r="U3012">
        <f>Data!O3028</f>
        <v>0</v>
      </c>
      <c r="V3012" s="33">
        <f>Data!P3026</f>
        <v>0</v>
      </c>
    </row>
    <row r="3013" spans="7:22" x14ac:dyDescent="0.25">
      <c r="G3013">
        <f>Data!B3025</f>
        <v>0</v>
      </c>
      <c r="H3013" s="21">
        <f>Data!B3025</f>
        <v>0</v>
      </c>
      <c r="I3013" s="21">
        <f>Data!C3025</f>
        <v>0</v>
      </c>
      <c r="J3013">
        <f>Data!D3025</f>
        <v>0</v>
      </c>
      <c r="K3013">
        <f>Data!E3025</f>
        <v>0</v>
      </c>
      <c r="L3013">
        <f>Data!F3025</f>
        <v>0</v>
      </c>
      <c r="M3013">
        <f>Data!G3025</f>
        <v>0</v>
      </c>
      <c r="N3013">
        <f>Data!H3025</f>
        <v>0</v>
      </c>
      <c r="O3013">
        <f>Data!I3025</f>
        <v>0</v>
      </c>
      <c r="P3013" s="21">
        <f>Data!J3029</f>
        <v>0</v>
      </c>
      <c r="Q3013">
        <f>Data!K3029</f>
        <v>0</v>
      </c>
      <c r="R3013">
        <f>Data!L3029</f>
        <v>0</v>
      </c>
      <c r="S3013">
        <f>Data!M3029</f>
        <v>0</v>
      </c>
      <c r="T3013">
        <f>Data!N3029</f>
        <v>0</v>
      </c>
      <c r="U3013">
        <f>Data!O3029</f>
        <v>0</v>
      </c>
      <c r="V3013" s="33">
        <f>Data!P3027</f>
        <v>0</v>
      </c>
    </row>
    <row r="3014" spans="7:22" x14ac:dyDescent="0.25">
      <c r="G3014">
        <f>Data!B3026</f>
        <v>0</v>
      </c>
      <c r="H3014" s="21">
        <f>Data!B3026</f>
        <v>0</v>
      </c>
      <c r="I3014" s="21">
        <f>Data!C3026</f>
        <v>0</v>
      </c>
      <c r="J3014">
        <f>Data!D3026</f>
        <v>0</v>
      </c>
      <c r="K3014">
        <f>Data!E3026</f>
        <v>0</v>
      </c>
      <c r="L3014">
        <f>Data!F3026</f>
        <v>0</v>
      </c>
      <c r="M3014">
        <f>Data!G3026</f>
        <v>0</v>
      </c>
      <c r="N3014">
        <f>Data!H3026</f>
        <v>0</v>
      </c>
      <c r="O3014">
        <f>Data!I3026</f>
        <v>0</v>
      </c>
      <c r="P3014" s="21">
        <f>Data!J3030</f>
        <v>0</v>
      </c>
      <c r="Q3014">
        <f>Data!K3030</f>
        <v>0</v>
      </c>
      <c r="R3014">
        <f>Data!L3030</f>
        <v>0</v>
      </c>
      <c r="S3014">
        <f>Data!M3030</f>
        <v>0</v>
      </c>
      <c r="T3014">
        <f>Data!N3030</f>
        <v>0</v>
      </c>
      <c r="U3014">
        <f>Data!O3030</f>
        <v>0</v>
      </c>
      <c r="V3014" s="33">
        <f>Data!P3028</f>
        <v>0</v>
      </c>
    </row>
    <row r="3015" spans="7:22" x14ac:dyDescent="0.25">
      <c r="G3015">
        <f>Data!B3027</f>
        <v>0</v>
      </c>
      <c r="H3015" s="21">
        <f>Data!B3027</f>
        <v>0</v>
      </c>
      <c r="I3015" s="21">
        <f>Data!C3027</f>
        <v>0</v>
      </c>
      <c r="J3015">
        <f>Data!D3027</f>
        <v>0</v>
      </c>
      <c r="K3015">
        <f>Data!E3027</f>
        <v>0</v>
      </c>
      <c r="L3015">
        <f>Data!F3027</f>
        <v>0</v>
      </c>
      <c r="M3015">
        <f>Data!G3027</f>
        <v>0</v>
      </c>
      <c r="N3015">
        <f>Data!H3027</f>
        <v>0</v>
      </c>
      <c r="O3015">
        <f>Data!I3027</f>
        <v>0</v>
      </c>
      <c r="P3015" s="21">
        <f>Data!J3031</f>
        <v>0</v>
      </c>
      <c r="Q3015">
        <f>Data!K3031</f>
        <v>0</v>
      </c>
      <c r="R3015">
        <f>Data!L3031</f>
        <v>0</v>
      </c>
      <c r="S3015">
        <f>Data!M3031</f>
        <v>0</v>
      </c>
      <c r="T3015">
        <f>Data!N3031</f>
        <v>0</v>
      </c>
      <c r="U3015">
        <f>Data!O3031</f>
        <v>0</v>
      </c>
      <c r="V3015" s="33">
        <f>Data!P3029</f>
        <v>0</v>
      </c>
    </row>
    <row r="3016" spans="7:22" x14ac:dyDescent="0.25">
      <c r="G3016">
        <f>Data!B3028</f>
        <v>0</v>
      </c>
      <c r="H3016" s="21">
        <f>Data!B3028</f>
        <v>0</v>
      </c>
      <c r="I3016" s="21">
        <f>Data!C3028</f>
        <v>0</v>
      </c>
      <c r="J3016">
        <f>Data!D3028</f>
        <v>0</v>
      </c>
      <c r="K3016">
        <f>Data!E3028</f>
        <v>0</v>
      </c>
      <c r="L3016">
        <f>Data!F3028</f>
        <v>0</v>
      </c>
      <c r="M3016">
        <f>Data!G3028</f>
        <v>0</v>
      </c>
      <c r="N3016">
        <f>Data!H3028</f>
        <v>0</v>
      </c>
      <c r="O3016">
        <f>Data!I3028</f>
        <v>0</v>
      </c>
      <c r="P3016" s="21">
        <f>Data!J3032</f>
        <v>0</v>
      </c>
      <c r="Q3016">
        <f>Data!K3032</f>
        <v>0</v>
      </c>
      <c r="R3016">
        <f>Data!L3032</f>
        <v>0</v>
      </c>
      <c r="S3016">
        <f>Data!M3032</f>
        <v>0</v>
      </c>
      <c r="T3016">
        <f>Data!N3032</f>
        <v>0</v>
      </c>
      <c r="U3016">
        <f>Data!O3032</f>
        <v>0</v>
      </c>
      <c r="V3016" s="33">
        <f>Data!P3030</f>
        <v>0</v>
      </c>
    </row>
    <row r="3017" spans="7:22" x14ac:dyDescent="0.25">
      <c r="G3017">
        <f>Data!B3029</f>
        <v>0</v>
      </c>
      <c r="H3017" s="21">
        <f>Data!B3029</f>
        <v>0</v>
      </c>
      <c r="I3017" s="21">
        <f>Data!C3029</f>
        <v>0</v>
      </c>
      <c r="J3017">
        <f>Data!D3029</f>
        <v>0</v>
      </c>
      <c r="K3017">
        <f>Data!E3029</f>
        <v>0</v>
      </c>
      <c r="L3017">
        <f>Data!F3029</f>
        <v>0</v>
      </c>
      <c r="M3017">
        <f>Data!G3029</f>
        <v>0</v>
      </c>
      <c r="N3017">
        <f>Data!H3029</f>
        <v>0</v>
      </c>
      <c r="O3017">
        <f>Data!I3029</f>
        <v>0</v>
      </c>
      <c r="P3017" s="21">
        <f>Data!J3033</f>
        <v>0</v>
      </c>
      <c r="Q3017">
        <f>Data!K3033</f>
        <v>0</v>
      </c>
      <c r="R3017">
        <f>Data!L3033</f>
        <v>0</v>
      </c>
      <c r="S3017">
        <f>Data!M3033</f>
        <v>0</v>
      </c>
      <c r="T3017">
        <f>Data!N3033</f>
        <v>0</v>
      </c>
      <c r="U3017">
        <f>Data!O3033</f>
        <v>0</v>
      </c>
      <c r="V3017" s="33">
        <f>Data!P3031</f>
        <v>0</v>
      </c>
    </row>
    <row r="3018" spans="7:22" x14ac:dyDescent="0.25">
      <c r="G3018">
        <f>Data!B3030</f>
        <v>0</v>
      </c>
      <c r="H3018" s="21">
        <f>Data!B3030</f>
        <v>0</v>
      </c>
      <c r="I3018" s="21">
        <f>Data!C3030</f>
        <v>0</v>
      </c>
      <c r="J3018">
        <f>Data!D3030</f>
        <v>0</v>
      </c>
      <c r="K3018">
        <f>Data!E3030</f>
        <v>0</v>
      </c>
      <c r="L3018">
        <f>Data!F3030</f>
        <v>0</v>
      </c>
      <c r="M3018">
        <f>Data!G3030</f>
        <v>0</v>
      </c>
      <c r="N3018">
        <f>Data!H3030</f>
        <v>0</v>
      </c>
      <c r="O3018">
        <f>Data!I3030</f>
        <v>0</v>
      </c>
      <c r="P3018" s="21">
        <f>Data!J3034</f>
        <v>0</v>
      </c>
      <c r="Q3018">
        <f>Data!K3034</f>
        <v>0</v>
      </c>
      <c r="R3018">
        <f>Data!L3034</f>
        <v>0</v>
      </c>
      <c r="S3018">
        <f>Data!M3034</f>
        <v>0</v>
      </c>
      <c r="T3018">
        <f>Data!N3034</f>
        <v>0</v>
      </c>
      <c r="U3018">
        <f>Data!O3034</f>
        <v>0</v>
      </c>
      <c r="V3018" s="33">
        <f>Data!P3032</f>
        <v>0</v>
      </c>
    </row>
    <row r="3019" spans="7:22" x14ac:dyDescent="0.25">
      <c r="G3019">
        <f>Data!B3031</f>
        <v>0</v>
      </c>
      <c r="H3019" s="21">
        <f>Data!B3031</f>
        <v>0</v>
      </c>
      <c r="I3019" s="21">
        <f>Data!C3031</f>
        <v>0</v>
      </c>
      <c r="J3019">
        <f>Data!D3031</f>
        <v>0</v>
      </c>
      <c r="K3019">
        <f>Data!E3031</f>
        <v>0</v>
      </c>
      <c r="L3019">
        <f>Data!F3031</f>
        <v>0</v>
      </c>
      <c r="M3019">
        <f>Data!G3031</f>
        <v>0</v>
      </c>
      <c r="N3019">
        <f>Data!H3031</f>
        <v>0</v>
      </c>
      <c r="O3019">
        <f>Data!I3031</f>
        <v>0</v>
      </c>
      <c r="P3019" s="21">
        <f>Data!J3035</f>
        <v>0</v>
      </c>
      <c r="Q3019">
        <f>Data!K3035</f>
        <v>0</v>
      </c>
      <c r="R3019">
        <f>Data!L3035</f>
        <v>0</v>
      </c>
      <c r="S3019">
        <f>Data!M3035</f>
        <v>0</v>
      </c>
      <c r="T3019">
        <f>Data!N3035</f>
        <v>0</v>
      </c>
      <c r="U3019">
        <f>Data!O3035</f>
        <v>0</v>
      </c>
      <c r="V3019" s="33">
        <f>Data!P3033</f>
        <v>0</v>
      </c>
    </row>
    <row r="3020" spans="7:22" x14ac:dyDescent="0.25">
      <c r="G3020">
        <f>Data!B3032</f>
        <v>0</v>
      </c>
      <c r="H3020" s="21">
        <f>Data!B3032</f>
        <v>0</v>
      </c>
      <c r="I3020" s="21">
        <f>Data!C3032</f>
        <v>0</v>
      </c>
      <c r="J3020">
        <f>Data!D3032</f>
        <v>0</v>
      </c>
      <c r="K3020">
        <f>Data!E3032</f>
        <v>0</v>
      </c>
      <c r="L3020">
        <f>Data!F3032</f>
        <v>0</v>
      </c>
      <c r="M3020">
        <f>Data!G3032</f>
        <v>0</v>
      </c>
      <c r="N3020">
        <f>Data!H3032</f>
        <v>0</v>
      </c>
      <c r="O3020">
        <f>Data!I3032</f>
        <v>0</v>
      </c>
      <c r="P3020" s="21">
        <f>Data!J3036</f>
        <v>0</v>
      </c>
      <c r="Q3020">
        <f>Data!K3036</f>
        <v>0</v>
      </c>
      <c r="R3020">
        <f>Data!L3036</f>
        <v>0</v>
      </c>
      <c r="S3020">
        <f>Data!M3036</f>
        <v>0</v>
      </c>
      <c r="T3020">
        <f>Data!N3036</f>
        <v>0</v>
      </c>
      <c r="U3020">
        <f>Data!O3036</f>
        <v>0</v>
      </c>
      <c r="V3020" s="33">
        <f>Data!P3034</f>
        <v>0</v>
      </c>
    </row>
    <row r="3021" spans="7:22" x14ac:dyDescent="0.25">
      <c r="G3021">
        <f>Data!B3033</f>
        <v>0</v>
      </c>
      <c r="H3021" s="21">
        <f>Data!B3033</f>
        <v>0</v>
      </c>
      <c r="I3021" s="21">
        <f>Data!C3033</f>
        <v>0</v>
      </c>
      <c r="J3021">
        <f>Data!D3033</f>
        <v>0</v>
      </c>
      <c r="K3021">
        <f>Data!E3033</f>
        <v>0</v>
      </c>
      <c r="L3021">
        <f>Data!F3033</f>
        <v>0</v>
      </c>
      <c r="M3021">
        <f>Data!G3033</f>
        <v>0</v>
      </c>
      <c r="N3021">
        <f>Data!H3033</f>
        <v>0</v>
      </c>
      <c r="O3021">
        <f>Data!I3033</f>
        <v>0</v>
      </c>
      <c r="P3021" s="21">
        <f>Data!J3037</f>
        <v>0</v>
      </c>
      <c r="Q3021">
        <f>Data!K3037</f>
        <v>0</v>
      </c>
      <c r="R3021">
        <f>Data!L3037</f>
        <v>0</v>
      </c>
      <c r="S3021">
        <f>Data!M3037</f>
        <v>0</v>
      </c>
      <c r="T3021">
        <f>Data!N3037</f>
        <v>0</v>
      </c>
      <c r="U3021">
        <f>Data!O3037</f>
        <v>0</v>
      </c>
      <c r="V3021" s="33">
        <f>Data!P3035</f>
        <v>0</v>
      </c>
    </row>
    <row r="3022" spans="7:22" x14ac:dyDescent="0.25">
      <c r="G3022">
        <f>Data!B3034</f>
        <v>0</v>
      </c>
      <c r="H3022" s="21">
        <f>Data!B3034</f>
        <v>0</v>
      </c>
      <c r="I3022" s="21">
        <f>Data!C3034</f>
        <v>0</v>
      </c>
      <c r="J3022">
        <f>Data!D3034</f>
        <v>0</v>
      </c>
      <c r="K3022">
        <f>Data!E3034</f>
        <v>0</v>
      </c>
      <c r="L3022">
        <f>Data!F3034</f>
        <v>0</v>
      </c>
      <c r="M3022">
        <f>Data!G3034</f>
        <v>0</v>
      </c>
      <c r="N3022">
        <f>Data!H3034</f>
        <v>0</v>
      </c>
      <c r="O3022">
        <f>Data!I3034</f>
        <v>0</v>
      </c>
      <c r="P3022" s="21">
        <f>Data!J3038</f>
        <v>0</v>
      </c>
      <c r="Q3022">
        <f>Data!K3038</f>
        <v>0</v>
      </c>
      <c r="R3022">
        <f>Data!L3038</f>
        <v>0</v>
      </c>
      <c r="S3022">
        <f>Data!M3038</f>
        <v>0</v>
      </c>
      <c r="T3022">
        <f>Data!N3038</f>
        <v>0</v>
      </c>
      <c r="U3022">
        <f>Data!O3038</f>
        <v>0</v>
      </c>
      <c r="V3022" s="33">
        <f>Data!P3036</f>
        <v>0</v>
      </c>
    </row>
    <row r="3023" spans="7:22" x14ac:dyDescent="0.25">
      <c r="G3023">
        <f>Data!B3035</f>
        <v>0</v>
      </c>
      <c r="H3023" s="21">
        <f>Data!B3035</f>
        <v>0</v>
      </c>
      <c r="I3023" s="21">
        <f>Data!C3035</f>
        <v>0</v>
      </c>
      <c r="J3023">
        <f>Data!D3035</f>
        <v>0</v>
      </c>
      <c r="K3023">
        <f>Data!E3035</f>
        <v>0</v>
      </c>
      <c r="L3023">
        <f>Data!F3035</f>
        <v>0</v>
      </c>
      <c r="M3023">
        <f>Data!G3035</f>
        <v>0</v>
      </c>
      <c r="N3023">
        <f>Data!H3035</f>
        <v>0</v>
      </c>
      <c r="O3023">
        <f>Data!I3035</f>
        <v>0</v>
      </c>
      <c r="P3023" s="21">
        <f>Data!J3039</f>
        <v>0</v>
      </c>
      <c r="Q3023">
        <f>Data!K3039</f>
        <v>0</v>
      </c>
      <c r="R3023">
        <f>Data!L3039</f>
        <v>0</v>
      </c>
      <c r="S3023">
        <f>Data!M3039</f>
        <v>0</v>
      </c>
      <c r="T3023">
        <f>Data!N3039</f>
        <v>0</v>
      </c>
      <c r="U3023">
        <f>Data!O3039</f>
        <v>0</v>
      </c>
      <c r="V3023" s="33">
        <f>Data!P3037</f>
        <v>0</v>
      </c>
    </row>
    <row r="3024" spans="7:22" x14ac:dyDescent="0.25">
      <c r="G3024">
        <f>Data!B3036</f>
        <v>0</v>
      </c>
      <c r="H3024" s="21">
        <f>Data!B3036</f>
        <v>0</v>
      </c>
      <c r="I3024" s="21">
        <f>Data!C3036</f>
        <v>0</v>
      </c>
      <c r="J3024">
        <f>Data!D3036</f>
        <v>0</v>
      </c>
      <c r="K3024">
        <f>Data!E3036</f>
        <v>0</v>
      </c>
      <c r="L3024">
        <f>Data!F3036</f>
        <v>0</v>
      </c>
      <c r="M3024">
        <f>Data!G3036</f>
        <v>0</v>
      </c>
      <c r="N3024">
        <f>Data!H3036</f>
        <v>0</v>
      </c>
      <c r="O3024">
        <f>Data!I3036</f>
        <v>0</v>
      </c>
      <c r="P3024" s="21">
        <f>Data!J3040</f>
        <v>0</v>
      </c>
      <c r="Q3024">
        <f>Data!K3040</f>
        <v>0</v>
      </c>
      <c r="R3024">
        <f>Data!L3040</f>
        <v>0</v>
      </c>
      <c r="S3024">
        <f>Data!M3040</f>
        <v>0</v>
      </c>
      <c r="T3024">
        <f>Data!N3040</f>
        <v>0</v>
      </c>
      <c r="U3024">
        <f>Data!O3040</f>
        <v>0</v>
      </c>
      <c r="V3024" s="33">
        <f>Data!P3038</f>
        <v>0</v>
      </c>
    </row>
    <row r="3025" spans="7:22" x14ac:dyDescent="0.25">
      <c r="G3025">
        <f>Data!B3037</f>
        <v>0</v>
      </c>
      <c r="H3025" s="21">
        <f>Data!B3037</f>
        <v>0</v>
      </c>
      <c r="I3025" s="21">
        <f>Data!C3037</f>
        <v>0</v>
      </c>
      <c r="J3025">
        <f>Data!D3037</f>
        <v>0</v>
      </c>
      <c r="K3025">
        <f>Data!E3037</f>
        <v>0</v>
      </c>
      <c r="L3025">
        <f>Data!F3037</f>
        <v>0</v>
      </c>
      <c r="M3025">
        <f>Data!G3037</f>
        <v>0</v>
      </c>
      <c r="N3025">
        <f>Data!H3037</f>
        <v>0</v>
      </c>
      <c r="O3025">
        <f>Data!I3037</f>
        <v>0</v>
      </c>
      <c r="P3025" s="21">
        <f>Data!J3041</f>
        <v>0</v>
      </c>
      <c r="Q3025">
        <f>Data!K3041</f>
        <v>0</v>
      </c>
      <c r="R3025">
        <f>Data!L3041</f>
        <v>0</v>
      </c>
      <c r="S3025">
        <f>Data!M3041</f>
        <v>0</v>
      </c>
      <c r="T3025">
        <f>Data!N3041</f>
        <v>0</v>
      </c>
      <c r="U3025">
        <f>Data!O3041</f>
        <v>0</v>
      </c>
      <c r="V3025" s="33">
        <f>Data!P3039</f>
        <v>0</v>
      </c>
    </row>
    <row r="3026" spans="7:22" x14ac:dyDescent="0.25">
      <c r="G3026">
        <f>Data!B3038</f>
        <v>0</v>
      </c>
      <c r="H3026" s="21">
        <f>Data!B3038</f>
        <v>0</v>
      </c>
      <c r="I3026" s="21">
        <f>Data!C3038</f>
        <v>0</v>
      </c>
      <c r="J3026">
        <f>Data!D3038</f>
        <v>0</v>
      </c>
      <c r="K3026">
        <f>Data!E3038</f>
        <v>0</v>
      </c>
      <c r="L3026">
        <f>Data!F3038</f>
        <v>0</v>
      </c>
      <c r="M3026">
        <f>Data!G3038</f>
        <v>0</v>
      </c>
      <c r="N3026">
        <f>Data!H3038</f>
        <v>0</v>
      </c>
      <c r="O3026">
        <f>Data!I3038</f>
        <v>0</v>
      </c>
      <c r="P3026" s="21">
        <f>Data!J3042</f>
        <v>0</v>
      </c>
      <c r="Q3026">
        <f>Data!K3042</f>
        <v>0</v>
      </c>
      <c r="R3026">
        <f>Data!L3042</f>
        <v>0</v>
      </c>
      <c r="S3026">
        <f>Data!M3042</f>
        <v>0</v>
      </c>
      <c r="T3026">
        <f>Data!N3042</f>
        <v>0</v>
      </c>
      <c r="U3026">
        <f>Data!O3042</f>
        <v>0</v>
      </c>
      <c r="V3026" s="33">
        <f>Data!P3040</f>
        <v>0</v>
      </c>
    </row>
    <row r="3027" spans="7:22" x14ac:dyDescent="0.25">
      <c r="G3027">
        <f>Data!B3039</f>
        <v>0</v>
      </c>
      <c r="H3027" s="21">
        <f>Data!B3039</f>
        <v>0</v>
      </c>
      <c r="I3027" s="21">
        <f>Data!C3039</f>
        <v>0</v>
      </c>
      <c r="J3027">
        <f>Data!D3039</f>
        <v>0</v>
      </c>
      <c r="K3027">
        <f>Data!E3039</f>
        <v>0</v>
      </c>
      <c r="L3027">
        <f>Data!F3039</f>
        <v>0</v>
      </c>
      <c r="M3027">
        <f>Data!G3039</f>
        <v>0</v>
      </c>
      <c r="N3027">
        <f>Data!H3039</f>
        <v>0</v>
      </c>
      <c r="O3027">
        <f>Data!I3039</f>
        <v>0</v>
      </c>
      <c r="P3027" s="21">
        <f>Data!J3043</f>
        <v>0</v>
      </c>
      <c r="Q3027">
        <f>Data!K3043</f>
        <v>0</v>
      </c>
      <c r="R3027">
        <f>Data!L3043</f>
        <v>0</v>
      </c>
      <c r="S3027">
        <f>Data!M3043</f>
        <v>0</v>
      </c>
      <c r="T3027">
        <f>Data!N3043</f>
        <v>0</v>
      </c>
      <c r="U3027">
        <f>Data!O3043</f>
        <v>0</v>
      </c>
      <c r="V3027" s="33">
        <f>Data!P3041</f>
        <v>0</v>
      </c>
    </row>
    <row r="3028" spans="7:22" x14ac:dyDescent="0.25">
      <c r="G3028">
        <f>Data!B3040</f>
        <v>0</v>
      </c>
      <c r="H3028" s="21">
        <f>Data!B3040</f>
        <v>0</v>
      </c>
      <c r="I3028" s="21">
        <f>Data!C3040</f>
        <v>0</v>
      </c>
      <c r="J3028">
        <f>Data!D3040</f>
        <v>0</v>
      </c>
      <c r="K3028">
        <f>Data!E3040</f>
        <v>0</v>
      </c>
      <c r="L3028">
        <f>Data!F3040</f>
        <v>0</v>
      </c>
      <c r="M3028">
        <f>Data!G3040</f>
        <v>0</v>
      </c>
      <c r="N3028">
        <f>Data!H3040</f>
        <v>0</v>
      </c>
      <c r="O3028">
        <f>Data!I3040</f>
        <v>0</v>
      </c>
      <c r="P3028" s="21">
        <f>Data!J3044</f>
        <v>0</v>
      </c>
      <c r="Q3028">
        <f>Data!K3044</f>
        <v>0</v>
      </c>
      <c r="R3028">
        <f>Data!L3044</f>
        <v>0</v>
      </c>
      <c r="S3028">
        <f>Data!M3044</f>
        <v>0</v>
      </c>
      <c r="T3028">
        <f>Data!N3044</f>
        <v>0</v>
      </c>
      <c r="U3028">
        <f>Data!O3044</f>
        <v>0</v>
      </c>
      <c r="V3028" s="33">
        <f>Data!P3042</f>
        <v>0</v>
      </c>
    </row>
    <row r="3029" spans="7:22" x14ac:dyDescent="0.25">
      <c r="G3029">
        <f>Data!B3041</f>
        <v>0</v>
      </c>
      <c r="H3029" s="21">
        <f>Data!B3041</f>
        <v>0</v>
      </c>
      <c r="I3029" s="21">
        <f>Data!C3041</f>
        <v>0</v>
      </c>
      <c r="J3029">
        <f>Data!D3041</f>
        <v>0</v>
      </c>
      <c r="K3029">
        <f>Data!E3041</f>
        <v>0</v>
      </c>
      <c r="L3029">
        <f>Data!F3041</f>
        <v>0</v>
      </c>
      <c r="M3029">
        <f>Data!G3041</f>
        <v>0</v>
      </c>
      <c r="N3029">
        <f>Data!H3041</f>
        <v>0</v>
      </c>
      <c r="O3029">
        <f>Data!I3041</f>
        <v>0</v>
      </c>
      <c r="P3029" s="21">
        <f>Data!J3045</f>
        <v>0</v>
      </c>
      <c r="Q3029">
        <f>Data!K3045</f>
        <v>0</v>
      </c>
      <c r="R3029">
        <f>Data!L3045</f>
        <v>0</v>
      </c>
      <c r="S3029">
        <f>Data!M3045</f>
        <v>0</v>
      </c>
      <c r="T3029">
        <f>Data!N3045</f>
        <v>0</v>
      </c>
      <c r="U3029">
        <f>Data!O3045</f>
        <v>0</v>
      </c>
      <c r="V3029" s="33">
        <f>Data!P3043</f>
        <v>0</v>
      </c>
    </row>
    <row r="3030" spans="7:22" x14ac:dyDescent="0.25">
      <c r="G3030">
        <f>Data!B3042</f>
        <v>0</v>
      </c>
      <c r="H3030" s="21">
        <f>Data!B3042</f>
        <v>0</v>
      </c>
      <c r="I3030" s="21">
        <f>Data!C3042</f>
        <v>0</v>
      </c>
      <c r="J3030">
        <f>Data!D3042</f>
        <v>0</v>
      </c>
      <c r="K3030">
        <f>Data!E3042</f>
        <v>0</v>
      </c>
      <c r="L3030">
        <f>Data!F3042</f>
        <v>0</v>
      </c>
      <c r="M3030">
        <f>Data!G3042</f>
        <v>0</v>
      </c>
      <c r="N3030">
        <f>Data!H3042</f>
        <v>0</v>
      </c>
      <c r="O3030">
        <f>Data!I3042</f>
        <v>0</v>
      </c>
      <c r="P3030" s="21">
        <f>Data!J3046</f>
        <v>0</v>
      </c>
      <c r="Q3030">
        <f>Data!K3046</f>
        <v>0</v>
      </c>
      <c r="R3030">
        <f>Data!L3046</f>
        <v>0</v>
      </c>
      <c r="S3030">
        <f>Data!M3046</f>
        <v>0</v>
      </c>
      <c r="T3030">
        <f>Data!N3046</f>
        <v>0</v>
      </c>
      <c r="U3030">
        <f>Data!O3046</f>
        <v>0</v>
      </c>
      <c r="V3030" s="33">
        <f>Data!P3044</f>
        <v>0</v>
      </c>
    </row>
    <row r="3031" spans="7:22" x14ac:dyDescent="0.25">
      <c r="G3031">
        <f>Data!B3043</f>
        <v>0</v>
      </c>
      <c r="H3031" s="21">
        <f>Data!B3043</f>
        <v>0</v>
      </c>
      <c r="I3031" s="21">
        <f>Data!C3043</f>
        <v>0</v>
      </c>
      <c r="J3031">
        <f>Data!D3043</f>
        <v>0</v>
      </c>
      <c r="K3031">
        <f>Data!E3043</f>
        <v>0</v>
      </c>
      <c r="L3031">
        <f>Data!F3043</f>
        <v>0</v>
      </c>
      <c r="M3031">
        <f>Data!G3043</f>
        <v>0</v>
      </c>
      <c r="N3031">
        <f>Data!H3043</f>
        <v>0</v>
      </c>
      <c r="O3031">
        <f>Data!I3043</f>
        <v>0</v>
      </c>
      <c r="P3031" s="21">
        <f>Data!J3047</f>
        <v>0</v>
      </c>
      <c r="Q3031">
        <f>Data!K3047</f>
        <v>0</v>
      </c>
      <c r="R3031">
        <f>Data!L3047</f>
        <v>0</v>
      </c>
      <c r="S3031">
        <f>Data!M3047</f>
        <v>0</v>
      </c>
      <c r="T3031">
        <f>Data!N3047</f>
        <v>0</v>
      </c>
      <c r="U3031">
        <f>Data!O3047</f>
        <v>0</v>
      </c>
      <c r="V3031" s="33">
        <f>Data!P3045</f>
        <v>0</v>
      </c>
    </row>
    <row r="3032" spans="7:22" x14ac:dyDescent="0.25">
      <c r="G3032">
        <f>Data!B3044</f>
        <v>0</v>
      </c>
      <c r="H3032" s="21">
        <f>Data!B3044</f>
        <v>0</v>
      </c>
      <c r="I3032" s="21">
        <f>Data!C3044</f>
        <v>0</v>
      </c>
      <c r="J3032">
        <f>Data!D3044</f>
        <v>0</v>
      </c>
      <c r="K3032">
        <f>Data!E3044</f>
        <v>0</v>
      </c>
      <c r="L3032">
        <f>Data!F3044</f>
        <v>0</v>
      </c>
      <c r="M3032">
        <f>Data!G3044</f>
        <v>0</v>
      </c>
      <c r="N3032">
        <f>Data!H3044</f>
        <v>0</v>
      </c>
      <c r="O3032">
        <f>Data!I3044</f>
        <v>0</v>
      </c>
      <c r="P3032" s="21">
        <f>Data!J3048</f>
        <v>0</v>
      </c>
      <c r="Q3032">
        <f>Data!K3048</f>
        <v>0</v>
      </c>
      <c r="R3032">
        <f>Data!L3048</f>
        <v>0</v>
      </c>
      <c r="S3032">
        <f>Data!M3048</f>
        <v>0</v>
      </c>
      <c r="T3032">
        <f>Data!N3048</f>
        <v>0</v>
      </c>
      <c r="U3032">
        <f>Data!O3048</f>
        <v>0</v>
      </c>
      <c r="V3032" s="33">
        <f>Data!P3046</f>
        <v>0</v>
      </c>
    </row>
    <row r="3033" spans="7:22" x14ac:dyDescent="0.25">
      <c r="G3033">
        <f>Data!B3045</f>
        <v>0</v>
      </c>
      <c r="H3033" s="21">
        <f>Data!B3045</f>
        <v>0</v>
      </c>
      <c r="I3033" s="21">
        <f>Data!C3045</f>
        <v>0</v>
      </c>
      <c r="J3033">
        <f>Data!D3045</f>
        <v>0</v>
      </c>
      <c r="K3033">
        <f>Data!E3045</f>
        <v>0</v>
      </c>
      <c r="L3033">
        <f>Data!F3045</f>
        <v>0</v>
      </c>
      <c r="M3033">
        <f>Data!G3045</f>
        <v>0</v>
      </c>
      <c r="N3033">
        <f>Data!H3045</f>
        <v>0</v>
      </c>
      <c r="O3033">
        <f>Data!I3045</f>
        <v>0</v>
      </c>
      <c r="P3033" s="21">
        <f>Data!J3049</f>
        <v>0</v>
      </c>
      <c r="Q3033">
        <f>Data!K3049</f>
        <v>0</v>
      </c>
      <c r="R3033">
        <f>Data!L3049</f>
        <v>0</v>
      </c>
      <c r="S3033">
        <f>Data!M3049</f>
        <v>0</v>
      </c>
      <c r="T3033">
        <f>Data!N3049</f>
        <v>0</v>
      </c>
      <c r="U3033">
        <f>Data!O3049</f>
        <v>0</v>
      </c>
      <c r="V3033" s="33">
        <f>Data!P3047</f>
        <v>0</v>
      </c>
    </row>
    <row r="3034" spans="7:22" x14ac:dyDescent="0.25">
      <c r="G3034">
        <f>Data!B3046</f>
        <v>0</v>
      </c>
      <c r="H3034" s="21">
        <f>Data!B3046</f>
        <v>0</v>
      </c>
      <c r="I3034" s="21">
        <f>Data!C3046</f>
        <v>0</v>
      </c>
      <c r="J3034">
        <f>Data!D3046</f>
        <v>0</v>
      </c>
      <c r="K3034">
        <f>Data!E3046</f>
        <v>0</v>
      </c>
      <c r="L3034">
        <f>Data!F3046</f>
        <v>0</v>
      </c>
      <c r="M3034">
        <f>Data!G3046</f>
        <v>0</v>
      </c>
      <c r="N3034">
        <f>Data!H3046</f>
        <v>0</v>
      </c>
      <c r="O3034">
        <f>Data!I3046</f>
        <v>0</v>
      </c>
      <c r="P3034" s="21">
        <f>Data!J3050</f>
        <v>0</v>
      </c>
      <c r="Q3034">
        <f>Data!K3050</f>
        <v>0</v>
      </c>
      <c r="R3034">
        <f>Data!L3050</f>
        <v>0</v>
      </c>
      <c r="S3034">
        <f>Data!M3050</f>
        <v>0</v>
      </c>
      <c r="T3034">
        <f>Data!N3050</f>
        <v>0</v>
      </c>
      <c r="U3034">
        <f>Data!O3050</f>
        <v>0</v>
      </c>
      <c r="V3034" s="33">
        <f>Data!P3048</f>
        <v>0</v>
      </c>
    </row>
    <row r="3035" spans="7:22" x14ac:dyDescent="0.25">
      <c r="G3035">
        <f>Data!B3047</f>
        <v>0</v>
      </c>
      <c r="H3035" s="21">
        <f>Data!B3047</f>
        <v>0</v>
      </c>
      <c r="I3035" s="21">
        <f>Data!C3047</f>
        <v>0</v>
      </c>
      <c r="J3035">
        <f>Data!D3047</f>
        <v>0</v>
      </c>
      <c r="K3035">
        <f>Data!E3047</f>
        <v>0</v>
      </c>
      <c r="L3035">
        <f>Data!F3047</f>
        <v>0</v>
      </c>
      <c r="M3035">
        <f>Data!G3047</f>
        <v>0</v>
      </c>
      <c r="N3035">
        <f>Data!H3047</f>
        <v>0</v>
      </c>
      <c r="O3035">
        <f>Data!I3047</f>
        <v>0</v>
      </c>
      <c r="P3035" s="21">
        <f>Data!J3051</f>
        <v>0</v>
      </c>
      <c r="Q3035">
        <f>Data!K3051</f>
        <v>0</v>
      </c>
      <c r="R3035">
        <f>Data!L3051</f>
        <v>0</v>
      </c>
      <c r="S3035">
        <f>Data!M3051</f>
        <v>0</v>
      </c>
      <c r="T3035">
        <f>Data!N3051</f>
        <v>0</v>
      </c>
      <c r="U3035">
        <f>Data!O3051</f>
        <v>0</v>
      </c>
      <c r="V3035" s="33">
        <f>Data!P3049</f>
        <v>0</v>
      </c>
    </row>
    <row r="3036" spans="7:22" x14ac:dyDescent="0.25">
      <c r="G3036">
        <f>Data!B3048</f>
        <v>0</v>
      </c>
      <c r="H3036" s="21">
        <f>Data!B3048</f>
        <v>0</v>
      </c>
      <c r="I3036" s="21">
        <f>Data!C3048</f>
        <v>0</v>
      </c>
      <c r="J3036">
        <f>Data!D3048</f>
        <v>0</v>
      </c>
      <c r="K3036">
        <f>Data!E3048</f>
        <v>0</v>
      </c>
      <c r="L3036">
        <f>Data!F3048</f>
        <v>0</v>
      </c>
      <c r="M3036">
        <f>Data!G3048</f>
        <v>0</v>
      </c>
      <c r="N3036">
        <f>Data!H3048</f>
        <v>0</v>
      </c>
      <c r="O3036">
        <f>Data!I3048</f>
        <v>0</v>
      </c>
      <c r="P3036" s="21">
        <f>Data!J3052</f>
        <v>0</v>
      </c>
      <c r="Q3036">
        <f>Data!K3052</f>
        <v>0</v>
      </c>
      <c r="R3036">
        <f>Data!L3052</f>
        <v>0</v>
      </c>
      <c r="S3036">
        <f>Data!M3052</f>
        <v>0</v>
      </c>
      <c r="T3036">
        <f>Data!N3052</f>
        <v>0</v>
      </c>
      <c r="U3036">
        <f>Data!O3052</f>
        <v>0</v>
      </c>
      <c r="V3036" s="33">
        <f>Data!P3050</f>
        <v>0</v>
      </c>
    </row>
    <row r="3037" spans="7:22" x14ac:dyDescent="0.25">
      <c r="G3037">
        <f>Data!B3049</f>
        <v>0</v>
      </c>
      <c r="H3037" s="21">
        <f>Data!B3049</f>
        <v>0</v>
      </c>
      <c r="I3037" s="21">
        <f>Data!C3049</f>
        <v>0</v>
      </c>
      <c r="J3037">
        <f>Data!D3049</f>
        <v>0</v>
      </c>
      <c r="K3037">
        <f>Data!E3049</f>
        <v>0</v>
      </c>
      <c r="L3037">
        <f>Data!F3049</f>
        <v>0</v>
      </c>
      <c r="M3037">
        <f>Data!G3049</f>
        <v>0</v>
      </c>
      <c r="N3037">
        <f>Data!H3049</f>
        <v>0</v>
      </c>
      <c r="O3037">
        <f>Data!I3049</f>
        <v>0</v>
      </c>
      <c r="P3037" s="21">
        <f>Data!J3053</f>
        <v>0</v>
      </c>
      <c r="Q3037">
        <f>Data!K3053</f>
        <v>0</v>
      </c>
      <c r="R3037">
        <f>Data!L3053</f>
        <v>0</v>
      </c>
      <c r="S3037">
        <f>Data!M3053</f>
        <v>0</v>
      </c>
      <c r="T3037">
        <f>Data!N3053</f>
        <v>0</v>
      </c>
      <c r="U3037">
        <f>Data!O3053</f>
        <v>0</v>
      </c>
      <c r="V3037" s="33">
        <f>Data!P3051</f>
        <v>0</v>
      </c>
    </row>
    <row r="3038" spans="7:22" x14ac:dyDescent="0.25">
      <c r="G3038">
        <f>Data!B3050</f>
        <v>0</v>
      </c>
      <c r="H3038" s="21">
        <f>Data!B3050</f>
        <v>0</v>
      </c>
      <c r="I3038" s="21">
        <f>Data!C3050</f>
        <v>0</v>
      </c>
      <c r="J3038">
        <f>Data!D3050</f>
        <v>0</v>
      </c>
      <c r="K3038">
        <f>Data!E3050</f>
        <v>0</v>
      </c>
      <c r="L3038">
        <f>Data!F3050</f>
        <v>0</v>
      </c>
      <c r="M3038">
        <f>Data!G3050</f>
        <v>0</v>
      </c>
      <c r="N3038">
        <f>Data!H3050</f>
        <v>0</v>
      </c>
      <c r="O3038">
        <f>Data!I3050</f>
        <v>0</v>
      </c>
      <c r="P3038" s="21">
        <f>Data!J3054</f>
        <v>0</v>
      </c>
      <c r="Q3038">
        <f>Data!K3054</f>
        <v>0</v>
      </c>
      <c r="R3038">
        <f>Data!L3054</f>
        <v>0</v>
      </c>
      <c r="S3038">
        <f>Data!M3054</f>
        <v>0</v>
      </c>
      <c r="T3038">
        <f>Data!N3054</f>
        <v>0</v>
      </c>
      <c r="U3038">
        <f>Data!O3054</f>
        <v>0</v>
      </c>
      <c r="V3038" s="33">
        <f>Data!P3052</f>
        <v>0</v>
      </c>
    </row>
    <row r="3039" spans="7:22" x14ac:dyDescent="0.25">
      <c r="G3039">
        <f>Data!B3051</f>
        <v>0</v>
      </c>
      <c r="H3039" s="21">
        <f>Data!B3051</f>
        <v>0</v>
      </c>
      <c r="I3039" s="21">
        <f>Data!C3051</f>
        <v>0</v>
      </c>
      <c r="J3039">
        <f>Data!D3051</f>
        <v>0</v>
      </c>
      <c r="K3039">
        <f>Data!E3051</f>
        <v>0</v>
      </c>
      <c r="L3039">
        <f>Data!F3051</f>
        <v>0</v>
      </c>
      <c r="M3039">
        <f>Data!G3051</f>
        <v>0</v>
      </c>
      <c r="N3039">
        <f>Data!H3051</f>
        <v>0</v>
      </c>
      <c r="O3039">
        <f>Data!I3051</f>
        <v>0</v>
      </c>
      <c r="P3039" s="21">
        <f>Data!J3055</f>
        <v>0</v>
      </c>
      <c r="Q3039">
        <f>Data!K3055</f>
        <v>0</v>
      </c>
      <c r="R3039">
        <f>Data!L3055</f>
        <v>0</v>
      </c>
      <c r="S3039">
        <f>Data!M3055</f>
        <v>0</v>
      </c>
      <c r="T3039">
        <f>Data!N3055</f>
        <v>0</v>
      </c>
      <c r="U3039">
        <f>Data!O3055</f>
        <v>0</v>
      </c>
      <c r="V3039" s="33">
        <f>Data!P3053</f>
        <v>0</v>
      </c>
    </row>
    <row r="3040" spans="7:22" x14ac:dyDescent="0.25">
      <c r="G3040">
        <f>Data!B3052</f>
        <v>0</v>
      </c>
      <c r="H3040" s="21">
        <f>Data!B3052</f>
        <v>0</v>
      </c>
      <c r="I3040" s="21">
        <f>Data!C3052</f>
        <v>0</v>
      </c>
      <c r="J3040">
        <f>Data!D3052</f>
        <v>0</v>
      </c>
      <c r="K3040">
        <f>Data!E3052</f>
        <v>0</v>
      </c>
      <c r="L3040">
        <f>Data!F3052</f>
        <v>0</v>
      </c>
      <c r="M3040">
        <f>Data!G3052</f>
        <v>0</v>
      </c>
      <c r="N3040">
        <f>Data!H3052</f>
        <v>0</v>
      </c>
      <c r="O3040">
        <f>Data!I3052</f>
        <v>0</v>
      </c>
      <c r="P3040" s="21">
        <f>Data!J3056</f>
        <v>0</v>
      </c>
      <c r="Q3040">
        <f>Data!K3056</f>
        <v>0</v>
      </c>
      <c r="R3040">
        <f>Data!L3056</f>
        <v>0</v>
      </c>
      <c r="S3040">
        <f>Data!M3056</f>
        <v>0</v>
      </c>
      <c r="T3040">
        <f>Data!N3056</f>
        <v>0</v>
      </c>
      <c r="U3040">
        <f>Data!O3056</f>
        <v>0</v>
      </c>
      <c r="V3040" s="33">
        <f>Data!P3054</f>
        <v>0</v>
      </c>
    </row>
    <row r="3041" spans="7:22" x14ac:dyDescent="0.25">
      <c r="G3041">
        <f>Data!B3053</f>
        <v>0</v>
      </c>
      <c r="H3041" s="21">
        <f>Data!B3053</f>
        <v>0</v>
      </c>
      <c r="I3041" s="21">
        <f>Data!C3053</f>
        <v>0</v>
      </c>
      <c r="J3041">
        <f>Data!D3053</f>
        <v>0</v>
      </c>
      <c r="K3041">
        <f>Data!E3053</f>
        <v>0</v>
      </c>
      <c r="L3041">
        <f>Data!F3053</f>
        <v>0</v>
      </c>
      <c r="M3041">
        <f>Data!G3053</f>
        <v>0</v>
      </c>
      <c r="N3041">
        <f>Data!H3053</f>
        <v>0</v>
      </c>
      <c r="O3041">
        <f>Data!I3053</f>
        <v>0</v>
      </c>
      <c r="P3041" s="21">
        <f>Data!J3057</f>
        <v>0</v>
      </c>
      <c r="Q3041">
        <f>Data!K3057</f>
        <v>0</v>
      </c>
      <c r="R3041">
        <f>Data!L3057</f>
        <v>0</v>
      </c>
      <c r="S3041">
        <f>Data!M3057</f>
        <v>0</v>
      </c>
      <c r="T3041">
        <f>Data!N3057</f>
        <v>0</v>
      </c>
      <c r="U3041">
        <f>Data!O3057</f>
        <v>0</v>
      </c>
      <c r="V3041" s="33">
        <f>Data!P3055</f>
        <v>0</v>
      </c>
    </row>
    <row r="3042" spans="7:22" x14ac:dyDescent="0.25">
      <c r="G3042">
        <f>Data!B3054</f>
        <v>0</v>
      </c>
      <c r="H3042" s="21">
        <f>Data!B3054</f>
        <v>0</v>
      </c>
      <c r="I3042" s="21">
        <f>Data!C3054</f>
        <v>0</v>
      </c>
      <c r="J3042">
        <f>Data!D3054</f>
        <v>0</v>
      </c>
      <c r="K3042">
        <f>Data!E3054</f>
        <v>0</v>
      </c>
      <c r="L3042">
        <f>Data!F3054</f>
        <v>0</v>
      </c>
      <c r="M3042">
        <f>Data!G3054</f>
        <v>0</v>
      </c>
      <c r="N3042">
        <f>Data!H3054</f>
        <v>0</v>
      </c>
      <c r="O3042">
        <f>Data!I3054</f>
        <v>0</v>
      </c>
      <c r="P3042" s="21">
        <f>Data!J3058</f>
        <v>0</v>
      </c>
      <c r="Q3042">
        <f>Data!K3058</f>
        <v>0</v>
      </c>
      <c r="R3042">
        <f>Data!L3058</f>
        <v>0</v>
      </c>
      <c r="S3042">
        <f>Data!M3058</f>
        <v>0</v>
      </c>
      <c r="T3042">
        <f>Data!N3058</f>
        <v>0</v>
      </c>
      <c r="U3042">
        <f>Data!O3058</f>
        <v>0</v>
      </c>
      <c r="V3042" s="33">
        <f>Data!P3056</f>
        <v>0</v>
      </c>
    </row>
    <row r="3043" spans="7:22" x14ac:dyDescent="0.25">
      <c r="G3043">
        <f>Data!B3055</f>
        <v>0</v>
      </c>
      <c r="H3043" s="21">
        <f>Data!B3055</f>
        <v>0</v>
      </c>
      <c r="I3043" s="21">
        <f>Data!C3055</f>
        <v>0</v>
      </c>
      <c r="J3043">
        <f>Data!D3055</f>
        <v>0</v>
      </c>
      <c r="K3043">
        <f>Data!E3055</f>
        <v>0</v>
      </c>
      <c r="L3043">
        <f>Data!F3055</f>
        <v>0</v>
      </c>
      <c r="M3043">
        <f>Data!G3055</f>
        <v>0</v>
      </c>
      <c r="N3043">
        <f>Data!H3055</f>
        <v>0</v>
      </c>
      <c r="O3043">
        <f>Data!I3055</f>
        <v>0</v>
      </c>
      <c r="P3043" s="21">
        <f>Data!J3059</f>
        <v>0</v>
      </c>
      <c r="Q3043">
        <f>Data!K3059</f>
        <v>0</v>
      </c>
      <c r="R3043">
        <f>Data!L3059</f>
        <v>0</v>
      </c>
      <c r="S3043">
        <f>Data!M3059</f>
        <v>0</v>
      </c>
      <c r="T3043">
        <f>Data!N3059</f>
        <v>0</v>
      </c>
      <c r="U3043">
        <f>Data!O3059</f>
        <v>0</v>
      </c>
      <c r="V3043" s="33">
        <f>Data!P3057</f>
        <v>0</v>
      </c>
    </row>
    <row r="3044" spans="7:22" x14ac:dyDescent="0.25">
      <c r="G3044">
        <f>Data!B3056</f>
        <v>0</v>
      </c>
      <c r="H3044" s="21">
        <f>Data!B3056</f>
        <v>0</v>
      </c>
      <c r="I3044" s="21">
        <f>Data!C3056</f>
        <v>0</v>
      </c>
      <c r="J3044">
        <f>Data!D3056</f>
        <v>0</v>
      </c>
      <c r="K3044">
        <f>Data!E3056</f>
        <v>0</v>
      </c>
      <c r="L3044">
        <f>Data!F3056</f>
        <v>0</v>
      </c>
      <c r="M3044">
        <f>Data!G3056</f>
        <v>0</v>
      </c>
      <c r="N3044">
        <f>Data!H3056</f>
        <v>0</v>
      </c>
      <c r="O3044">
        <f>Data!I3056</f>
        <v>0</v>
      </c>
      <c r="P3044" s="21">
        <f>Data!J3060</f>
        <v>0</v>
      </c>
      <c r="Q3044">
        <f>Data!K3060</f>
        <v>0</v>
      </c>
      <c r="R3044">
        <f>Data!L3060</f>
        <v>0</v>
      </c>
      <c r="S3044">
        <f>Data!M3060</f>
        <v>0</v>
      </c>
      <c r="T3044">
        <f>Data!N3060</f>
        <v>0</v>
      </c>
      <c r="U3044">
        <f>Data!O3060</f>
        <v>0</v>
      </c>
      <c r="V3044" s="33">
        <f>Data!P3058</f>
        <v>0</v>
      </c>
    </row>
    <row r="3045" spans="7:22" x14ac:dyDescent="0.25">
      <c r="G3045">
        <f>Data!B3057</f>
        <v>0</v>
      </c>
      <c r="H3045" s="21">
        <f>Data!B3057</f>
        <v>0</v>
      </c>
      <c r="I3045" s="21">
        <f>Data!C3057</f>
        <v>0</v>
      </c>
      <c r="J3045">
        <f>Data!D3057</f>
        <v>0</v>
      </c>
      <c r="K3045">
        <f>Data!E3057</f>
        <v>0</v>
      </c>
      <c r="L3045">
        <f>Data!F3057</f>
        <v>0</v>
      </c>
      <c r="M3045">
        <f>Data!G3057</f>
        <v>0</v>
      </c>
      <c r="N3045">
        <f>Data!H3057</f>
        <v>0</v>
      </c>
      <c r="O3045">
        <f>Data!I3057</f>
        <v>0</v>
      </c>
      <c r="P3045" s="21">
        <f>Data!J3061</f>
        <v>0</v>
      </c>
      <c r="Q3045">
        <f>Data!K3061</f>
        <v>0</v>
      </c>
      <c r="R3045">
        <f>Data!L3061</f>
        <v>0</v>
      </c>
      <c r="S3045">
        <f>Data!M3061</f>
        <v>0</v>
      </c>
      <c r="T3045">
        <f>Data!N3061</f>
        <v>0</v>
      </c>
      <c r="U3045">
        <f>Data!O3061</f>
        <v>0</v>
      </c>
      <c r="V3045" s="33">
        <f>Data!P3059</f>
        <v>0</v>
      </c>
    </row>
    <row r="3046" spans="7:22" x14ac:dyDescent="0.25">
      <c r="G3046">
        <f>Data!B3058</f>
        <v>0</v>
      </c>
      <c r="H3046" s="21">
        <f>Data!B3058</f>
        <v>0</v>
      </c>
      <c r="I3046" s="21">
        <f>Data!C3058</f>
        <v>0</v>
      </c>
      <c r="J3046">
        <f>Data!D3058</f>
        <v>0</v>
      </c>
      <c r="K3046">
        <f>Data!E3058</f>
        <v>0</v>
      </c>
      <c r="L3046">
        <f>Data!F3058</f>
        <v>0</v>
      </c>
      <c r="M3046">
        <f>Data!G3058</f>
        <v>0</v>
      </c>
      <c r="N3046">
        <f>Data!H3058</f>
        <v>0</v>
      </c>
      <c r="O3046">
        <f>Data!I3058</f>
        <v>0</v>
      </c>
      <c r="P3046" s="21">
        <f>Data!J3062</f>
        <v>0</v>
      </c>
      <c r="Q3046">
        <f>Data!K3062</f>
        <v>0</v>
      </c>
      <c r="R3046">
        <f>Data!L3062</f>
        <v>0</v>
      </c>
      <c r="S3046">
        <f>Data!M3062</f>
        <v>0</v>
      </c>
      <c r="T3046">
        <f>Data!N3062</f>
        <v>0</v>
      </c>
      <c r="U3046">
        <f>Data!O3062</f>
        <v>0</v>
      </c>
      <c r="V3046" s="33">
        <f>Data!P3060</f>
        <v>0</v>
      </c>
    </row>
    <row r="3047" spans="7:22" x14ac:dyDescent="0.25">
      <c r="G3047">
        <f>Data!B3059</f>
        <v>0</v>
      </c>
      <c r="H3047" s="21">
        <f>Data!B3059</f>
        <v>0</v>
      </c>
      <c r="I3047" s="21">
        <f>Data!C3059</f>
        <v>0</v>
      </c>
      <c r="J3047">
        <f>Data!D3059</f>
        <v>0</v>
      </c>
      <c r="K3047">
        <f>Data!E3059</f>
        <v>0</v>
      </c>
      <c r="L3047">
        <f>Data!F3059</f>
        <v>0</v>
      </c>
      <c r="M3047">
        <f>Data!G3059</f>
        <v>0</v>
      </c>
      <c r="N3047">
        <f>Data!H3059</f>
        <v>0</v>
      </c>
      <c r="O3047">
        <f>Data!I3059</f>
        <v>0</v>
      </c>
      <c r="P3047" s="21">
        <f>Data!J3063</f>
        <v>0</v>
      </c>
      <c r="Q3047">
        <f>Data!K3063</f>
        <v>0</v>
      </c>
      <c r="R3047">
        <f>Data!L3063</f>
        <v>0</v>
      </c>
      <c r="S3047">
        <f>Data!M3063</f>
        <v>0</v>
      </c>
      <c r="T3047">
        <f>Data!N3063</f>
        <v>0</v>
      </c>
      <c r="U3047">
        <f>Data!O3063</f>
        <v>0</v>
      </c>
      <c r="V3047" s="33">
        <f>Data!P3061</f>
        <v>0</v>
      </c>
    </row>
    <row r="3048" spans="7:22" x14ac:dyDescent="0.25">
      <c r="G3048">
        <f>Data!B3060</f>
        <v>0</v>
      </c>
      <c r="H3048" s="21">
        <f>Data!B3060</f>
        <v>0</v>
      </c>
      <c r="I3048" s="21">
        <f>Data!C3060</f>
        <v>0</v>
      </c>
      <c r="J3048">
        <f>Data!D3060</f>
        <v>0</v>
      </c>
      <c r="K3048">
        <f>Data!E3060</f>
        <v>0</v>
      </c>
      <c r="L3048">
        <f>Data!F3060</f>
        <v>0</v>
      </c>
      <c r="M3048">
        <f>Data!G3060</f>
        <v>0</v>
      </c>
      <c r="N3048">
        <f>Data!H3060</f>
        <v>0</v>
      </c>
      <c r="O3048">
        <f>Data!I3060</f>
        <v>0</v>
      </c>
      <c r="P3048" s="21">
        <f>Data!J3064</f>
        <v>0</v>
      </c>
      <c r="Q3048">
        <f>Data!K3064</f>
        <v>0</v>
      </c>
      <c r="R3048">
        <f>Data!L3064</f>
        <v>0</v>
      </c>
      <c r="S3048">
        <f>Data!M3064</f>
        <v>0</v>
      </c>
      <c r="T3048">
        <f>Data!N3064</f>
        <v>0</v>
      </c>
      <c r="U3048">
        <f>Data!O3064</f>
        <v>0</v>
      </c>
      <c r="V3048" s="33">
        <f>Data!P3062</f>
        <v>0</v>
      </c>
    </row>
    <row r="3049" spans="7:22" x14ac:dyDescent="0.25">
      <c r="G3049">
        <f>Data!B3061</f>
        <v>0</v>
      </c>
      <c r="H3049" s="21">
        <f>Data!B3061</f>
        <v>0</v>
      </c>
      <c r="I3049" s="21">
        <f>Data!C3061</f>
        <v>0</v>
      </c>
      <c r="J3049">
        <f>Data!D3061</f>
        <v>0</v>
      </c>
      <c r="K3049">
        <f>Data!E3061</f>
        <v>0</v>
      </c>
      <c r="L3049">
        <f>Data!F3061</f>
        <v>0</v>
      </c>
      <c r="M3049">
        <f>Data!G3061</f>
        <v>0</v>
      </c>
      <c r="N3049">
        <f>Data!H3061</f>
        <v>0</v>
      </c>
      <c r="O3049">
        <f>Data!I3061</f>
        <v>0</v>
      </c>
      <c r="P3049" s="21">
        <f>Data!J3065</f>
        <v>0</v>
      </c>
      <c r="Q3049">
        <f>Data!K3065</f>
        <v>0</v>
      </c>
      <c r="R3049">
        <f>Data!L3065</f>
        <v>0</v>
      </c>
      <c r="S3049">
        <f>Data!M3065</f>
        <v>0</v>
      </c>
      <c r="T3049">
        <f>Data!N3065</f>
        <v>0</v>
      </c>
      <c r="U3049">
        <f>Data!O3065</f>
        <v>0</v>
      </c>
      <c r="V3049" s="33">
        <f>Data!P3063</f>
        <v>0</v>
      </c>
    </row>
    <row r="3050" spans="7:22" x14ac:dyDescent="0.25">
      <c r="G3050">
        <f>Data!B3062</f>
        <v>0</v>
      </c>
      <c r="H3050" s="21">
        <f>Data!B3062</f>
        <v>0</v>
      </c>
      <c r="I3050" s="21">
        <f>Data!C3062</f>
        <v>0</v>
      </c>
      <c r="J3050">
        <f>Data!D3062</f>
        <v>0</v>
      </c>
      <c r="K3050">
        <f>Data!E3062</f>
        <v>0</v>
      </c>
      <c r="L3050">
        <f>Data!F3062</f>
        <v>0</v>
      </c>
      <c r="M3050">
        <f>Data!G3062</f>
        <v>0</v>
      </c>
      <c r="N3050">
        <f>Data!H3062</f>
        <v>0</v>
      </c>
      <c r="O3050">
        <f>Data!I3062</f>
        <v>0</v>
      </c>
      <c r="P3050" s="21">
        <f>Data!J3066</f>
        <v>0</v>
      </c>
      <c r="Q3050">
        <f>Data!K3066</f>
        <v>0</v>
      </c>
      <c r="R3050">
        <f>Data!L3066</f>
        <v>0</v>
      </c>
      <c r="S3050">
        <f>Data!M3066</f>
        <v>0</v>
      </c>
      <c r="T3050">
        <f>Data!N3066</f>
        <v>0</v>
      </c>
      <c r="U3050">
        <f>Data!O3066</f>
        <v>0</v>
      </c>
      <c r="V3050" s="33">
        <f>Data!P3064</f>
        <v>0</v>
      </c>
    </row>
    <row r="3051" spans="7:22" x14ac:dyDescent="0.25">
      <c r="G3051">
        <f>Data!B3063</f>
        <v>0</v>
      </c>
      <c r="H3051" s="21">
        <f>Data!B3063</f>
        <v>0</v>
      </c>
      <c r="I3051" s="21">
        <f>Data!C3063</f>
        <v>0</v>
      </c>
      <c r="J3051">
        <f>Data!D3063</f>
        <v>0</v>
      </c>
      <c r="K3051">
        <f>Data!E3063</f>
        <v>0</v>
      </c>
      <c r="L3051">
        <f>Data!F3063</f>
        <v>0</v>
      </c>
      <c r="M3051">
        <f>Data!G3063</f>
        <v>0</v>
      </c>
      <c r="N3051">
        <f>Data!H3063</f>
        <v>0</v>
      </c>
      <c r="O3051">
        <f>Data!I3063</f>
        <v>0</v>
      </c>
      <c r="P3051" s="21">
        <f>Data!J3067</f>
        <v>0</v>
      </c>
      <c r="Q3051">
        <f>Data!K3067</f>
        <v>0</v>
      </c>
      <c r="R3051">
        <f>Data!L3067</f>
        <v>0</v>
      </c>
      <c r="S3051">
        <f>Data!M3067</f>
        <v>0</v>
      </c>
      <c r="T3051">
        <f>Data!N3067</f>
        <v>0</v>
      </c>
      <c r="U3051">
        <f>Data!O3067</f>
        <v>0</v>
      </c>
      <c r="V3051" s="33">
        <f>Data!P3065</f>
        <v>0</v>
      </c>
    </row>
    <row r="3052" spans="7:22" x14ac:dyDescent="0.25">
      <c r="G3052">
        <f>Data!B3064</f>
        <v>0</v>
      </c>
      <c r="H3052" s="21">
        <f>Data!B3064</f>
        <v>0</v>
      </c>
      <c r="I3052" s="21">
        <f>Data!C3064</f>
        <v>0</v>
      </c>
      <c r="J3052">
        <f>Data!D3064</f>
        <v>0</v>
      </c>
      <c r="K3052">
        <f>Data!E3064</f>
        <v>0</v>
      </c>
      <c r="L3052">
        <f>Data!F3064</f>
        <v>0</v>
      </c>
      <c r="M3052">
        <f>Data!G3064</f>
        <v>0</v>
      </c>
      <c r="N3052">
        <f>Data!H3064</f>
        <v>0</v>
      </c>
      <c r="O3052">
        <f>Data!I3064</f>
        <v>0</v>
      </c>
      <c r="P3052" s="21">
        <f>Data!J3068</f>
        <v>0</v>
      </c>
      <c r="Q3052">
        <f>Data!K3068</f>
        <v>0</v>
      </c>
      <c r="R3052">
        <f>Data!L3068</f>
        <v>0</v>
      </c>
      <c r="S3052">
        <f>Data!M3068</f>
        <v>0</v>
      </c>
      <c r="T3052">
        <f>Data!N3068</f>
        <v>0</v>
      </c>
      <c r="U3052">
        <f>Data!O3068</f>
        <v>0</v>
      </c>
      <c r="V3052" s="33">
        <f>Data!P3066</f>
        <v>0</v>
      </c>
    </row>
    <row r="3053" spans="7:22" x14ac:dyDescent="0.25">
      <c r="G3053">
        <f>Data!B3065</f>
        <v>0</v>
      </c>
      <c r="H3053" s="21">
        <f>Data!B3065</f>
        <v>0</v>
      </c>
      <c r="I3053" s="21">
        <f>Data!C3065</f>
        <v>0</v>
      </c>
      <c r="J3053">
        <f>Data!D3065</f>
        <v>0</v>
      </c>
      <c r="K3053">
        <f>Data!E3065</f>
        <v>0</v>
      </c>
      <c r="L3053">
        <f>Data!F3065</f>
        <v>0</v>
      </c>
      <c r="M3053">
        <f>Data!G3065</f>
        <v>0</v>
      </c>
      <c r="N3053">
        <f>Data!H3065</f>
        <v>0</v>
      </c>
      <c r="O3053">
        <f>Data!I3065</f>
        <v>0</v>
      </c>
      <c r="P3053" s="21">
        <f>Data!J3069</f>
        <v>0</v>
      </c>
      <c r="Q3053">
        <f>Data!K3069</f>
        <v>0</v>
      </c>
      <c r="R3053">
        <f>Data!L3069</f>
        <v>0</v>
      </c>
      <c r="S3053">
        <f>Data!M3069</f>
        <v>0</v>
      </c>
      <c r="T3053">
        <f>Data!N3069</f>
        <v>0</v>
      </c>
      <c r="U3053">
        <f>Data!O3069</f>
        <v>0</v>
      </c>
      <c r="V3053" s="33">
        <f>Data!P3067</f>
        <v>0</v>
      </c>
    </row>
    <row r="3054" spans="7:22" x14ac:dyDescent="0.25">
      <c r="G3054">
        <f>Data!B3066</f>
        <v>0</v>
      </c>
      <c r="H3054" s="21">
        <f>Data!B3066</f>
        <v>0</v>
      </c>
      <c r="I3054" s="21">
        <f>Data!C3066</f>
        <v>0</v>
      </c>
      <c r="J3054">
        <f>Data!D3066</f>
        <v>0</v>
      </c>
      <c r="K3054">
        <f>Data!E3066</f>
        <v>0</v>
      </c>
      <c r="L3054">
        <f>Data!F3066</f>
        <v>0</v>
      </c>
      <c r="M3054">
        <f>Data!G3066</f>
        <v>0</v>
      </c>
      <c r="N3054">
        <f>Data!H3066</f>
        <v>0</v>
      </c>
      <c r="O3054">
        <f>Data!I3066</f>
        <v>0</v>
      </c>
      <c r="P3054" s="21">
        <f>Data!J3070</f>
        <v>0</v>
      </c>
      <c r="Q3054">
        <f>Data!K3070</f>
        <v>0</v>
      </c>
      <c r="R3054">
        <f>Data!L3070</f>
        <v>0</v>
      </c>
      <c r="S3054">
        <f>Data!M3070</f>
        <v>0</v>
      </c>
      <c r="T3054">
        <f>Data!N3070</f>
        <v>0</v>
      </c>
      <c r="U3054">
        <f>Data!O3070</f>
        <v>0</v>
      </c>
      <c r="V3054" s="33">
        <f>Data!P3068</f>
        <v>0</v>
      </c>
    </row>
    <row r="3055" spans="7:22" x14ac:dyDescent="0.25">
      <c r="G3055">
        <f>Data!B3067</f>
        <v>0</v>
      </c>
      <c r="H3055" s="21">
        <f>Data!B3067</f>
        <v>0</v>
      </c>
      <c r="I3055" s="21">
        <f>Data!C3067</f>
        <v>0</v>
      </c>
      <c r="J3055">
        <f>Data!D3067</f>
        <v>0</v>
      </c>
      <c r="K3055">
        <f>Data!E3067</f>
        <v>0</v>
      </c>
      <c r="L3055">
        <f>Data!F3067</f>
        <v>0</v>
      </c>
      <c r="M3055">
        <f>Data!G3067</f>
        <v>0</v>
      </c>
      <c r="N3055">
        <f>Data!H3067</f>
        <v>0</v>
      </c>
      <c r="O3055">
        <f>Data!I3067</f>
        <v>0</v>
      </c>
      <c r="P3055" s="21">
        <f>Data!J3071</f>
        <v>0</v>
      </c>
      <c r="Q3055">
        <f>Data!K3071</f>
        <v>0</v>
      </c>
      <c r="R3055">
        <f>Data!L3071</f>
        <v>0</v>
      </c>
      <c r="S3055">
        <f>Data!M3071</f>
        <v>0</v>
      </c>
      <c r="T3055">
        <f>Data!N3071</f>
        <v>0</v>
      </c>
      <c r="U3055">
        <f>Data!O3071</f>
        <v>0</v>
      </c>
      <c r="V3055" s="33">
        <f>Data!P3069</f>
        <v>0</v>
      </c>
    </row>
    <row r="3056" spans="7:22" x14ac:dyDescent="0.25">
      <c r="G3056">
        <f>Data!B3068</f>
        <v>0</v>
      </c>
      <c r="H3056" s="21">
        <f>Data!B3068</f>
        <v>0</v>
      </c>
      <c r="I3056" s="21">
        <f>Data!C3068</f>
        <v>0</v>
      </c>
      <c r="J3056">
        <f>Data!D3068</f>
        <v>0</v>
      </c>
      <c r="K3056">
        <f>Data!E3068</f>
        <v>0</v>
      </c>
      <c r="L3056">
        <f>Data!F3068</f>
        <v>0</v>
      </c>
      <c r="M3056">
        <f>Data!G3068</f>
        <v>0</v>
      </c>
      <c r="N3056">
        <f>Data!H3068</f>
        <v>0</v>
      </c>
      <c r="O3056">
        <f>Data!I3068</f>
        <v>0</v>
      </c>
      <c r="P3056" s="21">
        <f>Data!J3072</f>
        <v>0</v>
      </c>
      <c r="Q3056">
        <f>Data!K3072</f>
        <v>0</v>
      </c>
      <c r="R3056">
        <f>Data!L3072</f>
        <v>0</v>
      </c>
      <c r="S3056">
        <f>Data!M3072</f>
        <v>0</v>
      </c>
      <c r="T3056">
        <f>Data!N3072</f>
        <v>0</v>
      </c>
      <c r="U3056">
        <f>Data!O3072</f>
        <v>0</v>
      </c>
      <c r="V3056" s="33">
        <f>Data!P3070</f>
        <v>0</v>
      </c>
    </row>
    <row r="3057" spans="7:22" x14ac:dyDescent="0.25">
      <c r="G3057">
        <f>Data!B3069</f>
        <v>0</v>
      </c>
      <c r="H3057" s="21">
        <f>Data!B3069</f>
        <v>0</v>
      </c>
      <c r="I3057" s="21">
        <f>Data!C3069</f>
        <v>0</v>
      </c>
      <c r="J3057">
        <f>Data!D3069</f>
        <v>0</v>
      </c>
      <c r="K3057">
        <f>Data!E3069</f>
        <v>0</v>
      </c>
      <c r="L3057">
        <f>Data!F3069</f>
        <v>0</v>
      </c>
      <c r="M3057">
        <f>Data!G3069</f>
        <v>0</v>
      </c>
      <c r="N3057">
        <f>Data!H3069</f>
        <v>0</v>
      </c>
      <c r="O3057">
        <f>Data!I3069</f>
        <v>0</v>
      </c>
      <c r="P3057" s="21">
        <f>Data!J3073</f>
        <v>0</v>
      </c>
      <c r="Q3057">
        <f>Data!K3073</f>
        <v>0</v>
      </c>
      <c r="R3057">
        <f>Data!L3073</f>
        <v>0</v>
      </c>
      <c r="S3057">
        <f>Data!M3073</f>
        <v>0</v>
      </c>
      <c r="T3057">
        <f>Data!N3073</f>
        <v>0</v>
      </c>
      <c r="U3057">
        <f>Data!O3073</f>
        <v>0</v>
      </c>
      <c r="V3057" s="33">
        <f>Data!P3071</f>
        <v>0</v>
      </c>
    </row>
    <row r="3058" spans="7:22" x14ac:dyDescent="0.25">
      <c r="G3058">
        <f>Data!B3070</f>
        <v>0</v>
      </c>
      <c r="H3058" s="21">
        <f>Data!B3070</f>
        <v>0</v>
      </c>
      <c r="I3058" s="21">
        <f>Data!C3070</f>
        <v>0</v>
      </c>
      <c r="J3058">
        <f>Data!D3070</f>
        <v>0</v>
      </c>
      <c r="K3058">
        <f>Data!E3070</f>
        <v>0</v>
      </c>
      <c r="L3058">
        <f>Data!F3070</f>
        <v>0</v>
      </c>
      <c r="M3058">
        <f>Data!G3070</f>
        <v>0</v>
      </c>
      <c r="N3058">
        <f>Data!H3070</f>
        <v>0</v>
      </c>
      <c r="O3058">
        <f>Data!I3070</f>
        <v>0</v>
      </c>
      <c r="P3058" s="21">
        <f>Data!J3074</f>
        <v>0</v>
      </c>
      <c r="Q3058">
        <f>Data!K3074</f>
        <v>0</v>
      </c>
      <c r="R3058">
        <f>Data!L3074</f>
        <v>0</v>
      </c>
      <c r="S3058">
        <f>Data!M3074</f>
        <v>0</v>
      </c>
      <c r="T3058">
        <f>Data!N3074</f>
        <v>0</v>
      </c>
      <c r="U3058">
        <f>Data!O3074</f>
        <v>0</v>
      </c>
      <c r="V3058" s="33">
        <f>Data!P3072</f>
        <v>0</v>
      </c>
    </row>
    <row r="3059" spans="7:22" x14ac:dyDescent="0.25">
      <c r="G3059">
        <f>Data!B3071</f>
        <v>0</v>
      </c>
      <c r="H3059" s="21">
        <f>Data!B3071</f>
        <v>0</v>
      </c>
      <c r="I3059" s="21">
        <f>Data!C3071</f>
        <v>0</v>
      </c>
      <c r="J3059">
        <f>Data!D3071</f>
        <v>0</v>
      </c>
      <c r="K3059">
        <f>Data!E3071</f>
        <v>0</v>
      </c>
      <c r="L3059">
        <f>Data!F3071</f>
        <v>0</v>
      </c>
      <c r="M3059">
        <f>Data!G3071</f>
        <v>0</v>
      </c>
      <c r="N3059">
        <f>Data!H3071</f>
        <v>0</v>
      </c>
      <c r="O3059">
        <f>Data!I3071</f>
        <v>0</v>
      </c>
      <c r="P3059" s="21">
        <f>Data!J3075</f>
        <v>0</v>
      </c>
      <c r="Q3059">
        <f>Data!K3075</f>
        <v>0</v>
      </c>
      <c r="R3059">
        <f>Data!L3075</f>
        <v>0</v>
      </c>
      <c r="S3059">
        <f>Data!M3075</f>
        <v>0</v>
      </c>
      <c r="T3059">
        <f>Data!N3075</f>
        <v>0</v>
      </c>
      <c r="U3059">
        <f>Data!O3075</f>
        <v>0</v>
      </c>
      <c r="V3059" s="33">
        <f>Data!P3073</f>
        <v>0</v>
      </c>
    </row>
    <row r="3060" spans="7:22" x14ac:dyDescent="0.25">
      <c r="G3060">
        <f>Data!B3072</f>
        <v>0</v>
      </c>
      <c r="H3060" s="21">
        <f>Data!B3072</f>
        <v>0</v>
      </c>
      <c r="I3060" s="21">
        <f>Data!C3072</f>
        <v>0</v>
      </c>
      <c r="J3060">
        <f>Data!D3072</f>
        <v>0</v>
      </c>
      <c r="K3060">
        <f>Data!E3072</f>
        <v>0</v>
      </c>
      <c r="L3060">
        <f>Data!F3072</f>
        <v>0</v>
      </c>
      <c r="M3060">
        <f>Data!G3072</f>
        <v>0</v>
      </c>
      <c r="N3060">
        <f>Data!H3072</f>
        <v>0</v>
      </c>
      <c r="O3060">
        <f>Data!I3072</f>
        <v>0</v>
      </c>
      <c r="P3060" s="21">
        <f>Data!J3076</f>
        <v>0</v>
      </c>
      <c r="Q3060">
        <f>Data!K3076</f>
        <v>0</v>
      </c>
      <c r="R3060">
        <f>Data!L3076</f>
        <v>0</v>
      </c>
      <c r="S3060">
        <f>Data!M3076</f>
        <v>0</v>
      </c>
      <c r="T3060">
        <f>Data!N3076</f>
        <v>0</v>
      </c>
      <c r="U3060">
        <f>Data!O3076</f>
        <v>0</v>
      </c>
      <c r="V3060" s="33">
        <f>Data!P3074</f>
        <v>0</v>
      </c>
    </row>
    <row r="3061" spans="7:22" x14ac:dyDescent="0.25">
      <c r="G3061">
        <f>Data!B3073</f>
        <v>0</v>
      </c>
      <c r="H3061" s="21">
        <f>Data!B3073</f>
        <v>0</v>
      </c>
      <c r="I3061" s="21">
        <f>Data!C3073</f>
        <v>0</v>
      </c>
      <c r="J3061">
        <f>Data!D3073</f>
        <v>0</v>
      </c>
      <c r="K3061">
        <f>Data!E3073</f>
        <v>0</v>
      </c>
      <c r="L3061">
        <f>Data!F3073</f>
        <v>0</v>
      </c>
      <c r="M3061">
        <f>Data!G3073</f>
        <v>0</v>
      </c>
      <c r="N3061">
        <f>Data!H3073</f>
        <v>0</v>
      </c>
      <c r="O3061">
        <f>Data!I3073</f>
        <v>0</v>
      </c>
      <c r="P3061" s="21">
        <f>Data!J3077</f>
        <v>0</v>
      </c>
      <c r="Q3061">
        <f>Data!K3077</f>
        <v>0</v>
      </c>
      <c r="R3061">
        <f>Data!L3077</f>
        <v>0</v>
      </c>
      <c r="S3061">
        <f>Data!M3077</f>
        <v>0</v>
      </c>
      <c r="T3061">
        <f>Data!N3077</f>
        <v>0</v>
      </c>
      <c r="U3061">
        <f>Data!O3077</f>
        <v>0</v>
      </c>
      <c r="V3061" s="33">
        <f>Data!P3075</f>
        <v>0</v>
      </c>
    </row>
    <row r="3062" spans="7:22" x14ac:dyDescent="0.25">
      <c r="G3062">
        <f>Data!B3074</f>
        <v>0</v>
      </c>
      <c r="H3062" s="21">
        <f>Data!B3074</f>
        <v>0</v>
      </c>
      <c r="I3062" s="21">
        <f>Data!C3074</f>
        <v>0</v>
      </c>
      <c r="J3062">
        <f>Data!D3074</f>
        <v>0</v>
      </c>
      <c r="K3062">
        <f>Data!E3074</f>
        <v>0</v>
      </c>
      <c r="L3062">
        <f>Data!F3074</f>
        <v>0</v>
      </c>
      <c r="M3062">
        <f>Data!G3074</f>
        <v>0</v>
      </c>
      <c r="N3062">
        <f>Data!H3074</f>
        <v>0</v>
      </c>
      <c r="O3062">
        <f>Data!I3074</f>
        <v>0</v>
      </c>
      <c r="P3062" s="21">
        <f>Data!J3078</f>
        <v>0</v>
      </c>
      <c r="Q3062">
        <f>Data!K3078</f>
        <v>0</v>
      </c>
      <c r="R3062">
        <f>Data!L3078</f>
        <v>0</v>
      </c>
      <c r="S3062">
        <f>Data!M3078</f>
        <v>0</v>
      </c>
      <c r="T3062">
        <f>Data!N3078</f>
        <v>0</v>
      </c>
      <c r="U3062">
        <f>Data!O3078</f>
        <v>0</v>
      </c>
      <c r="V3062" s="33">
        <f>Data!P3076</f>
        <v>0</v>
      </c>
    </row>
    <row r="3063" spans="7:22" x14ac:dyDescent="0.25">
      <c r="G3063">
        <f>Data!B3075</f>
        <v>0</v>
      </c>
      <c r="H3063" s="21">
        <f>Data!B3075</f>
        <v>0</v>
      </c>
      <c r="I3063" s="21">
        <f>Data!C3075</f>
        <v>0</v>
      </c>
      <c r="J3063">
        <f>Data!D3075</f>
        <v>0</v>
      </c>
      <c r="K3063">
        <f>Data!E3075</f>
        <v>0</v>
      </c>
      <c r="L3063">
        <f>Data!F3075</f>
        <v>0</v>
      </c>
      <c r="M3063">
        <f>Data!G3075</f>
        <v>0</v>
      </c>
      <c r="N3063">
        <f>Data!H3075</f>
        <v>0</v>
      </c>
      <c r="O3063">
        <f>Data!I3075</f>
        <v>0</v>
      </c>
      <c r="P3063" s="21">
        <f>Data!J3079</f>
        <v>0</v>
      </c>
      <c r="Q3063">
        <f>Data!K3079</f>
        <v>0</v>
      </c>
      <c r="R3063">
        <f>Data!L3079</f>
        <v>0</v>
      </c>
      <c r="S3063">
        <f>Data!M3079</f>
        <v>0</v>
      </c>
      <c r="T3063">
        <f>Data!N3079</f>
        <v>0</v>
      </c>
      <c r="U3063">
        <f>Data!O3079</f>
        <v>0</v>
      </c>
      <c r="V3063" s="33">
        <f>Data!P3077</f>
        <v>0</v>
      </c>
    </row>
    <row r="3064" spans="7:22" x14ac:dyDescent="0.25">
      <c r="G3064">
        <f>Data!B3076</f>
        <v>0</v>
      </c>
      <c r="H3064" s="21">
        <f>Data!B3076</f>
        <v>0</v>
      </c>
      <c r="I3064" s="21">
        <f>Data!C3076</f>
        <v>0</v>
      </c>
      <c r="J3064">
        <f>Data!D3076</f>
        <v>0</v>
      </c>
      <c r="K3064">
        <f>Data!E3076</f>
        <v>0</v>
      </c>
      <c r="L3064">
        <f>Data!F3076</f>
        <v>0</v>
      </c>
      <c r="M3064">
        <f>Data!G3076</f>
        <v>0</v>
      </c>
      <c r="N3064">
        <f>Data!H3076</f>
        <v>0</v>
      </c>
      <c r="O3064">
        <f>Data!I3076</f>
        <v>0</v>
      </c>
      <c r="P3064" s="21">
        <f>Data!J3080</f>
        <v>0</v>
      </c>
      <c r="Q3064">
        <f>Data!K3080</f>
        <v>0</v>
      </c>
      <c r="R3064">
        <f>Data!L3080</f>
        <v>0</v>
      </c>
      <c r="S3064">
        <f>Data!M3080</f>
        <v>0</v>
      </c>
      <c r="T3064">
        <f>Data!N3080</f>
        <v>0</v>
      </c>
      <c r="U3064">
        <f>Data!O3080</f>
        <v>0</v>
      </c>
      <c r="V3064" s="33">
        <f>Data!P3078</f>
        <v>0</v>
      </c>
    </row>
    <row r="3065" spans="7:22" x14ac:dyDescent="0.25">
      <c r="G3065">
        <f>Data!B3077</f>
        <v>0</v>
      </c>
      <c r="H3065" s="21">
        <f>Data!B3077</f>
        <v>0</v>
      </c>
      <c r="I3065" s="21">
        <f>Data!C3077</f>
        <v>0</v>
      </c>
      <c r="J3065">
        <f>Data!D3077</f>
        <v>0</v>
      </c>
      <c r="K3065">
        <f>Data!E3077</f>
        <v>0</v>
      </c>
      <c r="L3065">
        <f>Data!F3077</f>
        <v>0</v>
      </c>
      <c r="M3065">
        <f>Data!G3077</f>
        <v>0</v>
      </c>
      <c r="N3065">
        <f>Data!H3077</f>
        <v>0</v>
      </c>
      <c r="O3065">
        <f>Data!I3077</f>
        <v>0</v>
      </c>
      <c r="P3065" s="21">
        <f>Data!J3081</f>
        <v>0</v>
      </c>
      <c r="Q3065">
        <f>Data!K3081</f>
        <v>0</v>
      </c>
      <c r="R3065">
        <f>Data!L3081</f>
        <v>0</v>
      </c>
      <c r="S3065">
        <f>Data!M3081</f>
        <v>0</v>
      </c>
      <c r="T3065">
        <f>Data!N3081</f>
        <v>0</v>
      </c>
      <c r="U3065">
        <f>Data!O3081</f>
        <v>0</v>
      </c>
      <c r="V3065" s="33">
        <f>Data!P3079</f>
        <v>0</v>
      </c>
    </row>
    <row r="3066" spans="7:22" x14ac:dyDescent="0.25">
      <c r="G3066">
        <f>Data!B3078</f>
        <v>0</v>
      </c>
      <c r="H3066" s="21">
        <f>Data!B3078</f>
        <v>0</v>
      </c>
      <c r="I3066" s="21">
        <f>Data!C3078</f>
        <v>0</v>
      </c>
      <c r="J3066">
        <f>Data!D3078</f>
        <v>0</v>
      </c>
      <c r="K3066">
        <f>Data!E3078</f>
        <v>0</v>
      </c>
      <c r="L3066">
        <f>Data!F3078</f>
        <v>0</v>
      </c>
      <c r="M3066">
        <f>Data!G3078</f>
        <v>0</v>
      </c>
      <c r="N3066">
        <f>Data!H3078</f>
        <v>0</v>
      </c>
      <c r="O3066">
        <f>Data!I3078</f>
        <v>0</v>
      </c>
      <c r="P3066" s="21">
        <f>Data!J3082</f>
        <v>0</v>
      </c>
      <c r="Q3066">
        <f>Data!K3082</f>
        <v>0</v>
      </c>
      <c r="R3066">
        <f>Data!L3082</f>
        <v>0</v>
      </c>
      <c r="S3066">
        <f>Data!M3082</f>
        <v>0</v>
      </c>
      <c r="T3066">
        <f>Data!N3082</f>
        <v>0</v>
      </c>
      <c r="U3066">
        <f>Data!O3082</f>
        <v>0</v>
      </c>
      <c r="V3066" s="33">
        <f>Data!P3080</f>
        <v>0</v>
      </c>
    </row>
    <row r="3067" spans="7:22" x14ac:dyDescent="0.25">
      <c r="G3067">
        <f>Data!B3079</f>
        <v>0</v>
      </c>
      <c r="H3067" s="21">
        <f>Data!B3079</f>
        <v>0</v>
      </c>
      <c r="I3067" s="21">
        <f>Data!C3079</f>
        <v>0</v>
      </c>
      <c r="J3067">
        <f>Data!D3079</f>
        <v>0</v>
      </c>
      <c r="K3067">
        <f>Data!E3079</f>
        <v>0</v>
      </c>
      <c r="L3067">
        <f>Data!F3079</f>
        <v>0</v>
      </c>
      <c r="M3067">
        <f>Data!G3079</f>
        <v>0</v>
      </c>
      <c r="N3067">
        <f>Data!H3079</f>
        <v>0</v>
      </c>
      <c r="O3067">
        <f>Data!I3079</f>
        <v>0</v>
      </c>
      <c r="P3067" s="21">
        <f>Data!J3083</f>
        <v>0</v>
      </c>
      <c r="Q3067">
        <f>Data!K3083</f>
        <v>0</v>
      </c>
      <c r="R3067">
        <f>Data!L3083</f>
        <v>0</v>
      </c>
      <c r="S3067">
        <f>Data!M3083</f>
        <v>0</v>
      </c>
      <c r="T3067">
        <f>Data!N3083</f>
        <v>0</v>
      </c>
      <c r="U3067">
        <f>Data!O3083</f>
        <v>0</v>
      </c>
      <c r="V3067" s="33">
        <f>Data!P3081</f>
        <v>0</v>
      </c>
    </row>
    <row r="3068" spans="7:22" x14ac:dyDescent="0.25">
      <c r="G3068">
        <f>Data!B3080</f>
        <v>0</v>
      </c>
      <c r="H3068" s="21">
        <f>Data!B3080</f>
        <v>0</v>
      </c>
      <c r="I3068" s="21">
        <f>Data!C3080</f>
        <v>0</v>
      </c>
      <c r="J3068">
        <f>Data!D3080</f>
        <v>0</v>
      </c>
      <c r="K3068">
        <f>Data!E3080</f>
        <v>0</v>
      </c>
      <c r="L3068">
        <f>Data!F3080</f>
        <v>0</v>
      </c>
      <c r="M3068">
        <f>Data!G3080</f>
        <v>0</v>
      </c>
      <c r="N3068">
        <f>Data!H3080</f>
        <v>0</v>
      </c>
      <c r="O3068">
        <f>Data!I3080</f>
        <v>0</v>
      </c>
      <c r="P3068" s="21">
        <f>Data!J3084</f>
        <v>0</v>
      </c>
      <c r="Q3068">
        <f>Data!K3084</f>
        <v>0</v>
      </c>
      <c r="R3068">
        <f>Data!L3084</f>
        <v>0</v>
      </c>
      <c r="S3068">
        <f>Data!M3084</f>
        <v>0</v>
      </c>
      <c r="T3068">
        <f>Data!N3084</f>
        <v>0</v>
      </c>
      <c r="U3068">
        <f>Data!O3084</f>
        <v>0</v>
      </c>
      <c r="V3068" s="33">
        <f>Data!P3082</f>
        <v>0</v>
      </c>
    </row>
    <row r="3069" spans="7:22" x14ac:dyDescent="0.25">
      <c r="G3069">
        <f>Data!B3081</f>
        <v>0</v>
      </c>
      <c r="H3069" s="21">
        <f>Data!B3081</f>
        <v>0</v>
      </c>
      <c r="I3069" s="21">
        <f>Data!C3081</f>
        <v>0</v>
      </c>
      <c r="J3069">
        <f>Data!D3081</f>
        <v>0</v>
      </c>
      <c r="K3069">
        <f>Data!E3081</f>
        <v>0</v>
      </c>
      <c r="L3069">
        <f>Data!F3081</f>
        <v>0</v>
      </c>
      <c r="M3069">
        <f>Data!G3081</f>
        <v>0</v>
      </c>
      <c r="N3069">
        <f>Data!H3081</f>
        <v>0</v>
      </c>
      <c r="O3069">
        <f>Data!I3081</f>
        <v>0</v>
      </c>
      <c r="P3069" s="21">
        <f>Data!J3085</f>
        <v>0</v>
      </c>
      <c r="Q3069">
        <f>Data!K3085</f>
        <v>0</v>
      </c>
      <c r="R3069">
        <f>Data!L3085</f>
        <v>0</v>
      </c>
      <c r="S3069">
        <f>Data!M3085</f>
        <v>0</v>
      </c>
      <c r="T3069">
        <f>Data!N3085</f>
        <v>0</v>
      </c>
      <c r="U3069">
        <f>Data!O3085</f>
        <v>0</v>
      </c>
      <c r="V3069" s="33">
        <f>Data!P3083</f>
        <v>0</v>
      </c>
    </row>
    <row r="3070" spans="7:22" x14ac:dyDescent="0.25">
      <c r="G3070">
        <f>Data!B3082</f>
        <v>0</v>
      </c>
      <c r="H3070" s="21">
        <f>Data!B3082</f>
        <v>0</v>
      </c>
      <c r="I3070" s="21">
        <f>Data!C3082</f>
        <v>0</v>
      </c>
      <c r="J3070">
        <f>Data!D3082</f>
        <v>0</v>
      </c>
      <c r="K3070">
        <f>Data!E3082</f>
        <v>0</v>
      </c>
      <c r="L3070">
        <f>Data!F3082</f>
        <v>0</v>
      </c>
      <c r="M3070">
        <f>Data!G3082</f>
        <v>0</v>
      </c>
      <c r="N3070">
        <f>Data!H3082</f>
        <v>0</v>
      </c>
      <c r="O3070">
        <f>Data!I3082</f>
        <v>0</v>
      </c>
      <c r="P3070" s="21">
        <f>Data!J3086</f>
        <v>0</v>
      </c>
      <c r="Q3070">
        <f>Data!K3086</f>
        <v>0</v>
      </c>
      <c r="R3070">
        <f>Data!L3086</f>
        <v>0</v>
      </c>
      <c r="S3070">
        <f>Data!M3086</f>
        <v>0</v>
      </c>
      <c r="T3070">
        <f>Data!N3086</f>
        <v>0</v>
      </c>
      <c r="U3070">
        <f>Data!O3086</f>
        <v>0</v>
      </c>
      <c r="V3070" s="33">
        <f>Data!P3084</f>
        <v>0</v>
      </c>
    </row>
    <row r="3071" spans="7:22" x14ac:dyDescent="0.25">
      <c r="G3071">
        <f>Data!B3083</f>
        <v>0</v>
      </c>
      <c r="H3071" s="21">
        <f>Data!B3083</f>
        <v>0</v>
      </c>
      <c r="I3071" s="21">
        <f>Data!C3083</f>
        <v>0</v>
      </c>
      <c r="J3071">
        <f>Data!D3083</f>
        <v>0</v>
      </c>
      <c r="K3071">
        <f>Data!E3083</f>
        <v>0</v>
      </c>
      <c r="L3071">
        <f>Data!F3083</f>
        <v>0</v>
      </c>
      <c r="M3071">
        <f>Data!G3083</f>
        <v>0</v>
      </c>
      <c r="N3071">
        <f>Data!H3083</f>
        <v>0</v>
      </c>
      <c r="O3071">
        <f>Data!I3083</f>
        <v>0</v>
      </c>
      <c r="P3071" s="21">
        <f>Data!J3087</f>
        <v>0</v>
      </c>
      <c r="Q3071">
        <f>Data!K3087</f>
        <v>0</v>
      </c>
      <c r="R3071">
        <f>Data!L3087</f>
        <v>0</v>
      </c>
      <c r="S3071">
        <f>Data!M3087</f>
        <v>0</v>
      </c>
      <c r="T3071">
        <f>Data!N3087</f>
        <v>0</v>
      </c>
      <c r="U3071">
        <f>Data!O3087</f>
        <v>0</v>
      </c>
      <c r="V3071" s="33">
        <f>Data!P3085</f>
        <v>0</v>
      </c>
    </row>
    <row r="3072" spans="7:22" x14ac:dyDescent="0.25">
      <c r="G3072">
        <f>Data!B3084</f>
        <v>0</v>
      </c>
      <c r="H3072" s="21">
        <f>Data!B3084</f>
        <v>0</v>
      </c>
      <c r="I3072" s="21">
        <f>Data!C3084</f>
        <v>0</v>
      </c>
      <c r="J3072">
        <f>Data!D3084</f>
        <v>0</v>
      </c>
      <c r="K3072">
        <f>Data!E3084</f>
        <v>0</v>
      </c>
      <c r="L3072">
        <f>Data!F3084</f>
        <v>0</v>
      </c>
      <c r="M3072">
        <f>Data!G3084</f>
        <v>0</v>
      </c>
      <c r="N3072">
        <f>Data!H3084</f>
        <v>0</v>
      </c>
      <c r="O3072">
        <f>Data!I3084</f>
        <v>0</v>
      </c>
      <c r="P3072" s="21">
        <f>Data!J3088</f>
        <v>0</v>
      </c>
      <c r="Q3072">
        <f>Data!K3088</f>
        <v>0</v>
      </c>
      <c r="R3072">
        <f>Data!L3088</f>
        <v>0</v>
      </c>
      <c r="S3072">
        <f>Data!M3088</f>
        <v>0</v>
      </c>
      <c r="T3072">
        <f>Data!N3088</f>
        <v>0</v>
      </c>
      <c r="U3072">
        <f>Data!O3088</f>
        <v>0</v>
      </c>
      <c r="V3072" s="33">
        <f>Data!P3086</f>
        <v>0</v>
      </c>
    </row>
    <row r="3073" spans="7:22" x14ac:dyDescent="0.25">
      <c r="G3073">
        <f>Data!B3085</f>
        <v>0</v>
      </c>
      <c r="H3073" s="21">
        <f>Data!B3085</f>
        <v>0</v>
      </c>
      <c r="I3073" s="21">
        <f>Data!C3085</f>
        <v>0</v>
      </c>
      <c r="J3073">
        <f>Data!D3085</f>
        <v>0</v>
      </c>
      <c r="K3073">
        <f>Data!E3085</f>
        <v>0</v>
      </c>
      <c r="L3073">
        <f>Data!F3085</f>
        <v>0</v>
      </c>
      <c r="M3073">
        <f>Data!G3085</f>
        <v>0</v>
      </c>
      <c r="N3073">
        <f>Data!H3085</f>
        <v>0</v>
      </c>
      <c r="O3073">
        <f>Data!I3085</f>
        <v>0</v>
      </c>
      <c r="P3073" s="21">
        <f>Data!J3089</f>
        <v>0</v>
      </c>
      <c r="Q3073">
        <f>Data!K3089</f>
        <v>0</v>
      </c>
      <c r="R3073">
        <f>Data!L3089</f>
        <v>0</v>
      </c>
      <c r="S3073">
        <f>Data!M3089</f>
        <v>0</v>
      </c>
      <c r="T3073">
        <f>Data!N3089</f>
        <v>0</v>
      </c>
      <c r="U3073">
        <f>Data!O3089</f>
        <v>0</v>
      </c>
      <c r="V3073" s="33">
        <f>Data!P3087</f>
        <v>0</v>
      </c>
    </row>
    <row r="3074" spans="7:22" x14ac:dyDescent="0.25">
      <c r="G3074">
        <f>Data!B3086</f>
        <v>0</v>
      </c>
      <c r="H3074" s="21">
        <f>Data!B3086</f>
        <v>0</v>
      </c>
      <c r="I3074" s="21">
        <f>Data!C3086</f>
        <v>0</v>
      </c>
      <c r="J3074">
        <f>Data!D3086</f>
        <v>0</v>
      </c>
      <c r="K3074">
        <f>Data!E3086</f>
        <v>0</v>
      </c>
      <c r="L3074">
        <f>Data!F3086</f>
        <v>0</v>
      </c>
      <c r="M3074">
        <f>Data!G3086</f>
        <v>0</v>
      </c>
      <c r="N3074">
        <f>Data!H3086</f>
        <v>0</v>
      </c>
      <c r="O3074">
        <f>Data!I3086</f>
        <v>0</v>
      </c>
      <c r="P3074" s="21">
        <f>Data!J3090</f>
        <v>0</v>
      </c>
      <c r="Q3074">
        <f>Data!K3090</f>
        <v>0</v>
      </c>
      <c r="R3074">
        <f>Data!L3090</f>
        <v>0</v>
      </c>
      <c r="S3074">
        <f>Data!M3090</f>
        <v>0</v>
      </c>
      <c r="T3074">
        <f>Data!N3090</f>
        <v>0</v>
      </c>
      <c r="U3074">
        <f>Data!O3090</f>
        <v>0</v>
      </c>
      <c r="V3074" s="33">
        <f>Data!P3088</f>
        <v>0</v>
      </c>
    </row>
    <row r="3075" spans="7:22" x14ac:dyDescent="0.25">
      <c r="G3075">
        <f>Data!B3087</f>
        <v>0</v>
      </c>
      <c r="H3075" s="21">
        <f>Data!B3087</f>
        <v>0</v>
      </c>
      <c r="I3075" s="21">
        <f>Data!C3087</f>
        <v>0</v>
      </c>
      <c r="J3075">
        <f>Data!D3087</f>
        <v>0</v>
      </c>
      <c r="K3075">
        <f>Data!E3087</f>
        <v>0</v>
      </c>
      <c r="L3075">
        <f>Data!F3087</f>
        <v>0</v>
      </c>
      <c r="M3075">
        <f>Data!G3087</f>
        <v>0</v>
      </c>
      <c r="N3075">
        <f>Data!H3087</f>
        <v>0</v>
      </c>
      <c r="O3075">
        <f>Data!I3087</f>
        <v>0</v>
      </c>
      <c r="P3075" s="21">
        <f>Data!J3091</f>
        <v>0</v>
      </c>
      <c r="Q3075">
        <f>Data!K3091</f>
        <v>0</v>
      </c>
      <c r="R3075">
        <f>Data!L3091</f>
        <v>0</v>
      </c>
      <c r="S3075">
        <f>Data!M3091</f>
        <v>0</v>
      </c>
      <c r="T3075">
        <f>Data!N3091</f>
        <v>0</v>
      </c>
      <c r="U3075">
        <f>Data!O3091</f>
        <v>0</v>
      </c>
      <c r="V3075" s="33">
        <f>Data!P3089</f>
        <v>0</v>
      </c>
    </row>
    <row r="3076" spans="7:22" x14ac:dyDescent="0.25">
      <c r="G3076">
        <f>Data!B3088</f>
        <v>0</v>
      </c>
      <c r="H3076" s="21">
        <f>Data!B3088</f>
        <v>0</v>
      </c>
      <c r="I3076" s="21">
        <f>Data!C3088</f>
        <v>0</v>
      </c>
      <c r="J3076">
        <f>Data!D3088</f>
        <v>0</v>
      </c>
      <c r="K3076">
        <f>Data!E3088</f>
        <v>0</v>
      </c>
      <c r="L3076">
        <f>Data!F3088</f>
        <v>0</v>
      </c>
      <c r="M3076">
        <f>Data!G3088</f>
        <v>0</v>
      </c>
      <c r="N3076">
        <f>Data!H3088</f>
        <v>0</v>
      </c>
      <c r="O3076">
        <f>Data!I3088</f>
        <v>0</v>
      </c>
      <c r="P3076" s="21">
        <f>Data!J3092</f>
        <v>0</v>
      </c>
      <c r="Q3076">
        <f>Data!K3092</f>
        <v>0</v>
      </c>
      <c r="R3076">
        <f>Data!L3092</f>
        <v>0</v>
      </c>
      <c r="S3076">
        <f>Data!M3092</f>
        <v>0</v>
      </c>
      <c r="T3076">
        <f>Data!N3092</f>
        <v>0</v>
      </c>
      <c r="U3076">
        <f>Data!O3092</f>
        <v>0</v>
      </c>
      <c r="V3076" s="33">
        <f>Data!P3090</f>
        <v>0</v>
      </c>
    </row>
    <row r="3077" spans="7:22" x14ac:dyDescent="0.25">
      <c r="G3077">
        <f>Data!B3089</f>
        <v>0</v>
      </c>
      <c r="H3077" s="21">
        <f>Data!B3089</f>
        <v>0</v>
      </c>
      <c r="I3077" s="21">
        <f>Data!C3089</f>
        <v>0</v>
      </c>
      <c r="J3077">
        <f>Data!D3089</f>
        <v>0</v>
      </c>
      <c r="K3077">
        <f>Data!E3089</f>
        <v>0</v>
      </c>
      <c r="L3077">
        <f>Data!F3089</f>
        <v>0</v>
      </c>
      <c r="M3077">
        <f>Data!G3089</f>
        <v>0</v>
      </c>
      <c r="N3077">
        <f>Data!H3089</f>
        <v>0</v>
      </c>
      <c r="O3077">
        <f>Data!I3089</f>
        <v>0</v>
      </c>
      <c r="P3077" s="21">
        <f>Data!J3093</f>
        <v>0</v>
      </c>
      <c r="Q3077">
        <f>Data!K3093</f>
        <v>0</v>
      </c>
      <c r="R3077">
        <f>Data!L3093</f>
        <v>0</v>
      </c>
      <c r="S3077">
        <f>Data!M3093</f>
        <v>0</v>
      </c>
      <c r="T3077">
        <f>Data!N3093</f>
        <v>0</v>
      </c>
      <c r="U3077">
        <f>Data!O3093</f>
        <v>0</v>
      </c>
      <c r="V3077" s="33">
        <f>Data!P3091</f>
        <v>0</v>
      </c>
    </row>
    <row r="3078" spans="7:22" x14ac:dyDescent="0.25">
      <c r="G3078">
        <f>Data!B3090</f>
        <v>0</v>
      </c>
      <c r="H3078" s="21">
        <f>Data!B3090</f>
        <v>0</v>
      </c>
      <c r="I3078" s="21">
        <f>Data!C3090</f>
        <v>0</v>
      </c>
      <c r="J3078">
        <f>Data!D3090</f>
        <v>0</v>
      </c>
      <c r="K3078">
        <f>Data!E3090</f>
        <v>0</v>
      </c>
      <c r="L3078">
        <f>Data!F3090</f>
        <v>0</v>
      </c>
      <c r="M3078">
        <f>Data!G3090</f>
        <v>0</v>
      </c>
      <c r="N3078">
        <f>Data!H3090</f>
        <v>0</v>
      </c>
      <c r="O3078">
        <f>Data!I3090</f>
        <v>0</v>
      </c>
      <c r="P3078" s="21">
        <f>Data!J3094</f>
        <v>0</v>
      </c>
      <c r="Q3078">
        <f>Data!K3094</f>
        <v>0</v>
      </c>
      <c r="R3078">
        <f>Data!L3094</f>
        <v>0</v>
      </c>
      <c r="S3078">
        <f>Data!M3094</f>
        <v>0</v>
      </c>
      <c r="T3078">
        <f>Data!N3094</f>
        <v>0</v>
      </c>
      <c r="U3078">
        <f>Data!O3094</f>
        <v>0</v>
      </c>
      <c r="V3078" s="33">
        <f>Data!P3092</f>
        <v>0</v>
      </c>
    </row>
    <row r="3079" spans="7:22" x14ac:dyDescent="0.25">
      <c r="G3079">
        <f>Data!B3091</f>
        <v>0</v>
      </c>
      <c r="H3079" s="21">
        <f>Data!B3091</f>
        <v>0</v>
      </c>
      <c r="I3079" s="21">
        <f>Data!C3091</f>
        <v>0</v>
      </c>
      <c r="J3079">
        <f>Data!D3091</f>
        <v>0</v>
      </c>
      <c r="K3079">
        <f>Data!E3091</f>
        <v>0</v>
      </c>
      <c r="L3079">
        <f>Data!F3091</f>
        <v>0</v>
      </c>
      <c r="M3079">
        <f>Data!G3091</f>
        <v>0</v>
      </c>
      <c r="N3079">
        <f>Data!H3091</f>
        <v>0</v>
      </c>
      <c r="O3079">
        <f>Data!I3091</f>
        <v>0</v>
      </c>
      <c r="P3079" s="21">
        <f>Data!J3095</f>
        <v>0</v>
      </c>
      <c r="Q3079">
        <f>Data!K3095</f>
        <v>0</v>
      </c>
      <c r="R3079">
        <f>Data!L3095</f>
        <v>0</v>
      </c>
      <c r="S3079">
        <f>Data!M3095</f>
        <v>0</v>
      </c>
      <c r="T3079">
        <f>Data!N3095</f>
        <v>0</v>
      </c>
      <c r="U3079">
        <f>Data!O3095</f>
        <v>0</v>
      </c>
      <c r="V3079" s="33">
        <f>Data!P3093</f>
        <v>0</v>
      </c>
    </row>
    <row r="3080" spans="7:22" x14ac:dyDescent="0.25">
      <c r="G3080">
        <f>Data!B3092</f>
        <v>0</v>
      </c>
      <c r="H3080" s="21">
        <f>Data!B3092</f>
        <v>0</v>
      </c>
      <c r="I3080" s="21">
        <f>Data!C3092</f>
        <v>0</v>
      </c>
      <c r="J3080">
        <f>Data!D3092</f>
        <v>0</v>
      </c>
      <c r="K3080">
        <f>Data!E3092</f>
        <v>0</v>
      </c>
      <c r="L3080">
        <f>Data!F3092</f>
        <v>0</v>
      </c>
      <c r="M3080">
        <f>Data!G3092</f>
        <v>0</v>
      </c>
      <c r="N3080">
        <f>Data!H3092</f>
        <v>0</v>
      </c>
      <c r="O3080">
        <f>Data!I3092</f>
        <v>0</v>
      </c>
      <c r="P3080" s="21">
        <f>Data!J3096</f>
        <v>0</v>
      </c>
      <c r="Q3080">
        <f>Data!K3096</f>
        <v>0</v>
      </c>
      <c r="R3080">
        <f>Data!L3096</f>
        <v>0</v>
      </c>
      <c r="S3080">
        <f>Data!M3096</f>
        <v>0</v>
      </c>
      <c r="T3080">
        <f>Data!N3096</f>
        <v>0</v>
      </c>
      <c r="U3080">
        <f>Data!O3096</f>
        <v>0</v>
      </c>
      <c r="V3080" s="33">
        <f>Data!P3094</f>
        <v>0</v>
      </c>
    </row>
    <row r="3081" spans="7:22" x14ac:dyDescent="0.25">
      <c r="G3081">
        <f>Data!B3093</f>
        <v>0</v>
      </c>
      <c r="H3081" s="21">
        <f>Data!B3093</f>
        <v>0</v>
      </c>
      <c r="I3081" s="21">
        <f>Data!C3093</f>
        <v>0</v>
      </c>
      <c r="J3081">
        <f>Data!D3093</f>
        <v>0</v>
      </c>
      <c r="K3081">
        <f>Data!E3093</f>
        <v>0</v>
      </c>
      <c r="L3081">
        <f>Data!F3093</f>
        <v>0</v>
      </c>
      <c r="M3081">
        <f>Data!G3093</f>
        <v>0</v>
      </c>
      <c r="N3081">
        <f>Data!H3093</f>
        <v>0</v>
      </c>
      <c r="O3081">
        <f>Data!I3093</f>
        <v>0</v>
      </c>
      <c r="P3081" s="21">
        <f>Data!J3097</f>
        <v>0</v>
      </c>
      <c r="Q3081">
        <f>Data!K3097</f>
        <v>0</v>
      </c>
      <c r="R3081">
        <f>Data!L3097</f>
        <v>0</v>
      </c>
      <c r="S3081">
        <f>Data!M3097</f>
        <v>0</v>
      </c>
      <c r="T3081">
        <f>Data!N3097</f>
        <v>0</v>
      </c>
      <c r="U3081">
        <f>Data!O3097</f>
        <v>0</v>
      </c>
      <c r="V3081" s="33">
        <f>Data!P3095</f>
        <v>0</v>
      </c>
    </row>
    <row r="3082" spans="7:22" x14ac:dyDescent="0.25">
      <c r="G3082">
        <f>Data!B3094</f>
        <v>0</v>
      </c>
      <c r="H3082" s="21">
        <f>Data!B3094</f>
        <v>0</v>
      </c>
      <c r="I3082" s="21">
        <f>Data!C3094</f>
        <v>0</v>
      </c>
      <c r="J3082">
        <f>Data!D3094</f>
        <v>0</v>
      </c>
      <c r="K3082">
        <f>Data!E3094</f>
        <v>0</v>
      </c>
      <c r="L3082">
        <f>Data!F3094</f>
        <v>0</v>
      </c>
      <c r="M3082">
        <f>Data!G3094</f>
        <v>0</v>
      </c>
      <c r="N3082">
        <f>Data!H3094</f>
        <v>0</v>
      </c>
      <c r="O3082">
        <f>Data!I3094</f>
        <v>0</v>
      </c>
      <c r="P3082" s="21">
        <f>Data!J3098</f>
        <v>0</v>
      </c>
      <c r="Q3082">
        <f>Data!K3098</f>
        <v>0</v>
      </c>
      <c r="R3082">
        <f>Data!L3098</f>
        <v>0</v>
      </c>
      <c r="S3082">
        <f>Data!M3098</f>
        <v>0</v>
      </c>
      <c r="T3082">
        <f>Data!N3098</f>
        <v>0</v>
      </c>
      <c r="U3082">
        <f>Data!O3098</f>
        <v>0</v>
      </c>
      <c r="V3082" s="33">
        <f>Data!P3096</f>
        <v>0</v>
      </c>
    </row>
    <row r="3083" spans="7:22" x14ac:dyDescent="0.25">
      <c r="G3083">
        <f>Data!B3095</f>
        <v>0</v>
      </c>
      <c r="H3083" s="21">
        <f>Data!B3095</f>
        <v>0</v>
      </c>
      <c r="I3083" s="21">
        <f>Data!C3095</f>
        <v>0</v>
      </c>
      <c r="J3083">
        <f>Data!D3095</f>
        <v>0</v>
      </c>
      <c r="K3083">
        <f>Data!E3095</f>
        <v>0</v>
      </c>
      <c r="L3083">
        <f>Data!F3095</f>
        <v>0</v>
      </c>
      <c r="M3083">
        <f>Data!G3095</f>
        <v>0</v>
      </c>
      <c r="N3083">
        <f>Data!H3095</f>
        <v>0</v>
      </c>
      <c r="O3083">
        <f>Data!I3095</f>
        <v>0</v>
      </c>
      <c r="P3083" s="21">
        <f>Data!J3099</f>
        <v>0</v>
      </c>
      <c r="Q3083">
        <f>Data!K3099</f>
        <v>0</v>
      </c>
      <c r="R3083">
        <f>Data!L3099</f>
        <v>0</v>
      </c>
      <c r="S3083">
        <f>Data!M3099</f>
        <v>0</v>
      </c>
      <c r="T3083">
        <f>Data!N3099</f>
        <v>0</v>
      </c>
      <c r="U3083">
        <f>Data!O3099</f>
        <v>0</v>
      </c>
      <c r="V3083" s="33">
        <f>Data!P3097</f>
        <v>0</v>
      </c>
    </row>
    <row r="3084" spans="7:22" x14ac:dyDescent="0.25">
      <c r="G3084">
        <f>Data!B3096</f>
        <v>0</v>
      </c>
      <c r="H3084" s="21">
        <f>Data!B3096</f>
        <v>0</v>
      </c>
      <c r="I3084" s="21">
        <f>Data!C3096</f>
        <v>0</v>
      </c>
      <c r="J3084">
        <f>Data!D3096</f>
        <v>0</v>
      </c>
      <c r="K3084">
        <f>Data!E3096</f>
        <v>0</v>
      </c>
      <c r="L3084">
        <f>Data!F3096</f>
        <v>0</v>
      </c>
      <c r="M3084">
        <f>Data!G3096</f>
        <v>0</v>
      </c>
      <c r="N3084">
        <f>Data!H3096</f>
        <v>0</v>
      </c>
      <c r="O3084">
        <f>Data!I3096</f>
        <v>0</v>
      </c>
      <c r="P3084" s="21">
        <f>Data!J3100</f>
        <v>0</v>
      </c>
      <c r="Q3084">
        <f>Data!K3100</f>
        <v>0</v>
      </c>
      <c r="R3084">
        <f>Data!L3100</f>
        <v>0</v>
      </c>
      <c r="S3084">
        <f>Data!M3100</f>
        <v>0</v>
      </c>
      <c r="T3084">
        <f>Data!N3100</f>
        <v>0</v>
      </c>
      <c r="U3084">
        <f>Data!O3100</f>
        <v>0</v>
      </c>
      <c r="V3084" s="33">
        <f>Data!P3098</f>
        <v>0</v>
      </c>
    </row>
    <row r="3085" spans="7:22" x14ac:dyDescent="0.25">
      <c r="G3085">
        <f>Data!B3097</f>
        <v>0</v>
      </c>
      <c r="H3085" s="21">
        <f>Data!B3097</f>
        <v>0</v>
      </c>
      <c r="I3085" s="21">
        <f>Data!C3097</f>
        <v>0</v>
      </c>
      <c r="J3085">
        <f>Data!D3097</f>
        <v>0</v>
      </c>
      <c r="K3085">
        <f>Data!E3097</f>
        <v>0</v>
      </c>
      <c r="L3085">
        <f>Data!F3097</f>
        <v>0</v>
      </c>
      <c r="M3085">
        <f>Data!G3097</f>
        <v>0</v>
      </c>
      <c r="N3085">
        <f>Data!H3097</f>
        <v>0</v>
      </c>
      <c r="O3085">
        <f>Data!I3097</f>
        <v>0</v>
      </c>
      <c r="P3085" s="21">
        <f>Data!J3101</f>
        <v>0</v>
      </c>
      <c r="Q3085">
        <f>Data!K3101</f>
        <v>0</v>
      </c>
      <c r="R3085">
        <f>Data!L3101</f>
        <v>0</v>
      </c>
      <c r="S3085">
        <f>Data!M3101</f>
        <v>0</v>
      </c>
      <c r="T3085">
        <f>Data!N3101</f>
        <v>0</v>
      </c>
      <c r="U3085">
        <f>Data!O3101</f>
        <v>0</v>
      </c>
      <c r="V3085" s="33">
        <f>Data!P3099</f>
        <v>0</v>
      </c>
    </row>
    <row r="3086" spans="7:22" x14ac:dyDescent="0.25">
      <c r="G3086">
        <f>Data!B3098</f>
        <v>0</v>
      </c>
      <c r="H3086" s="21">
        <f>Data!B3098</f>
        <v>0</v>
      </c>
      <c r="I3086" s="21">
        <f>Data!C3098</f>
        <v>0</v>
      </c>
      <c r="J3086">
        <f>Data!D3098</f>
        <v>0</v>
      </c>
      <c r="K3086">
        <f>Data!E3098</f>
        <v>0</v>
      </c>
      <c r="L3086">
        <f>Data!F3098</f>
        <v>0</v>
      </c>
      <c r="M3086">
        <f>Data!G3098</f>
        <v>0</v>
      </c>
      <c r="N3086">
        <f>Data!H3098</f>
        <v>0</v>
      </c>
      <c r="O3086">
        <f>Data!I3098</f>
        <v>0</v>
      </c>
      <c r="P3086" s="21">
        <f>Data!J3102</f>
        <v>0</v>
      </c>
      <c r="Q3086">
        <f>Data!K3102</f>
        <v>0</v>
      </c>
      <c r="R3086">
        <f>Data!L3102</f>
        <v>0</v>
      </c>
      <c r="S3086">
        <f>Data!M3102</f>
        <v>0</v>
      </c>
      <c r="T3086">
        <f>Data!N3102</f>
        <v>0</v>
      </c>
      <c r="U3086">
        <f>Data!O3102</f>
        <v>0</v>
      </c>
      <c r="V3086" s="33">
        <f>Data!P3100</f>
        <v>0</v>
      </c>
    </row>
    <row r="3087" spans="7:22" x14ac:dyDescent="0.25">
      <c r="G3087">
        <f>Data!B3099</f>
        <v>0</v>
      </c>
      <c r="H3087" s="21">
        <f>Data!B3099</f>
        <v>0</v>
      </c>
      <c r="I3087" s="21">
        <f>Data!C3099</f>
        <v>0</v>
      </c>
      <c r="J3087">
        <f>Data!D3099</f>
        <v>0</v>
      </c>
      <c r="K3087">
        <f>Data!E3099</f>
        <v>0</v>
      </c>
      <c r="L3087">
        <f>Data!F3099</f>
        <v>0</v>
      </c>
      <c r="M3087">
        <f>Data!G3099</f>
        <v>0</v>
      </c>
      <c r="N3087">
        <f>Data!H3099</f>
        <v>0</v>
      </c>
      <c r="O3087">
        <f>Data!I3099</f>
        <v>0</v>
      </c>
      <c r="P3087" s="21">
        <f>Data!J3103</f>
        <v>0</v>
      </c>
      <c r="Q3087">
        <f>Data!K3103</f>
        <v>0</v>
      </c>
      <c r="R3087">
        <f>Data!L3103</f>
        <v>0</v>
      </c>
      <c r="S3087">
        <f>Data!M3103</f>
        <v>0</v>
      </c>
      <c r="T3087">
        <f>Data!N3103</f>
        <v>0</v>
      </c>
      <c r="U3087">
        <f>Data!O3103</f>
        <v>0</v>
      </c>
      <c r="V3087" s="33">
        <f>Data!P3101</f>
        <v>0</v>
      </c>
    </row>
    <row r="3088" spans="7:22" x14ac:dyDescent="0.25">
      <c r="G3088">
        <f>Data!B3100</f>
        <v>0</v>
      </c>
      <c r="H3088" s="21">
        <f>Data!B3100</f>
        <v>0</v>
      </c>
      <c r="I3088" s="21">
        <f>Data!C3100</f>
        <v>0</v>
      </c>
      <c r="J3088">
        <f>Data!D3100</f>
        <v>0</v>
      </c>
      <c r="K3088">
        <f>Data!E3100</f>
        <v>0</v>
      </c>
      <c r="L3088">
        <f>Data!F3100</f>
        <v>0</v>
      </c>
      <c r="M3088">
        <f>Data!G3100</f>
        <v>0</v>
      </c>
      <c r="N3088">
        <f>Data!H3100</f>
        <v>0</v>
      </c>
      <c r="O3088">
        <f>Data!I3100</f>
        <v>0</v>
      </c>
      <c r="P3088" s="21">
        <f>Data!J3104</f>
        <v>0</v>
      </c>
      <c r="Q3088">
        <f>Data!K3104</f>
        <v>0</v>
      </c>
      <c r="R3088">
        <f>Data!L3104</f>
        <v>0</v>
      </c>
      <c r="S3088">
        <f>Data!M3104</f>
        <v>0</v>
      </c>
      <c r="T3088">
        <f>Data!N3104</f>
        <v>0</v>
      </c>
      <c r="U3088">
        <f>Data!O3104</f>
        <v>0</v>
      </c>
      <c r="V3088" s="33">
        <f>Data!P3102</f>
        <v>0</v>
      </c>
    </row>
    <row r="3089" spans="7:22" x14ac:dyDescent="0.25">
      <c r="G3089">
        <f>Data!B3101</f>
        <v>0</v>
      </c>
      <c r="H3089" s="21">
        <f>Data!B3101</f>
        <v>0</v>
      </c>
      <c r="I3089" s="21">
        <f>Data!C3101</f>
        <v>0</v>
      </c>
      <c r="J3089">
        <f>Data!D3101</f>
        <v>0</v>
      </c>
      <c r="K3089">
        <f>Data!E3101</f>
        <v>0</v>
      </c>
      <c r="L3089">
        <f>Data!F3101</f>
        <v>0</v>
      </c>
      <c r="M3089">
        <f>Data!G3101</f>
        <v>0</v>
      </c>
      <c r="N3089">
        <f>Data!H3101</f>
        <v>0</v>
      </c>
      <c r="O3089">
        <f>Data!I3101</f>
        <v>0</v>
      </c>
      <c r="P3089" s="21">
        <f>Data!J3105</f>
        <v>0</v>
      </c>
      <c r="Q3089">
        <f>Data!K3105</f>
        <v>0</v>
      </c>
      <c r="R3089">
        <f>Data!L3105</f>
        <v>0</v>
      </c>
      <c r="S3089">
        <f>Data!M3105</f>
        <v>0</v>
      </c>
      <c r="T3089">
        <f>Data!N3105</f>
        <v>0</v>
      </c>
      <c r="U3089">
        <f>Data!O3105</f>
        <v>0</v>
      </c>
      <c r="V3089" s="33">
        <f>Data!P3103</f>
        <v>0</v>
      </c>
    </row>
    <row r="3090" spans="7:22" x14ac:dyDescent="0.25">
      <c r="G3090">
        <f>Data!B3102</f>
        <v>0</v>
      </c>
      <c r="H3090" s="21">
        <f>Data!B3102</f>
        <v>0</v>
      </c>
      <c r="I3090" s="21">
        <f>Data!C3102</f>
        <v>0</v>
      </c>
      <c r="J3090">
        <f>Data!D3102</f>
        <v>0</v>
      </c>
      <c r="K3090">
        <f>Data!E3102</f>
        <v>0</v>
      </c>
      <c r="L3090">
        <f>Data!F3102</f>
        <v>0</v>
      </c>
      <c r="M3090">
        <f>Data!G3102</f>
        <v>0</v>
      </c>
      <c r="N3090">
        <f>Data!H3102</f>
        <v>0</v>
      </c>
      <c r="O3090">
        <f>Data!I3102</f>
        <v>0</v>
      </c>
      <c r="P3090" s="21">
        <f>Data!J3106</f>
        <v>0</v>
      </c>
      <c r="Q3090">
        <f>Data!K3106</f>
        <v>0</v>
      </c>
      <c r="R3090">
        <f>Data!L3106</f>
        <v>0</v>
      </c>
      <c r="S3090">
        <f>Data!M3106</f>
        <v>0</v>
      </c>
      <c r="T3090">
        <f>Data!N3106</f>
        <v>0</v>
      </c>
      <c r="U3090">
        <f>Data!O3106</f>
        <v>0</v>
      </c>
      <c r="V3090" s="33">
        <f>Data!P3104</f>
        <v>0</v>
      </c>
    </row>
    <row r="3091" spans="7:22" x14ac:dyDescent="0.25">
      <c r="G3091">
        <f>Data!B3103</f>
        <v>0</v>
      </c>
      <c r="H3091" s="21">
        <f>Data!B3103</f>
        <v>0</v>
      </c>
      <c r="I3091" s="21">
        <f>Data!C3103</f>
        <v>0</v>
      </c>
      <c r="J3091">
        <f>Data!D3103</f>
        <v>0</v>
      </c>
      <c r="K3091">
        <f>Data!E3103</f>
        <v>0</v>
      </c>
      <c r="L3091">
        <f>Data!F3103</f>
        <v>0</v>
      </c>
      <c r="M3091">
        <f>Data!G3103</f>
        <v>0</v>
      </c>
      <c r="N3091">
        <f>Data!H3103</f>
        <v>0</v>
      </c>
      <c r="O3091">
        <f>Data!I3103</f>
        <v>0</v>
      </c>
      <c r="P3091" s="21">
        <f>Data!J3107</f>
        <v>0</v>
      </c>
      <c r="Q3091">
        <f>Data!K3107</f>
        <v>0</v>
      </c>
      <c r="R3091">
        <f>Data!L3107</f>
        <v>0</v>
      </c>
      <c r="S3091">
        <f>Data!M3107</f>
        <v>0</v>
      </c>
      <c r="T3091">
        <f>Data!N3107</f>
        <v>0</v>
      </c>
      <c r="U3091">
        <f>Data!O3107</f>
        <v>0</v>
      </c>
      <c r="V3091" s="33">
        <f>Data!P3105</f>
        <v>0</v>
      </c>
    </row>
    <row r="3092" spans="7:22" x14ac:dyDescent="0.25">
      <c r="G3092">
        <f>Data!B3104</f>
        <v>0</v>
      </c>
      <c r="H3092" s="21">
        <f>Data!B3104</f>
        <v>0</v>
      </c>
      <c r="I3092" s="21">
        <f>Data!C3104</f>
        <v>0</v>
      </c>
      <c r="J3092">
        <f>Data!D3104</f>
        <v>0</v>
      </c>
      <c r="K3092">
        <f>Data!E3104</f>
        <v>0</v>
      </c>
      <c r="L3092">
        <f>Data!F3104</f>
        <v>0</v>
      </c>
      <c r="M3092">
        <f>Data!G3104</f>
        <v>0</v>
      </c>
      <c r="N3092">
        <f>Data!H3104</f>
        <v>0</v>
      </c>
      <c r="O3092">
        <f>Data!I3104</f>
        <v>0</v>
      </c>
      <c r="P3092" s="21">
        <f>Data!J3108</f>
        <v>0</v>
      </c>
      <c r="Q3092">
        <f>Data!K3108</f>
        <v>0</v>
      </c>
      <c r="R3092">
        <f>Data!L3108</f>
        <v>0</v>
      </c>
      <c r="S3092">
        <f>Data!M3108</f>
        <v>0</v>
      </c>
      <c r="T3092">
        <f>Data!N3108</f>
        <v>0</v>
      </c>
      <c r="U3092">
        <f>Data!O3108</f>
        <v>0</v>
      </c>
      <c r="V3092" s="33">
        <f>Data!P3106</f>
        <v>0</v>
      </c>
    </row>
    <row r="3093" spans="7:22" x14ac:dyDescent="0.25">
      <c r="G3093">
        <f>Data!B3105</f>
        <v>0</v>
      </c>
      <c r="H3093" s="21">
        <f>Data!B3105</f>
        <v>0</v>
      </c>
      <c r="I3093" s="21">
        <f>Data!C3105</f>
        <v>0</v>
      </c>
      <c r="J3093">
        <f>Data!D3105</f>
        <v>0</v>
      </c>
      <c r="K3093">
        <f>Data!E3105</f>
        <v>0</v>
      </c>
      <c r="L3093">
        <f>Data!F3105</f>
        <v>0</v>
      </c>
      <c r="M3093">
        <f>Data!G3105</f>
        <v>0</v>
      </c>
      <c r="N3093">
        <f>Data!H3105</f>
        <v>0</v>
      </c>
      <c r="O3093">
        <f>Data!I3105</f>
        <v>0</v>
      </c>
      <c r="P3093" s="21">
        <f>Data!J3109</f>
        <v>0</v>
      </c>
      <c r="Q3093">
        <f>Data!K3109</f>
        <v>0</v>
      </c>
      <c r="R3093">
        <f>Data!L3109</f>
        <v>0</v>
      </c>
      <c r="S3093">
        <f>Data!M3109</f>
        <v>0</v>
      </c>
      <c r="T3093">
        <f>Data!N3109</f>
        <v>0</v>
      </c>
      <c r="U3093">
        <f>Data!O3109</f>
        <v>0</v>
      </c>
      <c r="V3093" s="33">
        <f>Data!P3107</f>
        <v>0</v>
      </c>
    </row>
    <row r="3094" spans="7:22" x14ac:dyDescent="0.25">
      <c r="G3094">
        <f>Data!B3106</f>
        <v>0</v>
      </c>
      <c r="H3094" s="21">
        <f>Data!B3106</f>
        <v>0</v>
      </c>
      <c r="I3094" s="21">
        <f>Data!C3106</f>
        <v>0</v>
      </c>
      <c r="J3094">
        <f>Data!D3106</f>
        <v>0</v>
      </c>
      <c r="K3094">
        <f>Data!E3106</f>
        <v>0</v>
      </c>
      <c r="L3094">
        <f>Data!F3106</f>
        <v>0</v>
      </c>
      <c r="M3094">
        <f>Data!G3106</f>
        <v>0</v>
      </c>
      <c r="N3094">
        <f>Data!H3106</f>
        <v>0</v>
      </c>
      <c r="O3094">
        <f>Data!I3106</f>
        <v>0</v>
      </c>
      <c r="P3094" s="21">
        <f>Data!J3110</f>
        <v>0</v>
      </c>
      <c r="Q3094">
        <f>Data!K3110</f>
        <v>0</v>
      </c>
      <c r="R3094">
        <f>Data!L3110</f>
        <v>0</v>
      </c>
      <c r="S3094">
        <f>Data!M3110</f>
        <v>0</v>
      </c>
      <c r="T3094">
        <f>Data!N3110</f>
        <v>0</v>
      </c>
      <c r="U3094">
        <f>Data!O3110</f>
        <v>0</v>
      </c>
      <c r="V3094" s="33">
        <f>Data!P3108</f>
        <v>0</v>
      </c>
    </row>
    <row r="3095" spans="7:22" x14ac:dyDescent="0.25">
      <c r="G3095">
        <f>Data!B3107</f>
        <v>0</v>
      </c>
      <c r="H3095" s="21">
        <f>Data!B3107</f>
        <v>0</v>
      </c>
      <c r="I3095" s="21">
        <f>Data!C3107</f>
        <v>0</v>
      </c>
      <c r="J3095">
        <f>Data!D3107</f>
        <v>0</v>
      </c>
      <c r="K3095">
        <f>Data!E3107</f>
        <v>0</v>
      </c>
      <c r="L3095">
        <f>Data!F3107</f>
        <v>0</v>
      </c>
      <c r="M3095">
        <f>Data!G3107</f>
        <v>0</v>
      </c>
      <c r="N3095">
        <f>Data!H3107</f>
        <v>0</v>
      </c>
      <c r="O3095">
        <f>Data!I3107</f>
        <v>0</v>
      </c>
      <c r="P3095" s="21">
        <f>Data!J3111</f>
        <v>0</v>
      </c>
      <c r="Q3095">
        <f>Data!K3111</f>
        <v>0</v>
      </c>
      <c r="R3095">
        <f>Data!L3111</f>
        <v>0</v>
      </c>
      <c r="S3095">
        <f>Data!M3111</f>
        <v>0</v>
      </c>
      <c r="T3095">
        <f>Data!N3111</f>
        <v>0</v>
      </c>
      <c r="U3095">
        <f>Data!O3111</f>
        <v>0</v>
      </c>
      <c r="V3095" s="33">
        <f>Data!P3109</f>
        <v>0</v>
      </c>
    </row>
    <row r="3096" spans="7:22" x14ac:dyDescent="0.25">
      <c r="G3096">
        <f>Data!B3108</f>
        <v>0</v>
      </c>
      <c r="H3096" s="21">
        <f>Data!B3108</f>
        <v>0</v>
      </c>
      <c r="I3096" s="21">
        <f>Data!C3108</f>
        <v>0</v>
      </c>
      <c r="J3096">
        <f>Data!D3108</f>
        <v>0</v>
      </c>
      <c r="K3096">
        <f>Data!E3108</f>
        <v>0</v>
      </c>
      <c r="L3096">
        <f>Data!F3108</f>
        <v>0</v>
      </c>
      <c r="M3096">
        <f>Data!G3108</f>
        <v>0</v>
      </c>
      <c r="N3096">
        <f>Data!H3108</f>
        <v>0</v>
      </c>
      <c r="O3096">
        <f>Data!I3108</f>
        <v>0</v>
      </c>
      <c r="P3096" s="21">
        <f>Data!J3112</f>
        <v>0</v>
      </c>
      <c r="Q3096">
        <f>Data!K3112</f>
        <v>0</v>
      </c>
      <c r="R3096">
        <f>Data!L3112</f>
        <v>0</v>
      </c>
      <c r="S3096">
        <f>Data!M3112</f>
        <v>0</v>
      </c>
      <c r="T3096">
        <f>Data!N3112</f>
        <v>0</v>
      </c>
      <c r="U3096">
        <f>Data!O3112</f>
        <v>0</v>
      </c>
      <c r="V3096" s="33">
        <f>Data!P3110</f>
        <v>0</v>
      </c>
    </row>
    <row r="3097" spans="7:22" x14ac:dyDescent="0.25">
      <c r="G3097">
        <f>Data!B3109</f>
        <v>0</v>
      </c>
      <c r="H3097" s="21">
        <f>Data!B3109</f>
        <v>0</v>
      </c>
      <c r="I3097" s="21">
        <f>Data!C3109</f>
        <v>0</v>
      </c>
      <c r="J3097">
        <f>Data!D3109</f>
        <v>0</v>
      </c>
      <c r="K3097">
        <f>Data!E3109</f>
        <v>0</v>
      </c>
      <c r="L3097">
        <f>Data!F3109</f>
        <v>0</v>
      </c>
      <c r="M3097">
        <f>Data!G3109</f>
        <v>0</v>
      </c>
      <c r="N3097">
        <f>Data!H3109</f>
        <v>0</v>
      </c>
      <c r="O3097">
        <f>Data!I3109</f>
        <v>0</v>
      </c>
      <c r="P3097" s="21">
        <f>Data!J3113</f>
        <v>0</v>
      </c>
      <c r="Q3097">
        <f>Data!K3113</f>
        <v>0</v>
      </c>
      <c r="R3097">
        <f>Data!L3113</f>
        <v>0</v>
      </c>
      <c r="S3097">
        <f>Data!M3113</f>
        <v>0</v>
      </c>
      <c r="T3097">
        <f>Data!N3113</f>
        <v>0</v>
      </c>
      <c r="U3097">
        <f>Data!O3113</f>
        <v>0</v>
      </c>
      <c r="V3097" s="33">
        <f>Data!P3111</f>
        <v>0</v>
      </c>
    </row>
    <row r="3098" spans="7:22" x14ac:dyDescent="0.25">
      <c r="G3098">
        <f>Data!B3110</f>
        <v>0</v>
      </c>
      <c r="H3098" s="21">
        <f>Data!B3110</f>
        <v>0</v>
      </c>
      <c r="I3098" s="21">
        <f>Data!C3110</f>
        <v>0</v>
      </c>
      <c r="J3098">
        <f>Data!D3110</f>
        <v>0</v>
      </c>
      <c r="K3098">
        <f>Data!E3110</f>
        <v>0</v>
      </c>
      <c r="L3098">
        <f>Data!F3110</f>
        <v>0</v>
      </c>
      <c r="M3098">
        <f>Data!G3110</f>
        <v>0</v>
      </c>
      <c r="N3098">
        <f>Data!H3110</f>
        <v>0</v>
      </c>
      <c r="O3098">
        <f>Data!I3110</f>
        <v>0</v>
      </c>
      <c r="P3098" s="21">
        <f>Data!J3114</f>
        <v>0</v>
      </c>
      <c r="Q3098">
        <f>Data!K3114</f>
        <v>0</v>
      </c>
      <c r="R3098">
        <f>Data!L3114</f>
        <v>0</v>
      </c>
      <c r="S3098">
        <f>Data!M3114</f>
        <v>0</v>
      </c>
      <c r="T3098">
        <f>Data!N3114</f>
        <v>0</v>
      </c>
      <c r="U3098">
        <f>Data!O3114</f>
        <v>0</v>
      </c>
      <c r="V3098" s="33">
        <f>Data!P3112</f>
        <v>0</v>
      </c>
    </row>
    <row r="3099" spans="7:22" x14ac:dyDescent="0.25">
      <c r="G3099">
        <f>Data!B3111</f>
        <v>0</v>
      </c>
      <c r="H3099" s="21">
        <f>Data!B3111</f>
        <v>0</v>
      </c>
      <c r="I3099" s="21">
        <f>Data!C3111</f>
        <v>0</v>
      </c>
      <c r="J3099">
        <f>Data!D3111</f>
        <v>0</v>
      </c>
      <c r="K3099">
        <f>Data!E3111</f>
        <v>0</v>
      </c>
      <c r="L3099">
        <f>Data!F3111</f>
        <v>0</v>
      </c>
      <c r="M3099">
        <f>Data!G3111</f>
        <v>0</v>
      </c>
      <c r="N3099">
        <f>Data!H3111</f>
        <v>0</v>
      </c>
      <c r="O3099">
        <f>Data!I3111</f>
        <v>0</v>
      </c>
      <c r="P3099" s="21">
        <f>Data!J3115</f>
        <v>0</v>
      </c>
      <c r="Q3099">
        <f>Data!K3115</f>
        <v>0</v>
      </c>
      <c r="R3099">
        <f>Data!L3115</f>
        <v>0</v>
      </c>
      <c r="S3099">
        <f>Data!M3115</f>
        <v>0</v>
      </c>
      <c r="T3099">
        <f>Data!N3115</f>
        <v>0</v>
      </c>
      <c r="U3099">
        <f>Data!O3115</f>
        <v>0</v>
      </c>
      <c r="V3099" s="33">
        <f>Data!P3113</f>
        <v>0</v>
      </c>
    </row>
    <row r="3100" spans="7:22" x14ac:dyDescent="0.25">
      <c r="G3100">
        <f>Data!B3112</f>
        <v>0</v>
      </c>
      <c r="H3100" s="21">
        <f>Data!B3112</f>
        <v>0</v>
      </c>
      <c r="I3100" s="21">
        <f>Data!C3112</f>
        <v>0</v>
      </c>
      <c r="J3100">
        <f>Data!D3112</f>
        <v>0</v>
      </c>
      <c r="K3100">
        <f>Data!E3112</f>
        <v>0</v>
      </c>
      <c r="L3100">
        <f>Data!F3112</f>
        <v>0</v>
      </c>
      <c r="M3100">
        <f>Data!G3112</f>
        <v>0</v>
      </c>
      <c r="N3100">
        <f>Data!H3112</f>
        <v>0</v>
      </c>
      <c r="O3100">
        <f>Data!I3112</f>
        <v>0</v>
      </c>
      <c r="P3100" s="21">
        <f>Data!J3116</f>
        <v>0</v>
      </c>
      <c r="Q3100">
        <f>Data!K3116</f>
        <v>0</v>
      </c>
      <c r="R3100">
        <f>Data!L3116</f>
        <v>0</v>
      </c>
      <c r="S3100">
        <f>Data!M3116</f>
        <v>0</v>
      </c>
      <c r="T3100">
        <f>Data!N3116</f>
        <v>0</v>
      </c>
      <c r="U3100">
        <f>Data!O3116</f>
        <v>0</v>
      </c>
      <c r="V3100" s="33">
        <f>Data!P3114</f>
        <v>0</v>
      </c>
    </row>
    <row r="3101" spans="7:22" x14ac:dyDescent="0.25">
      <c r="G3101">
        <f>Data!B3113</f>
        <v>0</v>
      </c>
      <c r="H3101" s="21">
        <f>Data!B3113</f>
        <v>0</v>
      </c>
      <c r="I3101" s="21">
        <f>Data!C3113</f>
        <v>0</v>
      </c>
      <c r="J3101">
        <f>Data!D3113</f>
        <v>0</v>
      </c>
      <c r="K3101">
        <f>Data!E3113</f>
        <v>0</v>
      </c>
      <c r="L3101">
        <f>Data!F3113</f>
        <v>0</v>
      </c>
      <c r="M3101">
        <f>Data!G3113</f>
        <v>0</v>
      </c>
      <c r="N3101">
        <f>Data!H3113</f>
        <v>0</v>
      </c>
      <c r="O3101">
        <f>Data!I3113</f>
        <v>0</v>
      </c>
      <c r="P3101" s="21">
        <f>Data!J3117</f>
        <v>0</v>
      </c>
      <c r="Q3101">
        <f>Data!K3117</f>
        <v>0</v>
      </c>
      <c r="R3101">
        <f>Data!L3117</f>
        <v>0</v>
      </c>
      <c r="S3101">
        <f>Data!M3117</f>
        <v>0</v>
      </c>
      <c r="T3101">
        <f>Data!N3117</f>
        <v>0</v>
      </c>
      <c r="U3101">
        <f>Data!O3117</f>
        <v>0</v>
      </c>
      <c r="V3101" s="33">
        <f>Data!P3115</f>
        <v>0</v>
      </c>
    </row>
    <row r="3102" spans="7:22" x14ac:dyDescent="0.25">
      <c r="G3102">
        <f>Data!B3114</f>
        <v>0</v>
      </c>
      <c r="H3102" s="21">
        <f>Data!B3114</f>
        <v>0</v>
      </c>
      <c r="I3102" s="21">
        <f>Data!C3114</f>
        <v>0</v>
      </c>
      <c r="J3102">
        <f>Data!D3114</f>
        <v>0</v>
      </c>
      <c r="K3102">
        <f>Data!E3114</f>
        <v>0</v>
      </c>
      <c r="L3102">
        <f>Data!F3114</f>
        <v>0</v>
      </c>
      <c r="M3102">
        <f>Data!G3114</f>
        <v>0</v>
      </c>
      <c r="N3102">
        <f>Data!H3114</f>
        <v>0</v>
      </c>
      <c r="O3102">
        <f>Data!I3114</f>
        <v>0</v>
      </c>
      <c r="P3102" s="21">
        <f>Data!J3118</f>
        <v>0</v>
      </c>
      <c r="Q3102">
        <f>Data!K3118</f>
        <v>0</v>
      </c>
      <c r="R3102">
        <f>Data!L3118</f>
        <v>0</v>
      </c>
      <c r="S3102">
        <f>Data!M3118</f>
        <v>0</v>
      </c>
      <c r="T3102">
        <f>Data!N3118</f>
        <v>0</v>
      </c>
      <c r="U3102">
        <f>Data!O3118</f>
        <v>0</v>
      </c>
      <c r="V3102" s="33">
        <f>Data!P3116</f>
        <v>0</v>
      </c>
    </row>
    <row r="3103" spans="7:22" x14ac:dyDescent="0.25">
      <c r="G3103">
        <f>Data!B3115</f>
        <v>0</v>
      </c>
      <c r="H3103" s="21">
        <f>Data!B3115</f>
        <v>0</v>
      </c>
      <c r="I3103" s="21">
        <f>Data!C3115</f>
        <v>0</v>
      </c>
      <c r="J3103">
        <f>Data!D3115</f>
        <v>0</v>
      </c>
      <c r="K3103">
        <f>Data!E3115</f>
        <v>0</v>
      </c>
      <c r="L3103">
        <f>Data!F3115</f>
        <v>0</v>
      </c>
      <c r="M3103">
        <f>Data!G3115</f>
        <v>0</v>
      </c>
      <c r="N3103">
        <f>Data!H3115</f>
        <v>0</v>
      </c>
      <c r="O3103">
        <f>Data!I3115</f>
        <v>0</v>
      </c>
      <c r="P3103" s="21">
        <f>Data!J3119</f>
        <v>0</v>
      </c>
      <c r="Q3103">
        <f>Data!K3119</f>
        <v>0</v>
      </c>
      <c r="R3103">
        <f>Data!L3119</f>
        <v>0</v>
      </c>
      <c r="S3103">
        <f>Data!M3119</f>
        <v>0</v>
      </c>
      <c r="T3103">
        <f>Data!N3119</f>
        <v>0</v>
      </c>
      <c r="U3103">
        <f>Data!O3119</f>
        <v>0</v>
      </c>
      <c r="V3103" s="33">
        <f>Data!P3117</f>
        <v>0</v>
      </c>
    </row>
    <row r="3104" spans="7:22" x14ac:dyDescent="0.25">
      <c r="G3104">
        <f>Data!B3116</f>
        <v>0</v>
      </c>
      <c r="H3104" s="21">
        <f>Data!B3116</f>
        <v>0</v>
      </c>
      <c r="I3104" s="21">
        <f>Data!C3116</f>
        <v>0</v>
      </c>
      <c r="J3104">
        <f>Data!D3116</f>
        <v>0</v>
      </c>
      <c r="K3104">
        <f>Data!E3116</f>
        <v>0</v>
      </c>
      <c r="L3104">
        <f>Data!F3116</f>
        <v>0</v>
      </c>
      <c r="M3104">
        <f>Data!G3116</f>
        <v>0</v>
      </c>
      <c r="N3104">
        <f>Data!H3116</f>
        <v>0</v>
      </c>
      <c r="O3104">
        <f>Data!I3116</f>
        <v>0</v>
      </c>
      <c r="P3104" s="21">
        <f>Data!J3120</f>
        <v>0</v>
      </c>
      <c r="Q3104">
        <f>Data!K3120</f>
        <v>0</v>
      </c>
      <c r="R3104">
        <f>Data!L3120</f>
        <v>0</v>
      </c>
      <c r="S3104">
        <f>Data!M3120</f>
        <v>0</v>
      </c>
      <c r="T3104">
        <f>Data!N3120</f>
        <v>0</v>
      </c>
      <c r="U3104">
        <f>Data!O3120</f>
        <v>0</v>
      </c>
      <c r="V3104" s="33">
        <f>Data!P3118</f>
        <v>0</v>
      </c>
    </row>
    <row r="3105" spans="7:22" x14ac:dyDescent="0.25">
      <c r="G3105">
        <f>Data!B3117</f>
        <v>0</v>
      </c>
      <c r="H3105" s="21">
        <f>Data!B3117</f>
        <v>0</v>
      </c>
      <c r="I3105" s="21">
        <f>Data!C3117</f>
        <v>0</v>
      </c>
      <c r="J3105">
        <f>Data!D3117</f>
        <v>0</v>
      </c>
      <c r="K3105">
        <f>Data!E3117</f>
        <v>0</v>
      </c>
      <c r="L3105">
        <f>Data!F3117</f>
        <v>0</v>
      </c>
      <c r="M3105">
        <f>Data!G3117</f>
        <v>0</v>
      </c>
      <c r="N3105">
        <f>Data!H3117</f>
        <v>0</v>
      </c>
      <c r="O3105">
        <f>Data!I3117</f>
        <v>0</v>
      </c>
      <c r="P3105" s="21">
        <f>Data!J3121</f>
        <v>0</v>
      </c>
      <c r="Q3105">
        <f>Data!K3121</f>
        <v>0</v>
      </c>
      <c r="R3105">
        <f>Data!L3121</f>
        <v>0</v>
      </c>
      <c r="S3105">
        <f>Data!M3121</f>
        <v>0</v>
      </c>
      <c r="T3105">
        <f>Data!N3121</f>
        <v>0</v>
      </c>
      <c r="U3105">
        <f>Data!O3121</f>
        <v>0</v>
      </c>
      <c r="V3105" s="33">
        <f>Data!P3119</f>
        <v>0</v>
      </c>
    </row>
    <row r="3106" spans="7:22" x14ac:dyDescent="0.25">
      <c r="G3106">
        <f>Data!B3118</f>
        <v>0</v>
      </c>
      <c r="H3106" s="21">
        <f>Data!B3118</f>
        <v>0</v>
      </c>
      <c r="I3106" s="21">
        <f>Data!C3118</f>
        <v>0</v>
      </c>
      <c r="J3106">
        <f>Data!D3118</f>
        <v>0</v>
      </c>
      <c r="K3106">
        <f>Data!E3118</f>
        <v>0</v>
      </c>
      <c r="L3106">
        <f>Data!F3118</f>
        <v>0</v>
      </c>
      <c r="M3106">
        <f>Data!G3118</f>
        <v>0</v>
      </c>
      <c r="N3106">
        <f>Data!H3118</f>
        <v>0</v>
      </c>
      <c r="O3106">
        <f>Data!I3118</f>
        <v>0</v>
      </c>
      <c r="P3106" s="21">
        <f>Data!J3122</f>
        <v>0</v>
      </c>
      <c r="Q3106">
        <f>Data!K3122</f>
        <v>0</v>
      </c>
      <c r="R3106">
        <f>Data!L3122</f>
        <v>0</v>
      </c>
      <c r="S3106">
        <f>Data!M3122</f>
        <v>0</v>
      </c>
      <c r="T3106">
        <f>Data!N3122</f>
        <v>0</v>
      </c>
      <c r="U3106">
        <f>Data!O3122</f>
        <v>0</v>
      </c>
      <c r="V3106" s="33">
        <f>Data!P3120</f>
        <v>0</v>
      </c>
    </row>
    <row r="3107" spans="7:22" x14ac:dyDescent="0.25">
      <c r="G3107">
        <f>Data!B3119</f>
        <v>0</v>
      </c>
      <c r="H3107" s="21">
        <f>Data!B3119</f>
        <v>0</v>
      </c>
      <c r="I3107" s="21">
        <f>Data!C3119</f>
        <v>0</v>
      </c>
      <c r="J3107">
        <f>Data!D3119</f>
        <v>0</v>
      </c>
      <c r="K3107">
        <f>Data!E3119</f>
        <v>0</v>
      </c>
      <c r="L3107">
        <f>Data!F3119</f>
        <v>0</v>
      </c>
      <c r="M3107">
        <f>Data!G3119</f>
        <v>0</v>
      </c>
      <c r="N3107">
        <f>Data!H3119</f>
        <v>0</v>
      </c>
      <c r="O3107">
        <f>Data!I3119</f>
        <v>0</v>
      </c>
      <c r="P3107" s="21">
        <f>Data!J3123</f>
        <v>0</v>
      </c>
      <c r="Q3107">
        <f>Data!K3123</f>
        <v>0</v>
      </c>
      <c r="R3107">
        <f>Data!L3123</f>
        <v>0</v>
      </c>
      <c r="S3107">
        <f>Data!M3123</f>
        <v>0</v>
      </c>
      <c r="T3107">
        <f>Data!N3123</f>
        <v>0</v>
      </c>
      <c r="U3107">
        <f>Data!O3123</f>
        <v>0</v>
      </c>
      <c r="V3107" s="33">
        <f>Data!P3121</f>
        <v>0</v>
      </c>
    </row>
    <row r="3108" spans="7:22" x14ac:dyDescent="0.25">
      <c r="G3108">
        <f>Data!B3120</f>
        <v>0</v>
      </c>
      <c r="H3108" s="21">
        <f>Data!B3120</f>
        <v>0</v>
      </c>
      <c r="I3108" s="21">
        <f>Data!C3120</f>
        <v>0</v>
      </c>
      <c r="J3108">
        <f>Data!D3120</f>
        <v>0</v>
      </c>
      <c r="K3108">
        <f>Data!E3120</f>
        <v>0</v>
      </c>
      <c r="L3108">
        <f>Data!F3120</f>
        <v>0</v>
      </c>
      <c r="M3108">
        <f>Data!G3120</f>
        <v>0</v>
      </c>
      <c r="N3108">
        <f>Data!H3120</f>
        <v>0</v>
      </c>
      <c r="O3108">
        <f>Data!I3120</f>
        <v>0</v>
      </c>
      <c r="P3108" s="21">
        <f>Data!J3124</f>
        <v>0</v>
      </c>
      <c r="Q3108">
        <f>Data!K3124</f>
        <v>0</v>
      </c>
      <c r="R3108">
        <f>Data!L3124</f>
        <v>0</v>
      </c>
      <c r="S3108">
        <f>Data!M3124</f>
        <v>0</v>
      </c>
      <c r="T3108">
        <f>Data!N3124</f>
        <v>0</v>
      </c>
      <c r="U3108">
        <f>Data!O3124</f>
        <v>0</v>
      </c>
      <c r="V3108" s="33">
        <f>Data!P3122</f>
        <v>0</v>
      </c>
    </row>
    <row r="3109" spans="7:22" x14ac:dyDescent="0.25">
      <c r="G3109">
        <f>Data!B3121</f>
        <v>0</v>
      </c>
      <c r="H3109" s="21">
        <f>Data!B3121</f>
        <v>0</v>
      </c>
      <c r="I3109" s="21">
        <f>Data!C3121</f>
        <v>0</v>
      </c>
      <c r="J3109">
        <f>Data!D3121</f>
        <v>0</v>
      </c>
      <c r="K3109">
        <f>Data!E3121</f>
        <v>0</v>
      </c>
      <c r="L3109">
        <f>Data!F3121</f>
        <v>0</v>
      </c>
      <c r="M3109">
        <f>Data!G3121</f>
        <v>0</v>
      </c>
      <c r="N3109">
        <f>Data!H3121</f>
        <v>0</v>
      </c>
      <c r="O3109">
        <f>Data!I3121</f>
        <v>0</v>
      </c>
      <c r="P3109" s="21">
        <f>Data!J3125</f>
        <v>0</v>
      </c>
      <c r="Q3109">
        <f>Data!K3125</f>
        <v>0</v>
      </c>
      <c r="R3109">
        <f>Data!L3125</f>
        <v>0</v>
      </c>
      <c r="S3109">
        <f>Data!M3125</f>
        <v>0</v>
      </c>
      <c r="T3109">
        <f>Data!N3125</f>
        <v>0</v>
      </c>
      <c r="U3109">
        <f>Data!O3125</f>
        <v>0</v>
      </c>
      <c r="V3109" s="33">
        <f>Data!P3123</f>
        <v>0</v>
      </c>
    </row>
    <row r="3110" spans="7:22" x14ac:dyDescent="0.25">
      <c r="G3110">
        <f>Data!B3122</f>
        <v>0</v>
      </c>
      <c r="H3110" s="21">
        <f>Data!B3122</f>
        <v>0</v>
      </c>
      <c r="I3110" s="21">
        <f>Data!C3122</f>
        <v>0</v>
      </c>
      <c r="J3110">
        <f>Data!D3122</f>
        <v>0</v>
      </c>
      <c r="K3110">
        <f>Data!E3122</f>
        <v>0</v>
      </c>
      <c r="L3110">
        <f>Data!F3122</f>
        <v>0</v>
      </c>
      <c r="M3110">
        <f>Data!G3122</f>
        <v>0</v>
      </c>
      <c r="N3110">
        <f>Data!H3122</f>
        <v>0</v>
      </c>
      <c r="O3110">
        <f>Data!I3122</f>
        <v>0</v>
      </c>
      <c r="P3110" s="21">
        <f>Data!J3126</f>
        <v>0</v>
      </c>
      <c r="Q3110">
        <f>Data!K3126</f>
        <v>0</v>
      </c>
      <c r="R3110">
        <f>Data!L3126</f>
        <v>0</v>
      </c>
      <c r="S3110">
        <f>Data!M3126</f>
        <v>0</v>
      </c>
      <c r="T3110">
        <f>Data!N3126</f>
        <v>0</v>
      </c>
      <c r="U3110">
        <f>Data!O3126</f>
        <v>0</v>
      </c>
      <c r="V3110" s="33">
        <f>Data!P3124</f>
        <v>0</v>
      </c>
    </row>
    <row r="3111" spans="7:22" x14ac:dyDescent="0.25">
      <c r="G3111">
        <f>Data!B3123</f>
        <v>0</v>
      </c>
      <c r="H3111" s="21">
        <f>Data!B3123</f>
        <v>0</v>
      </c>
      <c r="I3111" s="21">
        <f>Data!C3123</f>
        <v>0</v>
      </c>
      <c r="J3111">
        <f>Data!D3123</f>
        <v>0</v>
      </c>
      <c r="K3111">
        <f>Data!E3123</f>
        <v>0</v>
      </c>
      <c r="L3111">
        <f>Data!F3123</f>
        <v>0</v>
      </c>
      <c r="M3111">
        <f>Data!G3123</f>
        <v>0</v>
      </c>
      <c r="N3111">
        <f>Data!H3123</f>
        <v>0</v>
      </c>
      <c r="O3111">
        <f>Data!I3123</f>
        <v>0</v>
      </c>
      <c r="P3111" s="21">
        <f>Data!J3127</f>
        <v>0</v>
      </c>
      <c r="Q3111">
        <f>Data!K3127</f>
        <v>0</v>
      </c>
      <c r="R3111">
        <f>Data!L3127</f>
        <v>0</v>
      </c>
      <c r="S3111">
        <f>Data!M3127</f>
        <v>0</v>
      </c>
      <c r="T3111">
        <f>Data!N3127</f>
        <v>0</v>
      </c>
      <c r="U3111">
        <f>Data!O3127</f>
        <v>0</v>
      </c>
      <c r="V3111" s="33">
        <f>Data!P3125</f>
        <v>0</v>
      </c>
    </row>
    <row r="3112" spans="7:22" x14ac:dyDescent="0.25">
      <c r="G3112">
        <f>Data!B3124</f>
        <v>0</v>
      </c>
      <c r="H3112" s="21">
        <f>Data!B3124</f>
        <v>0</v>
      </c>
      <c r="I3112" s="21">
        <f>Data!C3124</f>
        <v>0</v>
      </c>
      <c r="J3112">
        <f>Data!D3124</f>
        <v>0</v>
      </c>
      <c r="K3112">
        <f>Data!E3124</f>
        <v>0</v>
      </c>
      <c r="L3112">
        <f>Data!F3124</f>
        <v>0</v>
      </c>
      <c r="M3112">
        <f>Data!G3124</f>
        <v>0</v>
      </c>
      <c r="N3112">
        <f>Data!H3124</f>
        <v>0</v>
      </c>
      <c r="O3112">
        <f>Data!I3124</f>
        <v>0</v>
      </c>
      <c r="P3112" s="21">
        <f>Data!J3128</f>
        <v>0</v>
      </c>
      <c r="Q3112">
        <f>Data!K3128</f>
        <v>0</v>
      </c>
      <c r="R3112">
        <f>Data!L3128</f>
        <v>0</v>
      </c>
      <c r="S3112">
        <f>Data!M3128</f>
        <v>0</v>
      </c>
      <c r="T3112">
        <f>Data!N3128</f>
        <v>0</v>
      </c>
      <c r="U3112">
        <f>Data!O3128</f>
        <v>0</v>
      </c>
      <c r="V3112" s="33">
        <f>Data!P3126</f>
        <v>0</v>
      </c>
    </row>
    <row r="3113" spans="7:22" x14ac:dyDescent="0.25">
      <c r="G3113">
        <f>Data!B3125</f>
        <v>0</v>
      </c>
      <c r="H3113" s="21">
        <f>Data!B3125</f>
        <v>0</v>
      </c>
      <c r="I3113" s="21">
        <f>Data!C3125</f>
        <v>0</v>
      </c>
      <c r="J3113">
        <f>Data!D3125</f>
        <v>0</v>
      </c>
      <c r="K3113">
        <f>Data!E3125</f>
        <v>0</v>
      </c>
      <c r="L3113">
        <f>Data!F3125</f>
        <v>0</v>
      </c>
      <c r="M3113">
        <f>Data!G3125</f>
        <v>0</v>
      </c>
      <c r="N3113">
        <f>Data!H3125</f>
        <v>0</v>
      </c>
      <c r="O3113">
        <f>Data!I3125</f>
        <v>0</v>
      </c>
      <c r="P3113" s="21">
        <f>Data!J3129</f>
        <v>0</v>
      </c>
      <c r="Q3113">
        <f>Data!K3129</f>
        <v>0</v>
      </c>
      <c r="R3113">
        <f>Data!L3129</f>
        <v>0</v>
      </c>
      <c r="S3113">
        <f>Data!M3129</f>
        <v>0</v>
      </c>
      <c r="T3113">
        <f>Data!N3129</f>
        <v>0</v>
      </c>
      <c r="U3113">
        <f>Data!O3129</f>
        <v>0</v>
      </c>
      <c r="V3113" s="33">
        <f>Data!P3127</f>
        <v>0</v>
      </c>
    </row>
    <row r="3114" spans="7:22" x14ac:dyDescent="0.25">
      <c r="G3114">
        <f>Data!B3126</f>
        <v>0</v>
      </c>
      <c r="H3114" s="21">
        <f>Data!B3126</f>
        <v>0</v>
      </c>
      <c r="I3114" s="21">
        <f>Data!C3126</f>
        <v>0</v>
      </c>
      <c r="J3114">
        <f>Data!D3126</f>
        <v>0</v>
      </c>
      <c r="K3114">
        <f>Data!E3126</f>
        <v>0</v>
      </c>
      <c r="L3114">
        <f>Data!F3126</f>
        <v>0</v>
      </c>
      <c r="M3114">
        <f>Data!G3126</f>
        <v>0</v>
      </c>
      <c r="N3114">
        <f>Data!H3126</f>
        <v>0</v>
      </c>
      <c r="O3114">
        <f>Data!I3126</f>
        <v>0</v>
      </c>
      <c r="P3114" s="21">
        <f>Data!J3130</f>
        <v>0</v>
      </c>
      <c r="Q3114">
        <f>Data!K3130</f>
        <v>0</v>
      </c>
      <c r="R3114">
        <f>Data!L3130</f>
        <v>0</v>
      </c>
      <c r="S3114">
        <f>Data!M3130</f>
        <v>0</v>
      </c>
      <c r="T3114">
        <f>Data!N3130</f>
        <v>0</v>
      </c>
      <c r="U3114">
        <f>Data!O3130</f>
        <v>0</v>
      </c>
      <c r="V3114" s="33">
        <f>Data!P3128</f>
        <v>0</v>
      </c>
    </row>
    <row r="3115" spans="7:22" x14ac:dyDescent="0.25">
      <c r="G3115">
        <f>Data!B3127</f>
        <v>0</v>
      </c>
      <c r="H3115" s="21">
        <f>Data!B3127</f>
        <v>0</v>
      </c>
      <c r="I3115" s="21">
        <f>Data!C3127</f>
        <v>0</v>
      </c>
      <c r="J3115">
        <f>Data!D3127</f>
        <v>0</v>
      </c>
      <c r="K3115">
        <f>Data!E3127</f>
        <v>0</v>
      </c>
      <c r="L3115">
        <f>Data!F3127</f>
        <v>0</v>
      </c>
      <c r="M3115">
        <f>Data!G3127</f>
        <v>0</v>
      </c>
      <c r="N3115">
        <f>Data!H3127</f>
        <v>0</v>
      </c>
      <c r="O3115">
        <f>Data!I3127</f>
        <v>0</v>
      </c>
      <c r="P3115" s="21">
        <f>Data!J3131</f>
        <v>0</v>
      </c>
      <c r="Q3115">
        <f>Data!K3131</f>
        <v>0</v>
      </c>
      <c r="R3115">
        <f>Data!L3131</f>
        <v>0</v>
      </c>
      <c r="S3115">
        <f>Data!M3131</f>
        <v>0</v>
      </c>
      <c r="T3115">
        <f>Data!N3131</f>
        <v>0</v>
      </c>
      <c r="U3115">
        <f>Data!O3131</f>
        <v>0</v>
      </c>
      <c r="V3115" s="33">
        <f>Data!P3129</f>
        <v>0</v>
      </c>
    </row>
    <row r="3116" spans="7:22" x14ac:dyDescent="0.25">
      <c r="G3116">
        <f>Data!B3128</f>
        <v>0</v>
      </c>
      <c r="H3116" s="21">
        <f>Data!B3128</f>
        <v>0</v>
      </c>
      <c r="I3116" s="21">
        <f>Data!C3128</f>
        <v>0</v>
      </c>
      <c r="J3116">
        <f>Data!D3128</f>
        <v>0</v>
      </c>
      <c r="K3116">
        <f>Data!E3128</f>
        <v>0</v>
      </c>
      <c r="L3116">
        <f>Data!F3128</f>
        <v>0</v>
      </c>
      <c r="M3116">
        <f>Data!G3128</f>
        <v>0</v>
      </c>
      <c r="N3116">
        <f>Data!H3128</f>
        <v>0</v>
      </c>
      <c r="O3116">
        <f>Data!I3128</f>
        <v>0</v>
      </c>
      <c r="P3116" s="21">
        <f>Data!J3132</f>
        <v>0</v>
      </c>
      <c r="Q3116">
        <f>Data!K3132</f>
        <v>0</v>
      </c>
      <c r="R3116">
        <f>Data!L3132</f>
        <v>0</v>
      </c>
      <c r="S3116">
        <f>Data!M3132</f>
        <v>0</v>
      </c>
      <c r="T3116">
        <f>Data!N3132</f>
        <v>0</v>
      </c>
      <c r="U3116">
        <f>Data!O3132</f>
        <v>0</v>
      </c>
      <c r="V3116" s="33">
        <f>Data!P3130</f>
        <v>0</v>
      </c>
    </row>
    <row r="3117" spans="7:22" x14ac:dyDescent="0.25">
      <c r="G3117">
        <f>Data!B3129</f>
        <v>0</v>
      </c>
      <c r="H3117" s="21">
        <f>Data!B3129</f>
        <v>0</v>
      </c>
      <c r="I3117" s="21">
        <f>Data!C3129</f>
        <v>0</v>
      </c>
      <c r="J3117">
        <f>Data!D3129</f>
        <v>0</v>
      </c>
      <c r="K3117">
        <f>Data!E3129</f>
        <v>0</v>
      </c>
      <c r="L3117">
        <f>Data!F3129</f>
        <v>0</v>
      </c>
      <c r="M3117">
        <f>Data!G3129</f>
        <v>0</v>
      </c>
      <c r="N3117">
        <f>Data!H3129</f>
        <v>0</v>
      </c>
      <c r="O3117">
        <f>Data!I3129</f>
        <v>0</v>
      </c>
      <c r="P3117" s="21">
        <f>Data!J3133</f>
        <v>0</v>
      </c>
      <c r="Q3117">
        <f>Data!K3133</f>
        <v>0</v>
      </c>
      <c r="R3117">
        <f>Data!L3133</f>
        <v>0</v>
      </c>
      <c r="S3117">
        <f>Data!M3133</f>
        <v>0</v>
      </c>
      <c r="T3117">
        <f>Data!N3133</f>
        <v>0</v>
      </c>
      <c r="U3117">
        <f>Data!O3133</f>
        <v>0</v>
      </c>
      <c r="V3117" s="33">
        <f>Data!P3131</f>
        <v>0</v>
      </c>
    </row>
    <row r="3118" spans="7:22" x14ac:dyDescent="0.25">
      <c r="G3118">
        <f>Data!B3130</f>
        <v>0</v>
      </c>
      <c r="H3118" s="21">
        <f>Data!B3130</f>
        <v>0</v>
      </c>
      <c r="I3118" s="21">
        <f>Data!C3130</f>
        <v>0</v>
      </c>
      <c r="J3118">
        <f>Data!D3130</f>
        <v>0</v>
      </c>
      <c r="K3118">
        <f>Data!E3130</f>
        <v>0</v>
      </c>
      <c r="L3118">
        <f>Data!F3130</f>
        <v>0</v>
      </c>
      <c r="M3118">
        <f>Data!G3130</f>
        <v>0</v>
      </c>
      <c r="N3118">
        <f>Data!H3130</f>
        <v>0</v>
      </c>
      <c r="O3118">
        <f>Data!I3130</f>
        <v>0</v>
      </c>
      <c r="P3118" s="21">
        <f>Data!J3134</f>
        <v>0</v>
      </c>
      <c r="Q3118">
        <f>Data!K3134</f>
        <v>0</v>
      </c>
      <c r="R3118">
        <f>Data!L3134</f>
        <v>0</v>
      </c>
      <c r="S3118">
        <f>Data!M3134</f>
        <v>0</v>
      </c>
      <c r="T3118">
        <f>Data!N3134</f>
        <v>0</v>
      </c>
      <c r="U3118">
        <f>Data!O3134</f>
        <v>0</v>
      </c>
      <c r="V3118" s="33">
        <f>Data!P3132</f>
        <v>0</v>
      </c>
    </row>
    <row r="3119" spans="7:22" x14ac:dyDescent="0.25">
      <c r="G3119">
        <f>Data!B3131</f>
        <v>0</v>
      </c>
      <c r="H3119" s="21">
        <f>Data!B3131</f>
        <v>0</v>
      </c>
      <c r="I3119" s="21">
        <f>Data!C3131</f>
        <v>0</v>
      </c>
      <c r="J3119">
        <f>Data!D3131</f>
        <v>0</v>
      </c>
      <c r="K3119">
        <f>Data!E3131</f>
        <v>0</v>
      </c>
      <c r="L3119">
        <f>Data!F3131</f>
        <v>0</v>
      </c>
      <c r="M3119">
        <f>Data!G3131</f>
        <v>0</v>
      </c>
      <c r="N3119">
        <f>Data!H3131</f>
        <v>0</v>
      </c>
      <c r="O3119">
        <f>Data!I3131</f>
        <v>0</v>
      </c>
      <c r="P3119" s="21">
        <f>Data!J3135</f>
        <v>0</v>
      </c>
      <c r="Q3119">
        <f>Data!K3135</f>
        <v>0</v>
      </c>
      <c r="R3119">
        <f>Data!L3135</f>
        <v>0</v>
      </c>
      <c r="S3119">
        <f>Data!M3135</f>
        <v>0</v>
      </c>
      <c r="T3119">
        <f>Data!N3135</f>
        <v>0</v>
      </c>
      <c r="U3119">
        <f>Data!O3135</f>
        <v>0</v>
      </c>
      <c r="V3119" s="33">
        <f>Data!P3133</f>
        <v>0</v>
      </c>
    </row>
    <row r="3120" spans="7:22" x14ac:dyDescent="0.25">
      <c r="G3120">
        <f>Data!B3132</f>
        <v>0</v>
      </c>
      <c r="H3120" s="21">
        <f>Data!B3132</f>
        <v>0</v>
      </c>
      <c r="I3120" s="21">
        <f>Data!C3132</f>
        <v>0</v>
      </c>
      <c r="J3120">
        <f>Data!D3132</f>
        <v>0</v>
      </c>
      <c r="K3120">
        <f>Data!E3132</f>
        <v>0</v>
      </c>
      <c r="L3120">
        <f>Data!F3132</f>
        <v>0</v>
      </c>
      <c r="M3120">
        <f>Data!G3132</f>
        <v>0</v>
      </c>
      <c r="N3120">
        <f>Data!H3132</f>
        <v>0</v>
      </c>
      <c r="O3120">
        <f>Data!I3132</f>
        <v>0</v>
      </c>
      <c r="P3120" s="21">
        <f>Data!J3136</f>
        <v>0</v>
      </c>
      <c r="Q3120">
        <f>Data!K3136</f>
        <v>0</v>
      </c>
      <c r="R3120">
        <f>Data!L3136</f>
        <v>0</v>
      </c>
      <c r="S3120">
        <f>Data!M3136</f>
        <v>0</v>
      </c>
      <c r="T3120">
        <f>Data!N3136</f>
        <v>0</v>
      </c>
      <c r="U3120">
        <f>Data!O3136</f>
        <v>0</v>
      </c>
      <c r="V3120" s="33">
        <f>Data!P3134</f>
        <v>0</v>
      </c>
    </row>
    <row r="3121" spans="7:22" x14ac:dyDescent="0.25">
      <c r="G3121">
        <f>Data!B3133</f>
        <v>0</v>
      </c>
      <c r="H3121" s="21">
        <f>Data!B3133</f>
        <v>0</v>
      </c>
      <c r="I3121" s="21">
        <f>Data!C3133</f>
        <v>0</v>
      </c>
      <c r="J3121">
        <f>Data!D3133</f>
        <v>0</v>
      </c>
      <c r="K3121">
        <f>Data!E3133</f>
        <v>0</v>
      </c>
      <c r="L3121">
        <f>Data!F3133</f>
        <v>0</v>
      </c>
      <c r="M3121">
        <f>Data!G3133</f>
        <v>0</v>
      </c>
      <c r="N3121">
        <f>Data!H3133</f>
        <v>0</v>
      </c>
      <c r="O3121">
        <f>Data!I3133</f>
        <v>0</v>
      </c>
      <c r="P3121" s="21">
        <f>Data!J3137</f>
        <v>0</v>
      </c>
      <c r="Q3121">
        <f>Data!K3137</f>
        <v>0</v>
      </c>
      <c r="R3121">
        <f>Data!L3137</f>
        <v>0</v>
      </c>
      <c r="S3121">
        <f>Data!M3137</f>
        <v>0</v>
      </c>
      <c r="T3121">
        <f>Data!N3137</f>
        <v>0</v>
      </c>
      <c r="U3121">
        <f>Data!O3137</f>
        <v>0</v>
      </c>
      <c r="V3121" s="33">
        <f>Data!P3135</f>
        <v>0</v>
      </c>
    </row>
    <row r="3122" spans="7:22" x14ac:dyDescent="0.25">
      <c r="G3122">
        <f>Data!B3134</f>
        <v>0</v>
      </c>
      <c r="H3122" s="21">
        <f>Data!B3134</f>
        <v>0</v>
      </c>
      <c r="I3122" s="21">
        <f>Data!C3134</f>
        <v>0</v>
      </c>
      <c r="J3122">
        <f>Data!D3134</f>
        <v>0</v>
      </c>
      <c r="K3122">
        <f>Data!E3134</f>
        <v>0</v>
      </c>
      <c r="L3122">
        <f>Data!F3134</f>
        <v>0</v>
      </c>
      <c r="M3122">
        <f>Data!G3134</f>
        <v>0</v>
      </c>
      <c r="N3122">
        <f>Data!H3134</f>
        <v>0</v>
      </c>
      <c r="O3122">
        <f>Data!I3134</f>
        <v>0</v>
      </c>
      <c r="P3122" s="21">
        <f>Data!J3138</f>
        <v>0</v>
      </c>
      <c r="Q3122">
        <f>Data!K3138</f>
        <v>0</v>
      </c>
      <c r="R3122">
        <f>Data!L3138</f>
        <v>0</v>
      </c>
      <c r="S3122">
        <f>Data!M3138</f>
        <v>0</v>
      </c>
      <c r="T3122">
        <f>Data!N3138</f>
        <v>0</v>
      </c>
      <c r="U3122">
        <f>Data!O3138</f>
        <v>0</v>
      </c>
      <c r="V3122" s="33">
        <f>Data!P3136</f>
        <v>0</v>
      </c>
    </row>
    <row r="3123" spans="7:22" x14ac:dyDescent="0.25">
      <c r="G3123">
        <f>Data!B3135</f>
        <v>0</v>
      </c>
      <c r="H3123" s="21">
        <f>Data!B3135</f>
        <v>0</v>
      </c>
      <c r="I3123" s="21">
        <f>Data!C3135</f>
        <v>0</v>
      </c>
      <c r="J3123">
        <f>Data!D3135</f>
        <v>0</v>
      </c>
      <c r="K3123">
        <f>Data!E3135</f>
        <v>0</v>
      </c>
      <c r="L3123">
        <f>Data!F3135</f>
        <v>0</v>
      </c>
      <c r="M3123">
        <f>Data!G3135</f>
        <v>0</v>
      </c>
      <c r="N3123">
        <f>Data!H3135</f>
        <v>0</v>
      </c>
      <c r="O3123">
        <f>Data!I3135</f>
        <v>0</v>
      </c>
      <c r="P3123" s="21">
        <f>Data!J3139</f>
        <v>0</v>
      </c>
      <c r="Q3123">
        <f>Data!K3139</f>
        <v>0</v>
      </c>
      <c r="R3123">
        <f>Data!L3139</f>
        <v>0</v>
      </c>
      <c r="S3123">
        <f>Data!M3139</f>
        <v>0</v>
      </c>
      <c r="T3123">
        <f>Data!N3139</f>
        <v>0</v>
      </c>
      <c r="U3123">
        <f>Data!O3139</f>
        <v>0</v>
      </c>
      <c r="V3123" s="33">
        <f>Data!P3137</f>
        <v>0</v>
      </c>
    </row>
    <row r="3124" spans="7:22" x14ac:dyDescent="0.25">
      <c r="G3124">
        <f>Data!B3136</f>
        <v>0</v>
      </c>
      <c r="H3124" s="21">
        <f>Data!B3136</f>
        <v>0</v>
      </c>
      <c r="I3124" s="21">
        <f>Data!C3136</f>
        <v>0</v>
      </c>
      <c r="J3124">
        <f>Data!D3136</f>
        <v>0</v>
      </c>
      <c r="K3124">
        <f>Data!E3136</f>
        <v>0</v>
      </c>
      <c r="L3124">
        <f>Data!F3136</f>
        <v>0</v>
      </c>
      <c r="M3124">
        <f>Data!G3136</f>
        <v>0</v>
      </c>
      <c r="N3124">
        <f>Data!H3136</f>
        <v>0</v>
      </c>
      <c r="O3124">
        <f>Data!I3136</f>
        <v>0</v>
      </c>
      <c r="P3124" s="21">
        <f>Data!J3140</f>
        <v>0</v>
      </c>
      <c r="Q3124">
        <f>Data!K3140</f>
        <v>0</v>
      </c>
      <c r="R3124">
        <f>Data!L3140</f>
        <v>0</v>
      </c>
      <c r="S3124">
        <f>Data!M3140</f>
        <v>0</v>
      </c>
      <c r="T3124">
        <f>Data!N3140</f>
        <v>0</v>
      </c>
      <c r="U3124">
        <f>Data!O3140</f>
        <v>0</v>
      </c>
      <c r="V3124" s="33">
        <f>Data!P3138</f>
        <v>0</v>
      </c>
    </row>
    <row r="3125" spans="7:22" x14ac:dyDescent="0.25">
      <c r="G3125">
        <f>Data!B3137</f>
        <v>0</v>
      </c>
      <c r="H3125" s="21">
        <f>Data!B3137</f>
        <v>0</v>
      </c>
      <c r="I3125" s="21">
        <f>Data!C3137</f>
        <v>0</v>
      </c>
      <c r="J3125">
        <f>Data!D3137</f>
        <v>0</v>
      </c>
      <c r="K3125">
        <f>Data!E3137</f>
        <v>0</v>
      </c>
      <c r="L3125">
        <f>Data!F3137</f>
        <v>0</v>
      </c>
      <c r="M3125">
        <f>Data!G3137</f>
        <v>0</v>
      </c>
      <c r="N3125">
        <f>Data!H3137</f>
        <v>0</v>
      </c>
      <c r="O3125">
        <f>Data!I3137</f>
        <v>0</v>
      </c>
      <c r="P3125" s="21">
        <f>Data!J3141</f>
        <v>0</v>
      </c>
      <c r="Q3125">
        <f>Data!K3141</f>
        <v>0</v>
      </c>
      <c r="R3125">
        <f>Data!L3141</f>
        <v>0</v>
      </c>
      <c r="S3125">
        <f>Data!M3141</f>
        <v>0</v>
      </c>
      <c r="T3125">
        <f>Data!N3141</f>
        <v>0</v>
      </c>
      <c r="U3125">
        <f>Data!O3141</f>
        <v>0</v>
      </c>
      <c r="V3125" s="33">
        <f>Data!P3139</f>
        <v>0</v>
      </c>
    </row>
    <row r="3126" spans="7:22" x14ac:dyDescent="0.25">
      <c r="G3126">
        <f>Data!B3138</f>
        <v>0</v>
      </c>
      <c r="H3126" s="21">
        <f>Data!B3138</f>
        <v>0</v>
      </c>
      <c r="I3126" s="21">
        <f>Data!C3138</f>
        <v>0</v>
      </c>
      <c r="J3126">
        <f>Data!D3138</f>
        <v>0</v>
      </c>
      <c r="K3126">
        <f>Data!E3138</f>
        <v>0</v>
      </c>
      <c r="L3126">
        <f>Data!F3138</f>
        <v>0</v>
      </c>
      <c r="M3126">
        <f>Data!G3138</f>
        <v>0</v>
      </c>
      <c r="N3126">
        <f>Data!H3138</f>
        <v>0</v>
      </c>
      <c r="O3126">
        <f>Data!I3138</f>
        <v>0</v>
      </c>
      <c r="P3126" s="21">
        <f>Data!J3142</f>
        <v>0</v>
      </c>
      <c r="Q3126">
        <f>Data!K3142</f>
        <v>0</v>
      </c>
      <c r="R3126">
        <f>Data!L3142</f>
        <v>0</v>
      </c>
      <c r="S3126">
        <f>Data!M3142</f>
        <v>0</v>
      </c>
      <c r="T3126">
        <f>Data!N3142</f>
        <v>0</v>
      </c>
      <c r="U3126">
        <f>Data!O3142</f>
        <v>0</v>
      </c>
      <c r="V3126" s="33">
        <f>Data!P3140</f>
        <v>0</v>
      </c>
    </row>
    <row r="3127" spans="7:22" x14ac:dyDescent="0.25">
      <c r="G3127">
        <f>Data!B3139</f>
        <v>0</v>
      </c>
      <c r="H3127" s="21">
        <f>Data!B3139</f>
        <v>0</v>
      </c>
      <c r="I3127" s="21">
        <f>Data!C3139</f>
        <v>0</v>
      </c>
      <c r="J3127">
        <f>Data!D3139</f>
        <v>0</v>
      </c>
      <c r="K3127">
        <f>Data!E3139</f>
        <v>0</v>
      </c>
      <c r="L3127">
        <f>Data!F3139</f>
        <v>0</v>
      </c>
      <c r="M3127">
        <f>Data!G3139</f>
        <v>0</v>
      </c>
      <c r="N3127">
        <f>Data!H3139</f>
        <v>0</v>
      </c>
      <c r="O3127">
        <f>Data!I3139</f>
        <v>0</v>
      </c>
      <c r="P3127" s="21">
        <f>Data!J3143</f>
        <v>0</v>
      </c>
      <c r="Q3127">
        <f>Data!K3143</f>
        <v>0</v>
      </c>
      <c r="R3127">
        <f>Data!L3143</f>
        <v>0</v>
      </c>
      <c r="S3127">
        <f>Data!M3143</f>
        <v>0</v>
      </c>
      <c r="T3127">
        <f>Data!N3143</f>
        <v>0</v>
      </c>
      <c r="U3127">
        <f>Data!O3143</f>
        <v>0</v>
      </c>
      <c r="V3127" s="33">
        <f>Data!P3141</f>
        <v>0</v>
      </c>
    </row>
    <row r="3128" spans="7:22" x14ac:dyDescent="0.25">
      <c r="G3128">
        <f>Data!B3140</f>
        <v>0</v>
      </c>
      <c r="H3128" s="21">
        <f>Data!B3140</f>
        <v>0</v>
      </c>
      <c r="I3128" s="21">
        <f>Data!C3140</f>
        <v>0</v>
      </c>
      <c r="J3128">
        <f>Data!D3140</f>
        <v>0</v>
      </c>
      <c r="K3128">
        <f>Data!E3140</f>
        <v>0</v>
      </c>
      <c r="L3128">
        <f>Data!F3140</f>
        <v>0</v>
      </c>
      <c r="M3128">
        <f>Data!G3140</f>
        <v>0</v>
      </c>
      <c r="N3128">
        <f>Data!H3140</f>
        <v>0</v>
      </c>
      <c r="O3128">
        <f>Data!I3140</f>
        <v>0</v>
      </c>
      <c r="P3128" s="21">
        <f>Data!J3144</f>
        <v>0</v>
      </c>
      <c r="Q3128">
        <f>Data!K3144</f>
        <v>0</v>
      </c>
      <c r="R3128">
        <f>Data!L3144</f>
        <v>0</v>
      </c>
      <c r="S3128">
        <f>Data!M3144</f>
        <v>0</v>
      </c>
      <c r="T3128">
        <f>Data!N3144</f>
        <v>0</v>
      </c>
      <c r="U3128">
        <f>Data!O3144</f>
        <v>0</v>
      </c>
      <c r="V3128" s="33">
        <f>Data!P3142</f>
        <v>0</v>
      </c>
    </row>
    <row r="3129" spans="7:22" x14ac:dyDescent="0.25">
      <c r="G3129">
        <f>Data!B3141</f>
        <v>0</v>
      </c>
      <c r="H3129" s="21">
        <f>Data!B3141</f>
        <v>0</v>
      </c>
      <c r="I3129" s="21">
        <f>Data!C3141</f>
        <v>0</v>
      </c>
      <c r="J3129">
        <f>Data!D3141</f>
        <v>0</v>
      </c>
      <c r="K3129">
        <f>Data!E3141</f>
        <v>0</v>
      </c>
      <c r="L3129">
        <f>Data!F3141</f>
        <v>0</v>
      </c>
      <c r="M3129">
        <f>Data!G3141</f>
        <v>0</v>
      </c>
      <c r="N3129">
        <f>Data!H3141</f>
        <v>0</v>
      </c>
      <c r="O3129">
        <f>Data!I3141</f>
        <v>0</v>
      </c>
      <c r="P3129" s="21">
        <f>Data!J3145</f>
        <v>0</v>
      </c>
      <c r="Q3129">
        <f>Data!K3145</f>
        <v>0</v>
      </c>
      <c r="R3129">
        <f>Data!L3145</f>
        <v>0</v>
      </c>
      <c r="S3129">
        <f>Data!M3145</f>
        <v>0</v>
      </c>
      <c r="T3129">
        <f>Data!N3145</f>
        <v>0</v>
      </c>
      <c r="U3129">
        <f>Data!O3145</f>
        <v>0</v>
      </c>
      <c r="V3129" s="33">
        <f>Data!P3143</f>
        <v>0</v>
      </c>
    </row>
    <row r="3130" spans="7:22" x14ac:dyDescent="0.25">
      <c r="G3130">
        <f>Data!B3142</f>
        <v>0</v>
      </c>
      <c r="H3130" s="21">
        <f>Data!B3142</f>
        <v>0</v>
      </c>
      <c r="I3130" s="21">
        <f>Data!C3142</f>
        <v>0</v>
      </c>
      <c r="J3130">
        <f>Data!D3142</f>
        <v>0</v>
      </c>
      <c r="K3130">
        <f>Data!E3142</f>
        <v>0</v>
      </c>
      <c r="L3130">
        <f>Data!F3142</f>
        <v>0</v>
      </c>
      <c r="M3130">
        <f>Data!G3142</f>
        <v>0</v>
      </c>
      <c r="N3130">
        <f>Data!H3142</f>
        <v>0</v>
      </c>
      <c r="O3130">
        <f>Data!I3142</f>
        <v>0</v>
      </c>
      <c r="P3130" s="21">
        <f>Data!J3146</f>
        <v>0</v>
      </c>
      <c r="Q3130">
        <f>Data!K3146</f>
        <v>0</v>
      </c>
      <c r="R3130">
        <f>Data!L3146</f>
        <v>0</v>
      </c>
      <c r="S3130">
        <f>Data!M3146</f>
        <v>0</v>
      </c>
      <c r="T3130">
        <f>Data!N3146</f>
        <v>0</v>
      </c>
      <c r="U3130">
        <f>Data!O3146</f>
        <v>0</v>
      </c>
      <c r="V3130" s="33">
        <f>Data!P3144</f>
        <v>0</v>
      </c>
    </row>
    <row r="3131" spans="7:22" x14ac:dyDescent="0.25">
      <c r="G3131">
        <f>Data!B3143</f>
        <v>0</v>
      </c>
      <c r="H3131" s="21">
        <f>Data!B3143</f>
        <v>0</v>
      </c>
      <c r="I3131" s="21">
        <f>Data!C3143</f>
        <v>0</v>
      </c>
      <c r="J3131">
        <f>Data!D3143</f>
        <v>0</v>
      </c>
      <c r="K3131">
        <f>Data!E3143</f>
        <v>0</v>
      </c>
      <c r="L3131">
        <f>Data!F3143</f>
        <v>0</v>
      </c>
      <c r="M3131">
        <f>Data!G3143</f>
        <v>0</v>
      </c>
      <c r="N3131">
        <f>Data!H3143</f>
        <v>0</v>
      </c>
      <c r="O3131">
        <f>Data!I3143</f>
        <v>0</v>
      </c>
      <c r="P3131" s="21">
        <f>Data!J3147</f>
        <v>0</v>
      </c>
      <c r="Q3131">
        <f>Data!K3147</f>
        <v>0</v>
      </c>
      <c r="R3131">
        <f>Data!L3147</f>
        <v>0</v>
      </c>
      <c r="S3131">
        <f>Data!M3147</f>
        <v>0</v>
      </c>
      <c r="T3131">
        <f>Data!N3147</f>
        <v>0</v>
      </c>
      <c r="U3131">
        <f>Data!O3147</f>
        <v>0</v>
      </c>
      <c r="V3131" s="33">
        <f>Data!P3145</f>
        <v>0</v>
      </c>
    </row>
    <row r="3132" spans="7:22" x14ac:dyDescent="0.25">
      <c r="G3132">
        <f>Data!B3144</f>
        <v>0</v>
      </c>
      <c r="H3132" s="21">
        <f>Data!B3144</f>
        <v>0</v>
      </c>
      <c r="I3132" s="21">
        <f>Data!C3144</f>
        <v>0</v>
      </c>
      <c r="J3132">
        <f>Data!D3144</f>
        <v>0</v>
      </c>
      <c r="K3132">
        <f>Data!E3144</f>
        <v>0</v>
      </c>
      <c r="L3132">
        <f>Data!F3144</f>
        <v>0</v>
      </c>
      <c r="M3132">
        <f>Data!G3144</f>
        <v>0</v>
      </c>
      <c r="N3132">
        <f>Data!H3144</f>
        <v>0</v>
      </c>
      <c r="O3132">
        <f>Data!I3144</f>
        <v>0</v>
      </c>
      <c r="P3132" s="21">
        <f>Data!J3148</f>
        <v>0</v>
      </c>
      <c r="Q3132">
        <f>Data!K3148</f>
        <v>0</v>
      </c>
      <c r="R3132">
        <f>Data!L3148</f>
        <v>0</v>
      </c>
      <c r="S3132">
        <f>Data!M3148</f>
        <v>0</v>
      </c>
      <c r="T3132">
        <f>Data!N3148</f>
        <v>0</v>
      </c>
      <c r="U3132">
        <f>Data!O3148</f>
        <v>0</v>
      </c>
      <c r="V3132" s="33">
        <f>Data!P3146</f>
        <v>0</v>
      </c>
    </row>
    <row r="3133" spans="7:22" x14ac:dyDescent="0.25">
      <c r="G3133">
        <f>Data!B3145</f>
        <v>0</v>
      </c>
      <c r="H3133" s="21">
        <f>Data!B3145</f>
        <v>0</v>
      </c>
      <c r="I3133" s="21">
        <f>Data!C3145</f>
        <v>0</v>
      </c>
      <c r="J3133">
        <f>Data!D3145</f>
        <v>0</v>
      </c>
      <c r="K3133">
        <f>Data!E3145</f>
        <v>0</v>
      </c>
      <c r="L3133">
        <f>Data!F3145</f>
        <v>0</v>
      </c>
      <c r="M3133">
        <f>Data!G3145</f>
        <v>0</v>
      </c>
      <c r="N3133">
        <f>Data!H3145</f>
        <v>0</v>
      </c>
      <c r="O3133">
        <f>Data!I3145</f>
        <v>0</v>
      </c>
      <c r="P3133" s="21">
        <f>Data!J3149</f>
        <v>0</v>
      </c>
      <c r="Q3133">
        <f>Data!K3149</f>
        <v>0</v>
      </c>
      <c r="R3133">
        <f>Data!L3149</f>
        <v>0</v>
      </c>
      <c r="S3133">
        <f>Data!M3149</f>
        <v>0</v>
      </c>
      <c r="T3133">
        <f>Data!N3149</f>
        <v>0</v>
      </c>
      <c r="U3133">
        <f>Data!O3149</f>
        <v>0</v>
      </c>
      <c r="V3133" s="33">
        <f>Data!P3147</f>
        <v>0</v>
      </c>
    </row>
    <row r="3134" spans="7:22" x14ac:dyDescent="0.25">
      <c r="G3134">
        <f>Data!B3146</f>
        <v>0</v>
      </c>
      <c r="H3134" s="21">
        <f>Data!B3146</f>
        <v>0</v>
      </c>
      <c r="I3134" s="21">
        <f>Data!C3146</f>
        <v>0</v>
      </c>
      <c r="J3134">
        <f>Data!D3146</f>
        <v>0</v>
      </c>
      <c r="K3134">
        <f>Data!E3146</f>
        <v>0</v>
      </c>
      <c r="L3134">
        <f>Data!F3146</f>
        <v>0</v>
      </c>
      <c r="M3134">
        <f>Data!G3146</f>
        <v>0</v>
      </c>
      <c r="N3134">
        <f>Data!H3146</f>
        <v>0</v>
      </c>
      <c r="O3134">
        <f>Data!I3146</f>
        <v>0</v>
      </c>
      <c r="P3134" s="21">
        <f>Data!J3150</f>
        <v>0</v>
      </c>
      <c r="Q3134">
        <f>Data!K3150</f>
        <v>0</v>
      </c>
      <c r="R3134">
        <f>Data!L3150</f>
        <v>0</v>
      </c>
      <c r="S3134">
        <f>Data!M3150</f>
        <v>0</v>
      </c>
      <c r="T3134">
        <f>Data!N3150</f>
        <v>0</v>
      </c>
      <c r="U3134">
        <f>Data!O3150</f>
        <v>0</v>
      </c>
      <c r="V3134" s="33">
        <f>Data!P3148</f>
        <v>0</v>
      </c>
    </row>
    <row r="3135" spans="7:22" x14ac:dyDescent="0.25">
      <c r="G3135">
        <f>Data!B3147</f>
        <v>0</v>
      </c>
      <c r="H3135" s="21">
        <f>Data!B3147</f>
        <v>0</v>
      </c>
      <c r="I3135" s="21">
        <f>Data!C3147</f>
        <v>0</v>
      </c>
      <c r="J3135">
        <f>Data!D3147</f>
        <v>0</v>
      </c>
      <c r="K3135">
        <f>Data!E3147</f>
        <v>0</v>
      </c>
      <c r="L3135">
        <f>Data!F3147</f>
        <v>0</v>
      </c>
      <c r="M3135">
        <f>Data!G3147</f>
        <v>0</v>
      </c>
      <c r="N3135">
        <f>Data!H3147</f>
        <v>0</v>
      </c>
      <c r="O3135">
        <f>Data!I3147</f>
        <v>0</v>
      </c>
      <c r="P3135" s="21">
        <f>Data!J3151</f>
        <v>0</v>
      </c>
      <c r="Q3135">
        <f>Data!K3151</f>
        <v>0</v>
      </c>
      <c r="R3135">
        <f>Data!L3151</f>
        <v>0</v>
      </c>
      <c r="S3135">
        <f>Data!M3151</f>
        <v>0</v>
      </c>
      <c r="T3135">
        <f>Data!N3151</f>
        <v>0</v>
      </c>
      <c r="U3135">
        <f>Data!O3151</f>
        <v>0</v>
      </c>
      <c r="V3135" s="33">
        <f>Data!P3149</f>
        <v>0</v>
      </c>
    </row>
    <row r="3136" spans="7:22" x14ac:dyDescent="0.25">
      <c r="G3136">
        <f>Data!B3148</f>
        <v>0</v>
      </c>
      <c r="H3136" s="21">
        <f>Data!B3148</f>
        <v>0</v>
      </c>
      <c r="I3136" s="21">
        <f>Data!C3148</f>
        <v>0</v>
      </c>
      <c r="J3136">
        <f>Data!D3148</f>
        <v>0</v>
      </c>
      <c r="K3136">
        <f>Data!E3148</f>
        <v>0</v>
      </c>
      <c r="L3136">
        <f>Data!F3148</f>
        <v>0</v>
      </c>
      <c r="M3136">
        <f>Data!G3148</f>
        <v>0</v>
      </c>
      <c r="N3136">
        <f>Data!H3148</f>
        <v>0</v>
      </c>
      <c r="O3136">
        <f>Data!I3148</f>
        <v>0</v>
      </c>
      <c r="P3136" s="21">
        <f>Data!J3152</f>
        <v>0</v>
      </c>
      <c r="Q3136">
        <f>Data!K3152</f>
        <v>0</v>
      </c>
      <c r="R3136">
        <f>Data!L3152</f>
        <v>0</v>
      </c>
      <c r="S3136">
        <f>Data!M3152</f>
        <v>0</v>
      </c>
      <c r="T3136">
        <f>Data!N3152</f>
        <v>0</v>
      </c>
      <c r="U3136">
        <f>Data!O3152</f>
        <v>0</v>
      </c>
      <c r="V3136" s="33">
        <f>Data!P3150</f>
        <v>0</v>
      </c>
    </row>
    <row r="3137" spans="7:22" x14ac:dyDescent="0.25">
      <c r="G3137">
        <f>Data!B3149</f>
        <v>0</v>
      </c>
      <c r="H3137" s="21">
        <f>Data!B3149</f>
        <v>0</v>
      </c>
      <c r="I3137" s="21">
        <f>Data!C3149</f>
        <v>0</v>
      </c>
      <c r="J3137">
        <f>Data!D3149</f>
        <v>0</v>
      </c>
      <c r="K3137">
        <f>Data!E3149</f>
        <v>0</v>
      </c>
      <c r="L3137">
        <f>Data!F3149</f>
        <v>0</v>
      </c>
      <c r="M3137">
        <f>Data!G3149</f>
        <v>0</v>
      </c>
      <c r="N3137">
        <f>Data!H3149</f>
        <v>0</v>
      </c>
      <c r="O3137">
        <f>Data!I3149</f>
        <v>0</v>
      </c>
      <c r="P3137" s="21">
        <f>Data!J3153</f>
        <v>0</v>
      </c>
      <c r="Q3137">
        <f>Data!K3153</f>
        <v>0</v>
      </c>
      <c r="R3137">
        <f>Data!L3153</f>
        <v>0</v>
      </c>
      <c r="S3137">
        <f>Data!M3153</f>
        <v>0</v>
      </c>
      <c r="T3137">
        <f>Data!N3153</f>
        <v>0</v>
      </c>
      <c r="U3137">
        <f>Data!O3153</f>
        <v>0</v>
      </c>
      <c r="V3137" s="33">
        <f>Data!P3151</f>
        <v>0</v>
      </c>
    </row>
    <row r="3138" spans="7:22" x14ac:dyDescent="0.25">
      <c r="G3138">
        <f>Data!B3150</f>
        <v>0</v>
      </c>
      <c r="H3138" s="21">
        <f>Data!B3150</f>
        <v>0</v>
      </c>
      <c r="I3138" s="21">
        <f>Data!C3150</f>
        <v>0</v>
      </c>
      <c r="J3138">
        <f>Data!D3150</f>
        <v>0</v>
      </c>
      <c r="K3138">
        <f>Data!E3150</f>
        <v>0</v>
      </c>
      <c r="L3138">
        <f>Data!F3150</f>
        <v>0</v>
      </c>
      <c r="M3138">
        <f>Data!G3150</f>
        <v>0</v>
      </c>
      <c r="N3138">
        <f>Data!H3150</f>
        <v>0</v>
      </c>
      <c r="O3138">
        <f>Data!I3150</f>
        <v>0</v>
      </c>
      <c r="P3138" s="21">
        <f>Data!J3154</f>
        <v>0</v>
      </c>
      <c r="Q3138">
        <f>Data!K3154</f>
        <v>0</v>
      </c>
      <c r="R3138">
        <f>Data!L3154</f>
        <v>0</v>
      </c>
      <c r="S3138">
        <f>Data!M3154</f>
        <v>0</v>
      </c>
      <c r="T3138">
        <f>Data!N3154</f>
        <v>0</v>
      </c>
      <c r="U3138">
        <f>Data!O3154</f>
        <v>0</v>
      </c>
      <c r="V3138" s="33">
        <f>Data!P3152</f>
        <v>0</v>
      </c>
    </row>
    <row r="3139" spans="7:22" x14ac:dyDescent="0.25">
      <c r="G3139">
        <f>Data!B3151</f>
        <v>0</v>
      </c>
      <c r="H3139" s="21">
        <f>Data!B3151</f>
        <v>0</v>
      </c>
      <c r="I3139" s="21">
        <f>Data!C3151</f>
        <v>0</v>
      </c>
      <c r="J3139">
        <f>Data!D3151</f>
        <v>0</v>
      </c>
      <c r="K3139">
        <f>Data!E3151</f>
        <v>0</v>
      </c>
      <c r="L3139">
        <f>Data!F3151</f>
        <v>0</v>
      </c>
      <c r="M3139">
        <f>Data!G3151</f>
        <v>0</v>
      </c>
      <c r="N3139">
        <f>Data!H3151</f>
        <v>0</v>
      </c>
      <c r="O3139">
        <f>Data!I3151</f>
        <v>0</v>
      </c>
      <c r="P3139" s="21">
        <f>Data!J3155</f>
        <v>0</v>
      </c>
      <c r="Q3139">
        <f>Data!K3155</f>
        <v>0</v>
      </c>
      <c r="R3139">
        <f>Data!L3155</f>
        <v>0</v>
      </c>
      <c r="S3139">
        <f>Data!M3155</f>
        <v>0</v>
      </c>
      <c r="T3139">
        <f>Data!N3155</f>
        <v>0</v>
      </c>
      <c r="U3139">
        <f>Data!O3155</f>
        <v>0</v>
      </c>
      <c r="V3139" s="33">
        <f>Data!P3153</f>
        <v>0</v>
      </c>
    </row>
    <row r="3140" spans="7:22" x14ac:dyDescent="0.25">
      <c r="G3140">
        <f>Data!B3152</f>
        <v>0</v>
      </c>
      <c r="H3140" s="21">
        <f>Data!B3152</f>
        <v>0</v>
      </c>
      <c r="I3140" s="21">
        <f>Data!C3152</f>
        <v>0</v>
      </c>
      <c r="J3140">
        <f>Data!D3152</f>
        <v>0</v>
      </c>
      <c r="K3140">
        <f>Data!E3152</f>
        <v>0</v>
      </c>
      <c r="L3140">
        <f>Data!F3152</f>
        <v>0</v>
      </c>
      <c r="M3140">
        <f>Data!G3152</f>
        <v>0</v>
      </c>
      <c r="N3140">
        <f>Data!H3152</f>
        <v>0</v>
      </c>
      <c r="O3140">
        <f>Data!I3152</f>
        <v>0</v>
      </c>
      <c r="P3140" s="21">
        <f>Data!J3156</f>
        <v>0</v>
      </c>
      <c r="Q3140">
        <f>Data!K3156</f>
        <v>0</v>
      </c>
      <c r="R3140">
        <f>Data!L3156</f>
        <v>0</v>
      </c>
      <c r="S3140">
        <f>Data!M3156</f>
        <v>0</v>
      </c>
      <c r="T3140">
        <f>Data!N3156</f>
        <v>0</v>
      </c>
      <c r="U3140">
        <f>Data!O3156</f>
        <v>0</v>
      </c>
      <c r="V3140" s="33">
        <f>Data!P3154</f>
        <v>0</v>
      </c>
    </row>
    <row r="3141" spans="7:22" x14ac:dyDescent="0.25">
      <c r="G3141">
        <f>Data!B3153</f>
        <v>0</v>
      </c>
      <c r="H3141" s="21">
        <f>Data!B3153</f>
        <v>0</v>
      </c>
      <c r="I3141" s="21">
        <f>Data!C3153</f>
        <v>0</v>
      </c>
      <c r="J3141">
        <f>Data!D3153</f>
        <v>0</v>
      </c>
      <c r="K3141">
        <f>Data!E3153</f>
        <v>0</v>
      </c>
      <c r="L3141">
        <f>Data!F3153</f>
        <v>0</v>
      </c>
      <c r="M3141">
        <f>Data!G3153</f>
        <v>0</v>
      </c>
      <c r="N3141">
        <f>Data!H3153</f>
        <v>0</v>
      </c>
      <c r="O3141">
        <f>Data!I3153</f>
        <v>0</v>
      </c>
      <c r="P3141" s="21">
        <f>Data!J3157</f>
        <v>0</v>
      </c>
      <c r="Q3141">
        <f>Data!K3157</f>
        <v>0</v>
      </c>
      <c r="R3141">
        <f>Data!L3157</f>
        <v>0</v>
      </c>
      <c r="S3141">
        <f>Data!M3157</f>
        <v>0</v>
      </c>
      <c r="T3141">
        <f>Data!N3157</f>
        <v>0</v>
      </c>
      <c r="U3141">
        <f>Data!O3157</f>
        <v>0</v>
      </c>
      <c r="V3141" s="33">
        <f>Data!P3155</f>
        <v>0</v>
      </c>
    </row>
    <row r="3142" spans="7:22" x14ac:dyDescent="0.25">
      <c r="G3142">
        <f>Data!B3154</f>
        <v>0</v>
      </c>
      <c r="H3142" s="21">
        <f>Data!B3154</f>
        <v>0</v>
      </c>
      <c r="I3142" s="21">
        <f>Data!C3154</f>
        <v>0</v>
      </c>
      <c r="J3142">
        <f>Data!D3154</f>
        <v>0</v>
      </c>
      <c r="K3142">
        <f>Data!E3154</f>
        <v>0</v>
      </c>
      <c r="L3142">
        <f>Data!F3154</f>
        <v>0</v>
      </c>
      <c r="M3142">
        <f>Data!G3154</f>
        <v>0</v>
      </c>
      <c r="N3142">
        <f>Data!H3154</f>
        <v>0</v>
      </c>
      <c r="O3142">
        <f>Data!I3154</f>
        <v>0</v>
      </c>
      <c r="P3142" s="21">
        <f>Data!J3158</f>
        <v>0</v>
      </c>
      <c r="Q3142">
        <f>Data!K3158</f>
        <v>0</v>
      </c>
      <c r="R3142">
        <f>Data!L3158</f>
        <v>0</v>
      </c>
      <c r="S3142">
        <f>Data!M3158</f>
        <v>0</v>
      </c>
      <c r="T3142">
        <f>Data!N3158</f>
        <v>0</v>
      </c>
      <c r="U3142">
        <f>Data!O3158</f>
        <v>0</v>
      </c>
      <c r="V3142" s="33">
        <f>Data!P3156</f>
        <v>0</v>
      </c>
    </row>
    <row r="3143" spans="7:22" x14ac:dyDescent="0.25">
      <c r="G3143">
        <f>Data!B3155</f>
        <v>0</v>
      </c>
      <c r="H3143" s="21">
        <f>Data!B3155</f>
        <v>0</v>
      </c>
      <c r="I3143" s="21">
        <f>Data!C3155</f>
        <v>0</v>
      </c>
      <c r="J3143">
        <f>Data!D3155</f>
        <v>0</v>
      </c>
      <c r="K3143">
        <f>Data!E3155</f>
        <v>0</v>
      </c>
      <c r="L3143">
        <f>Data!F3155</f>
        <v>0</v>
      </c>
      <c r="M3143">
        <f>Data!G3155</f>
        <v>0</v>
      </c>
      <c r="N3143">
        <f>Data!H3155</f>
        <v>0</v>
      </c>
      <c r="O3143">
        <f>Data!I3155</f>
        <v>0</v>
      </c>
      <c r="P3143" s="21">
        <f>Data!J3159</f>
        <v>0</v>
      </c>
      <c r="Q3143">
        <f>Data!K3159</f>
        <v>0</v>
      </c>
      <c r="R3143">
        <f>Data!L3159</f>
        <v>0</v>
      </c>
      <c r="S3143">
        <f>Data!M3159</f>
        <v>0</v>
      </c>
      <c r="T3143">
        <f>Data!N3159</f>
        <v>0</v>
      </c>
      <c r="U3143">
        <f>Data!O3159</f>
        <v>0</v>
      </c>
      <c r="V3143" s="33">
        <f>Data!P3157</f>
        <v>0</v>
      </c>
    </row>
    <row r="3144" spans="7:22" x14ac:dyDescent="0.25">
      <c r="G3144">
        <f>Data!B3156</f>
        <v>0</v>
      </c>
      <c r="H3144" s="21">
        <f>Data!B3156</f>
        <v>0</v>
      </c>
      <c r="I3144" s="21">
        <f>Data!C3156</f>
        <v>0</v>
      </c>
      <c r="J3144">
        <f>Data!D3156</f>
        <v>0</v>
      </c>
      <c r="K3144">
        <f>Data!E3156</f>
        <v>0</v>
      </c>
      <c r="L3144">
        <f>Data!F3156</f>
        <v>0</v>
      </c>
      <c r="M3144">
        <f>Data!G3156</f>
        <v>0</v>
      </c>
      <c r="N3144">
        <f>Data!H3156</f>
        <v>0</v>
      </c>
      <c r="O3144">
        <f>Data!I3156</f>
        <v>0</v>
      </c>
      <c r="P3144" s="21">
        <f>Data!J3160</f>
        <v>0</v>
      </c>
      <c r="Q3144">
        <f>Data!K3160</f>
        <v>0</v>
      </c>
      <c r="R3144">
        <f>Data!L3160</f>
        <v>0</v>
      </c>
      <c r="S3144">
        <f>Data!M3160</f>
        <v>0</v>
      </c>
      <c r="T3144">
        <f>Data!N3160</f>
        <v>0</v>
      </c>
      <c r="U3144">
        <f>Data!O3160</f>
        <v>0</v>
      </c>
      <c r="V3144" s="33">
        <f>Data!P3158</f>
        <v>0</v>
      </c>
    </row>
    <row r="3145" spans="7:22" x14ac:dyDescent="0.25">
      <c r="G3145">
        <f>Data!B3157</f>
        <v>0</v>
      </c>
      <c r="H3145" s="21">
        <f>Data!B3157</f>
        <v>0</v>
      </c>
      <c r="I3145" s="21">
        <f>Data!C3157</f>
        <v>0</v>
      </c>
      <c r="J3145">
        <f>Data!D3157</f>
        <v>0</v>
      </c>
      <c r="K3145">
        <f>Data!E3157</f>
        <v>0</v>
      </c>
      <c r="L3145">
        <f>Data!F3157</f>
        <v>0</v>
      </c>
      <c r="M3145">
        <f>Data!G3157</f>
        <v>0</v>
      </c>
      <c r="N3145">
        <f>Data!H3157</f>
        <v>0</v>
      </c>
      <c r="O3145">
        <f>Data!I3157</f>
        <v>0</v>
      </c>
      <c r="P3145" s="21">
        <f>Data!J3161</f>
        <v>0</v>
      </c>
      <c r="Q3145">
        <f>Data!K3161</f>
        <v>0</v>
      </c>
      <c r="R3145">
        <f>Data!L3161</f>
        <v>0</v>
      </c>
      <c r="S3145">
        <f>Data!M3161</f>
        <v>0</v>
      </c>
      <c r="T3145">
        <f>Data!N3161</f>
        <v>0</v>
      </c>
      <c r="U3145">
        <f>Data!O3161</f>
        <v>0</v>
      </c>
      <c r="V3145" s="33">
        <f>Data!P3159</f>
        <v>0</v>
      </c>
    </row>
    <row r="3146" spans="7:22" x14ac:dyDescent="0.25">
      <c r="G3146">
        <f>Data!B3158</f>
        <v>0</v>
      </c>
      <c r="H3146" s="21">
        <f>Data!B3158</f>
        <v>0</v>
      </c>
      <c r="I3146" s="21">
        <f>Data!C3158</f>
        <v>0</v>
      </c>
      <c r="J3146">
        <f>Data!D3158</f>
        <v>0</v>
      </c>
      <c r="K3146">
        <f>Data!E3158</f>
        <v>0</v>
      </c>
      <c r="L3146">
        <f>Data!F3158</f>
        <v>0</v>
      </c>
      <c r="M3146">
        <f>Data!G3158</f>
        <v>0</v>
      </c>
      <c r="N3146">
        <f>Data!H3158</f>
        <v>0</v>
      </c>
      <c r="O3146">
        <f>Data!I3158</f>
        <v>0</v>
      </c>
      <c r="P3146" s="21">
        <f>Data!J3162</f>
        <v>0</v>
      </c>
      <c r="Q3146">
        <f>Data!K3162</f>
        <v>0</v>
      </c>
      <c r="R3146">
        <f>Data!L3162</f>
        <v>0</v>
      </c>
      <c r="S3146">
        <f>Data!M3162</f>
        <v>0</v>
      </c>
      <c r="T3146">
        <f>Data!N3162</f>
        <v>0</v>
      </c>
      <c r="U3146">
        <f>Data!O3162</f>
        <v>0</v>
      </c>
      <c r="V3146" s="33">
        <f>Data!P3160</f>
        <v>0</v>
      </c>
    </row>
    <row r="3147" spans="7:22" x14ac:dyDescent="0.25">
      <c r="G3147">
        <f>Data!B3159</f>
        <v>0</v>
      </c>
      <c r="H3147" s="21">
        <f>Data!B3159</f>
        <v>0</v>
      </c>
      <c r="I3147" s="21">
        <f>Data!C3159</f>
        <v>0</v>
      </c>
      <c r="J3147">
        <f>Data!D3159</f>
        <v>0</v>
      </c>
      <c r="K3147">
        <f>Data!E3159</f>
        <v>0</v>
      </c>
      <c r="L3147">
        <f>Data!F3159</f>
        <v>0</v>
      </c>
      <c r="M3147">
        <f>Data!G3159</f>
        <v>0</v>
      </c>
      <c r="N3147">
        <f>Data!H3159</f>
        <v>0</v>
      </c>
      <c r="O3147">
        <f>Data!I3159</f>
        <v>0</v>
      </c>
      <c r="P3147" s="21">
        <f>Data!J3163</f>
        <v>0</v>
      </c>
      <c r="Q3147">
        <f>Data!K3163</f>
        <v>0</v>
      </c>
      <c r="R3147">
        <f>Data!L3163</f>
        <v>0</v>
      </c>
      <c r="S3147">
        <f>Data!M3163</f>
        <v>0</v>
      </c>
      <c r="T3147">
        <f>Data!N3163</f>
        <v>0</v>
      </c>
      <c r="U3147">
        <f>Data!O3163</f>
        <v>0</v>
      </c>
      <c r="V3147" s="33">
        <f>Data!P3161</f>
        <v>0</v>
      </c>
    </row>
    <row r="3148" spans="7:22" x14ac:dyDescent="0.25">
      <c r="G3148">
        <f>Data!B3160</f>
        <v>0</v>
      </c>
      <c r="H3148" s="21">
        <f>Data!B3160</f>
        <v>0</v>
      </c>
      <c r="I3148" s="21">
        <f>Data!C3160</f>
        <v>0</v>
      </c>
      <c r="J3148">
        <f>Data!D3160</f>
        <v>0</v>
      </c>
      <c r="K3148">
        <f>Data!E3160</f>
        <v>0</v>
      </c>
      <c r="L3148">
        <f>Data!F3160</f>
        <v>0</v>
      </c>
      <c r="M3148">
        <f>Data!G3160</f>
        <v>0</v>
      </c>
      <c r="N3148">
        <f>Data!H3160</f>
        <v>0</v>
      </c>
      <c r="O3148">
        <f>Data!I3160</f>
        <v>0</v>
      </c>
      <c r="P3148" s="21">
        <f>Data!J3164</f>
        <v>0</v>
      </c>
      <c r="Q3148">
        <f>Data!K3164</f>
        <v>0</v>
      </c>
      <c r="R3148">
        <f>Data!L3164</f>
        <v>0</v>
      </c>
      <c r="S3148">
        <f>Data!M3164</f>
        <v>0</v>
      </c>
      <c r="T3148">
        <f>Data!N3164</f>
        <v>0</v>
      </c>
      <c r="U3148">
        <f>Data!O3164</f>
        <v>0</v>
      </c>
      <c r="V3148" s="33">
        <f>Data!P3162</f>
        <v>0</v>
      </c>
    </row>
    <row r="3149" spans="7:22" x14ac:dyDescent="0.25">
      <c r="G3149">
        <f>Data!B3161</f>
        <v>0</v>
      </c>
      <c r="H3149" s="21">
        <f>Data!B3161</f>
        <v>0</v>
      </c>
      <c r="I3149" s="21">
        <f>Data!C3161</f>
        <v>0</v>
      </c>
      <c r="J3149">
        <f>Data!D3161</f>
        <v>0</v>
      </c>
      <c r="K3149">
        <f>Data!E3161</f>
        <v>0</v>
      </c>
      <c r="L3149">
        <f>Data!F3161</f>
        <v>0</v>
      </c>
      <c r="M3149">
        <f>Data!G3161</f>
        <v>0</v>
      </c>
      <c r="N3149">
        <f>Data!H3161</f>
        <v>0</v>
      </c>
      <c r="O3149">
        <f>Data!I3161</f>
        <v>0</v>
      </c>
      <c r="P3149" s="21">
        <f>Data!J3165</f>
        <v>0</v>
      </c>
      <c r="Q3149">
        <f>Data!K3165</f>
        <v>0</v>
      </c>
      <c r="R3149">
        <f>Data!L3165</f>
        <v>0</v>
      </c>
      <c r="S3149">
        <f>Data!M3165</f>
        <v>0</v>
      </c>
      <c r="T3149">
        <f>Data!N3165</f>
        <v>0</v>
      </c>
      <c r="U3149">
        <f>Data!O3165</f>
        <v>0</v>
      </c>
      <c r="V3149" s="33">
        <f>Data!P3163</f>
        <v>0</v>
      </c>
    </row>
    <row r="3150" spans="7:22" x14ac:dyDescent="0.25">
      <c r="G3150">
        <f>Data!B3162</f>
        <v>0</v>
      </c>
      <c r="H3150" s="21">
        <f>Data!B3162</f>
        <v>0</v>
      </c>
      <c r="I3150" s="21">
        <f>Data!C3162</f>
        <v>0</v>
      </c>
      <c r="J3150">
        <f>Data!D3162</f>
        <v>0</v>
      </c>
      <c r="K3150">
        <f>Data!E3162</f>
        <v>0</v>
      </c>
      <c r="L3150">
        <f>Data!F3162</f>
        <v>0</v>
      </c>
      <c r="M3150">
        <f>Data!G3162</f>
        <v>0</v>
      </c>
      <c r="N3150">
        <f>Data!H3162</f>
        <v>0</v>
      </c>
      <c r="O3150">
        <f>Data!I3162</f>
        <v>0</v>
      </c>
      <c r="P3150" s="21">
        <f>Data!J3166</f>
        <v>0</v>
      </c>
      <c r="Q3150">
        <f>Data!K3166</f>
        <v>0</v>
      </c>
      <c r="R3150">
        <f>Data!L3166</f>
        <v>0</v>
      </c>
      <c r="S3150">
        <f>Data!M3166</f>
        <v>0</v>
      </c>
      <c r="T3150">
        <f>Data!N3166</f>
        <v>0</v>
      </c>
      <c r="U3150">
        <f>Data!O3166</f>
        <v>0</v>
      </c>
      <c r="V3150" s="33">
        <f>Data!P3164</f>
        <v>0</v>
      </c>
    </row>
    <row r="3151" spans="7:22" x14ac:dyDescent="0.25">
      <c r="G3151">
        <f>Data!B3163</f>
        <v>0</v>
      </c>
      <c r="H3151" s="21">
        <f>Data!B3163</f>
        <v>0</v>
      </c>
      <c r="I3151" s="21">
        <f>Data!C3163</f>
        <v>0</v>
      </c>
      <c r="J3151">
        <f>Data!D3163</f>
        <v>0</v>
      </c>
      <c r="K3151">
        <f>Data!E3163</f>
        <v>0</v>
      </c>
      <c r="L3151">
        <f>Data!F3163</f>
        <v>0</v>
      </c>
      <c r="M3151">
        <f>Data!G3163</f>
        <v>0</v>
      </c>
      <c r="N3151">
        <f>Data!H3163</f>
        <v>0</v>
      </c>
      <c r="O3151">
        <f>Data!I3163</f>
        <v>0</v>
      </c>
      <c r="P3151" s="21">
        <f>Data!J3167</f>
        <v>0</v>
      </c>
      <c r="Q3151">
        <f>Data!K3167</f>
        <v>0</v>
      </c>
      <c r="R3151">
        <f>Data!L3167</f>
        <v>0</v>
      </c>
      <c r="S3151">
        <f>Data!M3167</f>
        <v>0</v>
      </c>
      <c r="T3151">
        <f>Data!N3167</f>
        <v>0</v>
      </c>
      <c r="U3151">
        <f>Data!O3167</f>
        <v>0</v>
      </c>
      <c r="V3151" s="33">
        <f>Data!P3165</f>
        <v>0</v>
      </c>
    </row>
    <row r="3152" spans="7:22" x14ac:dyDescent="0.25">
      <c r="G3152">
        <f>Data!B3164</f>
        <v>0</v>
      </c>
      <c r="H3152" s="21">
        <f>Data!B3164</f>
        <v>0</v>
      </c>
      <c r="I3152" s="21">
        <f>Data!C3164</f>
        <v>0</v>
      </c>
      <c r="J3152">
        <f>Data!D3164</f>
        <v>0</v>
      </c>
      <c r="K3152">
        <f>Data!E3164</f>
        <v>0</v>
      </c>
      <c r="L3152">
        <f>Data!F3164</f>
        <v>0</v>
      </c>
      <c r="M3152">
        <f>Data!G3164</f>
        <v>0</v>
      </c>
      <c r="N3152">
        <f>Data!H3164</f>
        <v>0</v>
      </c>
      <c r="O3152">
        <f>Data!I3164</f>
        <v>0</v>
      </c>
      <c r="P3152" s="21">
        <f>Data!J3168</f>
        <v>0</v>
      </c>
      <c r="Q3152">
        <f>Data!K3168</f>
        <v>0</v>
      </c>
      <c r="R3152">
        <f>Data!L3168</f>
        <v>0</v>
      </c>
      <c r="S3152">
        <f>Data!M3168</f>
        <v>0</v>
      </c>
      <c r="T3152">
        <f>Data!N3168</f>
        <v>0</v>
      </c>
      <c r="U3152">
        <f>Data!O3168</f>
        <v>0</v>
      </c>
      <c r="V3152" s="33">
        <f>Data!P3166</f>
        <v>0</v>
      </c>
    </row>
    <row r="3153" spans="7:22" x14ac:dyDescent="0.25">
      <c r="G3153">
        <f>Data!B3165</f>
        <v>0</v>
      </c>
      <c r="H3153" s="21">
        <f>Data!B3165</f>
        <v>0</v>
      </c>
      <c r="I3153" s="21">
        <f>Data!C3165</f>
        <v>0</v>
      </c>
      <c r="J3153">
        <f>Data!D3165</f>
        <v>0</v>
      </c>
      <c r="K3153">
        <f>Data!E3165</f>
        <v>0</v>
      </c>
      <c r="L3153">
        <f>Data!F3165</f>
        <v>0</v>
      </c>
      <c r="M3153">
        <f>Data!G3165</f>
        <v>0</v>
      </c>
      <c r="N3153">
        <f>Data!H3165</f>
        <v>0</v>
      </c>
      <c r="O3153">
        <f>Data!I3165</f>
        <v>0</v>
      </c>
      <c r="P3153" s="21">
        <f>Data!J3169</f>
        <v>0</v>
      </c>
      <c r="Q3153">
        <f>Data!K3169</f>
        <v>0</v>
      </c>
      <c r="R3153">
        <f>Data!L3169</f>
        <v>0</v>
      </c>
      <c r="S3153">
        <f>Data!M3169</f>
        <v>0</v>
      </c>
      <c r="T3153">
        <f>Data!N3169</f>
        <v>0</v>
      </c>
      <c r="U3153">
        <f>Data!O3169</f>
        <v>0</v>
      </c>
      <c r="V3153" s="33">
        <f>Data!P3167</f>
        <v>0</v>
      </c>
    </row>
    <row r="3154" spans="7:22" x14ac:dyDescent="0.25">
      <c r="G3154">
        <f>Data!B3166</f>
        <v>0</v>
      </c>
      <c r="H3154" s="21">
        <f>Data!B3166</f>
        <v>0</v>
      </c>
      <c r="I3154" s="21">
        <f>Data!C3166</f>
        <v>0</v>
      </c>
      <c r="J3154">
        <f>Data!D3166</f>
        <v>0</v>
      </c>
      <c r="K3154">
        <f>Data!E3166</f>
        <v>0</v>
      </c>
      <c r="L3154">
        <f>Data!F3166</f>
        <v>0</v>
      </c>
      <c r="M3154">
        <f>Data!G3166</f>
        <v>0</v>
      </c>
      <c r="N3154">
        <f>Data!H3166</f>
        <v>0</v>
      </c>
      <c r="O3154">
        <f>Data!I3166</f>
        <v>0</v>
      </c>
      <c r="P3154" s="21">
        <f>Data!J3170</f>
        <v>0</v>
      </c>
      <c r="Q3154">
        <f>Data!K3170</f>
        <v>0</v>
      </c>
      <c r="R3154">
        <f>Data!L3170</f>
        <v>0</v>
      </c>
      <c r="S3154">
        <f>Data!M3170</f>
        <v>0</v>
      </c>
      <c r="T3154">
        <f>Data!N3170</f>
        <v>0</v>
      </c>
      <c r="U3154">
        <f>Data!O3170</f>
        <v>0</v>
      </c>
      <c r="V3154" s="33">
        <f>Data!P3168</f>
        <v>0</v>
      </c>
    </row>
    <row r="3155" spans="7:22" x14ac:dyDescent="0.25">
      <c r="G3155">
        <f>Data!B3167</f>
        <v>0</v>
      </c>
      <c r="H3155" s="21">
        <f>Data!B3167</f>
        <v>0</v>
      </c>
      <c r="I3155" s="21">
        <f>Data!C3167</f>
        <v>0</v>
      </c>
      <c r="J3155">
        <f>Data!D3167</f>
        <v>0</v>
      </c>
      <c r="K3155">
        <f>Data!E3167</f>
        <v>0</v>
      </c>
      <c r="L3155">
        <f>Data!F3167</f>
        <v>0</v>
      </c>
      <c r="M3155">
        <f>Data!G3167</f>
        <v>0</v>
      </c>
      <c r="N3155">
        <f>Data!H3167</f>
        <v>0</v>
      </c>
      <c r="O3155">
        <f>Data!I3167</f>
        <v>0</v>
      </c>
      <c r="P3155" s="21">
        <f>Data!J3171</f>
        <v>0</v>
      </c>
      <c r="Q3155">
        <f>Data!K3171</f>
        <v>0</v>
      </c>
      <c r="R3155">
        <f>Data!L3171</f>
        <v>0</v>
      </c>
      <c r="S3155">
        <f>Data!M3171</f>
        <v>0</v>
      </c>
      <c r="T3155">
        <f>Data!N3171</f>
        <v>0</v>
      </c>
      <c r="U3155">
        <f>Data!O3171</f>
        <v>0</v>
      </c>
      <c r="V3155" s="33">
        <f>Data!P3169</f>
        <v>0</v>
      </c>
    </row>
    <row r="3156" spans="7:22" x14ac:dyDescent="0.25">
      <c r="G3156">
        <f>Data!B3168</f>
        <v>0</v>
      </c>
      <c r="H3156" s="21">
        <f>Data!B3168</f>
        <v>0</v>
      </c>
      <c r="I3156" s="21">
        <f>Data!C3168</f>
        <v>0</v>
      </c>
      <c r="J3156">
        <f>Data!D3168</f>
        <v>0</v>
      </c>
      <c r="K3156">
        <f>Data!E3168</f>
        <v>0</v>
      </c>
      <c r="L3156">
        <f>Data!F3168</f>
        <v>0</v>
      </c>
      <c r="M3156">
        <f>Data!G3168</f>
        <v>0</v>
      </c>
      <c r="N3156">
        <f>Data!H3168</f>
        <v>0</v>
      </c>
      <c r="O3156">
        <f>Data!I3168</f>
        <v>0</v>
      </c>
      <c r="P3156" s="21">
        <f>Data!J3172</f>
        <v>0</v>
      </c>
      <c r="Q3156">
        <f>Data!K3172</f>
        <v>0</v>
      </c>
      <c r="R3156">
        <f>Data!L3172</f>
        <v>0</v>
      </c>
      <c r="S3156">
        <f>Data!M3172</f>
        <v>0</v>
      </c>
      <c r="T3156">
        <f>Data!N3172</f>
        <v>0</v>
      </c>
      <c r="U3156">
        <f>Data!O3172</f>
        <v>0</v>
      </c>
      <c r="V3156" s="33">
        <f>Data!P3170</f>
        <v>0</v>
      </c>
    </row>
    <row r="3157" spans="7:22" x14ac:dyDescent="0.25">
      <c r="G3157">
        <f>Data!B3169</f>
        <v>0</v>
      </c>
      <c r="H3157" s="21">
        <f>Data!B3169</f>
        <v>0</v>
      </c>
      <c r="I3157" s="21">
        <f>Data!C3169</f>
        <v>0</v>
      </c>
      <c r="J3157">
        <f>Data!D3169</f>
        <v>0</v>
      </c>
      <c r="K3157">
        <f>Data!E3169</f>
        <v>0</v>
      </c>
      <c r="L3157">
        <f>Data!F3169</f>
        <v>0</v>
      </c>
      <c r="M3157">
        <f>Data!G3169</f>
        <v>0</v>
      </c>
      <c r="N3157">
        <f>Data!H3169</f>
        <v>0</v>
      </c>
      <c r="O3157">
        <f>Data!I3169</f>
        <v>0</v>
      </c>
      <c r="P3157" s="21">
        <f>Data!J3173</f>
        <v>0</v>
      </c>
      <c r="Q3157">
        <f>Data!K3173</f>
        <v>0</v>
      </c>
      <c r="R3157">
        <f>Data!L3173</f>
        <v>0</v>
      </c>
      <c r="S3157">
        <f>Data!M3173</f>
        <v>0</v>
      </c>
      <c r="T3157">
        <f>Data!N3173</f>
        <v>0</v>
      </c>
      <c r="U3157">
        <f>Data!O3173</f>
        <v>0</v>
      </c>
      <c r="V3157" s="33">
        <f>Data!P3171</f>
        <v>0</v>
      </c>
    </row>
    <row r="3158" spans="7:22" x14ac:dyDescent="0.25">
      <c r="G3158">
        <f>Data!B3170</f>
        <v>0</v>
      </c>
      <c r="H3158" s="21">
        <f>Data!B3170</f>
        <v>0</v>
      </c>
      <c r="I3158" s="21">
        <f>Data!C3170</f>
        <v>0</v>
      </c>
      <c r="J3158">
        <f>Data!D3170</f>
        <v>0</v>
      </c>
      <c r="K3158">
        <f>Data!E3170</f>
        <v>0</v>
      </c>
      <c r="L3158">
        <f>Data!F3170</f>
        <v>0</v>
      </c>
      <c r="M3158">
        <f>Data!G3170</f>
        <v>0</v>
      </c>
      <c r="N3158">
        <f>Data!H3170</f>
        <v>0</v>
      </c>
      <c r="O3158">
        <f>Data!I3170</f>
        <v>0</v>
      </c>
      <c r="P3158" s="21">
        <f>Data!J3174</f>
        <v>0</v>
      </c>
      <c r="Q3158">
        <f>Data!K3174</f>
        <v>0</v>
      </c>
      <c r="R3158">
        <f>Data!L3174</f>
        <v>0</v>
      </c>
      <c r="S3158">
        <f>Data!M3174</f>
        <v>0</v>
      </c>
      <c r="T3158">
        <f>Data!N3174</f>
        <v>0</v>
      </c>
      <c r="U3158">
        <f>Data!O3174</f>
        <v>0</v>
      </c>
      <c r="V3158" s="33">
        <f>Data!P3172</f>
        <v>0</v>
      </c>
    </row>
    <row r="3159" spans="7:22" x14ac:dyDescent="0.25">
      <c r="G3159">
        <f>Data!B3171</f>
        <v>0</v>
      </c>
      <c r="H3159" s="21">
        <f>Data!B3171</f>
        <v>0</v>
      </c>
      <c r="I3159" s="21">
        <f>Data!C3171</f>
        <v>0</v>
      </c>
      <c r="J3159">
        <f>Data!D3171</f>
        <v>0</v>
      </c>
      <c r="K3159">
        <f>Data!E3171</f>
        <v>0</v>
      </c>
      <c r="L3159">
        <f>Data!F3171</f>
        <v>0</v>
      </c>
      <c r="M3159">
        <f>Data!G3171</f>
        <v>0</v>
      </c>
      <c r="N3159">
        <f>Data!H3171</f>
        <v>0</v>
      </c>
      <c r="O3159">
        <f>Data!I3171</f>
        <v>0</v>
      </c>
      <c r="P3159" s="21">
        <f>Data!J3175</f>
        <v>0</v>
      </c>
      <c r="Q3159">
        <f>Data!K3175</f>
        <v>0</v>
      </c>
      <c r="R3159">
        <f>Data!L3175</f>
        <v>0</v>
      </c>
      <c r="S3159">
        <f>Data!M3175</f>
        <v>0</v>
      </c>
      <c r="T3159">
        <f>Data!N3175</f>
        <v>0</v>
      </c>
      <c r="U3159">
        <f>Data!O3175</f>
        <v>0</v>
      </c>
      <c r="V3159" s="33">
        <f>Data!P3173</f>
        <v>0</v>
      </c>
    </row>
    <row r="3160" spans="7:22" x14ac:dyDescent="0.25">
      <c r="G3160">
        <f>Data!B3172</f>
        <v>0</v>
      </c>
      <c r="H3160" s="21">
        <f>Data!B3172</f>
        <v>0</v>
      </c>
      <c r="I3160" s="21">
        <f>Data!C3172</f>
        <v>0</v>
      </c>
      <c r="J3160">
        <f>Data!D3172</f>
        <v>0</v>
      </c>
      <c r="K3160">
        <f>Data!E3172</f>
        <v>0</v>
      </c>
      <c r="L3160">
        <f>Data!F3172</f>
        <v>0</v>
      </c>
      <c r="M3160">
        <f>Data!G3172</f>
        <v>0</v>
      </c>
      <c r="N3160">
        <f>Data!H3172</f>
        <v>0</v>
      </c>
      <c r="O3160">
        <f>Data!I3172</f>
        <v>0</v>
      </c>
      <c r="P3160" s="21">
        <f>Data!J3176</f>
        <v>0</v>
      </c>
      <c r="Q3160">
        <f>Data!K3176</f>
        <v>0</v>
      </c>
      <c r="R3160">
        <f>Data!L3176</f>
        <v>0</v>
      </c>
      <c r="S3160">
        <f>Data!M3176</f>
        <v>0</v>
      </c>
      <c r="T3160">
        <f>Data!N3176</f>
        <v>0</v>
      </c>
      <c r="U3160">
        <f>Data!O3176</f>
        <v>0</v>
      </c>
      <c r="V3160" s="33">
        <f>Data!P3174</f>
        <v>0</v>
      </c>
    </row>
    <row r="3161" spans="7:22" x14ac:dyDescent="0.25">
      <c r="G3161">
        <f>Data!B3173</f>
        <v>0</v>
      </c>
      <c r="H3161" s="21">
        <f>Data!B3173</f>
        <v>0</v>
      </c>
      <c r="I3161" s="21">
        <f>Data!C3173</f>
        <v>0</v>
      </c>
      <c r="J3161">
        <f>Data!D3173</f>
        <v>0</v>
      </c>
      <c r="K3161">
        <f>Data!E3173</f>
        <v>0</v>
      </c>
      <c r="L3161">
        <f>Data!F3173</f>
        <v>0</v>
      </c>
      <c r="M3161">
        <f>Data!G3173</f>
        <v>0</v>
      </c>
      <c r="N3161">
        <f>Data!H3173</f>
        <v>0</v>
      </c>
      <c r="O3161">
        <f>Data!I3173</f>
        <v>0</v>
      </c>
      <c r="P3161" s="21">
        <f>Data!J3177</f>
        <v>0</v>
      </c>
      <c r="Q3161">
        <f>Data!K3177</f>
        <v>0</v>
      </c>
      <c r="R3161">
        <f>Data!L3177</f>
        <v>0</v>
      </c>
      <c r="S3161">
        <f>Data!M3177</f>
        <v>0</v>
      </c>
      <c r="T3161">
        <f>Data!N3177</f>
        <v>0</v>
      </c>
      <c r="U3161">
        <f>Data!O3177</f>
        <v>0</v>
      </c>
      <c r="V3161" s="33">
        <f>Data!P3175</f>
        <v>0</v>
      </c>
    </row>
    <row r="3162" spans="7:22" x14ac:dyDescent="0.25">
      <c r="G3162">
        <f>Data!B3174</f>
        <v>0</v>
      </c>
      <c r="H3162" s="21">
        <f>Data!B3174</f>
        <v>0</v>
      </c>
      <c r="I3162" s="21">
        <f>Data!C3174</f>
        <v>0</v>
      </c>
      <c r="J3162">
        <f>Data!D3174</f>
        <v>0</v>
      </c>
      <c r="K3162">
        <f>Data!E3174</f>
        <v>0</v>
      </c>
      <c r="L3162">
        <f>Data!F3174</f>
        <v>0</v>
      </c>
      <c r="M3162">
        <f>Data!G3174</f>
        <v>0</v>
      </c>
      <c r="N3162">
        <f>Data!H3174</f>
        <v>0</v>
      </c>
      <c r="O3162">
        <f>Data!I3174</f>
        <v>0</v>
      </c>
      <c r="P3162" s="21">
        <f>Data!J3178</f>
        <v>0</v>
      </c>
      <c r="Q3162">
        <f>Data!K3178</f>
        <v>0</v>
      </c>
      <c r="R3162">
        <f>Data!L3178</f>
        <v>0</v>
      </c>
      <c r="S3162">
        <f>Data!M3178</f>
        <v>0</v>
      </c>
      <c r="T3162">
        <f>Data!N3178</f>
        <v>0</v>
      </c>
      <c r="U3162">
        <f>Data!O3178</f>
        <v>0</v>
      </c>
      <c r="V3162" s="33">
        <f>Data!P3176</f>
        <v>0</v>
      </c>
    </row>
    <row r="3163" spans="7:22" x14ac:dyDescent="0.25">
      <c r="G3163">
        <f>Data!B3175</f>
        <v>0</v>
      </c>
      <c r="H3163" s="21">
        <f>Data!B3175</f>
        <v>0</v>
      </c>
      <c r="I3163" s="21">
        <f>Data!C3175</f>
        <v>0</v>
      </c>
      <c r="J3163">
        <f>Data!D3175</f>
        <v>0</v>
      </c>
      <c r="K3163">
        <f>Data!E3175</f>
        <v>0</v>
      </c>
      <c r="L3163">
        <f>Data!F3175</f>
        <v>0</v>
      </c>
      <c r="M3163">
        <f>Data!G3175</f>
        <v>0</v>
      </c>
      <c r="N3163">
        <f>Data!H3175</f>
        <v>0</v>
      </c>
      <c r="O3163">
        <f>Data!I3175</f>
        <v>0</v>
      </c>
      <c r="P3163" s="21">
        <f>Data!J3179</f>
        <v>0</v>
      </c>
      <c r="Q3163">
        <f>Data!K3179</f>
        <v>0</v>
      </c>
      <c r="R3163">
        <f>Data!L3179</f>
        <v>0</v>
      </c>
      <c r="S3163">
        <f>Data!M3179</f>
        <v>0</v>
      </c>
      <c r="T3163">
        <f>Data!N3179</f>
        <v>0</v>
      </c>
      <c r="U3163">
        <f>Data!O3179</f>
        <v>0</v>
      </c>
      <c r="V3163" s="33">
        <f>Data!P3177</f>
        <v>0</v>
      </c>
    </row>
    <row r="3164" spans="7:22" x14ac:dyDescent="0.25">
      <c r="G3164">
        <f>Data!B3176</f>
        <v>0</v>
      </c>
      <c r="H3164" s="21">
        <f>Data!B3176</f>
        <v>0</v>
      </c>
      <c r="I3164" s="21">
        <f>Data!C3176</f>
        <v>0</v>
      </c>
      <c r="J3164">
        <f>Data!D3176</f>
        <v>0</v>
      </c>
      <c r="K3164">
        <f>Data!E3176</f>
        <v>0</v>
      </c>
      <c r="L3164">
        <f>Data!F3176</f>
        <v>0</v>
      </c>
      <c r="M3164">
        <f>Data!G3176</f>
        <v>0</v>
      </c>
      <c r="N3164">
        <f>Data!H3176</f>
        <v>0</v>
      </c>
      <c r="O3164">
        <f>Data!I3176</f>
        <v>0</v>
      </c>
      <c r="P3164" s="21">
        <f>Data!J3180</f>
        <v>0</v>
      </c>
      <c r="Q3164">
        <f>Data!K3180</f>
        <v>0</v>
      </c>
      <c r="R3164">
        <f>Data!L3180</f>
        <v>0</v>
      </c>
      <c r="S3164">
        <f>Data!M3180</f>
        <v>0</v>
      </c>
      <c r="T3164">
        <f>Data!N3180</f>
        <v>0</v>
      </c>
      <c r="U3164">
        <f>Data!O3180</f>
        <v>0</v>
      </c>
      <c r="V3164" s="33">
        <f>Data!P3178</f>
        <v>0</v>
      </c>
    </row>
    <row r="3165" spans="7:22" x14ac:dyDescent="0.25">
      <c r="G3165">
        <f>Data!B3177</f>
        <v>0</v>
      </c>
      <c r="H3165" s="21">
        <f>Data!B3177</f>
        <v>0</v>
      </c>
      <c r="I3165" s="21">
        <f>Data!C3177</f>
        <v>0</v>
      </c>
      <c r="J3165">
        <f>Data!D3177</f>
        <v>0</v>
      </c>
      <c r="K3165">
        <f>Data!E3177</f>
        <v>0</v>
      </c>
      <c r="L3165">
        <f>Data!F3177</f>
        <v>0</v>
      </c>
      <c r="M3165">
        <f>Data!G3177</f>
        <v>0</v>
      </c>
      <c r="N3165">
        <f>Data!H3177</f>
        <v>0</v>
      </c>
      <c r="O3165">
        <f>Data!I3177</f>
        <v>0</v>
      </c>
      <c r="P3165" s="21">
        <f>Data!J3181</f>
        <v>0</v>
      </c>
      <c r="Q3165">
        <f>Data!K3181</f>
        <v>0</v>
      </c>
      <c r="R3165">
        <f>Data!L3181</f>
        <v>0</v>
      </c>
      <c r="S3165">
        <f>Data!M3181</f>
        <v>0</v>
      </c>
      <c r="T3165">
        <f>Data!N3181</f>
        <v>0</v>
      </c>
      <c r="U3165">
        <f>Data!O3181</f>
        <v>0</v>
      </c>
      <c r="V3165" s="33">
        <f>Data!P3179</f>
        <v>0</v>
      </c>
    </row>
    <row r="3166" spans="7:22" x14ac:dyDescent="0.25">
      <c r="G3166">
        <f>Data!B3178</f>
        <v>0</v>
      </c>
      <c r="H3166" s="21">
        <f>Data!B3178</f>
        <v>0</v>
      </c>
      <c r="I3166" s="21">
        <f>Data!C3178</f>
        <v>0</v>
      </c>
      <c r="J3166">
        <f>Data!D3178</f>
        <v>0</v>
      </c>
      <c r="K3166">
        <f>Data!E3178</f>
        <v>0</v>
      </c>
      <c r="L3166">
        <f>Data!F3178</f>
        <v>0</v>
      </c>
      <c r="M3166">
        <f>Data!G3178</f>
        <v>0</v>
      </c>
      <c r="N3166">
        <f>Data!H3178</f>
        <v>0</v>
      </c>
      <c r="O3166">
        <f>Data!I3178</f>
        <v>0</v>
      </c>
      <c r="P3166" s="21">
        <f>Data!J3182</f>
        <v>0</v>
      </c>
      <c r="Q3166">
        <f>Data!K3182</f>
        <v>0</v>
      </c>
      <c r="R3166">
        <f>Data!L3182</f>
        <v>0</v>
      </c>
      <c r="S3166">
        <f>Data!M3182</f>
        <v>0</v>
      </c>
      <c r="T3166">
        <f>Data!N3182</f>
        <v>0</v>
      </c>
      <c r="U3166">
        <f>Data!O3182</f>
        <v>0</v>
      </c>
      <c r="V3166" s="33">
        <f>Data!P3180</f>
        <v>0</v>
      </c>
    </row>
    <row r="3167" spans="7:22" x14ac:dyDescent="0.25">
      <c r="G3167">
        <f>Data!B3179</f>
        <v>0</v>
      </c>
      <c r="H3167" s="21">
        <f>Data!B3179</f>
        <v>0</v>
      </c>
      <c r="I3167" s="21">
        <f>Data!C3179</f>
        <v>0</v>
      </c>
      <c r="J3167">
        <f>Data!D3179</f>
        <v>0</v>
      </c>
      <c r="K3167">
        <f>Data!E3179</f>
        <v>0</v>
      </c>
      <c r="L3167">
        <f>Data!F3179</f>
        <v>0</v>
      </c>
      <c r="M3167">
        <f>Data!G3179</f>
        <v>0</v>
      </c>
      <c r="N3167">
        <f>Data!H3179</f>
        <v>0</v>
      </c>
      <c r="O3167">
        <f>Data!I3179</f>
        <v>0</v>
      </c>
      <c r="P3167" s="21">
        <f>Data!J3183</f>
        <v>0</v>
      </c>
      <c r="Q3167">
        <f>Data!K3183</f>
        <v>0</v>
      </c>
      <c r="R3167">
        <f>Data!L3183</f>
        <v>0</v>
      </c>
      <c r="S3167">
        <f>Data!M3183</f>
        <v>0</v>
      </c>
      <c r="T3167">
        <f>Data!N3183</f>
        <v>0</v>
      </c>
      <c r="U3167">
        <f>Data!O3183</f>
        <v>0</v>
      </c>
      <c r="V3167" s="33">
        <f>Data!P3181</f>
        <v>0</v>
      </c>
    </row>
    <row r="3168" spans="7:22" x14ac:dyDescent="0.25">
      <c r="G3168">
        <f>Data!B3180</f>
        <v>0</v>
      </c>
      <c r="H3168" s="21">
        <f>Data!B3180</f>
        <v>0</v>
      </c>
      <c r="I3168" s="21">
        <f>Data!C3180</f>
        <v>0</v>
      </c>
      <c r="J3168">
        <f>Data!D3180</f>
        <v>0</v>
      </c>
      <c r="K3168">
        <f>Data!E3180</f>
        <v>0</v>
      </c>
      <c r="L3168">
        <f>Data!F3180</f>
        <v>0</v>
      </c>
      <c r="M3168">
        <f>Data!G3180</f>
        <v>0</v>
      </c>
      <c r="N3168">
        <f>Data!H3180</f>
        <v>0</v>
      </c>
      <c r="O3168">
        <f>Data!I3180</f>
        <v>0</v>
      </c>
      <c r="P3168" s="21">
        <f>Data!J3184</f>
        <v>0</v>
      </c>
      <c r="Q3168">
        <f>Data!K3184</f>
        <v>0</v>
      </c>
      <c r="R3168">
        <f>Data!L3184</f>
        <v>0</v>
      </c>
      <c r="S3168">
        <f>Data!M3184</f>
        <v>0</v>
      </c>
      <c r="T3168">
        <f>Data!N3184</f>
        <v>0</v>
      </c>
      <c r="U3168">
        <f>Data!O3184</f>
        <v>0</v>
      </c>
      <c r="V3168" s="33">
        <f>Data!P3182</f>
        <v>0</v>
      </c>
    </row>
    <row r="3169" spans="7:22" x14ac:dyDescent="0.25">
      <c r="G3169">
        <f>Data!B3181</f>
        <v>0</v>
      </c>
      <c r="H3169" s="21">
        <f>Data!B3181</f>
        <v>0</v>
      </c>
      <c r="I3169" s="21">
        <f>Data!C3181</f>
        <v>0</v>
      </c>
      <c r="J3169">
        <f>Data!D3181</f>
        <v>0</v>
      </c>
      <c r="K3169">
        <f>Data!E3181</f>
        <v>0</v>
      </c>
      <c r="L3169">
        <f>Data!F3181</f>
        <v>0</v>
      </c>
      <c r="M3169">
        <f>Data!G3181</f>
        <v>0</v>
      </c>
      <c r="N3169">
        <f>Data!H3181</f>
        <v>0</v>
      </c>
      <c r="O3169">
        <f>Data!I3181</f>
        <v>0</v>
      </c>
      <c r="P3169" s="21">
        <f>Data!J3185</f>
        <v>0</v>
      </c>
      <c r="Q3169">
        <f>Data!K3185</f>
        <v>0</v>
      </c>
      <c r="R3169">
        <f>Data!L3185</f>
        <v>0</v>
      </c>
      <c r="S3169">
        <f>Data!M3185</f>
        <v>0</v>
      </c>
      <c r="T3169">
        <f>Data!N3185</f>
        <v>0</v>
      </c>
      <c r="U3169">
        <f>Data!O3185</f>
        <v>0</v>
      </c>
      <c r="V3169" s="33">
        <f>Data!P3183</f>
        <v>0</v>
      </c>
    </row>
    <row r="3170" spans="7:22" x14ac:dyDescent="0.25">
      <c r="G3170">
        <f>Data!B3182</f>
        <v>0</v>
      </c>
      <c r="H3170" s="21">
        <f>Data!B3182</f>
        <v>0</v>
      </c>
      <c r="I3170" s="21">
        <f>Data!C3182</f>
        <v>0</v>
      </c>
      <c r="J3170">
        <f>Data!D3182</f>
        <v>0</v>
      </c>
      <c r="K3170">
        <f>Data!E3182</f>
        <v>0</v>
      </c>
      <c r="L3170">
        <f>Data!F3182</f>
        <v>0</v>
      </c>
      <c r="M3170">
        <f>Data!G3182</f>
        <v>0</v>
      </c>
      <c r="N3170">
        <f>Data!H3182</f>
        <v>0</v>
      </c>
      <c r="O3170">
        <f>Data!I3182</f>
        <v>0</v>
      </c>
      <c r="P3170" s="21">
        <f>Data!J3186</f>
        <v>0</v>
      </c>
      <c r="Q3170">
        <f>Data!K3186</f>
        <v>0</v>
      </c>
      <c r="R3170">
        <f>Data!L3186</f>
        <v>0</v>
      </c>
      <c r="S3170">
        <f>Data!M3186</f>
        <v>0</v>
      </c>
      <c r="T3170">
        <f>Data!N3186</f>
        <v>0</v>
      </c>
      <c r="U3170">
        <f>Data!O3186</f>
        <v>0</v>
      </c>
      <c r="V3170" s="33">
        <f>Data!P3184</f>
        <v>0</v>
      </c>
    </row>
    <row r="3171" spans="7:22" x14ac:dyDescent="0.25">
      <c r="G3171">
        <f>Data!B3183</f>
        <v>0</v>
      </c>
      <c r="H3171" s="21">
        <f>Data!B3183</f>
        <v>0</v>
      </c>
      <c r="I3171" s="21">
        <f>Data!C3183</f>
        <v>0</v>
      </c>
      <c r="J3171">
        <f>Data!D3183</f>
        <v>0</v>
      </c>
      <c r="K3171">
        <f>Data!E3183</f>
        <v>0</v>
      </c>
      <c r="L3171">
        <f>Data!F3183</f>
        <v>0</v>
      </c>
      <c r="M3171">
        <f>Data!G3183</f>
        <v>0</v>
      </c>
      <c r="N3171">
        <f>Data!H3183</f>
        <v>0</v>
      </c>
      <c r="O3171">
        <f>Data!I3183</f>
        <v>0</v>
      </c>
      <c r="P3171" s="21">
        <f>Data!J3187</f>
        <v>0</v>
      </c>
      <c r="Q3171">
        <f>Data!K3187</f>
        <v>0</v>
      </c>
      <c r="R3171">
        <f>Data!L3187</f>
        <v>0</v>
      </c>
      <c r="S3171">
        <f>Data!M3187</f>
        <v>0</v>
      </c>
      <c r="T3171">
        <f>Data!N3187</f>
        <v>0</v>
      </c>
      <c r="U3171">
        <f>Data!O3187</f>
        <v>0</v>
      </c>
      <c r="V3171" s="33">
        <f>Data!P3185</f>
        <v>0</v>
      </c>
    </row>
    <row r="3172" spans="7:22" x14ac:dyDescent="0.25">
      <c r="G3172">
        <f>Data!B3184</f>
        <v>0</v>
      </c>
      <c r="H3172" s="21">
        <f>Data!B3184</f>
        <v>0</v>
      </c>
      <c r="I3172" s="21">
        <f>Data!C3184</f>
        <v>0</v>
      </c>
      <c r="J3172">
        <f>Data!D3184</f>
        <v>0</v>
      </c>
      <c r="K3172">
        <f>Data!E3184</f>
        <v>0</v>
      </c>
      <c r="L3172">
        <f>Data!F3184</f>
        <v>0</v>
      </c>
      <c r="M3172">
        <f>Data!G3184</f>
        <v>0</v>
      </c>
      <c r="N3172">
        <f>Data!H3184</f>
        <v>0</v>
      </c>
      <c r="O3172">
        <f>Data!I3184</f>
        <v>0</v>
      </c>
      <c r="P3172" s="21">
        <f>Data!J3188</f>
        <v>0</v>
      </c>
      <c r="Q3172">
        <f>Data!K3188</f>
        <v>0</v>
      </c>
      <c r="R3172">
        <f>Data!L3188</f>
        <v>0</v>
      </c>
      <c r="S3172">
        <f>Data!M3188</f>
        <v>0</v>
      </c>
      <c r="T3172">
        <f>Data!N3188</f>
        <v>0</v>
      </c>
      <c r="U3172">
        <f>Data!O3188</f>
        <v>0</v>
      </c>
      <c r="V3172" s="33">
        <f>Data!P3186</f>
        <v>0</v>
      </c>
    </row>
    <row r="3173" spans="7:22" x14ac:dyDescent="0.25">
      <c r="G3173">
        <f>Data!B3185</f>
        <v>0</v>
      </c>
      <c r="H3173" s="21">
        <f>Data!B3185</f>
        <v>0</v>
      </c>
      <c r="I3173" s="21">
        <f>Data!C3185</f>
        <v>0</v>
      </c>
      <c r="J3173">
        <f>Data!D3185</f>
        <v>0</v>
      </c>
      <c r="K3173">
        <f>Data!E3185</f>
        <v>0</v>
      </c>
      <c r="L3173">
        <f>Data!F3185</f>
        <v>0</v>
      </c>
      <c r="M3173">
        <f>Data!G3185</f>
        <v>0</v>
      </c>
      <c r="N3173">
        <f>Data!H3185</f>
        <v>0</v>
      </c>
      <c r="O3173">
        <f>Data!I3185</f>
        <v>0</v>
      </c>
      <c r="P3173" s="21">
        <f>Data!J3189</f>
        <v>0</v>
      </c>
      <c r="Q3173">
        <f>Data!K3189</f>
        <v>0</v>
      </c>
      <c r="R3173">
        <f>Data!L3189</f>
        <v>0</v>
      </c>
      <c r="S3173">
        <f>Data!M3189</f>
        <v>0</v>
      </c>
      <c r="T3173">
        <f>Data!N3189</f>
        <v>0</v>
      </c>
      <c r="U3173">
        <f>Data!O3189</f>
        <v>0</v>
      </c>
      <c r="V3173" s="33">
        <f>Data!P3187</f>
        <v>0</v>
      </c>
    </row>
    <row r="3174" spans="7:22" x14ac:dyDescent="0.25">
      <c r="G3174">
        <f>Data!B3186</f>
        <v>0</v>
      </c>
      <c r="H3174" s="21">
        <f>Data!B3186</f>
        <v>0</v>
      </c>
      <c r="I3174" s="21">
        <f>Data!C3186</f>
        <v>0</v>
      </c>
      <c r="J3174">
        <f>Data!D3186</f>
        <v>0</v>
      </c>
      <c r="K3174">
        <f>Data!E3186</f>
        <v>0</v>
      </c>
      <c r="L3174">
        <f>Data!F3186</f>
        <v>0</v>
      </c>
      <c r="M3174">
        <f>Data!G3186</f>
        <v>0</v>
      </c>
      <c r="N3174">
        <f>Data!H3186</f>
        <v>0</v>
      </c>
      <c r="O3174">
        <f>Data!I3186</f>
        <v>0</v>
      </c>
      <c r="P3174" s="21">
        <f>Data!J3190</f>
        <v>0</v>
      </c>
      <c r="Q3174">
        <f>Data!K3190</f>
        <v>0</v>
      </c>
      <c r="R3174">
        <f>Data!L3190</f>
        <v>0</v>
      </c>
      <c r="S3174">
        <f>Data!M3190</f>
        <v>0</v>
      </c>
      <c r="T3174">
        <f>Data!N3190</f>
        <v>0</v>
      </c>
      <c r="U3174">
        <f>Data!O3190</f>
        <v>0</v>
      </c>
      <c r="V3174" s="33">
        <f>Data!P3188</f>
        <v>0</v>
      </c>
    </row>
    <row r="3175" spans="7:22" x14ac:dyDescent="0.25">
      <c r="G3175">
        <f>Data!B3187</f>
        <v>0</v>
      </c>
      <c r="H3175" s="21">
        <f>Data!B3187</f>
        <v>0</v>
      </c>
      <c r="I3175" s="21">
        <f>Data!C3187</f>
        <v>0</v>
      </c>
      <c r="J3175">
        <f>Data!D3187</f>
        <v>0</v>
      </c>
      <c r="K3175">
        <f>Data!E3187</f>
        <v>0</v>
      </c>
      <c r="L3175">
        <f>Data!F3187</f>
        <v>0</v>
      </c>
      <c r="M3175">
        <f>Data!G3187</f>
        <v>0</v>
      </c>
      <c r="N3175">
        <f>Data!H3187</f>
        <v>0</v>
      </c>
      <c r="O3175">
        <f>Data!I3187</f>
        <v>0</v>
      </c>
      <c r="P3175" s="21">
        <f>Data!J3191</f>
        <v>0</v>
      </c>
      <c r="Q3175">
        <f>Data!K3191</f>
        <v>0</v>
      </c>
      <c r="R3175">
        <f>Data!L3191</f>
        <v>0</v>
      </c>
      <c r="S3175">
        <f>Data!M3191</f>
        <v>0</v>
      </c>
      <c r="T3175">
        <f>Data!N3191</f>
        <v>0</v>
      </c>
      <c r="U3175">
        <f>Data!O3191</f>
        <v>0</v>
      </c>
      <c r="V3175" s="33">
        <f>Data!P3189</f>
        <v>0</v>
      </c>
    </row>
    <row r="3176" spans="7:22" x14ac:dyDescent="0.25">
      <c r="G3176">
        <f>Data!B3188</f>
        <v>0</v>
      </c>
      <c r="H3176" s="21">
        <f>Data!B3188</f>
        <v>0</v>
      </c>
      <c r="I3176" s="21">
        <f>Data!C3188</f>
        <v>0</v>
      </c>
      <c r="J3176">
        <f>Data!D3188</f>
        <v>0</v>
      </c>
      <c r="K3176">
        <f>Data!E3188</f>
        <v>0</v>
      </c>
      <c r="L3176">
        <f>Data!F3188</f>
        <v>0</v>
      </c>
      <c r="M3176">
        <f>Data!G3188</f>
        <v>0</v>
      </c>
      <c r="N3176">
        <f>Data!H3188</f>
        <v>0</v>
      </c>
      <c r="O3176">
        <f>Data!I3188</f>
        <v>0</v>
      </c>
      <c r="P3176" s="21">
        <f>Data!J3192</f>
        <v>0</v>
      </c>
      <c r="Q3176">
        <f>Data!K3192</f>
        <v>0</v>
      </c>
      <c r="R3176">
        <f>Data!L3192</f>
        <v>0</v>
      </c>
      <c r="S3176">
        <f>Data!M3192</f>
        <v>0</v>
      </c>
      <c r="T3176">
        <f>Data!N3192</f>
        <v>0</v>
      </c>
      <c r="U3176">
        <f>Data!O3192</f>
        <v>0</v>
      </c>
      <c r="V3176" s="33">
        <f>Data!P3190</f>
        <v>0</v>
      </c>
    </row>
    <row r="3177" spans="7:22" x14ac:dyDescent="0.25">
      <c r="G3177">
        <f>Data!B3189</f>
        <v>0</v>
      </c>
      <c r="H3177" s="21">
        <f>Data!B3189</f>
        <v>0</v>
      </c>
      <c r="I3177" s="21">
        <f>Data!C3189</f>
        <v>0</v>
      </c>
      <c r="J3177">
        <f>Data!D3189</f>
        <v>0</v>
      </c>
      <c r="K3177">
        <f>Data!E3189</f>
        <v>0</v>
      </c>
      <c r="L3177">
        <f>Data!F3189</f>
        <v>0</v>
      </c>
      <c r="M3177">
        <f>Data!G3189</f>
        <v>0</v>
      </c>
      <c r="N3177">
        <f>Data!H3189</f>
        <v>0</v>
      </c>
      <c r="O3177">
        <f>Data!I3189</f>
        <v>0</v>
      </c>
      <c r="P3177" s="21">
        <f>Data!J3193</f>
        <v>0</v>
      </c>
      <c r="Q3177">
        <f>Data!K3193</f>
        <v>0</v>
      </c>
      <c r="R3177">
        <f>Data!L3193</f>
        <v>0</v>
      </c>
      <c r="S3177">
        <f>Data!M3193</f>
        <v>0</v>
      </c>
      <c r="T3177">
        <f>Data!N3193</f>
        <v>0</v>
      </c>
      <c r="U3177">
        <f>Data!O3193</f>
        <v>0</v>
      </c>
      <c r="V3177" s="33">
        <f>Data!P3191</f>
        <v>0</v>
      </c>
    </row>
    <row r="3178" spans="7:22" x14ac:dyDescent="0.25">
      <c r="G3178">
        <f>Data!B3190</f>
        <v>0</v>
      </c>
      <c r="H3178" s="21">
        <f>Data!B3190</f>
        <v>0</v>
      </c>
      <c r="I3178" s="21">
        <f>Data!C3190</f>
        <v>0</v>
      </c>
      <c r="J3178">
        <f>Data!D3190</f>
        <v>0</v>
      </c>
      <c r="K3178">
        <f>Data!E3190</f>
        <v>0</v>
      </c>
      <c r="L3178">
        <f>Data!F3190</f>
        <v>0</v>
      </c>
      <c r="M3178">
        <f>Data!G3190</f>
        <v>0</v>
      </c>
      <c r="N3178">
        <f>Data!H3190</f>
        <v>0</v>
      </c>
      <c r="O3178">
        <f>Data!I3190</f>
        <v>0</v>
      </c>
      <c r="P3178" s="21">
        <f>Data!J3194</f>
        <v>0</v>
      </c>
      <c r="Q3178">
        <f>Data!K3194</f>
        <v>0</v>
      </c>
      <c r="R3178">
        <f>Data!L3194</f>
        <v>0</v>
      </c>
      <c r="S3178">
        <f>Data!M3194</f>
        <v>0</v>
      </c>
      <c r="T3178">
        <f>Data!N3194</f>
        <v>0</v>
      </c>
      <c r="U3178">
        <f>Data!O3194</f>
        <v>0</v>
      </c>
      <c r="V3178" s="33">
        <f>Data!P3192</f>
        <v>0</v>
      </c>
    </row>
    <row r="3179" spans="7:22" x14ac:dyDescent="0.25">
      <c r="G3179">
        <f>Data!B3191</f>
        <v>0</v>
      </c>
      <c r="H3179" s="21">
        <f>Data!B3191</f>
        <v>0</v>
      </c>
      <c r="I3179" s="21">
        <f>Data!C3191</f>
        <v>0</v>
      </c>
      <c r="J3179">
        <f>Data!D3191</f>
        <v>0</v>
      </c>
      <c r="K3179">
        <f>Data!E3191</f>
        <v>0</v>
      </c>
      <c r="L3179">
        <f>Data!F3191</f>
        <v>0</v>
      </c>
      <c r="M3179">
        <f>Data!G3191</f>
        <v>0</v>
      </c>
      <c r="N3179">
        <f>Data!H3191</f>
        <v>0</v>
      </c>
      <c r="O3179">
        <f>Data!I3191</f>
        <v>0</v>
      </c>
      <c r="P3179" s="21">
        <f>Data!J3195</f>
        <v>0</v>
      </c>
      <c r="Q3179">
        <f>Data!K3195</f>
        <v>0</v>
      </c>
      <c r="R3179">
        <f>Data!L3195</f>
        <v>0</v>
      </c>
      <c r="S3179">
        <f>Data!M3195</f>
        <v>0</v>
      </c>
      <c r="T3179">
        <f>Data!N3195</f>
        <v>0</v>
      </c>
      <c r="U3179">
        <f>Data!O3195</f>
        <v>0</v>
      </c>
      <c r="V3179" s="33">
        <f>Data!P3193</f>
        <v>0</v>
      </c>
    </row>
    <row r="3180" spans="7:22" x14ac:dyDescent="0.25">
      <c r="G3180">
        <f>Data!B3192</f>
        <v>0</v>
      </c>
      <c r="H3180" s="21">
        <f>Data!B3192</f>
        <v>0</v>
      </c>
      <c r="I3180" s="21">
        <f>Data!C3192</f>
        <v>0</v>
      </c>
      <c r="J3180">
        <f>Data!D3192</f>
        <v>0</v>
      </c>
      <c r="K3180">
        <f>Data!E3192</f>
        <v>0</v>
      </c>
      <c r="L3180">
        <f>Data!F3192</f>
        <v>0</v>
      </c>
      <c r="M3180">
        <f>Data!G3192</f>
        <v>0</v>
      </c>
      <c r="N3180">
        <f>Data!H3192</f>
        <v>0</v>
      </c>
      <c r="O3180">
        <f>Data!I3192</f>
        <v>0</v>
      </c>
      <c r="P3180" s="21">
        <f>Data!J3196</f>
        <v>0</v>
      </c>
      <c r="Q3180">
        <f>Data!K3196</f>
        <v>0</v>
      </c>
      <c r="R3180">
        <f>Data!L3196</f>
        <v>0</v>
      </c>
      <c r="S3180">
        <f>Data!M3196</f>
        <v>0</v>
      </c>
      <c r="T3180">
        <f>Data!N3196</f>
        <v>0</v>
      </c>
      <c r="U3180">
        <f>Data!O3196</f>
        <v>0</v>
      </c>
      <c r="V3180" s="33">
        <f>Data!P3194</f>
        <v>0</v>
      </c>
    </row>
    <row r="3181" spans="7:22" x14ac:dyDescent="0.25">
      <c r="G3181">
        <f>Data!B3193</f>
        <v>0</v>
      </c>
      <c r="H3181" s="21">
        <f>Data!B3193</f>
        <v>0</v>
      </c>
      <c r="I3181" s="21">
        <f>Data!C3193</f>
        <v>0</v>
      </c>
      <c r="J3181">
        <f>Data!D3193</f>
        <v>0</v>
      </c>
      <c r="K3181">
        <f>Data!E3193</f>
        <v>0</v>
      </c>
      <c r="L3181">
        <f>Data!F3193</f>
        <v>0</v>
      </c>
      <c r="M3181">
        <f>Data!G3193</f>
        <v>0</v>
      </c>
      <c r="N3181">
        <f>Data!H3193</f>
        <v>0</v>
      </c>
      <c r="O3181">
        <f>Data!I3193</f>
        <v>0</v>
      </c>
      <c r="P3181" s="21">
        <f>Data!J3197</f>
        <v>0</v>
      </c>
      <c r="Q3181">
        <f>Data!K3197</f>
        <v>0</v>
      </c>
      <c r="R3181">
        <f>Data!L3197</f>
        <v>0</v>
      </c>
      <c r="S3181">
        <f>Data!M3197</f>
        <v>0</v>
      </c>
      <c r="T3181">
        <f>Data!N3197</f>
        <v>0</v>
      </c>
      <c r="U3181">
        <f>Data!O3197</f>
        <v>0</v>
      </c>
      <c r="V3181" s="33">
        <f>Data!P3195</f>
        <v>0</v>
      </c>
    </row>
    <row r="3182" spans="7:22" x14ac:dyDescent="0.25">
      <c r="G3182">
        <f>Data!B3194</f>
        <v>0</v>
      </c>
      <c r="H3182" s="21">
        <f>Data!B3194</f>
        <v>0</v>
      </c>
      <c r="I3182" s="21">
        <f>Data!C3194</f>
        <v>0</v>
      </c>
      <c r="J3182">
        <f>Data!D3194</f>
        <v>0</v>
      </c>
      <c r="K3182">
        <f>Data!E3194</f>
        <v>0</v>
      </c>
      <c r="L3182">
        <f>Data!F3194</f>
        <v>0</v>
      </c>
      <c r="M3182">
        <f>Data!G3194</f>
        <v>0</v>
      </c>
      <c r="N3182">
        <f>Data!H3194</f>
        <v>0</v>
      </c>
      <c r="O3182">
        <f>Data!I3194</f>
        <v>0</v>
      </c>
      <c r="P3182" s="21">
        <f>Data!J3198</f>
        <v>0</v>
      </c>
      <c r="Q3182">
        <f>Data!K3198</f>
        <v>0</v>
      </c>
      <c r="R3182">
        <f>Data!L3198</f>
        <v>0</v>
      </c>
      <c r="S3182">
        <f>Data!M3198</f>
        <v>0</v>
      </c>
      <c r="T3182">
        <f>Data!N3198</f>
        <v>0</v>
      </c>
      <c r="U3182">
        <f>Data!O3198</f>
        <v>0</v>
      </c>
      <c r="V3182" s="33">
        <f>Data!P3196</f>
        <v>0</v>
      </c>
    </row>
    <row r="3183" spans="7:22" x14ac:dyDescent="0.25">
      <c r="G3183">
        <f>Data!B3195</f>
        <v>0</v>
      </c>
      <c r="H3183" s="21">
        <f>Data!B3195</f>
        <v>0</v>
      </c>
      <c r="I3183" s="21">
        <f>Data!C3195</f>
        <v>0</v>
      </c>
      <c r="J3183">
        <f>Data!D3195</f>
        <v>0</v>
      </c>
      <c r="K3183">
        <f>Data!E3195</f>
        <v>0</v>
      </c>
      <c r="L3183">
        <f>Data!F3195</f>
        <v>0</v>
      </c>
      <c r="M3183">
        <f>Data!G3195</f>
        <v>0</v>
      </c>
      <c r="N3183">
        <f>Data!H3195</f>
        <v>0</v>
      </c>
      <c r="O3183">
        <f>Data!I3195</f>
        <v>0</v>
      </c>
      <c r="P3183" s="21">
        <f>Data!J3199</f>
        <v>0</v>
      </c>
      <c r="Q3183">
        <f>Data!K3199</f>
        <v>0</v>
      </c>
      <c r="R3183">
        <f>Data!L3199</f>
        <v>0</v>
      </c>
      <c r="S3183">
        <f>Data!M3199</f>
        <v>0</v>
      </c>
      <c r="T3183">
        <f>Data!N3199</f>
        <v>0</v>
      </c>
      <c r="U3183">
        <f>Data!O3199</f>
        <v>0</v>
      </c>
      <c r="V3183" s="33">
        <f>Data!P3197</f>
        <v>0</v>
      </c>
    </row>
    <row r="3184" spans="7:22" x14ac:dyDescent="0.25">
      <c r="G3184">
        <f>Data!B3196</f>
        <v>0</v>
      </c>
      <c r="H3184" s="21">
        <f>Data!B3196</f>
        <v>0</v>
      </c>
      <c r="I3184" s="21">
        <f>Data!C3196</f>
        <v>0</v>
      </c>
      <c r="J3184">
        <f>Data!D3196</f>
        <v>0</v>
      </c>
      <c r="K3184">
        <f>Data!E3196</f>
        <v>0</v>
      </c>
      <c r="L3184">
        <f>Data!F3196</f>
        <v>0</v>
      </c>
      <c r="M3184">
        <f>Data!G3196</f>
        <v>0</v>
      </c>
      <c r="N3184">
        <f>Data!H3196</f>
        <v>0</v>
      </c>
      <c r="O3184">
        <f>Data!I3196</f>
        <v>0</v>
      </c>
      <c r="P3184" s="21">
        <f>Data!J3200</f>
        <v>0</v>
      </c>
      <c r="Q3184">
        <f>Data!K3200</f>
        <v>0</v>
      </c>
      <c r="R3184">
        <f>Data!L3200</f>
        <v>0</v>
      </c>
      <c r="S3184">
        <f>Data!M3200</f>
        <v>0</v>
      </c>
      <c r="T3184">
        <f>Data!N3200</f>
        <v>0</v>
      </c>
      <c r="U3184">
        <f>Data!O3200</f>
        <v>0</v>
      </c>
      <c r="V3184" s="33">
        <f>Data!P3198</f>
        <v>0</v>
      </c>
    </row>
    <row r="3185" spans="7:22" x14ac:dyDescent="0.25">
      <c r="G3185">
        <f>Data!B3197</f>
        <v>0</v>
      </c>
      <c r="H3185" s="21">
        <f>Data!B3197</f>
        <v>0</v>
      </c>
      <c r="I3185" s="21">
        <f>Data!C3197</f>
        <v>0</v>
      </c>
      <c r="J3185">
        <f>Data!D3197</f>
        <v>0</v>
      </c>
      <c r="K3185">
        <f>Data!E3197</f>
        <v>0</v>
      </c>
      <c r="L3185">
        <f>Data!F3197</f>
        <v>0</v>
      </c>
      <c r="M3185">
        <f>Data!G3197</f>
        <v>0</v>
      </c>
      <c r="N3185">
        <f>Data!H3197</f>
        <v>0</v>
      </c>
      <c r="O3185">
        <f>Data!I3197</f>
        <v>0</v>
      </c>
      <c r="P3185" s="21">
        <f>Data!J3201</f>
        <v>0</v>
      </c>
      <c r="Q3185">
        <f>Data!K3201</f>
        <v>0</v>
      </c>
      <c r="R3185">
        <f>Data!L3201</f>
        <v>0</v>
      </c>
      <c r="S3185">
        <f>Data!M3201</f>
        <v>0</v>
      </c>
      <c r="T3185">
        <f>Data!N3201</f>
        <v>0</v>
      </c>
      <c r="U3185">
        <f>Data!O3201</f>
        <v>0</v>
      </c>
      <c r="V3185" s="33">
        <f>Data!P3199</f>
        <v>0</v>
      </c>
    </row>
    <row r="3186" spans="7:22" x14ac:dyDescent="0.25">
      <c r="G3186">
        <f>Data!B3198</f>
        <v>0</v>
      </c>
      <c r="H3186" s="21">
        <f>Data!B3198</f>
        <v>0</v>
      </c>
      <c r="I3186" s="21">
        <f>Data!C3198</f>
        <v>0</v>
      </c>
      <c r="J3186">
        <f>Data!D3198</f>
        <v>0</v>
      </c>
      <c r="K3186">
        <f>Data!E3198</f>
        <v>0</v>
      </c>
      <c r="L3186">
        <f>Data!F3198</f>
        <v>0</v>
      </c>
      <c r="M3186">
        <f>Data!G3198</f>
        <v>0</v>
      </c>
      <c r="N3186">
        <f>Data!H3198</f>
        <v>0</v>
      </c>
      <c r="O3186">
        <f>Data!I3198</f>
        <v>0</v>
      </c>
      <c r="P3186" s="21">
        <f>Data!J3202</f>
        <v>0</v>
      </c>
      <c r="Q3186">
        <f>Data!K3202</f>
        <v>0</v>
      </c>
      <c r="R3186">
        <f>Data!L3202</f>
        <v>0</v>
      </c>
      <c r="S3186">
        <f>Data!M3202</f>
        <v>0</v>
      </c>
      <c r="T3186">
        <f>Data!N3202</f>
        <v>0</v>
      </c>
      <c r="U3186">
        <f>Data!O3202</f>
        <v>0</v>
      </c>
      <c r="V3186" s="33">
        <f>Data!P3200</f>
        <v>0</v>
      </c>
    </row>
    <row r="3187" spans="7:22" x14ac:dyDescent="0.25">
      <c r="G3187">
        <f>Data!B3199</f>
        <v>0</v>
      </c>
      <c r="H3187" s="21">
        <f>Data!B3199</f>
        <v>0</v>
      </c>
      <c r="I3187" s="21">
        <f>Data!C3199</f>
        <v>0</v>
      </c>
      <c r="J3187">
        <f>Data!D3199</f>
        <v>0</v>
      </c>
      <c r="K3187">
        <f>Data!E3199</f>
        <v>0</v>
      </c>
      <c r="L3187">
        <f>Data!F3199</f>
        <v>0</v>
      </c>
      <c r="M3187">
        <f>Data!G3199</f>
        <v>0</v>
      </c>
      <c r="N3187">
        <f>Data!H3199</f>
        <v>0</v>
      </c>
      <c r="O3187">
        <f>Data!I3199</f>
        <v>0</v>
      </c>
      <c r="P3187" s="21">
        <f>Data!J3203</f>
        <v>0</v>
      </c>
      <c r="Q3187">
        <f>Data!K3203</f>
        <v>0</v>
      </c>
      <c r="R3187">
        <f>Data!L3203</f>
        <v>0</v>
      </c>
      <c r="S3187">
        <f>Data!M3203</f>
        <v>0</v>
      </c>
      <c r="T3187">
        <f>Data!N3203</f>
        <v>0</v>
      </c>
      <c r="U3187">
        <f>Data!O3203</f>
        <v>0</v>
      </c>
      <c r="V3187" s="33">
        <f>Data!P3201</f>
        <v>0</v>
      </c>
    </row>
    <row r="3188" spans="7:22" x14ac:dyDescent="0.25">
      <c r="G3188">
        <f>Data!B3200</f>
        <v>0</v>
      </c>
      <c r="H3188" s="21">
        <f>Data!B3200</f>
        <v>0</v>
      </c>
      <c r="I3188" s="21">
        <f>Data!C3200</f>
        <v>0</v>
      </c>
      <c r="J3188">
        <f>Data!D3200</f>
        <v>0</v>
      </c>
      <c r="K3188">
        <f>Data!E3200</f>
        <v>0</v>
      </c>
      <c r="L3188">
        <f>Data!F3200</f>
        <v>0</v>
      </c>
      <c r="M3188">
        <f>Data!G3200</f>
        <v>0</v>
      </c>
      <c r="N3188">
        <f>Data!H3200</f>
        <v>0</v>
      </c>
      <c r="O3188">
        <f>Data!I3200</f>
        <v>0</v>
      </c>
      <c r="P3188" s="21">
        <f>Data!J3204</f>
        <v>0</v>
      </c>
      <c r="Q3188">
        <f>Data!K3204</f>
        <v>0</v>
      </c>
      <c r="R3188">
        <f>Data!L3204</f>
        <v>0</v>
      </c>
      <c r="S3188">
        <f>Data!M3204</f>
        <v>0</v>
      </c>
      <c r="T3188">
        <f>Data!N3204</f>
        <v>0</v>
      </c>
      <c r="U3188">
        <f>Data!O3204</f>
        <v>0</v>
      </c>
      <c r="V3188" s="33">
        <f>Data!P3202</f>
        <v>0</v>
      </c>
    </row>
    <row r="3189" spans="7:22" x14ac:dyDescent="0.25">
      <c r="G3189">
        <f>Data!B3201</f>
        <v>0</v>
      </c>
      <c r="H3189" s="21">
        <f>Data!B3201</f>
        <v>0</v>
      </c>
      <c r="I3189" s="21">
        <f>Data!C3201</f>
        <v>0</v>
      </c>
      <c r="J3189">
        <f>Data!D3201</f>
        <v>0</v>
      </c>
      <c r="K3189">
        <f>Data!E3201</f>
        <v>0</v>
      </c>
      <c r="L3189">
        <f>Data!F3201</f>
        <v>0</v>
      </c>
      <c r="M3189">
        <f>Data!G3201</f>
        <v>0</v>
      </c>
      <c r="N3189">
        <f>Data!H3201</f>
        <v>0</v>
      </c>
      <c r="O3189">
        <f>Data!I3201</f>
        <v>0</v>
      </c>
      <c r="P3189" s="21">
        <f>Data!J3205</f>
        <v>0</v>
      </c>
      <c r="Q3189">
        <f>Data!K3205</f>
        <v>0</v>
      </c>
      <c r="R3189">
        <f>Data!L3205</f>
        <v>0</v>
      </c>
      <c r="S3189">
        <f>Data!M3205</f>
        <v>0</v>
      </c>
      <c r="T3189">
        <f>Data!N3205</f>
        <v>0</v>
      </c>
      <c r="U3189">
        <f>Data!O3205</f>
        <v>0</v>
      </c>
      <c r="V3189" s="33">
        <f>Data!P3203</f>
        <v>0</v>
      </c>
    </row>
    <row r="3190" spans="7:22" x14ac:dyDescent="0.25">
      <c r="G3190">
        <f>Data!B3202</f>
        <v>0</v>
      </c>
      <c r="H3190" s="21">
        <f>Data!B3202</f>
        <v>0</v>
      </c>
      <c r="I3190" s="21">
        <f>Data!C3202</f>
        <v>0</v>
      </c>
      <c r="J3190">
        <f>Data!D3202</f>
        <v>0</v>
      </c>
      <c r="K3190">
        <f>Data!E3202</f>
        <v>0</v>
      </c>
      <c r="L3190">
        <f>Data!F3202</f>
        <v>0</v>
      </c>
      <c r="M3190">
        <f>Data!G3202</f>
        <v>0</v>
      </c>
      <c r="N3190">
        <f>Data!H3202</f>
        <v>0</v>
      </c>
      <c r="O3190">
        <f>Data!I3202</f>
        <v>0</v>
      </c>
      <c r="P3190" s="21">
        <f>Data!J3206</f>
        <v>0</v>
      </c>
      <c r="Q3190">
        <f>Data!K3206</f>
        <v>0</v>
      </c>
      <c r="R3190">
        <f>Data!L3206</f>
        <v>0</v>
      </c>
      <c r="S3190">
        <f>Data!M3206</f>
        <v>0</v>
      </c>
      <c r="T3190">
        <f>Data!N3206</f>
        <v>0</v>
      </c>
      <c r="U3190">
        <f>Data!O3206</f>
        <v>0</v>
      </c>
      <c r="V3190" s="33">
        <f>Data!P3204</f>
        <v>0</v>
      </c>
    </row>
    <row r="3191" spans="7:22" x14ac:dyDescent="0.25">
      <c r="G3191">
        <f>Data!B3203</f>
        <v>0</v>
      </c>
      <c r="H3191" s="21">
        <f>Data!B3203</f>
        <v>0</v>
      </c>
      <c r="I3191" s="21">
        <f>Data!C3203</f>
        <v>0</v>
      </c>
      <c r="J3191">
        <f>Data!D3203</f>
        <v>0</v>
      </c>
      <c r="K3191">
        <f>Data!E3203</f>
        <v>0</v>
      </c>
      <c r="L3191">
        <f>Data!F3203</f>
        <v>0</v>
      </c>
      <c r="M3191">
        <f>Data!G3203</f>
        <v>0</v>
      </c>
      <c r="N3191">
        <f>Data!H3203</f>
        <v>0</v>
      </c>
      <c r="O3191">
        <f>Data!I3203</f>
        <v>0</v>
      </c>
      <c r="P3191" s="21">
        <f>Data!J3207</f>
        <v>0</v>
      </c>
      <c r="Q3191">
        <f>Data!K3207</f>
        <v>0</v>
      </c>
      <c r="R3191">
        <f>Data!L3207</f>
        <v>0</v>
      </c>
      <c r="S3191">
        <f>Data!M3207</f>
        <v>0</v>
      </c>
      <c r="T3191">
        <f>Data!N3207</f>
        <v>0</v>
      </c>
      <c r="U3191">
        <f>Data!O3207</f>
        <v>0</v>
      </c>
      <c r="V3191" s="33">
        <f>Data!P3205</f>
        <v>0</v>
      </c>
    </row>
    <row r="3192" spans="7:22" x14ac:dyDescent="0.25">
      <c r="G3192">
        <f>Data!B3204</f>
        <v>0</v>
      </c>
      <c r="H3192" s="21">
        <f>Data!B3204</f>
        <v>0</v>
      </c>
      <c r="I3192" s="21">
        <f>Data!C3204</f>
        <v>0</v>
      </c>
      <c r="J3192">
        <f>Data!D3204</f>
        <v>0</v>
      </c>
      <c r="K3192">
        <f>Data!E3204</f>
        <v>0</v>
      </c>
      <c r="L3192">
        <f>Data!F3204</f>
        <v>0</v>
      </c>
      <c r="M3192">
        <f>Data!G3204</f>
        <v>0</v>
      </c>
      <c r="N3192">
        <f>Data!H3204</f>
        <v>0</v>
      </c>
      <c r="O3192">
        <f>Data!I3204</f>
        <v>0</v>
      </c>
      <c r="P3192" s="21">
        <f>Data!J3208</f>
        <v>0</v>
      </c>
      <c r="Q3192">
        <f>Data!K3208</f>
        <v>0</v>
      </c>
      <c r="R3192">
        <f>Data!L3208</f>
        <v>0</v>
      </c>
      <c r="S3192">
        <f>Data!M3208</f>
        <v>0</v>
      </c>
      <c r="T3192">
        <f>Data!N3208</f>
        <v>0</v>
      </c>
      <c r="U3192">
        <f>Data!O3208</f>
        <v>0</v>
      </c>
      <c r="V3192" s="33">
        <f>Data!P3206</f>
        <v>0</v>
      </c>
    </row>
    <row r="3193" spans="7:22" x14ac:dyDescent="0.25">
      <c r="G3193">
        <f>Data!B3205</f>
        <v>0</v>
      </c>
      <c r="H3193" s="21">
        <f>Data!B3205</f>
        <v>0</v>
      </c>
      <c r="I3193" s="21">
        <f>Data!C3205</f>
        <v>0</v>
      </c>
      <c r="J3193">
        <f>Data!D3205</f>
        <v>0</v>
      </c>
      <c r="K3193">
        <f>Data!E3205</f>
        <v>0</v>
      </c>
      <c r="L3193">
        <f>Data!F3205</f>
        <v>0</v>
      </c>
      <c r="M3193">
        <f>Data!G3205</f>
        <v>0</v>
      </c>
      <c r="N3193">
        <f>Data!H3205</f>
        <v>0</v>
      </c>
      <c r="O3193">
        <f>Data!I3205</f>
        <v>0</v>
      </c>
      <c r="P3193" s="21">
        <f>Data!J3209</f>
        <v>0</v>
      </c>
      <c r="Q3193">
        <f>Data!K3209</f>
        <v>0</v>
      </c>
      <c r="R3193">
        <f>Data!L3209</f>
        <v>0</v>
      </c>
      <c r="S3193">
        <f>Data!M3209</f>
        <v>0</v>
      </c>
      <c r="T3193">
        <f>Data!N3209</f>
        <v>0</v>
      </c>
      <c r="U3193">
        <f>Data!O3209</f>
        <v>0</v>
      </c>
      <c r="V3193" s="33">
        <f>Data!P3207</f>
        <v>0</v>
      </c>
    </row>
    <row r="3194" spans="7:22" x14ac:dyDescent="0.25">
      <c r="G3194">
        <f>Data!B3206</f>
        <v>0</v>
      </c>
      <c r="H3194" s="21">
        <f>Data!B3206</f>
        <v>0</v>
      </c>
      <c r="I3194" s="21">
        <f>Data!C3206</f>
        <v>0</v>
      </c>
      <c r="J3194">
        <f>Data!D3206</f>
        <v>0</v>
      </c>
      <c r="K3194">
        <f>Data!E3206</f>
        <v>0</v>
      </c>
      <c r="L3194">
        <f>Data!F3206</f>
        <v>0</v>
      </c>
      <c r="M3194">
        <f>Data!G3206</f>
        <v>0</v>
      </c>
      <c r="N3194">
        <f>Data!H3206</f>
        <v>0</v>
      </c>
      <c r="O3194">
        <f>Data!I3206</f>
        <v>0</v>
      </c>
      <c r="P3194" s="21">
        <f>Data!J3210</f>
        <v>0</v>
      </c>
      <c r="Q3194">
        <f>Data!K3210</f>
        <v>0</v>
      </c>
      <c r="R3194">
        <f>Data!L3210</f>
        <v>0</v>
      </c>
      <c r="S3194">
        <f>Data!M3210</f>
        <v>0</v>
      </c>
      <c r="T3194">
        <f>Data!N3210</f>
        <v>0</v>
      </c>
      <c r="U3194">
        <f>Data!O3210</f>
        <v>0</v>
      </c>
      <c r="V3194" s="33">
        <f>Data!P3208</f>
        <v>0</v>
      </c>
    </row>
    <row r="3195" spans="7:22" x14ac:dyDescent="0.25">
      <c r="G3195">
        <f>Data!B3207</f>
        <v>0</v>
      </c>
      <c r="H3195" s="21">
        <f>Data!B3207</f>
        <v>0</v>
      </c>
      <c r="I3195" s="21">
        <f>Data!C3207</f>
        <v>0</v>
      </c>
      <c r="J3195">
        <f>Data!D3207</f>
        <v>0</v>
      </c>
      <c r="K3195">
        <f>Data!E3207</f>
        <v>0</v>
      </c>
      <c r="L3195">
        <f>Data!F3207</f>
        <v>0</v>
      </c>
      <c r="M3195">
        <f>Data!G3207</f>
        <v>0</v>
      </c>
      <c r="N3195">
        <f>Data!H3207</f>
        <v>0</v>
      </c>
      <c r="O3195">
        <f>Data!I3207</f>
        <v>0</v>
      </c>
      <c r="P3195" s="21">
        <f>Data!J3211</f>
        <v>0</v>
      </c>
      <c r="Q3195">
        <f>Data!K3211</f>
        <v>0</v>
      </c>
      <c r="R3195">
        <f>Data!L3211</f>
        <v>0</v>
      </c>
      <c r="S3195">
        <f>Data!M3211</f>
        <v>0</v>
      </c>
      <c r="T3195">
        <f>Data!N3211</f>
        <v>0</v>
      </c>
      <c r="U3195">
        <f>Data!O3211</f>
        <v>0</v>
      </c>
      <c r="V3195" s="33">
        <f>Data!P3209</f>
        <v>0</v>
      </c>
    </row>
    <row r="3196" spans="7:22" x14ac:dyDescent="0.25">
      <c r="G3196">
        <f>Data!B3208</f>
        <v>0</v>
      </c>
      <c r="H3196" s="21">
        <f>Data!B3208</f>
        <v>0</v>
      </c>
      <c r="I3196" s="21">
        <f>Data!C3208</f>
        <v>0</v>
      </c>
      <c r="J3196">
        <f>Data!D3208</f>
        <v>0</v>
      </c>
      <c r="K3196">
        <f>Data!E3208</f>
        <v>0</v>
      </c>
      <c r="L3196">
        <f>Data!F3208</f>
        <v>0</v>
      </c>
      <c r="M3196">
        <f>Data!G3208</f>
        <v>0</v>
      </c>
      <c r="N3196">
        <f>Data!H3208</f>
        <v>0</v>
      </c>
      <c r="O3196">
        <f>Data!I3208</f>
        <v>0</v>
      </c>
      <c r="P3196" s="21">
        <f>Data!J3212</f>
        <v>0</v>
      </c>
      <c r="Q3196">
        <f>Data!K3212</f>
        <v>0</v>
      </c>
      <c r="R3196">
        <f>Data!L3212</f>
        <v>0</v>
      </c>
      <c r="S3196">
        <f>Data!M3212</f>
        <v>0</v>
      </c>
      <c r="T3196">
        <f>Data!N3212</f>
        <v>0</v>
      </c>
      <c r="U3196">
        <f>Data!O3212</f>
        <v>0</v>
      </c>
      <c r="V3196" s="33">
        <f>Data!P3210</f>
        <v>0</v>
      </c>
    </row>
    <row r="3197" spans="7:22" x14ac:dyDescent="0.25">
      <c r="G3197">
        <f>Data!B3209</f>
        <v>0</v>
      </c>
      <c r="H3197" s="21">
        <f>Data!B3209</f>
        <v>0</v>
      </c>
      <c r="I3197" s="21">
        <f>Data!C3209</f>
        <v>0</v>
      </c>
      <c r="J3197">
        <f>Data!D3209</f>
        <v>0</v>
      </c>
      <c r="K3197">
        <f>Data!E3209</f>
        <v>0</v>
      </c>
      <c r="L3197">
        <f>Data!F3209</f>
        <v>0</v>
      </c>
      <c r="M3197">
        <f>Data!G3209</f>
        <v>0</v>
      </c>
      <c r="N3197">
        <f>Data!H3209</f>
        <v>0</v>
      </c>
      <c r="O3197">
        <f>Data!I3209</f>
        <v>0</v>
      </c>
      <c r="P3197" s="21">
        <f>Data!J3213</f>
        <v>0</v>
      </c>
      <c r="Q3197">
        <f>Data!K3213</f>
        <v>0</v>
      </c>
      <c r="R3197">
        <f>Data!L3213</f>
        <v>0</v>
      </c>
      <c r="S3197">
        <f>Data!M3213</f>
        <v>0</v>
      </c>
      <c r="T3197">
        <f>Data!N3213</f>
        <v>0</v>
      </c>
      <c r="U3197">
        <f>Data!O3213</f>
        <v>0</v>
      </c>
      <c r="V3197" s="33">
        <f>Data!P3211</f>
        <v>0</v>
      </c>
    </row>
    <row r="3198" spans="7:22" x14ac:dyDescent="0.25">
      <c r="G3198">
        <f>Data!B3210</f>
        <v>0</v>
      </c>
      <c r="H3198" s="21">
        <f>Data!B3210</f>
        <v>0</v>
      </c>
      <c r="I3198" s="21">
        <f>Data!C3210</f>
        <v>0</v>
      </c>
      <c r="J3198">
        <f>Data!D3210</f>
        <v>0</v>
      </c>
      <c r="K3198">
        <f>Data!E3210</f>
        <v>0</v>
      </c>
      <c r="L3198">
        <f>Data!F3210</f>
        <v>0</v>
      </c>
      <c r="M3198">
        <f>Data!G3210</f>
        <v>0</v>
      </c>
      <c r="N3198">
        <f>Data!H3210</f>
        <v>0</v>
      </c>
      <c r="O3198">
        <f>Data!I3210</f>
        <v>0</v>
      </c>
      <c r="P3198" s="21">
        <f>Data!J3214</f>
        <v>0</v>
      </c>
      <c r="Q3198">
        <f>Data!K3214</f>
        <v>0</v>
      </c>
      <c r="R3198">
        <f>Data!L3214</f>
        <v>0</v>
      </c>
      <c r="S3198">
        <f>Data!M3214</f>
        <v>0</v>
      </c>
      <c r="T3198">
        <f>Data!N3214</f>
        <v>0</v>
      </c>
      <c r="U3198">
        <f>Data!O3214</f>
        <v>0</v>
      </c>
      <c r="V3198" s="33">
        <f>Data!P3212</f>
        <v>0</v>
      </c>
    </row>
    <row r="3199" spans="7:22" x14ac:dyDescent="0.25">
      <c r="G3199">
        <f>Data!B3211</f>
        <v>0</v>
      </c>
      <c r="H3199" s="21">
        <f>Data!B3211</f>
        <v>0</v>
      </c>
      <c r="I3199" s="21">
        <f>Data!C3211</f>
        <v>0</v>
      </c>
      <c r="J3199">
        <f>Data!D3211</f>
        <v>0</v>
      </c>
      <c r="K3199">
        <f>Data!E3211</f>
        <v>0</v>
      </c>
      <c r="L3199">
        <f>Data!F3211</f>
        <v>0</v>
      </c>
      <c r="M3199">
        <f>Data!G3211</f>
        <v>0</v>
      </c>
      <c r="N3199">
        <f>Data!H3211</f>
        <v>0</v>
      </c>
      <c r="O3199">
        <f>Data!I3211</f>
        <v>0</v>
      </c>
      <c r="P3199" s="21">
        <f>Data!J3215</f>
        <v>0</v>
      </c>
      <c r="Q3199">
        <f>Data!K3215</f>
        <v>0</v>
      </c>
      <c r="R3199">
        <f>Data!L3215</f>
        <v>0</v>
      </c>
      <c r="S3199">
        <f>Data!M3215</f>
        <v>0</v>
      </c>
      <c r="T3199">
        <f>Data!N3215</f>
        <v>0</v>
      </c>
      <c r="U3199">
        <f>Data!O3215</f>
        <v>0</v>
      </c>
      <c r="V3199" s="33">
        <f>Data!P3213</f>
        <v>0</v>
      </c>
    </row>
    <row r="3200" spans="7:22" x14ac:dyDescent="0.25">
      <c r="G3200">
        <f>Data!B3212</f>
        <v>0</v>
      </c>
      <c r="H3200" s="21">
        <f>Data!B3212</f>
        <v>0</v>
      </c>
      <c r="I3200" s="21">
        <f>Data!C3212</f>
        <v>0</v>
      </c>
      <c r="J3200">
        <f>Data!D3212</f>
        <v>0</v>
      </c>
      <c r="K3200">
        <f>Data!E3212</f>
        <v>0</v>
      </c>
      <c r="L3200">
        <f>Data!F3212</f>
        <v>0</v>
      </c>
      <c r="M3200">
        <f>Data!G3212</f>
        <v>0</v>
      </c>
      <c r="N3200">
        <f>Data!H3212</f>
        <v>0</v>
      </c>
      <c r="O3200">
        <f>Data!I3212</f>
        <v>0</v>
      </c>
      <c r="P3200" s="21">
        <f>Data!J3216</f>
        <v>0</v>
      </c>
      <c r="Q3200">
        <f>Data!K3216</f>
        <v>0</v>
      </c>
      <c r="R3200">
        <f>Data!L3216</f>
        <v>0</v>
      </c>
      <c r="S3200">
        <f>Data!M3216</f>
        <v>0</v>
      </c>
      <c r="T3200">
        <f>Data!N3216</f>
        <v>0</v>
      </c>
      <c r="U3200">
        <f>Data!O3216</f>
        <v>0</v>
      </c>
      <c r="V3200" s="33">
        <f>Data!P3214</f>
        <v>0</v>
      </c>
    </row>
    <row r="3201" spans="7:22" x14ac:dyDescent="0.25">
      <c r="G3201">
        <f>Data!B3213</f>
        <v>0</v>
      </c>
      <c r="H3201" s="21">
        <f>Data!B3213</f>
        <v>0</v>
      </c>
      <c r="I3201" s="21">
        <f>Data!C3213</f>
        <v>0</v>
      </c>
      <c r="J3201">
        <f>Data!D3213</f>
        <v>0</v>
      </c>
      <c r="K3201">
        <f>Data!E3213</f>
        <v>0</v>
      </c>
      <c r="L3201">
        <f>Data!F3213</f>
        <v>0</v>
      </c>
      <c r="M3201">
        <f>Data!G3213</f>
        <v>0</v>
      </c>
      <c r="N3201">
        <f>Data!H3213</f>
        <v>0</v>
      </c>
      <c r="O3201">
        <f>Data!I3213</f>
        <v>0</v>
      </c>
      <c r="P3201" s="21">
        <f>Data!J3217</f>
        <v>0</v>
      </c>
      <c r="Q3201">
        <f>Data!K3217</f>
        <v>0</v>
      </c>
      <c r="R3201">
        <f>Data!L3217</f>
        <v>0</v>
      </c>
      <c r="S3201">
        <f>Data!M3217</f>
        <v>0</v>
      </c>
      <c r="T3201">
        <f>Data!N3217</f>
        <v>0</v>
      </c>
      <c r="U3201">
        <f>Data!O3217</f>
        <v>0</v>
      </c>
      <c r="V3201" s="33">
        <f>Data!P3215</f>
        <v>0</v>
      </c>
    </row>
    <row r="3202" spans="7:22" x14ac:dyDescent="0.25">
      <c r="G3202">
        <f>Data!B3214</f>
        <v>0</v>
      </c>
      <c r="H3202" s="21">
        <f>Data!B3214</f>
        <v>0</v>
      </c>
      <c r="I3202" s="21">
        <f>Data!C3214</f>
        <v>0</v>
      </c>
      <c r="J3202">
        <f>Data!D3214</f>
        <v>0</v>
      </c>
      <c r="K3202">
        <f>Data!E3214</f>
        <v>0</v>
      </c>
      <c r="L3202">
        <f>Data!F3214</f>
        <v>0</v>
      </c>
      <c r="M3202">
        <f>Data!G3214</f>
        <v>0</v>
      </c>
      <c r="N3202">
        <f>Data!H3214</f>
        <v>0</v>
      </c>
      <c r="O3202">
        <f>Data!I3214</f>
        <v>0</v>
      </c>
      <c r="P3202" s="21">
        <f>Data!J3218</f>
        <v>0</v>
      </c>
      <c r="Q3202">
        <f>Data!K3218</f>
        <v>0</v>
      </c>
      <c r="R3202">
        <f>Data!L3218</f>
        <v>0</v>
      </c>
      <c r="S3202">
        <f>Data!M3218</f>
        <v>0</v>
      </c>
      <c r="T3202">
        <f>Data!N3218</f>
        <v>0</v>
      </c>
      <c r="U3202">
        <f>Data!O3218</f>
        <v>0</v>
      </c>
      <c r="V3202" s="33">
        <f>Data!P3216</f>
        <v>0</v>
      </c>
    </row>
    <row r="3203" spans="7:22" x14ac:dyDescent="0.25">
      <c r="G3203">
        <f>Data!B3215</f>
        <v>0</v>
      </c>
      <c r="H3203" s="21">
        <f>Data!B3215</f>
        <v>0</v>
      </c>
      <c r="I3203" s="21">
        <f>Data!C3215</f>
        <v>0</v>
      </c>
      <c r="J3203">
        <f>Data!D3215</f>
        <v>0</v>
      </c>
      <c r="K3203">
        <f>Data!E3215</f>
        <v>0</v>
      </c>
      <c r="L3203">
        <f>Data!F3215</f>
        <v>0</v>
      </c>
      <c r="M3203">
        <f>Data!G3215</f>
        <v>0</v>
      </c>
      <c r="N3203">
        <f>Data!H3215</f>
        <v>0</v>
      </c>
      <c r="O3203">
        <f>Data!I3215</f>
        <v>0</v>
      </c>
      <c r="P3203" s="21">
        <f>Data!J3219</f>
        <v>0</v>
      </c>
      <c r="Q3203">
        <f>Data!K3219</f>
        <v>0</v>
      </c>
      <c r="R3203">
        <f>Data!L3219</f>
        <v>0</v>
      </c>
      <c r="S3203">
        <f>Data!M3219</f>
        <v>0</v>
      </c>
      <c r="T3203">
        <f>Data!N3219</f>
        <v>0</v>
      </c>
      <c r="U3203">
        <f>Data!O3219</f>
        <v>0</v>
      </c>
      <c r="V3203" s="33">
        <f>Data!P3217</f>
        <v>0</v>
      </c>
    </row>
    <row r="3204" spans="7:22" x14ac:dyDescent="0.25">
      <c r="G3204">
        <f>Data!B3216</f>
        <v>0</v>
      </c>
      <c r="H3204" s="21">
        <f>Data!B3216</f>
        <v>0</v>
      </c>
      <c r="I3204" s="21">
        <f>Data!C3216</f>
        <v>0</v>
      </c>
      <c r="J3204">
        <f>Data!D3216</f>
        <v>0</v>
      </c>
      <c r="K3204">
        <f>Data!E3216</f>
        <v>0</v>
      </c>
      <c r="L3204">
        <f>Data!F3216</f>
        <v>0</v>
      </c>
      <c r="M3204">
        <f>Data!G3216</f>
        <v>0</v>
      </c>
      <c r="N3204">
        <f>Data!H3216</f>
        <v>0</v>
      </c>
      <c r="O3204">
        <f>Data!I3216</f>
        <v>0</v>
      </c>
      <c r="P3204" s="21">
        <f>Data!J3220</f>
        <v>0</v>
      </c>
      <c r="Q3204">
        <f>Data!K3220</f>
        <v>0</v>
      </c>
      <c r="R3204">
        <f>Data!L3220</f>
        <v>0</v>
      </c>
      <c r="S3204">
        <f>Data!M3220</f>
        <v>0</v>
      </c>
      <c r="T3204">
        <f>Data!N3220</f>
        <v>0</v>
      </c>
      <c r="U3204">
        <f>Data!O3220</f>
        <v>0</v>
      </c>
      <c r="V3204" s="33">
        <f>Data!P3218</f>
        <v>0</v>
      </c>
    </row>
    <row r="3205" spans="7:22" x14ac:dyDescent="0.25">
      <c r="G3205">
        <f>Data!B3217</f>
        <v>0</v>
      </c>
      <c r="H3205" s="21">
        <f>Data!B3217</f>
        <v>0</v>
      </c>
      <c r="I3205" s="21">
        <f>Data!C3217</f>
        <v>0</v>
      </c>
      <c r="J3205">
        <f>Data!D3217</f>
        <v>0</v>
      </c>
      <c r="K3205">
        <f>Data!E3217</f>
        <v>0</v>
      </c>
      <c r="L3205">
        <f>Data!F3217</f>
        <v>0</v>
      </c>
      <c r="M3205">
        <f>Data!G3217</f>
        <v>0</v>
      </c>
      <c r="N3205">
        <f>Data!H3217</f>
        <v>0</v>
      </c>
      <c r="O3205">
        <f>Data!I3217</f>
        <v>0</v>
      </c>
      <c r="P3205" s="21">
        <f>Data!J3221</f>
        <v>0</v>
      </c>
      <c r="Q3205">
        <f>Data!K3221</f>
        <v>0</v>
      </c>
      <c r="R3205">
        <f>Data!L3221</f>
        <v>0</v>
      </c>
      <c r="S3205">
        <f>Data!M3221</f>
        <v>0</v>
      </c>
      <c r="T3205">
        <f>Data!N3221</f>
        <v>0</v>
      </c>
      <c r="U3205">
        <f>Data!O3221</f>
        <v>0</v>
      </c>
      <c r="V3205" s="33">
        <f>Data!P3219</f>
        <v>0</v>
      </c>
    </row>
    <row r="3206" spans="7:22" x14ac:dyDescent="0.25">
      <c r="G3206">
        <f>Data!B3218</f>
        <v>0</v>
      </c>
      <c r="H3206" s="21">
        <f>Data!B3218</f>
        <v>0</v>
      </c>
      <c r="I3206" s="21">
        <f>Data!C3218</f>
        <v>0</v>
      </c>
      <c r="J3206">
        <f>Data!D3218</f>
        <v>0</v>
      </c>
      <c r="K3206">
        <f>Data!E3218</f>
        <v>0</v>
      </c>
      <c r="L3206">
        <f>Data!F3218</f>
        <v>0</v>
      </c>
      <c r="M3206">
        <f>Data!G3218</f>
        <v>0</v>
      </c>
      <c r="N3206">
        <f>Data!H3218</f>
        <v>0</v>
      </c>
      <c r="O3206">
        <f>Data!I3218</f>
        <v>0</v>
      </c>
      <c r="P3206" s="21">
        <f>Data!J3222</f>
        <v>0</v>
      </c>
      <c r="Q3206">
        <f>Data!K3222</f>
        <v>0</v>
      </c>
      <c r="R3206">
        <f>Data!L3222</f>
        <v>0</v>
      </c>
      <c r="S3206">
        <f>Data!M3222</f>
        <v>0</v>
      </c>
      <c r="T3206">
        <f>Data!N3222</f>
        <v>0</v>
      </c>
      <c r="U3206">
        <f>Data!O3222</f>
        <v>0</v>
      </c>
      <c r="V3206" s="33">
        <f>Data!P3220</f>
        <v>0</v>
      </c>
    </row>
    <row r="3207" spans="7:22" x14ac:dyDescent="0.25">
      <c r="G3207">
        <f>Data!B3219</f>
        <v>0</v>
      </c>
      <c r="H3207" s="21">
        <f>Data!B3219</f>
        <v>0</v>
      </c>
      <c r="I3207" s="21">
        <f>Data!C3219</f>
        <v>0</v>
      </c>
      <c r="J3207">
        <f>Data!D3219</f>
        <v>0</v>
      </c>
      <c r="K3207">
        <f>Data!E3219</f>
        <v>0</v>
      </c>
      <c r="L3207">
        <f>Data!F3219</f>
        <v>0</v>
      </c>
      <c r="M3207">
        <f>Data!G3219</f>
        <v>0</v>
      </c>
      <c r="N3207">
        <f>Data!H3219</f>
        <v>0</v>
      </c>
      <c r="O3207">
        <f>Data!I3219</f>
        <v>0</v>
      </c>
      <c r="P3207" s="21">
        <f>Data!J3223</f>
        <v>0</v>
      </c>
      <c r="Q3207">
        <f>Data!K3223</f>
        <v>0</v>
      </c>
      <c r="R3207">
        <f>Data!L3223</f>
        <v>0</v>
      </c>
      <c r="S3207">
        <f>Data!M3223</f>
        <v>0</v>
      </c>
      <c r="T3207">
        <f>Data!N3223</f>
        <v>0</v>
      </c>
      <c r="U3207">
        <f>Data!O3223</f>
        <v>0</v>
      </c>
      <c r="V3207" s="33">
        <f>Data!P3221</f>
        <v>0</v>
      </c>
    </row>
    <row r="3208" spans="7:22" x14ac:dyDescent="0.25">
      <c r="G3208">
        <f>Data!B3220</f>
        <v>0</v>
      </c>
      <c r="H3208" s="21">
        <f>Data!B3220</f>
        <v>0</v>
      </c>
      <c r="I3208" s="21">
        <f>Data!C3220</f>
        <v>0</v>
      </c>
      <c r="J3208">
        <f>Data!D3220</f>
        <v>0</v>
      </c>
      <c r="K3208">
        <f>Data!E3220</f>
        <v>0</v>
      </c>
      <c r="L3208">
        <f>Data!F3220</f>
        <v>0</v>
      </c>
      <c r="M3208">
        <f>Data!G3220</f>
        <v>0</v>
      </c>
      <c r="N3208">
        <f>Data!H3220</f>
        <v>0</v>
      </c>
      <c r="O3208">
        <f>Data!I3220</f>
        <v>0</v>
      </c>
      <c r="P3208" s="21">
        <f>Data!J3224</f>
        <v>0</v>
      </c>
      <c r="Q3208">
        <f>Data!K3224</f>
        <v>0</v>
      </c>
      <c r="R3208">
        <f>Data!L3224</f>
        <v>0</v>
      </c>
      <c r="S3208">
        <f>Data!M3224</f>
        <v>0</v>
      </c>
      <c r="T3208">
        <f>Data!N3224</f>
        <v>0</v>
      </c>
      <c r="U3208">
        <f>Data!O3224</f>
        <v>0</v>
      </c>
      <c r="V3208" s="33">
        <f>Data!P3222</f>
        <v>0</v>
      </c>
    </row>
    <row r="3209" spans="7:22" x14ac:dyDescent="0.25">
      <c r="G3209">
        <f>Data!B3221</f>
        <v>0</v>
      </c>
      <c r="H3209" s="21">
        <f>Data!B3221</f>
        <v>0</v>
      </c>
      <c r="I3209" s="21">
        <f>Data!C3221</f>
        <v>0</v>
      </c>
      <c r="J3209">
        <f>Data!D3221</f>
        <v>0</v>
      </c>
      <c r="K3209">
        <f>Data!E3221</f>
        <v>0</v>
      </c>
      <c r="L3209">
        <f>Data!F3221</f>
        <v>0</v>
      </c>
      <c r="M3209">
        <f>Data!G3221</f>
        <v>0</v>
      </c>
      <c r="N3209">
        <f>Data!H3221</f>
        <v>0</v>
      </c>
      <c r="O3209">
        <f>Data!I3221</f>
        <v>0</v>
      </c>
      <c r="P3209" s="21">
        <f>Data!J3225</f>
        <v>0</v>
      </c>
      <c r="Q3209">
        <f>Data!K3225</f>
        <v>0</v>
      </c>
      <c r="R3209">
        <f>Data!L3225</f>
        <v>0</v>
      </c>
      <c r="S3209">
        <f>Data!M3225</f>
        <v>0</v>
      </c>
      <c r="T3209">
        <f>Data!N3225</f>
        <v>0</v>
      </c>
      <c r="U3209">
        <f>Data!O3225</f>
        <v>0</v>
      </c>
      <c r="V3209" s="33">
        <f>Data!P3223</f>
        <v>0</v>
      </c>
    </row>
    <row r="3210" spans="7:22" x14ac:dyDescent="0.25">
      <c r="G3210">
        <f>Data!B3222</f>
        <v>0</v>
      </c>
      <c r="H3210" s="21">
        <f>Data!B3222</f>
        <v>0</v>
      </c>
      <c r="I3210" s="21">
        <f>Data!C3222</f>
        <v>0</v>
      </c>
      <c r="J3210">
        <f>Data!D3222</f>
        <v>0</v>
      </c>
      <c r="K3210">
        <f>Data!E3222</f>
        <v>0</v>
      </c>
      <c r="L3210">
        <f>Data!F3222</f>
        <v>0</v>
      </c>
      <c r="M3210">
        <f>Data!G3222</f>
        <v>0</v>
      </c>
      <c r="N3210">
        <f>Data!H3222</f>
        <v>0</v>
      </c>
      <c r="O3210">
        <f>Data!I3222</f>
        <v>0</v>
      </c>
      <c r="P3210" s="21">
        <f>Data!J3226</f>
        <v>0</v>
      </c>
      <c r="Q3210">
        <f>Data!K3226</f>
        <v>0</v>
      </c>
      <c r="R3210">
        <f>Data!L3226</f>
        <v>0</v>
      </c>
      <c r="S3210">
        <f>Data!M3226</f>
        <v>0</v>
      </c>
      <c r="T3210">
        <f>Data!N3226</f>
        <v>0</v>
      </c>
      <c r="U3210">
        <f>Data!O3226</f>
        <v>0</v>
      </c>
      <c r="V3210" s="33">
        <f>Data!P3224</f>
        <v>0</v>
      </c>
    </row>
    <row r="3211" spans="7:22" x14ac:dyDescent="0.25">
      <c r="G3211">
        <f>Data!B3223</f>
        <v>0</v>
      </c>
      <c r="H3211" s="21">
        <f>Data!B3223</f>
        <v>0</v>
      </c>
      <c r="I3211" s="21">
        <f>Data!C3223</f>
        <v>0</v>
      </c>
      <c r="J3211">
        <f>Data!D3223</f>
        <v>0</v>
      </c>
      <c r="K3211">
        <f>Data!E3223</f>
        <v>0</v>
      </c>
      <c r="L3211">
        <f>Data!F3223</f>
        <v>0</v>
      </c>
      <c r="M3211">
        <f>Data!G3223</f>
        <v>0</v>
      </c>
      <c r="N3211">
        <f>Data!H3223</f>
        <v>0</v>
      </c>
      <c r="O3211">
        <f>Data!I3223</f>
        <v>0</v>
      </c>
      <c r="P3211" s="21">
        <f>Data!J3227</f>
        <v>0</v>
      </c>
      <c r="Q3211">
        <f>Data!K3227</f>
        <v>0</v>
      </c>
      <c r="R3211">
        <f>Data!L3227</f>
        <v>0</v>
      </c>
      <c r="S3211">
        <f>Data!M3227</f>
        <v>0</v>
      </c>
      <c r="T3211">
        <f>Data!N3227</f>
        <v>0</v>
      </c>
      <c r="U3211">
        <f>Data!O3227</f>
        <v>0</v>
      </c>
      <c r="V3211" s="33">
        <f>Data!P3225</f>
        <v>0</v>
      </c>
    </row>
    <row r="3212" spans="7:22" x14ac:dyDescent="0.25">
      <c r="G3212">
        <f>Data!B3224</f>
        <v>0</v>
      </c>
      <c r="H3212" s="21">
        <f>Data!B3224</f>
        <v>0</v>
      </c>
      <c r="I3212" s="21">
        <f>Data!C3224</f>
        <v>0</v>
      </c>
      <c r="J3212">
        <f>Data!D3224</f>
        <v>0</v>
      </c>
      <c r="K3212">
        <f>Data!E3224</f>
        <v>0</v>
      </c>
      <c r="L3212">
        <f>Data!F3224</f>
        <v>0</v>
      </c>
      <c r="M3212">
        <f>Data!G3224</f>
        <v>0</v>
      </c>
      <c r="N3212">
        <f>Data!H3224</f>
        <v>0</v>
      </c>
      <c r="O3212">
        <f>Data!I3224</f>
        <v>0</v>
      </c>
      <c r="P3212" s="21">
        <f>Data!J3228</f>
        <v>0</v>
      </c>
      <c r="Q3212">
        <f>Data!K3228</f>
        <v>0</v>
      </c>
      <c r="R3212">
        <f>Data!L3228</f>
        <v>0</v>
      </c>
      <c r="S3212">
        <f>Data!M3228</f>
        <v>0</v>
      </c>
      <c r="T3212">
        <f>Data!N3228</f>
        <v>0</v>
      </c>
      <c r="U3212">
        <f>Data!O3228</f>
        <v>0</v>
      </c>
      <c r="V3212" s="33">
        <f>Data!P3226</f>
        <v>0</v>
      </c>
    </row>
    <row r="3213" spans="7:22" x14ac:dyDescent="0.25">
      <c r="G3213">
        <f>Data!B3225</f>
        <v>0</v>
      </c>
      <c r="H3213" s="21">
        <f>Data!B3225</f>
        <v>0</v>
      </c>
      <c r="I3213" s="21">
        <f>Data!C3225</f>
        <v>0</v>
      </c>
      <c r="J3213">
        <f>Data!D3225</f>
        <v>0</v>
      </c>
      <c r="K3213">
        <f>Data!E3225</f>
        <v>0</v>
      </c>
      <c r="L3213">
        <f>Data!F3225</f>
        <v>0</v>
      </c>
      <c r="M3213">
        <f>Data!G3225</f>
        <v>0</v>
      </c>
      <c r="N3213">
        <f>Data!H3225</f>
        <v>0</v>
      </c>
      <c r="O3213">
        <f>Data!I3225</f>
        <v>0</v>
      </c>
      <c r="P3213" s="21">
        <f>Data!J3229</f>
        <v>0</v>
      </c>
      <c r="Q3213">
        <f>Data!K3229</f>
        <v>0</v>
      </c>
      <c r="R3213">
        <f>Data!L3229</f>
        <v>0</v>
      </c>
      <c r="S3213">
        <f>Data!M3229</f>
        <v>0</v>
      </c>
      <c r="T3213">
        <f>Data!N3229</f>
        <v>0</v>
      </c>
      <c r="U3213">
        <f>Data!O3229</f>
        <v>0</v>
      </c>
      <c r="V3213" s="33">
        <f>Data!P3227</f>
        <v>0</v>
      </c>
    </row>
    <row r="3214" spans="7:22" x14ac:dyDescent="0.25">
      <c r="G3214">
        <f>Data!B3226</f>
        <v>0</v>
      </c>
      <c r="H3214" s="21">
        <f>Data!B3226</f>
        <v>0</v>
      </c>
      <c r="I3214" s="21">
        <f>Data!C3226</f>
        <v>0</v>
      </c>
      <c r="J3214">
        <f>Data!D3226</f>
        <v>0</v>
      </c>
      <c r="K3214">
        <f>Data!E3226</f>
        <v>0</v>
      </c>
      <c r="L3214">
        <f>Data!F3226</f>
        <v>0</v>
      </c>
      <c r="M3214">
        <f>Data!G3226</f>
        <v>0</v>
      </c>
      <c r="N3214">
        <f>Data!H3226</f>
        <v>0</v>
      </c>
      <c r="O3214">
        <f>Data!I3226</f>
        <v>0</v>
      </c>
      <c r="P3214" s="21">
        <f>Data!J3230</f>
        <v>0</v>
      </c>
      <c r="Q3214">
        <f>Data!K3230</f>
        <v>0</v>
      </c>
      <c r="R3214">
        <f>Data!L3230</f>
        <v>0</v>
      </c>
      <c r="S3214">
        <f>Data!M3230</f>
        <v>0</v>
      </c>
      <c r="T3214">
        <f>Data!N3230</f>
        <v>0</v>
      </c>
      <c r="U3214">
        <f>Data!O3230</f>
        <v>0</v>
      </c>
      <c r="V3214" s="33">
        <f>Data!P3228</f>
        <v>0</v>
      </c>
    </row>
    <row r="3215" spans="7:22" x14ac:dyDescent="0.25">
      <c r="G3215">
        <f>Data!B3227</f>
        <v>0</v>
      </c>
      <c r="H3215" s="21">
        <f>Data!B3227</f>
        <v>0</v>
      </c>
      <c r="I3215" s="21">
        <f>Data!C3227</f>
        <v>0</v>
      </c>
      <c r="J3215">
        <f>Data!D3227</f>
        <v>0</v>
      </c>
      <c r="K3215">
        <f>Data!E3227</f>
        <v>0</v>
      </c>
      <c r="L3215">
        <f>Data!F3227</f>
        <v>0</v>
      </c>
      <c r="M3215">
        <f>Data!G3227</f>
        <v>0</v>
      </c>
      <c r="N3215">
        <f>Data!H3227</f>
        <v>0</v>
      </c>
      <c r="O3215">
        <f>Data!I3227</f>
        <v>0</v>
      </c>
      <c r="P3215" s="21">
        <f>Data!J3231</f>
        <v>0</v>
      </c>
      <c r="Q3215">
        <f>Data!K3231</f>
        <v>0</v>
      </c>
      <c r="R3215">
        <f>Data!L3231</f>
        <v>0</v>
      </c>
      <c r="S3215">
        <f>Data!M3231</f>
        <v>0</v>
      </c>
      <c r="T3215">
        <f>Data!N3231</f>
        <v>0</v>
      </c>
      <c r="U3215">
        <f>Data!O3231</f>
        <v>0</v>
      </c>
      <c r="V3215" s="33">
        <f>Data!P3229</f>
        <v>0</v>
      </c>
    </row>
    <row r="3216" spans="7:22" x14ac:dyDescent="0.25">
      <c r="G3216">
        <f>Data!B3228</f>
        <v>0</v>
      </c>
      <c r="H3216" s="21">
        <f>Data!B3228</f>
        <v>0</v>
      </c>
      <c r="I3216" s="21">
        <f>Data!C3228</f>
        <v>0</v>
      </c>
      <c r="J3216">
        <f>Data!D3228</f>
        <v>0</v>
      </c>
      <c r="K3216">
        <f>Data!E3228</f>
        <v>0</v>
      </c>
      <c r="L3216">
        <f>Data!F3228</f>
        <v>0</v>
      </c>
      <c r="M3216">
        <f>Data!G3228</f>
        <v>0</v>
      </c>
      <c r="N3216">
        <f>Data!H3228</f>
        <v>0</v>
      </c>
      <c r="O3216">
        <f>Data!I3228</f>
        <v>0</v>
      </c>
      <c r="P3216" s="21">
        <f>Data!J3232</f>
        <v>0</v>
      </c>
      <c r="Q3216">
        <f>Data!K3232</f>
        <v>0</v>
      </c>
      <c r="R3216">
        <f>Data!L3232</f>
        <v>0</v>
      </c>
      <c r="S3216">
        <f>Data!M3232</f>
        <v>0</v>
      </c>
      <c r="T3216">
        <f>Data!N3232</f>
        <v>0</v>
      </c>
      <c r="U3216">
        <f>Data!O3232</f>
        <v>0</v>
      </c>
      <c r="V3216" s="33">
        <f>Data!P3230</f>
        <v>0</v>
      </c>
    </row>
    <row r="3217" spans="7:22" x14ac:dyDescent="0.25">
      <c r="G3217">
        <f>Data!B3229</f>
        <v>0</v>
      </c>
      <c r="H3217" s="21">
        <f>Data!B3229</f>
        <v>0</v>
      </c>
      <c r="I3217" s="21">
        <f>Data!C3229</f>
        <v>0</v>
      </c>
      <c r="J3217">
        <f>Data!D3229</f>
        <v>0</v>
      </c>
      <c r="K3217">
        <f>Data!E3229</f>
        <v>0</v>
      </c>
      <c r="L3217">
        <f>Data!F3229</f>
        <v>0</v>
      </c>
      <c r="M3217">
        <f>Data!G3229</f>
        <v>0</v>
      </c>
      <c r="N3217">
        <f>Data!H3229</f>
        <v>0</v>
      </c>
      <c r="O3217">
        <f>Data!I3229</f>
        <v>0</v>
      </c>
      <c r="P3217" s="21">
        <f>Data!J3233</f>
        <v>0</v>
      </c>
      <c r="Q3217">
        <f>Data!K3233</f>
        <v>0</v>
      </c>
      <c r="R3217">
        <f>Data!L3233</f>
        <v>0</v>
      </c>
      <c r="S3217">
        <f>Data!M3233</f>
        <v>0</v>
      </c>
      <c r="T3217">
        <f>Data!N3233</f>
        <v>0</v>
      </c>
      <c r="U3217">
        <f>Data!O3233</f>
        <v>0</v>
      </c>
      <c r="V3217" s="33">
        <f>Data!P3231</f>
        <v>0</v>
      </c>
    </row>
    <row r="3218" spans="7:22" x14ac:dyDescent="0.25">
      <c r="G3218">
        <f>Data!B3230</f>
        <v>0</v>
      </c>
      <c r="H3218" s="21">
        <f>Data!B3230</f>
        <v>0</v>
      </c>
      <c r="I3218" s="21">
        <f>Data!C3230</f>
        <v>0</v>
      </c>
      <c r="J3218">
        <f>Data!D3230</f>
        <v>0</v>
      </c>
      <c r="K3218">
        <f>Data!E3230</f>
        <v>0</v>
      </c>
      <c r="L3218">
        <f>Data!F3230</f>
        <v>0</v>
      </c>
      <c r="M3218">
        <f>Data!G3230</f>
        <v>0</v>
      </c>
      <c r="N3218">
        <f>Data!H3230</f>
        <v>0</v>
      </c>
      <c r="O3218">
        <f>Data!I3230</f>
        <v>0</v>
      </c>
      <c r="P3218" s="21">
        <f>Data!J3234</f>
        <v>0</v>
      </c>
      <c r="Q3218">
        <f>Data!K3234</f>
        <v>0</v>
      </c>
      <c r="R3218">
        <f>Data!L3234</f>
        <v>0</v>
      </c>
      <c r="S3218">
        <f>Data!M3234</f>
        <v>0</v>
      </c>
      <c r="T3218">
        <f>Data!N3234</f>
        <v>0</v>
      </c>
      <c r="U3218">
        <f>Data!O3234</f>
        <v>0</v>
      </c>
      <c r="V3218" s="33">
        <f>Data!P3232</f>
        <v>0</v>
      </c>
    </row>
    <row r="3219" spans="7:22" x14ac:dyDescent="0.25">
      <c r="G3219">
        <f>Data!B3231</f>
        <v>0</v>
      </c>
      <c r="H3219" s="21">
        <f>Data!B3231</f>
        <v>0</v>
      </c>
      <c r="I3219" s="21">
        <f>Data!C3231</f>
        <v>0</v>
      </c>
      <c r="J3219">
        <f>Data!D3231</f>
        <v>0</v>
      </c>
      <c r="K3219">
        <f>Data!E3231</f>
        <v>0</v>
      </c>
      <c r="L3219">
        <f>Data!F3231</f>
        <v>0</v>
      </c>
      <c r="M3219">
        <f>Data!G3231</f>
        <v>0</v>
      </c>
      <c r="N3219">
        <f>Data!H3231</f>
        <v>0</v>
      </c>
      <c r="O3219">
        <f>Data!I3231</f>
        <v>0</v>
      </c>
      <c r="P3219" s="21">
        <f>Data!J3235</f>
        <v>0</v>
      </c>
      <c r="Q3219">
        <f>Data!K3235</f>
        <v>0</v>
      </c>
      <c r="R3219">
        <f>Data!L3235</f>
        <v>0</v>
      </c>
      <c r="S3219">
        <f>Data!M3235</f>
        <v>0</v>
      </c>
      <c r="T3219">
        <f>Data!N3235</f>
        <v>0</v>
      </c>
      <c r="U3219">
        <f>Data!O3235</f>
        <v>0</v>
      </c>
      <c r="V3219" s="33">
        <f>Data!P3233</f>
        <v>0</v>
      </c>
    </row>
    <row r="3220" spans="7:22" x14ac:dyDescent="0.25">
      <c r="G3220">
        <f>Data!B3232</f>
        <v>0</v>
      </c>
      <c r="H3220" s="21">
        <f>Data!B3232</f>
        <v>0</v>
      </c>
      <c r="I3220" s="21">
        <f>Data!C3232</f>
        <v>0</v>
      </c>
      <c r="J3220">
        <f>Data!D3232</f>
        <v>0</v>
      </c>
      <c r="K3220">
        <f>Data!E3232</f>
        <v>0</v>
      </c>
      <c r="L3220">
        <f>Data!F3232</f>
        <v>0</v>
      </c>
      <c r="M3220">
        <f>Data!G3232</f>
        <v>0</v>
      </c>
      <c r="N3220">
        <f>Data!H3232</f>
        <v>0</v>
      </c>
      <c r="O3220">
        <f>Data!I3232</f>
        <v>0</v>
      </c>
      <c r="P3220" s="21">
        <f>Data!J3236</f>
        <v>0</v>
      </c>
      <c r="Q3220">
        <f>Data!K3236</f>
        <v>0</v>
      </c>
      <c r="R3220">
        <f>Data!L3236</f>
        <v>0</v>
      </c>
      <c r="S3220">
        <f>Data!M3236</f>
        <v>0</v>
      </c>
      <c r="T3220">
        <f>Data!N3236</f>
        <v>0</v>
      </c>
      <c r="U3220">
        <f>Data!O3236</f>
        <v>0</v>
      </c>
      <c r="V3220" s="33">
        <f>Data!P3234</f>
        <v>0</v>
      </c>
    </row>
    <row r="3221" spans="7:22" x14ac:dyDescent="0.25">
      <c r="G3221">
        <f>Data!B3233</f>
        <v>0</v>
      </c>
      <c r="H3221" s="21">
        <f>Data!B3233</f>
        <v>0</v>
      </c>
      <c r="I3221" s="21">
        <f>Data!C3233</f>
        <v>0</v>
      </c>
      <c r="J3221">
        <f>Data!D3233</f>
        <v>0</v>
      </c>
      <c r="K3221">
        <f>Data!E3233</f>
        <v>0</v>
      </c>
      <c r="L3221">
        <f>Data!F3233</f>
        <v>0</v>
      </c>
      <c r="M3221">
        <f>Data!G3233</f>
        <v>0</v>
      </c>
      <c r="N3221">
        <f>Data!H3233</f>
        <v>0</v>
      </c>
      <c r="O3221">
        <f>Data!I3233</f>
        <v>0</v>
      </c>
      <c r="P3221" s="21">
        <f>Data!J3237</f>
        <v>0</v>
      </c>
      <c r="Q3221">
        <f>Data!K3237</f>
        <v>0</v>
      </c>
      <c r="R3221">
        <f>Data!L3237</f>
        <v>0</v>
      </c>
      <c r="S3221">
        <f>Data!M3237</f>
        <v>0</v>
      </c>
      <c r="T3221">
        <f>Data!N3237</f>
        <v>0</v>
      </c>
      <c r="U3221">
        <f>Data!O3237</f>
        <v>0</v>
      </c>
      <c r="V3221" s="33">
        <f>Data!P3235</f>
        <v>0</v>
      </c>
    </row>
    <row r="3222" spans="7:22" x14ac:dyDescent="0.25">
      <c r="G3222">
        <f>Data!B3234</f>
        <v>0</v>
      </c>
      <c r="H3222" s="21">
        <f>Data!B3234</f>
        <v>0</v>
      </c>
      <c r="I3222" s="21">
        <f>Data!C3234</f>
        <v>0</v>
      </c>
      <c r="J3222">
        <f>Data!D3234</f>
        <v>0</v>
      </c>
      <c r="K3222">
        <f>Data!E3234</f>
        <v>0</v>
      </c>
      <c r="L3222">
        <f>Data!F3234</f>
        <v>0</v>
      </c>
      <c r="M3222">
        <f>Data!G3234</f>
        <v>0</v>
      </c>
      <c r="N3222">
        <f>Data!H3234</f>
        <v>0</v>
      </c>
      <c r="O3222">
        <f>Data!I3234</f>
        <v>0</v>
      </c>
      <c r="P3222" s="21">
        <f>Data!J3238</f>
        <v>0</v>
      </c>
      <c r="Q3222">
        <f>Data!K3238</f>
        <v>0</v>
      </c>
      <c r="R3222">
        <f>Data!L3238</f>
        <v>0</v>
      </c>
      <c r="S3222">
        <f>Data!M3238</f>
        <v>0</v>
      </c>
      <c r="T3222">
        <f>Data!N3238</f>
        <v>0</v>
      </c>
      <c r="U3222">
        <f>Data!O3238</f>
        <v>0</v>
      </c>
      <c r="V3222" s="33">
        <f>Data!P3236</f>
        <v>0</v>
      </c>
    </row>
    <row r="3223" spans="7:22" x14ac:dyDescent="0.25">
      <c r="G3223">
        <f>Data!B3235</f>
        <v>0</v>
      </c>
      <c r="H3223" s="21">
        <f>Data!B3235</f>
        <v>0</v>
      </c>
      <c r="I3223" s="21">
        <f>Data!C3235</f>
        <v>0</v>
      </c>
      <c r="J3223">
        <f>Data!D3235</f>
        <v>0</v>
      </c>
      <c r="K3223">
        <f>Data!E3235</f>
        <v>0</v>
      </c>
      <c r="L3223">
        <f>Data!F3235</f>
        <v>0</v>
      </c>
      <c r="M3223">
        <f>Data!G3235</f>
        <v>0</v>
      </c>
      <c r="N3223">
        <f>Data!H3235</f>
        <v>0</v>
      </c>
      <c r="O3223">
        <f>Data!I3235</f>
        <v>0</v>
      </c>
      <c r="P3223" s="21">
        <f>Data!J3239</f>
        <v>0</v>
      </c>
      <c r="Q3223">
        <f>Data!K3239</f>
        <v>0</v>
      </c>
      <c r="R3223">
        <f>Data!L3239</f>
        <v>0</v>
      </c>
      <c r="S3223">
        <f>Data!M3239</f>
        <v>0</v>
      </c>
      <c r="T3223">
        <f>Data!N3239</f>
        <v>0</v>
      </c>
      <c r="U3223">
        <f>Data!O3239</f>
        <v>0</v>
      </c>
      <c r="V3223" s="33">
        <f>Data!P3237</f>
        <v>0</v>
      </c>
    </row>
    <row r="3224" spans="7:22" x14ac:dyDescent="0.25">
      <c r="G3224">
        <f>Data!B3236</f>
        <v>0</v>
      </c>
      <c r="H3224" s="21">
        <f>Data!B3236</f>
        <v>0</v>
      </c>
      <c r="I3224" s="21">
        <f>Data!C3236</f>
        <v>0</v>
      </c>
      <c r="J3224">
        <f>Data!D3236</f>
        <v>0</v>
      </c>
      <c r="K3224">
        <f>Data!E3236</f>
        <v>0</v>
      </c>
      <c r="L3224">
        <f>Data!F3236</f>
        <v>0</v>
      </c>
      <c r="M3224">
        <f>Data!G3236</f>
        <v>0</v>
      </c>
      <c r="N3224">
        <f>Data!H3236</f>
        <v>0</v>
      </c>
      <c r="O3224">
        <f>Data!I3236</f>
        <v>0</v>
      </c>
      <c r="P3224" s="21">
        <f>Data!J3240</f>
        <v>0</v>
      </c>
      <c r="Q3224">
        <f>Data!K3240</f>
        <v>0</v>
      </c>
      <c r="R3224">
        <f>Data!L3240</f>
        <v>0</v>
      </c>
      <c r="S3224">
        <f>Data!M3240</f>
        <v>0</v>
      </c>
      <c r="T3224">
        <f>Data!N3240</f>
        <v>0</v>
      </c>
      <c r="U3224">
        <f>Data!O3240</f>
        <v>0</v>
      </c>
      <c r="V3224" s="33">
        <f>Data!P3238</f>
        <v>0</v>
      </c>
    </row>
    <row r="3225" spans="7:22" x14ac:dyDescent="0.25">
      <c r="G3225">
        <f>Data!B3237</f>
        <v>0</v>
      </c>
      <c r="H3225" s="21">
        <f>Data!B3237</f>
        <v>0</v>
      </c>
      <c r="I3225" s="21">
        <f>Data!C3237</f>
        <v>0</v>
      </c>
      <c r="J3225">
        <f>Data!D3237</f>
        <v>0</v>
      </c>
      <c r="K3225">
        <f>Data!E3237</f>
        <v>0</v>
      </c>
      <c r="L3225">
        <f>Data!F3237</f>
        <v>0</v>
      </c>
      <c r="M3225">
        <f>Data!G3237</f>
        <v>0</v>
      </c>
      <c r="N3225">
        <f>Data!H3237</f>
        <v>0</v>
      </c>
      <c r="O3225">
        <f>Data!I3237</f>
        <v>0</v>
      </c>
      <c r="P3225" s="21">
        <f>Data!J3241</f>
        <v>0</v>
      </c>
      <c r="Q3225">
        <f>Data!K3241</f>
        <v>0</v>
      </c>
      <c r="R3225">
        <f>Data!L3241</f>
        <v>0</v>
      </c>
      <c r="S3225">
        <f>Data!M3241</f>
        <v>0</v>
      </c>
      <c r="T3225">
        <f>Data!N3241</f>
        <v>0</v>
      </c>
      <c r="U3225">
        <f>Data!O3241</f>
        <v>0</v>
      </c>
      <c r="V3225" s="33">
        <f>Data!P3239</f>
        <v>0</v>
      </c>
    </row>
    <row r="3226" spans="7:22" x14ac:dyDescent="0.25">
      <c r="G3226">
        <f>Data!B3238</f>
        <v>0</v>
      </c>
      <c r="H3226" s="21">
        <f>Data!B3238</f>
        <v>0</v>
      </c>
      <c r="I3226" s="21">
        <f>Data!C3238</f>
        <v>0</v>
      </c>
      <c r="J3226">
        <f>Data!D3238</f>
        <v>0</v>
      </c>
      <c r="K3226">
        <f>Data!E3238</f>
        <v>0</v>
      </c>
      <c r="L3226">
        <f>Data!F3238</f>
        <v>0</v>
      </c>
      <c r="M3226">
        <f>Data!G3238</f>
        <v>0</v>
      </c>
      <c r="N3226">
        <f>Data!H3238</f>
        <v>0</v>
      </c>
      <c r="O3226">
        <f>Data!I3238</f>
        <v>0</v>
      </c>
      <c r="P3226" s="21">
        <f>Data!J3242</f>
        <v>0</v>
      </c>
      <c r="Q3226">
        <f>Data!K3242</f>
        <v>0</v>
      </c>
      <c r="R3226">
        <f>Data!L3242</f>
        <v>0</v>
      </c>
      <c r="S3226">
        <f>Data!M3242</f>
        <v>0</v>
      </c>
      <c r="T3226">
        <f>Data!N3242</f>
        <v>0</v>
      </c>
      <c r="U3226">
        <f>Data!O3242</f>
        <v>0</v>
      </c>
      <c r="V3226" s="33">
        <f>Data!P3240</f>
        <v>0</v>
      </c>
    </row>
    <row r="3227" spans="7:22" x14ac:dyDescent="0.25">
      <c r="G3227">
        <f>Data!B3239</f>
        <v>0</v>
      </c>
      <c r="H3227" s="21">
        <f>Data!B3239</f>
        <v>0</v>
      </c>
      <c r="I3227" s="21">
        <f>Data!C3239</f>
        <v>0</v>
      </c>
      <c r="J3227">
        <f>Data!D3239</f>
        <v>0</v>
      </c>
      <c r="K3227">
        <f>Data!E3239</f>
        <v>0</v>
      </c>
      <c r="L3227">
        <f>Data!F3239</f>
        <v>0</v>
      </c>
      <c r="M3227">
        <f>Data!G3239</f>
        <v>0</v>
      </c>
      <c r="N3227">
        <f>Data!H3239</f>
        <v>0</v>
      </c>
      <c r="O3227">
        <f>Data!I3239</f>
        <v>0</v>
      </c>
      <c r="P3227" s="21">
        <f>Data!J3243</f>
        <v>0</v>
      </c>
      <c r="Q3227">
        <f>Data!K3243</f>
        <v>0</v>
      </c>
      <c r="R3227">
        <f>Data!L3243</f>
        <v>0</v>
      </c>
      <c r="S3227">
        <f>Data!M3243</f>
        <v>0</v>
      </c>
      <c r="T3227">
        <f>Data!N3243</f>
        <v>0</v>
      </c>
      <c r="U3227">
        <f>Data!O3243</f>
        <v>0</v>
      </c>
      <c r="V3227" s="33">
        <f>Data!P3241</f>
        <v>0</v>
      </c>
    </row>
    <row r="3228" spans="7:22" x14ac:dyDescent="0.25">
      <c r="G3228">
        <f>Data!B3240</f>
        <v>0</v>
      </c>
      <c r="H3228" s="21">
        <f>Data!B3240</f>
        <v>0</v>
      </c>
      <c r="I3228" s="21">
        <f>Data!C3240</f>
        <v>0</v>
      </c>
      <c r="J3228">
        <f>Data!D3240</f>
        <v>0</v>
      </c>
      <c r="K3228">
        <f>Data!E3240</f>
        <v>0</v>
      </c>
      <c r="L3228">
        <f>Data!F3240</f>
        <v>0</v>
      </c>
      <c r="M3228">
        <f>Data!G3240</f>
        <v>0</v>
      </c>
      <c r="N3228">
        <f>Data!H3240</f>
        <v>0</v>
      </c>
      <c r="O3228">
        <f>Data!I3240</f>
        <v>0</v>
      </c>
      <c r="P3228" s="21">
        <f>Data!J3244</f>
        <v>0</v>
      </c>
      <c r="Q3228">
        <f>Data!K3244</f>
        <v>0</v>
      </c>
      <c r="R3228">
        <f>Data!L3244</f>
        <v>0</v>
      </c>
      <c r="S3228">
        <f>Data!M3244</f>
        <v>0</v>
      </c>
      <c r="T3228">
        <f>Data!N3244</f>
        <v>0</v>
      </c>
      <c r="U3228">
        <f>Data!O3244</f>
        <v>0</v>
      </c>
      <c r="V3228" s="33">
        <f>Data!P3242</f>
        <v>0</v>
      </c>
    </row>
    <row r="3229" spans="7:22" x14ac:dyDescent="0.25">
      <c r="G3229">
        <f>Data!B3241</f>
        <v>0</v>
      </c>
      <c r="H3229" s="21">
        <f>Data!B3241</f>
        <v>0</v>
      </c>
      <c r="I3229" s="21">
        <f>Data!C3241</f>
        <v>0</v>
      </c>
      <c r="J3229">
        <f>Data!D3241</f>
        <v>0</v>
      </c>
      <c r="K3229">
        <f>Data!E3241</f>
        <v>0</v>
      </c>
      <c r="L3229">
        <f>Data!F3241</f>
        <v>0</v>
      </c>
      <c r="M3229">
        <f>Data!G3241</f>
        <v>0</v>
      </c>
      <c r="N3229">
        <f>Data!H3241</f>
        <v>0</v>
      </c>
      <c r="O3229">
        <f>Data!I3241</f>
        <v>0</v>
      </c>
      <c r="P3229" s="21">
        <f>Data!J3245</f>
        <v>0</v>
      </c>
      <c r="Q3229">
        <f>Data!K3245</f>
        <v>0</v>
      </c>
      <c r="R3229">
        <f>Data!L3245</f>
        <v>0</v>
      </c>
      <c r="S3229">
        <f>Data!M3245</f>
        <v>0</v>
      </c>
      <c r="T3229">
        <f>Data!N3245</f>
        <v>0</v>
      </c>
      <c r="U3229">
        <f>Data!O3245</f>
        <v>0</v>
      </c>
      <c r="V3229" s="33">
        <f>Data!P3243</f>
        <v>0</v>
      </c>
    </row>
    <row r="3230" spans="7:22" x14ac:dyDescent="0.25">
      <c r="G3230">
        <f>Data!B3242</f>
        <v>0</v>
      </c>
      <c r="H3230" s="21">
        <f>Data!B3242</f>
        <v>0</v>
      </c>
      <c r="I3230" s="21">
        <f>Data!C3242</f>
        <v>0</v>
      </c>
      <c r="J3230">
        <f>Data!D3242</f>
        <v>0</v>
      </c>
      <c r="K3230">
        <f>Data!E3242</f>
        <v>0</v>
      </c>
      <c r="L3230">
        <f>Data!F3242</f>
        <v>0</v>
      </c>
      <c r="M3230">
        <f>Data!G3242</f>
        <v>0</v>
      </c>
      <c r="N3230">
        <f>Data!H3242</f>
        <v>0</v>
      </c>
      <c r="O3230">
        <f>Data!I3242</f>
        <v>0</v>
      </c>
      <c r="P3230" s="21">
        <f>Data!J3246</f>
        <v>0</v>
      </c>
      <c r="Q3230">
        <f>Data!K3246</f>
        <v>0</v>
      </c>
      <c r="R3230">
        <f>Data!L3246</f>
        <v>0</v>
      </c>
      <c r="S3230">
        <f>Data!M3246</f>
        <v>0</v>
      </c>
      <c r="T3230">
        <f>Data!N3246</f>
        <v>0</v>
      </c>
      <c r="U3230">
        <f>Data!O3246</f>
        <v>0</v>
      </c>
      <c r="V3230" s="33">
        <f>Data!P3244</f>
        <v>0</v>
      </c>
    </row>
    <row r="3231" spans="7:22" x14ac:dyDescent="0.25">
      <c r="G3231">
        <f>Data!B3243</f>
        <v>0</v>
      </c>
      <c r="H3231" s="21">
        <f>Data!B3243</f>
        <v>0</v>
      </c>
      <c r="I3231" s="21">
        <f>Data!C3243</f>
        <v>0</v>
      </c>
      <c r="J3231">
        <f>Data!D3243</f>
        <v>0</v>
      </c>
      <c r="K3231">
        <f>Data!E3243</f>
        <v>0</v>
      </c>
      <c r="L3231">
        <f>Data!F3243</f>
        <v>0</v>
      </c>
      <c r="M3231">
        <f>Data!G3243</f>
        <v>0</v>
      </c>
      <c r="N3231">
        <f>Data!H3243</f>
        <v>0</v>
      </c>
      <c r="O3231">
        <f>Data!I3243</f>
        <v>0</v>
      </c>
      <c r="P3231" s="21">
        <f>Data!J3247</f>
        <v>0</v>
      </c>
      <c r="Q3231">
        <f>Data!K3247</f>
        <v>0</v>
      </c>
      <c r="R3231">
        <f>Data!L3247</f>
        <v>0</v>
      </c>
      <c r="S3231">
        <f>Data!M3247</f>
        <v>0</v>
      </c>
      <c r="T3231">
        <f>Data!N3247</f>
        <v>0</v>
      </c>
      <c r="U3231">
        <f>Data!O3247</f>
        <v>0</v>
      </c>
      <c r="V3231" s="33">
        <f>Data!P3245</f>
        <v>0</v>
      </c>
    </row>
    <row r="3232" spans="7:22" x14ac:dyDescent="0.25">
      <c r="G3232">
        <f>Data!B3244</f>
        <v>0</v>
      </c>
      <c r="H3232" s="21">
        <f>Data!B3244</f>
        <v>0</v>
      </c>
      <c r="I3232" s="21">
        <f>Data!C3244</f>
        <v>0</v>
      </c>
      <c r="J3232">
        <f>Data!D3244</f>
        <v>0</v>
      </c>
      <c r="K3232">
        <f>Data!E3244</f>
        <v>0</v>
      </c>
      <c r="L3232">
        <f>Data!F3244</f>
        <v>0</v>
      </c>
      <c r="M3232">
        <f>Data!G3244</f>
        <v>0</v>
      </c>
      <c r="N3232">
        <f>Data!H3244</f>
        <v>0</v>
      </c>
      <c r="O3232">
        <f>Data!I3244</f>
        <v>0</v>
      </c>
      <c r="P3232" s="21">
        <f>Data!J3248</f>
        <v>0</v>
      </c>
      <c r="Q3232">
        <f>Data!K3248</f>
        <v>0</v>
      </c>
      <c r="R3232">
        <f>Data!L3248</f>
        <v>0</v>
      </c>
      <c r="S3232">
        <f>Data!M3248</f>
        <v>0</v>
      </c>
      <c r="T3232">
        <f>Data!N3248</f>
        <v>0</v>
      </c>
      <c r="U3232">
        <f>Data!O3248</f>
        <v>0</v>
      </c>
      <c r="V3232" s="33">
        <f>Data!P3246</f>
        <v>0</v>
      </c>
    </row>
    <row r="3233" spans="7:22" x14ac:dyDescent="0.25">
      <c r="G3233">
        <f>Data!B3245</f>
        <v>0</v>
      </c>
      <c r="H3233" s="21">
        <f>Data!B3245</f>
        <v>0</v>
      </c>
      <c r="I3233" s="21">
        <f>Data!C3245</f>
        <v>0</v>
      </c>
      <c r="J3233">
        <f>Data!D3245</f>
        <v>0</v>
      </c>
      <c r="K3233">
        <f>Data!E3245</f>
        <v>0</v>
      </c>
      <c r="L3233">
        <f>Data!F3245</f>
        <v>0</v>
      </c>
      <c r="M3233">
        <f>Data!G3245</f>
        <v>0</v>
      </c>
      <c r="N3233">
        <f>Data!H3245</f>
        <v>0</v>
      </c>
      <c r="O3233">
        <f>Data!I3245</f>
        <v>0</v>
      </c>
      <c r="P3233" s="21">
        <f>Data!J3249</f>
        <v>0</v>
      </c>
      <c r="Q3233">
        <f>Data!K3249</f>
        <v>0</v>
      </c>
      <c r="R3233">
        <f>Data!L3249</f>
        <v>0</v>
      </c>
      <c r="S3233">
        <f>Data!M3249</f>
        <v>0</v>
      </c>
      <c r="T3233">
        <f>Data!N3249</f>
        <v>0</v>
      </c>
      <c r="U3233">
        <f>Data!O3249</f>
        <v>0</v>
      </c>
      <c r="V3233" s="33">
        <f>Data!P3247</f>
        <v>0</v>
      </c>
    </row>
    <row r="3234" spans="7:22" x14ac:dyDescent="0.25">
      <c r="G3234">
        <f>Data!B3246</f>
        <v>0</v>
      </c>
      <c r="H3234" s="21">
        <f>Data!B3246</f>
        <v>0</v>
      </c>
      <c r="I3234" s="21">
        <f>Data!C3246</f>
        <v>0</v>
      </c>
      <c r="J3234">
        <f>Data!D3246</f>
        <v>0</v>
      </c>
      <c r="K3234">
        <f>Data!E3246</f>
        <v>0</v>
      </c>
      <c r="L3234">
        <f>Data!F3246</f>
        <v>0</v>
      </c>
      <c r="M3234">
        <f>Data!G3246</f>
        <v>0</v>
      </c>
      <c r="N3234">
        <f>Data!H3246</f>
        <v>0</v>
      </c>
      <c r="O3234">
        <f>Data!I3246</f>
        <v>0</v>
      </c>
      <c r="P3234" s="21">
        <f>Data!J3250</f>
        <v>0</v>
      </c>
      <c r="Q3234">
        <f>Data!K3250</f>
        <v>0</v>
      </c>
      <c r="R3234">
        <f>Data!L3250</f>
        <v>0</v>
      </c>
      <c r="S3234">
        <f>Data!M3250</f>
        <v>0</v>
      </c>
      <c r="T3234">
        <f>Data!N3250</f>
        <v>0</v>
      </c>
      <c r="U3234">
        <f>Data!O3250</f>
        <v>0</v>
      </c>
      <c r="V3234" s="33">
        <f>Data!P3248</f>
        <v>0</v>
      </c>
    </row>
    <row r="3235" spans="7:22" x14ac:dyDescent="0.25">
      <c r="G3235">
        <f>Data!B3247</f>
        <v>0</v>
      </c>
      <c r="H3235" s="21">
        <f>Data!B3247</f>
        <v>0</v>
      </c>
      <c r="I3235" s="21">
        <f>Data!C3247</f>
        <v>0</v>
      </c>
      <c r="J3235">
        <f>Data!D3247</f>
        <v>0</v>
      </c>
      <c r="K3235">
        <f>Data!E3247</f>
        <v>0</v>
      </c>
      <c r="L3235">
        <f>Data!F3247</f>
        <v>0</v>
      </c>
      <c r="M3235">
        <f>Data!G3247</f>
        <v>0</v>
      </c>
      <c r="N3235">
        <f>Data!H3247</f>
        <v>0</v>
      </c>
      <c r="O3235">
        <f>Data!I3247</f>
        <v>0</v>
      </c>
      <c r="P3235" s="21">
        <f>Data!J3251</f>
        <v>0</v>
      </c>
      <c r="Q3235">
        <f>Data!K3251</f>
        <v>0</v>
      </c>
      <c r="R3235">
        <f>Data!L3251</f>
        <v>0</v>
      </c>
      <c r="S3235">
        <f>Data!M3251</f>
        <v>0</v>
      </c>
      <c r="T3235">
        <f>Data!N3251</f>
        <v>0</v>
      </c>
      <c r="U3235">
        <f>Data!O3251</f>
        <v>0</v>
      </c>
      <c r="V3235" s="33">
        <f>Data!P3249</f>
        <v>0</v>
      </c>
    </row>
    <row r="3236" spans="7:22" x14ac:dyDescent="0.25">
      <c r="G3236">
        <f>Data!B3248</f>
        <v>0</v>
      </c>
      <c r="H3236" s="21">
        <f>Data!B3248</f>
        <v>0</v>
      </c>
      <c r="I3236" s="21">
        <f>Data!C3248</f>
        <v>0</v>
      </c>
      <c r="J3236">
        <f>Data!D3248</f>
        <v>0</v>
      </c>
      <c r="K3236">
        <f>Data!E3248</f>
        <v>0</v>
      </c>
      <c r="L3236">
        <f>Data!F3248</f>
        <v>0</v>
      </c>
      <c r="M3236">
        <f>Data!G3248</f>
        <v>0</v>
      </c>
      <c r="N3236">
        <f>Data!H3248</f>
        <v>0</v>
      </c>
      <c r="O3236">
        <f>Data!I3248</f>
        <v>0</v>
      </c>
      <c r="P3236" s="21">
        <f>Data!J3252</f>
        <v>0</v>
      </c>
      <c r="Q3236">
        <f>Data!K3252</f>
        <v>0</v>
      </c>
      <c r="R3236">
        <f>Data!L3252</f>
        <v>0</v>
      </c>
      <c r="S3236">
        <f>Data!M3252</f>
        <v>0</v>
      </c>
      <c r="T3236">
        <f>Data!N3252</f>
        <v>0</v>
      </c>
      <c r="U3236">
        <f>Data!O3252</f>
        <v>0</v>
      </c>
      <c r="V3236" s="33">
        <f>Data!P3250</f>
        <v>0</v>
      </c>
    </row>
    <row r="3237" spans="7:22" x14ac:dyDescent="0.25">
      <c r="G3237">
        <f>Data!B3249</f>
        <v>0</v>
      </c>
      <c r="H3237" s="21">
        <f>Data!B3249</f>
        <v>0</v>
      </c>
      <c r="I3237" s="21">
        <f>Data!C3249</f>
        <v>0</v>
      </c>
      <c r="J3237">
        <f>Data!D3249</f>
        <v>0</v>
      </c>
      <c r="K3237">
        <f>Data!E3249</f>
        <v>0</v>
      </c>
      <c r="L3237">
        <f>Data!F3249</f>
        <v>0</v>
      </c>
      <c r="M3237">
        <f>Data!G3249</f>
        <v>0</v>
      </c>
      <c r="N3237">
        <f>Data!H3249</f>
        <v>0</v>
      </c>
      <c r="O3237">
        <f>Data!I3249</f>
        <v>0</v>
      </c>
      <c r="P3237" s="21">
        <f>Data!J3253</f>
        <v>0</v>
      </c>
      <c r="Q3237">
        <f>Data!K3253</f>
        <v>0</v>
      </c>
      <c r="R3237">
        <f>Data!L3253</f>
        <v>0</v>
      </c>
      <c r="S3237">
        <f>Data!M3253</f>
        <v>0</v>
      </c>
      <c r="T3237">
        <f>Data!N3253</f>
        <v>0</v>
      </c>
      <c r="U3237">
        <f>Data!O3253</f>
        <v>0</v>
      </c>
      <c r="V3237" s="33">
        <f>Data!P3251</f>
        <v>0</v>
      </c>
    </row>
    <row r="3238" spans="7:22" x14ac:dyDescent="0.25">
      <c r="G3238">
        <f>Data!B3250</f>
        <v>0</v>
      </c>
      <c r="H3238" s="21">
        <f>Data!B3250</f>
        <v>0</v>
      </c>
      <c r="I3238" s="21">
        <f>Data!C3250</f>
        <v>0</v>
      </c>
      <c r="J3238">
        <f>Data!D3250</f>
        <v>0</v>
      </c>
      <c r="K3238">
        <f>Data!E3250</f>
        <v>0</v>
      </c>
      <c r="L3238">
        <f>Data!F3250</f>
        <v>0</v>
      </c>
      <c r="M3238">
        <f>Data!G3250</f>
        <v>0</v>
      </c>
      <c r="N3238">
        <f>Data!H3250</f>
        <v>0</v>
      </c>
      <c r="O3238">
        <f>Data!I3250</f>
        <v>0</v>
      </c>
      <c r="P3238" s="21">
        <f>Data!J3254</f>
        <v>0</v>
      </c>
      <c r="Q3238">
        <f>Data!K3254</f>
        <v>0</v>
      </c>
      <c r="R3238">
        <f>Data!L3254</f>
        <v>0</v>
      </c>
      <c r="S3238">
        <f>Data!M3254</f>
        <v>0</v>
      </c>
      <c r="T3238">
        <f>Data!N3254</f>
        <v>0</v>
      </c>
      <c r="U3238">
        <f>Data!O3254</f>
        <v>0</v>
      </c>
      <c r="V3238" s="33">
        <f>Data!P3252</f>
        <v>0</v>
      </c>
    </row>
    <row r="3239" spans="7:22" x14ac:dyDescent="0.25">
      <c r="G3239">
        <f>Data!B3251</f>
        <v>0</v>
      </c>
      <c r="H3239" s="21">
        <f>Data!B3251</f>
        <v>0</v>
      </c>
      <c r="I3239" s="21">
        <f>Data!C3251</f>
        <v>0</v>
      </c>
      <c r="J3239">
        <f>Data!D3251</f>
        <v>0</v>
      </c>
      <c r="K3239">
        <f>Data!E3251</f>
        <v>0</v>
      </c>
      <c r="L3239">
        <f>Data!F3251</f>
        <v>0</v>
      </c>
      <c r="M3239">
        <f>Data!G3251</f>
        <v>0</v>
      </c>
      <c r="N3239">
        <f>Data!H3251</f>
        <v>0</v>
      </c>
      <c r="O3239">
        <f>Data!I3251</f>
        <v>0</v>
      </c>
      <c r="P3239" s="21">
        <f>Data!J3255</f>
        <v>0</v>
      </c>
      <c r="Q3239">
        <f>Data!K3255</f>
        <v>0</v>
      </c>
      <c r="R3239">
        <f>Data!L3255</f>
        <v>0</v>
      </c>
      <c r="S3239">
        <f>Data!M3255</f>
        <v>0</v>
      </c>
      <c r="T3239">
        <f>Data!N3255</f>
        <v>0</v>
      </c>
      <c r="U3239">
        <f>Data!O3255</f>
        <v>0</v>
      </c>
      <c r="V3239" s="33">
        <f>Data!P3253</f>
        <v>0</v>
      </c>
    </row>
    <row r="3240" spans="7:22" x14ac:dyDescent="0.25">
      <c r="G3240">
        <f>Data!B3252</f>
        <v>0</v>
      </c>
      <c r="H3240" s="21">
        <f>Data!B3252</f>
        <v>0</v>
      </c>
      <c r="I3240" s="21">
        <f>Data!C3252</f>
        <v>0</v>
      </c>
      <c r="J3240">
        <f>Data!D3252</f>
        <v>0</v>
      </c>
      <c r="K3240">
        <f>Data!E3252</f>
        <v>0</v>
      </c>
      <c r="L3240">
        <f>Data!F3252</f>
        <v>0</v>
      </c>
      <c r="M3240">
        <f>Data!G3252</f>
        <v>0</v>
      </c>
      <c r="N3240">
        <f>Data!H3252</f>
        <v>0</v>
      </c>
      <c r="O3240">
        <f>Data!I3252</f>
        <v>0</v>
      </c>
      <c r="P3240" s="21">
        <f>Data!J3256</f>
        <v>0</v>
      </c>
      <c r="Q3240">
        <f>Data!K3256</f>
        <v>0</v>
      </c>
      <c r="R3240">
        <f>Data!L3256</f>
        <v>0</v>
      </c>
      <c r="S3240">
        <f>Data!M3256</f>
        <v>0</v>
      </c>
      <c r="T3240">
        <f>Data!N3256</f>
        <v>0</v>
      </c>
      <c r="U3240">
        <f>Data!O3256</f>
        <v>0</v>
      </c>
      <c r="V3240" s="33">
        <f>Data!P3254</f>
        <v>0</v>
      </c>
    </row>
    <row r="3241" spans="7:22" x14ac:dyDescent="0.25">
      <c r="G3241">
        <f>Data!B3253</f>
        <v>0</v>
      </c>
      <c r="H3241" s="21">
        <f>Data!B3253</f>
        <v>0</v>
      </c>
      <c r="I3241" s="21">
        <f>Data!C3253</f>
        <v>0</v>
      </c>
      <c r="J3241">
        <f>Data!D3253</f>
        <v>0</v>
      </c>
      <c r="K3241">
        <f>Data!E3253</f>
        <v>0</v>
      </c>
      <c r="L3241">
        <f>Data!F3253</f>
        <v>0</v>
      </c>
      <c r="M3241">
        <f>Data!G3253</f>
        <v>0</v>
      </c>
      <c r="N3241">
        <f>Data!H3253</f>
        <v>0</v>
      </c>
      <c r="O3241">
        <f>Data!I3253</f>
        <v>0</v>
      </c>
      <c r="P3241" s="21">
        <f>Data!J3257</f>
        <v>0</v>
      </c>
      <c r="Q3241">
        <f>Data!K3257</f>
        <v>0</v>
      </c>
      <c r="R3241">
        <f>Data!L3257</f>
        <v>0</v>
      </c>
      <c r="S3241">
        <f>Data!M3257</f>
        <v>0</v>
      </c>
      <c r="T3241">
        <f>Data!N3257</f>
        <v>0</v>
      </c>
      <c r="U3241">
        <f>Data!O3257</f>
        <v>0</v>
      </c>
      <c r="V3241" s="33">
        <f>Data!P3255</f>
        <v>0</v>
      </c>
    </row>
    <row r="3242" spans="7:22" x14ac:dyDescent="0.25">
      <c r="G3242">
        <f>Data!B3254</f>
        <v>0</v>
      </c>
      <c r="H3242" s="21">
        <f>Data!B3254</f>
        <v>0</v>
      </c>
      <c r="I3242" s="21">
        <f>Data!C3254</f>
        <v>0</v>
      </c>
      <c r="J3242">
        <f>Data!D3254</f>
        <v>0</v>
      </c>
      <c r="K3242">
        <f>Data!E3254</f>
        <v>0</v>
      </c>
      <c r="L3242">
        <f>Data!F3254</f>
        <v>0</v>
      </c>
      <c r="M3242">
        <f>Data!G3254</f>
        <v>0</v>
      </c>
      <c r="N3242">
        <f>Data!H3254</f>
        <v>0</v>
      </c>
      <c r="O3242">
        <f>Data!I3254</f>
        <v>0</v>
      </c>
      <c r="P3242" s="21">
        <f>Data!J3258</f>
        <v>0</v>
      </c>
      <c r="Q3242">
        <f>Data!K3258</f>
        <v>0</v>
      </c>
      <c r="R3242">
        <f>Data!L3258</f>
        <v>0</v>
      </c>
      <c r="S3242">
        <f>Data!M3258</f>
        <v>0</v>
      </c>
      <c r="T3242">
        <f>Data!N3258</f>
        <v>0</v>
      </c>
      <c r="U3242">
        <f>Data!O3258</f>
        <v>0</v>
      </c>
      <c r="V3242" s="33">
        <f>Data!P3256</f>
        <v>0</v>
      </c>
    </row>
    <row r="3243" spans="7:22" x14ac:dyDescent="0.25">
      <c r="G3243">
        <f>Data!B3255</f>
        <v>0</v>
      </c>
      <c r="H3243" s="21">
        <f>Data!B3255</f>
        <v>0</v>
      </c>
      <c r="I3243" s="21">
        <f>Data!C3255</f>
        <v>0</v>
      </c>
      <c r="J3243">
        <f>Data!D3255</f>
        <v>0</v>
      </c>
      <c r="K3243">
        <f>Data!E3255</f>
        <v>0</v>
      </c>
      <c r="L3243">
        <f>Data!F3255</f>
        <v>0</v>
      </c>
      <c r="M3243">
        <f>Data!G3255</f>
        <v>0</v>
      </c>
      <c r="N3243">
        <f>Data!H3255</f>
        <v>0</v>
      </c>
      <c r="O3243">
        <f>Data!I3255</f>
        <v>0</v>
      </c>
      <c r="P3243" s="21">
        <f>Data!J3259</f>
        <v>0</v>
      </c>
      <c r="Q3243">
        <f>Data!K3259</f>
        <v>0</v>
      </c>
      <c r="R3243">
        <f>Data!L3259</f>
        <v>0</v>
      </c>
      <c r="S3243">
        <f>Data!M3259</f>
        <v>0</v>
      </c>
      <c r="T3243">
        <f>Data!N3259</f>
        <v>0</v>
      </c>
      <c r="U3243">
        <f>Data!O3259</f>
        <v>0</v>
      </c>
      <c r="V3243" s="33">
        <f>Data!P3257</f>
        <v>0</v>
      </c>
    </row>
    <row r="3244" spans="7:22" x14ac:dyDescent="0.25">
      <c r="G3244">
        <f>Data!B3256</f>
        <v>0</v>
      </c>
      <c r="H3244" s="21">
        <f>Data!B3256</f>
        <v>0</v>
      </c>
      <c r="I3244" s="21">
        <f>Data!C3256</f>
        <v>0</v>
      </c>
      <c r="J3244">
        <f>Data!D3256</f>
        <v>0</v>
      </c>
      <c r="K3244">
        <f>Data!E3256</f>
        <v>0</v>
      </c>
      <c r="L3244">
        <f>Data!F3256</f>
        <v>0</v>
      </c>
      <c r="M3244">
        <f>Data!G3256</f>
        <v>0</v>
      </c>
      <c r="N3244">
        <f>Data!H3256</f>
        <v>0</v>
      </c>
      <c r="O3244">
        <f>Data!I3256</f>
        <v>0</v>
      </c>
      <c r="P3244" s="21">
        <f>Data!J3260</f>
        <v>0</v>
      </c>
      <c r="Q3244">
        <f>Data!K3260</f>
        <v>0</v>
      </c>
      <c r="R3244">
        <f>Data!L3260</f>
        <v>0</v>
      </c>
      <c r="S3244">
        <f>Data!M3260</f>
        <v>0</v>
      </c>
      <c r="T3244">
        <f>Data!N3260</f>
        <v>0</v>
      </c>
      <c r="U3244">
        <f>Data!O3260</f>
        <v>0</v>
      </c>
      <c r="V3244" s="33">
        <f>Data!P3258</f>
        <v>0</v>
      </c>
    </row>
    <row r="3245" spans="7:22" x14ac:dyDescent="0.25">
      <c r="G3245">
        <f>Data!B3257</f>
        <v>0</v>
      </c>
      <c r="H3245" s="21">
        <f>Data!B3257</f>
        <v>0</v>
      </c>
      <c r="I3245" s="21">
        <f>Data!C3257</f>
        <v>0</v>
      </c>
      <c r="J3245">
        <f>Data!D3257</f>
        <v>0</v>
      </c>
      <c r="K3245">
        <f>Data!E3257</f>
        <v>0</v>
      </c>
      <c r="L3245">
        <f>Data!F3257</f>
        <v>0</v>
      </c>
      <c r="M3245">
        <f>Data!G3257</f>
        <v>0</v>
      </c>
      <c r="N3245">
        <f>Data!H3257</f>
        <v>0</v>
      </c>
      <c r="O3245">
        <f>Data!I3257</f>
        <v>0</v>
      </c>
      <c r="P3245" s="21">
        <f>Data!J3261</f>
        <v>0</v>
      </c>
      <c r="Q3245">
        <f>Data!K3261</f>
        <v>0</v>
      </c>
      <c r="R3245">
        <f>Data!L3261</f>
        <v>0</v>
      </c>
      <c r="S3245">
        <f>Data!M3261</f>
        <v>0</v>
      </c>
      <c r="T3245">
        <f>Data!N3261</f>
        <v>0</v>
      </c>
      <c r="U3245">
        <f>Data!O3261</f>
        <v>0</v>
      </c>
      <c r="V3245" s="33">
        <f>Data!P3259</f>
        <v>0</v>
      </c>
    </row>
    <row r="3246" spans="7:22" x14ac:dyDescent="0.25">
      <c r="G3246">
        <f>Data!B3258</f>
        <v>0</v>
      </c>
      <c r="H3246" s="21">
        <f>Data!B3258</f>
        <v>0</v>
      </c>
      <c r="I3246" s="21">
        <f>Data!C3258</f>
        <v>0</v>
      </c>
      <c r="J3246">
        <f>Data!D3258</f>
        <v>0</v>
      </c>
      <c r="K3246">
        <f>Data!E3258</f>
        <v>0</v>
      </c>
      <c r="L3246">
        <f>Data!F3258</f>
        <v>0</v>
      </c>
      <c r="M3246">
        <f>Data!G3258</f>
        <v>0</v>
      </c>
      <c r="N3246">
        <f>Data!H3258</f>
        <v>0</v>
      </c>
      <c r="O3246">
        <f>Data!I3258</f>
        <v>0</v>
      </c>
      <c r="P3246" s="21">
        <f>Data!J3262</f>
        <v>0</v>
      </c>
      <c r="Q3246">
        <f>Data!K3262</f>
        <v>0</v>
      </c>
      <c r="R3246">
        <f>Data!L3262</f>
        <v>0</v>
      </c>
      <c r="S3246">
        <f>Data!M3262</f>
        <v>0</v>
      </c>
      <c r="T3246">
        <f>Data!N3262</f>
        <v>0</v>
      </c>
      <c r="U3246">
        <f>Data!O3262</f>
        <v>0</v>
      </c>
      <c r="V3246" s="33">
        <f>Data!P3260</f>
        <v>0</v>
      </c>
    </row>
    <row r="3247" spans="7:22" x14ac:dyDescent="0.25">
      <c r="G3247">
        <f>Data!B3259</f>
        <v>0</v>
      </c>
      <c r="H3247" s="21">
        <f>Data!B3259</f>
        <v>0</v>
      </c>
      <c r="I3247" s="21">
        <f>Data!C3259</f>
        <v>0</v>
      </c>
      <c r="J3247">
        <f>Data!D3259</f>
        <v>0</v>
      </c>
      <c r="K3247">
        <f>Data!E3259</f>
        <v>0</v>
      </c>
      <c r="L3247">
        <f>Data!F3259</f>
        <v>0</v>
      </c>
      <c r="M3247">
        <f>Data!G3259</f>
        <v>0</v>
      </c>
      <c r="N3247">
        <f>Data!H3259</f>
        <v>0</v>
      </c>
      <c r="O3247">
        <f>Data!I3259</f>
        <v>0</v>
      </c>
      <c r="P3247" s="21">
        <f>Data!J3263</f>
        <v>0</v>
      </c>
      <c r="Q3247">
        <f>Data!K3263</f>
        <v>0</v>
      </c>
      <c r="R3247">
        <f>Data!L3263</f>
        <v>0</v>
      </c>
      <c r="S3247">
        <f>Data!M3263</f>
        <v>0</v>
      </c>
      <c r="T3247">
        <f>Data!N3263</f>
        <v>0</v>
      </c>
      <c r="U3247">
        <f>Data!O3263</f>
        <v>0</v>
      </c>
      <c r="V3247" s="33">
        <f>Data!P3261</f>
        <v>0</v>
      </c>
    </row>
    <row r="3248" spans="7:22" x14ac:dyDescent="0.25">
      <c r="G3248">
        <f>Data!B3260</f>
        <v>0</v>
      </c>
      <c r="H3248" s="21">
        <f>Data!B3260</f>
        <v>0</v>
      </c>
      <c r="I3248" s="21">
        <f>Data!C3260</f>
        <v>0</v>
      </c>
      <c r="J3248">
        <f>Data!D3260</f>
        <v>0</v>
      </c>
      <c r="K3248">
        <f>Data!E3260</f>
        <v>0</v>
      </c>
      <c r="L3248">
        <f>Data!F3260</f>
        <v>0</v>
      </c>
      <c r="M3248">
        <f>Data!G3260</f>
        <v>0</v>
      </c>
      <c r="N3248">
        <f>Data!H3260</f>
        <v>0</v>
      </c>
      <c r="O3248">
        <f>Data!I3260</f>
        <v>0</v>
      </c>
      <c r="P3248" s="21">
        <f>Data!J3264</f>
        <v>0</v>
      </c>
      <c r="Q3248">
        <f>Data!K3264</f>
        <v>0</v>
      </c>
      <c r="R3248">
        <f>Data!L3264</f>
        <v>0</v>
      </c>
      <c r="S3248">
        <f>Data!M3264</f>
        <v>0</v>
      </c>
      <c r="T3248">
        <f>Data!N3264</f>
        <v>0</v>
      </c>
      <c r="U3248">
        <f>Data!O3264</f>
        <v>0</v>
      </c>
      <c r="V3248" s="33">
        <f>Data!P3262</f>
        <v>0</v>
      </c>
    </row>
    <row r="3249" spans="7:22" x14ac:dyDescent="0.25">
      <c r="G3249">
        <f>Data!B3261</f>
        <v>0</v>
      </c>
      <c r="H3249" s="21">
        <f>Data!B3261</f>
        <v>0</v>
      </c>
      <c r="I3249" s="21">
        <f>Data!C3261</f>
        <v>0</v>
      </c>
      <c r="J3249">
        <f>Data!D3261</f>
        <v>0</v>
      </c>
      <c r="K3249">
        <f>Data!E3261</f>
        <v>0</v>
      </c>
      <c r="L3249">
        <f>Data!F3261</f>
        <v>0</v>
      </c>
      <c r="M3249">
        <f>Data!G3261</f>
        <v>0</v>
      </c>
      <c r="N3249">
        <f>Data!H3261</f>
        <v>0</v>
      </c>
      <c r="O3249">
        <f>Data!I3261</f>
        <v>0</v>
      </c>
      <c r="P3249" s="21">
        <f>Data!J3265</f>
        <v>0</v>
      </c>
      <c r="Q3249">
        <f>Data!K3265</f>
        <v>0</v>
      </c>
      <c r="R3249">
        <f>Data!L3265</f>
        <v>0</v>
      </c>
      <c r="S3249">
        <f>Data!M3265</f>
        <v>0</v>
      </c>
      <c r="T3249">
        <f>Data!N3265</f>
        <v>0</v>
      </c>
      <c r="U3249">
        <f>Data!O3265</f>
        <v>0</v>
      </c>
      <c r="V3249" s="33">
        <f>Data!P3263</f>
        <v>0</v>
      </c>
    </row>
    <row r="3250" spans="7:22" x14ac:dyDescent="0.25">
      <c r="G3250">
        <f>Data!B3262</f>
        <v>0</v>
      </c>
      <c r="H3250" s="21">
        <f>Data!B3262</f>
        <v>0</v>
      </c>
      <c r="I3250" s="21">
        <f>Data!C3262</f>
        <v>0</v>
      </c>
      <c r="J3250">
        <f>Data!D3262</f>
        <v>0</v>
      </c>
      <c r="K3250">
        <f>Data!E3262</f>
        <v>0</v>
      </c>
      <c r="L3250">
        <f>Data!F3262</f>
        <v>0</v>
      </c>
      <c r="M3250">
        <f>Data!G3262</f>
        <v>0</v>
      </c>
      <c r="N3250">
        <f>Data!H3262</f>
        <v>0</v>
      </c>
      <c r="O3250">
        <f>Data!I3262</f>
        <v>0</v>
      </c>
      <c r="P3250" s="21">
        <f>Data!J3266</f>
        <v>0</v>
      </c>
      <c r="Q3250">
        <f>Data!K3266</f>
        <v>0</v>
      </c>
      <c r="R3250">
        <f>Data!L3266</f>
        <v>0</v>
      </c>
      <c r="S3250">
        <f>Data!M3266</f>
        <v>0</v>
      </c>
      <c r="T3250">
        <f>Data!N3266</f>
        <v>0</v>
      </c>
      <c r="U3250">
        <f>Data!O3266</f>
        <v>0</v>
      </c>
      <c r="V3250" s="33">
        <f>Data!P3264</f>
        <v>0</v>
      </c>
    </row>
    <row r="3251" spans="7:22" x14ac:dyDescent="0.25">
      <c r="G3251">
        <f>Data!B3263</f>
        <v>0</v>
      </c>
      <c r="H3251" s="21">
        <f>Data!B3263</f>
        <v>0</v>
      </c>
      <c r="I3251" s="21">
        <f>Data!C3263</f>
        <v>0</v>
      </c>
      <c r="J3251">
        <f>Data!D3263</f>
        <v>0</v>
      </c>
      <c r="K3251">
        <f>Data!E3263</f>
        <v>0</v>
      </c>
      <c r="L3251">
        <f>Data!F3263</f>
        <v>0</v>
      </c>
      <c r="M3251">
        <f>Data!G3263</f>
        <v>0</v>
      </c>
      <c r="N3251">
        <f>Data!H3263</f>
        <v>0</v>
      </c>
      <c r="O3251">
        <f>Data!I3263</f>
        <v>0</v>
      </c>
      <c r="P3251" s="21">
        <f>Data!J3267</f>
        <v>0</v>
      </c>
      <c r="Q3251">
        <f>Data!K3267</f>
        <v>0</v>
      </c>
      <c r="R3251">
        <f>Data!L3267</f>
        <v>0</v>
      </c>
      <c r="S3251">
        <f>Data!M3267</f>
        <v>0</v>
      </c>
      <c r="T3251">
        <f>Data!N3267</f>
        <v>0</v>
      </c>
      <c r="U3251">
        <f>Data!O3267</f>
        <v>0</v>
      </c>
      <c r="V3251" s="33">
        <f>Data!P3265</f>
        <v>0</v>
      </c>
    </row>
    <row r="3252" spans="7:22" x14ac:dyDescent="0.25">
      <c r="G3252">
        <f>Data!B3264</f>
        <v>0</v>
      </c>
      <c r="H3252" s="21">
        <f>Data!B3264</f>
        <v>0</v>
      </c>
      <c r="I3252" s="21">
        <f>Data!C3264</f>
        <v>0</v>
      </c>
      <c r="J3252">
        <f>Data!D3264</f>
        <v>0</v>
      </c>
      <c r="K3252">
        <f>Data!E3264</f>
        <v>0</v>
      </c>
      <c r="L3252">
        <f>Data!F3264</f>
        <v>0</v>
      </c>
      <c r="M3252">
        <f>Data!G3264</f>
        <v>0</v>
      </c>
      <c r="N3252">
        <f>Data!H3264</f>
        <v>0</v>
      </c>
      <c r="O3252">
        <f>Data!I3264</f>
        <v>0</v>
      </c>
      <c r="P3252" s="21">
        <f>Data!J3268</f>
        <v>0</v>
      </c>
      <c r="Q3252">
        <f>Data!K3268</f>
        <v>0</v>
      </c>
      <c r="R3252">
        <f>Data!L3268</f>
        <v>0</v>
      </c>
      <c r="S3252">
        <f>Data!M3268</f>
        <v>0</v>
      </c>
      <c r="T3252">
        <f>Data!N3268</f>
        <v>0</v>
      </c>
      <c r="U3252">
        <f>Data!O3268</f>
        <v>0</v>
      </c>
      <c r="V3252" s="33">
        <f>Data!P3266</f>
        <v>0</v>
      </c>
    </row>
    <row r="3253" spans="7:22" x14ac:dyDescent="0.25">
      <c r="G3253">
        <f>Data!B3265</f>
        <v>0</v>
      </c>
      <c r="H3253" s="21">
        <f>Data!B3265</f>
        <v>0</v>
      </c>
      <c r="I3253" s="21">
        <f>Data!C3265</f>
        <v>0</v>
      </c>
      <c r="J3253">
        <f>Data!D3265</f>
        <v>0</v>
      </c>
      <c r="K3253">
        <f>Data!E3265</f>
        <v>0</v>
      </c>
      <c r="L3253">
        <f>Data!F3265</f>
        <v>0</v>
      </c>
      <c r="M3253">
        <f>Data!G3265</f>
        <v>0</v>
      </c>
      <c r="N3253">
        <f>Data!H3265</f>
        <v>0</v>
      </c>
      <c r="O3253">
        <f>Data!I3265</f>
        <v>0</v>
      </c>
      <c r="P3253" s="21">
        <f>Data!J3269</f>
        <v>0</v>
      </c>
      <c r="Q3253">
        <f>Data!K3269</f>
        <v>0</v>
      </c>
      <c r="R3253">
        <f>Data!L3269</f>
        <v>0</v>
      </c>
      <c r="S3253">
        <f>Data!M3269</f>
        <v>0</v>
      </c>
      <c r="T3253">
        <f>Data!N3269</f>
        <v>0</v>
      </c>
      <c r="U3253">
        <f>Data!O3269</f>
        <v>0</v>
      </c>
      <c r="V3253" s="33">
        <f>Data!P3267</f>
        <v>0</v>
      </c>
    </row>
    <row r="3254" spans="7:22" x14ac:dyDescent="0.25">
      <c r="G3254">
        <f>Data!B3266</f>
        <v>0</v>
      </c>
      <c r="H3254" s="21">
        <f>Data!B3266</f>
        <v>0</v>
      </c>
      <c r="I3254" s="21">
        <f>Data!C3266</f>
        <v>0</v>
      </c>
      <c r="J3254">
        <f>Data!D3266</f>
        <v>0</v>
      </c>
      <c r="K3254">
        <f>Data!E3266</f>
        <v>0</v>
      </c>
      <c r="L3254">
        <f>Data!F3266</f>
        <v>0</v>
      </c>
      <c r="M3254">
        <f>Data!G3266</f>
        <v>0</v>
      </c>
      <c r="N3254">
        <f>Data!H3266</f>
        <v>0</v>
      </c>
      <c r="O3254">
        <f>Data!I3266</f>
        <v>0</v>
      </c>
      <c r="P3254" s="21">
        <f>Data!J3270</f>
        <v>0</v>
      </c>
      <c r="Q3254">
        <f>Data!K3270</f>
        <v>0</v>
      </c>
      <c r="R3254">
        <f>Data!L3270</f>
        <v>0</v>
      </c>
      <c r="S3254">
        <f>Data!M3270</f>
        <v>0</v>
      </c>
      <c r="T3254">
        <f>Data!N3270</f>
        <v>0</v>
      </c>
      <c r="U3254">
        <f>Data!O3270</f>
        <v>0</v>
      </c>
      <c r="V3254" s="33">
        <f>Data!P3268</f>
        <v>0</v>
      </c>
    </row>
    <row r="3255" spans="7:22" x14ac:dyDescent="0.25">
      <c r="G3255">
        <f>Data!B3267</f>
        <v>0</v>
      </c>
      <c r="H3255" s="21">
        <f>Data!B3267</f>
        <v>0</v>
      </c>
      <c r="I3255" s="21">
        <f>Data!C3267</f>
        <v>0</v>
      </c>
      <c r="J3255">
        <f>Data!D3267</f>
        <v>0</v>
      </c>
      <c r="K3255">
        <f>Data!E3267</f>
        <v>0</v>
      </c>
      <c r="L3255">
        <f>Data!F3267</f>
        <v>0</v>
      </c>
      <c r="M3255">
        <f>Data!G3267</f>
        <v>0</v>
      </c>
      <c r="N3255">
        <f>Data!H3267</f>
        <v>0</v>
      </c>
      <c r="O3255">
        <f>Data!I3267</f>
        <v>0</v>
      </c>
      <c r="P3255" s="21">
        <f>Data!J3271</f>
        <v>0</v>
      </c>
      <c r="Q3255">
        <f>Data!K3271</f>
        <v>0</v>
      </c>
      <c r="R3255">
        <f>Data!L3271</f>
        <v>0</v>
      </c>
      <c r="S3255">
        <f>Data!M3271</f>
        <v>0</v>
      </c>
      <c r="T3255">
        <f>Data!N3271</f>
        <v>0</v>
      </c>
      <c r="U3255">
        <f>Data!O3271</f>
        <v>0</v>
      </c>
      <c r="V3255" s="33">
        <f>Data!P3269</f>
        <v>0</v>
      </c>
    </row>
    <row r="3256" spans="7:22" x14ac:dyDescent="0.25">
      <c r="G3256">
        <f>Data!B3268</f>
        <v>0</v>
      </c>
      <c r="H3256" s="21">
        <f>Data!B3268</f>
        <v>0</v>
      </c>
      <c r="I3256" s="21">
        <f>Data!C3268</f>
        <v>0</v>
      </c>
      <c r="J3256">
        <f>Data!D3268</f>
        <v>0</v>
      </c>
      <c r="K3256">
        <f>Data!E3268</f>
        <v>0</v>
      </c>
      <c r="L3256">
        <f>Data!F3268</f>
        <v>0</v>
      </c>
      <c r="M3256">
        <f>Data!G3268</f>
        <v>0</v>
      </c>
      <c r="N3256">
        <f>Data!H3268</f>
        <v>0</v>
      </c>
      <c r="O3256">
        <f>Data!I3268</f>
        <v>0</v>
      </c>
      <c r="P3256" s="21">
        <f>Data!J3272</f>
        <v>0</v>
      </c>
      <c r="Q3256">
        <f>Data!K3272</f>
        <v>0</v>
      </c>
      <c r="R3256">
        <f>Data!L3272</f>
        <v>0</v>
      </c>
      <c r="S3256">
        <f>Data!M3272</f>
        <v>0</v>
      </c>
      <c r="T3256">
        <f>Data!N3272</f>
        <v>0</v>
      </c>
      <c r="U3256">
        <f>Data!O3272</f>
        <v>0</v>
      </c>
      <c r="V3256" s="33">
        <f>Data!P3270</f>
        <v>0</v>
      </c>
    </row>
    <row r="3257" spans="7:22" x14ac:dyDescent="0.25">
      <c r="G3257">
        <f>Data!B3269</f>
        <v>0</v>
      </c>
      <c r="H3257" s="21">
        <f>Data!B3269</f>
        <v>0</v>
      </c>
      <c r="I3257" s="21">
        <f>Data!C3269</f>
        <v>0</v>
      </c>
      <c r="J3257">
        <f>Data!D3269</f>
        <v>0</v>
      </c>
      <c r="K3257">
        <f>Data!E3269</f>
        <v>0</v>
      </c>
      <c r="L3257">
        <f>Data!F3269</f>
        <v>0</v>
      </c>
      <c r="M3257">
        <f>Data!G3269</f>
        <v>0</v>
      </c>
      <c r="N3257">
        <f>Data!H3269</f>
        <v>0</v>
      </c>
      <c r="O3257">
        <f>Data!I3269</f>
        <v>0</v>
      </c>
      <c r="P3257" s="21">
        <f>Data!J3273</f>
        <v>0</v>
      </c>
      <c r="Q3257">
        <f>Data!K3273</f>
        <v>0</v>
      </c>
      <c r="R3257">
        <f>Data!L3273</f>
        <v>0</v>
      </c>
      <c r="S3257">
        <f>Data!M3273</f>
        <v>0</v>
      </c>
      <c r="T3257">
        <f>Data!N3273</f>
        <v>0</v>
      </c>
      <c r="U3257">
        <f>Data!O3273</f>
        <v>0</v>
      </c>
      <c r="V3257" s="33">
        <f>Data!P3271</f>
        <v>0</v>
      </c>
    </row>
    <row r="3258" spans="7:22" x14ac:dyDescent="0.25">
      <c r="G3258">
        <f>Data!B3270</f>
        <v>0</v>
      </c>
      <c r="H3258" s="21">
        <f>Data!B3270</f>
        <v>0</v>
      </c>
      <c r="I3258" s="21">
        <f>Data!C3270</f>
        <v>0</v>
      </c>
      <c r="J3258">
        <f>Data!D3270</f>
        <v>0</v>
      </c>
      <c r="K3258">
        <f>Data!E3270</f>
        <v>0</v>
      </c>
      <c r="L3258">
        <f>Data!F3270</f>
        <v>0</v>
      </c>
      <c r="M3258">
        <f>Data!G3270</f>
        <v>0</v>
      </c>
      <c r="N3258">
        <f>Data!H3270</f>
        <v>0</v>
      </c>
      <c r="O3258">
        <f>Data!I3270</f>
        <v>0</v>
      </c>
      <c r="P3258" s="21">
        <f>Data!J3274</f>
        <v>0</v>
      </c>
      <c r="Q3258">
        <f>Data!K3274</f>
        <v>0</v>
      </c>
      <c r="R3258">
        <f>Data!L3274</f>
        <v>0</v>
      </c>
      <c r="S3258">
        <f>Data!M3274</f>
        <v>0</v>
      </c>
      <c r="T3258">
        <f>Data!N3274</f>
        <v>0</v>
      </c>
      <c r="U3258">
        <f>Data!O3274</f>
        <v>0</v>
      </c>
      <c r="V3258" s="33">
        <f>Data!P3272</f>
        <v>0</v>
      </c>
    </row>
    <row r="3259" spans="7:22" x14ac:dyDescent="0.25">
      <c r="G3259">
        <f>Data!B3271</f>
        <v>0</v>
      </c>
      <c r="H3259" s="21">
        <f>Data!B3271</f>
        <v>0</v>
      </c>
      <c r="I3259" s="21">
        <f>Data!C3271</f>
        <v>0</v>
      </c>
      <c r="J3259">
        <f>Data!D3271</f>
        <v>0</v>
      </c>
      <c r="K3259">
        <f>Data!E3271</f>
        <v>0</v>
      </c>
      <c r="L3259">
        <f>Data!F3271</f>
        <v>0</v>
      </c>
      <c r="M3259">
        <f>Data!G3271</f>
        <v>0</v>
      </c>
      <c r="N3259">
        <f>Data!H3271</f>
        <v>0</v>
      </c>
      <c r="O3259">
        <f>Data!I3271</f>
        <v>0</v>
      </c>
      <c r="P3259" s="21">
        <f>Data!J3275</f>
        <v>0</v>
      </c>
      <c r="Q3259">
        <f>Data!K3275</f>
        <v>0</v>
      </c>
      <c r="R3259">
        <f>Data!L3275</f>
        <v>0</v>
      </c>
      <c r="S3259">
        <f>Data!M3275</f>
        <v>0</v>
      </c>
      <c r="T3259">
        <f>Data!N3275</f>
        <v>0</v>
      </c>
      <c r="U3259">
        <f>Data!O3275</f>
        <v>0</v>
      </c>
      <c r="V3259" s="33">
        <f>Data!P3273</f>
        <v>0</v>
      </c>
    </row>
    <row r="3260" spans="7:22" x14ac:dyDescent="0.25">
      <c r="G3260">
        <f>Data!B3272</f>
        <v>0</v>
      </c>
      <c r="H3260" s="21">
        <f>Data!B3272</f>
        <v>0</v>
      </c>
      <c r="I3260" s="21">
        <f>Data!C3272</f>
        <v>0</v>
      </c>
      <c r="J3260">
        <f>Data!D3272</f>
        <v>0</v>
      </c>
      <c r="K3260">
        <f>Data!E3272</f>
        <v>0</v>
      </c>
      <c r="L3260">
        <f>Data!F3272</f>
        <v>0</v>
      </c>
      <c r="M3260">
        <f>Data!G3272</f>
        <v>0</v>
      </c>
      <c r="N3260">
        <f>Data!H3272</f>
        <v>0</v>
      </c>
      <c r="O3260">
        <f>Data!I3272</f>
        <v>0</v>
      </c>
      <c r="P3260" s="21">
        <f>Data!J3276</f>
        <v>0</v>
      </c>
      <c r="Q3260">
        <f>Data!K3276</f>
        <v>0</v>
      </c>
      <c r="R3260">
        <f>Data!L3276</f>
        <v>0</v>
      </c>
      <c r="S3260">
        <f>Data!M3276</f>
        <v>0</v>
      </c>
      <c r="T3260">
        <f>Data!N3276</f>
        <v>0</v>
      </c>
      <c r="U3260">
        <f>Data!O3276</f>
        <v>0</v>
      </c>
      <c r="V3260" s="33">
        <f>Data!P3274</f>
        <v>0</v>
      </c>
    </row>
    <row r="3261" spans="7:22" x14ac:dyDescent="0.25">
      <c r="G3261">
        <f>Data!B3273</f>
        <v>0</v>
      </c>
      <c r="H3261" s="21">
        <f>Data!B3273</f>
        <v>0</v>
      </c>
      <c r="I3261" s="21">
        <f>Data!C3273</f>
        <v>0</v>
      </c>
      <c r="J3261">
        <f>Data!D3273</f>
        <v>0</v>
      </c>
      <c r="K3261">
        <f>Data!E3273</f>
        <v>0</v>
      </c>
      <c r="L3261">
        <f>Data!F3273</f>
        <v>0</v>
      </c>
      <c r="M3261">
        <f>Data!G3273</f>
        <v>0</v>
      </c>
      <c r="N3261">
        <f>Data!H3273</f>
        <v>0</v>
      </c>
      <c r="O3261">
        <f>Data!I3273</f>
        <v>0</v>
      </c>
      <c r="P3261" s="21">
        <f>Data!J3277</f>
        <v>0</v>
      </c>
      <c r="Q3261">
        <f>Data!K3277</f>
        <v>0</v>
      </c>
      <c r="R3261">
        <f>Data!L3277</f>
        <v>0</v>
      </c>
      <c r="S3261">
        <f>Data!M3277</f>
        <v>0</v>
      </c>
      <c r="T3261">
        <f>Data!N3277</f>
        <v>0</v>
      </c>
      <c r="U3261">
        <f>Data!O3277</f>
        <v>0</v>
      </c>
      <c r="V3261" s="33">
        <f>Data!P3275</f>
        <v>0</v>
      </c>
    </row>
    <row r="3262" spans="7:22" x14ac:dyDescent="0.25">
      <c r="G3262">
        <f>Data!B3274</f>
        <v>0</v>
      </c>
      <c r="H3262" s="21">
        <f>Data!B3274</f>
        <v>0</v>
      </c>
      <c r="I3262" s="21">
        <f>Data!C3274</f>
        <v>0</v>
      </c>
      <c r="J3262">
        <f>Data!D3274</f>
        <v>0</v>
      </c>
      <c r="K3262">
        <f>Data!E3274</f>
        <v>0</v>
      </c>
      <c r="L3262">
        <f>Data!F3274</f>
        <v>0</v>
      </c>
      <c r="M3262">
        <f>Data!G3274</f>
        <v>0</v>
      </c>
      <c r="N3262">
        <f>Data!H3274</f>
        <v>0</v>
      </c>
      <c r="O3262">
        <f>Data!I3274</f>
        <v>0</v>
      </c>
      <c r="P3262" s="21">
        <f>Data!J3278</f>
        <v>0</v>
      </c>
      <c r="Q3262">
        <f>Data!K3278</f>
        <v>0</v>
      </c>
      <c r="R3262">
        <f>Data!L3278</f>
        <v>0</v>
      </c>
      <c r="S3262">
        <f>Data!M3278</f>
        <v>0</v>
      </c>
      <c r="T3262">
        <f>Data!N3278</f>
        <v>0</v>
      </c>
      <c r="U3262">
        <f>Data!O3278</f>
        <v>0</v>
      </c>
      <c r="V3262" s="33">
        <f>Data!P3276</f>
        <v>0</v>
      </c>
    </row>
    <row r="3263" spans="7:22" x14ac:dyDescent="0.25">
      <c r="G3263">
        <f>Data!B3275</f>
        <v>0</v>
      </c>
      <c r="H3263" s="21">
        <f>Data!B3275</f>
        <v>0</v>
      </c>
      <c r="I3263" s="21">
        <f>Data!C3275</f>
        <v>0</v>
      </c>
      <c r="J3263">
        <f>Data!D3275</f>
        <v>0</v>
      </c>
      <c r="K3263">
        <f>Data!E3275</f>
        <v>0</v>
      </c>
      <c r="L3263">
        <f>Data!F3275</f>
        <v>0</v>
      </c>
      <c r="M3263">
        <f>Data!G3275</f>
        <v>0</v>
      </c>
      <c r="N3263">
        <f>Data!H3275</f>
        <v>0</v>
      </c>
      <c r="O3263">
        <f>Data!I3275</f>
        <v>0</v>
      </c>
      <c r="P3263" s="21">
        <f>Data!J3279</f>
        <v>0</v>
      </c>
      <c r="Q3263">
        <f>Data!K3279</f>
        <v>0</v>
      </c>
      <c r="R3263">
        <f>Data!L3279</f>
        <v>0</v>
      </c>
      <c r="S3263">
        <f>Data!M3279</f>
        <v>0</v>
      </c>
      <c r="T3263">
        <f>Data!N3279</f>
        <v>0</v>
      </c>
      <c r="U3263">
        <f>Data!O3279</f>
        <v>0</v>
      </c>
      <c r="V3263" s="33">
        <f>Data!P3277</f>
        <v>0</v>
      </c>
    </row>
    <row r="3264" spans="7:22" x14ac:dyDescent="0.25">
      <c r="G3264">
        <f>Data!B3276</f>
        <v>0</v>
      </c>
      <c r="H3264" s="21">
        <f>Data!B3276</f>
        <v>0</v>
      </c>
      <c r="I3264" s="21">
        <f>Data!C3276</f>
        <v>0</v>
      </c>
      <c r="J3264">
        <f>Data!D3276</f>
        <v>0</v>
      </c>
      <c r="K3264">
        <f>Data!E3276</f>
        <v>0</v>
      </c>
      <c r="L3264">
        <f>Data!F3276</f>
        <v>0</v>
      </c>
      <c r="M3264">
        <f>Data!G3276</f>
        <v>0</v>
      </c>
      <c r="N3264">
        <f>Data!H3276</f>
        <v>0</v>
      </c>
      <c r="O3264">
        <f>Data!I3276</f>
        <v>0</v>
      </c>
      <c r="P3264" s="21">
        <f>Data!J3280</f>
        <v>0</v>
      </c>
      <c r="Q3264">
        <f>Data!K3280</f>
        <v>0</v>
      </c>
      <c r="R3264">
        <f>Data!L3280</f>
        <v>0</v>
      </c>
      <c r="S3264">
        <f>Data!M3280</f>
        <v>0</v>
      </c>
      <c r="T3264">
        <f>Data!N3280</f>
        <v>0</v>
      </c>
      <c r="U3264">
        <f>Data!O3280</f>
        <v>0</v>
      </c>
      <c r="V3264" s="33">
        <f>Data!P3278</f>
        <v>0</v>
      </c>
    </row>
    <row r="3265" spans="7:22" x14ac:dyDescent="0.25">
      <c r="G3265">
        <f>Data!B3277</f>
        <v>0</v>
      </c>
      <c r="H3265" s="21">
        <f>Data!B3277</f>
        <v>0</v>
      </c>
      <c r="I3265" s="21">
        <f>Data!C3277</f>
        <v>0</v>
      </c>
      <c r="J3265">
        <f>Data!D3277</f>
        <v>0</v>
      </c>
      <c r="K3265">
        <f>Data!E3277</f>
        <v>0</v>
      </c>
      <c r="L3265">
        <f>Data!F3277</f>
        <v>0</v>
      </c>
      <c r="M3265">
        <f>Data!G3277</f>
        <v>0</v>
      </c>
      <c r="N3265">
        <f>Data!H3277</f>
        <v>0</v>
      </c>
      <c r="O3265">
        <f>Data!I3277</f>
        <v>0</v>
      </c>
      <c r="P3265" s="21">
        <f>Data!J3281</f>
        <v>0</v>
      </c>
      <c r="Q3265">
        <f>Data!K3281</f>
        <v>0</v>
      </c>
      <c r="R3265">
        <f>Data!L3281</f>
        <v>0</v>
      </c>
      <c r="S3265">
        <f>Data!M3281</f>
        <v>0</v>
      </c>
      <c r="T3265">
        <f>Data!N3281</f>
        <v>0</v>
      </c>
      <c r="U3265">
        <f>Data!O3281</f>
        <v>0</v>
      </c>
      <c r="V3265" s="33">
        <f>Data!P3279</f>
        <v>0</v>
      </c>
    </row>
    <row r="3266" spans="7:22" x14ac:dyDescent="0.25">
      <c r="G3266">
        <f>Data!B3278</f>
        <v>0</v>
      </c>
      <c r="H3266" s="21">
        <f>Data!B3278</f>
        <v>0</v>
      </c>
      <c r="I3266" s="21">
        <f>Data!C3278</f>
        <v>0</v>
      </c>
      <c r="J3266">
        <f>Data!D3278</f>
        <v>0</v>
      </c>
      <c r="K3266">
        <f>Data!E3278</f>
        <v>0</v>
      </c>
      <c r="L3266">
        <f>Data!F3278</f>
        <v>0</v>
      </c>
      <c r="M3266">
        <f>Data!G3278</f>
        <v>0</v>
      </c>
      <c r="N3266">
        <f>Data!H3278</f>
        <v>0</v>
      </c>
      <c r="O3266">
        <f>Data!I3278</f>
        <v>0</v>
      </c>
      <c r="P3266" s="21">
        <f>Data!J3282</f>
        <v>0</v>
      </c>
      <c r="Q3266">
        <f>Data!K3282</f>
        <v>0</v>
      </c>
      <c r="R3266">
        <f>Data!L3282</f>
        <v>0</v>
      </c>
      <c r="S3266">
        <f>Data!M3282</f>
        <v>0</v>
      </c>
      <c r="T3266">
        <f>Data!N3282</f>
        <v>0</v>
      </c>
      <c r="U3266">
        <f>Data!O3282</f>
        <v>0</v>
      </c>
      <c r="V3266" s="33">
        <f>Data!P3280</f>
        <v>0</v>
      </c>
    </row>
    <row r="3267" spans="7:22" x14ac:dyDescent="0.25">
      <c r="G3267">
        <f>Data!B3279</f>
        <v>0</v>
      </c>
      <c r="H3267" s="21">
        <f>Data!B3279</f>
        <v>0</v>
      </c>
      <c r="I3267" s="21">
        <f>Data!C3279</f>
        <v>0</v>
      </c>
      <c r="J3267">
        <f>Data!D3279</f>
        <v>0</v>
      </c>
      <c r="K3267">
        <f>Data!E3279</f>
        <v>0</v>
      </c>
      <c r="L3267">
        <f>Data!F3279</f>
        <v>0</v>
      </c>
      <c r="M3267">
        <f>Data!G3279</f>
        <v>0</v>
      </c>
      <c r="N3267">
        <f>Data!H3279</f>
        <v>0</v>
      </c>
      <c r="O3267">
        <f>Data!I3279</f>
        <v>0</v>
      </c>
      <c r="P3267" s="21">
        <f>Data!J3283</f>
        <v>0</v>
      </c>
      <c r="Q3267">
        <f>Data!K3283</f>
        <v>0</v>
      </c>
      <c r="R3267">
        <f>Data!L3283</f>
        <v>0</v>
      </c>
      <c r="S3267">
        <f>Data!M3283</f>
        <v>0</v>
      </c>
      <c r="T3267">
        <f>Data!N3283</f>
        <v>0</v>
      </c>
      <c r="U3267">
        <f>Data!O3283</f>
        <v>0</v>
      </c>
      <c r="V3267" s="33">
        <f>Data!P3281</f>
        <v>0</v>
      </c>
    </row>
    <row r="3268" spans="7:22" x14ac:dyDescent="0.25">
      <c r="G3268">
        <f>Data!B3280</f>
        <v>0</v>
      </c>
      <c r="H3268" s="21">
        <f>Data!B3280</f>
        <v>0</v>
      </c>
      <c r="I3268" s="21">
        <f>Data!C3280</f>
        <v>0</v>
      </c>
      <c r="J3268">
        <f>Data!D3280</f>
        <v>0</v>
      </c>
      <c r="K3268">
        <f>Data!E3280</f>
        <v>0</v>
      </c>
      <c r="L3268">
        <f>Data!F3280</f>
        <v>0</v>
      </c>
      <c r="M3268">
        <f>Data!G3280</f>
        <v>0</v>
      </c>
      <c r="N3268">
        <f>Data!H3280</f>
        <v>0</v>
      </c>
      <c r="O3268">
        <f>Data!I3280</f>
        <v>0</v>
      </c>
      <c r="P3268" s="21">
        <f>Data!J3284</f>
        <v>0</v>
      </c>
      <c r="Q3268">
        <f>Data!K3284</f>
        <v>0</v>
      </c>
      <c r="R3268">
        <f>Data!L3284</f>
        <v>0</v>
      </c>
      <c r="S3268">
        <f>Data!M3284</f>
        <v>0</v>
      </c>
      <c r="T3268">
        <f>Data!N3284</f>
        <v>0</v>
      </c>
      <c r="U3268">
        <f>Data!O3284</f>
        <v>0</v>
      </c>
      <c r="V3268" s="33">
        <f>Data!P3282</f>
        <v>0</v>
      </c>
    </row>
    <row r="3269" spans="7:22" x14ac:dyDescent="0.25">
      <c r="G3269">
        <f>Data!B3281</f>
        <v>0</v>
      </c>
      <c r="H3269" s="21">
        <f>Data!B3281</f>
        <v>0</v>
      </c>
      <c r="I3269" s="21">
        <f>Data!C3281</f>
        <v>0</v>
      </c>
      <c r="J3269">
        <f>Data!D3281</f>
        <v>0</v>
      </c>
      <c r="K3269">
        <f>Data!E3281</f>
        <v>0</v>
      </c>
      <c r="L3269">
        <f>Data!F3281</f>
        <v>0</v>
      </c>
      <c r="M3269">
        <f>Data!G3281</f>
        <v>0</v>
      </c>
      <c r="N3269">
        <f>Data!H3281</f>
        <v>0</v>
      </c>
      <c r="O3269">
        <f>Data!I3281</f>
        <v>0</v>
      </c>
      <c r="P3269" s="21">
        <f>Data!J3285</f>
        <v>0</v>
      </c>
      <c r="Q3269">
        <f>Data!K3285</f>
        <v>0</v>
      </c>
      <c r="R3269">
        <f>Data!L3285</f>
        <v>0</v>
      </c>
      <c r="S3269">
        <f>Data!M3285</f>
        <v>0</v>
      </c>
      <c r="T3269">
        <f>Data!N3285</f>
        <v>0</v>
      </c>
      <c r="U3269">
        <f>Data!O3285</f>
        <v>0</v>
      </c>
      <c r="V3269" s="33">
        <f>Data!P3283</f>
        <v>0</v>
      </c>
    </row>
    <row r="3270" spans="7:22" x14ac:dyDescent="0.25">
      <c r="G3270">
        <f>Data!B3282</f>
        <v>0</v>
      </c>
      <c r="H3270" s="21">
        <f>Data!B3282</f>
        <v>0</v>
      </c>
      <c r="I3270" s="21">
        <f>Data!C3282</f>
        <v>0</v>
      </c>
      <c r="J3270">
        <f>Data!D3282</f>
        <v>0</v>
      </c>
      <c r="K3270">
        <f>Data!E3282</f>
        <v>0</v>
      </c>
      <c r="L3270">
        <f>Data!F3282</f>
        <v>0</v>
      </c>
      <c r="M3270">
        <f>Data!G3282</f>
        <v>0</v>
      </c>
      <c r="N3270">
        <f>Data!H3282</f>
        <v>0</v>
      </c>
      <c r="O3270">
        <f>Data!I3282</f>
        <v>0</v>
      </c>
      <c r="P3270" s="21">
        <f>Data!J3286</f>
        <v>0</v>
      </c>
      <c r="Q3270">
        <f>Data!K3286</f>
        <v>0</v>
      </c>
      <c r="R3270">
        <f>Data!L3286</f>
        <v>0</v>
      </c>
      <c r="S3270">
        <f>Data!M3286</f>
        <v>0</v>
      </c>
      <c r="T3270">
        <f>Data!N3286</f>
        <v>0</v>
      </c>
      <c r="U3270">
        <f>Data!O3286</f>
        <v>0</v>
      </c>
      <c r="V3270" s="33">
        <f>Data!P3284</f>
        <v>0</v>
      </c>
    </row>
    <row r="3271" spans="7:22" x14ac:dyDescent="0.25">
      <c r="G3271">
        <f>Data!B3283</f>
        <v>0</v>
      </c>
      <c r="H3271" s="21">
        <f>Data!B3283</f>
        <v>0</v>
      </c>
      <c r="I3271" s="21">
        <f>Data!C3283</f>
        <v>0</v>
      </c>
      <c r="J3271">
        <f>Data!D3283</f>
        <v>0</v>
      </c>
      <c r="K3271">
        <f>Data!E3283</f>
        <v>0</v>
      </c>
      <c r="L3271">
        <f>Data!F3283</f>
        <v>0</v>
      </c>
      <c r="M3271">
        <f>Data!G3283</f>
        <v>0</v>
      </c>
      <c r="N3271">
        <f>Data!H3283</f>
        <v>0</v>
      </c>
      <c r="O3271">
        <f>Data!I3283</f>
        <v>0</v>
      </c>
      <c r="P3271" s="21">
        <f>Data!J3287</f>
        <v>0</v>
      </c>
      <c r="Q3271">
        <f>Data!K3287</f>
        <v>0</v>
      </c>
      <c r="R3271">
        <f>Data!L3287</f>
        <v>0</v>
      </c>
      <c r="S3271">
        <f>Data!M3287</f>
        <v>0</v>
      </c>
      <c r="T3271">
        <f>Data!N3287</f>
        <v>0</v>
      </c>
      <c r="U3271">
        <f>Data!O3287</f>
        <v>0</v>
      </c>
      <c r="V3271" s="33">
        <f>Data!P3285</f>
        <v>0</v>
      </c>
    </row>
    <row r="3272" spans="7:22" x14ac:dyDescent="0.25">
      <c r="G3272">
        <f>Data!B3284</f>
        <v>0</v>
      </c>
      <c r="H3272" s="21">
        <f>Data!B3284</f>
        <v>0</v>
      </c>
      <c r="I3272" s="21">
        <f>Data!C3284</f>
        <v>0</v>
      </c>
      <c r="J3272">
        <f>Data!D3284</f>
        <v>0</v>
      </c>
      <c r="K3272">
        <f>Data!E3284</f>
        <v>0</v>
      </c>
      <c r="L3272">
        <f>Data!F3284</f>
        <v>0</v>
      </c>
      <c r="M3272">
        <f>Data!G3284</f>
        <v>0</v>
      </c>
      <c r="N3272">
        <f>Data!H3284</f>
        <v>0</v>
      </c>
      <c r="O3272">
        <f>Data!I3284</f>
        <v>0</v>
      </c>
      <c r="P3272" s="21">
        <f>Data!J3288</f>
        <v>0</v>
      </c>
      <c r="Q3272">
        <f>Data!K3288</f>
        <v>0</v>
      </c>
      <c r="R3272">
        <f>Data!L3288</f>
        <v>0</v>
      </c>
      <c r="S3272">
        <f>Data!M3288</f>
        <v>0</v>
      </c>
      <c r="T3272">
        <f>Data!N3288</f>
        <v>0</v>
      </c>
      <c r="U3272">
        <f>Data!O3288</f>
        <v>0</v>
      </c>
      <c r="V3272" s="33">
        <f>Data!P3286</f>
        <v>0</v>
      </c>
    </row>
    <row r="3273" spans="7:22" x14ac:dyDescent="0.25">
      <c r="G3273">
        <f>Data!B3285</f>
        <v>0</v>
      </c>
      <c r="H3273" s="21">
        <f>Data!B3285</f>
        <v>0</v>
      </c>
      <c r="I3273" s="21">
        <f>Data!C3285</f>
        <v>0</v>
      </c>
      <c r="J3273">
        <f>Data!D3285</f>
        <v>0</v>
      </c>
      <c r="K3273">
        <f>Data!E3285</f>
        <v>0</v>
      </c>
      <c r="L3273">
        <f>Data!F3285</f>
        <v>0</v>
      </c>
      <c r="M3273">
        <f>Data!G3285</f>
        <v>0</v>
      </c>
      <c r="N3273">
        <f>Data!H3285</f>
        <v>0</v>
      </c>
      <c r="O3273">
        <f>Data!I3285</f>
        <v>0</v>
      </c>
      <c r="P3273" s="21">
        <f>Data!J3289</f>
        <v>0</v>
      </c>
      <c r="Q3273">
        <f>Data!K3289</f>
        <v>0</v>
      </c>
      <c r="R3273">
        <f>Data!L3289</f>
        <v>0</v>
      </c>
      <c r="S3273">
        <f>Data!M3289</f>
        <v>0</v>
      </c>
      <c r="T3273">
        <f>Data!N3289</f>
        <v>0</v>
      </c>
      <c r="U3273">
        <f>Data!O3289</f>
        <v>0</v>
      </c>
      <c r="V3273" s="33">
        <f>Data!P3287</f>
        <v>0</v>
      </c>
    </row>
    <row r="3274" spans="7:22" x14ac:dyDescent="0.25">
      <c r="G3274">
        <f>Data!B3286</f>
        <v>0</v>
      </c>
      <c r="H3274" s="21">
        <f>Data!B3286</f>
        <v>0</v>
      </c>
      <c r="I3274" s="21">
        <f>Data!C3286</f>
        <v>0</v>
      </c>
      <c r="J3274">
        <f>Data!D3286</f>
        <v>0</v>
      </c>
      <c r="K3274">
        <f>Data!E3286</f>
        <v>0</v>
      </c>
      <c r="L3274">
        <f>Data!F3286</f>
        <v>0</v>
      </c>
      <c r="M3274">
        <f>Data!G3286</f>
        <v>0</v>
      </c>
      <c r="N3274">
        <f>Data!H3286</f>
        <v>0</v>
      </c>
      <c r="O3274">
        <f>Data!I3286</f>
        <v>0</v>
      </c>
      <c r="P3274" s="21">
        <f>Data!J3290</f>
        <v>0</v>
      </c>
      <c r="Q3274">
        <f>Data!K3290</f>
        <v>0</v>
      </c>
      <c r="R3274">
        <f>Data!L3290</f>
        <v>0</v>
      </c>
      <c r="S3274">
        <f>Data!M3290</f>
        <v>0</v>
      </c>
      <c r="T3274">
        <f>Data!N3290</f>
        <v>0</v>
      </c>
      <c r="U3274">
        <f>Data!O3290</f>
        <v>0</v>
      </c>
      <c r="V3274" s="33">
        <f>Data!P3288</f>
        <v>0</v>
      </c>
    </row>
    <row r="3275" spans="7:22" x14ac:dyDescent="0.25">
      <c r="G3275">
        <f>Data!B3287</f>
        <v>0</v>
      </c>
      <c r="H3275" s="21">
        <f>Data!B3287</f>
        <v>0</v>
      </c>
      <c r="I3275" s="21">
        <f>Data!C3287</f>
        <v>0</v>
      </c>
      <c r="J3275">
        <f>Data!D3287</f>
        <v>0</v>
      </c>
      <c r="K3275">
        <f>Data!E3287</f>
        <v>0</v>
      </c>
      <c r="L3275">
        <f>Data!F3287</f>
        <v>0</v>
      </c>
      <c r="M3275">
        <f>Data!G3287</f>
        <v>0</v>
      </c>
      <c r="N3275">
        <f>Data!H3287</f>
        <v>0</v>
      </c>
      <c r="O3275">
        <f>Data!I3287</f>
        <v>0</v>
      </c>
      <c r="P3275" s="21">
        <f>Data!J3291</f>
        <v>0</v>
      </c>
      <c r="Q3275">
        <f>Data!K3291</f>
        <v>0</v>
      </c>
      <c r="R3275">
        <f>Data!L3291</f>
        <v>0</v>
      </c>
      <c r="S3275">
        <f>Data!M3291</f>
        <v>0</v>
      </c>
      <c r="T3275">
        <f>Data!N3291</f>
        <v>0</v>
      </c>
      <c r="U3275">
        <f>Data!O3291</f>
        <v>0</v>
      </c>
      <c r="V3275" s="33">
        <f>Data!P3289</f>
        <v>0</v>
      </c>
    </row>
    <row r="3276" spans="7:22" x14ac:dyDescent="0.25">
      <c r="G3276">
        <f>Data!B3288</f>
        <v>0</v>
      </c>
      <c r="H3276" s="21">
        <f>Data!B3288</f>
        <v>0</v>
      </c>
      <c r="I3276" s="21">
        <f>Data!C3288</f>
        <v>0</v>
      </c>
      <c r="J3276">
        <f>Data!D3288</f>
        <v>0</v>
      </c>
      <c r="K3276">
        <f>Data!E3288</f>
        <v>0</v>
      </c>
      <c r="L3276">
        <f>Data!F3288</f>
        <v>0</v>
      </c>
      <c r="M3276">
        <f>Data!G3288</f>
        <v>0</v>
      </c>
      <c r="N3276">
        <f>Data!H3288</f>
        <v>0</v>
      </c>
      <c r="O3276">
        <f>Data!I3288</f>
        <v>0</v>
      </c>
      <c r="P3276" s="21">
        <f>Data!J3292</f>
        <v>0</v>
      </c>
      <c r="Q3276">
        <f>Data!K3292</f>
        <v>0</v>
      </c>
      <c r="R3276">
        <f>Data!L3292</f>
        <v>0</v>
      </c>
      <c r="S3276">
        <f>Data!M3292</f>
        <v>0</v>
      </c>
      <c r="T3276">
        <f>Data!N3292</f>
        <v>0</v>
      </c>
      <c r="U3276">
        <f>Data!O3292</f>
        <v>0</v>
      </c>
      <c r="V3276" s="33">
        <f>Data!P3290</f>
        <v>0</v>
      </c>
    </row>
    <row r="3277" spans="7:22" x14ac:dyDescent="0.25">
      <c r="G3277">
        <f>Data!B3289</f>
        <v>0</v>
      </c>
      <c r="H3277" s="21">
        <f>Data!B3289</f>
        <v>0</v>
      </c>
      <c r="I3277" s="21">
        <f>Data!C3289</f>
        <v>0</v>
      </c>
      <c r="J3277">
        <f>Data!D3289</f>
        <v>0</v>
      </c>
      <c r="K3277">
        <f>Data!E3289</f>
        <v>0</v>
      </c>
      <c r="L3277">
        <f>Data!F3289</f>
        <v>0</v>
      </c>
      <c r="M3277">
        <f>Data!G3289</f>
        <v>0</v>
      </c>
      <c r="N3277">
        <f>Data!H3289</f>
        <v>0</v>
      </c>
      <c r="O3277">
        <f>Data!I3289</f>
        <v>0</v>
      </c>
      <c r="P3277" s="21">
        <f>Data!J3293</f>
        <v>0</v>
      </c>
      <c r="Q3277">
        <f>Data!K3293</f>
        <v>0</v>
      </c>
      <c r="R3277">
        <f>Data!L3293</f>
        <v>0</v>
      </c>
      <c r="S3277">
        <f>Data!M3293</f>
        <v>0</v>
      </c>
      <c r="T3277">
        <f>Data!N3293</f>
        <v>0</v>
      </c>
      <c r="U3277">
        <f>Data!O3293</f>
        <v>0</v>
      </c>
      <c r="V3277" s="33">
        <f>Data!P3291</f>
        <v>0</v>
      </c>
    </row>
    <row r="3278" spans="7:22" x14ac:dyDescent="0.25">
      <c r="G3278">
        <f>Data!B3290</f>
        <v>0</v>
      </c>
      <c r="H3278" s="21">
        <f>Data!B3290</f>
        <v>0</v>
      </c>
      <c r="I3278" s="21">
        <f>Data!C3290</f>
        <v>0</v>
      </c>
      <c r="J3278">
        <f>Data!D3290</f>
        <v>0</v>
      </c>
      <c r="K3278">
        <f>Data!E3290</f>
        <v>0</v>
      </c>
      <c r="L3278">
        <f>Data!F3290</f>
        <v>0</v>
      </c>
      <c r="M3278">
        <f>Data!G3290</f>
        <v>0</v>
      </c>
      <c r="N3278">
        <f>Data!H3290</f>
        <v>0</v>
      </c>
      <c r="O3278">
        <f>Data!I3290</f>
        <v>0</v>
      </c>
      <c r="P3278" s="21">
        <f>Data!J3294</f>
        <v>0</v>
      </c>
      <c r="Q3278">
        <f>Data!K3294</f>
        <v>0</v>
      </c>
      <c r="R3278">
        <f>Data!L3294</f>
        <v>0</v>
      </c>
      <c r="S3278">
        <f>Data!M3294</f>
        <v>0</v>
      </c>
      <c r="T3278">
        <f>Data!N3294</f>
        <v>0</v>
      </c>
      <c r="U3278">
        <f>Data!O3294</f>
        <v>0</v>
      </c>
      <c r="V3278" s="33">
        <f>Data!P3292</f>
        <v>0</v>
      </c>
    </row>
    <row r="3279" spans="7:22" x14ac:dyDescent="0.25">
      <c r="G3279">
        <f>Data!B3291</f>
        <v>0</v>
      </c>
      <c r="H3279" s="21">
        <f>Data!B3291</f>
        <v>0</v>
      </c>
      <c r="I3279" s="21">
        <f>Data!C3291</f>
        <v>0</v>
      </c>
      <c r="J3279">
        <f>Data!D3291</f>
        <v>0</v>
      </c>
      <c r="K3279">
        <f>Data!E3291</f>
        <v>0</v>
      </c>
      <c r="L3279">
        <f>Data!F3291</f>
        <v>0</v>
      </c>
      <c r="M3279">
        <f>Data!G3291</f>
        <v>0</v>
      </c>
      <c r="N3279">
        <f>Data!H3291</f>
        <v>0</v>
      </c>
      <c r="O3279">
        <f>Data!I3291</f>
        <v>0</v>
      </c>
      <c r="P3279" s="21">
        <f>Data!J3295</f>
        <v>0</v>
      </c>
      <c r="Q3279">
        <f>Data!K3295</f>
        <v>0</v>
      </c>
      <c r="R3279">
        <f>Data!L3295</f>
        <v>0</v>
      </c>
      <c r="S3279">
        <f>Data!M3295</f>
        <v>0</v>
      </c>
      <c r="T3279">
        <f>Data!N3295</f>
        <v>0</v>
      </c>
      <c r="U3279">
        <f>Data!O3295</f>
        <v>0</v>
      </c>
      <c r="V3279" s="33">
        <f>Data!P3293</f>
        <v>0</v>
      </c>
    </row>
    <row r="3280" spans="7:22" x14ac:dyDescent="0.25">
      <c r="G3280">
        <f>Data!B3292</f>
        <v>0</v>
      </c>
      <c r="H3280" s="21">
        <f>Data!B3292</f>
        <v>0</v>
      </c>
      <c r="I3280" s="21">
        <f>Data!C3292</f>
        <v>0</v>
      </c>
      <c r="J3280">
        <f>Data!D3292</f>
        <v>0</v>
      </c>
      <c r="K3280">
        <f>Data!E3292</f>
        <v>0</v>
      </c>
      <c r="L3280">
        <f>Data!F3292</f>
        <v>0</v>
      </c>
      <c r="M3280">
        <f>Data!G3292</f>
        <v>0</v>
      </c>
      <c r="N3280">
        <f>Data!H3292</f>
        <v>0</v>
      </c>
      <c r="O3280">
        <f>Data!I3292</f>
        <v>0</v>
      </c>
      <c r="P3280" s="21">
        <f>Data!J3296</f>
        <v>0</v>
      </c>
      <c r="Q3280">
        <f>Data!K3296</f>
        <v>0</v>
      </c>
      <c r="R3280">
        <f>Data!L3296</f>
        <v>0</v>
      </c>
      <c r="S3280">
        <f>Data!M3296</f>
        <v>0</v>
      </c>
      <c r="T3280">
        <f>Data!N3296</f>
        <v>0</v>
      </c>
      <c r="U3280">
        <f>Data!O3296</f>
        <v>0</v>
      </c>
      <c r="V3280" s="33">
        <f>Data!P3294</f>
        <v>0</v>
      </c>
    </row>
    <row r="3281" spans="7:22" x14ac:dyDescent="0.25">
      <c r="G3281">
        <f>Data!B3293</f>
        <v>0</v>
      </c>
      <c r="H3281" s="21">
        <f>Data!B3293</f>
        <v>0</v>
      </c>
      <c r="I3281" s="21">
        <f>Data!C3293</f>
        <v>0</v>
      </c>
      <c r="J3281">
        <f>Data!D3293</f>
        <v>0</v>
      </c>
      <c r="K3281">
        <f>Data!E3293</f>
        <v>0</v>
      </c>
      <c r="L3281">
        <f>Data!F3293</f>
        <v>0</v>
      </c>
      <c r="M3281">
        <f>Data!G3293</f>
        <v>0</v>
      </c>
      <c r="N3281">
        <f>Data!H3293</f>
        <v>0</v>
      </c>
      <c r="O3281">
        <f>Data!I3293</f>
        <v>0</v>
      </c>
      <c r="P3281" s="21">
        <f>Data!J3297</f>
        <v>0</v>
      </c>
      <c r="Q3281">
        <f>Data!K3297</f>
        <v>0</v>
      </c>
      <c r="R3281">
        <f>Data!L3297</f>
        <v>0</v>
      </c>
      <c r="S3281">
        <f>Data!M3297</f>
        <v>0</v>
      </c>
      <c r="T3281">
        <f>Data!N3297</f>
        <v>0</v>
      </c>
      <c r="U3281">
        <f>Data!O3297</f>
        <v>0</v>
      </c>
      <c r="V3281" s="33">
        <f>Data!P3295</f>
        <v>0</v>
      </c>
    </row>
    <row r="3282" spans="7:22" x14ac:dyDescent="0.25">
      <c r="G3282">
        <f>Data!B3294</f>
        <v>0</v>
      </c>
      <c r="H3282" s="21">
        <f>Data!B3294</f>
        <v>0</v>
      </c>
      <c r="I3282" s="21">
        <f>Data!C3294</f>
        <v>0</v>
      </c>
      <c r="J3282">
        <f>Data!D3294</f>
        <v>0</v>
      </c>
      <c r="K3282">
        <f>Data!E3294</f>
        <v>0</v>
      </c>
      <c r="L3282">
        <f>Data!F3294</f>
        <v>0</v>
      </c>
      <c r="M3282">
        <f>Data!G3294</f>
        <v>0</v>
      </c>
      <c r="N3282">
        <f>Data!H3294</f>
        <v>0</v>
      </c>
      <c r="O3282">
        <f>Data!I3294</f>
        <v>0</v>
      </c>
      <c r="P3282" s="21">
        <f>Data!J3298</f>
        <v>0</v>
      </c>
      <c r="Q3282">
        <f>Data!K3298</f>
        <v>0</v>
      </c>
      <c r="R3282">
        <f>Data!L3298</f>
        <v>0</v>
      </c>
      <c r="S3282">
        <f>Data!M3298</f>
        <v>0</v>
      </c>
      <c r="T3282">
        <f>Data!N3298</f>
        <v>0</v>
      </c>
      <c r="U3282">
        <f>Data!O3298</f>
        <v>0</v>
      </c>
      <c r="V3282" s="33">
        <f>Data!P3296</f>
        <v>0</v>
      </c>
    </row>
    <row r="3283" spans="7:22" x14ac:dyDescent="0.25">
      <c r="G3283">
        <f>Data!B3295</f>
        <v>0</v>
      </c>
      <c r="H3283" s="21">
        <f>Data!B3295</f>
        <v>0</v>
      </c>
      <c r="I3283" s="21">
        <f>Data!C3295</f>
        <v>0</v>
      </c>
      <c r="J3283">
        <f>Data!D3295</f>
        <v>0</v>
      </c>
      <c r="K3283">
        <f>Data!E3295</f>
        <v>0</v>
      </c>
      <c r="L3283">
        <f>Data!F3295</f>
        <v>0</v>
      </c>
      <c r="M3283">
        <f>Data!G3295</f>
        <v>0</v>
      </c>
      <c r="N3283">
        <f>Data!H3295</f>
        <v>0</v>
      </c>
      <c r="O3283">
        <f>Data!I3295</f>
        <v>0</v>
      </c>
      <c r="P3283" s="21">
        <f>Data!J3299</f>
        <v>0</v>
      </c>
      <c r="Q3283">
        <f>Data!K3299</f>
        <v>0</v>
      </c>
      <c r="R3283">
        <f>Data!L3299</f>
        <v>0</v>
      </c>
      <c r="S3283">
        <f>Data!M3299</f>
        <v>0</v>
      </c>
      <c r="T3283">
        <f>Data!N3299</f>
        <v>0</v>
      </c>
      <c r="U3283">
        <f>Data!O3299</f>
        <v>0</v>
      </c>
      <c r="V3283" s="33">
        <f>Data!P3297</f>
        <v>0</v>
      </c>
    </row>
    <row r="3284" spans="7:22" x14ac:dyDescent="0.25">
      <c r="G3284">
        <f>Data!B3296</f>
        <v>0</v>
      </c>
      <c r="H3284" s="21">
        <f>Data!B3296</f>
        <v>0</v>
      </c>
      <c r="I3284" s="21">
        <f>Data!C3296</f>
        <v>0</v>
      </c>
      <c r="J3284">
        <f>Data!D3296</f>
        <v>0</v>
      </c>
      <c r="K3284">
        <f>Data!E3296</f>
        <v>0</v>
      </c>
      <c r="L3284">
        <f>Data!F3296</f>
        <v>0</v>
      </c>
      <c r="M3284">
        <f>Data!G3296</f>
        <v>0</v>
      </c>
      <c r="N3284">
        <f>Data!H3296</f>
        <v>0</v>
      </c>
      <c r="O3284">
        <f>Data!I3296</f>
        <v>0</v>
      </c>
      <c r="P3284" s="21">
        <f>Data!J3300</f>
        <v>0</v>
      </c>
      <c r="Q3284">
        <f>Data!K3300</f>
        <v>0</v>
      </c>
      <c r="R3284">
        <f>Data!L3300</f>
        <v>0</v>
      </c>
      <c r="S3284">
        <f>Data!M3300</f>
        <v>0</v>
      </c>
      <c r="T3284">
        <f>Data!N3300</f>
        <v>0</v>
      </c>
      <c r="U3284">
        <f>Data!O3300</f>
        <v>0</v>
      </c>
      <c r="V3284" s="33">
        <f>Data!P3298</f>
        <v>0</v>
      </c>
    </row>
    <row r="3285" spans="7:22" x14ac:dyDescent="0.25">
      <c r="G3285">
        <f>Data!B3297</f>
        <v>0</v>
      </c>
      <c r="H3285" s="21">
        <f>Data!B3297</f>
        <v>0</v>
      </c>
      <c r="I3285" s="21">
        <f>Data!C3297</f>
        <v>0</v>
      </c>
      <c r="J3285">
        <f>Data!D3297</f>
        <v>0</v>
      </c>
      <c r="K3285">
        <f>Data!E3297</f>
        <v>0</v>
      </c>
      <c r="L3285">
        <f>Data!F3297</f>
        <v>0</v>
      </c>
      <c r="M3285">
        <f>Data!G3297</f>
        <v>0</v>
      </c>
      <c r="N3285">
        <f>Data!H3297</f>
        <v>0</v>
      </c>
      <c r="O3285">
        <f>Data!I3297</f>
        <v>0</v>
      </c>
      <c r="P3285" s="21">
        <f>Data!J3301</f>
        <v>0</v>
      </c>
      <c r="Q3285">
        <f>Data!K3301</f>
        <v>0</v>
      </c>
      <c r="R3285">
        <f>Data!L3301</f>
        <v>0</v>
      </c>
      <c r="S3285">
        <f>Data!M3301</f>
        <v>0</v>
      </c>
      <c r="T3285">
        <f>Data!N3301</f>
        <v>0</v>
      </c>
      <c r="U3285">
        <f>Data!O3301</f>
        <v>0</v>
      </c>
      <c r="V3285" s="33">
        <f>Data!P3299</f>
        <v>0</v>
      </c>
    </row>
    <row r="3286" spans="7:22" x14ac:dyDescent="0.25">
      <c r="G3286">
        <f>Data!B3298</f>
        <v>0</v>
      </c>
      <c r="H3286" s="21">
        <f>Data!B3298</f>
        <v>0</v>
      </c>
      <c r="I3286" s="21">
        <f>Data!C3298</f>
        <v>0</v>
      </c>
      <c r="J3286">
        <f>Data!D3298</f>
        <v>0</v>
      </c>
      <c r="K3286">
        <f>Data!E3298</f>
        <v>0</v>
      </c>
      <c r="L3286">
        <f>Data!F3298</f>
        <v>0</v>
      </c>
      <c r="M3286">
        <f>Data!G3298</f>
        <v>0</v>
      </c>
      <c r="N3286">
        <f>Data!H3298</f>
        <v>0</v>
      </c>
      <c r="O3286">
        <f>Data!I3298</f>
        <v>0</v>
      </c>
      <c r="P3286" s="21">
        <f>Data!J3302</f>
        <v>0</v>
      </c>
      <c r="Q3286">
        <f>Data!K3302</f>
        <v>0</v>
      </c>
      <c r="R3286">
        <f>Data!L3302</f>
        <v>0</v>
      </c>
      <c r="S3286">
        <f>Data!M3302</f>
        <v>0</v>
      </c>
      <c r="T3286">
        <f>Data!N3302</f>
        <v>0</v>
      </c>
      <c r="U3286">
        <f>Data!O3302</f>
        <v>0</v>
      </c>
      <c r="V3286" s="33">
        <f>Data!P3300</f>
        <v>0</v>
      </c>
    </row>
    <row r="3287" spans="7:22" x14ac:dyDescent="0.25">
      <c r="G3287">
        <f>Data!B3299</f>
        <v>0</v>
      </c>
      <c r="H3287" s="21">
        <f>Data!B3299</f>
        <v>0</v>
      </c>
      <c r="I3287" s="21">
        <f>Data!C3299</f>
        <v>0</v>
      </c>
      <c r="J3287">
        <f>Data!D3299</f>
        <v>0</v>
      </c>
      <c r="K3287">
        <f>Data!E3299</f>
        <v>0</v>
      </c>
      <c r="L3287">
        <f>Data!F3299</f>
        <v>0</v>
      </c>
      <c r="M3287">
        <f>Data!G3299</f>
        <v>0</v>
      </c>
      <c r="N3287">
        <f>Data!H3299</f>
        <v>0</v>
      </c>
      <c r="O3287">
        <f>Data!I3299</f>
        <v>0</v>
      </c>
      <c r="P3287" s="21">
        <f>Data!J3303</f>
        <v>0</v>
      </c>
      <c r="Q3287">
        <f>Data!K3303</f>
        <v>0</v>
      </c>
      <c r="R3287">
        <f>Data!L3303</f>
        <v>0</v>
      </c>
      <c r="S3287">
        <f>Data!M3303</f>
        <v>0</v>
      </c>
      <c r="T3287">
        <f>Data!N3303</f>
        <v>0</v>
      </c>
      <c r="U3287">
        <f>Data!O3303</f>
        <v>0</v>
      </c>
      <c r="V3287" s="33">
        <f>Data!P3301</f>
        <v>0</v>
      </c>
    </row>
    <row r="3288" spans="7:22" x14ac:dyDescent="0.25">
      <c r="G3288">
        <f>Data!B3300</f>
        <v>0</v>
      </c>
      <c r="H3288" s="21">
        <f>Data!B3300</f>
        <v>0</v>
      </c>
      <c r="I3288" s="21">
        <f>Data!C3300</f>
        <v>0</v>
      </c>
      <c r="J3288">
        <f>Data!D3300</f>
        <v>0</v>
      </c>
      <c r="K3288">
        <f>Data!E3300</f>
        <v>0</v>
      </c>
      <c r="L3288">
        <f>Data!F3300</f>
        <v>0</v>
      </c>
      <c r="M3288">
        <f>Data!G3300</f>
        <v>0</v>
      </c>
      <c r="N3288">
        <f>Data!H3300</f>
        <v>0</v>
      </c>
      <c r="O3288">
        <f>Data!I3300</f>
        <v>0</v>
      </c>
      <c r="P3288" s="21">
        <f>Data!J3304</f>
        <v>0</v>
      </c>
      <c r="Q3288">
        <f>Data!K3304</f>
        <v>0</v>
      </c>
      <c r="R3288">
        <f>Data!L3304</f>
        <v>0</v>
      </c>
      <c r="S3288">
        <f>Data!M3304</f>
        <v>0</v>
      </c>
      <c r="T3288">
        <f>Data!N3304</f>
        <v>0</v>
      </c>
      <c r="U3288">
        <f>Data!O3304</f>
        <v>0</v>
      </c>
      <c r="V3288" s="33">
        <f>Data!P3302</f>
        <v>0</v>
      </c>
    </row>
    <row r="3289" spans="7:22" x14ac:dyDescent="0.25">
      <c r="G3289">
        <f>Data!B3301</f>
        <v>0</v>
      </c>
      <c r="H3289" s="21">
        <f>Data!B3301</f>
        <v>0</v>
      </c>
      <c r="I3289" s="21">
        <f>Data!C3301</f>
        <v>0</v>
      </c>
      <c r="J3289">
        <f>Data!D3301</f>
        <v>0</v>
      </c>
      <c r="K3289">
        <f>Data!E3301</f>
        <v>0</v>
      </c>
      <c r="L3289">
        <f>Data!F3301</f>
        <v>0</v>
      </c>
      <c r="M3289">
        <f>Data!G3301</f>
        <v>0</v>
      </c>
      <c r="N3289">
        <f>Data!H3301</f>
        <v>0</v>
      </c>
      <c r="O3289">
        <f>Data!I3301</f>
        <v>0</v>
      </c>
      <c r="P3289" s="21">
        <f>Data!J3305</f>
        <v>0</v>
      </c>
      <c r="Q3289">
        <f>Data!K3305</f>
        <v>0</v>
      </c>
      <c r="R3289">
        <f>Data!L3305</f>
        <v>0</v>
      </c>
      <c r="S3289">
        <f>Data!M3305</f>
        <v>0</v>
      </c>
      <c r="T3289">
        <f>Data!N3305</f>
        <v>0</v>
      </c>
      <c r="U3289">
        <f>Data!O3305</f>
        <v>0</v>
      </c>
      <c r="V3289" s="33">
        <f>Data!P3303</f>
        <v>0</v>
      </c>
    </row>
    <row r="3290" spans="7:22" x14ac:dyDescent="0.25">
      <c r="G3290">
        <f>Data!B3302</f>
        <v>0</v>
      </c>
      <c r="H3290" s="21">
        <f>Data!B3302</f>
        <v>0</v>
      </c>
      <c r="I3290" s="21">
        <f>Data!C3302</f>
        <v>0</v>
      </c>
      <c r="J3290">
        <f>Data!D3302</f>
        <v>0</v>
      </c>
      <c r="K3290">
        <f>Data!E3302</f>
        <v>0</v>
      </c>
      <c r="L3290">
        <f>Data!F3302</f>
        <v>0</v>
      </c>
      <c r="M3290">
        <f>Data!G3302</f>
        <v>0</v>
      </c>
      <c r="N3290">
        <f>Data!H3302</f>
        <v>0</v>
      </c>
      <c r="O3290">
        <f>Data!I3302</f>
        <v>0</v>
      </c>
      <c r="P3290" s="21">
        <f>Data!J3306</f>
        <v>0</v>
      </c>
      <c r="Q3290">
        <f>Data!K3306</f>
        <v>0</v>
      </c>
      <c r="R3290">
        <f>Data!L3306</f>
        <v>0</v>
      </c>
      <c r="S3290">
        <f>Data!M3306</f>
        <v>0</v>
      </c>
      <c r="T3290">
        <f>Data!N3306</f>
        <v>0</v>
      </c>
      <c r="U3290">
        <f>Data!O3306</f>
        <v>0</v>
      </c>
      <c r="V3290" s="33">
        <f>Data!P3304</f>
        <v>0</v>
      </c>
    </row>
    <row r="3291" spans="7:22" x14ac:dyDescent="0.25">
      <c r="G3291">
        <f>Data!B3303</f>
        <v>0</v>
      </c>
      <c r="H3291" s="21">
        <f>Data!B3303</f>
        <v>0</v>
      </c>
      <c r="I3291" s="21">
        <f>Data!C3303</f>
        <v>0</v>
      </c>
      <c r="J3291">
        <f>Data!D3303</f>
        <v>0</v>
      </c>
      <c r="K3291">
        <f>Data!E3303</f>
        <v>0</v>
      </c>
      <c r="L3291">
        <f>Data!F3303</f>
        <v>0</v>
      </c>
      <c r="M3291">
        <f>Data!G3303</f>
        <v>0</v>
      </c>
      <c r="N3291">
        <f>Data!H3303</f>
        <v>0</v>
      </c>
      <c r="O3291">
        <f>Data!I3303</f>
        <v>0</v>
      </c>
      <c r="P3291" s="21">
        <f>Data!J3307</f>
        <v>0</v>
      </c>
      <c r="Q3291">
        <f>Data!K3307</f>
        <v>0</v>
      </c>
      <c r="R3291">
        <f>Data!L3307</f>
        <v>0</v>
      </c>
      <c r="S3291">
        <f>Data!M3307</f>
        <v>0</v>
      </c>
      <c r="T3291">
        <f>Data!N3307</f>
        <v>0</v>
      </c>
      <c r="U3291">
        <f>Data!O3307</f>
        <v>0</v>
      </c>
      <c r="V3291" s="33">
        <f>Data!P3305</f>
        <v>0</v>
      </c>
    </row>
    <row r="3292" spans="7:22" x14ac:dyDescent="0.25">
      <c r="G3292">
        <f>Data!B3304</f>
        <v>0</v>
      </c>
      <c r="H3292" s="21">
        <f>Data!B3304</f>
        <v>0</v>
      </c>
      <c r="I3292" s="21">
        <f>Data!C3304</f>
        <v>0</v>
      </c>
      <c r="J3292">
        <f>Data!D3304</f>
        <v>0</v>
      </c>
      <c r="K3292">
        <f>Data!E3304</f>
        <v>0</v>
      </c>
      <c r="L3292">
        <f>Data!F3304</f>
        <v>0</v>
      </c>
      <c r="M3292">
        <f>Data!G3304</f>
        <v>0</v>
      </c>
      <c r="N3292">
        <f>Data!H3304</f>
        <v>0</v>
      </c>
      <c r="O3292">
        <f>Data!I3304</f>
        <v>0</v>
      </c>
      <c r="P3292" s="21">
        <f>Data!J3308</f>
        <v>0</v>
      </c>
      <c r="Q3292">
        <f>Data!K3308</f>
        <v>0</v>
      </c>
      <c r="R3292">
        <f>Data!L3308</f>
        <v>0</v>
      </c>
      <c r="S3292">
        <f>Data!M3308</f>
        <v>0</v>
      </c>
      <c r="T3292">
        <f>Data!N3308</f>
        <v>0</v>
      </c>
      <c r="U3292">
        <f>Data!O3308</f>
        <v>0</v>
      </c>
      <c r="V3292" s="33">
        <f>Data!P3306</f>
        <v>0</v>
      </c>
    </row>
    <row r="3293" spans="7:22" x14ac:dyDescent="0.25">
      <c r="G3293">
        <f>Data!B3305</f>
        <v>0</v>
      </c>
      <c r="H3293" s="21">
        <f>Data!B3305</f>
        <v>0</v>
      </c>
      <c r="I3293" s="21">
        <f>Data!C3305</f>
        <v>0</v>
      </c>
      <c r="J3293">
        <f>Data!D3305</f>
        <v>0</v>
      </c>
      <c r="K3293">
        <f>Data!E3305</f>
        <v>0</v>
      </c>
      <c r="L3293">
        <f>Data!F3305</f>
        <v>0</v>
      </c>
      <c r="M3293">
        <f>Data!G3305</f>
        <v>0</v>
      </c>
      <c r="N3293">
        <f>Data!H3305</f>
        <v>0</v>
      </c>
      <c r="O3293">
        <f>Data!I3305</f>
        <v>0</v>
      </c>
      <c r="P3293" s="21">
        <f>Data!J3309</f>
        <v>0</v>
      </c>
      <c r="Q3293">
        <f>Data!K3309</f>
        <v>0</v>
      </c>
      <c r="R3293">
        <f>Data!L3309</f>
        <v>0</v>
      </c>
      <c r="S3293">
        <f>Data!M3309</f>
        <v>0</v>
      </c>
      <c r="T3293">
        <f>Data!N3309</f>
        <v>0</v>
      </c>
      <c r="U3293">
        <f>Data!O3309</f>
        <v>0</v>
      </c>
      <c r="V3293" s="33">
        <f>Data!P3307</f>
        <v>0</v>
      </c>
    </row>
    <row r="3294" spans="7:22" x14ac:dyDescent="0.25">
      <c r="G3294">
        <f>Data!B3306</f>
        <v>0</v>
      </c>
      <c r="H3294" s="21">
        <f>Data!B3306</f>
        <v>0</v>
      </c>
      <c r="I3294" s="21">
        <f>Data!C3306</f>
        <v>0</v>
      </c>
      <c r="J3294">
        <f>Data!D3306</f>
        <v>0</v>
      </c>
      <c r="K3294">
        <f>Data!E3306</f>
        <v>0</v>
      </c>
      <c r="L3294">
        <f>Data!F3306</f>
        <v>0</v>
      </c>
      <c r="M3294">
        <f>Data!G3306</f>
        <v>0</v>
      </c>
      <c r="N3294">
        <f>Data!H3306</f>
        <v>0</v>
      </c>
      <c r="O3294">
        <f>Data!I3306</f>
        <v>0</v>
      </c>
      <c r="P3294" s="21">
        <f>Data!J3310</f>
        <v>0</v>
      </c>
      <c r="Q3294">
        <f>Data!K3310</f>
        <v>0</v>
      </c>
      <c r="R3294">
        <f>Data!L3310</f>
        <v>0</v>
      </c>
      <c r="S3294">
        <f>Data!M3310</f>
        <v>0</v>
      </c>
      <c r="T3294">
        <f>Data!N3310</f>
        <v>0</v>
      </c>
      <c r="U3294">
        <f>Data!O3310</f>
        <v>0</v>
      </c>
      <c r="V3294" s="33">
        <f>Data!P3308</f>
        <v>0</v>
      </c>
    </row>
    <row r="3295" spans="7:22" x14ac:dyDescent="0.25">
      <c r="G3295">
        <f>Data!B3307</f>
        <v>0</v>
      </c>
      <c r="H3295" s="21">
        <f>Data!B3307</f>
        <v>0</v>
      </c>
      <c r="I3295" s="21">
        <f>Data!C3307</f>
        <v>0</v>
      </c>
      <c r="J3295">
        <f>Data!D3307</f>
        <v>0</v>
      </c>
      <c r="K3295">
        <f>Data!E3307</f>
        <v>0</v>
      </c>
      <c r="L3295">
        <f>Data!F3307</f>
        <v>0</v>
      </c>
      <c r="M3295">
        <f>Data!G3307</f>
        <v>0</v>
      </c>
      <c r="N3295">
        <f>Data!H3307</f>
        <v>0</v>
      </c>
      <c r="O3295">
        <f>Data!I3307</f>
        <v>0</v>
      </c>
      <c r="P3295" s="21">
        <f>Data!J3311</f>
        <v>0</v>
      </c>
      <c r="Q3295">
        <f>Data!K3311</f>
        <v>0</v>
      </c>
      <c r="R3295">
        <f>Data!L3311</f>
        <v>0</v>
      </c>
      <c r="S3295">
        <f>Data!M3311</f>
        <v>0</v>
      </c>
      <c r="T3295">
        <f>Data!N3311</f>
        <v>0</v>
      </c>
      <c r="U3295">
        <f>Data!O3311</f>
        <v>0</v>
      </c>
      <c r="V3295" s="33">
        <f>Data!P3309</f>
        <v>0</v>
      </c>
    </row>
    <row r="3296" spans="7:22" x14ac:dyDescent="0.25">
      <c r="G3296">
        <f>Data!B3308</f>
        <v>0</v>
      </c>
      <c r="H3296" s="21">
        <f>Data!B3308</f>
        <v>0</v>
      </c>
      <c r="I3296" s="21">
        <f>Data!C3308</f>
        <v>0</v>
      </c>
      <c r="J3296">
        <f>Data!D3308</f>
        <v>0</v>
      </c>
      <c r="K3296">
        <f>Data!E3308</f>
        <v>0</v>
      </c>
      <c r="L3296">
        <f>Data!F3308</f>
        <v>0</v>
      </c>
      <c r="M3296">
        <f>Data!G3308</f>
        <v>0</v>
      </c>
      <c r="N3296">
        <f>Data!H3308</f>
        <v>0</v>
      </c>
      <c r="O3296">
        <f>Data!I3308</f>
        <v>0</v>
      </c>
      <c r="P3296" s="21">
        <f>Data!J3312</f>
        <v>0</v>
      </c>
      <c r="Q3296">
        <f>Data!K3312</f>
        <v>0</v>
      </c>
      <c r="R3296">
        <f>Data!L3312</f>
        <v>0</v>
      </c>
      <c r="S3296">
        <f>Data!M3312</f>
        <v>0</v>
      </c>
      <c r="T3296">
        <f>Data!N3312</f>
        <v>0</v>
      </c>
      <c r="U3296">
        <f>Data!O3312</f>
        <v>0</v>
      </c>
      <c r="V3296" s="33">
        <f>Data!P3310</f>
        <v>0</v>
      </c>
    </row>
    <row r="3297" spans="7:22" x14ac:dyDescent="0.25">
      <c r="G3297">
        <f>Data!B3309</f>
        <v>0</v>
      </c>
      <c r="H3297" s="21">
        <f>Data!B3309</f>
        <v>0</v>
      </c>
      <c r="I3297" s="21">
        <f>Data!C3309</f>
        <v>0</v>
      </c>
      <c r="J3297">
        <f>Data!D3309</f>
        <v>0</v>
      </c>
      <c r="K3297">
        <f>Data!E3309</f>
        <v>0</v>
      </c>
      <c r="L3297">
        <f>Data!F3309</f>
        <v>0</v>
      </c>
      <c r="M3297">
        <f>Data!G3309</f>
        <v>0</v>
      </c>
      <c r="N3297">
        <f>Data!H3309</f>
        <v>0</v>
      </c>
      <c r="O3297">
        <f>Data!I3309</f>
        <v>0</v>
      </c>
      <c r="P3297" s="21">
        <f>Data!J3313</f>
        <v>0</v>
      </c>
      <c r="Q3297">
        <f>Data!K3313</f>
        <v>0</v>
      </c>
      <c r="R3297">
        <f>Data!L3313</f>
        <v>0</v>
      </c>
      <c r="S3297">
        <f>Data!M3313</f>
        <v>0</v>
      </c>
      <c r="T3297">
        <f>Data!N3313</f>
        <v>0</v>
      </c>
      <c r="U3297">
        <f>Data!O3313</f>
        <v>0</v>
      </c>
      <c r="V3297" s="33">
        <f>Data!P3311</f>
        <v>0</v>
      </c>
    </row>
    <row r="3298" spans="7:22" x14ac:dyDescent="0.25">
      <c r="G3298">
        <f>Data!B3310</f>
        <v>0</v>
      </c>
      <c r="H3298" s="21">
        <f>Data!B3310</f>
        <v>0</v>
      </c>
      <c r="I3298" s="21">
        <f>Data!C3310</f>
        <v>0</v>
      </c>
      <c r="J3298">
        <f>Data!D3310</f>
        <v>0</v>
      </c>
      <c r="K3298">
        <f>Data!E3310</f>
        <v>0</v>
      </c>
      <c r="L3298">
        <f>Data!F3310</f>
        <v>0</v>
      </c>
      <c r="M3298">
        <f>Data!G3310</f>
        <v>0</v>
      </c>
      <c r="N3298">
        <f>Data!H3310</f>
        <v>0</v>
      </c>
      <c r="O3298">
        <f>Data!I3310</f>
        <v>0</v>
      </c>
      <c r="P3298" s="21">
        <f>Data!J3314</f>
        <v>0</v>
      </c>
      <c r="Q3298">
        <f>Data!K3314</f>
        <v>0</v>
      </c>
      <c r="R3298">
        <f>Data!L3314</f>
        <v>0</v>
      </c>
      <c r="S3298">
        <f>Data!M3314</f>
        <v>0</v>
      </c>
      <c r="T3298">
        <f>Data!N3314</f>
        <v>0</v>
      </c>
      <c r="U3298">
        <f>Data!O3314</f>
        <v>0</v>
      </c>
      <c r="V3298" s="33">
        <f>Data!P3312</f>
        <v>0</v>
      </c>
    </row>
    <row r="3299" spans="7:22" x14ac:dyDescent="0.25">
      <c r="G3299">
        <f>Data!B3311</f>
        <v>0</v>
      </c>
      <c r="H3299" s="21">
        <f>Data!B3311</f>
        <v>0</v>
      </c>
      <c r="I3299" s="21">
        <f>Data!C3311</f>
        <v>0</v>
      </c>
      <c r="J3299">
        <f>Data!D3311</f>
        <v>0</v>
      </c>
      <c r="K3299">
        <f>Data!E3311</f>
        <v>0</v>
      </c>
      <c r="L3299">
        <f>Data!F3311</f>
        <v>0</v>
      </c>
      <c r="M3299">
        <f>Data!G3311</f>
        <v>0</v>
      </c>
      <c r="N3299">
        <f>Data!H3311</f>
        <v>0</v>
      </c>
      <c r="O3299">
        <f>Data!I3311</f>
        <v>0</v>
      </c>
      <c r="P3299" s="21">
        <f>Data!J3315</f>
        <v>0</v>
      </c>
      <c r="Q3299">
        <f>Data!K3315</f>
        <v>0</v>
      </c>
      <c r="R3299">
        <f>Data!L3315</f>
        <v>0</v>
      </c>
      <c r="S3299">
        <f>Data!M3315</f>
        <v>0</v>
      </c>
      <c r="T3299">
        <f>Data!N3315</f>
        <v>0</v>
      </c>
      <c r="U3299">
        <f>Data!O3315</f>
        <v>0</v>
      </c>
      <c r="V3299" s="33">
        <f>Data!P3313</f>
        <v>0</v>
      </c>
    </row>
    <row r="3300" spans="7:22" x14ac:dyDescent="0.25">
      <c r="G3300">
        <f>Data!B3312</f>
        <v>0</v>
      </c>
      <c r="H3300" s="21">
        <f>Data!B3312</f>
        <v>0</v>
      </c>
      <c r="I3300" s="21">
        <f>Data!C3312</f>
        <v>0</v>
      </c>
      <c r="J3300">
        <f>Data!D3312</f>
        <v>0</v>
      </c>
      <c r="K3300">
        <f>Data!E3312</f>
        <v>0</v>
      </c>
      <c r="L3300">
        <f>Data!F3312</f>
        <v>0</v>
      </c>
      <c r="M3300">
        <f>Data!G3312</f>
        <v>0</v>
      </c>
      <c r="N3300">
        <f>Data!H3312</f>
        <v>0</v>
      </c>
      <c r="O3300">
        <f>Data!I3312</f>
        <v>0</v>
      </c>
      <c r="P3300" s="21">
        <f>Data!J3316</f>
        <v>0</v>
      </c>
      <c r="Q3300">
        <f>Data!K3316</f>
        <v>0</v>
      </c>
      <c r="R3300">
        <f>Data!L3316</f>
        <v>0</v>
      </c>
      <c r="S3300">
        <f>Data!M3316</f>
        <v>0</v>
      </c>
      <c r="T3300">
        <f>Data!N3316</f>
        <v>0</v>
      </c>
      <c r="U3300">
        <f>Data!O3316</f>
        <v>0</v>
      </c>
      <c r="V3300" s="33">
        <f>Data!P3314</f>
        <v>0</v>
      </c>
    </row>
    <row r="3301" spans="7:22" x14ac:dyDescent="0.25">
      <c r="G3301">
        <f>Data!B3313</f>
        <v>0</v>
      </c>
      <c r="H3301" s="21">
        <f>Data!B3313</f>
        <v>0</v>
      </c>
      <c r="I3301" s="21">
        <f>Data!C3313</f>
        <v>0</v>
      </c>
      <c r="J3301">
        <f>Data!D3313</f>
        <v>0</v>
      </c>
      <c r="K3301">
        <f>Data!E3313</f>
        <v>0</v>
      </c>
      <c r="L3301">
        <f>Data!F3313</f>
        <v>0</v>
      </c>
      <c r="M3301">
        <f>Data!G3313</f>
        <v>0</v>
      </c>
      <c r="N3301">
        <f>Data!H3313</f>
        <v>0</v>
      </c>
      <c r="O3301">
        <f>Data!I3313</f>
        <v>0</v>
      </c>
      <c r="P3301" s="21">
        <f>Data!J3317</f>
        <v>0</v>
      </c>
      <c r="Q3301">
        <f>Data!K3317</f>
        <v>0</v>
      </c>
      <c r="R3301">
        <f>Data!L3317</f>
        <v>0</v>
      </c>
      <c r="S3301">
        <f>Data!M3317</f>
        <v>0</v>
      </c>
      <c r="T3301">
        <f>Data!N3317</f>
        <v>0</v>
      </c>
      <c r="U3301">
        <f>Data!O3317</f>
        <v>0</v>
      </c>
      <c r="V3301" s="33">
        <f>Data!P3315</f>
        <v>0</v>
      </c>
    </row>
    <row r="3302" spans="7:22" x14ac:dyDescent="0.25">
      <c r="G3302">
        <f>Data!B3314</f>
        <v>0</v>
      </c>
      <c r="H3302" s="21">
        <f>Data!B3314</f>
        <v>0</v>
      </c>
      <c r="I3302" s="21">
        <f>Data!C3314</f>
        <v>0</v>
      </c>
      <c r="J3302">
        <f>Data!D3314</f>
        <v>0</v>
      </c>
      <c r="K3302">
        <f>Data!E3314</f>
        <v>0</v>
      </c>
      <c r="L3302">
        <f>Data!F3314</f>
        <v>0</v>
      </c>
      <c r="M3302">
        <f>Data!G3314</f>
        <v>0</v>
      </c>
      <c r="N3302">
        <f>Data!H3314</f>
        <v>0</v>
      </c>
      <c r="O3302">
        <f>Data!I3314</f>
        <v>0</v>
      </c>
      <c r="P3302" s="21">
        <f>Data!J3318</f>
        <v>0</v>
      </c>
      <c r="Q3302">
        <f>Data!K3318</f>
        <v>0</v>
      </c>
      <c r="R3302">
        <f>Data!L3318</f>
        <v>0</v>
      </c>
      <c r="S3302">
        <f>Data!M3318</f>
        <v>0</v>
      </c>
      <c r="T3302">
        <f>Data!N3318</f>
        <v>0</v>
      </c>
      <c r="U3302">
        <f>Data!O3318</f>
        <v>0</v>
      </c>
      <c r="V3302" s="33">
        <f>Data!P3316</f>
        <v>0</v>
      </c>
    </row>
    <row r="3303" spans="7:22" x14ac:dyDescent="0.25">
      <c r="G3303">
        <f>Data!B3315</f>
        <v>0</v>
      </c>
      <c r="H3303" s="21">
        <f>Data!B3315</f>
        <v>0</v>
      </c>
      <c r="I3303" s="21">
        <f>Data!C3315</f>
        <v>0</v>
      </c>
      <c r="J3303">
        <f>Data!D3315</f>
        <v>0</v>
      </c>
      <c r="K3303">
        <f>Data!E3315</f>
        <v>0</v>
      </c>
      <c r="L3303">
        <f>Data!F3315</f>
        <v>0</v>
      </c>
      <c r="M3303">
        <f>Data!G3315</f>
        <v>0</v>
      </c>
      <c r="N3303">
        <f>Data!H3315</f>
        <v>0</v>
      </c>
      <c r="O3303">
        <f>Data!I3315</f>
        <v>0</v>
      </c>
      <c r="P3303" s="21">
        <f>Data!J3319</f>
        <v>0</v>
      </c>
      <c r="Q3303">
        <f>Data!K3319</f>
        <v>0</v>
      </c>
      <c r="R3303">
        <f>Data!L3319</f>
        <v>0</v>
      </c>
      <c r="S3303">
        <f>Data!M3319</f>
        <v>0</v>
      </c>
      <c r="T3303">
        <f>Data!N3319</f>
        <v>0</v>
      </c>
      <c r="U3303">
        <f>Data!O3319</f>
        <v>0</v>
      </c>
      <c r="V3303" s="33">
        <f>Data!P3317</f>
        <v>0</v>
      </c>
    </row>
    <row r="3304" spans="7:22" x14ac:dyDescent="0.25">
      <c r="G3304">
        <f>Data!B3316</f>
        <v>0</v>
      </c>
      <c r="H3304" s="21">
        <f>Data!B3316</f>
        <v>0</v>
      </c>
      <c r="I3304" s="21">
        <f>Data!C3316</f>
        <v>0</v>
      </c>
      <c r="J3304">
        <f>Data!D3316</f>
        <v>0</v>
      </c>
      <c r="K3304">
        <f>Data!E3316</f>
        <v>0</v>
      </c>
      <c r="L3304">
        <f>Data!F3316</f>
        <v>0</v>
      </c>
      <c r="M3304">
        <f>Data!G3316</f>
        <v>0</v>
      </c>
      <c r="N3304">
        <f>Data!H3316</f>
        <v>0</v>
      </c>
      <c r="O3304">
        <f>Data!I3316</f>
        <v>0</v>
      </c>
      <c r="P3304" s="21">
        <f>Data!J3320</f>
        <v>0</v>
      </c>
      <c r="Q3304">
        <f>Data!K3320</f>
        <v>0</v>
      </c>
      <c r="R3304">
        <f>Data!L3320</f>
        <v>0</v>
      </c>
      <c r="S3304">
        <f>Data!M3320</f>
        <v>0</v>
      </c>
      <c r="T3304">
        <f>Data!N3320</f>
        <v>0</v>
      </c>
      <c r="U3304">
        <f>Data!O3320</f>
        <v>0</v>
      </c>
      <c r="V3304" s="33">
        <f>Data!P3318</f>
        <v>0</v>
      </c>
    </row>
    <row r="3305" spans="7:22" x14ac:dyDescent="0.25">
      <c r="G3305">
        <f>Data!B3317</f>
        <v>0</v>
      </c>
      <c r="H3305" s="21">
        <f>Data!B3317</f>
        <v>0</v>
      </c>
      <c r="I3305" s="21">
        <f>Data!C3317</f>
        <v>0</v>
      </c>
      <c r="J3305">
        <f>Data!D3317</f>
        <v>0</v>
      </c>
      <c r="K3305">
        <f>Data!E3317</f>
        <v>0</v>
      </c>
      <c r="L3305">
        <f>Data!F3317</f>
        <v>0</v>
      </c>
      <c r="M3305">
        <f>Data!G3317</f>
        <v>0</v>
      </c>
      <c r="N3305">
        <f>Data!H3317</f>
        <v>0</v>
      </c>
      <c r="O3305">
        <f>Data!I3317</f>
        <v>0</v>
      </c>
      <c r="P3305" s="21">
        <f>Data!J3321</f>
        <v>0</v>
      </c>
      <c r="Q3305">
        <f>Data!K3321</f>
        <v>0</v>
      </c>
      <c r="R3305">
        <f>Data!L3321</f>
        <v>0</v>
      </c>
      <c r="S3305">
        <f>Data!M3321</f>
        <v>0</v>
      </c>
      <c r="T3305">
        <f>Data!N3321</f>
        <v>0</v>
      </c>
      <c r="U3305">
        <f>Data!O3321</f>
        <v>0</v>
      </c>
      <c r="V3305" s="33">
        <f>Data!P3319</f>
        <v>0</v>
      </c>
    </row>
    <row r="3306" spans="7:22" x14ac:dyDescent="0.25">
      <c r="G3306">
        <f>Data!B3318</f>
        <v>0</v>
      </c>
      <c r="H3306" s="21">
        <f>Data!B3318</f>
        <v>0</v>
      </c>
      <c r="I3306" s="21">
        <f>Data!C3318</f>
        <v>0</v>
      </c>
      <c r="J3306">
        <f>Data!D3318</f>
        <v>0</v>
      </c>
      <c r="K3306">
        <f>Data!E3318</f>
        <v>0</v>
      </c>
      <c r="L3306">
        <f>Data!F3318</f>
        <v>0</v>
      </c>
      <c r="M3306">
        <f>Data!G3318</f>
        <v>0</v>
      </c>
      <c r="N3306">
        <f>Data!H3318</f>
        <v>0</v>
      </c>
      <c r="O3306">
        <f>Data!I3318</f>
        <v>0</v>
      </c>
      <c r="P3306" s="21">
        <f>Data!J3322</f>
        <v>0</v>
      </c>
      <c r="Q3306">
        <f>Data!K3322</f>
        <v>0</v>
      </c>
      <c r="R3306">
        <f>Data!L3322</f>
        <v>0</v>
      </c>
      <c r="S3306">
        <f>Data!M3322</f>
        <v>0</v>
      </c>
      <c r="T3306">
        <f>Data!N3322</f>
        <v>0</v>
      </c>
      <c r="U3306">
        <f>Data!O3322</f>
        <v>0</v>
      </c>
      <c r="V3306" s="33">
        <f>Data!P3320</f>
        <v>0</v>
      </c>
    </row>
    <row r="3307" spans="7:22" x14ac:dyDescent="0.25">
      <c r="G3307">
        <f>Data!B3319</f>
        <v>0</v>
      </c>
      <c r="H3307" s="21">
        <f>Data!B3319</f>
        <v>0</v>
      </c>
      <c r="I3307" s="21">
        <f>Data!C3319</f>
        <v>0</v>
      </c>
      <c r="J3307">
        <f>Data!D3319</f>
        <v>0</v>
      </c>
      <c r="K3307">
        <f>Data!E3319</f>
        <v>0</v>
      </c>
      <c r="L3307">
        <f>Data!F3319</f>
        <v>0</v>
      </c>
      <c r="M3307">
        <f>Data!G3319</f>
        <v>0</v>
      </c>
      <c r="N3307">
        <f>Data!H3319</f>
        <v>0</v>
      </c>
      <c r="O3307">
        <f>Data!I3319</f>
        <v>0</v>
      </c>
      <c r="P3307" s="21">
        <f>Data!J3323</f>
        <v>0</v>
      </c>
      <c r="Q3307">
        <f>Data!K3323</f>
        <v>0</v>
      </c>
      <c r="R3307">
        <f>Data!L3323</f>
        <v>0</v>
      </c>
      <c r="S3307">
        <f>Data!M3323</f>
        <v>0</v>
      </c>
      <c r="T3307">
        <f>Data!N3323</f>
        <v>0</v>
      </c>
      <c r="U3307">
        <f>Data!O3323</f>
        <v>0</v>
      </c>
      <c r="V3307" s="33">
        <f>Data!P3321</f>
        <v>0</v>
      </c>
    </row>
    <row r="3308" spans="7:22" x14ac:dyDescent="0.25">
      <c r="G3308">
        <f>Data!B3320</f>
        <v>0</v>
      </c>
      <c r="H3308" s="21">
        <f>Data!B3320</f>
        <v>0</v>
      </c>
      <c r="I3308" s="21">
        <f>Data!C3320</f>
        <v>0</v>
      </c>
      <c r="J3308">
        <f>Data!D3320</f>
        <v>0</v>
      </c>
      <c r="K3308">
        <f>Data!E3320</f>
        <v>0</v>
      </c>
      <c r="L3308">
        <f>Data!F3320</f>
        <v>0</v>
      </c>
      <c r="M3308">
        <f>Data!G3320</f>
        <v>0</v>
      </c>
      <c r="N3308">
        <f>Data!H3320</f>
        <v>0</v>
      </c>
      <c r="O3308">
        <f>Data!I3320</f>
        <v>0</v>
      </c>
      <c r="P3308" s="21">
        <f>Data!J3324</f>
        <v>0</v>
      </c>
      <c r="Q3308">
        <f>Data!K3324</f>
        <v>0</v>
      </c>
      <c r="R3308">
        <f>Data!L3324</f>
        <v>0</v>
      </c>
      <c r="S3308">
        <f>Data!M3324</f>
        <v>0</v>
      </c>
      <c r="T3308">
        <f>Data!N3324</f>
        <v>0</v>
      </c>
      <c r="U3308">
        <f>Data!O3324</f>
        <v>0</v>
      </c>
      <c r="V3308" s="33">
        <f>Data!P3322</f>
        <v>0</v>
      </c>
    </row>
    <row r="3309" spans="7:22" x14ac:dyDescent="0.25">
      <c r="G3309">
        <f>Data!B3321</f>
        <v>0</v>
      </c>
      <c r="H3309" s="21">
        <f>Data!B3321</f>
        <v>0</v>
      </c>
      <c r="I3309" s="21">
        <f>Data!C3321</f>
        <v>0</v>
      </c>
      <c r="J3309">
        <f>Data!D3321</f>
        <v>0</v>
      </c>
      <c r="K3309">
        <f>Data!E3321</f>
        <v>0</v>
      </c>
      <c r="L3309">
        <f>Data!F3321</f>
        <v>0</v>
      </c>
      <c r="M3309">
        <f>Data!G3321</f>
        <v>0</v>
      </c>
      <c r="N3309">
        <f>Data!H3321</f>
        <v>0</v>
      </c>
      <c r="O3309">
        <f>Data!I3321</f>
        <v>0</v>
      </c>
      <c r="P3309" s="21">
        <f>Data!J3325</f>
        <v>0</v>
      </c>
      <c r="Q3309">
        <f>Data!K3325</f>
        <v>0</v>
      </c>
      <c r="R3309">
        <f>Data!L3325</f>
        <v>0</v>
      </c>
      <c r="S3309">
        <f>Data!M3325</f>
        <v>0</v>
      </c>
      <c r="T3309">
        <f>Data!N3325</f>
        <v>0</v>
      </c>
      <c r="U3309">
        <f>Data!O3325</f>
        <v>0</v>
      </c>
      <c r="V3309" s="33">
        <f>Data!P3323</f>
        <v>0</v>
      </c>
    </row>
    <row r="3310" spans="7:22" x14ac:dyDescent="0.25">
      <c r="G3310">
        <f>Data!B3322</f>
        <v>0</v>
      </c>
      <c r="H3310" s="21">
        <f>Data!B3322</f>
        <v>0</v>
      </c>
      <c r="I3310" s="21">
        <f>Data!C3322</f>
        <v>0</v>
      </c>
      <c r="J3310">
        <f>Data!D3322</f>
        <v>0</v>
      </c>
      <c r="K3310">
        <f>Data!E3322</f>
        <v>0</v>
      </c>
      <c r="L3310">
        <f>Data!F3322</f>
        <v>0</v>
      </c>
      <c r="M3310">
        <f>Data!G3322</f>
        <v>0</v>
      </c>
      <c r="N3310">
        <f>Data!H3322</f>
        <v>0</v>
      </c>
      <c r="O3310">
        <f>Data!I3322</f>
        <v>0</v>
      </c>
      <c r="P3310" s="21">
        <f>Data!J3326</f>
        <v>0</v>
      </c>
      <c r="Q3310">
        <f>Data!K3326</f>
        <v>0</v>
      </c>
      <c r="R3310">
        <f>Data!L3326</f>
        <v>0</v>
      </c>
      <c r="S3310">
        <f>Data!M3326</f>
        <v>0</v>
      </c>
      <c r="T3310">
        <f>Data!N3326</f>
        <v>0</v>
      </c>
      <c r="U3310">
        <f>Data!O3326</f>
        <v>0</v>
      </c>
      <c r="V3310" s="33">
        <f>Data!P3324</f>
        <v>0</v>
      </c>
    </row>
    <row r="3311" spans="7:22" x14ac:dyDescent="0.25">
      <c r="G3311">
        <f>Data!B3323</f>
        <v>0</v>
      </c>
      <c r="H3311" s="21">
        <f>Data!B3323</f>
        <v>0</v>
      </c>
      <c r="I3311" s="21">
        <f>Data!C3323</f>
        <v>0</v>
      </c>
      <c r="J3311">
        <f>Data!D3323</f>
        <v>0</v>
      </c>
      <c r="K3311">
        <f>Data!E3323</f>
        <v>0</v>
      </c>
      <c r="L3311">
        <f>Data!F3323</f>
        <v>0</v>
      </c>
      <c r="M3311">
        <f>Data!G3323</f>
        <v>0</v>
      </c>
      <c r="N3311">
        <f>Data!H3323</f>
        <v>0</v>
      </c>
      <c r="O3311">
        <f>Data!I3323</f>
        <v>0</v>
      </c>
      <c r="P3311" s="21">
        <f>Data!J3327</f>
        <v>0</v>
      </c>
      <c r="Q3311">
        <f>Data!K3327</f>
        <v>0</v>
      </c>
      <c r="R3311">
        <f>Data!L3327</f>
        <v>0</v>
      </c>
      <c r="S3311">
        <f>Data!M3327</f>
        <v>0</v>
      </c>
      <c r="T3311">
        <f>Data!N3327</f>
        <v>0</v>
      </c>
      <c r="U3311">
        <f>Data!O3327</f>
        <v>0</v>
      </c>
      <c r="V3311" s="33">
        <f>Data!P3325</f>
        <v>0</v>
      </c>
    </row>
    <row r="3312" spans="7:22" x14ac:dyDescent="0.25">
      <c r="G3312">
        <f>Data!B3324</f>
        <v>0</v>
      </c>
      <c r="H3312" s="21">
        <f>Data!B3324</f>
        <v>0</v>
      </c>
      <c r="I3312" s="21">
        <f>Data!C3324</f>
        <v>0</v>
      </c>
      <c r="J3312">
        <f>Data!D3324</f>
        <v>0</v>
      </c>
      <c r="K3312">
        <f>Data!E3324</f>
        <v>0</v>
      </c>
      <c r="L3312">
        <f>Data!F3324</f>
        <v>0</v>
      </c>
      <c r="M3312">
        <f>Data!G3324</f>
        <v>0</v>
      </c>
      <c r="N3312">
        <f>Data!H3324</f>
        <v>0</v>
      </c>
      <c r="O3312">
        <f>Data!I3324</f>
        <v>0</v>
      </c>
      <c r="P3312" s="21">
        <f>Data!J3328</f>
        <v>0</v>
      </c>
      <c r="Q3312">
        <f>Data!K3328</f>
        <v>0</v>
      </c>
      <c r="R3312">
        <f>Data!L3328</f>
        <v>0</v>
      </c>
      <c r="S3312">
        <f>Data!M3328</f>
        <v>0</v>
      </c>
      <c r="T3312">
        <f>Data!N3328</f>
        <v>0</v>
      </c>
      <c r="U3312">
        <f>Data!O3328</f>
        <v>0</v>
      </c>
      <c r="V3312" s="33">
        <f>Data!P3326</f>
        <v>0</v>
      </c>
    </row>
    <row r="3313" spans="7:22" x14ac:dyDescent="0.25">
      <c r="G3313">
        <f>Data!B3325</f>
        <v>0</v>
      </c>
      <c r="H3313" s="21">
        <f>Data!B3325</f>
        <v>0</v>
      </c>
      <c r="I3313" s="21">
        <f>Data!C3325</f>
        <v>0</v>
      </c>
      <c r="J3313">
        <f>Data!D3325</f>
        <v>0</v>
      </c>
      <c r="K3313">
        <f>Data!E3325</f>
        <v>0</v>
      </c>
      <c r="L3313">
        <f>Data!F3325</f>
        <v>0</v>
      </c>
      <c r="M3313">
        <f>Data!G3325</f>
        <v>0</v>
      </c>
      <c r="N3313">
        <f>Data!H3325</f>
        <v>0</v>
      </c>
      <c r="O3313">
        <f>Data!I3325</f>
        <v>0</v>
      </c>
      <c r="P3313" s="21">
        <f>Data!J3329</f>
        <v>0</v>
      </c>
      <c r="Q3313">
        <f>Data!K3329</f>
        <v>0</v>
      </c>
      <c r="R3313">
        <f>Data!L3329</f>
        <v>0</v>
      </c>
      <c r="S3313">
        <f>Data!M3329</f>
        <v>0</v>
      </c>
      <c r="T3313">
        <f>Data!N3329</f>
        <v>0</v>
      </c>
      <c r="U3313">
        <f>Data!O3329</f>
        <v>0</v>
      </c>
      <c r="V3313" s="33">
        <f>Data!P3327</f>
        <v>0</v>
      </c>
    </row>
    <row r="3314" spans="7:22" x14ac:dyDescent="0.25">
      <c r="G3314">
        <f>Data!B3326</f>
        <v>0</v>
      </c>
      <c r="H3314" s="21">
        <f>Data!B3326</f>
        <v>0</v>
      </c>
      <c r="I3314" s="21">
        <f>Data!C3326</f>
        <v>0</v>
      </c>
      <c r="J3314">
        <f>Data!D3326</f>
        <v>0</v>
      </c>
      <c r="K3314">
        <f>Data!E3326</f>
        <v>0</v>
      </c>
      <c r="L3314">
        <f>Data!F3326</f>
        <v>0</v>
      </c>
      <c r="M3314">
        <f>Data!G3326</f>
        <v>0</v>
      </c>
      <c r="N3314">
        <f>Data!H3326</f>
        <v>0</v>
      </c>
      <c r="O3314">
        <f>Data!I3326</f>
        <v>0</v>
      </c>
      <c r="P3314" s="21">
        <f>Data!J3330</f>
        <v>0</v>
      </c>
      <c r="Q3314">
        <f>Data!K3330</f>
        <v>0</v>
      </c>
      <c r="R3314">
        <f>Data!L3330</f>
        <v>0</v>
      </c>
      <c r="S3314">
        <f>Data!M3330</f>
        <v>0</v>
      </c>
      <c r="T3314">
        <f>Data!N3330</f>
        <v>0</v>
      </c>
      <c r="U3314">
        <f>Data!O3330</f>
        <v>0</v>
      </c>
      <c r="V3314" s="33">
        <f>Data!P3328</f>
        <v>0</v>
      </c>
    </row>
    <row r="3315" spans="7:22" x14ac:dyDescent="0.25">
      <c r="G3315">
        <f>Data!B3327</f>
        <v>0</v>
      </c>
      <c r="H3315" s="21">
        <f>Data!B3327</f>
        <v>0</v>
      </c>
      <c r="I3315" s="21">
        <f>Data!C3327</f>
        <v>0</v>
      </c>
      <c r="J3315">
        <f>Data!D3327</f>
        <v>0</v>
      </c>
      <c r="K3315">
        <f>Data!E3327</f>
        <v>0</v>
      </c>
      <c r="L3315">
        <f>Data!F3327</f>
        <v>0</v>
      </c>
      <c r="M3315">
        <f>Data!G3327</f>
        <v>0</v>
      </c>
      <c r="N3315">
        <f>Data!H3327</f>
        <v>0</v>
      </c>
      <c r="O3315">
        <f>Data!I3327</f>
        <v>0</v>
      </c>
      <c r="P3315" s="21">
        <f>Data!J3331</f>
        <v>0</v>
      </c>
      <c r="Q3315">
        <f>Data!K3331</f>
        <v>0</v>
      </c>
      <c r="R3315">
        <f>Data!L3331</f>
        <v>0</v>
      </c>
      <c r="S3315">
        <f>Data!M3331</f>
        <v>0</v>
      </c>
      <c r="T3315">
        <f>Data!N3331</f>
        <v>0</v>
      </c>
      <c r="U3315">
        <f>Data!O3331</f>
        <v>0</v>
      </c>
      <c r="V3315" s="33">
        <f>Data!P3329</f>
        <v>0</v>
      </c>
    </row>
    <row r="3316" spans="7:22" x14ac:dyDescent="0.25">
      <c r="G3316">
        <f>Data!B3328</f>
        <v>0</v>
      </c>
      <c r="H3316" s="21">
        <f>Data!B3328</f>
        <v>0</v>
      </c>
      <c r="I3316" s="21">
        <f>Data!C3328</f>
        <v>0</v>
      </c>
      <c r="J3316">
        <f>Data!D3328</f>
        <v>0</v>
      </c>
      <c r="K3316">
        <f>Data!E3328</f>
        <v>0</v>
      </c>
      <c r="L3316">
        <f>Data!F3328</f>
        <v>0</v>
      </c>
      <c r="M3316">
        <f>Data!G3328</f>
        <v>0</v>
      </c>
      <c r="N3316">
        <f>Data!H3328</f>
        <v>0</v>
      </c>
      <c r="O3316">
        <f>Data!I3328</f>
        <v>0</v>
      </c>
      <c r="P3316" s="21">
        <f>Data!J3332</f>
        <v>0</v>
      </c>
      <c r="Q3316">
        <f>Data!K3332</f>
        <v>0</v>
      </c>
      <c r="R3316">
        <f>Data!L3332</f>
        <v>0</v>
      </c>
      <c r="S3316">
        <f>Data!M3332</f>
        <v>0</v>
      </c>
      <c r="T3316">
        <f>Data!N3332</f>
        <v>0</v>
      </c>
      <c r="U3316">
        <f>Data!O3332</f>
        <v>0</v>
      </c>
      <c r="V3316" s="33">
        <f>Data!P3330</f>
        <v>0</v>
      </c>
    </row>
    <row r="3317" spans="7:22" x14ac:dyDescent="0.25">
      <c r="G3317">
        <f>Data!B3329</f>
        <v>0</v>
      </c>
      <c r="H3317" s="21">
        <f>Data!B3329</f>
        <v>0</v>
      </c>
      <c r="I3317" s="21">
        <f>Data!C3329</f>
        <v>0</v>
      </c>
      <c r="J3317">
        <f>Data!D3329</f>
        <v>0</v>
      </c>
      <c r="K3317">
        <f>Data!E3329</f>
        <v>0</v>
      </c>
      <c r="L3317">
        <f>Data!F3329</f>
        <v>0</v>
      </c>
      <c r="M3317">
        <f>Data!G3329</f>
        <v>0</v>
      </c>
      <c r="N3317">
        <f>Data!H3329</f>
        <v>0</v>
      </c>
      <c r="O3317">
        <f>Data!I3329</f>
        <v>0</v>
      </c>
      <c r="P3317" s="21">
        <f>Data!J3333</f>
        <v>0</v>
      </c>
      <c r="Q3317">
        <f>Data!K3333</f>
        <v>0</v>
      </c>
      <c r="R3317">
        <f>Data!L3333</f>
        <v>0</v>
      </c>
      <c r="S3317">
        <f>Data!M3333</f>
        <v>0</v>
      </c>
      <c r="T3317">
        <f>Data!N3333</f>
        <v>0</v>
      </c>
      <c r="U3317">
        <f>Data!O3333</f>
        <v>0</v>
      </c>
      <c r="V3317" s="33">
        <f>Data!P3331</f>
        <v>0</v>
      </c>
    </row>
    <row r="3318" spans="7:22" x14ac:dyDescent="0.25">
      <c r="G3318">
        <f>Data!B3330</f>
        <v>0</v>
      </c>
      <c r="H3318" s="21">
        <f>Data!B3330</f>
        <v>0</v>
      </c>
      <c r="I3318" s="21">
        <f>Data!C3330</f>
        <v>0</v>
      </c>
      <c r="J3318">
        <f>Data!D3330</f>
        <v>0</v>
      </c>
      <c r="K3318">
        <f>Data!E3330</f>
        <v>0</v>
      </c>
      <c r="L3318">
        <f>Data!F3330</f>
        <v>0</v>
      </c>
      <c r="M3318">
        <f>Data!G3330</f>
        <v>0</v>
      </c>
      <c r="N3318">
        <f>Data!H3330</f>
        <v>0</v>
      </c>
      <c r="O3318">
        <f>Data!I3330</f>
        <v>0</v>
      </c>
      <c r="P3318" s="21">
        <f>Data!J3334</f>
        <v>0</v>
      </c>
      <c r="Q3318">
        <f>Data!K3334</f>
        <v>0</v>
      </c>
      <c r="R3318">
        <f>Data!L3334</f>
        <v>0</v>
      </c>
      <c r="S3318">
        <f>Data!M3334</f>
        <v>0</v>
      </c>
      <c r="T3318">
        <f>Data!N3334</f>
        <v>0</v>
      </c>
      <c r="U3318">
        <f>Data!O3334</f>
        <v>0</v>
      </c>
      <c r="V3318" s="33">
        <f>Data!P3332</f>
        <v>0</v>
      </c>
    </row>
    <row r="3319" spans="7:22" x14ac:dyDescent="0.25">
      <c r="G3319">
        <f>Data!B3331</f>
        <v>0</v>
      </c>
      <c r="H3319" s="21">
        <f>Data!B3331</f>
        <v>0</v>
      </c>
      <c r="I3319" s="21">
        <f>Data!C3331</f>
        <v>0</v>
      </c>
      <c r="J3319">
        <f>Data!D3331</f>
        <v>0</v>
      </c>
      <c r="K3319">
        <f>Data!E3331</f>
        <v>0</v>
      </c>
      <c r="L3319">
        <f>Data!F3331</f>
        <v>0</v>
      </c>
      <c r="M3319">
        <f>Data!G3331</f>
        <v>0</v>
      </c>
      <c r="N3319">
        <f>Data!H3331</f>
        <v>0</v>
      </c>
      <c r="O3319">
        <f>Data!I3331</f>
        <v>0</v>
      </c>
      <c r="P3319" s="21">
        <f>Data!J3335</f>
        <v>0</v>
      </c>
      <c r="Q3319">
        <f>Data!K3335</f>
        <v>0</v>
      </c>
      <c r="R3319">
        <f>Data!L3335</f>
        <v>0</v>
      </c>
      <c r="S3319">
        <f>Data!M3335</f>
        <v>0</v>
      </c>
      <c r="T3319">
        <f>Data!N3335</f>
        <v>0</v>
      </c>
      <c r="U3319">
        <f>Data!O3335</f>
        <v>0</v>
      </c>
      <c r="V3319" s="33">
        <f>Data!P3333</f>
        <v>0</v>
      </c>
    </row>
    <row r="3320" spans="7:22" x14ac:dyDescent="0.25">
      <c r="G3320">
        <f>Data!B3332</f>
        <v>0</v>
      </c>
      <c r="H3320" s="21">
        <f>Data!B3332</f>
        <v>0</v>
      </c>
      <c r="I3320" s="21">
        <f>Data!C3332</f>
        <v>0</v>
      </c>
      <c r="J3320">
        <f>Data!D3332</f>
        <v>0</v>
      </c>
      <c r="K3320">
        <f>Data!E3332</f>
        <v>0</v>
      </c>
      <c r="L3320">
        <f>Data!F3332</f>
        <v>0</v>
      </c>
      <c r="M3320">
        <f>Data!G3332</f>
        <v>0</v>
      </c>
      <c r="N3320">
        <f>Data!H3332</f>
        <v>0</v>
      </c>
      <c r="O3320">
        <f>Data!I3332</f>
        <v>0</v>
      </c>
      <c r="P3320" s="21">
        <f>Data!J3336</f>
        <v>0</v>
      </c>
      <c r="Q3320">
        <f>Data!K3336</f>
        <v>0</v>
      </c>
      <c r="R3320">
        <f>Data!L3336</f>
        <v>0</v>
      </c>
      <c r="S3320">
        <f>Data!M3336</f>
        <v>0</v>
      </c>
      <c r="T3320">
        <f>Data!N3336</f>
        <v>0</v>
      </c>
      <c r="U3320">
        <f>Data!O3336</f>
        <v>0</v>
      </c>
      <c r="V3320" s="33">
        <f>Data!P3334</f>
        <v>0</v>
      </c>
    </row>
    <row r="3321" spans="7:22" x14ac:dyDescent="0.25">
      <c r="G3321">
        <f>Data!B3333</f>
        <v>0</v>
      </c>
      <c r="H3321" s="21">
        <f>Data!B3333</f>
        <v>0</v>
      </c>
      <c r="I3321" s="21">
        <f>Data!C3333</f>
        <v>0</v>
      </c>
      <c r="J3321">
        <f>Data!D3333</f>
        <v>0</v>
      </c>
      <c r="K3321">
        <f>Data!E3333</f>
        <v>0</v>
      </c>
      <c r="L3321">
        <f>Data!F3333</f>
        <v>0</v>
      </c>
      <c r="M3321">
        <f>Data!G3333</f>
        <v>0</v>
      </c>
      <c r="N3321">
        <f>Data!H3333</f>
        <v>0</v>
      </c>
      <c r="O3321">
        <f>Data!I3333</f>
        <v>0</v>
      </c>
      <c r="P3321" s="21">
        <f>Data!J3337</f>
        <v>0</v>
      </c>
      <c r="Q3321">
        <f>Data!K3337</f>
        <v>0</v>
      </c>
      <c r="R3321">
        <f>Data!L3337</f>
        <v>0</v>
      </c>
      <c r="S3321">
        <f>Data!M3337</f>
        <v>0</v>
      </c>
      <c r="T3321">
        <f>Data!N3337</f>
        <v>0</v>
      </c>
      <c r="U3321">
        <f>Data!O3337</f>
        <v>0</v>
      </c>
      <c r="V3321" s="33">
        <f>Data!P3335</f>
        <v>0</v>
      </c>
    </row>
    <row r="3322" spans="7:22" x14ac:dyDescent="0.25">
      <c r="G3322">
        <f>Data!B3334</f>
        <v>0</v>
      </c>
      <c r="H3322" s="21">
        <f>Data!B3334</f>
        <v>0</v>
      </c>
      <c r="I3322" s="21">
        <f>Data!C3334</f>
        <v>0</v>
      </c>
      <c r="J3322">
        <f>Data!D3334</f>
        <v>0</v>
      </c>
      <c r="K3322">
        <f>Data!E3334</f>
        <v>0</v>
      </c>
      <c r="L3322">
        <f>Data!F3334</f>
        <v>0</v>
      </c>
      <c r="M3322">
        <f>Data!G3334</f>
        <v>0</v>
      </c>
      <c r="N3322">
        <f>Data!H3334</f>
        <v>0</v>
      </c>
      <c r="O3322">
        <f>Data!I3334</f>
        <v>0</v>
      </c>
      <c r="P3322" s="21">
        <f>Data!J3338</f>
        <v>0</v>
      </c>
      <c r="Q3322">
        <f>Data!K3338</f>
        <v>0</v>
      </c>
      <c r="R3322">
        <f>Data!L3338</f>
        <v>0</v>
      </c>
      <c r="S3322">
        <f>Data!M3338</f>
        <v>0</v>
      </c>
      <c r="T3322">
        <f>Data!N3338</f>
        <v>0</v>
      </c>
      <c r="U3322">
        <f>Data!O3338</f>
        <v>0</v>
      </c>
      <c r="V3322" s="33">
        <f>Data!P3336</f>
        <v>0</v>
      </c>
    </row>
    <row r="3323" spans="7:22" x14ac:dyDescent="0.25">
      <c r="G3323">
        <f>Data!B3335</f>
        <v>0</v>
      </c>
      <c r="H3323" s="21">
        <f>Data!B3335</f>
        <v>0</v>
      </c>
      <c r="I3323" s="21">
        <f>Data!C3335</f>
        <v>0</v>
      </c>
      <c r="J3323">
        <f>Data!D3335</f>
        <v>0</v>
      </c>
      <c r="K3323">
        <f>Data!E3335</f>
        <v>0</v>
      </c>
      <c r="L3323">
        <f>Data!F3335</f>
        <v>0</v>
      </c>
      <c r="M3323">
        <f>Data!G3335</f>
        <v>0</v>
      </c>
      <c r="N3323">
        <f>Data!H3335</f>
        <v>0</v>
      </c>
      <c r="O3323">
        <f>Data!I3335</f>
        <v>0</v>
      </c>
      <c r="P3323" s="21">
        <f>Data!J3339</f>
        <v>0</v>
      </c>
      <c r="Q3323">
        <f>Data!K3339</f>
        <v>0</v>
      </c>
      <c r="R3323">
        <f>Data!L3339</f>
        <v>0</v>
      </c>
      <c r="S3323">
        <f>Data!M3339</f>
        <v>0</v>
      </c>
      <c r="T3323">
        <f>Data!N3339</f>
        <v>0</v>
      </c>
      <c r="U3323">
        <f>Data!O3339</f>
        <v>0</v>
      </c>
      <c r="V3323" s="33">
        <f>Data!P3337</f>
        <v>0</v>
      </c>
    </row>
    <row r="3324" spans="7:22" x14ac:dyDescent="0.25">
      <c r="G3324">
        <f>Data!B3336</f>
        <v>0</v>
      </c>
      <c r="H3324" s="21">
        <f>Data!B3336</f>
        <v>0</v>
      </c>
      <c r="I3324" s="21">
        <f>Data!C3336</f>
        <v>0</v>
      </c>
      <c r="J3324">
        <f>Data!D3336</f>
        <v>0</v>
      </c>
      <c r="K3324">
        <f>Data!E3336</f>
        <v>0</v>
      </c>
      <c r="L3324">
        <f>Data!F3336</f>
        <v>0</v>
      </c>
      <c r="M3324">
        <f>Data!G3336</f>
        <v>0</v>
      </c>
      <c r="N3324">
        <f>Data!H3336</f>
        <v>0</v>
      </c>
      <c r="O3324">
        <f>Data!I3336</f>
        <v>0</v>
      </c>
      <c r="P3324" s="21">
        <f>Data!J3340</f>
        <v>0</v>
      </c>
      <c r="Q3324">
        <f>Data!K3340</f>
        <v>0</v>
      </c>
      <c r="R3324">
        <f>Data!L3340</f>
        <v>0</v>
      </c>
      <c r="S3324">
        <f>Data!M3340</f>
        <v>0</v>
      </c>
      <c r="T3324">
        <f>Data!N3340</f>
        <v>0</v>
      </c>
      <c r="U3324">
        <f>Data!O3340</f>
        <v>0</v>
      </c>
      <c r="V3324" s="33">
        <f>Data!P3338</f>
        <v>0</v>
      </c>
    </row>
    <row r="3325" spans="7:22" x14ac:dyDescent="0.25">
      <c r="G3325">
        <f>Data!B3337</f>
        <v>0</v>
      </c>
      <c r="H3325" s="21">
        <f>Data!B3337</f>
        <v>0</v>
      </c>
      <c r="I3325" s="21">
        <f>Data!C3337</f>
        <v>0</v>
      </c>
      <c r="J3325">
        <f>Data!D3337</f>
        <v>0</v>
      </c>
      <c r="K3325">
        <f>Data!E3337</f>
        <v>0</v>
      </c>
      <c r="L3325">
        <f>Data!F3337</f>
        <v>0</v>
      </c>
      <c r="M3325">
        <f>Data!G3337</f>
        <v>0</v>
      </c>
      <c r="N3325">
        <f>Data!H3337</f>
        <v>0</v>
      </c>
      <c r="O3325">
        <f>Data!I3337</f>
        <v>0</v>
      </c>
      <c r="P3325" s="21">
        <f>Data!J3341</f>
        <v>0</v>
      </c>
      <c r="Q3325">
        <f>Data!K3341</f>
        <v>0</v>
      </c>
      <c r="R3325">
        <f>Data!L3341</f>
        <v>0</v>
      </c>
      <c r="S3325">
        <f>Data!M3341</f>
        <v>0</v>
      </c>
      <c r="T3325">
        <f>Data!N3341</f>
        <v>0</v>
      </c>
      <c r="U3325">
        <f>Data!O3341</f>
        <v>0</v>
      </c>
      <c r="V3325" s="33">
        <f>Data!P3339</f>
        <v>0</v>
      </c>
    </row>
    <row r="3326" spans="7:22" x14ac:dyDescent="0.25">
      <c r="G3326">
        <f>Data!B3338</f>
        <v>0</v>
      </c>
      <c r="H3326" s="21">
        <f>Data!B3338</f>
        <v>0</v>
      </c>
      <c r="I3326" s="21">
        <f>Data!C3338</f>
        <v>0</v>
      </c>
      <c r="J3326">
        <f>Data!D3338</f>
        <v>0</v>
      </c>
      <c r="K3326">
        <f>Data!E3338</f>
        <v>0</v>
      </c>
      <c r="L3326">
        <f>Data!F3338</f>
        <v>0</v>
      </c>
      <c r="M3326">
        <f>Data!G3338</f>
        <v>0</v>
      </c>
      <c r="N3326">
        <f>Data!H3338</f>
        <v>0</v>
      </c>
      <c r="O3326">
        <f>Data!I3338</f>
        <v>0</v>
      </c>
      <c r="P3326" s="21">
        <f>Data!J3342</f>
        <v>0</v>
      </c>
      <c r="Q3326">
        <f>Data!K3342</f>
        <v>0</v>
      </c>
      <c r="R3326">
        <f>Data!L3342</f>
        <v>0</v>
      </c>
      <c r="S3326">
        <f>Data!M3342</f>
        <v>0</v>
      </c>
      <c r="T3326">
        <f>Data!N3342</f>
        <v>0</v>
      </c>
      <c r="U3326">
        <f>Data!O3342</f>
        <v>0</v>
      </c>
      <c r="V3326" s="33">
        <f>Data!P3340</f>
        <v>0</v>
      </c>
    </row>
    <row r="3327" spans="7:22" x14ac:dyDescent="0.25">
      <c r="G3327">
        <f>Data!B3339</f>
        <v>0</v>
      </c>
      <c r="H3327" s="21">
        <f>Data!B3339</f>
        <v>0</v>
      </c>
      <c r="I3327" s="21">
        <f>Data!C3339</f>
        <v>0</v>
      </c>
      <c r="J3327">
        <f>Data!D3339</f>
        <v>0</v>
      </c>
      <c r="K3327">
        <f>Data!E3339</f>
        <v>0</v>
      </c>
      <c r="L3327">
        <f>Data!F3339</f>
        <v>0</v>
      </c>
      <c r="M3327">
        <f>Data!G3339</f>
        <v>0</v>
      </c>
      <c r="N3327">
        <f>Data!H3339</f>
        <v>0</v>
      </c>
      <c r="O3327">
        <f>Data!I3339</f>
        <v>0</v>
      </c>
      <c r="P3327" s="21">
        <f>Data!J3343</f>
        <v>0</v>
      </c>
      <c r="Q3327">
        <f>Data!K3343</f>
        <v>0</v>
      </c>
      <c r="R3327">
        <f>Data!L3343</f>
        <v>0</v>
      </c>
      <c r="S3327">
        <f>Data!M3343</f>
        <v>0</v>
      </c>
      <c r="T3327">
        <f>Data!N3343</f>
        <v>0</v>
      </c>
      <c r="U3327">
        <f>Data!O3343</f>
        <v>0</v>
      </c>
      <c r="V3327" s="33">
        <f>Data!P3341</f>
        <v>0</v>
      </c>
    </row>
    <row r="3328" spans="7:22" x14ac:dyDescent="0.25">
      <c r="G3328">
        <f>Data!B3340</f>
        <v>0</v>
      </c>
      <c r="H3328" s="21">
        <f>Data!B3340</f>
        <v>0</v>
      </c>
      <c r="I3328" s="21">
        <f>Data!C3340</f>
        <v>0</v>
      </c>
      <c r="J3328">
        <f>Data!D3340</f>
        <v>0</v>
      </c>
      <c r="K3328">
        <f>Data!E3340</f>
        <v>0</v>
      </c>
      <c r="L3328">
        <f>Data!F3340</f>
        <v>0</v>
      </c>
      <c r="M3328">
        <f>Data!G3340</f>
        <v>0</v>
      </c>
      <c r="N3328">
        <f>Data!H3340</f>
        <v>0</v>
      </c>
      <c r="O3328">
        <f>Data!I3340</f>
        <v>0</v>
      </c>
      <c r="P3328" s="21">
        <f>Data!J3344</f>
        <v>0</v>
      </c>
      <c r="Q3328">
        <f>Data!K3344</f>
        <v>0</v>
      </c>
      <c r="R3328">
        <f>Data!L3344</f>
        <v>0</v>
      </c>
      <c r="S3328">
        <f>Data!M3344</f>
        <v>0</v>
      </c>
      <c r="T3328">
        <f>Data!N3344</f>
        <v>0</v>
      </c>
      <c r="U3328">
        <f>Data!O3344</f>
        <v>0</v>
      </c>
      <c r="V3328" s="33">
        <f>Data!P3342</f>
        <v>0</v>
      </c>
    </row>
    <row r="3329" spans="7:22" x14ac:dyDescent="0.25">
      <c r="G3329">
        <f>Data!B3341</f>
        <v>0</v>
      </c>
      <c r="H3329" s="21">
        <f>Data!B3341</f>
        <v>0</v>
      </c>
      <c r="I3329" s="21">
        <f>Data!C3341</f>
        <v>0</v>
      </c>
      <c r="J3329">
        <f>Data!D3341</f>
        <v>0</v>
      </c>
      <c r="K3329">
        <f>Data!E3341</f>
        <v>0</v>
      </c>
      <c r="L3329">
        <f>Data!F3341</f>
        <v>0</v>
      </c>
      <c r="M3329">
        <f>Data!G3341</f>
        <v>0</v>
      </c>
      <c r="N3329">
        <f>Data!H3341</f>
        <v>0</v>
      </c>
      <c r="O3329">
        <f>Data!I3341</f>
        <v>0</v>
      </c>
      <c r="P3329" s="21">
        <f>Data!J3345</f>
        <v>0</v>
      </c>
      <c r="Q3329">
        <f>Data!K3345</f>
        <v>0</v>
      </c>
      <c r="R3329">
        <f>Data!L3345</f>
        <v>0</v>
      </c>
      <c r="S3329">
        <f>Data!M3345</f>
        <v>0</v>
      </c>
      <c r="T3329">
        <f>Data!N3345</f>
        <v>0</v>
      </c>
      <c r="U3329">
        <f>Data!O3345</f>
        <v>0</v>
      </c>
      <c r="V3329" s="33">
        <f>Data!P3343</f>
        <v>0</v>
      </c>
    </row>
    <row r="3330" spans="7:22" x14ac:dyDescent="0.25">
      <c r="G3330">
        <f>Data!B3342</f>
        <v>0</v>
      </c>
      <c r="H3330" s="21">
        <f>Data!B3342</f>
        <v>0</v>
      </c>
      <c r="I3330" s="21">
        <f>Data!C3342</f>
        <v>0</v>
      </c>
      <c r="J3330">
        <f>Data!D3342</f>
        <v>0</v>
      </c>
      <c r="K3330">
        <f>Data!E3342</f>
        <v>0</v>
      </c>
      <c r="L3330">
        <f>Data!F3342</f>
        <v>0</v>
      </c>
      <c r="M3330">
        <f>Data!G3342</f>
        <v>0</v>
      </c>
      <c r="N3330">
        <f>Data!H3342</f>
        <v>0</v>
      </c>
      <c r="O3330">
        <f>Data!I3342</f>
        <v>0</v>
      </c>
      <c r="P3330" s="21">
        <f>Data!J3346</f>
        <v>0</v>
      </c>
      <c r="Q3330">
        <f>Data!K3346</f>
        <v>0</v>
      </c>
      <c r="R3330">
        <f>Data!L3346</f>
        <v>0</v>
      </c>
      <c r="S3330">
        <f>Data!M3346</f>
        <v>0</v>
      </c>
      <c r="T3330">
        <f>Data!N3346</f>
        <v>0</v>
      </c>
      <c r="U3330">
        <f>Data!O3346</f>
        <v>0</v>
      </c>
      <c r="V3330" s="33">
        <f>Data!P3344</f>
        <v>0</v>
      </c>
    </row>
    <row r="3331" spans="7:22" x14ac:dyDescent="0.25">
      <c r="G3331">
        <f>Data!B3343</f>
        <v>0</v>
      </c>
      <c r="H3331" s="21">
        <f>Data!B3343</f>
        <v>0</v>
      </c>
      <c r="I3331" s="21">
        <f>Data!C3343</f>
        <v>0</v>
      </c>
      <c r="J3331">
        <f>Data!D3343</f>
        <v>0</v>
      </c>
      <c r="K3331">
        <f>Data!E3343</f>
        <v>0</v>
      </c>
      <c r="L3331">
        <f>Data!F3343</f>
        <v>0</v>
      </c>
      <c r="M3331">
        <f>Data!G3343</f>
        <v>0</v>
      </c>
      <c r="N3331">
        <f>Data!H3343</f>
        <v>0</v>
      </c>
      <c r="O3331">
        <f>Data!I3343</f>
        <v>0</v>
      </c>
      <c r="P3331" s="21">
        <f>Data!J3347</f>
        <v>0</v>
      </c>
      <c r="Q3331">
        <f>Data!K3347</f>
        <v>0</v>
      </c>
      <c r="R3331">
        <f>Data!L3347</f>
        <v>0</v>
      </c>
      <c r="S3331">
        <f>Data!M3347</f>
        <v>0</v>
      </c>
      <c r="T3331">
        <f>Data!N3347</f>
        <v>0</v>
      </c>
      <c r="U3331">
        <f>Data!O3347</f>
        <v>0</v>
      </c>
      <c r="V3331" s="33">
        <f>Data!P3345</f>
        <v>0</v>
      </c>
    </row>
    <row r="3332" spans="7:22" x14ac:dyDescent="0.25">
      <c r="G3332">
        <f>Data!B3344</f>
        <v>0</v>
      </c>
      <c r="H3332" s="21">
        <f>Data!B3344</f>
        <v>0</v>
      </c>
      <c r="I3332" s="21">
        <f>Data!C3344</f>
        <v>0</v>
      </c>
      <c r="J3332">
        <f>Data!D3344</f>
        <v>0</v>
      </c>
      <c r="K3332">
        <f>Data!E3344</f>
        <v>0</v>
      </c>
      <c r="L3332">
        <f>Data!F3344</f>
        <v>0</v>
      </c>
      <c r="M3332">
        <f>Data!G3344</f>
        <v>0</v>
      </c>
      <c r="N3332">
        <f>Data!H3344</f>
        <v>0</v>
      </c>
      <c r="O3332">
        <f>Data!I3344</f>
        <v>0</v>
      </c>
      <c r="P3332" s="21">
        <f>Data!J3348</f>
        <v>0</v>
      </c>
      <c r="Q3332">
        <f>Data!K3348</f>
        <v>0</v>
      </c>
      <c r="R3332">
        <f>Data!L3348</f>
        <v>0</v>
      </c>
      <c r="S3332">
        <f>Data!M3348</f>
        <v>0</v>
      </c>
      <c r="T3332">
        <f>Data!N3348</f>
        <v>0</v>
      </c>
      <c r="U3332">
        <f>Data!O3348</f>
        <v>0</v>
      </c>
      <c r="V3332" s="33">
        <f>Data!P3346</f>
        <v>0</v>
      </c>
    </row>
    <row r="3333" spans="7:22" x14ac:dyDescent="0.25">
      <c r="G3333">
        <f>Data!B3345</f>
        <v>0</v>
      </c>
      <c r="H3333" s="21">
        <f>Data!B3345</f>
        <v>0</v>
      </c>
      <c r="I3333" s="21">
        <f>Data!C3345</f>
        <v>0</v>
      </c>
      <c r="J3333">
        <f>Data!D3345</f>
        <v>0</v>
      </c>
      <c r="K3333">
        <f>Data!E3345</f>
        <v>0</v>
      </c>
      <c r="L3333">
        <f>Data!F3345</f>
        <v>0</v>
      </c>
      <c r="M3333">
        <f>Data!G3345</f>
        <v>0</v>
      </c>
      <c r="N3333">
        <f>Data!H3345</f>
        <v>0</v>
      </c>
      <c r="O3333">
        <f>Data!I3345</f>
        <v>0</v>
      </c>
      <c r="P3333" s="21">
        <f>Data!J3349</f>
        <v>0</v>
      </c>
      <c r="Q3333">
        <f>Data!K3349</f>
        <v>0</v>
      </c>
      <c r="R3333">
        <f>Data!L3349</f>
        <v>0</v>
      </c>
      <c r="S3333">
        <f>Data!M3349</f>
        <v>0</v>
      </c>
      <c r="T3333">
        <f>Data!N3349</f>
        <v>0</v>
      </c>
      <c r="U3333">
        <f>Data!O3349</f>
        <v>0</v>
      </c>
      <c r="V3333" s="33">
        <f>Data!P3347</f>
        <v>0</v>
      </c>
    </row>
    <row r="3334" spans="7:22" x14ac:dyDescent="0.25">
      <c r="G3334">
        <f>Data!B3346</f>
        <v>0</v>
      </c>
      <c r="H3334" s="21">
        <f>Data!B3346</f>
        <v>0</v>
      </c>
      <c r="I3334" s="21">
        <f>Data!C3346</f>
        <v>0</v>
      </c>
      <c r="J3334">
        <f>Data!D3346</f>
        <v>0</v>
      </c>
      <c r="K3334">
        <f>Data!E3346</f>
        <v>0</v>
      </c>
      <c r="L3334">
        <f>Data!F3346</f>
        <v>0</v>
      </c>
      <c r="M3334">
        <f>Data!G3346</f>
        <v>0</v>
      </c>
      <c r="N3334">
        <f>Data!H3346</f>
        <v>0</v>
      </c>
      <c r="O3334">
        <f>Data!I3346</f>
        <v>0</v>
      </c>
      <c r="P3334" s="21">
        <f>Data!J3350</f>
        <v>0</v>
      </c>
      <c r="Q3334">
        <f>Data!K3350</f>
        <v>0</v>
      </c>
      <c r="R3334">
        <f>Data!L3350</f>
        <v>0</v>
      </c>
      <c r="S3334">
        <f>Data!M3350</f>
        <v>0</v>
      </c>
      <c r="T3334">
        <f>Data!N3350</f>
        <v>0</v>
      </c>
      <c r="U3334">
        <f>Data!O3350</f>
        <v>0</v>
      </c>
      <c r="V3334" s="33">
        <f>Data!P3348</f>
        <v>0</v>
      </c>
    </row>
    <row r="3335" spans="7:22" x14ac:dyDescent="0.25">
      <c r="G3335">
        <f>Data!B3347</f>
        <v>0</v>
      </c>
      <c r="H3335" s="21">
        <f>Data!B3347</f>
        <v>0</v>
      </c>
      <c r="I3335" s="21">
        <f>Data!C3347</f>
        <v>0</v>
      </c>
      <c r="J3335">
        <f>Data!D3347</f>
        <v>0</v>
      </c>
      <c r="K3335">
        <f>Data!E3347</f>
        <v>0</v>
      </c>
      <c r="L3335">
        <f>Data!F3347</f>
        <v>0</v>
      </c>
      <c r="M3335">
        <f>Data!G3347</f>
        <v>0</v>
      </c>
      <c r="N3335">
        <f>Data!H3347</f>
        <v>0</v>
      </c>
      <c r="O3335">
        <f>Data!I3347</f>
        <v>0</v>
      </c>
      <c r="P3335" s="21">
        <f>Data!J3351</f>
        <v>0</v>
      </c>
      <c r="Q3335">
        <f>Data!K3351</f>
        <v>0</v>
      </c>
      <c r="R3335">
        <f>Data!L3351</f>
        <v>0</v>
      </c>
      <c r="S3335">
        <f>Data!M3351</f>
        <v>0</v>
      </c>
      <c r="T3335">
        <f>Data!N3351</f>
        <v>0</v>
      </c>
      <c r="U3335">
        <f>Data!O3351</f>
        <v>0</v>
      </c>
      <c r="V3335" s="33">
        <f>Data!P3349</f>
        <v>0</v>
      </c>
    </row>
    <row r="3336" spans="7:22" x14ac:dyDescent="0.25">
      <c r="G3336">
        <f>Data!B3348</f>
        <v>0</v>
      </c>
      <c r="H3336" s="21">
        <f>Data!B3348</f>
        <v>0</v>
      </c>
      <c r="I3336" s="21">
        <f>Data!C3348</f>
        <v>0</v>
      </c>
      <c r="J3336">
        <f>Data!D3348</f>
        <v>0</v>
      </c>
      <c r="K3336">
        <f>Data!E3348</f>
        <v>0</v>
      </c>
      <c r="L3336">
        <f>Data!F3348</f>
        <v>0</v>
      </c>
      <c r="M3336">
        <f>Data!G3348</f>
        <v>0</v>
      </c>
      <c r="N3336">
        <f>Data!H3348</f>
        <v>0</v>
      </c>
      <c r="O3336">
        <f>Data!I3348</f>
        <v>0</v>
      </c>
      <c r="P3336" s="21">
        <f>Data!J3352</f>
        <v>0</v>
      </c>
      <c r="Q3336">
        <f>Data!K3352</f>
        <v>0</v>
      </c>
      <c r="R3336">
        <f>Data!L3352</f>
        <v>0</v>
      </c>
      <c r="S3336">
        <f>Data!M3352</f>
        <v>0</v>
      </c>
      <c r="T3336">
        <f>Data!N3352</f>
        <v>0</v>
      </c>
      <c r="U3336">
        <f>Data!O3352</f>
        <v>0</v>
      </c>
      <c r="V3336" s="33">
        <f>Data!P3350</f>
        <v>0</v>
      </c>
    </row>
    <row r="3337" spans="7:22" x14ac:dyDescent="0.25">
      <c r="G3337">
        <f>Data!B3349</f>
        <v>0</v>
      </c>
      <c r="H3337" s="21">
        <f>Data!B3349</f>
        <v>0</v>
      </c>
      <c r="I3337" s="21">
        <f>Data!C3349</f>
        <v>0</v>
      </c>
      <c r="J3337">
        <f>Data!D3349</f>
        <v>0</v>
      </c>
      <c r="K3337">
        <f>Data!E3349</f>
        <v>0</v>
      </c>
      <c r="L3337">
        <f>Data!F3349</f>
        <v>0</v>
      </c>
      <c r="M3337">
        <f>Data!G3349</f>
        <v>0</v>
      </c>
      <c r="N3337">
        <f>Data!H3349</f>
        <v>0</v>
      </c>
      <c r="O3337">
        <f>Data!I3349</f>
        <v>0</v>
      </c>
      <c r="P3337" s="21">
        <f>Data!J3353</f>
        <v>0</v>
      </c>
      <c r="Q3337">
        <f>Data!K3353</f>
        <v>0</v>
      </c>
      <c r="R3337">
        <f>Data!L3353</f>
        <v>0</v>
      </c>
      <c r="S3337">
        <f>Data!M3353</f>
        <v>0</v>
      </c>
      <c r="T3337">
        <f>Data!N3353</f>
        <v>0</v>
      </c>
      <c r="U3337">
        <f>Data!O3353</f>
        <v>0</v>
      </c>
      <c r="V3337" s="33">
        <f>Data!P3351</f>
        <v>0</v>
      </c>
    </row>
    <row r="3338" spans="7:22" x14ac:dyDescent="0.25">
      <c r="G3338">
        <f>Data!B3350</f>
        <v>0</v>
      </c>
      <c r="H3338" s="21">
        <f>Data!B3350</f>
        <v>0</v>
      </c>
      <c r="I3338" s="21">
        <f>Data!C3350</f>
        <v>0</v>
      </c>
      <c r="J3338">
        <f>Data!D3350</f>
        <v>0</v>
      </c>
      <c r="K3338">
        <f>Data!E3350</f>
        <v>0</v>
      </c>
      <c r="L3338">
        <f>Data!F3350</f>
        <v>0</v>
      </c>
      <c r="M3338">
        <f>Data!G3350</f>
        <v>0</v>
      </c>
      <c r="N3338">
        <f>Data!H3350</f>
        <v>0</v>
      </c>
      <c r="O3338">
        <f>Data!I3350</f>
        <v>0</v>
      </c>
      <c r="P3338" s="21">
        <f>Data!J3354</f>
        <v>0</v>
      </c>
      <c r="Q3338">
        <f>Data!K3354</f>
        <v>0</v>
      </c>
      <c r="R3338">
        <f>Data!L3354</f>
        <v>0</v>
      </c>
      <c r="S3338">
        <f>Data!M3354</f>
        <v>0</v>
      </c>
      <c r="T3338">
        <f>Data!N3354</f>
        <v>0</v>
      </c>
      <c r="U3338">
        <f>Data!O3354</f>
        <v>0</v>
      </c>
      <c r="V3338" s="33">
        <f>Data!P3352</f>
        <v>0</v>
      </c>
    </row>
    <row r="3339" spans="7:22" x14ac:dyDescent="0.25">
      <c r="G3339">
        <f>Data!B3351</f>
        <v>0</v>
      </c>
      <c r="H3339" s="21">
        <f>Data!B3351</f>
        <v>0</v>
      </c>
      <c r="I3339" s="21">
        <f>Data!C3351</f>
        <v>0</v>
      </c>
      <c r="J3339">
        <f>Data!D3351</f>
        <v>0</v>
      </c>
      <c r="K3339">
        <f>Data!E3351</f>
        <v>0</v>
      </c>
      <c r="L3339">
        <f>Data!F3351</f>
        <v>0</v>
      </c>
      <c r="M3339">
        <f>Data!G3351</f>
        <v>0</v>
      </c>
      <c r="N3339">
        <f>Data!H3351</f>
        <v>0</v>
      </c>
      <c r="O3339">
        <f>Data!I3351</f>
        <v>0</v>
      </c>
      <c r="P3339" s="21">
        <f>Data!J3355</f>
        <v>0</v>
      </c>
      <c r="Q3339">
        <f>Data!K3355</f>
        <v>0</v>
      </c>
      <c r="R3339">
        <f>Data!L3355</f>
        <v>0</v>
      </c>
      <c r="S3339">
        <f>Data!M3355</f>
        <v>0</v>
      </c>
      <c r="T3339">
        <f>Data!N3355</f>
        <v>0</v>
      </c>
      <c r="U3339">
        <f>Data!O3355</f>
        <v>0</v>
      </c>
      <c r="V3339" s="33">
        <f>Data!P3353</f>
        <v>0</v>
      </c>
    </row>
    <row r="3340" spans="7:22" x14ac:dyDescent="0.25">
      <c r="G3340">
        <f>Data!B3352</f>
        <v>0</v>
      </c>
      <c r="H3340" s="21">
        <f>Data!B3352</f>
        <v>0</v>
      </c>
      <c r="I3340" s="21">
        <f>Data!C3352</f>
        <v>0</v>
      </c>
      <c r="J3340">
        <f>Data!D3352</f>
        <v>0</v>
      </c>
      <c r="K3340">
        <f>Data!E3352</f>
        <v>0</v>
      </c>
      <c r="L3340">
        <f>Data!F3352</f>
        <v>0</v>
      </c>
      <c r="M3340">
        <f>Data!G3352</f>
        <v>0</v>
      </c>
      <c r="N3340">
        <f>Data!H3352</f>
        <v>0</v>
      </c>
      <c r="O3340">
        <f>Data!I3352</f>
        <v>0</v>
      </c>
      <c r="P3340" s="21">
        <f>Data!J3356</f>
        <v>0</v>
      </c>
      <c r="Q3340">
        <f>Data!K3356</f>
        <v>0</v>
      </c>
      <c r="R3340">
        <f>Data!L3356</f>
        <v>0</v>
      </c>
      <c r="S3340">
        <f>Data!M3356</f>
        <v>0</v>
      </c>
      <c r="T3340">
        <f>Data!N3356</f>
        <v>0</v>
      </c>
      <c r="U3340">
        <f>Data!O3356</f>
        <v>0</v>
      </c>
      <c r="V3340" s="33">
        <f>Data!P3354</f>
        <v>0</v>
      </c>
    </row>
    <row r="3341" spans="7:22" x14ac:dyDescent="0.25">
      <c r="G3341">
        <f>Data!B3353</f>
        <v>0</v>
      </c>
      <c r="H3341" s="21">
        <f>Data!B3353</f>
        <v>0</v>
      </c>
      <c r="I3341" s="21">
        <f>Data!C3353</f>
        <v>0</v>
      </c>
      <c r="J3341">
        <f>Data!D3353</f>
        <v>0</v>
      </c>
      <c r="K3341">
        <f>Data!E3353</f>
        <v>0</v>
      </c>
      <c r="L3341">
        <f>Data!F3353</f>
        <v>0</v>
      </c>
      <c r="M3341">
        <f>Data!G3353</f>
        <v>0</v>
      </c>
      <c r="N3341">
        <f>Data!H3353</f>
        <v>0</v>
      </c>
      <c r="O3341">
        <f>Data!I3353</f>
        <v>0</v>
      </c>
      <c r="P3341" s="21">
        <f>Data!J3357</f>
        <v>0</v>
      </c>
      <c r="Q3341">
        <f>Data!K3357</f>
        <v>0</v>
      </c>
      <c r="R3341">
        <f>Data!L3357</f>
        <v>0</v>
      </c>
      <c r="S3341">
        <f>Data!M3357</f>
        <v>0</v>
      </c>
      <c r="T3341">
        <f>Data!N3357</f>
        <v>0</v>
      </c>
      <c r="U3341">
        <f>Data!O3357</f>
        <v>0</v>
      </c>
      <c r="V3341" s="33">
        <f>Data!P3355</f>
        <v>0</v>
      </c>
    </row>
    <row r="3342" spans="7:22" x14ac:dyDescent="0.25">
      <c r="G3342">
        <f>Data!B3354</f>
        <v>0</v>
      </c>
      <c r="H3342" s="21">
        <f>Data!B3354</f>
        <v>0</v>
      </c>
      <c r="I3342" s="21">
        <f>Data!C3354</f>
        <v>0</v>
      </c>
      <c r="J3342">
        <f>Data!D3354</f>
        <v>0</v>
      </c>
      <c r="K3342">
        <f>Data!E3354</f>
        <v>0</v>
      </c>
      <c r="L3342">
        <f>Data!F3354</f>
        <v>0</v>
      </c>
      <c r="M3342">
        <f>Data!G3354</f>
        <v>0</v>
      </c>
      <c r="N3342">
        <f>Data!H3354</f>
        <v>0</v>
      </c>
      <c r="O3342">
        <f>Data!I3354</f>
        <v>0</v>
      </c>
      <c r="P3342" s="21">
        <f>Data!J3358</f>
        <v>0</v>
      </c>
      <c r="Q3342">
        <f>Data!K3358</f>
        <v>0</v>
      </c>
      <c r="R3342">
        <f>Data!L3358</f>
        <v>0</v>
      </c>
      <c r="S3342">
        <f>Data!M3358</f>
        <v>0</v>
      </c>
      <c r="T3342">
        <f>Data!N3358</f>
        <v>0</v>
      </c>
      <c r="U3342">
        <f>Data!O3358</f>
        <v>0</v>
      </c>
      <c r="V3342" s="33">
        <f>Data!P3356</f>
        <v>0</v>
      </c>
    </row>
    <row r="3343" spans="7:22" x14ac:dyDescent="0.25">
      <c r="G3343">
        <f>Data!B3355</f>
        <v>0</v>
      </c>
      <c r="H3343" s="21">
        <f>Data!B3355</f>
        <v>0</v>
      </c>
      <c r="I3343" s="21">
        <f>Data!C3355</f>
        <v>0</v>
      </c>
      <c r="J3343">
        <f>Data!D3355</f>
        <v>0</v>
      </c>
      <c r="K3343">
        <f>Data!E3355</f>
        <v>0</v>
      </c>
      <c r="L3343">
        <f>Data!F3355</f>
        <v>0</v>
      </c>
      <c r="M3343">
        <f>Data!G3355</f>
        <v>0</v>
      </c>
      <c r="N3343">
        <f>Data!H3355</f>
        <v>0</v>
      </c>
      <c r="O3343">
        <f>Data!I3355</f>
        <v>0</v>
      </c>
      <c r="P3343" s="21">
        <f>Data!J3359</f>
        <v>0</v>
      </c>
      <c r="Q3343">
        <f>Data!K3359</f>
        <v>0</v>
      </c>
      <c r="R3343">
        <f>Data!L3359</f>
        <v>0</v>
      </c>
      <c r="S3343">
        <f>Data!M3359</f>
        <v>0</v>
      </c>
      <c r="T3343">
        <f>Data!N3359</f>
        <v>0</v>
      </c>
      <c r="U3343">
        <f>Data!O3359</f>
        <v>0</v>
      </c>
      <c r="V3343" s="33">
        <f>Data!P3357</f>
        <v>0</v>
      </c>
    </row>
    <row r="3344" spans="7:22" x14ac:dyDescent="0.25">
      <c r="G3344">
        <f>Data!B3356</f>
        <v>0</v>
      </c>
      <c r="H3344" s="21">
        <f>Data!B3356</f>
        <v>0</v>
      </c>
      <c r="I3344" s="21">
        <f>Data!C3356</f>
        <v>0</v>
      </c>
      <c r="J3344">
        <f>Data!D3356</f>
        <v>0</v>
      </c>
      <c r="K3344">
        <f>Data!E3356</f>
        <v>0</v>
      </c>
      <c r="L3344">
        <f>Data!F3356</f>
        <v>0</v>
      </c>
      <c r="M3344">
        <f>Data!G3356</f>
        <v>0</v>
      </c>
      <c r="N3344">
        <f>Data!H3356</f>
        <v>0</v>
      </c>
      <c r="O3344">
        <f>Data!I3356</f>
        <v>0</v>
      </c>
      <c r="P3344" s="21">
        <f>Data!J3360</f>
        <v>0</v>
      </c>
      <c r="Q3344">
        <f>Data!K3360</f>
        <v>0</v>
      </c>
      <c r="R3344">
        <f>Data!L3360</f>
        <v>0</v>
      </c>
      <c r="S3344">
        <f>Data!M3360</f>
        <v>0</v>
      </c>
      <c r="T3344">
        <f>Data!N3360</f>
        <v>0</v>
      </c>
      <c r="U3344">
        <f>Data!O3360</f>
        <v>0</v>
      </c>
      <c r="V3344" s="33">
        <f>Data!P3358</f>
        <v>0</v>
      </c>
    </row>
    <row r="3345" spans="7:22" x14ac:dyDescent="0.25">
      <c r="G3345">
        <f>Data!B3357</f>
        <v>0</v>
      </c>
      <c r="H3345" s="21">
        <f>Data!B3357</f>
        <v>0</v>
      </c>
      <c r="I3345" s="21">
        <f>Data!C3357</f>
        <v>0</v>
      </c>
      <c r="J3345">
        <f>Data!D3357</f>
        <v>0</v>
      </c>
      <c r="K3345">
        <f>Data!E3357</f>
        <v>0</v>
      </c>
      <c r="L3345">
        <f>Data!F3357</f>
        <v>0</v>
      </c>
      <c r="M3345">
        <f>Data!G3357</f>
        <v>0</v>
      </c>
      <c r="N3345">
        <f>Data!H3357</f>
        <v>0</v>
      </c>
      <c r="O3345">
        <f>Data!I3357</f>
        <v>0</v>
      </c>
      <c r="P3345" s="21">
        <f>Data!J3361</f>
        <v>0</v>
      </c>
      <c r="Q3345">
        <f>Data!K3361</f>
        <v>0</v>
      </c>
      <c r="R3345">
        <f>Data!L3361</f>
        <v>0</v>
      </c>
      <c r="S3345">
        <f>Data!M3361</f>
        <v>0</v>
      </c>
      <c r="T3345">
        <f>Data!N3361</f>
        <v>0</v>
      </c>
      <c r="U3345">
        <f>Data!O3361</f>
        <v>0</v>
      </c>
      <c r="V3345" s="33">
        <f>Data!P3359</f>
        <v>0</v>
      </c>
    </row>
    <row r="3346" spans="7:22" x14ac:dyDescent="0.25">
      <c r="G3346">
        <f>Data!B3358</f>
        <v>0</v>
      </c>
      <c r="H3346" s="21">
        <f>Data!B3358</f>
        <v>0</v>
      </c>
      <c r="I3346" s="21">
        <f>Data!C3358</f>
        <v>0</v>
      </c>
      <c r="J3346">
        <f>Data!D3358</f>
        <v>0</v>
      </c>
      <c r="K3346">
        <f>Data!E3358</f>
        <v>0</v>
      </c>
      <c r="L3346">
        <f>Data!F3358</f>
        <v>0</v>
      </c>
      <c r="M3346">
        <f>Data!G3358</f>
        <v>0</v>
      </c>
      <c r="N3346">
        <f>Data!H3358</f>
        <v>0</v>
      </c>
      <c r="O3346">
        <f>Data!I3358</f>
        <v>0</v>
      </c>
      <c r="P3346" s="21">
        <f>Data!J3362</f>
        <v>0</v>
      </c>
      <c r="Q3346">
        <f>Data!K3362</f>
        <v>0</v>
      </c>
      <c r="R3346">
        <f>Data!L3362</f>
        <v>0</v>
      </c>
      <c r="S3346">
        <f>Data!M3362</f>
        <v>0</v>
      </c>
      <c r="T3346">
        <f>Data!N3362</f>
        <v>0</v>
      </c>
      <c r="U3346">
        <f>Data!O3362</f>
        <v>0</v>
      </c>
      <c r="V3346" s="33">
        <f>Data!P3360</f>
        <v>0</v>
      </c>
    </row>
    <row r="3347" spans="7:22" x14ac:dyDescent="0.25">
      <c r="G3347">
        <f>Data!B3359</f>
        <v>0</v>
      </c>
      <c r="H3347" s="21">
        <f>Data!B3359</f>
        <v>0</v>
      </c>
      <c r="I3347" s="21">
        <f>Data!C3359</f>
        <v>0</v>
      </c>
      <c r="J3347">
        <f>Data!D3359</f>
        <v>0</v>
      </c>
      <c r="K3347">
        <f>Data!E3359</f>
        <v>0</v>
      </c>
      <c r="L3347">
        <f>Data!F3359</f>
        <v>0</v>
      </c>
      <c r="M3347">
        <f>Data!G3359</f>
        <v>0</v>
      </c>
      <c r="N3347">
        <f>Data!H3359</f>
        <v>0</v>
      </c>
      <c r="O3347">
        <f>Data!I3359</f>
        <v>0</v>
      </c>
      <c r="P3347" s="21">
        <f>Data!J3363</f>
        <v>0</v>
      </c>
      <c r="Q3347">
        <f>Data!K3363</f>
        <v>0</v>
      </c>
      <c r="R3347">
        <f>Data!L3363</f>
        <v>0</v>
      </c>
      <c r="S3347">
        <f>Data!M3363</f>
        <v>0</v>
      </c>
      <c r="T3347">
        <f>Data!N3363</f>
        <v>0</v>
      </c>
      <c r="U3347">
        <f>Data!O3363</f>
        <v>0</v>
      </c>
      <c r="V3347" s="33">
        <f>Data!P3361</f>
        <v>0</v>
      </c>
    </row>
    <row r="3348" spans="7:22" x14ac:dyDescent="0.25">
      <c r="G3348">
        <f>Data!B3360</f>
        <v>0</v>
      </c>
      <c r="H3348" s="21">
        <f>Data!B3360</f>
        <v>0</v>
      </c>
      <c r="I3348" s="21">
        <f>Data!C3360</f>
        <v>0</v>
      </c>
      <c r="J3348">
        <f>Data!D3360</f>
        <v>0</v>
      </c>
      <c r="K3348">
        <f>Data!E3360</f>
        <v>0</v>
      </c>
      <c r="L3348">
        <f>Data!F3360</f>
        <v>0</v>
      </c>
      <c r="M3348">
        <f>Data!G3360</f>
        <v>0</v>
      </c>
      <c r="N3348">
        <f>Data!H3360</f>
        <v>0</v>
      </c>
      <c r="O3348">
        <f>Data!I3360</f>
        <v>0</v>
      </c>
      <c r="P3348" s="21">
        <f>Data!J3364</f>
        <v>0</v>
      </c>
      <c r="Q3348">
        <f>Data!K3364</f>
        <v>0</v>
      </c>
      <c r="R3348">
        <f>Data!L3364</f>
        <v>0</v>
      </c>
      <c r="S3348">
        <f>Data!M3364</f>
        <v>0</v>
      </c>
      <c r="T3348">
        <f>Data!N3364</f>
        <v>0</v>
      </c>
      <c r="U3348">
        <f>Data!O3364</f>
        <v>0</v>
      </c>
      <c r="V3348" s="33">
        <f>Data!P3362</f>
        <v>0</v>
      </c>
    </row>
    <row r="3349" spans="7:22" x14ac:dyDescent="0.25">
      <c r="G3349">
        <f>Data!B3361</f>
        <v>0</v>
      </c>
      <c r="H3349" s="21">
        <f>Data!B3361</f>
        <v>0</v>
      </c>
      <c r="I3349" s="21">
        <f>Data!C3361</f>
        <v>0</v>
      </c>
      <c r="J3349">
        <f>Data!D3361</f>
        <v>0</v>
      </c>
      <c r="K3349">
        <f>Data!E3361</f>
        <v>0</v>
      </c>
      <c r="L3349">
        <f>Data!F3361</f>
        <v>0</v>
      </c>
      <c r="M3349">
        <f>Data!G3361</f>
        <v>0</v>
      </c>
      <c r="N3349">
        <f>Data!H3361</f>
        <v>0</v>
      </c>
      <c r="O3349">
        <f>Data!I3361</f>
        <v>0</v>
      </c>
      <c r="P3349" s="21">
        <f>Data!J3365</f>
        <v>0</v>
      </c>
      <c r="Q3349">
        <f>Data!K3365</f>
        <v>0</v>
      </c>
      <c r="R3349">
        <f>Data!L3365</f>
        <v>0</v>
      </c>
      <c r="S3349">
        <f>Data!M3365</f>
        <v>0</v>
      </c>
      <c r="T3349">
        <f>Data!N3365</f>
        <v>0</v>
      </c>
      <c r="U3349">
        <f>Data!O3365</f>
        <v>0</v>
      </c>
      <c r="V3349" s="33">
        <f>Data!P3363</f>
        <v>0</v>
      </c>
    </row>
    <row r="3350" spans="7:22" x14ac:dyDescent="0.25">
      <c r="G3350">
        <f>Data!B3362</f>
        <v>0</v>
      </c>
      <c r="H3350" s="21">
        <f>Data!B3362</f>
        <v>0</v>
      </c>
      <c r="I3350" s="21">
        <f>Data!C3362</f>
        <v>0</v>
      </c>
      <c r="J3350">
        <f>Data!D3362</f>
        <v>0</v>
      </c>
      <c r="K3350">
        <f>Data!E3362</f>
        <v>0</v>
      </c>
      <c r="L3350">
        <f>Data!F3362</f>
        <v>0</v>
      </c>
      <c r="M3350">
        <f>Data!G3362</f>
        <v>0</v>
      </c>
      <c r="N3350">
        <f>Data!H3362</f>
        <v>0</v>
      </c>
      <c r="O3350">
        <f>Data!I3362</f>
        <v>0</v>
      </c>
      <c r="P3350" s="21">
        <f>Data!J3366</f>
        <v>0</v>
      </c>
      <c r="Q3350">
        <f>Data!K3366</f>
        <v>0</v>
      </c>
      <c r="R3350">
        <f>Data!L3366</f>
        <v>0</v>
      </c>
      <c r="S3350">
        <f>Data!M3366</f>
        <v>0</v>
      </c>
      <c r="T3350">
        <f>Data!N3366</f>
        <v>0</v>
      </c>
      <c r="U3350">
        <f>Data!O3366</f>
        <v>0</v>
      </c>
      <c r="V3350" s="33">
        <f>Data!P3364</f>
        <v>0</v>
      </c>
    </row>
    <row r="3351" spans="7:22" x14ac:dyDescent="0.25">
      <c r="G3351">
        <f>Data!B3363</f>
        <v>0</v>
      </c>
      <c r="H3351" s="21">
        <f>Data!B3363</f>
        <v>0</v>
      </c>
      <c r="I3351" s="21">
        <f>Data!C3363</f>
        <v>0</v>
      </c>
      <c r="J3351">
        <f>Data!D3363</f>
        <v>0</v>
      </c>
      <c r="K3351">
        <f>Data!E3363</f>
        <v>0</v>
      </c>
      <c r="L3351">
        <f>Data!F3363</f>
        <v>0</v>
      </c>
      <c r="M3351">
        <f>Data!G3363</f>
        <v>0</v>
      </c>
      <c r="N3351">
        <f>Data!H3363</f>
        <v>0</v>
      </c>
      <c r="O3351">
        <f>Data!I3363</f>
        <v>0</v>
      </c>
      <c r="P3351" s="21">
        <f>Data!J3367</f>
        <v>0</v>
      </c>
      <c r="Q3351">
        <f>Data!K3367</f>
        <v>0</v>
      </c>
      <c r="R3351">
        <f>Data!L3367</f>
        <v>0</v>
      </c>
      <c r="S3351">
        <f>Data!M3367</f>
        <v>0</v>
      </c>
      <c r="T3351">
        <f>Data!N3367</f>
        <v>0</v>
      </c>
      <c r="U3351">
        <f>Data!O3367</f>
        <v>0</v>
      </c>
      <c r="V3351" s="33">
        <f>Data!P3365</f>
        <v>0</v>
      </c>
    </row>
    <row r="3352" spans="7:22" x14ac:dyDescent="0.25">
      <c r="G3352">
        <f>Data!B3364</f>
        <v>0</v>
      </c>
      <c r="H3352" s="21">
        <f>Data!B3364</f>
        <v>0</v>
      </c>
      <c r="I3352" s="21">
        <f>Data!C3364</f>
        <v>0</v>
      </c>
      <c r="J3352">
        <f>Data!D3364</f>
        <v>0</v>
      </c>
      <c r="K3352">
        <f>Data!E3364</f>
        <v>0</v>
      </c>
      <c r="L3352">
        <f>Data!F3364</f>
        <v>0</v>
      </c>
      <c r="M3352">
        <f>Data!G3364</f>
        <v>0</v>
      </c>
      <c r="N3352">
        <f>Data!H3364</f>
        <v>0</v>
      </c>
      <c r="O3352">
        <f>Data!I3364</f>
        <v>0</v>
      </c>
      <c r="P3352" s="21">
        <f>Data!J3368</f>
        <v>0</v>
      </c>
      <c r="Q3352">
        <f>Data!K3368</f>
        <v>0</v>
      </c>
      <c r="R3352">
        <f>Data!L3368</f>
        <v>0</v>
      </c>
      <c r="S3352">
        <f>Data!M3368</f>
        <v>0</v>
      </c>
      <c r="T3352">
        <f>Data!N3368</f>
        <v>0</v>
      </c>
      <c r="U3352">
        <f>Data!O3368</f>
        <v>0</v>
      </c>
      <c r="V3352" s="33">
        <f>Data!P3366</f>
        <v>0</v>
      </c>
    </row>
    <row r="3353" spans="7:22" x14ac:dyDescent="0.25">
      <c r="G3353">
        <f>Data!B3365</f>
        <v>0</v>
      </c>
      <c r="H3353" s="21">
        <f>Data!B3365</f>
        <v>0</v>
      </c>
      <c r="I3353" s="21">
        <f>Data!C3365</f>
        <v>0</v>
      </c>
      <c r="J3353">
        <f>Data!D3365</f>
        <v>0</v>
      </c>
      <c r="K3353">
        <f>Data!E3365</f>
        <v>0</v>
      </c>
      <c r="L3353">
        <f>Data!F3365</f>
        <v>0</v>
      </c>
      <c r="M3353">
        <f>Data!G3365</f>
        <v>0</v>
      </c>
      <c r="N3353">
        <f>Data!H3365</f>
        <v>0</v>
      </c>
      <c r="O3353">
        <f>Data!I3365</f>
        <v>0</v>
      </c>
      <c r="P3353" s="21">
        <f>Data!J3369</f>
        <v>0</v>
      </c>
      <c r="Q3353">
        <f>Data!K3369</f>
        <v>0</v>
      </c>
      <c r="R3353">
        <f>Data!L3369</f>
        <v>0</v>
      </c>
      <c r="S3353">
        <f>Data!M3369</f>
        <v>0</v>
      </c>
      <c r="T3353">
        <f>Data!N3369</f>
        <v>0</v>
      </c>
      <c r="U3353">
        <f>Data!O3369</f>
        <v>0</v>
      </c>
      <c r="V3353" s="33">
        <f>Data!P3367</f>
        <v>0</v>
      </c>
    </row>
    <row r="3354" spans="7:22" x14ac:dyDescent="0.25">
      <c r="G3354">
        <f>Data!B3366</f>
        <v>0</v>
      </c>
      <c r="H3354" s="21">
        <f>Data!B3366</f>
        <v>0</v>
      </c>
      <c r="I3354" s="21">
        <f>Data!C3366</f>
        <v>0</v>
      </c>
      <c r="J3354">
        <f>Data!D3366</f>
        <v>0</v>
      </c>
      <c r="K3354">
        <f>Data!E3366</f>
        <v>0</v>
      </c>
      <c r="L3354">
        <f>Data!F3366</f>
        <v>0</v>
      </c>
      <c r="M3354">
        <f>Data!G3366</f>
        <v>0</v>
      </c>
      <c r="N3354">
        <f>Data!H3366</f>
        <v>0</v>
      </c>
      <c r="O3354">
        <f>Data!I3366</f>
        <v>0</v>
      </c>
      <c r="P3354" s="21">
        <f>Data!J3370</f>
        <v>0</v>
      </c>
      <c r="Q3354">
        <f>Data!K3370</f>
        <v>0</v>
      </c>
      <c r="R3354">
        <f>Data!L3370</f>
        <v>0</v>
      </c>
      <c r="S3354">
        <f>Data!M3370</f>
        <v>0</v>
      </c>
      <c r="T3354">
        <f>Data!N3370</f>
        <v>0</v>
      </c>
      <c r="U3354">
        <f>Data!O3370</f>
        <v>0</v>
      </c>
      <c r="V3354" s="33">
        <f>Data!P3368</f>
        <v>0</v>
      </c>
    </row>
    <row r="3355" spans="7:22" x14ac:dyDescent="0.25">
      <c r="G3355">
        <f>Data!B3367</f>
        <v>0</v>
      </c>
      <c r="H3355" s="21">
        <f>Data!B3367</f>
        <v>0</v>
      </c>
      <c r="I3355" s="21">
        <f>Data!C3367</f>
        <v>0</v>
      </c>
      <c r="J3355">
        <f>Data!D3367</f>
        <v>0</v>
      </c>
      <c r="K3355">
        <f>Data!E3367</f>
        <v>0</v>
      </c>
      <c r="L3355">
        <f>Data!F3367</f>
        <v>0</v>
      </c>
      <c r="M3355">
        <f>Data!G3367</f>
        <v>0</v>
      </c>
      <c r="N3355">
        <f>Data!H3367</f>
        <v>0</v>
      </c>
      <c r="O3355">
        <f>Data!I3367</f>
        <v>0</v>
      </c>
      <c r="P3355" s="21">
        <f>Data!J3371</f>
        <v>0</v>
      </c>
      <c r="Q3355">
        <f>Data!K3371</f>
        <v>0</v>
      </c>
      <c r="R3355">
        <f>Data!L3371</f>
        <v>0</v>
      </c>
      <c r="S3355">
        <f>Data!M3371</f>
        <v>0</v>
      </c>
      <c r="T3355">
        <f>Data!N3371</f>
        <v>0</v>
      </c>
      <c r="U3355">
        <f>Data!O3371</f>
        <v>0</v>
      </c>
      <c r="V3355" s="33">
        <f>Data!P3369</f>
        <v>0</v>
      </c>
    </row>
    <row r="3356" spans="7:22" x14ac:dyDescent="0.25">
      <c r="G3356">
        <f>Data!B3368</f>
        <v>0</v>
      </c>
      <c r="H3356" s="21">
        <f>Data!B3368</f>
        <v>0</v>
      </c>
      <c r="I3356" s="21">
        <f>Data!C3368</f>
        <v>0</v>
      </c>
      <c r="J3356">
        <f>Data!D3368</f>
        <v>0</v>
      </c>
      <c r="K3356">
        <f>Data!E3368</f>
        <v>0</v>
      </c>
      <c r="L3356">
        <f>Data!F3368</f>
        <v>0</v>
      </c>
      <c r="M3356">
        <f>Data!G3368</f>
        <v>0</v>
      </c>
      <c r="N3356">
        <f>Data!H3368</f>
        <v>0</v>
      </c>
      <c r="O3356">
        <f>Data!I3368</f>
        <v>0</v>
      </c>
      <c r="P3356" s="21">
        <f>Data!J3372</f>
        <v>0</v>
      </c>
      <c r="Q3356">
        <f>Data!K3372</f>
        <v>0</v>
      </c>
      <c r="R3356">
        <f>Data!L3372</f>
        <v>0</v>
      </c>
      <c r="S3356">
        <f>Data!M3372</f>
        <v>0</v>
      </c>
      <c r="T3356">
        <f>Data!N3372</f>
        <v>0</v>
      </c>
      <c r="U3356">
        <f>Data!O3372</f>
        <v>0</v>
      </c>
      <c r="V3356" s="33">
        <f>Data!P3370</f>
        <v>0</v>
      </c>
    </row>
    <row r="3357" spans="7:22" x14ac:dyDescent="0.25">
      <c r="G3357">
        <f>Data!B3369</f>
        <v>0</v>
      </c>
      <c r="H3357" s="21">
        <f>Data!B3369</f>
        <v>0</v>
      </c>
      <c r="I3357" s="21">
        <f>Data!C3369</f>
        <v>0</v>
      </c>
      <c r="J3357">
        <f>Data!D3369</f>
        <v>0</v>
      </c>
      <c r="K3357">
        <f>Data!E3369</f>
        <v>0</v>
      </c>
      <c r="L3357">
        <f>Data!F3369</f>
        <v>0</v>
      </c>
      <c r="M3357">
        <f>Data!G3369</f>
        <v>0</v>
      </c>
      <c r="N3357">
        <f>Data!H3369</f>
        <v>0</v>
      </c>
      <c r="O3357">
        <f>Data!I3369</f>
        <v>0</v>
      </c>
      <c r="P3357" s="21">
        <f>Data!J3373</f>
        <v>0</v>
      </c>
      <c r="Q3357">
        <f>Data!K3373</f>
        <v>0</v>
      </c>
      <c r="R3357">
        <f>Data!L3373</f>
        <v>0</v>
      </c>
      <c r="S3357">
        <f>Data!M3373</f>
        <v>0</v>
      </c>
      <c r="T3357">
        <f>Data!N3373</f>
        <v>0</v>
      </c>
      <c r="U3357">
        <f>Data!O3373</f>
        <v>0</v>
      </c>
      <c r="V3357" s="33">
        <f>Data!P3371</f>
        <v>0</v>
      </c>
    </row>
    <row r="3358" spans="7:22" x14ac:dyDescent="0.25">
      <c r="G3358">
        <f>Data!B3370</f>
        <v>0</v>
      </c>
      <c r="H3358" s="21">
        <f>Data!B3370</f>
        <v>0</v>
      </c>
      <c r="I3358" s="21">
        <f>Data!C3370</f>
        <v>0</v>
      </c>
      <c r="J3358">
        <f>Data!D3370</f>
        <v>0</v>
      </c>
      <c r="K3358">
        <f>Data!E3370</f>
        <v>0</v>
      </c>
      <c r="L3358">
        <f>Data!F3370</f>
        <v>0</v>
      </c>
      <c r="M3358">
        <f>Data!G3370</f>
        <v>0</v>
      </c>
      <c r="N3358">
        <f>Data!H3370</f>
        <v>0</v>
      </c>
      <c r="O3358">
        <f>Data!I3370</f>
        <v>0</v>
      </c>
      <c r="P3358" s="21">
        <f>Data!J3374</f>
        <v>0</v>
      </c>
      <c r="Q3358">
        <f>Data!K3374</f>
        <v>0</v>
      </c>
      <c r="R3358">
        <f>Data!L3374</f>
        <v>0</v>
      </c>
      <c r="S3358">
        <f>Data!M3374</f>
        <v>0</v>
      </c>
      <c r="T3358">
        <f>Data!N3374</f>
        <v>0</v>
      </c>
      <c r="U3358">
        <f>Data!O3374</f>
        <v>0</v>
      </c>
      <c r="V3358" s="33">
        <f>Data!P3372</f>
        <v>0</v>
      </c>
    </row>
    <row r="3359" spans="7:22" x14ac:dyDescent="0.25">
      <c r="G3359">
        <f>Data!B3371</f>
        <v>0</v>
      </c>
      <c r="H3359" s="21">
        <f>Data!B3371</f>
        <v>0</v>
      </c>
      <c r="I3359" s="21">
        <f>Data!C3371</f>
        <v>0</v>
      </c>
      <c r="J3359">
        <f>Data!D3371</f>
        <v>0</v>
      </c>
      <c r="K3359">
        <f>Data!E3371</f>
        <v>0</v>
      </c>
      <c r="L3359">
        <f>Data!F3371</f>
        <v>0</v>
      </c>
      <c r="M3359">
        <f>Data!G3371</f>
        <v>0</v>
      </c>
      <c r="N3359">
        <f>Data!H3371</f>
        <v>0</v>
      </c>
      <c r="O3359">
        <f>Data!I3371</f>
        <v>0</v>
      </c>
      <c r="P3359" s="21">
        <f>Data!J3375</f>
        <v>0</v>
      </c>
      <c r="Q3359">
        <f>Data!K3375</f>
        <v>0</v>
      </c>
      <c r="R3359">
        <f>Data!L3375</f>
        <v>0</v>
      </c>
      <c r="S3359">
        <f>Data!M3375</f>
        <v>0</v>
      </c>
      <c r="T3359">
        <f>Data!N3375</f>
        <v>0</v>
      </c>
      <c r="U3359">
        <f>Data!O3375</f>
        <v>0</v>
      </c>
      <c r="V3359" s="33">
        <f>Data!P3373</f>
        <v>0</v>
      </c>
    </row>
    <row r="3360" spans="7:22" x14ac:dyDescent="0.25">
      <c r="G3360">
        <f>Data!B3372</f>
        <v>0</v>
      </c>
      <c r="H3360" s="21">
        <f>Data!B3372</f>
        <v>0</v>
      </c>
      <c r="I3360" s="21">
        <f>Data!C3372</f>
        <v>0</v>
      </c>
      <c r="J3360">
        <f>Data!D3372</f>
        <v>0</v>
      </c>
      <c r="K3360">
        <f>Data!E3372</f>
        <v>0</v>
      </c>
      <c r="L3360">
        <f>Data!F3372</f>
        <v>0</v>
      </c>
      <c r="M3360">
        <f>Data!G3372</f>
        <v>0</v>
      </c>
      <c r="N3360">
        <f>Data!H3372</f>
        <v>0</v>
      </c>
      <c r="O3360">
        <f>Data!I3372</f>
        <v>0</v>
      </c>
      <c r="P3360" s="21">
        <f>Data!J3376</f>
        <v>0</v>
      </c>
      <c r="Q3360">
        <f>Data!K3376</f>
        <v>0</v>
      </c>
      <c r="R3360">
        <f>Data!L3376</f>
        <v>0</v>
      </c>
      <c r="S3360">
        <f>Data!M3376</f>
        <v>0</v>
      </c>
      <c r="T3360">
        <f>Data!N3376</f>
        <v>0</v>
      </c>
      <c r="U3360">
        <f>Data!O3376</f>
        <v>0</v>
      </c>
      <c r="V3360" s="33">
        <f>Data!P3374</f>
        <v>0</v>
      </c>
    </row>
    <row r="3361" spans="7:22" x14ac:dyDescent="0.25">
      <c r="G3361">
        <f>Data!B3373</f>
        <v>0</v>
      </c>
      <c r="H3361" s="21">
        <f>Data!B3373</f>
        <v>0</v>
      </c>
      <c r="I3361" s="21">
        <f>Data!C3373</f>
        <v>0</v>
      </c>
      <c r="J3361">
        <f>Data!D3373</f>
        <v>0</v>
      </c>
      <c r="K3361">
        <f>Data!E3373</f>
        <v>0</v>
      </c>
      <c r="L3361">
        <f>Data!F3373</f>
        <v>0</v>
      </c>
      <c r="M3361">
        <f>Data!G3373</f>
        <v>0</v>
      </c>
      <c r="N3361">
        <f>Data!H3373</f>
        <v>0</v>
      </c>
      <c r="O3361">
        <f>Data!I3373</f>
        <v>0</v>
      </c>
      <c r="P3361" s="21">
        <f>Data!J3377</f>
        <v>0</v>
      </c>
      <c r="Q3361">
        <f>Data!K3377</f>
        <v>0</v>
      </c>
      <c r="R3361">
        <f>Data!L3377</f>
        <v>0</v>
      </c>
      <c r="S3361">
        <f>Data!M3377</f>
        <v>0</v>
      </c>
      <c r="T3361">
        <f>Data!N3377</f>
        <v>0</v>
      </c>
      <c r="U3361">
        <f>Data!O3377</f>
        <v>0</v>
      </c>
      <c r="V3361" s="33">
        <f>Data!P3375</f>
        <v>0</v>
      </c>
    </row>
    <row r="3362" spans="7:22" x14ac:dyDescent="0.25">
      <c r="G3362">
        <f>Data!B3374</f>
        <v>0</v>
      </c>
      <c r="H3362" s="21">
        <f>Data!B3374</f>
        <v>0</v>
      </c>
      <c r="I3362" s="21">
        <f>Data!C3374</f>
        <v>0</v>
      </c>
      <c r="J3362">
        <f>Data!D3374</f>
        <v>0</v>
      </c>
      <c r="K3362">
        <f>Data!E3374</f>
        <v>0</v>
      </c>
      <c r="L3362">
        <f>Data!F3374</f>
        <v>0</v>
      </c>
      <c r="M3362">
        <f>Data!G3374</f>
        <v>0</v>
      </c>
      <c r="N3362">
        <f>Data!H3374</f>
        <v>0</v>
      </c>
      <c r="O3362">
        <f>Data!I3374</f>
        <v>0</v>
      </c>
      <c r="P3362" s="21">
        <f>Data!J3378</f>
        <v>0</v>
      </c>
      <c r="Q3362">
        <f>Data!K3378</f>
        <v>0</v>
      </c>
      <c r="R3362">
        <f>Data!L3378</f>
        <v>0</v>
      </c>
      <c r="S3362">
        <f>Data!M3378</f>
        <v>0</v>
      </c>
      <c r="T3362">
        <f>Data!N3378</f>
        <v>0</v>
      </c>
      <c r="U3362">
        <f>Data!O3378</f>
        <v>0</v>
      </c>
      <c r="V3362" s="33">
        <f>Data!P3376</f>
        <v>0</v>
      </c>
    </row>
    <row r="3363" spans="7:22" x14ac:dyDescent="0.25">
      <c r="G3363">
        <f>Data!B3375</f>
        <v>0</v>
      </c>
      <c r="H3363" s="21">
        <f>Data!B3375</f>
        <v>0</v>
      </c>
      <c r="I3363" s="21">
        <f>Data!C3375</f>
        <v>0</v>
      </c>
      <c r="J3363">
        <f>Data!D3375</f>
        <v>0</v>
      </c>
      <c r="K3363">
        <f>Data!E3375</f>
        <v>0</v>
      </c>
      <c r="L3363">
        <f>Data!F3375</f>
        <v>0</v>
      </c>
      <c r="M3363">
        <f>Data!G3375</f>
        <v>0</v>
      </c>
      <c r="N3363">
        <f>Data!H3375</f>
        <v>0</v>
      </c>
      <c r="O3363">
        <f>Data!I3375</f>
        <v>0</v>
      </c>
      <c r="P3363" s="21">
        <f>Data!J3379</f>
        <v>0</v>
      </c>
      <c r="Q3363">
        <f>Data!K3379</f>
        <v>0</v>
      </c>
      <c r="R3363">
        <f>Data!L3379</f>
        <v>0</v>
      </c>
      <c r="S3363">
        <f>Data!M3379</f>
        <v>0</v>
      </c>
      <c r="T3363">
        <f>Data!N3379</f>
        <v>0</v>
      </c>
      <c r="U3363">
        <f>Data!O3379</f>
        <v>0</v>
      </c>
      <c r="V3363" s="33">
        <f>Data!P3377</f>
        <v>0</v>
      </c>
    </row>
    <row r="3364" spans="7:22" x14ac:dyDescent="0.25">
      <c r="G3364">
        <f>Data!B3376</f>
        <v>0</v>
      </c>
      <c r="H3364" s="21">
        <f>Data!B3376</f>
        <v>0</v>
      </c>
      <c r="I3364" s="21">
        <f>Data!C3376</f>
        <v>0</v>
      </c>
      <c r="J3364">
        <f>Data!D3376</f>
        <v>0</v>
      </c>
      <c r="K3364">
        <f>Data!E3376</f>
        <v>0</v>
      </c>
      <c r="L3364">
        <f>Data!F3376</f>
        <v>0</v>
      </c>
      <c r="M3364">
        <f>Data!G3376</f>
        <v>0</v>
      </c>
      <c r="N3364">
        <f>Data!H3376</f>
        <v>0</v>
      </c>
      <c r="O3364">
        <f>Data!I3376</f>
        <v>0</v>
      </c>
      <c r="P3364" s="21">
        <f>Data!J3380</f>
        <v>0</v>
      </c>
      <c r="Q3364">
        <f>Data!K3380</f>
        <v>0</v>
      </c>
      <c r="R3364">
        <f>Data!L3380</f>
        <v>0</v>
      </c>
      <c r="S3364">
        <f>Data!M3380</f>
        <v>0</v>
      </c>
      <c r="T3364">
        <f>Data!N3380</f>
        <v>0</v>
      </c>
      <c r="U3364">
        <f>Data!O3380</f>
        <v>0</v>
      </c>
      <c r="V3364" s="33">
        <f>Data!P3378</f>
        <v>0</v>
      </c>
    </row>
    <row r="3365" spans="7:22" x14ac:dyDescent="0.25">
      <c r="G3365">
        <f>Data!B3377</f>
        <v>0</v>
      </c>
      <c r="H3365" s="21">
        <f>Data!B3377</f>
        <v>0</v>
      </c>
      <c r="I3365" s="21">
        <f>Data!C3377</f>
        <v>0</v>
      </c>
      <c r="J3365">
        <f>Data!D3377</f>
        <v>0</v>
      </c>
      <c r="K3365">
        <f>Data!E3377</f>
        <v>0</v>
      </c>
      <c r="L3365">
        <f>Data!F3377</f>
        <v>0</v>
      </c>
      <c r="M3365">
        <f>Data!G3377</f>
        <v>0</v>
      </c>
      <c r="N3365">
        <f>Data!H3377</f>
        <v>0</v>
      </c>
      <c r="O3365">
        <f>Data!I3377</f>
        <v>0</v>
      </c>
      <c r="P3365" s="21">
        <f>Data!J3381</f>
        <v>0</v>
      </c>
      <c r="Q3365">
        <f>Data!K3381</f>
        <v>0</v>
      </c>
      <c r="R3365">
        <f>Data!L3381</f>
        <v>0</v>
      </c>
      <c r="S3365">
        <f>Data!M3381</f>
        <v>0</v>
      </c>
      <c r="T3365">
        <f>Data!N3381</f>
        <v>0</v>
      </c>
      <c r="U3365">
        <f>Data!O3381</f>
        <v>0</v>
      </c>
      <c r="V3365" s="33">
        <f>Data!P3379</f>
        <v>0</v>
      </c>
    </row>
    <row r="3366" spans="7:22" x14ac:dyDescent="0.25">
      <c r="G3366">
        <f>Data!B3378</f>
        <v>0</v>
      </c>
      <c r="H3366" s="21">
        <f>Data!B3378</f>
        <v>0</v>
      </c>
      <c r="I3366" s="21">
        <f>Data!C3378</f>
        <v>0</v>
      </c>
      <c r="J3366">
        <f>Data!D3378</f>
        <v>0</v>
      </c>
      <c r="K3366">
        <f>Data!E3378</f>
        <v>0</v>
      </c>
      <c r="L3366">
        <f>Data!F3378</f>
        <v>0</v>
      </c>
      <c r="M3366">
        <f>Data!G3378</f>
        <v>0</v>
      </c>
      <c r="N3366">
        <f>Data!H3378</f>
        <v>0</v>
      </c>
      <c r="O3366">
        <f>Data!I3378</f>
        <v>0</v>
      </c>
      <c r="P3366" s="21">
        <f>Data!J3382</f>
        <v>0</v>
      </c>
      <c r="Q3366">
        <f>Data!K3382</f>
        <v>0</v>
      </c>
      <c r="R3366">
        <f>Data!L3382</f>
        <v>0</v>
      </c>
      <c r="S3366">
        <f>Data!M3382</f>
        <v>0</v>
      </c>
      <c r="T3366">
        <f>Data!N3382</f>
        <v>0</v>
      </c>
      <c r="U3366">
        <f>Data!O3382</f>
        <v>0</v>
      </c>
      <c r="V3366" s="33">
        <f>Data!P3380</f>
        <v>0</v>
      </c>
    </row>
    <row r="3367" spans="7:22" x14ac:dyDescent="0.25">
      <c r="G3367">
        <f>Data!B3379</f>
        <v>0</v>
      </c>
      <c r="H3367" s="21">
        <f>Data!B3379</f>
        <v>0</v>
      </c>
      <c r="I3367" s="21">
        <f>Data!C3379</f>
        <v>0</v>
      </c>
      <c r="J3367">
        <f>Data!D3379</f>
        <v>0</v>
      </c>
      <c r="K3367">
        <f>Data!E3379</f>
        <v>0</v>
      </c>
      <c r="L3367">
        <f>Data!F3379</f>
        <v>0</v>
      </c>
      <c r="M3367">
        <f>Data!G3379</f>
        <v>0</v>
      </c>
      <c r="N3367">
        <f>Data!H3379</f>
        <v>0</v>
      </c>
      <c r="O3367">
        <f>Data!I3379</f>
        <v>0</v>
      </c>
      <c r="P3367" s="21">
        <f>Data!J3383</f>
        <v>0</v>
      </c>
      <c r="Q3367">
        <f>Data!K3383</f>
        <v>0</v>
      </c>
      <c r="R3367">
        <f>Data!L3383</f>
        <v>0</v>
      </c>
      <c r="S3367">
        <f>Data!M3383</f>
        <v>0</v>
      </c>
      <c r="T3367">
        <f>Data!N3383</f>
        <v>0</v>
      </c>
      <c r="U3367">
        <f>Data!O3383</f>
        <v>0</v>
      </c>
      <c r="V3367" s="33">
        <f>Data!P3381</f>
        <v>0</v>
      </c>
    </row>
    <row r="3368" spans="7:22" x14ac:dyDescent="0.25">
      <c r="G3368">
        <f>Data!B3380</f>
        <v>0</v>
      </c>
      <c r="H3368" s="21">
        <f>Data!B3380</f>
        <v>0</v>
      </c>
      <c r="I3368" s="21">
        <f>Data!C3380</f>
        <v>0</v>
      </c>
      <c r="J3368">
        <f>Data!D3380</f>
        <v>0</v>
      </c>
      <c r="K3368">
        <f>Data!E3380</f>
        <v>0</v>
      </c>
      <c r="L3368">
        <f>Data!F3380</f>
        <v>0</v>
      </c>
      <c r="M3368">
        <f>Data!G3380</f>
        <v>0</v>
      </c>
      <c r="N3368">
        <f>Data!H3380</f>
        <v>0</v>
      </c>
      <c r="O3368">
        <f>Data!I3380</f>
        <v>0</v>
      </c>
      <c r="P3368" s="21">
        <f>Data!J3384</f>
        <v>0</v>
      </c>
      <c r="Q3368">
        <f>Data!K3384</f>
        <v>0</v>
      </c>
      <c r="R3368">
        <f>Data!L3384</f>
        <v>0</v>
      </c>
      <c r="S3368">
        <f>Data!M3384</f>
        <v>0</v>
      </c>
      <c r="T3368">
        <f>Data!N3384</f>
        <v>0</v>
      </c>
      <c r="U3368">
        <f>Data!O3384</f>
        <v>0</v>
      </c>
      <c r="V3368" s="33">
        <f>Data!P3382</f>
        <v>0</v>
      </c>
    </row>
    <row r="3369" spans="7:22" x14ac:dyDescent="0.25">
      <c r="G3369">
        <f>Data!B3381</f>
        <v>0</v>
      </c>
      <c r="H3369" s="21">
        <f>Data!B3381</f>
        <v>0</v>
      </c>
      <c r="I3369" s="21">
        <f>Data!C3381</f>
        <v>0</v>
      </c>
      <c r="J3369">
        <f>Data!D3381</f>
        <v>0</v>
      </c>
      <c r="K3369">
        <f>Data!E3381</f>
        <v>0</v>
      </c>
      <c r="L3369">
        <f>Data!F3381</f>
        <v>0</v>
      </c>
      <c r="M3369">
        <f>Data!G3381</f>
        <v>0</v>
      </c>
      <c r="N3369">
        <f>Data!H3381</f>
        <v>0</v>
      </c>
      <c r="O3369">
        <f>Data!I3381</f>
        <v>0</v>
      </c>
      <c r="P3369" s="21">
        <f>Data!J3385</f>
        <v>0</v>
      </c>
      <c r="Q3369">
        <f>Data!K3385</f>
        <v>0</v>
      </c>
      <c r="R3369">
        <f>Data!L3385</f>
        <v>0</v>
      </c>
      <c r="S3369">
        <f>Data!M3385</f>
        <v>0</v>
      </c>
      <c r="T3369">
        <f>Data!N3385</f>
        <v>0</v>
      </c>
      <c r="U3369">
        <f>Data!O3385</f>
        <v>0</v>
      </c>
      <c r="V3369" s="33">
        <f>Data!P3383</f>
        <v>0</v>
      </c>
    </row>
    <row r="3370" spans="7:22" x14ac:dyDescent="0.25">
      <c r="G3370">
        <f>Data!B3382</f>
        <v>0</v>
      </c>
      <c r="H3370" s="21">
        <f>Data!B3382</f>
        <v>0</v>
      </c>
      <c r="I3370" s="21">
        <f>Data!C3382</f>
        <v>0</v>
      </c>
      <c r="J3370">
        <f>Data!D3382</f>
        <v>0</v>
      </c>
      <c r="K3370">
        <f>Data!E3382</f>
        <v>0</v>
      </c>
      <c r="L3370">
        <f>Data!F3382</f>
        <v>0</v>
      </c>
      <c r="M3370">
        <f>Data!G3382</f>
        <v>0</v>
      </c>
      <c r="N3370">
        <f>Data!H3382</f>
        <v>0</v>
      </c>
      <c r="O3370">
        <f>Data!I3382</f>
        <v>0</v>
      </c>
      <c r="P3370" s="21">
        <f>Data!J3386</f>
        <v>0</v>
      </c>
      <c r="Q3370">
        <f>Data!K3386</f>
        <v>0</v>
      </c>
      <c r="R3370">
        <f>Data!L3386</f>
        <v>0</v>
      </c>
      <c r="S3370">
        <f>Data!M3386</f>
        <v>0</v>
      </c>
      <c r="T3370">
        <f>Data!N3386</f>
        <v>0</v>
      </c>
      <c r="U3370">
        <f>Data!O3386</f>
        <v>0</v>
      </c>
      <c r="V3370" s="33">
        <f>Data!P3384</f>
        <v>0</v>
      </c>
    </row>
    <row r="3371" spans="7:22" x14ac:dyDescent="0.25">
      <c r="G3371">
        <f>Data!B3383</f>
        <v>0</v>
      </c>
      <c r="H3371" s="21">
        <f>Data!B3383</f>
        <v>0</v>
      </c>
      <c r="I3371" s="21">
        <f>Data!C3383</f>
        <v>0</v>
      </c>
      <c r="J3371">
        <f>Data!D3383</f>
        <v>0</v>
      </c>
      <c r="K3371">
        <f>Data!E3383</f>
        <v>0</v>
      </c>
      <c r="L3371">
        <f>Data!F3383</f>
        <v>0</v>
      </c>
      <c r="M3371">
        <f>Data!G3383</f>
        <v>0</v>
      </c>
      <c r="N3371">
        <f>Data!H3383</f>
        <v>0</v>
      </c>
      <c r="O3371">
        <f>Data!I3383</f>
        <v>0</v>
      </c>
      <c r="P3371" s="21">
        <f>Data!J3387</f>
        <v>0</v>
      </c>
      <c r="Q3371">
        <f>Data!K3387</f>
        <v>0</v>
      </c>
      <c r="R3371">
        <f>Data!L3387</f>
        <v>0</v>
      </c>
      <c r="S3371">
        <f>Data!M3387</f>
        <v>0</v>
      </c>
      <c r="T3371">
        <f>Data!N3387</f>
        <v>0</v>
      </c>
      <c r="U3371">
        <f>Data!O3387</f>
        <v>0</v>
      </c>
      <c r="V3371" s="33">
        <f>Data!P3385</f>
        <v>0</v>
      </c>
    </row>
    <row r="3372" spans="7:22" x14ac:dyDescent="0.25">
      <c r="G3372">
        <f>Data!B3384</f>
        <v>0</v>
      </c>
      <c r="H3372" s="21">
        <f>Data!B3384</f>
        <v>0</v>
      </c>
      <c r="I3372" s="21">
        <f>Data!C3384</f>
        <v>0</v>
      </c>
      <c r="J3372">
        <f>Data!D3384</f>
        <v>0</v>
      </c>
      <c r="K3372">
        <f>Data!E3384</f>
        <v>0</v>
      </c>
      <c r="L3372">
        <f>Data!F3384</f>
        <v>0</v>
      </c>
      <c r="M3372">
        <f>Data!G3384</f>
        <v>0</v>
      </c>
      <c r="N3372">
        <f>Data!H3384</f>
        <v>0</v>
      </c>
      <c r="O3372">
        <f>Data!I3384</f>
        <v>0</v>
      </c>
      <c r="P3372" s="21">
        <f>Data!J3388</f>
        <v>0</v>
      </c>
      <c r="Q3372">
        <f>Data!K3388</f>
        <v>0</v>
      </c>
      <c r="R3372">
        <f>Data!L3388</f>
        <v>0</v>
      </c>
      <c r="S3372">
        <f>Data!M3388</f>
        <v>0</v>
      </c>
      <c r="T3372">
        <f>Data!N3388</f>
        <v>0</v>
      </c>
      <c r="U3372">
        <f>Data!O3388</f>
        <v>0</v>
      </c>
      <c r="V3372" s="33">
        <f>Data!P3386</f>
        <v>0</v>
      </c>
    </row>
    <row r="3373" spans="7:22" x14ac:dyDescent="0.25">
      <c r="G3373">
        <f>Data!B3385</f>
        <v>0</v>
      </c>
      <c r="H3373" s="21">
        <f>Data!B3385</f>
        <v>0</v>
      </c>
      <c r="I3373" s="21">
        <f>Data!C3385</f>
        <v>0</v>
      </c>
      <c r="J3373">
        <f>Data!D3385</f>
        <v>0</v>
      </c>
      <c r="K3373">
        <f>Data!E3385</f>
        <v>0</v>
      </c>
      <c r="L3373">
        <f>Data!F3385</f>
        <v>0</v>
      </c>
      <c r="M3373">
        <f>Data!G3385</f>
        <v>0</v>
      </c>
      <c r="N3373">
        <f>Data!H3385</f>
        <v>0</v>
      </c>
      <c r="O3373">
        <f>Data!I3385</f>
        <v>0</v>
      </c>
      <c r="P3373" s="21">
        <f>Data!J3389</f>
        <v>0</v>
      </c>
      <c r="Q3373">
        <f>Data!K3389</f>
        <v>0</v>
      </c>
      <c r="R3373">
        <f>Data!L3389</f>
        <v>0</v>
      </c>
      <c r="S3373">
        <f>Data!M3389</f>
        <v>0</v>
      </c>
      <c r="T3373">
        <f>Data!N3389</f>
        <v>0</v>
      </c>
      <c r="U3373">
        <f>Data!O3389</f>
        <v>0</v>
      </c>
      <c r="V3373" s="33">
        <f>Data!P3387</f>
        <v>0</v>
      </c>
    </row>
    <row r="3374" spans="7:22" x14ac:dyDescent="0.25">
      <c r="G3374">
        <f>Data!B3386</f>
        <v>0</v>
      </c>
      <c r="H3374" s="21">
        <f>Data!B3386</f>
        <v>0</v>
      </c>
      <c r="I3374" s="21">
        <f>Data!C3386</f>
        <v>0</v>
      </c>
      <c r="J3374">
        <f>Data!D3386</f>
        <v>0</v>
      </c>
      <c r="K3374">
        <f>Data!E3386</f>
        <v>0</v>
      </c>
      <c r="L3374">
        <f>Data!F3386</f>
        <v>0</v>
      </c>
      <c r="M3374">
        <f>Data!G3386</f>
        <v>0</v>
      </c>
      <c r="N3374">
        <f>Data!H3386</f>
        <v>0</v>
      </c>
      <c r="O3374">
        <f>Data!I3386</f>
        <v>0</v>
      </c>
      <c r="P3374" s="21">
        <f>Data!J3390</f>
        <v>0</v>
      </c>
      <c r="Q3374">
        <f>Data!K3390</f>
        <v>0</v>
      </c>
      <c r="R3374">
        <f>Data!L3390</f>
        <v>0</v>
      </c>
      <c r="S3374">
        <f>Data!M3390</f>
        <v>0</v>
      </c>
      <c r="T3374">
        <f>Data!N3390</f>
        <v>0</v>
      </c>
      <c r="U3374">
        <f>Data!O3390</f>
        <v>0</v>
      </c>
      <c r="V3374" s="33">
        <f>Data!P3388</f>
        <v>0</v>
      </c>
    </row>
    <row r="3375" spans="7:22" x14ac:dyDescent="0.25">
      <c r="G3375">
        <f>Data!B3387</f>
        <v>0</v>
      </c>
      <c r="H3375" s="21">
        <f>Data!B3387</f>
        <v>0</v>
      </c>
      <c r="I3375" s="21">
        <f>Data!C3387</f>
        <v>0</v>
      </c>
      <c r="J3375">
        <f>Data!D3387</f>
        <v>0</v>
      </c>
      <c r="K3375">
        <f>Data!E3387</f>
        <v>0</v>
      </c>
      <c r="L3375">
        <f>Data!F3387</f>
        <v>0</v>
      </c>
      <c r="M3375">
        <f>Data!G3387</f>
        <v>0</v>
      </c>
      <c r="N3375">
        <f>Data!H3387</f>
        <v>0</v>
      </c>
      <c r="O3375">
        <f>Data!I3387</f>
        <v>0</v>
      </c>
      <c r="P3375" s="21">
        <f>Data!J3391</f>
        <v>0</v>
      </c>
      <c r="Q3375">
        <f>Data!K3391</f>
        <v>0</v>
      </c>
      <c r="R3375">
        <f>Data!L3391</f>
        <v>0</v>
      </c>
      <c r="S3375">
        <f>Data!M3391</f>
        <v>0</v>
      </c>
      <c r="T3375">
        <f>Data!N3391</f>
        <v>0</v>
      </c>
      <c r="U3375">
        <f>Data!O3391</f>
        <v>0</v>
      </c>
      <c r="V3375" s="33">
        <f>Data!P3389</f>
        <v>0</v>
      </c>
    </row>
    <row r="3376" spans="7:22" x14ac:dyDescent="0.25">
      <c r="G3376">
        <f>Data!B3388</f>
        <v>0</v>
      </c>
      <c r="H3376" s="21">
        <f>Data!B3388</f>
        <v>0</v>
      </c>
      <c r="I3376" s="21">
        <f>Data!C3388</f>
        <v>0</v>
      </c>
      <c r="J3376">
        <f>Data!D3388</f>
        <v>0</v>
      </c>
      <c r="K3376">
        <f>Data!E3388</f>
        <v>0</v>
      </c>
      <c r="L3376">
        <f>Data!F3388</f>
        <v>0</v>
      </c>
      <c r="M3376">
        <f>Data!G3388</f>
        <v>0</v>
      </c>
      <c r="N3376">
        <f>Data!H3388</f>
        <v>0</v>
      </c>
      <c r="O3376">
        <f>Data!I3388</f>
        <v>0</v>
      </c>
      <c r="P3376" s="21">
        <f>Data!J3392</f>
        <v>0</v>
      </c>
      <c r="Q3376">
        <f>Data!K3392</f>
        <v>0</v>
      </c>
      <c r="R3376">
        <f>Data!L3392</f>
        <v>0</v>
      </c>
      <c r="S3376">
        <f>Data!M3392</f>
        <v>0</v>
      </c>
      <c r="T3376">
        <f>Data!N3392</f>
        <v>0</v>
      </c>
      <c r="U3376">
        <f>Data!O3392</f>
        <v>0</v>
      </c>
      <c r="V3376" s="33">
        <f>Data!P3390</f>
        <v>0</v>
      </c>
    </row>
    <row r="3377" spans="7:22" x14ac:dyDescent="0.25">
      <c r="G3377">
        <f>Data!B3389</f>
        <v>0</v>
      </c>
      <c r="H3377" s="21">
        <f>Data!B3389</f>
        <v>0</v>
      </c>
      <c r="I3377" s="21">
        <f>Data!C3389</f>
        <v>0</v>
      </c>
      <c r="J3377">
        <f>Data!D3389</f>
        <v>0</v>
      </c>
      <c r="K3377">
        <f>Data!E3389</f>
        <v>0</v>
      </c>
      <c r="L3377">
        <f>Data!F3389</f>
        <v>0</v>
      </c>
      <c r="M3377">
        <f>Data!G3389</f>
        <v>0</v>
      </c>
      <c r="N3377">
        <f>Data!H3389</f>
        <v>0</v>
      </c>
      <c r="O3377">
        <f>Data!I3389</f>
        <v>0</v>
      </c>
      <c r="P3377" s="21">
        <f>Data!J3393</f>
        <v>0</v>
      </c>
      <c r="Q3377">
        <f>Data!K3393</f>
        <v>0</v>
      </c>
      <c r="R3377">
        <f>Data!L3393</f>
        <v>0</v>
      </c>
      <c r="S3377">
        <f>Data!M3393</f>
        <v>0</v>
      </c>
      <c r="T3377">
        <f>Data!N3393</f>
        <v>0</v>
      </c>
      <c r="U3377">
        <f>Data!O3393</f>
        <v>0</v>
      </c>
      <c r="V3377" s="33">
        <f>Data!P3391</f>
        <v>0</v>
      </c>
    </row>
    <row r="3378" spans="7:22" x14ac:dyDescent="0.25">
      <c r="G3378">
        <f>Data!B3390</f>
        <v>0</v>
      </c>
      <c r="H3378" s="21">
        <f>Data!B3390</f>
        <v>0</v>
      </c>
      <c r="I3378" s="21">
        <f>Data!C3390</f>
        <v>0</v>
      </c>
      <c r="J3378">
        <f>Data!D3390</f>
        <v>0</v>
      </c>
      <c r="K3378">
        <f>Data!E3390</f>
        <v>0</v>
      </c>
      <c r="L3378">
        <f>Data!F3390</f>
        <v>0</v>
      </c>
      <c r="M3378">
        <f>Data!G3390</f>
        <v>0</v>
      </c>
      <c r="N3378">
        <f>Data!H3390</f>
        <v>0</v>
      </c>
      <c r="O3378">
        <f>Data!I3390</f>
        <v>0</v>
      </c>
      <c r="P3378" s="21">
        <f>Data!J3394</f>
        <v>0</v>
      </c>
      <c r="Q3378">
        <f>Data!K3394</f>
        <v>0</v>
      </c>
      <c r="R3378">
        <f>Data!L3394</f>
        <v>0</v>
      </c>
      <c r="S3378">
        <f>Data!M3394</f>
        <v>0</v>
      </c>
      <c r="T3378">
        <f>Data!N3394</f>
        <v>0</v>
      </c>
      <c r="U3378">
        <f>Data!O3394</f>
        <v>0</v>
      </c>
      <c r="V3378" s="33">
        <f>Data!P3392</f>
        <v>0</v>
      </c>
    </row>
    <row r="3379" spans="7:22" x14ac:dyDescent="0.25">
      <c r="G3379">
        <f>Data!B3391</f>
        <v>0</v>
      </c>
      <c r="H3379" s="21">
        <f>Data!B3391</f>
        <v>0</v>
      </c>
      <c r="I3379" s="21">
        <f>Data!C3391</f>
        <v>0</v>
      </c>
      <c r="J3379">
        <f>Data!D3391</f>
        <v>0</v>
      </c>
      <c r="K3379">
        <f>Data!E3391</f>
        <v>0</v>
      </c>
      <c r="L3379">
        <f>Data!F3391</f>
        <v>0</v>
      </c>
      <c r="M3379">
        <f>Data!G3391</f>
        <v>0</v>
      </c>
      <c r="N3379">
        <f>Data!H3391</f>
        <v>0</v>
      </c>
      <c r="O3379">
        <f>Data!I3391</f>
        <v>0</v>
      </c>
      <c r="P3379" s="21">
        <f>Data!J3395</f>
        <v>0</v>
      </c>
      <c r="Q3379">
        <f>Data!K3395</f>
        <v>0</v>
      </c>
      <c r="R3379">
        <f>Data!L3395</f>
        <v>0</v>
      </c>
      <c r="S3379">
        <f>Data!M3395</f>
        <v>0</v>
      </c>
      <c r="T3379">
        <f>Data!N3395</f>
        <v>0</v>
      </c>
      <c r="U3379">
        <f>Data!O3395</f>
        <v>0</v>
      </c>
      <c r="V3379" s="33">
        <f>Data!P3393</f>
        <v>0</v>
      </c>
    </row>
    <row r="3380" spans="7:22" x14ac:dyDescent="0.25">
      <c r="G3380">
        <f>Data!B3392</f>
        <v>0</v>
      </c>
      <c r="H3380" s="21">
        <f>Data!B3392</f>
        <v>0</v>
      </c>
      <c r="I3380" s="21">
        <f>Data!C3392</f>
        <v>0</v>
      </c>
      <c r="J3380">
        <f>Data!D3392</f>
        <v>0</v>
      </c>
      <c r="K3380">
        <f>Data!E3392</f>
        <v>0</v>
      </c>
      <c r="L3380">
        <f>Data!F3392</f>
        <v>0</v>
      </c>
      <c r="M3380">
        <f>Data!G3392</f>
        <v>0</v>
      </c>
      <c r="N3380">
        <f>Data!H3392</f>
        <v>0</v>
      </c>
      <c r="O3380">
        <f>Data!I3392</f>
        <v>0</v>
      </c>
      <c r="P3380" s="21">
        <f>Data!J3396</f>
        <v>0</v>
      </c>
      <c r="Q3380">
        <f>Data!K3396</f>
        <v>0</v>
      </c>
      <c r="R3380">
        <f>Data!L3396</f>
        <v>0</v>
      </c>
      <c r="S3380">
        <f>Data!M3396</f>
        <v>0</v>
      </c>
      <c r="T3380">
        <f>Data!N3396</f>
        <v>0</v>
      </c>
      <c r="U3380">
        <f>Data!O3396</f>
        <v>0</v>
      </c>
      <c r="V3380" s="33">
        <f>Data!P3394</f>
        <v>0</v>
      </c>
    </row>
    <row r="3381" spans="7:22" x14ac:dyDescent="0.25">
      <c r="G3381">
        <f>Data!B3393</f>
        <v>0</v>
      </c>
      <c r="H3381" s="21">
        <f>Data!B3393</f>
        <v>0</v>
      </c>
      <c r="I3381" s="21">
        <f>Data!C3393</f>
        <v>0</v>
      </c>
      <c r="J3381">
        <f>Data!D3393</f>
        <v>0</v>
      </c>
      <c r="K3381">
        <f>Data!E3393</f>
        <v>0</v>
      </c>
      <c r="L3381">
        <f>Data!F3393</f>
        <v>0</v>
      </c>
      <c r="M3381">
        <f>Data!G3393</f>
        <v>0</v>
      </c>
      <c r="N3381">
        <f>Data!H3393</f>
        <v>0</v>
      </c>
      <c r="O3381">
        <f>Data!I3393</f>
        <v>0</v>
      </c>
      <c r="P3381" s="21">
        <f>Data!J3397</f>
        <v>0</v>
      </c>
      <c r="Q3381">
        <f>Data!K3397</f>
        <v>0</v>
      </c>
      <c r="R3381">
        <f>Data!L3397</f>
        <v>0</v>
      </c>
      <c r="S3381">
        <f>Data!M3397</f>
        <v>0</v>
      </c>
      <c r="T3381">
        <f>Data!N3397</f>
        <v>0</v>
      </c>
      <c r="U3381">
        <f>Data!O3397</f>
        <v>0</v>
      </c>
      <c r="V3381" s="33">
        <f>Data!P3395</f>
        <v>0</v>
      </c>
    </row>
    <row r="3382" spans="7:22" x14ac:dyDescent="0.25">
      <c r="G3382">
        <f>Data!B3394</f>
        <v>0</v>
      </c>
      <c r="H3382" s="21">
        <f>Data!B3394</f>
        <v>0</v>
      </c>
      <c r="I3382" s="21">
        <f>Data!C3394</f>
        <v>0</v>
      </c>
      <c r="J3382">
        <f>Data!D3394</f>
        <v>0</v>
      </c>
      <c r="K3382">
        <f>Data!E3394</f>
        <v>0</v>
      </c>
      <c r="L3382">
        <f>Data!F3394</f>
        <v>0</v>
      </c>
      <c r="M3382">
        <f>Data!G3394</f>
        <v>0</v>
      </c>
      <c r="N3382">
        <f>Data!H3394</f>
        <v>0</v>
      </c>
      <c r="O3382">
        <f>Data!I3394</f>
        <v>0</v>
      </c>
      <c r="P3382" s="21">
        <f>Data!J3398</f>
        <v>0</v>
      </c>
      <c r="Q3382">
        <f>Data!K3398</f>
        <v>0</v>
      </c>
      <c r="R3382">
        <f>Data!L3398</f>
        <v>0</v>
      </c>
      <c r="S3382">
        <f>Data!M3398</f>
        <v>0</v>
      </c>
      <c r="T3382">
        <f>Data!N3398</f>
        <v>0</v>
      </c>
      <c r="U3382">
        <f>Data!O3398</f>
        <v>0</v>
      </c>
      <c r="V3382" s="33">
        <f>Data!P3396</f>
        <v>0</v>
      </c>
    </row>
    <row r="3383" spans="7:22" x14ac:dyDescent="0.25">
      <c r="G3383">
        <f>Data!B3395</f>
        <v>0</v>
      </c>
      <c r="H3383" s="21">
        <f>Data!B3395</f>
        <v>0</v>
      </c>
      <c r="I3383" s="21">
        <f>Data!C3395</f>
        <v>0</v>
      </c>
      <c r="J3383">
        <f>Data!D3395</f>
        <v>0</v>
      </c>
      <c r="K3383">
        <f>Data!E3395</f>
        <v>0</v>
      </c>
      <c r="L3383">
        <f>Data!F3395</f>
        <v>0</v>
      </c>
      <c r="M3383">
        <f>Data!G3395</f>
        <v>0</v>
      </c>
      <c r="N3383">
        <f>Data!H3395</f>
        <v>0</v>
      </c>
      <c r="O3383">
        <f>Data!I3395</f>
        <v>0</v>
      </c>
      <c r="P3383" s="21">
        <f>Data!J3399</f>
        <v>0</v>
      </c>
      <c r="Q3383">
        <f>Data!K3399</f>
        <v>0</v>
      </c>
      <c r="R3383">
        <f>Data!L3399</f>
        <v>0</v>
      </c>
      <c r="S3383">
        <f>Data!M3399</f>
        <v>0</v>
      </c>
      <c r="T3383">
        <f>Data!N3399</f>
        <v>0</v>
      </c>
      <c r="U3383">
        <f>Data!O3399</f>
        <v>0</v>
      </c>
      <c r="V3383" s="33">
        <f>Data!P3397</f>
        <v>0</v>
      </c>
    </row>
    <row r="3384" spans="7:22" x14ac:dyDescent="0.25">
      <c r="G3384">
        <f>Data!B3396</f>
        <v>0</v>
      </c>
      <c r="H3384" s="21">
        <f>Data!B3396</f>
        <v>0</v>
      </c>
      <c r="I3384" s="21">
        <f>Data!C3396</f>
        <v>0</v>
      </c>
      <c r="J3384">
        <f>Data!D3396</f>
        <v>0</v>
      </c>
      <c r="K3384">
        <f>Data!E3396</f>
        <v>0</v>
      </c>
      <c r="L3384">
        <f>Data!F3396</f>
        <v>0</v>
      </c>
      <c r="M3384">
        <f>Data!G3396</f>
        <v>0</v>
      </c>
      <c r="N3384">
        <f>Data!H3396</f>
        <v>0</v>
      </c>
      <c r="O3384">
        <f>Data!I3396</f>
        <v>0</v>
      </c>
      <c r="P3384" s="21">
        <f>Data!J3400</f>
        <v>0</v>
      </c>
      <c r="Q3384">
        <f>Data!K3400</f>
        <v>0</v>
      </c>
      <c r="R3384">
        <f>Data!L3400</f>
        <v>0</v>
      </c>
      <c r="S3384">
        <f>Data!M3400</f>
        <v>0</v>
      </c>
      <c r="T3384">
        <f>Data!N3400</f>
        <v>0</v>
      </c>
      <c r="U3384">
        <f>Data!O3400</f>
        <v>0</v>
      </c>
      <c r="V3384" s="33">
        <f>Data!P3398</f>
        <v>0</v>
      </c>
    </row>
    <row r="3385" spans="7:22" x14ac:dyDescent="0.25">
      <c r="G3385">
        <f>Data!B3397</f>
        <v>0</v>
      </c>
      <c r="H3385" s="21">
        <f>Data!B3397</f>
        <v>0</v>
      </c>
      <c r="I3385" s="21">
        <f>Data!C3397</f>
        <v>0</v>
      </c>
      <c r="J3385">
        <f>Data!D3397</f>
        <v>0</v>
      </c>
      <c r="K3385">
        <f>Data!E3397</f>
        <v>0</v>
      </c>
      <c r="L3385">
        <f>Data!F3397</f>
        <v>0</v>
      </c>
      <c r="M3385">
        <f>Data!G3397</f>
        <v>0</v>
      </c>
      <c r="N3385">
        <f>Data!H3397</f>
        <v>0</v>
      </c>
      <c r="O3385">
        <f>Data!I3397</f>
        <v>0</v>
      </c>
      <c r="P3385" s="21">
        <f>Data!J3401</f>
        <v>0</v>
      </c>
      <c r="Q3385">
        <f>Data!K3401</f>
        <v>0</v>
      </c>
      <c r="R3385">
        <f>Data!L3401</f>
        <v>0</v>
      </c>
      <c r="S3385">
        <f>Data!M3401</f>
        <v>0</v>
      </c>
      <c r="T3385">
        <f>Data!N3401</f>
        <v>0</v>
      </c>
      <c r="U3385">
        <f>Data!O3401</f>
        <v>0</v>
      </c>
      <c r="V3385" s="33">
        <f>Data!P3399</f>
        <v>0</v>
      </c>
    </row>
    <row r="3386" spans="7:22" x14ac:dyDescent="0.25">
      <c r="G3386">
        <f>Data!B3398</f>
        <v>0</v>
      </c>
      <c r="H3386" s="21">
        <f>Data!B3398</f>
        <v>0</v>
      </c>
      <c r="I3386" s="21">
        <f>Data!C3398</f>
        <v>0</v>
      </c>
      <c r="J3386">
        <f>Data!D3398</f>
        <v>0</v>
      </c>
      <c r="K3386">
        <f>Data!E3398</f>
        <v>0</v>
      </c>
      <c r="L3386">
        <f>Data!F3398</f>
        <v>0</v>
      </c>
      <c r="M3386">
        <f>Data!G3398</f>
        <v>0</v>
      </c>
      <c r="N3386">
        <f>Data!H3398</f>
        <v>0</v>
      </c>
      <c r="O3386">
        <f>Data!I3398</f>
        <v>0</v>
      </c>
      <c r="P3386" s="21">
        <f>Data!J3402</f>
        <v>0</v>
      </c>
      <c r="Q3386">
        <f>Data!K3402</f>
        <v>0</v>
      </c>
      <c r="R3386">
        <f>Data!L3402</f>
        <v>0</v>
      </c>
      <c r="S3386">
        <f>Data!M3402</f>
        <v>0</v>
      </c>
      <c r="T3386">
        <f>Data!N3402</f>
        <v>0</v>
      </c>
      <c r="U3386">
        <f>Data!O3402</f>
        <v>0</v>
      </c>
      <c r="V3386" s="33">
        <f>Data!P3400</f>
        <v>0</v>
      </c>
    </row>
    <row r="3387" spans="7:22" x14ac:dyDescent="0.25">
      <c r="G3387">
        <f>Data!B3399</f>
        <v>0</v>
      </c>
      <c r="H3387" s="21">
        <f>Data!B3399</f>
        <v>0</v>
      </c>
      <c r="I3387" s="21">
        <f>Data!C3399</f>
        <v>0</v>
      </c>
      <c r="J3387">
        <f>Data!D3399</f>
        <v>0</v>
      </c>
      <c r="K3387">
        <f>Data!E3399</f>
        <v>0</v>
      </c>
      <c r="L3387">
        <f>Data!F3399</f>
        <v>0</v>
      </c>
      <c r="M3387">
        <f>Data!G3399</f>
        <v>0</v>
      </c>
      <c r="N3387">
        <f>Data!H3399</f>
        <v>0</v>
      </c>
      <c r="O3387">
        <f>Data!I3399</f>
        <v>0</v>
      </c>
      <c r="P3387" s="21">
        <f>Data!J3403</f>
        <v>0</v>
      </c>
      <c r="Q3387">
        <f>Data!K3403</f>
        <v>0</v>
      </c>
      <c r="R3387">
        <f>Data!L3403</f>
        <v>0</v>
      </c>
      <c r="S3387">
        <f>Data!M3403</f>
        <v>0</v>
      </c>
      <c r="T3387">
        <f>Data!N3403</f>
        <v>0</v>
      </c>
      <c r="U3387">
        <f>Data!O3403</f>
        <v>0</v>
      </c>
      <c r="V3387" s="33">
        <f>Data!P3401</f>
        <v>0</v>
      </c>
    </row>
    <row r="3388" spans="7:22" x14ac:dyDescent="0.25">
      <c r="G3388">
        <f>Data!B3400</f>
        <v>0</v>
      </c>
      <c r="H3388" s="21">
        <f>Data!B3400</f>
        <v>0</v>
      </c>
      <c r="I3388" s="21">
        <f>Data!C3400</f>
        <v>0</v>
      </c>
      <c r="J3388">
        <f>Data!D3400</f>
        <v>0</v>
      </c>
      <c r="K3388">
        <f>Data!E3400</f>
        <v>0</v>
      </c>
      <c r="L3388">
        <f>Data!F3400</f>
        <v>0</v>
      </c>
      <c r="M3388">
        <f>Data!G3400</f>
        <v>0</v>
      </c>
      <c r="N3388">
        <f>Data!H3400</f>
        <v>0</v>
      </c>
      <c r="O3388">
        <f>Data!I3400</f>
        <v>0</v>
      </c>
      <c r="P3388" s="21">
        <f>Data!J3404</f>
        <v>0</v>
      </c>
      <c r="Q3388">
        <f>Data!K3404</f>
        <v>0</v>
      </c>
      <c r="R3388">
        <f>Data!L3404</f>
        <v>0</v>
      </c>
      <c r="S3388">
        <f>Data!M3404</f>
        <v>0</v>
      </c>
      <c r="T3388">
        <f>Data!N3404</f>
        <v>0</v>
      </c>
      <c r="U3388">
        <f>Data!O3404</f>
        <v>0</v>
      </c>
      <c r="V3388" s="33">
        <f>Data!P3402</f>
        <v>0</v>
      </c>
    </row>
    <row r="3389" spans="7:22" x14ac:dyDescent="0.25">
      <c r="G3389">
        <f>Data!B3401</f>
        <v>0</v>
      </c>
      <c r="H3389" s="21">
        <f>Data!B3401</f>
        <v>0</v>
      </c>
      <c r="I3389" s="21">
        <f>Data!C3401</f>
        <v>0</v>
      </c>
      <c r="J3389">
        <f>Data!D3401</f>
        <v>0</v>
      </c>
      <c r="K3389">
        <f>Data!E3401</f>
        <v>0</v>
      </c>
      <c r="L3389">
        <f>Data!F3401</f>
        <v>0</v>
      </c>
      <c r="M3389">
        <f>Data!G3401</f>
        <v>0</v>
      </c>
      <c r="N3389">
        <f>Data!H3401</f>
        <v>0</v>
      </c>
      <c r="O3389">
        <f>Data!I3401</f>
        <v>0</v>
      </c>
      <c r="P3389" s="21">
        <f>Data!J3405</f>
        <v>0</v>
      </c>
      <c r="Q3389">
        <f>Data!K3405</f>
        <v>0</v>
      </c>
      <c r="R3389">
        <f>Data!L3405</f>
        <v>0</v>
      </c>
      <c r="S3389">
        <f>Data!M3405</f>
        <v>0</v>
      </c>
      <c r="T3389">
        <f>Data!N3405</f>
        <v>0</v>
      </c>
      <c r="U3389">
        <f>Data!O3405</f>
        <v>0</v>
      </c>
      <c r="V3389" s="33">
        <f>Data!P3403</f>
        <v>0</v>
      </c>
    </row>
    <row r="3390" spans="7:22" x14ac:dyDescent="0.25">
      <c r="G3390">
        <f>Data!B3402</f>
        <v>0</v>
      </c>
      <c r="H3390" s="21">
        <f>Data!B3402</f>
        <v>0</v>
      </c>
      <c r="I3390" s="21">
        <f>Data!C3402</f>
        <v>0</v>
      </c>
      <c r="J3390">
        <f>Data!D3402</f>
        <v>0</v>
      </c>
      <c r="K3390">
        <f>Data!E3402</f>
        <v>0</v>
      </c>
      <c r="L3390">
        <f>Data!F3402</f>
        <v>0</v>
      </c>
      <c r="M3390">
        <f>Data!G3402</f>
        <v>0</v>
      </c>
      <c r="N3390">
        <f>Data!H3402</f>
        <v>0</v>
      </c>
      <c r="O3390">
        <f>Data!I3402</f>
        <v>0</v>
      </c>
      <c r="P3390" s="21">
        <f>Data!J3406</f>
        <v>0</v>
      </c>
      <c r="Q3390">
        <f>Data!K3406</f>
        <v>0</v>
      </c>
      <c r="R3390">
        <f>Data!L3406</f>
        <v>0</v>
      </c>
      <c r="S3390">
        <f>Data!M3406</f>
        <v>0</v>
      </c>
      <c r="T3390">
        <f>Data!N3406</f>
        <v>0</v>
      </c>
      <c r="U3390">
        <f>Data!O3406</f>
        <v>0</v>
      </c>
      <c r="V3390" s="33">
        <f>Data!P3404</f>
        <v>0</v>
      </c>
    </row>
    <row r="3391" spans="7:22" x14ac:dyDescent="0.25">
      <c r="G3391">
        <f>Data!B3403</f>
        <v>0</v>
      </c>
      <c r="H3391" s="21">
        <f>Data!B3403</f>
        <v>0</v>
      </c>
      <c r="I3391" s="21">
        <f>Data!C3403</f>
        <v>0</v>
      </c>
      <c r="J3391">
        <f>Data!D3403</f>
        <v>0</v>
      </c>
      <c r="K3391">
        <f>Data!E3403</f>
        <v>0</v>
      </c>
      <c r="L3391">
        <f>Data!F3403</f>
        <v>0</v>
      </c>
      <c r="M3391">
        <f>Data!G3403</f>
        <v>0</v>
      </c>
      <c r="N3391">
        <f>Data!H3403</f>
        <v>0</v>
      </c>
      <c r="O3391">
        <f>Data!I3403</f>
        <v>0</v>
      </c>
      <c r="P3391" s="21">
        <f>Data!J3407</f>
        <v>0</v>
      </c>
      <c r="Q3391">
        <f>Data!K3407</f>
        <v>0</v>
      </c>
      <c r="R3391">
        <f>Data!L3407</f>
        <v>0</v>
      </c>
      <c r="S3391">
        <f>Data!M3407</f>
        <v>0</v>
      </c>
      <c r="T3391">
        <f>Data!N3407</f>
        <v>0</v>
      </c>
      <c r="U3391">
        <f>Data!O3407</f>
        <v>0</v>
      </c>
      <c r="V3391" s="33">
        <f>Data!P3405</f>
        <v>0</v>
      </c>
    </row>
    <row r="3392" spans="7:22" x14ac:dyDescent="0.25">
      <c r="G3392">
        <f>Data!B3404</f>
        <v>0</v>
      </c>
      <c r="H3392" s="21">
        <f>Data!B3404</f>
        <v>0</v>
      </c>
      <c r="I3392" s="21">
        <f>Data!C3404</f>
        <v>0</v>
      </c>
      <c r="J3392">
        <f>Data!D3404</f>
        <v>0</v>
      </c>
      <c r="K3392">
        <f>Data!E3404</f>
        <v>0</v>
      </c>
      <c r="L3392">
        <f>Data!F3404</f>
        <v>0</v>
      </c>
      <c r="M3392">
        <f>Data!G3404</f>
        <v>0</v>
      </c>
      <c r="N3392">
        <f>Data!H3404</f>
        <v>0</v>
      </c>
      <c r="O3392">
        <f>Data!I3404</f>
        <v>0</v>
      </c>
      <c r="P3392" s="21">
        <f>Data!J3408</f>
        <v>0</v>
      </c>
      <c r="Q3392">
        <f>Data!K3408</f>
        <v>0</v>
      </c>
      <c r="R3392">
        <f>Data!L3408</f>
        <v>0</v>
      </c>
      <c r="S3392">
        <f>Data!M3408</f>
        <v>0</v>
      </c>
      <c r="T3392">
        <f>Data!N3408</f>
        <v>0</v>
      </c>
      <c r="U3392">
        <f>Data!O3408</f>
        <v>0</v>
      </c>
      <c r="V3392" s="33">
        <f>Data!P3406</f>
        <v>0</v>
      </c>
    </row>
    <row r="3393" spans="7:22" x14ac:dyDescent="0.25">
      <c r="G3393">
        <f>Data!B3405</f>
        <v>0</v>
      </c>
      <c r="H3393" s="21">
        <f>Data!B3405</f>
        <v>0</v>
      </c>
      <c r="I3393" s="21">
        <f>Data!C3405</f>
        <v>0</v>
      </c>
      <c r="J3393">
        <f>Data!D3405</f>
        <v>0</v>
      </c>
      <c r="K3393">
        <f>Data!E3405</f>
        <v>0</v>
      </c>
      <c r="L3393">
        <f>Data!F3405</f>
        <v>0</v>
      </c>
      <c r="M3393">
        <f>Data!G3405</f>
        <v>0</v>
      </c>
      <c r="N3393">
        <f>Data!H3405</f>
        <v>0</v>
      </c>
      <c r="O3393">
        <f>Data!I3405</f>
        <v>0</v>
      </c>
      <c r="P3393" s="21">
        <f>Data!J3409</f>
        <v>0</v>
      </c>
      <c r="Q3393">
        <f>Data!K3409</f>
        <v>0</v>
      </c>
      <c r="R3393">
        <f>Data!L3409</f>
        <v>0</v>
      </c>
      <c r="S3393">
        <f>Data!M3409</f>
        <v>0</v>
      </c>
      <c r="T3393">
        <f>Data!N3409</f>
        <v>0</v>
      </c>
      <c r="U3393">
        <f>Data!O3409</f>
        <v>0</v>
      </c>
      <c r="V3393" s="33">
        <f>Data!P3407</f>
        <v>0</v>
      </c>
    </row>
    <row r="3394" spans="7:22" x14ac:dyDescent="0.25">
      <c r="G3394">
        <f>Data!B3406</f>
        <v>0</v>
      </c>
      <c r="H3394" s="21">
        <f>Data!B3406</f>
        <v>0</v>
      </c>
      <c r="I3394" s="21">
        <f>Data!C3406</f>
        <v>0</v>
      </c>
      <c r="J3394">
        <f>Data!D3406</f>
        <v>0</v>
      </c>
      <c r="K3394">
        <f>Data!E3406</f>
        <v>0</v>
      </c>
      <c r="L3394">
        <f>Data!F3406</f>
        <v>0</v>
      </c>
      <c r="M3394">
        <f>Data!G3406</f>
        <v>0</v>
      </c>
      <c r="N3394">
        <f>Data!H3406</f>
        <v>0</v>
      </c>
      <c r="O3394">
        <f>Data!I3406</f>
        <v>0</v>
      </c>
      <c r="P3394" s="21">
        <f>Data!J3410</f>
        <v>0</v>
      </c>
      <c r="Q3394">
        <f>Data!K3410</f>
        <v>0</v>
      </c>
      <c r="R3394">
        <f>Data!L3410</f>
        <v>0</v>
      </c>
      <c r="S3394">
        <f>Data!M3410</f>
        <v>0</v>
      </c>
      <c r="T3394">
        <f>Data!N3410</f>
        <v>0</v>
      </c>
      <c r="U3394">
        <f>Data!O3410</f>
        <v>0</v>
      </c>
      <c r="V3394" s="33">
        <f>Data!P3408</f>
        <v>0</v>
      </c>
    </row>
    <row r="3395" spans="7:22" x14ac:dyDescent="0.25">
      <c r="G3395">
        <f>Data!B3407</f>
        <v>0</v>
      </c>
      <c r="H3395" s="21">
        <f>Data!B3407</f>
        <v>0</v>
      </c>
      <c r="I3395" s="21">
        <f>Data!C3407</f>
        <v>0</v>
      </c>
      <c r="J3395">
        <f>Data!D3407</f>
        <v>0</v>
      </c>
      <c r="K3395">
        <f>Data!E3407</f>
        <v>0</v>
      </c>
      <c r="L3395">
        <f>Data!F3407</f>
        <v>0</v>
      </c>
      <c r="M3395">
        <f>Data!G3407</f>
        <v>0</v>
      </c>
      <c r="N3395">
        <f>Data!H3407</f>
        <v>0</v>
      </c>
      <c r="O3395">
        <f>Data!I3407</f>
        <v>0</v>
      </c>
      <c r="P3395" s="21">
        <f>Data!J3411</f>
        <v>0</v>
      </c>
      <c r="Q3395">
        <f>Data!K3411</f>
        <v>0</v>
      </c>
      <c r="R3395">
        <f>Data!L3411</f>
        <v>0</v>
      </c>
      <c r="S3395">
        <f>Data!M3411</f>
        <v>0</v>
      </c>
      <c r="T3395">
        <f>Data!N3411</f>
        <v>0</v>
      </c>
      <c r="U3395">
        <f>Data!O3411</f>
        <v>0</v>
      </c>
      <c r="V3395" s="33">
        <f>Data!P3409</f>
        <v>0</v>
      </c>
    </row>
    <row r="3396" spans="7:22" x14ac:dyDescent="0.25">
      <c r="G3396">
        <f>Data!B3408</f>
        <v>0</v>
      </c>
      <c r="H3396" s="21">
        <f>Data!B3408</f>
        <v>0</v>
      </c>
      <c r="I3396" s="21">
        <f>Data!C3408</f>
        <v>0</v>
      </c>
      <c r="J3396">
        <f>Data!D3408</f>
        <v>0</v>
      </c>
      <c r="K3396">
        <f>Data!E3408</f>
        <v>0</v>
      </c>
      <c r="L3396">
        <f>Data!F3408</f>
        <v>0</v>
      </c>
      <c r="M3396">
        <f>Data!G3408</f>
        <v>0</v>
      </c>
      <c r="N3396">
        <f>Data!H3408</f>
        <v>0</v>
      </c>
      <c r="O3396">
        <f>Data!I3408</f>
        <v>0</v>
      </c>
      <c r="P3396" s="21">
        <f>Data!J3412</f>
        <v>0</v>
      </c>
      <c r="Q3396">
        <f>Data!K3412</f>
        <v>0</v>
      </c>
      <c r="R3396">
        <f>Data!L3412</f>
        <v>0</v>
      </c>
      <c r="S3396">
        <f>Data!M3412</f>
        <v>0</v>
      </c>
      <c r="T3396">
        <f>Data!N3412</f>
        <v>0</v>
      </c>
      <c r="U3396">
        <f>Data!O3412</f>
        <v>0</v>
      </c>
      <c r="V3396" s="33">
        <f>Data!P3410</f>
        <v>0</v>
      </c>
    </row>
    <row r="3397" spans="7:22" x14ac:dyDescent="0.25">
      <c r="G3397">
        <f>Data!B3409</f>
        <v>0</v>
      </c>
      <c r="H3397" s="21">
        <f>Data!B3409</f>
        <v>0</v>
      </c>
      <c r="I3397" s="21">
        <f>Data!C3409</f>
        <v>0</v>
      </c>
      <c r="J3397">
        <f>Data!D3409</f>
        <v>0</v>
      </c>
      <c r="K3397">
        <f>Data!E3409</f>
        <v>0</v>
      </c>
      <c r="L3397">
        <f>Data!F3409</f>
        <v>0</v>
      </c>
      <c r="M3397">
        <f>Data!G3409</f>
        <v>0</v>
      </c>
      <c r="N3397">
        <f>Data!H3409</f>
        <v>0</v>
      </c>
      <c r="O3397">
        <f>Data!I3409</f>
        <v>0</v>
      </c>
      <c r="P3397" s="21">
        <f>Data!J3413</f>
        <v>0</v>
      </c>
      <c r="Q3397">
        <f>Data!K3413</f>
        <v>0</v>
      </c>
      <c r="R3397">
        <f>Data!L3413</f>
        <v>0</v>
      </c>
      <c r="S3397">
        <f>Data!M3413</f>
        <v>0</v>
      </c>
      <c r="T3397">
        <f>Data!N3413</f>
        <v>0</v>
      </c>
      <c r="U3397">
        <f>Data!O3413</f>
        <v>0</v>
      </c>
      <c r="V3397" s="33">
        <f>Data!P3411</f>
        <v>0</v>
      </c>
    </row>
    <row r="3398" spans="7:22" x14ac:dyDescent="0.25">
      <c r="G3398">
        <f>Data!B3410</f>
        <v>0</v>
      </c>
      <c r="H3398" s="21">
        <f>Data!B3410</f>
        <v>0</v>
      </c>
      <c r="I3398" s="21">
        <f>Data!C3410</f>
        <v>0</v>
      </c>
      <c r="J3398">
        <f>Data!D3410</f>
        <v>0</v>
      </c>
      <c r="K3398">
        <f>Data!E3410</f>
        <v>0</v>
      </c>
      <c r="L3398">
        <f>Data!F3410</f>
        <v>0</v>
      </c>
      <c r="M3398">
        <f>Data!G3410</f>
        <v>0</v>
      </c>
      <c r="N3398">
        <f>Data!H3410</f>
        <v>0</v>
      </c>
      <c r="O3398">
        <f>Data!I3410</f>
        <v>0</v>
      </c>
      <c r="P3398" s="21">
        <f>Data!J3414</f>
        <v>0</v>
      </c>
      <c r="Q3398">
        <f>Data!K3414</f>
        <v>0</v>
      </c>
      <c r="R3398">
        <f>Data!L3414</f>
        <v>0</v>
      </c>
      <c r="S3398">
        <f>Data!M3414</f>
        <v>0</v>
      </c>
      <c r="T3398">
        <f>Data!N3414</f>
        <v>0</v>
      </c>
      <c r="U3398">
        <f>Data!O3414</f>
        <v>0</v>
      </c>
      <c r="V3398" s="33">
        <f>Data!P3412</f>
        <v>0</v>
      </c>
    </row>
    <row r="3399" spans="7:22" x14ac:dyDescent="0.25">
      <c r="G3399">
        <f>Data!B3411</f>
        <v>0</v>
      </c>
      <c r="H3399" s="21">
        <f>Data!B3411</f>
        <v>0</v>
      </c>
      <c r="I3399" s="21">
        <f>Data!C3411</f>
        <v>0</v>
      </c>
      <c r="J3399">
        <f>Data!D3411</f>
        <v>0</v>
      </c>
      <c r="K3399">
        <f>Data!E3411</f>
        <v>0</v>
      </c>
      <c r="L3399">
        <f>Data!F3411</f>
        <v>0</v>
      </c>
      <c r="M3399">
        <f>Data!G3411</f>
        <v>0</v>
      </c>
      <c r="N3399">
        <f>Data!H3411</f>
        <v>0</v>
      </c>
      <c r="O3399">
        <f>Data!I3411</f>
        <v>0</v>
      </c>
      <c r="P3399" s="21">
        <f>Data!J3415</f>
        <v>0</v>
      </c>
      <c r="Q3399">
        <f>Data!K3415</f>
        <v>0</v>
      </c>
      <c r="R3399">
        <f>Data!L3415</f>
        <v>0</v>
      </c>
      <c r="S3399">
        <f>Data!M3415</f>
        <v>0</v>
      </c>
      <c r="T3399">
        <f>Data!N3415</f>
        <v>0</v>
      </c>
      <c r="U3399">
        <f>Data!O3415</f>
        <v>0</v>
      </c>
      <c r="V3399" s="33">
        <f>Data!P3413</f>
        <v>0</v>
      </c>
    </row>
    <row r="3400" spans="7:22" x14ac:dyDescent="0.25">
      <c r="G3400">
        <f>Data!B3412</f>
        <v>0</v>
      </c>
      <c r="H3400" s="21">
        <f>Data!B3412</f>
        <v>0</v>
      </c>
      <c r="I3400" s="21">
        <f>Data!C3412</f>
        <v>0</v>
      </c>
      <c r="J3400">
        <f>Data!D3412</f>
        <v>0</v>
      </c>
      <c r="K3400">
        <f>Data!E3412</f>
        <v>0</v>
      </c>
      <c r="L3400">
        <f>Data!F3412</f>
        <v>0</v>
      </c>
      <c r="M3400">
        <f>Data!G3412</f>
        <v>0</v>
      </c>
      <c r="N3400">
        <f>Data!H3412</f>
        <v>0</v>
      </c>
      <c r="O3400">
        <f>Data!I3412</f>
        <v>0</v>
      </c>
      <c r="P3400" s="21">
        <f>Data!J3416</f>
        <v>0</v>
      </c>
      <c r="Q3400">
        <f>Data!K3416</f>
        <v>0</v>
      </c>
      <c r="R3400">
        <f>Data!L3416</f>
        <v>0</v>
      </c>
      <c r="S3400">
        <f>Data!M3416</f>
        <v>0</v>
      </c>
      <c r="T3400">
        <f>Data!N3416</f>
        <v>0</v>
      </c>
      <c r="U3400">
        <f>Data!O3416</f>
        <v>0</v>
      </c>
      <c r="V3400" s="33">
        <f>Data!P3414</f>
        <v>0</v>
      </c>
    </row>
    <row r="3401" spans="7:22" x14ac:dyDescent="0.25">
      <c r="G3401">
        <f>Data!B3413</f>
        <v>0</v>
      </c>
      <c r="H3401" s="21">
        <f>Data!B3413</f>
        <v>0</v>
      </c>
      <c r="I3401" s="21">
        <f>Data!C3413</f>
        <v>0</v>
      </c>
      <c r="J3401">
        <f>Data!D3413</f>
        <v>0</v>
      </c>
      <c r="K3401">
        <f>Data!E3413</f>
        <v>0</v>
      </c>
      <c r="L3401">
        <f>Data!F3413</f>
        <v>0</v>
      </c>
      <c r="M3401">
        <f>Data!G3413</f>
        <v>0</v>
      </c>
      <c r="N3401">
        <f>Data!H3413</f>
        <v>0</v>
      </c>
      <c r="O3401">
        <f>Data!I3413</f>
        <v>0</v>
      </c>
      <c r="P3401" s="21">
        <f>Data!J3417</f>
        <v>0</v>
      </c>
      <c r="Q3401">
        <f>Data!K3417</f>
        <v>0</v>
      </c>
      <c r="R3401">
        <f>Data!L3417</f>
        <v>0</v>
      </c>
      <c r="S3401">
        <f>Data!M3417</f>
        <v>0</v>
      </c>
      <c r="T3401">
        <f>Data!N3417</f>
        <v>0</v>
      </c>
      <c r="U3401">
        <f>Data!O3417</f>
        <v>0</v>
      </c>
      <c r="V3401" s="33">
        <f>Data!P3415</f>
        <v>0</v>
      </c>
    </row>
    <row r="3402" spans="7:22" x14ac:dyDescent="0.25">
      <c r="G3402">
        <f>Data!B3414</f>
        <v>0</v>
      </c>
      <c r="H3402" s="21">
        <f>Data!B3414</f>
        <v>0</v>
      </c>
      <c r="I3402" s="21">
        <f>Data!C3414</f>
        <v>0</v>
      </c>
      <c r="J3402">
        <f>Data!D3414</f>
        <v>0</v>
      </c>
      <c r="K3402">
        <f>Data!E3414</f>
        <v>0</v>
      </c>
      <c r="L3402">
        <f>Data!F3414</f>
        <v>0</v>
      </c>
      <c r="M3402">
        <f>Data!G3414</f>
        <v>0</v>
      </c>
      <c r="N3402">
        <f>Data!H3414</f>
        <v>0</v>
      </c>
      <c r="O3402">
        <f>Data!I3414</f>
        <v>0</v>
      </c>
      <c r="P3402" s="21">
        <f>Data!J3418</f>
        <v>0</v>
      </c>
      <c r="Q3402">
        <f>Data!K3418</f>
        <v>0</v>
      </c>
      <c r="R3402">
        <f>Data!L3418</f>
        <v>0</v>
      </c>
      <c r="S3402">
        <f>Data!M3418</f>
        <v>0</v>
      </c>
      <c r="T3402">
        <f>Data!N3418</f>
        <v>0</v>
      </c>
      <c r="U3402">
        <f>Data!O3418</f>
        <v>0</v>
      </c>
      <c r="V3402" s="33">
        <f>Data!P3416</f>
        <v>0</v>
      </c>
    </row>
    <row r="3403" spans="7:22" x14ac:dyDescent="0.25">
      <c r="G3403">
        <f>Data!B3415</f>
        <v>0</v>
      </c>
      <c r="H3403" s="21">
        <f>Data!B3415</f>
        <v>0</v>
      </c>
      <c r="I3403" s="21">
        <f>Data!C3415</f>
        <v>0</v>
      </c>
      <c r="J3403">
        <f>Data!D3415</f>
        <v>0</v>
      </c>
      <c r="K3403">
        <f>Data!E3415</f>
        <v>0</v>
      </c>
      <c r="L3403">
        <f>Data!F3415</f>
        <v>0</v>
      </c>
      <c r="M3403">
        <f>Data!G3415</f>
        <v>0</v>
      </c>
      <c r="N3403">
        <f>Data!H3415</f>
        <v>0</v>
      </c>
      <c r="O3403">
        <f>Data!I3415</f>
        <v>0</v>
      </c>
      <c r="P3403" s="21">
        <f>Data!J3419</f>
        <v>0</v>
      </c>
      <c r="Q3403">
        <f>Data!K3419</f>
        <v>0</v>
      </c>
      <c r="R3403">
        <f>Data!L3419</f>
        <v>0</v>
      </c>
      <c r="S3403">
        <f>Data!M3419</f>
        <v>0</v>
      </c>
      <c r="T3403">
        <f>Data!N3419</f>
        <v>0</v>
      </c>
      <c r="U3403">
        <f>Data!O3419</f>
        <v>0</v>
      </c>
      <c r="V3403" s="33">
        <f>Data!P3417</f>
        <v>0</v>
      </c>
    </row>
    <row r="3404" spans="7:22" x14ac:dyDescent="0.25">
      <c r="G3404">
        <f>Data!B3416</f>
        <v>0</v>
      </c>
      <c r="H3404" s="21">
        <f>Data!B3416</f>
        <v>0</v>
      </c>
      <c r="I3404" s="21">
        <f>Data!C3416</f>
        <v>0</v>
      </c>
      <c r="J3404">
        <f>Data!D3416</f>
        <v>0</v>
      </c>
      <c r="K3404">
        <f>Data!E3416</f>
        <v>0</v>
      </c>
      <c r="L3404">
        <f>Data!F3416</f>
        <v>0</v>
      </c>
      <c r="M3404">
        <f>Data!G3416</f>
        <v>0</v>
      </c>
      <c r="N3404">
        <f>Data!H3416</f>
        <v>0</v>
      </c>
      <c r="O3404">
        <f>Data!I3416</f>
        <v>0</v>
      </c>
      <c r="P3404" s="21">
        <f>Data!J3420</f>
        <v>0</v>
      </c>
      <c r="Q3404">
        <f>Data!K3420</f>
        <v>0</v>
      </c>
      <c r="R3404">
        <f>Data!L3420</f>
        <v>0</v>
      </c>
      <c r="S3404">
        <f>Data!M3420</f>
        <v>0</v>
      </c>
      <c r="T3404">
        <f>Data!N3420</f>
        <v>0</v>
      </c>
      <c r="U3404">
        <f>Data!O3420</f>
        <v>0</v>
      </c>
      <c r="V3404" s="33">
        <f>Data!P3418</f>
        <v>0</v>
      </c>
    </row>
    <row r="3405" spans="7:22" x14ac:dyDescent="0.25">
      <c r="G3405">
        <f>Data!B3417</f>
        <v>0</v>
      </c>
      <c r="H3405" s="21">
        <f>Data!B3417</f>
        <v>0</v>
      </c>
      <c r="I3405" s="21">
        <f>Data!C3417</f>
        <v>0</v>
      </c>
      <c r="J3405">
        <f>Data!D3417</f>
        <v>0</v>
      </c>
      <c r="K3405">
        <f>Data!E3417</f>
        <v>0</v>
      </c>
      <c r="L3405">
        <f>Data!F3417</f>
        <v>0</v>
      </c>
      <c r="M3405">
        <f>Data!G3417</f>
        <v>0</v>
      </c>
      <c r="N3405">
        <f>Data!H3417</f>
        <v>0</v>
      </c>
      <c r="O3405">
        <f>Data!I3417</f>
        <v>0</v>
      </c>
      <c r="P3405" s="21">
        <f>Data!J3421</f>
        <v>0</v>
      </c>
      <c r="Q3405">
        <f>Data!K3421</f>
        <v>0</v>
      </c>
      <c r="R3405">
        <f>Data!L3421</f>
        <v>0</v>
      </c>
      <c r="S3405">
        <f>Data!M3421</f>
        <v>0</v>
      </c>
      <c r="T3405">
        <f>Data!N3421</f>
        <v>0</v>
      </c>
      <c r="U3405">
        <f>Data!O3421</f>
        <v>0</v>
      </c>
      <c r="V3405" s="33">
        <f>Data!P3419</f>
        <v>0</v>
      </c>
    </row>
    <row r="3406" spans="7:22" x14ac:dyDescent="0.25">
      <c r="G3406">
        <f>Data!B3418</f>
        <v>0</v>
      </c>
      <c r="H3406" s="21">
        <f>Data!B3418</f>
        <v>0</v>
      </c>
      <c r="I3406" s="21">
        <f>Data!C3418</f>
        <v>0</v>
      </c>
      <c r="J3406">
        <f>Data!D3418</f>
        <v>0</v>
      </c>
      <c r="K3406">
        <f>Data!E3418</f>
        <v>0</v>
      </c>
      <c r="L3406">
        <f>Data!F3418</f>
        <v>0</v>
      </c>
      <c r="M3406">
        <f>Data!G3418</f>
        <v>0</v>
      </c>
      <c r="N3406">
        <f>Data!H3418</f>
        <v>0</v>
      </c>
      <c r="O3406">
        <f>Data!I3418</f>
        <v>0</v>
      </c>
      <c r="P3406" s="21">
        <f>Data!J3422</f>
        <v>0</v>
      </c>
      <c r="Q3406">
        <f>Data!K3422</f>
        <v>0</v>
      </c>
      <c r="R3406">
        <f>Data!L3422</f>
        <v>0</v>
      </c>
      <c r="S3406">
        <f>Data!M3422</f>
        <v>0</v>
      </c>
      <c r="T3406">
        <f>Data!N3422</f>
        <v>0</v>
      </c>
      <c r="U3406">
        <f>Data!O3422</f>
        <v>0</v>
      </c>
      <c r="V3406" s="33">
        <f>Data!P3420</f>
        <v>0</v>
      </c>
    </row>
    <row r="3407" spans="7:22" x14ac:dyDescent="0.25">
      <c r="G3407">
        <f>Data!B3419</f>
        <v>0</v>
      </c>
      <c r="H3407" s="21">
        <f>Data!B3419</f>
        <v>0</v>
      </c>
      <c r="I3407" s="21">
        <f>Data!C3419</f>
        <v>0</v>
      </c>
      <c r="J3407">
        <f>Data!D3419</f>
        <v>0</v>
      </c>
      <c r="K3407">
        <f>Data!E3419</f>
        <v>0</v>
      </c>
      <c r="L3407">
        <f>Data!F3419</f>
        <v>0</v>
      </c>
      <c r="M3407">
        <f>Data!G3419</f>
        <v>0</v>
      </c>
      <c r="N3407">
        <f>Data!H3419</f>
        <v>0</v>
      </c>
      <c r="O3407">
        <f>Data!I3419</f>
        <v>0</v>
      </c>
      <c r="P3407" s="21">
        <f>Data!J3423</f>
        <v>0</v>
      </c>
      <c r="Q3407">
        <f>Data!K3423</f>
        <v>0</v>
      </c>
      <c r="R3407">
        <f>Data!L3423</f>
        <v>0</v>
      </c>
      <c r="S3407">
        <f>Data!M3423</f>
        <v>0</v>
      </c>
      <c r="T3407">
        <f>Data!N3423</f>
        <v>0</v>
      </c>
      <c r="U3407">
        <f>Data!O3423</f>
        <v>0</v>
      </c>
      <c r="V3407" s="33">
        <f>Data!P3421</f>
        <v>0</v>
      </c>
    </row>
    <row r="3408" spans="7:22" x14ac:dyDescent="0.25">
      <c r="G3408">
        <f>Data!B3420</f>
        <v>0</v>
      </c>
      <c r="H3408" s="21">
        <f>Data!B3420</f>
        <v>0</v>
      </c>
      <c r="I3408" s="21">
        <f>Data!C3420</f>
        <v>0</v>
      </c>
      <c r="J3408">
        <f>Data!D3420</f>
        <v>0</v>
      </c>
      <c r="K3408">
        <f>Data!E3420</f>
        <v>0</v>
      </c>
      <c r="L3408">
        <f>Data!F3420</f>
        <v>0</v>
      </c>
      <c r="M3408">
        <f>Data!G3420</f>
        <v>0</v>
      </c>
      <c r="N3408">
        <f>Data!H3420</f>
        <v>0</v>
      </c>
      <c r="O3408">
        <f>Data!I3420</f>
        <v>0</v>
      </c>
      <c r="P3408" s="21">
        <f>Data!J3424</f>
        <v>0</v>
      </c>
      <c r="Q3408">
        <f>Data!K3424</f>
        <v>0</v>
      </c>
      <c r="R3408">
        <f>Data!L3424</f>
        <v>0</v>
      </c>
      <c r="S3408">
        <f>Data!M3424</f>
        <v>0</v>
      </c>
      <c r="T3408">
        <f>Data!N3424</f>
        <v>0</v>
      </c>
      <c r="U3408">
        <f>Data!O3424</f>
        <v>0</v>
      </c>
      <c r="V3408" s="33">
        <f>Data!P3422</f>
        <v>0</v>
      </c>
    </row>
    <row r="3409" spans="7:22" x14ac:dyDescent="0.25">
      <c r="G3409">
        <f>Data!B3421</f>
        <v>0</v>
      </c>
      <c r="H3409" s="21">
        <f>Data!B3421</f>
        <v>0</v>
      </c>
      <c r="I3409" s="21">
        <f>Data!C3421</f>
        <v>0</v>
      </c>
      <c r="J3409">
        <f>Data!D3421</f>
        <v>0</v>
      </c>
      <c r="K3409">
        <f>Data!E3421</f>
        <v>0</v>
      </c>
      <c r="L3409">
        <f>Data!F3421</f>
        <v>0</v>
      </c>
      <c r="M3409">
        <f>Data!G3421</f>
        <v>0</v>
      </c>
      <c r="N3409">
        <f>Data!H3421</f>
        <v>0</v>
      </c>
      <c r="O3409">
        <f>Data!I3421</f>
        <v>0</v>
      </c>
      <c r="P3409" s="21">
        <f>Data!J3425</f>
        <v>0</v>
      </c>
      <c r="Q3409">
        <f>Data!K3425</f>
        <v>0</v>
      </c>
      <c r="R3409">
        <f>Data!L3425</f>
        <v>0</v>
      </c>
      <c r="S3409">
        <f>Data!M3425</f>
        <v>0</v>
      </c>
      <c r="T3409">
        <f>Data!N3425</f>
        <v>0</v>
      </c>
      <c r="U3409">
        <f>Data!O3425</f>
        <v>0</v>
      </c>
      <c r="V3409" s="33">
        <f>Data!P3423</f>
        <v>0</v>
      </c>
    </row>
    <row r="3410" spans="7:22" x14ac:dyDescent="0.25">
      <c r="G3410">
        <f>Data!B3422</f>
        <v>0</v>
      </c>
      <c r="H3410" s="21">
        <f>Data!B3422</f>
        <v>0</v>
      </c>
      <c r="I3410" s="21">
        <f>Data!C3422</f>
        <v>0</v>
      </c>
      <c r="J3410">
        <f>Data!D3422</f>
        <v>0</v>
      </c>
      <c r="K3410">
        <f>Data!E3422</f>
        <v>0</v>
      </c>
      <c r="L3410">
        <f>Data!F3422</f>
        <v>0</v>
      </c>
      <c r="M3410">
        <f>Data!G3422</f>
        <v>0</v>
      </c>
      <c r="N3410">
        <f>Data!H3422</f>
        <v>0</v>
      </c>
      <c r="O3410">
        <f>Data!I3422</f>
        <v>0</v>
      </c>
      <c r="P3410" s="21">
        <f>Data!J3426</f>
        <v>0</v>
      </c>
      <c r="Q3410">
        <f>Data!K3426</f>
        <v>0</v>
      </c>
      <c r="R3410">
        <f>Data!L3426</f>
        <v>0</v>
      </c>
      <c r="S3410">
        <f>Data!M3426</f>
        <v>0</v>
      </c>
      <c r="T3410">
        <f>Data!N3426</f>
        <v>0</v>
      </c>
      <c r="U3410">
        <f>Data!O3426</f>
        <v>0</v>
      </c>
      <c r="V3410" s="33">
        <f>Data!P3424</f>
        <v>0</v>
      </c>
    </row>
    <row r="3411" spans="7:22" x14ac:dyDescent="0.25">
      <c r="G3411">
        <f>Data!B3423</f>
        <v>0</v>
      </c>
      <c r="H3411" s="21">
        <f>Data!B3423</f>
        <v>0</v>
      </c>
      <c r="I3411" s="21">
        <f>Data!C3423</f>
        <v>0</v>
      </c>
      <c r="J3411">
        <f>Data!D3423</f>
        <v>0</v>
      </c>
      <c r="K3411">
        <f>Data!E3423</f>
        <v>0</v>
      </c>
      <c r="L3411">
        <f>Data!F3423</f>
        <v>0</v>
      </c>
      <c r="M3411">
        <f>Data!G3423</f>
        <v>0</v>
      </c>
      <c r="N3411">
        <f>Data!H3423</f>
        <v>0</v>
      </c>
      <c r="O3411">
        <f>Data!I3423</f>
        <v>0</v>
      </c>
      <c r="P3411" s="21">
        <f>Data!J3427</f>
        <v>0</v>
      </c>
      <c r="Q3411">
        <f>Data!K3427</f>
        <v>0</v>
      </c>
      <c r="R3411">
        <f>Data!L3427</f>
        <v>0</v>
      </c>
      <c r="S3411">
        <f>Data!M3427</f>
        <v>0</v>
      </c>
      <c r="T3411">
        <f>Data!N3427</f>
        <v>0</v>
      </c>
      <c r="U3411">
        <f>Data!O3427</f>
        <v>0</v>
      </c>
      <c r="V3411" s="33">
        <f>Data!P3425</f>
        <v>0</v>
      </c>
    </row>
    <row r="3412" spans="7:22" x14ac:dyDescent="0.25">
      <c r="G3412">
        <f>Data!B3424</f>
        <v>0</v>
      </c>
      <c r="H3412" s="21">
        <f>Data!B3424</f>
        <v>0</v>
      </c>
      <c r="I3412" s="21">
        <f>Data!C3424</f>
        <v>0</v>
      </c>
      <c r="J3412">
        <f>Data!D3424</f>
        <v>0</v>
      </c>
      <c r="K3412">
        <f>Data!E3424</f>
        <v>0</v>
      </c>
      <c r="L3412">
        <f>Data!F3424</f>
        <v>0</v>
      </c>
      <c r="M3412">
        <f>Data!G3424</f>
        <v>0</v>
      </c>
      <c r="N3412">
        <f>Data!H3424</f>
        <v>0</v>
      </c>
      <c r="O3412">
        <f>Data!I3424</f>
        <v>0</v>
      </c>
      <c r="P3412" s="21">
        <f>Data!J3428</f>
        <v>0</v>
      </c>
      <c r="Q3412">
        <f>Data!K3428</f>
        <v>0</v>
      </c>
      <c r="R3412">
        <f>Data!L3428</f>
        <v>0</v>
      </c>
      <c r="S3412">
        <f>Data!M3428</f>
        <v>0</v>
      </c>
      <c r="T3412">
        <f>Data!N3428</f>
        <v>0</v>
      </c>
      <c r="U3412">
        <f>Data!O3428</f>
        <v>0</v>
      </c>
      <c r="V3412" s="33">
        <f>Data!P3426</f>
        <v>0</v>
      </c>
    </row>
    <row r="3413" spans="7:22" x14ac:dyDescent="0.25">
      <c r="G3413">
        <f>Data!B3425</f>
        <v>0</v>
      </c>
      <c r="H3413" s="21">
        <f>Data!B3425</f>
        <v>0</v>
      </c>
      <c r="I3413" s="21">
        <f>Data!C3425</f>
        <v>0</v>
      </c>
      <c r="J3413">
        <f>Data!D3425</f>
        <v>0</v>
      </c>
      <c r="K3413">
        <f>Data!E3425</f>
        <v>0</v>
      </c>
      <c r="L3413">
        <f>Data!F3425</f>
        <v>0</v>
      </c>
      <c r="M3413">
        <f>Data!G3425</f>
        <v>0</v>
      </c>
      <c r="N3413">
        <f>Data!H3425</f>
        <v>0</v>
      </c>
      <c r="O3413">
        <f>Data!I3425</f>
        <v>0</v>
      </c>
      <c r="P3413" s="21">
        <f>Data!J3429</f>
        <v>0</v>
      </c>
      <c r="Q3413">
        <f>Data!K3429</f>
        <v>0</v>
      </c>
      <c r="R3413">
        <f>Data!L3429</f>
        <v>0</v>
      </c>
      <c r="S3413">
        <f>Data!M3429</f>
        <v>0</v>
      </c>
      <c r="T3413">
        <f>Data!N3429</f>
        <v>0</v>
      </c>
      <c r="U3413">
        <f>Data!O3429</f>
        <v>0</v>
      </c>
      <c r="V3413" s="33">
        <f>Data!P3427</f>
        <v>0</v>
      </c>
    </row>
    <row r="3414" spans="7:22" x14ac:dyDescent="0.25">
      <c r="G3414">
        <f>Data!B3426</f>
        <v>0</v>
      </c>
      <c r="H3414" s="21">
        <f>Data!B3426</f>
        <v>0</v>
      </c>
      <c r="I3414" s="21">
        <f>Data!C3426</f>
        <v>0</v>
      </c>
      <c r="J3414">
        <f>Data!D3426</f>
        <v>0</v>
      </c>
      <c r="K3414">
        <f>Data!E3426</f>
        <v>0</v>
      </c>
      <c r="L3414">
        <f>Data!F3426</f>
        <v>0</v>
      </c>
      <c r="M3414">
        <f>Data!G3426</f>
        <v>0</v>
      </c>
      <c r="N3414">
        <f>Data!H3426</f>
        <v>0</v>
      </c>
      <c r="O3414">
        <f>Data!I3426</f>
        <v>0</v>
      </c>
      <c r="P3414" s="21">
        <f>Data!J3430</f>
        <v>0</v>
      </c>
      <c r="Q3414">
        <f>Data!K3430</f>
        <v>0</v>
      </c>
      <c r="R3414">
        <f>Data!L3430</f>
        <v>0</v>
      </c>
      <c r="S3414">
        <f>Data!M3430</f>
        <v>0</v>
      </c>
      <c r="T3414">
        <f>Data!N3430</f>
        <v>0</v>
      </c>
      <c r="U3414">
        <f>Data!O3430</f>
        <v>0</v>
      </c>
      <c r="V3414" s="33">
        <f>Data!P3428</f>
        <v>0</v>
      </c>
    </row>
    <row r="3415" spans="7:22" x14ac:dyDescent="0.25">
      <c r="G3415">
        <f>Data!B3427</f>
        <v>0</v>
      </c>
      <c r="H3415" s="21">
        <f>Data!B3427</f>
        <v>0</v>
      </c>
      <c r="I3415" s="21">
        <f>Data!C3427</f>
        <v>0</v>
      </c>
      <c r="J3415">
        <f>Data!D3427</f>
        <v>0</v>
      </c>
      <c r="K3415">
        <f>Data!E3427</f>
        <v>0</v>
      </c>
      <c r="L3415">
        <f>Data!F3427</f>
        <v>0</v>
      </c>
      <c r="M3415">
        <f>Data!G3427</f>
        <v>0</v>
      </c>
      <c r="N3415">
        <f>Data!H3427</f>
        <v>0</v>
      </c>
      <c r="O3415">
        <f>Data!I3427</f>
        <v>0</v>
      </c>
      <c r="P3415" s="21">
        <f>Data!J3431</f>
        <v>0</v>
      </c>
      <c r="Q3415">
        <f>Data!K3431</f>
        <v>0</v>
      </c>
      <c r="R3415">
        <f>Data!L3431</f>
        <v>0</v>
      </c>
      <c r="S3415">
        <f>Data!M3431</f>
        <v>0</v>
      </c>
      <c r="T3415">
        <f>Data!N3431</f>
        <v>0</v>
      </c>
      <c r="U3415">
        <f>Data!O3431</f>
        <v>0</v>
      </c>
      <c r="V3415" s="33">
        <f>Data!P3429</f>
        <v>0</v>
      </c>
    </row>
    <row r="3416" spans="7:22" x14ac:dyDescent="0.25">
      <c r="G3416">
        <f>Data!B3428</f>
        <v>0</v>
      </c>
      <c r="H3416" s="21">
        <f>Data!B3428</f>
        <v>0</v>
      </c>
      <c r="I3416" s="21">
        <f>Data!C3428</f>
        <v>0</v>
      </c>
      <c r="J3416">
        <f>Data!D3428</f>
        <v>0</v>
      </c>
      <c r="K3416">
        <f>Data!E3428</f>
        <v>0</v>
      </c>
      <c r="L3416">
        <f>Data!F3428</f>
        <v>0</v>
      </c>
      <c r="M3416">
        <f>Data!G3428</f>
        <v>0</v>
      </c>
      <c r="N3416">
        <f>Data!H3428</f>
        <v>0</v>
      </c>
      <c r="O3416">
        <f>Data!I3428</f>
        <v>0</v>
      </c>
      <c r="P3416" s="21">
        <f>Data!J3432</f>
        <v>0</v>
      </c>
      <c r="Q3416">
        <f>Data!K3432</f>
        <v>0</v>
      </c>
      <c r="R3416">
        <f>Data!L3432</f>
        <v>0</v>
      </c>
      <c r="S3416">
        <f>Data!M3432</f>
        <v>0</v>
      </c>
      <c r="T3416">
        <f>Data!N3432</f>
        <v>0</v>
      </c>
      <c r="U3416">
        <f>Data!O3432</f>
        <v>0</v>
      </c>
      <c r="V3416" s="33">
        <f>Data!P3430</f>
        <v>0</v>
      </c>
    </row>
    <row r="3417" spans="7:22" x14ac:dyDescent="0.25">
      <c r="G3417">
        <f>Data!B3429</f>
        <v>0</v>
      </c>
      <c r="H3417" s="21">
        <f>Data!B3429</f>
        <v>0</v>
      </c>
      <c r="I3417" s="21">
        <f>Data!C3429</f>
        <v>0</v>
      </c>
      <c r="J3417">
        <f>Data!D3429</f>
        <v>0</v>
      </c>
      <c r="K3417">
        <f>Data!E3429</f>
        <v>0</v>
      </c>
      <c r="L3417">
        <f>Data!F3429</f>
        <v>0</v>
      </c>
      <c r="M3417">
        <f>Data!G3429</f>
        <v>0</v>
      </c>
      <c r="N3417">
        <f>Data!H3429</f>
        <v>0</v>
      </c>
      <c r="O3417">
        <f>Data!I3429</f>
        <v>0</v>
      </c>
      <c r="P3417" s="21">
        <f>Data!J3433</f>
        <v>0</v>
      </c>
      <c r="Q3417">
        <f>Data!K3433</f>
        <v>0</v>
      </c>
      <c r="R3417">
        <f>Data!L3433</f>
        <v>0</v>
      </c>
      <c r="S3417">
        <f>Data!M3433</f>
        <v>0</v>
      </c>
      <c r="T3417">
        <f>Data!N3433</f>
        <v>0</v>
      </c>
      <c r="U3417">
        <f>Data!O3433</f>
        <v>0</v>
      </c>
      <c r="V3417" s="33">
        <f>Data!P3431</f>
        <v>0</v>
      </c>
    </row>
    <row r="3418" spans="7:22" x14ac:dyDescent="0.25">
      <c r="G3418">
        <f>Data!B3430</f>
        <v>0</v>
      </c>
      <c r="H3418" s="21">
        <f>Data!B3430</f>
        <v>0</v>
      </c>
      <c r="I3418" s="21">
        <f>Data!C3430</f>
        <v>0</v>
      </c>
      <c r="J3418">
        <f>Data!D3430</f>
        <v>0</v>
      </c>
      <c r="K3418">
        <f>Data!E3430</f>
        <v>0</v>
      </c>
      <c r="L3418">
        <f>Data!F3430</f>
        <v>0</v>
      </c>
      <c r="M3418">
        <f>Data!G3430</f>
        <v>0</v>
      </c>
      <c r="N3418">
        <f>Data!H3430</f>
        <v>0</v>
      </c>
      <c r="O3418">
        <f>Data!I3430</f>
        <v>0</v>
      </c>
      <c r="P3418" s="21">
        <f>Data!J3434</f>
        <v>0</v>
      </c>
      <c r="Q3418">
        <f>Data!K3434</f>
        <v>0</v>
      </c>
      <c r="R3418">
        <f>Data!L3434</f>
        <v>0</v>
      </c>
      <c r="S3418">
        <f>Data!M3434</f>
        <v>0</v>
      </c>
      <c r="T3418">
        <f>Data!N3434</f>
        <v>0</v>
      </c>
      <c r="U3418">
        <f>Data!O3434</f>
        <v>0</v>
      </c>
      <c r="V3418" s="33">
        <f>Data!P3432</f>
        <v>0</v>
      </c>
    </row>
    <row r="3419" spans="7:22" x14ac:dyDescent="0.25">
      <c r="G3419">
        <f>Data!B3431</f>
        <v>0</v>
      </c>
      <c r="H3419" s="21">
        <f>Data!B3431</f>
        <v>0</v>
      </c>
      <c r="I3419" s="21">
        <f>Data!C3431</f>
        <v>0</v>
      </c>
      <c r="J3419">
        <f>Data!D3431</f>
        <v>0</v>
      </c>
      <c r="K3419">
        <f>Data!E3431</f>
        <v>0</v>
      </c>
      <c r="L3419">
        <f>Data!F3431</f>
        <v>0</v>
      </c>
      <c r="M3419">
        <f>Data!G3431</f>
        <v>0</v>
      </c>
      <c r="N3419">
        <f>Data!H3431</f>
        <v>0</v>
      </c>
      <c r="O3419">
        <f>Data!I3431</f>
        <v>0</v>
      </c>
      <c r="P3419" s="21">
        <f>Data!J3435</f>
        <v>0</v>
      </c>
      <c r="Q3419">
        <f>Data!K3435</f>
        <v>0</v>
      </c>
      <c r="R3419">
        <f>Data!L3435</f>
        <v>0</v>
      </c>
      <c r="S3419">
        <f>Data!M3435</f>
        <v>0</v>
      </c>
      <c r="T3419">
        <f>Data!N3435</f>
        <v>0</v>
      </c>
      <c r="U3419">
        <f>Data!O3435</f>
        <v>0</v>
      </c>
      <c r="V3419" s="33">
        <f>Data!P3433</f>
        <v>0</v>
      </c>
    </row>
    <row r="3420" spans="7:22" x14ac:dyDescent="0.25">
      <c r="G3420">
        <f>Data!B3432</f>
        <v>0</v>
      </c>
      <c r="H3420" s="21">
        <f>Data!B3432</f>
        <v>0</v>
      </c>
      <c r="I3420" s="21">
        <f>Data!C3432</f>
        <v>0</v>
      </c>
      <c r="J3420">
        <f>Data!D3432</f>
        <v>0</v>
      </c>
      <c r="K3420">
        <f>Data!E3432</f>
        <v>0</v>
      </c>
      <c r="L3420">
        <f>Data!F3432</f>
        <v>0</v>
      </c>
      <c r="M3420">
        <f>Data!G3432</f>
        <v>0</v>
      </c>
      <c r="N3420">
        <f>Data!H3432</f>
        <v>0</v>
      </c>
      <c r="O3420">
        <f>Data!I3432</f>
        <v>0</v>
      </c>
      <c r="P3420" s="21">
        <f>Data!J3436</f>
        <v>0</v>
      </c>
      <c r="Q3420">
        <f>Data!K3436</f>
        <v>0</v>
      </c>
      <c r="R3420">
        <f>Data!L3436</f>
        <v>0</v>
      </c>
      <c r="S3420">
        <f>Data!M3436</f>
        <v>0</v>
      </c>
      <c r="T3420">
        <f>Data!N3436</f>
        <v>0</v>
      </c>
      <c r="U3420">
        <f>Data!O3436</f>
        <v>0</v>
      </c>
      <c r="V3420" s="33">
        <f>Data!P3434</f>
        <v>0</v>
      </c>
    </row>
    <row r="3421" spans="7:22" x14ac:dyDescent="0.25">
      <c r="G3421">
        <f>Data!B3433</f>
        <v>0</v>
      </c>
      <c r="H3421" s="21">
        <f>Data!B3433</f>
        <v>0</v>
      </c>
      <c r="I3421" s="21">
        <f>Data!C3433</f>
        <v>0</v>
      </c>
      <c r="J3421">
        <f>Data!D3433</f>
        <v>0</v>
      </c>
      <c r="K3421">
        <f>Data!E3433</f>
        <v>0</v>
      </c>
      <c r="L3421">
        <f>Data!F3433</f>
        <v>0</v>
      </c>
      <c r="M3421">
        <f>Data!G3433</f>
        <v>0</v>
      </c>
      <c r="N3421">
        <f>Data!H3433</f>
        <v>0</v>
      </c>
      <c r="O3421">
        <f>Data!I3433</f>
        <v>0</v>
      </c>
      <c r="P3421" s="21">
        <f>Data!J3437</f>
        <v>0</v>
      </c>
      <c r="Q3421">
        <f>Data!K3437</f>
        <v>0</v>
      </c>
      <c r="R3421">
        <f>Data!L3437</f>
        <v>0</v>
      </c>
      <c r="S3421">
        <f>Data!M3437</f>
        <v>0</v>
      </c>
      <c r="T3421">
        <f>Data!N3437</f>
        <v>0</v>
      </c>
      <c r="U3421">
        <f>Data!O3437</f>
        <v>0</v>
      </c>
      <c r="V3421" s="33">
        <f>Data!P3435</f>
        <v>0</v>
      </c>
    </row>
    <row r="3422" spans="7:22" x14ac:dyDescent="0.25">
      <c r="G3422">
        <f>Data!B3434</f>
        <v>0</v>
      </c>
      <c r="H3422" s="21">
        <f>Data!B3434</f>
        <v>0</v>
      </c>
      <c r="I3422" s="21">
        <f>Data!C3434</f>
        <v>0</v>
      </c>
      <c r="J3422">
        <f>Data!D3434</f>
        <v>0</v>
      </c>
      <c r="K3422">
        <f>Data!E3434</f>
        <v>0</v>
      </c>
      <c r="L3422">
        <f>Data!F3434</f>
        <v>0</v>
      </c>
      <c r="M3422">
        <f>Data!G3434</f>
        <v>0</v>
      </c>
      <c r="N3422">
        <f>Data!H3434</f>
        <v>0</v>
      </c>
      <c r="O3422">
        <f>Data!I3434</f>
        <v>0</v>
      </c>
      <c r="P3422" s="21">
        <f>Data!J3438</f>
        <v>0</v>
      </c>
      <c r="Q3422">
        <f>Data!K3438</f>
        <v>0</v>
      </c>
      <c r="R3422">
        <f>Data!L3438</f>
        <v>0</v>
      </c>
      <c r="S3422">
        <f>Data!M3438</f>
        <v>0</v>
      </c>
      <c r="T3422">
        <f>Data!N3438</f>
        <v>0</v>
      </c>
      <c r="U3422">
        <f>Data!O3438</f>
        <v>0</v>
      </c>
      <c r="V3422" s="33">
        <f>Data!P3436</f>
        <v>0</v>
      </c>
    </row>
    <row r="3423" spans="7:22" x14ac:dyDescent="0.25">
      <c r="G3423">
        <f>Data!B3435</f>
        <v>0</v>
      </c>
      <c r="H3423" s="21">
        <f>Data!B3435</f>
        <v>0</v>
      </c>
      <c r="I3423" s="21">
        <f>Data!C3435</f>
        <v>0</v>
      </c>
      <c r="J3423">
        <f>Data!D3435</f>
        <v>0</v>
      </c>
      <c r="K3423">
        <f>Data!E3435</f>
        <v>0</v>
      </c>
      <c r="L3423">
        <f>Data!F3435</f>
        <v>0</v>
      </c>
      <c r="M3423">
        <f>Data!G3435</f>
        <v>0</v>
      </c>
      <c r="N3423">
        <f>Data!H3435</f>
        <v>0</v>
      </c>
      <c r="O3423">
        <f>Data!I3435</f>
        <v>0</v>
      </c>
      <c r="P3423" s="21">
        <f>Data!J3439</f>
        <v>0</v>
      </c>
      <c r="Q3423">
        <f>Data!K3439</f>
        <v>0</v>
      </c>
      <c r="R3423">
        <f>Data!L3439</f>
        <v>0</v>
      </c>
      <c r="S3423">
        <f>Data!M3439</f>
        <v>0</v>
      </c>
      <c r="T3423">
        <f>Data!N3439</f>
        <v>0</v>
      </c>
      <c r="U3423">
        <f>Data!O3439</f>
        <v>0</v>
      </c>
      <c r="V3423" s="33">
        <f>Data!P3437</f>
        <v>0</v>
      </c>
    </row>
    <row r="3424" spans="7:22" x14ac:dyDescent="0.25">
      <c r="G3424">
        <f>Data!B3436</f>
        <v>0</v>
      </c>
      <c r="H3424" s="21">
        <f>Data!B3436</f>
        <v>0</v>
      </c>
      <c r="I3424" s="21">
        <f>Data!C3436</f>
        <v>0</v>
      </c>
      <c r="J3424">
        <f>Data!D3436</f>
        <v>0</v>
      </c>
      <c r="K3424">
        <f>Data!E3436</f>
        <v>0</v>
      </c>
      <c r="L3424">
        <f>Data!F3436</f>
        <v>0</v>
      </c>
      <c r="M3424">
        <f>Data!G3436</f>
        <v>0</v>
      </c>
      <c r="N3424">
        <f>Data!H3436</f>
        <v>0</v>
      </c>
      <c r="O3424">
        <f>Data!I3436</f>
        <v>0</v>
      </c>
      <c r="P3424" s="21">
        <f>Data!J3440</f>
        <v>0</v>
      </c>
      <c r="Q3424">
        <f>Data!K3440</f>
        <v>0</v>
      </c>
      <c r="R3424">
        <f>Data!L3440</f>
        <v>0</v>
      </c>
      <c r="S3424">
        <f>Data!M3440</f>
        <v>0</v>
      </c>
      <c r="T3424">
        <f>Data!N3440</f>
        <v>0</v>
      </c>
      <c r="U3424">
        <f>Data!O3440</f>
        <v>0</v>
      </c>
      <c r="V3424" s="33">
        <f>Data!P3438</f>
        <v>0</v>
      </c>
    </row>
    <row r="3425" spans="7:22" x14ac:dyDescent="0.25">
      <c r="G3425">
        <f>Data!B3437</f>
        <v>0</v>
      </c>
      <c r="H3425" s="21">
        <f>Data!B3437</f>
        <v>0</v>
      </c>
      <c r="I3425" s="21">
        <f>Data!C3437</f>
        <v>0</v>
      </c>
      <c r="J3425">
        <f>Data!D3437</f>
        <v>0</v>
      </c>
      <c r="K3425">
        <f>Data!E3437</f>
        <v>0</v>
      </c>
      <c r="L3425">
        <f>Data!F3437</f>
        <v>0</v>
      </c>
      <c r="M3425">
        <f>Data!G3437</f>
        <v>0</v>
      </c>
      <c r="N3425">
        <f>Data!H3437</f>
        <v>0</v>
      </c>
      <c r="O3425">
        <f>Data!I3437</f>
        <v>0</v>
      </c>
      <c r="P3425" s="21">
        <f>Data!J3441</f>
        <v>0</v>
      </c>
      <c r="Q3425">
        <f>Data!K3441</f>
        <v>0</v>
      </c>
      <c r="R3425">
        <f>Data!L3441</f>
        <v>0</v>
      </c>
      <c r="S3425">
        <f>Data!M3441</f>
        <v>0</v>
      </c>
      <c r="T3425">
        <f>Data!N3441</f>
        <v>0</v>
      </c>
      <c r="U3425">
        <f>Data!O3441</f>
        <v>0</v>
      </c>
      <c r="V3425" s="33">
        <f>Data!P3439</f>
        <v>0</v>
      </c>
    </row>
    <row r="3426" spans="7:22" x14ac:dyDescent="0.25">
      <c r="G3426">
        <f>Data!B3438</f>
        <v>0</v>
      </c>
      <c r="H3426" s="21">
        <f>Data!B3438</f>
        <v>0</v>
      </c>
      <c r="I3426" s="21">
        <f>Data!C3438</f>
        <v>0</v>
      </c>
      <c r="J3426">
        <f>Data!D3438</f>
        <v>0</v>
      </c>
      <c r="K3426">
        <f>Data!E3438</f>
        <v>0</v>
      </c>
      <c r="L3426">
        <f>Data!F3438</f>
        <v>0</v>
      </c>
      <c r="M3426">
        <f>Data!G3438</f>
        <v>0</v>
      </c>
      <c r="N3426">
        <f>Data!H3438</f>
        <v>0</v>
      </c>
      <c r="O3426">
        <f>Data!I3438</f>
        <v>0</v>
      </c>
      <c r="P3426" s="21">
        <f>Data!J3442</f>
        <v>0</v>
      </c>
      <c r="Q3426">
        <f>Data!K3442</f>
        <v>0</v>
      </c>
      <c r="R3426">
        <f>Data!L3442</f>
        <v>0</v>
      </c>
      <c r="S3426">
        <f>Data!M3442</f>
        <v>0</v>
      </c>
      <c r="T3426">
        <f>Data!N3442</f>
        <v>0</v>
      </c>
      <c r="U3426">
        <f>Data!O3442</f>
        <v>0</v>
      </c>
      <c r="V3426" s="33">
        <f>Data!P3440</f>
        <v>0</v>
      </c>
    </row>
    <row r="3427" spans="7:22" x14ac:dyDescent="0.25">
      <c r="G3427">
        <f>Data!B3439</f>
        <v>0</v>
      </c>
      <c r="H3427" s="21">
        <f>Data!B3439</f>
        <v>0</v>
      </c>
      <c r="I3427" s="21">
        <f>Data!C3439</f>
        <v>0</v>
      </c>
      <c r="J3427">
        <f>Data!D3439</f>
        <v>0</v>
      </c>
      <c r="K3427">
        <f>Data!E3439</f>
        <v>0</v>
      </c>
      <c r="L3427">
        <f>Data!F3439</f>
        <v>0</v>
      </c>
      <c r="M3427">
        <f>Data!G3439</f>
        <v>0</v>
      </c>
      <c r="N3427">
        <f>Data!H3439</f>
        <v>0</v>
      </c>
      <c r="O3427">
        <f>Data!I3439</f>
        <v>0</v>
      </c>
      <c r="P3427" s="21">
        <f>Data!J3443</f>
        <v>0</v>
      </c>
      <c r="Q3427">
        <f>Data!K3443</f>
        <v>0</v>
      </c>
      <c r="R3427">
        <f>Data!L3443</f>
        <v>0</v>
      </c>
      <c r="S3427">
        <f>Data!M3443</f>
        <v>0</v>
      </c>
      <c r="T3427">
        <f>Data!N3443</f>
        <v>0</v>
      </c>
      <c r="U3427">
        <f>Data!O3443</f>
        <v>0</v>
      </c>
      <c r="V3427" s="33">
        <f>Data!P3441</f>
        <v>0</v>
      </c>
    </row>
    <row r="3428" spans="7:22" x14ac:dyDescent="0.25">
      <c r="G3428">
        <f>Data!B3440</f>
        <v>0</v>
      </c>
      <c r="H3428" s="21">
        <f>Data!B3440</f>
        <v>0</v>
      </c>
      <c r="I3428" s="21">
        <f>Data!C3440</f>
        <v>0</v>
      </c>
      <c r="J3428">
        <f>Data!D3440</f>
        <v>0</v>
      </c>
      <c r="K3428">
        <f>Data!E3440</f>
        <v>0</v>
      </c>
      <c r="L3428">
        <f>Data!F3440</f>
        <v>0</v>
      </c>
      <c r="M3428">
        <f>Data!G3440</f>
        <v>0</v>
      </c>
      <c r="N3428">
        <f>Data!H3440</f>
        <v>0</v>
      </c>
      <c r="O3428">
        <f>Data!I3440</f>
        <v>0</v>
      </c>
      <c r="P3428" s="21">
        <f>Data!J3444</f>
        <v>0</v>
      </c>
      <c r="Q3428">
        <f>Data!K3444</f>
        <v>0</v>
      </c>
      <c r="R3428">
        <f>Data!L3444</f>
        <v>0</v>
      </c>
      <c r="S3428">
        <f>Data!M3444</f>
        <v>0</v>
      </c>
      <c r="T3428">
        <f>Data!N3444</f>
        <v>0</v>
      </c>
      <c r="U3428">
        <f>Data!O3444</f>
        <v>0</v>
      </c>
      <c r="V3428" s="33">
        <f>Data!P3442</f>
        <v>0</v>
      </c>
    </row>
    <row r="3429" spans="7:22" x14ac:dyDescent="0.25">
      <c r="G3429">
        <f>Data!B3441</f>
        <v>0</v>
      </c>
      <c r="H3429" s="21">
        <f>Data!B3441</f>
        <v>0</v>
      </c>
      <c r="I3429" s="21">
        <f>Data!C3441</f>
        <v>0</v>
      </c>
      <c r="J3429">
        <f>Data!D3441</f>
        <v>0</v>
      </c>
      <c r="K3429">
        <f>Data!E3441</f>
        <v>0</v>
      </c>
      <c r="L3429">
        <f>Data!F3441</f>
        <v>0</v>
      </c>
      <c r="M3429">
        <f>Data!G3441</f>
        <v>0</v>
      </c>
      <c r="N3429">
        <f>Data!H3441</f>
        <v>0</v>
      </c>
      <c r="O3429">
        <f>Data!I3441</f>
        <v>0</v>
      </c>
      <c r="P3429" s="21">
        <f>Data!J3445</f>
        <v>0</v>
      </c>
      <c r="Q3429">
        <f>Data!K3445</f>
        <v>0</v>
      </c>
      <c r="R3429">
        <f>Data!L3445</f>
        <v>0</v>
      </c>
      <c r="S3429">
        <f>Data!M3445</f>
        <v>0</v>
      </c>
      <c r="T3429">
        <f>Data!N3445</f>
        <v>0</v>
      </c>
      <c r="U3429">
        <f>Data!O3445</f>
        <v>0</v>
      </c>
      <c r="V3429" s="33">
        <f>Data!P3443</f>
        <v>0</v>
      </c>
    </row>
    <row r="3430" spans="7:22" x14ac:dyDescent="0.25">
      <c r="G3430">
        <f>Data!B3442</f>
        <v>0</v>
      </c>
      <c r="H3430" s="21">
        <f>Data!B3442</f>
        <v>0</v>
      </c>
      <c r="I3430" s="21">
        <f>Data!C3442</f>
        <v>0</v>
      </c>
      <c r="J3430">
        <f>Data!D3442</f>
        <v>0</v>
      </c>
      <c r="K3430">
        <f>Data!E3442</f>
        <v>0</v>
      </c>
      <c r="L3430">
        <f>Data!F3442</f>
        <v>0</v>
      </c>
      <c r="M3430">
        <f>Data!G3442</f>
        <v>0</v>
      </c>
      <c r="N3430">
        <f>Data!H3442</f>
        <v>0</v>
      </c>
      <c r="O3430">
        <f>Data!I3442</f>
        <v>0</v>
      </c>
      <c r="P3430" s="21">
        <f>Data!J3446</f>
        <v>0</v>
      </c>
      <c r="Q3430">
        <f>Data!K3446</f>
        <v>0</v>
      </c>
      <c r="R3430">
        <f>Data!L3446</f>
        <v>0</v>
      </c>
      <c r="S3430">
        <f>Data!M3446</f>
        <v>0</v>
      </c>
      <c r="T3430">
        <f>Data!N3446</f>
        <v>0</v>
      </c>
      <c r="U3430">
        <f>Data!O3446</f>
        <v>0</v>
      </c>
      <c r="V3430" s="33">
        <f>Data!P3444</f>
        <v>0</v>
      </c>
    </row>
    <row r="3431" spans="7:22" x14ac:dyDescent="0.25">
      <c r="G3431">
        <f>Data!B3443</f>
        <v>0</v>
      </c>
      <c r="H3431" s="21">
        <f>Data!B3443</f>
        <v>0</v>
      </c>
      <c r="I3431" s="21">
        <f>Data!C3443</f>
        <v>0</v>
      </c>
      <c r="J3431">
        <f>Data!D3443</f>
        <v>0</v>
      </c>
      <c r="K3431">
        <f>Data!E3443</f>
        <v>0</v>
      </c>
      <c r="L3431">
        <f>Data!F3443</f>
        <v>0</v>
      </c>
      <c r="M3431">
        <f>Data!G3443</f>
        <v>0</v>
      </c>
      <c r="N3431">
        <f>Data!H3443</f>
        <v>0</v>
      </c>
      <c r="O3431">
        <f>Data!I3443</f>
        <v>0</v>
      </c>
      <c r="P3431" s="21">
        <f>Data!J3447</f>
        <v>0</v>
      </c>
      <c r="Q3431">
        <f>Data!K3447</f>
        <v>0</v>
      </c>
      <c r="R3431">
        <f>Data!L3447</f>
        <v>0</v>
      </c>
      <c r="S3431">
        <f>Data!M3447</f>
        <v>0</v>
      </c>
      <c r="T3431">
        <f>Data!N3447</f>
        <v>0</v>
      </c>
      <c r="U3431">
        <f>Data!O3447</f>
        <v>0</v>
      </c>
      <c r="V3431" s="33">
        <f>Data!P3445</f>
        <v>0</v>
      </c>
    </row>
    <row r="3432" spans="7:22" x14ac:dyDescent="0.25">
      <c r="G3432">
        <f>Data!B3444</f>
        <v>0</v>
      </c>
      <c r="H3432" s="21">
        <f>Data!B3444</f>
        <v>0</v>
      </c>
      <c r="I3432" s="21">
        <f>Data!C3444</f>
        <v>0</v>
      </c>
      <c r="J3432">
        <f>Data!D3444</f>
        <v>0</v>
      </c>
      <c r="K3432">
        <f>Data!E3444</f>
        <v>0</v>
      </c>
      <c r="L3432">
        <f>Data!F3444</f>
        <v>0</v>
      </c>
      <c r="M3432">
        <f>Data!G3444</f>
        <v>0</v>
      </c>
      <c r="N3432">
        <f>Data!H3444</f>
        <v>0</v>
      </c>
      <c r="O3432">
        <f>Data!I3444</f>
        <v>0</v>
      </c>
      <c r="P3432" s="21">
        <f>Data!J3448</f>
        <v>0</v>
      </c>
      <c r="Q3432">
        <f>Data!K3448</f>
        <v>0</v>
      </c>
      <c r="R3432">
        <f>Data!L3448</f>
        <v>0</v>
      </c>
      <c r="S3432">
        <f>Data!M3448</f>
        <v>0</v>
      </c>
      <c r="T3432">
        <f>Data!N3448</f>
        <v>0</v>
      </c>
      <c r="U3432">
        <f>Data!O3448</f>
        <v>0</v>
      </c>
      <c r="V3432" s="33">
        <f>Data!P3446</f>
        <v>0</v>
      </c>
    </row>
    <row r="3433" spans="7:22" x14ac:dyDescent="0.25">
      <c r="G3433">
        <f>Data!B3445</f>
        <v>0</v>
      </c>
      <c r="H3433" s="21">
        <f>Data!B3445</f>
        <v>0</v>
      </c>
      <c r="I3433" s="21">
        <f>Data!C3445</f>
        <v>0</v>
      </c>
      <c r="J3433">
        <f>Data!D3445</f>
        <v>0</v>
      </c>
      <c r="K3433">
        <f>Data!E3445</f>
        <v>0</v>
      </c>
      <c r="L3433">
        <f>Data!F3445</f>
        <v>0</v>
      </c>
      <c r="M3433">
        <f>Data!G3445</f>
        <v>0</v>
      </c>
      <c r="N3433">
        <f>Data!H3445</f>
        <v>0</v>
      </c>
      <c r="O3433">
        <f>Data!I3445</f>
        <v>0</v>
      </c>
      <c r="P3433" s="21">
        <f>Data!J3449</f>
        <v>0</v>
      </c>
      <c r="Q3433">
        <f>Data!K3449</f>
        <v>0</v>
      </c>
      <c r="R3433">
        <f>Data!L3449</f>
        <v>0</v>
      </c>
      <c r="S3433">
        <f>Data!M3449</f>
        <v>0</v>
      </c>
      <c r="T3433">
        <f>Data!N3449</f>
        <v>0</v>
      </c>
      <c r="U3433">
        <f>Data!O3449</f>
        <v>0</v>
      </c>
      <c r="V3433" s="33">
        <f>Data!P3447</f>
        <v>0</v>
      </c>
    </row>
    <row r="3434" spans="7:22" x14ac:dyDescent="0.25">
      <c r="G3434">
        <f>Data!B3446</f>
        <v>0</v>
      </c>
      <c r="H3434" s="21">
        <f>Data!B3446</f>
        <v>0</v>
      </c>
      <c r="I3434" s="21">
        <f>Data!C3446</f>
        <v>0</v>
      </c>
      <c r="J3434">
        <f>Data!D3446</f>
        <v>0</v>
      </c>
      <c r="K3434">
        <f>Data!E3446</f>
        <v>0</v>
      </c>
      <c r="L3434">
        <f>Data!F3446</f>
        <v>0</v>
      </c>
      <c r="M3434">
        <f>Data!G3446</f>
        <v>0</v>
      </c>
      <c r="N3434">
        <f>Data!H3446</f>
        <v>0</v>
      </c>
      <c r="O3434">
        <f>Data!I3446</f>
        <v>0</v>
      </c>
      <c r="P3434" s="21">
        <f>Data!J3450</f>
        <v>0</v>
      </c>
      <c r="Q3434">
        <f>Data!K3450</f>
        <v>0</v>
      </c>
      <c r="R3434">
        <f>Data!L3450</f>
        <v>0</v>
      </c>
      <c r="S3434">
        <f>Data!M3450</f>
        <v>0</v>
      </c>
      <c r="T3434">
        <f>Data!N3450</f>
        <v>0</v>
      </c>
      <c r="U3434">
        <f>Data!O3450</f>
        <v>0</v>
      </c>
      <c r="V3434" s="33">
        <f>Data!P3448</f>
        <v>0</v>
      </c>
    </row>
    <row r="3435" spans="7:22" x14ac:dyDescent="0.25">
      <c r="G3435">
        <f>Data!B3447</f>
        <v>0</v>
      </c>
      <c r="H3435" s="21">
        <f>Data!B3447</f>
        <v>0</v>
      </c>
      <c r="I3435" s="21">
        <f>Data!C3447</f>
        <v>0</v>
      </c>
      <c r="J3435">
        <f>Data!D3447</f>
        <v>0</v>
      </c>
      <c r="K3435">
        <f>Data!E3447</f>
        <v>0</v>
      </c>
      <c r="L3435">
        <f>Data!F3447</f>
        <v>0</v>
      </c>
      <c r="M3435">
        <f>Data!G3447</f>
        <v>0</v>
      </c>
      <c r="N3435">
        <f>Data!H3447</f>
        <v>0</v>
      </c>
      <c r="O3435">
        <f>Data!I3447</f>
        <v>0</v>
      </c>
      <c r="P3435" s="21">
        <f>Data!J3451</f>
        <v>0</v>
      </c>
      <c r="Q3435">
        <f>Data!K3451</f>
        <v>0</v>
      </c>
      <c r="R3435">
        <f>Data!L3451</f>
        <v>0</v>
      </c>
      <c r="S3435">
        <f>Data!M3451</f>
        <v>0</v>
      </c>
      <c r="T3435">
        <f>Data!N3451</f>
        <v>0</v>
      </c>
      <c r="U3435">
        <f>Data!O3451</f>
        <v>0</v>
      </c>
      <c r="V3435" s="33">
        <f>Data!P3449</f>
        <v>0</v>
      </c>
    </row>
    <row r="3436" spans="7:22" x14ac:dyDescent="0.25">
      <c r="G3436">
        <f>Data!B3448</f>
        <v>0</v>
      </c>
      <c r="H3436" s="21">
        <f>Data!B3448</f>
        <v>0</v>
      </c>
      <c r="I3436" s="21">
        <f>Data!C3448</f>
        <v>0</v>
      </c>
      <c r="J3436">
        <f>Data!D3448</f>
        <v>0</v>
      </c>
      <c r="K3436">
        <f>Data!E3448</f>
        <v>0</v>
      </c>
      <c r="L3436">
        <f>Data!F3448</f>
        <v>0</v>
      </c>
      <c r="M3436">
        <f>Data!G3448</f>
        <v>0</v>
      </c>
      <c r="N3436">
        <f>Data!H3448</f>
        <v>0</v>
      </c>
      <c r="O3436">
        <f>Data!I3448</f>
        <v>0</v>
      </c>
      <c r="P3436" s="21">
        <f>Data!J3452</f>
        <v>0</v>
      </c>
      <c r="Q3436">
        <f>Data!K3452</f>
        <v>0</v>
      </c>
      <c r="R3436">
        <f>Data!L3452</f>
        <v>0</v>
      </c>
      <c r="S3436">
        <f>Data!M3452</f>
        <v>0</v>
      </c>
      <c r="T3436">
        <f>Data!N3452</f>
        <v>0</v>
      </c>
      <c r="U3436">
        <f>Data!O3452</f>
        <v>0</v>
      </c>
      <c r="V3436" s="33">
        <f>Data!P3450</f>
        <v>0</v>
      </c>
    </row>
    <row r="3437" spans="7:22" x14ac:dyDescent="0.25">
      <c r="G3437">
        <f>Data!B3449</f>
        <v>0</v>
      </c>
      <c r="H3437" s="21">
        <f>Data!B3449</f>
        <v>0</v>
      </c>
      <c r="I3437" s="21">
        <f>Data!C3449</f>
        <v>0</v>
      </c>
      <c r="J3437">
        <f>Data!D3449</f>
        <v>0</v>
      </c>
      <c r="K3437">
        <f>Data!E3449</f>
        <v>0</v>
      </c>
      <c r="L3437">
        <f>Data!F3449</f>
        <v>0</v>
      </c>
      <c r="M3437">
        <f>Data!G3449</f>
        <v>0</v>
      </c>
      <c r="N3437">
        <f>Data!H3449</f>
        <v>0</v>
      </c>
      <c r="O3437">
        <f>Data!I3449</f>
        <v>0</v>
      </c>
      <c r="P3437" s="21">
        <f>Data!J3453</f>
        <v>0</v>
      </c>
      <c r="Q3437">
        <f>Data!K3453</f>
        <v>0</v>
      </c>
      <c r="R3437">
        <f>Data!L3453</f>
        <v>0</v>
      </c>
      <c r="S3437">
        <f>Data!M3453</f>
        <v>0</v>
      </c>
      <c r="T3437">
        <f>Data!N3453</f>
        <v>0</v>
      </c>
      <c r="U3437">
        <f>Data!O3453</f>
        <v>0</v>
      </c>
      <c r="V3437" s="33">
        <f>Data!P3451</f>
        <v>0</v>
      </c>
    </row>
    <row r="3438" spans="7:22" x14ac:dyDescent="0.25">
      <c r="G3438">
        <f>Data!B3450</f>
        <v>0</v>
      </c>
      <c r="H3438" s="21">
        <f>Data!B3450</f>
        <v>0</v>
      </c>
      <c r="I3438" s="21">
        <f>Data!C3450</f>
        <v>0</v>
      </c>
      <c r="J3438">
        <f>Data!D3450</f>
        <v>0</v>
      </c>
      <c r="K3438">
        <f>Data!E3450</f>
        <v>0</v>
      </c>
      <c r="L3438">
        <f>Data!F3450</f>
        <v>0</v>
      </c>
      <c r="M3438">
        <f>Data!G3450</f>
        <v>0</v>
      </c>
      <c r="N3438">
        <f>Data!H3450</f>
        <v>0</v>
      </c>
      <c r="O3438">
        <f>Data!I3450</f>
        <v>0</v>
      </c>
      <c r="P3438" s="21">
        <f>Data!J3454</f>
        <v>0</v>
      </c>
      <c r="Q3438">
        <f>Data!K3454</f>
        <v>0</v>
      </c>
      <c r="R3438">
        <f>Data!L3454</f>
        <v>0</v>
      </c>
      <c r="S3438">
        <f>Data!M3454</f>
        <v>0</v>
      </c>
      <c r="T3438">
        <f>Data!N3454</f>
        <v>0</v>
      </c>
      <c r="U3438">
        <f>Data!O3454</f>
        <v>0</v>
      </c>
      <c r="V3438" s="33">
        <f>Data!P3452</f>
        <v>0</v>
      </c>
    </row>
    <row r="3439" spans="7:22" x14ac:dyDescent="0.25">
      <c r="G3439">
        <f>Data!B3451</f>
        <v>0</v>
      </c>
      <c r="H3439" s="21">
        <f>Data!B3451</f>
        <v>0</v>
      </c>
      <c r="I3439" s="21">
        <f>Data!C3451</f>
        <v>0</v>
      </c>
      <c r="J3439">
        <f>Data!D3451</f>
        <v>0</v>
      </c>
      <c r="K3439">
        <f>Data!E3451</f>
        <v>0</v>
      </c>
      <c r="L3439">
        <f>Data!F3451</f>
        <v>0</v>
      </c>
      <c r="M3439">
        <f>Data!G3451</f>
        <v>0</v>
      </c>
      <c r="N3439">
        <f>Data!H3451</f>
        <v>0</v>
      </c>
      <c r="O3439">
        <f>Data!I3451</f>
        <v>0</v>
      </c>
      <c r="P3439" s="21">
        <f>Data!J3455</f>
        <v>0</v>
      </c>
      <c r="Q3439">
        <f>Data!K3455</f>
        <v>0</v>
      </c>
      <c r="R3439">
        <f>Data!L3455</f>
        <v>0</v>
      </c>
      <c r="S3439">
        <f>Data!M3455</f>
        <v>0</v>
      </c>
      <c r="T3439">
        <f>Data!N3455</f>
        <v>0</v>
      </c>
      <c r="U3439">
        <f>Data!O3455</f>
        <v>0</v>
      </c>
      <c r="V3439" s="33">
        <f>Data!P3453</f>
        <v>0</v>
      </c>
    </row>
    <row r="3440" spans="7:22" x14ac:dyDescent="0.25">
      <c r="G3440">
        <f>Data!B3452</f>
        <v>0</v>
      </c>
      <c r="H3440" s="21">
        <f>Data!B3452</f>
        <v>0</v>
      </c>
      <c r="I3440" s="21">
        <f>Data!C3452</f>
        <v>0</v>
      </c>
      <c r="J3440">
        <f>Data!D3452</f>
        <v>0</v>
      </c>
      <c r="K3440">
        <f>Data!E3452</f>
        <v>0</v>
      </c>
      <c r="L3440">
        <f>Data!F3452</f>
        <v>0</v>
      </c>
      <c r="M3440">
        <f>Data!G3452</f>
        <v>0</v>
      </c>
      <c r="N3440">
        <f>Data!H3452</f>
        <v>0</v>
      </c>
      <c r="O3440">
        <f>Data!I3452</f>
        <v>0</v>
      </c>
      <c r="P3440" s="21">
        <f>Data!J3456</f>
        <v>0</v>
      </c>
      <c r="Q3440">
        <f>Data!K3456</f>
        <v>0</v>
      </c>
      <c r="R3440">
        <f>Data!L3456</f>
        <v>0</v>
      </c>
      <c r="S3440">
        <f>Data!M3456</f>
        <v>0</v>
      </c>
      <c r="T3440">
        <f>Data!N3456</f>
        <v>0</v>
      </c>
      <c r="U3440">
        <f>Data!O3456</f>
        <v>0</v>
      </c>
      <c r="V3440" s="33">
        <f>Data!P3454</f>
        <v>0</v>
      </c>
    </row>
    <row r="3441" spans="7:22" x14ac:dyDescent="0.25">
      <c r="G3441">
        <f>Data!B3453</f>
        <v>0</v>
      </c>
      <c r="H3441" s="21">
        <f>Data!B3453</f>
        <v>0</v>
      </c>
      <c r="I3441" s="21">
        <f>Data!C3453</f>
        <v>0</v>
      </c>
      <c r="J3441">
        <f>Data!D3453</f>
        <v>0</v>
      </c>
      <c r="K3441">
        <f>Data!E3453</f>
        <v>0</v>
      </c>
      <c r="L3441">
        <f>Data!F3453</f>
        <v>0</v>
      </c>
      <c r="M3441">
        <f>Data!G3453</f>
        <v>0</v>
      </c>
      <c r="N3441">
        <f>Data!H3453</f>
        <v>0</v>
      </c>
      <c r="O3441">
        <f>Data!I3453</f>
        <v>0</v>
      </c>
      <c r="P3441" s="21">
        <f>Data!J3457</f>
        <v>0</v>
      </c>
      <c r="Q3441">
        <f>Data!K3457</f>
        <v>0</v>
      </c>
      <c r="R3441">
        <f>Data!L3457</f>
        <v>0</v>
      </c>
      <c r="S3441">
        <f>Data!M3457</f>
        <v>0</v>
      </c>
      <c r="T3441">
        <f>Data!N3457</f>
        <v>0</v>
      </c>
      <c r="U3441">
        <f>Data!O3457</f>
        <v>0</v>
      </c>
      <c r="V3441" s="33">
        <f>Data!P3455</f>
        <v>0</v>
      </c>
    </row>
    <row r="3442" spans="7:22" x14ac:dyDescent="0.25">
      <c r="G3442">
        <f>Data!B3454</f>
        <v>0</v>
      </c>
      <c r="H3442" s="21">
        <f>Data!B3454</f>
        <v>0</v>
      </c>
      <c r="I3442" s="21">
        <f>Data!C3454</f>
        <v>0</v>
      </c>
      <c r="J3442">
        <f>Data!D3454</f>
        <v>0</v>
      </c>
      <c r="K3442">
        <f>Data!E3454</f>
        <v>0</v>
      </c>
      <c r="L3442">
        <f>Data!F3454</f>
        <v>0</v>
      </c>
      <c r="M3442">
        <f>Data!G3454</f>
        <v>0</v>
      </c>
      <c r="N3442">
        <f>Data!H3454</f>
        <v>0</v>
      </c>
      <c r="O3442">
        <f>Data!I3454</f>
        <v>0</v>
      </c>
      <c r="P3442" s="21">
        <f>Data!J3458</f>
        <v>0</v>
      </c>
      <c r="Q3442">
        <f>Data!K3458</f>
        <v>0</v>
      </c>
      <c r="R3442">
        <f>Data!L3458</f>
        <v>0</v>
      </c>
      <c r="S3442">
        <f>Data!M3458</f>
        <v>0</v>
      </c>
      <c r="T3442">
        <f>Data!N3458</f>
        <v>0</v>
      </c>
      <c r="U3442">
        <f>Data!O3458</f>
        <v>0</v>
      </c>
      <c r="V3442" s="33">
        <f>Data!P3456</f>
        <v>0</v>
      </c>
    </row>
    <row r="3443" spans="7:22" x14ac:dyDescent="0.25">
      <c r="G3443">
        <f>Data!B3455</f>
        <v>0</v>
      </c>
      <c r="H3443" s="21">
        <f>Data!B3455</f>
        <v>0</v>
      </c>
      <c r="I3443" s="21">
        <f>Data!C3455</f>
        <v>0</v>
      </c>
      <c r="J3443">
        <f>Data!D3455</f>
        <v>0</v>
      </c>
      <c r="K3443">
        <f>Data!E3455</f>
        <v>0</v>
      </c>
      <c r="L3443">
        <f>Data!F3455</f>
        <v>0</v>
      </c>
      <c r="M3443">
        <f>Data!G3455</f>
        <v>0</v>
      </c>
      <c r="N3443">
        <f>Data!H3455</f>
        <v>0</v>
      </c>
      <c r="O3443">
        <f>Data!I3455</f>
        <v>0</v>
      </c>
      <c r="P3443" s="21">
        <f>Data!J3459</f>
        <v>0</v>
      </c>
      <c r="Q3443">
        <f>Data!K3459</f>
        <v>0</v>
      </c>
      <c r="R3443">
        <f>Data!L3459</f>
        <v>0</v>
      </c>
      <c r="S3443">
        <f>Data!M3459</f>
        <v>0</v>
      </c>
      <c r="T3443">
        <f>Data!N3459</f>
        <v>0</v>
      </c>
      <c r="U3443">
        <f>Data!O3459</f>
        <v>0</v>
      </c>
      <c r="V3443" s="33">
        <f>Data!P3457</f>
        <v>0</v>
      </c>
    </row>
    <row r="3444" spans="7:22" x14ac:dyDescent="0.25">
      <c r="G3444">
        <f>Data!B3456</f>
        <v>0</v>
      </c>
      <c r="H3444" s="21">
        <f>Data!B3456</f>
        <v>0</v>
      </c>
      <c r="I3444" s="21">
        <f>Data!C3456</f>
        <v>0</v>
      </c>
      <c r="J3444">
        <f>Data!D3456</f>
        <v>0</v>
      </c>
      <c r="K3444">
        <f>Data!E3456</f>
        <v>0</v>
      </c>
      <c r="L3444">
        <f>Data!F3456</f>
        <v>0</v>
      </c>
      <c r="M3444">
        <f>Data!G3456</f>
        <v>0</v>
      </c>
      <c r="N3444">
        <f>Data!H3456</f>
        <v>0</v>
      </c>
      <c r="O3444">
        <f>Data!I3456</f>
        <v>0</v>
      </c>
      <c r="P3444" s="21">
        <f>Data!J3460</f>
        <v>0</v>
      </c>
      <c r="Q3444">
        <f>Data!K3460</f>
        <v>0</v>
      </c>
      <c r="R3444">
        <f>Data!L3460</f>
        <v>0</v>
      </c>
      <c r="S3444">
        <f>Data!M3460</f>
        <v>0</v>
      </c>
      <c r="T3444">
        <f>Data!N3460</f>
        <v>0</v>
      </c>
      <c r="U3444">
        <f>Data!O3460</f>
        <v>0</v>
      </c>
      <c r="V3444" s="33">
        <f>Data!P3458</f>
        <v>0</v>
      </c>
    </row>
    <row r="3445" spans="7:22" x14ac:dyDescent="0.25">
      <c r="G3445">
        <f>Data!B3457</f>
        <v>0</v>
      </c>
      <c r="H3445" s="21">
        <f>Data!B3457</f>
        <v>0</v>
      </c>
      <c r="I3445" s="21">
        <f>Data!C3457</f>
        <v>0</v>
      </c>
      <c r="J3445">
        <f>Data!D3457</f>
        <v>0</v>
      </c>
      <c r="K3445">
        <f>Data!E3457</f>
        <v>0</v>
      </c>
      <c r="L3445">
        <f>Data!F3457</f>
        <v>0</v>
      </c>
      <c r="M3445">
        <f>Data!G3457</f>
        <v>0</v>
      </c>
      <c r="N3445">
        <f>Data!H3457</f>
        <v>0</v>
      </c>
      <c r="O3445">
        <f>Data!I3457</f>
        <v>0</v>
      </c>
      <c r="P3445" s="21">
        <f>Data!J3461</f>
        <v>0</v>
      </c>
      <c r="Q3445">
        <f>Data!K3461</f>
        <v>0</v>
      </c>
      <c r="R3445">
        <f>Data!L3461</f>
        <v>0</v>
      </c>
      <c r="S3445">
        <f>Data!M3461</f>
        <v>0</v>
      </c>
      <c r="T3445">
        <f>Data!N3461</f>
        <v>0</v>
      </c>
      <c r="U3445">
        <f>Data!O3461</f>
        <v>0</v>
      </c>
      <c r="V3445" s="33">
        <f>Data!P3459</f>
        <v>0</v>
      </c>
    </row>
    <row r="3446" spans="7:22" x14ac:dyDescent="0.25">
      <c r="G3446">
        <f>Data!B3458</f>
        <v>0</v>
      </c>
      <c r="H3446" s="21">
        <f>Data!B3458</f>
        <v>0</v>
      </c>
      <c r="I3446" s="21">
        <f>Data!C3458</f>
        <v>0</v>
      </c>
      <c r="J3446">
        <f>Data!D3458</f>
        <v>0</v>
      </c>
      <c r="K3446">
        <f>Data!E3458</f>
        <v>0</v>
      </c>
      <c r="L3446">
        <f>Data!F3458</f>
        <v>0</v>
      </c>
      <c r="M3446">
        <f>Data!G3458</f>
        <v>0</v>
      </c>
      <c r="N3446">
        <f>Data!H3458</f>
        <v>0</v>
      </c>
      <c r="O3446">
        <f>Data!I3458</f>
        <v>0</v>
      </c>
      <c r="P3446" s="21">
        <f>Data!J3462</f>
        <v>0</v>
      </c>
      <c r="Q3446">
        <f>Data!K3462</f>
        <v>0</v>
      </c>
      <c r="R3446">
        <f>Data!L3462</f>
        <v>0</v>
      </c>
      <c r="S3446">
        <f>Data!M3462</f>
        <v>0</v>
      </c>
      <c r="T3446">
        <f>Data!N3462</f>
        <v>0</v>
      </c>
      <c r="U3446">
        <f>Data!O3462</f>
        <v>0</v>
      </c>
      <c r="V3446" s="33">
        <f>Data!P3460</f>
        <v>0</v>
      </c>
    </row>
    <row r="3447" spans="7:22" x14ac:dyDescent="0.25">
      <c r="G3447">
        <f>Data!B3459</f>
        <v>0</v>
      </c>
      <c r="H3447" s="21">
        <f>Data!B3459</f>
        <v>0</v>
      </c>
      <c r="I3447" s="21">
        <f>Data!C3459</f>
        <v>0</v>
      </c>
      <c r="J3447">
        <f>Data!D3459</f>
        <v>0</v>
      </c>
      <c r="K3447">
        <f>Data!E3459</f>
        <v>0</v>
      </c>
      <c r="L3447">
        <f>Data!F3459</f>
        <v>0</v>
      </c>
      <c r="M3447">
        <f>Data!G3459</f>
        <v>0</v>
      </c>
      <c r="N3447">
        <f>Data!H3459</f>
        <v>0</v>
      </c>
      <c r="O3447">
        <f>Data!I3459</f>
        <v>0</v>
      </c>
      <c r="P3447" s="21">
        <f>Data!J3463</f>
        <v>0</v>
      </c>
      <c r="Q3447">
        <f>Data!K3463</f>
        <v>0</v>
      </c>
      <c r="R3447">
        <f>Data!L3463</f>
        <v>0</v>
      </c>
      <c r="S3447">
        <f>Data!M3463</f>
        <v>0</v>
      </c>
      <c r="T3447">
        <f>Data!N3463</f>
        <v>0</v>
      </c>
      <c r="U3447">
        <f>Data!O3463</f>
        <v>0</v>
      </c>
      <c r="V3447" s="33">
        <f>Data!P3461</f>
        <v>0</v>
      </c>
    </row>
    <row r="3448" spans="7:22" x14ac:dyDescent="0.25">
      <c r="G3448">
        <f>Data!B3460</f>
        <v>0</v>
      </c>
      <c r="H3448" s="21">
        <f>Data!B3460</f>
        <v>0</v>
      </c>
      <c r="I3448" s="21">
        <f>Data!C3460</f>
        <v>0</v>
      </c>
      <c r="J3448">
        <f>Data!D3460</f>
        <v>0</v>
      </c>
      <c r="K3448">
        <f>Data!E3460</f>
        <v>0</v>
      </c>
      <c r="L3448">
        <f>Data!F3460</f>
        <v>0</v>
      </c>
      <c r="M3448">
        <f>Data!G3460</f>
        <v>0</v>
      </c>
      <c r="N3448">
        <f>Data!H3460</f>
        <v>0</v>
      </c>
      <c r="O3448">
        <f>Data!I3460</f>
        <v>0</v>
      </c>
      <c r="P3448" s="21">
        <f>Data!J3464</f>
        <v>0</v>
      </c>
      <c r="Q3448">
        <f>Data!K3464</f>
        <v>0</v>
      </c>
      <c r="R3448">
        <f>Data!L3464</f>
        <v>0</v>
      </c>
      <c r="S3448">
        <f>Data!M3464</f>
        <v>0</v>
      </c>
      <c r="T3448">
        <f>Data!N3464</f>
        <v>0</v>
      </c>
      <c r="U3448">
        <f>Data!O3464</f>
        <v>0</v>
      </c>
      <c r="V3448" s="33">
        <f>Data!P3462</f>
        <v>0</v>
      </c>
    </row>
    <row r="3449" spans="7:22" x14ac:dyDescent="0.25">
      <c r="G3449">
        <f>Data!B3461</f>
        <v>0</v>
      </c>
      <c r="H3449" s="21">
        <f>Data!B3461</f>
        <v>0</v>
      </c>
      <c r="I3449" s="21">
        <f>Data!C3461</f>
        <v>0</v>
      </c>
      <c r="J3449">
        <f>Data!D3461</f>
        <v>0</v>
      </c>
      <c r="K3449">
        <f>Data!E3461</f>
        <v>0</v>
      </c>
      <c r="L3449">
        <f>Data!F3461</f>
        <v>0</v>
      </c>
      <c r="M3449">
        <f>Data!G3461</f>
        <v>0</v>
      </c>
      <c r="N3449">
        <f>Data!H3461</f>
        <v>0</v>
      </c>
      <c r="O3449">
        <f>Data!I3461</f>
        <v>0</v>
      </c>
      <c r="P3449" s="21">
        <f>Data!J3465</f>
        <v>0</v>
      </c>
      <c r="Q3449">
        <f>Data!K3465</f>
        <v>0</v>
      </c>
      <c r="R3449">
        <f>Data!L3465</f>
        <v>0</v>
      </c>
      <c r="S3449">
        <f>Data!M3465</f>
        <v>0</v>
      </c>
      <c r="T3449">
        <f>Data!N3465</f>
        <v>0</v>
      </c>
      <c r="U3449">
        <f>Data!O3465</f>
        <v>0</v>
      </c>
      <c r="V3449" s="33">
        <f>Data!P3463</f>
        <v>0</v>
      </c>
    </row>
    <row r="3450" spans="7:22" x14ac:dyDescent="0.25">
      <c r="G3450">
        <f>Data!B3462</f>
        <v>0</v>
      </c>
      <c r="H3450" s="21">
        <f>Data!B3462</f>
        <v>0</v>
      </c>
      <c r="I3450" s="21">
        <f>Data!C3462</f>
        <v>0</v>
      </c>
      <c r="J3450">
        <f>Data!D3462</f>
        <v>0</v>
      </c>
      <c r="K3450">
        <f>Data!E3462</f>
        <v>0</v>
      </c>
      <c r="L3450">
        <f>Data!F3462</f>
        <v>0</v>
      </c>
      <c r="M3450">
        <f>Data!G3462</f>
        <v>0</v>
      </c>
      <c r="N3450">
        <f>Data!H3462</f>
        <v>0</v>
      </c>
      <c r="O3450">
        <f>Data!I3462</f>
        <v>0</v>
      </c>
      <c r="P3450" s="21">
        <f>Data!J3466</f>
        <v>0</v>
      </c>
      <c r="Q3450">
        <f>Data!K3466</f>
        <v>0</v>
      </c>
      <c r="R3450">
        <f>Data!L3466</f>
        <v>0</v>
      </c>
      <c r="S3450">
        <f>Data!M3466</f>
        <v>0</v>
      </c>
      <c r="T3450">
        <f>Data!N3466</f>
        <v>0</v>
      </c>
      <c r="U3450">
        <f>Data!O3466</f>
        <v>0</v>
      </c>
      <c r="V3450" s="33">
        <f>Data!P3464</f>
        <v>0</v>
      </c>
    </row>
    <row r="3451" spans="7:22" x14ac:dyDescent="0.25">
      <c r="G3451">
        <f>Data!B3463</f>
        <v>0</v>
      </c>
      <c r="H3451" s="21">
        <f>Data!B3463</f>
        <v>0</v>
      </c>
      <c r="I3451" s="21">
        <f>Data!C3463</f>
        <v>0</v>
      </c>
      <c r="J3451">
        <f>Data!D3463</f>
        <v>0</v>
      </c>
      <c r="K3451">
        <f>Data!E3463</f>
        <v>0</v>
      </c>
      <c r="L3451">
        <f>Data!F3463</f>
        <v>0</v>
      </c>
      <c r="M3451">
        <f>Data!G3463</f>
        <v>0</v>
      </c>
      <c r="N3451">
        <f>Data!H3463</f>
        <v>0</v>
      </c>
      <c r="O3451">
        <f>Data!I3463</f>
        <v>0</v>
      </c>
      <c r="P3451" s="21">
        <f>Data!J3467</f>
        <v>0</v>
      </c>
      <c r="Q3451">
        <f>Data!K3467</f>
        <v>0</v>
      </c>
      <c r="R3451">
        <f>Data!L3467</f>
        <v>0</v>
      </c>
      <c r="S3451">
        <f>Data!M3467</f>
        <v>0</v>
      </c>
      <c r="T3451">
        <f>Data!N3467</f>
        <v>0</v>
      </c>
      <c r="U3451">
        <f>Data!O3467</f>
        <v>0</v>
      </c>
      <c r="V3451" s="33">
        <f>Data!P3465</f>
        <v>0</v>
      </c>
    </row>
    <row r="3452" spans="7:22" x14ac:dyDescent="0.25">
      <c r="G3452">
        <f>Data!B3464</f>
        <v>0</v>
      </c>
      <c r="H3452" s="21">
        <f>Data!B3464</f>
        <v>0</v>
      </c>
      <c r="I3452" s="21">
        <f>Data!C3464</f>
        <v>0</v>
      </c>
      <c r="J3452">
        <f>Data!D3464</f>
        <v>0</v>
      </c>
      <c r="K3452">
        <f>Data!E3464</f>
        <v>0</v>
      </c>
      <c r="L3452">
        <f>Data!F3464</f>
        <v>0</v>
      </c>
      <c r="M3452">
        <f>Data!G3464</f>
        <v>0</v>
      </c>
      <c r="N3452">
        <f>Data!H3464</f>
        <v>0</v>
      </c>
      <c r="O3452">
        <f>Data!I3464</f>
        <v>0</v>
      </c>
      <c r="P3452" s="21">
        <f>Data!J3468</f>
        <v>0</v>
      </c>
      <c r="Q3452">
        <f>Data!K3468</f>
        <v>0</v>
      </c>
      <c r="R3452">
        <f>Data!L3468</f>
        <v>0</v>
      </c>
      <c r="S3452">
        <f>Data!M3468</f>
        <v>0</v>
      </c>
      <c r="T3452">
        <f>Data!N3468</f>
        <v>0</v>
      </c>
      <c r="U3452">
        <f>Data!O3468</f>
        <v>0</v>
      </c>
      <c r="V3452" s="33">
        <f>Data!P3466</f>
        <v>0</v>
      </c>
    </row>
    <row r="3453" spans="7:22" x14ac:dyDescent="0.25">
      <c r="G3453">
        <f>Data!B3465</f>
        <v>0</v>
      </c>
      <c r="H3453" s="21">
        <f>Data!B3465</f>
        <v>0</v>
      </c>
      <c r="I3453" s="21">
        <f>Data!C3465</f>
        <v>0</v>
      </c>
      <c r="J3453">
        <f>Data!D3465</f>
        <v>0</v>
      </c>
      <c r="K3453">
        <f>Data!E3465</f>
        <v>0</v>
      </c>
      <c r="L3453">
        <f>Data!F3465</f>
        <v>0</v>
      </c>
      <c r="M3453">
        <f>Data!G3465</f>
        <v>0</v>
      </c>
      <c r="N3453">
        <f>Data!H3465</f>
        <v>0</v>
      </c>
      <c r="O3453">
        <f>Data!I3465</f>
        <v>0</v>
      </c>
      <c r="P3453" s="21">
        <f>Data!J3469</f>
        <v>0</v>
      </c>
      <c r="Q3453">
        <f>Data!K3469</f>
        <v>0</v>
      </c>
      <c r="R3453">
        <f>Data!L3469</f>
        <v>0</v>
      </c>
      <c r="S3453">
        <f>Data!M3469</f>
        <v>0</v>
      </c>
      <c r="T3453">
        <f>Data!N3469</f>
        <v>0</v>
      </c>
      <c r="U3453">
        <f>Data!O3469</f>
        <v>0</v>
      </c>
      <c r="V3453" s="33">
        <f>Data!P3467</f>
        <v>0</v>
      </c>
    </row>
    <row r="3454" spans="7:22" x14ac:dyDescent="0.25">
      <c r="G3454">
        <f>Data!B3466</f>
        <v>0</v>
      </c>
      <c r="H3454" s="21">
        <f>Data!B3466</f>
        <v>0</v>
      </c>
      <c r="I3454" s="21">
        <f>Data!C3466</f>
        <v>0</v>
      </c>
      <c r="J3454">
        <f>Data!D3466</f>
        <v>0</v>
      </c>
      <c r="K3454">
        <f>Data!E3466</f>
        <v>0</v>
      </c>
      <c r="L3454">
        <f>Data!F3466</f>
        <v>0</v>
      </c>
      <c r="M3454">
        <f>Data!G3466</f>
        <v>0</v>
      </c>
      <c r="N3454">
        <f>Data!H3466</f>
        <v>0</v>
      </c>
      <c r="O3454">
        <f>Data!I3466</f>
        <v>0</v>
      </c>
      <c r="P3454" s="21">
        <f>Data!J3470</f>
        <v>0</v>
      </c>
      <c r="Q3454">
        <f>Data!K3470</f>
        <v>0</v>
      </c>
      <c r="R3454">
        <f>Data!L3470</f>
        <v>0</v>
      </c>
      <c r="S3454">
        <f>Data!M3470</f>
        <v>0</v>
      </c>
      <c r="T3454">
        <f>Data!N3470</f>
        <v>0</v>
      </c>
      <c r="U3454">
        <f>Data!O3470</f>
        <v>0</v>
      </c>
      <c r="V3454" s="33">
        <f>Data!P3468</f>
        <v>0</v>
      </c>
    </row>
    <row r="3455" spans="7:22" x14ac:dyDescent="0.25">
      <c r="G3455">
        <f>Data!B3467</f>
        <v>0</v>
      </c>
      <c r="H3455" s="21">
        <f>Data!B3467</f>
        <v>0</v>
      </c>
      <c r="I3455" s="21">
        <f>Data!C3467</f>
        <v>0</v>
      </c>
      <c r="J3455">
        <f>Data!D3467</f>
        <v>0</v>
      </c>
      <c r="K3455">
        <f>Data!E3467</f>
        <v>0</v>
      </c>
      <c r="L3455">
        <f>Data!F3467</f>
        <v>0</v>
      </c>
      <c r="M3455">
        <f>Data!G3467</f>
        <v>0</v>
      </c>
      <c r="N3455">
        <f>Data!H3467</f>
        <v>0</v>
      </c>
      <c r="O3455">
        <f>Data!I3467</f>
        <v>0</v>
      </c>
      <c r="P3455" s="21">
        <f>Data!J3471</f>
        <v>0</v>
      </c>
      <c r="Q3455">
        <f>Data!K3471</f>
        <v>0</v>
      </c>
      <c r="R3455">
        <f>Data!L3471</f>
        <v>0</v>
      </c>
      <c r="S3455">
        <f>Data!M3471</f>
        <v>0</v>
      </c>
      <c r="T3455">
        <f>Data!N3471</f>
        <v>0</v>
      </c>
      <c r="U3455">
        <f>Data!O3471</f>
        <v>0</v>
      </c>
      <c r="V3455" s="33">
        <f>Data!P3469</f>
        <v>0</v>
      </c>
    </row>
    <row r="3456" spans="7:22" x14ac:dyDescent="0.25">
      <c r="G3456">
        <f>Data!B3468</f>
        <v>0</v>
      </c>
      <c r="H3456" s="21">
        <f>Data!B3468</f>
        <v>0</v>
      </c>
      <c r="I3456" s="21">
        <f>Data!C3468</f>
        <v>0</v>
      </c>
      <c r="J3456">
        <f>Data!D3468</f>
        <v>0</v>
      </c>
      <c r="K3456">
        <f>Data!E3468</f>
        <v>0</v>
      </c>
      <c r="L3456">
        <f>Data!F3468</f>
        <v>0</v>
      </c>
      <c r="M3456">
        <f>Data!G3468</f>
        <v>0</v>
      </c>
      <c r="N3456">
        <f>Data!H3468</f>
        <v>0</v>
      </c>
      <c r="O3456">
        <f>Data!I3468</f>
        <v>0</v>
      </c>
      <c r="P3456" s="21">
        <f>Data!J3472</f>
        <v>0</v>
      </c>
      <c r="Q3456">
        <f>Data!K3472</f>
        <v>0</v>
      </c>
      <c r="R3456">
        <f>Data!L3472</f>
        <v>0</v>
      </c>
      <c r="S3456">
        <f>Data!M3472</f>
        <v>0</v>
      </c>
      <c r="T3456">
        <f>Data!N3472</f>
        <v>0</v>
      </c>
      <c r="U3456">
        <f>Data!O3472</f>
        <v>0</v>
      </c>
      <c r="V3456" s="33">
        <f>Data!P3470</f>
        <v>0</v>
      </c>
    </row>
    <row r="3457" spans="7:22" x14ac:dyDescent="0.25">
      <c r="G3457">
        <f>Data!B3469</f>
        <v>0</v>
      </c>
      <c r="H3457" s="21">
        <f>Data!B3469</f>
        <v>0</v>
      </c>
      <c r="I3457" s="21">
        <f>Data!C3469</f>
        <v>0</v>
      </c>
      <c r="J3457">
        <f>Data!D3469</f>
        <v>0</v>
      </c>
      <c r="K3457">
        <f>Data!E3469</f>
        <v>0</v>
      </c>
      <c r="L3457">
        <f>Data!F3469</f>
        <v>0</v>
      </c>
      <c r="M3457">
        <f>Data!G3469</f>
        <v>0</v>
      </c>
      <c r="N3457">
        <f>Data!H3469</f>
        <v>0</v>
      </c>
      <c r="O3457">
        <f>Data!I3469</f>
        <v>0</v>
      </c>
      <c r="P3457" s="21">
        <f>Data!J3473</f>
        <v>0</v>
      </c>
      <c r="Q3457">
        <f>Data!K3473</f>
        <v>0</v>
      </c>
      <c r="R3457">
        <f>Data!L3473</f>
        <v>0</v>
      </c>
      <c r="S3457">
        <f>Data!M3473</f>
        <v>0</v>
      </c>
      <c r="T3457">
        <f>Data!N3473</f>
        <v>0</v>
      </c>
      <c r="U3457">
        <f>Data!O3473</f>
        <v>0</v>
      </c>
      <c r="V3457" s="33">
        <f>Data!P3471</f>
        <v>0</v>
      </c>
    </row>
    <row r="3458" spans="7:22" x14ac:dyDescent="0.25">
      <c r="G3458">
        <f>Data!B3470</f>
        <v>0</v>
      </c>
      <c r="H3458" s="21">
        <f>Data!B3470</f>
        <v>0</v>
      </c>
      <c r="I3458" s="21">
        <f>Data!C3470</f>
        <v>0</v>
      </c>
      <c r="J3458">
        <f>Data!D3470</f>
        <v>0</v>
      </c>
      <c r="K3458">
        <f>Data!E3470</f>
        <v>0</v>
      </c>
      <c r="L3458">
        <f>Data!F3470</f>
        <v>0</v>
      </c>
      <c r="M3458">
        <f>Data!G3470</f>
        <v>0</v>
      </c>
      <c r="N3458">
        <f>Data!H3470</f>
        <v>0</v>
      </c>
      <c r="O3458">
        <f>Data!I3470</f>
        <v>0</v>
      </c>
      <c r="P3458" s="21">
        <f>Data!J3474</f>
        <v>0</v>
      </c>
      <c r="Q3458">
        <f>Data!K3474</f>
        <v>0</v>
      </c>
      <c r="R3458">
        <f>Data!L3474</f>
        <v>0</v>
      </c>
      <c r="S3458">
        <f>Data!M3474</f>
        <v>0</v>
      </c>
      <c r="T3458">
        <f>Data!N3474</f>
        <v>0</v>
      </c>
      <c r="U3458">
        <f>Data!O3474</f>
        <v>0</v>
      </c>
      <c r="V3458" s="33">
        <f>Data!P3472</f>
        <v>0</v>
      </c>
    </row>
    <row r="3459" spans="7:22" x14ac:dyDescent="0.25">
      <c r="G3459">
        <f>Data!B3471</f>
        <v>0</v>
      </c>
      <c r="H3459" s="21">
        <f>Data!B3471</f>
        <v>0</v>
      </c>
      <c r="I3459" s="21">
        <f>Data!C3471</f>
        <v>0</v>
      </c>
      <c r="J3459">
        <f>Data!D3471</f>
        <v>0</v>
      </c>
      <c r="K3459">
        <f>Data!E3471</f>
        <v>0</v>
      </c>
      <c r="L3459">
        <f>Data!F3471</f>
        <v>0</v>
      </c>
      <c r="M3459">
        <f>Data!G3471</f>
        <v>0</v>
      </c>
      <c r="N3459">
        <f>Data!H3471</f>
        <v>0</v>
      </c>
      <c r="O3459">
        <f>Data!I3471</f>
        <v>0</v>
      </c>
      <c r="P3459" s="21">
        <f>Data!J3475</f>
        <v>0</v>
      </c>
      <c r="Q3459">
        <f>Data!K3475</f>
        <v>0</v>
      </c>
      <c r="R3459">
        <f>Data!L3475</f>
        <v>0</v>
      </c>
      <c r="S3459">
        <f>Data!M3475</f>
        <v>0</v>
      </c>
      <c r="T3459">
        <f>Data!N3475</f>
        <v>0</v>
      </c>
      <c r="U3459">
        <f>Data!O3475</f>
        <v>0</v>
      </c>
      <c r="V3459" s="33">
        <f>Data!P3473</f>
        <v>0</v>
      </c>
    </row>
    <row r="3460" spans="7:22" x14ac:dyDescent="0.25">
      <c r="G3460">
        <f>Data!B3472</f>
        <v>0</v>
      </c>
      <c r="H3460" s="21">
        <f>Data!B3472</f>
        <v>0</v>
      </c>
      <c r="I3460" s="21">
        <f>Data!C3472</f>
        <v>0</v>
      </c>
      <c r="J3460">
        <f>Data!D3472</f>
        <v>0</v>
      </c>
      <c r="K3460">
        <f>Data!E3472</f>
        <v>0</v>
      </c>
      <c r="L3460">
        <f>Data!F3472</f>
        <v>0</v>
      </c>
      <c r="M3460">
        <f>Data!G3472</f>
        <v>0</v>
      </c>
      <c r="N3460">
        <f>Data!H3472</f>
        <v>0</v>
      </c>
      <c r="O3460">
        <f>Data!I3472</f>
        <v>0</v>
      </c>
      <c r="P3460" s="21">
        <f>Data!J3476</f>
        <v>0</v>
      </c>
      <c r="Q3460">
        <f>Data!K3476</f>
        <v>0</v>
      </c>
      <c r="R3460">
        <f>Data!L3476</f>
        <v>0</v>
      </c>
      <c r="S3460">
        <f>Data!M3476</f>
        <v>0</v>
      </c>
      <c r="T3460">
        <f>Data!N3476</f>
        <v>0</v>
      </c>
      <c r="U3460">
        <f>Data!O3476</f>
        <v>0</v>
      </c>
      <c r="V3460" s="33">
        <f>Data!P3474</f>
        <v>0</v>
      </c>
    </row>
    <row r="3461" spans="7:22" x14ac:dyDescent="0.25">
      <c r="G3461">
        <f>Data!B3473</f>
        <v>0</v>
      </c>
      <c r="H3461" s="21">
        <f>Data!B3473</f>
        <v>0</v>
      </c>
      <c r="I3461" s="21">
        <f>Data!C3473</f>
        <v>0</v>
      </c>
      <c r="J3461">
        <f>Data!D3473</f>
        <v>0</v>
      </c>
      <c r="K3461">
        <f>Data!E3473</f>
        <v>0</v>
      </c>
      <c r="L3461">
        <f>Data!F3473</f>
        <v>0</v>
      </c>
      <c r="M3461">
        <f>Data!G3473</f>
        <v>0</v>
      </c>
      <c r="N3461">
        <f>Data!H3473</f>
        <v>0</v>
      </c>
      <c r="O3461">
        <f>Data!I3473</f>
        <v>0</v>
      </c>
      <c r="P3461" s="21">
        <f>Data!J3477</f>
        <v>0</v>
      </c>
      <c r="Q3461">
        <f>Data!K3477</f>
        <v>0</v>
      </c>
      <c r="R3461">
        <f>Data!L3477</f>
        <v>0</v>
      </c>
      <c r="S3461">
        <f>Data!M3477</f>
        <v>0</v>
      </c>
      <c r="T3461">
        <f>Data!N3477</f>
        <v>0</v>
      </c>
      <c r="U3461">
        <f>Data!O3477</f>
        <v>0</v>
      </c>
      <c r="V3461" s="33">
        <f>Data!P3475</f>
        <v>0</v>
      </c>
    </row>
    <row r="3462" spans="7:22" x14ac:dyDescent="0.25">
      <c r="G3462">
        <f>Data!B3474</f>
        <v>0</v>
      </c>
      <c r="H3462" s="21">
        <f>Data!B3474</f>
        <v>0</v>
      </c>
      <c r="I3462" s="21">
        <f>Data!C3474</f>
        <v>0</v>
      </c>
      <c r="J3462">
        <f>Data!D3474</f>
        <v>0</v>
      </c>
      <c r="K3462">
        <f>Data!E3474</f>
        <v>0</v>
      </c>
      <c r="L3462">
        <f>Data!F3474</f>
        <v>0</v>
      </c>
      <c r="M3462">
        <f>Data!G3474</f>
        <v>0</v>
      </c>
      <c r="N3462">
        <f>Data!H3474</f>
        <v>0</v>
      </c>
      <c r="O3462">
        <f>Data!I3474</f>
        <v>0</v>
      </c>
      <c r="P3462" s="21">
        <f>Data!J3478</f>
        <v>0</v>
      </c>
      <c r="Q3462">
        <f>Data!K3478</f>
        <v>0</v>
      </c>
      <c r="R3462">
        <f>Data!L3478</f>
        <v>0</v>
      </c>
      <c r="S3462">
        <f>Data!M3478</f>
        <v>0</v>
      </c>
      <c r="T3462">
        <f>Data!N3478</f>
        <v>0</v>
      </c>
      <c r="U3462">
        <f>Data!O3478</f>
        <v>0</v>
      </c>
      <c r="V3462" s="33">
        <f>Data!P3476</f>
        <v>0</v>
      </c>
    </row>
    <row r="3463" spans="7:22" x14ac:dyDescent="0.25">
      <c r="G3463">
        <f>Data!B3475</f>
        <v>0</v>
      </c>
      <c r="H3463" s="21">
        <f>Data!B3475</f>
        <v>0</v>
      </c>
      <c r="I3463" s="21">
        <f>Data!C3475</f>
        <v>0</v>
      </c>
      <c r="J3463">
        <f>Data!D3475</f>
        <v>0</v>
      </c>
      <c r="K3463">
        <f>Data!E3475</f>
        <v>0</v>
      </c>
      <c r="L3463">
        <f>Data!F3475</f>
        <v>0</v>
      </c>
      <c r="M3463">
        <f>Data!G3475</f>
        <v>0</v>
      </c>
      <c r="N3463">
        <f>Data!H3475</f>
        <v>0</v>
      </c>
      <c r="O3463">
        <f>Data!I3475</f>
        <v>0</v>
      </c>
      <c r="P3463" s="21">
        <f>Data!J3479</f>
        <v>0</v>
      </c>
      <c r="Q3463">
        <f>Data!K3479</f>
        <v>0</v>
      </c>
      <c r="R3463">
        <f>Data!L3479</f>
        <v>0</v>
      </c>
      <c r="S3463">
        <f>Data!M3479</f>
        <v>0</v>
      </c>
      <c r="T3463">
        <f>Data!N3479</f>
        <v>0</v>
      </c>
      <c r="U3463">
        <f>Data!O3479</f>
        <v>0</v>
      </c>
      <c r="V3463" s="33">
        <f>Data!P3477</f>
        <v>0</v>
      </c>
    </row>
    <row r="3464" spans="7:22" x14ac:dyDescent="0.25">
      <c r="G3464">
        <f>Data!B3476</f>
        <v>0</v>
      </c>
      <c r="H3464" s="21">
        <f>Data!B3476</f>
        <v>0</v>
      </c>
      <c r="I3464" s="21">
        <f>Data!C3476</f>
        <v>0</v>
      </c>
      <c r="J3464">
        <f>Data!D3476</f>
        <v>0</v>
      </c>
      <c r="K3464">
        <f>Data!E3476</f>
        <v>0</v>
      </c>
      <c r="L3464">
        <f>Data!F3476</f>
        <v>0</v>
      </c>
      <c r="M3464">
        <f>Data!G3476</f>
        <v>0</v>
      </c>
      <c r="N3464">
        <f>Data!H3476</f>
        <v>0</v>
      </c>
      <c r="O3464">
        <f>Data!I3476</f>
        <v>0</v>
      </c>
      <c r="P3464" s="21">
        <f>Data!J3480</f>
        <v>0</v>
      </c>
      <c r="Q3464">
        <f>Data!K3480</f>
        <v>0</v>
      </c>
      <c r="R3464">
        <f>Data!L3480</f>
        <v>0</v>
      </c>
      <c r="S3464">
        <f>Data!M3480</f>
        <v>0</v>
      </c>
      <c r="T3464">
        <f>Data!N3480</f>
        <v>0</v>
      </c>
      <c r="U3464">
        <f>Data!O3480</f>
        <v>0</v>
      </c>
      <c r="V3464" s="33">
        <f>Data!P3478</f>
        <v>0</v>
      </c>
    </row>
    <row r="3465" spans="7:22" x14ac:dyDescent="0.25">
      <c r="G3465">
        <f>Data!B3477</f>
        <v>0</v>
      </c>
      <c r="H3465" s="21">
        <f>Data!B3477</f>
        <v>0</v>
      </c>
      <c r="I3465" s="21">
        <f>Data!C3477</f>
        <v>0</v>
      </c>
      <c r="J3465">
        <f>Data!D3477</f>
        <v>0</v>
      </c>
      <c r="K3465">
        <f>Data!E3477</f>
        <v>0</v>
      </c>
      <c r="L3465">
        <f>Data!F3477</f>
        <v>0</v>
      </c>
      <c r="M3465">
        <f>Data!G3477</f>
        <v>0</v>
      </c>
      <c r="N3465">
        <f>Data!H3477</f>
        <v>0</v>
      </c>
      <c r="O3465">
        <f>Data!I3477</f>
        <v>0</v>
      </c>
      <c r="P3465" s="21">
        <f>Data!J3481</f>
        <v>0</v>
      </c>
      <c r="Q3465">
        <f>Data!K3481</f>
        <v>0</v>
      </c>
      <c r="R3465">
        <f>Data!L3481</f>
        <v>0</v>
      </c>
      <c r="S3465">
        <f>Data!M3481</f>
        <v>0</v>
      </c>
      <c r="T3465">
        <f>Data!N3481</f>
        <v>0</v>
      </c>
      <c r="U3465">
        <f>Data!O3481</f>
        <v>0</v>
      </c>
      <c r="V3465" s="33">
        <f>Data!P3479</f>
        <v>0</v>
      </c>
    </row>
    <row r="3466" spans="7:22" x14ac:dyDescent="0.25">
      <c r="G3466">
        <f>Data!B3478</f>
        <v>0</v>
      </c>
      <c r="H3466" s="21">
        <f>Data!B3478</f>
        <v>0</v>
      </c>
      <c r="I3466" s="21">
        <f>Data!C3478</f>
        <v>0</v>
      </c>
      <c r="J3466">
        <f>Data!D3478</f>
        <v>0</v>
      </c>
      <c r="K3466">
        <f>Data!E3478</f>
        <v>0</v>
      </c>
      <c r="L3466">
        <f>Data!F3478</f>
        <v>0</v>
      </c>
      <c r="M3466">
        <f>Data!G3478</f>
        <v>0</v>
      </c>
      <c r="N3466">
        <f>Data!H3478</f>
        <v>0</v>
      </c>
      <c r="O3466">
        <f>Data!I3478</f>
        <v>0</v>
      </c>
      <c r="P3466" s="21">
        <f>Data!J3482</f>
        <v>0</v>
      </c>
      <c r="Q3466">
        <f>Data!K3482</f>
        <v>0</v>
      </c>
      <c r="R3466">
        <f>Data!L3482</f>
        <v>0</v>
      </c>
      <c r="S3466">
        <f>Data!M3482</f>
        <v>0</v>
      </c>
      <c r="T3466">
        <f>Data!N3482</f>
        <v>0</v>
      </c>
      <c r="U3466">
        <f>Data!O3482</f>
        <v>0</v>
      </c>
      <c r="V3466" s="33">
        <f>Data!P3480</f>
        <v>0</v>
      </c>
    </row>
    <row r="3467" spans="7:22" x14ac:dyDescent="0.25">
      <c r="G3467">
        <f>Data!B3479</f>
        <v>0</v>
      </c>
      <c r="H3467" s="21">
        <f>Data!B3479</f>
        <v>0</v>
      </c>
      <c r="I3467" s="21">
        <f>Data!C3479</f>
        <v>0</v>
      </c>
      <c r="J3467">
        <f>Data!D3479</f>
        <v>0</v>
      </c>
      <c r="K3467">
        <f>Data!E3479</f>
        <v>0</v>
      </c>
      <c r="L3467">
        <f>Data!F3479</f>
        <v>0</v>
      </c>
      <c r="M3467">
        <f>Data!G3479</f>
        <v>0</v>
      </c>
      <c r="N3467">
        <f>Data!H3479</f>
        <v>0</v>
      </c>
      <c r="O3467">
        <f>Data!I3479</f>
        <v>0</v>
      </c>
      <c r="P3467" s="21">
        <f>Data!J3483</f>
        <v>0</v>
      </c>
      <c r="Q3467">
        <f>Data!K3483</f>
        <v>0</v>
      </c>
      <c r="R3467">
        <f>Data!L3483</f>
        <v>0</v>
      </c>
      <c r="S3467">
        <f>Data!M3483</f>
        <v>0</v>
      </c>
      <c r="T3467">
        <f>Data!N3483</f>
        <v>0</v>
      </c>
      <c r="U3467">
        <f>Data!O3483</f>
        <v>0</v>
      </c>
      <c r="V3467" s="33">
        <f>Data!P3481</f>
        <v>0</v>
      </c>
    </row>
    <row r="3468" spans="7:22" x14ac:dyDescent="0.25">
      <c r="G3468">
        <f>Data!B3480</f>
        <v>0</v>
      </c>
      <c r="H3468" s="21">
        <f>Data!B3480</f>
        <v>0</v>
      </c>
      <c r="I3468" s="21">
        <f>Data!C3480</f>
        <v>0</v>
      </c>
      <c r="J3468">
        <f>Data!D3480</f>
        <v>0</v>
      </c>
      <c r="K3468">
        <f>Data!E3480</f>
        <v>0</v>
      </c>
      <c r="L3468">
        <f>Data!F3480</f>
        <v>0</v>
      </c>
      <c r="M3468">
        <f>Data!G3480</f>
        <v>0</v>
      </c>
      <c r="N3468">
        <f>Data!H3480</f>
        <v>0</v>
      </c>
      <c r="O3468">
        <f>Data!I3480</f>
        <v>0</v>
      </c>
      <c r="P3468" s="21">
        <f>Data!J3484</f>
        <v>0</v>
      </c>
      <c r="Q3468">
        <f>Data!K3484</f>
        <v>0</v>
      </c>
      <c r="R3468">
        <f>Data!L3484</f>
        <v>0</v>
      </c>
      <c r="S3468">
        <f>Data!M3484</f>
        <v>0</v>
      </c>
      <c r="T3468">
        <f>Data!N3484</f>
        <v>0</v>
      </c>
      <c r="U3468">
        <f>Data!O3484</f>
        <v>0</v>
      </c>
      <c r="V3468" s="33">
        <f>Data!P3482</f>
        <v>0</v>
      </c>
    </row>
    <row r="3469" spans="7:22" x14ac:dyDescent="0.25">
      <c r="G3469">
        <f>Data!B3481</f>
        <v>0</v>
      </c>
      <c r="H3469" s="21">
        <f>Data!B3481</f>
        <v>0</v>
      </c>
      <c r="I3469" s="21">
        <f>Data!C3481</f>
        <v>0</v>
      </c>
      <c r="J3469">
        <f>Data!D3481</f>
        <v>0</v>
      </c>
      <c r="K3469">
        <f>Data!E3481</f>
        <v>0</v>
      </c>
      <c r="L3469">
        <f>Data!F3481</f>
        <v>0</v>
      </c>
      <c r="M3469">
        <f>Data!G3481</f>
        <v>0</v>
      </c>
      <c r="N3469">
        <f>Data!H3481</f>
        <v>0</v>
      </c>
      <c r="O3469">
        <f>Data!I3481</f>
        <v>0</v>
      </c>
      <c r="P3469" s="21">
        <f>Data!J3485</f>
        <v>0</v>
      </c>
      <c r="Q3469">
        <f>Data!K3485</f>
        <v>0</v>
      </c>
      <c r="R3469">
        <f>Data!L3485</f>
        <v>0</v>
      </c>
      <c r="S3469">
        <f>Data!M3485</f>
        <v>0</v>
      </c>
      <c r="T3469">
        <f>Data!N3485</f>
        <v>0</v>
      </c>
      <c r="U3469">
        <f>Data!O3485</f>
        <v>0</v>
      </c>
      <c r="V3469" s="33">
        <f>Data!P3483</f>
        <v>0</v>
      </c>
    </row>
    <row r="3470" spans="7:22" x14ac:dyDescent="0.25">
      <c r="G3470">
        <f>Data!B3482</f>
        <v>0</v>
      </c>
      <c r="H3470" s="21">
        <f>Data!B3482</f>
        <v>0</v>
      </c>
      <c r="I3470" s="21">
        <f>Data!C3482</f>
        <v>0</v>
      </c>
      <c r="J3470">
        <f>Data!D3482</f>
        <v>0</v>
      </c>
      <c r="K3470">
        <f>Data!E3482</f>
        <v>0</v>
      </c>
      <c r="L3470">
        <f>Data!F3482</f>
        <v>0</v>
      </c>
      <c r="M3470">
        <f>Data!G3482</f>
        <v>0</v>
      </c>
      <c r="N3470">
        <f>Data!H3482</f>
        <v>0</v>
      </c>
      <c r="O3470">
        <f>Data!I3482</f>
        <v>0</v>
      </c>
      <c r="P3470" s="21">
        <f>Data!J3486</f>
        <v>0</v>
      </c>
      <c r="Q3470">
        <f>Data!K3486</f>
        <v>0</v>
      </c>
      <c r="R3470">
        <f>Data!L3486</f>
        <v>0</v>
      </c>
      <c r="S3470">
        <f>Data!M3486</f>
        <v>0</v>
      </c>
      <c r="T3470">
        <f>Data!N3486</f>
        <v>0</v>
      </c>
      <c r="U3470">
        <f>Data!O3486</f>
        <v>0</v>
      </c>
      <c r="V3470" s="33">
        <f>Data!P3484</f>
        <v>0</v>
      </c>
    </row>
    <row r="3471" spans="7:22" x14ac:dyDescent="0.25">
      <c r="G3471">
        <f>Data!B3483</f>
        <v>0</v>
      </c>
      <c r="H3471" s="21">
        <f>Data!B3483</f>
        <v>0</v>
      </c>
      <c r="I3471" s="21">
        <f>Data!C3483</f>
        <v>0</v>
      </c>
      <c r="J3471">
        <f>Data!D3483</f>
        <v>0</v>
      </c>
      <c r="K3471">
        <f>Data!E3483</f>
        <v>0</v>
      </c>
      <c r="L3471">
        <f>Data!F3483</f>
        <v>0</v>
      </c>
      <c r="M3471">
        <f>Data!G3483</f>
        <v>0</v>
      </c>
      <c r="N3471">
        <f>Data!H3483</f>
        <v>0</v>
      </c>
      <c r="O3471">
        <f>Data!I3483</f>
        <v>0</v>
      </c>
      <c r="P3471" s="21">
        <f>Data!J3487</f>
        <v>0</v>
      </c>
      <c r="Q3471">
        <f>Data!K3487</f>
        <v>0</v>
      </c>
      <c r="R3471">
        <f>Data!L3487</f>
        <v>0</v>
      </c>
      <c r="S3471">
        <f>Data!M3487</f>
        <v>0</v>
      </c>
      <c r="T3471">
        <f>Data!N3487</f>
        <v>0</v>
      </c>
      <c r="U3471">
        <f>Data!O3487</f>
        <v>0</v>
      </c>
      <c r="V3471" s="33">
        <f>Data!P3485</f>
        <v>0</v>
      </c>
    </row>
    <row r="3472" spans="7:22" x14ac:dyDescent="0.25">
      <c r="G3472">
        <f>Data!B3484</f>
        <v>0</v>
      </c>
      <c r="H3472" s="21">
        <f>Data!B3484</f>
        <v>0</v>
      </c>
      <c r="I3472" s="21">
        <f>Data!C3484</f>
        <v>0</v>
      </c>
      <c r="J3472">
        <f>Data!D3484</f>
        <v>0</v>
      </c>
      <c r="K3472">
        <f>Data!E3484</f>
        <v>0</v>
      </c>
      <c r="L3472">
        <f>Data!F3484</f>
        <v>0</v>
      </c>
      <c r="M3472">
        <f>Data!G3484</f>
        <v>0</v>
      </c>
      <c r="N3472">
        <f>Data!H3484</f>
        <v>0</v>
      </c>
      <c r="O3472">
        <f>Data!I3484</f>
        <v>0</v>
      </c>
      <c r="P3472" s="21">
        <f>Data!J3488</f>
        <v>0</v>
      </c>
      <c r="Q3472">
        <f>Data!K3488</f>
        <v>0</v>
      </c>
      <c r="R3472">
        <f>Data!L3488</f>
        <v>0</v>
      </c>
      <c r="S3472">
        <f>Data!M3488</f>
        <v>0</v>
      </c>
      <c r="T3472">
        <f>Data!N3488</f>
        <v>0</v>
      </c>
      <c r="U3472">
        <f>Data!O3488</f>
        <v>0</v>
      </c>
      <c r="V3472" s="33">
        <f>Data!P3486</f>
        <v>0</v>
      </c>
    </row>
    <row r="3473" spans="7:22" x14ac:dyDescent="0.25">
      <c r="G3473">
        <f>Data!B3485</f>
        <v>0</v>
      </c>
      <c r="H3473" s="21">
        <f>Data!B3485</f>
        <v>0</v>
      </c>
      <c r="I3473" s="21">
        <f>Data!C3485</f>
        <v>0</v>
      </c>
      <c r="J3473">
        <f>Data!D3485</f>
        <v>0</v>
      </c>
      <c r="K3473">
        <f>Data!E3485</f>
        <v>0</v>
      </c>
      <c r="L3473">
        <f>Data!F3485</f>
        <v>0</v>
      </c>
      <c r="M3473">
        <f>Data!G3485</f>
        <v>0</v>
      </c>
      <c r="N3473">
        <f>Data!H3485</f>
        <v>0</v>
      </c>
      <c r="O3473">
        <f>Data!I3485</f>
        <v>0</v>
      </c>
      <c r="P3473" s="21">
        <f>Data!J3489</f>
        <v>0</v>
      </c>
      <c r="Q3473">
        <f>Data!K3489</f>
        <v>0</v>
      </c>
      <c r="R3473">
        <f>Data!L3489</f>
        <v>0</v>
      </c>
      <c r="S3473">
        <f>Data!M3489</f>
        <v>0</v>
      </c>
      <c r="T3473">
        <f>Data!N3489</f>
        <v>0</v>
      </c>
      <c r="U3473">
        <f>Data!O3489</f>
        <v>0</v>
      </c>
      <c r="V3473" s="33">
        <f>Data!P3487</f>
        <v>0</v>
      </c>
    </row>
    <row r="3474" spans="7:22" x14ac:dyDescent="0.25">
      <c r="G3474">
        <f>Data!B3486</f>
        <v>0</v>
      </c>
      <c r="H3474" s="21">
        <f>Data!B3486</f>
        <v>0</v>
      </c>
      <c r="I3474" s="21">
        <f>Data!C3486</f>
        <v>0</v>
      </c>
      <c r="J3474">
        <f>Data!D3486</f>
        <v>0</v>
      </c>
      <c r="K3474">
        <f>Data!E3486</f>
        <v>0</v>
      </c>
      <c r="L3474">
        <f>Data!F3486</f>
        <v>0</v>
      </c>
      <c r="M3474">
        <f>Data!G3486</f>
        <v>0</v>
      </c>
      <c r="N3474">
        <f>Data!H3486</f>
        <v>0</v>
      </c>
      <c r="O3474">
        <f>Data!I3486</f>
        <v>0</v>
      </c>
      <c r="P3474" s="21">
        <f>Data!J3490</f>
        <v>0</v>
      </c>
      <c r="Q3474">
        <f>Data!K3490</f>
        <v>0</v>
      </c>
      <c r="R3474">
        <f>Data!L3490</f>
        <v>0</v>
      </c>
      <c r="S3474">
        <f>Data!M3490</f>
        <v>0</v>
      </c>
      <c r="T3474">
        <f>Data!N3490</f>
        <v>0</v>
      </c>
      <c r="U3474">
        <f>Data!O3490</f>
        <v>0</v>
      </c>
      <c r="V3474" s="33">
        <f>Data!P3488</f>
        <v>0</v>
      </c>
    </row>
    <row r="3475" spans="7:22" x14ac:dyDescent="0.25">
      <c r="G3475">
        <f>Data!B3487</f>
        <v>0</v>
      </c>
      <c r="H3475" s="21">
        <f>Data!B3487</f>
        <v>0</v>
      </c>
      <c r="I3475" s="21">
        <f>Data!C3487</f>
        <v>0</v>
      </c>
      <c r="J3475">
        <f>Data!D3487</f>
        <v>0</v>
      </c>
      <c r="K3475">
        <f>Data!E3487</f>
        <v>0</v>
      </c>
      <c r="L3475">
        <f>Data!F3487</f>
        <v>0</v>
      </c>
      <c r="M3475">
        <f>Data!G3487</f>
        <v>0</v>
      </c>
      <c r="N3475">
        <f>Data!H3487</f>
        <v>0</v>
      </c>
      <c r="O3475">
        <f>Data!I3487</f>
        <v>0</v>
      </c>
      <c r="P3475" s="21">
        <f>Data!J3491</f>
        <v>0</v>
      </c>
      <c r="Q3475">
        <f>Data!K3491</f>
        <v>0</v>
      </c>
      <c r="R3475">
        <f>Data!L3491</f>
        <v>0</v>
      </c>
      <c r="S3475">
        <f>Data!M3491</f>
        <v>0</v>
      </c>
      <c r="T3475">
        <f>Data!N3491</f>
        <v>0</v>
      </c>
      <c r="U3475">
        <f>Data!O3491</f>
        <v>0</v>
      </c>
      <c r="V3475" s="33">
        <f>Data!P3489</f>
        <v>0</v>
      </c>
    </row>
    <row r="3476" spans="7:22" x14ac:dyDescent="0.25">
      <c r="G3476">
        <f>Data!B3488</f>
        <v>0</v>
      </c>
      <c r="H3476" s="21">
        <f>Data!B3488</f>
        <v>0</v>
      </c>
      <c r="I3476" s="21">
        <f>Data!C3488</f>
        <v>0</v>
      </c>
      <c r="J3476">
        <f>Data!D3488</f>
        <v>0</v>
      </c>
      <c r="K3476">
        <f>Data!E3488</f>
        <v>0</v>
      </c>
      <c r="L3476">
        <f>Data!F3488</f>
        <v>0</v>
      </c>
      <c r="M3476">
        <f>Data!G3488</f>
        <v>0</v>
      </c>
      <c r="N3476">
        <f>Data!H3488</f>
        <v>0</v>
      </c>
      <c r="O3476">
        <f>Data!I3488</f>
        <v>0</v>
      </c>
      <c r="P3476" s="21">
        <f>Data!J3492</f>
        <v>0</v>
      </c>
      <c r="Q3476">
        <f>Data!K3492</f>
        <v>0</v>
      </c>
      <c r="R3476">
        <f>Data!L3492</f>
        <v>0</v>
      </c>
      <c r="S3476">
        <f>Data!M3492</f>
        <v>0</v>
      </c>
      <c r="T3476">
        <f>Data!N3492</f>
        <v>0</v>
      </c>
      <c r="U3476">
        <f>Data!O3492</f>
        <v>0</v>
      </c>
      <c r="V3476" s="33">
        <f>Data!P3490</f>
        <v>0</v>
      </c>
    </row>
    <row r="3477" spans="7:22" x14ac:dyDescent="0.25">
      <c r="G3477">
        <f>Data!B3489</f>
        <v>0</v>
      </c>
      <c r="H3477" s="21">
        <f>Data!B3489</f>
        <v>0</v>
      </c>
      <c r="I3477" s="21">
        <f>Data!C3489</f>
        <v>0</v>
      </c>
      <c r="J3477">
        <f>Data!D3489</f>
        <v>0</v>
      </c>
      <c r="K3477">
        <f>Data!E3489</f>
        <v>0</v>
      </c>
      <c r="L3477">
        <f>Data!F3489</f>
        <v>0</v>
      </c>
      <c r="M3477">
        <f>Data!G3489</f>
        <v>0</v>
      </c>
      <c r="N3477">
        <f>Data!H3489</f>
        <v>0</v>
      </c>
      <c r="O3477">
        <f>Data!I3489</f>
        <v>0</v>
      </c>
      <c r="P3477" s="21">
        <f>Data!J3493</f>
        <v>0</v>
      </c>
      <c r="Q3477">
        <f>Data!K3493</f>
        <v>0</v>
      </c>
      <c r="R3477">
        <f>Data!L3493</f>
        <v>0</v>
      </c>
      <c r="S3477">
        <f>Data!M3493</f>
        <v>0</v>
      </c>
      <c r="T3477">
        <f>Data!N3493</f>
        <v>0</v>
      </c>
      <c r="U3477">
        <f>Data!O3493</f>
        <v>0</v>
      </c>
      <c r="V3477" s="33">
        <f>Data!P3491</f>
        <v>0</v>
      </c>
    </row>
    <row r="3478" spans="7:22" x14ac:dyDescent="0.25">
      <c r="G3478">
        <f>Data!B3490</f>
        <v>0</v>
      </c>
      <c r="H3478" s="21">
        <f>Data!B3490</f>
        <v>0</v>
      </c>
      <c r="I3478" s="21">
        <f>Data!C3490</f>
        <v>0</v>
      </c>
      <c r="J3478">
        <f>Data!D3490</f>
        <v>0</v>
      </c>
      <c r="K3478">
        <f>Data!E3490</f>
        <v>0</v>
      </c>
      <c r="L3478">
        <f>Data!F3490</f>
        <v>0</v>
      </c>
      <c r="M3478">
        <f>Data!G3490</f>
        <v>0</v>
      </c>
      <c r="N3478">
        <f>Data!H3490</f>
        <v>0</v>
      </c>
      <c r="O3478">
        <f>Data!I3490</f>
        <v>0</v>
      </c>
      <c r="P3478" s="21">
        <f>Data!J3494</f>
        <v>0</v>
      </c>
      <c r="Q3478">
        <f>Data!K3494</f>
        <v>0</v>
      </c>
      <c r="R3478">
        <f>Data!L3494</f>
        <v>0</v>
      </c>
      <c r="S3478">
        <f>Data!M3494</f>
        <v>0</v>
      </c>
      <c r="T3478">
        <f>Data!N3494</f>
        <v>0</v>
      </c>
      <c r="U3478">
        <f>Data!O3494</f>
        <v>0</v>
      </c>
      <c r="V3478" s="33">
        <f>Data!P3492</f>
        <v>0</v>
      </c>
    </row>
    <row r="3479" spans="7:22" x14ac:dyDescent="0.25">
      <c r="G3479">
        <f>Data!B3491</f>
        <v>0</v>
      </c>
      <c r="H3479" s="21">
        <f>Data!B3491</f>
        <v>0</v>
      </c>
      <c r="I3479" s="21">
        <f>Data!C3491</f>
        <v>0</v>
      </c>
      <c r="J3479">
        <f>Data!D3491</f>
        <v>0</v>
      </c>
      <c r="K3479">
        <f>Data!E3491</f>
        <v>0</v>
      </c>
      <c r="L3479">
        <f>Data!F3491</f>
        <v>0</v>
      </c>
      <c r="M3479">
        <f>Data!G3491</f>
        <v>0</v>
      </c>
      <c r="N3479">
        <f>Data!H3491</f>
        <v>0</v>
      </c>
      <c r="O3479">
        <f>Data!I3491</f>
        <v>0</v>
      </c>
      <c r="P3479" s="21">
        <f>Data!J3495</f>
        <v>0</v>
      </c>
      <c r="Q3479">
        <f>Data!K3495</f>
        <v>0</v>
      </c>
      <c r="R3479">
        <f>Data!L3495</f>
        <v>0</v>
      </c>
      <c r="S3479">
        <f>Data!M3495</f>
        <v>0</v>
      </c>
      <c r="T3479">
        <f>Data!N3495</f>
        <v>0</v>
      </c>
      <c r="U3479">
        <f>Data!O3495</f>
        <v>0</v>
      </c>
      <c r="V3479" s="33">
        <f>Data!P3493</f>
        <v>0</v>
      </c>
    </row>
    <row r="3480" spans="7:22" x14ac:dyDescent="0.25">
      <c r="G3480">
        <f>Data!B3492</f>
        <v>0</v>
      </c>
      <c r="H3480" s="21">
        <f>Data!B3492</f>
        <v>0</v>
      </c>
      <c r="I3480" s="21">
        <f>Data!C3492</f>
        <v>0</v>
      </c>
      <c r="J3480">
        <f>Data!D3492</f>
        <v>0</v>
      </c>
      <c r="K3480">
        <f>Data!E3492</f>
        <v>0</v>
      </c>
      <c r="L3480">
        <f>Data!F3492</f>
        <v>0</v>
      </c>
      <c r="M3480">
        <f>Data!G3492</f>
        <v>0</v>
      </c>
      <c r="N3480">
        <f>Data!H3492</f>
        <v>0</v>
      </c>
      <c r="O3480">
        <f>Data!I3492</f>
        <v>0</v>
      </c>
      <c r="P3480" s="21">
        <f>Data!J3496</f>
        <v>0</v>
      </c>
      <c r="Q3480">
        <f>Data!K3496</f>
        <v>0</v>
      </c>
      <c r="R3480">
        <f>Data!L3496</f>
        <v>0</v>
      </c>
      <c r="S3480">
        <f>Data!M3496</f>
        <v>0</v>
      </c>
      <c r="T3480">
        <f>Data!N3496</f>
        <v>0</v>
      </c>
      <c r="U3480">
        <f>Data!O3496</f>
        <v>0</v>
      </c>
      <c r="V3480" s="33">
        <f>Data!P3494</f>
        <v>0</v>
      </c>
    </row>
    <row r="3481" spans="7:22" x14ac:dyDescent="0.25">
      <c r="G3481">
        <f>Data!B3493</f>
        <v>0</v>
      </c>
      <c r="H3481" s="21">
        <f>Data!B3493</f>
        <v>0</v>
      </c>
      <c r="I3481" s="21">
        <f>Data!C3493</f>
        <v>0</v>
      </c>
      <c r="J3481">
        <f>Data!D3493</f>
        <v>0</v>
      </c>
      <c r="K3481">
        <f>Data!E3493</f>
        <v>0</v>
      </c>
      <c r="L3481">
        <f>Data!F3493</f>
        <v>0</v>
      </c>
      <c r="M3481">
        <f>Data!G3493</f>
        <v>0</v>
      </c>
      <c r="N3481">
        <f>Data!H3493</f>
        <v>0</v>
      </c>
      <c r="O3481">
        <f>Data!I3493</f>
        <v>0</v>
      </c>
      <c r="P3481" s="21">
        <f>Data!J3497</f>
        <v>0</v>
      </c>
      <c r="Q3481">
        <f>Data!K3497</f>
        <v>0</v>
      </c>
      <c r="R3481">
        <f>Data!L3497</f>
        <v>0</v>
      </c>
      <c r="S3481">
        <f>Data!M3497</f>
        <v>0</v>
      </c>
      <c r="T3481">
        <f>Data!N3497</f>
        <v>0</v>
      </c>
      <c r="U3481">
        <f>Data!O3497</f>
        <v>0</v>
      </c>
      <c r="V3481" s="33">
        <f>Data!P3495</f>
        <v>0</v>
      </c>
    </row>
    <row r="3482" spans="7:22" x14ac:dyDescent="0.25">
      <c r="G3482">
        <f>Data!B3494</f>
        <v>0</v>
      </c>
      <c r="H3482" s="21">
        <f>Data!B3494</f>
        <v>0</v>
      </c>
      <c r="I3482" s="21">
        <f>Data!C3494</f>
        <v>0</v>
      </c>
      <c r="J3482">
        <f>Data!D3494</f>
        <v>0</v>
      </c>
      <c r="K3482">
        <f>Data!E3494</f>
        <v>0</v>
      </c>
      <c r="L3482">
        <f>Data!F3494</f>
        <v>0</v>
      </c>
      <c r="M3482">
        <f>Data!G3494</f>
        <v>0</v>
      </c>
      <c r="N3482">
        <f>Data!H3494</f>
        <v>0</v>
      </c>
      <c r="O3482">
        <f>Data!I3494</f>
        <v>0</v>
      </c>
      <c r="P3482" s="21">
        <f>Data!J3498</f>
        <v>0</v>
      </c>
      <c r="Q3482">
        <f>Data!K3498</f>
        <v>0</v>
      </c>
      <c r="R3482">
        <f>Data!L3498</f>
        <v>0</v>
      </c>
      <c r="S3482">
        <f>Data!M3498</f>
        <v>0</v>
      </c>
      <c r="T3482">
        <f>Data!N3498</f>
        <v>0</v>
      </c>
      <c r="U3482">
        <f>Data!O3498</f>
        <v>0</v>
      </c>
      <c r="V3482" s="33">
        <f>Data!P3496</f>
        <v>0</v>
      </c>
    </row>
    <row r="3483" spans="7:22" x14ac:dyDescent="0.25">
      <c r="G3483">
        <f>Data!B3495</f>
        <v>0</v>
      </c>
      <c r="H3483" s="21">
        <f>Data!B3495</f>
        <v>0</v>
      </c>
      <c r="I3483" s="21">
        <f>Data!C3495</f>
        <v>0</v>
      </c>
      <c r="J3483">
        <f>Data!D3495</f>
        <v>0</v>
      </c>
      <c r="K3483">
        <f>Data!E3495</f>
        <v>0</v>
      </c>
      <c r="L3483">
        <f>Data!F3495</f>
        <v>0</v>
      </c>
      <c r="M3483">
        <f>Data!G3495</f>
        <v>0</v>
      </c>
      <c r="N3483">
        <f>Data!H3495</f>
        <v>0</v>
      </c>
      <c r="O3483">
        <f>Data!I3495</f>
        <v>0</v>
      </c>
      <c r="P3483" s="21">
        <f>Data!J3499</f>
        <v>0</v>
      </c>
      <c r="Q3483">
        <f>Data!K3499</f>
        <v>0</v>
      </c>
      <c r="R3483">
        <f>Data!L3499</f>
        <v>0</v>
      </c>
      <c r="S3483">
        <f>Data!M3499</f>
        <v>0</v>
      </c>
      <c r="T3483">
        <f>Data!N3499</f>
        <v>0</v>
      </c>
      <c r="U3483">
        <f>Data!O3499</f>
        <v>0</v>
      </c>
      <c r="V3483" s="33">
        <f>Data!P3497</f>
        <v>0</v>
      </c>
    </row>
    <row r="3484" spans="7:22" x14ac:dyDescent="0.25">
      <c r="G3484">
        <f>Data!B3496</f>
        <v>0</v>
      </c>
      <c r="H3484" s="21">
        <f>Data!B3496</f>
        <v>0</v>
      </c>
      <c r="I3484" s="21">
        <f>Data!C3496</f>
        <v>0</v>
      </c>
      <c r="J3484">
        <f>Data!D3496</f>
        <v>0</v>
      </c>
      <c r="K3484">
        <f>Data!E3496</f>
        <v>0</v>
      </c>
      <c r="L3484">
        <f>Data!F3496</f>
        <v>0</v>
      </c>
      <c r="M3484">
        <f>Data!G3496</f>
        <v>0</v>
      </c>
      <c r="N3484">
        <f>Data!H3496</f>
        <v>0</v>
      </c>
      <c r="O3484">
        <f>Data!I3496</f>
        <v>0</v>
      </c>
      <c r="P3484" s="21">
        <f>Data!J3500</f>
        <v>0</v>
      </c>
      <c r="Q3484">
        <f>Data!K3500</f>
        <v>0</v>
      </c>
      <c r="R3484">
        <f>Data!L3500</f>
        <v>0</v>
      </c>
      <c r="S3484">
        <f>Data!M3500</f>
        <v>0</v>
      </c>
      <c r="T3484">
        <f>Data!N3500</f>
        <v>0</v>
      </c>
      <c r="U3484">
        <f>Data!O3500</f>
        <v>0</v>
      </c>
      <c r="V3484" s="33">
        <f>Data!P3498</f>
        <v>0</v>
      </c>
    </row>
    <row r="3485" spans="7:22" x14ac:dyDescent="0.25">
      <c r="G3485">
        <f>Data!B3497</f>
        <v>0</v>
      </c>
      <c r="H3485" s="21">
        <f>Data!B3497</f>
        <v>0</v>
      </c>
      <c r="I3485" s="21">
        <f>Data!C3497</f>
        <v>0</v>
      </c>
      <c r="J3485">
        <f>Data!D3497</f>
        <v>0</v>
      </c>
      <c r="K3485">
        <f>Data!E3497</f>
        <v>0</v>
      </c>
      <c r="L3485">
        <f>Data!F3497</f>
        <v>0</v>
      </c>
      <c r="M3485">
        <f>Data!G3497</f>
        <v>0</v>
      </c>
      <c r="N3485">
        <f>Data!H3497</f>
        <v>0</v>
      </c>
      <c r="O3485">
        <f>Data!I3497</f>
        <v>0</v>
      </c>
      <c r="P3485" s="21">
        <f>Data!J3501</f>
        <v>0</v>
      </c>
      <c r="Q3485">
        <f>Data!K3501</f>
        <v>0</v>
      </c>
      <c r="R3485">
        <f>Data!L3501</f>
        <v>0</v>
      </c>
      <c r="S3485">
        <f>Data!M3501</f>
        <v>0</v>
      </c>
      <c r="T3485">
        <f>Data!N3501</f>
        <v>0</v>
      </c>
      <c r="U3485">
        <f>Data!O3501</f>
        <v>0</v>
      </c>
      <c r="V3485" s="33">
        <f>Data!P3499</f>
        <v>0</v>
      </c>
    </row>
    <row r="3486" spans="7:22" x14ac:dyDescent="0.25">
      <c r="G3486">
        <f>Data!B3498</f>
        <v>0</v>
      </c>
      <c r="H3486" s="21">
        <f>Data!B3498</f>
        <v>0</v>
      </c>
      <c r="I3486" s="21">
        <f>Data!C3498</f>
        <v>0</v>
      </c>
      <c r="J3486">
        <f>Data!D3498</f>
        <v>0</v>
      </c>
      <c r="K3486">
        <f>Data!E3498</f>
        <v>0</v>
      </c>
      <c r="L3486">
        <f>Data!F3498</f>
        <v>0</v>
      </c>
      <c r="M3486">
        <f>Data!G3498</f>
        <v>0</v>
      </c>
      <c r="N3486">
        <f>Data!H3498</f>
        <v>0</v>
      </c>
      <c r="O3486">
        <f>Data!I3498</f>
        <v>0</v>
      </c>
      <c r="P3486" s="21">
        <f>Data!J3502</f>
        <v>0</v>
      </c>
      <c r="Q3486">
        <f>Data!K3502</f>
        <v>0</v>
      </c>
      <c r="R3486">
        <f>Data!L3502</f>
        <v>0</v>
      </c>
      <c r="S3486">
        <f>Data!M3502</f>
        <v>0</v>
      </c>
      <c r="T3486">
        <f>Data!N3502</f>
        <v>0</v>
      </c>
      <c r="U3486">
        <f>Data!O3502</f>
        <v>0</v>
      </c>
      <c r="V3486" s="33">
        <f>Data!P3500</f>
        <v>0</v>
      </c>
    </row>
    <row r="3487" spans="7:22" x14ac:dyDescent="0.25">
      <c r="G3487">
        <f>Data!B3499</f>
        <v>0</v>
      </c>
      <c r="H3487" s="21">
        <f>Data!B3499</f>
        <v>0</v>
      </c>
      <c r="I3487" s="21">
        <f>Data!C3499</f>
        <v>0</v>
      </c>
      <c r="J3487">
        <f>Data!D3499</f>
        <v>0</v>
      </c>
      <c r="K3487">
        <f>Data!E3499</f>
        <v>0</v>
      </c>
      <c r="L3487">
        <f>Data!F3499</f>
        <v>0</v>
      </c>
      <c r="M3487">
        <f>Data!G3499</f>
        <v>0</v>
      </c>
      <c r="N3487">
        <f>Data!H3499</f>
        <v>0</v>
      </c>
      <c r="O3487">
        <f>Data!I3499</f>
        <v>0</v>
      </c>
      <c r="P3487" s="21">
        <f>Data!J3503</f>
        <v>0</v>
      </c>
      <c r="Q3487">
        <f>Data!K3503</f>
        <v>0</v>
      </c>
      <c r="R3487">
        <f>Data!L3503</f>
        <v>0</v>
      </c>
      <c r="S3487">
        <f>Data!M3503</f>
        <v>0</v>
      </c>
      <c r="T3487">
        <f>Data!N3503</f>
        <v>0</v>
      </c>
      <c r="U3487">
        <f>Data!O3503</f>
        <v>0</v>
      </c>
      <c r="V3487" s="33">
        <f>Data!P3501</f>
        <v>0</v>
      </c>
    </row>
    <row r="3488" spans="7:22" x14ac:dyDescent="0.25">
      <c r="G3488">
        <f>Data!B3500</f>
        <v>0</v>
      </c>
      <c r="H3488" s="21">
        <f>Data!B3500</f>
        <v>0</v>
      </c>
      <c r="I3488" s="21">
        <f>Data!C3500</f>
        <v>0</v>
      </c>
      <c r="J3488">
        <f>Data!D3500</f>
        <v>0</v>
      </c>
      <c r="K3488">
        <f>Data!E3500</f>
        <v>0</v>
      </c>
      <c r="L3488">
        <f>Data!F3500</f>
        <v>0</v>
      </c>
      <c r="M3488">
        <f>Data!G3500</f>
        <v>0</v>
      </c>
      <c r="N3488">
        <f>Data!H3500</f>
        <v>0</v>
      </c>
      <c r="O3488">
        <f>Data!I3500</f>
        <v>0</v>
      </c>
      <c r="P3488" s="21">
        <f>Data!J3504</f>
        <v>0</v>
      </c>
      <c r="Q3488">
        <f>Data!K3504</f>
        <v>0</v>
      </c>
      <c r="R3488">
        <f>Data!L3504</f>
        <v>0</v>
      </c>
      <c r="S3488">
        <f>Data!M3504</f>
        <v>0</v>
      </c>
      <c r="T3488">
        <f>Data!N3504</f>
        <v>0</v>
      </c>
      <c r="U3488">
        <f>Data!O3504</f>
        <v>0</v>
      </c>
      <c r="V3488" s="33">
        <f>Data!P3502</f>
        <v>0</v>
      </c>
    </row>
    <row r="3489" spans="7:22" x14ac:dyDescent="0.25">
      <c r="G3489">
        <f>Data!B3501</f>
        <v>0</v>
      </c>
      <c r="H3489" s="21">
        <f>Data!B3501</f>
        <v>0</v>
      </c>
      <c r="I3489" s="21">
        <f>Data!C3501</f>
        <v>0</v>
      </c>
      <c r="J3489">
        <f>Data!D3501</f>
        <v>0</v>
      </c>
      <c r="K3489">
        <f>Data!E3501</f>
        <v>0</v>
      </c>
      <c r="L3489">
        <f>Data!F3501</f>
        <v>0</v>
      </c>
      <c r="M3489">
        <f>Data!G3501</f>
        <v>0</v>
      </c>
      <c r="N3489">
        <f>Data!H3501</f>
        <v>0</v>
      </c>
      <c r="O3489">
        <f>Data!I3501</f>
        <v>0</v>
      </c>
      <c r="P3489" s="21">
        <f>Data!J3505</f>
        <v>0</v>
      </c>
      <c r="Q3489">
        <f>Data!K3505</f>
        <v>0</v>
      </c>
      <c r="R3489">
        <f>Data!L3505</f>
        <v>0</v>
      </c>
      <c r="S3489">
        <f>Data!M3505</f>
        <v>0</v>
      </c>
      <c r="T3489">
        <f>Data!N3505</f>
        <v>0</v>
      </c>
      <c r="U3489">
        <f>Data!O3505</f>
        <v>0</v>
      </c>
      <c r="V3489" s="33">
        <f>Data!P3503</f>
        <v>0</v>
      </c>
    </row>
    <row r="3490" spans="7:22" x14ac:dyDescent="0.25">
      <c r="G3490">
        <f>Data!B3502</f>
        <v>0</v>
      </c>
      <c r="H3490" s="21">
        <f>Data!B3502</f>
        <v>0</v>
      </c>
      <c r="I3490" s="21">
        <f>Data!C3502</f>
        <v>0</v>
      </c>
      <c r="J3490">
        <f>Data!D3502</f>
        <v>0</v>
      </c>
      <c r="K3490">
        <f>Data!E3502</f>
        <v>0</v>
      </c>
      <c r="L3490">
        <f>Data!F3502</f>
        <v>0</v>
      </c>
      <c r="M3490">
        <f>Data!G3502</f>
        <v>0</v>
      </c>
      <c r="N3490">
        <f>Data!H3502</f>
        <v>0</v>
      </c>
      <c r="O3490">
        <f>Data!I3502</f>
        <v>0</v>
      </c>
      <c r="P3490" s="21">
        <f>Data!J3506</f>
        <v>0</v>
      </c>
      <c r="Q3490">
        <f>Data!K3506</f>
        <v>0</v>
      </c>
      <c r="R3490">
        <f>Data!L3506</f>
        <v>0</v>
      </c>
      <c r="S3490">
        <f>Data!M3506</f>
        <v>0</v>
      </c>
      <c r="T3490">
        <f>Data!N3506</f>
        <v>0</v>
      </c>
      <c r="U3490">
        <f>Data!O3506</f>
        <v>0</v>
      </c>
      <c r="V3490" s="33">
        <f>Data!P3504</f>
        <v>0</v>
      </c>
    </row>
    <row r="3491" spans="7:22" x14ac:dyDescent="0.25">
      <c r="G3491">
        <f>Data!B3503</f>
        <v>0</v>
      </c>
      <c r="H3491" s="21">
        <f>Data!B3503</f>
        <v>0</v>
      </c>
      <c r="I3491" s="21">
        <f>Data!C3503</f>
        <v>0</v>
      </c>
      <c r="J3491">
        <f>Data!D3503</f>
        <v>0</v>
      </c>
      <c r="K3491">
        <f>Data!E3503</f>
        <v>0</v>
      </c>
      <c r="L3491">
        <f>Data!F3503</f>
        <v>0</v>
      </c>
      <c r="M3491">
        <f>Data!G3503</f>
        <v>0</v>
      </c>
      <c r="N3491">
        <f>Data!H3503</f>
        <v>0</v>
      </c>
      <c r="O3491">
        <f>Data!I3503</f>
        <v>0</v>
      </c>
      <c r="P3491" s="21">
        <f>Data!J3507</f>
        <v>0</v>
      </c>
      <c r="Q3491">
        <f>Data!K3507</f>
        <v>0</v>
      </c>
      <c r="R3491">
        <f>Data!L3507</f>
        <v>0</v>
      </c>
      <c r="S3491">
        <f>Data!M3507</f>
        <v>0</v>
      </c>
      <c r="T3491">
        <f>Data!N3507</f>
        <v>0</v>
      </c>
      <c r="U3491">
        <f>Data!O3507</f>
        <v>0</v>
      </c>
      <c r="V3491" s="33">
        <f>Data!P3505</f>
        <v>0</v>
      </c>
    </row>
    <row r="3492" spans="7:22" x14ac:dyDescent="0.25">
      <c r="G3492">
        <f>Data!B3504</f>
        <v>0</v>
      </c>
      <c r="H3492" s="21">
        <f>Data!B3504</f>
        <v>0</v>
      </c>
      <c r="I3492" s="21">
        <f>Data!C3504</f>
        <v>0</v>
      </c>
      <c r="J3492">
        <f>Data!D3504</f>
        <v>0</v>
      </c>
      <c r="K3492">
        <f>Data!E3504</f>
        <v>0</v>
      </c>
      <c r="L3492">
        <f>Data!F3504</f>
        <v>0</v>
      </c>
      <c r="M3492">
        <f>Data!G3504</f>
        <v>0</v>
      </c>
      <c r="N3492">
        <f>Data!H3504</f>
        <v>0</v>
      </c>
      <c r="O3492">
        <f>Data!I3504</f>
        <v>0</v>
      </c>
      <c r="P3492" s="21">
        <f>Data!J3508</f>
        <v>0</v>
      </c>
      <c r="Q3492">
        <f>Data!K3508</f>
        <v>0</v>
      </c>
      <c r="R3492">
        <f>Data!L3508</f>
        <v>0</v>
      </c>
      <c r="S3492">
        <f>Data!M3508</f>
        <v>0</v>
      </c>
      <c r="T3492">
        <f>Data!N3508</f>
        <v>0</v>
      </c>
      <c r="U3492">
        <f>Data!O3508</f>
        <v>0</v>
      </c>
      <c r="V3492" s="33">
        <f>Data!P3506</f>
        <v>0</v>
      </c>
    </row>
    <row r="3493" spans="7:22" x14ac:dyDescent="0.25">
      <c r="G3493">
        <f>Data!B3505</f>
        <v>0</v>
      </c>
      <c r="H3493" s="21">
        <f>Data!B3505</f>
        <v>0</v>
      </c>
      <c r="I3493" s="21">
        <f>Data!C3505</f>
        <v>0</v>
      </c>
      <c r="J3493">
        <f>Data!D3505</f>
        <v>0</v>
      </c>
      <c r="K3493">
        <f>Data!E3505</f>
        <v>0</v>
      </c>
      <c r="L3493">
        <f>Data!F3505</f>
        <v>0</v>
      </c>
      <c r="M3493">
        <f>Data!G3505</f>
        <v>0</v>
      </c>
      <c r="N3493">
        <f>Data!H3505</f>
        <v>0</v>
      </c>
      <c r="O3493">
        <f>Data!I3505</f>
        <v>0</v>
      </c>
      <c r="P3493" s="21">
        <f>Data!J3509</f>
        <v>0</v>
      </c>
      <c r="Q3493">
        <f>Data!K3509</f>
        <v>0</v>
      </c>
      <c r="R3493">
        <f>Data!L3509</f>
        <v>0</v>
      </c>
      <c r="S3493">
        <f>Data!M3509</f>
        <v>0</v>
      </c>
      <c r="T3493">
        <f>Data!N3509</f>
        <v>0</v>
      </c>
      <c r="U3493">
        <f>Data!O3509</f>
        <v>0</v>
      </c>
      <c r="V3493" s="33">
        <f>Data!P3507</f>
        <v>0</v>
      </c>
    </row>
    <row r="3494" spans="7:22" x14ac:dyDescent="0.25">
      <c r="G3494">
        <f>Data!B3506</f>
        <v>0</v>
      </c>
      <c r="H3494" s="21">
        <f>Data!B3506</f>
        <v>0</v>
      </c>
      <c r="I3494" s="21">
        <f>Data!C3506</f>
        <v>0</v>
      </c>
      <c r="J3494">
        <f>Data!D3506</f>
        <v>0</v>
      </c>
      <c r="K3494">
        <f>Data!E3506</f>
        <v>0</v>
      </c>
      <c r="L3494">
        <f>Data!F3506</f>
        <v>0</v>
      </c>
      <c r="M3494">
        <f>Data!G3506</f>
        <v>0</v>
      </c>
      <c r="N3494">
        <f>Data!H3506</f>
        <v>0</v>
      </c>
      <c r="O3494">
        <f>Data!I3506</f>
        <v>0</v>
      </c>
      <c r="P3494" s="21">
        <f>Data!J3510</f>
        <v>0</v>
      </c>
      <c r="Q3494">
        <f>Data!K3510</f>
        <v>0</v>
      </c>
      <c r="R3494">
        <f>Data!L3510</f>
        <v>0</v>
      </c>
      <c r="S3494">
        <f>Data!M3510</f>
        <v>0</v>
      </c>
      <c r="T3494">
        <f>Data!N3510</f>
        <v>0</v>
      </c>
      <c r="U3494">
        <f>Data!O3510</f>
        <v>0</v>
      </c>
      <c r="V3494" s="33">
        <f>Data!P3508</f>
        <v>0</v>
      </c>
    </row>
    <row r="3495" spans="7:22" x14ac:dyDescent="0.25">
      <c r="G3495">
        <f>Data!B3507</f>
        <v>0</v>
      </c>
      <c r="H3495" s="21">
        <f>Data!B3507</f>
        <v>0</v>
      </c>
      <c r="I3495" s="21">
        <f>Data!C3507</f>
        <v>0</v>
      </c>
      <c r="J3495">
        <f>Data!D3507</f>
        <v>0</v>
      </c>
      <c r="K3495">
        <f>Data!E3507</f>
        <v>0</v>
      </c>
      <c r="L3495">
        <f>Data!F3507</f>
        <v>0</v>
      </c>
      <c r="M3495">
        <f>Data!G3507</f>
        <v>0</v>
      </c>
      <c r="N3495">
        <f>Data!H3507</f>
        <v>0</v>
      </c>
      <c r="O3495">
        <f>Data!I3507</f>
        <v>0</v>
      </c>
      <c r="P3495" s="21">
        <f>Data!J3511</f>
        <v>0</v>
      </c>
      <c r="Q3495">
        <f>Data!K3511</f>
        <v>0</v>
      </c>
      <c r="R3495">
        <f>Data!L3511</f>
        <v>0</v>
      </c>
      <c r="S3495">
        <f>Data!M3511</f>
        <v>0</v>
      </c>
      <c r="T3495">
        <f>Data!N3511</f>
        <v>0</v>
      </c>
      <c r="U3495">
        <f>Data!O3511</f>
        <v>0</v>
      </c>
      <c r="V3495" s="33">
        <f>Data!P3509</f>
        <v>0</v>
      </c>
    </row>
    <row r="3496" spans="7:22" x14ac:dyDescent="0.25">
      <c r="G3496">
        <f>Data!B3508</f>
        <v>0</v>
      </c>
      <c r="H3496" s="21">
        <f>Data!B3508</f>
        <v>0</v>
      </c>
      <c r="I3496" s="21">
        <f>Data!C3508</f>
        <v>0</v>
      </c>
      <c r="J3496">
        <f>Data!D3508</f>
        <v>0</v>
      </c>
      <c r="K3496">
        <f>Data!E3508</f>
        <v>0</v>
      </c>
      <c r="L3496">
        <f>Data!F3508</f>
        <v>0</v>
      </c>
      <c r="M3496">
        <f>Data!G3508</f>
        <v>0</v>
      </c>
      <c r="N3496">
        <f>Data!H3508</f>
        <v>0</v>
      </c>
      <c r="O3496">
        <f>Data!I3508</f>
        <v>0</v>
      </c>
      <c r="P3496" s="21">
        <f>Data!J3512</f>
        <v>0</v>
      </c>
      <c r="Q3496">
        <f>Data!K3512</f>
        <v>0</v>
      </c>
      <c r="R3496">
        <f>Data!L3512</f>
        <v>0</v>
      </c>
      <c r="S3496">
        <f>Data!M3512</f>
        <v>0</v>
      </c>
      <c r="T3496">
        <f>Data!N3512</f>
        <v>0</v>
      </c>
      <c r="U3496">
        <f>Data!O3512</f>
        <v>0</v>
      </c>
      <c r="V3496" s="33">
        <f>Data!P3510</f>
        <v>0</v>
      </c>
    </row>
    <row r="3497" spans="7:22" x14ac:dyDescent="0.25">
      <c r="G3497">
        <f>Data!B3509</f>
        <v>0</v>
      </c>
      <c r="H3497" s="21">
        <f>Data!B3509</f>
        <v>0</v>
      </c>
      <c r="I3497" s="21">
        <f>Data!C3509</f>
        <v>0</v>
      </c>
      <c r="J3497">
        <f>Data!D3509</f>
        <v>0</v>
      </c>
      <c r="K3497">
        <f>Data!E3509</f>
        <v>0</v>
      </c>
      <c r="L3497">
        <f>Data!F3509</f>
        <v>0</v>
      </c>
      <c r="M3497">
        <f>Data!G3509</f>
        <v>0</v>
      </c>
      <c r="N3497">
        <f>Data!H3509</f>
        <v>0</v>
      </c>
      <c r="O3497">
        <f>Data!I3509</f>
        <v>0</v>
      </c>
      <c r="P3497" s="21">
        <f>Data!J3513</f>
        <v>0</v>
      </c>
      <c r="Q3497">
        <f>Data!K3513</f>
        <v>0</v>
      </c>
      <c r="R3497">
        <f>Data!L3513</f>
        <v>0</v>
      </c>
      <c r="S3497">
        <f>Data!M3513</f>
        <v>0</v>
      </c>
      <c r="T3497">
        <f>Data!N3513</f>
        <v>0</v>
      </c>
      <c r="U3497">
        <f>Data!O3513</f>
        <v>0</v>
      </c>
      <c r="V3497" s="33">
        <f>Data!P3511</f>
        <v>0</v>
      </c>
    </row>
    <row r="3498" spans="7:22" x14ac:dyDescent="0.25">
      <c r="G3498">
        <f>Data!B3510</f>
        <v>0</v>
      </c>
      <c r="H3498" s="21">
        <f>Data!B3510</f>
        <v>0</v>
      </c>
      <c r="I3498" s="21">
        <f>Data!C3510</f>
        <v>0</v>
      </c>
      <c r="J3498">
        <f>Data!D3510</f>
        <v>0</v>
      </c>
      <c r="K3498">
        <f>Data!E3510</f>
        <v>0</v>
      </c>
      <c r="L3498">
        <f>Data!F3510</f>
        <v>0</v>
      </c>
      <c r="M3498">
        <f>Data!G3510</f>
        <v>0</v>
      </c>
      <c r="N3498">
        <f>Data!H3510</f>
        <v>0</v>
      </c>
      <c r="O3498">
        <f>Data!I3510</f>
        <v>0</v>
      </c>
      <c r="P3498" s="21">
        <f>Data!J3514</f>
        <v>0</v>
      </c>
      <c r="Q3498">
        <f>Data!K3514</f>
        <v>0</v>
      </c>
      <c r="R3498">
        <f>Data!L3514</f>
        <v>0</v>
      </c>
      <c r="S3498">
        <f>Data!M3514</f>
        <v>0</v>
      </c>
      <c r="T3498">
        <f>Data!N3514</f>
        <v>0</v>
      </c>
      <c r="U3498">
        <f>Data!O3514</f>
        <v>0</v>
      </c>
      <c r="V3498" s="33">
        <f>Data!P3512</f>
        <v>0</v>
      </c>
    </row>
    <row r="3499" spans="7:22" x14ac:dyDescent="0.25">
      <c r="G3499">
        <f>Data!B3511</f>
        <v>0</v>
      </c>
      <c r="H3499" s="21">
        <f>Data!B3511</f>
        <v>0</v>
      </c>
      <c r="I3499" s="21">
        <f>Data!C3511</f>
        <v>0</v>
      </c>
      <c r="J3499">
        <f>Data!D3511</f>
        <v>0</v>
      </c>
      <c r="K3499">
        <f>Data!E3511</f>
        <v>0</v>
      </c>
      <c r="L3499">
        <f>Data!F3511</f>
        <v>0</v>
      </c>
      <c r="M3499">
        <f>Data!G3511</f>
        <v>0</v>
      </c>
      <c r="N3499">
        <f>Data!H3511</f>
        <v>0</v>
      </c>
      <c r="O3499">
        <f>Data!I3511</f>
        <v>0</v>
      </c>
      <c r="P3499" s="21">
        <f>Data!J3515</f>
        <v>0</v>
      </c>
      <c r="Q3499">
        <f>Data!K3515</f>
        <v>0</v>
      </c>
      <c r="R3499">
        <f>Data!L3515</f>
        <v>0</v>
      </c>
      <c r="S3499">
        <f>Data!M3515</f>
        <v>0</v>
      </c>
      <c r="T3499">
        <f>Data!N3515</f>
        <v>0</v>
      </c>
      <c r="U3499">
        <f>Data!O3515</f>
        <v>0</v>
      </c>
      <c r="V3499" s="33">
        <f>Data!P3513</f>
        <v>0</v>
      </c>
    </row>
    <row r="3500" spans="7:22" x14ac:dyDescent="0.25">
      <c r="G3500">
        <f>Data!B3512</f>
        <v>0</v>
      </c>
      <c r="H3500" s="21">
        <f>Data!B3512</f>
        <v>0</v>
      </c>
      <c r="I3500" s="21">
        <f>Data!C3512</f>
        <v>0</v>
      </c>
      <c r="J3500">
        <f>Data!D3512</f>
        <v>0</v>
      </c>
      <c r="K3500">
        <f>Data!E3512</f>
        <v>0</v>
      </c>
      <c r="L3500">
        <f>Data!F3512</f>
        <v>0</v>
      </c>
      <c r="M3500">
        <f>Data!G3512</f>
        <v>0</v>
      </c>
      <c r="N3500">
        <f>Data!H3512</f>
        <v>0</v>
      </c>
      <c r="O3500">
        <f>Data!I3512</f>
        <v>0</v>
      </c>
      <c r="P3500" s="21">
        <f>Data!J3516</f>
        <v>0</v>
      </c>
      <c r="Q3500">
        <f>Data!K3516</f>
        <v>0</v>
      </c>
      <c r="R3500">
        <f>Data!L3516</f>
        <v>0</v>
      </c>
      <c r="S3500">
        <f>Data!M3516</f>
        <v>0</v>
      </c>
      <c r="T3500">
        <f>Data!N3516</f>
        <v>0</v>
      </c>
      <c r="U3500">
        <f>Data!O3516</f>
        <v>0</v>
      </c>
      <c r="V3500" s="33">
        <f>Data!P3514</f>
        <v>0</v>
      </c>
    </row>
    <row r="3501" spans="7:22" x14ac:dyDescent="0.25">
      <c r="G3501">
        <f>Data!B3513</f>
        <v>0</v>
      </c>
      <c r="H3501" s="21">
        <f>Data!B3513</f>
        <v>0</v>
      </c>
      <c r="I3501" s="21">
        <f>Data!C3513</f>
        <v>0</v>
      </c>
      <c r="J3501">
        <f>Data!D3513</f>
        <v>0</v>
      </c>
      <c r="K3501">
        <f>Data!E3513</f>
        <v>0</v>
      </c>
      <c r="L3501">
        <f>Data!F3513</f>
        <v>0</v>
      </c>
      <c r="M3501">
        <f>Data!G3513</f>
        <v>0</v>
      </c>
      <c r="N3501">
        <f>Data!H3513</f>
        <v>0</v>
      </c>
      <c r="O3501">
        <f>Data!I3513</f>
        <v>0</v>
      </c>
      <c r="P3501" s="21">
        <f>Data!J3517</f>
        <v>0</v>
      </c>
      <c r="Q3501">
        <f>Data!K3517</f>
        <v>0</v>
      </c>
      <c r="R3501">
        <f>Data!L3517</f>
        <v>0</v>
      </c>
      <c r="S3501">
        <f>Data!M3517</f>
        <v>0</v>
      </c>
      <c r="T3501">
        <f>Data!N3517</f>
        <v>0</v>
      </c>
      <c r="U3501">
        <f>Data!O3517</f>
        <v>0</v>
      </c>
      <c r="V3501" s="33">
        <f>Data!P3515</f>
        <v>0</v>
      </c>
    </row>
    <row r="3502" spans="7:22" x14ac:dyDescent="0.25">
      <c r="G3502">
        <f>Data!B3514</f>
        <v>0</v>
      </c>
      <c r="H3502" s="21">
        <f>Data!B3514</f>
        <v>0</v>
      </c>
      <c r="I3502" s="21">
        <f>Data!C3514</f>
        <v>0</v>
      </c>
      <c r="J3502">
        <f>Data!D3514</f>
        <v>0</v>
      </c>
      <c r="K3502">
        <f>Data!E3514</f>
        <v>0</v>
      </c>
      <c r="L3502">
        <f>Data!F3514</f>
        <v>0</v>
      </c>
      <c r="M3502">
        <f>Data!G3514</f>
        <v>0</v>
      </c>
      <c r="N3502">
        <f>Data!H3514</f>
        <v>0</v>
      </c>
      <c r="O3502">
        <f>Data!I3514</f>
        <v>0</v>
      </c>
      <c r="P3502" s="21">
        <f>Data!J3518</f>
        <v>0</v>
      </c>
      <c r="Q3502">
        <f>Data!K3518</f>
        <v>0</v>
      </c>
      <c r="R3502">
        <f>Data!L3518</f>
        <v>0</v>
      </c>
      <c r="S3502">
        <f>Data!M3518</f>
        <v>0</v>
      </c>
      <c r="T3502">
        <f>Data!N3518</f>
        <v>0</v>
      </c>
      <c r="U3502">
        <f>Data!O3518</f>
        <v>0</v>
      </c>
      <c r="V3502" s="33">
        <f>Data!P3516</f>
        <v>0</v>
      </c>
    </row>
    <row r="3503" spans="7:22" x14ac:dyDescent="0.25">
      <c r="G3503">
        <f>Data!B3515</f>
        <v>0</v>
      </c>
      <c r="H3503" s="21">
        <f>Data!B3515</f>
        <v>0</v>
      </c>
      <c r="I3503" s="21">
        <f>Data!C3515</f>
        <v>0</v>
      </c>
      <c r="J3503">
        <f>Data!D3515</f>
        <v>0</v>
      </c>
      <c r="K3503">
        <f>Data!E3515</f>
        <v>0</v>
      </c>
      <c r="L3503">
        <f>Data!F3515</f>
        <v>0</v>
      </c>
      <c r="M3503">
        <f>Data!G3515</f>
        <v>0</v>
      </c>
      <c r="N3503">
        <f>Data!H3515</f>
        <v>0</v>
      </c>
      <c r="O3503">
        <f>Data!I3515</f>
        <v>0</v>
      </c>
      <c r="P3503" s="21">
        <f>Data!J3519</f>
        <v>0</v>
      </c>
      <c r="Q3503">
        <f>Data!K3519</f>
        <v>0</v>
      </c>
      <c r="R3503">
        <f>Data!L3519</f>
        <v>0</v>
      </c>
      <c r="S3503">
        <f>Data!M3519</f>
        <v>0</v>
      </c>
      <c r="T3503">
        <f>Data!N3519</f>
        <v>0</v>
      </c>
      <c r="U3503">
        <f>Data!O3519</f>
        <v>0</v>
      </c>
      <c r="V3503" s="33">
        <f>Data!P3517</f>
        <v>0</v>
      </c>
    </row>
    <row r="3504" spans="7:22" x14ac:dyDescent="0.25">
      <c r="G3504">
        <f>Data!B3516</f>
        <v>0</v>
      </c>
      <c r="H3504" s="21">
        <f>Data!B3516</f>
        <v>0</v>
      </c>
      <c r="I3504" s="21">
        <f>Data!C3516</f>
        <v>0</v>
      </c>
      <c r="J3504">
        <f>Data!D3516</f>
        <v>0</v>
      </c>
      <c r="K3504">
        <f>Data!E3516</f>
        <v>0</v>
      </c>
      <c r="L3504">
        <f>Data!F3516</f>
        <v>0</v>
      </c>
      <c r="M3504">
        <f>Data!G3516</f>
        <v>0</v>
      </c>
      <c r="N3504">
        <f>Data!H3516</f>
        <v>0</v>
      </c>
      <c r="O3504">
        <f>Data!I3516</f>
        <v>0</v>
      </c>
      <c r="P3504" s="21">
        <f>Data!J3520</f>
        <v>0</v>
      </c>
      <c r="Q3504">
        <f>Data!K3520</f>
        <v>0</v>
      </c>
      <c r="R3504">
        <f>Data!L3520</f>
        <v>0</v>
      </c>
      <c r="S3504">
        <f>Data!M3520</f>
        <v>0</v>
      </c>
      <c r="T3504">
        <f>Data!N3520</f>
        <v>0</v>
      </c>
      <c r="U3504">
        <f>Data!O3520</f>
        <v>0</v>
      </c>
      <c r="V3504" s="33">
        <f>Data!P3518</f>
        <v>0</v>
      </c>
    </row>
    <row r="3505" spans="7:22" x14ac:dyDescent="0.25">
      <c r="G3505">
        <f>Data!B3517</f>
        <v>0</v>
      </c>
      <c r="H3505" s="21">
        <f>Data!B3517</f>
        <v>0</v>
      </c>
      <c r="I3505" s="21">
        <f>Data!C3517</f>
        <v>0</v>
      </c>
      <c r="J3505">
        <f>Data!D3517</f>
        <v>0</v>
      </c>
      <c r="K3505">
        <f>Data!E3517</f>
        <v>0</v>
      </c>
      <c r="L3505">
        <f>Data!F3517</f>
        <v>0</v>
      </c>
      <c r="M3505">
        <f>Data!G3517</f>
        <v>0</v>
      </c>
      <c r="N3505">
        <f>Data!H3517</f>
        <v>0</v>
      </c>
      <c r="O3505">
        <f>Data!I3517</f>
        <v>0</v>
      </c>
      <c r="P3505" s="21">
        <f>Data!J3521</f>
        <v>0</v>
      </c>
      <c r="Q3505">
        <f>Data!K3521</f>
        <v>0</v>
      </c>
      <c r="R3505">
        <f>Data!L3521</f>
        <v>0</v>
      </c>
      <c r="S3505">
        <f>Data!M3521</f>
        <v>0</v>
      </c>
      <c r="T3505">
        <f>Data!N3521</f>
        <v>0</v>
      </c>
      <c r="U3505">
        <f>Data!O3521</f>
        <v>0</v>
      </c>
      <c r="V3505" s="33">
        <f>Data!P3519</f>
        <v>0</v>
      </c>
    </row>
    <row r="3506" spans="7:22" x14ac:dyDescent="0.25">
      <c r="G3506">
        <f>Data!B3518</f>
        <v>0</v>
      </c>
      <c r="H3506" s="21">
        <f>Data!B3518</f>
        <v>0</v>
      </c>
      <c r="I3506" s="21">
        <f>Data!C3518</f>
        <v>0</v>
      </c>
      <c r="J3506">
        <f>Data!D3518</f>
        <v>0</v>
      </c>
      <c r="K3506">
        <f>Data!E3518</f>
        <v>0</v>
      </c>
      <c r="L3506">
        <f>Data!F3518</f>
        <v>0</v>
      </c>
      <c r="M3506">
        <f>Data!G3518</f>
        <v>0</v>
      </c>
      <c r="N3506">
        <f>Data!H3518</f>
        <v>0</v>
      </c>
      <c r="O3506">
        <f>Data!I3518</f>
        <v>0</v>
      </c>
      <c r="P3506" s="21">
        <f>Data!J3522</f>
        <v>0</v>
      </c>
      <c r="Q3506">
        <f>Data!K3522</f>
        <v>0</v>
      </c>
      <c r="R3506">
        <f>Data!L3522</f>
        <v>0</v>
      </c>
      <c r="S3506">
        <f>Data!M3522</f>
        <v>0</v>
      </c>
      <c r="T3506">
        <f>Data!N3522</f>
        <v>0</v>
      </c>
      <c r="U3506">
        <f>Data!O3522</f>
        <v>0</v>
      </c>
      <c r="V3506" s="33">
        <f>Data!P3520</f>
        <v>0</v>
      </c>
    </row>
    <row r="3507" spans="7:22" x14ac:dyDescent="0.25">
      <c r="G3507">
        <f>Data!B3519</f>
        <v>0</v>
      </c>
      <c r="H3507" s="21">
        <f>Data!B3519</f>
        <v>0</v>
      </c>
      <c r="I3507" s="21">
        <f>Data!C3519</f>
        <v>0</v>
      </c>
      <c r="J3507">
        <f>Data!D3519</f>
        <v>0</v>
      </c>
      <c r="K3507">
        <f>Data!E3519</f>
        <v>0</v>
      </c>
      <c r="L3507">
        <f>Data!F3519</f>
        <v>0</v>
      </c>
      <c r="M3507">
        <f>Data!G3519</f>
        <v>0</v>
      </c>
      <c r="N3507">
        <f>Data!H3519</f>
        <v>0</v>
      </c>
      <c r="O3507">
        <f>Data!I3519</f>
        <v>0</v>
      </c>
      <c r="P3507" s="21">
        <f>Data!J3523</f>
        <v>0</v>
      </c>
      <c r="Q3507">
        <f>Data!K3523</f>
        <v>0</v>
      </c>
      <c r="R3507">
        <f>Data!L3523</f>
        <v>0</v>
      </c>
      <c r="S3507">
        <f>Data!M3523</f>
        <v>0</v>
      </c>
      <c r="T3507">
        <f>Data!N3523</f>
        <v>0</v>
      </c>
      <c r="U3507">
        <f>Data!O3523</f>
        <v>0</v>
      </c>
      <c r="V3507" s="33">
        <f>Data!P3521</f>
        <v>0</v>
      </c>
    </row>
    <row r="3508" spans="7:22" x14ac:dyDescent="0.25">
      <c r="G3508">
        <f>Data!B3520</f>
        <v>0</v>
      </c>
      <c r="H3508" s="21">
        <f>Data!B3520</f>
        <v>0</v>
      </c>
      <c r="I3508" s="21">
        <f>Data!C3520</f>
        <v>0</v>
      </c>
      <c r="J3508">
        <f>Data!D3520</f>
        <v>0</v>
      </c>
      <c r="K3508">
        <f>Data!E3520</f>
        <v>0</v>
      </c>
      <c r="L3508">
        <f>Data!F3520</f>
        <v>0</v>
      </c>
      <c r="M3508">
        <f>Data!G3520</f>
        <v>0</v>
      </c>
      <c r="N3508">
        <f>Data!H3520</f>
        <v>0</v>
      </c>
      <c r="O3508">
        <f>Data!I3520</f>
        <v>0</v>
      </c>
      <c r="P3508" s="21">
        <f>Data!J3524</f>
        <v>0</v>
      </c>
      <c r="Q3508">
        <f>Data!K3524</f>
        <v>0</v>
      </c>
      <c r="R3508">
        <f>Data!L3524</f>
        <v>0</v>
      </c>
      <c r="S3508">
        <f>Data!M3524</f>
        <v>0</v>
      </c>
      <c r="T3508">
        <f>Data!N3524</f>
        <v>0</v>
      </c>
      <c r="U3508">
        <f>Data!O3524</f>
        <v>0</v>
      </c>
      <c r="V3508" s="33">
        <f>Data!P3522</f>
        <v>0</v>
      </c>
    </row>
    <row r="3509" spans="7:22" x14ac:dyDescent="0.25">
      <c r="G3509">
        <f>Data!B3521</f>
        <v>0</v>
      </c>
      <c r="H3509" s="21">
        <f>Data!B3521</f>
        <v>0</v>
      </c>
      <c r="I3509" s="21">
        <f>Data!C3521</f>
        <v>0</v>
      </c>
      <c r="J3509">
        <f>Data!D3521</f>
        <v>0</v>
      </c>
      <c r="K3509">
        <f>Data!E3521</f>
        <v>0</v>
      </c>
      <c r="L3509">
        <f>Data!F3521</f>
        <v>0</v>
      </c>
      <c r="M3509">
        <f>Data!G3521</f>
        <v>0</v>
      </c>
      <c r="N3509">
        <f>Data!H3521</f>
        <v>0</v>
      </c>
      <c r="O3509">
        <f>Data!I3521</f>
        <v>0</v>
      </c>
      <c r="P3509" s="21">
        <f>Data!J3525</f>
        <v>0</v>
      </c>
      <c r="Q3509">
        <f>Data!K3525</f>
        <v>0</v>
      </c>
      <c r="R3509">
        <f>Data!L3525</f>
        <v>0</v>
      </c>
      <c r="S3509">
        <f>Data!M3525</f>
        <v>0</v>
      </c>
      <c r="T3509">
        <f>Data!N3525</f>
        <v>0</v>
      </c>
      <c r="U3509">
        <f>Data!O3525</f>
        <v>0</v>
      </c>
      <c r="V3509" s="33">
        <f>Data!P3523</f>
        <v>0</v>
      </c>
    </row>
    <row r="3510" spans="7:22" x14ac:dyDescent="0.25">
      <c r="G3510">
        <f>Data!B3522</f>
        <v>0</v>
      </c>
      <c r="H3510" s="21">
        <f>Data!B3522</f>
        <v>0</v>
      </c>
      <c r="I3510" s="21">
        <f>Data!C3522</f>
        <v>0</v>
      </c>
      <c r="J3510">
        <f>Data!D3522</f>
        <v>0</v>
      </c>
      <c r="K3510">
        <f>Data!E3522</f>
        <v>0</v>
      </c>
      <c r="L3510">
        <f>Data!F3522</f>
        <v>0</v>
      </c>
      <c r="M3510">
        <f>Data!G3522</f>
        <v>0</v>
      </c>
      <c r="N3510">
        <f>Data!H3522</f>
        <v>0</v>
      </c>
      <c r="O3510">
        <f>Data!I3522</f>
        <v>0</v>
      </c>
      <c r="P3510" s="21">
        <f>Data!J3526</f>
        <v>0</v>
      </c>
      <c r="Q3510">
        <f>Data!K3526</f>
        <v>0</v>
      </c>
      <c r="R3510">
        <f>Data!L3526</f>
        <v>0</v>
      </c>
      <c r="S3510">
        <f>Data!M3526</f>
        <v>0</v>
      </c>
      <c r="T3510">
        <f>Data!N3526</f>
        <v>0</v>
      </c>
      <c r="U3510">
        <f>Data!O3526</f>
        <v>0</v>
      </c>
      <c r="V3510" s="33">
        <f>Data!P3524</f>
        <v>0</v>
      </c>
    </row>
    <row r="3511" spans="7:22" x14ac:dyDescent="0.25">
      <c r="G3511">
        <f>Data!B3523</f>
        <v>0</v>
      </c>
      <c r="H3511" s="21">
        <f>Data!B3523</f>
        <v>0</v>
      </c>
      <c r="I3511" s="21">
        <f>Data!C3523</f>
        <v>0</v>
      </c>
      <c r="J3511">
        <f>Data!D3523</f>
        <v>0</v>
      </c>
      <c r="K3511">
        <f>Data!E3523</f>
        <v>0</v>
      </c>
      <c r="L3511">
        <f>Data!F3523</f>
        <v>0</v>
      </c>
      <c r="M3511">
        <f>Data!G3523</f>
        <v>0</v>
      </c>
      <c r="N3511">
        <f>Data!H3523</f>
        <v>0</v>
      </c>
      <c r="O3511">
        <f>Data!I3523</f>
        <v>0</v>
      </c>
      <c r="P3511" s="21">
        <f>Data!J3527</f>
        <v>0</v>
      </c>
      <c r="Q3511">
        <f>Data!K3527</f>
        <v>0</v>
      </c>
      <c r="R3511">
        <f>Data!L3527</f>
        <v>0</v>
      </c>
      <c r="S3511">
        <f>Data!M3527</f>
        <v>0</v>
      </c>
      <c r="T3511">
        <f>Data!N3527</f>
        <v>0</v>
      </c>
      <c r="U3511">
        <f>Data!O3527</f>
        <v>0</v>
      </c>
      <c r="V3511" s="33">
        <f>Data!P3525</f>
        <v>0</v>
      </c>
    </row>
    <row r="3512" spans="7:22" x14ac:dyDescent="0.25">
      <c r="G3512">
        <f>Data!B3524</f>
        <v>0</v>
      </c>
      <c r="H3512" s="21">
        <f>Data!B3524</f>
        <v>0</v>
      </c>
      <c r="I3512" s="21">
        <f>Data!C3524</f>
        <v>0</v>
      </c>
      <c r="J3512">
        <f>Data!D3524</f>
        <v>0</v>
      </c>
      <c r="K3512">
        <f>Data!E3524</f>
        <v>0</v>
      </c>
      <c r="L3512">
        <f>Data!F3524</f>
        <v>0</v>
      </c>
      <c r="M3512">
        <f>Data!G3524</f>
        <v>0</v>
      </c>
      <c r="N3512">
        <f>Data!H3524</f>
        <v>0</v>
      </c>
      <c r="O3512">
        <f>Data!I3524</f>
        <v>0</v>
      </c>
      <c r="P3512" s="21">
        <f>Data!J3528</f>
        <v>0</v>
      </c>
      <c r="Q3512">
        <f>Data!K3528</f>
        <v>0</v>
      </c>
      <c r="R3512">
        <f>Data!L3528</f>
        <v>0</v>
      </c>
      <c r="S3512">
        <f>Data!M3528</f>
        <v>0</v>
      </c>
      <c r="T3512">
        <f>Data!N3528</f>
        <v>0</v>
      </c>
      <c r="U3512">
        <f>Data!O3528</f>
        <v>0</v>
      </c>
      <c r="V3512" s="33">
        <f>Data!P3526</f>
        <v>0</v>
      </c>
    </row>
    <row r="3513" spans="7:22" x14ac:dyDescent="0.25">
      <c r="G3513">
        <f>Data!B3525</f>
        <v>0</v>
      </c>
      <c r="H3513" s="21">
        <f>Data!B3525</f>
        <v>0</v>
      </c>
      <c r="I3513" s="21">
        <f>Data!C3525</f>
        <v>0</v>
      </c>
      <c r="J3513">
        <f>Data!D3525</f>
        <v>0</v>
      </c>
      <c r="K3513">
        <f>Data!E3525</f>
        <v>0</v>
      </c>
      <c r="L3513">
        <f>Data!F3525</f>
        <v>0</v>
      </c>
      <c r="M3513">
        <f>Data!G3525</f>
        <v>0</v>
      </c>
      <c r="N3513">
        <f>Data!H3525</f>
        <v>0</v>
      </c>
      <c r="O3513">
        <f>Data!I3525</f>
        <v>0</v>
      </c>
      <c r="P3513" s="21">
        <f>Data!J3529</f>
        <v>0</v>
      </c>
      <c r="Q3513">
        <f>Data!K3529</f>
        <v>0</v>
      </c>
      <c r="R3513">
        <f>Data!L3529</f>
        <v>0</v>
      </c>
      <c r="S3513">
        <f>Data!M3529</f>
        <v>0</v>
      </c>
      <c r="T3513">
        <f>Data!N3529</f>
        <v>0</v>
      </c>
      <c r="U3513">
        <f>Data!O3529</f>
        <v>0</v>
      </c>
      <c r="V3513" s="33">
        <f>Data!P3527</f>
        <v>0</v>
      </c>
    </row>
    <row r="3514" spans="7:22" x14ac:dyDescent="0.25">
      <c r="G3514">
        <f>Data!B3526</f>
        <v>0</v>
      </c>
      <c r="H3514" s="21">
        <f>Data!B3526</f>
        <v>0</v>
      </c>
      <c r="I3514" s="21">
        <f>Data!C3526</f>
        <v>0</v>
      </c>
      <c r="J3514">
        <f>Data!D3526</f>
        <v>0</v>
      </c>
      <c r="K3514">
        <f>Data!E3526</f>
        <v>0</v>
      </c>
      <c r="L3514">
        <f>Data!F3526</f>
        <v>0</v>
      </c>
      <c r="M3514">
        <f>Data!G3526</f>
        <v>0</v>
      </c>
      <c r="N3514">
        <f>Data!H3526</f>
        <v>0</v>
      </c>
      <c r="O3514">
        <f>Data!I3526</f>
        <v>0</v>
      </c>
      <c r="P3514" s="21">
        <f>Data!J3530</f>
        <v>0</v>
      </c>
      <c r="Q3514">
        <f>Data!K3530</f>
        <v>0</v>
      </c>
      <c r="R3514">
        <f>Data!L3530</f>
        <v>0</v>
      </c>
      <c r="S3514">
        <f>Data!M3530</f>
        <v>0</v>
      </c>
      <c r="T3514">
        <f>Data!N3530</f>
        <v>0</v>
      </c>
      <c r="U3514">
        <f>Data!O3530</f>
        <v>0</v>
      </c>
      <c r="V3514" s="33">
        <f>Data!P3528</f>
        <v>0</v>
      </c>
    </row>
    <row r="3515" spans="7:22" x14ac:dyDescent="0.25">
      <c r="G3515">
        <f>Data!B3527</f>
        <v>0</v>
      </c>
      <c r="H3515" s="21">
        <f>Data!B3527</f>
        <v>0</v>
      </c>
      <c r="I3515" s="21">
        <f>Data!C3527</f>
        <v>0</v>
      </c>
      <c r="J3515">
        <f>Data!D3527</f>
        <v>0</v>
      </c>
      <c r="K3515">
        <f>Data!E3527</f>
        <v>0</v>
      </c>
      <c r="L3515">
        <f>Data!F3527</f>
        <v>0</v>
      </c>
      <c r="M3515">
        <f>Data!G3527</f>
        <v>0</v>
      </c>
      <c r="N3515">
        <f>Data!H3527</f>
        <v>0</v>
      </c>
      <c r="O3515">
        <f>Data!I3527</f>
        <v>0</v>
      </c>
      <c r="P3515" s="21">
        <f>Data!J3531</f>
        <v>0</v>
      </c>
      <c r="Q3515">
        <f>Data!K3531</f>
        <v>0</v>
      </c>
      <c r="R3515">
        <f>Data!L3531</f>
        <v>0</v>
      </c>
      <c r="S3515">
        <f>Data!M3531</f>
        <v>0</v>
      </c>
      <c r="T3515">
        <f>Data!N3531</f>
        <v>0</v>
      </c>
      <c r="U3515">
        <f>Data!O3531</f>
        <v>0</v>
      </c>
      <c r="V3515" s="33">
        <f>Data!P3529</f>
        <v>0</v>
      </c>
    </row>
    <row r="3516" spans="7:22" x14ac:dyDescent="0.25">
      <c r="G3516">
        <f>Data!B3528</f>
        <v>0</v>
      </c>
      <c r="H3516" s="21">
        <f>Data!B3528</f>
        <v>0</v>
      </c>
      <c r="I3516" s="21">
        <f>Data!C3528</f>
        <v>0</v>
      </c>
      <c r="J3516">
        <f>Data!D3528</f>
        <v>0</v>
      </c>
      <c r="K3516">
        <f>Data!E3528</f>
        <v>0</v>
      </c>
      <c r="L3516">
        <f>Data!F3528</f>
        <v>0</v>
      </c>
      <c r="M3516">
        <f>Data!G3528</f>
        <v>0</v>
      </c>
      <c r="N3516">
        <f>Data!H3528</f>
        <v>0</v>
      </c>
      <c r="O3516">
        <f>Data!I3528</f>
        <v>0</v>
      </c>
      <c r="P3516" s="21">
        <f>Data!J3532</f>
        <v>0</v>
      </c>
      <c r="Q3516">
        <f>Data!K3532</f>
        <v>0</v>
      </c>
      <c r="R3516">
        <f>Data!L3532</f>
        <v>0</v>
      </c>
      <c r="S3516">
        <f>Data!M3532</f>
        <v>0</v>
      </c>
      <c r="T3516">
        <f>Data!N3532</f>
        <v>0</v>
      </c>
      <c r="U3516">
        <f>Data!O3532</f>
        <v>0</v>
      </c>
      <c r="V3516" s="33">
        <f>Data!P3530</f>
        <v>0</v>
      </c>
    </row>
    <row r="3517" spans="7:22" x14ac:dyDescent="0.25">
      <c r="G3517">
        <f>Data!B3529</f>
        <v>0</v>
      </c>
      <c r="H3517" s="21">
        <f>Data!B3529</f>
        <v>0</v>
      </c>
      <c r="I3517" s="21">
        <f>Data!C3529</f>
        <v>0</v>
      </c>
      <c r="J3517">
        <f>Data!D3529</f>
        <v>0</v>
      </c>
      <c r="K3517">
        <f>Data!E3529</f>
        <v>0</v>
      </c>
      <c r="L3517">
        <f>Data!F3529</f>
        <v>0</v>
      </c>
      <c r="M3517">
        <f>Data!G3529</f>
        <v>0</v>
      </c>
      <c r="N3517">
        <f>Data!H3529</f>
        <v>0</v>
      </c>
      <c r="O3517">
        <f>Data!I3529</f>
        <v>0</v>
      </c>
      <c r="P3517" s="21">
        <f>Data!J3533</f>
        <v>0</v>
      </c>
      <c r="Q3517">
        <f>Data!K3533</f>
        <v>0</v>
      </c>
      <c r="R3517">
        <f>Data!L3533</f>
        <v>0</v>
      </c>
      <c r="S3517">
        <f>Data!M3533</f>
        <v>0</v>
      </c>
      <c r="T3517">
        <f>Data!N3533</f>
        <v>0</v>
      </c>
      <c r="U3517">
        <f>Data!O3533</f>
        <v>0</v>
      </c>
      <c r="V3517" s="33">
        <f>Data!P3531</f>
        <v>0</v>
      </c>
    </row>
    <row r="3518" spans="7:22" x14ac:dyDescent="0.25">
      <c r="G3518">
        <f>Data!B3530</f>
        <v>0</v>
      </c>
      <c r="H3518" s="21">
        <f>Data!B3530</f>
        <v>0</v>
      </c>
      <c r="I3518" s="21">
        <f>Data!C3530</f>
        <v>0</v>
      </c>
      <c r="J3518">
        <f>Data!D3530</f>
        <v>0</v>
      </c>
      <c r="K3518">
        <f>Data!E3530</f>
        <v>0</v>
      </c>
      <c r="L3518">
        <f>Data!F3530</f>
        <v>0</v>
      </c>
      <c r="M3518">
        <f>Data!G3530</f>
        <v>0</v>
      </c>
      <c r="N3518">
        <f>Data!H3530</f>
        <v>0</v>
      </c>
      <c r="O3518">
        <f>Data!I3530</f>
        <v>0</v>
      </c>
      <c r="P3518" s="21">
        <f>Data!J3534</f>
        <v>0</v>
      </c>
      <c r="Q3518">
        <f>Data!K3534</f>
        <v>0</v>
      </c>
      <c r="R3518">
        <f>Data!L3534</f>
        <v>0</v>
      </c>
      <c r="S3518">
        <f>Data!M3534</f>
        <v>0</v>
      </c>
      <c r="T3518">
        <f>Data!N3534</f>
        <v>0</v>
      </c>
      <c r="U3518">
        <f>Data!O3534</f>
        <v>0</v>
      </c>
      <c r="V3518" s="33">
        <f>Data!P3532</f>
        <v>0</v>
      </c>
    </row>
    <row r="3519" spans="7:22" x14ac:dyDescent="0.25">
      <c r="G3519">
        <f>Data!B3531</f>
        <v>0</v>
      </c>
      <c r="H3519" s="21">
        <f>Data!B3531</f>
        <v>0</v>
      </c>
      <c r="I3519" s="21">
        <f>Data!C3531</f>
        <v>0</v>
      </c>
      <c r="J3519">
        <f>Data!D3531</f>
        <v>0</v>
      </c>
      <c r="K3519">
        <f>Data!E3531</f>
        <v>0</v>
      </c>
      <c r="L3519">
        <f>Data!F3531</f>
        <v>0</v>
      </c>
      <c r="M3519">
        <f>Data!G3531</f>
        <v>0</v>
      </c>
      <c r="N3519">
        <f>Data!H3531</f>
        <v>0</v>
      </c>
      <c r="O3519">
        <f>Data!I3531</f>
        <v>0</v>
      </c>
      <c r="P3519" s="21">
        <f>Data!J3535</f>
        <v>0</v>
      </c>
      <c r="Q3519">
        <f>Data!K3535</f>
        <v>0</v>
      </c>
      <c r="R3519">
        <f>Data!L3535</f>
        <v>0</v>
      </c>
      <c r="S3519">
        <f>Data!M3535</f>
        <v>0</v>
      </c>
      <c r="T3519">
        <f>Data!N3535</f>
        <v>0</v>
      </c>
      <c r="U3519">
        <f>Data!O3535</f>
        <v>0</v>
      </c>
      <c r="V3519" s="33">
        <f>Data!P3533</f>
        <v>0</v>
      </c>
    </row>
    <row r="3520" spans="7:22" x14ac:dyDescent="0.25">
      <c r="G3520">
        <f>Data!B3532</f>
        <v>0</v>
      </c>
      <c r="H3520" s="21">
        <f>Data!B3532</f>
        <v>0</v>
      </c>
      <c r="I3520" s="21">
        <f>Data!C3532</f>
        <v>0</v>
      </c>
      <c r="J3520">
        <f>Data!D3532</f>
        <v>0</v>
      </c>
      <c r="K3520">
        <f>Data!E3532</f>
        <v>0</v>
      </c>
      <c r="L3520">
        <f>Data!F3532</f>
        <v>0</v>
      </c>
      <c r="M3520">
        <f>Data!G3532</f>
        <v>0</v>
      </c>
      <c r="N3520">
        <f>Data!H3532</f>
        <v>0</v>
      </c>
      <c r="O3520">
        <f>Data!I3532</f>
        <v>0</v>
      </c>
      <c r="P3520" s="21">
        <f>Data!J3536</f>
        <v>0</v>
      </c>
      <c r="Q3520">
        <f>Data!K3536</f>
        <v>0</v>
      </c>
      <c r="R3520">
        <f>Data!L3536</f>
        <v>0</v>
      </c>
      <c r="S3520">
        <f>Data!M3536</f>
        <v>0</v>
      </c>
      <c r="T3520">
        <f>Data!N3536</f>
        <v>0</v>
      </c>
      <c r="U3520">
        <f>Data!O3536</f>
        <v>0</v>
      </c>
      <c r="V3520" s="33">
        <f>Data!P3534</f>
        <v>0</v>
      </c>
    </row>
    <row r="3521" spans="7:22" x14ac:dyDescent="0.25">
      <c r="G3521">
        <f>Data!B3533</f>
        <v>0</v>
      </c>
      <c r="H3521" s="21">
        <f>Data!B3533</f>
        <v>0</v>
      </c>
      <c r="I3521" s="21">
        <f>Data!C3533</f>
        <v>0</v>
      </c>
      <c r="J3521">
        <f>Data!D3533</f>
        <v>0</v>
      </c>
      <c r="K3521">
        <f>Data!E3533</f>
        <v>0</v>
      </c>
      <c r="L3521">
        <f>Data!F3533</f>
        <v>0</v>
      </c>
      <c r="M3521">
        <f>Data!G3533</f>
        <v>0</v>
      </c>
      <c r="N3521">
        <f>Data!H3533</f>
        <v>0</v>
      </c>
      <c r="O3521">
        <f>Data!I3533</f>
        <v>0</v>
      </c>
      <c r="P3521" s="21">
        <f>Data!J3537</f>
        <v>0</v>
      </c>
      <c r="Q3521">
        <f>Data!K3537</f>
        <v>0</v>
      </c>
      <c r="R3521">
        <f>Data!L3537</f>
        <v>0</v>
      </c>
      <c r="S3521">
        <f>Data!M3537</f>
        <v>0</v>
      </c>
      <c r="T3521">
        <f>Data!N3537</f>
        <v>0</v>
      </c>
      <c r="U3521">
        <f>Data!O3537</f>
        <v>0</v>
      </c>
      <c r="V3521" s="33">
        <f>Data!P3535</f>
        <v>0</v>
      </c>
    </row>
    <row r="3522" spans="7:22" x14ac:dyDescent="0.25">
      <c r="G3522">
        <f>Data!B3534</f>
        <v>0</v>
      </c>
      <c r="H3522" s="21">
        <f>Data!B3534</f>
        <v>0</v>
      </c>
      <c r="I3522" s="21">
        <f>Data!C3534</f>
        <v>0</v>
      </c>
      <c r="J3522">
        <f>Data!D3534</f>
        <v>0</v>
      </c>
      <c r="K3522">
        <f>Data!E3534</f>
        <v>0</v>
      </c>
      <c r="L3522">
        <f>Data!F3534</f>
        <v>0</v>
      </c>
      <c r="M3522">
        <f>Data!G3534</f>
        <v>0</v>
      </c>
      <c r="N3522">
        <f>Data!H3534</f>
        <v>0</v>
      </c>
      <c r="O3522">
        <f>Data!I3534</f>
        <v>0</v>
      </c>
      <c r="P3522" s="21">
        <f>Data!J3538</f>
        <v>0</v>
      </c>
      <c r="Q3522">
        <f>Data!K3538</f>
        <v>0</v>
      </c>
      <c r="R3522">
        <f>Data!L3538</f>
        <v>0</v>
      </c>
      <c r="S3522">
        <f>Data!M3538</f>
        <v>0</v>
      </c>
      <c r="T3522">
        <f>Data!N3538</f>
        <v>0</v>
      </c>
      <c r="U3522">
        <f>Data!O3538</f>
        <v>0</v>
      </c>
      <c r="V3522" s="33">
        <f>Data!P3536</f>
        <v>0</v>
      </c>
    </row>
    <row r="3523" spans="7:22" x14ac:dyDescent="0.25">
      <c r="G3523">
        <f>Data!B3535</f>
        <v>0</v>
      </c>
      <c r="H3523" s="21">
        <f>Data!B3535</f>
        <v>0</v>
      </c>
      <c r="I3523" s="21">
        <f>Data!C3535</f>
        <v>0</v>
      </c>
      <c r="J3523">
        <f>Data!D3535</f>
        <v>0</v>
      </c>
      <c r="K3523">
        <f>Data!E3535</f>
        <v>0</v>
      </c>
      <c r="L3523">
        <f>Data!F3535</f>
        <v>0</v>
      </c>
      <c r="M3523">
        <f>Data!G3535</f>
        <v>0</v>
      </c>
      <c r="N3523">
        <f>Data!H3535</f>
        <v>0</v>
      </c>
      <c r="O3523">
        <f>Data!I3535</f>
        <v>0</v>
      </c>
      <c r="P3523" s="21">
        <f>Data!J3539</f>
        <v>0</v>
      </c>
      <c r="Q3523">
        <f>Data!K3539</f>
        <v>0</v>
      </c>
      <c r="R3523">
        <f>Data!L3539</f>
        <v>0</v>
      </c>
      <c r="S3523">
        <f>Data!M3539</f>
        <v>0</v>
      </c>
      <c r="T3523">
        <f>Data!N3539</f>
        <v>0</v>
      </c>
      <c r="U3523">
        <f>Data!O3539</f>
        <v>0</v>
      </c>
      <c r="V3523" s="33">
        <f>Data!P3537</f>
        <v>0</v>
      </c>
    </row>
    <row r="3524" spans="7:22" x14ac:dyDescent="0.25">
      <c r="G3524">
        <f>Data!B3536</f>
        <v>0</v>
      </c>
      <c r="H3524" s="21">
        <f>Data!B3536</f>
        <v>0</v>
      </c>
      <c r="I3524" s="21">
        <f>Data!C3536</f>
        <v>0</v>
      </c>
      <c r="J3524">
        <f>Data!D3536</f>
        <v>0</v>
      </c>
      <c r="K3524">
        <f>Data!E3536</f>
        <v>0</v>
      </c>
      <c r="L3524">
        <f>Data!F3536</f>
        <v>0</v>
      </c>
      <c r="M3524">
        <f>Data!G3536</f>
        <v>0</v>
      </c>
      <c r="N3524">
        <f>Data!H3536</f>
        <v>0</v>
      </c>
      <c r="O3524">
        <f>Data!I3536</f>
        <v>0</v>
      </c>
      <c r="P3524" s="21">
        <f>Data!J3540</f>
        <v>0</v>
      </c>
      <c r="Q3524">
        <f>Data!K3540</f>
        <v>0</v>
      </c>
      <c r="R3524">
        <f>Data!L3540</f>
        <v>0</v>
      </c>
      <c r="S3524">
        <f>Data!M3540</f>
        <v>0</v>
      </c>
      <c r="T3524">
        <f>Data!N3540</f>
        <v>0</v>
      </c>
      <c r="U3524">
        <f>Data!O3540</f>
        <v>0</v>
      </c>
      <c r="V3524" s="33">
        <f>Data!P3538</f>
        <v>0</v>
      </c>
    </row>
    <row r="3525" spans="7:22" x14ac:dyDescent="0.25">
      <c r="G3525">
        <f>Data!B3537</f>
        <v>0</v>
      </c>
      <c r="H3525" s="21">
        <f>Data!B3537</f>
        <v>0</v>
      </c>
      <c r="I3525" s="21">
        <f>Data!C3537</f>
        <v>0</v>
      </c>
      <c r="J3525">
        <f>Data!D3537</f>
        <v>0</v>
      </c>
      <c r="K3525">
        <f>Data!E3537</f>
        <v>0</v>
      </c>
      <c r="L3525">
        <f>Data!F3537</f>
        <v>0</v>
      </c>
      <c r="M3525">
        <f>Data!G3537</f>
        <v>0</v>
      </c>
      <c r="N3525">
        <f>Data!H3537</f>
        <v>0</v>
      </c>
      <c r="O3525">
        <f>Data!I3537</f>
        <v>0</v>
      </c>
      <c r="P3525" s="21">
        <f>Data!J3541</f>
        <v>0</v>
      </c>
      <c r="Q3525">
        <f>Data!K3541</f>
        <v>0</v>
      </c>
      <c r="R3525">
        <f>Data!L3541</f>
        <v>0</v>
      </c>
      <c r="S3525">
        <f>Data!M3541</f>
        <v>0</v>
      </c>
      <c r="T3525">
        <f>Data!N3541</f>
        <v>0</v>
      </c>
      <c r="U3525">
        <f>Data!O3541</f>
        <v>0</v>
      </c>
      <c r="V3525" s="33">
        <f>Data!P3539</f>
        <v>0</v>
      </c>
    </row>
    <row r="3526" spans="7:22" x14ac:dyDescent="0.25">
      <c r="G3526">
        <f>Data!B3538</f>
        <v>0</v>
      </c>
      <c r="H3526" s="21">
        <f>Data!B3538</f>
        <v>0</v>
      </c>
      <c r="I3526" s="21">
        <f>Data!C3538</f>
        <v>0</v>
      </c>
      <c r="J3526">
        <f>Data!D3538</f>
        <v>0</v>
      </c>
      <c r="K3526">
        <f>Data!E3538</f>
        <v>0</v>
      </c>
      <c r="L3526">
        <f>Data!F3538</f>
        <v>0</v>
      </c>
      <c r="M3526">
        <f>Data!G3538</f>
        <v>0</v>
      </c>
      <c r="N3526">
        <f>Data!H3538</f>
        <v>0</v>
      </c>
      <c r="O3526">
        <f>Data!I3538</f>
        <v>0</v>
      </c>
      <c r="P3526" s="21">
        <f>Data!J3542</f>
        <v>0</v>
      </c>
      <c r="Q3526">
        <f>Data!K3542</f>
        <v>0</v>
      </c>
      <c r="R3526">
        <f>Data!L3542</f>
        <v>0</v>
      </c>
      <c r="S3526">
        <f>Data!M3542</f>
        <v>0</v>
      </c>
      <c r="T3526">
        <f>Data!N3542</f>
        <v>0</v>
      </c>
      <c r="U3526">
        <f>Data!O3542</f>
        <v>0</v>
      </c>
      <c r="V3526" s="33">
        <f>Data!P3540</f>
        <v>0</v>
      </c>
    </row>
    <row r="3527" spans="7:22" x14ac:dyDescent="0.25">
      <c r="G3527">
        <f>Data!B3539</f>
        <v>0</v>
      </c>
      <c r="H3527" s="21">
        <f>Data!B3539</f>
        <v>0</v>
      </c>
      <c r="I3527" s="21">
        <f>Data!C3539</f>
        <v>0</v>
      </c>
      <c r="J3527">
        <f>Data!D3539</f>
        <v>0</v>
      </c>
      <c r="K3527">
        <f>Data!E3539</f>
        <v>0</v>
      </c>
      <c r="L3527">
        <f>Data!F3539</f>
        <v>0</v>
      </c>
      <c r="M3527">
        <f>Data!G3539</f>
        <v>0</v>
      </c>
      <c r="N3527">
        <f>Data!H3539</f>
        <v>0</v>
      </c>
      <c r="O3527">
        <f>Data!I3539</f>
        <v>0</v>
      </c>
      <c r="P3527" s="21">
        <f>Data!J3543</f>
        <v>0</v>
      </c>
      <c r="Q3527">
        <f>Data!K3543</f>
        <v>0</v>
      </c>
      <c r="R3527">
        <f>Data!L3543</f>
        <v>0</v>
      </c>
      <c r="S3527">
        <f>Data!M3543</f>
        <v>0</v>
      </c>
      <c r="T3527">
        <f>Data!N3543</f>
        <v>0</v>
      </c>
      <c r="U3527">
        <f>Data!O3543</f>
        <v>0</v>
      </c>
      <c r="V3527" s="33">
        <f>Data!P3541</f>
        <v>0</v>
      </c>
    </row>
    <row r="3528" spans="7:22" x14ac:dyDescent="0.25">
      <c r="G3528">
        <f>Data!B3540</f>
        <v>0</v>
      </c>
      <c r="H3528" s="21">
        <f>Data!B3540</f>
        <v>0</v>
      </c>
      <c r="I3528" s="21">
        <f>Data!C3540</f>
        <v>0</v>
      </c>
      <c r="J3528">
        <f>Data!D3540</f>
        <v>0</v>
      </c>
      <c r="K3528">
        <f>Data!E3540</f>
        <v>0</v>
      </c>
      <c r="L3528">
        <f>Data!F3540</f>
        <v>0</v>
      </c>
      <c r="M3528">
        <f>Data!G3540</f>
        <v>0</v>
      </c>
      <c r="N3528">
        <f>Data!H3540</f>
        <v>0</v>
      </c>
      <c r="O3528">
        <f>Data!I3540</f>
        <v>0</v>
      </c>
      <c r="P3528" s="21">
        <f>Data!J3544</f>
        <v>0</v>
      </c>
      <c r="Q3528">
        <f>Data!K3544</f>
        <v>0</v>
      </c>
      <c r="R3528">
        <f>Data!L3544</f>
        <v>0</v>
      </c>
      <c r="S3528">
        <f>Data!M3544</f>
        <v>0</v>
      </c>
      <c r="T3528">
        <f>Data!N3544</f>
        <v>0</v>
      </c>
      <c r="U3528">
        <f>Data!O3544</f>
        <v>0</v>
      </c>
      <c r="V3528" s="33">
        <f>Data!P3542</f>
        <v>0</v>
      </c>
    </row>
    <row r="3529" spans="7:22" x14ac:dyDescent="0.25">
      <c r="G3529">
        <f>Data!B3541</f>
        <v>0</v>
      </c>
      <c r="H3529" s="21">
        <f>Data!B3541</f>
        <v>0</v>
      </c>
      <c r="I3529" s="21">
        <f>Data!C3541</f>
        <v>0</v>
      </c>
      <c r="J3529">
        <f>Data!D3541</f>
        <v>0</v>
      </c>
      <c r="K3529">
        <f>Data!E3541</f>
        <v>0</v>
      </c>
      <c r="L3529">
        <f>Data!F3541</f>
        <v>0</v>
      </c>
      <c r="M3529">
        <f>Data!G3541</f>
        <v>0</v>
      </c>
      <c r="N3529">
        <f>Data!H3541</f>
        <v>0</v>
      </c>
      <c r="O3529">
        <f>Data!I3541</f>
        <v>0</v>
      </c>
      <c r="P3529" s="21">
        <f>Data!J3545</f>
        <v>0</v>
      </c>
      <c r="Q3529">
        <f>Data!K3545</f>
        <v>0</v>
      </c>
      <c r="R3529">
        <f>Data!L3545</f>
        <v>0</v>
      </c>
      <c r="S3529">
        <f>Data!M3545</f>
        <v>0</v>
      </c>
      <c r="T3529">
        <f>Data!N3545</f>
        <v>0</v>
      </c>
      <c r="U3529">
        <f>Data!O3545</f>
        <v>0</v>
      </c>
      <c r="V3529" s="33">
        <f>Data!P3543</f>
        <v>0</v>
      </c>
    </row>
    <row r="3530" spans="7:22" x14ac:dyDescent="0.25">
      <c r="G3530">
        <f>Data!B3542</f>
        <v>0</v>
      </c>
      <c r="H3530" s="21">
        <f>Data!B3542</f>
        <v>0</v>
      </c>
      <c r="I3530" s="21">
        <f>Data!C3542</f>
        <v>0</v>
      </c>
      <c r="J3530">
        <f>Data!D3542</f>
        <v>0</v>
      </c>
      <c r="K3530">
        <f>Data!E3542</f>
        <v>0</v>
      </c>
      <c r="L3530">
        <f>Data!F3542</f>
        <v>0</v>
      </c>
      <c r="M3530">
        <f>Data!G3542</f>
        <v>0</v>
      </c>
      <c r="N3530">
        <f>Data!H3542</f>
        <v>0</v>
      </c>
      <c r="O3530">
        <f>Data!I3542</f>
        <v>0</v>
      </c>
      <c r="P3530" s="21">
        <f>Data!J3546</f>
        <v>0</v>
      </c>
      <c r="Q3530">
        <f>Data!K3546</f>
        <v>0</v>
      </c>
      <c r="R3530">
        <f>Data!L3546</f>
        <v>0</v>
      </c>
      <c r="S3530">
        <f>Data!M3546</f>
        <v>0</v>
      </c>
      <c r="T3530">
        <f>Data!N3546</f>
        <v>0</v>
      </c>
      <c r="U3530">
        <f>Data!O3546</f>
        <v>0</v>
      </c>
      <c r="V3530" s="33">
        <f>Data!P3544</f>
        <v>0</v>
      </c>
    </row>
    <row r="3531" spans="7:22" x14ac:dyDescent="0.25">
      <c r="G3531">
        <f>Data!B3543</f>
        <v>0</v>
      </c>
      <c r="H3531" s="21">
        <f>Data!B3543</f>
        <v>0</v>
      </c>
      <c r="I3531" s="21">
        <f>Data!C3543</f>
        <v>0</v>
      </c>
      <c r="J3531">
        <f>Data!D3543</f>
        <v>0</v>
      </c>
      <c r="K3531">
        <f>Data!E3543</f>
        <v>0</v>
      </c>
      <c r="L3531">
        <f>Data!F3543</f>
        <v>0</v>
      </c>
      <c r="M3531">
        <f>Data!G3543</f>
        <v>0</v>
      </c>
      <c r="N3531">
        <f>Data!H3543</f>
        <v>0</v>
      </c>
      <c r="O3531">
        <f>Data!I3543</f>
        <v>0</v>
      </c>
      <c r="P3531" s="21">
        <f>Data!J3547</f>
        <v>0</v>
      </c>
      <c r="Q3531">
        <f>Data!K3547</f>
        <v>0</v>
      </c>
      <c r="R3531">
        <f>Data!L3547</f>
        <v>0</v>
      </c>
      <c r="S3531">
        <f>Data!M3547</f>
        <v>0</v>
      </c>
      <c r="T3531">
        <f>Data!N3547</f>
        <v>0</v>
      </c>
      <c r="U3531">
        <f>Data!O3547</f>
        <v>0</v>
      </c>
      <c r="V3531" s="33">
        <f>Data!P3545</f>
        <v>0</v>
      </c>
    </row>
    <row r="3532" spans="7:22" x14ac:dyDescent="0.25">
      <c r="G3532">
        <f>Data!B3544</f>
        <v>0</v>
      </c>
      <c r="H3532" s="21">
        <f>Data!B3544</f>
        <v>0</v>
      </c>
      <c r="I3532" s="21">
        <f>Data!C3544</f>
        <v>0</v>
      </c>
      <c r="J3532">
        <f>Data!D3544</f>
        <v>0</v>
      </c>
      <c r="K3532">
        <f>Data!E3544</f>
        <v>0</v>
      </c>
      <c r="L3532">
        <f>Data!F3544</f>
        <v>0</v>
      </c>
      <c r="M3532">
        <f>Data!G3544</f>
        <v>0</v>
      </c>
      <c r="N3532">
        <f>Data!H3544</f>
        <v>0</v>
      </c>
      <c r="O3532">
        <f>Data!I3544</f>
        <v>0</v>
      </c>
      <c r="P3532" s="21">
        <f>Data!J3548</f>
        <v>0</v>
      </c>
      <c r="Q3532">
        <f>Data!K3548</f>
        <v>0</v>
      </c>
      <c r="R3532">
        <f>Data!L3548</f>
        <v>0</v>
      </c>
      <c r="S3532">
        <f>Data!M3548</f>
        <v>0</v>
      </c>
      <c r="T3532">
        <f>Data!N3548</f>
        <v>0</v>
      </c>
      <c r="U3532">
        <f>Data!O3548</f>
        <v>0</v>
      </c>
      <c r="V3532" s="33">
        <f>Data!P3546</f>
        <v>0</v>
      </c>
    </row>
    <row r="3533" spans="7:22" x14ac:dyDescent="0.25">
      <c r="G3533">
        <f>Data!B3545</f>
        <v>0</v>
      </c>
      <c r="H3533" s="21">
        <f>Data!B3545</f>
        <v>0</v>
      </c>
      <c r="I3533" s="21">
        <f>Data!C3545</f>
        <v>0</v>
      </c>
      <c r="J3533">
        <f>Data!D3545</f>
        <v>0</v>
      </c>
      <c r="K3533">
        <f>Data!E3545</f>
        <v>0</v>
      </c>
      <c r="L3533">
        <f>Data!F3545</f>
        <v>0</v>
      </c>
      <c r="M3533">
        <f>Data!G3545</f>
        <v>0</v>
      </c>
      <c r="N3533">
        <f>Data!H3545</f>
        <v>0</v>
      </c>
      <c r="O3533">
        <f>Data!I3545</f>
        <v>0</v>
      </c>
      <c r="P3533" s="21">
        <f>Data!J3549</f>
        <v>0</v>
      </c>
      <c r="Q3533">
        <f>Data!K3549</f>
        <v>0</v>
      </c>
      <c r="R3533">
        <f>Data!L3549</f>
        <v>0</v>
      </c>
      <c r="S3533">
        <f>Data!M3549</f>
        <v>0</v>
      </c>
      <c r="T3533">
        <f>Data!N3549</f>
        <v>0</v>
      </c>
      <c r="U3533">
        <f>Data!O3549</f>
        <v>0</v>
      </c>
      <c r="V3533" s="33">
        <f>Data!P3547</f>
        <v>0</v>
      </c>
    </row>
    <row r="3534" spans="7:22" x14ac:dyDescent="0.25">
      <c r="G3534">
        <f>Data!B3546</f>
        <v>0</v>
      </c>
      <c r="H3534" s="21">
        <f>Data!B3546</f>
        <v>0</v>
      </c>
      <c r="I3534" s="21">
        <f>Data!C3546</f>
        <v>0</v>
      </c>
      <c r="J3534">
        <f>Data!D3546</f>
        <v>0</v>
      </c>
      <c r="K3534">
        <f>Data!E3546</f>
        <v>0</v>
      </c>
      <c r="L3534">
        <f>Data!F3546</f>
        <v>0</v>
      </c>
      <c r="M3534">
        <f>Data!G3546</f>
        <v>0</v>
      </c>
      <c r="N3534">
        <f>Data!H3546</f>
        <v>0</v>
      </c>
      <c r="O3534">
        <f>Data!I3546</f>
        <v>0</v>
      </c>
      <c r="P3534" s="21">
        <f>Data!J3550</f>
        <v>0</v>
      </c>
      <c r="Q3534">
        <f>Data!K3550</f>
        <v>0</v>
      </c>
      <c r="R3534">
        <f>Data!L3550</f>
        <v>0</v>
      </c>
      <c r="S3534">
        <f>Data!M3550</f>
        <v>0</v>
      </c>
      <c r="T3534">
        <f>Data!N3550</f>
        <v>0</v>
      </c>
      <c r="U3534">
        <f>Data!O3550</f>
        <v>0</v>
      </c>
      <c r="V3534" s="33">
        <f>Data!P3548</f>
        <v>0</v>
      </c>
    </row>
    <row r="3535" spans="7:22" x14ac:dyDescent="0.25">
      <c r="G3535">
        <f>Data!B3547</f>
        <v>0</v>
      </c>
      <c r="H3535" s="21">
        <f>Data!B3547</f>
        <v>0</v>
      </c>
      <c r="I3535" s="21">
        <f>Data!C3547</f>
        <v>0</v>
      </c>
      <c r="J3535">
        <f>Data!D3547</f>
        <v>0</v>
      </c>
      <c r="K3535">
        <f>Data!E3547</f>
        <v>0</v>
      </c>
      <c r="L3535">
        <f>Data!F3547</f>
        <v>0</v>
      </c>
      <c r="M3535">
        <f>Data!G3547</f>
        <v>0</v>
      </c>
      <c r="N3535">
        <f>Data!H3547</f>
        <v>0</v>
      </c>
      <c r="O3535">
        <f>Data!I3547</f>
        <v>0</v>
      </c>
      <c r="P3535" s="21">
        <f>Data!J3551</f>
        <v>0</v>
      </c>
      <c r="Q3535">
        <f>Data!K3551</f>
        <v>0</v>
      </c>
      <c r="R3535">
        <f>Data!L3551</f>
        <v>0</v>
      </c>
      <c r="S3535">
        <f>Data!M3551</f>
        <v>0</v>
      </c>
      <c r="T3535">
        <f>Data!N3551</f>
        <v>0</v>
      </c>
      <c r="U3535">
        <f>Data!O3551</f>
        <v>0</v>
      </c>
      <c r="V3535" s="33">
        <f>Data!P3549</f>
        <v>0</v>
      </c>
    </row>
    <row r="3536" spans="7:22" x14ac:dyDescent="0.25">
      <c r="G3536">
        <f>Data!B3548</f>
        <v>0</v>
      </c>
      <c r="H3536" s="21">
        <f>Data!B3548</f>
        <v>0</v>
      </c>
      <c r="I3536" s="21">
        <f>Data!C3548</f>
        <v>0</v>
      </c>
      <c r="J3536">
        <f>Data!D3548</f>
        <v>0</v>
      </c>
      <c r="K3536">
        <f>Data!E3548</f>
        <v>0</v>
      </c>
      <c r="L3536">
        <f>Data!F3548</f>
        <v>0</v>
      </c>
      <c r="M3536">
        <f>Data!G3548</f>
        <v>0</v>
      </c>
      <c r="N3536">
        <f>Data!H3548</f>
        <v>0</v>
      </c>
      <c r="O3536">
        <f>Data!I3548</f>
        <v>0</v>
      </c>
      <c r="P3536" s="21">
        <f>Data!J3552</f>
        <v>0</v>
      </c>
      <c r="Q3536">
        <f>Data!K3552</f>
        <v>0</v>
      </c>
      <c r="R3536">
        <f>Data!L3552</f>
        <v>0</v>
      </c>
      <c r="S3536">
        <f>Data!M3552</f>
        <v>0</v>
      </c>
      <c r="T3536">
        <f>Data!N3552</f>
        <v>0</v>
      </c>
      <c r="U3536">
        <f>Data!O3552</f>
        <v>0</v>
      </c>
      <c r="V3536" s="33">
        <f>Data!P3550</f>
        <v>0</v>
      </c>
    </row>
    <row r="3537" spans="7:22" x14ac:dyDescent="0.25">
      <c r="G3537">
        <f>Data!B3549</f>
        <v>0</v>
      </c>
      <c r="H3537" s="21">
        <f>Data!B3549</f>
        <v>0</v>
      </c>
      <c r="I3537" s="21">
        <f>Data!C3549</f>
        <v>0</v>
      </c>
      <c r="J3537">
        <f>Data!D3549</f>
        <v>0</v>
      </c>
      <c r="K3537">
        <f>Data!E3549</f>
        <v>0</v>
      </c>
      <c r="L3537">
        <f>Data!F3549</f>
        <v>0</v>
      </c>
      <c r="M3537">
        <f>Data!G3549</f>
        <v>0</v>
      </c>
      <c r="N3537">
        <f>Data!H3549</f>
        <v>0</v>
      </c>
      <c r="O3537">
        <f>Data!I3549</f>
        <v>0</v>
      </c>
      <c r="P3537" s="21">
        <f>Data!J3553</f>
        <v>0</v>
      </c>
      <c r="Q3537">
        <f>Data!K3553</f>
        <v>0</v>
      </c>
      <c r="R3537">
        <f>Data!L3553</f>
        <v>0</v>
      </c>
      <c r="S3537">
        <f>Data!M3553</f>
        <v>0</v>
      </c>
      <c r="T3537">
        <f>Data!N3553</f>
        <v>0</v>
      </c>
      <c r="U3537">
        <f>Data!O3553</f>
        <v>0</v>
      </c>
      <c r="V3537" s="33">
        <f>Data!P3551</f>
        <v>0</v>
      </c>
    </row>
    <row r="3538" spans="7:22" x14ac:dyDescent="0.25">
      <c r="G3538">
        <f>Data!B3550</f>
        <v>0</v>
      </c>
      <c r="H3538" s="21">
        <f>Data!B3550</f>
        <v>0</v>
      </c>
      <c r="I3538" s="21">
        <f>Data!C3550</f>
        <v>0</v>
      </c>
      <c r="J3538">
        <f>Data!D3550</f>
        <v>0</v>
      </c>
      <c r="K3538">
        <f>Data!E3550</f>
        <v>0</v>
      </c>
      <c r="L3538">
        <f>Data!F3550</f>
        <v>0</v>
      </c>
      <c r="M3538">
        <f>Data!G3550</f>
        <v>0</v>
      </c>
      <c r="N3538">
        <f>Data!H3550</f>
        <v>0</v>
      </c>
      <c r="O3538">
        <f>Data!I3550</f>
        <v>0</v>
      </c>
      <c r="P3538" s="21">
        <f>Data!J3554</f>
        <v>0</v>
      </c>
      <c r="Q3538">
        <f>Data!K3554</f>
        <v>0</v>
      </c>
      <c r="R3538">
        <f>Data!L3554</f>
        <v>0</v>
      </c>
      <c r="S3538">
        <f>Data!M3554</f>
        <v>0</v>
      </c>
      <c r="T3538">
        <f>Data!N3554</f>
        <v>0</v>
      </c>
      <c r="U3538">
        <f>Data!O3554</f>
        <v>0</v>
      </c>
      <c r="V3538" s="33">
        <f>Data!P3552</f>
        <v>0</v>
      </c>
    </row>
    <row r="3539" spans="7:22" x14ac:dyDescent="0.25">
      <c r="G3539">
        <f>Data!B3551</f>
        <v>0</v>
      </c>
      <c r="H3539" s="21">
        <f>Data!B3551</f>
        <v>0</v>
      </c>
      <c r="I3539" s="21">
        <f>Data!C3551</f>
        <v>0</v>
      </c>
      <c r="J3539">
        <f>Data!D3551</f>
        <v>0</v>
      </c>
      <c r="K3539">
        <f>Data!E3551</f>
        <v>0</v>
      </c>
      <c r="L3539">
        <f>Data!F3551</f>
        <v>0</v>
      </c>
      <c r="M3539">
        <f>Data!G3551</f>
        <v>0</v>
      </c>
      <c r="N3539">
        <f>Data!H3551</f>
        <v>0</v>
      </c>
      <c r="O3539">
        <f>Data!I3551</f>
        <v>0</v>
      </c>
      <c r="P3539" s="21">
        <f>Data!J3555</f>
        <v>0</v>
      </c>
      <c r="Q3539">
        <f>Data!K3555</f>
        <v>0</v>
      </c>
      <c r="R3539">
        <f>Data!L3555</f>
        <v>0</v>
      </c>
      <c r="S3539">
        <f>Data!M3555</f>
        <v>0</v>
      </c>
      <c r="T3539">
        <f>Data!N3555</f>
        <v>0</v>
      </c>
      <c r="U3539">
        <f>Data!O3555</f>
        <v>0</v>
      </c>
      <c r="V3539" s="33">
        <f>Data!P3553</f>
        <v>0</v>
      </c>
    </row>
    <row r="3540" spans="7:22" x14ac:dyDescent="0.25">
      <c r="G3540">
        <f>Data!B3552</f>
        <v>0</v>
      </c>
      <c r="H3540" s="21">
        <f>Data!B3552</f>
        <v>0</v>
      </c>
      <c r="I3540" s="21">
        <f>Data!C3552</f>
        <v>0</v>
      </c>
      <c r="J3540">
        <f>Data!D3552</f>
        <v>0</v>
      </c>
      <c r="K3540">
        <f>Data!E3552</f>
        <v>0</v>
      </c>
      <c r="L3540">
        <f>Data!F3552</f>
        <v>0</v>
      </c>
      <c r="M3540">
        <f>Data!G3552</f>
        <v>0</v>
      </c>
      <c r="N3540">
        <f>Data!H3552</f>
        <v>0</v>
      </c>
      <c r="O3540">
        <f>Data!I3552</f>
        <v>0</v>
      </c>
      <c r="P3540" s="21">
        <f>Data!J3556</f>
        <v>0</v>
      </c>
      <c r="Q3540">
        <f>Data!K3556</f>
        <v>0</v>
      </c>
      <c r="R3540">
        <f>Data!L3556</f>
        <v>0</v>
      </c>
      <c r="S3540">
        <f>Data!M3556</f>
        <v>0</v>
      </c>
      <c r="T3540">
        <f>Data!N3556</f>
        <v>0</v>
      </c>
      <c r="U3540">
        <f>Data!O3556</f>
        <v>0</v>
      </c>
      <c r="V3540" s="33">
        <f>Data!P3554</f>
        <v>0</v>
      </c>
    </row>
    <row r="3541" spans="7:22" x14ac:dyDescent="0.25">
      <c r="G3541">
        <f>Data!B3553</f>
        <v>0</v>
      </c>
      <c r="H3541" s="21">
        <f>Data!B3553</f>
        <v>0</v>
      </c>
      <c r="I3541" s="21">
        <f>Data!C3553</f>
        <v>0</v>
      </c>
      <c r="J3541">
        <f>Data!D3553</f>
        <v>0</v>
      </c>
      <c r="K3541">
        <f>Data!E3553</f>
        <v>0</v>
      </c>
      <c r="L3541">
        <f>Data!F3553</f>
        <v>0</v>
      </c>
      <c r="M3541">
        <f>Data!G3553</f>
        <v>0</v>
      </c>
      <c r="N3541">
        <f>Data!H3553</f>
        <v>0</v>
      </c>
      <c r="O3541">
        <f>Data!I3553</f>
        <v>0</v>
      </c>
      <c r="P3541" s="21">
        <f>Data!J3557</f>
        <v>0</v>
      </c>
      <c r="Q3541">
        <f>Data!K3557</f>
        <v>0</v>
      </c>
      <c r="R3541">
        <f>Data!L3557</f>
        <v>0</v>
      </c>
      <c r="S3541">
        <f>Data!M3557</f>
        <v>0</v>
      </c>
      <c r="T3541">
        <f>Data!N3557</f>
        <v>0</v>
      </c>
      <c r="U3541">
        <f>Data!O3557</f>
        <v>0</v>
      </c>
      <c r="V3541" s="33">
        <f>Data!P3555</f>
        <v>0</v>
      </c>
    </row>
    <row r="3542" spans="7:22" x14ac:dyDescent="0.25">
      <c r="G3542">
        <f>Data!B3554</f>
        <v>0</v>
      </c>
      <c r="H3542" s="21">
        <f>Data!B3554</f>
        <v>0</v>
      </c>
      <c r="I3542" s="21">
        <f>Data!C3554</f>
        <v>0</v>
      </c>
      <c r="J3542">
        <f>Data!D3554</f>
        <v>0</v>
      </c>
      <c r="K3542">
        <f>Data!E3554</f>
        <v>0</v>
      </c>
      <c r="L3542">
        <f>Data!F3554</f>
        <v>0</v>
      </c>
      <c r="M3542">
        <f>Data!G3554</f>
        <v>0</v>
      </c>
      <c r="N3542">
        <f>Data!H3554</f>
        <v>0</v>
      </c>
      <c r="O3542">
        <f>Data!I3554</f>
        <v>0</v>
      </c>
      <c r="P3542" s="21">
        <f>Data!J3558</f>
        <v>0</v>
      </c>
      <c r="Q3542">
        <f>Data!K3558</f>
        <v>0</v>
      </c>
      <c r="R3542">
        <f>Data!L3558</f>
        <v>0</v>
      </c>
      <c r="S3542">
        <f>Data!M3558</f>
        <v>0</v>
      </c>
      <c r="T3542">
        <f>Data!N3558</f>
        <v>0</v>
      </c>
      <c r="U3542">
        <f>Data!O3558</f>
        <v>0</v>
      </c>
      <c r="V3542" s="33">
        <f>Data!P3556</f>
        <v>0</v>
      </c>
    </row>
    <row r="3543" spans="7:22" x14ac:dyDescent="0.25">
      <c r="G3543">
        <f>Data!B3555</f>
        <v>0</v>
      </c>
      <c r="H3543" s="21">
        <f>Data!B3555</f>
        <v>0</v>
      </c>
      <c r="I3543" s="21">
        <f>Data!C3555</f>
        <v>0</v>
      </c>
      <c r="J3543">
        <f>Data!D3555</f>
        <v>0</v>
      </c>
      <c r="K3543">
        <f>Data!E3555</f>
        <v>0</v>
      </c>
      <c r="L3543">
        <f>Data!F3555</f>
        <v>0</v>
      </c>
      <c r="M3543">
        <f>Data!G3555</f>
        <v>0</v>
      </c>
      <c r="N3543">
        <f>Data!H3555</f>
        <v>0</v>
      </c>
      <c r="O3543">
        <f>Data!I3555</f>
        <v>0</v>
      </c>
      <c r="P3543" s="21">
        <f>Data!J3559</f>
        <v>0</v>
      </c>
      <c r="Q3543">
        <f>Data!K3559</f>
        <v>0</v>
      </c>
      <c r="R3543">
        <f>Data!L3559</f>
        <v>0</v>
      </c>
      <c r="S3543">
        <f>Data!M3559</f>
        <v>0</v>
      </c>
      <c r="T3543">
        <f>Data!N3559</f>
        <v>0</v>
      </c>
      <c r="U3543">
        <f>Data!O3559</f>
        <v>0</v>
      </c>
      <c r="V3543" s="33">
        <f>Data!P3557</f>
        <v>0</v>
      </c>
    </row>
    <row r="3544" spans="7:22" x14ac:dyDescent="0.25">
      <c r="G3544">
        <f>Data!B3556</f>
        <v>0</v>
      </c>
      <c r="H3544" s="21">
        <f>Data!B3556</f>
        <v>0</v>
      </c>
      <c r="I3544" s="21">
        <f>Data!C3556</f>
        <v>0</v>
      </c>
      <c r="J3544">
        <f>Data!D3556</f>
        <v>0</v>
      </c>
      <c r="K3544">
        <f>Data!E3556</f>
        <v>0</v>
      </c>
      <c r="L3544">
        <f>Data!F3556</f>
        <v>0</v>
      </c>
      <c r="M3544">
        <f>Data!G3556</f>
        <v>0</v>
      </c>
      <c r="N3544">
        <f>Data!H3556</f>
        <v>0</v>
      </c>
      <c r="O3544">
        <f>Data!I3556</f>
        <v>0</v>
      </c>
      <c r="P3544" s="21">
        <f>Data!J3560</f>
        <v>0</v>
      </c>
      <c r="Q3544">
        <f>Data!K3560</f>
        <v>0</v>
      </c>
      <c r="R3544">
        <f>Data!L3560</f>
        <v>0</v>
      </c>
      <c r="S3544">
        <f>Data!M3560</f>
        <v>0</v>
      </c>
      <c r="T3544">
        <f>Data!N3560</f>
        <v>0</v>
      </c>
      <c r="U3544">
        <f>Data!O3560</f>
        <v>0</v>
      </c>
      <c r="V3544" s="33">
        <f>Data!P3558</f>
        <v>0</v>
      </c>
    </row>
    <row r="3545" spans="7:22" x14ac:dyDescent="0.25">
      <c r="G3545">
        <f>Data!B3557</f>
        <v>0</v>
      </c>
      <c r="H3545" s="21">
        <f>Data!B3557</f>
        <v>0</v>
      </c>
      <c r="I3545" s="21">
        <f>Data!C3557</f>
        <v>0</v>
      </c>
      <c r="J3545">
        <f>Data!D3557</f>
        <v>0</v>
      </c>
      <c r="K3545">
        <f>Data!E3557</f>
        <v>0</v>
      </c>
      <c r="L3545">
        <f>Data!F3557</f>
        <v>0</v>
      </c>
      <c r="M3545">
        <f>Data!G3557</f>
        <v>0</v>
      </c>
      <c r="N3545">
        <f>Data!H3557</f>
        <v>0</v>
      </c>
      <c r="O3545">
        <f>Data!I3557</f>
        <v>0</v>
      </c>
      <c r="P3545" s="21">
        <f>Data!J3561</f>
        <v>0</v>
      </c>
      <c r="Q3545">
        <f>Data!K3561</f>
        <v>0</v>
      </c>
      <c r="R3545">
        <f>Data!L3561</f>
        <v>0</v>
      </c>
      <c r="S3545">
        <f>Data!M3561</f>
        <v>0</v>
      </c>
      <c r="T3545">
        <f>Data!N3561</f>
        <v>0</v>
      </c>
      <c r="U3545">
        <f>Data!O3561</f>
        <v>0</v>
      </c>
      <c r="V3545" s="33">
        <f>Data!P3559</f>
        <v>0</v>
      </c>
    </row>
    <row r="3546" spans="7:22" x14ac:dyDescent="0.25">
      <c r="G3546">
        <f>Data!B3558</f>
        <v>0</v>
      </c>
      <c r="H3546" s="21">
        <f>Data!B3558</f>
        <v>0</v>
      </c>
      <c r="I3546" s="21">
        <f>Data!C3558</f>
        <v>0</v>
      </c>
      <c r="J3546">
        <f>Data!D3558</f>
        <v>0</v>
      </c>
      <c r="K3546">
        <f>Data!E3558</f>
        <v>0</v>
      </c>
      <c r="L3546">
        <f>Data!F3558</f>
        <v>0</v>
      </c>
      <c r="M3546">
        <f>Data!G3558</f>
        <v>0</v>
      </c>
      <c r="N3546">
        <f>Data!H3558</f>
        <v>0</v>
      </c>
      <c r="O3546">
        <f>Data!I3558</f>
        <v>0</v>
      </c>
      <c r="P3546" s="21">
        <f>Data!J3562</f>
        <v>0</v>
      </c>
      <c r="Q3546">
        <f>Data!K3562</f>
        <v>0</v>
      </c>
      <c r="R3546">
        <f>Data!L3562</f>
        <v>0</v>
      </c>
      <c r="S3546">
        <f>Data!M3562</f>
        <v>0</v>
      </c>
      <c r="T3546">
        <f>Data!N3562</f>
        <v>0</v>
      </c>
      <c r="U3546">
        <f>Data!O3562</f>
        <v>0</v>
      </c>
      <c r="V3546" s="33">
        <f>Data!P3560</f>
        <v>0</v>
      </c>
    </row>
    <row r="3547" spans="7:22" x14ac:dyDescent="0.25">
      <c r="G3547">
        <f>Data!B3559</f>
        <v>0</v>
      </c>
      <c r="H3547" s="21">
        <f>Data!B3559</f>
        <v>0</v>
      </c>
      <c r="I3547" s="21">
        <f>Data!C3559</f>
        <v>0</v>
      </c>
      <c r="J3547">
        <f>Data!D3559</f>
        <v>0</v>
      </c>
      <c r="K3547">
        <f>Data!E3559</f>
        <v>0</v>
      </c>
      <c r="L3547">
        <f>Data!F3559</f>
        <v>0</v>
      </c>
      <c r="M3547">
        <f>Data!G3559</f>
        <v>0</v>
      </c>
      <c r="N3547">
        <f>Data!H3559</f>
        <v>0</v>
      </c>
      <c r="O3547">
        <f>Data!I3559</f>
        <v>0</v>
      </c>
      <c r="P3547" s="21">
        <f>Data!J3563</f>
        <v>0</v>
      </c>
      <c r="Q3547">
        <f>Data!K3563</f>
        <v>0</v>
      </c>
      <c r="R3547">
        <f>Data!L3563</f>
        <v>0</v>
      </c>
      <c r="S3547">
        <f>Data!M3563</f>
        <v>0</v>
      </c>
      <c r="T3547">
        <f>Data!N3563</f>
        <v>0</v>
      </c>
      <c r="U3547">
        <f>Data!O3563</f>
        <v>0</v>
      </c>
      <c r="V3547" s="33">
        <f>Data!P3561</f>
        <v>0</v>
      </c>
    </row>
    <row r="3548" spans="7:22" x14ac:dyDescent="0.25">
      <c r="G3548">
        <f>Data!B3560</f>
        <v>0</v>
      </c>
      <c r="H3548" s="21">
        <f>Data!B3560</f>
        <v>0</v>
      </c>
      <c r="I3548" s="21">
        <f>Data!C3560</f>
        <v>0</v>
      </c>
      <c r="J3548">
        <f>Data!D3560</f>
        <v>0</v>
      </c>
      <c r="K3548">
        <f>Data!E3560</f>
        <v>0</v>
      </c>
      <c r="L3548">
        <f>Data!F3560</f>
        <v>0</v>
      </c>
      <c r="M3548">
        <f>Data!G3560</f>
        <v>0</v>
      </c>
      <c r="N3548">
        <f>Data!H3560</f>
        <v>0</v>
      </c>
      <c r="O3548">
        <f>Data!I3560</f>
        <v>0</v>
      </c>
      <c r="P3548" s="21">
        <f>Data!J3564</f>
        <v>0</v>
      </c>
      <c r="Q3548">
        <f>Data!K3564</f>
        <v>0</v>
      </c>
      <c r="R3548">
        <f>Data!L3564</f>
        <v>0</v>
      </c>
      <c r="S3548">
        <f>Data!M3564</f>
        <v>0</v>
      </c>
      <c r="T3548">
        <f>Data!N3564</f>
        <v>0</v>
      </c>
      <c r="U3548">
        <f>Data!O3564</f>
        <v>0</v>
      </c>
      <c r="V3548" s="33">
        <f>Data!P3562</f>
        <v>0</v>
      </c>
    </row>
    <row r="3549" spans="7:22" x14ac:dyDescent="0.25">
      <c r="G3549">
        <f>Data!B3561</f>
        <v>0</v>
      </c>
      <c r="H3549" s="21">
        <f>Data!B3561</f>
        <v>0</v>
      </c>
      <c r="I3549" s="21">
        <f>Data!C3561</f>
        <v>0</v>
      </c>
      <c r="J3549">
        <f>Data!D3561</f>
        <v>0</v>
      </c>
      <c r="K3549">
        <f>Data!E3561</f>
        <v>0</v>
      </c>
      <c r="L3549">
        <f>Data!F3561</f>
        <v>0</v>
      </c>
      <c r="M3549">
        <f>Data!G3561</f>
        <v>0</v>
      </c>
      <c r="N3549">
        <f>Data!H3561</f>
        <v>0</v>
      </c>
      <c r="O3549">
        <f>Data!I3561</f>
        <v>0</v>
      </c>
      <c r="P3549" s="21">
        <f>Data!J3565</f>
        <v>0</v>
      </c>
      <c r="Q3549">
        <f>Data!K3565</f>
        <v>0</v>
      </c>
      <c r="R3549">
        <f>Data!L3565</f>
        <v>0</v>
      </c>
      <c r="S3549">
        <f>Data!M3565</f>
        <v>0</v>
      </c>
      <c r="T3549">
        <f>Data!N3565</f>
        <v>0</v>
      </c>
      <c r="U3549">
        <f>Data!O3565</f>
        <v>0</v>
      </c>
      <c r="V3549" s="33">
        <f>Data!P3563</f>
        <v>0</v>
      </c>
    </row>
    <row r="3550" spans="7:22" x14ac:dyDescent="0.25">
      <c r="G3550">
        <f>Data!B3562</f>
        <v>0</v>
      </c>
      <c r="H3550" s="21">
        <f>Data!B3562</f>
        <v>0</v>
      </c>
      <c r="I3550" s="21">
        <f>Data!C3562</f>
        <v>0</v>
      </c>
      <c r="J3550">
        <f>Data!D3562</f>
        <v>0</v>
      </c>
      <c r="K3550">
        <f>Data!E3562</f>
        <v>0</v>
      </c>
      <c r="L3550">
        <f>Data!F3562</f>
        <v>0</v>
      </c>
      <c r="M3550">
        <f>Data!G3562</f>
        <v>0</v>
      </c>
      <c r="N3550">
        <f>Data!H3562</f>
        <v>0</v>
      </c>
      <c r="O3550">
        <f>Data!I3562</f>
        <v>0</v>
      </c>
      <c r="P3550" s="21">
        <f>Data!J3566</f>
        <v>0</v>
      </c>
      <c r="Q3550">
        <f>Data!K3566</f>
        <v>0</v>
      </c>
      <c r="R3550">
        <f>Data!L3566</f>
        <v>0</v>
      </c>
      <c r="S3550">
        <f>Data!M3566</f>
        <v>0</v>
      </c>
      <c r="T3550">
        <f>Data!N3566</f>
        <v>0</v>
      </c>
      <c r="U3550">
        <f>Data!O3566</f>
        <v>0</v>
      </c>
      <c r="V3550" s="33">
        <f>Data!P3564</f>
        <v>0</v>
      </c>
    </row>
    <row r="3551" spans="7:22" x14ac:dyDescent="0.25">
      <c r="G3551">
        <f>Data!B3563</f>
        <v>0</v>
      </c>
      <c r="H3551" s="21">
        <f>Data!B3563</f>
        <v>0</v>
      </c>
      <c r="I3551" s="21">
        <f>Data!C3563</f>
        <v>0</v>
      </c>
      <c r="J3551">
        <f>Data!D3563</f>
        <v>0</v>
      </c>
      <c r="K3551">
        <f>Data!E3563</f>
        <v>0</v>
      </c>
      <c r="L3551">
        <f>Data!F3563</f>
        <v>0</v>
      </c>
      <c r="M3551">
        <f>Data!G3563</f>
        <v>0</v>
      </c>
      <c r="N3551">
        <f>Data!H3563</f>
        <v>0</v>
      </c>
      <c r="O3551">
        <f>Data!I3563</f>
        <v>0</v>
      </c>
      <c r="P3551" s="21">
        <f>Data!J3567</f>
        <v>0</v>
      </c>
      <c r="Q3551">
        <f>Data!K3567</f>
        <v>0</v>
      </c>
      <c r="R3551">
        <f>Data!L3567</f>
        <v>0</v>
      </c>
      <c r="S3551">
        <f>Data!M3567</f>
        <v>0</v>
      </c>
      <c r="T3551">
        <f>Data!N3567</f>
        <v>0</v>
      </c>
      <c r="U3551">
        <f>Data!O3567</f>
        <v>0</v>
      </c>
      <c r="V3551" s="33">
        <f>Data!P3565</f>
        <v>0</v>
      </c>
    </row>
    <row r="3552" spans="7:22" x14ac:dyDescent="0.25">
      <c r="G3552">
        <f>Data!B3564</f>
        <v>0</v>
      </c>
      <c r="H3552" s="21">
        <f>Data!B3564</f>
        <v>0</v>
      </c>
      <c r="I3552" s="21">
        <f>Data!C3564</f>
        <v>0</v>
      </c>
      <c r="J3552">
        <f>Data!D3564</f>
        <v>0</v>
      </c>
      <c r="K3552">
        <f>Data!E3564</f>
        <v>0</v>
      </c>
      <c r="L3552">
        <f>Data!F3564</f>
        <v>0</v>
      </c>
      <c r="M3552">
        <f>Data!G3564</f>
        <v>0</v>
      </c>
      <c r="N3552">
        <f>Data!H3564</f>
        <v>0</v>
      </c>
      <c r="O3552">
        <f>Data!I3564</f>
        <v>0</v>
      </c>
      <c r="P3552" s="21">
        <f>Data!J3568</f>
        <v>0</v>
      </c>
      <c r="Q3552">
        <f>Data!K3568</f>
        <v>0</v>
      </c>
      <c r="R3552">
        <f>Data!L3568</f>
        <v>0</v>
      </c>
      <c r="S3552">
        <f>Data!M3568</f>
        <v>0</v>
      </c>
      <c r="T3552">
        <f>Data!N3568</f>
        <v>0</v>
      </c>
      <c r="U3552">
        <f>Data!O3568</f>
        <v>0</v>
      </c>
      <c r="V3552" s="33">
        <f>Data!P3566</f>
        <v>0</v>
      </c>
    </row>
    <row r="3553" spans="7:22" x14ac:dyDescent="0.25">
      <c r="G3553">
        <f>Data!B3565</f>
        <v>0</v>
      </c>
      <c r="H3553" s="21">
        <f>Data!B3565</f>
        <v>0</v>
      </c>
      <c r="I3553" s="21">
        <f>Data!C3565</f>
        <v>0</v>
      </c>
      <c r="J3553">
        <f>Data!D3565</f>
        <v>0</v>
      </c>
      <c r="K3553">
        <f>Data!E3565</f>
        <v>0</v>
      </c>
      <c r="L3553">
        <f>Data!F3565</f>
        <v>0</v>
      </c>
      <c r="M3553">
        <f>Data!G3565</f>
        <v>0</v>
      </c>
      <c r="N3553">
        <f>Data!H3565</f>
        <v>0</v>
      </c>
      <c r="O3553">
        <f>Data!I3565</f>
        <v>0</v>
      </c>
      <c r="P3553" s="21">
        <f>Data!J3569</f>
        <v>0</v>
      </c>
      <c r="Q3553">
        <f>Data!K3569</f>
        <v>0</v>
      </c>
      <c r="R3553">
        <f>Data!L3569</f>
        <v>0</v>
      </c>
      <c r="S3553">
        <f>Data!M3569</f>
        <v>0</v>
      </c>
      <c r="T3553">
        <f>Data!N3569</f>
        <v>0</v>
      </c>
      <c r="U3553">
        <f>Data!O3569</f>
        <v>0</v>
      </c>
      <c r="V3553" s="33">
        <f>Data!P3567</f>
        <v>0</v>
      </c>
    </row>
    <row r="3554" spans="7:22" x14ac:dyDescent="0.25">
      <c r="G3554">
        <f>Data!B3566</f>
        <v>0</v>
      </c>
      <c r="H3554" s="21">
        <f>Data!B3566</f>
        <v>0</v>
      </c>
      <c r="I3554" s="21">
        <f>Data!C3566</f>
        <v>0</v>
      </c>
      <c r="J3554">
        <f>Data!D3566</f>
        <v>0</v>
      </c>
      <c r="K3554">
        <f>Data!E3566</f>
        <v>0</v>
      </c>
      <c r="L3554">
        <f>Data!F3566</f>
        <v>0</v>
      </c>
      <c r="M3554">
        <f>Data!G3566</f>
        <v>0</v>
      </c>
      <c r="N3554">
        <f>Data!H3566</f>
        <v>0</v>
      </c>
      <c r="O3554">
        <f>Data!I3566</f>
        <v>0</v>
      </c>
      <c r="P3554" s="21">
        <f>Data!J3570</f>
        <v>0</v>
      </c>
      <c r="Q3554">
        <f>Data!K3570</f>
        <v>0</v>
      </c>
      <c r="R3554">
        <f>Data!L3570</f>
        <v>0</v>
      </c>
      <c r="S3554">
        <f>Data!M3570</f>
        <v>0</v>
      </c>
      <c r="T3554">
        <f>Data!N3570</f>
        <v>0</v>
      </c>
      <c r="U3554">
        <f>Data!O3570</f>
        <v>0</v>
      </c>
      <c r="V3554" s="33">
        <f>Data!P3568</f>
        <v>0</v>
      </c>
    </row>
    <row r="3555" spans="7:22" x14ac:dyDescent="0.25">
      <c r="G3555">
        <f>Data!B3567</f>
        <v>0</v>
      </c>
      <c r="H3555" s="21">
        <f>Data!B3567</f>
        <v>0</v>
      </c>
      <c r="I3555" s="21">
        <f>Data!C3567</f>
        <v>0</v>
      </c>
      <c r="J3555">
        <f>Data!D3567</f>
        <v>0</v>
      </c>
      <c r="K3555">
        <f>Data!E3567</f>
        <v>0</v>
      </c>
      <c r="L3555">
        <f>Data!F3567</f>
        <v>0</v>
      </c>
      <c r="M3555">
        <f>Data!G3567</f>
        <v>0</v>
      </c>
      <c r="N3555">
        <f>Data!H3567</f>
        <v>0</v>
      </c>
      <c r="O3555">
        <f>Data!I3567</f>
        <v>0</v>
      </c>
      <c r="P3555" s="21">
        <f>Data!J3571</f>
        <v>0</v>
      </c>
      <c r="Q3555">
        <f>Data!K3571</f>
        <v>0</v>
      </c>
      <c r="R3555">
        <f>Data!L3571</f>
        <v>0</v>
      </c>
      <c r="S3555">
        <f>Data!M3571</f>
        <v>0</v>
      </c>
      <c r="T3555">
        <f>Data!N3571</f>
        <v>0</v>
      </c>
      <c r="U3555">
        <f>Data!O3571</f>
        <v>0</v>
      </c>
      <c r="V3555" s="33">
        <f>Data!P3569</f>
        <v>0</v>
      </c>
    </row>
    <row r="3556" spans="7:22" x14ac:dyDescent="0.25">
      <c r="G3556">
        <f>Data!B3568</f>
        <v>0</v>
      </c>
      <c r="H3556" s="21">
        <f>Data!B3568</f>
        <v>0</v>
      </c>
      <c r="I3556" s="21">
        <f>Data!C3568</f>
        <v>0</v>
      </c>
      <c r="J3556">
        <f>Data!D3568</f>
        <v>0</v>
      </c>
      <c r="K3556">
        <f>Data!E3568</f>
        <v>0</v>
      </c>
      <c r="L3556">
        <f>Data!F3568</f>
        <v>0</v>
      </c>
      <c r="M3556">
        <f>Data!G3568</f>
        <v>0</v>
      </c>
      <c r="N3556">
        <f>Data!H3568</f>
        <v>0</v>
      </c>
      <c r="O3556">
        <f>Data!I3568</f>
        <v>0</v>
      </c>
      <c r="P3556" s="21">
        <f>Data!J3572</f>
        <v>0</v>
      </c>
      <c r="Q3556">
        <f>Data!K3572</f>
        <v>0</v>
      </c>
      <c r="R3556">
        <f>Data!L3572</f>
        <v>0</v>
      </c>
      <c r="S3556">
        <f>Data!M3572</f>
        <v>0</v>
      </c>
      <c r="T3556">
        <f>Data!N3572</f>
        <v>0</v>
      </c>
      <c r="U3556">
        <f>Data!O3572</f>
        <v>0</v>
      </c>
      <c r="V3556" s="33">
        <f>Data!P3570</f>
        <v>0</v>
      </c>
    </row>
    <row r="3557" spans="7:22" x14ac:dyDescent="0.25">
      <c r="G3557">
        <f>Data!B3569</f>
        <v>0</v>
      </c>
      <c r="H3557" s="21">
        <f>Data!B3569</f>
        <v>0</v>
      </c>
      <c r="I3557" s="21">
        <f>Data!C3569</f>
        <v>0</v>
      </c>
      <c r="J3557">
        <f>Data!D3569</f>
        <v>0</v>
      </c>
      <c r="K3557">
        <f>Data!E3569</f>
        <v>0</v>
      </c>
      <c r="L3557">
        <f>Data!F3569</f>
        <v>0</v>
      </c>
      <c r="M3557">
        <f>Data!G3569</f>
        <v>0</v>
      </c>
      <c r="N3557">
        <f>Data!H3569</f>
        <v>0</v>
      </c>
      <c r="O3557">
        <f>Data!I3569</f>
        <v>0</v>
      </c>
      <c r="P3557" s="21">
        <f>Data!J3573</f>
        <v>0</v>
      </c>
      <c r="Q3557">
        <f>Data!K3573</f>
        <v>0</v>
      </c>
      <c r="R3557">
        <f>Data!L3573</f>
        <v>0</v>
      </c>
      <c r="S3557">
        <f>Data!M3573</f>
        <v>0</v>
      </c>
      <c r="T3557">
        <f>Data!N3573</f>
        <v>0</v>
      </c>
      <c r="U3557">
        <f>Data!O3573</f>
        <v>0</v>
      </c>
      <c r="V3557" s="33">
        <f>Data!P3571</f>
        <v>0</v>
      </c>
    </row>
    <row r="3558" spans="7:22" x14ac:dyDescent="0.25">
      <c r="G3558">
        <f>Data!B3570</f>
        <v>0</v>
      </c>
      <c r="H3558" s="21">
        <f>Data!B3570</f>
        <v>0</v>
      </c>
      <c r="I3558" s="21">
        <f>Data!C3570</f>
        <v>0</v>
      </c>
      <c r="J3558">
        <f>Data!D3570</f>
        <v>0</v>
      </c>
      <c r="K3558">
        <f>Data!E3570</f>
        <v>0</v>
      </c>
      <c r="L3558">
        <f>Data!F3570</f>
        <v>0</v>
      </c>
      <c r="M3558">
        <f>Data!G3570</f>
        <v>0</v>
      </c>
      <c r="N3558">
        <f>Data!H3570</f>
        <v>0</v>
      </c>
      <c r="O3558">
        <f>Data!I3570</f>
        <v>0</v>
      </c>
      <c r="P3558" s="21">
        <f>Data!J3574</f>
        <v>0</v>
      </c>
      <c r="Q3558">
        <f>Data!K3574</f>
        <v>0</v>
      </c>
      <c r="R3558">
        <f>Data!L3574</f>
        <v>0</v>
      </c>
      <c r="S3558">
        <f>Data!M3574</f>
        <v>0</v>
      </c>
      <c r="T3558">
        <f>Data!N3574</f>
        <v>0</v>
      </c>
      <c r="U3558">
        <f>Data!O3574</f>
        <v>0</v>
      </c>
      <c r="V3558" s="33">
        <f>Data!P3572</f>
        <v>0</v>
      </c>
    </row>
    <row r="3559" spans="7:22" x14ac:dyDescent="0.25">
      <c r="G3559">
        <f>Data!B3571</f>
        <v>0</v>
      </c>
      <c r="H3559" s="21">
        <f>Data!B3571</f>
        <v>0</v>
      </c>
      <c r="I3559" s="21">
        <f>Data!C3571</f>
        <v>0</v>
      </c>
      <c r="J3559">
        <f>Data!D3571</f>
        <v>0</v>
      </c>
      <c r="K3559">
        <f>Data!E3571</f>
        <v>0</v>
      </c>
      <c r="L3559">
        <f>Data!F3571</f>
        <v>0</v>
      </c>
      <c r="M3559">
        <f>Data!G3571</f>
        <v>0</v>
      </c>
      <c r="N3559">
        <f>Data!H3571</f>
        <v>0</v>
      </c>
      <c r="O3559">
        <f>Data!I3571</f>
        <v>0</v>
      </c>
      <c r="P3559" s="21">
        <f>Data!J3575</f>
        <v>0</v>
      </c>
      <c r="Q3559">
        <f>Data!K3575</f>
        <v>0</v>
      </c>
      <c r="R3559">
        <f>Data!L3575</f>
        <v>0</v>
      </c>
      <c r="S3559">
        <f>Data!M3575</f>
        <v>0</v>
      </c>
      <c r="T3559">
        <f>Data!N3575</f>
        <v>0</v>
      </c>
      <c r="U3559">
        <f>Data!O3575</f>
        <v>0</v>
      </c>
      <c r="V3559" s="33">
        <f>Data!P3573</f>
        <v>0</v>
      </c>
    </row>
    <row r="3560" spans="7:22" x14ac:dyDescent="0.25">
      <c r="G3560">
        <f>Data!B3572</f>
        <v>0</v>
      </c>
      <c r="H3560" s="21">
        <f>Data!B3572</f>
        <v>0</v>
      </c>
      <c r="I3560" s="21">
        <f>Data!C3572</f>
        <v>0</v>
      </c>
      <c r="J3560">
        <f>Data!D3572</f>
        <v>0</v>
      </c>
      <c r="K3560">
        <f>Data!E3572</f>
        <v>0</v>
      </c>
      <c r="L3560">
        <f>Data!F3572</f>
        <v>0</v>
      </c>
      <c r="M3560">
        <f>Data!G3572</f>
        <v>0</v>
      </c>
      <c r="N3560">
        <f>Data!H3572</f>
        <v>0</v>
      </c>
      <c r="O3560">
        <f>Data!I3572</f>
        <v>0</v>
      </c>
      <c r="P3560" s="21">
        <f>Data!J3576</f>
        <v>0</v>
      </c>
      <c r="Q3560">
        <f>Data!K3576</f>
        <v>0</v>
      </c>
      <c r="R3560">
        <f>Data!L3576</f>
        <v>0</v>
      </c>
      <c r="S3560">
        <f>Data!M3576</f>
        <v>0</v>
      </c>
      <c r="T3560">
        <f>Data!N3576</f>
        <v>0</v>
      </c>
      <c r="U3560">
        <f>Data!O3576</f>
        <v>0</v>
      </c>
      <c r="V3560" s="33">
        <f>Data!P3574</f>
        <v>0</v>
      </c>
    </row>
    <row r="3561" spans="7:22" x14ac:dyDescent="0.25">
      <c r="G3561">
        <f>Data!B3573</f>
        <v>0</v>
      </c>
      <c r="H3561" s="21">
        <f>Data!B3573</f>
        <v>0</v>
      </c>
      <c r="I3561" s="21">
        <f>Data!C3573</f>
        <v>0</v>
      </c>
      <c r="J3561">
        <f>Data!D3573</f>
        <v>0</v>
      </c>
      <c r="K3561">
        <f>Data!E3573</f>
        <v>0</v>
      </c>
      <c r="L3561">
        <f>Data!F3573</f>
        <v>0</v>
      </c>
      <c r="M3561">
        <f>Data!G3573</f>
        <v>0</v>
      </c>
      <c r="N3561">
        <f>Data!H3573</f>
        <v>0</v>
      </c>
      <c r="O3561">
        <f>Data!I3573</f>
        <v>0</v>
      </c>
      <c r="P3561" s="21">
        <f>Data!J3577</f>
        <v>0</v>
      </c>
      <c r="Q3561">
        <f>Data!K3577</f>
        <v>0</v>
      </c>
      <c r="R3561">
        <f>Data!L3577</f>
        <v>0</v>
      </c>
      <c r="S3561">
        <f>Data!M3577</f>
        <v>0</v>
      </c>
      <c r="T3561">
        <f>Data!N3577</f>
        <v>0</v>
      </c>
      <c r="U3561">
        <f>Data!O3577</f>
        <v>0</v>
      </c>
      <c r="V3561" s="33">
        <f>Data!P3575</f>
        <v>0</v>
      </c>
    </row>
    <row r="3562" spans="7:22" x14ac:dyDescent="0.25">
      <c r="G3562">
        <f>Data!B3574</f>
        <v>0</v>
      </c>
      <c r="H3562" s="21">
        <f>Data!B3574</f>
        <v>0</v>
      </c>
      <c r="I3562" s="21">
        <f>Data!C3574</f>
        <v>0</v>
      </c>
      <c r="J3562">
        <f>Data!D3574</f>
        <v>0</v>
      </c>
      <c r="K3562">
        <f>Data!E3574</f>
        <v>0</v>
      </c>
      <c r="L3562">
        <f>Data!F3574</f>
        <v>0</v>
      </c>
      <c r="M3562">
        <f>Data!G3574</f>
        <v>0</v>
      </c>
      <c r="N3562">
        <f>Data!H3574</f>
        <v>0</v>
      </c>
      <c r="O3562">
        <f>Data!I3574</f>
        <v>0</v>
      </c>
      <c r="P3562" s="21">
        <f>Data!J3578</f>
        <v>0</v>
      </c>
      <c r="Q3562">
        <f>Data!K3578</f>
        <v>0</v>
      </c>
      <c r="R3562">
        <f>Data!L3578</f>
        <v>0</v>
      </c>
      <c r="S3562">
        <f>Data!M3578</f>
        <v>0</v>
      </c>
      <c r="T3562">
        <f>Data!N3578</f>
        <v>0</v>
      </c>
      <c r="U3562">
        <f>Data!O3578</f>
        <v>0</v>
      </c>
      <c r="V3562" s="33">
        <f>Data!P3576</f>
        <v>0</v>
      </c>
    </row>
    <row r="3563" spans="7:22" x14ac:dyDescent="0.25">
      <c r="G3563">
        <f>Data!B3575</f>
        <v>0</v>
      </c>
      <c r="H3563" s="21">
        <f>Data!B3575</f>
        <v>0</v>
      </c>
      <c r="I3563" s="21">
        <f>Data!C3575</f>
        <v>0</v>
      </c>
      <c r="J3563">
        <f>Data!D3575</f>
        <v>0</v>
      </c>
      <c r="K3563">
        <f>Data!E3575</f>
        <v>0</v>
      </c>
      <c r="L3563">
        <f>Data!F3575</f>
        <v>0</v>
      </c>
      <c r="M3563">
        <f>Data!G3575</f>
        <v>0</v>
      </c>
      <c r="N3563">
        <f>Data!H3575</f>
        <v>0</v>
      </c>
      <c r="O3563">
        <f>Data!I3575</f>
        <v>0</v>
      </c>
      <c r="P3563" s="21">
        <f>Data!J3579</f>
        <v>0</v>
      </c>
      <c r="Q3563">
        <f>Data!K3579</f>
        <v>0</v>
      </c>
      <c r="R3563">
        <f>Data!L3579</f>
        <v>0</v>
      </c>
      <c r="S3563">
        <f>Data!M3579</f>
        <v>0</v>
      </c>
      <c r="T3563">
        <f>Data!N3579</f>
        <v>0</v>
      </c>
      <c r="U3563">
        <f>Data!O3579</f>
        <v>0</v>
      </c>
      <c r="V3563" s="33">
        <f>Data!P3577</f>
        <v>0</v>
      </c>
    </row>
    <row r="3564" spans="7:22" x14ac:dyDescent="0.25">
      <c r="G3564">
        <f>Data!B3576</f>
        <v>0</v>
      </c>
      <c r="H3564" s="21">
        <f>Data!B3576</f>
        <v>0</v>
      </c>
      <c r="I3564" s="21">
        <f>Data!C3576</f>
        <v>0</v>
      </c>
      <c r="J3564">
        <f>Data!D3576</f>
        <v>0</v>
      </c>
      <c r="K3564">
        <f>Data!E3576</f>
        <v>0</v>
      </c>
      <c r="L3564">
        <f>Data!F3576</f>
        <v>0</v>
      </c>
      <c r="M3564">
        <f>Data!G3576</f>
        <v>0</v>
      </c>
      <c r="N3564">
        <f>Data!H3576</f>
        <v>0</v>
      </c>
      <c r="O3564">
        <f>Data!I3576</f>
        <v>0</v>
      </c>
      <c r="P3564" s="21">
        <f>Data!J3580</f>
        <v>0</v>
      </c>
      <c r="Q3564">
        <f>Data!K3580</f>
        <v>0</v>
      </c>
      <c r="R3564">
        <f>Data!L3580</f>
        <v>0</v>
      </c>
      <c r="S3564">
        <f>Data!M3580</f>
        <v>0</v>
      </c>
      <c r="T3564">
        <f>Data!N3580</f>
        <v>0</v>
      </c>
      <c r="U3564">
        <f>Data!O3580</f>
        <v>0</v>
      </c>
      <c r="V3564" s="33">
        <f>Data!P3578</f>
        <v>0</v>
      </c>
    </row>
    <row r="3565" spans="7:22" x14ac:dyDescent="0.25">
      <c r="G3565">
        <f>Data!B3577</f>
        <v>0</v>
      </c>
      <c r="H3565" s="21">
        <f>Data!B3577</f>
        <v>0</v>
      </c>
      <c r="I3565" s="21">
        <f>Data!C3577</f>
        <v>0</v>
      </c>
      <c r="J3565">
        <f>Data!D3577</f>
        <v>0</v>
      </c>
      <c r="K3565">
        <f>Data!E3577</f>
        <v>0</v>
      </c>
      <c r="L3565">
        <f>Data!F3577</f>
        <v>0</v>
      </c>
      <c r="M3565">
        <f>Data!G3577</f>
        <v>0</v>
      </c>
      <c r="N3565">
        <f>Data!H3577</f>
        <v>0</v>
      </c>
      <c r="O3565">
        <f>Data!I3577</f>
        <v>0</v>
      </c>
      <c r="P3565" s="21">
        <f>Data!J3581</f>
        <v>0</v>
      </c>
      <c r="Q3565">
        <f>Data!K3581</f>
        <v>0</v>
      </c>
      <c r="R3565">
        <f>Data!L3581</f>
        <v>0</v>
      </c>
      <c r="S3565">
        <f>Data!M3581</f>
        <v>0</v>
      </c>
      <c r="T3565">
        <f>Data!N3581</f>
        <v>0</v>
      </c>
      <c r="U3565">
        <f>Data!O3581</f>
        <v>0</v>
      </c>
      <c r="V3565" s="33">
        <f>Data!P3579</f>
        <v>0</v>
      </c>
    </row>
    <row r="3566" spans="7:22" x14ac:dyDescent="0.25">
      <c r="G3566">
        <f>Data!B3578</f>
        <v>0</v>
      </c>
      <c r="H3566" s="21">
        <f>Data!B3578</f>
        <v>0</v>
      </c>
      <c r="I3566" s="21">
        <f>Data!C3578</f>
        <v>0</v>
      </c>
      <c r="J3566">
        <f>Data!D3578</f>
        <v>0</v>
      </c>
      <c r="K3566">
        <f>Data!E3578</f>
        <v>0</v>
      </c>
      <c r="L3566">
        <f>Data!F3578</f>
        <v>0</v>
      </c>
      <c r="M3566">
        <f>Data!G3578</f>
        <v>0</v>
      </c>
      <c r="N3566">
        <f>Data!H3578</f>
        <v>0</v>
      </c>
      <c r="O3566">
        <f>Data!I3578</f>
        <v>0</v>
      </c>
      <c r="P3566" s="21">
        <f>Data!J3582</f>
        <v>0</v>
      </c>
      <c r="Q3566">
        <f>Data!K3582</f>
        <v>0</v>
      </c>
      <c r="R3566">
        <f>Data!L3582</f>
        <v>0</v>
      </c>
      <c r="S3566">
        <f>Data!M3582</f>
        <v>0</v>
      </c>
      <c r="T3566">
        <f>Data!N3582</f>
        <v>0</v>
      </c>
      <c r="U3566">
        <f>Data!O3582</f>
        <v>0</v>
      </c>
      <c r="V3566" s="33">
        <f>Data!P3580</f>
        <v>0</v>
      </c>
    </row>
    <row r="3567" spans="7:22" x14ac:dyDescent="0.25">
      <c r="G3567">
        <f>Data!B3579</f>
        <v>0</v>
      </c>
      <c r="H3567" s="21">
        <f>Data!B3579</f>
        <v>0</v>
      </c>
      <c r="I3567" s="21">
        <f>Data!C3579</f>
        <v>0</v>
      </c>
      <c r="J3567">
        <f>Data!D3579</f>
        <v>0</v>
      </c>
      <c r="K3567">
        <f>Data!E3579</f>
        <v>0</v>
      </c>
      <c r="L3567">
        <f>Data!F3579</f>
        <v>0</v>
      </c>
      <c r="M3567">
        <f>Data!G3579</f>
        <v>0</v>
      </c>
      <c r="N3567">
        <f>Data!H3579</f>
        <v>0</v>
      </c>
      <c r="O3567">
        <f>Data!I3579</f>
        <v>0</v>
      </c>
      <c r="P3567" s="21">
        <f>Data!J3583</f>
        <v>0</v>
      </c>
      <c r="Q3567">
        <f>Data!K3583</f>
        <v>0</v>
      </c>
      <c r="R3567">
        <f>Data!L3583</f>
        <v>0</v>
      </c>
      <c r="S3567">
        <f>Data!M3583</f>
        <v>0</v>
      </c>
      <c r="T3567">
        <f>Data!N3583</f>
        <v>0</v>
      </c>
      <c r="U3567">
        <f>Data!O3583</f>
        <v>0</v>
      </c>
      <c r="V3567" s="33">
        <f>Data!P3581</f>
        <v>0</v>
      </c>
    </row>
    <row r="3568" spans="7:22" x14ac:dyDescent="0.25">
      <c r="G3568">
        <f>Data!B3580</f>
        <v>0</v>
      </c>
      <c r="H3568" s="21">
        <f>Data!B3580</f>
        <v>0</v>
      </c>
      <c r="I3568" s="21">
        <f>Data!C3580</f>
        <v>0</v>
      </c>
      <c r="J3568">
        <f>Data!D3580</f>
        <v>0</v>
      </c>
      <c r="K3568">
        <f>Data!E3580</f>
        <v>0</v>
      </c>
      <c r="L3568">
        <f>Data!F3580</f>
        <v>0</v>
      </c>
      <c r="M3568">
        <f>Data!G3580</f>
        <v>0</v>
      </c>
      <c r="N3568">
        <f>Data!H3580</f>
        <v>0</v>
      </c>
      <c r="O3568">
        <f>Data!I3580</f>
        <v>0</v>
      </c>
      <c r="P3568" s="21">
        <f>Data!J3584</f>
        <v>0</v>
      </c>
      <c r="Q3568">
        <f>Data!K3584</f>
        <v>0</v>
      </c>
      <c r="R3568">
        <f>Data!L3584</f>
        <v>0</v>
      </c>
      <c r="S3568">
        <f>Data!M3584</f>
        <v>0</v>
      </c>
      <c r="T3568">
        <f>Data!N3584</f>
        <v>0</v>
      </c>
      <c r="U3568">
        <f>Data!O3584</f>
        <v>0</v>
      </c>
      <c r="V3568" s="33">
        <f>Data!P3582</f>
        <v>0</v>
      </c>
    </row>
    <row r="3569" spans="7:22" x14ac:dyDescent="0.25">
      <c r="G3569">
        <f>Data!B3581</f>
        <v>0</v>
      </c>
      <c r="H3569" s="21">
        <f>Data!B3581</f>
        <v>0</v>
      </c>
      <c r="I3569" s="21">
        <f>Data!C3581</f>
        <v>0</v>
      </c>
      <c r="J3569">
        <f>Data!D3581</f>
        <v>0</v>
      </c>
      <c r="K3569">
        <f>Data!E3581</f>
        <v>0</v>
      </c>
      <c r="L3569">
        <f>Data!F3581</f>
        <v>0</v>
      </c>
      <c r="M3569">
        <f>Data!G3581</f>
        <v>0</v>
      </c>
      <c r="N3569">
        <f>Data!H3581</f>
        <v>0</v>
      </c>
      <c r="O3569">
        <f>Data!I3581</f>
        <v>0</v>
      </c>
      <c r="P3569" s="21">
        <f>Data!J3585</f>
        <v>0</v>
      </c>
      <c r="Q3569">
        <f>Data!K3585</f>
        <v>0</v>
      </c>
      <c r="R3569">
        <f>Data!L3585</f>
        <v>0</v>
      </c>
      <c r="S3569">
        <f>Data!M3585</f>
        <v>0</v>
      </c>
      <c r="T3569">
        <f>Data!N3585</f>
        <v>0</v>
      </c>
      <c r="U3569">
        <f>Data!O3585</f>
        <v>0</v>
      </c>
      <c r="V3569" s="33">
        <f>Data!P3583</f>
        <v>0</v>
      </c>
    </row>
    <row r="3570" spans="7:22" x14ac:dyDescent="0.25">
      <c r="G3570">
        <f>Data!B3582</f>
        <v>0</v>
      </c>
      <c r="H3570" s="21">
        <f>Data!B3582</f>
        <v>0</v>
      </c>
      <c r="I3570" s="21">
        <f>Data!C3582</f>
        <v>0</v>
      </c>
      <c r="J3570">
        <f>Data!D3582</f>
        <v>0</v>
      </c>
      <c r="K3570">
        <f>Data!E3582</f>
        <v>0</v>
      </c>
      <c r="L3570">
        <f>Data!F3582</f>
        <v>0</v>
      </c>
      <c r="M3570">
        <f>Data!G3582</f>
        <v>0</v>
      </c>
      <c r="N3570">
        <f>Data!H3582</f>
        <v>0</v>
      </c>
      <c r="O3570">
        <f>Data!I3582</f>
        <v>0</v>
      </c>
      <c r="P3570" s="21">
        <f>Data!J3586</f>
        <v>0</v>
      </c>
      <c r="Q3570">
        <f>Data!K3586</f>
        <v>0</v>
      </c>
      <c r="R3570">
        <f>Data!L3586</f>
        <v>0</v>
      </c>
      <c r="S3570">
        <f>Data!M3586</f>
        <v>0</v>
      </c>
      <c r="T3570">
        <f>Data!N3586</f>
        <v>0</v>
      </c>
      <c r="U3570">
        <f>Data!O3586</f>
        <v>0</v>
      </c>
      <c r="V3570" s="33">
        <f>Data!P3584</f>
        <v>0</v>
      </c>
    </row>
    <row r="3571" spans="7:22" x14ac:dyDescent="0.25">
      <c r="G3571">
        <f>Data!B3583</f>
        <v>0</v>
      </c>
      <c r="H3571" s="21">
        <f>Data!B3583</f>
        <v>0</v>
      </c>
      <c r="I3571" s="21">
        <f>Data!C3583</f>
        <v>0</v>
      </c>
      <c r="J3571">
        <f>Data!D3583</f>
        <v>0</v>
      </c>
      <c r="K3571">
        <f>Data!E3583</f>
        <v>0</v>
      </c>
      <c r="L3571">
        <f>Data!F3583</f>
        <v>0</v>
      </c>
      <c r="M3571">
        <f>Data!G3583</f>
        <v>0</v>
      </c>
      <c r="N3571">
        <f>Data!H3583</f>
        <v>0</v>
      </c>
      <c r="O3571">
        <f>Data!I3583</f>
        <v>0</v>
      </c>
      <c r="P3571" s="21">
        <f>Data!J3587</f>
        <v>0</v>
      </c>
      <c r="Q3571">
        <f>Data!K3587</f>
        <v>0</v>
      </c>
      <c r="R3571">
        <f>Data!L3587</f>
        <v>0</v>
      </c>
      <c r="S3571">
        <f>Data!M3587</f>
        <v>0</v>
      </c>
      <c r="T3571">
        <f>Data!N3587</f>
        <v>0</v>
      </c>
      <c r="U3571">
        <f>Data!O3587</f>
        <v>0</v>
      </c>
      <c r="V3571" s="33">
        <f>Data!P3585</f>
        <v>0</v>
      </c>
    </row>
    <row r="3572" spans="7:22" x14ac:dyDescent="0.25">
      <c r="G3572">
        <f>Data!B3584</f>
        <v>0</v>
      </c>
      <c r="H3572" s="21">
        <f>Data!B3584</f>
        <v>0</v>
      </c>
      <c r="I3572" s="21">
        <f>Data!C3584</f>
        <v>0</v>
      </c>
      <c r="J3572">
        <f>Data!D3584</f>
        <v>0</v>
      </c>
      <c r="K3572">
        <f>Data!E3584</f>
        <v>0</v>
      </c>
      <c r="L3572">
        <f>Data!F3584</f>
        <v>0</v>
      </c>
      <c r="M3572">
        <f>Data!G3584</f>
        <v>0</v>
      </c>
      <c r="N3572">
        <f>Data!H3584</f>
        <v>0</v>
      </c>
      <c r="O3572">
        <f>Data!I3584</f>
        <v>0</v>
      </c>
      <c r="P3572" s="21">
        <f>Data!J3588</f>
        <v>0</v>
      </c>
      <c r="Q3572">
        <f>Data!K3588</f>
        <v>0</v>
      </c>
      <c r="R3572">
        <f>Data!L3588</f>
        <v>0</v>
      </c>
      <c r="S3572">
        <f>Data!M3588</f>
        <v>0</v>
      </c>
      <c r="T3572">
        <f>Data!N3588</f>
        <v>0</v>
      </c>
      <c r="U3572">
        <f>Data!O3588</f>
        <v>0</v>
      </c>
      <c r="V3572" s="33">
        <f>Data!P3586</f>
        <v>0</v>
      </c>
    </row>
    <row r="3573" spans="7:22" x14ac:dyDescent="0.25">
      <c r="G3573">
        <f>Data!B3585</f>
        <v>0</v>
      </c>
      <c r="H3573" s="21">
        <f>Data!B3585</f>
        <v>0</v>
      </c>
      <c r="I3573" s="21">
        <f>Data!C3585</f>
        <v>0</v>
      </c>
      <c r="J3573">
        <f>Data!D3585</f>
        <v>0</v>
      </c>
      <c r="K3573">
        <f>Data!E3585</f>
        <v>0</v>
      </c>
      <c r="L3573">
        <f>Data!F3585</f>
        <v>0</v>
      </c>
      <c r="M3573">
        <f>Data!G3585</f>
        <v>0</v>
      </c>
      <c r="N3573">
        <f>Data!H3585</f>
        <v>0</v>
      </c>
      <c r="O3573">
        <f>Data!I3585</f>
        <v>0</v>
      </c>
      <c r="P3573" s="21">
        <f>Data!J3589</f>
        <v>0</v>
      </c>
      <c r="Q3573">
        <f>Data!K3589</f>
        <v>0</v>
      </c>
      <c r="R3573">
        <f>Data!L3589</f>
        <v>0</v>
      </c>
      <c r="S3573">
        <f>Data!M3589</f>
        <v>0</v>
      </c>
      <c r="T3573">
        <f>Data!N3589</f>
        <v>0</v>
      </c>
      <c r="U3573">
        <f>Data!O3589</f>
        <v>0</v>
      </c>
      <c r="V3573" s="33">
        <f>Data!P3587</f>
        <v>0</v>
      </c>
    </row>
    <row r="3574" spans="7:22" x14ac:dyDescent="0.25">
      <c r="G3574">
        <f>Data!B3586</f>
        <v>0</v>
      </c>
      <c r="H3574" s="21">
        <f>Data!B3586</f>
        <v>0</v>
      </c>
      <c r="I3574" s="21">
        <f>Data!C3586</f>
        <v>0</v>
      </c>
      <c r="J3574">
        <f>Data!D3586</f>
        <v>0</v>
      </c>
      <c r="K3574">
        <f>Data!E3586</f>
        <v>0</v>
      </c>
      <c r="L3574">
        <f>Data!F3586</f>
        <v>0</v>
      </c>
      <c r="M3574">
        <f>Data!G3586</f>
        <v>0</v>
      </c>
      <c r="N3574">
        <f>Data!H3586</f>
        <v>0</v>
      </c>
      <c r="O3574">
        <f>Data!I3586</f>
        <v>0</v>
      </c>
      <c r="P3574" s="21">
        <f>Data!J3590</f>
        <v>0</v>
      </c>
      <c r="Q3574">
        <f>Data!K3590</f>
        <v>0</v>
      </c>
      <c r="R3574">
        <f>Data!L3590</f>
        <v>0</v>
      </c>
      <c r="S3574">
        <f>Data!M3590</f>
        <v>0</v>
      </c>
      <c r="T3574">
        <f>Data!N3590</f>
        <v>0</v>
      </c>
      <c r="U3574">
        <f>Data!O3590</f>
        <v>0</v>
      </c>
      <c r="V3574" s="33">
        <f>Data!P3588</f>
        <v>0</v>
      </c>
    </row>
    <row r="3575" spans="7:22" x14ac:dyDescent="0.25">
      <c r="G3575">
        <f>Data!B3587</f>
        <v>0</v>
      </c>
      <c r="H3575" s="21">
        <f>Data!B3587</f>
        <v>0</v>
      </c>
      <c r="I3575" s="21">
        <f>Data!C3587</f>
        <v>0</v>
      </c>
      <c r="J3575">
        <f>Data!D3587</f>
        <v>0</v>
      </c>
      <c r="K3575">
        <f>Data!E3587</f>
        <v>0</v>
      </c>
      <c r="L3575">
        <f>Data!F3587</f>
        <v>0</v>
      </c>
      <c r="M3575">
        <f>Data!G3587</f>
        <v>0</v>
      </c>
      <c r="N3575">
        <f>Data!H3587</f>
        <v>0</v>
      </c>
      <c r="O3575">
        <f>Data!I3587</f>
        <v>0</v>
      </c>
      <c r="P3575" s="21">
        <f>Data!J3591</f>
        <v>0</v>
      </c>
      <c r="Q3575">
        <f>Data!K3591</f>
        <v>0</v>
      </c>
      <c r="R3575">
        <f>Data!L3591</f>
        <v>0</v>
      </c>
      <c r="S3575">
        <f>Data!M3591</f>
        <v>0</v>
      </c>
      <c r="T3575">
        <f>Data!N3591</f>
        <v>0</v>
      </c>
      <c r="U3575">
        <f>Data!O3591</f>
        <v>0</v>
      </c>
      <c r="V3575" s="33">
        <f>Data!P3589</f>
        <v>0</v>
      </c>
    </row>
    <row r="3576" spans="7:22" x14ac:dyDescent="0.25">
      <c r="G3576">
        <f>Data!B3588</f>
        <v>0</v>
      </c>
      <c r="H3576" s="21">
        <f>Data!B3588</f>
        <v>0</v>
      </c>
      <c r="I3576" s="21">
        <f>Data!C3588</f>
        <v>0</v>
      </c>
      <c r="J3576">
        <f>Data!D3588</f>
        <v>0</v>
      </c>
      <c r="K3576">
        <f>Data!E3588</f>
        <v>0</v>
      </c>
      <c r="L3576">
        <f>Data!F3588</f>
        <v>0</v>
      </c>
      <c r="M3576">
        <f>Data!G3588</f>
        <v>0</v>
      </c>
      <c r="N3576">
        <f>Data!H3588</f>
        <v>0</v>
      </c>
      <c r="O3576">
        <f>Data!I3588</f>
        <v>0</v>
      </c>
      <c r="P3576" s="21">
        <f>Data!J3592</f>
        <v>0</v>
      </c>
      <c r="Q3576">
        <f>Data!K3592</f>
        <v>0</v>
      </c>
      <c r="R3576">
        <f>Data!L3592</f>
        <v>0</v>
      </c>
      <c r="S3576">
        <f>Data!M3592</f>
        <v>0</v>
      </c>
      <c r="T3576">
        <f>Data!N3592</f>
        <v>0</v>
      </c>
      <c r="U3576">
        <f>Data!O3592</f>
        <v>0</v>
      </c>
      <c r="V3576" s="33">
        <f>Data!P3590</f>
        <v>0</v>
      </c>
    </row>
    <row r="3577" spans="7:22" x14ac:dyDescent="0.25">
      <c r="G3577">
        <f>Data!B3589</f>
        <v>0</v>
      </c>
      <c r="H3577" s="21">
        <f>Data!B3589</f>
        <v>0</v>
      </c>
      <c r="I3577" s="21">
        <f>Data!C3589</f>
        <v>0</v>
      </c>
      <c r="J3577">
        <f>Data!D3589</f>
        <v>0</v>
      </c>
      <c r="K3577">
        <f>Data!E3589</f>
        <v>0</v>
      </c>
      <c r="L3577">
        <f>Data!F3589</f>
        <v>0</v>
      </c>
      <c r="M3577">
        <f>Data!G3589</f>
        <v>0</v>
      </c>
      <c r="N3577">
        <f>Data!H3589</f>
        <v>0</v>
      </c>
      <c r="O3577">
        <f>Data!I3589</f>
        <v>0</v>
      </c>
      <c r="P3577" s="21">
        <f>Data!J3593</f>
        <v>0</v>
      </c>
      <c r="Q3577">
        <f>Data!K3593</f>
        <v>0</v>
      </c>
      <c r="R3577">
        <f>Data!L3593</f>
        <v>0</v>
      </c>
      <c r="S3577">
        <f>Data!M3593</f>
        <v>0</v>
      </c>
      <c r="T3577">
        <f>Data!N3593</f>
        <v>0</v>
      </c>
      <c r="U3577">
        <f>Data!O3593</f>
        <v>0</v>
      </c>
      <c r="V3577" s="33">
        <f>Data!P3591</f>
        <v>0</v>
      </c>
    </row>
    <row r="3578" spans="7:22" x14ac:dyDescent="0.25">
      <c r="G3578">
        <f>Data!B3590</f>
        <v>0</v>
      </c>
      <c r="H3578" s="21">
        <f>Data!B3590</f>
        <v>0</v>
      </c>
      <c r="I3578" s="21">
        <f>Data!C3590</f>
        <v>0</v>
      </c>
      <c r="J3578">
        <f>Data!D3590</f>
        <v>0</v>
      </c>
      <c r="K3578">
        <f>Data!E3590</f>
        <v>0</v>
      </c>
      <c r="L3578">
        <f>Data!F3590</f>
        <v>0</v>
      </c>
      <c r="M3578">
        <f>Data!G3590</f>
        <v>0</v>
      </c>
      <c r="N3578">
        <f>Data!H3590</f>
        <v>0</v>
      </c>
      <c r="O3578">
        <f>Data!I3590</f>
        <v>0</v>
      </c>
      <c r="P3578" s="21">
        <f>Data!J3594</f>
        <v>0</v>
      </c>
      <c r="Q3578">
        <f>Data!K3594</f>
        <v>0</v>
      </c>
      <c r="R3578">
        <f>Data!L3594</f>
        <v>0</v>
      </c>
      <c r="S3578">
        <f>Data!M3594</f>
        <v>0</v>
      </c>
      <c r="T3578">
        <f>Data!N3594</f>
        <v>0</v>
      </c>
      <c r="U3578">
        <f>Data!O3594</f>
        <v>0</v>
      </c>
      <c r="V3578" s="33">
        <f>Data!P3592</f>
        <v>0</v>
      </c>
    </row>
    <row r="3579" spans="7:22" x14ac:dyDescent="0.25">
      <c r="G3579">
        <f>Data!B3591</f>
        <v>0</v>
      </c>
      <c r="H3579" s="21">
        <f>Data!B3591</f>
        <v>0</v>
      </c>
      <c r="I3579" s="21">
        <f>Data!C3591</f>
        <v>0</v>
      </c>
      <c r="J3579">
        <f>Data!D3591</f>
        <v>0</v>
      </c>
      <c r="K3579">
        <f>Data!E3591</f>
        <v>0</v>
      </c>
      <c r="L3579">
        <f>Data!F3591</f>
        <v>0</v>
      </c>
      <c r="M3579">
        <f>Data!G3591</f>
        <v>0</v>
      </c>
      <c r="N3579">
        <f>Data!H3591</f>
        <v>0</v>
      </c>
      <c r="O3579">
        <f>Data!I3591</f>
        <v>0</v>
      </c>
      <c r="P3579" s="21">
        <f>Data!J3595</f>
        <v>0</v>
      </c>
      <c r="Q3579">
        <f>Data!K3595</f>
        <v>0</v>
      </c>
      <c r="R3579">
        <f>Data!L3595</f>
        <v>0</v>
      </c>
      <c r="S3579">
        <f>Data!M3595</f>
        <v>0</v>
      </c>
      <c r="T3579">
        <f>Data!N3595</f>
        <v>0</v>
      </c>
      <c r="U3579">
        <f>Data!O3595</f>
        <v>0</v>
      </c>
      <c r="V3579" s="33">
        <f>Data!P3593</f>
        <v>0</v>
      </c>
    </row>
    <row r="3580" spans="7:22" x14ac:dyDescent="0.25">
      <c r="G3580">
        <f>Data!B3592</f>
        <v>0</v>
      </c>
      <c r="H3580" s="21">
        <f>Data!B3592</f>
        <v>0</v>
      </c>
      <c r="I3580" s="21">
        <f>Data!C3592</f>
        <v>0</v>
      </c>
      <c r="J3580">
        <f>Data!D3592</f>
        <v>0</v>
      </c>
      <c r="K3580">
        <f>Data!E3592</f>
        <v>0</v>
      </c>
      <c r="L3580">
        <f>Data!F3592</f>
        <v>0</v>
      </c>
      <c r="M3580">
        <f>Data!G3592</f>
        <v>0</v>
      </c>
      <c r="N3580">
        <f>Data!H3592</f>
        <v>0</v>
      </c>
      <c r="O3580">
        <f>Data!I3592</f>
        <v>0</v>
      </c>
      <c r="P3580" s="21">
        <f>Data!J3596</f>
        <v>0</v>
      </c>
      <c r="Q3580">
        <f>Data!K3596</f>
        <v>0</v>
      </c>
      <c r="R3580">
        <f>Data!L3596</f>
        <v>0</v>
      </c>
      <c r="S3580">
        <f>Data!M3596</f>
        <v>0</v>
      </c>
      <c r="T3580">
        <f>Data!N3596</f>
        <v>0</v>
      </c>
      <c r="U3580">
        <f>Data!O3596</f>
        <v>0</v>
      </c>
      <c r="V3580" s="33">
        <f>Data!P3594</f>
        <v>0</v>
      </c>
    </row>
    <row r="3581" spans="7:22" x14ac:dyDescent="0.25">
      <c r="G3581">
        <f>Data!B3593</f>
        <v>0</v>
      </c>
      <c r="H3581" s="21">
        <f>Data!B3593</f>
        <v>0</v>
      </c>
      <c r="I3581" s="21">
        <f>Data!C3593</f>
        <v>0</v>
      </c>
      <c r="J3581">
        <f>Data!D3593</f>
        <v>0</v>
      </c>
      <c r="K3581">
        <f>Data!E3593</f>
        <v>0</v>
      </c>
      <c r="L3581">
        <f>Data!F3593</f>
        <v>0</v>
      </c>
      <c r="M3581">
        <f>Data!G3593</f>
        <v>0</v>
      </c>
      <c r="N3581">
        <f>Data!H3593</f>
        <v>0</v>
      </c>
      <c r="O3581">
        <f>Data!I3593</f>
        <v>0</v>
      </c>
      <c r="P3581" s="21">
        <f>Data!J3597</f>
        <v>0</v>
      </c>
      <c r="Q3581">
        <f>Data!K3597</f>
        <v>0</v>
      </c>
      <c r="R3581">
        <f>Data!L3597</f>
        <v>0</v>
      </c>
      <c r="S3581">
        <f>Data!M3597</f>
        <v>0</v>
      </c>
      <c r="T3581">
        <f>Data!N3597</f>
        <v>0</v>
      </c>
      <c r="U3581">
        <f>Data!O3597</f>
        <v>0</v>
      </c>
      <c r="V3581" s="33">
        <f>Data!P3595</f>
        <v>0</v>
      </c>
    </row>
    <row r="3582" spans="7:22" x14ac:dyDescent="0.25">
      <c r="G3582">
        <f>Data!B3594</f>
        <v>0</v>
      </c>
      <c r="H3582" s="21">
        <f>Data!B3594</f>
        <v>0</v>
      </c>
      <c r="I3582" s="21">
        <f>Data!C3594</f>
        <v>0</v>
      </c>
      <c r="J3582">
        <f>Data!D3594</f>
        <v>0</v>
      </c>
      <c r="K3582">
        <f>Data!E3594</f>
        <v>0</v>
      </c>
      <c r="L3582">
        <f>Data!F3594</f>
        <v>0</v>
      </c>
      <c r="M3582">
        <f>Data!G3594</f>
        <v>0</v>
      </c>
      <c r="N3582">
        <f>Data!H3594</f>
        <v>0</v>
      </c>
      <c r="O3582">
        <f>Data!I3594</f>
        <v>0</v>
      </c>
      <c r="P3582" s="21">
        <f>Data!J3598</f>
        <v>0</v>
      </c>
      <c r="Q3582">
        <f>Data!K3598</f>
        <v>0</v>
      </c>
      <c r="R3582">
        <f>Data!L3598</f>
        <v>0</v>
      </c>
      <c r="S3582">
        <f>Data!M3598</f>
        <v>0</v>
      </c>
      <c r="T3582">
        <f>Data!N3598</f>
        <v>0</v>
      </c>
      <c r="U3582">
        <f>Data!O3598</f>
        <v>0</v>
      </c>
      <c r="V3582" s="33">
        <f>Data!P3596</f>
        <v>0</v>
      </c>
    </row>
    <row r="3583" spans="7:22" x14ac:dyDescent="0.25">
      <c r="G3583">
        <f>Data!B3595</f>
        <v>0</v>
      </c>
      <c r="H3583" s="21">
        <f>Data!B3595</f>
        <v>0</v>
      </c>
      <c r="I3583" s="21">
        <f>Data!C3595</f>
        <v>0</v>
      </c>
      <c r="J3583">
        <f>Data!D3595</f>
        <v>0</v>
      </c>
      <c r="K3583">
        <f>Data!E3595</f>
        <v>0</v>
      </c>
      <c r="L3583">
        <f>Data!F3595</f>
        <v>0</v>
      </c>
      <c r="M3583">
        <f>Data!G3595</f>
        <v>0</v>
      </c>
      <c r="N3583">
        <f>Data!H3595</f>
        <v>0</v>
      </c>
      <c r="O3583">
        <f>Data!I3595</f>
        <v>0</v>
      </c>
      <c r="P3583" s="21">
        <f>Data!J3599</f>
        <v>0</v>
      </c>
      <c r="Q3583">
        <f>Data!K3599</f>
        <v>0</v>
      </c>
      <c r="R3583">
        <f>Data!L3599</f>
        <v>0</v>
      </c>
      <c r="S3583">
        <f>Data!M3599</f>
        <v>0</v>
      </c>
      <c r="T3583">
        <f>Data!N3599</f>
        <v>0</v>
      </c>
      <c r="U3583">
        <f>Data!O3599</f>
        <v>0</v>
      </c>
      <c r="V3583" s="33">
        <f>Data!P3597</f>
        <v>0</v>
      </c>
    </row>
    <row r="3584" spans="7:22" x14ac:dyDescent="0.25">
      <c r="G3584">
        <f>Data!B3596</f>
        <v>0</v>
      </c>
      <c r="H3584" s="21">
        <f>Data!B3596</f>
        <v>0</v>
      </c>
      <c r="I3584" s="21">
        <f>Data!C3596</f>
        <v>0</v>
      </c>
      <c r="J3584">
        <f>Data!D3596</f>
        <v>0</v>
      </c>
      <c r="K3584">
        <f>Data!E3596</f>
        <v>0</v>
      </c>
      <c r="L3584">
        <f>Data!F3596</f>
        <v>0</v>
      </c>
      <c r="M3584">
        <f>Data!G3596</f>
        <v>0</v>
      </c>
      <c r="N3584">
        <f>Data!H3596</f>
        <v>0</v>
      </c>
      <c r="O3584">
        <f>Data!I3596</f>
        <v>0</v>
      </c>
      <c r="P3584" s="21">
        <f>Data!J3600</f>
        <v>0</v>
      </c>
      <c r="Q3584">
        <f>Data!K3600</f>
        <v>0</v>
      </c>
      <c r="R3584">
        <f>Data!L3600</f>
        <v>0</v>
      </c>
      <c r="S3584">
        <f>Data!M3600</f>
        <v>0</v>
      </c>
      <c r="T3584">
        <f>Data!N3600</f>
        <v>0</v>
      </c>
      <c r="U3584">
        <f>Data!O3600</f>
        <v>0</v>
      </c>
      <c r="V3584" s="33">
        <f>Data!P3598</f>
        <v>0</v>
      </c>
    </row>
    <row r="3585" spans="7:22" x14ac:dyDescent="0.25">
      <c r="G3585">
        <f>Data!B3597</f>
        <v>0</v>
      </c>
      <c r="H3585" s="21">
        <f>Data!B3597</f>
        <v>0</v>
      </c>
      <c r="I3585" s="21">
        <f>Data!C3597</f>
        <v>0</v>
      </c>
      <c r="J3585">
        <f>Data!D3597</f>
        <v>0</v>
      </c>
      <c r="K3585">
        <f>Data!E3597</f>
        <v>0</v>
      </c>
      <c r="L3585">
        <f>Data!F3597</f>
        <v>0</v>
      </c>
      <c r="M3585">
        <f>Data!G3597</f>
        <v>0</v>
      </c>
      <c r="N3585">
        <f>Data!H3597</f>
        <v>0</v>
      </c>
      <c r="O3585">
        <f>Data!I3597</f>
        <v>0</v>
      </c>
      <c r="P3585" s="21">
        <f>Data!J3601</f>
        <v>0</v>
      </c>
      <c r="Q3585">
        <f>Data!K3601</f>
        <v>0</v>
      </c>
      <c r="R3585">
        <f>Data!L3601</f>
        <v>0</v>
      </c>
      <c r="S3585">
        <f>Data!M3601</f>
        <v>0</v>
      </c>
      <c r="T3585">
        <f>Data!N3601</f>
        <v>0</v>
      </c>
      <c r="U3585">
        <f>Data!O3601</f>
        <v>0</v>
      </c>
      <c r="V3585" s="33">
        <f>Data!P3599</f>
        <v>0</v>
      </c>
    </row>
    <row r="3586" spans="7:22" x14ac:dyDescent="0.25">
      <c r="G3586">
        <f>Data!B3598</f>
        <v>0</v>
      </c>
      <c r="H3586" s="21">
        <f>Data!B3598</f>
        <v>0</v>
      </c>
      <c r="I3586" s="21">
        <f>Data!C3598</f>
        <v>0</v>
      </c>
      <c r="J3586">
        <f>Data!D3598</f>
        <v>0</v>
      </c>
      <c r="K3586">
        <f>Data!E3598</f>
        <v>0</v>
      </c>
      <c r="L3586">
        <f>Data!F3598</f>
        <v>0</v>
      </c>
      <c r="M3586">
        <f>Data!G3598</f>
        <v>0</v>
      </c>
      <c r="N3586">
        <f>Data!H3598</f>
        <v>0</v>
      </c>
      <c r="O3586">
        <f>Data!I3598</f>
        <v>0</v>
      </c>
      <c r="P3586" s="21">
        <f>Data!J3602</f>
        <v>0</v>
      </c>
      <c r="Q3586">
        <f>Data!K3602</f>
        <v>0</v>
      </c>
      <c r="R3586">
        <f>Data!L3602</f>
        <v>0</v>
      </c>
      <c r="S3586">
        <f>Data!M3602</f>
        <v>0</v>
      </c>
      <c r="T3586">
        <f>Data!N3602</f>
        <v>0</v>
      </c>
      <c r="U3586">
        <f>Data!O3602</f>
        <v>0</v>
      </c>
      <c r="V3586" s="33">
        <f>Data!P3600</f>
        <v>0</v>
      </c>
    </row>
    <row r="3587" spans="7:22" x14ac:dyDescent="0.25">
      <c r="G3587">
        <f>Data!B3599</f>
        <v>0</v>
      </c>
      <c r="H3587" s="21">
        <f>Data!B3599</f>
        <v>0</v>
      </c>
      <c r="I3587" s="21">
        <f>Data!C3599</f>
        <v>0</v>
      </c>
      <c r="J3587">
        <f>Data!D3599</f>
        <v>0</v>
      </c>
      <c r="K3587">
        <f>Data!E3599</f>
        <v>0</v>
      </c>
      <c r="L3587">
        <f>Data!F3599</f>
        <v>0</v>
      </c>
      <c r="M3587">
        <f>Data!G3599</f>
        <v>0</v>
      </c>
      <c r="N3587">
        <f>Data!H3599</f>
        <v>0</v>
      </c>
      <c r="O3587">
        <f>Data!I3599</f>
        <v>0</v>
      </c>
      <c r="P3587" s="21">
        <f>Data!J3603</f>
        <v>0</v>
      </c>
      <c r="Q3587">
        <f>Data!K3603</f>
        <v>0</v>
      </c>
      <c r="R3587">
        <f>Data!L3603</f>
        <v>0</v>
      </c>
      <c r="S3587">
        <f>Data!M3603</f>
        <v>0</v>
      </c>
      <c r="T3587">
        <f>Data!N3603</f>
        <v>0</v>
      </c>
      <c r="U3587">
        <f>Data!O3603</f>
        <v>0</v>
      </c>
      <c r="V3587" s="33">
        <f>Data!P3601</f>
        <v>0</v>
      </c>
    </row>
    <row r="3588" spans="7:22" x14ac:dyDescent="0.25">
      <c r="G3588">
        <f>Data!B3600</f>
        <v>0</v>
      </c>
      <c r="H3588" s="21">
        <f>Data!B3600</f>
        <v>0</v>
      </c>
      <c r="I3588" s="21">
        <f>Data!C3600</f>
        <v>0</v>
      </c>
      <c r="J3588">
        <f>Data!D3600</f>
        <v>0</v>
      </c>
      <c r="K3588">
        <f>Data!E3600</f>
        <v>0</v>
      </c>
      <c r="L3588">
        <f>Data!F3600</f>
        <v>0</v>
      </c>
      <c r="M3588">
        <f>Data!G3600</f>
        <v>0</v>
      </c>
      <c r="N3588">
        <f>Data!H3600</f>
        <v>0</v>
      </c>
      <c r="O3588">
        <f>Data!I3600</f>
        <v>0</v>
      </c>
      <c r="P3588" s="21">
        <f>Data!J3604</f>
        <v>0</v>
      </c>
      <c r="Q3588">
        <f>Data!K3604</f>
        <v>0</v>
      </c>
      <c r="R3588">
        <f>Data!L3604</f>
        <v>0</v>
      </c>
      <c r="S3588">
        <f>Data!M3604</f>
        <v>0</v>
      </c>
      <c r="T3588">
        <f>Data!N3604</f>
        <v>0</v>
      </c>
      <c r="U3588">
        <f>Data!O3604</f>
        <v>0</v>
      </c>
      <c r="V3588" s="33">
        <f>Data!P3602</f>
        <v>0</v>
      </c>
    </row>
    <row r="3589" spans="7:22" x14ac:dyDescent="0.25">
      <c r="G3589">
        <f>Data!B3601</f>
        <v>0</v>
      </c>
      <c r="H3589" s="21">
        <f>Data!B3601</f>
        <v>0</v>
      </c>
      <c r="I3589" s="21">
        <f>Data!C3601</f>
        <v>0</v>
      </c>
      <c r="J3589">
        <f>Data!D3601</f>
        <v>0</v>
      </c>
      <c r="K3589">
        <f>Data!E3601</f>
        <v>0</v>
      </c>
      <c r="L3589">
        <f>Data!F3601</f>
        <v>0</v>
      </c>
      <c r="M3589">
        <f>Data!G3601</f>
        <v>0</v>
      </c>
      <c r="N3589">
        <f>Data!H3601</f>
        <v>0</v>
      </c>
      <c r="O3589">
        <f>Data!I3601</f>
        <v>0</v>
      </c>
      <c r="P3589" s="21">
        <f>Data!J3605</f>
        <v>0</v>
      </c>
      <c r="Q3589">
        <f>Data!K3605</f>
        <v>0</v>
      </c>
      <c r="R3589">
        <f>Data!L3605</f>
        <v>0</v>
      </c>
      <c r="S3589">
        <f>Data!M3605</f>
        <v>0</v>
      </c>
      <c r="T3589">
        <f>Data!N3605</f>
        <v>0</v>
      </c>
      <c r="U3589">
        <f>Data!O3605</f>
        <v>0</v>
      </c>
      <c r="V3589" s="33">
        <f>Data!P3603</f>
        <v>0</v>
      </c>
    </row>
    <row r="3590" spans="7:22" x14ac:dyDescent="0.25">
      <c r="G3590">
        <f>Data!B3602</f>
        <v>0</v>
      </c>
      <c r="H3590" s="21">
        <f>Data!B3602</f>
        <v>0</v>
      </c>
      <c r="I3590" s="21">
        <f>Data!C3602</f>
        <v>0</v>
      </c>
      <c r="J3590">
        <f>Data!D3602</f>
        <v>0</v>
      </c>
      <c r="K3590">
        <f>Data!E3602</f>
        <v>0</v>
      </c>
      <c r="L3590">
        <f>Data!F3602</f>
        <v>0</v>
      </c>
      <c r="M3590">
        <f>Data!G3602</f>
        <v>0</v>
      </c>
      <c r="N3590">
        <f>Data!H3602</f>
        <v>0</v>
      </c>
      <c r="O3590">
        <f>Data!I3602</f>
        <v>0</v>
      </c>
      <c r="P3590" s="21">
        <f>Data!J3606</f>
        <v>0</v>
      </c>
      <c r="Q3590">
        <f>Data!K3606</f>
        <v>0</v>
      </c>
      <c r="R3590">
        <f>Data!L3606</f>
        <v>0</v>
      </c>
      <c r="S3590">
        <f>Data!M3606</f>
        <v>0</v>
      </c>
      <c r="T3590">
        <f>Data!N3606</f>
        <v>0</v>
      </c>
      <c r="U3590">
        <f>Data!O3606</f>
        <v>0</v>
      </c>
      <c r="V3590" s="33">
        <f>Data!P3604</f>
        <v>0</v>
      </c>
    </row>
    <row r="3591" spans="7:22" x14ac:dyDescent="0.25">
      <c r="G3591">
        <f>Data!B3603</f>
        <v>0</v>
      </c>
      <c r="H3591" s="21">
        <f>Data!B3603</f>
        <v>0</v>
      </c>
      <c r="I3591" s="21">
        <f>Data!C3603</f>
        <v>0</v>
      </c>
      <c r="J3591">
        <f>Data!D3603</f>
        <v>0</v>
      </c>
      <c r="K3591">
        <f>Data!E3603</f>
        <v>0</v>
      </c>
      <c r="L3591">
        <f>Data!F3603</f>
        <v>0</v>
      </c>
      <c r="M3591">
        <f>Data!G3603</f>
        <v>0</v>
      </c>
      <c r="N3591">
        <f>Data!H3603</f>
        <v>0</v>
      </c>
      <c r="O3591">
        <f>Data!I3603</f>
        <v>0</v>
      </c>
      <c r="P3591" s="21">
        <f>Data!J3607</f>
        <v>0</v>
      </c>
      <c r="Q3591">
        <f>Data!K3607</f>
        <v>0</v>
      </c>
      <c r="R3591">
        <f>Data!L3607</f>
        <v>0</v>
      </c>
      <c r="S3591">
        <f>Data!M3607</f>
        <v>0</v>
      </c>
      <c r="T3591">
        <f>Data!N3607</f>
        <v>0</v>
      </c>
      <c r="U3591">
        <f>Data!O3607</f>
        <v>0</v>
      </c>
      <c r="V3591" s="33">
        <f>Data!P3605</f>
        <v>0</v>
      </c>
    </row>
    <row r="3592" spans="7:22" x14ac:dyDescent="0.25">
      <c r="G3592">
        <f>Data!B3604</f>
        <v>0</v>
      </c>
      <c r="H3592" s="21">
        <f>Data!B3604</f>
        <v>0</v>
      </c>
      <c r="I3592" s="21">
        <f>Data!C3604</f>
        <v>0</v>
      </c>
      <c r="J3592">
        <f>Data!D3604</f>
        <v>0</v>
      </c>
      <c r="K3592">
        <f>Data!E3604</f>
        <v>0</v>
      </c>
      <c r="L3592">
        <f>Data!F3604</f>
        <v>0</v>
      </c>
      <c r="M3592">
        <f>Data!G3604</f>
        <v>0</v>
      </c>
      <c r="N3592">
        <f>Data!H3604</f>
        <v>0</v>
      </c>
      <c r="O3592">
        <f>Data!I3604</f>
        <v>0</v>
      </c>
      <c r="P3592" s="21">
        <f>Data!J3608</f>
        <v>0</v>
      </c>
      <c r="Q3592">
        <f>Data!K3608</f>
        <v>0</v>
      </c>
      <c r="R3592">
        <f>Data!L3608</f>
        <v>0</v>
      </c>
      <c r="S3592">
        <f>Data!M3608</f>
        <v>0</v>
      </c>
      <c r="T3592">
        <f>Data!N3608</f>
        <v>0</v>
      </c>
      <c r="U3592">
        <f>Data!O3608</f>
        <v>0</v>
      </c>
      <c r="V3592" s="33">
        <f>Data!P3606</f>
        <v>0</v>
      </c>
    </row>
    <row r="3593" spans="7:22" x14ac:dyDescent="0.25">
      <c r="G3593">
        <f>Data!B3605</f>
        <v>0</v>
      </c>
      <c r="H3593" s="21">
        <f>Data!B3605</f>
        <v>0</v>
      </c>
      <c r="I3593" s="21">
        <f>Data!C3605</f>
        <v>0</v>
      </c>
      <c r="J3593">
        <f>Data!D3605</f>
        <v>0</v>
      </c>
      <c r="K3593">
        <f>Data!E3605</f>
        <v>0</v>
      </c>
      <c r="L3593">
        <f>Data!F3605</f>
        <v>0</v>
      </c>
      <c r="M3593">
        <f>Data!G3605</f>
        <v>0</v>
      </c>
      <c r="N3593">
        <f>Data!H3605</f>
        <v>0</v>
      </c>
      <c r="O3593">
        <f>Data!I3605</f>
        <v>0</v>
      </c>
      <c r="P3593" s="21">
        <f>Data!J3609</f>
        <v>0</v>
      </c>
      <c r="Q3593">
        <f>Data!K3609</f>
        <v>0</v>
      </c>
      <c r="R3593">
        <f>Data!L3609</f>
        <v>0</v>
      </c>
      <c r="S3593">
        <f>Data!M3609</f>
        <v>0</v>
      </c>
      <c r="T3593">
        <f>Data!N3609</f>
        <v>0</v>
      </c>
      <c r="U3593">
        <f>Data!O3609</f>
        <v>0</v>
      </c>
      <c r="V3593" s="33">
        <f>Data!P3607</f>
        <v>0</v>
      </c>
    </row>
    <row r="3594" spans="7:22" x14ac:dyDescent="0.25">
      <c r="G3594">
        <f>Data!B3606</f>
        <v>0</v>
      </c>
      <c r="H3594" s="21">
        <f>Data!B3606</f>
        <v>0</v>
      </c>
      <c r="I3594" s="21">
        <f>Data!C3606</f>
        <v>0</v>
      </c>
      <c r="J3594">
        <f>Data!D3606</f>
        <v>0</v>
      </c>
      <c r="K3594">
        <f>Data!E3606</f>
        <v>0</v>
      </c>
      <c r="L3594">
        <f>Data!F3606</f>
        <v>0</v>
      </c>
      <c r="M3594">
        <f>Data!G3606</f>
        <v>0</v>
      </c>
      <c r="N3594">
        <f>Data!H3606</f>
        <v>0</v>
      </c>
      <c r="O3594">
        <f>Data!I3606</f>
        <v>0</v>
      </c>
      <c r="P3594" s="21">
        <f>Data!J3610</f>
        <v>0</v>
      </c>
      <c r="Q3594">
        <f>Data!K3610</f>
        <v>0</v>
      </c>
      <c r="R3594">
        <f>Data!L3610</f>
        <v>0</v>
      </c>
      <c r="S3594">
        <f>Data!M3610</f>
        <v>0</v>
      </c>
      <c r="T3594">
        <f>Data!N3610</f>
        <v>0</v>
      </c>
      <c r="U3594">
        <f>Data!O3610</f>
        <v>0</v>
      </c>
      <c r="V3594" s="33">
        <f>Data!P3608</f>
        <v>0</v>
      </c>
    </row>
    <row r="3595" spans="7:22" x14ac:dyDescent="0.25">
      <c r="G3595">
        <f>Data!B3607</f>
        <v>0</v>
      </c>
      <c r="H3595" s="21">
        <f>Data!B3607</f>
        <v>0</v>
      </c>
      <c r="I3595" s="21">
        <f>Data!C3607</f>
        <v>0</v>
      </c>
      <c r="J3595">
        <f>Data!D3607</f>
        <v>0</v>
      </c>
      <c r="K3595">
        <f>Data!E3607</f>
        <v>0</v>
      </c>
      <c r="L3595">
        <f>Data!F3607</f>
        <v>0</v>
      </c>
      <c r="M3595">
        <f>Data!G3607</f>
        <v>0</v>
      </c>
      <c r="N3595">
        <f>Data!H3607</f>
        <v>0</v>
      </c>
      <c r="O3595">
        <f>Data!I3607</f>
        <v>0</v>
      </c>
      <c r="P3595" s="21">
        <f>Data!J3611</f>
        <v>0</v>
      </c>
      <c r="Q3595">
        <f>Data!K3611</f>
        <v>0</v>
      </c>
      <c r="R3595">
        <f>Data!L3611</f>
        <v>0</v>
      </c>
      <c r="S3595">
        <f>Data!M3611</f>
        <v>0</v>
      </c>
      <c r="T3595">
        <f>Data!N3611</f>
        <v>0</v>
      </c>
      <c r="U3595">
        <f>Data!O3611</f>
        <v>0</v>
      </c>
      <c r="V3595" s="33">
        <f>Data!P3609</f>
        <v>0</v>
      </c>
    </row>
    <row r="3596" spans="7:22" x14ac:dyDescent="0.25">
      <c r="G3596">
        <f>Data!B3608</f>
        <v>0</v>
      </c>
      <c r="H3596" s="21">
        <f>Data!B3608</f>
        <v>0</v>
      </c>
      <c r="I3596" s="21">
        <f>Data!C3608</f>
        <v>0</v>
      </c>
      <c r="J3596">
        <f>Data!D3608</f>
        <v>0</v>
      </c>
      <c r="K3596">
        <f>Data!E3608</f>
        <v>0</v>
      </c>
      <c r="L3596">
        <f>Data!F3608</f>
        <v>0</v>
      </c>
      <c r="M3596">
        <f>Data!G3608</f>
        <v>0</v>
      </c>
      <c r="N3596">
        <f>Data!H3608</f>
        <v>0</v>
      </c>
      <c r="O3596">
        <f>Data!I3608</f>
        <v>0</v>
      </c>
      <c r="P3596" s="21">
        <f>Data!J3612</f>
        <v>0</v>
      </c>
      <c r="Q3596">
        <f>Data!K3612</f>
        <v>0</v>
      </c>
      <c r="R3596">
        <f>Data!L3612</f>
        <v>0</v>
      </c>
      <c r="S3596">
        <f>Data!M3612</f>
        <v>0</v>
      </c>
      <c r="T3596">
        <f>Data!N3612</f>
        <v>0</v>
      </c>
      <c r="U3596">
        <f>Data!O3612</f>
        <v>0</v>
      </c>
      <c r="V3596" s="33">
        <f>Data!P3610</f>
        <v>0</v>
      </c>
    </row>
    <row r="3597" spans="7:22" x14ac:dyDescent="0.25">
      <c r="G3597">
        <f>Data!B3609</f>
        <v>0</v>
      </c>
      <c r="H3597" s="21">
        <f>Data!B3609</f>
        <v>0</v>
      </c>
      <c r="I3597" s="21">
        <f>Data!C3609</f>
        <v>0</v>
      </c>
      <c r="J3597">
        <f>Data!D3609</f>
        <v>0</v>
      </c>
      <c r="K3597">
        <f>Data!E3609</f>
        <v>0</v>
      </c>
      <c r="L3597">
        <f>Data!F3609</f>
        <v>0</v>
      </c>
      <c r="M3597">
        <f>Data!G3609</f>
        <v>0</v>
      </c>
      <c r="N3597">
        <f>Data!H3609</f>
        <v>0</v>
      </c>
      <c r="O3597">
        <f>Data!I3609</f>
        <v>0</v>
      </c>
      <c r="P3597" s="21">
        <f>Data!J3613</f>
        <v>0</v>
      </c>
      <c r="Q3597">
        <f>Data!K3613</f>
        <v>0</v>
      </c>
      <c r="R3597">
        <f>Data!L3613</f>
        <v>0</v>
      </c>
      <c r="S3597">
        <f>Data!M3613</f>
        <v>0</v>
      </c>
      <c r="T3597">
        <f>Data!N3613</f>
        <v>0</v>
      </c>
      <c r="U3597">
        <f>Data!O3613</f>
        <v>0</v>
      </c>
      <c r="V3597" s="33">
        <f>Data!P3611</f>
        <v>0</v>
      </c>
    </row>
    <row r="3598" spans="7:22" x14ac:dyDescent="0.25">
      <c r="G3598">
        <f>Data!B3610</f>
        <v>0</v>
      </c>
      <c r="H3598" s="21">
        <f>Data!B3610</f>
        <v>0</v>
      </c>
      <c r="I3598" s="21">
        <f>Data!C3610</f>
        <v>0</v>
      </c>
      <c r="J3598">
        <f>Data!D3610</f>
        <v>0</v>
      </c>
      <c r="K3598">
        <f>Data!E3610</f>
        <v>0</v>
      </c>
      <c r="L3598">
        <f>Data!F3610</f>
        <v>0</v>
      </c>
      <c r="M3598">
        <f>Data!G3610</f>
        <v>0</v>
      </c>
      <c r="N3598">
        <f>Data!H3610</f>
        <v>0</v>
      </c>
      <c r="O3598">
        <f>Data!I3610</f>
        <v>0</v>
      </c>
      <c r="P3598" s="21">
        <f>Data!J3614</f>
        <v>0</v>
      </c>
      <c r="Q3598">
        <f>Data!K3614</f>
        <v>0</v>
      </c>
      <c r="R3598">
        <f>Data!L3614</f>
        <v>0</v>
      </c>
      <c r="S3598">
        <f>Data!M3614</f>
        <v>0</v>
      </c>
      <c r="T3598">
        <f>Data!N3614</f>
        <v>0</v>
      </c>
      <c r="U3598">
        <f>Data!O3614</f>
        <v>0</v>
      </c>
      <c r="V3598" s="33">
        <f>Data!P3612</f>
        <v>0</v>
      </c>
    </row>
    <row r="3599" spans="7:22" x14ac:dyDescent="0.25">
      <c r="G3599">
        <f>Data!B3611</f>
        <v>0</v>
      </c>
      <c r="H3599" s="21">
        <f>Data!B3611</f>
        <v>0</v>
      </c>
      <c r="I3599" s="21">
        <f>Data!C3611</f>
        <v>0</v>
      </c>
      <c r="J3599">
        <f>Data!D3611</f>
        <v>0</v>
      </c>
      <c r="K3599">
        <f>Data!E3611</f>
        <v>0</v>
      </c>
      <c r="L3599">
        <f>Data!F3611</f>
        <v>0</v>
      </c>
      <c r="M3599">
        <f>Data!G3611</f>
        <v>0</v>
      </c>
      <c r="N3599">
        <f>Data!H3611</f>
        <v>0</v>
      </c>
      <c r="O3599">
        <f>Data!I3611</f>
        <v>0</v>
      </c>
      <c r="P3599" s="21">
        <f>Data!J3615</f>
        <v>0</v>
      </c>
      <c r="Q3599">
        <f>Data!K3615</f>
        <v>0</v>
      </c>
      <c r="R3599">
        <f>Data!L3615</f>
        <v>0</v>
      </c>
      <c r="S3599">
        <f>Data!M3615</f>
        <v>0</v>
      </c>
      <c r="T3599">
        <f>Data!N3615</f>
        <v>0</v>
      </c>
      <c r="U3599">
        <f>Data!O3615</f>
        <v>0</v>
      </c>
      <c r="V3599" s="33">
        <f>Data!P3613</f>
        <v>0</v>
      </c>
    </row>
    <row r="3600" spans="7:22" x14ac:dyDescent="0.25">
      <c r="G3600">
        <f>Data!B3612</f>
        <v>0</v>
      </c>
      <c r="H3600" s="21">
        <f>Data!B3612</f>
        <v>0</v>
      </c>
      <c r="I3600" s="21">
        <f>Data!C3612</f>
        <v>0</v>
      </c>
      <c r="J3600">
        <f>Data!D3612</f>
        <v>0</v>
      </c>
      <c r="K3600">
        <f>Data!E3612</f>
        <v>0</v>
      </c>
      <c r="L3600">
        <f>Data!F3612</f>
        <v>0</v>
      </c>
      <c r="M3600">
        <f>Data!G3612</f>
        <v>0</v>
      </c>
      <c r="N3600">
        <f>Data!H3612</f>
        <v>0</v>
      </c>
      <c r="O3600">
        <f>Data!I3612</f>
        <v>0</v>
      </c>
      <c r="P3600" s="21">
        <f>Data!J3616</f>
        <v>0</v>
      </c>
      <c r="Q3600">
        <f>Data!K3616</f>
        <v>0</v>
      </c>
      <c r="R3600">
        <f>Data!L3616</f>
        <v>0</v>
      </c>
      <c r="S3600">
        <f>Data!M3616</f>
        <v>0</v>
      </c>
      <c r="T3600">
        <f>Data!N3616</f>
        <v>0</v>
      </c>
      <c r="U3600">
        <f>Data!O3616</f>
        <v>0</v>
      </c>
      <c r="V3600" s="33">
        <f>Data!P3614</f>
        <v>0</v>
      </c>
    </row>
    <row r="3601" spans="7:22" x14ac:dyDescent="0.25">
      <c r="G3601">
        <f>Data!B3613</f>
        <v>0</v>
      </c>
      <c r="H3601" s="21">
        <f>Data!B3613</f>
        <v>0</v>
      </c>
      <c r="I3601" s="21">
        <f>Data!C3613</f>
        <v>0</v>
      </c>
      <c r="J3601">
        <f>Data!D3613</f>
        <v>0</v>
      </c>
      <c r="K3601">
        <f>Data!E3613</f>
        <v>0</v>
      </c>
      <c r="L3601">
        <f>Data!F3613</f>
        <v>0</v>
      </c>
      <c r="M3601">
        <f>Data!G3613</f>
        <v>0</v>
      </c>
      <c r="N3601">
        <f>Data!H3613</f>
        <v>0</v>
      </c>
      <c r="O3601">
        <f>Data!I3613</f>
        <v>0</v>
      </c>
      <c r="P3601" s="21">
        <f>Data!J3617</f>
        <v>0</v>
      </c>
      <c r="Q3601">
        <f>Data!K3617</f>
        <v>0</v>
      </c>
      <c r="R3601">
        <f>Data!L3617</f>
        <v>0</v>
      </c>
      <c r="S3601">
        <f>Data!M3617</f>
        <v>0</v>
      </c>
      <c r="T3601">
        <f>Data!N3617</f>
        <v>0</v>
      </c>
      <c r="U3601">
        <f>Data!O3617</f>
        <v>0</v>
      </c>
      <c r="V3601" s="33">
        <f>Data!P3615</f>
        <v>0</v>
      </c>
    </row>
    <row r="3602" spans="7:22" x14ac:dyDescent="0.25">
      <c r="G3602">
        <f>Data!B3614</f>
        <v>0</v>
      </c>
      <c r="H3602" s="21">
        <f>Data!B3614</f>
        <v>0</v>
      </c>
      <c r="I3602" s="21">
        <f>Data!C3614</f>
        <v>0</v>
      </c>
      <c r="J3602">
        <f>Data!D3614</f>
        <v>0</v>
      </c>
      <c r="K3602">
        <f>Data!E3614</f>
        <v>0</v>
      </c>
      <c r="L3602">
        <f>Data!F3614</f>
        <v>0</v>
      </c>
      <c r="M3602">
        <f>Data!G3614</f>
        <v>0</v>
      </c>
      <c r="N3602">
        <f>Data!H3614</f>
        <v>0</v>
      </c>
      <c r="O3602">
        <f>Data!I3614</f>
        <v>0</v>
      </c>
      <c r="P3602" s="21">
        <f>Data!J3618</f>
        <v>0</v>
      </c>
      <c r="Q3602">
        <f>Data!K3618</f>
        <v>0</v>
      </c>
      <c r="R3602">
        <f>Data!L3618</f>
        <v>0</v>
      </c>
      <c r="S3602">
        <f>Data!M3618</f>
        <v>0</v>
      </c>
      <c r="T3602">
        <f>Data!N3618</f>
        <v>0</v>
      </c>
      <c r="U3602">
        <f>Data!O3618</f>
        <v>0</v>
      </c>
      <c r="V3602" s="33">
        <f>Data!P3616</f>
        <v>0</v>
      </c>
    </row>
    <row r="3603" spans="7:22" x14ac:dyDescent="0.25">
      <c r="G3603">
        <f>Data!B3615</f>
        <v>0</v>
      </c>
      <c r="H3603" s="21">
        <f>Data!B3615</f>
        <v>0</v>
      </c>
      <c r="I3603" s="21">
        <f>Data!C3615</f>
        <v>0</v>
      </c>
      <c r="J3603">
        <f>Data!D3615</f>
        <v>0</v>
      </c>
      <c r="K3603">
        <f>Data!E3615</f>
        <v>0</v>
      </c>
      <c r="L3603">
        <f>Data!F3615</f>
        <v>0</v>
      </c>
      <c r="M3603">
        <f>Data!G3615</f>
        <v>0</v>
      </c>
      <c r="N3603">
        <f>Data!H3615</f>
        <v>0</v>
      </c>
      <c r="O3603">
        <f>Data!I3615</f>
        <v>0</v>
      </c>
      <c r="P3603" s="21">
        <f>Data!J3619</f>
        <v>0</v>
      </c>
      <c r="Q3603">
        <f>Data!K3619</f>
        <v>0</v>
      </c>
      <c r="R3603">
        <f>Data!L3619</f>
        <v>0</v>
      </c>
      <c r="S3603">
        <f>Data!M3619</f>
        <v>0</v>
      </c>
      <c r="T3603">
        <f>Data!N3619</f>
        <v>0</v>
      </c>
      <c r="U3603">
        <f>Data!O3619</f>
        <v>0</v>
      </c>
      <c r="V3603" s="33">
        <f>Data!P3617</f>
        <v>0</v>
      </c>
    </row>
    <row r="3604" spans="7:22" x14ac:dyDescent="0.25">
      <c r="G3604">
        <f>Data!B3616</f>
        <v>0</v>
      </c>
      <c r="H3604" s="21">
        <f>Data!B3616</f>
        <v>0</v>
      </c>
      <c r="I3604" s="21">
        <f>Data!C3616</f>
        <v>0</v>
      </c>
      <c r="J3604">
        <f>Data!D3616</f>
        <v>0</v>
      </c>
      <c r="K3604">
        <f>Data!E3616</f>
        <v>0</v>
      </c>
      <c r="L3604">
        <f>Data!F3616</f>
        <v>0</v>
      </c>
      <c r="M3604">
        <f>Data!G3616</f>
        <v>0</v>
      </c>
      <c r="N3604">
        <f>Data!H3616</f>
        <v>0</v>
      </c>
      <c r="O3604">
        <f>Data!I3616</f>
        <v>0</v>
      </c>
      <c r="P3604" s="21">
        <f>Data!J3620</f>
        <v>0</v>
      </c>
      <c r="Q3604">
        <f>Data!K3620</f>
        <v>0</v>
      </c>
      <c r="R3604">
        <f>Data!L3620</f>
        <v>0</v>
      </c>
      <c r="S3604">
        <f>Data!M3620</f>
        <v>0</v>
      </c>
      <c r="T3604">
        <f>Data!N3620</f>
        <v>0</v>
      </c>
      <c r="U3604">
        <f>Data!O3620</f>
        <v>0</v>
      </c>
      <c r="V3604" s="33">
        <f>Data!P3618</f>
        <v>0</v>
      </c>
    </row>
    <row r="3605" spans="7:22" x14ac:dyDescent="0.25">
      <c r="G3605">
        <f>Data!B3617</f>
        <v>0</v>
      </c>
      <c r="H3605" s="21">
        <f>Data!B3617</f>
        <v>0</v>
      </c>
      <c r="I3605" s="21">
        <f>Data!C3617</f>
        <v>0</v>
      </c>
      <c r="J3605">
        <f>Data!D3617</f>
        <v>0</v>
      </c>
      <c r="K3605">
        <f>Data!E3617</f>
        <v>0</v>
      </c>
      <c r="L3605">
        <f>Data!F3617</f>
        <v>0</v>
      </c>
      <c r="M3605">
        <f>Data!G3617</f>
        <v>0</v>
      </c>
      <c r="N3605">
        <f>Data!H3617</f>
        <v>0</v>
      </c>
      <c r="O3605">
        <f>Data!I3617</f>
        <v>0</v>
      </c>
      <c r="P3605" s="21">
        <f>Data!J3621</f>
        <v>0</v>
      </c>
      <c r="Q3605">
        <f>Data!K3621</f>
        <v>0</v>
      </c>
      <c r="R3605">
        <f>Data!L3621</f>
        <v>0</v>
      </c>
      <c r="S3605">
        <f>Data!M3621</f>
        <v>0</v>
      </c>
      <c r="T3605">
        <f>Data!N3621</f>
        <v>0</v>
      </c>
      <c r="U3605">
        <f>Data!O3621</f>
        <v>0</v>
      </c>
      <c r="V3605" s="33">
        <f>Data!P3619</f>
        <v>0</v>
      </c>
    </row>
    <row r="3606" spans="7:22" x14ac:dyDescent="0.25">
      <c r="G3606">
        <f>Data!B3618</f>
        <v>0</v>
      </c>
      <c r="H3606" s="21">
        <f>Data!B3618</f>
        <v>0</v>
      </c>
      <c r="I3606" s="21">
        <f>Data!C3618</f>
        <v>0</v>
      </c>
      <c r="J3606">
        <f>Data!D3618</f>
        <v>0</v>
      </c>
      <c r="K3606">
        <f>Data!E3618</f>
        <v>0</v>
      </c>
      <c r="L3606">
        <f>Data!F3618</f>
        <v>0</v>
      </c>
      <c r="M3606">
        <f>Data!G3618</f>
        <v>0</v>
      </c>
      <c r="N3606">
        <f>Data!H3618</f>
        <v>0</v>
      </c>
      <c r="O3606">
        <f>Data!I3618</f>
        <v>0</v>
      </c>
      <c r="P3606" s="21">
        <f>Data!J3622</f>
        <v>0</v>
      </c>
      <c r="Q3606">
        <f>Data!K3622</f>
        <v>0</v>
      </c>
      <c r="R3606">
        <f>Data!L3622</f>
        <v>0</v>
      </c>
      <c r="S3606">
        <f>Data!M3622</f>
        <v>0</v>
      </c>
      <c r="T3606">
        <f>Data!N3622</f>
        <v>0</v>
      </c>
      <c r="U3606">
        <f>Data!O3622</f>
        <v>0</v>
      </c>
      <c r="V3606" s="33">
        <f>Data!P3620</f>
        <v>0</v>
      </c>
    </row>
    <row r="3607" spans="7:22" x14ac:dyDescent="0.25">
      <c r="G3607">
        <f>Data!B3619</f>
        <v>0</v>
      </c>
      <c r="H3607" s="21">
        <f>Data!B3619</f>
        <v>0</v>
      </c>
      <c r="I3607" s="21">
        <f>Data!C3619</f>
        <v>0</v>
      </c>
      <c r="J3607">
        <f>Data!D3619</f>
        <v>0</v>
      </c>
      <c r="K3607">
        <f>Data!E3619</f>
        <v>0</v>
      </c>
      <c r="L3607">
        <f>Data!F3619</f>
        <v>0</v>
      </c>
      <c r="M3607">
        <f>Data!G3619</f>
        <v>0</v>
      </c>
      <c r="N3607">
        <f>Data!H3619</f>
        <v>0</v>
      </c>
      <c r="O3607">
        <f>Data!I3619</f>
        <v>0</v>
      </c>
      <c r="P3607" s="21">
        <f>Data!J3623</f>
        <v>0</v>
      </c>
      <c r="Q3607">
        <f>Data!K3623</f>
        <v>0</v>
      </c>
      <c r="R3607">
        <f>Data!L3623</f>
        <v>0</v>
      </c>
      <c r="S3607">
        <f>Data!M3623</f>
        <v>0</v>
      </c>
      <c r="T3607">
        <f>Data!N3623</f>
        <v>0</v>
      </c>
      <c r="U3607">
        <f>Data!O3623</f>
        <v>0</v>
      </c>
      <c r="V3607" s="33">
        <f>Data!P3621</f>
        <v>0</v>
      </c>
    </row>
    <row r="3608" spans="7:22" x14ac:dyDescent="0.25">
      <c r="G3608">
        <f>Data!B3620</f>
        <v>0</v>
      </c>
      <c r="H3608" s="21">
        <f>Data!B3620</f>
        <v>0</v>
      </c>
      <c r="I3608" s="21">
        <f>Data!C3620</f>
        <v>0</v>
      </c>
      <c r="J3608">
        <f>Data!D3620</f>
        <v>0</v>
      </c>
      <c r="K3608">
        <f>Data!E3620</f>
        <v>0</v>
      </c>
      <c r="L3608">
        <f>Data!F3620</f>
        <v>0</v>
      </c>
      <c r="M3608">
        <f>Data!G3620</f>
        <v>0</v>
      </c>
      <c r="N3608">
        <f>Data!H3620</f>
        <v>0</v>
      </c>
      <c r="O3608">
        <f>Data!I3620</f>
        <v>0</v>
      </c>
      <c r="P3608" s="21">
        <f>Data!J3624</f>
        <v>0</v>
      </c>
      <c r="Q3608">
        <f>Data!K3624</f>
        <v>0</v>
      </c>
      <c r="R3608">
        <f>Data!L3624</f>
        <v>0</v>
      </c>
      <c r="S3608">
        <f>Data!M3624</f>
        <v>0</v>
      </c>
      <c r="T3608">
        <f>Data!N3624</f>
        <v>0</v>
      </c>
      <c r="U3608">
        <f>Data!O3624</f>
        <v>0</v>
      </c>
      <c r="V3608" s="33">
        <f>Data!P3622</f>
        <v>0</v>
      </c>
    </row>
    <row r="3609" spans="7:22" x14ac:dyDescent="0.25">
      <c r="G3609">
        <f>Data!B3621</f>
        <v>0</v>
      </c>
      <c r="H3609" s="21">
        <f>Data!B3621</f>
        <v>0</v>
      </c>
      <c r="I3609" s="21">
        <f>Data!C3621</f>
        <v>0</v>
      </c>
      <c r="J3609">
        <f>Data!D3621</f>
        <v>0</v>
      </c>
      <c r="K3609">
        <f>Data!E3621</f>
        <v>0</v>
      </c>
      <c r="L3609">
        <f>Data!F3621</f>
        <v>0</v>
      </c>
      <c r="M3609">
        <f>Data!G3621</f>
        <v>0</v>
      </c>
      <c r="N3609">
        <f>Data!H3621</f>
        <v>0</v>
      </c>
      <c r="O3609">
        <f>Data!I3621</f>
        <v>0</v>
      </c>
      <c r="P3609" s="21">
        <f>Data!J3625</f>
        <v>0</v>
      </c>
      <c r="Q3609">
        <f>Data!K3625</f>
        <v>0</v>
      </c>
      <c r="R3609">
        <f>Data!L3625</f>
        <v>0</v>
      </c>
      <c r="S3609">
        <f>Data!M3625</f>
        <v>0</v>
      </c>
      <c r="T3609">
        <f>Data!N3625</f>
        <v>0</v>
      </c>
      <c r="U3609">
        <f>Data!O3625</f>
        <v>0</v>
      </c>
      <c r="V3609" s="33">
        <f>Data!P3623</f>
        <v>0</v>
      </c>
    </row>
    <row r="3610" spans="7:22" x14ac:dyDescent="0.25">
      <c r="G3610">
        <f>Data!B3622</f>
        <v>0</v>
      </c>
      <c r="H3610" s="21">
        <f>Data!B3622</f>
        <v>0</v>
      </c>
      <c r="I3610" s="21">
        <f>Data!C3622</f>
        <v>0</v>
      </c>
      <c r="J3610">
        <f>Data!D3622</f>
        <v>0</v>
      </c>
      <c r="K3610">
        <f>Data!E3622</f>
        <v>0</v>
      </c>
      <c r="L3610">
        <f>Data!F3622</f>
        <v>0</v>
      </c>
      <c r="M3610">
        <f>Data!G3622</f>
        <v>0</v>
      </c>
      <c r="N3610">
        <f>Data!H3622</f>
        <v>0</v>
      </c>
      <c r="O3610">
        <f>Data!I3622</f>
        <v>0</v>
      </c>
      <c r="P3610" s="21">
        <f>Data!J3626</f>
        <v>0</v>
      </c>
      <c r="Q3610">
        <f>Data!K3626</f>
        <v>0</v>
      </c>
      <c r="R3610">
        <f>Data!L3626</f>
        <v>0</v>
      </c>
      <c r="S3610">
        <f>Data!M3626</f>
        <v>0</v>
      </c>
      <c r="T3610">
        <f>Data!N3626</f>
        <v>0</v>
      </c>
      <c r="U3610">
        <f>Data!O3626</f>
        <v>0</v>
      </c>
      <c r="V3610" s="33">
        <f>Data!P3624</f>
        <v>0</v>
      </c>
    </row>
    <row r="3611" spans="7:22" x14ac:dyDescent="0.25">
      <c r="G3611">
        <f>Data!B3623</f>
        <v>0</v>
      </c>
      <c r="H3611" s="21">
        <f>Data!B3623</f>
        <v>0</v>
      </c>
      <c r="I3611" s="21">
        <f>Data!C3623</f>
        <v>0</v>
      </c>
      <c r="J3611">
        <f>Data!D3623</f>
        <v>0</v>
      </c>
      <c r="K3611">
        <f>Data!E3623</f>
        <v>0</v>
      </c>
      <c r="L3611">
        <f>Data!F3623</f>
        <v>0</v>
      </c>
      <c r="M3611">
        <f>Data!G3623</f>
        <v>0</v>
      </c>
      <c r="N3611">
        <f>Data!H3623</f>
        <v>0</v>
      </c>
      <c r="O3611">
        <f>Data!I3623</f>
        <v>0</v>
      </c>
      <c r="P3611" s="21">
        <f>Data!J3627</f>
        <v>0</v>
      </c>
      <c r="Q3611">
        <f>Data!K3627</f>
        <v>0</v>
      </c>
      <c r="R3611">
        <f>Data!L3627</f>
        <v>0</v>
      </c>
      <c r="S3611">
        <f>Data!M3627</f>
        <v>0</v>
      </c>
      <c r="T3611">
        <f>Data!N3627</f>
        <v>0</v>
      </c>
      <c r="U3611">
        <f>Data!O3627</f>
        <v>0</v>
      </c>
      <c r="V3611" s="33">
        <f>Data!P3625</f>
        <v>0</v>
      </c>
    </row>
    <row r="3612" spans="7:22" x14ac:dyDescent="0.25">
      <c r="G3612">
        <f>Data!B3624</f>
        <v>0</v>
      </c>
      <c r="H3612" s="21">
        <f>Data!B3624</f>
        <v>0</v>
      </c>
      <c r="I3612" s="21">
        <f>Data!C3624</f>
        <v>0</v>
      </c>
      <c r="J3612">
        <f>Data!D3624</f>
        <v>0</v>
      </c>
      <c r="K3612">
        <f>Data!E3624</f>
        <v>0</v>
      </c>
      <c r="L3612">
        <f>Data!F3624</f>
        <v>0</v>
      </c>
      <c r="M3612">
        <f>Data!G3624</f>
        <v>0</v>
      </c>
      <c r="N3612">
        <f>Data!H3624</f>
        <v>0</v>
      </c>
      <c r="O3612">
        <f>Data!I3624</f>
        <v>0</v>
      </c>
      <c r="P3612" s="21">
        <f>Data!J3628</f>
        <v>0</v>
      </c>
      <c r="Q3612">
        <f>Data!K3628</f>
        <v>0</v>
      </c>
      <c r="R3612">
        <f>Data!L3628</f>
        <v>0</v>
      </c>
      <c r="S3612">
        <f>Data!M3628</f>
        <v>0</v>
      </c>
      <c r="T3612">
        <f>Data!N3628</f>
        <v>0</v>
      </c>
      <c r="U3612">
        <f>Data!O3628</f>
        <v>0</v>
      </c>
      <c r="V3612" s="33">
        <f>Data!P3626</f>
        <v>0</v>
      </c>
    </row>
    <row r="3613" spans="7:22" x14ac:dyDescent="0.25">
      <c r="G3613">
        <f>Data!B3625</f>
        <v>0</v>
      </c>
      <c r="H3613" s="21">
        <f>Data!B3625</f>
        <v>0</v>
      </c>
      <c r="I3613" s="21">
        <f>Data!C3625</f>
        <v>0</v>
      </c>
      <c r="J3613">
        <f>Data!D3625</f>
        <v>0</v>
      </c>
      <c r="K3613">
        <f>Data!E3625</f>
        <v>0</v>
      </c>
      <c r="L3613">
        <f>Data!F3625</f>
        <v>0</v>
      </c>
      <c r="M3613">
        <f>Data!G3625</f>
        <v>0</v>
      </c>
      <c r="N3613">
        <f>Data!H3625</f>
        <v>0</v>
      </c>
      <c r="O3613">
        <f>Data!I3625</f>
        <v>0</v>
      </c>
      <c r="P3613" s="21">
        <f>Data!J3629</f>
        <v>0</v>
      </c>
      <c r="Q3613">
        <f>Data!K3629</f>
        <v>0</v>
      </c>
      <c r="R3613">
        <f>Data!L3629</f>
        <v>0</v>
      </c>
      <c r="S3613">
        <f>Data!M3629</f>
        <v>0</v>
      </c>
      <c r="T3613">
        <f>Data!N3629</f>
        <v>0</v>
      </c>
      <c r="U3613">
        <f>Data!O3629</f>
        <v>0</v>
      </c>
      <c r="V3613" s="33">
        <f>Data!P3627</f>
        <v>0</v>
      </c>
    </row>
    <row r="3614" spans="7:22" x14ac:dyDescent="0.25">
      <c r="G3614">
        <f>Data!B3626</f>
        <v>0</v>
      </c>
      <c r="H3614" s="21">
        <f>Data!B3626</f>
        <v>0</v>
      </c>
      <c r="I3614" s="21">
        <f>Data!C3626</f>
        <v>0</v>
      </c>
      <c r="J3614">
        <f>Data!D3626</f>
        <v>0</v>
      </c>
      <c r="K3614">
        <f>Data!E3626</f>
        <v>0</v>
      </c>
      <c r="L3614">
        <f>Data!F3626</f>
        <v>0</v>
      </c>
      <c r="M3614">
        <f>Data!G3626</f>
        <v>0</v>
      </c>
      <c r="N3614">
        <f>Data!H3626</f>
        <v>0</v>
      </c>
      <c r="O3614">
        <f>Data!I3626</f>
        <v>0</v>
      </c>
      <c r="P3614" s="21">
        <f>Data!J3630</f>
        <v>0</v>
      </c>
      <c r="Q3614">
        <f>Data!K3630</f>
        <v>0</v>
      </c>
      <c r="R3614">
        <f>Data!L3630</f>
        <v>0</v>
      </c>
      <c r="S3614">
        <f>Data!M3630</f>
        <v>0</v>
      </c>
      <c r="T3614">
        <f>Data!N3630</f>
        <v>0</v>
      </c>
      <c r="U3614">
        <f>Data!O3630</f>
        <v>0</v>
      </c>
      <c r="V3614" s="33">
        <f>Data!P3628</f>
        <v>0</v>
      </c>
    </row>
    <row r="3615" spans="7:22" x14ac:dyDescent="0.25">
      <c r="G3615">
        <f>Data!B3627</f>
        <v>0</v>
      </c>
      <c r="H3615" s="21">
        <f>Data!B3627</f>
        <v>0</v>
      </c>
      <c r="I3615" s="21">
        <f>Data!C3627</f>
        <v>0</v>
      </c>
      <c r="J3615">
        <f>Data!D3627</f>
        <v>0</v>
      </c>
      <c r="K3615">
        <f>Data!E3627</f>
        <v>0</v>
      </c>
      <c r="L3615">
        <f>Data!F3627</f>
        <v>0</v>
      </c>
      <c r="M3615">
        <f>Data!G3627</f>
        <v>0</v>
      </c>
      <c r="N3615">
        <f>Data!H3627</f>
        <v>0</v>
      </c>
      <c r="O3615">
        <f>Data!I3627</f>
        <v>0</v>
      </c>
      <c r="P3615" s="21">
        <f>Data!J3631</f>
        <v>0</v>
      </c>
      <c r="Q3615">
        <f>Data!K3631</f>
        <v>0</v>
      </c>
      <c r="R3615">
        <f>Data!L3631</f>
        <v>0</v>
      </c>
      <c r="S3615">
        <f>Data!M3631</f>
        <v>0</v>
      </c>
      <c r="T3615">
        <f>Data!N3631</f>
        <v>0</v>
      </c>
      <c r="U3615">
        <f>Data!O3631</f>
        <v>0</v>
      </c>
      <c r="V3615" s="33">
        <f>Data!P3629</f>
        <v>0</v>
      </c>
    </row>
    <row r="3616" spans="7:22" x14ac:dyDescent="0.25">
      <c r="G3616">
        <f>Data!B3628</f>
        <v>0</v>
      </c>
      <c r="H3616" s="21">
        <f>Data!B3628</f>
        <v>0</v>
      </c>
      <c r="I3616" s="21">
        <f>Data!C3628</f>
        <v>0</v>
      </c>
      <c r="J3616">
        <f>Data!D3628</f>
        <v>0</v>
      </c>
      <c r="K3616">
        <f>Data!E3628</f>
        <v>0</v>
      </c>
      <c r="L3616">
        <f>Data!F3628</f>
        <v>0</v>
      </c>
      <c r="M3616">
        <f>Data!G3628</f>
        <v>0</v>
      </c>
      <c r="N3616">
        <f>Data!H3628</f>
        <v>0</v>
      </c>
      <c r="O3616">
        <f>Data!I3628</f>
        <v>0</v>
      </c>
      <c r="P3616" s="21">
        <f>Data!J3632</f>
        <v>0</v>
      </c>
      <c r="Q3616">
        <f>Data!K3632</f>
        <v>0</v>
      </c>
      <c r="R3616">
        <f>Data!L3632</f>
        <v>0</v>
      </c>
      <c r="S3616">
        <f>Data!M3632</f>
        <v>0</v>
      </c>
      <c r="T3616">
        <f>Data!N3632</f>
        <v>0</v>
      </c>
      <c r="U3616">
        <f>Data!O3632</f>
        <v>0</v>
      </c>
      <c r="V3616" s="33">
        <f>Data!P3630</f>
        <v>0</v>
      </c>
    </row>
    <row r="3617" spans="7:22" x14ac:dyDescent="0.25">
      <c r="G3617">
        <f>Data!B3629</f>
        <v>0</v>
      </c>
      <c r="H3617" s="21">
        <f>Data!B3629</f>
        <v>0</v>
      </c>
      <c r="I3617" s="21">
        <f>Data!C3629</f>
        <v>0</v>
      </c>
      <c r="J3617">
        <f>Data!D3629</f>
        <v>0</v>
      </c>
      <c r="K3617">
        <f>Data!E3629</f>
        <v>0</v>
      </c>
      <c r="L3617">
        <f>Data!F3629</f>
        <v>0</v>
      </c>
      <c r="M3617">
        <f>Data!G3629</f>
        <v>0</v>
      </c>
      <c r="N3617">
        <f>Data!H3629</f>
        <v>0</v>
      </c>
      <c r="O3617">
        <f>Data!I3629</f>
        <v>0</v>
      </c>
      <c r="P3617" s="21">
        <f>Data!J3633</f>
        <v>0</v>
      </c>
      <c r="Q3617">
        <f>Data!K3633</f>
        <v>0</v>
      </c>
      <c r="R3617">
        <f>Data!L3633</f>
        <v>0</v>
      </c>
      <c r="S3617">
        <f>Data!M3633</f>
        <v>0</v>
      </c>
      <c r="T3617">
        <f>Data!N3633</f>
        <v>0</v>
      </c>
      <c r="U3617">
        <f>Data!O3633</f>
        <v>0</v>
      </c>
      <c r="V3617" s="33">
        <f>Data!P3631</f>
        <v>0</v>
      </c>
    </row>
    <row r="3618" spans="7:22" x14ac:dyDescent="0.25">
      <c r="G3618">
        <f>Data!B3630</f>
        <v>0</v>
      </c>
      <c r="H3618" s="21">
        <f>Data!B3630</f>
        <v>0</v>
      </c>
      <c r="I3618" s="21">
        <f>Data!C3630</f>
        <v>0</v>
      </c>
      <c r="J3618">
        <f>Data!D3630</f>
        <v>0</v>
      </c>
      <c r="K3618">
        <f>Data!E3630</f>
        <v>0</v>
      </c>
      <c r="L3618">
        <f>Data!F3630</f>
        <v>0</v>
      </c>
      <c r="M3618">
        <f>Data!G3630</f>
        <v>0</v>
      </c>
      <c r="N3618">
        <f>Data!H3630</f>
        <v>0</v>
      </c>
      <c r="O3618">
        <f>Data!I3630</f>
        <v>0</v>
      </c>
      <c r="P3618" s="21">
        <f>Data!J3634</f>
        <v>0</v>
      </c>
      <c r="Q3618">
        <f>Data!K3634</f>
        <v>0</v>
      </c>
      <c r="R3618">
        <f>Data!L3634</f>
        <v>0</v>
      </c>
      <c r="S3618">
        <f>Data!M3634</f>
        <v>0</v>
      </c>
      <c r="T3618">
        <f>Data!N3634</f>
        <v>0</v>
      </c>
      <c r="U3618">
        <f>Data!O3634</f>
        <v>0</v>
      </c>
      <c r="V3618" s="33">
        <f>Data!P3632</f>
        <v>0</v>
      </c>
    </row>
    <row r="3619" spans="7:22" x14ac:dyDescent="0.25">
      <c r="G3619">
        <f>Data!B3631</f>
        <v>0</v>
      </c>
      <c r="H3619" s="21">
        <f>Data!B3631</f>
        <v>0</v>
      </c>
      <c r="I3619" s="21">
        <f>Data!C3631</f>
        <v>0</v>
      </c>
      <c r="J3619">
        <f>Data!D3631</f>
        <v>0</v>
      </c>
      <c r="K3619">
        <f>Data!E3631</f>
        <v>0</v>
      </c>
      <c r="L3619">
        <f>Data!F3631</f>
        <v>0</v>
      </c>
      <c r="M3619">
        <f>Data!G3631</f>
        <v>0</v>
      </c>
      <c r="N3619">
        <f>Data!H3631</f>
        <v>0</v>
      </c>
      <c r="O3619">
        <f>Data!I3631</f>
        <v>0</v>
      </c>
      <c r="P3619" s="21">
        <f>Data!J3635</f>
        <v>0</v>
      </c>
      <c r="Q3619">
        <f>Data!K3635</f>
        <v>0</v>
      </c>
      <c r="R3619">
        <f>Data!L3635</f>
        <v>0</v>
      </c>
      <c r="S3619">
        <f>Data!M3635</f>
        <v>0</v>
      </c>
      <c r="T3619">
        <f>Data!N3635</f>
        <v>0</v>
      </c>
      <c r="U3619">
        <f>Data!O3635</f>
        <v>0</v>
      </c>
      <c r="V3619" s="33">
        <f>Data!P3633</f>
        <v>0</v>
      </c>
    </row>
    <row r="3620" spans="7:22" x14ac:dyDescent="0.25">
      <c r="G3620">
        <f>Data!B3632</f>
        <v>0</v>
      </c>
      <c r="H3620" s="21">
        <f>Data!B3632</f>
        <v>0</v>
      </c>
      <c r="I3620" s="21">
        <f>Data!C3632</f>
        <v>0</v>
      </c>
      <c r="J3620">
        <f>Data!D3632</f>
        <v>0</v>
      </c>
      <c r="K3620">
        <f>Data!E3632</f>
        <v>0</v>
      </c>
      <c r="L3620">
        <f>Data!F3632</f>
        <v>0</v>
      </c>
      <c r="M3620">
        <f>Data!G3632</f>
        <v>0</v>
      </c>
      <c r="N3620">
        <f>Data!H3632</f>
        <v>0</v>
      </c>
      <c r="O3620">
        <f>Data!I3632</f>
        <v>0</v>
      </c>
      <c r="P3620" s="21">
        <f>Data!J3636</f>
        <v>0</v>
      </c>
      <c r="Q3620">
        <f>Data!K3636</f>
        <v>0</v>
      </c>
      <c r="R3620">
        <f>Data!L3636</f>
        <v>0</v>
      </c>
      <c r="S3620">
        <f>Data!M3636</f>
        <v>0</v>
      </c>
      <c r="T3620">
        <f>Data!N3636</f>
        <v>0</v>
      </c>
      <c r="U3620">
        <f>Data!O3636</f>
        <v>0</v>
      </c>
      <c r="V3620" s="33">
        <f>Data!P3634</f>
        <v>0</v>
      </c>
    </row>
    <row r="3621" spans="7:22" x14ac:dyDescent="0.25">
      <c r="G3621">
        <f>Data!B3633</f>
        <v>0</v>
      </c>
      <c r="H3621" s="21">
        <f>Data!B3633</f>
        <v>0</v>
      </c>
      <c r="I3621" s="21">
        <f>Data!C3633</f>
        <v>0</v>
      </c>
      <c r="J3621">
        <f>Data!D3633</f>
        <v>0</v>
      </c>
      <c r="K3621">
        <f>Data!E3633</f>
        <v>0</v>
      </c>
      <c r="L3621">
        <f>Data!F3633</f>
        <v>0</v>
      </c>
      <c r="M3621">
        <f>Data!G3633</f>
        <v>0</v>
      </c>
      <c r="N3621">
        <f>Data!H3633</f>
        <v>0</v>
      </c>
      <c r="O3621">
        <f>Data!I3633</f>
        <v>0</v>
      </c>
      <c r="P3621" s="21">
        <f>Data!J3637</f>
        <v>0</v>
      </c>
      <c r="Q3621">
        <f>Data!K3637</f>
        <v>0</v>
      </c>
      <c r="R3621">
        <f>Data!L3637</f>
        <v>0</v>
      </c>
      <c r="S3621">
        <f>Data!M3637</f>
        <v>0</v>
      </c>
      <c r="T3621">
        <f>Data!N3637</f>
        <v>0</v>
      </c>
      <c r="U3621">
        <f>Data!O3637</f>
        <v>0</v>
      </c>
      <c r="V3621" s="33">
        <f>Data!P3635</f>
        <v>0</v>
      </c>
    </row>
    <row r="3622" spans="7:22" x14ac:dyDescent="0.25">
      <c r="G3622">
        <f>Data!B3634</f>
        <v>0</v>
      </c>
      <c r="H3622" s="21">
        <f>Data!B3634</f>
        <v>0</v>
      </c>
      <c r="I3622" s="21">
        <f>Data!C3634</f>
        <v>0</v>
      </c>
      <c r="J3622">
        <f>Data!D3634</f>
        <v>0</v>
      </c>
      <c r="K3622">
        <f>Data!E3634</f>
        <v>0</v>
      </c>
      <c r="L3622">
        <f>Data!F3634</f>
        <v>0</v>
      </c>
      <c r="M3622">
        <f>Data!G3634</f>
        <v>0</v>
      </c>
      <c r="N3622">
        <f>Data!H3634</f>
        <v>0</v>
      </c>
      <c r="O3622">
        <f>Data!I3634</f>
        <v>0</v>
      </c>
      <c r="P3622" s="21">
        <f>Data!J3638</f>
        <v>0</v>
      </c>
      <c r="Q3622">
        <f>Data!K3638</f>
        <v>0</v>
      </c>
      <c r="R3622">
        <f>Data!L3638</f>
        <v>0</v>
      </c>
      <c r="S3622">
        <f>Data!M3638</f>
        <v>0</v>
      </c>
      <c r="T3622">
        <f>Data!N3638</f>
        <v>0</v>
      </c>
      <c r="U3622">
        <f>Data!O3638</f>
        <v>0</v>
      </c>
      <c r="V3622" s="33">
        <f>Data!P3636</f>
        <v>0</v>
      </c>
    </row>
    <row r="3623" spans="7:22" x14ac:dyDescent="0.25">
      <c r="G3623">
        <f>Data!B3635</f>
        <v>0</v>
      </c>
      <c r="H3623" s="21">
        <f>Data!B3635</f>
        <v>0</v>
      </c>
      <c r="I3623" s="21">
        <f>Data!C3635</f>
        <v>0</v>
      </c>
      <c r="J3623">
        <f>Data!D3635</f>
        <v>0</v>
      </c>
      <c r="K3623">
        <f>Data!E3635</f>
        <v>0</v>
      </c>
      <c r="L3623">
        <f>Data!F3635</f>
        <v>0</v>
      </c>
      <c r="M3623">
        <f>Data!G3635</f>
        <v>0</v>
      </c>
      <c r="N3623">
        <f>Data!H3635</f>
        <v>0</v>
      </c>
      <c r="O3623">
        <f>Data!I3635</f>
        <v>0</v>
      </c>
      <c r="P3623" s="21">
        <f>Data!J3639</f>
        <v>0</v>
      </c>
      <c r="Q3623">
        <f>Data!K3639</f>
        <v>0</v>
      </c>
      <c r="R3623">
        <f>Data!L3639</f>
        <v>0</v>
      </c>
      <c r="S3623">
        <f>Data!M3639</f>
        <v>0</v>
      </c>
      <c r="T3623">
        <f>Data!N3639</f>
        <v>0</v>
      </c>
      <c r="U3623">
        <f>Data!O3639</f>
        <v>0</v>
      </c>
      <c r="V3623" s="33">
        <f>Data!P3637</f>
        <v>0</v>
      </c>
    </row>
    <row r="3624" spans="7:22" x14ac:dyDescent="0.25">
      <c r="G3624">
        <f>Data!B3636</f>
        <v>0</v>
      </c>
      <c r="H3624" s="21">
        <f>Data!B3636</f>
        <v>0</v>
      </c>
      <c r="I3624" s="21">
        <f>Data!C3636</f>
        <v>0</v>
      </c>
      <c r="J3624">
        <f>Data!D3636</f>
        <v>0</v>
      </c>
      <c r="K3624">
        <f>Data!E3636</f>
        <v>0</v>
      </c>
      <c r="L3624">
        <f>Data!F3636</f>
        <v>0</v>
      </c>
      <c r="M3624">
        <f>Data!G3636</f>
        <v>0</v>
      </c>
      <c r="N3624">
        <f>Data!H3636</f>
        <v>0</v>
      </c>
      <c r="O3624">
        <f>Data!I3636</f>
        <v>0</v>
      </c>
      <c r="P3624" s="21">
        <f>Data!J3640</f>
        <v>0</v>
      </c>
      <c r="Q3624">
        <f>Data!K3640</f>
        <v>0</v>
      </c>
      <c r="R3624">
        <f>Data!L3640</f>
        <v>0</v>
      </c>
      <c r="S3624">
        <f>Data!M3640</f>
        <v>0</v>
      </c>
      <c r="T3624">
        <f>Data!N3640</f>
        <v>0</v>
      </c>
      <c r="U3624">
        <f>Data!O3640</f>
        <v>0</v>
      </c>
      <c r="V3624" s="33">
        <f>Data!P3638</f>
        <v>0</v>
      </c>
    </row>
    <row r="3625" spans="7:22" x14ac:dyDescent="0.25">
      <c r="G3625">
        <f>Data!B3637</f>
        <v>0</v>
      </c>
      <c r="H3625" s="21">
        <f>Data!B3637</f>
        <v>0</v>
      </c>
      <c r="I3625" s="21">
        <f>Data!C3637</f>
        <v>0</v>
      </c>
      <c r="J3625">
        <f>Data!D3637</f>
        <v>0</v>
      </c>
      <c r="K3625">
        <f>Data!E3637</f>
        <v>0</v>
      </c>
      <c r="L3625">
        <f>Data!F3637</f>
        <v>0</v>
      </c>
      <c r="M3625">
        <f>Data!G3637</f>
        <v>0</v>
      </c>
      <c r="N3625">
        <f>Data!H3637</f>
        <v>0</v>
      </c>
      <c r="O3625">
        <f>Data!I3637</f>
        <v>0</v>
      </c>
      <c r="P3625" s="21">
        <f>Data!J3641</f>
        <v>0</v>
      </c>
      <c r="Q3625">
        <f>Data!K3641</f>
        <v>0</v>
      </c>
      <c r="R3625">
        <f>Data!L3641</f>
        <v>0</v>
      </c>
      <c r="S3625">
        <f>Data!M3641</f>
        <v>0</v>
      </c>
      <c r="T3625">
        <f>Data!N3641</f>
        <v>0</v>
      </c>
      <c r="U3625">
        <f>Data!O3641</f>
        <v>0</v>
      </c>
      <c r="V3625" s="33">
        <f>Data!P3639</f>
        <v>0</v>
      </c>
    </row>
    <row r="3626" spans="7:22" x14ac:dyDescent="0.25">
      <c r="G3626">
        <f>Data!B3638</f>
        <v>0</v>
      </c>
      <c r="H3626" s="21">
        <f>Data!B3638</f>
        <v>0</v>
      </c>
      <c r="I3626" s="21">
        <f>Data!C3638</f>
        <v>0</v>
      </c>
      <c r="J3626">
        <f>Data!D3638</f>
        <v>0</v>
      </c>
      <c r="K3626">
        <f>Data!E3638</f>
        <v>0</v>
      </c>
      <c r="L3626">
        <f>Data!F3638</f>
        <v>0</v>
      </c>
      <c r="M3626">
        <f>Data!G3638</f>
        <v>0</v>
      </c>
      <c r="N3626">
        <f>Data!H3638</f>
        <v>0</v>
      </c>
      <c r="O3626">
        <f>Data!I3638</f>
        <v>0</v>
      </c>
      <c r="P3626" s="21">
        <f>Data!J3642</f>
        <v>0</v>
      </c>
      <c r="Q3626">
        <f>Data!K3642</f>
        <v>0</v>
      </c>
      <c r="R3626">
        <f>Data!L3642</f>
        <v>0</v>
      </c>
      <c r="S3626">
        <f>Data!M3642</f>
        <v>0</v>
      </c>
      <c r="T3626">
        <f>Data!N3642</f>
        <v>0</v>
      </c>
      <c r="U3626">
        <f>Data!O3642</f>
        <v>0</v>
      </c>
      <c r="V3626" s="33">
        <f>Data!P3640</f>
        <v>0</v>
      </c>
    </row>
    <row r="3627" spans="7:22" x14ac:dyDescent="0.25">
      <c r="G3627">
        <f>Data!B3639</f>
        <v>0</v>
      </c>
      <c r="H3627" s="21">
        <f>Data!B3639</f>
        <v>0</v>
      </c>
      <c r="I3627" s="21">
        <f>Data!C3639</f>
        <v>0</v>
      </c>
      <c r="J3627">
        <f>Data!D3639</f>
        <v>0</v>
      </c>
      <c r="K3627">
        <f>Data!E3639</f>
        <v>0</v>
      </c>
      <c r="L3627">
        <f>Data!F3639</f>
        <v>0</v>
      </c>
      <c r="M3627">
        <f>Data!G3639</f>
        <v>0</v>
      </c>
      <c r="N3627">
        <f>Data!H3639</f>
        <v>0</v>
      </c>
      <c r="O3627">
        <f>Data!I3639</f>
        <v>0</v>
      </c>
      <c r="P3627" s="21">
        <f>Data!J3643</f>
        <v>0</v>
      </c>
      <c r="Q3627">
        <f>Data!K3643</f>
        <v>0</v>
      </c>
      <c r="R3627">
        <f>Data!L3643</f>
        <v>0</v>
      </c>
      <c r="S3627">
        <f>Data!M3643</f>
        <v>0</v>
      </c>
      <c r="T3627">
        <f>Data!N3643</f>
        <v>0</v>
      </c>
      <c r="U3627">
        <f>Data!O3643</f>
        <v>0</v>
      </c>
      <c r="V3627" s="33">
        <f>Data!P3641</f>
        <v>0</v>
      </c>
    </row>
    <row r="3628" spans="7:22" x14ac:dyDescent="0.25">
      <c r="G3628">
        <f>Data!B3640</f>
        <v>0</v>
      </c>
      <c r="H3628" s="21">
        <f>Data!B3640</f>
        <v>0</v>
      </c>
      <c r="I3628" s="21">
        <f>Data!C3640</f>
        <v>0</v>
      </c>
      <c r="J3628">
        <f>Data!D3640</f>
        <v>0</v>
      </c>
      <c r="K3628">
        <f>Data!E3640</f>
        <v>0</v>
      </c>
      <c r="L3628">
        <f>Data!F3640</f>
        <v>0</v>
      </c>
      <c r="M3628">
        <f>Data!G3640</f>
        <v>0</v>
      </c>
      <c r="N3628">
        <f>Data!H3640</f>
        <v>0</v>
      </c>
      <c r="O3628">
        <f>Data!I3640</f>
        <v>0</v>
      </c>
      <c r="P3628" s="21">
        <f>Data!J3644</f>
        <v>0</v>
      </c>
      <c r="Q3628">
        <f>Data!K3644</f>
        <v>0</v>
      </c>
      <c r="R3628">
        <f>Data!L3644</f>
        <v>0</v>
      </c>
      <c r="S3628">
        <f>Data!M3644</f>
        <v>0</v>
      </c>
      <c r="T3628">
        <f>Data!N3644</f>
        <v>0</v>
      </c>
      <c r="U3628">
        <f>Data!O3644</f>
        <v>0</v>
      </c>
      <c r="V3628" s="33">
        <f>Data!P3642</f>
        <v>0</v>
      </c>
    </row>
    <row r="3629" spans="7:22" x14ac:dyDescent="0.25">
      <c r="G3629">
        <f>Data!B3641</f>
        <v>0</v>
      </c>
      <c r="H3629" s="21">
        <f>Data!B3641</f>
        <v>0</v>
      </c>
      <c r="I3629" s="21">
        <f>Data!C3641</f>
        <v>0</v>
      </c>
      <c r="J3629">
        <f>Data!D3641</f>
        <v>0</v>
      </c>
      <c r="K3629">
        <f>Data!E3641</f>
        <v>0</v>
      </c>
      <c r="L3629">
        <f>Data!F3641</f>
        <v>0</v>
      </c>
      <c r="M3629">
        <f>Data!G3641</f>
        <v>0</v>
      </c>
      <c r="N3629">
        <f>Data!H3641</f>
        <v>0</v>
      </c>
      <c r="O3629">
        <f>Data!I3641</f>
        <v>0</v>
      </c>
      <c r="P3629" s="21">
        <f>Data!J3645</f>
        <v>0</v>
      </c>
      <c r="Q3629">
        <f>Data!K3645</f>
        <v>0</v>
      </c>
      <c r="R3629">
        <f>Data!L3645</f>
        <v>0</v>
      </c>
      <c r="S3629">
        <f>Data!M3645</f>
        <v>0</v>
      </c>
      <c r="T3629">
        <f>Data!N3645</f>
        <v>0</v>
      </c>
      <c r="U3629">
        <f>Data!O3645</f>
        <v>0</v>
      </c>
      <c r="V3629" s="33">
        <f>Data!P3643</f>
        <v>0</v>
      </c>
    </row>
    <row r="3630" spans="7:22" x14ac:dyDescent="0.25">
      <c r="G3630">
        <f>Data!B3642</f>
        <v>0</v>
      </c>
      <c r="H3630" s="21">
        <f>Data!B3642</f>
        <v>0</v>
      </c>
      <c r="I3630" s="21">
        <f>Data!C3642</f>
        <v>0</v>
      </c>
      <c r="J3630">
        <f>Data!D3642</f>
        <v>0</v>
      </c>
      <c r="K3630">
        <f>Data!E3642</f>
        <v>0</v>
      </c>
      <c r="L3630">
        <f>Data!F3642</f>
        <v>0</v>
      </c>
      <c r="M3630">
        <f>Data!G3642</f>
        <v>0</v>
      </c>
      <c r="N3630">
        <f>Data!H3642</f>
        <v>0</v>
      </c>
      <c r="O3630">
        <f>Data!I3642</f>
        <v>0</v>
      </c>
      <c r="P3630" s="21">
        <f>Data!J3646</f>
        <v>0</v>
      </c>
      <c r="Q3630">
        <f>Data!K3646</f>
        <v>0</v>
      </c>
      <c r="R3630">
        <f>Data!L3646</f>
        <v>0</v>
      </c>
      <c r="S3630">
        <f>Data!M3646</f>
        <v>0</v>
      </c>
      <c r="T3630">
        <f>Data!N3646</f>
        <v>0</v>
      </c>
      <c r="U3630">
        <f>Data!O3646</f>
        <v>0</v>
      </c>
      <c r="V3630" s="33">
        <f>Data!P3644</f>
        <v>0</v>
      </c>
    </row>
    <row r="3631" spans="7:22" x14ac:dyDescent="0.25">
      <c r="G3631">
        <f>Data!B3643</f>
        <v>0</v>
      </c>
      <c r="H3631" s="21">
        <f>Data!B3643</f>
        <v>0</v>
      </c>
      <c r="I3631" s="21">
        <f>Data!C3643</f>
        <v>0</v>
      </c>
      <c r="J3631">
        <f>Data!D3643</f>
        <v>0</v>
      </c>
      <c r="K3631">
        <f>Data!E3643</f>
        <v>0</v>
      </c>
      <c r="L3631">
        <f>Data!F3643</f>
        <v>0</v>
      </c>
      <c r="M3631">
        <f>Data!G3643</f>
        <v>0</v>
      </c>
      <c r="N3631">
        <f>Data!H3643</f>
        <v>0</v>
      </c>
      <c r="O3631">
        <f>Data!I3643</f>
        <v>0</v>
      </c>
      <c r="P3631" s="21">
        <f>Data!J3647</f>
        <v>0</v>
      </c>
      <c r="Q3631">
        <f>Data!K3647</f>
        <v>0</v>
      </c>
      <c r="R3631">
        <f>Data!L3647</f>
        <v>0</v>
      </c>
      <c r="S3631">
        <f>Data!M3647</f>
        <v>0</v>
      </c>
      <c r="T3631">
        <f>Data!N3647</f>
        <v>0</v>
      </c>
      <c r="U3631">
        <f>Data!O3647</f>
        <v>0</v>
      </c>
      <c r="V3631" s="33">
        <f>Data!P3645</f>
        <v>0</v>
      </c>
    </row>
    <row r="3632" spans="7:22" x14ac:dyDescent="0.25">
      <c r="G3632">
        <f>Data!B3644</f>
        <v>0</v>
      </c>
      <c r="H3632" s="21">
        <f>Data!B3644</f>
        <v>0</v>
      </c>
      <c r="I3632" s="21">
        <f>Data!C3644</f>
        <v>0</v>
      </c>
      <c r="J3632">
        <f>Data!D3644</f>
        <v>0</v>
      </c>
      <c r="K3632">
        <f>Data!E3644</f>
        <v>0</v>
      </c>
      <c r="L3632">
        <f>Data!F3644</f>
        <v>0</v>
      </c>
      <c r="M3632">
        <f>Data!G3644</f>
        <v>0</v>
      </c>
      <c r="N3632">
        <f>Data!H3644</f>
        <v>0</v>
      </c>
      <c r="O3632">
        <f>Data!I3644</f>
        <v>0</v>
      </c>
      <c r="P3632" s="21">
        <f>Data!J3648</f>
        <v>0</v>
      </c>
      <c r="Q3632">
        <f>Data!K3648</f>
        <v>0</v>
      </c>
      <c r="R3632">
        <f>Data!L3648</f>
        <v>0</v>
      </c>
      <c r="S3632">
        <f>Data!M3648</f>
        <v>0</v>
      </c>
      <c r="T3632">
        <f>Data!N3648</f>
        <v>0</v>
      </c>
      <c r="U3632">
        <f>Data!O3648</f>
        <v>0</v>
      </c>
      <c r="V3632" s="33">
        <f>Data!P3646</f>
        <v>0</v>
      </c>
    </row>
    <row r="3633" spans="7:22" x14ac:dyDescent="0.25">
      <c r="G3633">
        <f>Data!B3645</f>
        <v>0</v>
      </c>
      <c r="H3633" s="21">
        <f>Data!B3645</f>
        <v>0</v>
      </c>
      <c r="I3633" s="21">
        <f>Data!C3645</f>
        <v>0</v>
      </c>
      <c r="J3633">
        <f>Data!D3645</f>
        <v>0</v>
      </c>
      <c r="K3633">
        <f>Data!E3645</f>
        <v>0</v>
      </c>
      <c r="L3633">
        <f>Data!F3645</f>
        <v>0</v>
      </c>
      <c r="M3633">
        <f>Data!G3645</f>
        <v>0</v>
      </c>
      <c r="N3633">
        <f>Data!H3645</f>
        <v>0</v>
      </c>
      <c r="O3633">
        <f>Data!I3645</f>
        <v>0</v>
      </c>
      <c r="P3633" s="21">
        <f>Data!J3649</f>
        <v>0</v>
      </c>
      <c r="Q3633">
        <f>Data!K3649</f>
        <v>0</v>
      </c>
      <c r="R3633">
        <f>Data!L3649</f>
        <v>0</v>
      </c>
      <c r="S3633">
        <f>Data!M3649</f>
        <v>0</v>
      </c>
      <c r="T3633">
        <f>Data!N3649</f>
        <v>0</v>
      </c>
      <c r="U3633">
        <f>Data!O3649</f>
        <v>0</v>
      </c>
      <c r="V3633" s="33">
        <f>Data!P3647</f>
        <v>0</v>
      </c>
    </row>
    <row r="3634" spans="7:22" x14ac:dyDescent="0.25">
      <c r="G3634">
        <f>Data!B3646</f>
        <v>0</v>
      </c>
      <c r="H3634" s="21">
        <f>Data!B3646</f>
        <v>0</v>
      </c>
      <c r="I3634" s="21">
        <f>Data!C3646</f>
        <v>0</v>
      </c>
      <c r="J3634">
        <f>Data!D3646</f>
        <v>0</v>
      </c>
      <c r="K3634">
        <f>Data!E3646</f>
        <v>0</v>
      </c>
      <c r="L3634">
        <f>Data!F3646</f>
        <v>0</v>
      </c>
      <c r="M3634">
        <f>Data!G3646</f>
        <v>0</v>
      </c>
      <c r="N3634">
        <f>Data!H3646</f>
        <v>0</v>
      </c>
      <c r="O3634">
        <f>Data!I3646</f>
        <v>0</v>
      </c>
      <c r="P3634" s="21">
        <f>Data!J3650</f>
        <v>0</v>
      </c>
      <c r="Q3634">
        <f>Data!K3650</f>
        <v>0</v>
      </c>
      <c r="R3634">
        <f>Data!L3650</f>
        <v>0</v>
      </c>
      <c r="S3634">
        <f>Data!M3650</f>
        <v>0</v>
      </c>
      <c r="T3634">
        <f>Data!N3650</f>
        <v>0</v>
      </c>
      <c r="U3634">
        <f>Data!O3650</f>
        <v>0</v>
      </c>
      <c r="V3634" s="33">
        <f>Data!P3648</f>
        <v>0</v>
      </c>
    </row>
    <row r="3635" spans="7:22" x14ac:dyDescent="0.25">
      <c r="G3635">
        <f>Data!B3647</f>
        <v>0</v>
      </c>
      <c r="H3635" s="21">
        <f>Data!B3647</f>
        <v>0</v>
      </c>
      <c r="I3635" s="21">
        <f>Data!C3647</f>
        <v>0</v>
      </c>
      <c r="J3635">
        <f>Data!D3647</f>
        <v>0</v>
      </c>
      <c r="K3635">
        <f>Data!E3647</f>
        <v>0</v>
      </c>
      <c r="L3635">
        <f>Data!F3647</f>
        <v>0</v>
      </c>
      <c r="M3635">
        <f>Data!G3647</f>
        <v>0</v>
      </c>
      <c r="N3635">
        <f>Data!H3647</f>
        <v>0</v>
      </c>
      <c r="O3635">
        <f>Data!I3647</f>
        <v>0</v>
      </c>
      <c r="P3635" s="21">
        <f>Data!J3651</f>
        <v>0</v>
      </c>
      <c r="Q3635">
        <f>Data!K3651</f>
        <v>0</v>
      </c>
      <c r="R3635">
        <f>Data!L3651</f>
        <v>0</v>
      </c>
      <c r="S3635">
        <f>Data!M3651</f>
        <v>0</v>
      </c>
      <c r="T3635">
        <f>Data!N3651</f>
        <v>0</v>
      </c>
      <c r="U3635">
        <f>Data!O3651</f>
        <v>0</v>
      </c>
      <c r="V3635" s="33">
        <f>Data!P3649</f>
        <v>0</v>
      </c>
    </row>
    <row r="3636" spans="7:22" x14ac:dyDescent="0.25">
      <c r="G3636">
        <f>Data!B3648</f>
        <v>0</v>
      </c>
      <c r="H3636" s="21">
        <f>Data!B3648</f>
        <v>0</v>
      </c>
      <c r="I3636" s="21">
        <f>Data!C3648</f>
        <v>0</v>
      </c>
      <c r="J3636">
        <f>Data!D3648</f>
        <v>0</v>
      </c>
      <c r="K3636">
        <f>Data!E3648</f>
        <v>0</v>
      </c>
      <c r="L3636">
        <f>Data!F3648</f>
        <v>0</v>
      </c>
      <c r="M3636">
        <f>Data!G3648</f>
        <v>0</v>
      </c>
      <c r="N3636">
        <f>Data!H3648</f>
        <v>0</v>
      </c>
      <c r="O3636">
        <f>Data!I3648</f>
        <v>0</v>
      </c>
      <c r="P3636" s="21">
        <f>Data!J3652</f>
        <v>0</v>
      </c>
      <c r="Q3636">
        <f>Data!K3652</f>
        <v>0</v>
      </c>
      <c r="R3636">
        <f>Data!L3652</f>
        <v>0</v>
      </c>
      <c r="S3636">
        <f>Data!M3652</f>
        <v>0</v>
      </c>
      <c r="T3636">
        <f>Data!N3652</f>
        <v>0</v>
      </c>
      <c r="U3636">
        <f>Data!O3652</f>
        <v>0</v>
      </c>
      <c r="V3636" s="33">
        <f>Data!P3650</f>
        <v>0</v>
      </c>
    </row>
    <row r="3637" spans="7:22" x14ac:dyDescent="0.25">
      <c r="G3637">
        <f>Data!B3649</f>
        <v>0</v>
      </c>
      <c r="H3637" s="21">
        <f>Data!B3649</f>
        <v>0</v>
      </c>
      <c r="I3637" s="21">
        <f>Data!C3649</f>
        <v>0</v>
      </c>
      <c r="J3637">
        <f>Data!D3649</f>
        <v>0</v>
      </c>
      <c r="K3637">
        <f>Data!E3649</f>
        <v>0</v>
      </c>
      <c r="L3637">
        <f>Data!F3649</f>
        <v>0</v>
      </c>
      <c r="M3637">
        <f>Data!G3649</f>
        <v>0</v>
      </c>
      <c r="N3637">
        <f>Data!H3649</f>
        <v>0</v>
      </c>
      <c r="O3637">
        <f>Data!I3649</f>
        <v>0</v>
      </c>
      <c r="P3637" s="21">
        <f>Data!J3653</f>
        <v>0</v>
      </c>
      <c r="Q3637">
        <f>Data!K3653</f>
        <v>0</v>
      </c>
      <c r="R3637">
        <f>Data!L3653</f>
        <v>0</v>
      </c>
      <c r="S3637">
        <f>Data!M3653</f>
        <v>0</v>
      </c>
      <c r="T3637">
        <f>Data!N3653</f>
        <v>0</v>
      </c>
      <c r="U3637">
        <f>Data!O3653</f>
        <v>0</v>
      </c>
      <c r="V3637" s="33">
        <f>Data!P3651</f>
        <v>0</v>
      </c>
    </row>
    <row r="3638" spans="7:22" x14ac:dyDescent="0.25">
      <c r="G3638">
        <f>Data!B3650</f>
        <v>0</v>
      </c>
      <c r="H3638" s="21">
        <f>Data!B3650</f>
        <v>0</v>
      </c>
      <c r="I3638" s="21">
        <f>Data!C3650</f>
        <v>0</v>
      </c>
      <c r="J3638">
        <f>Data!D3650</f>
        <v>0</v>
      </c>
      <c r="K3638">
        <f>Data!E3650</f>
        <v>0</v>
      </c>
      <c r="L3638">
        <f>Data!F3650</f>
        <v>0</v>
      </c>
      <c r="M3638">
        <f>Data!G3650</f>
        <v>0</v>
      </c>
      <c r="N3638">
        <f>Data!H3650</f>
        <v>0</v>
      </c>
      <c r="O3638">
        <f>Data!I3650</f>
        <v>0</v>
      </c>
      <c r="P3638" s="21">
        <f>Data!J3654</f>
        <v>0</v>
      </c>
      <c r="Q3638">
        <f>Data!K3654</f>
        <v>0</v>
      </c>
      <c r="R3638">
        <f>Data!L3654</f>
        <v>0</v>
      </c>
      <c r="S3638">
        <f>Data!M3654</f>
        <v>0</v>
      </c>
      <c r="T3638">
        <f>Data!N3654</f>
        <v>0</v>
      </c>
      <c r="U3638">
        <f>Data!O3654</f>
        <v>0</v>
      </c>
      <c r="V3638" s="33">
        <f>Data!P3652</f>
        <v>0</v>
      </c>
    </row>
    <row r="3639" spans="7:22" x14ac:dyDescent="0.25">
      <c r="G3639">
        <f>Data!B3651</f>
        <v>0</v>
      </c>
      <c r="H3639" s="21">
        <f>Data!B3651</f>
        <v>0</v>
      </c>
      <c r="I3639" s="21">
        <f>Data!C3651</f>
        <v>0</v>
      </c>
      <c r="J3639">
        <f>Data!D3651</f>
        <v>0</v>
      </c>
      <c r="K3639">
        <f>Data!E3651</f>
        <v>0</v>
      </c>
      <c r="L3639">
        <f>Data!F3651</f>
        <v>0</v>
      </c>
      <c r="M3639">
        <f>Data!G3651</f>
        <v>0</v>
      </c>
      <c r="N3639">
        <f>Data!H3651</f>
        <v>0</v>
      </c>
      <c r="O3639">
        <f>Data!I3651</f>
        <v>0</v>
      </c>
      <c r="P3639" s="21">
        <f>Data!J3655</f>
        <v>0</v>
      </c>
      <c r="Q3639">
        <f>Data!K3655</f>
        <v>0</v>
      </c>
      <c r="R3639">
        <f>Data!L3655</f>
        <v>0</v>
      </c>
      <c r="S3639">
        <f>Data!M3655</f>
        <v>0</v>
      </c>
      <c r="T3639">
        <f>Data!N3655</f>
        <v>0</v>
      </c>
      <c r="U3639">
        <f>Data!O3655</f>
        <v>0</v>
      </c>
      <c r="V3639" s="33">
        <f>Data!P3653</f>
        <v>0</v>
      </c>
    </row>
    <row r="3640" spans="7:22" x14ac:dyDescent="0.25">
      <c r="G3640">
        <f>Data!B3652</f>
        <v>0</v>
      </c>
      <c r="H3640" s="21">
        <f>Data!B3652</f>
        <v>0</v>
      </c>
      <c r="I3640" s="21">
        <f>Data!C3652</f>
        <v>0</v>
      </c>
      <c r="J3640">
        <f>Data!D3652</f>
        <v>0</v>
      </c>
      <c r="K3640">
        <f>Data!E3652</f>
        <v>0</v>
      </c>
      <c r="L3640">
        <f>Data!F3652</f>
        <v>0</v>
      </c>
      <c r="M3640">
        <f>Data!G3652</f>
        <v>0</v>
      </c>
      <c r="N3640">
        <f>Data!H3652</f>
        <v>0</v>
      </c>
      <c r="O3640">
        <f>Data!I3652</f>
        <v>0</v>
      </c>
      <c r="P3640" s="21">
        <f>Data!J3656</f>
        <v>0</v>
      </c>
      <c r="Q3640">
        <f>Data!K3656</f>
        <v>0</v>
      </c>
      <c r="R3640">
        <f>Data!L3656</f>
        <v>0</v>
      </c>
      <c r="S3640">
        <f>Data!M3656</f>
        <v>0</v>
      </c>
      <c r="T3640">
        <f>Data!N3656</f>
        <v>0</v>
      </c>
      <c r="U3640">
        <f>Data!O3656</f>
        <v>0</v>
      </c>
      <c r="V3640" s="33">
        <f>Data!P3654</f>
        <v>0</v>
      </c>
    </row>
    <row r="3641" spans="7:22" x14ac:dyDescent="0.25">
      <c r="G3641">
        <f>Data!B3653</f>
        <v>0</v>
      </c>
      <c r="H3641" s="21">
        <f>Data!B3653</f>
        <v>0</v>
      </c>
      <c r="I3641" s="21">
        <f>Data!C3653</f>
        <v>0</v>
      </c>
      <c r="J3641">
        <f>Data!D3653</f>
        <v>0</v>
      </c>
      <c r="K3641">
        <f>Data!E3653</f>
        <v>0</v>
      </c>
      <c r="L3641">
        <f>Data!F3653</f>
        <v>0</v>
      </c>
      <c r="M3641">
        <f>Data!G3653</f>
        <v>0</v>
      </c>
      <c r="N3641">
        <f>Data!H3653</f>
        <v>0</v>
      </c>
      <c r="O3641">
        <f>Data!I3653</f>
        <v>0</v>
      </c>
      <c r="P3641" s="21">
        <f>Data!J3657</f>
        <v>0</v>
      </c>
      <c r="Q3641">
        <f>Data!K3657</f>
        <v>0</v>
      </c>
      <c r="R3641">
        <f>Data!L3657</f>
        <v>0</v>
      </c>
      <c r="S3641">
        <f>Data!M3657</f>
        <v>0</v>
      </c>
      <c r="T3641">
        <f>Data!N3657</f>
        <v>0</v>
      </c>
      <c r="U3641">
        <f>Data!O3657</f>
        <v>0</v>
      </c>
      <c r="V3641" s="33">
        <f>Data!P3655</f>
        <v>0</v>
      </c>
    </row>
    <row r="3642" spans="7:22" x14ac:dyDescent="0.25">
      <c r="G3642">
        <f>Data!B3654</f>
        <v>0</v>
      </c>
      <c r="H3642" s="21">
        <f>Data!B3654</f>
        <v>0</v>
      </c>
      <c r="I3642" s="21">
        <f>Data!C3654</f>
        <v>0</v>
      </c>
      <c r="J3642">
        <f>Data!D3654</f>
        <v>0</v>
      </c>
      <c r="K3642">
        <f>Data!E3654</f>
        <v>0</v>
      </c>
      <c r="L3642">
        <f>Data!F3654</f>
        <v>0</v>
      </c>
      <c r="M3642">
        <f>Data!G3654</f>
        <v>0</v>
      </c>
      <c r="N3642">
        <f>Data!H3654</f>
        <v>0</v>
      </c>
      <c r="O3642">
        <f>Data!I3654</f>
        <v>0</v>
      </c>
      <c r="P3642" s="21">
        <f>Data!J3658</f>
        <v>0</v>
      </c>
      <c r="Q3642">
        <f>Data!K3658</f>
        <v>0</v>
      </c>
      <c r="R3642">
        <f>Data!L3658</f>
        <v>0</v>
      </c>
      <c r="S3642">
        <f>Data!M3658</f>
        <v>0</v>
      </c>
      <c r="T3642">
        <f>Data!N3658</f>
        <v>0</v>
      </c>
      <c r="U3642">
        <f>Data!O3658</f>
        <v>0</v>
      </c>
      <c r="V3642" s="33">
        <f>Data!P3656</f>
        <v>0</v>
      </c>
    </row>
    <row r="3643" spans="7:22" x14ac:dyDescent="0.25">
      <c r="G3643">
        <f>Data!B3655</f>
        <v>0</v>
      </c>
      <c r="H3643" s="21">
        <f>Data!B3655</f>
        <v>0</v>
      </c>
      <c r="I3643" s="21">
        <f>Data!C3655</f>
        <v>0</v>
      </c>
      <c r="J3643">
        <f>Data!D3655</f>
        <v>0</v>
      </c>
      <c r="K3643">
        <f>Data!E3655</f>
        <v>0</v>
      </c>
      <c r="L3643">
        <f>Data!F3655</f>
        <v>0</v>
      </c>
      <c r="M3643">
        <f>Data!G3655</f>
        <v>0</v>
      </c>
      <c r="N3643">
        <f>Data!H3655</f>
        <v>0</v>
      </c>
      <c r="O3643">
        <f>Data!I3655</f>
        <v>0</v>
      </c>
      <c r="P3643" s="21">
        <f>Data!J3659</f>
        <v>0</v>
      </c>
      <c r="Q3643">
        <f>Data!K3659</f>
        <v>0</v>
      </c>
      <c r="R3643">
        <f>Data!L3659</f>
        <v>0</v>
      </c>
      <c r="S3643">
        <f>Data!M3659</f>
        <v>0</v>
      </c>
      <c r="T3643">
        <f>Data!N3659</f>
        <v>0</v>
      </c>
      <c r="U3643">
        <f>Data!O3659</f>
        <v>0</v>
      </c>
      <c r="V3643" s="33">
        <f>Data!P3657</f>
        <v>0</v>
      </c>
    </row>
    <row r="3644" spans="7:22" x14ac:dyDescent="0.25">
      <c r="G3644">
        <f>Data!B3656</f>
        <v>0</v>
      </c>
      <c r="H3644" s="21">
        <f>Data!B3656</f>
        <v>0</v>
      </c>
      <c r="I3644" s="21">
        <f>Data!C3656</f>
        <v>0</v>
      </c>
      <c r="J3644">
        <f>Data!D3656</f>
        <v>0</v>
      </c>
      <c r="K3644">
        <f>Data!E3656</f>
        <v>0</v>
      </c>
      <c r="L3644">
        <f>Data!F3656</f>
        <v>0</v>
      </c>
      <c r="M3644">
        <f>Data!G3656</f>
        <v>0</v>
      </c>
      <c r="N3644">
        <f>Data!H3656</f>
        <v>0</v>
      </c>
      <c r="O3644">
        <f>Data!I3656</f>
        <v>0</v>
      </c>
      <c r="P3644" s="21">
        <f>Data!J3660</f>
        <v>0</v>
      </c>
      <c r="Q3644">
        <f>Data!K3660</f>
        <v>0</v>
      </c>
      <c r="R3644">
        <f>Data!L3660</f>
        <v>0</v>
      </c>
      <c r="S3644">
        <f>Data!M3660</f>
        <v>0</v>
      </c>
      <c r="T3644">
        <f>Data!N3660</f>
        <v>0</v>
      </c>
      <c r="U3644">
        <f>Data!O3660</f>
        <v>0</v>
      </c>
      <c r="V3644" s="33">
        <f>Data!P3658</f>
        <v>0</v>
      </c>
    </row>
    <row r="3645" spans="7:22" x14ac:dyDescent="0.25">
      <c r="G3645">
        <f>Data!B3657</f>
        <v>0</v>
      </c>
      <c r="H3645" s="21">
        <f>Data!B3657</f>
        <v>0</v>
      </c>
      <c r="I3645" s="21">
        <f>Data!C3657</f>
        <v>0</v>
      </c>
      <c r="J3645">
        <f>Data!D3657</f>
        <v>0</v>
      </c>
      <c r="K3645">
        <f>Data!E3657</f>
        <v>0</v>
      </c>
      <c r="L3645">
        <f>Data!F3657</f>
        <v>0</v>
      </c>
      <c r="M3645">
        <f>Data!G3657</f>
        <v>0</v>
      </c>
      <c r="N3645">
        <f>Data!H3657</f>
        <v>0</v>
      </c>
      <c r="O3645">
        <f>Data!I3657</f>
        <v>0</v>
      </c>
      <c r="P3645" s="21">
        <f>Data!J3661</f>
        <v>0</v>
      </c>
      <c r="Q3645">
        <f>Data!K3661</f>
        <v>0</v>
      </c>
      <c r="R3645">
        <f>Data!L3661</f>
        <v>0</v>
      </c>
      <c r="S3645">
        <f>Data!M3661</f>
        <v>0</v>
      </c>
      <c r="T3645">
        <f>Data!N3661</f>
        <v>0</v>
      </c>
      <c r="U3645">
        <f>Data!O3661</f>
        <v>0</v>
      </c>
      <c r="V3645" s="33">
        <f>Data!P3659</f>
        <v>0</v>
      </c>
    </row>
    <row r="3646" spans="7:22" x14ac:dyDescent="0.25">
      <c r="G3646">
        <f>Data!B3658</f>
        <v>0</v>
      </c>
      <c r="H3646" s="21">
        <f>Data!B3658</f>
        <v>0</v>
      </c>
      <c r="I3646" s="21">
        <f>Data!C3658</f>
        <v>0</v>
      </c>
      <c r="J3646">
        <f>Data!D3658</f>
        <v>0</v>
      </c>
      <c r="K3646">
        <f>Data!E3658</f>
        <v>0</v>
      </c>
      <c r="L3646">
        <f>Data!F3658</f>
        <v>0</v>
      </c>
      <c r="M3646">
        <f>Data!G3658</f>
        <v>0</v>
      </c>
      <c r="N3646">
        <f>Data!H3658</f>
        <v>0</v>
      </c>
      <c r="O3646">
        <f>Data!I3658</f>
        <v>0</v>
      </c>
      <c r="P3646" s="21">
        <f>Data!J3662</f>
        <v>0</v>
      </c>
      <c r="Q3646">
        <f>Data!K3662</f>
        <v>0</v>
      </c>
      <c r="R3646">
        <f>Data!L3662</f>
        <v>0</v>
      </c>
      <c r="S3646">
        <f>Data!M3662</f>
        <v>0</v>
      </c>
      <c r="T3646">
        <f>Data!N3662</f>
        <v>0</v>
      </c>
      <c r="U3646">
        <f>Data!O3662</f>
        <v>0</v>
      </c>
      <c r="V3646" s="33">
        <f>Data!P3660</f>
        <v>0</v>
      </c>
    </row>
    <row r="3647" spans="7:22" x14ac:dyDescent="0.25">
      <c r="G3647">
        <f>Data!B3659</f>
        <v>0</v>
      </c>
      <c r="H3647" s="21">
        <f>Data!B3659</f>
        <v>0</v>
      </c>
      <c r="I3647" s="21">
        <f>Data!C3659</f>
        <v>0</v>
      </c>
      <c r="J3647">
        <f>Data!D3659</f>
        <v>0</v>
      </c>
      <c r="K3647">
        <f>Data!E3659</f>
        <v>0</v>
      </c>
      <c r="L3647">
        <f>Data!F3659</f>
        <v>0</v>
      </c>
      <c r="M3647">
        <f>Data!G3659</f>
        <v>0</v>
      </c>
      <c r="N3647">
        <f>Data!H3659</f>
        <v>0</v>
      </c>
      <c r="O3647">
        <f>Data!I3659</f>
        <v>0</v>
      </c>
      <c r="P3647" s="21">
        <f>Data!J3663</f>
        <v>0</v>
      </c>
      <c r="Q3647">
        <f>Data!K3663</f>
        <v>0</v>
      </c>
      <c r="R3647">
        <f>Data!L3663</f>
        <v>0</v>
      </c>
      <c r="S3647">
        <f>Data!M3663</f>
        <v>0</v>
      </c>
      <c r="T3647">
        <f>Data!N3663</f>
        <v>0</v>
      </c>
      <c r="U3647">
        <f>Data!O3663</f>
        <v>0</v>
      </c>
      <c r="V3647" s="33">
        <f>Data!P3661</f>
        <v>0</v>
      </c>
    </row>
    <row r="3648" spans="7:22" x14ac:dyDescent="0.25">
      <c r="G3648">
        <f>Data!B3660</f>
        <v>0</v>
      </c>
      <c r="H3648" s="21">
        <f>Data!B3660</f>
        <v>0</v>
      </c>
      <c r="I3648" s="21">
        <f>Data!C3660</f>
        <v>0</v>
      </c>
      <c r="J3648">
        <f>Data!D3660</f>
        <v>0</v>
      </c>
      <c r="K3648">
        <f>Data!E3660</f>
        <v>0</v>
      </c>
      <c r="L3648">
        <f>Data!F3660</f>
        <v>0</v>
      </c>
      <c r="M3648">
        <f>Data!G3660</f>
        <v>0</v>
      </c>
      <c r="N3648">
        <f>Data!H3660</f>
        <v>0</v>
      </c>
      <c r="O3648">
        <f>Data!I3660</f>
        <v>0</v>
      </c>
      <c r="P3648" s="21">
        <f>Data!J3664</f>
        <v>0</v>
      </c>
      <c r="Q3648">
        <f>Data!K3664</f>
        <v>0</v>
      </c>
      <c r="R3648">
        <f>Data!L3664</f>
        <v>0</v>
      </c>
      <c r="S3648">
        <f>Data!M3664</f>
        <v>0</v>
      </c>
      <c r="T3648">
        <f>Data!N3664</f>
        <v>0</v>
      </c>
      <c r="U3648">
        <f>Data!O3664</f>
        <v>0</v>
      </c>
      <c r="V3648" s="33">
        <f>Data!P3662</f>
        <v>0</v>
      </c>
    </row>
    <row r="3649" spans="7:22" x14ac:dyDescent="0.25">
      <c r="G3649">
        <f>Data!B3661</f>
        <v>0</v>
      </c>
      <c r="H3649" s="21">
        <f>Data!B3661</f>
        <v>0</v>
      </c>
      <c r="I3649" s="21">
        <f>Data!C3661</f>
        <v>0</v>
      </c>
      <c r="J3649">
        <f>Data!D3661</f>
        <v>0</v>
      </c>
      <c r="K3649">
        <f>Data!E3661</f>
        <v>0</v>
      </c>
      <c r="L3649">
        <f>Data!F3661</f>
        <v>0</v>
      </c>
      <c r="M3649">
        <f>Data!G3661</f>
        <v>0</v>
      </c>
      <c r="N3649">
        <f>Data!H3661</f>
        <v>0</v>
      </c>
      <c r="O3649">
        <f>Data!I3661</f>
        <v>0</v>
      </c>
      <c r="P3649" s="21">
        <f>Data!J3665</f>
        <v>0</v>
      </c>
      <c r="Q3649">
        <f>Data!K3665</f>
        <v>0</v>
      </c>
      <c r="R3649">
        <f>Data!L3665</f>
        <v>0</v>
      </c>
      <c r="S3649">
        <f>Data!M3665</f>
        <v>0</v>
      </c>
      <c r="T3649">
        <f>Data!N3665</f>
        <v>0</v>
      </c>
      <c r="U3649">
        <f>Data!O3665</f>
        <v>0</v>
      </c>
      <c r="V3649" s="33">
        <f>Data!P3663</f>
        <v>0</v>
      </c>
    </row>
    <row r="3650" spans="7:22" x14ac:dyDescent="0.25">
      <c r="G3650">
        <f>Data!B3662</f>
        <v>0</v>
      </c>
      <c r="H3650" s="21">
        <f>Data!B3662</f>
        <v>0</v>
      </c>
      <c r="I3650" s="21">
        <f>Data!C3662</f>
        <v>0</v>
      </c>
      <c r="J3650">
        <f>Data!D3662</f>
        <v>0</v>
      </c>
      <c r="K3650">
        <f>Data!E3662</f>
        <v>0</v>
      </c>
      <c r="L3650">
        <f>Data!F3662</f>
        <v>0</v>
      </c>
      <c r="M3650">
        <f>Data!G3662</f>
        <v>0</v>
      </c>
      <c r="N3650">
        <f>Data!H3662</f>
        <v>0</v>
      </c>
      <c r="O3650">
        <f>Data!I3662</f>
        <v>0</v>
      </c>
      <c r="P3650" s="21">
        <f>Data!J3666</f>
        <v>0</v>
      </c>
      <c r="Q3650">
        <f>Data!K3666</f>
        <v>0</v>
      </c>
      <c r="R3650">
        <f>Data!L3666</f>
        <v>0</v>
      </c>
      <c r="S3650">
        <f>Data!M3666</f>
        <v>0</v>
      </c>
      <c r="T3650">
        <f>Data!N3666</f>
        <v>0</v>
      </c>
      <c r="U3650">
        <f>Data!O3666</f>
        <v>0</v>
      </c>
      <c r="V3650" s="33">
        <f>Data!P3664</f>
        <v>0</v>
      </c>
    </row>
    <row r="3651" spans="7:22" x14ac:dyDescent="0.25">
      <c r="G3651">
        <f>Data!B3663</f>
        <v>0</v>
      </c>
      <c r="H3651" s="21">
        <f>Data!B3663</f>
        <v>0</v>
      </c>
      <c r="I3651" s="21">
        <f>Data!C3663</f>
        <v>0</v>
      </c>
      <c r="J3651">
        <f>Data!D3663</f>
        <v>0</v>
      </c>
      <c r="K3651">
        <f>Data!E3663</f>
        <v>0</v>
      </c>
      <c r="L3651">
        <f>Data!F3663</f>
        <v>0</v>
      </c>
      <c r="M3651">
        <f>Data!G3663</f>
        <v>0</v>
      </c>
      <c r="N3651">
        <f>Data!H3663</f>
        <v>0</v>
      </c>
      <c r="O3651">
        <f>Data!I3663</f>
        <v>0</v>
      </c>
      <c r="P3651" s="21">
        <f>Data!J3667</f>
        <v>0</v>
      </c>
      <c r="Q3651">
        <f>Data!K3667</f>
        <v>0</v>
      </c>
      <c r="R3651">
        <f>Data!L3667</f>
        <v>0</v>
      </c>
      <c r="S3651">
        <f>Data!M3667</f>
        <v>0</v>
      </c>
      <c r="T3651">
        <f>Data!N3667</f>
        <v>0</v>
      </c>
      <c r="U3651">
        <f>Data!O3667</f>
        <v>0</v>
      </c>
      <c r="V3651" s="33">
        <f>Data!P3665</f>
        <v>0</v>
      </c>
    </row>
    <row r="3652" spans="7:22" x14ac:dyDescent="0.25">
      <c r="G3652">
        <f>Data!B3664</f>
        <v>0</v>
      </c>
      <c r="H3652" s="21">
        <f>Data!B3664</f>
        <v>0</v>
      </c>
      <c r="I3652" s="21">
        <f>Data!C3664</f>
        <v>0</v>
      </c>
      <c r="J3652">
        <f>Data!D3664</f>
        <v>0</v>
      </c>
      <c r="K3652">
        <f>Data!E3664</f>
        <v>0</v>
      </c>
      <c r="L3652">
        <f>Data!F3664</f>
        <v>0</v>
      </c>
      <c r="M3652">
        <f>Data!G3664</f>
        <v>0</v>
      </c>
      <c r="N3652">
        <f>Data!H3664</f>
        <v>0</v>
      </c>
      <c r="O3652">
        <f>Data!I3664</f>
        <v>0</v>
      </c>
      <c r="P3652" s="21">
        <f>Data!J3668</f>
        <v>0</v>
      </c>
      <c r="Q3652">
        <f>Data!K3668</f>
        <v>0</v>
      </c>
      <c r="R3652">
        <f>Data!L3668</f>
        <v>0</v>
      </c>
      <c r="S3652">
        <f>Data!M3668</f>
        <v>0</v>
      </c>
      <c r="T3652">
        <f>Data!N3668</f>
        <v>0</v>
      </c>
      <c r="U3652">
        <f>Data!O3668</f>
        <v>0</v>
      </c>
      <c r="V3652" s="33">
        <f>Data!P3666</f>
        <v>0</v>
      </c>
    </row>
    <row r="3653" spans="7:22" x14ac:dyDescent="0.25">
      <c r="G3653">
        <f>Data!B3665</f>
        <v>0</v>
      </c>
      <c r="H3653" s="21">
        <f>Data!B3665</f>
        <v>0</v>
      </c>
      <c r="I3653" s="21">
        <f>Data!C3665</f>
        <v>0</v>
      </c>
      <c r="J3653">
        <f>Data!D3665</f>
        <v>0</v>
      </c>
      <c r="K3653">
        <f>Data!E3665</f>
        <v>0</v>
      </c>
      <c r="L3653">
        <f>Data!F3665</f>
        <v>0</v>
      </c>
      <c r="M3653">
        <f>Data!G3665</f>
        <v>0</v>
      </c>
      <c r="N3653">
        <f>Data!H3665</f>
        <v>0</v>
      </c>
      <c r="O3653">
        <f>Data!I3665</f>
        <v>0</v>
      </c>
      <c r="P3653" s="21">
        <f>Data!J3669</f>
        <v>0</v>
      </c>
      <c r="Q3653">
        <f>Data!K3669</f>
        <v>0</v>
      </c>
      <c r="R3653">
        <f>Data!L3669</f>
        <v>0</v>
      </c>
      <c r="S3653">
        <f>Data!M3669</f>
        <v>0</v>
      </c>
      <c r="T3653">
        <f>Data!N3669</f>
        <v>0</v>
      </c>
      <c r="U3653">
        <f>Data!O3669</f>
        <v>0</v>
      </c>
      <c r="V3653" s="33">
        <f>Data!P3667</f>
        <v>0</v>
      </c>
    </row>
    <row r="3654" spans="7:22" x14ac:dyDescent="0.25">
      <c r="G3654">
        <f>Data!B3666</f>
        <v>0</v>
      </c>
      <c r="H3654" s="21">
        <f>Data!B3666</f>
        <v>0</v>
      </c>
      <c r="I3654" s="21">
        <f>Data!C3666</f>
        <v>0</v>
      </c>
      <c r="J3654">
        <f>Data!D3666</f>
        <v>0</v>
      </c>
      <c r="K3654">
        <f>Data!E3666</f>
        <v>0</v>
      </c>
      <c r="L3654">
        <f>Data!F3666</f>
        <v>0</v>
      </c>
      <c r="M3654">
        <f>Data!G3666</f>
        <v>0</v>
      </c>
      <c r="N3654">
        <f>Data!H3666</f>
        <v>0</v>
      </c>
      <c r="O3654">
        <f>Data!I3666</f>
        <v>0</v>
      </c>
      <c r="P3654" s="21">
        <f>Data!J3670</f>
        <v>0</v>
      </c>
      <c r="Q3654">
        <f>Data!K3670</f>
        <v>0</v>
      </c>
      <c r="R3654">
        <f>Data!L3670</f>
        <v>0</v>
      </c>
      <c r="S3654">
        <f>Data!M3670</f>
        <v>0</v>
      </c>
      <c r="T3654">
        <f>Data!N3670</f>
        <v>0</v>
      </c>
      <c r="U3654">
        <f>Data!O3670</f>
        <v>0</v>
      </c>
      <c r="V3654" s="33">
        <f>Data!P3668</f>
        <v>0</v>
      </c>
    </row>
    <row r="3655" spans="7:22" x14ac:dyDescent="0.25">
      <c r="G3655">
        <f>Data!B3667</f>
        <v>0</v>
      </c>
      <c r="H3655" s="21">
        <f>Data!B3667</f>
        <v>0</v>
      </c>
      <c r="I3655" s="21">
        <f>Data!C3667</f>
        <v>0</v>
      </c>
      <c r="J3655">
        <f>Data!D3667</f>
        <v>0</v>
      </c>
      <c r="K3655">
        <f>Data!E3667</f>
        <v>0</v>
      </c>
      <c r="L3655">
        <f>Data!F3667</f>
        <v>0</v>
      </c>
      <c r="M3655">
        <f>Data!G3667</f>
        <v>0</v>
      </c>
      <c r="N3655">
        <f>Data!H3667</f>
        <v>0</v>
      </c>
      <c r="O3655">
        <f>Data!I3667</f>
        <v>0</v>
      </c>
      <c r="P3655" s="21">
        <f>Data!J3671</f>
        <v>0</v>
      </c>
      <c r="Q3655">
        <f>Data!K3671</f>
        <v>0</v>
      </c>
      <c r="R3655">
        <f>Data!L3671</f>
        <v>0</v>
      </c>
      <c r="S3655">
        <f>Data!M3671</f>
        <v>0</v>
      </c>
      <c r="T3655">
        <f>Data!N3671</f>
        <v>0</v>
      </c>
      <c r="U3655">
        <f>Data!O3671</f>
        <v>0</v>
      </c>
      <c r="V3655" s="33">
        <f>Data!P3669</f>
        <v>0</v>
      </c>
    </row>
    <row r="3656" spans="7:22" x14ac:dyDescent="0.25">
      <c r="G3656">
        <f>Data!B3668</f>
        <v>0</v>
      </c>
      <c r="H3656" s="21">
        <f>Data!B3668</f>
        <v>0</v>
      </c>
      <c r="I3656" s="21">
        <f>Data!C3668</f>
        <v>0</v>
      </c>
      <c r="J3656">
        <f>Data!D3668</f>
        <v>0</v>
      </c>
      <c r="K3656">
        <f>Data!E3668</f>
        <v>0</v>
      </c>
      <c r="L3656">
        <f>Data!F3668</f>
        <v>0</v>
      </c>
      <c r="M3656">
        <f>Data!G3668</f>
        <v>0</v>
      </c>
      <c r="N3656">
        <f>Data!H3668</f>
        <v>0</v>
      </c>
      <c r="O3656">
        <f>Data!I3668</f>
        <v>0</v>
      </c>
      <c r="P3656" s="21">
        <f>Data!J3672</f>
        <v>0</v>
      </c>
      <c r="Q3656">
        <f>Data!K3672</f>
        <v>0</v>
      </c>
      <c r="R3656">
        <f>Data!L3672</f>
        <v>0</v>
      </c>
      <c r="S3656">
        <f>Data!M3672</f>
        <v>0</v>
      </c>
      <c r="T3656">
        <f>Data!N3672</f>
        <v>0</v>
      </c>
      <c r="U3656">
        <f>Data!O3672</f>
        <v>0</v>
      </c>
      <c r="V3656" s="33">
        <f>Data!P3670</f>
        <v>0</v>
      </c>
    </row>
    <row r="3657" spans="7:22" x14ac:dyDescent="0.25">
      <c r="G3657">
        <f>Data!B3669</f>
        <v>0</v>
      </c>
      <c r="H3657" s="21">
        <f>Data!B3669</f>
        <v>0</v>
      </c>
      <c r="I3657" s="21">
        <f>Data!C3669</f>
        <v>0</v>
      </c>
      <c r="J3657">
        <f>Data!D3669</f>
        <v>0</v>
      </c>
      <c r="K3657">
        <f>Data!E3669</f>
        <v>0</v>
      </c>
      <c r="L3657">
        <f>Data!F3669</f>
        <v>0</v>
      </c>
      <c r="M3657">
        <f>Data!G3669</f>
        <v>0</v>
      </c>
      <c r="N3657">
        <f>Data!H3669</f>
        <v>0</v>
      </c>
      <c r="O3657">
        <f>Data!I3669</f>
        <v>0</v>
      </c>
      <c r="P3657" s="21">
        <f>Data!J3673</f>
        <v>0</v>
      </c>
      <c r="Q3657">
        <f>Data!K3673</f>
        <v>0</v>
      </c>
      <c r="R3657">
        <f>Data!L3673</f>
        <v>0</v>
      </c>
      <c r="S3657">
        <f>Data!M3673</f>
        <v>0</v>
      </c>
      <c r="T3657">
        <f>Data!N3673</f>
        <v>0</v>
      </c>
      <c r="U3657">
        <f>Data!O3673</f>
        <v>0</v>
      </c>
      <c r="V3657" s="33">
        <f>Data!P3671</f>
        <v>0</v>
      </c>
    </row>
    <row r="3658" spans="7:22" x14ac:dyDescent="0.25">
      <c r="G3658">
        <f>Data!B3670</f>
        <v>0</v>
      </c>
      <c r="H3658" s="21">
        <f>Data!B3670</f>
        <v>0</v>
      </c>
      <c r="I3658" s="21">
        <f>Data!C3670</f>
        <v>0</v>
      </c>
      <c r="J3658">
        <f>Data!D3670</f>
        <v>0</v>
      </c>
      <c r="K3658">
        <f>Data!E3670</f>
        <v>0</v>
      </c>
      <c r="L3658">
        <f>Data!F3670</f>
        <v>0</v>
      </c>
      <c r="M3658">
        <f>Data!G3670</f>
        <v>0</v>
      </c>
      <c r="N3658">
        <f>Data!H3670</f>
        <v>0</v>
      </c>
      <c r="O3658">
        <f>Data!I3670</f>
        <v>0</v>
      </c>
      <c r="P3658" s="21">
        <f>Data!J3674</f>
        <v>0</v>
      </c>
      <c r="Q3658">
        <f>Data!K3674</f>
        <v>0</v>
      </c>
      <c r="R3658">
        <f>Data!L3674</f>
        <v>0</v>
      </c>
      <c r="S3658">
        <f>Data!M3674</f>
        <v>0</v>
      </c>
      <c r="T3658">
        <f>Data!N3674</f>
        <v>0</v>
      </c>
      <c r="U3658">
        <f>Data!O3674</f>
        <v>0</v>
      </c>
      <c r="V3658" s="33">
        <f>Data!P3672</f>
        <v>0</v>
      </c>
    </row>
    <row r="3659" spans="7:22" x14ac:dyDescent="0.25">
      <c r="G3659">
        <f>Data!B3671</f>
        <v>0</v>
      </c>
      <c r="H3659" s="21">
        <f>Data!B3671</f>
        <v>0</v>
      </c>
      <c r="I3659" s="21">
        <f>Data!C3671</f>
        <v>0</v>
      </c>
      <c r="J3659">
        <f>Data!D3671</f>
        <v>0</v>
      </c>
      <c r="K3659">
        <f>Data!E3671</f>
        <v>0</v>
      </c>
      <c r="L3659">
        <f>Data!F3671</f>
        <v>0</v>
      </c>
      <c r="M3659">
        <f>Data!G3671</f>
        <v>0</v>
      </c>
      <c r="N3659">
        <f>Data!H3671</f>
        <v>0</v>
      </c>
      <c r="O3659">
        <f>Data!I3671</f>
        <v>0</v>
      </c>
      <c r="P3659" s="21">
        <f>Data!J3675</f>
        <v>0</v>
      </c>
      <c r="Q3659">
        <f>Data!K3675</f>
        <v>0</v>
      </c>
      <c r="R3659">
        <f>Data!L3675</f>
        <v>0</v>
      </c>
      <c r="S3659">
        <f>Data!M3675</f>
        <v>0</v>
      </c>
      <c r="T3659">
        <f>Data!N3675</f>
        <v>0</v>
      </c>
      <c r="U3659">
        <f>Data!O3675</f>
        <v>0</v>
      </c>
      <c r="V3659" s="33">
        <f>Data!P3673</f>
        <v>0</v>
      </c>
    </row>
    <row r="3660" spans="7:22" x14ac:dyDescent="0.25">
      <c r="G3660">
        <f>Data!B3672</f>
        <v>0</v>
      </c>
      <c r="H3660" s="21">
        <f>Data!B3672</f>
        <v>0</v>
      </c>
      <c r="I3660" s="21">
        <f>Data!C3672</f>
        <v>0</v>
      </c>
      <c r="J3660">
        <f>Data!D3672</f>
        <v>0</v>
      </c>
      <c r="K3660">
        <f>Data!E3672</f>
        <v>0</v>
      </c>
      <c r="L3660">
        <f>Data!F3672</f>
        <v>0</v>
      </c>
      <c r="M3660">
        <f>Data!G3672</f>
        <v>0</v>
      </c>
      <c r="N3660">
        <f>Data!H3672</f>
        <v>0</v>
      </c>
      <c r="O3660">
        <f>Data!I3672</f>
        <v>0</v>
      </c>
      <c r="P3660" s="21">
        <f>Data!J3676</f>
        <v>0</v>
      </c>
      <c r="Q3660">
        <f>Data!K3676</f>
        <v>0</v>
      </c>
      <c r="R3660">
        <f>Data!L3676</f>
        <v>0</v>
      </c>
      <c r="S3660">
        <f>Data!M3676</f>
        <v>0</v>
      </c>
      <c r="T3660">
        <f>Data!N3676</f>
        <v>0</v>
      </c>
      <c r="U3660">
        <f>Data!O3676</f>
        <v>0</v>
      </c>
      <c r="V3660" s="33">
        <f>Data!P3674</f>
        <v>0</v>
      </c>
    </row>
    <row r="3661" spans="7:22" x14ac:dyDescent="0.25">
      <c r="G3661">
        <f>Data!B3673</f>
        <v>0</v>
      </c>
      <c r="H3661" s="21">
        <f>Data!B3673</f>
        <v>0</v>
      </c>
      <c r="I3661" s="21">
        <f>Data!C3673</f>
        <v>0</v>
      </c>
      <c r="J3661">
        <f>Data!D3673</f>
        <v>0</v>
      </c>
      <c r="K3661">
        <f>Data!E3673</f>
        <v>0</v>
      </c>
      <c r="L3661">
        <f>Data!F3673</f>
        <v>0</v>
      </c>
      <c r="M3661">
        <f>Data!G3673</f>
        <v>0</v>
      </c>
      <c r="N3661">
        <f>Data!H3673</f>
        <v>0</v>
      </c>
      <c r="O3661">
        <f>Data!I3673</f>
        <v>0</v>
      </c>
      <c r="P3661" s="21">
        <f>Data!J3677</f>
        <v>0</v>
      </c>
      <c r="Q3661">
        <f>Data!K3677</f>
        <v>0</v>
      </c>
      <c r="R3661">
        <f>Data!L3677</f>
        <v>0</v>
      </c>
      <c r="S3661">
        <f>Data!M3677</f>
        <v>0</v>
      </c>
      <c r="T3661">
        <f>Data!N3677</f>
        <v>0</v>
      </c>
      <c r="U3661">
        <f>Data!O3677</f>
        <v>0</v>
      </c>
      <c r="V3661" s="33">
        <f>Data!P3675</f>
        <v>0</v>
      </c>
    </row>
    <row r="3662" spans="7:22" x14ac:dyDescent="0.25">
      <c r="G3662">
        <f>Data!B3674</f>
        <v>0</v>
      </c>
      <c r="H3662" s="21">
        <f>Data!B3674</f>
        <v>0</v>
      </c>
      <c r="I3662" s="21">
        <f>Data!C3674</f>
        <v>0</v>
      </c>
      <c r="J3662">
        <f>Data!D3674</f>
        <v>0</v>
      </c>
      <c r="K3662">
        <f>Data!E3674</f>
        <v>0</v>
      </c>
      <c r="L3662">
        <f>Data!F3674</f>
        <v>0</v>
      </c>
      <c r="M3662">
        <f>Data!G3674</f>
        <v>0</v>
      </c>
      <c r="N3662">
        <f>Data!H3674</f>
        <v>0</v>
      </c>
      <c r="O3662">
        <f>Data!I3674</f>
        <v>0</v>
      </c>
      <c r="P3662" s="21">
        <f>Data!J3678</f>
        <v>0</v>
      </c>
      <c r="Q3662">
        <f>Data!K3678</f>
        <v>0</v>
      </c>
      <c r="R3662">
        <f>Data!L3678</f>
        <v>0</v>
      </c>
      <c r="S3662">
        <f>Data!M3678</f>
        <v>0</v>
      </c>
      <c r="T3662">
        <f>Data!N3678</f>
        <v>0</v>
      </c>
      <c r="U3662">
        <f>Data!O3678</f>
        <v>0</v>
      </c>
      <c r="V3662" s="33">
        <f>Data!P3676</f>
        <v>0</v>
      </c>
    </row>
    <row r="3663" spans="7:22" x14ac:dyDescent="0.25">
      <c r="G3663">
        <f>Data!B3675</f>
        <v>0</v>
      </c>
      <c r="H3663" s="21">
        <f>Data!B3675</f>
        <v>0</v>
      </c>
      <c r="I3663" s="21">
        <f>Data!C3675</f>
        <v>0</v>
      </c>
      <c r="J3663">
        <f>Data!D3675</f>
        <v>0</v>
      </c>
      <c r="K3663">
        <f>Data!E3675</f>
        <v>0</v>
      </c>
      <c r="L3663">
        <f>Data!F3675</f>
        <v>0</v>
      </c>
      <c r="M3663">
        <f>Data!G3675</f>
        <v>0</v>
      </c>
      <c r="N3663">
        <f>Data!H3675</f>
        <v>0</v>
      </c>
      <c r="O3663">
        <f>Data!I3675</f>
        <v>0</v>
      </c>
      <c r="P3663" s="21">
        <f>Data!J3679</f>
        <v>0</v>
      </c>
      <c r="Q3663">
        <f>Data!K3679</f>
        <v>0</v>
      </c>
      <c r="R3663">
        <f>Data!L3679</f>
        <v>0</v>
      </c>
      <c r="S3663">
        <f>Data!M3679</f>
        <v>0</v>
      </c>
      <c r="T3663">
        <f>Data!N3679</f>
        <v>0</v>
      </c>
      <c r="U3663">
        <f>Data!O3679</f>
        <v>0</v>
      </c>
      <c r="V3663" s="33">
        <f>Data!P3677</f>
        <v>0</v>
      </c>
    </row>
    <row r="3664" spans="7:22" x14ac:dyDescent="0.25">
      <c r="G3664">
        <f>Data!B3676</f>
        <v>0</v>
      </c>
      <c r="H3664" s="21">
        <f>Data!B3676</f>
        <v>0</v>
      </c>
      <c r="I3664" s="21">
        <f>Data!C3676</f>
        <v>0</v>
      </c>
      <c r="J3664">
        <f>Data!D3676</f>
        <v>0</v>
      </c>
      <c r="K3664">
        <f>Data!E3676</f>
        <v>0</v>
      </c>
      <c r="L3664">
        <f>Data!F3676</f>
        <v>0</v>
      </c>
      <c r="M3664">
        <f>Data!G3676</f>
        <v>0</v>
      </c>
      <c r="N3664">
        <f>Data!H3676</f>
        <v>0</v>
      </c>
      <c r="O3664">
        <f>Data!I3676</f>
        <v>0</v>
      </c>
      <c r="P3664" s="21">
        <f>Data!J3680</f>
        <v>0</v>
      </c>
      <c r="Q3664">
        <f>Data!K3680</f>
        <v>0</v>
      </c>
      <c r="R3664">
        <f>Data!L3680</f>
        <v>0</v>
      </c>
      <c r="S3664">
        <f>Data!M3680</f>
        <v>0</v>
      </c>
      <c r="T3664">
        <f>Data!N3680</f>
        <v>0</v>
      </c>
      <c r="U3664">
        <f>Data!O3680</f>
        <v>0</v>
      </c>
      <c r="V3664" s="33">
        <f>Data!P3678</f>
        <v>0</v>
      </c>
    </row>
    <row r="3665" spans="7:22" x14ac:dyDescent="0.25">
      <c r="G3665">
        <f>Data!B3677</f>
        <v>0</v>
      </c>
      <c r="H3665" s="21">
        <f>Data!B3677</f>
        <v>0</v>
      </c>
      <c r="I3665" s="21">
        <f>Data!C3677</f>
        <v>0</v>
      </c>
      <c r="J3665">
        <f>Data!D3677</f>
        <v>0</v>
      </c>
      <c r="K3665">
        <f>Data!E3677</f>
        <v>0</v>
      </c>
      <c r="L3665">
        <f>Data!F3677</f>
        <v>0</v>
      </c>
      <c r="M3665">
        <f>Data!G3677</f>
        <v>0</v>
      </c>
      <c r="N3665">
        <f>Data!H3677</f>
        <v>0</v>
      </c>
      <c r="O3665">
        <f>Data!I3677</f>
        <v>0</v>
      </c>
      <c r="P3665" s="21">
        <f>Data!J3681</f>
        <v>0</v>
      </c>
      <c r="Q3665">
        <f>Data!K3681</f>
        <v>0</v>
      </c>
      <c r="R3665">
        <f>Data!L3681</f>
        <v>0</v>
      </c>
      <c r="S3665">
        <f>Data!M3681</f>
        <v>0</v>
      </c>
      <c r="T3665">
        <f>Data!N3681</f>
        <v>0</v>
      </c>
      <c r="U3665">
        <f>Data!O3681</f>
        <v>0</v>
      </c>
      <c r="V3665" s="33">
        <f>Data!P3679</f>
        <v>0</v>
      </c>
    </row>
    <row r="3666" spans="7:22" x14ac:dyDescent="0.25">
      <c r="G3666">
        <f>Data!B3678</f>
        <v>0</v>
      </c>
      <c r="H3666" s="21">
        <f>Data!B3678</f>
        <v>0</v>
      </c>
      <c r="I3666" s="21">
        <f>Data!C3678</f>
        <v>0</v>
      </c>
      <c r="J3666">
        <f>Data!D3678</f>
        <v>0</v>
      </c>
      <c r="K3666">
        <f>Data!E3678</f>
        <v>0</v>
      </c>
      <c r="L3666">
        <f>Data!F3678</f>
        <v>0</v>
      </c>
      <c r="M3666">
        <f>Data!G3678</f>
        <v>0</v>
      </c>
      <c r="N3666">
        <f>Data!H3678</f>
        <v>0</v>
      </c>
      <c r="O3666">
        <f>Data!I3678</f>
        <v>0</v>
      </c>
      <c r="P3666" s="21">
        <f>Data!J3682</f>
        <v>0</v>
      </c>
      <c r="Q3666">
        <f>Data!K3682</f>
        <v>0</v>
      </c>
      <c r="R3666">
        <f>Data!L3682</f>
        <v>0</v>
      </c>
      <c r="S3666">
        <f>Data!M3682</f>
        <v>0</v>
      </c>
      <c r="T3666">
        <f>Data!N3682</f>
        <v>0</v>
      </c>
      <c r="U3666">
        <f>Data!O3682</f>
        <v>0</v>
      </c>
      <c r="V3666" s="33">
        <f>Data!P3680</f>
        <v>0</v>
      </c>
    </row>
    <row r="3667" spans="7:22" x14ac:dyDescent="0.25">
      <c r="G3667">
        <f>Data!B3679</f>
        <v>0</v>
      </c>
      <c r="H3667" s="21">
        <f>Data!B3679</f>
        <v>0</v>
      </c>
      <c r="I3667" s="21">
        <f>Data!C3679</f>
        <v>0</v>
      </c>
      <c r="J3667">
        <f>Data!D3679</f>
        <v>0</v>
      </c>
      <c r="K3667">
        <f>Data!E3679</f>
        <v>0</v>
      </c>
      <c r="L3667">
        <f>Data!F3679</f>
        <v>0</v>
      </c>
      <c r="M3667">
        <f>Data!G3679</f>
        <v>0</v>
      </c>
      <c r="N3667">
        <f>Data!H3679</f>
        <v>0</v>
      </c>
      <c r="O3667">
        <f>Data!I3679</f>
        <v>0</v>
      </c>
      <c r="P3667" s="21">
        <f>Data!J3683</f>
        <v>0</v>
      </c>
      <c r="Q3667">
        <f>Data!K3683</f>
        <v>0</v>
      </c>
      <c r="R3667">
        <f>Data!L3683</f>
        <v>0</v>
      </c>
      <c r="S3667">
        <f>Data!M3683</f>
        <v>0</v>
      </c>
      <c r="T3667">
        <f>Data!N3683</f>
        <v>0</v>
      </c>
      <c r="U3667">
        <f>Data!O3683</f>
        <v>0</v>
      </c>
      <c r="V3667" s="33">
        <f>Data!P3681</f>
        <v>0</v>
      </c>
    </row>
    <row r="3668" spans="7:22" x14ac:dyDescent="0.25">
      <c r="G3668">
        <f>Data!B3680</f>
        <v>0</v>
      </c>
      <c r="H3668" s="21">
        <f>Data!B3680</f>
        <v>0</v>
      </c>
      <c r="I3668" s="21">
        <f>Data!C3680</f>
        <v>0</v>
      </c>
      <c r="J3668">
        <f>Data!D3680</f>
        <v>0</v>
      </c>
      <c r="K3668">
        <f>Data!E3680</f>
        <v>0</v>
      </c>
      <c r="L3668">
        <f>Data!F3680</f>
        <v>0</v>
      </c>
      <c r="M3668">
        <f>Data!G3680</f>
        <v>0</v>
      </c>
      <c r="N3668">
        <f>Data!H3680</f>
        <v>0</v>
      </c>
      <c r="O3668">
        <f>Data!I3680</f>
        <v>0</v>
      </c>
      <c r="P3668" s="21">
        <f>Data!J3684</f>
        <v>0</v>
      </c>
      <c r="Q3668">
        <f>Data!K3684</f>
        <v>0</v>
      </c>
      <c r="R3668">
        <f>Data!L3684</f>
        <v>0</v>
      </c>
      <c r="S3668">
        <f>Data!M3684</f>
        <v>0</v>
      </c>
      <c r="T3668">
        <f>Data!N3684</f>
        <v>0</v>
      </c>
      <c r="U3668">
        <f>Data!O3684</f>
        <v>0</v>
      </c>
      <c r="V3668" s="33">
        <f>Data!P3682</f>
        <v>0</v>
      </c>
    </row>
    <row r="3669" spans="7:22" x14ac:dyDescent="0.25">
      <c r="G3669">
        <f>Data!B3681</f>
        <v>0</v>
      </c>
      <c r="H3669" s="21">
        <f>Data!B3681</f>
        <v>0</v>
      </c>
      <c r="I3669" s="21">
        <f>Data!C3681</f>
        <v>0</v>
      </c>
      <c r="J3669">
        <f>Data!D3681</f>
        <v>0</v>
      </c>
      <c r="K3669">
        <f>Data!E3681</f>
        <v>0</v>
      </c>
      <c r="L3669">
        <f>Data!F3681</f>
        <v>0</v>
      </c>
      <c r="M3669">
        <f>Data!G3681</f>
        <v>0</v>
      </c>
      <c r="N3669">
        <f>Data!H3681</f>
        <v>0</v>
      </c>
      <c r="O3669">
        <f>Data!I3681</f>
        <v>0</v>
      </c>
      <c r="P3669" s="21">
        <f>Data!J3685</f>
        <v>0</v>
      </c>
      <c r="Q3669">
        <f>Data!K3685</f>
        <v>0</v>
      </c>
      <c r="R3669">
        <f>Data!L3685</f>
        <v>0</v>
      </c>
      <c r="S3669">
        <f>Data!M3685</f>
        <v>0</v>
      </c>
      <c r="T3669">
        <f>Data!N3685</f>
        <v>0</v>
      </c>
      <c r="U3669">
        <f>Data!O3685</f>
        <v>0</v>
      </c>
      <c r="V3669" s="33">
        <f>Data!P3683</f>
        <v>0</v>
      </c>
    </row>
    <row r="3670" spans="7:22" x14ac:dyDescent="0.25">
      <c r="G3670">
        <f>Data!B3682</f>
        <v>0</v>
      </c>
      <c r="H3670" s="21">
        <f>Data!B3682</f>
        <v>0</v>
      </c>
      <c r="I3670" s="21">
        <f>Data!C3682</f>
        <v>0</v>
      </c>
      <c r="J3670">
        <f>Data!D3682</f>
        <v>0</v>
      </c>
      <c r="K3670">
        <f>Data!E3682</f>
        <v>0</v>
      </c>
      <c r="L3670">
        <f>Data!F3682</f>
        <v>0</v>
      </c>
      <c r="M3670">
        <f>Data!G3682</f>
        <v>0</v>
      </c>
      <c r="N3670">
        <f>Data!H3682</f>
        <v>0</v>
      </c>
      <c r="O3670">
        <f>Data!I3682</f>
        <v>0</v>
      </c>
      <c r="P3670" s="21">
        <f>Data!J3686</f>
        <v>0</v>
      </c>
      <c r="Q3670">
        <f>Data!K3686</f>
        <v>0</v>
      </c>
      <c r="R3670">
        <f>Data!L3686</f>
        <v>0</v>
      </c>
      <c r="S3670">
        <f>Data!M3686</f>
        <v>0</v>
      </c>
      <c r="T3670">
        <f>Data!N3686</f>
        <v>0</v>
      </c>
      <c r="U3670">
        <f>Data!O3686</f>
        <v>0</v>
      </c>
      <c r="V3670" s="33">
        <f>Data!P3684</f>
        <v>0</v>
      </c>
    </row>
    <row r="3671" spans="7:22" x14ac:dyDescent="0.25">
      <c r="G3671">
        <f>Data!B3683</f>
        <v>0</v>
      </c>
      <c r="H3671" s="21">
        <f>Data!B3683</f>
        <v>0</v>
      </c>
      <c r="I3671" s="21">
        <f>Data!C3683</f>
        <v>0</v>
      </c>
      <c r="J3671">
        <f>Data!D3683</f>
        <v>0</v>
      </c>
      <c r="K3671">
        <f>Data!E3683</f>
        <v>0</v>
      </c>
      <c r="L3671">
        <f>Data!F3683</f>
        <v>0</v>
      </c>
      <c r="M3671">
        <f>Data!G3683</f>
        <v>0</v>
      </c>
      <c r="N3671">
        <f>Data!H3683</f>
        <v>0</v>
      </c>
      <c r="O3671">
        <f>Data!I3683</f>
        <v>0</v>
      </c>
      <c r="P3671" s="21">
        <f>Data!J3687</f>
        <v>0</v>
      </c>
      <c r="Q3671">
        <f>Data!K3687</f>
        <v>0</v>
      </c>
      <c r="R3671">
        <f>Data!L3687</f>
        <v>0</v>
      </c>
      <c r="S3671">
        <f>Data!M3687</f>
        <v>0</v>
      </c>
      <c r="T3671">
        <f>Data!N3687</f>
        <v>0</v>
      </c>
      <c r="U3671">
        <f>Data!O3687</f>
        <v>0</v>
      </c>
      <c r="V3671" s="33">
        <f>Data!P3685</f>
        <v>0</v>
      </c>
    </row>
    <row r="3672" spans="7:22" x14ac:dyDescent="0.25">
      <c r="G3672">
        <f>Data!B3684</f>
        <v>0</v>
      </c>
      <c r="H3672" s="21">
        <f>Data!B3684</f>
        <v>0</v>
      </c>
      <c r="I3672" s="21">
        <f>Data!C3684</f>
        <v>0</v>
      </c>
      <c r="J3672">
        <f>Data!D3684</f>
        <v>0</v>
      </c>
      <c r="K3672">
        <f>Data!E3684</f>
        <v>0</v>
      </c>
      <c r="L3672">
        <f>Data!F3684</f>
        <v>0</v>
      </c>
      <c r="M3672">
        <f>Data!G3684</f>
        <v>0</v>
      </c>
      <c r="N3672">
        <f>Data!H3684</f>
        <v>0</v>
      </c>
      <c r="O3672">
        <f>Data!I3684</f>
        <v>0</v>
      </c>
      <c r="P3672" s="21">
        <f>Data!J3688</f>
        <v>0</v>
      </c>
      <c r="Q3672">
        <f>Data!K3688</f>
        <v>0</v>
      </c>
      <c r="R3672">
        <f>Data!L3688</f>
        <v>0</v>
      </c>
      <c r="S3672">
        <f>Data!M3688</f>
        <v>0</v>
      </c>
      <c r="T3672">
        <f>Data!N3688</f>
        <v>0</v>
      </c>
      <c r="U3672">
        <f>Data!O3688</f>
        <v>0</v>
      </c>
      <c r="V3672" s="33">
        <f>Data!P3686</f>
        <v>0</v>
      </c>
    </row>
    <row r="3673" spans="7:22" x14ac:dyDescent="0.25">
      <c r="G3673">
        <f>Data!B3685</f>
        <v>0</v>
      </c>
      <c r="H3673" s="21">
        <f>Data!B3685</f>
        <v>0</v>
      </c>
      <c r="I3673" s="21">
        <f>Data!C3685</f>
        <v>0</v>
      </c>
      <c r="J3673">
        <f>Data!D3685</f>
        <v>0</v>
      </c>
      <c r="K3673">
        <f>Data!E3685</f>
        <v>0</v>
      </c>
      <c r="L3673">
        <f>Data!F3685</f>
        <v>0</v>
      </c>
      <c r="M3673">
        <f>Data!G3685</f>
        <v>0</v>
      </c>
      <c r="N3673">
        <f>Data!H3685</f>
        <v>0</v>
      </c>
      <c r="O3673">
        <f>Data!I3685</f>
        <v>0</v>
      </c>
      <c r="P3673" s="21">
        <f>Data!J3689</f>
        <v>0</v>
      </c>
      <c r="Q3673">
        <f>Data!K3689</f>
        <v>0</v>
      </c>
      <c r="R3673">
        <f>Data!L3689</f>
        <v>0</v>
      </c>
      <c r="S3673">
        <f>Data!M3689</f>
        <v>0</v>
      </c>
      <c r="T3673">
        <f>Data!N3689</f>
        <v>0</v>
      </c>
      <c r="U3673">
        <f>Data!O3689</f>
        <v>0</v>
      </c>
      <c r="V3673" s="33">
        <f>Data!P3687</f>
        <v>0</v>
      </c>
    </row>
    <row r="3674" spans="7:22" x14ac:dyDescent="0.25">
      <c r="G3674">
        <f>Data!B3686</f>
        <v>0</v>
      </c>
      <c r="H3674" s="21">
        <f>Data!B3686</f>
        <v>0</v>
      </c>
      <c r="I3674" s="21">
        <f>Data!C3686</f>
        <v>0</v>
      </c>
      <c r="J3674">
        <f>Data!D3686</f>
        <v>0</v>
      </c>
      <c r="K3674">
        <f>Data!E3686</f>
        <v>0</v>
      </c>
      <c r="L3674">
        <f>Data!F3686</f>
        <v>0</v>
      </c>
      <c r="M3674">
        <f>Data!G3686</f>
        <v>0</v>
      </c>
      <c r="N3674">
        <f>Data!H3686</f>
        <v>0</v>
      </c>
      <c r="O3674">
        <f>Data!I3686</f>
        <v>0</v>
      </c>
      <c r="P3674" s="21">
        <f>Data!J3690</f>
        <v>0</v>
      </c>
      <c r="Q3674">
        <f>Data!K3690</f>
        <v>0</v>
      </c>
      <c r="R3674">
        <f>Data!L3690</f>
        <v>0</v>
      </c>
      <c r="S3674">
        <f>Data!M3690</f>
        <v>0</v>
      </c>
      <c r="T3674">
        <f>Data!N3690</f>
        <v>0</v>
      </c>
      <c r="U3674">
        <f>Data!O3690</f>
        <v>0</v>
      </c>
      <c r="V3674" s="33">
        <f>Data!P3688</f>
        <v>0</v>
      </c>
    </row>
    <row r="3675" spans="7:22" x14ac:dyDescent="0.25">
      <c r="G3675">
        <f>Data!B3687</f>
        <v>0</v>
      </c>
      <c r="H3675" s="21">
        <f>Data!B3687</f>
        <v>0</v>
      </c>
      <c r="I3675" s="21">
        <f>Data!C3687</f>
        <v>0</v>
      </c>
      <c r="J3675">
        <f>Data!D3687</f>
        <v>0</v>
      </c>
      <c r="K3675">
        <f>Data!E3687</f>
        <v>0</v>
      </c>
      <c r="L3675">
        <f>Data!F3687</f>
        <v>0</v>
      </c>
      <c r="M3675">
        <f>Data!G3687</f>
        <v>0</v>
      </c>
      <c r="N3675">
        <f>Data!H3687</f>
        <v>0</v>
      </c>
      <c r="O3675">
        <f>Data!I3687</f>
        <v>0</v>
      </c>
      <c r="P3675" s="21">
        <f>Data!J3691</f>
        <v>0</v>
      </c>
      <c r="Q3675">
        <f>Data!K3691</f>
        <v>0</v>
      </c>
      <c r="R3675">
        <f>Data!L3691</f>
        <v>0</v>
      </c>
      <c r="S3675">
        <f>Data!M3691</f>
        <v>0</v>
      </c>
      <c r="T3675">
        <f>Data!N3691</f>
        <v>0</v>
      </c>
      <c r="U3675">
        <f>Data!O3691</f>
        <v>0</v>
      </c>
      <c r="V3675" s="33">
        <f>Data!P3689</f>
        <v>0</v>
      </c>
    </row>
    <row r="3676" spans="7:22" x14ac:dyDescent="0.25">
      <c r="G3676">
        <f>Data!B3688</f>
        <v>0</v>
      </c>
      <c r="H3676" s="21">
        <f>Data!B3688</f>
        <v>0</v>
      </c>
      <c r="I3676" s="21">
        <f>Data!C3688</f>
        <v>0</v>
      </c>
      <c r="J3676">
        <f>Data!D3688</f>
        <v>0</v>
      </c>
      <c r="K3676">
        <f>Data!E3688</f>
        <v>0</v>
      </c>
      <c r="L3676">
        <f>Data!F3688</f>
        <v>0</v>
      </c>
      <c r="M3676">
        <f>Data!G3688</f>
        <v>0</v>
      </c>
      <c r="N3676">
        <f>Data!H3688</f>
        <v>0</v>
      </c>
      <c r="O3676">
        <f>Data!I3688</f>
        <v>0</v>
      </c>
      <c r="P3676" s="21">
        <f>Data!J3692</f>
        <v>0</v>
      </c>
      <c r="Q3676">
        <f>Data!K3692</f>
        <v>0</v>
      </c>
      <c r="R3676">
        <f>Data!L3692</f>
        <v>0</v>
      </c>
      <c r="S3676">
        <f>Data!M3692</f>
        <v>0</v>
      </c>
      <c r="T3676">
        <f>Data!N3692</f>
        <v>0</v>
      </c>
      <c r="U3676">
        <f>Data!O3692</f>
        <v>0</v>
      </c>
      <c r="V3676" s="33">
        <f>Data!P3690</f>
        <v>0</v>
      </c>
    </row>
    <row r="3677" spans="7:22" x14ac:dyDescent="0.25">
      <c r="G3677">
        <f>Data!B3689</f>
        <v>0</v>
      </c>
      <c r="H3677" s="21">
        <f>Data!B3689</f>
        <v>0</v>
      </c>
      <c r="I3677" s="21">
        <f>Data!C3689</f>
        <v>0</v>
      </c>
      <c r="J3677">
        <f>Data!D3689</f>
        <v>0</v>
      </c>
      <c r="K3677">
        <f>Data!E3689</f>
        <v>0</v>
      </c>
      <c r="L3677">
        <f>Data!F3689</f>
        <v>0</v>
      </c>
      <c r="M3677">
        <f>Data!G3689</f>
        <v>0</v>
      </c>
      <c r="N3677">
        <f>Data!H3689</f>
        <v>0</v>
      </c>
      <c r="O3677">
        <f>Data!I3689</f>
        <v>0</v>
      </c>
      <c r="P3677" s="21">
        <f>Data!J3693</f>
        <v>0</v>
      </c>
      <c r="Q3677">
        <f>Data!K3693</f>
        <v>0</v>
      </c>
      <c r="R3677">
        <f>Data!L3693</f>
        <v>0</v>
      </c>
      <c r="S3677">
        <f>Data!M3693</f>
        <v>0</v>
      </c>
      <c r="T3677">
        <f>Data!N3693</f>
        <v>0</v>
      </c>
      <c r="U3677">
        <f>Data!O3693</f>
        <v>0</v>
      </c>
      <c r="V3677" s="33">
        <f>Data!P3691</f>
        <v>0</v>
      </c>
    </row>
    <row r="3678" spans="7:22" x14ac:dyDescent="0.25">
      <c r="G3678">
        <f>Data!B3690</f>
        <v>0</v>
      </c>
      <c r="H3678" s="21">
        <f>Data!B3690</f>
        <v>0</v>
      </c>
      <c r="I3678" s="21">
        <f>Data!C3690</f>
        <v>0</v>
      </c>
      <c r="J3678">
        <f>Data!D3690</f>
        <v>0</v>
      </c>
      <c r="K3678">
        <f>Data!E3690</f>
        <v>0</v>
      </c>
      <c r="L3678">
        <f>Data!F3690</f>
        <v>0</v>
      </c>
      <c r="M3678">
        <f>Data!G3690</f>
        <v>0</v>
      </c>
      <c r="N3678">
        <f>Data!H3690</f>
        <v>0</v>
      </c>
      <c r="O3678">
        <f>Data!I3690</f>
        <v>0</v>
      </c>
      <c r="P3678" s="21">
        <f>Data!J3694</f>
        <v>0</v>
      </c>
      <c r="Q3678">
        <f>Data!K3694</f>
        <v>0</v>
      </c>
      <c r="R3678">
        <f>Data!L3694</f>
        <v>0</v>
      </c>
      <c r="S3678">
        <f>Data!M3694</f>
        <v>0</v>
      </c>
      <c r="T3678">
        <f>Data!N3694</f>
        <v>0</v>
      </c>
      <c r="U3678">
        <f>Data!O3694</f>
        <v>0</v>
      </c>
      <c r="V3678" s="33">
        <f>Data!P3692</f>
        <v>0</v>
      </c>
    </row>
    <row r="3679" spans="7:22" x14ac:dyDescent="0.25">
      <c r="G3679">
        <f>Data!B3691</f>
        <v>0</v>
      </c>
      <c r="H3679" s="21">
        <f>Data!B3691</f>
        <v>0</v>
      </c>
      <c r="I3679" s="21">
        <f>Data!C3691</f>
        <v>0</v>
      </c>
      <c r="J3679">
        <f>Data!D3691</f>
        <v>0</v>
      </c>
      <c r="K3679">
        <f>Data!E3691</f>
        <v>0</v>
      </c>
      <c r="L3679">
        <f>Data!F3691</f>
        <v>0</v>
      </c>
      <c r="M3679">
        <f>Data!G3691</f>
        <v>0</v>
      </c>
      <c r="N3679">
        <f>Data!H3691</f>
        <v>0</v>
      </c>
      <c r="O3679">
        <f>Data!I3691</f>
        <v>0</v>
      </c>
      <c r="P3679" s="21">
        <f>Data!J3695</f>
        <v>0</v>
      </c>
      <c r="Q3679">
        <f>Data!K3695</f>
        <v>0</v>
      </c>
      <c r="R3679">
        <f>Data!L3695</f>
        <v>0</v>
      </c>
      <c r="S3679">
        <f>Data!M3695</f>
        <v>0</v>
      </c>
      <c r="T3679">
        <f>Data!N3695</f>
        <v>0</v>
      </c>
      <c r="U3679">
        <f>Data!O3695</f>
        <v>0</v>
      </c>
      <c r="V3679" s="33">
        <f>Data!P3693</f>
        <v>0</v>
      </c>
    </row>
    <row r="3680" spans="7:22" x14ac:dyDescent="0.25">
      <c r="G3680">
        <f>Data!B3692</f>
        <v>0</v>
      </c>
      <c r="H3680" s="21">
        <f>Data!B3692</f>
        <v>0</v>
      </c>
      <c r="I3680" s="21">
        <f>Data!C3692</f>
        <v>0</v>
      </c>
      <c r="J3680">
        <f>Data!D3692</f>
        <v>0</v>
      </c>
      <c r="K3680">
        <f>Data!E3692</f>
        <v>0</v>
      </c>
      <c r="L3680">
        <f>Data!F3692</f>
        <v>0</v>
      </c>
      <c r="M3680">
        <f>Data!G3692</f>
        <v>0</v>
      </c>
      <c r="N3680">
        <f>Data!H3692</f>
        <v>0</v>
      </c>
      <c r="O3680">
        <f>Data!I3692</f>
        <v>0</v>
      </c>
      <c r="P3680" s="21">
        <f>Data!J3696</f>
        <v>0</v>
      </c>
      <c r="Q3680">
        <f>Data!K3696</f>
        <v>0</v>
      </c>
      <c r="R3680">
        <f>Data!L3696</f>
        <v>0</v>
      </c>
      <c r="S3680">
        <f>Data!M3696</f>
        <v>0</v>
      </c>
      <c r="T3680">
        <f>Data!N3696</f>
        <v>0</v>
      </c>
      <c r="U3680">
        <f>Data!O3696</f>
        <v>0</v>
      </c>
      <c r="V3680" s="33">
        <f>Data!P3694</f>
        <v>0</v>
      </c>
    </row>
    <row r="3681" spans="7:22" x14ac:dyDescent="0.25">
      <c r="G3681">
        <f>Data!B3693</f>
        <v>0</v>
      </c>
      <c r="H3681" s="21">
        <f>Data!B3693</f>
        <v>0</v>
      </c>
      <c r="I3681" s="21">
        <f>Data!C3693</f>
        <v>0</v>
      </c>
      <c r="J3681">
        <f>Data!D3693</f>
        <v>0</v>
      </c>
      <c r="K3681">
        <f>Data!E3693</f>
        <v>0</v>
      </c>
      <c r="L3681">
        <f>Data!F3693</f>
        <v>0</v>
      </c>
      <c r="M3681">
        <f>Data!G3693</f>
        <v>0</v>
      </c>
      <c r="N3681">
        <f>Data!H3693</f>
        <v>0</v>
      </c>
      <c r="O3681">
        <f>Data!I3693</f>
        <v>0</v>
      </c>
      <c r="P3681" s="21">
        <f>Data!J3697</f>
        <v>0</v>
      </c>
      <c r="Q3681">
        <f>Data!K3697</f>
        <v>0</v>
      </c>
      <c r="R3681">
        <f>Data!L3697</f>
        <v>0</v>
      </c>
      <c r="S3681">
        <f>Data!M3697</f>
        <v>0</v>
      </c>
      <c r="T3681">
        <f>Data!N3697</f>
        <v>0</v>
      </c>
      <c r="U3681">
        <f>Data!O3697</f>
        <v>0</v>
      </c>
      <c r="V3681" s="33">
        <f>Data!P3695</f>
        <v>0</v>
      </c>
    </row>
    <row r="3682" spans="7:22" x14ac:dyDescent="0.25">
      <c r="G3682">
        <f>Data!B3694</f>
        <v>0</v>
      </c>
      <c r="H3682" s="21">
        <f>Data!B3694</f>
        <v>0</v>
      </c>
      <c r="I3682" s="21">
        <f>Data!C3694</f>
        <v>0</v>
      </c>
      <c r="J3682">
        <f>Data!D3694</f>
        <v>0</v>
      </c>
      <c r="K3682">
        <f>Data!E3694</f>
        <v>0</v>
      </c>
      <c r="L3682">
        <f>Data!F3694</f>
        <v>0</v>
      </c>
      <c r="M3682">
        <f>Data!G3694</f>
        <v>0</v>
      </c>
      <c r="N3682">
        <f>Data!H3694</f>
        <v>0</v>
      </c>
      <c r="O3682">
        <f>Data!I3694</f>
        <v>0</v>
      </c>
      <c r="P3682" s="21">
        <f>Data!J3698</f>
        <v>0</v>
      </c>
      <c r="Q3682">
        <f>Data!K3698</f>
        <v>0</v>
      </c>
      <c r="R3682">
        <f>Data!L3698</f>
        <v>0</v>
      </c>
      <c r="S3682">
        <f>Data!M3698</f>
        <v>0</v>
      </c>
      <c r="T3682">
        <f>Data!N3698</f>
        <v>0</v>
      </c>
      <c r="U3682">
        <f>Data!O3698</f>
        <v>0</v>
      </c>
      <c r="V3682" s="33">
        <f>Data!P3696</f>
        <v>0</v>
      </c>
    </row>
    <row r="3683" spans="7:22" x14ac:dyDescent="0.25">
      <c r="G3683">
        <f>Data!B3695</f>
        <v>0</v>
      </c>
      <c r="H3683" s="21">
        <f>Data!B3695</f>
        <v>0</v>
      </c>
      <c r="I3683" s="21">
        <f>Data!C3695</f>
        <v>0</v>
      </c>
      <c r="J3683">
        <f>Data!D3695</f>
        <v>0</v>
      </c>
      <c r="K3683">
        <f>Data!E3695</f>
        <v>0</v>
      </c>
      <c r="L3683">
        <f>Data!F3695</f>
        <v>0</v>
      </c>
      <c r="M3683">
        <f>Data!G3695</f>
        <v>0</v>
      </c>
      <c r="N3683">
        <f>Data!H3695</f>
        <v>0</v>
      </c>
      <c r="O3683">
        <f>Data!I3695</f>
        <v>0</v>
      </c>
      <c r="P3683" s="21">
        <f>Data!J3699</f>
        <v>0</v>
      </c>
      <c r="Q3683">
        <f>Data!K3699</f>
        <v>0</v>
      </c>
      <c r="R3683">
        <f>Data!L3699</f>
        <v>0</v>
      </c>
      <c r="S3683">
        <f>Data!M3699</f>
        <v>0</v>
      </c>
      <c r="T3683">
        <f>Data!N3699</f>
        <v>0</v>
      </c>
      <c r="U3683">
        <f>Data!O3699</f>
        <v>0</v>
      </c>
      <c r="V3683" s="33">
        <f>Data!P3697</f>
        <v>0</v>
      </c>
    </row>
    <row r="3684" spans="7:22" x14ac:dyDescent="0.25">
      <c r="G3684">
        <f>Data!B3696</f>
        <v>0</v>
      </c>
      <c r="H3684" s="21">
        <f>Data!B3696</f>
        <v>0</v>
      </c>
      <c r="I3684" s="21">
        <f>Data!C3696</f>
        <v>0</v>
      </c>
      <c r="J3684">
        <f>Data!D3696</f>
        <v>0</v>
      </c>
      <c r="K3684">
        <f>Data!E3696</f>
        <v>0</v>
      </c>
      <c r="L3684">
        <f>Data!F3696</f>
        <v>0</v>
      </c>
      <c r="M3684">
        <f>Data!G3696</f>
        <v>0</v>
      </c>
      <c r="N3684">
        <f>Data!H3696</f>
        <v>0</v>
      </c>
      <c r="O3684">
        <f>Data!I3696</f>
        <v>0</v>
      </c>
      <c r="P3684" s="21">
        <f>Data!J3700</f>
        <v>0</v>
      </c>
      <c r="Q3684">
        <f>Data!K3700</f>
        <v>0</v>
      </c>
      <c r="R3684">
        <f>Data!L3700</f>
        <v>0</v>
      </c>
      <c r="S3684">
        <f>Data!M3700</f>
        <v>0</v>
      </c>
      <c r="T3684">
        <f>Data!N3700</f>
        <v>0</v>
      </c>
      <c r="U3684">
        <f>Data!O3700</f>
        <v>0</v>
      </c>
      <c r="V3684" s="33">
        <f>Data!P3698</f>
        <v>0</v>
      </c>
    </row>
    <row r="3685" spans="7:22" x14ac:dyDescent="0.25">
      <c r="G3685">
        <f>Data!B3697</f>
        <v>0</v>
      </c>
      <c r="H3685" s="21">
        <f>Data!B3697</f>
        <v>0</v>
      </c>
      <c r="I3685" s="21">
        <f>Data!C3697</f>
        <v>0</v>
      </c>
      <c r="J3685">
        <f>Data!D3697</f>
        <v>0</v>
      </c>
      <c r="K3685">
        <f>Data!E3697</f>
        <v>0</v>
      </c>
      <c r="L3685">
        <f>Data!F3697</f>
        <v>0</v>
      </c>
      <c r="M3685">
        <f>Data!G3697</f>
        <v>0</v>
      </c>
      <c r="N3685">
        <f>Data!H3697</f>
        <v>0</v>
      </c>
      <c r="O3685">
        <f>Data!I3697</f>
        <v>0</v>
      </c>
      <c r="P3685" s="21">
        <f>Data!J3701</f>
        <v>0</v>
      </c>
      <c r="Q3685">
        <f>Data!K3701</f>
        <v>0</v>
      </c>
      <c r="R3685">
        <f>Data!L3701</f>
        <v>0</v>
      </c>
      <c r="S3685">
        <f>Data!M3701</f>
        <v>0</v>
      </c>
      <c r="T3685">
        <f>Data!N3701</f>
        <v>0</v>
      </c>
      <c r="U3685">
        <f>Data!O3701</f>
        <v>0</v>
      </c>
      <c r="V3685" s="33">
        <f>Data!P3699</f>
        <v>0</v>
      </c>
    </row>
    <row r="3686" spans="7:22" x14ac:dyDescent="0.25">
      <c r="G3686">
        <f>Data!B3698</f>
        <v>0</v>
      </c>
      <c r="H3686" s="21">
        <f>Data!B3698</f>
        <v>0</v>
      </c>
      <c r="I3686" s="21">
        <f>Data!C3698</f>
        <v>0</v>
      </c>
      <c r="J3686">
        <f>Data!D3698</f>
        <v>0</v>
      </c>
      <c r="K3686">
        <f>Data!E3698</f>
        <v>0</v>
      </c>
      <c r="L3686">
        <f>Data!F3698</f>
        <v>0</v>
      </c>
      <c r="M3686">
        <f>Data!G3698</f>
        <v>0</v>
      </c>
      <c r="N3686">
        <f>Data!H3698</f>
        <v>0</v>
      </c>
      <c r="O3686">
        <f>Data!I3698</f>
        <v>0</v>
      </c>
      <c r="P3686" s="21">
        <f>Data!J3702</f>
        <v>0</v>
      </c>
      <c r="Q3686">
        <f>Data!K3702</f>
        <v>0</v>
      </c>
      <c r="R3686">
        <f>Data!L3702</f>
        <v>0</v>
      </c>
      <c r="S3686">
        <f>Data!M3702</f>
        <v>0</v>
      </c>
      <c r="T3686">
        <f>Data!N3702</f>
        <v>0</v>
      </c>
      <c r="U3686">
        <f>Data!O3702</f>
        <v>0</v>
      </c>
      <c r="V3686" s="33">
        <f>Data!P3700</f>
        <v>0</v>
      </c>
    </row>
    <row r="3687" spans="7:22" x14ac:dyDescent="0.25">
      <c r="G3687">
        <f>Data!B3699</f>
        <v>0</v>
      </c>
      <c r="H3687" s="21">
        <f>Data!B3699</f>
        <v>0</v>
      </c>
      <c r="I3687" s="21">
        <f>Data!C3699</f>
        <v>0</v>
      </c>
      <c r="J3687">
        <f>Data!D3699</f>
        <v>0</v>
      </c>
      <c r="K3687">
        <f>Data!E3699</f>
        <v>0</v>
      </c>
      <c r="L3687">
        <f>Data!F3699</f>
        <v>0</v>
      </c>
      <c r="M3687">
        <f>Data!G3699</f>
        <v>0</v>
      </c>
      <c r="N3687">
        <f>Data!H3699</f>
        <v>0</v>
      </c>
      <c r="O3687">
        <f>Data!I3699</f>
        <v>0</v>
      </c>
      <c r="P3687" s="21">
        <f>Data!J3703</f>
        <v>0</v>
      </c>
      <c r="Q3687">
        <f>Data!K3703</f>
        <v>0</v>
      </c>
      <c r="R3687">
        <f>Data!L3703</f>
        <v>0</v>
      </c>
      <c r="S3687">
        <f>Data!M3703</f>
        <v>0</v>
      </c>
      <c r="T3687">
        <f>Data!N3703</f>
        <v>0</v>
      </c>
      <c r="U3687">
        <f>Data!O3703</f>
        <v>0</v>
      </c>
      <c r="V3687" s="33">
        <f>Data!P3701</f>
        <v>0</v>
      </c>
    </row>
    <row r="3688" spans="7:22" x14ac:dyDescent="0.25">
      <c r="G3688">
        <f>Data!B3700</f>
        <v>0</v>
      </c>
      <c r="H3688" s="21">
        <f>Data!B3700</f>
        <v>0</v>
      </c>
      <c r="I3688" s="21">
        <f>Data!C3700</f>
        <v>0</v>
      </c>
      <c r="J3688">
        <f>Data!D3700</f>
        <v>0</v>
      </c>
      <c r="K3688">
        <f>Data!E3700</f>
        <v>0</v>
      </c>
      <c r="L3688">
        <f>Data!F3700</f>
        <v>0</v>
      </c>
      <c r="M3688">
        <f>Data!G3700</f>
        <v>0</v>
      </c>
      <c r="N3688">
        <f>Data!H3700</f>
        <v>0</v>
      </c>
      <c r="O3688">
        <f>Data!I3700</f>
        <v>0</v>
      </c>
      <c r="P3688" s="21">
        <f>Data!J3704</f>
        <v>0</v>
      </c>
      <c r="Q3688">
        <f>Data!K3704</f>
        <v>0</v>
      </c>
      <c r="R3688">
        <f>Data!L3704</f>
        <v>0</v>
      </c>
      <c r="S3688">
        <f>Data!M3704</f>
        <v>0</v>
      </c>
      <c r="T3688">
        <f>Data!N3704</f>
        <v>0</v>
      </c>
      <c r="U3688">
        <f>Data!O3704</f>
        <v>0</v>
      </c>
      <c r="V3688" s="33">
        <f>Data!P3702</f>
        <v>0</v>
      </c>
    </row>
    <row r="3689" spans="7:22" x14ac:dyDescent="0.25">
      <c r="G3689">
        <f>Data!B3701</f>
        <v>0</v>
      </c>
      <c r="H3689" s="21">
        <f>Data!B3701</f>
        <v>0</v>
      </c>
      <c r="I3689" s="21">
        <f>Data!C3701</f>
        <v>0</v>
      </c>
      <c r="J3689">
        <f>Data!D3701</f>
        <v>0</v>
      </c>
      <c r="K3689">
        <f>Data!E3701</f>
        <v>0</v>
      </c>
      <c r="L3689">
        <f>Data!F3701</f>
        <v>0</v>
      </c>
      <c r="M3689">
        <f>Data!G3701</f>
        <v>0</v>
      </c>
      <c r="N3689">
        <f>Data!H3701</f>
        <v>0</v>
      </c>
      <c r="O3689">
        <f>Data!I3701</f>
        <v>0</v>
      </c>
      <c r="P3689" s="21">
        <f>Data!J3705</f>
        <v>0</v>
      </c>
      <c r="Q3689">
        <f>Data!K3705</f>
        <v>0</v>
      </c>
      <c r="R3689">
        <f>Data!L3705</f>
        <v>0</v>
      </c>
      <c r="S3689">
        <f>Data!M3705</f>
        <v>0</v>
      </c>
      <c r="T3689">
        <f>Data!N3705</f>
        <v>0</v>
      </c>
      <c r="U3689">
        <f>Data!O3705</f>
        <v>0</v>
      </c>
      <c r="V3689" s="33">
        <f>Data!P3703</f>
        <v>0</v>
      </c>
    </row>
    <row r="3690" spans="7:22" x14ac:dyDescent="0.25">
      <c r="G3690">
        <f>Data!B3702</f>
        <v>0</v>
      </c>
      <c r="H3690" s="21">
        <f>Data!B3702</f>
        <v>0</v>
      </c>
      <c r="I3690" s="21">
        <f>Data!C3702</f>
        <v>0</v>
      </c>
      <c r="J3690">
        <f>Data!D3702</f>
        <v>0</v>
      </c>
      <c r="K3690">
        <f>Data!E3702</f>
        <v>0</v>
      </c>
      <c r="L3690">
        <f>Data!F3702</f>
        <v>0</v>
      </c>
      <c r="M3690">
        <f>Data!G3702</f>
        <v>0</v>
      </c>
      <c r="N3690">
        <f>Data!H3702</f>
        <v>0</v>
      </c>
      <c r="O3690">
        <f>Data!I3702</f>
        <v>0</v>
      </c>
      <c r="P3690" s="21">
        <f>Data!J3706</f>
        <v>0</v>
      </c>
      <c r="Q3690">
        <f>Data!K3706</f>
        <v>0</v>
      </c>
      <c r="R3690">
        <f>Data!L3706</f>
        <v>0</v>
      </c>
      <c r="S3690">
        <f>Data!M3706</f>
        <v>0</v>
      </c>
      <c r="T3690">
        <f>Data!N3706</f>
        <v>0</v>
      </c>
      <c r="U3690">
        <f>Data!O3706</f>
        <v>0</v>
      </c>
      <c r="V3690" s="33">
        <f>Data!P3704</f>
        <v>0</v>
      </c>
    </row>
    <row r="3691" spans="7:22" x14ac:dyDescent="0.25">
      <c r="G3691">
        <f>Data!B3703</f>
        <v>0</v>
      </c>
      <c r="H3691" s="21">
        <f>Data!B3703</f>
        <v>0</v>
      </c>
      <c r="I3691" s="21">
        <f>Data!C3703</f>
        <v>0</v>
      </c>
      <c r="J3691">
        <f>Data!D3703</f>
        <v>0</v>
      </c>
      <c r="K3691">
        <f>Data!E3703</f>
        <v>0</v>
      </c>
      <c r="L3691">
        <f>Data!F3703</f>
        <v>0</v>
      </c>
      <c r="M3691">
        <f>Data!G3703</f>
        <v>0</v>
      </c>
      <c r="N3691">
        <f>Data!H3703</f>
        <v>0</v>
      </c>
      <c r="O3691">
        <f>Data!I3703</f>
        <v>0</v>
      </c>
      <c r="P3691" s="21">
        <f>Data!J3707</f>
        <v>0</v>
      </c>
      <c r="Q3691">
        <f>Data!K3707</f>
        <v>0</v>
      </c>
      <c r="R3691">
        <f>Data!L3707</f>
        <v>0</v>
      </c>
      <c r="S3691">
        <f>Data!M3707</f>
        <v>0</v>
      </c>
      <c r="T3691">
        <f>Data!N3707</f>
        <v>0</v>
      </c>
      <c r="U3691">
        <f>Data!O3707</f>
        <v>0</v>
      </c>
      <c r="V3691" s="33">
        <f>Data!P3705</f>
        <v>0</v>
      </c>
    </row>
    <row r="3692" spans="7:22" x14ac:dyDescent="0.25">
      <c r="G3692">
        <f>Data!B3704</f>
        <v>0</v>
      </c>
      <c r="H3692" s="21">
        <f>Data!B3704</f>
        <v>0</v>
      </c>
      <c r="I3692" s="21">
        <f>Data!C3704</f>
        <v>0</v>
      </c>
      <c r="J3692">
        <f>Data!D3704</f>
        <v>0</v>
      </c>
      <c r="K3692">
        <f>Data!E3704</f>
        <v>0</v>
      </c>
      <c r="L3692">
        <f>Data!F3704</f>
        <v>0</v>
      </c>
      <c r="M3692">
        <f>Data!G3704</f>
        <v>0</v>
      </c>
      <c r="N3692">
        <f>Data!H3704</f>
        <v>0</v>
      </c>
      <c r="O3692">
        <f>Data!I3704</f>
        <v>0</v>
      </c>
      <c r="P3692" s="21">
        <f>Data!J3708</f>
        <v>0</v>
      </c>
      <c r="Q3692">
        <f>Data!K3708</f>
        <v>0</v>
      </c>
      <c r="R3692">
        <f>Data!L3708</f>
        <v>0</v>
      </c>
      <c r="S3692">
        <f>Data!M3708</f>
        <v>0</v>
      </c>
      <c r="T3692">
        <f>Data!N3708</f>
        <v>0</v>
      </c>
      <c r="U3692">
        <f>Data!O3708</f>
        <v>0</v>
      </c>
      <c r="V3692" s="33">
        <f>Data!P3706</f>
        <v>0</v>
      </c>
    </row>
    <row r="3693" spans="7:22" x14ac:dyDescent="0.25">
      <c r="G3693">
        <f>Data!B3705</f>
        <v>0</v>
      </c>
      <c r="H3693" s="21">
        <f>Data!B3705</f>
        <v>0</v>
      </c>
      <c r="I3693" s="21">
        <f>Data!C3705</f>
        <v>0</v>
      </c>
      <c r="J3693">
        <f>Data!D3705</f>
        <v>0</v>
      </c>
      <c r="K3693">
        <f>Data!E3705</f>
        <v>0</v>
      </c>
      <c r="L3693">
        <f>Data!F3705</f>
        <v>0</v>
      </c>
      <c r="M3693">
        <f>Data!G3705</f>
        <v>0</v>
      </c>
      <c r="N3693">
        <f>Data!H3705</f>
        <v>0</v>
      </c>
      <c r="O3693">
        <f>Data!I3705</f>
        <v>0</v>
      </c>
      <c r="P3693" s="21">
        <f>Data!J3709</f>
        <v>0</v>
      </c>
      <c r="Q3693">
        <f>Data!K3709</f>
        <v>0</v>
      </c>
      <c r="R3693">
        <f>Data!L3709</f>
        <v>0</v>
      </c>
      <c r="S3693">
        <f>Data!M3709</f>
        <v>0</v>
      </c>
      <c r="T3693">
        <f>Data!N3709</f>
        <v>0</v>
      </c>
      <c r="U3693">
        <f>Data!O3709</f>
        <v>0</v>
      </c>
      <c r="V3693" s="33">
        <f>Data!P3707</f>
        <v>0</v>
      </c>
    </row>
    <row r="3694" spans="7:22" x14ac:dyDescent="0.25">
      <c r="G3694">
        <f>Data!B3706</f>
        <v>0</v>
      </c>
      <c r="H3694" s="21">
        <f>Data!B3706</f>
        <v>0</v>
      </c>
      <c r="I3694" s="21">
        <f>Data!C3706</f>
        <v>0</v>
      </c>
      <c r="J3694">
        <f>Data!D3706</f>
        <v>0</v>
      </c>
      <c r="K3694">
        <f>Data!E3706</f>
        <v>0</v>
      </c>
      <c r="L3694">
        <f>Data!F3706</f>
        <v>0</v>
      </c>
      <c r="M3694">
        <f>Data!G3706</f>
        <v>0</v>
      </c>
      <c r="N3694">
        <f>Data!H3706</f>
        <v>0</v>
      </c>
      <c r="O3694">
        <f>Data!I3706</f>
        <v>0</v>
      </c>
      <c r="P3694" s="21">
        <f>Data!J3710</f>
        <v>0</v>
      </c>
      <c r="Q3694">
        <f>Data!K3710</f>
        <v>0</v>
      </c>
      <c r="R3694">
        <f>Data!L3710</f>
        <v>0</v>
      </c>
      <c r="S3694">
        <f>Data!M3710</f>
        <v>0</v>
      </c>
      <c r="T3694">
        <f>Data!N3710</f>
        <v>0</v>
      </c>
      <c r="U3694">
        <f>Data!O3710</f>
        <v>0</v>
      </c>
      <c r="V3694" s="33">
        <f>Data!P3708</f>
        <v>0</v>
      </c>
    </row>
    <row r="3695" spans="7:22" x14ac:dyDescent="0.25">
      <c r="G3695">
        <f>Data!B3707</f>
        <v>0</v>
      </c>
      <c r="H3695" s="21">
        <f>Data!B3707</f>
        <v>0</v>
      </c>
      <c r="I3695" s="21">
        <f>Data!C3707</f>
        <v>0</v>
      </c>
      <c r="J3695">
        <f>Data!D3707</f>
        <v>0</v>
      </c>
      <c r="K3695">
        <f>Data!E3707</f>
        <v>0</v>
      </c>
      <c r="L3695">
        <f>Data!F3707</f>
        <v>0</v>
      </c>
      <c r="M3695">
        <f>Data!G3707</f>
        <v>0</v>
      </c>
      <c r="N3695">
        <f>Data!H3707</f>
        <v>0</v>
      </c>
      <c r="O3695">
        <f>Data!I3707</f>
        <v>0</v>
      </c>
      <c r="P3695" s="21">
        <f>Data!J3711</f>
        <v>0</v>
      </c>
      <c r="Q3695">
        <f>Data!K3711</f>
        <v>0</v>
      </c>
      <c r="R3695">
        <f>Data!L3711</f>
        <v>0</v>
      </c>
      <c r="S3695">
        <f>Data!M3711</f>
        <v>0</v>
      </c>
      <c r="T3695">
        <f>Data!N3711</f>
        <v>0</v>
      </c>
      <c r="U3695">
        <f>Data!O3711</f>
        <v>0</v>
      </c>
      <c r="V3695" s="33">
        <f>Data!P3709</f>
        <v>0</v>
      </c>
    </row>
    <row r="3696" spans="7:22" x14ac:dyDescent="0.25">
      <c r="G3696">
        <f>Data!B3708</f>
        <v>0</v>
      </c>
      <c r="H3696" s="21">
        <f>Data!B3708</f>
        <v>0</v>
      </c>
      <c r="I3696" s="21">
        <f>Data!C3708</f>
        <v>0</v>
      </c>
      <c r="J3696">
        <f>Data!D3708</f>
        <v>0</v>
      </c>
      <c r="K3696">
        <f>Data!E3708</f>
        <v>0</v>
      </c>
      <c r="L3696">
        <f>Data!F3708</f>
        <v>0</v>
      </c>
      <c r="M3696">
        <f>Data!G3708</f>
        <v>0</v>
      </c>
      <c r="N3696">
        <f>Data!H3708</f>
        <v>0</v>
      </c>
      <c r="O3696">
        <f>Data!I3708</f>
        <v>0</v>
      </c>
      <c r="P3696" s="21">
        <f>Data!J3712</f>
        <v>0</v>
      </c>
      <c r="Q3696">
        <f>Data!K3712</f>
        <v>0</v>
      </c>
      <c r="R3696">
        <f>Data!L3712</f>
        <v>0</v>
      </c>
      <c r="S3696">
        <f>Data!M3712</f>
        <v>0</v>
      </c>
      <c r="T3696">
        <f>Data!N3712</f>
        <v>0</v>
      </c>
      <c r="U3696">
        <f>Data!O3712</f>
        <v>0</v>
      </c>
      <c r="V3696" s="33">
        <f>Data!P3710</f>
        <v>0</v>
      </c>
    </row>
    <row r="3697" spans="7:22" x14ac:dyDescent="0.25">
      <c r="G3697">
        <f>Data!B3709</f>
        <v>0</v>
      </c>
      <c r="H3697" s="21">
        <f>Data!B3709</f>
        <v>0</v>
      </c>
      <c r="I3697" s="21">
        <f>Data!C3709</f>
        <v>0</v>
      </c>
      <c r="J3697">
        <f>Data!D3709</f>
        <v>0</v>
      </c>
      <c r="K3697">
        <f>Data!E3709</f>
        <v>0</v>
      </c>
      <c r="L3697">
        <f>Data!F3709</f>
        <v>0</v>
      </c>
      <c r="M3697">
        <f>Data!G3709</f>
        <v>0</v>
      </c>
      <c r="N3697">
        <f>Data!H3709</f>
        <v>0</v>
      </c>
      <c r="O3697">
        <f>Data!I3709</f>
        <v>0</v>
      </c>
      <c r="P3697" s="21">
        <f>Data!J3713</f>
        <v>0</v>
      </c>
      <c r="Q3697">
        <f>Data!K3713</f>
        <v>0</v>
      </c>
      <c r="R3697">
        <f>Data!L3713</f>
        <v>0</v>
      </c>
      <c r="S3697">
        <f>Data!M3713</f>
        <v>0</v>
      </c>
      <c r="T3697">
        <f>Data!N3713</f>
        <v>0</v>
      </c>
      <c r="U3697">
        <f>Data!O3713</f>
        <v>0</v>
      </c>
      <c r="V3697" s="33">
        <f>Data!P3711</f>
        <v>0</v>
      </c>
    </row>
    <row r="3698" spans="7:22" x14ac:dyDescent="0.25">
      <c r="G3698">
        <f>Data!B3710</f>
        <v>0</v>
      </c>
      <c r="H3698" s="21">
        <f>Data!B3710</f>
        <v>0</v>
      </c>
      <c r="I3698" s="21">
        <f>Data!C3710</f>
        <v>0</v>
      </c>
      <c r="J3698">
        <f>Data!D3710</f>
        <v>0</v>
      </c>
      <c r="K3698">
        <f>Data!E3710</f>
        <v>0</v>
      </c>
      <c r="L3698">
        <f>Data!F3710</f>
        <v>0</v>
      </c>
      <c r="M3698">
        <f>Data!G3710</f>
        <v>0</v>
      </c>
      <c r="N3698">
        <f>Data!H3710</f>
        <v>0</v>
      </c>
      <c r="O3698">
        <f>Data!I3710</f>
        <v>0</v>
      </c>
      <c r="P3698" s="21">
        <f>Data!J3714</f>
        <v>0</v>
      </c>
      <c r="Q3698">
        <f>Data!K3714</f>
        <v>0</v>
      </c>
      <c r="R3698">
        <f>Data!L3714</f>
        <v>0</v>
      </c>
      <c r="S3698">
        <f>Data!M3714</f>
        <v>0</v>
      </c>
      <c r="T3698">
        <f>Data!N3714</f>
        <v>0</v>
      </c>
      <c r="U3698">
        <f>Data!O3714</f>
        <v>0</v>
      </c>
      <c r="V3698" s="33">
        <f>Data!P3712</f>
        <v>0</v>
      </c>
    </row>
    <row r="3699" spans="7:22" x14ac:dyDescent="0.25">
      <c r="G3699">
        <f>Data!B3711</f>
        <v>0</v>
      </c>
      <c r="H3699" s="21">
        <f>Data!B3711</f>
        <v>0</v>
      </c>
      <c r="I3699" s="21">
        <f>Data!C3711</f>
        <v>0</v>
      </c>
      <c r="J3699">
        <f>Data!D3711</f>
        <v>0</v>
      </c>
      <c r="K3699">
        <f>Data!E3711</f>
        <v>0</v>
      </c>
      <c r="L3699">
        <f>Data!F3711</f>
        <v>0</v>
      </c>
      <c r="M3699">
        <f>Data!G3711</f>
        <v>0</v>
      </c>
      <c r="N3699">
        <f>Data!H3711</f>
        <v>0</v>
      </c>
      <c r="O3699">
        <f>Data!I3711</f>
        <v>0</v>
      </c>
      <c r="P3699" s="21">
        <f>Data!J3715</f>
        <v>0</v>
      </c>
      <c r="Q3699">
        <f>Data!K3715</f>
        <v>0</v>
      </c>
      <c r="R3699">
        <f>Data!L3715</f>
        <v>0</v>
      </c>
      <c r="S3699">
        <f>Data!M3715</f>
        <v>0</v>
      </c>
      <c r="T3699">
        <f>Data!N3715</f>
        <v>0</v>
      </c>
      <c r="U3699">
        <f>Data!O3715</f>
        <v>0</v>
      </c>
      <c r="V3699" s="33">
        <f>Data!P3713</f>
        <v>0</v>
      </c>
    </row>
    <row r="3700" spans="7:22" x14ac:dyDescent="0.25">
      <c r="G3700">
        <f>Data!B3712</f>
        <v>0</v>
      </c>
      <c r="H3700" s="21">
        <f>Data!B3712</f>
        <v>0</v>
      </c>
      <c r="I3700" s="21">
        <f>Data!C3712</f>
        <v>0</v>
      </c>
      <c r="J3700">
        <f>Data!D3712</f>
        <v>0</v>
      </c>
      <c r="K3700">
        <f>Data!E3712</f>
        <v>0</v>
      </c>
      <c r="L3700">
        <f>Data!F3712</f>
        <v>0</v>
      </c>
      <c r="M3700">
        <f>Data!G3712</f>
        <v>0</v>
      </c>
      <c r="N3700">
        <f>Data!H3712</f>
        <v>0</v>
      </c>
      <c r="O3700">
        <f>Data!I3712</f>
        <v>0</v>
      </c>
      <c r="P3700" s="21">
        <f>Data!J3716</f>
        <v>0</v>
      </c>
      <c r="Q3700">
        <f>Data!K3716</f>
        <v>0</v>
      </c>
      <c r="R3700">
        <f>Data!L3716</f>
        <v>0</v>
      </c>
      <c r="S3700">
        <f>Data!M3716</f>
        <v>0</v>
      </c>
      <c r="T3700">
        <f>Data!N3716</f>
        <v>0</v>
      </c>
      <c r="U3700">
        <f>Data!O3716</f>
        <v>0</v>
      </c>
      <c r="V3700" s="33">
        <f>Data!P3714</f>
        <v>0</v>
      </c>
    </row>
    <row r="3701" spans="7:22" x14ac:dyDescent="0.25">
      <c r="G3701">
        <f>Data!B3713</f>
        <v>0</v>
      </c>
      <c r="H3701" s="21">
        <f>Data!B3713</f>
        <v>0</v>
      </c>
      <c r="I3701" s="21">
        <f>Data!C3713</f>
        <v>0</v>
      </c>
      <c r="J3701">
        <f>Data!D3713</f>
        <v>0</v>
      </c>
      <c r="K3701">
        <f>Data!E3713</f>
        <v>0</v>
      </c>
      <c r="L3701">
        <f>Data!F3713</f>
        <v>0</v>
      </c>
      <c r="M3701">
        <f>Data!G3713</f>
        <v>0</v>
      </c>
      <c r="N3701">
        <f>Data!H3713</f>
        <v>0</v>
      </c>
      <c r="O3701">
        <f>Data!I3713</f>
        <v>0</v>
      </c>
      <c r="P3701" s="21">
        <f>Data!J3717</f>
        <v>0</v>
      </c>
      <c r="Q3701">
        <f>Data!K3717</f>
        <v>0</v>
      </c>
      <c r="R3701">
        <f>Data!L3717</f>
        <v>0</v>
      </c>
      <c r="S3701">
        <f>Data!M3717</f>
        <v>0</v>
      </c>
      <c r="T3701">
        <f>Data!N3717</f>
        <v>0</v>
      </c>
      <c r="U3701">
        <f>Data!O3717</f>
        <v>0</v>
      </c>
      <c r="V3701" s="33">
        <f>Data!P3715</f>
        <v>0</v>
      </c>
    </row>
    <row r="3702" spans="7:22" x14ac:dyDescent="0.25">
      <c r="G3702">
        <f>Data!B3714</f>
        <v>0</v>
      </c>
      <c r="H3702" s="21">
        <f>Data!B3714</f>
        <v>0</v>
      </c>
      <c r="I3702" s="21">
        <f>Data!C3714</f>
        <v>0</v>
      </c>
      <c r="J3702">
        <f>Data!D3714</f>
        <v>0</v>
      </c>
      <c r="K3702">
        <f>Data!E3714</f>
        <v>0</v>
      </c>
      <c r="L3702">
        <f>Data!F3714</f>
        <v>0</v>
      </c>
      <c r="M3702">
        <f>Data!G3714</f>
        <v>0</v>
      </c>
      <c r="N3702">
        <f>Data!H3714</f>
        <v>0</v>
      </c>
      <c r="O3702">
        <f>Data!I3714</f>
        <v>0</v>
      </c>
      <c r="P3702" s="21">
        <f>Data!J3718</f>
        <v>0</v>
      </c>
      <c r="Q3702">
        <f>Data!K3718</f>
        <v>0</v>
      </c>
      <c r="R3702">
        <f>Data!L3718</f>
        <v>0</v>
      </c>
      <c r="S3702">
        <f>Data!M3718</f>
        <v>0</v>
      </c>
      <c r="T3702">
        <f>Data!N3718</f>
        <v>0</v>
      </c>
      <c r="U3702">
        <f>Data!O3718</f>
        <v>0</v>
      </c>
      <c r="V3702" s="33">
        <f>Data!P3716</f>
        <v>0</v>
      </c>
    </row>
    <row r="3703" spans="7:22" x14ac:dyDescent="0.25">
      <c r="G3703">
        <f>Data!B3715</f>
        <v>0</v>
      </c>
      <c r="H3703" s="21">
        <f>Data!B3715</f>
        <v>0</v>
      </c>
      <c r="I3703" s="21">
        <f>Data!C3715</f>
        <v>0</v>
      </c>
      <c r="J3703">
        <f>Data!D3715</f>
        <v>0</v>
      </c>
      <c r="K3703">
        <f>Data!E3715</f>
        <v>0</v>
      </c>
      <c r="L3703">
        <f>Data!F3715</f>
        <v>0</v>
      </c>
      <c r="M3703">
        <f>Data!G3715</f>
        <v>0</v>
      </c>
      <c r="N3703">
        <f>Data!H3715</f>
        <v>0</v>
      </c>
      <c r="O3703">
        <f>Data!I3715</f>
        <v>0</v>
      </c>
      <c r="P3703" s="21">
        <f>Data!J3719</f>
        <v>0</v>
      </c>
      <c r="Q3703">
        <f>Data!K3719</f>
        <v>0</v>
      </c>
      <c r="R3703">
        <f>Data!L3719</f>
        <v>0</v>
      </c>
      <c r="S3703">
        <f>Data!M3719</f>
        <v>0</v>
      </c>
      <c r="T3703">
        <f>Data!N3719</f>
        <v>0</v>
      </c>
      <c r="U3703">
        <f>Data!O3719</f>
        <v>0</v>
      </c>
      <c r="V3703" s="33">
        <f>Data!P3717</f>
        <v>0</v>
      </c>
    </row>
    <row r="3704" spans="7:22" x14ac:dyDescent="0.25">
      <c r="G3704">
        <f>Data!B3716</f>
        <v>0</v>
      </c>
      <c r="H3704" s="21">
        <f>Data!B3716</f>
        <v>0</v>
      </c>
      <c r="I3704" s="21">
        <f>Data!C3716</f>
        <v>0</v>
      </c>
      <c r="J3704">
        <f>Data!D3716</f>
        <v>0</v>
      </c>
      <c r="K3704">
        <f>Data!E3716</f>
        <v>0</v>
      </c>
      <c r="L3704">
        <f>Data!F3716</f>
        <v>0</v>
      </c>
      <c r="M3704">
        <f>Data!G3716</f>
        <v>0</v>
      </c>
      <c r="N3704">
        <f>Data!H3716</f>
        <v>0</v>
      </c>
      <c r="O3704">
        <f>Data!I3716</f>
        <v>0</v>
      </c>
      <c r="P3704" s="21">
        <f>Data!J3720</f>
        <v>0</v>
      </c>
      <c r="Q3704">
        <f>Data!K3720</f>
        <v>0</v>
      </c>
      <c r="R3704">
        <f>Data!L3720</f>
        <v>0</v>
      </c>
      <c r="S3704">
        <f>Data!M3720</f>
        <v>0</v>
      </c>
      <c r="T3704">
        <f>Data!N3720</f>
        <v>0</v>
      </c>
      <c r="U3704">
        <f>Data!O3720</f>
        <v>0</v>
      </c>
      <c r="V3704" s="33">
        <f>Data!P3718</f>
        <v>0</v>
      </c>
    </row>
    <row r="3705" spans="7:22" x14ac:dyDescent="0.25">
      <c r="G3705">
        <f>Data!B3717</f>
        <v>0</v>
      </c>
      <c r="H3705" s="21">
        <f>Data!B3717</f>
        <v>0</v>
      </c>
      <c r="I3705" s="21">
        <f>Data!C3717</f>
        <v>0</v>
      </c>
      <c r="J3705">
        <f>Data!D3717</f>
        <v>0</v>
      </c>
      <c r="K3705">
        <f>Data!E3717</f>
        <v>0</v>
      </c>
      <c r="L3705">
        <f>Data!F3717</f>
        <v>0</v>
      </c>
      <c r="M3705">
        <f>Data!G3717</f>
        <v>0</v>
      </c>
      <c r="N3705">
        <f>Data!H3717</f>
        <v>0</v>
      </c>
      <c r="O3705">
        <f>Data!I3717</f>
        <v>0</v>
      </c>
      <c r="P3705" s="21">
        <f>Data!J3721</f>
        <v>0</v>
      </c>
      <c r="Q3705">
        <f>Data!K3721</f>
        <v>0</v>
      </c>
      <c r="R3705">
        <f>Data!L3721</f>
        <v>0</v>
      </c>
      <c r="S3705">
        <f>Data!M3721</f>
        <v>0</v>
      </c>
      <c r="T3705">
        <f>Data!N3721</f>
        <v>0</v>
      </c>
      <c r="U3705">
        <f>Data!O3721</f>
        <v>0</v>
      </c>
      <c r="V3705" s="33">
        <f>Data!P3719</f>
        <v>0</v>
      </c>
    </row>
    <row r="3706" spans="7:22" x14ac:dyDescent="0.25">
      <c r="G3706">
        <f>Data!B3718</f>
        <v>0</v>
      </c>
      <c r="H3706" s="21">
        <f>Data!B3718</f>
        <v>0</v>
      </c>
      <c r="I3706" s="21">
        <f>Data!C3718</f>
        <v>0</v>
      </c>
      <c r="J3706">
        <f>Data!D3718</f>
        <v>0</v>
      </c>
      <c r="K3706">
        <f>Data!E3718</f>
        <v>0</v>
      </c>
      <c r="L3706">
        <f>Data!F3718</f>
        <v>0</v>
      </c>
      <c r="M3706">
        <f>Data!G3718</f>
        <v>0</v>
      </c>
      <c r="N3706">
        <f>Data!H3718</f>
        <v>0</v>
      </c>
      <c r="O3706">
        <f>Data!I3718</f>
        <v>0</v>
      </c>
      <c r="P3706" s="21">
        <f>Data!J3722</f>
        <v>0</v>
      </c>
      <c r="Q3706">
        <f>Data!K3722</f>
        <v>0</v>
      </c>
      <c r="R3706">
        <f>Data!L3722</f>
        <v>0</v>
      </c>
      <c r="S3706">
        <f>Data!M3722</f>
        <v>0</v>
      </c>
      <c r="T3706">
        <f>Data!N3722</f>
        <v>0</v>
      </c>
      <c r="U3706">
        <f>Data!O3722</f>
        <v>0</v>
      </c>
      <c r="V3706" s="33">
        <f>Data!P3720</f>
        <v>0</v>
      </c>
    </row>
    <row r="3707" spans="7:22" x14ac:dyDescent="0.25">
      <c r="G3707">
        <f>Data!B3719</f>
        <v>0</v>
      </c>
      <c r="H3707" s="21">
        <f>Data!B3719</f>
        <v>0</v>
      </c>
      <c r="I3707" s="21">
        <f>Data!C3719</f>
        <v>0</v>
      </c>
      <c r="J3707">
        <f>Data!D3719</f>
        <v>0</v>
      </c>
      <c r="K3707">
        <f>Data!E3719</f>
        <v>0</v>
      </c>
      <c r="L3707">
        <f>Data!F3719</f>
        <v>0</v>
      </c>
      <c r="M3707">
        <f>Data!G3719</f>
        <v>0</v>
      </c>
      <c r="N3707">
        <f>Data!H3719</f>
        <v>0</v>
      </c>
      <c r="O3707">
        <f>Data!I3719</f>
        <v>0</v>
      </c>
      <c r="P3707" s="21">
        <f>Data!J3723</f>
        <v>0</v>
      </c>
      <c r="Q3707">
        <f>Data!K3723</f>
        <v>0</v>
      </c>
      <c r="R3707">
        <f>Data!L3723</f>
        <v>0</v>
      </c>
      <c r="S3707">
        <f>Data!M3723</f>
        <v>0</v>
      </c>
      <c r="T3707">
        <f>Data!N3723</f>
        <v>0</v>
      </c>
      <c r="U3707">
        <f>Data!O3723</f>
        <v>0</v>
      </c>
      <c r="V3707" s="33">
        <f>Data!P3721</f>
        <v>0</v>
      </c>
    </row>
    <row r="3708" spans="7:22" x14ac:dyDescent="0.25">
      <c r="G3708">
        <f>Data!B3720</f>
        <v>0</v>
      </c>
      <c r="H3708" s="21">
        <f>Data!B3720</f>
        <v>0</v>
      </c>
      <c r="I3708" s="21">
        <f>Data!C3720</f>
        <v>0</v>
      </c>
      <c r="J3708">
        <f>Data!D3720</f>
        <v>0</v>
      </c>
      <c r="K3708">
        <f>Data!E3720</f>
        <v>0</v>
      </c>
      <c r="L3708">
        <f>Data!F3720</f>
        <v>0</v>
      </c>
      <c r="M3708">
        <f>Data!G3720</f>
        <v>0</v>
      </c>
      <c r="N3708">
        <f>Data!H3720</f>
        <v>0</v>
      </c>
      <c r="O3708">
        <f>Data!I3720</f>
        <v>0</v>
      </c>
      <c r="P3708" s="21">
        <f>Data!J3724</f>
        <v>0</v>
      </c>
      <c r="Q3708">
        <f>Data!K3724</f>
        <v>0</v>
      </c>
      <c r="R3708">
        <f>Data!L3724</f>
        <v>0</v>
      </c>
      <c r="S3708">
        <f>Data!M3724</f>
        <v>0</v>
      </c>
      <c r="T3708">
        <f>Data!N3724</f>
        <v>0</v>
      </c>
      <c r="U3708">
        <f>Data!O3724</f>
        <v>0</v>
      </c>
      <c r="V3708" s="33">
        <f>Data!P3722</f>
        <v>0</v>
      </c>
    </row>
    <row r="3709" spans="7:22" x14ac:dyDescent="0.25">
      <c r="G3709">
        <f>Data!B3721</f>
        <v>0</v>
      </c>
      <c r="H3709" s="21">
        <f>Data!B3721</f>
        <v>0</v>
      </c>
      <c r="I3709" s="21">
        <f>Data!C3721</f>
        <v>0</v>
      </c>
      <c r="J3709">
        <f>Data!D3721</f>
        <v>0</v>
      </c>
      <c r="K3709">
        <f>Data!E3721</f>
        <v>0</v>
      </c>
      <c r="L3709">
        <f>Data!F3721</f>
        <v>0</v>
      </c>
      <c r="M3709">
        <f>Data!G3721</f>
        <v>0</v>
      </c>
      <c r="N3709">
        <f>Data!H3721</f>
        <v>0</v>
      </c>
      <c r="O3709">
        <f>Data!I3721</f>
        <v>0</v>
      </c>
      <c r="P3709" s="21">
        <f>Data!J3725</f>
        <v>0</v>
      </c>
      <c r="Q3709">
        <f>Data!K3725</f>
        <v>0</v>
      </c>
      <c r="R3709">
        <f>Data!L3725</f>
        <v>0</v>
      </c>
      <c r="S3709">
        <f>Data!M3725</f>
        <v>0</v>
      </c>
      <c r="T3709">
        <f>Data!N3725</f>
        <v>0</v>
      </c>
      <c r="U3709">
        <f>Data!O3725</f>
        <v>0</v>
      </c>
      <c r="V3709" s="33">
        <f>Data!P3723</f>
        <v>0</v>
      </c>
    </row>
    <row r="3710" spans="7:22" x14ac:dyDescent="0.25">
      <c r="G3710">
        <f>Data!B3722</f>
        <v>0</v>
      </c>
      <c r="H3710" s="21">
        <f>Data!B3722</f>
        <v>0</v>
      </c>
      <c r="I3710" s="21">
        <f>Data!C3722</f>
        <v>0</v>
      </c>
      <c r="J3710">
        <f>Data!D3722</f>
        <v>0</v>
      </c>
      <c r="K3710">
        <f>Data!E3722</f>
        <v>0</v>
      </c>
      <c r="L3710">
        <f>Data!F3722</f>
        <v>0</v>
      </c>
      <c r="M3710">
        <f>Data!G3722</f>
        <v>0</v>
      </c>
      <c r="N3710">
        <f>Data!H3722</f>
        <v>0</v>
      </c>
      <c r="O3710">
        <f>Data!I3722</f>
        <v>0</v>
      </c>
      <c r="P3710" s="21">
        <f>Data!J3726</f>
        <v>0</v>
      </c>
      <c r="Q3710">
        <f>Data!K3726</f>
        <v>0</v>
      </c>
      <c r="R3710">
        <f>Data!L3726</f>
        <v>0</v>
      </c>
      <c r="S3710">
        <f>Data!M3726</f>
        <v>0</v>
      </c>
      <c r="T3710">
        <f>Data!N3726</f>
        <v>0</v>
      </c>
      <c r="U3710">
        <f>Data!O3726</f>
        <v>0</v>
      </c>
      <c r="V3710" s="33">
        <f>Data!P3724</f>
        <v>0</v>
      </c>
    </row>
    <row r="3711" spans="7:22" x14ac:dyDescent="0.25">
      <c r="G3711">
        <f>Data!B3723</f>
        <v>0</v>
      </c>
      <c r="H3711" s="21">
        <f>Data!B3723</f>
        <v>0</v>
      </c>
      <c r="I3711" s="21">
        <f>Data!C3723</f>
        <v>0</v>
      </c>
      <c r="J3711">
        <f>Data!D3723</f>
        <v>0</v>
      </c>
      <c r="K3711">
        <f>Data!E3723</f>
        <v>0</v>
      </c>
      <c r="L3711">
        <f>Data!F3723</f>
        <v>0</v>
      </c>
      <c r="M3711">
        <f>Data!G3723</f>
        <v>0</v>
      </c>
      <c r="N3711">
        <f>Data!H3723</f>
        <v>0</v>
      </c>
      <c r="O3711">
        <f>Data!I3723</f>
        <v>0</v>
      </c>
      <c r="P3711" s="21">
        <f>Data!J3727</f>
        <v>0</v>
      </c>
      <c r="Q3711">
        <f>Data!K3727</f>
        <v>0</v>
      </c>
      <c r="R3711">
        <f>Data!L3727</f>
        <v>0</v>
      </c>
      <c r="S3711">
        <f>Data!M3727</f>
        <v>0</v>
      </c>
      <c r="T3711">
        <f>Data!N3727</f>
        <v>0</v>
      </c>
      <c r="U3711">
        <f>Data!O3727</f>
        <v>0</v>
      </c>
      <c r="V3711" s="33">
        <f>Data!P3725</f>
        <v>0</v>
      </c>
    </row>
    <row r="3712" spans="7:22" x14ac:dyDescent="0.25">
      <c r="G3712">
        <f>Data!B3724</f>
        <v>0</v>
      </c>
      <c r="H3712" s="21">
        <f>Data!B3724</f>
        <v>0</v>
      </c>
      <c r="I3712" s="21">
        <f>Data!C3724</f>
        <v>0</v>
      </c>
      <c r="J3712">
        <f>Data!D3724</f>
        <v>0</v>
      </c>
      <c r="K3712">
        <f>Data!E3724</f>
        <v>0</v>
      </c>
      <c r="L3712">
        <f>Data!F3724</f>
        <v>0</v>
      </c>
      <c r="M3712">
        <f>Data!G3724</f>
        <v>0</v>
      </c>
      <c r="N3712">
        <f>Data!H3724</f>
        <v>0</v>
      </c>
      <c r="O3712">
        <f>Data!I3724</f>
        <v>0</v>
      </c>
      <c r="P3712" s="21">
        <f>Data!J3728</f>
        <v>0</v>
      </c>
      <c r="Q3712">
        <f>Data!K3728</f>
        <v>0</v>
      </c>
      <c r="R3712">
        <f>Data!L3728</f>
        <v>0</v>
      </c>
      <c r="S3712">
        <f>Data!M3728</f>
        <v>0</v>
      </c>
      <c r="T3712">
        <f>Data!N3728</f>
        <v>0</v>
      </c>
      <c r="U3712">
        <f>Data!O3728</f>
        <v>0</v>
      </c>
      <c r="V3712" s="33">
        <f>Data!P3726</f>
        <v>0</v>
      </c>
    </row>
    <row r="3713" spans="7:22" x14ac:dyDescent="0.25">
      <c r="G3713">
        <f>Data!B3725</f>
        <v>0</v>
      </c>
      <c r="H3713" s="21">
        <f>Data!B3725</f>
        <v>0</v>
      </c>
      <c r="I3713" s="21">
        <f>Data!C3725</f>
        <v>0</v>
      </c>
      <c r="J3713">
        <f>Data!D3725</f>
        <v>0</v>
      </c>
      <c r="K3713">
        <f>Data!E3725</f>
        <v>0</v>
      </c>
      <c r="L3713">
        <f>Data!F3725</f>
        <v>0</v>
      </c>
      <c r="M3713">
        <f>Data!G3725</f>
        <v>0</v>
      </c>
      <c r="N3713">
        <f>Data!H3725</f>
        <v>0</v>
      </c>
      <c r="O3713">
        <f>Data!I3725</f>
        <v>0</v>
      </c>
      <c r="P3713" s="21">
        <f>Data!J3729</f>
        <v>0</v>
      </c>
      <c r="Q3713">
        <f>Data!K3729</f>
        <v>0</v>
      </c>
      <c r="R3713">
        <f>Data!L3729</f>
        <v>0</v>
      </c>
      <c r="S3713">
        <f>Data!M3729</f>
        <v>0</v>
      </c>
      <c r="T3713">
        <f>Data!N3729</f>
        <v>0</v>
      </c>
      <c r="U3713">
        <f>Data!O3729</f>
        <v>0</v>
      </c>
      <c r="V3713" s="33">
        <f>Data!P3727</f>
        <v>0</v>
      </c>
    </row>
    <row r="3714" spans="7:22" x14ac:dyDescent="0.25">
      <c r="G3714">
        <f>Data!B3726</f>
        <v>0</v>
      </c>
      <c r="H3714" s="21">
        <f>Data!B3726</f>
        <v>0</v>
      </c>
      <c r="I3714" s="21">
        <f>Data!C3726</f>
        <v>0</v>
      </c>
      <c r="J3714">
        <f>Data!D3726</f>
        <v>0</v>
      </c>
      <c r="K3714">
        <f>Data!E3726</f>
        <v>0</v>
      </c>
      <c r="L3714">
        <f>Data!F3726</f>
        <v>0</v>
      </c>
      <c r="M3714">
        <f>Data!G3726</f>
        <v>0</v>
      </c>
      <c r="N3714">
        <f>Data!H3726</f>
        <v>0</v>
      </c>
      <c r="O3714">
        <f>Data!I3726</f>
        <v>0</v>
      </c>
      <c r="P3714" s="21">
        <f>Data!J3730</f>
        <v>0</v>
      </c>
      <c r="Q3714">
        <f>Data!K3730</f>
        <v>0</v>
      </c>
      <c r="R3714">
        <f>Data!L3730</f>
        <v>0</v>
      </c>
      <c r="S3714">
        <f>Data!M3730</f>
        <v>0</v>
      </c>
      <c r="T3714">
        <f>Data!N3730</f>
        <v>0</v>
      </c>
      <c r="U3714">
        <f>Data!O3730</f>
        <v>0</v>
      </c>
      <c r="V3714" s="33">
        <f>Data!P3728</f>
        <v>0</v>
      </c>
    </row>
    <row r="3715" spans="7:22" x14ac:dyDescent="0.25">
      <c r="G3715">
        <f>Data!B3727</f>
        <v>0</v>
      </c>
      <c r="H3715" s="21">
        <f>Data!B3727</f>
        <v>0</v>
      </c>
      <c r="I3715" s="21">
        <f>Data!C3727</f>
        <v>0</v>
      </c>
      <c r="J3715">
        <f>Data!D3727</f>
        <v>0</v>
      </c>
      <c r="K3715">
        <f>Data!E3727</f>
        <v>0</v>
      </c>
      <c r="L3715">
        <f>Data!F3727</f>
        <v>0</v>
      </c>
      <c r="M3715">
        <f>Data!G3727</f>
        <v>0</v>
      </c>
      <c r="N3715">
        <f>Data!H3727</f>
        <v>0</v>
      </c>
      <c r="O3715">
        <f>Data!I3727</f>
        <v>0</v>
      </c>
      <c r="P3715" s="21">
        <f>Data!J3731</f>
        <v>0</v>
      </c>
      <c r="Q3715">
        <f>Data!K3731</f>
        <v>0</v>
      </c>
      <c r="R3715">
        <f>Data!L3731</f>
        <v>0</v>
      </c>
      <c r="S3715">
        <f>Data!M3731</f>
        <v>0</v>
      </c>
      <c r="T3715">
        <f>Data!N3731</f>
        <v>0</v>
      </c>
      <c r="U3715">
        <f>Data!O3731</f>
        <v>0</v>
      </c>
      <c r="V3715" s="33">
        <f>Data!P3729</f>
        <v>0</v>
      </c>
    </row>
    <row r="3716" spans="7:22" x14ac:dyDescent="0.25">
      <c r="G3716">
        <f>Data!B3728</f>
        <v>0</v>
      </c>
      <c r="H3716" s="21">
        <f>Data!B3728</f>
        <v>0</v>
      </c>
      <c r="I3716" s="21">
        <f>Data!C3728</f>
        <v>0</v>
      </c>
      <c r="J3716">
        <f>Data!D3728</f>
        <v>0</v>
      </c>
      <c r="K3716">
        <f>Data!E3728</f>
        <v>0</v>
      </c>
      <c r="L3716">
        <f>Data!F3728</f>
        <v>0</v>
      </c>
      <c r="M3716">
        <f>Data!G3728</f>
        <v>0</v>
      </c>
      <c r="N3716">
        <f>Data!H3728</f>
        <v>0</v>
      </c>
      <c r="O3716">
        <f>Data!I3728</f>
        <v>0</v>
      </c>
      <c r="P3716" s="21">
        <f>Data!J3732</f>
        <v>0</v>
      </c>
      <c r="Q3716">
        <f>Data!K3732</f>
        <v>0</v>
      </c>
      <c r="R3716">
        <f>Data!L3732</f>
        <v>0</v>
      </c>
      <c r="S3716">
        <f>Data!M3732</f>
        <v>0</v>
      </c>
      <c r="T3716">
        <f>Data!N3732</f>
        <v>0</v>
      </c>
      <c r="U3716">
        <f>Data!O3732</f>
        <v>0</v>
      </c>
      <c r="V3716" s="33">
        <f>Data!P3730</f>
        <v>0</v>
      </c>
    </row>
    <row r="3717" spans="7:22" x14ac:dyDescent="0.25">
      <c r="G3717">
        <f>Data!B3729</f>
        <v>0</v>
      </c>
      <c r="H3717" s="21">
        <f>Data!B3729</f>
        <v>0</v>
      </c>
      <c r="I3717" s="21">
        <f>Data!C3729</f>
        <v>0</v>
      </c>
      <c r="J3717">
        <f>Data!D3729</f>
        <v>0</v>
      </c>
      <c r="K3717">
        <f>Data!E3729</f>
        <v>0</v>
      </c>
      <c r="L3717">
        <f>Data!F3729</f>
        <v>0</v>
      </c>
      <c r="M3717">
        <f>Data!G3729</f>
        <v>0</v>
      </c>
      <c r="N3717">
        <f>Data!H3729</f>
        <v>0</v>
      </c>
      <c r="O3717">
        <f>Data!I3729</f>
        <v>0</v>
      </c>
      <c r="P3717" s="21">
        <f>Data!J3733</f>
        <v>0</v>
      </c>
      <c r="Q3717">
        <f>Data!K3733</f>
        <v>0</v>
      </c>
      <c r="R3717">
        <f>Data!L3733</f>
        <v>0</v>
      </c>
      <c r="S3717">
        <f>Data!M3733</f>
        <v>0</v>
      </c>
      <c r="T3717">
        <f>Data!N3733</f>
        <v>0</v>
      </c>
      <c r="U3717">
        <f>Data!O3733</f>
        <v>0</v>
      </c>
      <c r="V3717" s="33">
        <f>Data!P3731</f>
        <v>0</v>
      </c>
    </row>
    <row r="3718" spans="7:22" x14ac:dyDescent="0.25">
      <c r="G3718">
        <f>Data!B3730</f>
        <v>0</v>
      </c>
      <c r="H3718" s="21">
        <f>Data!B3730</f>
        <v>0</v>
      </c>
      <c r="I3718" s="21">
        <f>Data!C3730</f>
        <v>0</v>
      </c>
      <c r="J3718">
        <f>Data!D3730</f>
        <v>0</v>
      </c>
      <c r="K3718">
        <f>Data!E3730</f>
        <v>0</v>
      </c>
      <c r="L3718">
        <f>Data!F3730</f>
        <v>0</v>
      </c>
      <c r="M3718">
        <f>Data!G3730</f>
        <v>0</v>
      </c>
      <c r="N3718">
        <f>Data!H3730</f>
        <v>0</v>
      </c>
      <c r="O3718">
        <f>Data!I3730</f>
        <v>0</v>
      </c>
      <c r="P3718" s="21">
        <f>Data!J3734</f>
        <v>0</v>
      </c>
      <c r="Q3718">
        <f>Data!K3734</f>
        <v>0</v>
      </c>
      <c r="R3718">
        <f>Data!L3734</f>
        <v>0</v>
      </c>
      <c r="S3718">
        <f>Data!M3734</f>
        <v>0</v>
      </c>
      <c r="T3718">
        <f>Data!N3734</f>
        <v>0</v>
      </c>
      <c r="U3718">
        <f>Data!O3734</f>
        <v>0</v>
      </c>
      <c r="V3718" s="33">
        <f>Data!P3732</f>
        <v>0</v>
      </c>
    </row>
    <row r="3719" spans="7:22" x14ac:dyDescent="0.25">
      <c r="G3719">
        <f>Data!B3731</f>
        <v>0</v>
      </c>
      <c r="H3719" s="21">
        <f>Data!B3731</f>
        <v>0</v>
      </c>
      <c r="I3719" s="21">
        <f>Data!C3731</f>
        <v>0</v>
      </c>
      <c r="J3719">
        <f>Data!D3731</f>
        <v>0</v>
      </c>
      <c r="K3719">
        <f>Data!E3731</f>
        <v>0</v>
      </c>
      <c r="L3719">
        <f>Data!F3731</f>
        <v>0</v>
      </c>
      <c r="M3719">
        <f>Data!G3731</f>
        <v>0</v>
      </c>
      <c r="N3719">
        <f>Data!H3731</f>
        <v>0</v>
      </c>
      <c r="O3719">
        <f>Data!I3731</f>
        <v>0</v>
      </c>
      <c r="P3719" s="21">
        <f>Data!J3735</f>
        <v>0</v>
      </c>
      <c r="Q3719">
        <f>Data!K3735</f>
        <v>0</v>
      </c>
      <c r="R3719">
        <f>Data!L3735</f>
        <v>0</v>
      </c>
      <c r="S3719">
        <f>Data!M3735</f>
        <v>0</v>
      </c>
      <c r="T3719">
        <f>Data!N3735</f>
        <v>0</v>
      </c>
      <c r="U3719">
        <f>Data!O3735</f>
        <v>0</v>
      </c>
      <c r="V3719" s="33">
        <f>Data!P3733</f>
        <v>0</v>
      </c>
    </row>
    <row r="3720" spans="7:22" x14ac:dyDescent="0.25">
      <c r="G3720">
        <f>Data!B3732</f>
        <v>0</v>
      </c>
      <c r="H3720" s="21">
        <f>Data!B3732</f>
        <v>0</v>
      </c>
      <c r="I3720" s="21">
        <f>Data!C3732</f>
        <v>0</v>
      </c>
      <c r="J3720">
        <f>Data!D3732</f>
        <v>0</v>
      </c>
      <c r="K3720">
        <f>Data!E3732</f>
        <v>0</v>
      </c>
      <c r="L3720">
        <f>Data!F3732</f>
        <v>0</v>
      </c>
      <c r="M3720">
        <f>Data!G3732</f>
        <v>0</v>
      </c>
      <c r="N3720">
        <f>Data!H3732</f>
        <v>0</v>
      </c>
      <c r="O3720">
        <f>Data!I3732</f>
        <v>0</v>
      </c>
      <c r="P3720" s="21">
        <f>Data!J3736</f>
        <v>0</v>
      </c>
      <c r="Q3720">
        <f>Data!K3736</f>
        <v>0</v>
      </c>
      <c r="R3720">
        <f>Data!L3736</f>
        <v>0</v>
      </c>
      <c r="S3720">
        <f>Data!M3736</f>
        <v>0</v>
      </c>
      <c r="T3720">
        <f>Data!N3736</f>
        <v>0</v>
      </c>
      <c r="U3720">
        <f>Data!O3736</f>
        <v>0</v>
      </c>
      <c r="V3720" s="33">
        <f>Data!P3734</f>
        <v>0</v>
      </c>
    </row>
    <row r="3721" spans="7:22" x14ac:dyDescent="0.25">
      <c r="G3721">
        <f>Data!B3733</f>
        <v>0</v>
      </c>
      <c r="H3721" s="21">
        <f>Data!B3733</f>
        <v>0</v>
      </c>
      <c r="I3721" s="21">
        <f>Data!C3733</f>
        <v>0</v>
      </c>
      <c r="J3721">
        <f>Data!D3733</f>
        <v>0</v>
      </c>
      <c r="K3721">
        <f>Data!E3733</f>
        <v>0</v>
      </c>
      <c r="L3721">
        <f>Data!F3733</f>
        <v>0</v>
      </c>
      <c r="M3721">
        <f>Data!G3733</f>
        <v>0</v>
      </c>
      <c r="N3721">
        <f>Data!H3733</f>
        <v>0</v>
      </c>
      <c r="O3721">
        <f>Data!I3733</f>
        <v>0</v>
      </c>
      <c r="P3721" s="21">
        <f>Data!J3737</f>
        <v>0</v>
      </c>
      <c r="Q3721">
        <f>Data!K3737</f>
        <v>0</v>
      </c>
      <c r="R3721">
        <f>Data!L3737</f>
        <v>0</v>
      </c>
      <c r="S3721">
        <f>Data!M3737</f>
        <v>0</v>
      </c>
      <c r="T3721">
        <f>Data!N3737</f>
        <v>0</v>
      </c>
      <c r="U3721">
        <f>Data!O3737</f>
        <v>0</v>
      </c>
      <c r="V3721" s="33">
        <f>Data!P3735</f>
        <v>0</v>
      </c>
    </row>
    <row r="3722" spans="7:22" x14ac:dyDescent="0.25">
      <c r="G3722">
        <f>Data!B3734</f>
        <v>0</v>
      </c>
      <c r="H3722" s="21">
        <f>Data!B3734</f>
        <v>0</v>
      </c>
      <c r="I3722" s="21">
        <f>Data!C3734</f>
        <v>0</v>
      </c>
      <c r="J3722">
        <f>Data!D3734</f>
        <v>0</v>
      </c>
      <c r="K3722">
        <f>Data!E3734</f>
        <v>0</v>
      </c>
      <c r="L3722">
        <f>Data!F3734</f>
        <v>0</v>
      </c>
      <c r="M3722">
        <f>Data!G3734</f>
        <v>0</v>
      </c>
      <c r="N3722">
        <f>Data!H3734</f>
        <v>0</v>
      </c>
      <c r="O3722">
        <f>Data!I3734</f>
        <v>0</v>
      </c>
      <c r="P3722" s="21">
        <f>Data!J3738</f>
        <v>0</v>
      </c>
      <c r="Q3722">
        <f>Data!K3738</f>
        <v>0</v>
      </c>
      <c r="R3722">
        <f>Data!L3738</f>
        <v>0</v>
      </c>
      <c r="S3722">
        <f>Data!M3738</f>
        <v>0</v>
      </c>
      <c r="T3722">
        <f>Data!N3738</f>
        <v>0</v>
      </c>
      <c r="U3722">
        <f>Data!O3738</f>
        <v>0</v>
      </c>
      <c r="V3722" s="33">
        <f>Data!P3736</f>
        <v>0</v>
      </c>
    </row>
    <row r="3723" spans="7:22" x14ac:dyDescent="0.25">
      <c r="G3723">
        <f>Data!B3735</f>
        <v>0</v>
      </c>
      <c r="H3723" s="21">
        <f>Data!B3735</f>
        <v>0</v>
      </c>
      <c r="I3723" s="21">
        <f>Data!C3735</f>
        <v>0</v>
      </c>
      <c r="J3723">
        <f>Data!D3735</f>
        <v>0</v>
      </c>
      <c r="K3723">
        <f>Data!E3735</f>
        <v>0</v>
      </c>
      <c r="L3723">
        <f>Data!F3735</f>
        <v>0</v>
      </c>
      <c r="M3723">
        <f>Data!G3735</f>
        <v>0</v>
      </c>
      <c r="N3723">
        <f>Data!H3735</f>
        <v>0</v>
      </c>
      <c r="O3723">
        <f>Data!I3735</f>
        <v>0</v>
      </c>
      <c r="P3723" s="21">
        <f>Data!J3739</f>
        <v>0</v>
      </c>
      <c r="Q3723">
        <f>Data!K3739</f>
        <v>0</v>
      </c>
      <c r="R3723">
        <f>Data!L3739</f>
        <v>0</v>
      </c>
      <c r="S3723">
        <f>Data!M3739</f>
        <v>0</v>
      </c>
      <c r="T3723">
        <f>Data!N3739</f>
        <v>0</v>
      </c>
      <c r="U3723">
        <f>Data!O3739</f>
        <v>0</v>
      </c>
      <c r="V3723" s="33">
        <f>Data!P3737</f>
        <v>0</v>
      </c>
    </row>
    <row r="3724" spans="7:22" x14ac:dyDescent="0.25">
      <c r="G3724">
        <f>Data!B3736</f>
        <v>0</v>
      </c>
      <c r="H3724" s="21">
        <f>Data!B3736</f>
        <v>0</v>
      </c>
      <c r="I3724" s="21">
        <f>Data!C3736</f>
        <v>0</v>
      </c>
      <c r="J3724">
        <f>Data!D3736</f>
        <v>0</v>
      </c>
      <c r="K3724">
        <f>Data!E3736</f>
        <v>0</v>
      </c>
      <c r="L3724">
        <f>Data!F3736</f>
        <v>0</v>
      </c>
      <c r="M3724">
        <f>Data!G3736</f>
        <v>0</v>
      </c>
      <c r="N3724">
        <f>Data!H3736</f>
        <v>0</v>
      </c>
      <c r="O3724">
        <f>Data!I3736</f>
        <v>0</v>
      </c>
      <c r="P3724" s="21">
        <f>Data!J3740</f>
        <v>0</v>
      </c>
      <c r="Q3724">
        <f>Data!K3740</f>
        <v>0</v>
      </c>
      <c r="R3724">
        <f>Data!L3740</f>
        <v>0</v>
      </c>
      <c r="S3724">
        <f>Data!M3740</f>
        <v>0</v>
      </c>
      <c r="T3724">
        <f>Data!N3740</f>
        <v>0</v>
      </c>
      <c r="U3724">
        <f>Data!O3740</f>
        <v>0</v>
      </c>
      <c r="V3724" s="33">
        <f>Data!P3738</f>
        <v>0</v>
      </c>
    </row>
    <row r="3725" spans="7:22" x14ac:dyDescent="0.25">
      <c r="G3725">
        <f>Data!B3737</f>
        <v>0</v>
      </c>
      <c r="H3725" s="21">
        <f>Data!B3737</f>
        <v>0</v>
      </c>
      <c r="I3725" s="21">
        <f>Data!C3737</f>
        <v>0</v>
      </c>
      <c r="J3725">
        <f>Data!D3737</f>
        <v>0</v>
      </c>
      <c r="K3725">
        <f>Data!E3737</f>
        <v>0</v>
      </c>
      <c r="L3725">
        <f>Data!F3737</f>
        <v>0</v>
      </c>
      <c r="M3725">
        <f>Data!G3737</f>
        <v>0</v>
      </c>
      <c r="N3725">
        <f>Data!H3737</f>
        <v>0</v>
      </c>
      <c r="O3725">
        <f>Data!I3737</f>
        <v>0</v>
      </c>
      <c r="P3725" s="21">
        <f>Data!J3741</f>
        <v>0</v>
      </c>
      <c r="Q3725">
        <f>Data!K3741</f>
        <v>0</v>
      </c>
      <c r="R3725">
        <f>Data!L3741</f>
        <v>0</v>
      </c>
      <c r="S3725">
        <f>Data!M3741</f>
        <v>0</v>
      </c>
      <c r="T3725">
        <f>Data!N3741</f>
        <v>0</v>
      </c>
      <c r="U3725">
        <f>Data!O3741</f>
        <v>0</v>
      </c>
      <c r="V3725" s="33">
        <f>Data!P3739</f>
        <v>0</v>
      </c>
    </row>
    <row r="3726" spans="7:22" x14ac:dyDescent="0.25">
      <c r="G3726">
        <f>Data!B3738</f>
        <v>0</v>
      </c>
      <c r="H3726" s="21">
        <f>Data!B3738</f>
        <v>0</v>
      </c>
      <c r="I3726" s="21">
        <f>Data!C3738</f>
        <v>0</v>
      </c>
      <c r="J3726">
        <f>Data!D3738</f>
        <v>0</v>
      </c>
      <c r="K3726">
        <f>Data!E3738</f>
        <v>0</v>
      </c>
      <c r="L3726">
        <f>Data!F3738</f>
        <v>0</v>
      </c>
      <c r="M3726">
        <f>Data!G3738</f>
        <v>0</v>
      </c>
      <c r="N3726">
        <f>Data!H3738</f>
        <v>0</v>
      </c>
      <c r="O3726">
        <f>Data!I3738</f>
        <v>0</v>
      </c>
      <c r="P3726" s="21">
        <f>Data!J3742</f>
        <v>0</v>
      </c>
      <c r="Q3726">
        <f>Data!K3742</f>
        <v>0</v>
      </c>
      <c r="R3726">
        <f>Data!L3742</f>
        <v>0</v>
      </c>
      <c r="S3726">
        <f>Data!M3742</f>
        <v>0</v>
      </c>
      <c r="T3726">
        <f>Data!N3742</f>
        <v>0</v>
      </c>
      <c r="U3726">
        <f>Data!O3742</f>
        <v>0</v>
      </c>
      <c r="V3726" s="33">
        <f>Data!P3740</f>
        <v>0</v>
      </c>
    </row>
    <row r="3727" spans="7:22" x14ac:dyDescent="0.25">
      <c r="G3727">
        <f>Data!B3739</f>
        <v>0</v>
      </c>
      <c r="H3727" s="21">
        <f>Data!B3739</f>
        <v>0</v>
      </c>
      <c r="I3727" s="21">
        <f>Data!C3739</f>
        <v>0</v>
      </c>
      <c r="J3727">
        <f>Data!D3739</f>
        <v>0</v>
      </c>
      <c r="K3727">
        <f>Data!E3739</f>
        <v>0</v>
      </c>
      <c r="L3727">
        <f>Data!F3739</f>
        <v>0</v>
      </c>
      <c r="M3727">
        <f>Data!G3739</f>
        <v>0</v>
      </c>
      <c r="N3727">
        <f>Data!H3739</f>
        <v>0</v>
      </c>
      <c r="O3727">
        <f>Data!I3739</f>
        <v>0</v>
      </c>
      <c r="P3727" s="21">
        <f>Data!J3743</f>
        <v>0</v>
      </c>
      <c r="Q3727">
        <f>Data!K3743</f>
        <v>0</v>
      </c>
      <c r="R3727">
        <f>Data!L3743</f>
        <v>0</v>
      </c>
      <c r="S3727">
        <f>Data!M3743</f>
        <v>0</v>
      </c>
      <c r="T3727">
        <f>Data!N3743</f>
        <v>0</v>
      </c>
      <c r="U3727">
        <f>Data!O3743</f>
        <v>0</v>
      </c>
      <c r="V3727" s="33">
        <f>Data!P3741</f>
        <v>0</v>
      </c>
    </row>
    <row r="3728" spans="7:22" x14ac:dyDescent="0.25">
      <c r="G3728">
        <f>Data!B3740</f>
        <v>0</v>
      </c>
      <c r="H3728" s="21">
        <f>Data!B3740</f>
        <v>0</v>
      </c>
      <c r="I3728" s="21">
        <f>Data!C3740</f>
        <v>0</v>
      </c>
      <c r="J3728">
        <f>Data!D3740</f>
        <v>0</v>
      </c>
      <c r="K3728">
        <f>Data!E3740</f>
        <v>0</v>
      </c>
      <c r="L3728">
        <f>Data!F3740</f>
        <v>0</v>
      </c>
      <c r="M3728">
        <f>Data!G3740</f>
        <v>0</v>
      </c>
      <c r="N3728">
        <f>Data!H3740</f>
        <v>0</v>
      </c>
      <c r="O3728">
        <f>Data!I3740</f>
        <v>0</v>
      </c>
      <c r="P3728" s="21">
        <f>Data!J3744</f>
        <v>0</v>
      </c>
      <c r="Q3728">
        <f>Data!K3744</f>
        <v>0</v>
      </c>
      <c r="R3728">
        <f>Data!L3744</f>
        <v>0</v>
      </c>
      <c r="S3728">
        <f>Data!M3744</f>
        <v>0</v>
      </c>
      <c r="T3728">
        <f>Data!N3744</f>
        <v>0</v>
      </c>
      <c r="U3728">
        <f>Data!O3744</f>
        <v>0</v>
      </c>
      <c r="V3728" s="33">
        <f>Data!P3742</f>
        <v>0</v>
      </c>
    </row>
    <row r="3729" spans="7:22" x14ac:dyDescent="0.25">
      <c r="G3729">
        <f>Data!B3741</f>
        <v>0</v>
      </c>
      <c r="H3729" s="21">
        <f>Data!B3741</f>
        <v>0</v>
      </c>
      <c r="I3729" s="21">
        <f>Data!C3741</f>
        <v>0</v>
      </c>
      <c r="J3729">
        <f>Data!D3741</f>
        <v>0</v>
      </c>
      <c r="K3729">
        <f>Data!E3741</f>
        <v>0</v>
      </c>
      <c r="L3729">
        <f>Data!F3741</f>
        <v>0</v>
      </c>
      <c r="M3729">
        <f>Data!G3741</f>
        <v>0</v>
      </c>
      <c r="N3729">
        <f>Data!H3741</f>
        <v>0</v>
      </c>
      <c r="O3729">
        <f>Data!I3741</f>
        <v>0</v>
      </c>
      <c r="P3729" s="21">
        <f>Data!J3745</f>
        <v>0</v>
      </c>
      <c r="Q3729">
        <f>Data!K3745</f>
        <v>0</v>
      </c>
      <c r="R3729">
        <f>Data!L3745</f>
        <v>0</v>
      </c>
      <c r="S3729">
        <f>Data!M3745</f>
        <v>0</v>
      </c>
      <c r="T3729">
        <f>Data!N3745</f>
        <v>0</v>
      </c>
      <c r="U3729">
        <f>Data!O3745</f>
        <v>0</v>
      </c>
      <c r="V3729" s="33">
        <f>Data!P3743</f>
        <v>0</v>
      </c>
    </row>
    <row r="3730" spans="7:22" x14ac:dyDescent="0.25">
      <c r="G3730">
        <f>Data!B3742</f>
        <v>0</v>
      </c>
      <c r="H3730" s="21">
        <f>Data!B3742</f>
        <v>0</v>
      </c>
      <c r="I3730" s="21">
        <f>Data!C3742</f>
        <v>0</v>
      </c>
      <c r="J3730">
        <f>Data!D3742</f>
        <v>0</v>
      </c>
      <c r="K3730">
        <f>Data!E3742</f>
        <v>0</v>
      </c>
      <c r="L3730">
        <f>Data!F3742</f>
        <v>0</v>
      </c>
      <c r="M3730">
        <f>Data!G3742</f>
        <v>0</v>
      </c>
      <c r="N3730">
        <f>Data!H3742</f>
        <v>0</v>
      </c>
      <c r="O3730">
        <f>Data!I3742</f>
        <v>0</v>
      </c>
      <c r="P3730" s="21">
        <f>Data!J3746</f>
        <v>0</v>
      </c>
      <c r="Q3730">
        <f>Data!K3746</f>
        <v>0</v>
      </c>
      <c r="R3730">
        <f>Data!L3746</f>
        <v>0</v>
      </c>
      <c r="S3730">
        <f>Data!M3746</f>
        <v>0</v>
      </c>
      <c r="T3730">
        <f>Data!N3746</f>
        <v>0</v>
      </c>
      <c r="U3730">
        <f>Data!O3746</f>
        <v>0</v>
      </c>
      <c r="V3730" s="33">
        <f>Data!P3744</f>
        <v>0</v>
      </c>
    </row>
    <row r="3731" spans="7:22" x14ac:dyDescent="0.25">
      <c r="G3731">
        <f>Data!B3743</f>
        <v>0</v>
      </c>
      <c r="H3731" s="21">
        <f>Data!B3743</f>
        <v>0</v>
      </c>
      <c r="I3731" s="21">
        <f>Data!C3743</f>
        <v>0</v>
      </c>
      <c r="J3731">
        <f>Data!D3743</f>
        <v>0</v>
      </c>
      <c r="K3731">
        <f>Data!E3743</f>
        <v>0</v>
      </c>
      <c r="L3731">
        <f>Data!F3743</f>
        <v>0</v>
      </c>
      <c r="M3731">
        <f>Data!G3743</f>
        <v>0</v>
      </c>
      <c r="N3731">
        <f>Data!H3743</f>
        <v>0</v>
      </c>
      <c r="O3731">
        <f>Data!I3743</f>
        <v>0</v>
      </c>
      <c r="P3731" s="21">
        <f>Data!J3747</f>
        <v>0</v>
      </c>
      <c r="Q3731">
        <f>Data!K3747</f>
        <v>0</v>
      </c>
      <c r="R3731">
        <f>Data!L3747</f>
        <v>0</v>
      </c>
      <c r="S3731">
        <f>Data!M3747</f>
        <v>0</v>
      </c>
      <c r="T3731">
        <f>Data!N3747</f>
        <v>0</v>
      </c>
      <c r="U3731">
        <f>Data!O3747</f>
        <v>0</v>
      </c>
      <c r="V3731" s="33">
        <f>Data!P3745</f>
        <v>0</v>
      </c>
    </row>
    <row r="3732" spans="7:22" x14ac:dyDescent="0.25">
      <c r="G3732">
        <f>Data!B3744</f>
        <v>0</v>
      </c>
      <c r="H3732" s="21">
        <f>Data!B3744</f>
        <v>0</v>
      </c>
      <c r="I3732" s="21">
        <f>Data!C3744</f>
        <v>0</v>
      </c>
      <c r="J3732">
        <f>Data!D3744</f>
        <v>0</v>
      </c>
      <c r="K3732">
        <f>Data!E3744</f>
        <v>0</v>
      </c>
      <c r="L3732">
        <f>Data!F3744</f>
        <v>0</v>
      </c>
      <c r="M3732">
        <f>Data!G3744</f>
        <v>0</v>
      </c>
      <c r="N3732">
        <f>Data!H3744</f>
        <v>0</v>
      </c>
      <c r="O3732">
        <f>Data!I3744</f>
        <v>0</v>
      </c>
      <c r="P3732" s="21">
        <f>Data!J3748</f>
        <v>0</v>
      </c>
      <c r="Q3732">
        <f>Data!K3748</f>
        <v>0</v>
      </c>
      <c r="R3732">
        <f>Data!L3748</f>
        <v>0</v>
      </c>
      <c r="S3732">
        <f>Data!M3748</f>
        <v>0</v>
      </c>
      <c r="T3732">
        <f>Data!N3748</f>
        <v>0</v>
      </c>
      <c r="U3732">
        <f>Data!O3748</f>
        <v>0</v>
      </c>
      <c r="V3732" s="33">
        <f>Data!P3746</f>
        <v>0</v>
      </c>
    </row>
    <row r="3733" spans="7:22" x14ac:dyDescent="0.25">
      <c r="G3733">
        <f>Data!B3745</f>
        <v>0</v>
      </c>
      <c r="H3733" s="21">
        <f>Data!B3745</f>
        <v>0</v>
      </c>
      <c r="I3733" s="21">
        <f>Data!C3745</f>
        <v>0</v>
      </c>
      <c r="J3733">
        <f>Data!D3745</f>
        <v>0</v>
      </c>
      <c r="K3733">
        <f>Data!E3745</f>
        <v>0</v>
      </c>
      <c r="L3733">
        <f>Data!F3745</f>
        <v>0</v>
      </c>
      <c r="M3733">
        <f>Data!G3745</f>
        <v>0</v>
      </c>
      <c r="N3733">
        <f>Data!H3745</f>
        <v>0</v>
      </c>
      <c r="O3733">
        <f>Data!I3745</f>
        <v>0</v>
      </c>
      <c r="P3733" s="21">
        <f>Data!J3749</f>
        <v>0</v>
      </c>
      <c r="Q3733">
        <f>Data!K3749</f>
        <v>0</v>
      </c>
      <c r="R3733">
        <f>Data!L3749</f>
        <v>0</v>
      </c>
      <c r="S3733">
        <f>Data!M3749</f>
        <v>0</v>
      </c>
      <c r="T3733">
        <f>Data!N3749</f>
        <v>0</v>
      </c>
      <c r="U3733">
        <f>Data!O3749</f>
        <v>0</v>
      </c>
      <c r="V3733" s="33">
        <f>Data!P3747</f>
        <v>0</v>
      </c>
    </row>
    <row r="3734" spans="7:22" x14ac:dyDescent="0.25">
      <c r="G3734">
        <f>Data!B3746</f>
        <v>0</v>
      </c>
      <c r="H3734" s="21">
        <f>Data!B3746</f>
        <v>0</v>
      </c>
      <c r="I3734" s="21">
        <f>Data!C3746</f>
        <v>0</v>
      </c>
      <c r="J3734">
        <f>Data!D3746</f>
        <v>0</v>
      </c>
      <c r="K3734">
        <f>Data!E3746</f>
        <v>0</v>
      </c>
      <c r="L3734">
        <f>Data!F3746</f>
        <v>0</v>
      </c>
      <c r="M3734">
        <f>Data!G3746</f>
        <v>0</v>
      </c>
      <c r="N3734">
        <f>Data!H3746</f>
        <v>0</v>
      </c>
      <c r="O3734">
        <f>Data!I3746</f>
        <v>0</v>
      </c>
      <c r="P3734" s="21">
        <f>Data!J3750</f>
        <v>0</v>
      </c>
      <c r="Q3734">
        <f>Data!K3750</f>
        <v>0</v>
      </c>
      <c r="R3734">
        <f>Data!L3750</f>
        <v>0</v>
      </c>
      <c r="S3734">
        <f>Data!M3750</f>
        <v>0</v>
      </c>
      <c r="T3734">
        <f>Data!N3750</f>
        <v>0</v>
      </c>
      <c r="U3734">
        <f>Data!O3750</f>
        <v>0</v>
      </c>
      <c r="V3734" s="33">
        <f>Data!P3748</f>
        <v>0</v>
      </c>
    </row>
    <row r="3735" spans="7:22" x14ac:dyDescent="0.25">
      <c r="G3735">
        <f>Data!B3747</f>
        <v>0</v>
      </c>
      <c r="H3735" s="21">
        <f>Data!B3747</f>
        <v>0</v>
      </c>
      <c r="I3735" s="21">
        <f>Data!C3747</f>
        <v>0</v>
      </c>
      <c r="J3735">
        <f>Data!D3747</f>
        <v>0</v>
      </c>
      <c r="K3735">
        <f>Data!E3747</f>
        <v>0</v>
      </c>
      <c r="L3735">
        <f>Data!F3747</f>
        <v>0</v>
      </c>
      <c r="M3735">
        <f>Data!G3747</f>
        <v>0</v>
      </c>
      <c r="N3735">
        <f>Data!H3747</f>
        <v>0</v>
      </c>
      <c r="O3735">
        <f>Data!I3747</f>
        <v>0</v>
      </c>
      <c r="P3735" s="21">
        <f>Data!J3751</f>
        <v>0</v>
      </c>
      <c r="Q3735">
        <f>Data!K3751</f>
        <v>0</v>
      </c>
      <c r="R3735">
        <f>Data!L3751</f>
        <v>0</v>
      </c>
      <c r="S3735">
        <f>Data!M3751</f>
        <v>0</v>
      </c>
      <c r="T3735">
        <f>Data!N3751</f>
        <v>0</v>
      </c>
      <c r="U3735">
        <f>Data!O3751</f>
        <v>0</v>
      </c>
      <c r="V3735" s="33">
        <f>Data!P3749</f>
        <v>0</v>
      </c>
    </row>
    <row r="3736" spans="7:22" x14ac:dyDescent="0.25">
      <c r="G3736">
        <f>Data!B3748</f>
        <v>0</v>
      </c>
      <c r="H3736" s="21">
        <f>Data!B3748</f>
        <v>0</v>
      </c>
      <c r="I3736" s="21">
        <f>Data!C3748</f>
        <v>0</v>
      </c>
      <c r="J3736">
        <f>Data!D3748</f>
        <v>0</v>
      </c>
      <c r="K3736">
        <f>Data!E3748</f>
        <v>0</v>
      </c>
      <c r="L3736">
        <f>Data!F3748</f>
        <v>0</v>
      </c>
      <c r="M3736">
        <f>Data!G3748</f>
        <v>0</v>
      </c>
      <c r="N3736">
        <f>Data!H3748</f>
        <v>0</v>
      </c>
      <c r="O3736">
        <f>Data!I3748</f>
        <v>0</v>
      </c>
      <c r="P3736" s="21">
        <f>Data!J3752</f>
        <v>0</v>
      </c>
      <c r="Q3736">
        <f>Data!K3752</f>
        <v>0</v>
      </c>
      <c r="R3736">
        <f>Data!L3752</f>
        <v>0</v>
      </c>
      <c r="S3736">
        <f>Data!M3752</f>
        <v>0</v>
      </c>
      <c r="T3736">
        <f>Data!N3752</f>
        <v>0</v>
      </c>
      <c r="U3736">
        <f>Data!O3752</f>
        <v>0</v>
      </c>
      <c r="V3736" s="33">
        <f>Data!P3750</f>
        <v>0</v>
      </c>
    </row>
    <row r="3737" spans="7:22" x14ac:dyDescent="0.25">
      <c r="G3737">
        <f>Data!B3749</f>
        <v>0</v>
      </c>
      <c r="H3737" s="21">
        <f>Data!B3749</f>
        <v>0</v>
      </c>
      <c r="I3737" s="21">
        <f>Data!C3749</f>
        <v>0</v>
      </c>
      <c r="J3737">
        <f>Data!D3749</f>
        <v>0</v>
      </c>
      <c r="K3737">
        <f>Data!E3749</f>
        <v>0</v>
      </c>
      <c r="L3737">
        <f>Data!F3749</f>
        <v>0</v>
      </c>
      <c r="M3737">
        <f>Data!G3749</f>
        <v>0</v>
      </c>
      <c r="N3737">
        <f>Data!H3749</f>
        <v>0</v>
      </c>
      <c r="O3737">
        <f>Data!I3749</f>
        <v>0</v>
      </c>
      <c r="P3737" s="21">
        <f>Data!J3753</f>
        <v>0</v>
      </c>
      <c r="Q3737">
        <f>Data!K3753</f>
        <v>0</v>
      </c>
      <c r="R3737">
        <f>Data!L3753</f>
        <v>0</v>
      </c>
      <c r="S3737">
        <f>Data!M3753</f>
        <v>0</v>
      </c>
      <c r="T3737">
        <f>Data!N3753</f>
        <v>0</v>
      </c>
      <c r="U3737">
        <f>Data!O3753</f>
        <v>0</v>
      </c>
      <c r="V3737" s="33">
        <f>Data!P3751</f>
        <v>0</v>
      </c>
    </row>
    <row r="3738" spans="7:22" x14ac:dyDescent="0.25">
      <c r="G3738">
        <f>Data!B3750</f>
        <v>0</v>
      </c>
      <c r="H3738" s="21">
        <f>Data!B3750</f>
        <v>0</v>
      </c>
      <c r="I3738" s="21">
        <f>Data!C3750</f>
        <v>0</v>
      </c>
      <c r="J3738">
        <f>Data!D3750</f>
        <v>0</v>
      </c>
      <c r="K3738">
        <f>Data!E3750</f>
        <v>0</v>
      </c>
      <c r="L3738">
        <f>Data!F3750</f>
        <v>0</v>
      </c>
      <c r="M3738">
        <f>Data!G3750</f>
        <v>0</v>
      </c>
      <c r="N3738">
        <f>Data!H3750</f>
        <v>0</v>
      </c>
      <c r="O3738">
        <f>Data!I3750</f>
        <v>0</v>
      </c>
      <c r="P3738" s="21">
        <f>Data!J3754</f>
        <v>0</v>
      </c>
      <c r="Q3738">
        <f>Data!K3754</f>
        <v>0</v>
      </c>
      <c r="R3738">
        <f>Data!L3754</f>
        <v>0</v>
      </c>
      <c r="S3738">
        <f>Data!M3754</f>
        <v>0</v>
      </c>
      <c r="T3738">
        <f>Data!N3754</f>
        <v>0</v>
      </c>
      <c r="U3738">
        <f>Data!O3754</f>
        <v>0</v>
      </c>
      <c r="V3738" s="33">
        <f>Data!P3752</f>
        <v>0</v>
      </c>
    </row>
    <row r="3739" spans="7:22" x14ac:dyDescent="0.25">
      <c r="G3739">
        <f>Data!B3751</f>
        <v>0</v>
      </c>
      <c r="H3739" s="21">
        <f>Data!B3751</f>
        <v>0</v>
      </c>
      <c r="I3739" s="21">
        <f>Data!C3751</f>
        <v>0</v>
      </c>
      <c r="J3739">
        <f>Data!D3751</f>
        <v>0</v>
      </c>
      <c r="K3739">
        <f>Data!E3751</f>
        <v>0</v>
      </c>
      <c r="L3739">
        <f>Data!F3751</f>
        <v>0</v>
      </c>
      <c r="M3739">
        <f>Data!G3751</f>
        <v>0</v>
      </c>
      <c r="N3739">
        <f>Data!H3751</f>
        <v>0</v>
      </c>
      <c r="O3739">
        <f>Data!I3751</f>
        <v>0</v>
      </c>
      <c r="P3739" s="21">
        <f>Data!J3755</f>
        <v>0</v>
      </c>
      <c r="Q3739">
        <f>Data!K3755</f>
        <v>0</v>
      </c>
      <c r="R3739">
        <f>Data!L3755</f>
        <v>0</v>
      </c>
      <c r="S3739">
        <f>Data!M3755</f>
        <v>0</v>
      </c>
      <c r="T3739">
        <f>Data!N3755</f>
        <v>0</v>
      </c>
      <c r="U3739">
        <f>Data!O3755</f>
        <v>0</v>
      </c>
      <c r="V3739" s="33">
        <f>Data!P3753</f>
        <v>0</v>
      </c>
    </row>
    <row r="3740" spans="7:22" x14ac:dyDescent="0.25">
      <c r="G3740">
        <f>Data!B3752</f>
        <v>0</v>
      </c>
      <c r="H3740" s="21">
        <f>Data!B3752</f>
        <v>0</v>
      </c>
      <c r="I3740" s="21">
        <f>Data!C3752</f>
        <v>0</v>
      </c>
      <c r="J3740">
        <f>Data!D3752</f>
        <v>0</v>
      </c>
      <c r="K3740">
        <f>Data!E3752</f>
        <v>0</v>
      </c>
      <c r="L3740">
        <f>Data!F3752</f>
        <v>0</v>
      </c>
      <c r="M3740">
        <f>Data!G3752</f>
        <v>0</v>
      </c>
      <c r="N3740">
        <f>Data!H3752</f>
        <v>0</v>
      </c>
      <c r="O3740">
        <f>Data!I3752</f>
        <v>0</v>
      </c>
      <c r="P3740" s="21">
        <f>Data!J3756</f>
        <v>0</v>
      </c>
      <c r="Q3740">
        <f>Data!K3756</f>
        <v>0</v>
      </c>
      <c r="R3740">
        <f>Data!L3756</f>
        <v>0</v>
      </c>
      <c r="S3740">
        <f>Data!M3756</f>
        <v>0</v>
      </c>
      <c r="T3740">
        <f>Data!N3756</f>
        <v>0</v>
      </c>
      <c r="U3740">
        <f>Data!O3756</f>
        <v>0</v>
      </c>
      <c r="V3740" s="33">
        <f>Data!P3754</f>
        <v>0</v>
      </c>
    </row>
    <row r="3741" spans="7:22" x14ac:dyDescent="0.25">
      <c r="G3741">
        <f>Data!B3753</f>
        <v>0</v>
      </c>
      <c r="H3741" s="21">
        <f>Data!B3753</f>
        <v>0</v>
      </c>
      <c r="I3741" s="21">
        <f>Data!C3753</f>
        <v>0</v>
      </c>
      <c r="J3741">
        <f>Data!D3753</f>
        <v>0</v>
      </c>
      <c r="K3741">
        <f>Data!E3753</f>
        <v>0</v>
      </c>
      <c r="L3741">
        <f>Data!F3753</f>
        <v>0</v>
      </c>
      <c r="M3741">
        <f>Data!G3753</f>
        <v>0</v>
      </c>
      <c r="N3741">
        <f>Data!H3753</f>
        <v>0</v>
      </c>
      <c r="O3741">
        <f>Data!I3753</f>
        <v>0</v>
      </c>
      <c r="P3741" s="21">
        <f>Data!J3757</f>
        <v>0</v>
      </c>
      <c r="Q3741">
        <f>Data!K3757</f>
        <v>0</v>
      </c>
      <c r="R3741">
        <f>Data!L3757</f>
        <v>0</v>
      </c>
      <c r="S3741">
        <f>Data!M3757</f>
        <v>0</v>
      </c>
      <c r="T3741">
        <f>Data!N3757</f>
        <v>0</v>
      </c>
      <c r="U3741">
        <f>Data!O3757</f>
        <v>0</v>
      </c>
      <c r="V3741" s="33">
        <f>Data!P3755</f>
        <v>0</v>
      </c>
    </row>
    <row r="3742" spans="7:22" x14ac:dyDescent="0.25">
      <c r="G3742">
        <f>Data!B3754</f>
        <v>0</v>
      </c>
      <c r="H3742" s="21">
        <f>Data!B3754</f>
        <v>0</v>
      </c>
      <c r="I3742" s="21">
        <f>Data!C3754</f>
        <v>0</v>
      </c>
      <c r="J3742">
        <f>Data!D3754</f>
        <v>0</v>
      </c>
      <c r="K3742">
        <f>Data!E3754</f>
        <v>0</v>
      </c>
      <c r="L3742">
        <f>Data!F3754</f>
        <v>0</v>
      </c>
      <c r="M3742">
        <f>Data!G3754</f>
        <v>0</v>
      </c>
      <c r="N3742">
        <f>Data!H3754</f>
        <v>0</v>
      </c>
      <c r="O3742">
        <f>Data!I3754</f>
        <v>0</v>
      </c>
      <c r="P3742" s="21">
        <f>Data!J3758</f>
        <v>0</v>
      </c>
      <c r="Q3742">
        <f>Data!K3758</f>
        <v>0</v>
      </c>
      <c r="R3742">
        <f>Data!L3758</f>
        <v>0</v>
      </c>
      <c r="S3742">
        <f>Data!M3758</f>
        <v>0</v>
      </c>
      <c r="T3742">
        <f>Data!N3758</f>
        <v>0</v>
      </c>
      <c r="U3742">
        <f>Data!O3758</f>
        <v>0</v>
      </c>
      <c r="V3742" s="33">
        <f>Data!P3756</f>
        <v>0</v>
      </c>
    </row>
    <row r="3743" spans="7:22" x14ac:dyDescent="0.25">
      <c r="G3743">
        <f>Data!B3755</f>
        <v>0</v>
      </c>
      <c r="H3743" s="21">
        <f>Data!B3755</f>
        <v>0</v>
      </c>
      <c r="I3743" s="21">
        <f>Data!C3755</f>
        <v>0</v>
      </c>
      <c r="J3743">
        <f>Data!D3755</f>
        <v>0</v>
      </c>
      <c r="K3743">
        <f>Data!E3755</f>
        <v>0</v>
      </c>
      <c r="L3743">
        <f>Data!F3755</f>
        <v>0</v>
      </c>
      <c r="M3743">
        <f>Data!G3755</f>
        <v>0</v>
      </c>
      <c r="N3743">
        <f>Data!H3755</f>
        <v>0</v>
      </c>
      <c r="O3743">
        <f>Data!I3755</f>
        <v>0</v>
      </c>
      <c r="P3743" s="21">
        <f>Data!J3759</f>
        <v>0</v>
      </c>
      <c r="Q3743">
        <f>Data!K3759</f>
        <v>0</v>
      </c>
      <c r="R3743">
        <f>Data!L3759</f>
        <v>0</v>
      </c>
      <c r="S3743">
        <f>Data!M3759</f>
        <v>0</v>
      </c>
      <c r="T3743">
        <f>Data!N3759</f>
        <v>0</v>
      </c>
      <c r="U3743">
        <f>Data!O3759</f>
        <v>0</v>
      </c>
      <c r="V3743" s="33">
        <f>Data!P3757</f>
        <v>0</v>
      </c>
    </row>
    <row r="3744" spans="7:22" x14ac:dyDescent="0.25">
      <c r="G3744">
        <f>Data!B3756</f>
        <v>0</v>
      </c>
      <c r="H3744" s="21">
        <f>Data!B3756</f>
        <v>0</v>
      </c>
      <c r="I3744" s="21">
        <f>Data!C3756</f>
        <v>0</v>
      </c>
      <c r="J3744">
        <f>Data!D3756</f>
        <v>0</v>
      </c>
      <c r="K3744">
        <f>Data!E3756</f>
        <v>0</v>
      </c>
      <c r="L3744">
        <f>Data!F3756</f>
        <v>0</v>
      </c>
      <c r="M3744">
        <f>Data!G3756</f>
        <v>0</v>
      </c>
      <c r="N3744">
        <f>Data!H3756</f>
        <v>0</v>
      </c>
      <c r="O3744">
        <f>Data!I3756</f>
        <v>0</v>
      </c>
      <c r="P3744" s="21">
        <f>Data!J3760</f>
        <v>0</v>
      </c>
      <c r="Q3744">
        <f>Data!K3760</f>
        <v>0</v>
      </c>
      <c r="R3744">
        <f>Data!L3760</f>
        <v>0</v>
      </c>
      <c r="S3744">
        <f>Data!M3760</f>
        <v>0</v>
      </c>
      <c r="T3744">
        <f>Data!N3760</f>
        <v>0</v>
      </c>
      <c r="U3744">
        <f>Data!O3760</f>
        <v>0</v>
      </c>
      <c r="V3744" s="33">
        <f>Data!P3758</f>
        <v>0</v>
      </c>
    </row>
    <row r="3745" spans="7:22" x14ac:dyDescent="0.25">
      <c r="G3745">
        <f>Data!B3757</f>
        <v>0</v>
      </c>
      <c r="H3745" s="21">
        <f>Data!B3757</f>
        <v>0</v>
      </c>
      <c r="I3745" s="21">
        <f>Data!C3757</f>
        <v>0</v>
      </c>
      <c r="J3745">
        <f>Data!D3757</f>
        <v>0</v>
      </c>
      <c r="K3745">
        <f>Data!E3757</f>
        <v>0</v>
      </c>
      <c r="L3745">
        <f>Data!F3757</f>
        <v>0</v>
      </c>
      <c r="M3745">
        <f>Data!G3757</f>
        <v>0</v>
      </c>
      <c r="N3745">
        <f>Data!H3757</f>
        <v>0</v>
      </c>
      <c r="O3745">
        <f>Data!I3757</f>
        <v>0</v>
      </c>
      <c r="P3745" s="21">
        <f>Data!J3761</f>
        <v>0</v>
      </c>
      <c r="Q3745">
        <f>Data!K3761</f>
        <v>0</v>
      </c>
      <c r="R3745">
        <f>Data!L3761</f>
        <v>0</v>
      </c>
      <c r="S3745">
        <f>Data!M3761</f>
        <v>0</v>
      </c>
      <c r="T3745">
        <f>Data!N3761</f>
        <v>0</v>
      </c>
      <c r="U3745">
        <f>Data!O3761</f>
        <v>0</v>
      </c>
      <c r="V3745" s="33">
        <f>Data!P3759</f>
        <v>0</v>
      </c>
    </row>
    <row r="3746" spans="7:22" x14ac:dyDescent="0.25">
      <c r="G3746">
        <f>Data!B3758</f>
        <v>0</v>
      </c>
      <c r="H3746" s="21">
        <f>Data!B3758</f>
        <v>0</v>
      </c>
      <c r="I3746" s="21">
        <f>Data!C3758</f>
        <v>0</v>
      </c>
      <c r="J3746">
        <f>Data!D3758</f>
        <v>0</v>
      </c>
      <c r="K3746">
        <f>Data!E3758</f>
        <v>0</v>
      </c>
      <c r="L3746">
        <f>Data!F3758</f>
        <v>0</v>
      </c>
      <c r="M3746">
        <f>Data!G3758</f>
        <v>0</v>
      </c>
      <c r="N3746">
        <f>Data!H3758</f>
        <v>0</v>
      </c>
      <c r="O3746">
        <f>Data!I3758</f>
        <v>0</v>
      </c>
      <c r="P3746" s="21">
        <f>Data!J3762</f>
        <v>0</v>
      </c>
      <c r="Q3746">
        <f>Data!K3762</f>
        <v>0</v>
      </c>
      <c r="R3746">
        <f>Data!L3762</f>
        <v>0</v>
      </c>
      <c r="S3746">
        <f>Data!M3762</f>
        <v>0</v>
      </c>
      <c r="T3746">
        <f>Data!N3762</f>
        <v>0</v>
      </c>
      <c r="U3746">
        <f>Data!O3762</f>
        <v>0</v>
      </c>
      <c r="V3746" s="33">
        <f>Data!P3760</f>
        <v>0</v>
      </c>
    </row>
    <row r="3747" spans="7:22" x14ac:dyDescent="0.25">
      <c r="G3747">
        <f>Data!B3759</f>
        <v>0</v>
      </c>
      <c r="H3747" s="21">
        <f>Data!B3759</f>
        <v>0</v>
      </c>
      <c r="I3747" s="21">
        <f>Data!C3759</f>
        <v>0</v>
      </c>
      <c r="J3747">
        <f>Data!D3759</f>
        <v>0</v>
      </c>
      <c r="K3747">
        <f>Data!E3759</f>
        <v>0</v>
      </c>
      <c r="L3747">
        <f>Data!F3759</f>
        <v>0</v>
      </c>
      <c r="M3747">
        <f>Data!G3759</f>
        <v>0</v>
      </c>
      <c r="N3747">
        <f>Data!H3759</f>
        <v>0</v>
      </c>
      <c r="O3747">
        <f>Data!I3759</f>
        <v>0</v>
      </c>
      <c r="P3747" s="21">
        <f>Data!J3763</f>
        <v>0</v>
      </c>
      <c r="Q3747">
        <f>Data!K3763</f>
        <v>0</v>
      </c>
      <c r="R3747">
        <f>Data!L3763</f>
        <v>0</v>
      </c>
      <c r="S3747">
        <f>Data!M3763</f>
        <v>0</v>
      </c>
      <c r="T3747">
        <f>Data!N3763</f>
        <v>0</v>
      </c>
      <c r="U3747">
        <f>Data!O3763</f>
        <v>0</v>
      </c>
      <c r="V3747" s="33">
        <f>Data!P3761</f>
        <v>0</v>
      </c>
    </row>
    <row r="3748" spans="7:22" x14ac:dyDescent="0.25">
      <c r="G3748">
        <f>Data!B3760</f>
        <v>0</v>
      </c>
      <c r="H3748" s="21">
        <f>Data!B3760</f>
        <v>0</v>
      </c>
      <c r="I3748" s="21">
        <f>Data!C3760</f>
        <v>0</v>
      </c>
      <c r="J3748">
        <f>Data!D3760</f>
        <v>0</v>
      </c>
      <c r="K3748">
        <f>Data!E3760</f>
        <v>0</v>
      </c>
      <c r="L3748">
        <f>Data!F3760</f>
        <v>0</v>
      </c>
      <c r="M3748">
        <f>Data!G3760</f>
        <v>0</v>
      </c>
      <c r="N3748">
        <f>Data!H3760</f>
        <v>0</v>
      </c>
      <c r="O3748">
        <f>Data!I3760</f>
        <v>0</v>
      </c>
      <c r="P3748" s="21">
        <f>Data!J3764</f>
        <v>0</v>
      </c>
      <c r="Q3748">
        <f>Data!K3764</f>
        <v>0</v>
      </c>
      <c r="R3748">
        <f>Data!L3764</f>
        <v>0</v>
      </c>
      <c r="S3748">
        <f>Data!M3764</f>
        <v>0</v>
      </c>
      <c r="T3748">
        <f>Data!N3764</f>
        <v>0</v>
      </c>
      <c r="U3748">
        <f>Data!O3764</f>
        <v>0</v>
      </c>
      <c r="V3748" s="33">
        <f>Data!P3762</f>
        <v>0</v>
      </c>
    </row>
    <row r="3749" spans="7:22" x14ac:dyDescent="0.25">
      <c r="G3749">
        <f>Data!B3761</f>
        <v>0</v>
      </c>
      <c r="H3749" s="21">
        <f>Data!B3761</f>
        <v>0</v>
      </c>
      <c r="I3749" s="21">
        <f>Data!C3761</f>
        <v>0</v>
      </c>
      <c r="J3749">
        <f>Data!D3761</f>
        <v>0</v>
      </c>
      <c r="K3749">
        <f>Data!E3761</f>
        <v>0</v>
      </c>
      <c r="L3749">
        <f>Data!F3761</f>
        <v>0</v>
      </c>
      <c r="M3749">
        <f>Data!G3761</f>
        <v>0</v>
      </c>
      <c r="N3749">
        <f>Data!H3761</f>
        <v>0</v>
      </c>
      <c r="O3749">
        <f>Data!I3761</f>
        <v>0</v>
      </c>
      <c r="P3749" s="21">
        <f>Data!J3765</f>
        <v>0</v>
      </c>
      <c r="Q3749">
        <f>Data!K3765</f>
        <v>0</v>
      </c>
      <c r="R3749">
        <f>Data!L3765</f>
        <v>0</v>
      </c>
      <c r="S3749">
        <f>Data!M3765</f>
        <v>0</v>
      </c>
      <c r="T3749">
        <f>Data!N3765</f>
        <v>0</v>
      </c>
      <c r="U3749">
        <f>Data!O3765</f>
        <v>0</v>
      </c>
      <c r="V3749" s="33">
        <f>Data!P3763</f>
        <v>0</v>
      </c>
    </row>
    <row r="3750" spans="7:22" x14ac:dyDescent="0.25">
      <c r="G3750">
        <f>Data!B3762</f>
        <v>0</v>
      </c>
      <c r="H3750" s="21">
        <f>Data!B3762</f>
        <v>0</v>
      </c>
      <c r="I3750" s="21">
        <f>Data!C3762</f>
        <v>0</v>
      </c>
      <c r="J3750">
        <f>Data!D3762</f>
        <v>0</v>
      </c>
      <c r="K3750">
        <f>Data!E3762</f>
        <v>0</v>
      </c>
      <c r="L3750">
        <f>Data!F3762</f>
        <v>0</v>
      </c>
      <c r="M3750">
        <f>Data!G3762</f>
        <v>0</v>
      </c>
      <c r="N3750">
        <f>Data!H3762</f>
        <v>0</v>
      </c>
      <c r="O3750">
        <f>Data!I3762</f>
        <v>0</v>
      </c>
      <c r="P3750" s="21">
        <f>Data!J3766</f>
        <v>0</v>
      </c>
      <c r="Q3750">
        <f>Data!K3766</f>
        <v>0</v>
      </c>
      <c r="R3750">
        <f>Data!L3766</f>
        <v>0</v>
      </c>
      <c r="S3750">
        <f>Data!M3766</f>
        <v>0</v>
      </c>
      <c r="T3750">
        <f>Data!N3766</f>
        <v>0</v>
      </c>
      <c r="U3750">
        <f>Data!O3766</f>
        <v>0</v>
      </c>
      <c r="V3750" s="33">
        <f>Data!P3764</f>
        <v>0</v>
      </c>
    </row>
    <row r="3751" spans="7:22" x14ac:dyDescent="0.25">
      <c r="G3751">
        <f>Data!B3763</f>
        <v>0</v>
      </c>
      <c r="H3751" s="21">
        <f>Data!B3763</f>
        <v>0</v>
      </c>
      <c r="I3751" s="21">
        <f>Data!C3763</f>
        <v>0</v>
      </c>
      <c r="J3751">
        <f>Data!D3763</f>
        <v>0</v>
      </c>
      <c r="K3751">
        <f>Data!E3763</f>
        <v>0</v>
      </c>
      <c r="L3751">
        <f>Data!F3763</f>
        <v>0</v>
      </c>
      <c r="M3751">
        <f>Data!G3763</f>
        <v>0</v>
      </c>
      <c r="N3751">
        <f>Data!H3763</f>
        <v>0</v>
      </c>
      <c r="O3751">
        <f>Data!I3763</f>
        <v>0</v>
      </c>
      <c r="P3751" s="21">
        <f>Data!J3767</f>
        <v>0</v>
      </c>
      <c r="Q3751">
        <f>Data!K3767</f>
        <v>0</v>
      </c>
      <c r="R3751">
        <f>Data!L3767</f>
        <v>0</v>
      </c>
      <c r="S3751">
        <f>Data!M3767</f>
        <v>0</v>
      </c>
      <c r="T3751">
        <f>Data!N3767</f>
        <v>0</v>
      </c>
      <c r="U3751">
        <f>Data!O3767</f>
        <v>0</v>
      </c>
      <c r="V3751" s="33">
        <f>Data!P3765</f>
        <v>0</v>
      </c>
    </row>
    <row r="3752" spans="7:22" x14ac:dyDescent="0.25">
      <c r="G3752">
        <f>Data!B3764</f>
        <v>0</v>
      </c>
      <c r="H3752" s="21">
        <f>Data!B3764</f>
        <v>0</v>
      </c>
      <c r="I3752" s="21">
        <f>Data!C3764</f>
        <v>0</v>
      </c>
      <c r="J3752">
        <f>Data!D3764</f>
        <v>0</v>
      </c>
      <c r="K3752">
        <f>Data!E3764</f>
        <v>0</v>
      </c>
      <c r="L3752">
        <f>Data!F3764</f>
        <v>0</v>
      </c>
      <c r="M3752">
        <f>Data!G3764</f>
        <v>0</v>
      </c>
      <c r="N3752">
        <f>Data!H3764</f>
        <v>0</v>
      </c>
      <c r="O3752">
        <f>Data!I3764</f>
        <v>0</v>
      </c>
      <c r="P3752" s="21">
        <f>Data!J3768</f>
        <v>0</v>
      </c>
      <c r="Q3752">
        <f>Data!K3768</f>
        <v>0</v>
      </c>
      <c r="R3752">
        <f>Data!L3768</f>
        <v>0</v>
      </c>
      <c r="S3752">
        <f>Data!M3768</f>
        <v>0</v>
      </c>
      <c r="T3752">
        <f>Data!N3768</f>
        <v>0</v>
      </c>
      <c r="U3752">
        <f>Data!O3768</f>
        <v>0</v>
      </c>
      <c r="V3752" s="33">
        <f>Data!P3766</f>
        <v>0</v>
      </c>
    </row>
    <row r="3753" spans="7:22" x14ac:dyDescent="0.25">
      <c r="G3753">
        <f>Data!B3765</f>
        <v>0</v>
      </c>
      <c r="H3753" s="21">
        <f>Data!B3765</f>
        <v>0</v>
      </c>
      <c r="I3753" s="21">
        <f>Data!C3765</f>
        <v>0</v>
      </c>
      <c r="J3753">
        <f>Data!D3765</f>
        <v>0</v>
      </c>
      <c r="K3753">
        <f>Data!E3765</f>
        <v>0</v>
      </c>
      <c r="L3753">
        <f>Data!F3765</f>
        <v>0</v>
      </c>
      <c r="M3753">
        <f>Data!G3765</f>
        <v>0</v>
      </c>
      <c r="N3753">
        <f>Data!H3765</f>
        <v>0</v>
      </c>
      <c r="O3753">
        <f>Data!I3765</f>
        <v>0</v>
      </c>
      <c r="P3753" s="21">
        <f>Data!J3769</f>
        <v>0</v>
      </c>
      <c r="Q3753">
        <f>Data!K3769</f>
        <v>0</v>
      </c>
      <c r="R3753">
        <f>Data!L3769</f>
        <v>0</v>
      </c>
      <c r="S3753">
        <f>Data!M3769</f>
        <v>0</v>
      </c>
      <c r="T3753">
        <f>Data!N3769</f>
        <v>0</v>
      </c>
      <c r="U3753">
        <f>Data!O3769</f>
        <v>0</v>
      </c>
      <c r="V3753" s="33">
        <f>Data!P3767</f>
        <v>0</v>
      </c>
    </row>
    <row r="3754" spans="7:22" x14ac:dyDescent="0.25">
      <c r="G3754">
        <f>Data!B3766</f>
        <v>0</v>
      </c>
      <c r="H3754" s="21">
        <f>Data!B3766</f>
        <v>0</v>
      </c>
      <c r="I3754" s="21">
        <f>Data!C3766</f>
        <v>0</v>
      </c>
      <c r="J3754">
        <f>Data!D3766</f>
        <v>0</v>
      </c>
      <c r="K3754">
        <f>Data!E3766</f>
        <v>0</v>
      </c>
      <c r="L3754">
        <f>Data!F3766</f>
        <v>0</v>
      </c>
      <c r="M3754">
        <f>Data!G3766</f>
        <v>0</v>
      </c>
      <c r="N3754">
        <f>Data!H3766</f>
        <v>0</v>
      </c>
      <c r="O3754">
        <f>Data!I3766</f>
        <v>0</v>
      </c>
      <c r="P3754" s="21">
        <f>Data!J3770</f>
        <v>0</v>
      </c>
      <c r="Q3754">
        <f>Data!K3770</f>
        <v>0</v>
      </c>
      <c r="R3754">
        <f>Data!L3770</f>
        <v>0</v>
      </c>
      <c r="S3754">
        <f>Data!M3770</f>
        <v>0</v>
      </c>
      <c r="T3754">
        <f>Data!N3770</f>
        <v>0</v>
      </c>
      <c r="U3754">
        <f>Data!O3770</f>
        <v>0</v>
      </c>
      <c r="V3754" s="33">
        <f>Data!P3768</f>
        <v>0</v>
      </c>
    </row>
    <row r="3755" spans="7:22" x14ac:dyDescent="0.25">
      <c r="G3755">
        <f>Data!B3767</f>
        <v>0</v>
      </c>
      <c r="H3755" s="21">
        <f>Data!B3767</f>
        <v>0</v>
      </c>
      <c r="I3755" s="21">
        <f>Data!C3767</f>
        <v>0</v>
      </c>
      <c r="J3755">
        <f>Data!D3767</f>
        <v>0</v>
      </c>
      <c r="K3755">
        <f>Data!E3767</f>
        <v>0</v>
      </c>
      <c r="L3755">
        <f>Data!F3767</f>
        <v>0</v>
      </c>
      <c r="M3755">
        <f>Data!G3767</f>
        <v>0</v>
      </c>
      <c r="N3755">
        <f>Data!H3767</f>
        <v>0</v>
      </c>
      <c r="O3755">
        <f>Data!I3767</f>
        <v>0</v>
      </c>
      <c r="P3755" s="21">
        <f>Data!J3771</f>
        <v>0</v>
      </c>
      <c r="Q3755">
        <f>Data!K3771</f>
        <v>0</v>
      </c>
      <c r="R3755">
        <f>Data!L3771</f>
        <v>0</v>
      </c>
      <c r="S3755">
        <f>Data!M3771</f>
        <v>0</v>
      </c>
      <c r="T3755">
        <f>Data!N3771</f>
        <v>0</v>
      </c>
      <c r="U3755">
        <f>Data!O3771</f>
        <v>0</v>
      </c>
      <c r="V3755" s="33">
        <f>Data!P3769</f>
        <v>0</v>
      </c>
    </row>
    <row r="3756" spans="7:22" x14ac:dyDescent="0.25">
      <c r="G3756">
        <f>Data!B3768</f>
        <v>0</v>
      </c>
      <c r="H3756" s="21">
        <f>Data!B3768</f>
        <v>0</v>
      </c>
      <c r="I3756" s="21">
        <f>Data!C3768</f>
        <v>0</v>
      </c>
      <c r="J3756">
        <f>Data!D3768</f>
        <v>0</v>
      </c>
      <c r="K3756">
        <f>Data!E3768</f>
        <v>0</v>
      </c>
      <c r="L3756">
        <f>Data!F3768</f>
        <v>0</v>
      </c>
      <c r="M3756">
        <f>Data!G3768</f>
        <v>0</v>
      </c>
      <c r="N3756">
        <f>Data!H3768</f>
        <v>0</v>
      </c>
      <c r="O3756">
        <f>Data!I3768</f>
        <v>0</v>
      </c>
      <c r="P3756" s="21">
        <f>Data!J3772</f>
        <v>0</v>
      </c>
      <c r="Q3756">
        <f>Data!K3772</f>
        <v>0</v>
      </c>
      <c r="R3756">
        <f>Data!L3772</f>
        <v>0</v>
      </c>
      <c r="S3756">
        <f>Data!M3772</f>
        <v>0</v>
      </c>
      <c r="T3756">
        <f>Data!N3772</f>
        <v>0</v>
      </c>
      <c r="U3756">
        <f>Data!O3772</f>
        <v>0</v>
      </c>
      <c r="V3756" s="33">
        <f>Data!P3770</f>
        <v>0</v>
      </c>
    </row>
    <row r="3757" spans="7:22" x14ac:dyDescent="0.25">
      <c r="G3757">
        <f>Data!B3769</f>
        <v>0</v>
      </c>
      <c r="H3757" s="21">
        <f>Data!B3769</f>
        <v>0</v>
      </c>
      <c r="I3757" s="21">
        <f>Data!C3769</f>
        <v>0</v>
      </c>
      <c r="J3757">
        <f>Data!D3769</f>
        <v>0</v>
      </c>
      <c r="K3757">
        <f>Data!E3769</f>
        <v>0</v>
      </c>
      <c r="L3757">
        <f>Data!F3769</f>
        <v>0</v>
      </c>
      <c r="M3757">
        <f>Data!G3769</f>
        <v>0</v>
      </c>
      <c r="N3757">
        <f>Data!H3769</f>
        <v>0</v>
      </c>
      <c r="O3757">
        <f>Data!I3769</f>
        <v>0</v>
      </c>
      <c r="P3757" s="21">
        <f>Data!J3773</f>
        <v>0</v>
      </c>
      <c r="Q3757">
        <f>Data!K3773</f>
        <v>0</v>
      </c>
      <c r="R3757">
        <f>Data!L3773</f>
        <v>0</v>
      </c>
      <c r="S3757">
        <f>Data!M3773</f>
        <v>0</v>
      </c>
      <c r="T3757">
        <f>Data!N3773</f>
        <v>0</v>
      </c>
      <c r="U3757">
        <f>Data!O3773</f>
        <v>0</v>
      </c>
      <c r="V3757" s="33">
        <f>Data!P3771</f>
        <v>0</v>
      </c>
    </row>
    <row r="3758" spans="7:22" x14ac:dyDescent="0.25">
      <c r="G3758">
        <f>Data!B3770</f>
        <v>0</v>
      </c>
      <c r="H3758" s="21">
        <f>Data!B3770</f>
        <v>0</v>
      </c>
      <c r="I3758" s="21">
        <f>Data!C3770</f>
        <v>0</v>
      </c>
      <c r="J3758">
        <f>Data!D3770</f>
        <v>0</v>
      </c>
      <c r="K3758">
        <f>Data!E3770</f>
        <v>0</v>
      </c>
      <c r="L3758">
        <f>Data!F3770</f>
        <v>0</v>
      </c>
      <c r="M3758">
        <f>Data!G3770</f>
        <v>0</v>
      </c>
      <c r="N3758">
        <f>Data!H3770</f>
        <v>0</v>
      </c>
      <c r="O3758">
        <f>Data!I3770</f>
        <v>0</v>
      </c>
      <c r="P3758" s="21">
        <f>Data!J3774</f>
        <v>0</v>
      </c>
      <c r="Q3758">
        <f>Data!K3774</f>
        <v>0</v>
      </c>
      <c r="R3758">
        <f>Data!L3774</f>
        <v>0</v>
      </c>
      <c r="S3758">
        <f>Data!M3774</f>
        <v>0</v>
      </c>
      <c r="T3758">
        <f>Data!N3774</f>
        <v>0</v>
      </c>
      <c r="U3758">
        <f>Data!O3774</f>
        <v>0</v>
      </c>
      <c r="V3758" s="33">
        <f>Data!P3772</f>
        <v>0</v>
      </c>
    </row>
    <row r="3759" spans="7:22" x14ac:dyDescent="0.25">
      <c r="G3759">
        <f>Data!B3771</f>
        <v>0</v>
      </c>
      <c r="H3759" s="21">
        <f>Data!B3771</f>
        <v>0</v>
      </c>
      <c r="I3759" s="21">
        <f>Data!C3771</f>
        <v>0</v>
      </c>
      <c r="J3759">
        <f>Data!D3771</f>
        <v>0</v>
      </c>
      <c r="K3759">
        <f>Data!E3771</f>
        <v>0</v>
      </c>
      <c r="L3759">
        <f>Data!F3771</f>
        <v>0</v>
      </c>
      <c r="M3759">
        <f>Data!G3771</f>
        <v>0</v>
      </c>
      <c r="N3759">
        <f>Data!H3771</f>
        <v>0</v>
      </c>
      <c r="O3759">
        <f>Data!I3771</f>
        <v>0</v>
      </c>
      <c r="P3759" s="21">
        <f>Data!J3775</f>
        <v>0</v>
      </c>
      <c r="Q3759">
        <f>Data!K3775</f>
        <v>0</v>
      </c>
      <c r="R3759">
        <f>Data!L3775</f>
        <v>0</v>
      </c>
      <c r="S3759">
        <f>Data!M3775</f>
        <v>0</v>
      </c>
      <c r="T3759">
        <f>Data!N3775</f>
        <v>0</v>
      </c>
      <c r="U3759">
        <f>Data!O3775</f>
        <v>0</v>
      </c>
      <c r="V3759" s="33">
        <f>Data!P3773</f>
        <v>0</v>
      </c>
    </row>
    <row r="3760" spans="7:22" x14ac:dyDescent="0.25">
      <c r="G3760">
        <f>Data!B3772</f>
        <v>0</v>
      </c>
      <c r="H3760" s="21">
        <f>Data!B3772</f>
        <v>0</v>
      </c>
      <c r="I3760" s="21">
        <f>Data!C3772</f>
        <v>0</v>
      </c>
      <c r="J3760">
        <f>Data!D3772</f>
        <v>0</v>
      </c>
      <c r="K3760">
        <f>Data!E3772</f>
        <v>0</v>
      </c>
      <c r="L3760">
        <f>Data!F3772</f>
        <v>0</v>
      </c>
      <c r="M3760">
        <f>Data!G3772</f>
        <v>0</v>
      </c>
      <c r="N3760">
        <f>Data!H3772</f>
        <v>0</v>
      </c>
      <c r="O3760">
        <f>Data!I3772</f>
        <v>0</v>
      </c>
      <c r="P3760" s="21">
        <f>Data!J3776</f>
        <v>0</v>
      </c>
      <c r="Q3760">
        <f>Data!K3776</f>
        <v>0</v>
      </c>
      <c r="R3760">
        <f>Data!L3776</f>
        <v>0</v>
      </c>
      <c r="S3760">
        <f>Data!M3776</f>
        <v>0</v>
      </c>
      <c r="T3760">
        <f>Data!N3776</f>
        <v>0</v>
      </c>
      <c r="U3760">
        <f>Data!O3776</f>
        <v>0</v>
      </c>
      <c r="V3760" s="33">
        <f>Data!P3774</f>
        <v>0</v>
      </c>
    </row>
    <row r="3761" spans="7:22" x14ac:dyDescent="0.25">
      <c r="G3761">
        <f>Data!B3773</f>
        <v>0</v>
      </c>
      <c r="H3761" s="21">
        <f>Data!B3773</f>
        <v>0</v>
      </c>
      <c r="I3761" s="21">
        <f>Data!C3773</f>
        <v>0</v>
      </c>
      <c r="J3761">
        <f>Data!D3773</f>
        <v>0</v>
      </c>
      <c r="K3761">
        <f>Data!E3773</f>
        <v>0</v>
      </c>
      <c r="L3761">
        <f>Data!F3773</f>
        <v>0</v>
      </c>
      <c r="M3761">
        <f>Data!G3773</f>
        <v>0</v>
      </c>
      <c r="N3761">
        <f>Data!H3773</f>
        <v>0</v>
      </c>
      <c r="O3761">
        <f>Data!I3773</f>
        <v>0</v>
      </c>
      <c r="P3761" s="21">
        <f>Data!J3777</f>
        <v>0</v>
      </c>
      <c r="Q3761">
        <f>Data!K3777</f>
        <v>0</v>
      </c>
      <c r="R3761">
        <f>Data!L3777</f>
        <v>0</v>
      </c>
      <c r="S3761">
        <f>Data!M3777</f>
        <v>0</v>
      </c>
      <c r="T3761">
        <f>Data!N3777</f>
        <v>0</v>
      </c>
      <c r="U3761">
        <f>Data!O3777</f>
        <v>0</v>
      </c>
      <c r="V3761" s="33">
        <f>Data!P3775</f>
        <v>0</v>
      </c>
    </row>
    <row r="3762" spans="7:22" x14ac:dyDescent="0.25">
      <c r="G3762">
        <f>Data!B3774</f>
        <v>0</v>
      </c>
      <c r="H3762" s="21">
        <f>Data!B3774</f>
        <v>0</v>
      </c>
      <c r="I3762" s="21">
        <f>Data!C3774</f>
        <v>0</v>
      </c>
      <c r="J3762">
        <f>Data!D3774</f>
        <v>0</v>
      </c>
      <c r="K3762">
        <f>Data!E3774</f>
        <v>0</v>
      </c>
      <c r="L3762">
        <f>Data!F3774</f>
        <v>0</v>
      </c>
      <c r="M3762">
        <f>Data!G3774</f>
        <v>0</v>
      </c>
      <c r="N3762">
        <f>Data!H3774</f>
        <v>0</v>
      </c>
      <c r="O3762">
        <f>Data!I3774</f>
        <v>0</v>
      </c>
      <c r="P3762" s="21">
        <f>Data!J3778</f>
        <v>0</v>
      </c>
      <c r="Q3762">
        <f>Data!K3778</f>
        <v>0</v>
      </c>
      <c r="R3762">
        <f>Data!L3778</f>
        <v>0</v>
      </c>
      <c r="S3762">
        <f>Data!M3778</f>
        <v>0</v>
      </c>
      <c r="T3762">
        <f>Data!N3778</f>
        <v>0</v>
      </c>
      <c r="U3762">
        <f>Data!O3778</f>
        <v>0</v>
      </c>
      <c r="V3762" s="33">
        <f>Data!P3776</f>
        <v>0</v>
      </c>
    </row>
    <row r="3763" spans="7:22" x14ac:dyDescent="0.25">
      <c r="G3763">
        <f>Data!B3775</f>
        <v>0</v>
      </c>
      <c r="H3763" s="21">
        <f>Data!B3775</f>
        <v>0</v>
      </c>
      <c r="I3763" s="21">
        <f>Data!C3775</f>
        <v>0</v>
      </c>
      <c r="J3763">
        <f>Data!D3775</f>
        <v>0</v>
      </c>
      <c r="K3763">
        <f>Data!E3775</f>
        <v>0</v>
      </c>
      <c r="L3763">
        <f>Data!F3775</f>
        <v>0</v>
      </c>
      <c r="M3763">
        <f>Data!G3775</f>
        <v>0</v>
      </c>
      <c r="N3763">
        <f>Data!H3775</f>
        <v>0</v>
      </c>
      <c r="O3763">
        <f>Data!I3775</f>
        <v>0</v>
      </c>
      <c r="P3763" s="21">
        <f>Data!J3779</f>
        <v>0</v>
      </c>
      <c r="Q3763">
        <f>Data!K3779</f>
        <v>0</v>
      </c>
      <c r="R3763">
        <f>Data!L3779</f>
        <v>0</v>
      </c>
      <c r="S3763">
        <f>Data!M3779</f>
        <v>0</v>
      </c>
      <c r="T3763">
        <f>Data!N3779</f>
        <v>0</v>
      </c>
      <c r="U3763">
        <f>Data!O3779</f>
        <v>0</v>
      </c>
      <c r="V3763" s="33">
        <f>Data!P3777</f>
        <v>0</v>
      </c>
    </row>
    <row r="3764" spans="7:22" x14ac:dyDescent="0.25">
      <c r="G3764">
        <f>Data!B3776</f>
        <v>0</v>
      </c>
      <c r="H3764" s="21">
        <f>Data!B3776</f>
        <v>0</v>
      </c>
      <c r="I3764" s="21">
        <f>Data!C3776</f>
        <v>0</v>
      </c>
      <c r="J3764">
        <f>Data!D3776</f>
        <v>0</v>
      </c>
      <c r="K3764">
        <f>Data!E3776</f>
        <v>0</v>
      </c>
      <c r="L3764">
        <f>Data!F3776</f>
        <v>0</v>
      </c>
      <c r="M3764">
        <f>Data!G3776</f>
        <v>0</v>
      </c>
      <c r="N3764">
        <f>Data!H3776</f>
        <v>0</v>
      </c>
      <c r="O3764">
        <f>Data!I3776</f>
        <v>0</v>
      </c>
      <c r="P3764" s="21">
        <f>Data!J3780</f>
        <v>0</v>
      </c>
      <c r="Q3764">
        <f>Data!K3780</f>
        <v>0</v>
      </c>
      <c r="R3764">
        <f>Data!L3780</f>
        <v>0</v>
      </c>
      <c r="S3764">
        <f>Data!M3780</f>
        <v>0</v>
      </c>
      <c r="T3764">
        <f>Data!N3780</f>
        <v>0</v>
      </c>
      <c r="U3764">
        <f>Data!O3780</f>
        <v>0</v>
      </c>
      <c r="V3764" s="33">
        <f>Data!P3778</f>
        <v>0</v>
      </c>
    </row>
    <row r="3765" spans="7:22" x14ac:dyDescent="0.25">
      <c r="G3765">
        <f>Data!B3777</f>
        <v>0</v>
      </c>
      <c r="H3765" s="21">
        <f>Data!B3777</f>
        <v>0</v>
      </c>
      <c r="I3765" s="21">
        <f>Data!C3777</f>
        <v>0</v>
      </c>
      <c r="J3765">
        <f>Data!D3777</f>
        <v>0</v>
      </c>
      <c r="K3765">
        <f>Data!E3777</f>
        <v>0</v>
      </c>
      <c r="L3765">
        <f>Data!F3777</f>
        <v>0</v>
      </c>
      <c r="M3765">
        <f>Data!G3777</f>
        <v>0</v>
      </c>
      <c r="N3765">
        <f>Data!H3777</f>
        <v>0</v>
      </c>
      <c r="O3765">
        <f>Data!I3777</f>
        <v>0</v>
      </c>
      <c r="P3765" s="21">
        <f>Data!J3781</f>
        <v>0</v>
      </c>
      <c r="Q3765">
        <f>Data!K3781</f>
        <v>0</v>
      </c>
      <c r="R3765">
        <f>Data!L3781</f>
        <v>0</v>
      </c>
      <c r="S3765">
        <f>Data!M3781</f>
        <v>0</v>
      </c>
      <c r="T3765">
        <f>Data!N3781</f>
        <v>0</v>
      </c>
      <c r="U3765">
        <f>Data!O3781</f>
        <v>0</v>
      </c>
      <c r="V3765" s="33">
        <f>Data!P3779</f>
        <v>0</v>
      </c>
    </row>
    <row r="3766" spans="7:22" x14ac:dyDescent="0.25">
      <c r="G3766">
        <f>Data!B3778</f>
        <v>0</v>
      </c>
      <c r="H3766" s="21">
        <f>Data!B3778</f>
        <v>0</v>
      </c>
      <c r="I3766" s="21">
        <f>Data!C3778</f>
        <v>0</v>
      </c>
      <c r="J3766">
        <f>Data!D3778</f>
        <v>0</v>
      </c>
      <c r="K3766">
        <f>Data!E3778</f>
        <v>0</v>
      </c>
      <c r="L3766">
        <f>Data!F3778</f>
        <v>0</v>
      </c>
      <c r="M3766">
        <f>Data!G3778</f>
        <v>0</v>
      </c>
      <c r="N3766">
        <f>Data!H3778</f>
        <v>0</v>
      </c>
      <c r="O3766">
        <f>Data!I3778</f>
        <v>0</v>
      </c>
      <c r="P3766" s="21">
        <f>Data!J3782</f>
        <v>0</v>
      </c>
      <c r="Q3766">
        <f>Data!K3782</f>
        <v>0</v>
      </c>
      <c r="R3766">
        <f>Data!L3782</f>
        <v>0</v>
      </c>
      <c r="S3766">
        <f>Data!M3782</f>
        <v>0</v>
      </c>
      <c r="T3766">
        <f>Data!N3782</f>
        <v>0</v>
      </c>
      <c r="U3766">
        <f>Data!O3782</f>
        <v>0</v>
      </c>
      <c r="V3766" s="33">
        <f>Data!P3780</f>
        <v>0</v>
      </c>
    </row>
    <row r="3767" spans="7:22" x14ac:dyDescent="0.25">
      <c r="G3767">
        <f>Data!B3779</f>
        <v>0</v>
      </c>
      <c r="H3767" s="21">
        <f>Data!B3779</f>
        <v>0</v>
      </c>
      <c r="I3767" s="21">
        <f>Data!C3779</f>
        <v>0</v>
      </c>
      <c r="J3767">
        <f>Data!D3779</f>
        <v>0</v>
      </c>
      <c r="K3767">
        <f>Data!E3779</f>
        <v>0</v>
      </c>
      <c r="L3767">
        <f>Data!F3779</f>
        <v>0</v>
      </c>
      <c r="M3767">
        <f>Data!G3779</f>
        <v>0</v>
      </c>
      <c r="N3767">
        <f>Data!H3779</f>
        <v>0</v>
      </c>
      <c r="O3767">
        <f>Data!I3779</f>
        <v>0</v>
      </c>
      <c r="P3767" s="21">
        <f>Data!J3783</f>
        <v>0</v>
      </c>
      <c r="Q3767">
        <f>Data!K3783</f>
        <v>0</v>
      </c>
      <c r="R3767">
        <f>Data!L3783</f>
        <v>0</v>
      </c>
      <c r="S3767">
        <f>Data!M3783</f>
        <v>0</v>
      </c>
      <c r="T3767">
        <f>Data!N3783</f>
        <v>0</v>
      </c>
      <c r="U3767">
        <f>Data!O3783</f>
        <v>0</v>
      </c>
      <c r="V3767" s="33">
        <f>Data!P3781</f>
        <v>0</v>
      </c>
    </row>
    <row r="3768" spans="7:22" x14ac:dyDescent="0.25">
      <c r="G3768">
        <f>Data!B3780</f>
        <v>0</v>
      </c>
      <c r="H3768" s="21">
        <f>Data!B3780</f>
        <v>0</v>
      </c>
      <c r="I3768" s="21">
        <f>Data!C3780</f>
        <v>0</v>
      </c>
      <c r="J3768">
        <f>Data!D3780</f>
        <v>0</v>
      </c>
      <c r="K3768">
        <f>Data!E3780</f>
        <v>0</v>
      </c>
      <c r="L3768">
        <f>Data!F3780</f>
        <v>0</v>
      </c>
      <c r="M3768">
        <f>Data!G3780</f>
        <v>0</v>
      </c>
      <c r="N3768">
        <f>Data!H3780</f>
        <v>0</v>
      </c>
      <c r="O3768">
        <f>Data!I3780</f>
        <v>0</v>
      </c>
      <c r="P3768" s="21">
        <f>Data!J3784</f>
        <v>0</v>
      </c>
      <c r="Q3768">
        <f>Data!K3784</f>
        <v>0</v>
      </c>
      <c r="R3768">
        <f>Data!L3784</f>
        <v>0</v>
      </c>
      <c r="S3768">
        <f>Data!M3784</f>
        <v>0</v>
      </c>
      <c r="T3768">
        <f>Data!N3784</f>
        <v>0</v>
      </c>
      <c r="U3768">
        <f>Data!O3784</f>
        <v>0</v>
      </c>
      <c r="V3768" s="33">
        <f>Data!P3782</f>
        <v>0</v>
      </c>
    </row>
    <row r="3769" spans="7:22" x14ac:dyDescent="0.25">
      <c r="G3769">
        <f>Data!B3781</f>
        <v>0</v>
      </c>
      <c r="H3769" s="21">
        <f>Data!B3781</f>
        <v>0</v>
      </c>
      <c r="I3769" s="21">
        <f>Data!C3781</f>
        <v>0</v>
      </c>
      <c r="J3769">
        <f>Data!D3781</f>
        <v>0</v>
      </c>
      <c r="K3769">
        <f>Data!E3781</f>
        <v>0</v>
      </c>
      <c r="L3769">
        <f>Data!F3781</f>
        <v>0</v>
      </c>
      <c r="M3769">
        <f>Data!G3781</f>
        <v>0</v>
      </c>
      <c r="N3769">
        <f>Data!H3781</f>
        <v>0</v>
      </c>
      <c r="O3769">
        <f>Data!I3781</f>
        <v>0</v>
      </c>
      <c r="P3769" s="21">
        <f>Data!J3785</f>
        <v>0</v>
      </c>
      <c r="Q3769">
        <f>Data!K3785</f>
        <v>0</v>
      </c>
      <c r="R3769">
        <f>Data!L3785</f>
        <v>0</v>
      </c>
      <c r="S3769">
        <f>Data!M3785</f>
        <v>0</v>
      </c>
      <c r="T3769">
        <f>Data!N3785</f>
        <v>0</v>
      </c>
      <c r="U3769">
        <f>Data!O3785</f>
        <v>0</v>
      </c>
      <c r="V3769" s="33">
        <f>Data!P3783</f>
        <v>0</v>
      </c>
    </row>
    <row r="3770" spans="7:22" x14ac:dyDescent="0.25">
      <c r="G3770">
        <f>Data!B3782</f>
        <v>0</v>
      </c>
      <c r="H3770" s="21">
        <f>Data!B3782</f>
        <v>0</v>
      </c>
      <c r="I3770" s="21">
        <f>Data!C3782</f>
        <v>0</v>
      </c>
      <c r="J3770">
        <f>Data!D3782</f>
        <v>0</v>
      </c>
      <c r="K3770">
        <f>Data!E3782</f>
        <v>0</v>
      </c>
      <c r="L3770">
        <f>Data!F3782</f>
        <v>0</v>
      </c>
      <c r="M3770">
        <f>Data!G3782</f>
        <v>0</v>
      </c>
      <c r="N3770">
        <f>Data!H3782</f>
        <v>0</v>
      </c>
      <c r="O3770">
        <f>Data!I3782</f>
        <v>0</v>
      </c>
      <c r="P3770" s="21">
        <f>Data!J3786</f>
        <v>0</v>
      </c>
      <c r="Q3770">
        <f>Data!K3786</f>
        <v>0</v>
      </c>
      <c r="R3770">
        <f>Data!L3786</f>
        <v>0</v>
      </c>
      <c r="S3770">
        <f>Data!M3786</f>
        <v>0</v>
      </c>
      <c r="T3770">
        <f>Data!N3786</f>
        <v>0</v>
      </c>
      <c r="U3770">
        <f>Data!O3786</f>
        <v>0</v>
      </c>
      <c r="V3770" s="33">
        <f>Data!P3784</f>
        <v>0</v>
      </c>
    </row>
    <row r="3771" spans="7:22" x14ac:dyDescent="0.25">
      <c r="G3771">
        <f>Data!B3783</f>
        <v>0</v>
      </c>
      <c r="H3771" s="21">
        <f>Data!B3783</f>
        <v>0</v>
      </c>
      <c r="I3771" s="21">
        <f>Data!C3783</f>
        <v>0</v>
      </c>
      <c r="J3771">
        <f>Data!D3783</f>
        <v>0</v>
      </c>
      <c r="K3771">
        <f>Data!E3783</f>
        <v>0</v>
      </c>
      <c r="L3771">
        <f>Data!F3783</f>
        <v>0</v>
      </c>
      <c r="M3771">
        <f>Data!G3783</f>
        <v>0</v>
      </c>
      <c r="N3771">
        <f>Data!H3783</f>
        <v>0</v>
      </c>
      <c r="O3771">
        <f>Data!I3783</f>
        <v>0</v>
      </c>
      <c r="P3771" s="21">
        <f>Data!J3787</f>
        <v>0</v>
      </c>
      <c r="Q3771">
        <f>Data!K3787</f>
        <v>0</v>
      </c>
      <c r="R3771">
        <f>Data!L3787</f>
        <v>0</v>
      </c>
      <c r="S3771">
        <f>Data!M3787</f>
        <v>0</v>
      </c>
      <c r="T3771">
        <f>Data!N3787</f>
        <v>0</v>
      </c>
      <c r="U3771">
        <f>Data!O3787</f>
        <v>0</v>
      </c>
      <c r="V3771" s="33">
        <f>Data!P3785</f>
        <v>0</v>
      </c>
    </row>
    <row r="3772" spans="7:22" x14ac:dyDescent="0.25">
      <c r="G3772">
        <f>Data!B3784</f>
        <v>0</v>
      </c>
      <c r="H3772" s="21">
        <f>Data!B3784</f>
        <v>0</v>
      </c>
      <c r="I3772" s="21">
        <f>Data!C3784</f>
        <v>0</v>
      </c>
      <c r="J3772">
        <f>Data!D3784</f>
        <v>0</v>
      </c>
      <c r="K3772">
        <f>Data!E3784</f>
        <v>0</v>
      </c>
      <c r="L3772">
        <f>Data!F3784</f>
        <v>0</v>
      </c>
      <c r="M3772">
        <f>Data!G3784</f>
        <v>0</v>
      </c>
      <c r="N3772">
        <f>Data!H3784</f>
        <v>0</v>
      </c>
      <c r="O3772">
        <f>Data!I3784</f>
        <v>0</v>
      </c>
      <c r="P3772" s="21">
        <f>Data!J3788</f>
        <v>0</v>
      </c>
      <c r="Q3772">
        <f>Data!K3788</f>
        <v>0</v>
      </c>
      <c r="R3772">
        <f>Data!L3788</f>
        <v>0</v>
      </c>
      <c r="S3772">
        <f>Data!M3788</f>
        <v>0</v>
      </c>
      <c r="T3772">
        <f>Data!N3788</f>
        <v>0</v>
      </c>
      <c r="U3772">
        <f>Data!O3788</f>
        <v>0</v>
      </c>
      <c r="V3772" s="33">
        <f>Data!P3786</f>
        <v>0</v>
      </c>
    </row>
    <row r="3773" spans="7:22" x14ac:dyDescent="0.25">
      <c r="G3773">
        <f>Data!B3785</f>
        <v>0</v>
      </c>
      <c r="H3773" s="21">
        <f>Data!B3785</f>
        <v>0</v>
      </c>
      <c r="I3773" s="21">
        <f>Data!C3785</f>
        <v>0</v>
      </c>
      <c r="J3773">
        <f>Data!D3785</f>
        <v>0</v>
      </c>
      <c r="K3773">
        <f>Data!E3785</f>
        <v>0</v>
      </c>
      <c r="L3773">
        <f>Data!F3785</f>
        <v>0</v>
      </c>
      <c r="M3773">
        <f>Data!G3785</f>
        <v>0</v>
      </c>
      <c r="N3773">
        <f>Data!H3785</f>
        <v>0</v>
      </c>
      <c r="O3773">
        <f>Data!I3785</f>
        <v>0</v>
      </c>
      <c r="P3773" s="21">
        <f>Data!J3789</f>
        <v>0</v>
      </c>
      <c r="Q3773">
        <f>Data!K3789</f>
        <v>0</v>
      </c>
      <c r="R3773">
        <f>Data!L3789</f>
        <v>0</v>
      </c>
      <c r="S3773">
        <f>Data!M3789</f>
        <v>0</v>
      </c>
      <c r="T3773">
        <f>Data!N3789</f>
        <v>0</v>
      </c>
      <c r="U3773">
        <f>Data!O3789</f>
        <v>0</v>
      </c>
      <c r="V3773" s="33">
        <f>Data!P3787</f>
        <v>0</v>
      </c>
    </row>
    <row r="3774" spans="7:22" x14ac:dyDescent="0.25">
      <c r="G3774">
        <f>Data!B3786</f>
        <v>0</v>
      </c>
      <c r="H3774" s="21">
        <f>Data!B3786</f>
        <v>0</v>
      </c>
      <c r="I3774" s="21">
        <f>Data!C3786</f>
        <v>0</v>
      </c>
      <c r="J3774">
        <f>Data!D3786</f>
        <v>0</v>
      </c>
      <c r="K3774">
        <f>Data!E3786</f>
        <v>0</v>
      </c>
      <c r="L3774">
        <f>Data!F3786</f>
        <v>0</v>
      </c>
      <c r="M3774">
        <f>Data!G3786</f>
        <v>0</v>
      </c>
      <c r="N3774">
        <f>Data!H3786</f>
        <v>0</v>
      </c>
      <c r="O3774">
        <f>Data!I3786</f>
        <v>0</v>
      </c>
      <c r="P3774" s="21">
        <f>Data!J3790</f>
        <v>0</v>
      </c>
      <c r="Q3774">
        <f>Data!K3790</f>
        <v>0</v>
      </c>
      <c r="R3774">
        <f>Data!L3790</f>
        <v>0</v>
      </c>
      <c r="S3774">
        <f>Data!M3790</f>
        <v>0</v>
      </c>
      <c r="T3774">
        <f>Data!N3790</f>
        <v>0</v>
      </c>
      <c r="U3774">
        <f>Data!O3790</f>
        <v>0</v>
      </c>
      <c r="V3774" s="33">
        <f>Data!P3788</f>
        <v>0</v>
      </c>
    </row>
    <row r="3775" spans="7:22" x14ac:dyDescent="0.25">
      <c r="G3775">
        <f>Data!B3787</f>
        <v>0</v>
      </c>
      <c r="H3775" s="21">
        <f>Data!B3787</f>
        <v>0</v>
      </c>
      <c r="I3775" s="21">
        <f>Data!C3787</f>
        <v>0</v>
      </c>
      <c r="J3775">
        <f>Data!D3787</f>
        <v>0</v>
      </c>
      <c r="K3775">
        <f>Data!E3787</f>
        <v>0</v>
      </c>
      <c r="L3775">
        <f>Data!F3787</f>
        <v>0</v>
      </c>
      <c r="M3775">
        <f>Data!G3787</f>
        <v>0</v>
      </c>
      <c r="N3775">
        <f>Data!H3787</f>
        <v>0</v>
      </c>
      <c r="O3775">
        <f>Data!I3787</f>
        <v>0</v>
      </c>
      <c r="P3775" s="21">
        <f>Data!J3791</f>
        <v>0</v>
      </c>
      <c r="Q3775">
        <f>Data!K3791</f>
        <v>0</v>
      </c>
      <c r="R3775">
        <f>Data!L3791</f>
        <v>0</v>
      </c>
      <c r="S3775">
        <f>Data!M3791</f>
        <v>0</v>
      </c>
      <c r="T3775">
        <f>Data!N3791</f>
        <v>0</v>
      </c>
      <c r="U3775">
        <f>Data!O3791</f>
        <v>0</v>
      </c>
      <c r="V3775" s="33">
        <f>Data!P3789</f>
        <v>0</v>
      </c>
    </row>
    <row r="3776" spans="7:22" x14ac:dyDescent="0.25">
      <c r="G3776">
        <f>Data!B3788</f>
        <v>0</v>
      </c>
      <c r="H3776" s="21">
        <f>Data!B3788</f>
        <v>0</v>
      </c>
      <c r="I3776" s="21">
        <f>Data!C3788</f>
        <v>0</v>
      </c>
      <c r="J3776">
        <f>Data!D3788</f>
        <v>0</v>
      </c>
      <c r="K3776">
        <f>Data!E3788</f>
        <v>0</v>
      </c>
      <c r="L3776">
        <f>Data!F3788</f>
        <v>0</v>
      </c>
      <c r="M3776">
        <f>Data!G3788</f>
        <v>0</v>
      </c>
      <c r="N3776">
        <f>Data!H3788</f>
        <v>0</v>
      </c>
      <c r="O3776">
        <f>Data!I3788</f>
        <v>0</v>
      </c>
      <c r="P3776" s="21">
        <f>Data!J3792</f>
        <v>0</v>
      </c>
      <c r="Q3776">
        <f>Data!K3792</f>
        <v>0</v>
      </c>
      <c r="R3776">
        <f>Data!L3792</f>
        <v>0</v>
      </c>
      <c r="S3776">
        <f>Data!M3792</f>
        <v>0</v>
      </c>
      <c r="T3776">
        <f>Data!N3792</f>
        <v>0</v>
      </c>
      <c r="U3776">
        <f>Data!O3792</f>
        <v>0</v>
      </c>
      <c r="V3776" s="33">
        <f>Data!P3790</f>
        <v>0</v>
      </c>
    </row>
    <row r="3777" spans="7:22" x14ac:dyDescent="0.25">
      <c r="G3777">
        <f>Data!B3789</f>
        <v>0</v>
      </c>
      <c r="H3777" s="21">
        <f>Data!B3789</f>
        <v>0</v>
      </c>
      <c r="I3777" s="21">
        <f>Data!C3789</f>
        <v>0</v>
      </c>
      <c r="J3777">
        <f>Data!D3789</f>
        <v>0</v>
      </c>
      <c r="K3777">
        <f>Data!E3789</f>
        <v>0</v>
      </c>
      <c r="L3777">
        <f>Data!F3789</f>
        <v>0</v>
      </c>
      <c r="M3777">
        <f>Data!G3789</f>
        <v>0</v>
      </c>
      <c r="N3777">
        <f>Data!H3789</f>
        <v>0</v>
      </c>
      <c r="O3777">
        <f>Data!I3789</f>
        <v>0</v>
      </c>
      <c r="P3777" s="21">
        <f>Data!J3793</f>
        <v>0</v>
      </c>
      <c r="Q3777">
        <f>Data!K3793</f>
        <v>0</v>
      </c>
      <c r="R3777">
        <f>Data!L3793</f>
        <v>0</v>
      </c>
      <c r="S3777">
        <f>Data!M3793</f>
        <v>0</v>
      </c>
      <c r="T3777">
        <f>Data!N3793</f>
        <v>0</v>
      </c>
      <c r="U3777">
        <f>Data!O3793</f>
        <v>0</v>
      </c>
      <c r="V3777" s="33">
        <f>Data!P3791</f>
        <v>0</v>
      </c>
    </row>
    <row r="3778" spans="7:22" x14ac:dyDescent="0.25">
      <c r="G3778">
        <f>Data!B3790</f>
        <v>0</v>
      </c>
      <c r="H3778" s="21">
        <f>Data!B3790</f>
        <v>0</v>
      </c>
      <c r="I3778" s="21">
        <f>Data!C3790</f>
        <v>0</v>
      </c>
      <c r="J3778">
        <f>Data!D3790</f>
        <v>0</v>
      </c>
      <c r="K3778">
        <f>Data!E3790</f>
        <v>0</v>
      </c>
      <c r="L3778">
        <f>Data!F3790</f>
        <v>0</v>
      </c>
      <c r="M3778">
        <f>Data!G3790</f>
        <v>0</v>
      </c>
      <c r="N3778">
        <f>Data!H3790</f>
        <v>0</v>
      </c>
      <c r="O3778">
        <f>Data!I3790</f>
        <v>0</v>
      </c>
      <c r="P3778" s="21">
        <f>Data!J3794</f>
        <v>0</v>
      </c>
      <c r="Q3778">
        <f>Data!K3794</f>
        <v>0</v>
      </c>
      <c r="R3778">
        <f>Data!L3794</f>
        <v>0</v>
      </c>
      <c r="S3778">
        <f>Data!M3794</f>
        <v>0</v>
      </c>
      <c r="T3778">
        <f>Data!N3794</f>
        <v>0</v>
      </c>
      <c r="U3778">
        <f>Data!O3794</f>
        <v>0</v>
      </c>
      <c r="V3778" s="33">
        <f>Data!P3792</f>
        <v>0</v>
      </c>
    </row>
    <row r="3779" spans="7:22" x14ac:dyDescent="0.25">
      <c r="G3779">
        <f>Data!B3791</f>
        <v>0</v>
      </c>
      <c r="H3779" s="21">
        <f>Data!B3791</f>
        <v>0</v>
      </c>
      <c r="I3779" s="21">
        <f>Data!C3791</f>
        <v>0</v>
      </c>
      <c r="J3779">
        <f>Data!D3791</f>
        <v>0</v>
      </c>
      <c r="K3779">
        <f>Data!E3791</f>
        <v>0</v>
      </c>
      <c r="L3779">
        <f>Data!F3791</f>
        <v>0</v>
      </c>
      <c r="M3779">
        <f>Data!G3791</f>
        <v>0</v>
      </c>
      <c r="N3779">
        <f>Data!H3791</f>
        <v>0</v>
      </c>
      <c r="O3779">
        <f>Data!I3791</f>
        <v>0</v>
      </c>
      <c r="P3779" s="21">
        <f>Data!J3795</f>
        <v>0</v>
      </c>
      <c r="Q3779">
        <f>Data!K3795</f>
        <v>0</v>
      </c>
      <c r="R3779">
        <f>Data!L3795</f>
        <v>0</v>
      </c>
      <c r="S3779">
        <f>Data!M3795</f>
        <v>0</v>
      </c>
      <c r="T3779">
        <f>Data!N3795</f>
        <v>0</v>
      </c>
      <c r="U3779">
        <f>Data!O3795</f>
        <v>0</v>
      </c>
      <c r="V3779" s="33">
        <f>Data!P3793</f>
        <v>0</v>
      </c>
    </row>
    <row r="3780" spans="7:22" x14ac:dyDescent="0.25">
      <c r="G3780">
        <f>Data!B3792</f>
        <v>0</v>
      </c>
      <c r="H3780" s="21">
        <f>Data!B3792</f>
        <v>0</v>
      </c>
      <c r="I3780" s="21">
        <f>Data!C3792</f>
        <v>0</v>
      </c>
      <c r="J3780">
        <f>Data!D3792</f>
        <v>0</v>
      </c>
      <c r="K3780">
        <f>Data!E3792</f>
        <v>0</v>
      </c>
      <c r="L3780">
        <f>Data!F3792</f>
        <v>0</v>
      </c>
      <c r="M3780">
        <f>Data!G3792</f>
        <v>0</v>
      </c>
      <c r="N3780">
        <f>Data!H3792</f>
        <v>0</v>
      </c>
      <c r="O3780">
        <f>Data!I3792</f>
        <v>0</v>
      </c>
      <c r="P3780" s="21">
        <f>Data!J3796</f>
        <v>0</v>
      </c>
      <c r="Q3780">
        <f>Data!K3796</f>
        <v>0</v>
      </c>
      <c r="R3780">
        <f>Data!L3796</f>
        <v>0</v>
      </c>
      <c r="S3780">
        <f>Data!M3796</f>
        <v>0</v>
      </c>
      <c r="T3780">
        <f>Data!N3796</f>
        <v>0</v>
      </c>
      <c r="U3780">
        <f>Data!O3796</f>
        <v>0</v>
      </c>
      <c r="V3780" s="33">
        <f>Data!P3794</f>
        <v>0</v>
      </c>
    </row>
    <row r="3781" spans="7:22" x14ac:dyDescent="0.25">
      <c r="G3781">
        <f>Data!B3793</f>
        <v>0</v>
      </c>
      <c r="H3781" s="21">
        <f>Data!B3793</f>
        <v>0</v>
      </c>
      <c r="I3781" s="21">
        <f>Data!C3793</f>
        <v>0</v>
      </c>
      <c r="J3781">
        <f>Data!D3793</f>
        <v>0</v>
      </c>
      <c r="K3781">
        <f>Data!E3793</f>
        <v>0</v>
      </c>
      <c r="L3781">
        <f>Data!F3793</f>
        <v>0</v>
      </c>
      <c r="M3781">
        <f>Data!G3793</f>
        <v>0</v>
      </c>
      <c r="N3781">
        <f>Data!H3793</f>
        <v>0</v>
      </c>
      <c r="O3781">
        <f>Data!I3793</f>
        <v>0</v>
      </c>
      <c r="P3781" s="21">
        <f>Data!J3797</f>
        <v>0</v>
      </c>
      <c r="Q3781">
        <f>Data!K3797</f>
        <v>0</v>
      </c>
      <c r="R3781">
        <f>Data!L3797</f>
        <v>0</v>
      </c>
      <c r="S3781">
        <f>Data!M3797</f>
        <v>0</v>
      </c>
      <c r="T3781">
        <f>Data!N3797</f>
        <v>0</v>
      </c>
      <c r="U3781">
        <f>Data!O3797</f>
        <v>0</v>
      </c>
      <c r="V3781" s="33">
        <f>Data!P3795</f>
        <v>0</v>
      </c>
    </row>
    <row r="3782" spans="7:22" x14ac:dyDescent="0.25">
      <c r="G3782">
        <f>Data!B3794</f>
        <v>0</v>
      </c>
      <c r="H3782" s="21">
        <f>Data!B3794</f>
        <v>0</v>
      </c>
      <c r="I3782" s="21">
        <f>Data!C3794</f>
        <v>0</v>
      </c>
      <c r="J3782">
        <f>Data!D3794</f>
        <v>0</v>
      </c>
      <c r="K3782">
        <f>Data!E3794</f>
        <v>0</v>
      </c>
      <c r="L3782">
        <f>Data!F3794</f>
        <v>0</v>
      </c>
      <c r="M3782">
        <f>Data!G3794</f>
        <v>0</v>
      </c>
      <c r="N3782">
        <f>Data!H3794</f>
        <v>0</v>
      </c>
      <c r="O3782">
        <f>Data!I3794</f>
        <v>0</v>
      </c>
      <c r="P3782" s="21">
        <f>Data!J3798</f>
        <v>0</v>
      </c>
      <c r="Q3782">
        <f>Data!K3798</f>
        <v>0</v>
      </c>
      <c r="R3782">
        <f>Data!L3798</f>
        <v>0</v>
      </c>
      <c r="S3782">
        <f>Data!M3798</f>
        <v>0</v>
      </c>
      <c r="T3782">
        <f>Data!N3798</f>
        <v>0</v>
      </c>
      <c r="U3782">
        <f>Data!O3798</f>
        <v>0</v>
      </c>
      <c r="V3782" s="33">
        <f>Data!P3796</f>
        <v>0</v>
      </c>
    </row>
    <row r="3783" spans="7:22" x14ac:dyDescent="0.25">
      <c r="G3783">
        <f>Data!B3795</f>
        <v>0</v>
      </c>
      <c r="H3783" s="21">
        <f>Data!B3795</f>
        <v>0</v>
      </c>
      <c r="I3783" s="21">
        <f>Data!C3795</f>
        <v>0</v>
      </c>
      <c r="J3783">
        <f>Data!D3795</f>
        <v>0</v>
      </c>
      <c r="K3783">
        <f>Data!E3795</f>
        <v>0</v>
      </c>
      <c r="L3783">
        <f>Data!F3795</f>
        <v>0</v>
      </c>
      <c r="M3783">
        <f>Data!G3795</f>
        <v>0</v>
      </c>
      <c r="N3783">
        <f>Data!H3795</f>
        <v>0</v>
      </c>
      <c r="O3783">
        <f>Data!I3795</f>
        <v>0</v>
      </c>
      <c r="P3783" s="21">
        <f>Data!J3799</f>
        <v>0</v>
      </c>
      <c r="Q3783">
        <f>Data!K3799</f>
        <v>0</v>
      </c>
      <c r="R3783">
        <f>Data!L3799</f>
        <v>0</v>
      </c>
      <c r="S3783">
        <f>Data!M3799</f>
        <v>0</v>
      </c>
      <c r="T3783">
        <f>Data!N3799</f>
        <v>0</v>
      </c>
      <c r="U3783">
        <f>Data!O3799</f>
        <v>0</v>
      </c>
      <c r="V3783" s="33">
        <f>Data!P3797</f>
        <v>0</v>
      </c>
    </row>
    <row r="3784" spans="7:22" x14ac:dyDescent="0.25">
      <c r="G3784">
        <f>Data!B3796</f>
        <v>0</v>
      </c>
      <c r="H3784" s="21">
        <f>Data!B3796</f>
        <v>0</v>
      </c>
      <c r="I3784" s="21">
        <f>Data!C3796</f>
        <v>0</v>
      </c>
      <c r="J3784">
        <f>Data!D3796</f>
        <v>0</v>
      </c>
      <c r="K3784">
        <f>Data!E3796</f>
        <v>0</v>
      </c>
      <c r="L3784">
        <f>Data!F3796</f>
        <v>0</v>
      </c>
      <c r="M3784">
        <f>Data!G3796</f>
        <v>0</v>
      </c>
      <c r="N3784">
        <f>Data!H3796</f>
        <v>0</v>
      </c>
      <c r="O3784">
        <f>Data!I3796</f>
        <v>0</v>
      </c>
      <c r="P3784" s="21">
        <f>Data!J3800</f>
        <v>0</v>
      </c>
      <c r="Q3784">
        <f>Data!K3800</f>
        <v>0</v>
      </c>
      <c r="R3784">
        <f>Data!L3800</f>
        <v>0</v>
      </c>
      <c r="S3784">
        <f>Data!M3800</f>
        <v>0</v>
      </c>
      <c r="T3784">
        <f>Data!N3800</f>
        <v>0</v>
      </c>
      <c r="U3784">
        <f>Data!O3800</f>
        <v>0</v>
      </c>
      <c r="V3784" s="33">
        <f>Data!P3798</f>
        <v>0</v>
      </c>
    </row>
    <row r="3785" spans="7:22" x14ac:dyDescent="0.25">
      <c r="G3785">
        <f>Data!B3797</f>
        <v>0</v>
      </c>
      <c r="H3785" s="21">
        <f>Data!B3797</f>
        <v>0</v>
      </c>
      <c r="I3785" s="21">
        <f>Data!C3797</f>
        <v>0</v>
      </c>
      <c r="J3785">
        <f>Data!D3797</f>
        <v>0</v>
      </c>
      <c r="K3785">
        <f>Data!E3797</f>
        <v>0</v>
      </c>
      <c r="L3785">
        <f>Data!F3797</f>
        <v>0</v>
      </c>
      <c r="M3785">
        <f>Data!G3797</f>
        <v>0</v>
      </c>
      <c r="N3785">
        <f>Data!H3797</f>
        <v>0</v>
      </c>
      <c r="O3785">
        <f>Data!I3797</f>
        <v>0</v>
      </c>
      <c r="P3785" s="21">
        <f>Data!J3801</f>
        <v>0</v>
      </c>
      <c r="Q3785">
        <f>Data!K3801</f>
        <v>0</v>
      </c>
      <c r="R3785">
        <f>Data!L3801</f>
        <v>0</v>
      </c>
      <c r="S3785">
        <f>Data!M3801</f>
        <v>0</v>
      </c>
      <c r="T3785">
        <f>Data!N3801</f>
        <v>0</v>
      </c>
      <c r="U3785">
        <f>Data!O3801</f>
        <v>0</v>
      </c>
      <c r="V3785" s="33">
        <f>Data!P3799</f>
        <v>0</v>
      </c>
    </row>
    <row r="3786" spans="7:22" x14ac:dyDescent="0.25">
      <c r="G3786">
        <f>Data!B3798</f>
        <v>0</v>
      </c>
      <c r="H3786" s="21">
        <f>Data!B3798</f>
        <v>0</v>
      </c>
      <c r="I3786" s="21">
        <f>Data!C3798</f>
        <v>0</v>
      </c>
      <c r="J3786">
        <f>Data!D3798</f>
        <v>0</v>
      </c>
      <c r="K3786">
        <f>Data!E3798</f>
        <v>0</v>
      </c>
      <c r="L3786">
        <f>Data!F3798</f>
        <v>0</v>
      </c>
      <c r="M3786">
        <f>Data!G3798</f>
        <v>0</v>
      </c>
      <c r="N3786">
        <f>Data!H3798</f>
        <v>0</v>
      </c>
      <c r="O3786">
        <f>Data!I3798</f>
        <v>0</v>
      </c>
      <c r="P3786" s="21">
        <f>Data!J3802</f>
        <v>0</v>
      </c>
      <c r="Q3786">
        <f>Data!K3802</f>
        <v>0</v>
      </c>
      <c r="R3786">
        <f>Data!L3802</f>
        <v>0</v>
      </c>
      <c r="S3786">
        <f>Data!M3802</f>
        <v>0</v>
      </c>
      <c r="T3786">
        <f>Data!N3802</f>
        <v>0</v>
      </c>
      <c r="U3786">
        <f>Data!O3802</f>
        <v>0</v>
      </c>
      <c r="V3786" s="33">
        <f>Data!P3800</f>
        <v>0</v>
      </c>
    </row>
    <row r="3787" spans="7:22" x14ac:dyDescent="0.25">
      <c r="G3787">
        <f>Data!B3799</f>
        <v>0</v>
      </c>
      <c r="H3787" s="21">
        <f>Data!B3799</f>
        <v>0</v>
      </c>
      <c r="I3787" s="21">
        <f>Data!C3799</f>
        <v>0</v>
      </c>
      <c r="J3787">
        <f>Data!D3799</f>
        <v>0</v>
      </c>
      <c r="K3787">
        <f>Data!E3799</f>
        <v>0</v>
      </c>
      <c r="L3787">
        <f>Data!F3799</f>
        <v>0</v>
      </c>
      <c r="M3787">
        <f>Data!G3799</f>
        <v>0</v>
      </c>
      <c r="N3787">
        <f>Data!H3799</f>
        <v>0</v>
      </c>
      <c r="O3787">
        <f>Data!I3799</f>
        <v>0</v>
      </c>
      <c r="P3787" s="21">
        <f>Data!J3803</f>
        <v>0</v>
      </c>
      <c r="Q3787">
        <f>Data!K3803</f>
        <v>0</v>
      </c>
      <c r="R3787">
        <f>Data!L3803</f>
        <v>0</v>
      </c>
      <c r="S3787">
        <f>Data!M3803</f>
        <v>0</v>
      </c>
      <c r="T3787">
        <f>Data!N3803</f>
        <v>0</v>
      </c>
      <c r="U3787">
        <f>Data!O3803</f>
        <v>0</v>
      </c>
      <c r="V3787" s="33">
        <f>Data!P3801</f>
        <v>0</v>
      </c>
    </row>
    <row r="3788" spans="7:22" x14ac:dyDescent="0.25">
      <c r="G3788">
        <f>Data!B3800</f>
        <v>0</v>
      </c>
      <c r="H3788" s="21">
        <f>Data!B3800</f>
        <v>0</v>
      </c>
      <c r="I3788" s="21">
        <f>Data!C3800</f>
        <v>0</v>
      </c>
      <c r="J3788">
        <f>Data!D3800</f>
        <v>0</v>
      </c>
      <c r="K3788">
        <f>Data!E3800</f>
        <v>0</v>
      </c>
      <c r="L3788">
        <f>Data!F3800</f>
        <v>0</v>
      </c>
      <c r="M3788">
        <f>Data!G3800</f>
        <v>0</v>
      </c>
      <c r="N3788">
        <f>Data!H3800</f>
        <v>0</v>
      </c>
      <c r="O3788">
        <f>Data!I3800</f>
        <v>0</v>
      </c>
      <c r="P3788" s="21">
        <f>Data!J3804</f>
        <v>0</v>
      </c>
      <c r="Q3788">
        <f>Data!K3804</f>
        <v>0</v>
      </c>
      <c r="R3788">
        <f>Data!L3804</f>
        <v>0</v>
      </c>
      <c r="S3788">
        <f>Data!M3804</f>
        <v>0</v>
      </c>
      <c r="T3788">
        <f>Data!N3804</f>
        <v>0</v>
      </c>
      <c r="U3788">
        <f>Data!O3804</f>
        <v>0</v>
      </c>
      <c r="V3788" s="33">
        <f>Data!P3802</f>
        <v>0</v>
      </c>
    </row>
    <row r="3789" spans="7:22" x14ac:dyDescent="0.25">
      <c r="G3789">
        <f>Data!B3801</f>
        <v>0</v>
      </c>
      <c r="H3789" s="21">
        <f>Data!B3801</f>
        <v>0</v>
      </c>
      <c r="I3789" s="21">
        <f>Data!C3801</f>
        <v>0</v>
      </c>
      <c r="J3789">
        <f>Data!D3801</f>
        <v>0</v>
      </c>
      <c r="K3789">
        <f>Data!E3801</f>
        <v>0</v>
      </c>
      <c r="L3789">
        <f>Data!F3801</f>
        <v>0</v>
      </c>
      <c r="M3789">
        <f>Data!G3801</f>
        <v>0</v>
      </c>
      <c r="N3789">
        <f>Data!H3801</f>
        <v>0</v>
      </c>
      <c r="O3789">
        <f>Data!I3801</f>
        <v>0</v>
      </c>
      <c r="P3789" s="21">
        <f>Data!J3805</f>
        <v>0</v>
      </c>
      <c r="Q3789">
        <f>Data!K3805</f>
        <v>0</v>
      </c>
      <c r="R3789">
        <f>Data!L3805</f>
        <v>0</v>
      </c>
      <c r="S3789">
        <f>Data!M3805</f>
        <v>0</v>
      </c>
      <c r="T3789">
        <f>Data!N3805</f>
        <v>0</v>
      </c>
      <c r="U3789">
        <f>Data!O3805</f>
        <v>0</v>
      </c>
      <c r="V3789" s="33">
        <f>Data!P3803</f>
        <v>0</v>
      </c>
    </row>
    <row r="3790" spans="7:22" x14ac:dyDescent="0.25">
      <c r="G3790">
        <f>Data!B3802</f>
        <v>0</v>
      </c>
      <c r="H3790" s="21">
        <f>Data!B3802</f>
        <v>0</v>
      </c>
      <c r="I3790" s="21">
        <f>Data!C3802</f>
        <v>0</v>
      </c>
      <c r="J3790">
        <f>Data!D3802</f>
        <v>0</v>
      </c>
      <c r="K3790">
        <f>Data!E3802</f>
        <v>0</v>
      </c>
      <c r="L3790">
        <f>Data!F3802</f>
        <v>0</v>
      </c>
      <c r="M3790">
        <f>Data!G3802</f>
        <v>0</v>
      </c>
      <c r="N3790">
        <f>Data!H3802</f>
        <v>0</v>
      </c>
      <c r="O3790">
        <f>Data!I3802</f>
        <v>0</v>
      </c>
      <c r="P3790" s="21">
        <f>Data!J3806</f>
        <v>0</v>
      </c>
      <c r="Q3790">
        <f>Data!K3806</f>
        <v>0</v>
      </c>
      <c r="R3790">
        <f>Data!L3806</f>
        <v>0</v>
      </c>
      <c r="S3790">
        <f>Data!M3806</f>
        <v>0</v>
      </c>
      <c r="T3790">
        <f>Data!N3806</f>
        <v>0</v>
      </c>
      <c r="U3790">
        <f>Data!O3806</f>
        <v>0</v>
      </c>
      <c r="V3790" s="33">
        <f>Data!P3804</f>
        <v>0</v>
      </c>
    </row>
    <row r="3791" spans="7:22" x14ac:dyDescent="0.25">
      <c r="G3791">
        <f>Data!B3803</f>
        <v>0</v>
      </c>
      <c r="H3791" s="21">
        <f>Data!B3803</f>
        <v>0</v>
      </c>
      <c r="I3791" s="21">
        <f>Data!C3803</f>
        <v>0</v>
      </c>
      <c r="J3791">
        <f>Data!D3803</f>
        <v>0</v>
      </c>
      <c r="K3791">
        <f>Data!E3803</f>
        <v>0</v>
      </c>
      <c r="L3791">
        <f>Data!F3803</f>
        <v>0</v>
      </c>
      <c r="M3791">
        <f>Data!G3803</f>
        <v>0</v>
      </c>
      <c r="N3791">
        <f>Data!H3803</f>
        <v>0</v>
      </c>
      <c r="O3791">
        <f>Data!I3803</f>
        <v>0</v>
      </c>
      <c r="P3791" s="21">
        <f>Data!J3807</f>
        <v>0</v>
      </c>
      <c r="Q3791">
        <f>Data!K3807</f>
        <v>0</v>
      </c>
      <c r="R3791">
        <f>Data!L3807</f>
        <v>0</v>
      </c>
      <c r="S3791">
        <f>Data!M3807</f>
        <v>0</v>
      </c>
      <c r="T3791">
        <f>Data!N3807</f>
        <v>0</v>
      </c>
      <c r="U3791">
        <f>Data!O3807</f>
        <v>0</v>
      </c>
      <c r="V3791" s="33">
        <f>Data!P3805</f>
        <v>0</v>
      </c>
    </row>
    <row r="3792" spans="7:22" x14ac:dyDescent="0.25">
      <c r="G3792">
        <f>Data!B3804</f>
        <v>0</v>
      </c>
      <c r="H3792" s="21">
        <f>Data!B3804</f>
        <v>0</v>
      </c>
      <c r="I3792" s="21">
        <f>Data!C3804</f>
        <v>0</v>
      </c>
      <c r="J3792">
        <f>Data!D3804</f>
        <v>0</v>
      </c>
      <c r="K3792">
        <f>Data!E3804</f>
        <v>0</v>
      </c>
      <c r="L3792">
        <f>Data!F3804</f>
        <v>0</v>
      </c>
      <c r="M3792">
        <f>Data!G3804</f>
        <v>0</v>
      </c>
      <c r="N3792">
        <f>Data!H3804</f>
        <v>0</v>
      </c>
      <c r="O3792">
        <f>Data!I3804</f>
        <v>0</v>
      </c>
      <c r="P3792" s="21">
        <f>Data!J3808</f>
        <v>0</v>
      </c>
      <c r="Q3792">
        <f>Data!K3808</f>
        <v>0</v>
      </c>
      <c r="R3792">
        <f>Data!L3808</f>
        <v>0</v>
      </c>
      <c r="S3792">
        <f>Data!M3808</f>
        <v>0</v>
      </c>
      <c r="T3792">
        <f>Data!N3808</f>
        <v>0</v>
      </c>
      <c r="U3792">
        <f>Data!O3808</f>
        <v>0</v>
      </c>
      <c r="V3792" s="33">
        <f>Data!P3806</f>
        <v>0</v>
      </c>
    </row>
    <row r="3793" spans="7:22" x14ac:dyDescent="0.25">
      <c r="G3793">
        <f>Data!B3805</f>
        <v>0</v>
      </c>
      <c r="H3793" s="21">
        <f>Data!B3805</f>
        <v>0</v>
      </c>
      <c r="I3793" s="21">
        <f>Data!C3805</f>
        <v>0</v>
      </c>
      <c r="J3793">
        <f>Data!D3805</f>
        <v>0</v>
      </c>
      <c r="K3793">
        <f>Data!E3805</f>
        <v>0</v>
      </c>
      <c r="L3793">
        <f>Data!F3805</f>
        <v>0</v>
      </c>
      <c r="M3793">
        <f>Data!G3805</f>
        <v>0</v>
      </c>
      <c r="N3793">
        <f>Data!H3805</f>
        <v>0</v>
      </c>
      <c r="O3793">
        <f>Data!I3805</f>
        <v>0</v>
      </c>
      <c r="P3793" s="21">
        <f>Data!J3809</f>
        <v>0</v>
      </c>
      <c r="Q3793">
        <f>Data!K3809</f>
        <v>0</v>
      </c>
      <c r="R3793">
        <f>Data!L3809</f>
        <v>0</v>
      </c>
      <c r="S3793">
        <f>Data!M3809</f>
        <v>0</v>
      </c>
      <c r="T3793">
        <f>Data!N3809</f>
        <v>0</v>
      </c>
      <c r="U3793">
        <f>Data!O3809</f>
        <v>0</v>
      </c>
      <c r="V3793" s="33">
        <f>Data!P3807</f>
        <v>0</v>
      </c>
    </row>
    <row r="3794" spans="7:22" x14ac:dyDescent="0.25">
      <c r="G3794">
        <f>Data!B3806</f>
        <v>0</v>
      </c>
      <c r="H3794" s="21">
        <f>Data!B3806</f>
        <v>0</v>
      </c>
      <c r="I3794" s="21">
        <f>Data!C3806</f>
        <v>0</v>
      </c>
      <c r="J3794">
        <f>Data!D3806</f>
        <v>0</v>
      </c>
      <c r="K3794">
        <f>Data!E3806</f>
        <v>0</v>
      </c>
      <c r="L3794">
        <f>Data!F3806</f>
        <v>0</v>
      </c>
      <c r="M3794">
        <f>Data!G3806</f>
        <v>0</v>
      </c>
      <c r="N3794">
        <f>Data!H3806</f>
        <v>0</v>
      </c>
      <c r="O3794">
        <f>Data!I3806</f>
        <v>0</v>
      </c>
      <c r="P3794" s="21">
        <f>Data!J3810</f>
        <v>0</v>
      </c>
      <c r="Q3794">
        <f>Data!K3810</f>
        <v>0</v>
      </c>
      <c r="R3794">
        <f>Data!L3810</f>
        <v>0</v>
      </c>
      <c r="S3794">
        <f>Data!M3810</f>
        <v>0</v>
      </c>
      <c r="T3794">
        <f>Data!N3810</f>
        <v>0</v>
      </c>
      <c r="U3794">
        <f>Data!O3810</f>
        <v>0</v>
      </c>
      <c r="V3794" s="33">
        <f>Data!P3808</f>
        <v>0</v>
      </c>
    </row>
    <row r="3795" spans="7:22" x14ac:dyDescent="0.25">
      <c r="G3795">
        <f>Data!B3807</f>
        <v>0</v>
      </c>
      <c r="H3795" s="21">
        <f>Data!B3807</f>
        <v>0</v>
      </c>
      <c r="I3795" s="21">
        <f>Data!C3807</f>
        <v>0</v>
      </c>
      <c r="J3795">
        <f>Data!D3807</f>
        <v>0</v>
      </c>
      <c r="K3795">
        <f>Data!E3807</f>
        <v>0</v>
      </c>
      <c r="L3795">
        <f>Data!F3807</f>
        <v>0</v>
      </c>
      <c r="M3795">
        <f>Data!G3807</f>
        <v>0</v>
      </c>
      <c r="N3795">
        <f>Data!H3807</f>
        <v>0</v>
      </c>
      <c r="O3795">
        <f>Data!I3807</f>
        <v>0</v>
      </c>
      <c r="P3795" s="21">
        <f>Data!J3811</f>
        <v>0</v>
      </c>
      <c r="Q3795">
        <f>Data!K3811</f>
        <v>0</v>
      </c>
      <c r="R3795">
        <f>Data!L3811</f>
        <v>0</v>
      </c>
      <c r="S3795">
        <f>Data!M3811</f>
        <v>0</v>
      </c>
      <c r="T3795">
        <f>Data!N3811</f>
        <v>0</v>
      </c>
      <c r="U3795">
        <f>Data!O3811</f>
        <v>0</v>
      </c>
      <c r="V3795" s="33">
        <f>Data!P3809</f>
        <v>0</v>
      </c>
    </row>
    <row r="3796" spans="7:22" x14ac:dyDescent="0.25">
      <c r="G3796">
        <f>Data!B3808</f>
        <v>0</v>
      </c>
      <c r="H3796" s="21">
        <f>Data!B3808</f>
        <v>0</v>
      </c>
      <c r="I3796" s="21">
        <f>Data!C3808</f>
        <v>0</v>
      </c>
      <c r="J3796">
        <f>Data!D3808</f>
        <v>0</v>
      </c>
      <c r="K3796">
        <f>Data!E3808</f>
        <v>0</v>
      </c>
      <c r="L3796">
        <f>Data!F3808</f>
        <v>0</v>
      </c>
      <c r="M3796">
        <f>Data!G3808</f>
        <v>0</v>
      </c>
      <c r="N3796">
        <f>Data!H3808</f>
        <v>0</v>
      </c>
      <c r="O3796">
        <f>Data!I3808</f>
        <v>0</v>
      </c>
      <c r="P3796" s="21">
        <f>Data!J3812</f>
        <v>0</v>
      </c>
      <c r="Q3796">
        <f>Data!K3812</f>
        <v>0</v>
      </c>
      <c r="R3796">
        <f>Data!L3812</f>
        <v>0</v>
      </c>
      <c r="S3796">
        <f>Data!M3812</f>
        <v>0</v>
      </c>
      <c r="T3796">
        <f>Data!N3812</f>
        <v>0</v>
      </c>
      <c r="U3796">
        <f>Data!O3812</f>
        <v>0</v>
      </c>
      <c r="V3796" s="33">
        <f>Data!P3810</f>
        <v>0</v>
      </c>
    </row>
    <row r="3797" spans="7:22" x14ac:dyDescent="0.25">
      <c r="G3797">
        <f>Data!B3809</f>
        <v>0</v>
      </c>
      <c r="H3797" s="21">
        <f>Data!B3809</f>
        <v>0</v>
      </c>
      <c r="I3797" s="21">
        <f>Data!C3809</f>
        <v>0</v>
      </c>
      <c r="J3797">
        <f>Data!D3809</f>
        <v>0</v>
      </c>
      <c r="K3797">
        <f>Data!E3809</f>
        <v>0</v>
      </c>
      <c r="L3797">
        <f>Data!F3809</f>
        <v>0</v>
      </c>
      <c r="M3797">
        <f>Data!G3809</f>
        <v>0</v>
      </c>
      <c r="N3797">
        <f>Data!H3809</f>
        <v>0</v>
      </c>
      <c r="O3797">
        <f>Data!I3809</f>
        <v>0</v>
      </c>
      <c r="P3797" s="21">
        <f>Data!J3813</f>
        <v>0</v>
      </c>
      <c r="Q3797">
        <f>Data!K3813</f>
        <v>0</v>
      </c>
      <c r="R3797">
        <f>Data!L3813</f>
        <v>0</v>
      </c>
      <c r="S3797">
        <f>Data!M3813</f>
        <v>0</v>
      </c>
      <c r="T3797">
        <f>Data!N3813</f>
        <v>0</v>
      </c>
      <c r="U3797">
        <f>Data!O3813</f>
        <v>0</v>
      </c>
      <c r="V3797" s="33">
        <f>Data!P3811</f>
        <v>0</v>
      </c>
    </row>
    <row r="3798" spans="7:22" x14ac:dyDescent="0.25">
      <c r="G3798">
        <f>Data!B3810</f>
        <v>0</v>
      </c>
      <c r="H3798" s="21">
        <f>Data!B3810</f>
        <v>0</v>
      </c>
      <c r="I3798" s="21">
        <f>Data!C3810</f>
        <v>0</v>
      </c>
      <c r="J3798">
        <f>Data!D3810</f>
        <v>0</v>
      </c>
      <c r="K3798">
        <f>Data!E3810</f>
        <v>0</v>
      </c>
      <c r="L3798">
        <f>Data!F3810</f>
        <v>0</v>
      </c>
      <c r="M3798">
        <f>Data!G3810</f>
        <v>0</v>
      </c>
      <c r="N3798">
        <f>Data!H3810</f>
        <v>0</v>
      </c>
      <c r="O3798">
        <f>Data!I3810</f>
        <v>0</v>
      </c>
      <c r="P3798" s="21">
        <f>Data!J3814</f>
        <v>0</v>
      </c>
      <c r="Q3798">
        <f>Data!K3814</f>
        <v>0</v>
      </c>
      <c r="R3798">
        <f>Data!L3814</f>
        <v>0</v>
      </c>
      <c r="S3798">
        <f>Data!M3814</f>
        <v>0</v>
      </c>
      <c r="T3798">
        <f>Data!N3814</f>
        <v>0</v>
      </c>
      <c r="U3798">
        <f>Data!O3814</f>
        <v>0</v>
      </c>
      <c r="V3798" s="33">
        <f>Data!P3812</f>
        <v>0</v>
      </c>
    </row>
    <row r="3799" spans="7:22" x14ac:dyDescent="0.25">
      <c r="G3799">
        <f>Data!B3811</f>
        <v>0</v>
      </c>
      <c r="H3799" s="21">
        <f>Data!B3811</f>
        <v>0</v>
      </c>
      <c r="I3799" s="21">
        <f>Data!C3811</f>
        <v>0</v>
      </c>
      <c r="J3799">
        <f>Data!D3811</f>
        <v>0</v>
      </c>
      <c r="K3799">
        <f>Data!E3811</f>
        <v>0</v>
      </c>
      <c r="L3799">
        <f>Data!F3811</f>
        <v>0</v>
      </c>
      <c r="M3799">
        <f>Data!G3811</f>
        <v>0</v>
      </c>
      <c r="N3799">
        <f>Data!H3811</f>
        <v>0</v>
      </c>
      <c r="O3799">
        <f>Data!I3811</f>
        <v>0</v>
      </c>
      <c r="P3799" s="21">
        <f>Data!J3815</f>
        <v>0</v>
      </c>
      <c r="Q3799">
        <f>Data!K3815</f>
        <v>0</v>
      </c>
      <c r="R3799">
        <f>Data!L3815</f>
        <v>0</v>
      </c>
      <c r="S3799">
        <f>Data!M3815</f>
        <v>0</v>
      </c>
      <c r="T3799">
        <f>Data!N3815</f>
        <v>0</v>
      </c>
      <c r="U3799">
        <f>Data!O3815</f>
        <v>0</v>
      </c>
      <c r="V3799" s="33">
        <f>Data!P3813</f>
        <v>0</v>
      </c>
    </row>
    <row r="3800" spans="7:22" x14ac:dyDescent="0.25">
      <c r="G3800">
        <f>Data!B3812</f>
        <v>0</v>
      </c>
      <c r="H3800" s="21">
        <f>Data!B3812</f>
        <v>0</v>
      </c>
      <c r="I3800" s="21">
        <f>Data!C3812</f>
        <v>0</v>
      </c>
      <c r="J3800">
        <f>Data!D3812</f>
        <v>0</v>
      </c>
      <c r="K3800">
        <f>Data!E3812</f>
        <v>0</v>
      </c>
      <c r="L3800">
        <f>Data!F3812</f>
        <v>0</v>
      </c>
      <c r="M3800">
        <f>Data!G3812</f>
        <v>0</v>
      </c>
      <c r="N3800">
        <f>Data!H3812</f>
        <v>0</v>
      </c>
      <c r="O3800">
        <f>Data!I3812</f>
        <v>0</v>
      </c>
      <c r="P3800" s="21">
        <f>Data!J3816</f>
        <v>0</v>
      </c>
      <c r="Q3800">
        <f>Data!K3816</f>
        <v>0</v>
      </c>
      <c r="R3800">
        <f>Data!L3816</f>
        <v>0</v>
      </c>
      <c r="S3800">
        <f>Data!M3816</f>
        <v>0</v>
      </c>
      <c r="T3800">
        <f>Data!N3816</f>
        <v>0</v>
      </c>
      <c r="U3800">
        <f>Data!O3816</f>
        <v>0</v>
      </c>
      <c r="V3800" s="33">
        <f>Data!P3814</f>
        <v>0</v>
      </c>
    </row>
    <row r="3801" spans="7:22" x14ac:dyDescent="0.25">
      <c r="G3801">
        <f>Data!B3813</f>
        <v>0</v>
      </c>
      <c r="H3801" s="21">
        <f>Data!B3813</f>
        <v>0</v>
      </c>
      <c r="I3801" s="21">
        <f>Data!C3813</f>
        <v>0</v>
      </c>
      <c r="J3801">
        <f>Data!D3813</f>
        <v>0</v>
      </c>
      <c r="K3801">
        <f>Data!E3813</f>
        <v>0</v>
      </c>
      <c r="L3801">
        <f>Data!F3813</f>
        <v>0</v>
      </c>
      <c r="M3801">
        <f>Data!G3813</f>
        <v>0</v>
      </c>
      <c r="N3801">
        <f>Data!H3813</f>
        <v>0</v>
      </c>
      <c r="O3801">
        <f>Data!I3813</f>
        <v>0</v>
      </c>
      <c r="P3801" s="21">
        <f>Data!J3817</f>
        <v>0</v>
      </c>
      <c r="Q3801">
        <f>Data!K3817</f>
        <v>0</v>
      </c>
      <c r="R3801">
        <f>Data!L3817</f>
        <v>0</v>
      </c>
      <c r="S3801">
        <f>Data!M3817</f>
        <v>0</v>
      </c>
      <c r="T3801">
        <f>Data!N3817</f>
        <v>0</v>
      </c>
      <c r="U3801">
        <f>Data!O3817</f>
        <v>0</v>
      </c>
      <c r="V3801" s="33">
        <f>Data!P3815</f>
        <v>0</v>
      </c>
    </row>
    <row r="3802" spans="7:22" x14ac:dyDescent="0.25">
      <c r="G3802">
        <f>Data!B3814</f>
        <v>0</v>
      </c>
      <c r="H3802" s="21">
        <f>Data!B3814</f>
        <v>0</v>
      </c>
      <c r="I3802" s="21">
        <f>Data!C3814</f>
        <v>0</v>
      </c>
      <c r="J3802">
        <f>Data!D3814</f>
        <v>0</v>
      </c>
      <c r="K3802">
        <f>Data!E3814</f>
        <v>0</v>
      </c>
      <c r="L3802">
        <f>Data!F3814</f>
        <v>0</v>
      </c>
      <c r="M3802">
        <f>Data!G3814</f>
        <v>0</v>
      </c>
      <c r="N3802">
        <f>Data!H3814</f>
        <v>0</v>
      </c>
      <c r="O3802">
        <f>Data!I3814</f>
        <v>0</v>
      </c>
      <c r="P3802" s="21">
        <f>Data!J3818</f>
        <v>0</v>
      </c>
      <c r="Q3802">
        <f>Data!K3818</f>
        <v>0</v>
      </c>
      <c r="R3802">
        <f>Data!L3818</f>
        <v>0</v>
      </c>
      <c r="S3802">
        <f>Data!M3818</f>
        <v>0</v>
      </c>
      <c r="T3802">
        <f>Data!N3818</f>
        <v>0</v>
      </c>
      <c r="U3802">
        <f>Data!O3818</f>
        <v>0</v>
      </c>
      <c r="V3802" s="33">
        <f>Data!P3816</f>
        <v>0</v>
      </c>
    </row>
    <row r="3803" spans="7:22" x14ac:dyDescent="0.25">
      <c r="G3803">
        <f>Data!B3815</f>
        <v>0</v>
      </c>
      <c r="H3803" s="21">
        <f>Data!B3815</f>
        <v>0</v>
      </c>
      <c r="I3803" s="21">
        <f>Data!C3815</f>
        <v>0</v>
      </c>
      <c r="J3803">
        <f>Data!D3815</f>
        <v>0</v>
      </c>
      <c r="K3803">
        <f>Data!E3815</f>
        <v>0</v>
      </c>
      <c r="L3803">
        <f>Data!F3815</f>
        <v>0</v>
      </c>
      <c r="M3803">
        <f>Data!G3815</f>
        <v>0</v>
      </c>
      <c r="N3803">
        <f>Data!H3815</f>
        <v>0</v>
      </c>
      <c r="O3803">
        <f>Data!I3815</f>
        <v>0</v>
      </c>
      <c r="P3803" s="21">
        <f>Data!J3819</f>
        <v>0</v>
      </c>
      <c r="Q3803">
        <f>Data!K3819</f>
        <v>0</v>
      </c>
      <c r="R3803">
        <f>Data!L3819</f>
        <v>0</v>
      </c>
      <c r="S3803">
        <f>Data!M3819</f>
        <v>0</v>
      </c>
      <c r="T3803">
        <f>Data!N3819</f>
        <v>0</v>
      </c>
      <c r="U3803">
        <f>Data!O3819</f>
        <v>0</v>
      </c>
      <c r="V3803" s="33">
        <f>Data!P3817</f>
        <v>0</v>
      </c>
    </row>
    <row r="3804" spans="7:22" x14ac:dyDescent="0.25">
      <c r="G3804">
        <f>Data!B3816</f>
        <v>0</v>
      </c>
      <c r="H3804" s="21">
        <f>Data!B3816</f>
        <v>0</v>
      </c>
      <c r="I3804" s="21">
        <f>Data!C3816</f>
        <v>0</v>
      </c>
      <c r="J3804">
        <f>Data!D3816</f>
        <v>0</v>
      </c>
      <c r="K3804">
        <f>Data!E3816</f>
        <v>0</v>
      </c>
      <c r="L3804">
        <f>Data!F3816</f>
        <v>0</v>
      </c>
      <c r="M3804">
        <f>Data!G3816</f>
        <v>0</v>
      </c>
      <c r="N3804">
        <f>Data!H3816</f>
        <v>0</v>
      </c>
      <c r="O3804">
        <f>Data!I3816</f>
        <v>0</v>
      </c>
      <c r="P3804" s="21">
        <f>Data!J3820</f>
        <v>0</v>
      </c>
      <c r="Q3804">
        <f>Data!K3820</f>
        <v>0</v>
      </c>
      <c r="R3804">
        <f>Data!L3820</f>
        <v>0</v>
      </c>
      <c r="S3804">
        <f>Data!M3820</f>
        <v>0</v>
      </c>
      <c r="T3804">
        <f>Data!N3820</f>
        <v>0</v>
      </c>
      <c r="U3804">
        <f>Data!O3820</f>
        <v>0</v>
      </c>
      <c r="V3804" s="33">
        <f>Data!P3818</f>
        <v>0</v>
      </c>
    </row>
    <row r="3805" spans="7:22" x14ac:dyDescent="0.25">
      <c r="G3805">
        <f>Data!B3817</f>
        <v>0</v>
      </c>
      <c r="H3805" s="21">
        <f>Data!B3817</f>
        <v>0</v>
      </c>
      <c r="I3805" s="21">
        <f>Data!C3817</f>
        <v>0</v>
      </c>
      <c r="J3805">
        <f>Data!D3817</f>
        <v>0</v>
      </c>
      <c r="K3805">
        <f>Data!E3817</f>
        <v>0</v>
      </c>
      <c r="L3805">
        <f>Data!F3817</f>
        <v>0</v>
      </c>
      <c r="M3805">
        <f>Data!G3817</f>
        <v>0</v>
      </c>
      <c r="N3805">
        <f>Data!H3817</f>
        <v>0</v>
      </c>
      <c r="O3805">
        <f>Data!I3817</f>
        <v>0</v>
      </c>
      <c r="P3805" s="21">
        <f>Data!J3821</f>
        <v>0</v>
      </c>
      <c r="Q3805">
        <f>Data!K3821</f>
        <v>0</v>
      </c>
      <c r="R3805">
        <f>Data!L3821</f>
        <v>0</v>
      </c>
      <c r="S3805">
        <f>Data!M3821</f>
        <v>0</v>
      </c>
      <c r="T3805">
        <f>Data!N3821</f>
        <v>0</v>
      </c>
      <c r="U3805">
        <f>Data!O3821</f>
        <v>0</v>
      </c>
      <c r="V3805" s="33">
        <f>Data!P3819</f>
        <v>0</v>
      </c>
    </row>
    <row r="3806" spans="7:22" x14ac:dyDescent="0.25">
      <c r="G3806">
        <f>Data!B3818</f>
        <v>0</v>
      </c>
      <c r="H3806" s="21">
        <f>Data!B3818</f>
        <v>0</v>
      </c>
      <c r="I3806" s="21">
        <f>Data!C3818</f>
        <v>0</v>
      </c>
      <c r="J3806">
        <f>Data!D3818</f>
        <v>0</v>
      </c>
      <c r="K3806">
        <f>Data!E3818</f>
        <v>0</v>
      </c>
      <c r="L3806">
        <f>Data!F3818</f>
        <v>0</v>
      </c>
      <c r="M3806">
        <f>Data!G3818</f>
        <v>0</v>
      </c>
      <c r="N3806">
        <f>Data!H3818</f>
        <v>0</v>
      </c>
      <c r="O3806">
        <f>Data!I3818</f>
        <v>0</v>
      </c>
      <c r="P3806" s="21">
        <f>Data!J3822</f>
        <v>0</v>
      </c>
      <c r="Q3806">
        <f>Data!K3822</f>
        <v>0</v>
      </c>
      <c r="R3806">
        <f>Data!L3822</f>
        <v>0</v>
      </c>
      <c r="S3806">
        <f>Data!M3822</f>
        <v>0</v>
      </c>
      <c r="T3806">
        <f>Data!N3822</f>
        <v>0</v>
      </c>
      <c r="U3806">
        <f>Data!O3822</f>
        <v>0</v>
      </c>
      <c r="V3806" s="33">
        <f>Data!P3820</f>
        <v>0</v>
      </c>
    </row>
    <row r="3807" spans="7:22" x14ac:dyDescent="0.25">
      <c r="G3807">
        <f>Data!B3819</f>
        <v>0</v>
      </c>
      <c r="H3807" s="21">
        <f>Data!B3819</f>
        <v>0</v>
      </c>
      <c r="I3807" s="21">
        <f>Data!C3819</f>
        <v>0</v>
      </c>
      <c r="J3807">
        <f>Data!D3819</f>
        <v>0</v>
      </c>
      <c r="K3807">
        <f>Data!E3819</f>
        <v>0</v>
      </c>
      <c r="L3807">
        <f>Data!F3819</f>
        <v>0</v>
      </c>
      <c r="M3807">
        <f>Data!G3819</f>
        <v>0</v>
      </c>
      <c r="N3807">
        <f>Data!H3819</f>
        <v>0</v>
      </c>
      <c r="O3807">
        <f>Data!I3819</f>
        <v>0</v>
      </c>
      <c r="P3807" s="21">
        <f>Data!J3823</f>
        <v>0</v>
      </c>
      <c r="Q3807">
        <f>Data!K3823</f>
        <v>0</v>
      </c>
      <c r="R3807">
        <f>Data!L3823</f>
        <v>0</v>
      </c>
      <c r="S3807">
        <f>Data!M3823</f>
        <v>0</v>
      </c>
      <c r="T3807">
        <f>Data!N3823</f>
        <v>0</v>
      </c>
      <c r="U3807">
        <f>Data!O3823</f>
        <v>0</v>
      </c>
      <c r="V3807" s="33">
        <f>Data!P3821</f>
        <v>0</v>
      </c>
    </row>
    <row r="3808" spans="7:22" x14ac:dyDescent="0.25">
      <c r="G3808">
        <f>Data!B3820</f>
        <v>0</v>
      </c>
      <c r="H3808" s="21">
        <f>Data!B3820</f>
        <v>0</v>
      </c>
      <c r="I3808" s="21">
        <f>Data!C3820</f>
        <v>0</v>
      </c>
      <c r="J3808">
        <f>Data!D3820</f>
        <v>0</v>
      </c>
      <c r="K3808">
        <f>Data!E3820</f>
        <v>0</v>
      </c>
      <c r="L3808">
        <f>Data!F3820</f>
        <v>0</v>
      </c>
      <c r="M3808">
        <f>Data!G3820</f>
        <v>0</v>
      </c>
      <c r="N3808">
        <f>Data!H3820</f>
        <v>0</v>
      </c>
      <c r="O3808">
        <f>Data!I3820</f>
        <v>0</v>
      </c>
      <c r="P3808" s="21">
        <f>Data!J3824</f>
        <v>0</v>
      </c>
      <c r="Q3808">
        <f>Data!K3824</f>
        <v>0</v>
      </c>
      <c r="R3808">
        <f>Data!L3824</f>
        <v>0</v>
      </c>
      <c r="S3808">
        <f>Data!M3824</f>
        <v>0</v>
      </c>
      <c r="T3808">
        <f>Data!N3824</f>
        <v>0</v>
      </c>
      <c r="U3808">
        <f>Data!O3824</f>
        <v>0</v>
      </c>
      <c r="V3808" s="33">
        <f>Data!P3822</f>
        <v>0</v>
      </c>
    </row>
    <row r="3809" spans="7:22" x14ac:dyDescent="0.25">
      <c r="G3809">
        <f>Data!B3821</f>
        <v>0</v>
      </c>
      <c r="H3809" s="21">
        <f>Data!B3821</f>
        <v>0</v>
      </c>
      <c r="I3809" s="21">
        <f>Data!C3821</f>
        <v>0</v>
      </c>
      <c r="J3809">
        <f>Data!D3821</f>
        <v>0</v>
      </c>
      <c r="K3809">
        <f>Data!E3821</f>
        <v>0</v>
      </c>
      <c r="L3809">
        <f>Data!F3821</f>
        <v>0</v>
      </c>
      <c r="M3809">
        <f>Data!G3821</f>
        <v>0</v>
      </c>
      <c r="N3809">
        <f>Data!H3821</f>
        <v>0</v>
      </c>
      <c r="O3809">
        <f>Data!I3821</f>
        <v>0</v>
      </c>
      <c r="P3809" s="21">
        <f>Data!J3825</f>
        <v>0</v>
      </c>
      <c r="Q3809">
        <f>Data!K3825</f>
        <v>0</v>
      </c>
      <c r="R3809">
        <f>Data!L3825</f>
        <v>0</v>
      </c>
      <c r="S3809">
        <f>Data!M3825</f>
        <v>0</v>
      </c>
      <c r="T3809">
        <f>Data!N3825</f>
        <v>0</v>
      </c>
      <c r="U3809">
        <f>Data!O3825</f>
        <v>0</v>
      </c>
      <c r="V3809" s="33">
        <f>Data!P3823</f>
        <v>0</v>
      </c>
    </row>
    <row r="3810" spans="7:22" x14ac:dyDescent="0.25">
      <c r="G3810">
        <f>Data!B3822</f>
        <v>0</v>
      </c>
      <c r="H3810" s="21">
        <f>Data!B3822</f>
        <v>0</v>
      </c>
      <c r="I3810" s="21">
        <f>Data!C3822</f>
        <v>0</v>
      </c>
      <c r="J3810">
        <f>Data!D3822</f>
        <v>0</v>
      </c>
      <c r="K3810">
        <f>Data!E3822</f>
        <v>0</v>
      </c>
      <c r="L3810">
        <f>Data!F3822</f>
        <v>0</v>
      </c>
      <c r="M3810">
        <f>Data!G3822</f>
        <v>0</v>
      </c>
      <c r="N3810">
        <f>Data!H3822</f>
        <v>0</v>
      </c>
      <c r="O3810">
        <f>Data!I3822</f>
        <v>0</v>
      </c>
      <c r="P3810" s="21">
        <f>Data!J3826</f>
        <v>0</v>
      </c>
      <c r="Q3810">
        <f>Data!K3826</f>
        <v>0</v>
      </c>
      <c r="R3810">
        <f>Data!L3826</f>
        <v>0</v>
      </c>
      <c r="S3810">
        <f>Data!M3826</f>
        <v>0</v>
      </c>
      <c r="T3810">
        <f>Data!N3826</f>
        <v>0</v>
      </c>
      <c r="U3810">
        <f>Data!O3826</f>
        <v>0</v>
      </c>
      <c r="V3810" s="33">
        <f>Data!P3824</f>
        <v>0</v>
      </c>
    </row>
    <row r="3811" spans="7:22" x14ac:dyDescent="0.25">
      <c r="G3811">
        <f>Data!B3823</f>
        <v>0</v>
      </c>
      <c r="H3811" s="21">
        <f>Data!B3823</f>
        <v>0</v>
      </c>
      <c r="I3811" s="21">
        <f>Data!C3823</f>
        <v>0</v>
      </c>
      <c r="J3811">
        <f>Data!D3823</f>
        <v>0</v>
      </c>
      <c r="K3811">
        <f>Data!E3823</f>
        <v>0</v>
      </c>
      <c r="L3811">
        <f>Data!F3823</f>
        <v>0</v>
      </c>
      <c r="M3811">
        <f>Data!G3823</f>
        <v>0</v>
      </c>
      <c r="N3811">
        <f>Data!H3823</f>
        <v>0</v>
      </c>
      <c r="O3811">
        <f>Data!I3823</f>
        <v>0</v>
      </c>
      <c r="P3811" s="21">
        <f>Data!J3827</f>
        <v>0</v>
      </c>
      <c r="Q3811">
        <f>Data!K3827</f>
        <v>0</v>
      </c>
      <c r="R3811">
        <f>Data!L3827</f>
        <v>0</v>
      </c>
      <c r="S3811">
        <f>Data!M3827</f>
        <v>0</v>
      </c>
      <c r="T3811">
        <f>Data!N3827</f>
        <v>0</v>
      </c>
      <c r="U3811">
        <f>Data!O3827</f>
        <v>0</v>
      </c>
      <c r="V3811" s="33">
        <f>Data!P3825</f>
        <v>0</v>
      </c>
    </row>
    <row r="3812" spans="7:22" x14ac:dyDescent="0.25">
      <c r="G3812">
        <f>Data!B3824</f>
        <v>0</v>
      </c>
      <c r="H3812" s="21">
        <f>Data!B3824</f>
        <v>0</v>
      </c>
      <c r="I3812" s="21">
        <f>Data!C3824</f>
        <v>0</v>
      </c>
      <c r="J3812">
        <f>Data!D3824</f>
        <v>0</v>
      </c>
      <c r="K3812">
        <f>Data!E3824</f>
        <v>0</v>
      </c>
      <c r="L3812">
        <f>Data!F3824</f>
        <v>0</v>
      </c>
      <c r="M3812">
        <f>Data!G3824</f>
        <v>0</v>
      </c>
      <c r="N3812">
        <f>Data!H3824</f>
        <v>0</v>
      </c>
      <c r="O3812">
        <f>Data!I3824</f>
        <v>0</v>
      </c>
      <c r="P3812" s="21">
        <f>Data!J3828</f>
        <v>0</v>
      </c>
      <c r="Q3812">
        <f>Data!K3828</f>
        <v>0</v>
      </c>
      <c r="R3812">
        <f>Data!L3828</f>
        <v>0</v>
      </c>
      <c r="S3812">
        <f>Data!M3828</f>
        <v>0</v>
      </c>
      <c r="T3812">
        <f>Data!N3828</f>
        <v>0</v>
      </c>
      <c r="U3812">
        <f>Data!O3828</f>
        <v>0</v>
      </c>
      <c r="V3812" s="33">
        <f>Data!P3826</f>
        <v>0</v>
      </c>
    </row>
    <row r="3813" spans="7:22" x14ac:dyDescent="0.25">
      <c r="G3813">
        <f>Data!B3825</f>
        <v>0</v>
      </c>
      <c r="H3813" s="21">
        <f>Data!B3825</f>
        <v>0</v>
      </c>
      <c r="I3813" s="21">
        <f>Data!C3825</f>
        <v>0</v>
      </c>
      <c r="J3813">
        <f>Data!D3825</f>
        <v>0</v>
      </c>
      <c r="K3813">
        <f>Data!E3825</f>
        <v>0</v>
      </c>
      <c r="L3813">
        <f>Data!F3825</f>
        <v>0</v>
      </c>
      <c r="M3813">
        <f>Data!G3825</f>
        <v>0</v>
      </c>
      <c r="N3813">
        <f>Data!H3825</f>
        <v>0</v>
      </c>
      <c r="O3813">
        <f>Data!I3825</f>
        <v>0</v>
      </c>
      <c r="P3813" s="21">
        <f>Data!J3829</f>
        <v>0</v>
      </c>
      <c r="Q3813">
        <f>Data!K3829</f>
        <v>0</v>
      </c>
      <c r="R3813">
        <f>Data!L3829</f>
        <v>0</v>
      </c>
      <c r="S3813">
        <f>Data!M3829</f>
        <v>0</v>
      </c>
      <c r="T3813">
        <f>Data!N3829</f>
        <v>0</v>
      </c>
      <c r="U3813">
        <f>Data!O3829</f>
        <v>0</v>
      </c>
      <c r="V3813" s="33">
        <f>Data!P3827</f>
        <v>0</v>
      </c>
    </row>
    <row r="3814" spans="7:22" x14ac:dyDescent="0.25">
      <c r="G3814">
        <f>Data!B3826</f>
        <v>0</v>
      </c>
      <c r="H3814" s="21">
        <f>Data!B3826</f>
        <v>0</v>
      </c>
      <c r="I3814" s="21">
        <f>Data!C3826</f>
        <v>0</v>
      </c>
      <c r="J3814">
        <f>Data!D3826</f>
        <v>0</v>
      </c>
      <c r="K3814">
        <f>Data!E3826</f>
        <v>0</v>
      </c>
      <c r="L3814">
        <f>Data!F3826</f>
        <v>0</v>
      </c>
      <c r="M3814">
        <f>Data!G3826</f>
        <v>0</v>
      </c>
      <c r="N3814">
        <f>Data!H3826</f>
        <v>0</v>
      </c>
      <c r="O3814">
        <f>Data!I3826</f>
        <v>0</v>
      </c>
      <c r="P3814" s="21">
        <f>Data!J3830</f>
        <v>0</v>
      </c>
      <c r="Q3814">
        <f>Data!K3830</f>
        <v>0</v>
      </c>
      <c r="R3814">
        <f>Data!L3830</f>
        <v>0</v>
      </c>
      <c r="S3814">
        <f>Data!M3830</f>
        <v>0</v>
      </c>
      <c r="T3814">
        <f>Data!N3830</f>
        <v>0</v>
      </c>
      <c r="U3814">
        <f>Data!O3830</f>
        <v>0</v>
      </c>
      <c r="V3814" s="33">
        <f>Data!P3828</f>
        <v>0</v>
      </c>
    </row>
    <row r="3815" spans="7:22" x14ac:dyDescent="0.25">
      <c r="G3815">
        <f>Data!B3827</f>
        <v>0</v>
      </c>
      <c r="H3815" s="21">
        <f>Data!B3827</f>
        <v>0</v>
      </c>
      <c r="I3815" s="21">
        <f>Data!C3827</f>
        <v>0</v>
      </c>
      <c r="J3815">
        <f>Data!D3827</f>
        <v>0</v>
      </c>
      <c r="K3815">
        <f>Data!E3827</f>
        <v>0</v>
      </c>
      <c r="L3815">
        <f>Data!F3827</f>
        <v>0</v>
      </c>
      <c r="M3815">
        <f>Data!G3827</f>
        <v>0</v>
      </c>
      <c r="N3815">
        <f>Data!H3827</f>
        <v>0</v>
      </c>
      <c r="O3815">
        <f>Data!I3827</f>
        <v>0</v>
      </c>
      <c r="P3815" s="21">
        <f>Data!J3831</f>
        <v>0</v>
      </c>
      <c r="Q3815">
        <f>Data!K3831</f>
        <v>0</v>
      </c>
      <c r="R3815">
        <f>Data!L3831</f>
        <v>0</v>
      </c>
      <c r="S3815">
        <f>Data!M3831</f>
        <v>0</v>
      </c>
      <c r="T3815">
        <f>Data!N3831</f>
        <v>0</v>
      </c>
      <c r="U3815">
        <f>Data!O3831</f>
        <v>0</v>
      </c>
      <c r="V3815" s="33">
        <f>Data!P3829</f>
        <v>0</v>
      </c>
    </row>
    <row r="3816" spans="7:22" x14ac:dyDescent="0.25">
      <c r="G3816">
        <f>Data!B3828</f>
        <v>0</v>
      </c>
      <c r="H3816" s="21">
        <f>Data!B3828</f>
        <v>0</v>
      </c>
      <c r="I3816" s="21">
        <f>Data!C3828</f>
        <v>0</v>
      </c>
      <c r="J3816">
        <f>Data!D3828</f>
        <v>0</v>
      </c>
      <c r="K3816">
        <f>Data!E3828</f>
        <v>0</v>
      </c>
      <c r="L3816">
        <f>Data!F3828</f>
        <v>0</v>
      </c>
      <c r="M3816">
        <f>Data!G3828</f>
        <v>0</v>
      </c>
      <c r="N3816">
        <f>Data!H3828</f>
        <v>0</v>
      </c>
      <c r="O3816">
        <f>Data!I3828</f>
        <v>0</v>
      </c>
      <c r="P3816" s="21">
        <f>Data!J3832</f>
        <v>0</v>
      </c>
      <c r="Q3816">
        <f>Data!K3832</f>
        <v>0</v>
      </c>
      <c r="R3816">
        <f>Data!L3832</f>
        <v>0</v>
      </c>
      <c r="S3816">
        <f>Data!M3832</f>
        <v>0</v>
      </c>
      <c r="T3816">
        <f>Data!N3832</f>
        <v>0</v>
      </c>
      <c r="U3816">
        <f>Data!O3832</f>
        <v>0</v>
      </c>
      <c r="V3816" s="33">
        <f>Data!P3830</f>
        <v>0</v>
      </c>
    </row>
    <row r="3817" spans="7:22" x14ac:dyDescent="0.25">
      <c r="G3817">
        <f>Data!B3829</f>
        <v>0</v>
      </c>
      <c r="H3817" s="21">
        <f>Data!B3829</f>
        <v>0</v>
      </c>
      <c r="I3817" s="21">
        <f>Data!C3829</f>
        <v>0</v>
      </c>
      <c r="J3817">
        <f>Data!D3829</f>
        <v>0</v>
      </c>
      <c r="K3817">
        <f>Data!E3829</f>
        <v>0</v>
      </c>
      <c r="L3817">
        <f>Data!F3829</f>
        <v>0</v>
      </c>
      <c r="M3817">
        <f>Data!G3829</f>
        <v>0</v>
      </c>
      <c r="N3817">
        <f>Data!H3829</f>
        <v>0</v>
      </c>
      <c r="O3817">
        <f>Data!I3829</f>
        <v>0</v>
      </c>
      <c r="P3817" s="21">
        <f>Data!J3833</f>
        <v>0</v>
      </c>
      <c r="Q3817">
        <f>Data!K3833</f>
        <v>0</v>
      </c>
      <c r="R3817">
        <f>Data!L3833</f>
        <v>0</v>
      </c>
      <c r="S3817">
        <f>Data!M3833</f>
        <v>0</v>
      </c>
      <c r="T3817">
        <f>Data!N3833</f>
        <v>0</v>
      </c>
      <c r="U3817">
        <f>Data!O3833</f>
        <v>0</v>
      </c>
      <c r="V3817" s="33">
        <f>Data!P3831</f>
        <v>0</v>
      </c>
    </row>
    <row r="3818" spans="7:22" x14ac:dyDescent="0.25">
      <c r="G3818">
        <f>Data!B3830</f>
        <v>0</v>
      </c>
      <c r="H3818" s="21">
        <f>Data!B3830</f>
        <v>0</v>
      </c>
      <c r="I3818" s="21">
        <f>Data!C3830</f>
        <v>0</v>
      </c>
      <c r="J3818">
        <f>Data!D3830</f>
        <v>0</v>
      </c>
      <c r="K3818">
        <f>Data!E3830</f>
        <v>0</v>
      </c>
      <c r="L3818">
        <f>Data!F3830</f>
        <v>0</v>
      </c>
      <c r="M3818">
        <f>Data!G3830</f>
        <v>0</v>
      </c>
      <c r="N3818">
        <f>Data!H3830</f>
        <v>0</v>
      </c>
      <c r="O3818">
        <f>Data!I3830</f>
        <v>0</v>
      </c>
      <c r="P3818" s="21">
        <f>Data!J3834</f>
        <v>0</v>
      </c>
      <c r="Q3818">
        <f>Data!K3834</f>
        <v>0</v>
      </c>
      <c r="R3818">
        <f>Data!L3834</f>
        <v>0</v>
      </c>
      <c r="S3818">
        <f>Data!M3834</f>
        <v>0</v>
      </c>
      <c r="T3818">
        <f>Data!N3834</f>
        <v>0</v>
      </c>
      <c r="U3818">
        <f>Data!O3834</f>
        <v>0</v>
      </c>
      <c r="V3818" s="33">
        <f>Data!P3832</f>
        <v>0</v>
      </c>
    </row>
    <row r="3819" spans="7:22" x14ac:dyDescent="0.25">
      <c r="G3819">
        <f>Data!B3831</f>
        <v>0</v>
      </c>
      <c r="H3819" s="21">
        <f>Data!B3831</f>
        <v>0</v>
      </c>
      <c r="I3819" s="21">
        <f>Data!C3831</f>
        <v>0</v>
      </c>
      <c r="J3819">
        <f>Data!D3831</f>
        <v>0</v>
      </c>
      <c r="K3819">
        <f>Data!E3831</f>
        <v>0</v>
      </c>
      <c r="L3819">
        <f>Data!F3831</f>
        <v>0</v>
      </c>
      <c r="M3819">
        <f>Data!G3831</f>
        <v>0</v>
      </c>
      <c r="N3819">
        <f>Data!H3831</f>
        <v>0</v>
      </c>
      <c r="O3819">
        <f>Data!I3831</f>
        <v>0</v>
      </c>
      <c r="P3819" s="21">
        <f>Data!J3835</f>
        <v>0</v>
      </c>
      <c r="Q3819">
        <f>Data!K3835</f>
        <v>0</v>
      </c>
      <c r="R3819">
        <f>Data!L3835</f>
        <v>0</v>
      </c>
      <c r="S3819">
        <f>Data!M3835</f>
        <v>0</v>
      </c>
      <c r="T3819">
        <f>Data!N3835</f>
        <v>0</v>
      </c>
      <c r="U3819">
        <f>Data!O3835</f>
        <v>0</v>
      </c>
      <c r="V3819" s="33">
        <f>Data!P3833</f>
        <v>0</v>
      </c>
    </row>
    <row r="3820" spans="7:22" x14ac:dyDescent="0.25">
      <c r="G3820">
        <f>Data!B3832</f>
        <v>0</v>
      </c>
      <c r="H3820" s="21">
        <f>Data!B3832</f>
        <v>0</v>
      </c>
      <c r="I3820" s="21">
        <f>Data!C3832</f>
        <v>0</v>
      </c>
      <c r="J3820">
        <f>Data!D3832</f>
        <v>0</v>
      </c>
      <c r="K3820">
        <f>Data!E3832</f>
        <v>0</v>
      </c>
      <c r="L3820">
        <f>Data!F3832</f>
        <v>0</v>
      </c>
      <c r="M3820">
        <f>Data!G3832</f>
        <v>0</v>
      </c>
      <c r="N3820">
        <f>Data!H3832</f>
        <v>0</v>
      </c>
      <c r="O3820">
        <f>Data!I3832</f>
        <v>0</v>
      </c>
      <c r="P3820" s="21">
        <f>Data!J3836</f>
        <v>0</v>
      </c>
      <c r="Q3820">
        <f>Data!K3836</f>
        <v>0</v>
      </c>
      <c r="R3820">
        <f>Data!L3836</f>
        <v>0</v>
      </c>
      <c r="S3820">
        <f>Data!M3836</f>
        <v>0</v>
      </c>
      <c r="T3820">
        <f>Data!N3836</f>
        <v>0</v>
      </c>
      <c r="U3820">
        <f>Data!O3836</f>
        <v>0</v>
      </c>
      <c r="V3820" s="33">
        <f>Data!P3834</f>
        <v>0</v>
      </c>
    </row>
    <row r="3821" spans="7:22" x14ac:dyDescent="0.25">
      <c r="G3821">
        <f>Data!B3833</f>
        <v>0</v>
      </c>
      <c r="H3821" s="21">
        <f>Data!B3833</f>
        <v>0</v>
      </c>
      <c r="I3821" s="21">
        <f>Data!C3833</f>
        <v>0</v>
      </c>
      <c r="J3821">
        <f>Data!D3833</f>
        <v>0</v>
      </c>
      <c r="K3821">
        <f>Data!E3833</f>
        <v>0</v>
      </c>
      <c r="L3821">
        <f>Data!F3833</f>
        <v>0</v>
      </c>
      <c r="M3821">
        <f>Data!G3833</f>
        <v>0</v>
      </c>
      <c r="N3821">
        <f>Data!H3833</f>
        <v>0</v>
      </c>
      <c r="O3821">
        <f>Data!I3833</f>
        <v>0</v>
      </c>
      <c r="P3821" s="21">
        <f>Data!J3837</f>
        <v>0</v>
      </c>
      <c r="Q3821">
        <f>Data!K3837</f>
        <v>0</v>
      </c>
      <c r="R3821">
        <f>Data!L3837</f>
        <v>0</v>
      </c>
      <c r="S3821">
        <f>Data!M3837</f>
        <v>0</v>
      </c>
      <c r="T3821">
        <f>Data!N3837</f>
        <v>0</v>
      </c>
      <c r="U3821">
        <f>Data!O3837</f>
        <v>0</v>
      </c>
      <c r="V3821" s="33">
        <f>Data!P3835</f>
        <v>0</v>
      </c>
    </row>
    <row r="3822" spans="7:22" x14ac:dyDescent="0.25">
      <c r="G3822">
        <f>Data!B3834</f>
        <v>0</v>
      </c>
      <c r="H3822" s="21">
        <f>Data!B3834</f>
        <v>0</v>
      </c>
      <c r="I3822" s="21">
        <f>Data!C3834</f>
        <v>0</v>
      </c>
      <c r="J3822">
        <f>Data!D3834</f>
        <v>0</v>
      </c>
      <c r="K3822">
        <f>Data!E3834</f>
        <v>0</v>
      </c>
      <c r="L3822">
        <f>Data!F3834</f>
        <v>0</v>
      </c>
      <c r="M3822">
        <f>Data!G3834</f>
        <v>0</v>
      </c>
      <c r="N3822">
        <f>Data!H3834</f>
        <v>0</v>
      </c>
      <c r="O3822">
        <f>Data!I3834</f>
        <v>0</v>
      </c>
      <c r="P3822" s="21">
        <f>Data!J3838</f>
        <v>0</v>
      </c>
      <c r="Q3822">
        <f>Data!K3838</f>
        <v>0</v>
      </c>
      <c r="R3822">
        <f>Data!L3838</f>
        <v>0</v>
      </c>
      <c r="S3822">
        <f>Data!M3838</f>
        <v>0</v>
      </c>
      <c r="T3822">
        <f>Data!N3838</f>
        <v>0</v>
      </c>
      <c r="U3822">
        <f>Data!O3838</f>
        <v>0</v>
      </c>
      <c r="V3822" s="33">
        <f>Data!P3836</f>
        <v>0</v>
      </c>
    </row>
    <row r="3823" spans="7:22" x14ac:dyDescent="0.25">
      <c r="G3823">
        <f>Data!B3835</f>
        <v>0</v>
      </c>
      <c r="H3823" s="21">
        <f>Data!B3835</f>
        <v>0</v>
      </c>
      <c r="I3823" s="21">
        <f>Data!C3835</f>
        <v>0</v>
      </c>
      <c r="J3823">
        <f>Data!D3835</f>
        <v>0</v>
      </c>
      <c r="K3823">
        <f>Data!E3835</f>
        <v>0</v>
      </c>
      <c r="L3823">
        <f>Data!F3835</f>
        <v>0</v>
      </c>
      <c r="M3823">
        <f>Data!G3835</f>
        <v>0</v>
      </c>
      <c r="N3823">
        <f>Data!H3835</f>
        <v>0</v>
      </c>
      <c r="O3823">
        <f>Data!I3835</f>
        <v>0</v>
      </c>
      <c r="P3823" s="21">
        <f>Data!J3839</f>
        <v>0</v>
      </c>
      <c r="Q3823">
        <f>Data!K3839</f>
        <v>0</v>
      </c>
      <c r="R3823">
        <f>Data!L3839</f>
        <v>0</v>
      </c>
      <c r="S3823">
        <f>Data!M3839</f>
        <v>0</v>
      </c>
      <c r="T3823">
        <f>Data!N3839</f>
        <v>0</v>
      </c>
      <c r="U3823">
        <f>Data!O3839</f>
        <v>0</v>
      </c>
      <c r="V3823" s="33">
        <f>Data!P3837</f>
        <v>0</v>
      </c>
    </row>
    <row r="3824" spans="7:22" x14ac:dyDescent="0.25">
      <c r="G3824">
        <f>Data!B3836</f>
        <v>0</v>
      </c>
      <c r="H3824" s="21">
        <f>Data!B3836</f>
        <v>0</v>
      </c>
      <c r="I3824" s="21">
        <f>Data!C3836</f>
        <v>0</v>
      </c>
      <c r="J3824">
        <f>Data!D3836</f>
        <v>0</v>
      </c>
      <c r="K3824">
        <f>Data!E3836</f>
        <v>0</v>
      </c>
      <c r="L3824">
        <f>Data!F3836</f>
        <v>0</v>
      </c>
      <c r="M3824">
        <f>Data!G3836</f>
        <v>0</v>
      </c>
      <c r="N3824">
        <f>Data!H3836</f>
        <v>0</v>
      </c>
      <c r="O3824">
        <f>Data!I3836</f>
        <v>0</v>
      </c>
      <c r="P3824" s="21">
        <f>Data!J3840</f>
        <v>0</v>
      </c>
      <c r="Q3824">
        <f>Data!K3840</f>
        <v>0</v>
      </c>
      <c r="R3824">
        <f>Data!L3840</f>
        <v>0</v>
      </c>
      <c r="S3824">
        <f>Data!M3840</f>
        <v>0</v>
      </c>
      <c r="T3824">
        <f>Data!N3840</f>
        <v>0</v>
      </c>
      <c r="U3824">
        <f>Data!O3840</f>
        <v>0</v>
      </c>
      <c r="V3824" s="33">
        <f>Data!P3838</f>
        <v>0</v>
      </c>
    </row>
    <row r="3825" spans="7:22" x14ac:dyDescent="0.25">
      <c r="G3825">
        <f>Data!B3837</f>
        <v>0</v>
      </c>
      <c r="H3825" s="21">
        <f>Data!B3837</f>
        <v>0</v>
      </c>
      <c r="I3825" s="21">
        <f>Data!C3837</f>
        <v>0</v>
      </c>
      <c r="J3825">
        <f>Data!D3837</f>
        <v>0</v>
      </c>
      <c r="K3825">
        <f>Data!E3837</f>
        <v>0</v>
      </c>
      <c r="L3825">
        <f>Data!F3837</f>
        <v>0</v>
      </c>
      <c r="M3825">
        <f>Data!G3837</f>
        <v>0</v>
      </c>
      <c r="N3825">
        <f>Data!H3837</f>
        <v>0</v>
      </c>
      <c r="O3825">
        <f>Data!I3837</f>
        <v>0</v>
      </c>
      <c r="P3825" s="21">
        <f>Data!J3841</f>
        <v>0</v>
      </c>
      <c r="Q3825">
        <f>Data!K3841</f>
        <v>0</v>
      </c>
      <c r="R3825">
        <f>Data!L3841</f>
        <v>0</v>
      </c>
      <c r="S3825">
        <f>Data!M3841</f>
        <v>0</v>
      </c>
      <c r="T3825">
        <f>Data!N3841</f>
        <v>0</v>
      </c>
      <c r="U3825">
        <f>Data!O3841</f>
        <v>0</v>
      </c>
      <c r="V3825" s="33">
        <f>Data!P3839</f>
        <v>0</v>
      </c>
    </row>
    <row r="3826" spans="7:22" x14ac:dyDescent="0.25">
      <c r="G3826">
        <f>Data!B3838</f>
        <v>0</v>
      </c>
      <c r="H3826" s="21">
        <f>Data!B3838</f>
        <v>0</v>
      </c>
      <c r="I3826" s="21">
        <f>Data!C3838</f>
        <v>0</v>
      </c>
      <c r="J3826">
        <f>Data!D3838</f>
        <v>0</v>
      </c>
      <c r="K3826">
        <f>Data!E3838</f>
        <v>0</v>
      </c>
      <c r="L3826">
        <f>Data!F3838</f>
        <v>0</v>
      </c>
      <c r="M3826">
        <f>Data!G3838</f>
        <v>0</v>
      </c>
      <c r="N3826">
        <f>Data!H3838</f>
        <v>0</v>
      </c>
      <c r="O3826">
        <f>Data!I3838</f>
        <v>0</v>
      </c>
      <c r="P3826" s="21">
        <f>Data!J3842</f>
        <v>0</v>
      </c>
      <c r="Q3826">
        <f>Data!K3842</f>
        <v>0</v>
      </c>
      <c r="R3826">
        <f>Data!L3842</f>
        <v>0</v>
      </c>
      <c r="S3826">
        <f>Data!M3842</f>
        <v>0</v>
      </c>
      <c r="T3826">
        <f>Data!N3842</f>
        <v>0</v>
      </c>
      <c r="U3826">
        <f>Data!O3842</f>
        <v>0</v>
      </c>
      <c r="V3826" s="33">
        <f>Data!P3840</f>
        <v>0</v>
      </c>
    </row>
    <row r="3827" spans="7:22" x14ac:dyDescent="0.25">
      <c r="G3827">
        <f>Data!B3839</f>
        <v>0</v>
      </c>
      <c r="H3827" s="21">
        <f>Data!B3839</f>
        <v>0</v>
      </c>
      <c r="I3827" s="21">
        <f>Data!C3839</f>
        <v>0</v>
      </c>
      <c r="J3827">
        <f>Data!D3839</f>
        <v>0</v>
      </c>
      <c r="K3827">
        <f>Data!E3839</f>
        <v>0</v>
      </c>
      <c r="L3827">
        <f>Data!F3839</f>
        <v>0</v>
      </c>
      <c r="M3827">
        <f>Data!G3839</f>
        <v>0</v>
      </c>
      <c r="N3827">
        <f>Data!H3839</f>
        <v>0</v>
      </c>
      <c r="O3827">
        <f>Data!I3839</f>
        <v>0</v>
      </c>
      <c r="P3827" s="21">
        <f>Data!J3843</f>
        <v>0</v>
      </c>
      <c r="Q3827">
        <f>Data!K3843</f>
        <v>0</v>
      </c>
      <c r="R3827">
        <f>Data!L3843</f>
        <v>0</v>
      </c>
      <c r="S3827">
        <f>Data!M3843</f>
        <v>0</v>
      </c>
      <c r="T3827">
        <f>Data!N3843</f>
        <v>0</v>
      </c>
      <c r="U3827">
        <f>Data!O3843</f>
        <v>0</v>
      </c>
      <c r="V3827" s="33">
        <f>Data!P3841</f>
        <v>0</v>
      </c>
    </row>
    <row r="3828" spans="7:22" x14ac:dyDescent="0.25">
      <c r="G3828">
        <f>Data!B3840</f>
        <v>0</v>
      </c>
      <c r="H3828" s="21">
        <f>Data!B3840</f>
        <v>0</v>
      </c>
      <c r="I3828" s="21">
        <f>Data!C3840</f>
        <v>0</v>
      </c>
      <c r="J3828">
        <f>Data!D3840</f>
        <v>0</v>
      </c>
      <c r="K3828">
        <f>Data!E3840</f>
        <v>0</v>
      </c>
      <c r="L3828">
        <f>Data!F3840</f>
        <v>0</v>
      </c>
      <c r="M3828">
        <f>Data!G3840</f>
        <v>0</v>
      </c>
      <c r="N3828">
        <f>Data!H3840</f>
        <v>0</v>
      </c>
      <c r="O3828">
        <f>Data!I3840</f>
        <v>0</v>
      </c>
      <c r="P3828" s="21">
        <f>Data!J3844</f>
        <v>0</v>
      </c>
      <c r="Q3828">
        <f>Data!K3844</f>
        <v>0</v>
      </c>
      <c r="R3828">
        <f>Data!L3844</f>
        <v>0</v>
      </c>
      <c r="S3828">
        <f>Data!M3844</f>
        <v>0</v>
      </c>
      <c r="T3828">
        <f>Data!N3844</f>
        <v>0</v>
      </c>
      <c r="U3828">
        <f>Data!O3844</f>
        <v>0</v>
      </c>
      <c r="V3828" s="33">
        <f>Data!P3842</f>
        <v>0</v>
      </c>
    </row>
    <row r="3829" spans="7:22" x14ac:dyDescent="0.25">
      <c r="G3829">
        <f>Data!B3841</f>
        <v>0</v>
      </c>
      <c r="H3829" s="21">
        <f>Data!B3841</f>
        <v>0</v>
      </c>
      <c r="I3829" s="21">
        <f>Data!C3841</f>
        <v>0</v>
      </c>
      <c r="J3829">
        <f>Data!D3841</f>
        <v>0</v>
      </c>
      <c r="K3829">
        <f>Data!E3841</f>
        <v>0</v>
      </c>
      <c r="L3829">
        <f>Data!F3841</f>
        <v>0</v>
      </c>
      <c r="M3829">
        <f>Data!G3841</f>
        <v>0</v>
      </c>
      <c r="N3829">
        <f>Data!H3841</f>
        <v>0</v>
      </c>
      <c r="O3829">
        <f>Data!I3841</f>
        <v>0</v>
      </c>
      <c r="P3829" s="21">
        <f>Data!J3845</f>
        <v>0</v>
      </c>
      <c r="Q3829">
        <f>Data!K3845</f>
        <v>0</v>
      </c>
      <c r="R3829">
        <f>Data!L3845</f>
        <v>0</v>
      </c>
      <c r="S3829">
        <f>Data!M3845</f>
        <v>0</v>
      </c>
      <c r="T3829">
        <f>Data!N3845</f>
        <v>0</v>
      </c>
      <c r="U3829">
        <f>Data!O3845</f>
        <v>0</v>
      </c>
      <c r="V3829" s="33">
        <f>Data!P3843</f>
        <v>0</v>
      </c>
    </row>
    <row r="3830" spans="7:22" x14ac:dyDescent="0.25">
      <c r="G3830">
        <f>Data!B3842</f>
        <v>0</v>
      </c>
      <c r="H3830" s="21">
        <f>Data!B3842</f>
        <v>0</v>
      </c>
      <c r="I3830" s="21">
        <f>Data!C3842</f>
        <v>0</v>
      </c>
      <c r="J3830">
        <f>Data!D3842</f>
        <v>0</v>
      </c>
      <c r="K3830">
        <f>Data!E3842</f>
        <v>0</v>
      </c>
      <c r="L3830">
        <f>Data!F3842</f>
        <v>0</v>
      </c>
      <c r="M3830">
        <f>Data!G3842</f>
        <v>0</v>
      </c>
      <c r="N3830">
        <f>Data!H3842</f>
        <v>0</v>
      </c>
      <c r="O3830">
        <f>Data!I3842</f>
        <v>0</v>
      </c>
      <c r="P3830" s="21">
        <f>Data!J3846</f>
        <v>0</v>
      </c>
      <c r="Q3830">
        <f>Data!K3846</f>
        <v>0</v>
      </c>
      <c r="R3830">
        <f>Data!L3846</f>
        <v>0</v>
      </c>
      <c r="S3830">
        <f>Data!M3846</f>
        <v>0</v>
      </c>
      <c r="T3830">
        <f>Data!N3846</f>
        <v>0</v>
      </c>
      <c r="U3830">
        <f>Data!O3846</f>
        <v>0</v>
      </c>
      <c r="V3830" s="33">
        <f>Data!P3844</f>
        <v>0</v>
      </c>
    </row>
    <row r="3831" spans="7:22" x14ac:dyDescent="0.25">
      <c r="G3831">
        <f>Data!B3843</f>
        <v>0</v>
      </c>
      <c r="H3831" s="21">
        <f>Data!B3843</f>
        <v>0</v>
      </c>
      <c r="I3831" s="21">
        <f>Data!C3843</f>
        <v>0</v>
      </c>
      <c r="J3831">
        <f>Data!D3843</f>
        <v>0</v>
      </c>
      <c r="K3831">
        <f>Data!E3843</f>
        <v>0</v>
      </c>
      <c r="L3831">
        <f>Data!F3843</f>
        <v>0</v>
      </c>
      <c r="M3831">
        <f>Data!G3843</f>
        <v>0</v>
      </c>
      <c r="N3831">
        <f>Data!H3843</f>
        <v>0</v>
      </c>
      <c r="O3831">
        <f>Data!I3843</f>
        <v>0</v>
      </c>
      <c r="P3831" s="21">
        <f>Data!J3847</f>
        <v>0</v>
      </c>
      <c r="Q3831">
        <f>Data!K3847</f>
        <v>0</v>
      </c>
      <c r="R3831">
        <f>Data!L3847</f>
        <v>0</v>
      </c>
      <c r="S3831">
        <f>Data!M3847</f>
        <v>0</v>
      </c>
      <c r="T3831">
        <f>Data!N3847</f>
        <v>0</v>
      </c>
      <c r="U3831">
        <f>Data!O3847</f>
        <v>0</v>
      </c>
      <c r="V3831" s="33">
        <f>Data!P3845</f>
        <v>0</v>
      </c>
    </row>
    <row r="3832" spans="7:22" x14ac:dyDescent="0.25">
      <c r="G3832">
        <f>Data!B3844</f>
        <v>0</v>
      </c>
      <c r="H3832" s="21">
        <f>Data!B3844</f>
        <v>0</v>
      </c>
      <c r="I3832" s="21">
        <f>Data!C3844</f>
        <v>0</v>
      </c>
      <c r="J3832">
        <f>Data!D3844</f>
        <v>0</v>
      </c>
      <c r="K3832">
        <f>Data!E3844</f>
        <v>0</v>
      </c>
      <c r="L3832">
        <f>Data!F3844</f>
        <v>0</v>
      </c>
      <c r="M3832">
        <f>Data!G3844</f>
        <v>0</v>
      </c>
      <c r="N3832">
        <f>Data!H3844</f>
        <v>0</v>
      </c>
      <c r="O3832">
        <f>Data!I3844</f>
        <v>0</v>
      </c>
      <c r="P3832" s="21">
        <f>Data!J3848</f>
        <v>0</v>
      </c>
      <c r="Q3832">
        <f>Data!K3848</f>
        <v>0</v>
      </c>
      <c r="R3832">
        <f>Data!L3848</f>
        <v>0</v>
      </c>
      <c r="S3832">
        <f>Data!M3848</f>
        <v>0</v>
      </c>
      <c r="T3832">
        <f>Data!N3848</f>
        <v>0</v>
      </c>
      <c r="U3832">
        <f>Data!O3848</f>
        <v>0</v>
      </c>
      <c r="V3832" s="33">
        <f>Data!P3846</f>
        <v>0</v>
      </c>
    </row>
    <row r="3833" spans="7:22" x14ac:dyDescent="0.25">
      <c r="G3833">
        <f>Data!B3845</f>
        <v>0</v>
      </c>
      <c r="H3833" s="21">
        <f>Data!B3845</f>
        <v>0</v>
      </c>
      <c r="I3833" s="21">
        <f>Data!C3845</f>
        <v>0</v>
      </c>
      <c r="J3833">
        <f>Data!D3845</f>
        <v>0</v>
      </c>
      <c r="K3833">
        <f>Data!E3845</f>
        <v>0</v>
      </c>
      <c r="L3833">
        <f>Data!F3845</f>
        <v>0</v>
      </c>
      <c r="M3833">
        <f>Data!G3845</f>
        <v>0</v>
      </c>
      <c r="N3833">
        <f>Data!H3845</f>
        <v>0</v>
      </c>
      <c r="O3833">
        <f>Data!I3845</f>
        <v>0</v>
      </c>
      <c r="P3833" s="21">
        <f>Data!J3849</f>
        <v>0</v>
      </c>
      <c r="Q3833">
        <f>Data!K3849</f>
        <v>0</v>
      </c>
      <c r="R3833">
        <f>Data!L3849</f>
        <v>0</v>
      </c>
      <c r="S3833">
        <f>Data!M3849</f>
        <v>0</v>
      </c>
      <c r="T3833">
        <f>Data!N3849</f>
        <v>0</v>
      </c>
      <c r="U3833">
        <f>Data!O3849</f>
        <v>0</v>
      </c>
      <c r="V3833" s="33">
        <f>Data!P3847</f>
        <v>0</v>
      </c>
    </row>
    <row r="3834" spans="7:22" x14ac:dyDescent="0.25">
      <c r="G3834">
        <f>Data!B3846</f>
        <v>0</v>
      </c>
      <c r="H3834" s="21">
        <f>Data!B3846</f>
        <v>0</v>
      </c>
      <c r="I3834" s="21">
        <f>Data!C3846</f>
        <v>0</v>
      </c>
      <c r="J3834">
        <f>Data!D3846</f>
        <v>0</v>
      </c>
      <c r="K3834">
        <f>Data!E3846</f>
        <v>0</v>
      </c>
      <c r="L3834">
        <f>Data!F3846</f>
        <v>0</v>
      </c>
      <c r="M3834">
        <f>Data!G3846</f>
        <v>0</v>
      </c>
      <c r="N3834">
        <f>Data!H3846</f>
        <v>0</v>
      </c>
      <c r="O3834">
        <f>Data!I3846</f>
        <v>0</v>
      </c>
      <c r="P3834" s="21">
        <f>Data!J3850</f>
        <v>0</v>
      </c>
      <c r="Q3834">
        <f>Data!K3850</f>
        <v>0</v>
      </c>
      <c r="R3834">
        <f>Data!L3850</f>
        <v>0</v>
      </c>
      <c r="S3834">
        <f>Data!M3850</f>
        <v>0</v>
      </c>
      <c r="T3834">
        <f>Data!N3850</f>
        <v>0</v>
      </c>
      <c r="U3834">
        <f>Data!O3850</f>
        <v>0</v>
      </c>
      <c r="V3834" s="33">
        <f>Data!P3848</f>
        <v>0</v>
      </c>
    </row>
    <row r="3835" spans="7:22" x14ac:dyDescent="0.25">
      <c r="G3835">
        <f>Data!B3847</f>
        <v>0</v>
      </c>
      <c r="H3835" s="21">
        <f>Data!B3847</f>
        <v>0</v>
      </c>
      <c r="I3835" s="21">
        <f>Data!C3847</f>
        <v>0</v>
      </c>
      <c r="J3835">
        <f>Data!D3847</f>
        <v>0</v>
      </c>
      <c r="K3835">
        <f>Data!E3847</f>
        <v>0</v>
      </c>
      <c r="L3835">
        <f>Data!F3847</f>
        <v>0</v>
      </c>
      <c r="M3835">
        <f>Data!G3847</f>
        <v>0</v>
      </c>
      <c r="N3835">
        <f>Data!H3847</f>
        <v>0</v>
      </c>
      <c r="O3835">
        <f>Data!I3847</f>
        <v>0</v>
      </c>
      <c r="P3835" s="21">
        <f>Data!J3851</f>
        <v>0</v>
      </c>
      <c r="Q3835">
        <f>Data!K3851</f>
        <v>0</v>
      </c>
      <c r="R3835">
        <f>Data!L3851</f>
        <v>0</v>
      </c>
      <c r="S3835">
        <f>Data!M3851</f>
        <v>0</v>
      </c>
      <c r="T3835">
        <f>Data!N3851</f>
        <v>0</v>
      </c>
      <c r="U3835">
        <f>Data!O3851</f>
        <v>0</v>
      </c>
      <c r="V3835" s="33">
        <f>Data!P3849</f>
        <v>0</v>
      </c>
    </row>
    <row r="3836" spans="7:22" x14ac:dyDescent="0.25">
      <c r="G3836">
        <f>Data!B3848</f>
        <v>0</v>
      </c>
      <c r="H3836" s="21">
        <f>Data!B3848</f>
        <v>0</v>
      </c>
      <c r="I3836" s="21">
        <f>Data!C3848</f>
        <v>0</v>
      </c>
      <c r="J3836">
        <f>Data!D3848</f>
        <v>0</v>
      </c>
      <c r="K3836">
        <f>Data!E3848</f>
        <v>0</v>
      </c>
      <c r="L3836">
        <f>Data!F3848</f>
        <v>0</v>
      </c>
      <c r="M3836">
        <f>Data!G3848</f>
        <v>0</v>
      </c>
      <c r="N3836">
        <f>Data!H3848</f>
        <v>0</v>
      </c>
      <c r="O3836">
        <f>Data!I3848</f>
        <v>0</v>
      </c>
      <c r="P3836" s="21">
        <f>Data!J3852</f>
        <v>0</v>
      </c>
      <c r="Q3836">
        <f>Data!K3852</f>
        <v>0</v>
      </c>
      <c r="R3836">
        <f>Data!L3852</f>
        <v>0</v>
      </c>
      <c r="S3836">
        <f>Data!M3852</f>
        <v>0</v>
      </c>
      <c r="T3836">
        <f>Data!N3852</f>
        <v>0</v>
      </c>
      <c r="U3836">
        <f>Data!O3852</f>
        <v>0</v>
      </c>
      <c r="V3836" s="33">
        <f>Data!P3850</f>
        <v>0</v>
      </c>
    </row>
    <row r="3837" spans="7:22" x14ac:dyDescent="0.25">
      <c r="G3837">
        <f>Data!B3849</f>
        <v>0</v>
      </c>
      <c r="H3837" s="21">
        <f>Data!B3849</f>
        <v>0</v>
      </c>
      <c r="I3837" s="21">
        <f>Data!C3849</f>
        <v>0</v>
      </c>
      <c r="J3837">
        <f>Data!D3849</f>
        <v>0</v>
      </c>
      <c r="K3837">
        <f>Data!E3849</f>
        <v>0</v>
      </c>
      <c r="L3837">
        <f>Data!F3849</f>
        <v>0</v>
      </c>
      <c r="M3837">
        <f>Data!G3849</f>
        <v>0</v>
      </c>
      <c r="N3837">
        <f>Data!H3849</f>
        <v>0</v>
      </c>
      <c r="O3837">
        <f>Data!I3849</f>
        <v>0</v>
      </c>
      <c r="P3837" s="21">
        <f>Data!J3853</f>
        <v>0</v>
      </c>
      <c r="Q3837">
        <f>Data!K3853</f>
        <v>0</v>
      </c>
      <c r="R3837">
        <f>Data!L3853</f>
        <v>0</v>
      </c>
      <c r="S3837">
        <f>Data!M3853</f>
        <v>0</v>
      </c>
      <c r="T3837">
        <f>Data!N3853</f>
        <v>0</v>
      </c>
      <c r="U3837">
        <f>Data!O3853</f>
        <v>0</v>
      </c>
      <c r="V3837" s="33">
        <f>Data!P3851</f>
        <v>0</v>
      </c>
    </row>
    <row r="3838" spans="7:22" x14ac:dyDescent="0.25">
      <c r="G3838">
        <f>Data!B3850</f>
        <v>0</v>
      </c>
      <c r="H3838" s="21">
        <f>Data!B3850</f>
        <v>0</v>
      </c>
      <c r="I3838" s="21">
        <f>Data!C3850</f>
        <v>0</v>
      </c>
      <c r="J3838">
        <f>Data!D3850</f>
        <v>0</v>
      </c>
      <c r="K3838">
        <f>Data!E3850</f>
        <v>0</v>
      </c>
      <c r="L3838">
        <f>Data!F3850</f>
        <v>0</v>
      </c>
      <c r="M3838">
        <f>Data!G3850</f>
        <v>0</v>
      </c>
      <c r="N3838">
        <f>Data!H3850</f>
        <v>0</v>
      </c>
      <c r="O3838">
        <f>Data!I3850</f>
        <v>0</v>
      </c>
      <c r="P3838" s="21">
        <f>Data!J3854</f>
        <v>0</v>
      </c>
      <c r="Q3838">
        <f>Data!K3854</f>
        <v>0</v>
      </c>
      <c r="R3838">
        <f>Data!L3854</f>
        <v>0</v>
      </c>
      <c r="S3838">
        <f>Data!M3854</f>
        <v>0</v>
      </c>
      <c r="T3838">
        <f>Data!N3854</f>
        <v>0</v>
      </c>
      <c r="U3838">
        <f>Data!O3854</f>
        <v>0</v>
      </c>
      <c r="V3838" s="33">
        <f>Data!P3852</f>
        <v>0</v>
      </c>
    </row>
    <row r="3839" spans="7:22" x14ac:dyDescent="0.25">
      <c r="G3839">
        <f>Data!B3851</f>
        <v>0</v>
      </c>
      <c r="H3839" s="21">
        <f>Data!B3851</f>
        <v>0</v>
      </c>
      <c r="I3839" s="21">
        <f>Data!C3851</f>
        <v>0</v>
      </c>
      <c r="J3839">
        <f>Data!D3851</f>
        <v>0</v>
      </c>
      <c r="K3839">
        <f>Data!E3851</f>
        <v>0</v>
      </c>
      <c r="L3839">
        <f>Data!F3851</f>
        <v>0</v>
      </c>
      <c r="M3839">
        <f>Data!G3851</f>
        <v>0</v>
      </c>
      <c r="N3839">
        <f>Data!H3851</f>
        <v>0</v>
      </c>
      <c r="O3839">
        <f>Data!I3851</f>
        <v>0</v>
      </c>
      <c r="P3839" s="21">
        <f>Data!J3855</f>
        <v>0</v>
      </c>
      <c r="Q3839">
        <f>Data!K3855</f>
        <v>0</v>
      </c>
      <c r="R3839">
        <f>Data!L3855</f>
        <v>0</v>
      </c>
      <c r="S3839">
        <f>Data!M3855</f>
        <v>0</v>
      </c>
      <c r="T3839">
        <f>Data!N3855</f>
        <v>0</v>
      </c>
      <c r="U3839">
        <f>Data!O3855</f>
        <v>0</v>
      </c>
      <c r="V3839" s="33">
        <f>Data!P3853</f>
        <v>0</v>
      </c>
    </row>
    <row r="3840" spans="7:22" x14ac:dyDescent="0.25">
      <c r="G3840">
        <f>Data!B3852</f>
        <v>0</v>
      </c>
      <c r="H3840" s="21">
        <f>Data!B3852</f>
        <v>0</v>
      </c>
      <c r="I3840" s="21">
        <f>Data!C3852</f>
        <v>0</v>
      </c>
      <c r="J3840">
        <f>Data!D3852</f>
        <v>0</v>
      </c>
      <c r="K3840">
        <f>Data!E3852</f>
        <v>0</v>
      </c>
      <c r="L3840">
        <f>Data!F3852</f>
        <v>0</v>
      </c>
      <c r="M3840">
        <f>Data!G3852</f>
        <v>0</v>
      </c>
      <c r="N3840">
        <f>Data!H3852</f>
        <v>0</v>
      </c>
      <c r="O3840">
        <f>Data!I3852</f>
        <v>0</v>
      </c>
      <c r="P3840" s="21">
        <f>Data!J3856</f>
        <v>0</v>
      </c>
      <c r="Q3840">
        <f>Data!K3856</f>
        <v>0</v>
      </c>
      <c r="R3840">
        <f>Data!L3856</f>
        <v>0</v>
      </c>
      <c r="S3840">
        <f>Data!M3856</f>
        <v>0</v>
      </c>
      <c r="T3840">
        <f>Data!N3856</f>
        <v>0</v>
      </c>
      <c r="U3840">
        <f>Data!O3856</f>
        <v>0</v>
      </c>
      <c r="V3840" s="33">
        <f>Data!P3854</f>
        <v>0</v>
      </c>
    </row>
    <row r="3841" spans="7:22" x14ac:dyDescent="0.25">
      <c r="G3841">
        <f>Data!B3853</f>
        <v>0</v>
      </c>
      <c r="H3841" s="21">
        <f>Data!B3853</f>
        <v>0</v>
      </c>
      <c r="I3841" s="21">
        <f>Data!C3853</f>
        <v>0</v>
      </c>
      <c r="J3841">
        <f>Data!D3853</f>
        <v>0</v>
      </c>
      <c r="K3841">
        <f>Data!E3853</f>
        <v>0</v>
      </c>
      <c r="L3841">
        <f>Data!F3853</f>
        <v>0</v>
      </c>
      <c r="M3841">
        <f>Data!G3853</f>
        <v>0</v>
      </c>
      <c r="N3841">
        <f>Data!H3853</f>
        <v>0</v>
      </c>
      <c r="O3841">
        <f>Data!I3853</f>
        <v>0</v>
      </c>
      <c r="P3841" s="21">
        <f>Data!J3857</f>
        <v>0</v>
      </c>
      <c r="Q3841">
        <f>Data!K3857</f>
        <v>0</v>
      </c>
      <c r="R3841">
        <f>Data!L3857</f>
        <v>0</v>
      </c>
      <c r="S3841">
        <f>Data!M3857</f>
        <v>0</v>
      </c>
      <c r="T3841">
        <f>Data!N3857</f>
        <v>0</v>
      </c>
      <c r="U3841">
        <f>Data!O3857</f>
        <v>0</v>
      </c>
      <c r="V3841" s="33">
        <f>Data!P3855</f>
        <v>0</v>
      </c>
    </row>
    <row r="3842" spans="7:22" x14ac:dyDescent="0.25">
      <c r="G3842">
        <f>Data!B3854</f>
        <v>0</v>
      </c>
      <c r="H3842" s="21">
        <f>Data!B3854</f>
        <v>0</v>
      </c>
      <c r="I3842" s="21">
        <f>Data!C3854</f>
        <v>0</v>
      </c>
      <c r="J3842">
        <f>Data!D3854</f>
        <v>0</v>
      </c>
      <c r="K3842">
        <f>Data!E3854</f>
        <v>0</v>
      </c>
      <c r="L3842">
        <f>Data!F3854</f>
        <v>0</v>
      </c>
      <c r="M3842">
        <f>Data!G3854</f>
        <v>0</v>
      </c>
      <c r="N3842">
        <f>Data!H3854</f>
        <v>0</v>
      </c>
      <c r="O3842">
        <f>Data!I3854</f>
        <v>0</v>
      </c>
      <c r="P3842" s="21">
        <f>Data!J3858</f>
        <v>0</v>
      </c>
      <c r="Q3842">
        <f>Data!K3858</f>
        <v>0</v>
      </c>
      <c r="R3842">
        <f>Data!L3858</f>
        <v>0</v>
      </c>
      <c r="S3842">
        <f>Data!M3858</f>
        <v>0</v>
      </c>
      <c r="T3842">
        <f>Data!N3858</f>
        <v>0</v>
      </c>
      <c r="U3842">
        <f>Data!O3858</f>
        <v>0</v>
      </c>
      <c r="V3842" s="33">
        <f>Data!P3856</f>
        <v>0</v>
      </c>
    </row>
    <row r="3843" spans="7:22" x14ac:dyDescent="0.25">
      <c r="G3843">
        <f>Data!B3855</f>
        <v>0</v>
      </c>
      <c r="H3843" s="21">
        <f>Data!B3855</f>
        <v>0</v>
      </c>
      <c r="I3843" s="21">
        <f>Data!C3855</f>
        <v>0</v>
      </c>
      <c r="J3843">
        <f>Data!D3855</f>
        <v>0</v>
      </c>
      <c r="K3843">
        <f>Data!E3855</f>
        <v>0</v>
      </c>
      <c r="L3843">
        <f>Data!F3855</f>
        <v>0</v>
      </c>
      <c r="M3843">
        <f>Data!G3855</f>
        <v>0</v>
      </c>
      <c r="N3843">
        <f>Data!H3855</f>
        <v>0</v>
      </c>
      <c r="O3843">
        <f>Data!I3855</f>
        <v>0</v>
      </c>
      <c r="P3843" s="21">
        <f>Data!J3859</f>
        <v>0</v>
      </c>
      <c r="Q3843">
        <f>Data!K3859</f>
        <v>0</v>
      </c>
      <c r="R3843">
        <f>Data!L3859</f>
        <v>0</v>
      </c>
      <c r="S3843">
        <f>Data!M3859</f>
        <v>0</v>
      </c>
      <c r="T3843">
        <f>Data!N3859</f>
        <v>0</v>
      </c>
      <c r="U3843">
        <f>Data!O3859</f>
        <v>0</v>
      </c>
      <c r="V3843" s="33">
        <f>Data!P3857</f>
        <v>0</v>
      </c>
    </row>
    <row r="3844" spans="7:22" x14ac:dyDescent="0.25">
      <c r="G3844">
        <f>Data!B3856</f>
        <v>0</v>
      </c>
      <c r="H3844" s="21">
        <f>Data!B3856</f>
        <v>0</v>
      </c>
      <c r="I3844" s="21">
        <f>Data!C3856</f>
        <v>0</v>
      </c>
      <c r="J3844">
        <f>Data!D3856</f>
        <v>0</v>
      </c>
      <c r="K3844">
        <f>Data!E3856</f>
        <v>0</v>
      </c>
      <c r="L3844">
        <f>Data!F3856</f>
        <v>0</v>
      </c>
      <c r="M3844">
        <f>Data!G3856</f>
        <v>0</v>
      </c>
      <c r="N3844">
        <f>Data!H3856</f>
        <v>0</v>
      </c>
      <c r="O3844">
        <f>Data!I3856</f>
        <v>0</v>
      </c>
      <c r="P3844" s="21">
        <f>Data!J3860</f>
        <v>0</v>
      </c>
      <c r="Q3844">
        <f>Data!K3860</f>
        <v>0</v>
      </c>
      <c r="R3844">
        <f>Data!L3860</f>
        <v>0</v>
      </c>
      <c r="S3844">
        <f>Data!M3860</f>
        <v>0</v>
      </c>
      <c r="T3844">
        <f>Data!N3860</f>
        <v>0</v>
      </c>
      <c r="U3844">
        <f>Data!O3860</f>
        <v>0</v>
      </c>
      <c r="V3844" s="33">
        <f>Data!P3858</f>
        <v>0</v>
      </c>
    </row>
    <row r="3845" spans="7:22" x14ac:dyDescent="0.25">
      <c r="G3845">
        <f>Data!B3857</f>
        <v>0</v>
      </c>
      <c r="H3845" s="21">
        <f>Data!B3857</f>
        <v>0</v>
      </c>
      <c r="I3845" s="21">
        <f>Data!C3857</f>
        <v>0</v>
      </c>
      <c r="J3845">
        <f>Data!D3857</f>
        <v>0</v>
      </c>
      <c r="K3845">
        <f>Data!E3857</f>
        <v>0</v>
      </c>
      <c r="L3845">
        <f>Data!F3857</f>
        <v>0</v>
      </c>
      <c r="M3845">
        <f>Data!G3857</f>
        <v>0</v>
      </c>
      <c r="N3845">
        <f>Data!H3857</f>
        <v>0</v>
      </c>
      <c r="O3845">
        <f>Data!I3857</f>
        <v>0</v>
      </c>
      <c r="P3845" s="21">
        <f>Data!J3861</f>
        <v>0</v>
      </c>
      <c r="Q3845">
        <f>Data!K3861</f>
        <v>0</v>
      </c>
      <c r="R3845">
        <f>Data!L3861</f>
        <v>0</v>
      </c>
      <c r="S3845">
        <f>Data!M3861</f>
        <v>0</v>
      </c>
      <c r="T3845">
        <f>Data!N3861</f>
        <v>0</v>
      </c>
      <c r="U3845">
        <f>Data!O3861</f>
        <v>0</v>
      </c>
      <c r="V3845" s="33">
        <f>Data!P3859</f>
        <v>0</v>
      </c>
    </row>
    <row r="3846" spans="7:22" x14ac:dyDescent="0.25">
      <c r="G3846">
        <f>Data!B3858</f>
        <v>0</v>
      </c>
      <c r="H3846" s="21">
        <f>Data!B3858</f>
        <v>0</v>
      </c>
      <c r="I3846" s="21">
        <f>Data!C3858</f>
        <v>0</v>
      </c>
      <c r="J3846">
        <f>Data!D3858</f>
        <v>0</v>
      </c>
      <c r="K3846">
        <f>Data!E3858</f>
        <v>0</v>
      </c>
      <c r="L3846">
        <f>Data!F3858</f>
        <v>0</v>
      </c>
      <c r="M3846">
        <f>Data!G3858</f>
        <v>0</v>
      </c>
      <c r="N3846">
        <f>Data!H3858</f>
        <v>0</v>
      </c>
      <c r="O3846">
        <f>Data!I3858</f>
        <v>0</v>
      </c>
      <c r="P3846" s="21">
        <f>Data!J3862</f>
        <v>0</v>
      </c>
      <c r="Q3846">
        <f>Data!K3862</f>
        <v>0</v>
      </c>
      <c r="R3846">
        <f>Data!L3862</f>
        <v>0</v>
      </c>
      <c r="S3846">
        <f>Data!M3862</f>
        <v>0</v>
      </c>
      <c r="T3846">
        <f>Data!N3862</f>
        <v>0</v>
      </c>
      <c r="U3846">
        <f>Data!O3862</f>
        <v>0</v>
      </c>
      <c r="V3846" s="33">
        <f>Data!P3860</f>
        <v>0</v>
      </c>
    </row>
    <row r="3847" spans="7:22" x14ac:dyDescent="0.25">
      <c r="G3847">
        <f>Data!B3859</f>
        <v>0</v>
      </c>
      <c r="H3847" s="21">
        <f>Data!B3859</f>
        <v>0</v>
      </c>
      <c r="I3847" s="21">
        <f>Data!C3859</f>
        <v>0</v>
      </c>
      <c r="J3847">
        <f>Data!D3859</f>
        <v>0</v>
      </c>
      <c r="K3847">
        <f>Data!E3859</f>
        <v>0</v>
      </c>
      <c r="L3847">
        <f>Data!F3859</f>
        <v>0</v>
      </c>
      <c r="M3847">
        <f>Data!G3859</f>
        <v>0</v>
      </c>
      <c r="N3847">
        <f>Data!H3859</f>
        <v>0</v>
      </c>
      <c r="O3847">
        <f>Data!I3859</f>
        <v>0</v>
      </c>
      <c r="P3847" s="21">
        <f>Data!J3863</f>
        <v>0</v>
      </c>
      <c r="Q3847">
        <f>Data!K3863</f>
        <v>0</v>
      </c>
      <c r="R3847">
        <f>Data!L3863</f>
        <v>0</v>
      </c>
      <c r="S3847">
        <f>Data!M3863</f>
        <v>0</v>
      </c>
      <c r="T3847">
        <f>Data!N3863</f>
        <v>0</v>
      </c>
      <c r="U3847">
        <f>Data!O3863</f>
        <v>0</v>
      </c>
      <c r="V3847" s="33">
        <f>Data!P3861</f>
        <v>0</v>
      </c>
    </row>
    <row r="3848" spans="7:22" x14ac:dyDescent="0.25">
      <c r="G3848">
        <f>Data!B3860</f>
        <v>0</v>
      </c>
      <c r="H3848" s="21">
        <f>Data!B3860</f>
        <v>0</v>
      </c>
      <c r="I3848" s="21">
        <f>Data!C3860</f>
        <v>0</v>
      </c>
      <c r="J3848">
        <f>Data!D3860</f>
        <v>0</v>
      </c>
      <c r="K3848">
        <f>Data!E3860</f>
        <v>0</v>
      </c>
      <c r="L3848">
        <f>Data!F3860</f>
        <v>0</v>
      </c>
      <c r="M3848">
        <f>Data!G3860</f>
        <v>0</v>
      </c>
      <c r="N3848">
        <f>Data!H3860</f>
        <v>0</v>
      </c>
      <c r="O3848">
        <f>Data!I3860</f>
        <v>0</v>
      </c>
      <c r="P3848" s="21">
        <f>Data!J3864</f>
        <v>0</v>
      </c>
      <c r="Q3848">
        <f>Data!K3864</f>
        <v>0</v>
      </c>
      <c r="R3848">
        <f>Data!L3864</f>
        <v>0</v>
      </c>
      <c r="S3848">
        <f>Data!M3864</f>
        <v>0</v>
      </c>
      <c r="T3848">
        <f>Data!N3864</f>
        <v>0</v>
      </c>
      <c r="U3848">
        <f>Data!O3864</f>
        <v>0</v>
      </c>
      <c r="V3848" s="33">
        <f>Data!P3862</f>
        <v>0</v>
      </c>
    </row>
    <row r="3849" spans="7:22" x14ac:dyDescent="0.25">
      <c r="G3849">
        <f>Data!B3861</f>
        <v>0</v>
      </c>
      <c r="H3849" s="21">
        <f>Data!B3861</f>
        <v>0</v>
      </c>
      <c r="I3849" s="21">
        <f>Data!C3861</f>
        <v>0</v>
      </c>
      <c r="J3849">
        <f>Data!D3861</f>
        <v>0</v>
      </c>
      <c r="K3849">
        <f>Data!E3861</f>
        <v>0</v>
      </c>
      <c r="L3849">
        <f>Data!F3861</f>
        <v>0</v>
      </c>
      <c r="M3849">
        <f>Data!G3861</f>
        <v>0</v>
      </c>
      <c r="N3849">
        <f>Data!H3861</f>
        <v>0</v>
      </c>
      <c r="O3849">
        <f>Data!I3861</f>
        <v>0</v>
      </c>
      <c r="P3849" s="21">
        <f>Data!J3865</f>
        <v>0</v>
      </c>
      <c r="Q3849">
        <f>Data!K3865</f>
        <v>0</v>
      </c>
      <c r="R3849">
        <f>Data!L3865</f>
        <v>0</v>
      </c>
      <c r="S3849">
        <f>Data!M3865</f>
        <v>0</v>
      </c>
      <c r="T3849">
        <f>Data!N3865</f>
        <v>0</v>
      </c>
      <c r="U3849">
        <f>Data!O3865</f>
        <v>0</v>
      </c>
      <c r="V3849" s="33">
        <f>Data!P3863</f>
        <v>0</v>
      </c>
    </row>
    <row r="3850" spans="7:22" x14ac:dyDescent="0.25">
      <c r="G3850">
        <f>Data!B3862</f>
        <v>0</v>
      </c>
      <c r="H3850" s="21">
        <f>Data!B3862</f>
        <v>0</v>
      </c>
      <c r="I3850" s="21">
        <f>Data!C3862</f>
        <v>0</v>
      </c>
      <c r="J3850">
        <f>Data!D3862</f>
        <v>0</v>
      </c>
      <c r="K3850">
        <f>Data!E3862</f>
        <v>0</v>
      </c>
      <c r="L3850">
        <f>Data!F3862</f>
        <v>0</v>
      </c>
      <c r="M3850">
        <f>Data!G3862</f>
        <v>0</v>
      </c>
      <c r="N3850">
        <f>Data!H3862</f>
        <v>0</v>
      </c>
      <c r="O3850">
        <f>Data!I3862</f>
        <v>0</v>
      </c>
      <c r="P3850" s="21">
        <f>Data!J3866</f>
        <v>0</v>
      </c>
      <c r="Q3850">
        <f>Data!K3866</f>
        <v>0</v>
      </c>
      <c r="R3850">
        <f>Data!L3866</f>
        <v>0</v>
      </c>
      <c r="S3850">
        <f>Data!M3866</f>
        <v>0</v>
      </c>
      <c r="T3850">
        <f>Data!N3866</f>
        <v>0</v>
      </c>
      <c r="U3850">
        <f>Data!O3866</f>
        <v>0</v>
      </c>
      <c r="V3850" s="33">
        <f>Data!P3864</f>
        <v>0</v>
      </c>
    </row>
    <row r="3851" spans="7:22" x14ac:dyDescent="0.25">
      <c r="G3851">
        <f>Data!B3863</f>
        <v>0</v>
      </c>
      <c r="H3851" s="21">
        <f>Data!B3863</f>
        <v>0</v>
      </c>
      <c r="I3851" s="21">
        <f>Data!C3863</f>
        <v>0</v>
      </c>
      <c r="J3851">
        <f>Data!D3863</f>
        <v>0</v>
      </c>
      <c r="K3851">
        <f>Data!E3863</f>
        <v>0</v>
      </c>
      <c r="L3851">
        <f>Data!F3863</f>
        <v>0</v>
      </c>
      <c r="M3851">
        <f>Data!G3863</f>
        <v>0</v>
      </c>
      <c r="N3851">
        <f>Data!H3863</f>
        <v>0</v>
      </c>
      <c r="O3851">
        <f>Data!I3863</f>
        <v>0</v>
      </c>
      <c r="P3851" s="21">
        <f>Data!J3867</f>
        <v>0</v>
      </c>
      <c r="Q3851">
        <f>Data!K3867</f>
        <v>0</v>
      </c>
      <c r="R3851">
        <f>Data!L3867</f>
        <v>0</v>
      </c>
      <c r="S3851">
        <f>Data!M3867</f>
        <v>0</v>
      </c>
      <c r="T3851">
        <f>Data!N3867</f>
        <v>0</v>
      </c>
      <c r="U3851">
        <f>Data!O3867</f>
        <v>0</v>
      </c>
      <c r="V3851" s="33">
        <f>Data!P3865</f>
        <v>0</v>
      </c>
    </row>
    <row r="3852" spans="7:22" x14ac:dyDescent="0.25">
      <c r="G3852">
        <f>Data!B3864</f>
        <v>0</v>
      </c>
      <c r="H3852" s="21">
        <f>Data!B3864</f>
        <v>0</v>
      </c>
      <c r="I3852" s="21">
        <f>Data!C3864</f>
        <v>0</v>
      </c>
      <c r="J3852">
        <f>Data!D3864</f>
        <v>0</v>
      </c>
      <c r="K3852">
        <f>Data!E3864</f>
        <v>0</v>
      </c>
      <c r="L3852">
        <f>Data!F3864</f>
        <v>0</v>
      </c>
      <c r="M3852">
        <f>Data!G3864</f>
        <v>0</v>
      </c>
      <c r="N3852">
        <f>Data!H3864</f>
        <v>0</v>
      </c>
      <c r="O3852">
        <f>Data!I3864</f>
        <v>0</v>
      </c>
      <c r="P3852" s="21">
        <f>Data!J3868</f>
        <v>0</v>
      </c>
      <c r="Q3852">
        <f>Data!K3868</f>
        <v>0</v>
      </c>
      <c r="R3852">
        <f>Data!L3868</f>
        <v>0</v>
      </c>
      <c r="S3852">
        <f>Data!M3868</f>
        <v>0</v>
      </c>
      <c r="T3852">
        <f>Data!N3868</f>
        <v>0</v>
      </c>
      <c r="U3852">
        <f>Data!O3868</f>
        <v>0</v>
      </c>
      <c r="V3852" s="33">
        <f>Data!P3866</f>
        <v>0</v>
      </c>
    </row>
    <row r="3853" spans="7:22" x14ac:dyDescent="0.25">
      <c r="G3853">
        <f>Data!B3865</f>
        <v>0</v>
      </c>
      <c r="H3853" s="21">
        <f>Data!B3865</f>
        <v>0</v>
      </c>
      <c r="I3853" s="21">
        <f>Data!C3865</f>
        <v>0</v>
      </c>
      <c r="J3853">
        <f>Data!D3865</f>
        <v>0</v>
      </c>
      <c r="K3853">
        <f>Data!E3865</f>
        <v>0</v>
      </c>
      <c r="L3853">
        <f>Data!F3865</f>
        <v>0</v>
      </c>
      <c r="M3853">
        <f>Data!G3865</f>
        <v>0</v>
      </c>
      <c r="N3853">
        <f>Data!H3865</f>
        <v>0</v>
      </c>
      <c r="O3853">
        <f>Data!I3865</f>
        <v>0</v>
      </c>
      <c r="P3853" s="21">
        <f>Data!J3869</f>
        <v>0</v>
      </c>
      <c r="Q3853">
        <f>Data!K3869</f>
        <v>0</v>
      </c>
      <c r="R3853">
        <f>Data!L3869</f>
        <v>0</v>
      </c>
      <c r="S3853">
        <f>Data!M3869</f>
        <v>0</v>
      </c>
      <c r="T3853">
        <f>Data!N3869</f>
        <v>0</v>
      </c>
      <c r="U3853">
        <f>Data!O3869</f>
        <v>0</v>
      </c>
      <c r="V3853" s="33">
        <f>Data!P3867</f>
        <v>0</v>
      </c>
    </row>
    <row r="3854" spans="7:22" x14ac:dyDescent="0.25">
      <c r="G3854">
        <f>Data!B3866</f>
        <v>0</v>
      </c>
      <c r="H3854" s="21">
        <f>Data!B3866</f>
        <v>0</v>
      </c>
      <c r="I3854" s="21">
        <f>Data!C3866</f>
        <v>0</v>
      </c>
      <c r="J3854">
        <f>Data!D3866</f>
        <v>0</v>
      </c>
      <c r="K3854">
        <f>Data!E3866</f>
        <v>0</v>
      </c>
      <c r="L3854">
        <f>Data!F3866</f>
        <v>0</v>
      </c>
      <c r="M3854">
        <f>Data!G3866</f>
        <v>0</v>
      </c>
      <c r="N3854">
        <f>Data!H3866</f>
        <v>0</v>
      </c>
      <c r="O3854">
        <f>Data!I3866</f>
        <v>0</v>
      </c>
      <c r="P3854" s="21">
        <f>Data!J3870</f>
        <v>0</v>
      </c>
      <c r="Q3854">
        <f>Data!K3870</f>
        <v>0</v>
      </c>
      <c r="R3854">
        <f>Data!L3870</f>
        <v>0</v>
      </c>
      <c r="S3854">
        <f>Data!M3870</f>
        <v>0</v>
      </c>
      <c r="T3854">
        <f>Data!N3870</f>
        <v>0</v>
      </c>
      <c r="U3854">
        <f>Data!O3870</f>
        <v>0</v>
      </c>
      <c r="V3854" s="33">
        <f>Data!P3868</f>
        <v>0</v>
      </c>
    </row>
    <row r="3855" spans="7:22" x14ac:dyDescent="0.25">
      <c r="G3855">
        <f>Data!B3867</f>
        <v>0</v>
      </c>
      <c r="H3855" s="21">
        <f>Data!B3867</f>
        <v>0</v>
      </c>
      <c r="I3855" s="21">
        <f>Data!C3867</f>
        <v>0</v>
      </c>
      <c r="J3855">
        <f>Data!D3867</f>
        <v>0</v>
      </c>
      <c r="K3855">
        <f>Data!E3867</f>
        <v>0</v>
      </c>
      <c r="L3855">
        <f>Data!F3867</f>
        <v>0</v>
      </c>
      <c r="M3855">
        <f>Data!G3867</f>
        <v>0</v>
      </c>
      <c r="N3855">
        <f>Data!H3867</f>
        <v>0</v>
      </c>
      <c r="O3855">
        <f>Data!I3867</f>
        <v>0</v>
      </c>
      <c r="P3855" s="21">
        <f>Data!J3871</f>
        <v>0</v>
      </c>
      <c r="Q3855">
        <f>Data!K3871</f>
        <v>0</v>
      </c>
      <c r="R3855">
        <f>Data!L3871</f>
        <v>0</v>
      </c>
      <c r="S3855">
        <f>Data!M3871</f>
        <v>0</v>
      </c>
      <c r="T3855">
        <f>Data!N3871</f>
        <v>0</v>
      </c>
      <c r="U3855">
        <f>Data!O3871</f>
        <v>0</v>
      </c>
      <c r="V3855" s="33">
        <f>Data!P3869</f>
        <v>0</v>
      </c>
    </row>
    <row r="3856" spans="7:22" x14ac:dyDescent="0.25">
      <c r="G3856">
        <f>Data!B3868</f>
        <v>0</v>
      </c>
      <c r="H3856" s="21">
        <f>Data!B3868</f>
        <v>0</v>
      </c>
      <c r="I3856" s="21">
        <f>Data!C3868</f>
        <v>0</v>
      </c>
      <c r="J3856">
        <f>Data!D3868</f>
        <v>0</v>
      </c>
      <c r="K3856">
        <f>Data!E3868</f>
        <v>0</v>
      </c>
      <c r="L3856">
        <f>Data!F3868</f>
        <v>0</v>
      </c>
      <c r="M3856">
        <f>Data!G3868</f>
        <v>0</v>
      </c>
      <c r="N3856">
        <f>Data!H3868</f>
        <v>0</v>
      </c>
      <c r="O3856">
        <f>Data!I3868</f>
        <v>0</v>
      </c>
      <c r="P3856" s="21">
        <f>Data!J3872</f>
        <v>0</v>
      </c>
      <c r="Q3856">
        <f>Data!K3872</f>
        <v>0</v>
      </c>
      <c r="R3856">
        <f>Data!L3872</f>
        <v>0</v>
      </c>
      <c r="S3856">
        <f>Data!M3872</f>
        <v>0</v>
      </c>
      <c r="T3856">
        <f>Data!N3872</f>
        <v>0</v>
      </c>
      <c r="U3856">
        <f>Data!O3872</f>
        <v>0</v>
      </c>
      <c r="V3856" s="33">
        <f>Data!P3870</f>
        <v>0</v>
      </c>
    </row>
    <row r="3857" spans="7:22" x14ac:dyDescent="0.25">
      <c r="G3857">
        <f>Data!B3869</f>
        <v>0</v>
      </c>
      <c r="H3857" s="21">
        <f>Data!B3869</f>
        <v>0</v>
      </c>
      <c r="I3857" s="21">
        <f>Data!C3869</f>
        <v>0</v>
      </c>
      <c r="J3857">
        <f>Data!D3869</f>
        <v>0</v>
      </c>
      <c r="K3857">
        <f>Data!E3869</f>
        <v>0</v>
      </c>
      <c r="L3857">
        <f>Data!F3869</f>
        <v>0</v>
      </c>
      <c r="M3857">
        <f>Data!G3869</f>
        <v>0</v>
      </c>
      <c r="N3857">
        <f>Data!H3869</f>
        <v>0</v>
      </c>
      <c r="O3857">
        <f>Data!I3869</f>
        <v>0</v>
      </c>
      <c r="P3857" s="21">
        <f>Data!J3873</f>
        <v>0</v>
      </c>
      <c r="Q3857">
        <f>Data!K3873</f>
        <v>0</v>
      </c>
      <c r="R3857">
        <f>Data!L3873</f>
        <v>0</v>
      </c>
      <c r="S3857">
        <f>Data!M3873</f>
        <v>0</v>
      </c>
      <c r="T3857">
        <f>Data!N3873</f>
        <v>0</v>
      </c>
      <c r="U3857">
        <f>Data!O3873</f>
        <v>0</v>
      </c>
      <c r="V3857" s="33">
        <f>Data!P3871</f>
        <v>0</v>
      </c>
    </row>
    <row r="3858" spans="7:22" x14ac:dyDescent="0.25">
      <c r="G3858">
        <f>Data!B3870</f>
        <v>0</v>
      </c>
      <c r="H3858" s="21">
        <f>Data!B3870</f>
        <v>0</v>
      </c>
      <c r="I3858" s="21">
        <f>Data!C3870</f>
        <v>0</v>
      </c>
      <c r="J3858">
        <f>Data!D3870</f>
        <v>0</v>
      </c>
      <c r="K3858">
        <f>Data!E3870</f>
        <v>0</v>
      </c>
      <c r="L3858">
        <f>Data!F3870</f>
        <v>0</v>
      </c>
      <c r="M3858">
        <f>Data!G3870</f>
        <v>0</v>
      </c>
      <c r="N3858">
        <f>Data!H3870</f>
        <v>0</v>
      </c>
      <c r="O3858">
        <f>Data!I3870</f>
        <v>0</v>
      </c>
      <c r="P3858" s="21">
        <f>Data!J3874</f>
        <v>0</v>
      </c>
      <c r="Q3858">
        <f>Data!K3874</f>
        <v>0</v>
      </c>
      <c r="R3858">
        <f>Data!L3874</f>
        <v>0</v>
      </c>
      <c r="S3858">
        <f>Data!M3874</f>
        <v>0</v>
      </c>
      <c r="T3858">
        <f>Data!N3874</f>
        <v>0</v>
      </c>
      <c r="U3858">
        <f>Data!O3874</f>
        <v>0</v>
      </c>
      <c r="V3858" s="33">
        <f>Data!P3872</f>
        <v>0</v>
      </c>
    </row>
    <row r="3859" spans="7:22" x14ac:dyDescent="0.25">
      <c r="G3859">
        <f>Data!B3871</f>
        <v>0</v>
      </c>
      <c r="H3859" s="21">
        <f>Data!B3871</f>
        <v>0</v>
      </c>
      <c r="I3859" s="21">
        <f>Data!C3871</f>
        <v>0</v>
      </c>
      <c r="J3859">
        <f>Data!D3871</f>
        <v>0</v>
      </c>
      <c r="K3859">
        <f>Data!E3871</f>
        <v>0</v>
      </c>
      <c r="L3859">
        <f>Data!F3871</f>
        <v>0</v>
      </c>
      <c r="M3859">
        <f>Data!G3871</f>
        <v>0</v>
      </c>
      <c r="N3859">
        <f>Data!H3871</f>
        <v>0</v>
      </c>
      <c r="O3859">
        <f>Data!I3871</f>
        <v>0</v>
      </c>
      <c r="P3859" s="21">
        <f>Data!J3875</f>
        <v>0</v>
      </c>
      <c r="Q3859">
        <f>Data!K3875</f>
        <v>0</v>
      </c>
      <c r="R3859">
        <f>Data!L3875</f>
        <v>0</v>
      </c>
      <c r="S3859">
        <f>Data!M3875</f>
        <v>0</v>
      </c>
      <c r="T3859">
        <f>Data!N3875</f>
        <v>0</v>
      </c>
      <c r="U3859">
        <f>Data!O3875</f>
        <v>0</v>
      </c>
      <c r="V3859" s="33">
        <f>Data!P3873</f>
        <v>0</v>
      </c>
    </row>
    <row r="3860" spans="7:22" x14ac:dyDescent="0.25">
      <c r="G3860">
        <f>Data!B3872</f>
        <v>0</v>
      </c>
      <c r="H3860" s="21">
        <f>Data!B3872</f>
        <v>0</v>
      </c>
      <c r="I3860" s="21">
        <f>Data!C3872</f>
        <v>0</v>
      </c>
      <c r="J3860">
        <f>Data!D3872</f>
        <v>0</v>
      </c>
      <c r="K3860">
        <f>Data!E3872</f>
        <v>0</v>
      </c>
      <c r="L3860">
        <f>Data!F3872</f>
        <v>0</v>
      </c>
      <c r="M3860">
        <f>Data!G3872</f>
        <v>0</v>
      </c>
      <c r="N3860">
        <f>Data!H3872</f>
        <v>0</v>
      </c>
      <c r="O3860">
        <f>Data!I3872</f>
        <v>0</v>
      </c>
      <c r="P3860" s="21">
        <f>Data!J3876</f>
        <v>0</v>
      </c>
      <c r="Q3860">
        <f>Data!K3876</f>
        <v>0</v>
      </c>
      <c r="R3860">
        <f>Data!L3876</f>
        <v>0</v>
      </c>
      <c r="S3860">
        <f>Data!M3876</f>
        <v>0</v>
      </c>
      <c r="T3860">
        <f>Data!N3876</f>
        <v>0</v>
      </c>
      <c r="U3860">
        <f>Data!O3876</f>
        <v>0</v>
      </c>
      <c r="V3860" s="33">
        <f>Data!P3874</f>
        <v>0</v>
      </c>
    </row>
    <row r="3861" spans="7:22" x14ac:dyDescent="0.25">
      <c r="G3861">
        <f>Data!B3873</f>
        <v>0</v>
      </c>
      <c r="H3861" s="21">
        <f>Data!B3873</f>
        <v>0</v>
      </c>
      <c r="I3861" s="21">
        <f>Data!C3873</f>
        <v>0</v>
      </c>
      <c r="J3861">
        <f>Data!D3873</f>
        <v>0</v>
      </c>
      <c r="K3861">
        <f>Data!E3873</f>
        <v>0</v>
      </c>
      <c r="L3861">
        <f>Data!F3873</f>
        <v>0</v>
      </c>
      <c r="M3861">
        <f>Data!G3873</f>
        <v>0</v>
      </c>
      <c r="N3861">
        <f>Data!H3873</f>
        <v>0</v>
      </c>
      <c r="O3861">
        <f>Data!I3873</f>
        <v>0</v>
      </c>
      <c r="P3861" s="21">
        <f>Data!J3877</f>
        <v>0</v>
      </c>
      <c r="Q3861">
        <f>Data!K3877</f>
        <v>0</v>
      </c>
      <c r="R3861">
        <f>Data!L3877</f>
        <v>0</v>
      </c>
      <c r="S3861">
        <f>Data!M3877</f>
        <v>0</v>
      </c>
      <c r="T3861">
        <f>Data!N3877</f>
        <v>0</v>
      </c>
      <c r="U3861">
        <f>Data!O3877</f>
        <v>0</v>
      </c>
      <c r="V3861" s="33">
        <f>Data!P3875</f>
        <v>0</v>
      </c>
    </row>
    <row r="3862" spans="7:22" x14ac:dyDescent="0.25">
      <c r="G3862">
        <f>Data!B3874</f>
        <v>0</v>
      </c>
      <c r="H3862" s="21">
        <f>Data!B3874</f>
        <v>0</v>
      </c>
      <c r="I3862" s="21">
        <f>Data!C3874</f>
        <v>0</v>
      </c>
      <c r="J3862">
        <f>Data!D3874</f>
        <v>0</v>
      </c>
      <c r="K3862">
        <f>Data!E3874</f>
        <v>0</v>
      </c>
      <c r="L3862">
        <f>Data!F3874</f>
        <v>0</v>
      </c>
      <c r="M3862">
        <f>Data!G3874</f>
        <v>0</v>
      </c>
      <c r="N3862">
        <f>Data!H3874</f>
        <v>0</v>
      </c>
      <c r="O3862">
        <f>Data!I3874</f>
        <v>0</v>
      </c>
      <c r="P3862" s="21">
        <f>Data!J3878</f>
        <v>0</v>
      </c>
      <c r="Q3862">
        <f>Data!K3878</f>
        <v>0</v>
      </c>
      <c r="R3862">
        <f>Data!L3878</f>
        <v>0</v>
      </c>
      <c r="S3862">
        <f>Data!M3878</f>
        <v>0</v>
      </c>
      <c r="T3862">
        <f>Data!N3878</f>
        <v>0</v>
      </c>
      <c r="U3862">
        <f>Data!O3878</f>
        <v>0</v>
      </c>
      <c r="V3862" s="33">
        <f>Data!P3876</f>
        <v>0</v>
      </c>
    </row>
    <row r="3863" spans="7:22" x14ac:dyDescent="0.25">
      <c r="G3863">
        <f>Data!B3875</f>
        <v>0</v>
      </c>
      <c r="H3863" s="21">
        <f>Data!B3875</f>
        <v>0</v>
      </c>
      <c r="I3863" s="21">
        <f>Data!C3875</f>
        <v>0</v>
      </c>
      <c r="J3863">
        <f>Data!D3875</f>
        <v>0</v>
      </c>
      <c r="K3863">
        <f>Data!E3875</f>
        <v>0</v>
      </c>
      <c r="L3863">
        <f>Data!F3875</f>
        <v>0</v>
      </c>
      <c r="M3863">
        <f>Data!G3875</f>
        <v>0</v>
      </c>
      <c r="N3863">
        <f>Data!H3875</f>
        <v>0</v>
      </c>
      <c r="O3863">
        <f>Data!I3875</f>
        <v>0</v>
      </c>
      <c r="P3863" s="21">
        <f>Data!J3879</f>
        <v>0</v>
      </c>
      <c r="Q3863">
        <f>Data!K3879</f>
        <v>0</v>
      </c>
      <c r="R3863">
        <f>Data!L3879</f>
        <v>0</v>
      </c>
      <c r="S3863">
        <f>Data!M3879</f>
        <v>0</v>
      </c>
      <c r="T3863">
        <f>Data!N3879</f>
        <v>0</v>
      </c>
      <c r="U3863">
        <f>Data!O3879</f>
        <v>0</v>
      </c>
      <c r="V3863" s="33">
        <f>Data!P3877</f>
        <v>0</v>
      </c>
    </row>
    <row r="3864" spans="7:22" x14ac:dyDescent="0.25">
      <c r="G3864">
        <f>Data!B3876</f>
        <v>0</v>
      </c>
      <c r="H3864" s="21">
        <f>Data!B3876</f>
        <v>0</v>
      </c>
      <c r="I3864" s="21">
        <f>Data!C3876</f>
        <v>0</v>
      </c>
      <c r="J3864">
        <f>Data!D3876</f>
        <v>0</v>
      </c>
      <c r="K3864">
        <f>Data!E3876</f>
        <v>0</v>
      </c>
      <c r="L3864">
        <f>Data!F3876</f>
        <v>0</v>
      </c>
      <c r="M3864">
        <f>Data!G3876</f>
        <v>0</v>
      </c>
      <c r="N3864">
        <f>Data!H3876</f>
        <v>0</v>
      </c>
      <c r="O3864">
        <f>Data!I3876</f>
        <v>0</v>
      </c>
      <c r="P3864" s="21">
        <f>Data!J3880</f>
        <v>0</v>
      </c>
      <c r="Q3864">
        <f>Data!K3880</f>
        <v>0</v>
      </c>
      <c r="R3864">
        <f>Data!L3880</f>
        <v>0</v>
      </c>
      <c r="S3864">
        <f>Data!M3880</f>
        <v>0</v>
      </c>
      <c r="T3864">
        <f>Data!N3880</f>
        <v>0</v>
      </c>
      <c r="U3864">
        <f>Data!O3880</f>
        <v>0</v>
      </c>
      <c r="V3864" s="33">
        <f>Data!P3878</f>
        <v>0</v>
      </c>
    </row>
    <row r="3865" spans="7:22" x14ac:dyDescent="0.25">
      <c r="G3865">
        <f>Data!B3877</f>
        <v>0</v>
      </c>
      <c r="H3865" s="21">
        <f>Data!B3877</f>
        <v>0</v>
      </c>
      <c r="I3865" s="21">
        <f>Data!C3877</f>
        <v>0</v>
      </c>
      <c r="J3865">
        <f>Data!D3877</f>
        <v>0</v>
      </c>
      <c r="K3865">
        <f>Data!E3877</f>
        <v>0</v>
      </c>
      <c r="L3865">
        <f>Data!F3877</f>
        <v>0</v>
      </c>
      <c r="M3865">
        <f>Data!G3877</f>
        <v>0</v>
      </c>
      <c r="N3865">
        <f>Data!H3877</f>
        <v>0</v>
      </c>
      <c r="O3865">
        <f>Data!I3877</f>
        <v>0</v>
      </c>
      <c r="P3865" s="21">
        <f>Data!J3881</f>
        <v>0</v>
      </c>
      <c r="Q3865">
        <f>Data!K3881</f>
        <v>0</v>
      </c>
      <c r="R3865">
        <f>Data!L3881</f>
        <v>0</v>
      </c>
      <c r="S3865">
        <f>Data!M3881</f>
        <v>0</v>
      </c>
      <c r="T3865">
        <f>Data!N3881</f>
        <v>0</v>
      </c>
      <c r="U3865">
        <f>Data!O3881</f>
        <v>0</v>
      </c>
      <c r="V3865" s="33">
        <f>Data!P3879</f>
        <v>0</v>
      </c>
    </row>
    <row r="3866" spans="7:22" x14ac:dyDescent="0.25">
      <c r="G3866">
        <f>Data!B3878</f>
        <v>0</v>
      </c>
      <c r="H3866" s="21">
        <f>Data!B3878</f>
        <v>0</v>
      </c>
      <c r="I3866" s="21">
        <f>Data!C3878</f>
        <v>0</v>
      </c>
      <c r="J3866">
        <f>Data!D3878</f>
        <v>0</v>
      </c>
      <c r="K3866">
        <f>Data!E3878</f>
        <v>0</v>
      </c>
      <c r="L3866">
        <f>Data!F3878</f>
        <v>0</v>
      </c>
      <c r="M3866">
        <f>Data!G3878</f>
        <v>0</v>
      </c>
      <c r="N3866">
        <f>Data!H3878</f>
        <v>0</v>
      </c>
      <c r="O3866">
        <f>Data!I3878</f>
        <v>0</v>
      </c>
      <c r="P3866" s="21">
        <f>Data!J3882</f>
        <v>0</v>
      </c>
      <c r="Q3866">
        <f>Data!K3882</f>
        <v>0</v>
      </c>
      <c r="R3866">
        <f>Data!L3882</f>
        <v>0</v>
      </c>
      <c r="S3866">
        <f>Data!M3882</f>
        <v>0</v>
      </c>
      <c r="T3866">
        <f>Data!N3882</f>
        <v>0</v>
      </c>
      <c r="U3866">
        <f>Data!O3882</f>
        <v>0</v>
      </c>
      <c r="V3866" s="33">
        <f>Data!P3880</f>
        <v>0</v>
      </c>
    </row>
    <row r="3867" spans="7:22" x14ac:dyDescent="0.25">
      <c r="G3867">
        <f>Data!B3879</f>
        <v>0</v>
      </c>
      <c r="H3867" s="21">
        <f>Data!B3879</f>
        <v>0</v>
      </c>
      <c r="I3867" s="21">
        <f>Data!C3879</f>
        <v>0</v>
      </c>
      <c r="J3867">
        <f>Data!D3879</f>
        <v>0</v>
      </c>
      <c r="K3867">
        <f>Data!E3879</f>
        <v>0</v>
      </c>
      <c r="L3867">
        <f>Data!F3879</f>
        <v>0</v>
      </c>
      <c r="M3867">
        <f>Data!G3879</f>
        <v>0</v>
      </c>
      <c r="N3867">
        <f>Data!H3879</f>
        <v>0</v>
      </c>
      <c r="O3867">
        <f>Data!I3879</f>
        <v>0</v>
      </c>
      <c r="P3867" s="21">
        <f>Data!J3883</f>
        <v>0</v>
      </c>
      <c r="Q3867">
        <f>Data!K3883</f>
        <v>0</v>
      </c>
      <c r="R3867">
        <f>Data!L3883</f>
        <v>0</v>
      </c>
      <c r="S3867">
        <f>Data!M3883</f>
        <v>0</v>
      </c>
      <c r="T3867">
        <f>Data!N3883</f>
        <v>0</v>
      </c>
      <c r="U3867">
        <f>Data!O3883</f>
        <v>0</v>
      </c>
      <c r="V3867" s="33">
        <f>Data!P3881</f>
        <v>0</v>
      </c>
    </row>
    <row r="3868" spans="7:22" x14ac:dyDescent="0.25">
      <c r="G3868">
        <f>Data!B3880</f>
        <v>0</v>
      </c>
      <c r="H3868" s="21">
        <f>Data!B3880</f>
        <v>0</v>
      </c>
      <c r="I3868" s="21">
        <f>Data!C3880</f>
        <v>0</v>
      </c>
      <c r="J3868">
        <f>Data!D3880</f>
        <v>0</v>
      </c>
      <c r="K3868">
        <f>Data!E3880</f>
        <v>0</v>
      </c>
      <c r="L3868">
        <f>Data!F3880</f>
        <v>0</v>
      </c>
      <c r="M3868">
        <f>Data!G3880</f>
        <v>0</v>
      </c>
      <c r="N3868">
        <f>Data!H3880</f>
        <v>0</v>
      </c>
      <c r="O3868">
        <f>Data!I3880</f>
        <v>0</v>
      </c>
      <c r="P3868" s="21">
        <f>Data!J3884</f>
        <v>0</v>
      </c>
      <c r="Q3868">
        <f>Data!K3884</f>
        <v>0</v>
      </c>
      <c r="R3868">
        <f>Data!L3884</f>
        <v>0</v>
      </c>
      <c r="S3868">
        <f>Data!M3884</f>
        <v>0</v>
      </c>
      <c r="T3868">
        <f>Data!N3884</f>
        <v>0</v>
      </c>
      <c r="U3868">
        <f>Data!O3884</f>
        <v>0</v>
      </c>
      <c r="V3868" s="33">
        <f>Data!P3882</f>
        <v>0</v>
      </c>
    </row>
    <row r="3869" spans="7:22" x14ac:dyDescent="0.25">
      <c r="G3869">
        <f>Data!B3881</f>
        <v>0</v>
      </c>
      <c r="H3869" s="21">
        <f>Data!B3881</f>
        <v>0</v>
      </c>
      <c r="I3869" s="21">
        <f>Data!C3881</f>
        <v>0</v>
      </c>
      <c r="J3869">
        <f>Data!D3881</f>
        <v>0</v>
      </c>
      <c r="K3869">
        <f>Data!E3881</f>
        <v>0</v>
      </c>
      <c r="L3869">
        <f>Data!F3881</f>
        <v>0</v>
      </c>
      <c r="M3869">
        <f>Data!G3881</f>
        <v>0</v>
      </c>
      <c r="N3869">
        <f>Data!H3881</f>
        <v>0</v>
      </c>
      <c r="O3869">
        <f>Data!I3881</f>
        <v>0</v>
      </c>
      <c r="P3869" s="21">
        <f>Data!J3885</f>
        <v>0</v>
      </c>
      <c r="Q3869">
        <f>Data!K3885</f>
        <v>0</v>
      </c>
      <c r="R3869">
        <f>Data!L3885</f>
        <v>0</v>
      </c>
      <c r="S3869">
        <f>Data!M3885</f>
        <v>0</v>
      </c>
      <c r="T3869">
        <f>Data!N3885</f>
        <v>0</v>
      </c>
      <c r="U3869">
        <f>Data!O3885</f>
        <v>0</v>
      </c>
      <c r="V3869" s="33">
        <f>Data!P3883</f>
        <v>0</v>
      </c>
    </row>
    <row r="3870" spans="7:22" x14ac:dyDescent="0.25">
      <c r="G3870">
        <f>Data!B3882</f>
        <v>0</v>
      </c>
      <c r="H3870" s="21">
        <f>Data!B3882</f>
        <v>0</v>
      </c>
      <c r="I3870" s="21">
        <f>Data!C3882</f>
        <v>0</v>
      </c>
      <c r="J3870">
        <f>Data!D3882</f>
        <v>0</v>
      </c>
      <c r="K3870">
        <f>Data!E3882</f>
        <v>0</v>
      </c>
      <c r="L3870">
        <f>Data!F3882</f>
        <v>0</v>
      </c>
      <c r="M3870">
        <f>Data!G3882</f>
        <v>0</v>
      </c>
      <c r="N3870">
        <f>Data!H3882</f>
        <v>0</v>
      </c>
      <c r="O3870">
        <f>Data!I3882</f>
        <v>0</v>
      </c>
      <c r="P3870" s="21">
        <f>Data!J3886</f>
        <v>0</v>
      </c>
      <c r="Q3870">
        <f>Data!K3886</f>
        <v>0</v>
      </c>
      <c r="R3870">
        <f>Data!L3886</f>
        <v>0</v>
      </c>
      <c r="S3870">
        <f>Data!M3886</f>
        <v>0</v>
      </c>
      <c r="T3870">
        <f>Data!N3886</f>
        <v>0</v>
      </c>
      <c r="U3870">
        <f>Data!O3886</f>
        <v>0</v>
      </c>
      <c r="V3870" s="33">
        <f>Data!P3884</f>
        <v>0</v>
      </c>
    </row>
    <row r="3871" spans="7:22" x14ac:dyDescent="0.25">
      <c r="G3871">
        <f>Data!B3883</f>
        <v>0</v>
      </c>
      <c r="H3871" s="21">
        <f>Data!B3883</f>
        <v>0</v>
      </c>
      <c r="I3871" s="21">
        <f>Data!C3883</f>
        <v>0</v>
      </c>
      <c r="J3871">
        <f>Data!D3883</f>
        <v>0</v>
      </c>
      <c r="K3871">
        <f>Data!E3883</f>
        <v>0</v>
      </c>
      <c r="L3871">
        <f>Data!F3883</f>
        <v>0</v>
      </c>
      <c r="M3871">
        <f>Data!G3883</f>
        <v>0</v>
      </c>
      <c r="N3871">
        <f>Data!H3883</f>
        <v>0</v>
      </c>
      <c r="O3871">
        <f>Data!I3883</f>
        <v>0</v>
      </c>
      <c r="P3871" s="21">
        <f>Data!J3887</f>
        <v>0</v>
      </c>
      <c r="Q3871">
        <f>Data!K3887</f>
        <v>0</v>
      </c>
      <c r="R3871">
        <f>Data!L3887</f>
        <v>0</v>
      </c>
      <c r="S3871">
        <f>Data!M3887</f>
        <v>0</v>
      </c>
      <c r="T3871">
        <f>Data!N3887</f>
        <v>0</v>
      </c>
      <c r="U3871">
        <f>Data!O3887</f>
        <v>0</v>
      </c>
      <c r="V3871" s="33">
        <f>Data!P3885</f>
        <v>0</v>
      </c>
    </row>
    <row r="3872" spans="7:22" x14ac:dyDescent="0.25">
      <c r="G3872">
        <f>Data!B3884</f>
        <v>0</v>
      </c>
      <c r="H3872" s="21">
        <f>Data!B3884</f>
        <v>0</v>
      </c>
      <c r="I3872" s="21">
        <f>Data!C3884</f>
        <v>0</v>
      </c>
      <c r="J3872">
        <f>Data!D3884</f>
        <v>0</v>
      </c>
      <c r="K3872">
        <f>Data!E3884</f>
        <v>0</v>
      </c>
      <c r="L3872">
        <f>Data!F3884</f>
        <v>0</v>
      </c>
      <c r="M3872">
        <f>Data!G3884</f>
        <v>0</v>
      </c>
      <c r="N3872">
        <f>Data!H3884</f>
        <v>0</v>
      </c>
      <c r="O3872">
        <f>Data!I3884</f>
        <v>0</v>
      </c>
      <c r="P3872" s="21">
        <f>Data!J3888</f>
        <v>0</v>
      </c>
      <c r="Q3872">
        <f>Data!K3888</f>
        <v>0</v>
      </c>
      <c r="R3872">
        <f>Data!L3888</f>
        <v>0</v>
      </c>
      <c r="S3872">
        <f>Data!M3888</f>
        <v>0</v>
      </c>
      <c r="T3872">
        <f>Data!N3888</f>
        <v>0</v>
      </c>
      <c r="U3872">
        <f>Data!O3888</f>
        <v>0</v>
      </c>
      <c r="V3872" s="33">
        <f>Data!P3886</f>
        <v>0</v>
      </c>
    </row>
    <row r="3873" spans="7:22" x14ac:dyDescent="0.25">
      <c r="G3873">
        <f>Data!B3885</f>
        <v>0</v>
      </c>
      <c r="H3873" s="21">
        <f>Data!B3885</f>
        <v>0</v>
      </c>
      <c r="I3873" s="21">
        <f>Data!C3885</f>
        <v>0</v>
      </c>
      <c r="J3873">
        <f>Data!D3885</f>
        <v>0</v>
      </c>
      <c r="K3873">
        <f>Data!E3885</f>
        <v>0</v>
      </c>
      <c r="L3873">
        <f>Data!F3885</f>
        <v>0</v>
      </c>
      <c r="M3873">
        <f>Data!G3885</f>
        <v>0</v>
      </c>
      <c r="N3873">
        <f>Data!H3885</f>
        <v>0</v>
      </c>
      <c r="O3873">
        <f>Data!I3885</f>
        <v>0</v>
      </c>
      <c r="P3873" s="21">
        <f>Data!J3889</f>
        <v>0</v>
      </c>
      <c r="Q3873">
        <f>Data!K3889</f>
        <v>0</v>
      </c>
      <c r="R3873">
        <f>Data!L3889</f>
        <v>0</v>
      </c>
      <c r="S3873">
        <f>Data!M3889</f>
        <v>0</v>
      </c>
      <c r="T3873">
        <f>Data!N3889</f>
        <v>0</v>
      </c>
      <c r="U3873">
        <f>Data!O3889</f>
        <v>0</v>
      </c>
      <c r="V3873" s="33">
        <f>Data!P3887</f>
        <v>0</v>
      </c>
    </row>
    <row r="3874" spans="7:22" x14ac:dyDescent="0.25">
      <c r="G3874">
        <f>Data!B3886</f>
        <v>0</v>
      </c>
      <c r="H3874" s="21">
        <f>Data!B3886</f>
        <v>0</v>
      </c>
      <c r="I3874" s="21">
        <f>Data!C3886</f>
        <v>0</v>
      </c>
      <c r="J3874">
        <f>Data!D3886</f>
        <v>0</v>
      </c>
      <c r="K3874">
        <f>Data!E3886</f>
        <v>0</v>
      </c>
      <c r="L3874">
        <f>Data!F3886</f>
        <v>0</v>
      </c>
      <c r="M3874">
        <f>Data!G3886</f>
        <v>0</v>
      </c>
      <c r="N3874">
        <f>Data!H3886</f>
        <v>0</v>
      </c>
      <c r="O3874">
        <f>Data!I3886</f>
        <v>0</v>
      </c>
      <c r="P3874" s="21">
        <f>Data!J3890</f>
        <v>0</v>
      </c>
      <c r="Q3874">
        <f>Data!K3890</f>
        <v>0</v>
      </c>
      <c r="R3874">
        <f>Data!L3890</f>
        <v>0</v>
      </c>
      <c r="S3874">
        <f>Data!M3890</f>
        <v>0</v>
      </c>
      <c r="T3874">
        <f>Data!N3890</f>
        <v>0</v>
      </c>
      <c r="U3874">
        <f>Data!O3890</f>
        <v>0</v>
      </c>
      <c r="V3874" s="33">
        <f>Data!P3888</f>
        <v>0</v>
      </c>
    </row>
    <row r="3875" spans="7:22" x14ac:dyDescent="0.25">
      <c r="G3875">
        <f>Data!B3887</f>
        <v>0</v>
      </c>
      <c r="H3875" s="21">
        <f>Data!B3887</f>
        <v>0</v>
      </c>
      <c r="I3875" s="21">
        <f>Data!C3887</f>
        <v>0</v>
      </c>
      <c r="J3875">
        <f>Data!D3887</f>
        <v>0</v>
      </c>
      <c r="K3875">
        <f>Data!E3887</f>
        <v>0</v>
      </c>
      <c r="L3875">
        <f>Data!F3887</f>
        <v>0</v>
      </c>
      <c r="M3875">
        <f>Data!G3887</f>
        <v>0</v>
      </c>
      <c r="N3875">
        <f>Data!H3887</f>
        <v>0</v>
      </c>
      <c r="O3875">
        <f>Data!I3887</f>
        <v>0</v>
      </c>
      <c r="P3875" s="21">
        <f>Data!J3891</f>
        <v>0</v>
      </c>
      <c r="Q3875">
        <f>Data!K3891</f>
        <v>0</v>
      </c>
      <c r="R3875">
        <f>Data!L3891</f>
        <v>0</v>
      </c>
      <c r="S3875">
        <f>Data!M3891</f>
        <v>0</v>
      </c>
      <c r="T3875">
        <f>Data!N3891</f>
        <v>0</v>
      </c>
      <c r="U3875">
        <f>Data!O3891</f>
        <v>0</v>
      </c>
      <c r="V3875" s="33">
        <f>Data!P3889</f>
        <v>0</v>
      </c>
    </row>
    <row r="3876" spans="7:22" x14ac:dyDescent="0.25">
      <c r="G3876">
        <f>Data!B3888</f>
        <v>0</v>
      </c>
      <c r="H3876" s="21">
        <f>Data!B3888</f>
        <v>0</v>
      </c>
      <c r="I3876" s="21">
        <f>Data!C3888</f>
        <v>0</v>
      </c>
      <c r="J3876">
        <f>Data!D3888</f>
        <v>0</v>
      </c>
      <c r="K3876">
        <f>Data!E3888</f>
        <v>0</v>
      </c>
      <c r="L3876">
        <f>Data!F3888</f>
        <v>0</v>
      </c>
      <c r="M3876">
        <f>Data!G3888</f>
        <v>0</v>
      </c>
      <c r="N3876">
        <f>Data!H3888</f>
        <v>0</v>
      </c>
      <c r="O3876">
        <f>Data!I3888</f>
        <v>0</v>
      </c>
      <c r="P3876" s="21">
        <f>Data!J3892</f>
        <v>0</v>
      </c>
      <c r="Q3876">
        <f>Data!K3892</f>
        <v>0</v>
      </c>
      <c r="R3876">
        <f>Data!L3892</f>
        <v>0</v>
      </c>
      <c r="S3876">
        <f>Data!M3892</f>
        <v>0</v>
      </c>
      <c r="T3876">
        <f>Data!N3892</f>
        <v>0</v>
      </c>
      <c r="U3876">
        <f>Data!O3892</f>
        <v>0</v>
      </c>
      <c r="V3876" s="33">
        <f>Data!P3890</f>
        <v>0</v>
      </c>
    </row>
    <row r="3877" spans="7:22" x14ac:dyDescent="0.25">
      <c r="G3877">
        <f>Data!B3889</f>
        <v>0</v>
      </c>
      <c r="H3877" s="21">
        <f>Data!B3889</f>
        <v>0</v>
      </c>
      <c r="I3877" s="21">
        <f>Data!C3889</f>
        <v>0</v>
      </c>
      <c r="J3877">
        <f>Data!D3889</f>
        <v>0</v>
      </c>
      <c r="K3877">
        <f>Data!E3889</f>
        <v>0</v>
      </c>
      <c r="L3877">
        <f>Data!F3889</f>
        <v>0</v>
      </c>
      <c r="M3877">
        <f>Data!G3889</f>
        <v>0</v>
      </c>
      <c r="N3877">
        <f>Data!H3889</f>
        <v>0</v>
      </c>
      <c r="O3877">
        <f>Data!I3889</f>
        <v>0</v>
      </c>
      <c r="P3877" s="21">
        <f>Data!J3893</f>
        <v>0</v>
      </c>
      <c r="Q3877">
        <f>Data!K3893</f>
        <v>0</v>
      </c>
      <c r="R3877">
        <f>Data!L3893</f>
        <v>0</v>
      </c>
      <c r="S3877">
        <f>Data!M3893</f>
        <v>0</v>
      </c>
      <c r="T3877">
        <f>Data!N3893</f>
        <v>0</v>
      </c>
      <c r="U3877">
        <f>Data!O3893</f>
        <v>0</v>
      </c>
      <c r="V3877" s="33">
        <f>Data!P3891</f>
        <v>0</v>
      </c>
    </row>
    <row r="3878" spans="7:22" x14ac:dyDescent="0.25">
      <c r="G3878">
        <f>Data!B3890</f>
        <v>0</v>
      </c>
      <c r="H3878" s="21">
        <f>Data!B3890</f>
        <v>0</v>
      </c>
      <c r="I3878" s="21">
        <f>Data!C3890</f>
        <v>0</v>
      </c>
      <c r="J3878">
        <f>Data!D3890</f>
        <v>0</v>
      </c>
      <c r="K3878">
        <f>Data!E3890</f>
        <v>0</v>
      </c>
      <c r="L3878">
        <f>Data!F3890</f>
        <v>0</v>
      </c>
      <c r="M3878">
        <f>Data!G3890</f>
        <v>0</v>
      </c>
      <c r="N3878">
        <f>Data!H3890</f>
        <v>0</v>
      </c>
      <c r="O3878">
        <f>Data!I3890</f>
        <v>0</v>
      </c>
      <c r="P3878" s="21">
        <f>Data!J3894</f>
        <v>0</v>
      </c>
      <c r="Q3878">
        <f>Data!K3894</f>
        <v>0</v>
      </c>
      <c r="R3878">
        <f>Data!L3894</f>
        <v>0</v>
      </c>
      <c r="S3878">
        <f>Data!M3894</f>
        <v>0</v>
      </c>
      <c r="T3878">
        <f>Data!N3894</f>
        <v>0</v>
      </c>
      <c r="U3878">
        <f>Data!O3894</f>
        <v>0</v>
      </c>
      <c r="V3878" s="33">
        <f>Data!P3892</f>
        <v>0</v>
      </c>
    </row>
    <row r="3879" spans="7:22" x14ac:dyDescent="0.25">
      <c r="G3879">
        <f>Data!B3891</f>
        <v>0</v>
      </c>
      <c r="H3879" s="21">
        <f>Data!B3891</f>
        <v>0</v>
      </c>
      <c r="I3879" s="21">
        <f>Data!C3891</f>
        <v>0</v>
      </c>
      <c r="J3879">
        <f>Data!D3891</f>
        <v>0</v>
      </c>
      <c r="K3879">
        <f>Data!E3891</f>
        <v>0</v>
      </c>
      <c r="L3879">
        <f>Data!F3891</f>
        <v>0</v>
      </c>
      <c r="M3879">
        <f>Data!G3891</f>
        <v>0</v>
      </c>
      <c r="N3879">
        <f>Data!H3891</f>
        <v>0</v>
      </c>
      <c r="O3879">
        <f>Data!I3891</f>
        <v>0</v>
      </c>
      <c r="P3879" s="21">
        <f>Data!J3895</f>
        <v>0</v>
      </c>
      <c r="Q3879">
        <f>Data!K3895</f>
        <v>0</v>
      </c>
      <c r="R3879">
        <f>Data!L3895</f>
        <v>0</v>
      </c>
      <c r="S3879">
        <f>Data!M3895</f>
        <v>0</v>
      </c>
      <c r="T3879">
        <f>Data!N3895</f>
        <v>0</v>
      </c>
      <c r="U3879">
        <f>Data!O3895</f>
        <v>0</v>
      </c>
      <c r="V3879" s="33">
        <f>Data!P3893</f>
        <v>0</v>
      </c>
    </row>
    <row r="3880" spans="7:22" x14ac:dyDescent="0.25">
      <c r="G3880">
        <f>Data!B3892</f>
        <v>0</v>
      </c>
      <c r="H3880" s="21">
        <f>Data!B3892</f>
        <v>0</v>
      </c>
      <c r="I3880" s="21">
        <f>Data!C3892</f>
        <v>0</v>
      </c>
      <c r="J3880">
        <f>Data!D3892</f>
        <v>0</v>
      </c>
      <c r="K3880">
        <f>Data!E3892</f>
        <v>0</v>
      </c>
      <c r="L3880">
        <f>Data!F3892</f>
        <v>0</v>
      </c>
      <c r="M3880">
        <f>Data!G3892</f>
        <v>0</v>
      </c>
      <c r="N3880">
        <f>Data!H3892</f>
        <v>0</v>
      </c>
      <c r="O3880">
        <f>Data!I3892</f>
        <v>0</v>
      </c>
      <c r="P3880" s="21">
        <f>Data!J3896</f>
        <v>0</v>
      </c>
      <c r="Q3880">
        <f>Data!K3896</f>
        <v>0</v>
      </c>
      <c r="R3880">
        <f>Data!L3896</f>
        <v>0</v>
      </c>
      <c r="S3880">
        <f>Data!M3896</f>
        <v>0</v>
      </c>
      <c r="T3880">
        <f>Data!N3896</f>
        <v>0</v>
      </c>
      <c r="U3880">
        <f>Data!O3896</f>
        <v>0</v>
      </c>
      <c r="V3880" s="33">
        <f>Data!P3894</f>
        <v>0</v>
      </c>
    </row>
    <row r="3881" spans="7:22" x14ac:dyDescent="0.25">
      <c r="G3881">
        <f>Data!B3893</f>
        <v>0</v>
      </c>
      <c r="H3881" s="21">
        <f>Data!B3893</f>
        <v>0</v>
      </c>
      <c r="I3881" s="21">
        <f>Data!C3893</f>
        <v>0</v>
      </c>
      <c r="J3881">
        <f>Data!D3893</f>
        <v>0</v>
      </c>
      <c r="K3881">
        <f>Data!E3893</f>
        <v>0</v>
      </c>
      <c r="L3881">
        <f>Data!F3893</f>
        <v>0</v>
      </c>
      <c r="M3881">
        <f>Data!G3893</f>
        <v>0</v>
      </c>
      <c r="N3881">
        <f>Data!H3893</f>
        <v>0</v>
      </c>
      <c r="O3881">
        <f>Data!I3893</f>
        <v>0</v>
      </c>
      <c r="P3881" s="21">
        <f>Data!J3897</f>
        <v>0</v>
      </c>
      <c r="Q3881">
        <f>Data!K3897</f>
        <v>0</v>
      </c>
      <c r="R3881">
        <f>Data!L3897</f>
        <v>0</v>
      </c>
      <c r="S3881">
        <f>Data!M3897</f>
        <v>0</v>
      </c>
      <c r="T3881">
        <f>Data!N3897</f>
        <v>0</v>
      </c>
      <c r="U3881">
        <f>Data!O3897</f>
        <v>0</v>
      </c>
      <c r="V3881" s="33">
        <f>Data!P3895</f>
        <v>0</v>
      </c>
    </row>
    <row r="3882" spans="7:22" x14ac:dyDescent="0.25">
      <c r="G3882">
        <f>Data!B3894</f>
        <v>0</v>
      </c>
      <c r="H3882" s="21">
        <f>Data!B3894</f>
        <v>0</v>
      </c>
      <c r="I3882" s="21">
        <f>Data!C3894</f>
        <v>0</v>
      </c>
      <c r="J3882">
        <f>Data!D3894</f>
        <v>0</v>
      </c>
      <c r="K3882">
        <f>Data!E3894</f>
        <v>0</v>
      </c>
      <c r="L3882">
        <f>Data!F3894</f>
        <v>0</v>
      </c>
      <c r="M3882">
        <f>Data!G3894</f>
        <v>0</v>
      </c>
      <c r="N3882">
        <f>Data!H3894</f>
        <v>0</v>
      </c>
      <c r="O3882">
        <f>Data!I3894</f>
        <v>0</v>
      </c>
      <c r="P3882" s="21">
        <f>Data!J3898</f>
        <v>0</v>
      </c>
      <c r="Q3882">
        <f>Data!K3898</f>
        <v>0</v>
      </c>
      <c r="R3882">
        <f>Data!L3898</f>
        <v>0</v>
      </c>
      <c r="S3882">
        <f>Data!M3898</f>
        <v>0</v>
      </c>
      <c r="T3882">
        <f>Data!N3898</f>
        <v>0</v>
      </c>
      <c r="U3882">
        <f>Data!O3898</f>
        <v>0</v>
      </c>
      <c r="V3882" s="33">
        <f>Data!P3896</f>
        <v>0</v>
      </c>
    </row>
    <row r="3883" spans="7:22" x14ac:dyDescent="0.25">
      <c r="G3883">
        <f>Data!B3895</f>
        <v>0</v>
      </c>
      <c r="H3883" s="21">
        <f>Data!B3895</f>
        <v>0</v>
      </c>
      <c r="I3883" s="21">
        <f>Data!C3895</f>
        <v>0</v>
      </c>
      <c r="J3883">
        <f>Data!D3895</f>
        <v>0</v>
      </c>
      <c r="K3883">
        <f>Data!E3895</f>
        <v>0</v>
      </c>
      <c r="L3883">
        <f>Data!F3895</f>
        <v>0</v>
      </c>
      <c r="M3883">
        <f>Data!G3895</f>
        <v>0</v>
      </c>
      <c r="N3883">
        <f>Data!H3895</f>
        <v>0</v>
      </c>
      <c r="O3883">
        <f>Data!I3895</f>
        <v>0</v>
      </c>
      <c r="P3883" s="21">
        <f>Data!J3899</f>
        <v>0</v>
      </c>
      <c r="Q3883">
        <f>Data!K3899</f>
        <v>0</v>
      </c>
      <c r="R3883">
        <f>Data!L3899</f>
        <v>0</v>
      </c>
      <c r="S3883">
        <f>Data!M3899</f>
        <v>0</v>
      </c>
      <c r="T3883">
        <f>Data!N3899</f>
        <v>0</v>
      </c>
      <c r="U3883">
        <f>Data!O3899</f>
        <v>0</v>
      </c>
      <c r="V3883" s="33">
        <f>Data!P3897</f>
        <v>0</v>
      </c>
    </row>
    <row r="3884" spans="7:22" x14ac:dyDescent="0.25">
      <c r="G3884">
        <f>Data!B3896</f>
        <v>0</v>
      </c>
      <c r="H3884" s="21">
        <f>Data!B3896</f>
        <v>0</v>
      </c>
      <c r="I3884" s="21">
        <f>Data!C3896</f>
        <v>0</v>
      </c>
      <c r="J3884">
        <f>Data!D3896</f>
        <v>0</v>
      </c>
      <c r="K3884">
        <f>Data!E3896</f>
        <v>0</v>
      </c>
      <c r="L3884">
        <f>Data!F3896</f>
        <v>0</v>
      </c>
      <c r="M3884">
        <f>Data!G3896</f>
        <v>0</v>
      </c>
      <c r="N3884">
        <f>Data!H3896</f>
        <v>0</v>
      </c>
      <c r="O3884">
        <f>Data!I3896</f>
        <v>0</v>
      </c>
      <c r="P3884" s="21">
        <f>Data!J3900</f>
        <v>0</v>
      </c>
      <c r="Q3884">
        <f>Data!K3900</f>
        <v>0</v>
      </c>
      <c r="R3884">
        <f>Data!L3900</f>
        <v>0</v>
      </c>
      <c r="S3884">
        <f>Data!M3900</f>
        <v>0</v>
      </c>
      <c r="T3884">
        <f>Data!N3900</f>
        <v>0</v>
      </c>
      <c r="U3884">
        <f>Data!O3900</f>
        <v>0</v>
      </c>
      <c r="V3884" s="33">
        <f>Data!P3898</f>
        <v>0</v>
      </c>
    </row>
    <row r="3885" spans="7:22" x14ac:dyDescent="0.25">
      <c r="G3885">
        <f>Data!B3897</f>
        <v>0</v>
      </c>
      <c r="H3885" s="21">
        <f>Data!B3897</f>
        <v>0</v>
      </c>
      <c r="I3885" s="21">
        <f>Data!C3897</f>
        <v>0</v>
      </c>
      <c r="J3885">
        <f>Data!D3897</f>
        <v>0</v>
      </c>
      <c r="K3885">
        <f>Data!E3897</f>
        <v>0</v>
      </c>
      <c r="L3885">
        <f>Data!F3897</f>
        <v>0</v>
      </c>
      <c r="M3885">
        <f>Data!G3897</f>
        <v>0</v>
      </c>
      <c r="N3885">
        <f>Data!H3897</f>
        <v>0</v>
      </c>
      <c r="O3885">
        <f>Data!I3897</f>
        <v>0</v>
      </c>
      <c r="P3885" s="21">
        <f>Data!J3901</f>
        <v>0</v>
      </c>
      <c r="Q3885">
        <f>Data!K3901</f>
        <v>0</v>
      </c>
      <c r="R3885">
        <f>Data!L3901</f>
        <v>0</v>
      </c>
      <c r="S3885">
        <f>Data!M3901</f>
        <v>0</v>
      </c>
      <c r="T3885">
        <f>Data!N3901</f>
        <v>0</v>
      </c>
      <c r="U3885">
        <f>Data!O3901</f>
        <v>0</v>
      </c>
      <c r="V3885" s="33">
        <f>Data!P3899</f>
        <v>0</v>
      </c>
    </row>
    <row r="3886" spans="7:22" x14ac:dyDescent="0.25">
      <c r="G3886">
        <f>Data!B3898</f>
        <v>0</v>
      </c>
      <c r="H3886" s="21">
        <f>Data!B3898</f>
        <v>0</v>
      </c>
      <c r="I3886" s="21">
        <f>Data!C3898</f>
        <v>0</v>
      </c>
      <c r="J3886">
        <f>Data!D3898</f>
        <v>0</v>
      </c>
      <c r="K3886">
        <f>Data!E3898</f>
        <v>0</v>
      </c>
      <c r="L3886">
        <f>Data!F3898</f>
        <v>0</v>
      </c>
      <c r="M3886">
        <f>Data!G3898</f>
        <v>0</v>
      </c>
      <c r="N3886">
        <f>Data!H3898</f>
        <v>0</v>
      </c>
      <c r="O3886">
        <f>Data!I3898</f>
        <v>0</v>
      </c>
      <c r="P3886" s="21">
        <f>Data!J3902</f>
        <v>0</v>
      </c>
      <c r="Q3886">
        <f>Data!K3902</f>
        <v>0</v>
      </c>
      <c r="R3886">
        <f>Data!L3902</f>
        <v>0</v>
      </c>
      <c r="S3886">
        <f>Data!M3902</f>
        <v>0</v>
      </c>
      <c r="T3886">
        <f>Data!N3902</f>
        <v>0</v>
      </c>
      <c r="U3886">
        <f>Data!O3902</f>
        <v>0</v>
      </c>
      <c r="V3886" s="33">
        <f>Data!P3900</f>
        <v>0</v>
      </c>
    </row>
    <row r="3887" spans="7:22" x14ac:dyDescent="0.25">
      <c r="G3887">
        <f>Data!B3899</f>
        <v>0</v>
      </c>
      <c r="H3887" s="21">
        <f>Data!B3899</f>
        <v>0</v>
      </c>
      <c r="I3887" s="21">
        <f>Data!C3899</f>
        <v>0</v>
      </c>
      <c r="J3887">
        <f>Data!D3899</f>
        <v>0</v>
      </c>
      <c r="K3887">
        <f>Data!E3899</f>
        <v>0</v>
      </c>
      <c r="L3887">
        <f>Data!F3899</f>
        <v>0</v>
      </c>
      <c r="M3887">
        <f>Data!G3899</f>
        <v>0</v>
      </c>
      <c r="N3887">
        <f>Data!H3899</f>
        <v>0</v>
      </c>
      <c r="O3887">
        <f>Data!I3899</f>
        <v>0</v>
      </c>
      <c r="P3887" s="21">
        <f>Data!J3903</f>
        <v>0</v>
      </c>
      <c r="Q3887">
        <f>Data!K3903</f>
        <v>0</v>
      </c>
      <c r="R3887">
        <f>Data!L3903</f>
        <v>0</v>
      </c>
      <c r="S3887">
        <f>Data!M3903</f>
        <v>0</v>
      </c>
      <c r="T3887">
        <f>Data!N3903</f>
        <v>0</v>
      </c>
      <c r="U3887">
        <f>Data!O3903</f>
        <v>0</v>
      </c>
      <c r="V3887" s="33">
        <f>Data!P3901</f>
        <v>0</v>
      </c>
    </row>
    <row r="3888" spans="7:22" x14ac:dyDescent="0.25">
      <c r="G3888">
        <f>Data!B3900</f>
        <v>0</v>
      </c>
      <c r="H3888" s="21">
        <f>Data!B3900</f>
        <v>0</v>
      </c>
      <c r="I3888" s="21">
        <f>Data!C3900</f>
        <v>0</v>
      </c>
      <c r="J3888">
        <f>Data!D3900</f>
        <v>0</v>
      </c>
      <c r="K3888">
        <f>Data!E3900</f>
        <v>0</v>
      </c>
      <c r="L3888">
        <f>Data!F3900</f>
        <v>0</v>
      </c>
      <c r="M3888">
        <f>Data!G3900</f>
        <v>0</v>
      </c>
      <c r="N3888">
        <f>Data!H3900</f>
        <v>0</v>
      </c>
      <c r="O3888">
        <f>Data!I3900</f>
        <v>0</v>
      </c>
      <c r="P3888" s="21">
        <f>Data!J3904</f>
        <v>0</v>
      </c>
      <c r="Q3888">
        <f>Data!K3904</f>
        <v>0</v>
      </c>
      <c r="R3888">
        <f>Data!L3904</f>
        <v>0</v>
      </c>
      <c r="S3888">
        <f>Data!M3904</f>
        <v>0</v>
      </c>
      <c r="T3888">
        <f>Data!N3904</f>
        <v>0</v>
      </c>
      <c r="U3888">
        <f>Data!O3904</f>
        <v>0</v>
      </c>
      <c r="V3888" s="33">
        <f>Data!P3902</f>
        <v>0</v>
      </c>
    </row>
    <row r="3889" spans="7:22" x14ac:dyDescent="0.25">
      <c r="G3889">
        <f>Data!B3901</f>
        <v>0</v>
      </c>
      <c r="H3889" s="21">
        <f>Data!B3901</f>
        <v>0</v>
      </c>
      <c r="I3889" s="21">
        <f>Data!C3901</f>
        <v>0</v>
      </c>
      <c r="J3889">
        <f>Data!D3901</f>
        <v>0</v>
      </c>
      <c r="K3889">
        <f>Data!E3901</f>
        <v>0</v>
      </c>
      <c r="L3889">
        <f>Data!F3901</f>
        <v>0</v>
      </c>
      <c r="M3889">
        <f>Data!G3901</f>
        <v>0</v>
      </c>
      <c r="N3889">
        <f>Data!H3901</f>
        <v>0</v>
      </c>
      <c r="O3889">
        <f>Data!I3901</f>
        <v>0</v>
      </c>
      <c r="P3889" s="21">
        <f>Data!J3905</f>
        <v>0</v>
      </c>
      <c r="Q3889">
        <f>Data!K3905</f>
        <v>0</v>
      </c>
      <c r="R3889">
        <f>Data!L3905</f>
        <v>0</v>
      </c>
      <c r="S3889">
        <f>Data!M3905</f>
        <v>0</v>
      </c>
      <c r="T3889">
        <f>Data!N3905</f>
        <v>0</v>
      </c>
      <c r="U3889">
        <f>Data!O3905</f>
        <v>0</v>
      </c>
      <c r="V3889" s="33">
        <f>Data!P3903</f>
        <v>0</v>
      </c>
    </row>
    <row r="3890" spans="7:22" x14ac:dyDescent="0.25">
      <c r="G3890">
        <f>Data!B3902</f>
        <v>0</v>
      </c>
      <c r="H3890" s="21">
        <f>Data!B3902</f>
        <v>0</v>
      </c>
      <c r="I3890" s="21">
        <f>Data!C3902</f>
        <v>0</v>
      </c>
      <c r="J3890">
        <f>Data!D3902</f>
        <v>0</v>
      </c>
      <c r="K3890">
        <f>Data!E3902</f>
        <v>0</v>
      </c>
      <c r="L3890">
        <f>Data!F3902</f>
        <v>0</v>
      </c>
      <c r="M3890">
        <f>Data!G3902</f>
        <v>0</v>
      </c>
      <c r="N3890">
        <f>Data!H3902</f>
        <v>0</v>
      </c>
      <c r="O3890">
        <f>Data!I3902</f>
        <v>0</v>
      </c>
      <c r="P3890" s="21">
        <f>Data!J3906</f>
        <v>0</v>
      </c>
      <c r="Q3890">
        <f>Data!K3906</f>
        <v>0</v>
      </c>
      <c r="R3890">
        <f>Data!L3906</f>
        <v>0</v>
      </c>
      <c r="S3890">
        <f>Data!M3906</f>
        <v>0</v>
      </c>
      <c r="T3890">
        <f>Data!N3906</f>
        <v>0</v>
      </c>
      <c r="U3890">
        <f>Data!O3906</f>
        <v>0</v>
      </c>
      <c r="V3890" s="33">
        <f>Data!P3904</f>
        <v>0</v>
      </c>
    </row>
    <row r="3891" spans="7:22" x14ac:dyDescent="0.25">
      <c r="G3891">
        <f>Data!B3903</f>
        <v>0</v>
      </c>
      <c r="H3891" s="21">
        <f>Data!B3903</f>
        <v>0</v>
      </c>
      <c r="I3891" s="21">
        <f>Data!C3903</f>
        <v>0</v>
      </c>
      <c r="J3891">
        <f>Data!D3903</f>
        <v>0</v>
      </c>
      <c r="K3891">
        <f>Data!E3903</f>
        <v>0</v>
      </c>
      <c r="L3891">
        <f>Data!F3903</f>
        <v>0</v>
      </c>
      <c r="M3891">
        <f>Data!G3903</f>
        <v>0</v>
      </c>
      <c r="N3891">
        <f>Data!H3903</f>
        <v>0</v>
      </c>
      <c r="O3891">
        <f>Data!I3903</f>
        <v>0</v>
      </c>
      <c r="P3891" s="21">
        <f>Data!J3907</f>
        <v>0</v>
      </c>
      <c r="Q3891">
        <f>Data!K3907</f>
        <v>0</v>
      </c>
      <c r="R3891">
        <f>Data!L3907</f>
        <v>0</v>
      </c>
      <c r="S3891">
        <f>Data!M3907</f>
        <v>0</v>
      </c>
      <c r="T3891">
        <f>Data!N3907</f>
        <v>0</v>
      </c>
      <c r="U3891">
        <f>Data!O3907</f>
        <v>0</v>
      </c>
      <c r="V3891" s="33">
        <f>Data!P3905</f>
        <v>0</v>
      </c>
    </row>
    <row r="3892" spans="7:22" x14ac:dyDescent="0.25">
      <c r="G3892">
        <f>Data!B3904</f>
        <v>0</v>
      </c>
      <c r="H3892" s="21">
        <f>Data!B3904</f>
        <v>0</v>
      </c>
      <c r="I3892" s="21">
        <f>Data!C3904</f>
        <v>0</v>
      </c>
      <c r="J3892">
        <f>Data!D3904</f>
        <v>0</v>
      </c>
      <c r="K3892">
        <f>Data!E3904</f>
        <v>0</v>
      </c>
      <c r="L3892">
        <f>Data!F3904</f>
        <v>0</v>
      </c>
      <c r="M3892">
        <f>Data!G3904</f>
        <v>0</v>
      </c>
      <c r="N3892">
        <f>Data!H3904</f>
        <v>0</v>
      </c>
      <c r="O3892">
        <f>Data!I3904</f>
        <v>0</v>
      </c>
      <c r="P3892" s="21">
        <f>Data!J3908</f>
        <v>0</v>
      </c>
      <c r="Q3892">
        <f>Data!K3908</f>
        <v>0</v>
      </c>
      <c r="R3892">
        <f>Data!L3908</f>
        <v>0</v>
      </c>
      <c r="S3892">
        <f>Data!M3908</f>
        <v>0</v>
      </c>
      <c r="T3892">
        <f>Data!N3908</f>
        <v>0</v>
      </c>
      <c r="U3892">
        <f>Data!O3908</f>
        <v>0</v>
      </c>
      <c r="V3892" s="33">
        <f>Data!P3906</f>
        <v>0</v>
      </c>
    </row>
    <row r="3893" spans="7:22" x14ac:dyDescent="0.25">
      <c r="G3893">
        <f>Data!B3905</f>
        <v>0</v>
      </c>
      <c r="H3893" s="21">
        <f>Data!B3905</f>
        <v>0</v>
      </c>
      <c r="I3893" s="21">
        <f>Data!C3905</f>
        <v>0</v>
      </c>
      <c r="J3893">
        <f>Data!D3905</f>
        <v>0</v>
      </c>
      <c r="K3893">
        <f>Data!E3905</f>
        <v>0</v>
      </c>
      <c r="L3893">
        <f>Data!F3905</f>
        <v>0</v>
      </c>
      <c r="M3893">
        <f>Data!G3905</f>
        <v>0</v>
      </c>
      <c r="N3893">
        <f>Data!H3905</f>
        <v>0</v>
      </c>
      <c r="O3893">
        <f>Data!I3905</f>
        <v>0</v>
      </c>
      <c r="P3893" s="21">
        <f>Data!J3909</f>
        <v>0</v>
      </c>
      <c r="Q3893">
        <f>Data!K3909</f>
        <v>0</v>
      </c>
      <c r="R3893">
        <f>Data!L3909</f>
        <v>0</v>
      </c>
      <c r="S3893">
        <f>Data!M3909</f>
        <v>0</v>
      </c>
      <c r="T3893">
        <f>Data!N3909</f>
        <v>0</v>
      </c>
      <c r="U3893">
        <f>Data!O3909</f>
        <v>0</v>
      </c>
      <c r="V3893" s="33">
        <f>Data!P3907</f>
        <v>0</v>
      </c>
    </row>
    <row r="3894" spans="7:22" x14ac:dyDescent="0.25">
      <c r="G3894">
        <f>Data!B3906</f>
        <v>0</v>
      </c>
      <c r="H3894" s="21">
        <f>Data!B3906</f>
        <v>0</v>
      </c>
      <c r="I3894" s="21">
        <f>Data!C3906</f>
        <v>0</v>
      </c>
      <c r="J3894">
        <f>Data!D3906</f>
        <v>0</v>
      </c>
      <c r="K3894">
        <f>Data!E3906</f>
        <v>0</v>
      </c>
      <c r="L3894">
        <f>Data!F3906</f>
        <v>0</v>
      </c>
      <c r="M3894">
        <f>Data!G3906</f>
        <v>0</v>
      </c>
      <c r="N3894">
        <f>Data!H3906</f>
        <v>0</v>
      </c>
      <c r="O3894">
        <f>Data!I3906</f>
        <v>0</v>
      </c>
      <c r="P3894" s="21">
        <f>Data!J3910</f>
        <v>0</v>
      </c>
      <c r="Q3894">
        <f>Data!K3910</f>
        <v>0</v>
      </c>
      <c r="R3894">
        <f>Data!L3910</f>
        <v>0</v>
      </c>
      <c r="S3894">
        <f>Data!M3910</f>
        <v>0</v>
      </c>
      <c r="T3894">
        <f>Data!N3910</f>
        <v>0</v>
      </c>
      <c r="U3894">
        <f>Data!O3910</f>
        <v>0</v>
      </c>
      <c r="V3894" s="33">
        <f>Data!P3908</f>
        <v>0</v>
      </c>
    </row>
    <row r="3895" spans="7:22" x14ac:dyDescent="0.25">
      <c r="G3895">
        <f>Data!B3907</f>
        <v>0</v>
      </c>
      <c r="H3895" s="21">
        <f>Data!B3907</f>
        <v>0</v>
      </c>
      <c r="I3895" s="21">
        <f>Data!C3907</f>
        <v>0</v>
      </c>
      <c r="J3895">
        <f>Data!D3907</f>
        <v>0</v>
      </c>
      <c r="K3895">
        <f>Data!E3907</f>
        <v>0</v>
      </c>
      <c r="L3895">
        <f>Data!F3907</f>
        <v>0</v>
      </c>
      <c r="M3895">
        <f>Data!G3907</f>
        <v>0</v>
      </c>
      <c r="N3895">
        <f>Data!H3907</f>
        <v>0</v>
      </c>
      <c r="O3895">
        <f>Data!I3907</f>
        <v>0</v>
      </c>
      <c r="P3895" s="21">
        <f>Data!J3911</f>
        <v>0</v>
      </c>
      <c r="Q3895">
        <f>Data!K3911</f>
        <v>0</v>
      </c>
      <c r="R3895">
        <f>Data!L3911</f>
        <v>0</v>
      </c>
      <c r="S3895">
        <f>Data!M3911</f>
        <v>0</v>
      </c>
      <c r="T3895">
        <f>Data!N3911</f>
        <v>0</v>
      </c>
      <c r="U3895">
        <f>Data!O3911</f>
        <v>0</v>
      </c>
      <c r="V3895" s="33">
        <f>Data!P3909</f>
        <v>0</v>
      </c>
    </row>
    <row r="3896" spans="7:22" x14ac:dyDescent="0.25">
      <c r="G3896">
        <f>Data!B3908</f>
        <v>0</v>
      </c>
      <c r="H3896" s="21">
        <f>Data!B3908</f>
        <v>0</v>
      </c>
      <c r="I3896" s="21">
        <f>Data!C3908</f>
        <v>0</v>
      </c>
      <c r="J3896">
        <f>Data!D3908</f>
        <v>0</v>
      </c>
      <c r="K3896">
        <f>Data!E3908</f>
        <v>0</v>
      </c>
      <c r="L3896">
        <f>Data!F3908</f>
        <v>0</v>
      </c>
      <c r="M3896">
        <f>Data!G3908</f>
        <v>0</v>
      </c>
      <c r="N3896">
        <f>Data!H3908</f>
        <v>0</v>
      </c>
      <c r="O3896">
        <f>Data!I3908</f>
        <v>0</v>
      </c>
      <c r="P3896" s="21">
        <f>Data!J3912</f>
        <v>0</v>
      </c>
      <c r="Q3896">
        <f>Data!K3912</f>
        <v>0</v>
      </c>
      <c r="R3896">
        <f>Data!L3912</f>
        <v>0</v>
      </c>
      <c r="S3896">
        <f>Data!M3912</f>
        <v>0</v>
      </c>
      <c r="T3896">
        <f>Data!N3912</f>
        <v>0</v>
      </c>
      <c r="U3896">
        <f>Data!O3912</f>
        <v>0</v>
      </c>
      <c r="V3896" s="33">
        <f>Data!P3910</f>
        <v>0</v>
      </c>
    </row>
    <row r="3897" spans="7:22" x14ac:dyDescent="0.25">
      <c r="G3897">
        <f>Data!B3909</f>
        <v>0</v>
      </c>
      <c r="H3897" s="21">
        <f>Data!B3909</f>
        <v>0</v>
      </c>
      <c r="I3897" s="21">
        <f>Data!C3909</f>
        <v>0</v>
      </c>
      <c r="J3897">
        <f>Data!D3909</f>
        <v>0</v>
      </c>
      <c r="K3897">
        <f>Data!E3909</f>
        <v>0</v>
      </c>
      <c r="L3897">
        <f>Data!F3909</f>
        <v>0</v>
      </c>
      <c r="M3897">
        <f>Data!G3909</f>
        <v>0</v>
      </c>
      <c r="N3897">
        <f>Data!H3909</f>
        <v>0</v>
      </c>
      <c r="O3897">
        <f>Data!I3909</f>
        <v>0</v>
      </c>
      <c r="P3897" s="21">
        <f>Data!J3913</f>
        <v>0</v>
      </c>
      <c r="Q3897">
        <f>Data!K3913</f>
        <v>0</v>
      </c>
      <c r="R3897">
        <f>Data!L3913</f>
        <v>0</v>
      </c>
      <c r="S3897">
        <f>Data!M3913</f>
        <v>0</v>
      </c>
      <c r="T3897">
        <f>Data!N3913</f>
        <v>0</v>
      </c>
      <c r="U3897">
        <f>Data!O3913</f>
        <v>0</v>
      </c>
      <c r="V3897" s="33">
        <f>Data!P3911</f>
        <v>0</v>
      </c>
    </row>
    <row r="3898" spans="7:22" x14ac:dyDescent="0.25">
      <c r="G3898">
        <f>Data!B3910</f>
        <v>0</v>
      </c>
      <c r="H3898" s="21">
        <f>Data!B3910</f>
        <v>0</v>
      </c>
      <c r="I3898" s="21">
        <f>Data!C3910</f>
        <v>0</v>
      </c>
      <c r="J3898">
        <f>Data!D3910</f>
        <v>0</v>
      </c>
      <c r="K3898">
        <f>Data!E3910</f>
        <v>0</v>
      </c>
      <c r="L3898">
        <f>Data!F3910</f>
        <v>0</v>
      </c>
      <c r="M3898">
        <f>Data!G3910</f>
        <v>0</v>
      </c>
      <c r="N3898">
        <f>Data!H3910</f>
        <v>0</v>
      </c>
      <c r="O3898">
        <f>Data!I3910</f>
        <v>0</v>
      </c>
      <c r="P3898" s="21">
        <f>Data!J3914</f>
        <v>0</v>
      </c>
      <c r="Q3898">
        <f>Data!K3914</f>
        <v>0</v>
      </c>
      <c r="R3898">
        <f>Data!L3914</f>
        <v>0</v>
      </c>
      <c r="S3898">
        <f>Data!M3914</f>
        <v>0</v>
      </c>
      <c r="T3898">
        <f>Data!N3914</f>
        <v>0</v>
      </c>
      <c r="U3898">
        <f>Data!O3914</f>
        <v>0</v>
      </c>
      <c r="V3898" s="33">
        <f>Data!P3912</f>
        <v>0</v>
      </c>
    </row>
    <row r="3899" spans="7:22" x14ac:dyDescent="0.25">
      <c r="G3899">
        <f>Data!B3911</f>
        <v>0</v>
      </c>
      <c r="H3899" s="21">
        <f>Data!B3911</f>
        <v>0</v>
      </c>
      <c r="I3899" s="21">
        <f>Data!C3911</f>
        <v>0</v>
      </c>
      <c r="J3899">
        <f>Data!D3911</f>
        <v>0</v>
      </c>
      <c r="K3899">
        <f>Data!E3911</f>
        <v>0</v>
      </c>
      <c r="L3899">
        <f>Data!F3911</f>
        <v>0</v>
      </c>
      <c r="M3899">
        <f>Data!G3911</f>
        <v>0</v>
      </c>
      <c r="N3899">
        <f>Data!H3911</f>
        <v>0</v>
      </c>
      <c r="O3899">
        <f>Data!I3911</f>
        <v>0</v>
      </c>
      <c r="P3899" s="21">
        <f>Data!J3915</f>
        <v>0</v>
      </c>
      <c r="Q3899">
        <f>Data!K3915</f>
        <v>0</v>
      </c>
      <c r="R3899">
        <f>Data!L3915</f>
        <v>0</v>
      </c>
      <c r="S3899">
        <f>Data!M3915</f>
        <v>0</v>
      </c>
      <c r="T3899">
        <f>Data!N3915</f>
        <v>0</v>
      </c>
      <c r="U3899">
        <f>Data!O3915</f>
        <v>0</v>
      </c>
      <c r="V3899" s="33">
        <f>Data!P3913</f>
        <v>0</v>
      </c>
    </row>
    <row r="3900" spans="7:22" x14ac:dyDescent="0.25">
      <c r="G3900">
        <f>Data!B3912</f>
        <v>0</v>
      </c>
      <c r="H3900" s="21">
        <f>Data!B3912</f>
        <v>0</v>
      </c>
      <c r="I3900" s="21">
        <f>Data!C3912</f>
        <v>0</v>
      </c>
      <c r="J3900">
        <f>Data!D3912</f>
        <v>0</v>
      </c>
      <c r="K3900">
        <f>Data!E3912</f>
        <v>0</v>
      </c>
      <c r="L3900">
        <f>Data!F3912</f>
        <v>0</v>
      </c>
      <c r="M3900">
        <f>Data!G3912</f>
        <v>0</v>
      </c>
      <c r="N3900">
        <f>Data!H3912</f>
        <v>0</v>
      </c>
      <c r="O3900">
        <f>Data!I3912</f>
        <v>0</v>
      </c>
      <c r="P3900" s="21">
        <f>Data!J3916</f>
        <v>0</v>
      </c>
      <c r="Q3900">
        <f>Data!K3916</f>
        <v>0</v>
      </c>
      <c r="R3900">
        <f>Data!L3916</f>
        <v>0</v>
      </c>
      <c r="S3900">
        <f>Data!M3916</f>
        <v>0</v>
      </c>
      <c r="T3900">
        <f>Data!N3916</f>
        <v>0</v>
      </c>
      <c r="U3900">
        <f>Data!O3916</f>
        <v>0</v>
      </c>
      <c r="V3900" s="33">
        <f>Data!P3914</f>
        <v>0</v>
      </c>
    </row>
    <row r="3901" spans="7:22" x14ac:dyDescent="0.25">
      <c r="G3901">
        <f>Data!B3913</f>
        <v>0</v>
      </c>
      <c r="H3901" s="21">
        <f>Data!B3913</f>
        <v>0</v>
      </c>
      <c r="I3901" s="21">
        <f>Data!C3913</f>
        <v>0</v>
      </c>
      <c r="J3901">
        <f>Data!D3913</f>
        <v>0</v>
      </c>
      <c r="K3901">
        <f>Data!E3913</f>
        <v>0</v>
      </c>
      <c r="L3901">
        <f>Data!F3913</f>
        <v>0</v>
      </c>
      <c r="M3901">
        <f>Data!G3913</f>
        <v>0</v>
      </c>
      <c r="N3901">
        <f>Data!H3913</f>
        <v>0</v>
      </c>
      <c r="O3901">
        <f>Data!I3913</f>
        <v>0</v>
      </c>
      <c r="P3901" s="21">
        <f>Data!J3917</f>
        <v>0</v>
      </c>
      <c r="Q3901">
        <f>Data!K3917</f>
        <v>0</v>
      </c>
      <c r="R3901">
        <f>Data!L3917</f>
        <v>0</v>
      </c>
      <c r="S3901">
        <f>Data!M3917</f>
        <v>0</v>
      </c>
      <c r="T3901">
        <f>Data!N3917</f>
        <v>0</v>
      </c>
      <c r="U3901">
        <f>Data!O3917</f>
        <v>0</v>
      </c>
      <c r="V3901" s="33">
        <f>Data!P3915</f>
        <v>0</v>
      </c>
    </row>
    <row r="3902" spans="7:22" x14ac:dyDescent="0.25">
      <c r="G3902">
        <f>Data!B3914</f>
        <v>0</v>
      </c>
      <c r="H3902" s="21">
        <f>Data!B3914</f>
        <v>0</v>
      </c>
      <c r="I3902" s="21">
        <f>Data!C3914</f>
        <v>0</v>
      </c>
      <c r="J3902">
        <f>Data!D3914</f>
        <v>0</v>
      </c>
      <c r="K3902">
        <f>Data!E3914</f>
        <v>0</v>
      </c>
      <c r="L3902">
        <f>Data!F3914</f>
        <v>0</v>
      </c>
      <c r="M3902">
        <f>Data!G3914</f>
        <v>0</v>
      </c>
      <c r="N3902">
        <f>Data!H3914</f>
        <v>0</v>
      </c>
      <c r="O3902">
        <f>Data!I3914</f>
        <v>0</v>
      </c>
      <c r="P3902" s="21">
        <f>Data!J3918</f>
        <v>0</v>
      </c>
      <c r="Q3902">
        <f>Data!K3918</f>
        <v>0</v>
      </c>
      <c r="R3902">
        <f>Data!L3918</f>
        <v>0</v>
      </c>
      <c r="S3902">
        <f>Data!M3918</f>
        <v>0</v>
      </c>
      <c r="T3902">
        <f>Data!N3918</f>
        <v>0</v>
      </c>
      <c r="U3902">
        <f>Data!O3918</f>
        <v>0</v>
      </c>
      <c r="V3902" s="33">
        <f>Data!P3916</f>
        <v>0</v>
      </c>
    </row>
    <row r="3903" spans="7:22" x14ac:dyDescent="0.25">
      <c r="G3903">
        <f>Data!B3915</f>
        <v>0</v>
      </c>
      <c r="H3903" s="21">
        <f>Data!B3915</f>
        <v>0</v>
      </c>
      <c r="I3903" s="21">
        <f>Data!C3915</f>
        <v>0</v>
      </c>
      <c r="J3903">
        <f>Data!D3915</f>
        <v>0</v>
      </c>
      <c r="K3903">
        <f>Data!E3915</f>
        <v>0</v>
      </c>
      <c r="L3903">
        <f>Data!F3915</f>
        <v>0</v>
      </c>
      <c r="M3903">
        <f>Data!G3915</f>
        <v>0</v>
      </c>
      <c r="N3903">
        <f>Data!H3915</f>
        <v>0</v>
      </c>
      <c r="O3903">
        <f>Data!I3915</f>
        <v>0</v>
      </c>
      <c r="P3903" s="21">
        <f>Data!J3919</f>
        <v>0</v>
      </c>
      <c r="Q3903">
        <f>Data!K3919</f>
        <v>0</v>
      </c>
      <c r="R3903">
        <f>Data!L3919</f>
        <v>0</v>
      </c>
      <c r="S3903">
        <f>Data!M3919</f>
        <v>0</v>
      </c>
      <c r="T3903">
        <f>Data!N3919</f>
        <v>0</v>
      </c>
      <c r="U3903">
        <f>Data!O3919</f>
        <v>0</v>
      </c>
      <c r="V3903" s="33">
        <f>Data!P3917</f>
        <v>0</v>
      </c>
    </row>
    <row r="3904" spans="7:22" x14ac:dyDescent="0.25">
      <c r="G3904">
        <f>Data!B3916</f>
        <v>0</v>
      </c>
      <c r="H3904" s="21">
        <f>Data!B3916</f>
        <v>0</v>
      </c>
      <c r="I3904" s="21">
        <f>Data!C3916</f>
        <v>0</v>
      </c>
      <c r="J3904">
        <f>Data!D3916</f>
        <v>0</v>
      </c>
      <c r="K3904">
        <f>Data!E3916</f>
        <v>0</v>
      </c>
      <c r="L3904">
        <f>Data!F3916</f>
        <v>0</v>
      </c>
      <c r="M3904">
        <f>Data!G3916</f>
        <v>0</v>
      </c>
      <c r="N3904">
        <f>Data!H3916</f>
        <v>0</v>
      </c>
      <c r="O3904">
        <f>Data!I3916</f>
        <v>0</v>
      </c>
      <c r="P3904" s="21">
        <f>Data!J3920</f>
        <v>0</v>
      </c>
      <c r="Q3904">
        <f>Data!K3920</f>
        <v>0</v>
      </c>
      <c r="R3904">
        <f>Data!L3920</f>
        <v>0</v>
      </c>
      <c r="S3904">
        <f>Data!M3920</f>
        <v>0</v>
      </c>
      <c r="T3904">
        <f>Data!N3920</f>
        <v>0</v>
      </c>
      <c r="U3904">
        <f>Data!O3920</f>
        <v>0</v>
      </c>
      <c r="V3904" s="33">
        <f>Data!P3918</f>
        <v>0</v>
      </c>
    </row>
    <row r="3905" spans="7:22" x14ac:dyDescent="0.25">
      <c r="G3905">
        <f>Data!B3917</f>
        <v>0</v>
      </c>
      <c r="H3905" s="21">
        <f>Data!B3917</f>
        <v>0</v>
      </c>
      <c r="I3905" s="21">
        <f>Data!C3917</f>
        <v>0</v>
      </c>
      <c r="J3905">
        <f>Data!D3917</f>
        <v>0</v>
      </c>
      <c r="K3905">
        <f>Data!E3917</f>
        <v>0</v>
      </c>
      <c r="L3905">
        <f>Data!F3917</f>
        <v>0</v>
      </c>
      <c r="M3905">
        <f>Data!G3917</f>
        <v>0</v>
      </c>
      <c r="N3905">
        <f>Data!H3917</f>
        <v>0</v>
      </c>
      <c r="O3905">
        <f>Data!I3917</f>
        <v>0</v>
      </c>
      <c r="P3905" s="21">
        <f>Data!J3921</f>
        <v>0</v>
      </c>
      <c r="Q3905">
        <f>Data!K3921</f>
        <v>0</v>
      </c>
      <c r="R3905">
        <f>Data!L3921</f>
        <v>0</v>
      </c>
      <c r="S3905">
        <f>Data!M3921</f>
        <v>0</v>
      </c>
      <c r="T3905">
        <f>Data!N3921</f>
        <v>0</v>
      </c>
      <c r="U3905">
        <f>Data!O3921</f>
        <v>0</v>
      </c>
      <c r="V3905" s="33">
        <f>Data!P3919</f>
        <v>0</v>
      </c>
    </row>
    <row r="3906" spans="7:22" x14ac:dyDescent="0.25">
      <c r="G3906">
        <f>Data!B3918</f>
        <v>0</v>
      </c>
      <c r="H3906" s="21">
        <f>Data!B3918</f>
        <v>0</v>
      </c>
      <c r="I3906" s="21">
        <f>Data!C3918</f>
        <v>0</v>
      </c>
      <c r="J3906">
        <f>Data!D3918</f>
        <v>0</v>
      </c>
      <c r="K3906">
        <f>Data!E3918</f>
        <v>0</v>
      </c>
      <c r="L3906">
        <f>Data!F3918</f>
        <v>0</v>
      </c>
      <c r="M3906">
        <f>Data!G3918</f>
        <v>0</v>
      </c>
      <c r="N3906">
        <f>Data!H3918</f>
        <v>0</v>
      </c>
      <c r="O3906">
        <f>Data!I3918</f>
        <v>0</v>
      </c>
      <c r="P3906" s="21">
        <f>Data!J3922</f>
        <v>0</v>
      </c>
      <c r="Q3906">
        <f>Data!K3922</f>
        <v>0</v>
      </c>
      <c r="R3906">
        <f>Data!L3922</f>
        <v>0</v>
      </c>
      <c r="S3906">
        <f>Data!M3922</f>
        <v>0</v>
      </c>
      <c r="T3906">
        <f>Data!N3922</f>
        <v>0</v>
      </c>
      <c r="U3906">
        <f>Data!O3922</f>
        <v>0</v>
      </c>
      <c r="V3906" s="33">
        <f>Data!P3920</f>
        <v>0</v>
      </c>
    </row>
    <row r="3907" spans="7:22" x14ac:dyDescent="0.25">
      <c r="G3907">
        <f>Data!B3919</f>
        <v>0</v>
      </c>
      <c r="H3907" s="21">
        <f>Data!B3919</f>
        <v>0</v>
      </c>
      <c r="I3907" s="21">
        <f>Data!C3919</f>
        <v>0</v>
      </c>
      <c r="J3907">
        <f>Data!D3919</f>
        <v>0</v>
      </c>
      <c r="K3907">
        <f>Data!E3919</f>
        <v>0</v>
      </c>
      <c r="L3907">
        <f>Data!F3919</f>
        <v>0</v>
      </c>
      <c r="M3907">
        <f>Data!G3919</f>
        <v>0</v>
      </c>
      <c r="N3907">
        <f>Data!H3919</f>
        <v>0</v>
      </c>
      <c r="O3907">
        <f>Data!I3919</f>
        <v>0</v>
      </c>
      <c r="P3907" s="21">
        <f>Data!J3923</f>
        <v>0</v>
      </c>
      <c r="Q3907">
        <f>Data!K3923</f>
        <v>0</v>
      </c>
      <c r="R3907">
        <f>Data!L3923</f>
        <v>0</v>
      </c>
      <c r="S3907">
        <f>Data!M3923</f>
        <v>0</v>
      </c>
      <c r="T3907">
        <f>Data!N3923</f>
        <v>0</v>
      </c>
      <c r="U3907">
        <f>Data!O3923</f>
        <v>0</v>
      </c>
      <c r="V3907" s="33">
        <f>Data!P3921</f>
        <v>0</v>
      </c>
    </row>
    <row r="3908" spans="7:22" x14ac:dyDescent="0.25">
      <c r="G3908">
        <f>Data!B3920</f>
        <v>0</v>
      </c>
      <c r="H3908" s="21">
        <f>Data!B3920</f>
        <v>0</v>
      </c>
      <c r="I3908" s="21">
        <f>Data!C3920</f>
        <v>0</v>
      </c>
      <c r="J3908">
        <f>Data!D3920</f>
        <v>0</v>
      </c>
      <c r="K3908">
        <f>Data!E3920</f>
        <v>0</v>
      </c>
      <c r="L3908">
        <f>Data!F3920</f>
        <v>0</v>
      </c>
      <c r="M3908">
        <f>Data!G3920</f>
        <v>0</v>
      </c>
      <c r="N3908">
        <f>Data!H3920</f>
        <v>0</v>
      </c>
      <c r="O3908">
        <f>Data!I3920</f>
        <v>0</v>
      </c>
      <c r="P3908" s="21">
        <f>Data!J3924</f>
        <v>0</v>
      </c>
      <c r="Q3908">
        <f>Data!K3924</f>
        <v>0</v>
      </c>
      <c r="R3908">
        <f>Data!L3924</f>
        <v>0</v>
      </c>
      <c r="S3908">
        <f>Data!M3924</f>
        <v>0</v>
      </c>
      <c r="T3908">
        <f>Data!N3924</f>
        <v>0</v>
      </c>
      <c r="U3908">
        <f>Data!O3924</f>
        <v>0</v>
      </c>
      <c r="V3908" s="33">
        <f>Data!P3922</f>
        <v>0</v>
      </c>
    </row>
    <row r="3909" spans="7:22" x14ac:dyDescent="0.25">
      <c r="G3909">
        <f>Data!B3921</f>
        <v>0</v>
      </c>
      <c r="H3909" s="21">
        <f>Data!B3921</f>
        <v>0</v>
      </c>
      <c r="I3909" s="21">
        <f>Data!C3921</f>
        <v>0</v>
      </c>
      <c r="J3909">
        <f>Data!D3921</f>
        <v>0</v>
      </c>
      <c r="K3909">
        <f>Data!E3921</f>
        <v>0</v>
      </c>
      <c r="L3909">
        <f>Data!F3921</f>
        <v>0</v>
      </c>
      <c r="M3909">
        <f>Data!G3921</f>
        <v>0</v>
      </c>
      <c r="N3909">
        <f>Data!H3921</f>
        <v>0</v>
      </c>
      <c r="O3909">
        <f>Data!I3921</f>
        <v>0</v>
      </c>
      <c r="P3909" s="21">
        <f>Data!J3925</f>
        <v>0</v>
      </c>
      <c r="Q3909">
        <f>Data!K3925</f>
        <v>0</v>
      </c>
      <c r="R3909">
        <f>Data!L3925</f>
        <v>0</v>
      </c>
      <c r="S3909">
        <f>Data!M3925</f>
        <v>0</v>
      </c>
      <c r="T3909">
        <f>Data!N3925</f>
        <v>0</v>
      </c>
      <c r="U3909">
        <f>Data!O3925</f>
        <v>0</v>
      </c>
      <c r="V3909" s="33">
        <f>Data!P3923</f>
        <v>0</v>
      </c>
    </row>
    <row r="3910" spans="7:22" x14ac:dyDescent="0.25">
      <c r="G3910">
        <f>Data!B3922</f>
        <v>0</v>
      </c>
      <c r="H3910" s="21">
        <f>Data!B3922</f>
        <v>0</v>
      </c>
      <c r="I3910" s="21">
        <f>Data!C3922</f>
        <v>0</v>
      </c>
      <c r="J3910">
        <f>Data!D3922</f>
        <v>0</v>
      </c>
      <c r="K3910">
        <f>Data!E3922</f>
        <v>0</v>
      </c>
      <c r="L3910">
        <f>Data!F3922</f>
        <v>0</v>
      </c>
      <c r="M3910">
        <f>Data!G3922</f>
        <v>0</v>
      </c>
      <c r="N3910">
        <f>Data!H3922</f>
        <v>0</v>
      </c>
      <c r="O3910">
        <f>Data!I3922</f>
        <v>0</v>
      </c>
      <c r="P3910" s="21">
        <f>Data!J3926</f>
        <v>0</v>
      </c>
      <c r="Q3910">
        <f>Data!K3926</f>
        <v>0</v>
      </c>
      <c r="R3910">
        <f>Data!L3926</f>
        <v>0</v>
      </c>
      <c r="S3910">
        <f>Data!M3926</f>
        <v>0</v>
      </c>
      <c r="T3910">
        <f>Data!N3926</f>
        <v>0</v>
      </c>
      <c r="U3910">
        <f>Data!O3926</f>
        <v>0</v>
      </c>
      <c r="V3910" s="33">
        <f>Data!P3924</f>
        <v>0</v>
      </c>
    </row>
    <row r="3911" spans="7:22" x14ac:dyDescent="0.25">
      <c r="G3911">
        <f>Data!B3923</f>
        <v>0</v>
      </c>
      <c r="H3911" s="21">
        <f>Data!B3923</f>
        <v>0</v>
      </c>
      <c r="I3911" s="21">
        <f>Data!C3923</f>
        <v>0</v>
      </c>
      <c r="J3911">
        <f>Data!D3923</f>
        <v>0</v>
      </c>
      <c r="K3911">
        <f>Data!E3923</f>
        <v>0</v>
      </c>
      <c r="L3911">
        <f>Data!F3923</f>
        <v>0</v>
      </c>
      <c r="M3911">
        <f>Data!G3923</f>
        <v>0</v>
      </c>
      <c r="N3911">
        <f>Data!H3923</f>
        <v>0</v>
      </c>
      <c r="O3911">
        <f>Data!I3923</f>
        <v>0</v>
      </c>
      <c r="P3911" s="21">
        <f>Data!J3927</f>
        <v>0</v>
      </c>
      <c r="Q3911">
        <f>Data!K3927</f>
        <v>0</v>
      </c>
      <c r="R3911">
        <f>Data!L3927</f>
        <v>0</v>
      </c>
      <c r="S3911">
        <f>Data!M3927</f>
        <v>0</v>
      </c>
      <c r="T3911">
        <f>Data!N3927</f>
        <v>0</v>
      </c>
      <c r="U3911">
        <f>Data!O3927</f>
        <v>0</v>
      </c>
      <c r="V3911" s="33">
        <f>Data!P3925</f>
        <v>0</v>
      </c>
    </row>
    <row r="3912" spans="7:22" x14ac:dyDescent="0.25">
      <c r="G3912">
        <f>Data!B3924</f>
        <v>0</v>
      </c>
      <c r="H3912" s="21">
        <f>Data!B3924</f>
        <v>0</v>
      </c>
      <c r="I3912" s="21">
        <f>Data!C3924</f>
        <v>0</v>
      </c>
      <c r="J3912">
        <f>Data!D3924</f>
        <v>0</v>
      </c>
      <c r="K3912">
        <f>Data!E3924</f>
        <v>0</v>
      </c>
      <c r="L3912">
        <f>Data!F3924</f>
        <v>0</v>
      </c>
      <c r="M3912">
        <f>Data!G3924</f>
        <v>0</v>
      </c>
      <c r="N3912">
        <f>Data!H3924</f>
        <v>0</v>
      </c>
      <c r="O3912">
        <f>Data!I3924</f>
        <v>0</v>
      </c>
      <c r="P3912" s="21">
        <f>Data!J3928</f>
        <v>0</v>
      </c>
      <c r="Q3912">
        <f>Data!K3928</f>
        <v>0</v>
      </c>
      <c r="R3912">
        <f>Data!L3928</f>
        <v>0</v>
      </c>
      <c r="S3912">
        <f>Data!M3928</f>
        <v>0</v>
      </c>
      <c r="T3912">
        <f>Data!N3928</f>
        <v>0</v>
      </c>
      <c r="U3912">
        <f>Data!O3928</f>
        <v>0</v>
      </c>
      <c r="V3912" s="33">
        <f>Data!P3926</f>
        <v>0</v>
      </c>
    </row>
    <row r="3913" spans="7:22" x14ac:dyDescent="0.25">
      <c r="G3913">
        <f>Data!B3925</f>
        <v>0</v>
      </c>
      <c r="H3913" s="21">
        <f>Data!B3925</f>
        <v>0</v>
      </c>
      <c r="I3913" s="21">
        <f>Data!C3925</f>
        <v>0</v>
      </c>
      <c r="J3913">
        <f>Data!D3925</f>
        <v>0</v>
      </c>
      <c r="K3913">
        <f>Data!E3925</f>
        <v>0</v>
      </c>
      <c r="L3913">
        <f>Data!F3925</f>
        <v>0</v>
      </c>
      <c r="M3913">
        <f>Data!G3925</f>
        <v>0</v>
      </c>
      <c r="N3913">
        <f>Data!H3925</f>
        <v>0</v>
      </c>
      <c r="O3913">
        <f>Data!I3925</f>
        <v>0</v>
      </c>
      <c r="P3913" s="21">
        <f>Data!J3929</f>
        <v>0</v>
      </c>
      <c r="Q3913">
        <f>Data!K3929</f>
        <v>0</v>
      </c>
      <c r="R3913">
        <f>Data!L3929</f>
        <v>0</v>
      </c>
      <c r="S3913">
        <f>Data!M3929</f>
        <v>0</v>
      </c>
      <c r="T3913">
        <f>Data!N3929</f>
        <v>0</v>
      </c>
      <c r="U3913">
        <f>Data!O3929</f>
        <v>0</v>
      </c>
      <c r="V3913" s="33">
        <f>Data!P3927</f>
        <v>0</v>
      </c>
    </row>
    <row r="3914" spans="7:22" x14ac:dyDescent="0.25">
      <c r="G3914">
        <f>Data!B3926</f>
        <v>0</v>
      </c>
      <c r="H3914" s="21">
        <f>Data!B3926</f>
        <v>0</v>
      </c>
      <c r="I3914" s="21">
        <f>Data!C3926</f>
        <v>0</v>
      </c>
      <c r="J3914">
        <f>Data!D3926</f>
        <v>0</v>
      </c>
      <c r="K3914">
        <f>Data!E3926</f>
        <v>0</v>
      </c>
      <c r="L3914">
        <f>Data!F3926</f>
        <v>0</v>
      </c>
      <c r="M3914">
        <f>Data!G3926</f>
        <v>0</v>
      </c>
      <c r="N3914">
        <f>Data!H3926</f>
        <v>0</v>
      </c>
      <c r="O3914">
        <f>Data!I3926</f>
        <v>0</v>
      </c>
      <c r="P3914" s="21">
        <f>Data!J3930</f>
        <v>0</v>
      </c>
      <c r="Q3914">
        <f>Data!K3930</f>
        <v>0</v>
      </c>
      <c r="R3914">
        <f>Data!L3930</f>
        <v>0</v>
      </c>
      <c r="S3914">
        <f>Data!M3930</f>
        <v>0</v>
      </c>
      <c r="T3914">
        <f>Data!N3930</f>
        <v>0</v>
      </c>
      <c r="U3914">
        <f>Data!O3930</f>
        <v>0</v>
      </c>
      <c r="V3914" s="33">
        <f>Data!P3928</f>
        <v>0</v>
      </c>
    </row>
    <row r="3915" spans="7:22" x14ac:dyDescent="0.25">
      <c r="G3915">
        <f>Data!B3927</f>
        <v>0</v>
      </c>
      <c r="H3915" s="21">
        <f>Data!B3927</f>
        <v>0</v>
      </c>
      <c r="I3915" s="21">
        <f>Data!C3927</f>
        <v>0</v>
      </c>
      <c r="J3915">
        <f>Data!D3927</f>
        <v>0</v>
      </c>
      <c r="K3915">
        <f>Data!E3927</f>
        <v>0</v>
      </c>
      <c r="L3915">
        <f>Data!F3927</f>
        <v>0</v>
      </c>
      <c r="M3915">
        <f>Data!G3927</f>
        <v>0</v>
      </c>
      <c r="N3915">
        <f>Data!H3927</f>
        <v>0</v>
      </c>
      <c r="O3915">
        <f>Data!I3927</f>
        <v>0</v>
      </c>
      <c r="P3915" s="21">
        <f>Data!J3931</f>
        <v>0</v>
      </c>
      <c r="Q3915">
        <f>Data!K3931</f>
        <v>0</v>
      </c>
      <c r="R3915">
        <f>Data!L3931</f>
        <v>0</v>
      </c>
      <c r="S3915">
        <f>Data!M3931</f>
        <v>0</v>
      </c>
      <c r="T3915">
        <f>Data!N3931</f>
        <v>0</v>
      </c>
      <c r="U3915">
        <f>Data!O3931</f>
        <v>0</v>
      </c>
      <c r="V3915" s="33">
        <f>Data!P3929</f>
        <v>0</v>
      </c>
    </row>
    <row r="3916" spans="7:22" x14ac:dyDescent="0.25">
      <c r="G3916">
        <f>Data!B3928</f>
        <v>0</v>
      </c>
      <c r="H3916" s="21">
        <f>Data!B3928</f>
        <v>0</v>
      </c>
      <c r="I3916" s="21">
        <f>Data!C3928</f>
        <v>0</v>
      </c>
      <c r="J3916">
        <f>Data!D3928</f>
        <v>0</v>
      </c>
      <c r="K3916">
        <f>Data!E3928</f>
        <v>0</v>
      </c>
      <c r="L3916">
        <f>Data!F3928</f>
        <v>0</v>
      </c>
      <c r="M3916">
        <f>Data!G3928</f>
        <v>0</v>
      </c>
      <c r="N3916">
        <f>Data!H3928</f>
        <v>0</v>
      </c>
      <c r="O3916">
        <f>Data!I3928</f>
        <v>0</v>
      </c>
      <c r="P3916" s="21">
        <f>Data!J3932</f>
        <v>0</v>
      </c>
      <c r="Q3916">
        <f>Data!K3932</f>
        <v>0</v>
      </c>
      <c r="R3916">
        <f>Data!L3932</f>
        <v>0</v>
      </c>
      <c r="S3916">
        <f>Data!M3932</f>
        <v>0</v>
      </c>
      <c r="T3916">
        <f>Data!N3932</f>
        <v>0</v>
      </c>
      <c r="U3916">
        <f>Data!O3932</f>
        <v>0</v>
      </c>
      <c r="V3916" s="33">
        <f>Data!P3930</f>
        <v>0</v>
      </c>
    </row>
    <row r="3917" spans="7:22" x14ac:dyDescent="0.25">
      <c r="G3917">
        <f>Data!B3929</f>
        <v>0</v>
      </c>
      <c r="H3917" s="21">
        <f>Data!B3929</f>
        <v>0</v>
      </c>
      <c r="I3917" s="21">
        <f>Data!C3929</f>
        <v>0</v>
      </c>
      <c r="J3917">
        <f>Data!D3929</f>
        <v>0</v>
      </c>
      <c r="K3917">
        <f>Data!E3929</f>
        <v>0</v>
      </c>
      <c r="L3917">
        <f>Data!F3929</f>
        <v>0</v>
      </c>
      <c r="M3917">
        <f>Data!G3929</f>
        <v>0</v>
      </c>
      <c r="N3917">
        <f>Data!H3929</f>
        <v>0</v>
      </c>
      <c r="O3917">
        <f>Data!I3929</f>
        <v>0</v>
      </c>
      <c r="P3917" s="21">
        <f>Data!J3933</f>
        <v>0</v>
      </c>
      <c r="Q3917">
        <f>Data!K3933</f>
        <v>0</v>
      </c>
      <c r="R3917">
        <f>Data!L3933</f>
        <v>0</v>
      </c>
      <c r="S3917">
        <f>Data!M3933</f>
        <v>0</v>
      </c>
      <c r="T3917">
        <f>Data!N3933</f>
        <v>0</v>
      </c>
      <c r="U3917">
        <f>Data!O3933</f>
        <v>0</v>
      </c>
      <c r="V3917" s="33">
        <f>Data!P3931</f>
        <v>0</v>
      </c>
    </row>
    <row r="3918" spans="7:22" x14ac:dyDescent="0.25">
      <c r="G3918">
        <f>Data!B3930</f>
        <v>0</v>
      </c>
      <c r="H3918" s="21">
        <f>Data!B3930</f>
        <v>0</v>
      </c>
      <c r="I3918" s="21">
        <f>Data!C3930</f>
        <v>0</v>
      </c>
      <c r="J3918">
        <f>Data!D3930</f>
        <v>0</v>
      </c>
      <c r="K3918">
        <f>Data!E3930</f>
        <v>0</v>
      </c>
      <c r="L3918">
        <f>Data!F3930</f>
        <v>0</v>
      </c>
      <c r="M3918">
        <f>Data!G3930</f>
        <v>0</v>
      </c>
      <c r="N3918">
        <f>Data!H3930</f>
        <v>0</v>
      </c>
      <c r="O3918">
        <f>Data!I3930</f>
        <v>0</v>
      </c>
      <c r="P3918" s="21">
        <f>Data!J3934</f>
        <v>0</v>
      </c>
      <c r="Q3918">
        <f>Data!K3934</f>
        <v>0</v>
      </c>
      <c r="R3918">
        <f>Data!L3934</f>
        <v>0</v>
      </c>
      <c r="S3918">
        <f>Data!M3934</f>
        <v>0</v>
      </c>
      <c r="T3918">
        <f>Data!N3934</f>
        <v>0</v>
      </c>
      <c r="U3918">
        <f>Data!O3934</f>
        <v>0</v>
      </c>
      <c r="V3918" s="33">
        <f>Data!P3932</f>
        <v>0</v>
      </c>
    </row>
    <row r="3919" spans="7:22" x14ac:dyDescent="0.25">
      <c r="G3919">
        <f>Data!B3931</f>
        <v>0</v>
      </c>
      <c r="H3919" s="21">
        <f>Data!B3931</f>
        <v>0</v>
      </c>
      <c r="I3919" s="21">
        <f>Data!C3931</f>
        <v>0</v>
      </c>
      <c r="J3919">
        <f>Data!D3931</f>
        <v>0</v>
      </c>
      <c r="K3919">
        <f>Data!E3931</f>
        <v>0</v>
      </c>
      <c r="L3919">
        <f>Data!F3931</f>
        <v>0</v>
      </c>
      <c r="M3919">
        <f>Data!G3931</f>
        <v>0</v>
      </c>
      <c r="N3919">
        <f>Data!H3931</f>
        <v>0</v>
      </c>
      <c r="O3919">
        <f>Data!I3931</f>
        <v>0</v>
      </c>
      <c r="P3919" s="21">
        <f>Data!J3935</f>
        <v>0</v>
      </c>
      <c r="Q3919">
        <f>Data!K3935</f>
        <v>0</v>
      </c>
      <c r="R3919">
        <f>Data!L3935</f>
        <v>0</v>
      </c>
      <c r="S3919">
        <f>Data!M3935</f>
        <v>0</v>
      </c>
      <c r="T3919">
        <f>Data!N3935</f>
        <v>0</v>
      </c>
      <c r="U3919">
        <f>Data!O3935</f>
        <v>0</v>
      </c>
      <c r="V3919" s="33">
        <f>Data!P3933</f>
        <v>0</v>
      </c>
    </row>
    <row r="3920" spans="7:22" x14ac:dyDescent="0.25">
      <c r="G3920">
        <f>Data!B3932</f>
        <v>0</v>
      </c>
      <c r="H3920" s="21">
        <f>Data!B3932</f>
        <v>0</v>
      </c>
      <c r="I3920" s="21">
        <f>Data!C3932</f>
        <v>0</v>
      </c>
      <c r="J3920">
        <f>Data!D3932</f>
        <v>0</v>
      </c>
      <c r="K3920">
        <f>Data!E3932</f>
        <v>0</v>
      </c>
      <c r="L3920">
        <f>Data!F3932</f>
        <v>0</v>
      </c>
      <c r="M3920">
        <f>Data!G3932</f>
        <v>0</v>
      </c>
      <c r="N3920">
        <f>Data!H3932</f>
        <v>0</v>
      </c>
      <c r="O3920">
        <f>Data!I3932</f>
        <v>0</v>
      </c>
      <c r="P3920" s="21">
        <f>Data!J3936</f>
        <v>0</v>
      </c>
      <c r="Q3920">
        <f>Data!K3936</f>
        <v>0</v>
      </c>
      <c r="R3920">
        <f>Data!L3936</f>
        <v>0</v>
      </c>
      <c r="S3920">
        <f>Data!M3936</f>
        <v>0</v>
      </c>
      <c r="T3920">
        <f>Data!N3936</f>
        <v>0</v>
      </c>
      <c r="U3920">
        <f>Data!O3936</f>
        <v>0</v>
      </c>
      <c r="V3920" s="33">
        <f>Data!P3934</f>
        <v>0</v>
      </c>
    </row>
    <row r="3921" spans="7:22" x14ac:dyDescent="0.25">
      <c r="G3921">
        <f>Data!B3933</f>
        <v>0</v>
      </c>
      <c r="H3921" s="21">
        <f>Data!B3933</f>
        <v>0</v>
      </c>
      <c r="I3921" s="21">
        <f>Data!C3933</f>
        <v>0</v>
      </c>
      <c r="J3921">
        <f>Data!D3933</f>
        <v>0</v>
      </c>
      <c r="K3921">
        <f>Data!E3933</f>
        <v>0</v>
      </c>
      <c r="L3921">
        <f>Data!F3933</f>
        <v>0</v>
      </c>
      <c r="M3921">
        <f>Data!G3933</f>
        <v>0</v>
      </c>
      <c r="N3921">
        <f>Data!H3933</f>
        <v>0</v>
      </c>
      <c r="O3921">
        <f>Data!I3933</f>
        <v>0</v>
      </c>
      <c r="P3921" s="21">
        <f>Data!J3937</f>
        <v>0</v>
      </c>
      <c r="Q3921">
        <f>Data!K3937</f>
        <v>0</v>
      </c>
      <c r="R3921">
        <f>Data!L3937</f>
        <v>0</v>
      </c>
      <c r="S3921">
        <f>Data!M3937</f>
        <v>0</v>
      </c>
      <c r="T3921">
        <f>Data!N3937</f>
        <v>0</v>
      </c>
      <c r="U3921">
        <f>Data!O3937</f>
        <v>0</v>
      </c>
      <c r="V3921" s="33">
        <f>Data!P3935</f>
        <v>0</v>
      </c>
    </row>
    <row r="3922" spans="7:22" x14ac:dyDescent="0.25">
      <c r="G3922">
        <f>Data!B3934</f>
        <v>0</v>
      </c>
      <c r="H3922" s="21">
        <f>Data!B3934</f>
        <v>0</v>
      </c>
      <c r="I3922" s="21">
        <f>Data!C3934</f>
        <v>0</v>
      </c>
      <c r="J3922">
        <f>Data!D3934</f>
        <v>0</v>
      </c>
      <c r="K3922">
        <f>Data!E3934</f>
        <v>0</v>
      </c>
      <c r="L3922">
        <f>Data!F3934</f>
        <v>0</v>
      </c>
      <c r="M3922">
        <f>Data!G3934</f>
        <v>0</v>
      </c>
      <c r="N3922">
        <f>Data!H3934</f>
        <v>0</v>
      </c>
      <c r="O3922">
        <f>Data!I3934</f>
        <v>0</v>
      </c>
      <c r="P3922" s="21">
        <f>Data!J3938</f>
        <v>0</v>
      </c>
      <c r="Q3922">
        <f>Data!K3938</f>
        <v>0</v>
      </c>
      <c r="R3922">
        <f>Data!L3938</f>
        <v>0</v>
      </c>
      <c r="S3922">
        <f>Data!M3938</f>
        <v>0</v>
      </c>
      <c r="T3922">
        <f>Data!N3938</f>
        <v>0</v>
      </c>
      <c r="U3922">
        <f>Data!O3938</f>
        <v>0</v>
      </c>
      <c r="V3922" s="33">
        <f>Data!P3936</f>
        <v>0</v>
      </c>
    </row>
    <row r="3923" spans="7:22" x14ac:dyDescent="0.25">
      <c r="G3923">
        <f>Data!B3935</f>
        <v>0</v>
      </c>
      <c r="H3923" s="21">
        <f>Data!B3935</f>
        <v>0</v>
      </c>
      <c r="I3923" s="21">
        <f>Data!C3935</f>
        <v>0</v>
      </c>
      <c r="J3923">
        <f>Data!D3935</f>
        <v>0</v>
      </c>
      <c r="K3923">
        <f>Data!E3935</f>
        <v>0</v>
      </c>
      <c r="L3923">
        <f>Data!F3935</f>
        <v>0</v>
      </c>
      <c r="M3923">
        <f>Data!G3935</f>
        <v>0</v>
      </c>
      <c r="N3923">
        <f>Data!H3935</f>
        <v>0</v>
      </c>
      <c r="O3923">
        <f>Data!I3935</f>
        <v>0</v>
      </c>
      <c r="P3923" s="21">
        <f>Data!J3939</f>
        <v>0</v>
      </c>
      <c r="Q3923">
        <f>Data!K3939</f>
        <v>0</v>
      </c>
      <c r="R3923">
        <f>Data!L3939</f>
        <v>0</v>
      </c>
      <c r="S3923">
        <f>Data!M3939</f>
        <v>0</v>
      </c>
      <c r="T3923">
        <f>Data!N3939</f>
        <v>0</v>
      </c>
      <c r="U3923">
        <f>Data!O3939</f>
        <v>0</v>
      </c>
      <c r="V3923" s="33">
        <f>Data!P3937</f>
        <v>0</v>
      </c>
    </row>
    <row r="3924" spans="7:22" x14ac:dyDescent="0.25">
      <c r="G3924">
        <f>Data!B3936</f>
        <v>0</v>
      </c>
      <c r="H3924" s="21">
        <f>Data!B3936</f>
        <v>0</v>
      </c>
      <c r="I3924" s="21">
        <f>Data!C3936</f>
        <v>0</v>
      </c>
      <c r="J3924">
        <f>Data!D3936</f>
        <v>0</v>
      </c>
      <c r="K3924">
        <f>Data!E3936</f>
        <v>0</v>
      </c>
      <c r="L3924">
        <f>Data!F3936</f>
        <v>0</v>
      </c>
      <c r="M3924">
        <f>Data!G3936</f>
        <v>0</v>
      </c>
      <c r="N3924">
        <f>Data!H3936</f>
        <v>0</v>
      </c>
      <c r="O3924">
        <f>Data!I3936</f>
        <v>0</v>
      </c>
      <c r="P3924" s="21">
        <f>Data!J3940</f>
        <v>0</v>
      </c>
      <c r="Q3924">
        <f>Data!K3940</f>
        <v>0</v>
      </c>
      <c r="R3924">
        <f>Data!L3940</f>
        <v>0</v>
      </c>
      <c r="S3924">
        <f>Data!M3940</f>
        <v>0</v>
      </c>
      <c r="T3924">
        <f>Data!N3940</f>
        <v>0</v>
      </c>
      <c r="U3924">
        <f>Data!O3940</f>
        <v>0</v>
      </c>
      <c r="V3924" s="33">
        <f>Data!P3938</f>
        <v>0</v>
      </c>
    </row>
    <row r="3925" spans="7:22" x14ac:dyDescent="0.25">
      <c r="G3925">
        <f>Data!B3937</f>
        <v>0</v>
      </c>
      <c r="H3925" s="21">
        <f>Data!B3937</f>
        <v>0</v>
      </c>
      <c r="I3925" s="21">
        <f>Data!C3937</f>
        <v>0</v>
      </c>
      <c r="J3925">
        <f>Data!D3937</f>
        <v>0</v>
      </c>
      <c r="K3925">
        <f>Data!E3937</f>
        <v>0</v>
      </c>
      <c r="L3925">
        <f>Data!F3937</f>
        <v>0</v>
      </c>
      <c r="M3925">
        <f>Data!G3937</f>
        <v>0</v>
      </c>
      <c r="N3925">
        <f>Data!H3937</f>
        <v>0</v>
      </c>
      <c r="O3925">
        <f>Data!I3937</f>
        <v>0</v>
      </c>
      <c r="P3925" s="21">
        <f>Data!J3941</f>
        <v>0</v>
      </c>
      <c r="Q3925">
        <f>Data!K3941</f>
        <v>0</v>
      </c>
      <c r="R3925">
        <f>Data!L3941</f>
        <v>0</v>
      </c>
      <c r="S3925">
        <f>Data!M3941</f>
        <v>0</v>
      </c>
      <c r="T3925">
        <f>Data!N3941</f>
        <v>0</v>
      </c>
      <c r="U3925">
        <f>Data!O3941</f>
        <v>0</v>
      </c>
      <c r="V3925" s="33">
        <f>Data!P3939</f>
        <v>0</v>
      </c>
    </row>
    <row r="3926" spans="7:22" x14ac:dyDescent="0.25">
      <c r="G3926">
        <f>Data!B3938</f>
        <v>0</v>
      </c>
      <c r="H3926" s="21">
        <f>Data!B3938</f>
        <v>0</v>
      </c>
      <c r="I3926" s="21">
        <f>Data!C3938</f>
        <v>0</v>
      </c>
      <c r="J3926">
        <f>Data!D3938</f>
        <v>0</v>
      </c>
      <c r="K3926">
        <f>Data!E3938</f>
        <v>0</v>
      </c>
      <c r="L3926">
        <f>Data!F3938</f>
        <v>0</v>
      </c>
      <c r="M3926">
        <f>Data!G3938</f>
        <v>0</v>
      </c>
      <c r="N3926">
        <f>Data!H3938</f>
        <v>0</v>
      </c>
      <c r="O3926">
        <f>Data!I3938</f>
        <v>0</v>
      </c>
      <c r="P3926" s="21">
        <f>Data!J3942</f>
        <v>0</v>
      </c>
      <c r="Q3926">
        <f>Data!K3942</f>
        <v>0</v>
      </c>
      <c r="R3926">
        <f>Data!L3942</f>
        <v>0</v>
      </c>
      <c r="S3926">
        <f>Data!M3942</f>
        <v>0</v>
      </c>
      <c r="T3926">
        <f>Data!N3942</f>
        <v>0</v>
      </c>
      <c r="U3926">
        <f>Data!O3942</f>
        <v>0</v>
      </c>
      <c r="V3926" s="33">
        <f>Data!P3940</f>
        <v>0</v>
      </c>
    </row>
    <row r="3927" spans="7:22" x14ac:dyDescent="0.25">
      <c r="G3927">
        <f>Data!B3939</f>
        <v>0</v>
      </c>
      <c r="H3927" s="21">
        <f>Data!B3939</f>
        <v>0</v>
      </c>
      <c r="I3927" s="21">
        <f>Data!C3939</f>
        <v>0</v>
      </c>
      <c r="J3927">
        <f>Data!D3939</f>
        <v>0</v>
      </c>
      <c r="K3927">
        <f>Data!E3939</f>
        <v>0</v>
      </c>
      <c r="L3927">
        <f>Data!F3939</f>
        <v>0</v>
      </c>
      <c r="M3927">
        <f>Data!G3939</f>
        <v>0</v>
      </c>
      <c r="N3927">
        <f>Data!H3939</f>
        <v>0</v>
      </c>
      <c r="O3927">
        <f>Data!I3939</f>
        <v>0</v>
      </c>
      <c r="P3927" s="21">
        <f>Data!J3943</f>
        <v>0</v>
      </c>
      <c r="Q3927">
        <f>Data!K3943</f>
        <v>0</v>
      </c>
      <c r="R3927">
        <f>Data!L3943</f>
        <v>0</v>
      </c>
      <c r="S3927">
        <f>Data!M3943</f>
        <v>0</v>
      </c>
      <c r="T3927">
        <f>Data!N3943</f>
        <v>0</v>
      </c>
      <c r="U3927">
        <f>Data!O3943</f>
        <v>0</v>
      </c>
      <c r="V3927" s="33">
        <f>Data!P3941</f>
        <v>0</v>
      </c>
    </row>
    <row r="3928" spans="7:22" x14ac:dyDescent="0.25">
      <c r="G3928">
        <f>Data!B3940</f>
        <v>0</v>
      </c>
      <c r="H3928" s="21">
        <f>Data!B3940</f>
        <v>0</v>
      </c>
      <c r="I3928" s="21">
        <f>Data!C3940</f>
        <v>0</v>
      </c>
      <c r="J3928">
        <f>Data!D3940</f>
        <v>0</v>
      </c>
      <c r="K3928">
        <f>Data!E3940</f>
        <v>0</v>
      </c>
      <c r="L3928">
        <f>Data!F3940</f>
        <v>0</v>
      </c>
      <c r="M3928">
        <f>Data!G3940</f>
        <v>0</v>
      </c>
      <c r="N3928">
        <f>Data!H3940</f>
        <v>0</v>
      </c>
      <c r="O3928">
        <f>Data!I3940</f>
        <v>0</v>
      </c>
      <c r="P3928" s="21">
        <f>Data!J3944</f>
        <v>0</v>
      </c>
      <c r="Q3928">
        <f>Data!K3944</f>
        <v>0</v>
      </c>
      <c r="R3928">
        <f>Data!L3944</f>
        <v>0</v>
      </c>
      <c r="S3928">
        <f>Data!M3944</f>
        <v>0</v>
      </c>
      <c r="T3928">
        <f>Data!N3944</f>
        <v>0</v>
      </c>
      <c r="U3928">
        <f>Data!O3944</f>
        <v>0</v>
      </c>
      <c r="V3928" s="33">
        <f>Data!P3942</f>
        <v>0</v>
      </c>
    </row>
    <row r="3929" spans="7:22" x14ac:dyDescent="0.25">
      <c r="G3929">
        <f>Data!B3941</f>
        <v>0</v>
      </c>
      <c r="H3929" s="21">
        <f>Data!B3941</f>
        <v>0</v>
      </c>
      <c r="I3929" s="21">
        <f>Data!C3941</f>
        <v>0</v>
      </c>
      <c r="J3929">
        <f>Data!D3941</f>
        <v>0</v>
      </c>
      <c r="K3929">
        <f>Data!E3941</f>
        <v>0</v>
      </c>
      <c r="L3929">
        <f>Data!F3941</f>
        <v>0</v>
      </c>
      <c r="M3929">
        <f>Data!G3941</f>
        <v>0</v>
      </c>
      <c r="N3929">
        <f>Data!H3941</f>
        <v>0</v>
      </c>
      <c r="O3929">
        <f>Data!I3941</f>
        <v>0</v>
      </c>
      <c r="P3929" s="21">
        <f>Data!J3945</f>
        <v>0</v>
      </c>
      <c r="Q3929">
        <f>Data!K3945</f>
        <v>0</v>
      </c>
      <c r="R3929">
        <f>Data!L3945</f>
        <v>0</v>
      </c>
      <c r="S3929">
        <f>Data!M3945</f>
        <v>0</v>
      </c>
      <c r="T3929">
        <f>Data!N3945</f>
        <v>0</v>
      </c>
      <c r="U3929">
        <f>Data!O3945</f>
        <v>0</v>
      </c>
      <c r="V3929" s="33">
        <f>Data!P3943</f>
        <v>0</v>
      </c>
    </row>
    <row r="3930" spans="7:22" x14ac:dyDescent="0.25">
      <c r="G3930">
        <f>Data!B3942</f>
        <v>0</v>
      </c>
      <c r="H3930" s="21">
        <f>Data!B3942</f>
        <v>0</v>
      </c>
      <c r="I3930" s="21">
        <f>Data!C3942</f>
        <v>0</v>
      </c>
      <c r="J3930">
        <f>Data!D3942</f>
        <v>0</v>
      </c>
      <c r="K3930">
        <f>Data!E3942</f>
        <v>0</v>
      </c>
      <c r="L3930">
        <f>Data!F3942</f>
        <v>0</v>
      </c>
      <c r="M3930">
        <f>Data!G3942</f>
        <v>0</v>
      </c>
      <c r="N3930">
        <f>Data!H3942</f>
        <v>0</v>
      </c>
      <c r="O3930">
        <f>Data!I3942</f>
        <v>0</v>
      </c>
      <c r="P3930" s="21">
        <f>Data!J3946</f>
        <v>0</v>
      </c>
      <c r="Q3930">
        <f>Data!K3946</f>
        <v>0</v>
      </c>
      <c r="R3930">
        <f>Data!L3946</f>
        <v>0</v>
      </c>
      <c r="S3930">
        <f>Data!M3946</f>
        <v>0</v>
      </c>
      <c r="T3930">
        <f>Data!N3946</f>
        <v>0</v>
      </c>
      <c r="U3930">
        <f>Data!O3946</f>
        <v>0</v>
      </c>
      <c r="V3930" s="33">
        <f>Data!P3944</f>
        <v>0</v>
      </c>
    </row>
    <row r="3931" spans="7:22" x14ac:dyDescent="0.25">
      <c r="G3931">
        <f>Data!B3943</f>
        <v>0</v>
      </c>
      <c r="H3931" s="21">
        <f>Data!B3943</f>
        <v>0</v>
      </c>
      <c r="I3931" s="21">
        <f>Data!C3943</f>
        <v>0</v>
      </c>
      <c r="J3931">
        <f>Data!D3943</f>
        <v>0</v>
      </c>
      <c r="K3931">
        <f>Data!E3943</f>
        <v>0</v>
      </c>
      <c r="L3931">
        <f>Data!F3943</f>
        <v>0</v>
      </c>
      <c r="M3931">
        <f>Data!G3943</f>
        <v>0</v>
      </c>
      <c r="N3931">
        <f>Data!H3943</f>
        <v>0</v>
      </c>
      <c r="O3931">
        <f>Data!I3943</f>
        <v>0</v>
      </c>
      <c r="P3931" s="21">
        <f>Data!J3947</f>
        <v>0</v>
      </c>
      <c r="Q3931">
        <f>Data!K3947</f>
        <v>0</v>
      </c>
      <c r="R3931">
        <f>Data!L3947</f>
        <v>0</v>
      </c>
      <c r="S3931">
        <f>Data!M3947</f>
        <v>0</v>
      </c>
      <c r="T3931">
        <f>Data!N3947</f>
        <v>0</v>
      </c>
      <c r="U3931">
        <f>Data!O3947</f>
        <v>0</v>
      </c>
      <c r="V3931" s="33">
        <f>Data!P3945</f>
        <v>0</v>
      </c>
    </row>
    <row r="3932" spans="7:22" x14ac:dyDescent="0.25">
      <c r="G3932">
        <f>Data!B3944</f>
        <v>0</v>
      </c>
      <c r="H3932" s="21">
        <f>Data!B3944</f>
        <v>0</v>
      </c>
      <c r="I3932" s="21">
        <f>Data!C3944</f>
        <v>0</v>
      </c>
      <c r="J3932">
        <f>Data!D3944</f>
        <v>0</v>
      </c>
      <c r="K3932">
        <f>Data!E3944</f>
        <v>0</v>
      </c>
      <c r="L3932">
        <f>Data!F3944</f>
        <v>0</v>
      </c>
      <c r="M3932">
        <f>Data!G3944</f>
        <v>0</v>
      </c>
      <c r="N3932">
        <f>Data!H3944</f>
        <v>0</v>
      </c>
      <c r="O3932">
        <f>Data!I3944</f>
        <v>0</v>
      </c>
      <c r="P3932" s="21">
        <f>Data!J3948</f>
        <v>0</v>
      </c>
      <c r="Q3932">
        <f>Data!K3948</f>
        <v>0</v>
      </c>
      <c r="R3932">
        <f>Data!L3948</f>
        <v>0</v>
      </c>
      <c r="S3932">
        <f>Data!M3948</f>
        <v>0</v>
      </c>
      <c r="T3932">
        <f>Data!N3948</f>
        <v>0</v>
      </c>
      <c r="U3932">
        <f>Data!O3948</f>
        <v>0</v>
      </c>
      <c r="V3932" s="33">
        <f>Data!P3946</f>
        <v>0</v>
      </c>
    </row>
    <row r="3933" spans="7:22" x14ac:dyDescent="0.25">
      <c r="G3933">
        <f>Data!B3945</f>
        <v>0</v>
      </c>
      <c r="H3933" s="21">
        <f>Data!B3945</f>
        <v>0</v>
      </c>
      <c r="I3933" s="21">
        <f>Data!C3945</f>
        <v>0</v>
      </c>
      <c r="J3933">
        <f>Data!D3945</f>
        <v>0</v>
      </c>
      <c r="K3933">
        <f>Data!E3945</f>
        <v>0</v>
      </c>
      <c r="L3933">
        <f>Data!F3945</f>
        <v>0</v>
      </c>
      <c r="M3933">
        <f>Data!G3945</f>
        <v>0</v>
      </c>
      <c r="N3933">
        <f>Data!H3945</f>
        <v>0</v>
      </c>
      <c r="O3933">
        <f>Data!I3945</f>
        <v>0</v>
      </c>
      <c r="P3933" s="21">
        <f>Data!J3949</f>
        <v>0</v>
      </c>
      <c r="Q3933">
        <f>Data!K3949</f>
        <v>0</v>
      </c>
      <c r="R3933">
        <f>Data!L3949</f>
        <v>0</v>
      </c>
      <c r="S3933">
        <f>Data!M3949</f>
        <v>0</v>
      </c>
      <c r="T3933">
        <f>Data!N3949</f>
        <v>0</v>
      </c>
      <c r="U3933">
        <f>Data!O3949</f>
        <v>0</v>
      </c>
      <c r="V3933" s="33">
        <f>Data!P3947</f>
        <v>0</v>
      </c>
    </row>
    <row r="3934" spans="7:22" x14ac:dyDescent="0.25">
      <c r="G3934">
        <f>Data!B3946</f>
        <v>0</v>
      </c>
      <c r="H3934" s="21">
        <f>Data!B3946</f>
        <v>0</v>
      </c>
      <c r="I3934" s="21">
        <f>Data!C3946</f>
        <v>0</v>
      </c>
      <c r="J3934">
        <f>Data!D3946</f>
        <v>0</v>
      </c>
      <c r="K3934">
        <f>Data!E3946</f>
        <v>0</v>
      </c>
      <c r="L3934">
        <f>Data!F3946</f>
        <v>0</v>
      </c>
      <c r="M3934">
        <f>Data!G3946</f>
        <v>0</v>
      </c>
      <c r="N3934">
        <f>Data!H3946</f>
        <v>0</v>
      </c>
      <c r="O3934">
        <f>Data!I3946</f>
        <v>0</v>
      </c>
      <c r="P3934" s="21">
        <f>Data!J3950</f>
        <v>0</v>
      </c>
      <c r="Q3934">
        <f>Data!K3950</f>
        <v>0</v>
      </c>
      <c r="R3934">
        <f>Data!L3950</f>
        <v>0</v>
      </c>
      <c r="S3934">
        <f>Data!M3950</f>
        <v>0</v>
      </c>
      <c r="T3934">
        <f>Data!N3950</f>
        <v>0</v>
      </c>
      <c r="U3934">
        <f>Data!O3950</f>
        <v>0</v>
      </c>
      <c r="V3934" s="33">
        <f>Data!P3948</f>
        <v>0</v>
      </c>
    </row>
    <row r="3935" spans="7:22" x14ac:dyDescent="0.25">
      <c r="G3935">
        <f>Data!B3947</f>
        <v>0</v>
      </c>
      <c r="H3935" s="21">
        <f>Data!B3947</f>
        <v>0</v>
      </c>
      <c r="I3935" s="21">
        <f>Data!C3947</f>
        <v>0</v>
      </c>
      <c r="J3935">
        <f>Data!D3947</f>
        <v>0</v>
      </c>
      <c r="K3935">
        <f>Data!E3947</f>
        <v>0</v>
      </c>
      <c r="L3935">
        <f>Data!F3947</f>
        <v>0</v>
      </c>
      <c r="M3935">
        <f>Data!G3947</f>
        <v>0</v>
      </c>
      <c r="N3935">
        <f>Data!H3947</f>
        <v>0</v>
      </c>
      <c r="O3935">
        <f>Data!I3947</f>
        <v>0</v>
      </c>
      <c r="P3935" s="21">
        <f>Data!J3951</f>
        <v>0</v>
      </c>
      <c r="Q3935">
        <f>Data!K3951</f>
        <v>0</v>
      </c>
      <c r="R3935">
        <f>Data!L3951</f>
        <v>0</v>
      </c>
      <c r="S3935">
        <f>Data!M3951</f>
        <v>0</v>
      </c>
      <c r="T3935">
        <f>Data!N3951</f>
        <v>0</v>
      </c>
      <c r="U3935">
        <f>Data!O3951</f>
        <v>0</v>
      </c>
      <c r="V3935" s="33">
        <f>Data!P3949</f>
        <v>0</v>
      </c>
    </row>
    <row r="3936" spans="7:22" x14ac:dyDescent="0.25">
      <c r="G3936">
        <f>Data!B3948</f>
        <v>0</v>
      </c>
      <c r="H3936" s="21">
        <f>Data!B3948</f>
        <v>0</v>
      </c>
      <c r="I3936" s="21">
        <f>Data!C3948</f>
        <v>0</v>
      </c>
      <c r="J3936">
        <f>Data!D3948</f>
        <v>0</v>
      </c>
      <c r="K3936">
        <f>Data!E3948</f>
        <v>0</v>
      </c>
      <c r="L3936">
        <f>Data!F3948</f>
        <v>0</v>
      </c>
      <c r="M3936">
        <f>Data!G3948</f>
        <v>0</v>
      </c>
      <c r="N3936">
        <f>Data!H3948</f>
        <v>0</v>
      </c>
      <c r="O3936">
        <f>Data!I3948</f>
        <v>0</v>
      </c>
      <c r="P3936" s="21">
        <f>Data!J3952</f>
        <v>0</v>
      </c>
      <c r="Q3936">
        <f>Data!K3952</f>
        <v>0</v>
      </c>
      <c r="R3936">
        <f>Data!L3952</f>
        <v>0</v>
      </c>
      <c r="S3936">
        <f>Data!M3952</f>
        <v>0</v>
      </c>
      <c r="T3936">
        <f>Data!N3952</f>
        <v>0</v>
      </c>
      <c r="U3936">
        <f>Data!O3952</f>
        <v>0</v>
      </c>
      <c r="V3936" s="33">
        <f>Data!P3950</f>
        <v>0</v>
      </c>
    </row>
    <row r="3937" spans="7:22" x14ac:dyDescent="0.25">
      <c r="G3937">
        <f>Data!B3949</f>
        <v>0</v>
      </c>
      <c r="H3937" s="21">
        <f>Data!B3949</f>
        <v>0</v>
      </c>
      <c r="I3937" s="21">
        <f>Data!C3949</f>
        <v>0</v>
      </c>
      <c r="J3937">
        <f>Data!D3949</f>
        <v>0</v>
      </c>
      <c r="K3937">
        <f>Data!E3949</f>
        <v>0</v>
      </c>
      <c r="L3937">
        <f>Data!F3949</f>
        <v>0</v>
      </c>
      <c r="M3937">
        <f>Data!G3949</f>
        <v>0</v>
      </c>
      <c r="N3937">
        <f>Data!H3949</f>
        <v>0</v>
      </c>
      <c r="O3937">
        <f>Data!I3949</f>
        <v>0</v>
      </c>
      <c r="P3937" s="21">
        <f>Data!J3953</f>
        <v>0</v>
      </c>
      <c r="Q3937">
        <f>Data!K3953</f>
        <v>0</v>
      </c>
      <c r="R3937">
        <f>Data!L3953</f>
        <v>0</v>
      </c>
      <c r="S3937">
        <f>Data!M3953</f>
        <v>0</v>
      </c>
      <c r="T3937">
        <f>Data!N3953</f>
        <v>0</v>
      </c>
      <c r="U3937">
        <f>Data!O3953</f>
        <v>0</v>
      </c>
      <c r="V3937" s="33">
        <f>Data!P3951</f>
        <v>0</v>
      </c>
    </row>
    <row r="3938" spans="7:22" x14ac:dyDescent="0.25">
      <c r="G3938">
        <f>Data!B3950</f>
        <v>0</v>
      </c>
      <c r="H3938" s="21">
        <f>Data!B3950</f>
        <v>0</v>
      </c>
      <c r="I3938" s="21">
        <f>Data!C3950</f>
        <v>0</v>
      </c>
      <c r="J3938">
        <f>Data!D3950</f>
        <v>0</v>
      </c>
      <c r="K3938">
        <f>Data!E3950</f>
        <v>0</v>
      </c>
      <c r="L3938">
        <f>Data!F3950</f>
        <v>0</v>
      </c>
      <c r="M3938">
        <f>Data!G3950</f>
        <v>0</v>
      </c>
      <c r="N3938">
        <f>Data!H3950</f>
        <v>0</v>
      </c>
      <c r="O3938">
        <f>Data!I3950</f>
        <v>0</v>
      </c>
      <c r="P3938" s="21">
        <f>Data!J3954</f>
        <v>0</v>
      </c>
      <c r="Q3938">
        <f>Data!K3954</f>
        <v>0</v>
      </c>
      <c r="R3938">
        <f>Data!L3954</f>
        <v>0</v>
      </c>
      <c r="S3938">
        <f>Data!M3954</f>
        <v>0</v>
      </c>
      <c r="T3938">
        <f>Data!N3954</f>
        <v>0</v>
      </c>
      <c r="U3938">
        <f>Data!O3954</f>
        <v>0</v>
      </c>
      <c r="V3938" s="33">
        <f>Data!P3952</f>
        <v>0</v>
      </c>
    </row>
    <row r="3939" spans="7:22" x14ac:dyDescent="0.25">
      <c r="G3939">
        <f>Data!B3951</f>
        <v>0</v>
      </c>
      <c r="H3939" s="21">
        <f>Data!B3951</f>
        <v>0</v>
      </c>
      <c r="I3939" s="21">
        <f>Data!C3951</f>
        <v>0</v>
      </c>
      <c r="J3939">
        <f>Data!D3951</f>
        <v>0</v>
      </c>
      <c r="K3939">
        <f>Data!E3951</f>
        <v>0</v>
      </c>
      <c r="L3939">
        <f>Data!F3951</f>
        <v>0</v>
      </c>
      <c r="M3939">
        <f>Data!G3951</f>
        <v>0</v>
      </c>
      <c r="N3939">
        <f>Data!H3951</f>
        <v>0</v>
      </c>
      <c r="O3939">
        <f>Data!I3951</f>
        <v>0</v>
      </c>
      <c r="P3939" s="21">
        <f>Data!J3955</f>
        <v>0</v>
      </c>
      <c r="Q3939">
        <f>Data!K3955</f>
        <v>0</v>
      </c>
      <c r="R3939">
        <f>Data!L3955</f>
        <v>0</v>
      </c>
      <c r="S3939">
        <f>Data!M3955</f>
        <v>0</v>
      </c>
      <c r="T3939">
        <f>Data!N3955</f>
        <v>0</v>
      </c>
      <c r="U3939">
        <f>Data!O3955</f>
        <v>0</v>
      </c>
      <c r="V3939" s="33">
        <f>Data!P3953</f>
        <v>0</v>
      </c>
    </row>
    <row r="3940" spans="7:22" x14ac:dyDescent="0.25">
      <c r="G3940">
        <f>Data!B3952</f>
        <v>0</v>
      </c>
      <c r="H3940" s="21">
        <f>Data!B3952</f>
        <v>0</v>
      </c>
      <c r="I3940" s="21">
        <f>Data!C3952</f>
        <v>0</v>
      </c>
      <c r="J3940">
        <f>Data!D3952</f>
        <v>0</v>
      </c>
      <c r="K3940">
        <f>Data!E3952</f>
        <v>0</v>
      </c>
      <c r="L3940">
        <f>Data!F3952</f>
        <v>0</v>
      </c>
      <c r="M3940">
        <f>Data!G3952</f>
        <v>0</v>
      </c>
      <c r="N3940">
        <f>Data!H3952</f>
        <v>0</v>
      </c>
      <c r="O3940">
        <f>Data!I3952</f>
        <v>0</v>
      </c>
      <c r="P3940" s="21">
        <f>Data!J3956</f>
        <v>0</v>
      </c>
      <c r="Q3940">
        <f>Data!K3956</f>
        <v>0</v>
      </c>
      <c r="R3940">
        <f>Data!L3956</f>
        <v>0</v>
      </c>
      <c r="S3940">
        <f>Data!M3956</f>
        <v>0</v>
      </c>
      <c r="T3940">
        <f>Data!N3956</f>
        <v>0</v>
      </c>
      <c r="U3940">
        <f>Data!O3956</f>
        <v>0</v>
      </c>
      <c r="V3940" s="33">
        <f>Data!P3954</f>
        <v>0</v>
      </c>
    </row>
    <row r="3941" spans="7:22" x14ac:dyDescent="0.25">
      <c r="G3941">
        <f>Data!B3953</f>
        <v>0</v>
      </c>
      <c r="H3941" s="21">
        <f>Data!B3953</f>
        <v>0</v>
      </c>
      <c r="I3941" s="21">
        <f>Data!C3953</f>
        <v>0</v>
      </c>
      <c r="J3941">
        <f>Data!D3953</f>
        <v>0</v>
      </c>
      <c r="K3941">
        <f>Data!E3953</f>
        <v>0</v>
      </c>
      <c r="L3941">
        <f>Data!F3953</f>
        <v>0</v>
      </c>
      <c r="M3941">
        <f>Data!G3953</f>
        <v>0</v>
      </c>
      <c r="N3941">
        <f>Data!H3953</f>
        <v>0</v>
      </c>
      <c r="O3941">
        <f>Data!I3953</f>
        <v>0</v>
      </c>
      <c r="P3941" s="21">
        <f>Data!J3957</f>
        <v>0</v>
      </c>
      <c r="Q3941">
        <f>Data!K3957</f>
        <v>0</v>
      </c>
      <c r="R3941">
        <f>Data!L3957</f>
        <v>0</v>
      </c>
      <c r="S3941">
        <f>Data!M3957</f>
        <v>0</v>
      </c>
      <c r="T3941">
        <f>Data!N3957</f>
        <v>0</v>
      </c>
      <c r="U3941">
        <f>Data!O3957</f>
        <v>0</v>
      </c>
      <c r="V3941" s="33">
        <f>Data!P3955</f>
        <v>0</v>
      </c>
    </row>
    <row r="3942" spans="7:22" x14ac:dyDescent="0.25">
      <c r="G3942">
        <f>Data!B3954</f>
        <v>0</v>
      </c>
      <c r="H3942" s="21">
        <f>Data!B3954</f>
        <v>0</v>
      </c>
      <c r="I3942" s="21">
        <f>Data!C3954</f>
        <v>0</v>
      </c>
      <c r="J3942">
        <f>Data!D3954</f>
        <v>0</v>
      </c>
      <c r="K3942">
        <f>Data!E3954</f>
        <v>0</v>
      </c>
      <c r="L3942">
        <f>Data!F3954</f>
        <v>0</v>
      </c>
      <c r="M3942">
        <f>Data!G3954</f>
        <v>0</v>
      </c>
      <c r="N3942">
        <f>Data!H3954</f>
        <v>0</v>
      </c>
      <c r="O3942">
        <f>Data!I3954</f>
        <v>0</v>
      </c>
      <c r="P3942" s="21">
        <f>Data!J3958</f>
        <v>0</v>
      </c>
      <c r="Q3942">
        <f>Data!K3958</f>
        <v>0</v>
      </c>
      <c r="R3942">
        <f>Data!L3958</f>
        <v>0</v>
      </c>
      <c r="S3942">
        <f>Data!M3958</f>
        <v>0</v>
      </c>
      <c r="T3942">
        <f>Data!N3958</f>
        <v>0</v>
      </c>
      <c r="U3942">
        <f>Data!O3958</f>
        <v>0</v>
      </c>
      <c r="V3942" s="33">
        <f>Data!P3956</f>
        <v>0</v>
      </c>
    </row>
    <row r="3943" spans="7:22" x14ac:dyDescent="0.25">
      <c r="G3943">
        <f>Data!B3955</f>
        <v>0</v>
      </c>
      <c r="H3943" s="21">
        <f>Data!B3955</f>
        <v>0</v>
      </c>
      <c r="I3943" s="21">
        <f>Data!C3955</f>
        <v>0</v>
      </c>
      <c r="J3943">
        <f>Data!D3955</f>
        <v>0</v>
      </c>
      <c r="K3943">
        <f>Data!E3955</f>
        <v>0</v>
      </c>
      <c r="L3943">
        <f>Data!F3955</f>
        <v>0</v>
      </c>
      <c r="M3943">
        <f>Data!G3955</f>
        <v>0</v>
      </c>
      <c r="N3943">
        <f>Data!H3955</f>
        <v>0</v>
      </c>
      <c r="O3943">
        <f>Data!I3955</f>
        <v>0</v>
      </c>
      <c r="P3943" s="21">
        <f>Data!J3959</f>
        <v>0</v>
      </c>
      <c r="Q3943">
        <f>Data!K3959</f>
        <v>0</v>
      </c>
      <c r="R3943">
        <f>Data!L3959</f>
        <v>0</v>
      </c>
      <c r="S3943">
        <f>Data!M3959</f>
        <v>0</v>
      </c>
      <c r="T3943">
        <f>Data!N3959</f>
        <v>0</v>
      </c>
      <c r="U3943">
        <f>Data!O3959</f>
        <v>0</v>
      </c>
      <c r="V3943" s="33">
        <f>Data!P3957</f>
        <v>0</v>
      </c>
    </row>
    <row r="3944" spans="7:22" x14ac:dyDescent="0.25">
      <c r="G3944">
        <f>Data!B3956</f>
        <v>0</v>
      </c>
      <c r="H3944" s="21">
        <f>Data!B3956</f>
        <v>0</v>
      </c>
      <c r="I3944" s="21">
        <f>Data!C3956</f>
        <v>0</v>
      </c>
      <c r="J3944">
        <f>Data!D3956</f>
        <v>0</v>
      </c>
      <c r="K3944">
        <f>Data!E3956</f>
        <v>0</v>
      </c>
      <c r="L3944">
        <f>Data!F3956</f>
        <v>0</v>
      </c>
      <c r="M3944">
        <f>Data!G3956</f>
        <v>0</v>
      </c>
      <c r="N3944">
        <f>Data!H3956</f>
        <v>0</v>
      </c>
      <c r="O3944">
        <f>Data!I3956</f>
        <v>0</v>
      </c>
      <c r="P3944" s="21">
        <f>Data!J3960</f>
        <v>0</v>
      </c>
      <c r="Q3944">
        <f>Data!K3960</f>
        <v>0</v>
      </c>
      <c r="R3944">
        <f>Data!L3960</f>
        <v>0</v>
      </c>
      <c r="S3944">
        <f>Data!M3960</f>
        <v>0</v>
      </c>
      <c r="T3944">
        <f>Data!N3960</f>
        <v>0</v>
      </c>
      <c r="U3944">
        <f>Data!O3960</f>
        <v>0</v>
      </c>
      <c r="V3944" s="33">
        <f>Data!P3958</f>
        <v>0</v>
      </c>
    </row>
    <row r="3945" spans="7:22" x14ac:dyDescent="0.25">
      <c r="G3945">
        <f>Data!B3957</f>
        <v>0</v>
      </c>
      <c r="H3945" s="21">
        <f>Data!B3957</f>
        <v>0</v>
      </c>
      <c r="I3945" s="21">
        <f>Data!C3957</f>
        <v>0</v>
      </c>
      <c r="J3945">
        <f>Data!D3957</f>
        <v>0</v>
      </c>
      <c r="K3945">
        <f>Data!E3957</f>
        <v>0</v>
      </c>
      <c r="L3945">
        <f>Data!F3957</f>
        <v>0</v>
      </c>
      <c r="M3945">
        <f>Data!G3957</f>
        <v>0</v>
      </c>
      <c r="N3945">
        <f>Data!H3957</f>
        <v>0</v>
      </c>
      <c r="O3945">
        <f>Data!I3957</f>
        <v>0</v>
      </c>
      <c r="P3945" s="21">
        <f>Data!J3961</f>
        <v>0</v>
      </c>
      <c r="Q3945">
        <f>Data!K3961</f>
        <v>0</v>
      </c>
      <c r="R3945">
        <f>Data!L3961</f>
        <v>0</v>
      </c>
      <c r="S3945">
        <f>Data!M3961</f>
        <v>0</v>
      </c>
      <c r="T3945">
        <f>Data!N3961</f>
        <v>0</v>
      </c>
      <c r="U3945">
        <f>Data!O3961</f>
        <v>0</v>
      </c>
      <c r="V3945" s="33">
        <f>Data!P3959</f>
        <v>0</v>
      </c>
    </row>
    <row r="3946" spans="7:22" x14ac:dyDescent="0.25">
      <c r="G3946">
        <f>Data!B3958</f>
        <v>0</v>
      </c>
      <c r="H3946" s="21">
        <f>Data!B3958</f>
        <v>0</v>
      </c>
      <c r="I3946" s="21">
        <f>Data!C3958</f>
        <v>0</v>
      </c>
      <c r="J3946">
        <f>Data!D3958</f>
        <v>0</v>
      </c>
      <c r="K3946">
        <f>Data!E3958</f>
        <v>0</v>
      </c>
      <c r="L3946">
        <f>Data!F3958</f>
        <v>0</v>
      </c>
      <c r="M3946">
        <f>Data!G3958</f>
        <v>0</v>
      </c>
      <c r="N3946">
        <f>Data!H3958</f>
        <v>0</v>
      </c>
      <c r="O3946">
        <f>Data!I3958</f>
        <v>0</v>
      </c>
      <c r="P3946" s="21">
        <f>Data!J3962</f>
        <v>0</v>
      </c>
      <c r="Q3946">
        <f>Data!K3962</f>
        <v>0</v>
      </c>
      <c r="R3946">
        <f>Data!L3962</f>
        <v>0</v>
      </c>
      <c r="S3946">
        <f>Data!M3962</f>
        <v>0</v>
      </c>
      <c r="T3946">
        <f>Data!N3962</f>
        <v>0</v>
      </c>
      <c r="U3946">
        <f>Data!O3962</f>
        <v>0</v>
      </c>
      <c r="V3946" s="33">
        <f>Data!P3960</f>
        <v>0</v>
      </c>
    </row>
    <row r="3947" spans="7:22" x14ac:dyDescent="0.25">
      <c r="G3947">
        <f>Data!B3959</f>
        <v>0</v>
      </c>
      <c r="H3947" s="21">
        <f>Data!B3959</f>
        <v>0</v>
      </c>
      <c r="I3947" s="21">
        <f>Data!C3959</f>
        <v>0</v>
      </c>
      <c r="J3947">
        <f>Data!D3959</f>
        <v>0</v>
      </c>
      <c r="K3947">
        <f>Data!E3959</f>
        <v>0</v>
      </c>
      <c r="L3947">
        <f>Data!F3959</f>
        <v>0</v>
      </c>
      <c r="M3947">
        <f>Data!G3959</f>
        <v>0</v>
      </c>
      <c r="N3947">
        <f>Data!H3959</f>
        <v>0</v>
      </c>
      <c r="O3947">
        <f>Data!I3959</f>
        <v>0</v>
      </c>
      <c r="P3947" s="21">
        <f>Data!J3963</f>
        <v>0</v>
      </c>
      <c r="Q3947">
        <f>Data!K3963</f>
        <v>0</v>
      </c>
      <c r="R3947">
        <f>Data!L3963</f>
        <v>0</v>
      </c>
      <c r="S3947">
        <f>Data!M3963</f>
        <v>0</v>
      </c>
      <c r="T3947">
        <f>Data!N3963</f>
        <v>0</v>
      </c>
      <c r="U3947">
        <f>Data!O3963</f>
        <v>0</v>
      </c>
      <c r="V3947" s="33">
        <f>Data!P3961</f>
        <v>0</v>
      </c>
    </row>
    <row r="3948" spans="7:22" x14ac:dyDescent="0.25">
      <c r="G3948">
        <f>Data!B3960</f>
        <v>0</v>
      </c>
      <c r="H3948" s="21">
        <f>Data!B3960</f>
        <v>0</v>
      </c>
      <c r="I3948" s="21">
        <f>Data!C3960</f>
        <v>0</v>
      </c>
      <c r="J3948">
        <f>Data!D3960</f>
        <v>0</v>
      </c>
      <c r="K3948">
        <f>Data!E3960</f>
        <v>0</v>
      </c>
      <c r="L3948">
        <f>Data!F3960</f>
        <v>0</v>
      </c>
      <c r="M3948">
        <f>Data!G3960</f>
        <v>0</v>
      </c>
      <c r="N3948">
        <f>Data!H3960</f>
        <v>0</v>
      </c>
      <c r="O3948">
        <f>Data!I3960</f>
        <v>0</v>
      </c>
      <c r="P3948" s="21">
        <f>Data!J3964</f>
        <v>0</v>
      </c>
      <c r="Q3948">
        <f>Data!K3964</f>
        <v>0</v>
      </c>
      <c r="R3948">
        <f>Data!L3964</f>
        <v>0</v>
      </c>
      <c r="S3948">
        <f>Data!M3964</f>
        <v>0</v>
      </c>
      <c r="T3948">
        <f>Data!N3964</f>
        <v>0</v>
      </c>
      <c r="U3948">
        <f>Data!O3964</f>
        <v>0</v>
      </c>
      <c r="V3948" s="33">
        <f>Data!P3962</f>
        <v>0</v>
      </c>
    </row>
    <row r="3949" spans="7:22" x14ac:dyDescent="0.25">
      <c r="G3949">
        <f>Data!B3961</f>
        <v>0</v>
      </c>
      <c r="H3949" s="21">
        <f>Data!B3961</f>
        <v>0</v>
      </c>
      <c r="I3949" s="21">
        <f>Data!C3961</f>
        <v>0</v>
      </c>
      <c r="J3949">
        <f>Data!D3961</f>
        <v>0</v>
      </c>
      <c r="K3949">
        <f>Data!E3961</f>
        <v>0</v>
      </c>
      <c r="L3949">
        <f>Data!F3961</f>
        <v>0</v>
      </c>
      <c r="M3949">
        <f>Data!G3961</f>
        <v>0</v>
      </c>
      <c r="N3949">
        <f>Data!H3961</f>
        <v>0</v>
      </c>
      <c r="O3949">
        <f>Data!I3961</f>
        <v>0</v>
      </c>
      <c r="P3949" s="21">
        <f>Data!J3965</f>
        <v>0</v>
      </c>
      <c r="Q3949">
        <f>Data!K3965</f>
        <v>0</v>
      </c>
      <c r="R3949">
        <f>Data!L3965</f>
        <v>0</v>
      </c>
      <c r="S3949">
        <f>Data!M3965</f>
        <v>0</v>
      </c>
      <c r="T3949">
        <f>Data!N3965</f>
        <v>0</v>
      </c>
      <c r="U3949">
        <f>Data!O3965</f>
        <v>0</v>
      </c>
      <c r="V3949" s="33">
        <f>Data!P3963</f>
        <v>0</v>
      </c>
    </row>
    <row r="3950" spans="7:22" x14ac:dyDescent="0.25">
      <c r="G3950">
        <f>Data!B3962</f>
        <v>0</v>
      </c>
      <c r="H3950" s="21">
        <f>Data!B3962</f>
        <v>0</v>
      </c>
      <c r="I3950" s="21">
        <f>Data!C3962</f>
        <v>0</v>
      </c>
      <c r="J3950">
        <f>Data!D3962</f>
        <v>0</v>
      </c>
      <c r="K3950">
        <f>Data!E3962</f>
        <v>0</v>
      </c>
      <c r="L3950">
        <f>Data!F3962</f>
        <v>0</v>
      </c>
      <c r="M3950">
        <f>Data!G3962</f>
        <v>0</v>
      </c>
      <c r="N3950">
        <f>Data!H3962</f>
        <v>0</v>
      </c>
      <c r="O3950">
        <f>Data!I3962</f>
        <v>0</v>
      </c>
      <c r="P3950" s="21">
        <f>Data!J3966</f>
        <v>0</v>
      </c>
      <c r="Q3950">
        <f>Data!K3966</f>
        <v>0</v>
      </c>
      <c r="R3950">
        <f>Data!L3966</f>
        <v>0</v>
      </c>
      <c r="S3950">
        <f>Data!M3966</f>
        <v>0</v>
      </c>
      <c r="T3950">
        <f>Data!N3966</f>
        <v>0</v>
      </c>
      <c r="U3950">
        <f>Data!O3966</f>
        <v>0</v>
      </c>
      <c r="V3950" s="33">
        <f>Data!P3964</f>
        <v>0</v>
      </c>
    </row>
    <row r="3951" spans="7:22" x14ac:dyDescent="0.25">
      <c r="G3951">
        <f>Data!B3963</f>
        <v>0</v>
      </c>
      <c r="H3951" s="21">
        <f>Data!B3963</f>
        <v>0</v>
      </c>
      <c r="I3951" s="21">
        <f>Data!C3963</f>
        <v>0</v>
      </c>
      <c r="J3951">
        <f>Data!D3963</f>
        <v>0</v>
      </c>
      <c r="K3951">
        <f>Data!E3963</f>
        <v>0</v>
      </c>
      <c r="L3951">
        <f>Data!F3963</f>
        <v>0</v>
      </c>
      <c r="M3951">
        <f>Data!G3963</f>
        <v>0</v>
      </c>
      <c r="N3951">
        <f>Data!H3963</f>
        <v>0</v>
      </c>
      <c r="O3951">
        <f>Data!I3963</f>
        <v>0</v>
      </c>
      <c r="P3951" s="21">
        <f>Data!J3967</f>
        <v>0</v>
      </c>
      <c r="Q3951">
        <f>Data!K3967</f>
        <v>0</v>
      </c>
      <c r="R3951">
        <f>Data!L3967</f>
        <v>0</v>
      </c>
      <c r="S3951">
        <f>Data!M3967</f>
        <v>0</v>
      </c>
      <c r="T3951">
        <f>Data!N3967</f>
        <v>0</v>
      </c>
      <c r="U3951">
        <f>Data!O3967</f>
        <v>0</v>
      </c>
      <c r="V3951" s="33">
        <f>Data!P3965</f>
        <v>0</v>
      </c>
    </row>
    <row r="3952" spans="7:22" x14ac:dyDescent="0.25">
      <c r="G3952">
        <f>Data!B3964</f>
        <v>0</v>
      </c>
      <c r="H3952" s="21">
        <f>Data!B3964</f>
        <v>0</v>
      </c>
      <c r="I3952" s="21">
        <f>Data!C3964</f>
        <v>0</v>
      </c>
      <c r="J3952">
        <f>Data!D3964</f>
        <v>0</v>
      </c>
      <c r="K3952">
        <f>Data!E3964</f>
        <v>0</v>
      </c>
      <c r="L3952">
        <f>Data!F3964</f>
        <v>0</v>
      </c>
      <c r="M3952">
        <f>Data!G3964</f>
        <v>0</v>
      </c>
      <c r="N3952">
        <f>Data!H3964</f>
        <v>0</v>
      </c>
      <c r="O3952">
        <f>Data!I3964</f>
        <v>0</v>
      </c>
      <c r="P3952" s="21">
        <f>Data!J3968</f>
        <v>0</v>
      </c>
      <c r="Q3952">
        <f>Data!K3968</f>
        <v>0</v>
      </c>
      <c r="R3952">
        <f>Data!L3968</f>
        <v>0</v>
      </c>
      <c r="S3952">
        <f>Data!M3968</f>
        <v>0</v>
      </c>
      <c r="T3952">
        <f>Data!N3968</f>
        <v>0</v>
      </c>
      <c r="U3952">
        <f>Data!O3968</f>
        <v>0</v>
      </c>
      <c r="V3952" s="33">
        <f>Data!P3966</f>
        <v>0</v>
      </c>
    </row>
    <row r="3953" spans="7:22" x14ac:dyDescent="0.25">
      <c r="G3953">
        <f>Data!B3965</f>
        <v>0</v>
      </c>
      <c r="H3953" s="21">
        <f>Data!B3965</f>
        <v>0</v>
      </c>
      <c r="I3953" s="21">
        <f>Data!C3965</f>
        <v>0</v>
      </c>
      <c r="J3953">
        <f>Data!D3965</f>
        <v>0</v>
      </c>
      <c r="K3953">
        <f>Data!E3965</f>
        <v>0</v>
      </c>
      <c r="L3953">
        <f>Data!F3965</f>
        <v>0</v>
      </c>
      <c r="M3953">
        <f>Data!G3965</f>
        <v>0</v>
      </c>
      <c r="N3953">
        <f>Data!H3965</f>
        <v>0</v>
      </c>
      <c r="O3953">
        <f>Data!I3965</f>
        <v>0</v>
      </c>
      <c r="P3953" s="21">
        <f>Data!J3969</f>
        <v>0</v>
      </c>
      <c r="Q3953">
        <f>Data!K3969</f>
        <v>0</v>
      </c>
      <c r="R3953">
        <f>Data!L3969</f>
        <v>0</v>
      </c>
      <c r="S3953">
        <f>Data!M3969</f>
        <v>0</v>
      </c>
      <c r="T3953">
        <f>Data!N3969</f>
        <v>0</v>
      </c>
      <c r="U3953">
        <f>Data!O3969</f>
        <v>0</v>
      </c>
      <c r="V3953" s="33">
        <f>Data!P3967</f>
        <v>0</v>
      </c>
    </row>
    <row r="3954" spans="7:22" x14ac:dyDescent="0.25">
      <c r="G3954">
        <f>Data!B3966</f>
        <v>0</v>
      </c>
      <c r="H3954" s="21">
        <f>Data!B3966</f>
        <v>0</v>
      </c>
      <c r="I3954" s="21">
        <f>Data!C3966</f>
        <v>0</v>
      </c>
      <c r="J3954">
        <f>Data!D3966</f>
        <v>0</v>
      </c>
      <c r="K3954">
        <f>Data!E3966</f>
        <v>0</v>
      </c>
      <c r="L3954">
        <f>Data!F3966</f>
        <v>0</v>
      </c>
      <c r="M3954">
        <f>Data!G3966</f>
        <v>0</v>
      </c>
      <c r="N3954">
        <f>Data!H3966</f>
        <v>0</v>
      </c>
      <c r="O3954">
        <f>Data!I3966</f>
        <v>0</v>
      </c>
      <c r="P3954" s="21">
        <f>Data!J3970</f>
        <v>0</v>
      </c>
      <c r="Q3954">
        <f>Data!K3970</f>
        <v>0</v>
      </c>
      <c r="R3954">
        <f>Data!L3970</f>
        <v>0</v>
      </c>
      <c r="S3954">
        <f>Data!M3970</f>
        <v>0</v>
      </c>
      <c r="T3954">
        <f>Data!N3970</f>
        <v>0</v>
      </c>
      <c r="U3954">
        <f>Data!O3970</f>
        <v>0</v>
      </c>
      <c r="V3954" s="33">
        <f>Data!P3968</f>
        <v>0</v>
      </c>
    </row>
    <row r="3955" spans="7:22" x14ac:dyDescent="0.25">
      <c r="G3955">
        <f>Data!B3967</f>
        <v>0</v>
      </c>
      <c r="H3955" s="21">
        <f>Data!B3967</f>
        <v>0</v>
      </c>
      <c r="I3955" s="21">
        <f>Data!C3967</f>
        <v>0</v>
      </c>
      <c r="J3955">
        <f>Data!D3967</f>
        <v>0</v>
      </c>
      <c r="K3955">
        <f>Data!E3967</f>
        <v>0</v>
      </c>
      <c r="L3955">
        <f>Data!F3967</f>
        <v>0</v>
      </c>
      <c r="M3955">
        <f>Data!G3967</f>
        <v>0</v>
      </c>
      <c r="N3955">
        <f>Data!H3967</f>
        <v>0</v>
      </c>
      <c r="O3955">
        <f>Data!I3967</f>
        <v>0</v>
      </c>
      <c r="P3955" s="21">
        <f>Data!J3971</f>
        <v>0</v>
      </c>
      <c r="Q3955">
        <f>Data!K3971</f>
        <v>0</v>
      </c>
      <c r="R3955">
        <f>Data!L3971</f>
        <v>0</v>
      </c>
      <c r="S3955">
        <f>Data!M3971</f>
        <v>0</v>
      </c>
      <c r="T3955">
        <f>Data!N3971</f>
        <v>0</v>
      </c>
      <c r="U3955">
        <f>Data!O3971</f>
        <v>0</v>
      </c>
      <c r="V3955" s="33">
        <f>Data!P3969</f>
        <v>0</v>
      </c>
    </row>
    <row r="3956" spans="7:22" x14ac:dyDescent="0.25">
      <c r="G3956">
        <f>Data!B3968</f>
        <v>0</v>
      </c>
      <c r="H3956" s="21">
        <f>Data!B3968</f>
        <v>0</v>
      </c>
      <c r="I3956" s="21">
        <f>Data!C3968</f>
        <v>0</v>
      </c>
      <c r="J3956">
        <f>Data!D3968</f>
        <v>0</v>
      </c>
      <c r="K3956">
        <f>Data!E3968</f>
        <v>0</v>
      </c>
      <c r="L3956">
        <f>Data!F3968</f>
        <v>0</v>
      </c>
      <c r="M3956">
        <f>Data!G3968</f>
        <v>0</v>
      </c>
      <c r="N3956">
        <f>Data!H3968</f>
        <v>0</v>
      </c>
      <c r="O3956">
        <f>Data!I3968</f>
        <v>0</v>
      </c>
      <c r="P3956" s="21">
        <f>Data!J3972</f>
        <v>0</v>
      </c>
      <c r="Q3956">
        <f>Data!K3972</f>
        <v>0</v>
      </c>
      <c r="R3956">
        <f>Data!L3972</f>
        <v>0</v>
      </c>
      <c r="S3956">
        <f>Data!M3972</f>
        <v>0</v>
      </c>
      <c r="T3956">
        <f>Data!N3972</f>
        <v>0</v>
      </c>
      <c r="U3956">
        <f>Data!O3972</f>
        <v>0</v>
      </c>
      <c r="V3956" s="33">
        <f>Data!P3970</f>
        <v>0</v>
      </c>
    </row>
    <row r="3957" spans="7:22" x14ac:dyDescent="0.25">
      <c r="G3957">
        <f>Data!B3969</f>
        <v>0</v>
      </c>
      <c r="H3957" s="21">
        <f>Data!B3969</f>
        <v>0</v>
      </c>
      <c r="I3957" s="21">
        <f>Data!C3969</f>
        <v>0</v>
      </c>
      <c r="J3957">
        <f>Data!D3969</f>
        <v>0</v>
      </c>
      <c r="K3957">
        <f>Data!E3969</f>
        <v>0</v>
      </c>
      <c r="L3957">
        <f>Data!F3969</f>
        <v>0</v>
      </c>
      <c r="M3957">
        <f>Data!G3969</f>
        <v>0</v>
      </c>
      <c r="N3957">
        <f>Data!H3969</f>
        <v>0</v>
      </c>
      <c r="O3957">
        <f>Data!I3969</f>
        <v>0</v>
      </c>
      <c r="P3957" s="21">
        <f>Data!J3973</f>
        <v>0</v>
      </c>
      <c r="Q3957">
        <f>Data!K3973</f>
        <v>0</v>
      </c>
      <c r="R3957">
        <f>Data!L3973</f>
        <v>0</v>
      </c>
      <c r="S3957">
        <f>Data!M3973</f>
        <v>0</v>
      </c>
      <c r="T3957">
        <f>Data!N3973</f>
        <v>0</v>
      </c>
      <c r="U3957">
        <f>Data!O3973</f>
        <v>0</v>
      </c>
      <c r="V3957" s="33">
        <f>Data!P3971</f>
        <v>0</v>
      </c>
    </row>
    <row r="3958" spans="7:22" x14ac:dyDescent="0.25">
      <c r="G3958">
        <f>Data!B3970</f>
        <v>0</v>
      </c>
      <c r="H3958" s="21">
        <f>Data!B3970</f>
        <v>0</v>
      </c>
      <c r="I3958" s="21">
        <f>Data!C3970</f>
        <v>0</v>
      </c>
      <c r="J3958">
        <f>Data!D3970</f>
        <v>0</v>
      </c>
      <c r="K3958">
        <f>Data!E3970</f>
        <v>0</v>
      </c>
      <c r="L3958">
        <f>Data!F3970</f>
        <v>0</v>
      </c>
      <c r="M3958">
        <f>Data!G3970</f>
        <v>0</v>
      </c>
      <c r="N3958">
        <f>Data!H3970</f>
        <v>0</v>
      </c>
      <c r="O3958">
        <f>Data!I3970</f>
        <v>0</v>
      </c>
      <c r="P3958" s="21">
        <f>Data!J3974</f>
        <v>0</v>
      </c>
      <c r="Q3958">
        <f>Data!K3974</f>
        <v>0</v>
      </c>
      <c r="R3958">
        <f>Data!L3974</f>
        <v>0</v>
      </c>
      <c r="S3958">
        <f>Data!M3974</f>
        <v>0</v>
      </c>
      <c r="T3958">
        <f>Data!N3974</f>
        <v>0</v>
      </c>
      <c r="U3958">
        <f>Data!O3974</f>
        <v>0</v>
      </c>
      <c r="V3958" s="33">
        <f>Data!P3972</f>
        <v>0</v>
      </c>
    </row>
    <row r="3959" spans="7:22" x14ac:dyDescent="0.25">
      <c r="G3959">
        <f>Data!B3971</f>
        <v>0</v>
      </c>
      <c r="H3959" s="21">
        <f>Data!B3971</f>
        <v>0</v>
      </c>
      <c r="I3959" s="21">
        <f>Data!C3971</f>
        <v>0</v>
      </c>
      <c r="J3959">
        <f>Data!D3971</f>
        <v>0</v>
      </c>
      <c r="K3959">
        <f>Data!E3971</f>
        <v>0</v>
      </c>
      <c r="L3959">
        <f>Data!F3971</f>
        <v>0</v>
      </c>
      <c r="M3959">
        <f>Data!G3971</f>
        <v>0</v>
      </c>
      <c r="N3959">
        <f>Data!H3971</f>
        <v>0</v>
      </c>
      <c r="O3959">
        <f>Data!I3971</f>
        <v>0</v>
      </c>
      <c r="P3959" s="21">
        <f>Data!J3975</f>
        <v>0</v>
      </c>
      <c r="Q3959">
        <f>Data!K3975</f>
        <v>0</v>
      </c>
      <c r="R3959">
        <f>Data!L3975</f>
        <v>0</v>
      </c>
      <c r="S3959">
        <f>Data!M3975</f>
        <v>0</v>
      </c>
      <c r="T3959">
        <f>Data!N3975</f>
        <v>0</v>
      </c>
      <c r="U3959">
        <f>Data!O3975</f>
        <v>0</v>
      </c>
      <c r="V3959" s="33">
        <f>Data!P3973</f>
        <v>0</v>
      </c>
    </row>
    <row r="3960" spans="7:22" x14ac:dyDescent="0.25">
      <c r="G3960">
        <f>Data!B3972</f>
        <v>0</v>
      </c>
      <c r="H3960" s="21">
        <f>Data!B3972</f>
        <v>0</v>
      </c>
      <c r="I3960" s="21">
        <f>Data!C3972</f>
        <v>0</v>
      </c>
      <c r="J3960">
        <f>Data!D3972</f>
        <v>0</v>
      </c>
      <c r="K3960">
        <f>Data!E3972</f>
        <v>0</v>
      </c>
      <c r="L3960">
        <f>Data!F3972</f>
        <v>0</v>
      </c>
      <c r="M3960">
        <f>Data!G3972</f>
        <v>0</v>
      </c>
      <c r="N3960">
        <f>Data!H3972</f>
        <v>0</v>
      </c>
      <c r="O3960">
        <f>Data!I3972</f>
        <v>0</v>
      </c>
      <c r="P3960" s="21">
        <f>Data!J3976</f>
        <v>0</v>
      </c>
      <c r="Q3960">
        <f>Data!K3976</f>
        <v>0</v>
      </c>
      <c r="R3960">
        <f>Data!L3976</f>
        <v>0</v>
      </c>
      <c r="S3960">
        <f>Data!M3976</f>
        <v>0</v>
      </c>
      <c r="T3960">
        <f>Data!N3976</f>
        <v>0</v>
      </c>
      <c r="U3960">
        <f>Data!O3976</f>
        <v>0</v>
      </c>
      <c r="V3960" s="33">
        <f>Data!P3974</f>
        <v>0</v>
      </c>
    </row>
    <row r="3961" spans="7:22" x14ac:dyDescent="0.25">
      <c r="G3961">
        <f>Data!B3973</f>
        <v>0</v>
      </c>
      <c r="H3961" s="21">
        <f>Data!B3973</f>
        <v>0</v>
      </c>
      <c r="I3961" s="21">
        <f>Data!C3973</f>
        <v>0</v>
      </c>
      <c r="J3961">
        <f>Data!D3973</f>
        <v>0</v>
      </c>
      <c r="K3961">
        <f>Data!E3973</f>
        <v>0</v>
      </c>
      <c r="L3961">
        <f>Data!F3973</f>
        <v>0</v>
      </c>
      <c r="M3961">
        <f>Data!G3973</f>
        <v>0</v>
      </c>
      <c r="N3961">
        <f>Data!H3973</f>
        <v>0</v>
      </c>
      <c r="O3961">
        <f>Data!I3973</f>
        <v>0</v>
      </c>
      <c r="P3961" s="21">
        <f>Data!J3977</f>
        <v>0</v>
      </c>
      <c r="Q3961">
        <f>Data!K3977</f>
        <v>0</v>
      </c>
      <c r="R3961">
        <f>Data!L3977</f>
        <v>0</v>
      </c>
      <c r="S3961">
        <f>Data!M3977</f>
        <v>0</v>
      </c>
      <c r="T3961">
        <f>Data!N3977</f>
        <v>0</v>
      </c>
      <c r="U3961">
        <f>Data!O3977</f>
        <v>0</v>
      </c>
      <c r="V3961" s="33">
        <f>Data!P3975</f>
        <v>0</v>
      </c>
    </row>
    <row r="3962" spans="7:22" x14ac:dyDescent="0.25">
      <c r="G3962">
        <f>Data!B3974</f>
        <v>0</v>
      </c>
      <c r="H3962" s="21">
        <f>Data!B3974</f>
        <v>0</v>
      </c>
      <c r="I3962" s="21">
        <f>Data!C3974</f>
        <v>0</v>
      </c>
      <c r="J3962">
        <f>Data!D3974</f>
        <v>0</v>
      </c>
      <c r="K3962">
        <f>Data!E3974</f>
        <v>0</v>
      </c>
      <c r="L3962">
        <f>Data!F3974</f>
        <v>0</v>
      </c>
      <c r="M3962">
        <f>Data!G3974</f>
        <v>0</v>
      </c>
      <c r="N3962">
        <f>Data!H3974</f>
        <v>0</v>
      </c>
      <c r="O3962">
        <f>Data!I3974</f>
        <v>0</v>
      </c>
      <c r="P3962" s="21">
        <f>Data!J3978</f>
        <v>0</v>
      </c>
      <c r="Q3962">
        <f>Data!K3978</f>
        <v>0</v>
      </c>
      <c r="R3962">
        <f>Data!L3978</f>
        <v>0</v>
      </c>
      <c r="S3962">
        <f>Data!M3978</f>
        <v>0</v>
      </c>
      <c r="T3962">
        <f>Data!N3978</f>
        <v>0</v>
      </c>
      <c r="U3962">
        <f>Data!O3978</f>
        <v>0</v>
      </c>
      <c r="V3962" s="33">
        <f>Data!P3976</f>
        <v>0</v>
      </c>
    </row>
    <row r="3963" spans="7:22" x14ac:dyDescent="0.25">
      <c r="G3963">
        <f>Data!B3975</f>
        <v>0</v>
      </c>
      <c r="H3963" s="21">
        <f>Data!B3975</f>
        <v>0</v>
      </c>
      <c r="I3963" s="21">
        <f>Data!C3975</f>
        <v>0</v>
      </c>
      <c r="J3963">
        <f>Data!D3975</f>
        <v>0</v>
      </c>
      <c r="K3963">
        <f>Data!E3975</f>
        <v>0</v>
      </c>
      <c r="L3963">
        <f>Data!F3975</f>
        <v>0</v>
      </c>
      <c r="M3963">
        <f>Data!G3975</f>
        <v>0</v>
      </c>
      <c r="N3963">
        <f>Data!H3975</f>
        <v>0</v>
      </c>
      <c r="O3963">
        <f>Data!I3975</f>
        <v>0</v>
      </c>
      <c r="P3963" s="21">
        <f>Data!J3979</f>
        <v>0</v>
      </c>
      <c r="Q3963">
        <f>Data!K3979</f>
        <v>0</v>
      </c>
      <c r="R3963">
        <f>Data!L3979</f>
        <v>0</v>
      </c>
      <c r="S3963">
        <f>Data!M3979</f>
        <v>0</v>
      </c>
      <c r="T3963">
        <f>Data!N3979</f>
        <v>0</v>
      </c>
      <c r="U3963">
        <f>Data!O3979</f>
        <v>0</v>
      </c>
      <c r="V3963" s="33">
        <f>Data!P3977</f>
        <v>0</v>
      </c>
    </row>
    <row r="3964" spans="7:22" x14ac:dyDescent="0.25">
      <c r="G3964">
        <f>Data!B3976</f>
        <v>0</v>
      </c>
      <c r="H3964" s="21">
        <f>Data!B3976</f>
        <v>0</v>
      </c>
      <c r="I3964" s="21">
        <f>Data!C3976</f>
        <v>0</v>
      </c>
      <c r="J3964">
        <f>Data!D3976</f>
        <v>0</v>
      </c>
      <c r="K3964">
        <f>Data!E3976</f>
        <v>0</v>
      </c>
      <c r="L3964">
        <f>Data!F3976</f>
        <v>0</v>
      </c>
      <c r="M3964">
        <f>Data!G3976</f>
        <v>0</v>
      </c>
      <c r="N3964">
        <f>Data!H3976</f>
        <v>0</v>
      </c>
      <c r="O3964">
        <f>Data!I3976</f>
        <v>0</v>
      </c>
      <c r="P3964" s="21">
        <f>Data!J3980</f>
        <v>0</v>
      </c>
      <c r="Q3964">
        <f>Data!K3980</f>
        <v>0</v>
      </c>
      <c r="R3964">
        <f>Data!L3980</f>
        <v>0</v>
      </c>
      <c r="S3964">
        <f>Data!M3980</f>
        <v>0</v>
      </c>
      <c r="T3964">
        <f>Data!N3980</f>
        <v>0</v>
      </c>
      <c r="U3964">
        <f>Data!O3980</f>
        <v>0</v>
      </c>
      <c r="V3964" s="33">
        <f>Data!P3978</f>
        <v>0</v>
      </c>
    </row>
    <row r="3965" spans="7:22" x14ac:dyDescent="0.25">
      <c r="G3965">
        <f>Data!B3977</f>
        <v>0</v>
      </c>
      <c r="H3965" s="21">
        <f>Data!B3977</f>
        <v>0</v>
      </c>
      <c r="I3965" s="21">
        <f>Data!C3977</f>
        <v>0</v>
      </c>
      <c r="J3965">
        <f>Data!D3977</f>
        <v>0</v>
      </c>
      <c r="K3965">
        <f>Data!E3977</f>
        <v>0</v>
      </c>
      <c r="L3965">
        <f>Data!F3977</f>
        <v>0</v>
      </c>
      <c r="M3965">
        <f>Data!G3977</f>
        <v>0</v>
      </c>
      <c r="N3965">
        <f>Data!H3977</f>
        <v>0</v>
      </c>
      <c r="O3965">
        <f>Data!I3977</f>
        <v>0</v>
      </c>
      <c r="P3965" s="21">
        <f>Data!J3981</f>
        <v>0</v>
      </c>
      <c r="Q3965">
        <f>Data!K3981</f>
        <v>0</v>
      </c>
      <c r="R3965">
        <f>Data!L3981</f>
        <v>0</v>
      </c>
      <c r="S3965">
        <f>Data!M3981</f>
        <v>0</v>
      </c>
      <c r="T3965">
        <f>Data!N3981</f>
        <v>0</v>
      </c>
      <c r="U3965">
        <f>Data!O3981</f>
        <v>0</v>
      </c>
      <c r="V3965" s="33">
        <f>Data!P3979</f>
        <v>0</v>
      </c>
    </row>
    <row r="3966" spans="7:22" x14ac:dyDescent="0.25">
      <c r="G3966">
        <f>Data!B3978</f>
        <v>0</v>
      </c>
      <c r="H3966" s="21">
        <f>Data!B3978</f>
        <v>0</v>
      </c>
      <c r="I3966" s="21">
        <f>Data!C3978</f>
        <v>0</v>
      </c>
      <c r="J3966">
        <f>Data!D3978</f>
        <v>0</v>
      </c>
      <c r="K3966">
        <f>Data!E3978</f>
        <v>0</v>
      </c>
      <c r="L3966">
        <f>Data!F3978</f>
        <v>0</v>
      </c>
      <c r="M3966">
        <f>Data!G3978</f>
        <v>0</v>
      </c>
      <c r="N3966">
        <f>Data!H3978</f>
        <v>0</v>
      </c>
      <c r="O3966">
        <f>Data!I3978</f>
        <v>0</v>
      </c>
      <c r="P3966" s="21">
        <f>Data!J3982</f>
        <v>0</v>
      </c>
      <c r="Q3966">
        <f>Data!K3982</f>
        <v>0</v>
      </c>
      <c r="R3966">
        <f>Data!L3982</f>
        <v>0</v>
      </c>
      <c r="S3966">
        <f>Data!M3982</f>
        <v>0</v>
      </c>
      <c r="T3966">
        <f>Data!N3982</f>
        <v>0</v>
      </c>
      <c r="U3966">
        <f>Data!O3982</f>
        <v>0</v>
      </c>
      <c r="V3966" s="33">
        <f>Data!P3980</f>
        <v>0</v>
      </c>
    </row>
    <row r="3967" spans="7:22" x14ac:dyDescent="0.25">
      <c r="G3967">
        <f>Data!B3979</f>
        <v>0</v>
      </c>
      <c r="H3967" s="21">
        <f>Data!B3979</f>
        <v>0</v>
      </c>
      <c r="I3967" s="21">
        <f>Data!C3979</f>
        <v>0</v>
      </c>
      <c r="J3967">
        <f>Data!D3979</f>
        <v>0</v>
      </c>
      <c r="K3967">
        <f>Data!E3979</f>
        <v>0</v>
      </c>
      <c r="L3967">
        <f>Data!F3979</f>
        <v>0</v>
      </c>
      <c r="M3967">
        <f>Data!G3979</f>
        <v>0</v>
      </c>
      <c r="N3967">
        <f>Data!H3979</f>
        <v>0</v>
      </c>
      <c r="O3967">
        <f>Data!I3979</f>
        <v>0</v>
      </c>
      <c r="P3967" s="21">
        <f>Data!J3983</f>
        <v>0</v>
      </c>
      <c r="Q3967">
        <f>Data!K3983</f>
        <v>0</v>
      </c>
      <c r="R3967">
        <f>Data!L3983</f>
        <v>0</v>
      </c>
      <c r="S3967">
        <f>Data!M3983</f>
        <v>0</v>
      </c>
      <c r="T3967">
        <f>Data!N3983</f>
        <v>0</v>
      </c>
      <c r="U3967">
        <f>Data!O3983</f>
        <v>0</v>
      </c>
      <c r="V3967" s="33">
        <f>Data!P3981</f>
        <v>0</v>
      </c>
    </row>
    <row r="3968" spans="7:22" x14ac:dyDescent="0.25">
      <c r="G3968">
        <f>Data!B3980</f>
        <v>0</v>
      </c>
      <c r="H3968" s="21">
        <f>Data!B3980</f>
        <v>0</v>
      </c>
      <c r="I3968" s="21">
        <f>Data!C3980</f>
        <v>0</v>
      </c>
      <c r="J3968">
        <f>Data!D3980</f>
        <v>0</v>
      </c>
      <c r="K3968">
        <f>Data!E3980</f>
        <v>0</v>
      </c>
      <c r="L3968">
        <f>Data!F3980</f>
        <v>0</v>
      </c>
      <c r="M3968">
        <f>Data!G3980</f>
        <v>0</v>
      </c>
      <c r="N3968">
        <f>Data!H3980</f>
        <v>0</v>
      </c>
      <c r="O3968">
        <f>Data!I3980</f>
        <v>0</v>
      </c>
      <c r="P3968" s="21">
        <f>Data!J3984</f>
        <v>0</v>
      </c>
      <c r="Q3968">
        <f>Data!K3984</f>
        <v>0</v>
      </c>
      <c r="R3968">
        <f>Data!L3984</f>
        <v>0</v>
      </c>
      <c r="S3968">
        <f>Data!M3984</f>
        <v>0</v>
      </c>
      <c r="T3968">
        <f>Data!N3984</f>
        <v>0</v>
      </c>
      <c r="U3968">
        <f>Data!O3984</f>
        <v>0</v>
      </c>
      <c r="V3968" s="33">
        <f>Data!P3982</f>
        <v>0</v>
      </c>
    </row>
    <row r="3969" spans="7:22" x14ac:dyDescent="0.25">
      <c r="G3969">
        <f>Data!B3981</f>
        <v>0</v>
      </c>
      <c r="H3969" s="21">
        <f>Data!B3981</f>
        <v>0</v>
      </c>
      <c r="I3969" s="21">
        <f>Data!C3981</f>
        <v>0</v>
      </c>
      <c r="J3969">
        <f>Data!D3981</f>
        <v>0</v>
      </c>
      <c r="K3969">
        <f>Data!E3981</f>
        <v>0</v>
      </c>
      <c r="L3969">
        <f>Data!F3981</f>
        <v>0</v>
      </c>
      <c r="M3969">
        <f>Data!G3981</f>
        <v>0</v>
      </c>
      <c r="N3969">
        <f>Data!H3981</f>
        <v>0</v>
      </c>
      <c r="O3969">
        <f>Data!I3981</f>
        <v>0</v>
      </c>
      <c r="P3969" s="21">
        <f>Data!J3985</f>
        <v>0</v>
      </c>
      <c r="Q3969">
        <f>Data!K3985</f>
        <v>0</v>
      </c>
      <c r="R3969">
        <f>Data!L3985</f>
        <v>0</v>
      </c>
      <c r="S3969">
        <f>Data!M3985</f>
        <v>0</v>
      </c>
      <c r="T3969">
        <f>Data!N3985</f>
        <v>0</v>
      </c>
      <c r="U3969">
        <f>Data!O3985</f>
        <v>0</v>
      </c>
      <c r="V3969" s="33">
        <f>Data!P3983</f>
        <v>0</v>
      </c>
    </row>
    <row r="3970" spans="7:22" x14ac:dyDescent="0.25">
      <c r="G3970">
        <f>Data!B3982</f>
        <v>0</v>
      </c>
      <c r="H3970" s="21">
        <f>Data!B3982</f>
        <v>0</v>
      </c>
      <c r="I3970" s="21">
        <f>Data!C3982</f>
        <v>0</v>
      </c>
      <c r="J3970">
        <f>Data!D3982</f>
        <v>0</v>
      </c>
      <c r="K3970">
        <f>Data!E3982</f>
        <v>0</v>
      </c>
      <c r="L3970">
        <f>Data!F3982</f>
        <v>0</v>
      </c>
      <c r="M3970">
        <f>Data!G3982</f>
        <v>0</v>
      </c>
      <c r="N3970">
        <f>Data!H3982</f>
        <v>0</v>
      </c>
      <c r="O3970">
        <f>Data!I3982</f>
        <v>0</v>
      </c>
      <c r="P3970" s="21">
        <f>Data!J3986</f>
        <v>0</v>
      </c>
      <c r="Q3970">
        <f>Data!K3986</f>
        <v>0</v>
      </c>
      <c r="R3970">
        <f>Data!L3986</f>
        <v>0</v>
      </c>
      <c r="S3970">
        <f>Data!M3986</f>
        <v>0</v>
      </c>
      <c r="T3970">
        <f>Data!N3986</f>
        <v>0</v>
      </c>
      <c r="U3970">
        <f>Data!O3986</f>
        <v>0</v>
      </c>
      <c r="V3970" s="33">
        <f>Data!P3984</f>
        <v>0</v>
      </c>
    </row>
    <row r="3971" spans="7:22" x14ac:dyDescent="0.25">
      <c r="G3971">
        <f>Data!B3983</f>
        <v>0</v>
      </c>
      <c r="H3971" s="21">
        <f>Data!B3983</f>
        <v>0</v>
      </c>
      <c r="I3971" s="21">
        <f>Data!C3983</f>
        <v>0</v>
      </c>
      <c r="J3971">
        <f>Data!D3983</f>
        <v>0</v>
      </c>
      <c r="K3971">
        <f>Data!E3983</f>
        <v>0</v>
      </c>
      <c r="L3971">
        <f>Data!F3983</f>
        <v>0</v>
      </c>
      <c r="M3971">
        <f>Data!G3983</f>
        <v>0</v>
      </c>
      <c r="N3971">
        <f>Data!H3983</f>
        <v>0</v>
      </c>
      <c r="O3971">
        <f>Data!I3983</f>
        <v>0</v>
      </c>
      <c r="P3971" s="21">
        <f>Data!J3987</f>
        <v>0</v>
      </c>
      <c r="Q3971">
        <f>Data!K3987</f>
        <v>0</v>
      </c>
      <c r="R3971">
        <f>Data!L3987</f>
        <v>0</v>
      </c>
      <c r="S3971">
        <f>Data!M3987</f>
        <v>0</v>
      </c>
      <c r="T3971">
        <f>Data!N3987</f>
        <v>0</v>
      </c>
      <c r="U3971">
        <f>Data!O3987</f>
        <v>0</v>
      </c>
      <c r="V3971" s="33">
        <f>Data!P3985</f>
        <v>0</v>
      </c>
    </row>
    <row r="3972" spans="7:22" x14ac:dyDescent="0.25">
      <c r="G3972">
        <f>Data!B3984</f>
        <v>0</v>
      </c>
      <c r="H3972" s="21">
        <f>Data!B3984</f>
        <v>0</v>
      </c>
      <c r="I3972" s="21">
        <f>Data!C3984</f>
        <v>0</v>
      </c>
      <c r="J3972">
        <f>Data!D3984</f>
        <v>0</v>
      </c>
      <c r="K3972">
        <f>Data!E3984</f>
        <v>0</v>
      </c>
      <c r="L3972">
        <f>Data!F3984</f>
        <v>0</v>
      </c>
      <c r="M3972">
        <f>Data!G3984</f>
        <v>0</v>
      </c>
      <c r="N3972">
        <f>Data!H3984</f>
        <v>0</v>
      </c>
      <c r="O3972">
        <f>Data!I3984</f>
        <v>0</v>
      </c>
      <c r="P3972" s="21">
        <f>Data!J3988</f>
        <v>0</v>
      </c>
      <c r="Q3972">
        <f>Data!K3988</f>
        <v>0</v>
      </c>
      <c r="R3972">
        <f>Data!L3988</f>
        <v>0</v>
      </c>
      <c r="S3972">
        <f>Data!M3988</f>
        <v>0</v>
      </c>
      <c r="T3972">
        <f>Data!N3988</f>
        <v>0</v>
      </c>
      <c r="U3972">
        <f>Data!O3988</f>
        <v>0</v>
      </c>
      <c r="V3972" s="33">
        <f>Data!P3986</f>
        <v>0</v>
      </c>
    </row>
    <row r="3973" spans="7:22" x14ac:dyDescent="0.25">
      <c r="G3973">
        <f>Data!B3985</f>
        <v>0</v>
      </c>
      <c r="H3973" s="21">
        <f>Data!B3985</f>
        <v>0</v>
      </c>
      <c r="I3973" s="21">
        <f>Data!C3985</f>
        <v>0</v>
      </c>
      <c r="J3973">
        <f>Data!D3985</f>
        <v>0</v>
      </c>
      <c r="K3973">
        <f>Data!E3985</f>
        <v>0</v>
      </c>
      <c r="L3973">
        <f>Data!F3985</f>
        <v>0</v>
      </c>
      <c r="M3973">
        <f>Data!G3985</f>
        <v>0</v>
      </c>
      <c r="N3973">
        <f>Data!H3985</f>
        <v>0</v>
      </c>
      <c r="O3973">
        <f>Data!I3985</f>
        <v>0</v>
      </c>
      <c r="P3973" s="21">
        <f>Data!J3989</f>
        <v>0</v>
      </c>
      <c r="Q3973">
        <f>Data!K3989</f>
        <v>0</v>
      </c>
      <c r="R3973">
        <f>Data!L3989</f>
        <v>0</v>
      </c>
      <c r="S3973">
        <f>Data!M3989</f>
        <v>0</v>
      </c>
      <c r="T3973">
        <f>Data!N3989</f>
        <v>0</v>
      </c>
      <c r="U3973">
        <f>Data!O3989</f>
        <v>0</v>
      </c>
      <c r="V3973" s="33">
        <f>Data!P3987</f>
        <v>0</v>
      </c>
    </row>
    <row r="3974" spans="7:22" x14ac:dyDescent="0.25">
      <c r="G3974">
        <f>Data!B3986</f>
        <v>0</v>
      </c>
      <c r="H3974" s="21">
        <f>Data!B3986</f>
        <v>0</v>
      </c>
      <c r="I3974" s="21">
        <f>Data!C3986</f>
        <v>0</v>
      </c>
      <c r="J3974">
        <f>Data!D3986</f>
        <v>0</v>
      </c>
      <c r="K3974">
        <f>Data!E3986</f>
        <v>0</v>
      </c>
      <c r="L3974">
        <f>Data!F3986</f>
        <v>0</v>
      </c>
      <c r="M3974">
        <f>Data!G3986</f>
        <v>0</v>
      </c>
      <c r="N3974">
        <f>Data!H3986</f>
        <v>0</v>
      </c>
      <c r="O3974">
        <f>Data!I3986</f>
        <v>0</v>
      </c>
      <c r="P3974" s="21">
        <f>Data!J3990</f>
        <v>0</v>
      </c>
      <c r="Q3974">
        <f>Data!K3990</f>
        <v>0</v>
      </c>
      <c r="R3974">
        <f>Data!L3990</f>
        <v>0</v>
      </c>
      <c r="S3974">
        <f>Data!M3990</f>
        <v>0</v>
      </c>
      <c r="T3974">
        <f>Data!N3990</f>
        <v>0</v>
      </c>
      <c r="U3974">
        <f>Data!O3990</f>
        <v>0</v>
      </c>
      <c r="V3974" s="33">
        <f>Data!P3988</f>
        <v>0</v>
      </c>
    </row>
    <row r="3975" spans="7:22" x14ac:dyDescent="0.25">
      <c r="G3975">
        <f>Data!B3987</f>
        <v>0</v>
      </c>
      <c r="H3975" s="21">
        <f>Data!B3987</f>
        <v>0</v>
      </c>
      <c r="I3975" s="21">
        <f>Data!C3987</f>
        <v>0</v>
      </c>
      <c r="J3975">
        <f>Data!D3987</f>
        <v>0</v>
      </c>
      <c r="K3975">
        <f>Data!E3987</f>
        <v>0</v>
      </c>
      <c r="L3975">
        <f>Data!F3987</f>
        <v>0</v>
      </c>
      <c r="M3975">
        <f>Data!G3987</f>
        <v>0</v>
      </c>
      <c r="N3975">
        <f>Data!H3987</f>
        <v>0</v>
      </c>
      <c r="O3975">
        <f>Data!I3987</f>
        <v>0</v>
      </c>
      <c r="P3975" s="21">
        <f>Data!J3991</f>
        <v>0</v>
      </c>
      <c r="Q3975">
        <f>Data!K3991</f>
        <v>0</v>
      </c>
      <c r="R3975">
        <f>Data!L3991</f>
        <v>0</v>
      </c>
      <c r="S3975">
        <f>Data!M3991</f>
        <v>0</v>
      </c>
      <c r="T3975">
        <f>Data!N3991</f>
        <v>0</v>
      </c>
      <c r="U3975">
        <f>Data!O3991</f>
        <v>0</v>
      </c>
      <c r="V3975" s="33">
        <f>Data!P3989</f>
        <v>0</v>
      </c>
    </row>
    <row r="3976" spans="7:22" x14ac:dyDescent="0.25">
      <c r="G3976">
        <f>Data!B3988</f>
        <v>0</v>
      </c>
      <c r="H3976" s="21">
        <f>Data!B3988</f>
        <v>0</v>
      </c>
      <c r="I3976" s="21">
        <f>Data!C3988</f>
        <v>0</v>
      </c>
      <c r="J3976">
        <f>Data!D3988</f>
        <v>0</v>
      </c>
      <c r="K3976">
        <f>Data!E3988</f>
        <v>0</v>
      </c>
      <c r="L3976">
        <f>Data!F3988</f>
        <v>0</v>
      </c>
      <c r="M3976">
        <f>Data!G3988</f>
        <v>0</v>
      </c>
      <c r="N3976">
        <f>Data!H3988</f>
        <v>0</v>
      </c>
      <c r="O3976">
        <f>Data!I3988</f>
        <v>0</v>
      </c>
      <c r="P3976" s="21">
        <f>Data!J3992</f>
        <v>0</v>
      </c>
      <c r="Q3976">
        <f>Data!K3992</f>
        <v>0</v>
      </c>
      <c r="R3976">
        <f>Data!L3992</f>
        <v>0</v>
      </c>
      <c r="S3976">
        <f>Data!M3992</f>
        <v>0</v>
      </c>
      <c r="T3976">
        <f>Data!N3992</f>
        <v>0</v>
      </c>
      <c r="U3976">
        <f>Data!O3992</f>
        <v>0</v>
      </c>
      <c r="V3976" s="33">
        <f>Data!P3990</f>
        <v>0</v>
      </c>
    </row>
    <row r="3977" spans="7:22" x14ac:dyDescent="0.25">
      <c r="G3977">
        <f>Data!B3989</f>
        <v>0</v>
      </c>
      <c r="H3977" s="21">
        <f>Data!B3989</f>
        <v>0</v>
      </c>
      <c r="I3977" s="21">
        <f>Data!C3989</f>
        <v>0</v>
      </c>
      <c r="J3977">
        <f>Data!D3989</f>
        <v>0</v>
      </c>
      <c r="K3977">
        <f>Data!E3989</f>
        <v>0</v>
      </c>
      <c r="L3977">
        <f>Data!F3989</f>
        <v>0</v>
      </c>
      <c r="M3977">
        <f>Data!G3989</f>
        <v>0</v>
      </c>
      <c r="N3977">
        <f>Data!H3989</f>
        <v>0</v>
      </c>
      <c r="O3977">
        <f>Data!I3989</f>
        <v>0</v>
      </c>
      <c r="P3977" s="21">
        <f>Data!J3993</f>
        <v>0</v>
      </c>
      <c r="Q3977">
        <f>Data!K3993</f>
        <v>0</v>
      </c>
      <c r="R3977">
        <f>Data!L3993</f>
        <v>0</v>
      </c>
      <c r="S3977">
        <f>Data!M3993</f>
        <v>0</v>
      </c>
      <c r="T3977">
        <f>Data!N3993</f>
        <v>0</v>
      </c>
      <c r="U3977">
        <f>Data!O3993</f>
        <v>0</v>
      </c>
      <c r="V3977" s="33">
        <f>Data!P3991</f>
        <v>0</v>
      </c>
    </row>
    <row r="3978" spans="7:22" x14ac:dyDescent="0.25">
      <c r="G3978">
        <f>Data!B3990</f>
        <v>0</v>
      </c>
      <c r="H3978" s="21">
        <f>Data!B3990</f>
        <v>0</v>
      </c>
      <c r="I3978" s="21">
        <f>Data!C3990</f>
        <v>0</v>
      </c>
      <c r="J3978">
        <f>Data!D3990</f>
        <v>0</v>
      </c>
      <c r="K3978">
        <f>Data!E3990</f>
        <v>0</v>
      </c>
      <c r="L3978">
        <f>Data!F3990</f>
        <v>0</v>
      </c>
      <c r="M3978">
        <f>Data!G3990</f>
        <v>0</v>
      </c>
      <c r="N3978">
        <f>Data!H3990</f>
        <v>0</v>
      </c>
      <c r="O3978">
        <f>Data!I3990</f>
        <v>0</v>
      </c>
      <c r="P3978" s="21">
        <f>Data!J3994</f>
        <v>0</v>
      </c>
      <c r="Q3978">
        <f>Data!K3994</f>
        <v>0</v>
      </c>
      <c r="R3978">
        <f>Data!L3994</f>
        <v>0</v>
      </c>
      <c r="S3978">
        <f>Data!M3994</f>
        <v>0</v>
      </c>
      <c r="T3978">
        <f>Data!N3994</f>
        <v>0</v>
      </c>
      <c r="U3978">
        <f>Data!O3994</f>
        <v>0</v>
      </c>
      <c r="V3978" s="33">
        <f>Data!P3992</f>
        <v>0</v>
      </c>
    </row>
    <row r="3979" spans="7:22" x14ac:dyDescent="0.25">
      <c r="G3979">
        <f>Data!B3991</f>
        <v>0</v>
      </c>
      <c r="H3979" s="21">
        <f>Data!B3991</f>
        <v>0</v>
      </c>
      <c r="I3979" s="21">
        <f>Data!C3991</f>
        <v>0</v>
      </c>
      <c r="J3979">
        <f>Data!D3991</f>
        <v>0</v>
      </c>
      <c r="K3979">
        <f>Data!E3991</f>
        <v>0</v>
      </c>
      <c r="L3979">
        <f>Data!F3991</f>
        <v>0</v>
      </c>
      <c r="M3979">
        <f>Data!G3991</f>
        <v>0</v>
      </c>
      <c r="N3979">
        <f>Data!H3991</f>
        <v>0</v>
      </c>
      <c r="O3979">
        <f>Data!I3991</f>
        <v>0</v>
      </c>
      <c r="P3979" s="21">
        <f>Data!J3995</f>
        <v>0</v>
      </c>
      <c r="Q3979">
        <f>Data!K3995</f>
        <v>0</v>
      </c>
      <c r="R3979">
        <f>Data!L3995</f>
        <v>0</v>
      </c>
      <c r="S3979">
        <f>Data!M3995</f>
        <v>0</v>
      </c>
      <c r="T3979">
        <f>Data!N3995</f>
        <v>0</v>
      </c>
      <c r="U3979">
        <f>Data!O3995</f>
        <v>0</v>
      </c>
      <c r="V3979" s="33">
        <f>Data!P3993</f>
        <v>0</v>
      </c>
    </row>
    <row r="3980" spans="7:22" x14ac:dyDescent="0.25">
      <c r="G3980">
        <f>Data!B3992</f>
        <v>0</v>
      </c>
      <c r="H3980" s="21">
        <f>Data!B3992</f>
        <v>0</v>
      </c>
      <c r="I3980" s="21">
        <f>Data!C3992</f>
        <v>0</v>
      </c>
      <c r="J3980">
        <f>Data!D3992</f>
        <v>0</v>
      </c>
      <c r="K3980">
        <f>Data!E3992</f>
        <v>0</v>
      </c>
      <c r="L3980">
        <f>Data!F3992</f>
        <v>0</v>
      </c>
      <c r="M3980">
        <f>Data!G3992</f>
        <v>0</v>
      </c>
      <c r="N3980">
        <f>Data!H3992</f>
        <v>0</v>
      </c>
      <c r="O3980">
        <f>Data!I3992</f>
        <v>0</v>
      </c>
      <c r="P3980" s="21">
        <f>Data!J3996</f>
        <v>0</v>
      </c>
      <c r="Q3980">
        <f>Data!K3996</f>
        <v>0</v>
      </c>
      <c r="R3980">
        <f>Data!L3996</f>
        <v>0</v>
      </c>
      <c r="S3980">
        <f>Data!M3996</f>
        <v>0</v>
      </c>
      <c r="T3980">
        <f>Data!N3996</f>
        <v>0</v>
      </c>
      <c r="U3980">
        <f>Data!O3996</f>
        <v>0</v>
      </c>
      <c r="V3980" s="33">
        <f>Data!P3994</f>
        <v>0</v>
      </c>
    </row>
    <row r="3981" spans="7:22" x14ac:dyDescent="0.25">
      <c r="G3981">
        <f>Data!B3993</f>
        <v>0</v>
      </c>
      <c r="H3981" s="21">
        <f>Data!B3993</f>
        <v>0</v>
      </c>
      <c r="I3981" s="21">
        <f>Data!C3993</f>
        <v>0</v>
      </c>
      <c r="J3981">
        <f>Data!D3993</f>
        <v>0</v>
      </c>
      <c r="K3981">
        <f>Data!E3993</f>
        <v>0</v>
      </c>
      <c r="L3981">
        <f>Data!F3993</f>
        <v>0</v>
      </c>
      <c r="M3981">
        <f>Data!G3993</f>
        <v>0</v>
      </c>
      <c r="N3981">
        <f>Data!H3993</f>
        <v>0</v>
      </c>
      <c r="O3981">
        <f>Data!I3993</f>
        <v>0</v>
      </c>
      <c r="P3981" s="21">
        <f>Data!J3997</f>
        <v>0</v>
      </c>
      <c r="Q3981">
        <f>Data!K3997</f>
        <v>0</v>
      </c>
      <c r="R3981">
        <f>Data!L3997</f>
        <v>0</v>
      </c>
      <c r="S3981">
        <f>Data!M3997</f>
        <v>0</v>
      </c>
      <c r="T3981">
        <f>Data!N3997</f>
        <v>0</v>
      </c>
      <c r="U3981">
        <f>Data!O3997</f>
        <v>0</v>
      </c>
      <c r="V3981" s="33">
        <f>Data!P3995</f>
        <v>0</v>
      </c>
    </row>
    <row r="3982" spans="7:22" x14ac:dyDescent="0.25">
      <c r="G3982">
        <f>Data!B3994</f>
        <v>0</v>
      </c>
      <c r="H3982" s="21">
        <f>Data!B3994</f>
        <v>0</v>
      </c>
      <c r="I3982" s="21">
        <f>Data!C3994</f>
        <v>0</v>
      </c>
      <c r="J3982">
        <f>Data!D3994</f>
        <v>0</v>
      </c>
      <c r="K3982">
        <f>Data!E3994</f>
        <v>0</v>
      </c>
      <c r="L3982">
        <f>Data!F3994</f>
        <v>0</v>
      </c>
      <c r="M3982">
        <f>Data!G3994</f>
        <v>0</v>
      </c>
      <c r="N3982">
        <f>Data!H3994</f>
        <v>0</v>
      </c>
      <c r="O3982">
        <f>Data!I3994</f>
        <v>0</v>
      </c>
      <c r="P3982" s="21">
        <f>Data!J3998</f>
        <v>0</v>
      </c>
      <c r="Q3982">
        <f>Data!K3998</f>
        <v>0</v>
      </c>
      <c r="R3982">
        <f>Data!L3998</f>
        <v>0</v>
      </c>
      <c r="S3982">
        <f>Data!M3998</f>
        <v>0</v>
      </c>
      <c r="T3982">
        <f>Data!N3998</f>
        <v>0</v>
      </c>
      <c r="U3982">
        <f>Data!O3998</f>
        <v>0</v>
      </c>
      <c r="V3982" s="33">
        <f>Data!P3996</f>
        <v>0</v>
      </c>
    </row>
    <row r="3983" spans="7:22" x14ac:dyDescent="0.25">
      <c r="G3983">
        <f>Data!B3995</f>
        <v>0</v>
      </c>
      <c r="H3983" s="21">
        <f>Data!B3995</f>
        <v>0</v>
      </c>
      <c r="I3983" s="21">
        <f>Data!C3995</f>
        <v>0</v>
      </c>
      <c r="J3983">
        <f>Data!D3995</f>
        <v>0</v>
      </c>
      <c r="K3983">
        <f>Data!E3995</f>
        <v>0</v>
      </c>
      <c r="L3983">
        <f>Data!F3995</f>
        <v>0</v>
      </c>
      <c r="M3983">
        <f>Data!G3995</f>
        <v>0</v>
      </c>
      <c r="N3983">
        <f>Data!H3995</f>
        <v>0</v>
      </c>
      <c r="O3983">
        <f>Data!I3995</f>
        <v>0</v>
      </c>
      <c r="P3983" s="21">
        <f>Data!J3999</f>
        <v>0</v>
      </c>
      <c r="Q3983">
        <f>Data!K3999</f>
        <v>0</v>
      </c>
      <c r="R3983">
        <f>Data!L3999</f>
        <v>0</v>
      </c>
      <c r="S3983">
        <f>Data!M3999</f>
        <v>0</v>
      </c>
      <c r="T3983">
        <f>Data!N3999</f>
        <v>0</v>
      </c>
      <c r="U3983">
        <f>Data!O3999</f>
        <v>0</v>
      </c>
      <c r="V3983" s="33">
        <f>Data!P3997</f>
        <v>0</v>
      </c>
    </row>
    <row r="3984" spans="7:22" x14ac:dyDescent="0.25">
      <c r="G3984">
        <f>Data!B3996</f>
        <v>0</v>
      </c>
      <c r="H3984" s="21">
        <f>Data!B3996</f>
        <v>0</v>
      </c>
      <c r="I3984" s="21">
        <f>Data!C3996</f>
        <v>0</v>
      </c>
      <c r="J3984">
        <f>Data!D3996</f>
        <v>0</v>
      </c>
      <c r="K3984">
        <f>Data!E3996</f>
        <v>0</v>
      </c>
      <c r="L3984">
        <f>Data!F3996</f>
        <v>0</v>
      </c>
      <c r="M3984">
        <f>Data!G3996</f>
        <v>0</v>
      </c>
      <c r="N3984">
        <f>Data!H3996</f>
        <v>0</v>
      </c>
      <c r="O3984">
        <f>Data!I3996</f>
        <v>0</v>
      </c>
      <c r="P3984" s="21">
        <f>Data!J4000</f>
        <v>0</v>
      </c>
      <c r="Q3984">
        <f>Data!K4000</f>
        <v>0</v>
      </c>
      <c r="R3984">
        <f>Data!L4000</f>
        <v>0</v>
      </c>
      <c r="S3984">
        <f>Data!M4000</f>
        <v>0</v>
      </c>
      <c r="T3984">
        <f>Data!N4000</f>
        <v>0</v>
      </c>
      <c r="U3984">
        <f>Data!O4000</f>
        <v>0</v>
      </c>
      <c r="V3984" s="33">
        <f>Data!P3998</f>
        <v>0</v>
      </c>
    </row>
    <row r="3985" spans="7:22" x14ac:dyDescent="0.25">
      <c r="G3985">
        <f>Data!B3997</f>
        <v>0</v>
      </c>
      <c r="H3985" s="21">
        <f>Data!B3997</f>
        <v>0</v>
      </c>
      <c r="I3985" s="21">
        <f>Data!C3997</f>
        <v>0</v>
      </c>
      <c r="J3985">
        <f>Data!D3997</f>
        <v>0</v>
      </c>
      <c r="K3985">
        <f>Data!E3997</f>
        <v>0</v>
      </c>
      <c r="L3985">
        <f>Data!F3997</f>
        <v>0</v>
      </c>
      <c r="M3985">
        <f>Data!G3997</f>
        <v>0</v>
      </c>
      <c r="N3985">
        <f>Data!H3997</f>
        <v>0</v>
      </c>
      <c r="O3985">
        <f>Data!I3997</f>
        <v>0</v>
      </c>
      <c r="P3985" s="21">
        <f>Data!J4001</f>
        <v>0</v>
      </c>
      <c r="Q3985">
        <f>Data!K4001</f>
        <v>0</v>
      </c>
      <c r="R3985">
        <f>Data!L4001</f>
        <v>0</v>
      </c>
      <c r="S3985">
        <f>Data!M4001</f>
        <v>0</v>
      </c>
      <c r="T3985">
        <f>Data!N4001</f>
        <v>0</v>
      </c>
      <c r="U3985">
        <f>Data!O4001</f>
        <v>0</v>
      </c>
      <c r="V3985" s="33">
        <f>Data!P3999</f>
        <v>0</v>
      </c>
    </row>
    <row r="3986" spans="7:22" x14ac:dyDescent="0.25">
      <c r="G3986">
        <f>Data!B3998</f>
        <v>0</v>
      </c>
      <c r="H3986" s="21">
        <f>Data!B3998</f>
        <v>0</v>
      </c>
      <c r="I3986" s="21">
        <f>Data!C3998</f>
        <v>0</v>
      </c>
      <c r="J3986">
        <f>Data!D3998</f>
        <v>0</v>
      </c>
      <c r="K3986">
        <f>Data!E3998</f>
        <v>0</v>
      </c>
      <c r="L3986">
        <f>Data!F3998</f>
        <v>0</v>
      </c>
      <c r="M3986">
        <f>Data!G3998</f>
        <v>0</v>
      </c>
      <c r="N3986">
        <f>Data!H3998</f>
        <v>0</v>
      </c>
      <c r="O3986">
        <f>Data!I3998</f>
        <v>0</v>
      </c>
      <c r="P3986" s="21">
        <f>Data!J4002</f>
        <v>0</v>
      </c>
      <c r="Q3986">
        <f>Data!K4002</f>
        <v>0</v>
      </c>
      <c r="R3986">
        <f>Data!L4002</f>
        <v>0</v>
      </c>
      <c r="S3986">
        <f>Data!M4002</f>
        <v>0</v>
      </c>
      <c r="T3986">
        <f>Data!N4002</f>
        <v>0</v>
      </c>
      <c r="U3986">
        <f>Data!O4002</f>
        <v>0</v>
      </c>
      <c r="V3986" s="33">
        <f>Data!P4000</f>
        <v>0</v>
      </c>
    </row>
    <row r="3987" spans="7:22" x14ac:dyDescent="0.25">
      <c r="G3987">
        <f>Data!B3999</f>
        <v>0</v>
      </c>
      <c r="H3987" s="21">
        <f>Data!B3999</f>
        <v>0</v>
      </c>
      <c r="I3987" s="21">
        <f>Data!C3999</f>
        <v>0</v>
      </c>
      <c r="J3987">
        <f>Data!D3999</f>
        <v>0</v>
      </c>
      <c r="K3987">
        <f>Data!E3999</f>
        <v>0</v>
      </c>
      <c r="L3987">
        <f>Data!F3999</f>
        <v>0</v>
      </c>
      <c r="M3987">
        <f>Data!G3999</f>
        <v>0</v>
      </c>
      <c r="N3987">
        <f>Data!H3999</f>
        <v>0</v>
      </c>
      <c r="O3987">
        <f>Data!I3999</f>
        <v>0</v>
      </c>
      <c r="P3987" s="21">
        <f>Data!J4003</f>
        <v>0</v>
      </c>
      <c r="Q3987">
        <f>Data!K4003</f>
        <v>0</v>
      </c>
      <c r="R3987">
        <f>Data!L4003</f>
        <v>0</v>
      </c>
      <c r="S3987">
        <f>Data!M4003</f>
        <v>0</v>
      </c>
      <c r="T3987">
        <f>Data!N4003</f>
        <v>0</v>
      </c>
      <c r="U3987">
        <f>Data!O4003</f>
        <v>0</v>
      </c>
      <c r="V3987" s="33">
        <f>Data!P4001</f>
        <v>0</v>
      </c>
    </row>
    <row r="3988" spans="7:22" x14ac:dyDescent="0.25">
      <c r="G3988">
        <f>Data!B4000</f>
        <v>0</v>
      </c>
      <c r="H3988" s="21">
        <f>Data!B4000</f>
        <v>0</v>
      </c>
      <c r="I3988" s="21">
        <f>Data!C4000</f>
        <v>0</v>
      </c>
      <c r="J3988">
        <f>Data!D4000</f>
        <v>0</v>
      </c>
      <c r="K3988">
        <f>Data!E4000</f>
        <v>0</v>
      </c>
      <c r="L3988">
        <f>Data!F4000</f>
        <v>0</v>
      </c>
      <c r="M3988">
        <f>Data!G4000</f>
        <v>0</v>
      </c>
      <c r="N3988">
        <f>Data!H4000</f>
        <v>0</v>
      </c>
      <c r="O3988">
        <f>Data!I4000</f>
        <v>0</v>
      </c>
      <c r="P3988" s="21">
        <f>Data!J4004</f>
        <v>0</v>
      </c>
      <c r="Q3988">
        <f>Data!K4004</f>
        <v>0</v>
      </c>
      <c r="R3988">
        <f>Data!L4004</f>
        <v>0</v>
      </c>
      <c r="S3988">
        <f>Data!M4004</f>
        <v>0</v>
      </c>
      <c r="T3988">
        <f>Data!N4004</f>
        <v>0</v>
      </c>
      <c r="U3988">
        <f>Data!O4004</f>
        <v>0</v>
      </c>
      <c r="V3988" s="33">
        <f>Data!P4002</f>
        <v>0</v>
      </c>
    </row>
    <row r="3989" spans="7:22" x14ac:dyDescent="0.25">
      <c r="G3989">
        <f>Data!B4001</f>
        <v>0</v>
      </c>
      <c r="H3989" s="21">
        <f>Data!B4001</f>
        <v>0</v>
      </c>
      <c r="I3989" s="21">
        <f>Data!C4001</f>
        <v>0</v>
      </c>
      <c r="J3989">
        <f>Data!D4001</f>
        <v>0</v>
      </c>
      <c r="K3989">
        <f>Data!E4001</f>
        <v>0</v>
      </c>
      <c r="L3989">
        <f>Data!F4001</f>
        <v>0</v>
      </c>
      <c r="M3989">
        <f>Data!G4001</f>
        <v>0</v>
      </c>
      <c r="N3989">
        <f>Data!H4001</f>
        <v>0</v>
      </c>
      <c r="O3989">
        <f>Data!I4001</f>
        <v>0</v>
      </c>
      <c r="P3989" s="21">
        <f>Data!J4005</f>
        <v>0</v>
      </c>
      <c r="Q3989">
        <f>Data!K4005</f>
        <v>0</v>
      </c>
      <c r="R3989">
        <f>Data!L4005</f>
        <v>0</v>
      </c>
      <c r="S3989">
        <f>Data!M4005</f>
        <v>0</v>
      </c>
      <c r="T3989">
        <f>Data!N4005</f>
        <v>0</v>
      </c>
      <c r="U3989">
        <f>Data!O4005</f>
        <v>0</v>
      </c>
      <c r="V3989" s="33">
        <f>Data!P4003</f>
        <v>0</v>
      </c>
    </row>
    <row r="3990" spans="7:22" x14ac:dyDescent="0.25">
      <c r="G3990">
        <f>Data!B4002</f>
        <v>0</v>
      </c>
      <c r="H3990" s="21">
        <f>Data!B4002</f>
        <v>0</v>
      </c>
      <c r="I3990" s="21">
        <f>Data!C4002</f>
        <v>0</v>
      </c>
      <c r="J3990">
        <f>Data!D4002</f>
        <v>0</v>
      </c>
      <c r="K3990">
        <f>Data!E4002</f>
        <v>0</v>
      </c>
      <c r="L3990">
        <f>Data!F4002</f>
        <v>0</v>
      </c>
      <c r="M3990">
        <f>Data!G4002</f>
        <v>0</v>
      </c>
      <c r="N3990">
        <f>Data!H4002</f>
        <v>0</v>
      </c>
      <c r="O3990">
        <f>Data!I4002</f>
        <v>0</v>
      </c>
      <c r="P3990" s="21">
        <f>Data!J4006</f>
        <v>0</v>
      </c>
      <c r="Q3990">
        <f>Data!K4006</f>
        <v>0</v>
      </c>
      <c r="R3990">
        <f>Data!L4006</f>
        <v>0</v>
      </c>
      <c r="S3990">
        <f>Data!M4006</f>
        <v>0</v>
      </c>
      <c r="T3990">
        <f>Data!N4006</f>
        <v>0</v>
      </c>
      <c r="U3990">
        <f>Data!O4006</f>
        <v>0</v>
      </c>
      <c r="V3990" s="33">
        <f>Data!P4004</f>
        <v>0</v>
      </c>
    </row>
    <row r="3991" spans="7:22" x14ac:dyDescent="0.25">
      <c r="G3991">
        <f>Data!B4003</f>
        <v>0</v>
      </c>
      <c r="H3991" s="21">
        <f>Data!B4003</f>
        <v>0</v>
      </c>
      <c r="I3991" s="21">
        <f>Data!C4003</f>
        <v>0</v>
      </c>
      <c r="J3991">
        <f>Data!D4003</f>
        <v>0</v>
      </c>
      <c r="K3991">
        <f>Data!E4003</f>
        <v>0</v>
      </c>
      <c r="L3991">
        <f>Data!F4003</f>
        <v>0</v>
      </c>
      <c r="M3991">
        <f>Data!G4003</f>
        <v>0</v>
      </c>
      <c r="N3991">
        <f>Data!H4003</f>
        <v>0</v>
      </c>
      <c r="O3991">
        <f>Data!I4003</f>
        <v>0</v>
      </c>
      <c r="P3991" s="21">
        <f>Data!J4007</f>
        <v>0</v>
      </c>
      <c r="Q3991">
        <f>Data!K4007</f>
        <v>0</v>
      </c>
      <c r="R3991">
        <f>Data!L4007</f>
        <v>0</v>
      </c>
      <c r="S3991">
        <f>Data!M4007</f>
        <v>0</v>
      </c>
      <c r="T3991">
        <f>Data!N4007</f>
        <v>0</v>
      </c>
      <c r="U3991">
        <f>Data!O4007</f>
        <v>0</v>
      </c>
      <c r="V3991" s="33">
        <f>Data!P4005</f>
        <v>0</v>
      </c>
    </row>
    <row r="3992" spans="7:22" x14ac:dyDescent="0.25">
      <c r="G3992">
        <f>Data!B4004</f>
        <v>0</v>
      </c>
      <c r="H3992" s="21">
        <f>Data!B4004</f>
        <v>0</v>
      </c>
      <c r="I3992" s="21">
        <f>Data!C4004</f>
        <v>0</v>
      </c>
      <c r="J3992">
        <f>Data!D4004</f>
        <v>0</v>
      </c>
      <c r="K3992">
        <f>Data!E4004</f>
        <v>0</v>
      </c>
      <c r="L3992">
        <f>Data!F4004</f>
        <v>0</v>
      </c>
      <c r="M3992">
        <f>Data!G4004</f>
        <v>0</v>
      </c>
      <c r="N3992">
        <f>Data!H4004</f>
        <v>0</v>
      </c>
      <c r="O3992">
        <f>Data!I4004</f>
        <v>0</v>
      </c>
      <c r="P3992" s="21">
        <f>Data!J4008</f>
        <v>0</v>
      </c>
      <c r="Q3992">
        <f>Data!K4008</f>
        <v>0</v>
      </c>
      <c r="R3992">
        <f>Data!L4008</f>
        <v>0</v>
      </c>
      <c r="S3992">
        <f>Data!M4008</f>
        <v>0</v>
      </c>
      <c r="T3992">
        <f>Data!N4008</f>
        <v>0</v>
      </c>
      <c r="U3992">
        <f>Data!O4008</f>
        <v>0</v>
      </c>
      <c r="V3992" s="33">
        <f>Data!P4006</f>
        <v>0</v>
      </c>
    </row>
    <row r="3993" spans="7:22" x14ac:dyDescent="0.25">
      <c r="G3993">
        <f>Data!B4005</f>
        <v>0</v>
      </c>
      <c r="H3993" s="21">
        <f>Data!B4005</f>
        <v>0</v>
      </c>
      <c r="I3993" s="21">
        <f>Data!C4005</f>
        <v>0</v>
      </c>
      <c r="J3993">
        <f>Data!D4005</f>
        <v>0</v>
      </c>
      <c r="K3993">
        <f>Data!E4005</f>
        <v>0</v>
      </c>
      <c r="L3993">
        <f>Data!F4005</f>
        <v>0</v>
      </c>
      <c r="M3993">
        <f>Data!G4005</f>
        <v>0</v>
      </c>
      <c r="N3993">
        <f>Data!H4005</f>
        <v>0</v>
      </c>
      <c r="O3993">
        <f>Data!I4005</f>
        <v>0</v>
      </c>
      <c r="P3993" s="21">
        <f>Data!J4009</f>
        <v>0</v>
      </c>
      <c r="Q3993">
        <f>Data!K4009</f>
        <v>0</v>
      </c>
      <c r="R3993">
        <f>Data!L4009</f>
        <v>0</v>
      </c>
      <c r="S3993">
        <f>Data!M4009</f>
        <v>0</v>
      </c>
      <c r="T3993">
        <f>Data!N4009</f>
        <v>0</v>
      </c>
      <c r="U3993">
        <f>Data!O4009</f>
        <v>0</v>
      </c>
      <c r="V3993" s="33">
        <f>Data!P4007</f>
        <v>0</v>
      </c>
    </row>
    <row r="3994" spans="7:22" x14ac:dyDescent="0.25">
      <c r="G3994">
        <f>Data!B4006</f>
        <v>0</v>
      </c>
      <c r="H3994" s="21">
        <f>Data!B4006</f>
        <v>0</v>
      </c>
      <c r="I3994" s="21">
        <f>Data!C4006</f>
        <v>0</v>
      </c>
      <c r="J3994">
        <f>Data!D4006</f>
        <v>0</v>
      </c>
      <c r="K3994">
        <f>Data!E4006</f>
        <v>0</v>
      </c>
      <c r="L3994">
        <f>Data!F4006</f>
        <v>0</v>
      </c>
      <c r="M3994">
        <f>Data!G4006</f>
        <v>0</v>
      </c>
      <c r="N3994">
        <f>Data!H4006</f>
        <v>0</v>
      </c>
      <c r="O3994">
        <f>Data!I4006</f>
        <v>0</v>
      </c>
      <c r="P3994" s="21">
        <f>Data!J4010</f>
        <v>0</v>
      </c>
      <c r="Q3994">
        <f>Data!K4010</f>
        <v>0</v>
      </c>
      <c r="R3994">
        <f>Data!L4010</f>
        <v>0</v>
      </c>
      <c r="S3994">
        <f>Data!M4010</f>
        <v>0</v>
      </c>
      <c r="T3994">
        <f>Data!N4010</f>
        <v>0</v>
      </c>
      <c r="U3994">
        <f>Data!O4010</f>
        <v>0</v>
      </c>
      <c r="V3994" s="33">
        <f>Data!P4008</f>
        <v>0</v>
      </c>
    </row>
    <row r="3995" spans="7:22" x14ac:dyDescent="0.25">
      <c r="G3995">
        <f>Data!B4007</f>
        <v>0</v>
      </c>
      <c r="H3995" s="21">
        <f>Data!B4007</f>
        <v>0</v>
      </c>
      <c r="I3995" s="21">
        <f>Data!C4007</f>
        <v>0</v>
      </c>
      <c r="J3995">
        <f>Data!D4007</f>
        <v>0</v>
      </c>
      <c r="K3995">
        <f>Data!E4007</f>
        <v>0</v>
      </c>
      <c r="L3995">
        <f>Data!F4007</f>
        <v>0</v>
      </c>
      <c r="M3995">
        <f>Data!G4007</f>
        <v>0</v>
      </c>
      <c r="N3995">
        <f>Data!H4007</f>
        <v>0</v>
      </c>
      <c r="O3995">
        <f>Data!I4007</f>
        <v>0</v>
      </c>
      <c r="P3995" s="21">
        <f>Data!J4011</f>
        <v>0</v>
      </c>
      <c r="Q3995">
        <f>Data!K4011</f>
        <v>0</v>
      </c>
      <c r="R3995">
        <f>Data!L4011</f>
        <v>0</v>
      </c>
      <c r="S3995">
        <f>Data!M4011</f>
        <v>0</v>
      </c>
      <c r="T3995">
        <f>Data!N4011</f>
        <v>0</v>
      </c>
      <c r="U3995">
        <f>Data!O4011</f>
        <v>0</v>
      </c>
      <c r="V3995" s="33">
        <f>Data!P4009</f>
        <v>0</v>
      </c>
    </row>
    <row r="3996" spans="7:22" x14ac:dyDescent="0.25">
      <c r="G3996">
        <f>Data!B4008</f>
        <v>0</v>
      </c>
      <c r="H3996" s="21">
        <f>Data!B4008</f>
        <v>0</v>
      </c>
      <c r="I3996" s="21">
        <f>Data!C4008</f>
        <v>0</v>
      </c>
      <c r="J3996">
        <f>Data!D4008</f>
        <v>0</v>
      </c>
      <c r="K3996">
        <f>Data!E4008</f>
        <v>0</v>
      </c>
      <c r="L3996">
        <f>Data!F4008</f>
        <v>0</v>
      </c>
      <c r="M3996">
        <f>Data!G4008</f>
        <v>0</v>
      </c>
      <c r="N3996">
        <f>Data!H4008</f>
        <v>0</v>
      </c>
      <c r="O3996">
        <f>Data!I4008</f>
        <v>0</v>
      </c>
      <c r="P3996" s="21">
        <f>Data!J4012</f>
        <v>0</v>
      </c>
      <c r="Q3996">
        <f>Data!K4012</f>
        <v>0</v>
      </c>
      <c r="R3996">
        <f>Data!L4012</f>
        <v>0</v>
      </c>
      <c r="S3996">
        <f>Data!M4012</f>
        <v>0</v>
      </c>
      <c r="T3996">
        <f>Data!N4012</f>
        <v>0</v>
      </c>
      <c r="U3996">
        <f>Data!O4012</f>
        <v>0</v>
      </c>
      <c r="V3996" s="33">
        <f>Data!P4010</f>
        <v>0</v>
      </c>
    </row>
    <row r="3997" spans="7:22" x14ac:dyDescent="0.25">
      <c r="G3997">
        <f>Data!B4009</f>
        <v>0</v>
      </c>
      <c r="H3997" s="21">
        <f>Data!B4009</f>
        <v>0</v>
      </c>
      <c r="I3997" s="21">
        <f>Data!C4009</f>
        <v>0</v>
      </c>
      <c r="J3997">
        <f>Data!D4009</f>
        <v>0</v>
      </c>
      <c r="K3997">
        <f>Data!E4009</f>
        <v>0</v>
      </c>
      <c r="L3997">
        <f>Data!F4009</f>
        <v>0</v>
      </c>
      <c r="M3997">
        <f>Data!G4009</f>
        <v>0</v>
      </c>
      <c r="N3997">
        <f>Data!H4009</f>
        <v>0</v>
      </c>
      <c r="O3997">
        <f>Data!I4009</f>
        <v>0</v>
      </c>
      <c r="P3997" s="21">
        <f>Data!J4013</f>
        <v>0</v>
      </c>
      <c r="Q3997">
        <f>Data!K4013</f>
        <v>0</v>
      </c>
      <c r="R3997">
        <f>Data!L4013</f>
        <v>0</v>
      </c>
      <c r="S3997">
        <f>Data!M4013</f>
        <v>0</v>
      </c>
      <c r="T3997">
        <f>Data!N4013</f>
        <v>0</v>
      </c>
      <c r="U3997">
        <f>Data!O4013</f>
        <v>0</v>
      </c>
      <c r="V3997" s="33">
        <f>Data!P4011</f>
        <v>0</v>
      </c>
    </row>
    <row r="3998" spans="7:22" x14ac:dyDescent="0.25">
      <c r="G3998">
        <f>Data!B4010</f>
        <v>0</v>
      </c>
      <c r="H3998" s="21">
        <f>Data!B4010</f>
        <v>0</v>
      </c>
      <c r="I3998" s="21">
        <f>Data!C4010</f>
        <v>0</v>
      </c>
      <c r="J3998">
        <f>Data!D4010</f>
        <v>0</v>
      </c>
      <c r="K3998">
        <f>Data!E4010</f>
        <v>0</v>
      </c>
      <c r="L3998">
        <f>Data!F4010</f>
        <v>0</v>
      </c>
      <c r="M3998">
        <f>Data!G4010</f>
        <v>0</v>
      </c>
      <c r="N3998">
        <f>Data!H4010</f>
        <v>0</v>
      </c>
      <c r="O3998">
        <f>Data!I4010</f>
        <v>0</v>
      </c>
      <c r="P3998" s="21">
        <f>Data!J4014</f>
        <v>0</v>
      </c>
      <c r="Q3998">
        <f>Data!K4014</f>
        <v>0</v>
      </c>
      <c r="R3998">
        <f>Data!L4014</f>
        <v>0</v>
      </c>
      <c r="S3998">
        <f>Data!M4014</f>
        <v>0</v>
      </c>
      <c r="T3998">
        <f>Data!N4014</f>
        <v>0</v>
      </c>
      <c r="U3998">
        <f>Data!O4014</f>
        <v>0</v>
      </c>
      <c r="V3998" s="33">
        <f>Data!P4012</f>
        <v>0</v>
      </c>
    </row>
    <row r="3999" spans="7:22" x14ac:dyDescent="0.25">
      <c r="G3999">
        <f>Data!B4011</f>
        <v>0</v>
      </c>
      <c r="H3999" s="21">
        <f>Data!B4011</f>
        <v>0</v>
      </c>
      <c r="I3999" s="21">
        <f>Data!C4011</f>
        <v>0</v>
      </c>
      <c r="J3999">
        <f>Data!D4011</f>
        <v>0</v>
      </c>
      <c r="K3999">
        <f>Data!E4011</f>
        <v>0</v>
      </c>
      <c r="L3999">
        <f>Data!F4011</f>
        <v>0</v>
      </c>
      <c r="M3999">
        <f>Data!G4011</f>
        <v>0</v>
      </c>
      <c r="N3999">
        <f>Data!H4011</f>
        <v>0</v>
      </c>
      <c r="O3999">
        <f>Data!I4011</f>
        <v>0</v>
      </c>
      <c r="P3999" s="21">
        <f>Data!J4015</f>
        <v>0</v>
      </c>
      <c r="Q3999">
        <f>Data!K4015</f>
        <v>0</v>
      </c>
      <c r="R3999">
        <f>Data!L4015</f>
        <v>0</v>
      </c>
      <c r="S3999">
        <f>Data!M4015</f>
        <v>0</v>
      </c>
      <c r="T3999">
        <f>Data!N4015</f>
        <v>0</v>
      </c>
      <c r="U3999">
        <f>Data!O4015</f>
        <v>0</v>
      </c>
      <c r="V3999" s="33">
        <f>Data!P4013</f>
        <v>0</v>
      </c>
    </row>
    <row r="4000" spans="7:22" x14ac:dyDescent="0.25">
      <c r="G4000">
        <f>Data!B4012</f>
        <v>0</v>
      </c>
      <c r="H4000" s="21">
        <f>Data!B4012</f>
        <v>0</v>
      </c>
      <c r="I4000" s="21">
        <f>Data!C4012</f>
        <v>0</v>
      </c>
      <c r="J4000">
        <f>Data!D4012</f>
        <v>0</v>
      </c>
      <c r="K4000">
        <f>Data!E4012</f>
        <v>0</v>
      </c>
      <c r="L4000">
        <f>Data!F4012</f>
        <v>0</v>
      </c>
      <c r="M4000">
        <f>Data!G4012</f>
        <v>0</v>
      </c>
      <c r="N4000">
        <f>Data!H4012</f>
        <v>0</v>
      </c>
      <c r="O4000">
        <f>Data!I4012</f>
        <v>0</v>
      </c>
      <c r="P4000" s="21">
        <f>Data!J4016</f>
        <v>0</v>
      </c>
      <c r="Q4000">
        <f>Data!K4016</f>
        <v>0</v>
      </c>
      <c r="R4000">
        <f>Data!L4016</f>
        <v>0</v>
      </c>
      <c r="S4000">
        <f>Data!M4016</f>
        <v>0</v>
      </c>
      <c r="T4000">
        <f>Data!N4016</f>
        <v>0</v>
      </c>
      <c r="U4000">
        <f>Data!O4016</f>
        <v>0</v>
      </c>
      <c r="V4000" s="33">
        <f>Data!P4014</f>
        <v>0</v>
      </c>
    </row>
    <row r="4001" spans="7:22" x14ac:dyDescent="0.25">
      <c r="G4001">
        <f>Data!B4013</f>
        <v>0</v>
      </c>
      <c r="H4001" s="21">
        <f>Data!B4013</f>
        <v>0</v>
      </c>
      <c r="I4001" s="21">
        <f>Data!C4013</f>
        <v>0</v>
      </c>
      <c r="J4001">
        <f>Data!D4013</f>
        <v>0</v>
      </c>
      <c r="K4001">
        <f>Data!E4013</f>
        <v>0</v>
      </c>
      <c r="L4001">
        <f>Data!F4013</f>
        <v>0</v>
      </c>
      <c r="M4001">
        <f>Data!G4013</f>
        <v>0</v>
      </c>
      <c r="N4001">
        <f>Data!H4013</f>
        <v>0</v>
      </c>
      <c r="O4001">
        <f>Data!I4013</f>
        <v>0</v>
      </c>
      <c r="P4001" s="21">
        <f>Data!J4017</f>
        <v>0</v>
      </c>
      <c r="Q4001">
        <f>Data!K4017</f>
        <v>0</v>
      </c>
      <c r="R4001">
        <f>Data!L4017</f>
        <v>0</v>
      </c>
      <c r="S4001">
        <f>Data!M4017</f>
        <v>0</v>
      </c>
      <c r="T4001">
        <f>Data!N4017</f>
        <v>0</v>
      </c>
      <c r="U4001">
        <f>Data!O4017</f>
        <v>0</v>
      </c>
      <c r="V4001" s="33">
        <f>Data!P4015</f>
        <v>0</v>
      </c>
    </row>
    <row r="4002" spans="7:22" x14ac:dyDescent="0.25">
      <c r="G4002">
        <f>Data!B4014</f>
        <v>0</v>
      </c>
      <c r="H4002" s="21">
        <f>Data!B4014</f>
        <v>0</v>
      </c>
      <c r="I4002" s="21">
        <f>Data!C4014</f>
        <v>0</v>
      </c>
      <c r="J4002">
        <f>Data!D4014</f>
        <v>0</v>
      </c>
      <c r="K4002">
        <f>Data!E4014</f>
        <v>0</v>
      </c>
      <c r="L4002">
        <f>Data!F4014</f>
        <v>0</v>
      </c>
      <c r="M4002">
        <f>Data!G4014</f>
        <v>0</v>
      </c>
      <c r="N4002">
        <f>Data!H4014</f>
        <v>0</v>
      </c>
      <c r="O4002">
        <f>Data!I4014</f>
        <v>0</v>
      </c>
      <c r="P4002" s="21">
        <f>Data!J4018</f>
        <v>0</v>
      </c>
      <c r="Q4002">
        <f>Data!K4018</f>
        <v>0</v>
      </c>
      <c r="R4002">
        <f>Data!L4018</f>
        <v>0</v>
      </c>
      <c r="S4002">
        <f>Data!M4018</f>
        <v>0</v>
      </c>
      <c r="T4002">
        <f>Data!N4018</f>
        <v>0</v>
      </c>
      <c r="U4002">
        <f>Data!O4018</f>
        <v>0</v>
      </c>
      <c r="V4002" s="33">
        <f>Data!P4016</f>
        <v>0</v>
      </c>
    </row>
    <row r="4003" spans="7:22" x14ac:dyDescent="0.25">
      <c r="G4003">
        <f>Data!B4015</f>
        <v>0</v>
      </c>
      <c r="H4003" s="21">
        <f>Data!B4015</f>
        <v>0</v>
      </c>
      <c r="I4003" s="21">
        <f>Data!C4015</f>
        <v>0</v>
      </c>
      <c r="J4003">
        <f>Data!D4015</f>
        <v>0</v>
      </c>
      <c r="K4003">
        <f>Data!E4015</f>
        <v>0</v>
      </c>
      <c r="L4003">
        <f>Data!F4015</f>
        <v>0</v>
      </c>
      <c r="M4003">
        <f>Data!G4015</f>
        <v>0</v>
      </c>
      <c r="N4003">
        <f>Data!H4015</f>
        <v>0</v>
      </c>
      <c r="O4003">
        <f>Data!I4015</f>
        <v>0</v>
      </c>
      <c r="P4003" s="21">
        <f>Data!J4019</f>
        <v>0</v>
      </c>
      <c r="Q4003">
        <f>Data!K4019</f>
        <v>0</v>
      </c>
      <c r="R4003">
        <f>Data!L4019</f>
        <v>0</v>
      </c>
      <c r="S4003">
        <f>Data!M4019</f>
        <v>0</v>
      </c>
      <c r="T4003">
        <f>Data!N4019</f>
        <v>0</v>
      </c>
      <c r="U4003">
        <f>Data!O4019</f>
        <v>0</v>
      </c>
      <c r="V4003" s="33">
        <f>Data!P4017</f>
        <v>0</v>
      </c>
    </row>
    <row r="4004" spans="7:22" x14ac:dyDescent="0.25">
      <c r="G4004">
        <f>Data!B4016</f>
        <v>0</v>
      </c>
      <c r="H4004" s="21">
        <f>Data!B4016</f>
        <v>0</v>
      </c>
      <c r="I4004" s="21">
        <f>Data!C4016</f>
        <v>0</v>
      </c>
      <c r="J4004">
        <f>Data!D4016</f>
        <v>0</v>
      </c>
      <c r="K4004">
        <f>Data!E4016</f>
        <v>0</v>
      </c>
      <c r="L4004">
        <f>Data!F4016</f>
        <v>0</v>
      </c>
      <c r="M4004">
        <f>Data!G4016</f>
        <v>0</v>
      </c>
      <c r="N4004">
        <f>Data!H4016</f>
        <v>0</v>
      </c>
      <c r="O4004">
        <f>Data!I4016</f>
        <v>0</v>
      </c>
      <c r="P4004" s="21">
        <f>Data!J4020</f>
        <v>0</v>
      </c>
      <c r="Q4004">
        <f>Data!K4020</f>
        <v>0</v>
      </c>
      <c r="R4004">
        <f>Data!L4020</f>
        <v>0</v>
      </c>
      <c r="S4004">
        <f>Data!M4020</f>
        <v>0</v>
      </c>
      <c r="T4004">
        <f>Data!N4020</f>
        <v>0</v>
      </c>
      <c r="U4004">
        <f>Data!O4020</f>
        <v>0</v>
      </c>
      <c r="V4004" s="33">
        <f>Data!P4018</f>
        <v>0</v>
      </c>
    </row>
    <row r="4005" spans="7:22" x14ac:dyDescent="0.25">
      <c r="G4005">
        <f>Data!B4017</f>
        <v>0</v>
      </c>
      <c r="H4005" s="21">
        <f>Data!B4017</f>
        <v>0</v>
      </c>
      <c r="I4005" s="21">
        <f>Data!C4017</f>
        <v>0</v>
      </c>
      <c r="J4005">
        <f>Data!D4017</f>
        <v>0</v>
      </c>
      <c r="K4005">
        <f>Data!E4017</f>
        <v>0</v>
      </c>
      <c r="L4005">
        <f>Data!F4017</f>
        <v>0</v>
      </c>
      <c r="M4005">
        <f>Data!G4017</f>
        <v>0</v>
      </c>
      <c r="N4005">
        <f>Data!H4017</f>
        <v>0</v>
      </c>
      <c r="O4005">
        <f>Data!I4017</f>
        <v>0</v>
      </c>
      <c r="P4005" s="21">
        <f>Data!J4021</f>
        <v>0</v>
      </c>
      <c r="Q4005">
        <f>Data!K4021</f>
        <v>0</v>
      </c>
      <c r="R4005">
        <f>Data!L4021</f>
        <v>0</v>
      </c>
      <c r="S4005">
        <f>Data!M4021</f>
        <v>0</v>
      </c>
      <c r="T4005">
        <f>Data!N4021</f>
        <v>0</v>
      </c>
      <c r="U4005">
        <f>Data!O4021</f>
        <v>0</v>
      </c>
      <c r="V4005" s="33">
        <f>Data!P4019</f>
        <v>0</v>
      </c>
    </row>
    <row r="4006" spans="7:22" x14ac:dyDescent="0.25">
      <c r="G4006">
        <f>Data!B4018</f>
        <v>0</v>
      </c>
      <c r="H4006" s="21">
        <f>Data!B4018</f>
        <v>0</v>
      </c>
      <c r="I4006" s="21">
        <f>Data!C4018</f>
        <v>0</v>
      </c>
      <c r="J4006">
        <f>Data!D4018</f>
        <v>0</v>
      </c>
      <c r="K4006">
        <f>Data!E4018</f>
        <v>0</v>
      </c>
      <c r="L4006">
        <f>Data!F4018</f>
        <v>0</v>
      </c>
      <c r="M4006">
        <f>Data!G4018</f>
        <v>0</v>
      </c>
      <c r="N4006">
        <f>Data!H4018</f>
        <v>0</v>
      </c>
      <c r="O4006">
        <f>Data!I4018</f>
        <v>0</v>
      </c>
      <c r="P4006" s="21">
        <f>Data!J4022</f>
        <v>0</v>
      </c>
      <c r="Q4006">
        <f>Data!K4022</f>
        <v>0</v>
      </c>
      <c r="R4006">
        <f>Data!L4022</f>
        <v>0</v>
      </c>
      <c r="S4006">
        <f>Data!M4022</f>
        <v>0</v>
      </c>
      <c r="T4006">
        <f>Data!N4022</f>
        <v>0</v>
      </c>
      <c r="U4006">
        <f>Data!O4022</f>
        <v>0</v>
      </c>
      <c r="V4006" s="33">
        <f>Data!P4020</f>
        <v>0</v>
      </c>
    </row>
    <row r="4007" spans="7:22" x14ac:dyDescent="0.25">
      <c r="G4007">
        <f>Data!B4019</f>
        <v>0</v>
      </c>
      <c r="H4007" s="21">
        <f>Data!B4019</f>
        <v>0</v>
      </c>
      <c r="I4007" s="21">
        <f>Data!C4019</f>
        <v>0</v>
      </c>
      <c r="J4007">
        <f>Data!D4019</f>
        <v>0</v>
      </c>
      <c r="K4007">
        <f>Data!E4019</f>
        <v>0</v>
      </c>
      <c r="L4007">
        <f>Data!F4019</f>
        <v>0</v>
      </c>
      <c r="M4007">
        <f>Data!G4019</f>
        <v>0</v>
      </c>
      <c r="N4007">
        <f>Data!H4019</f>
        <v>0</v>
      </c>
      <c r="O4007">
        <f>Data!I4019</f>
        <v>0</v>
      </c>
      <c r="P4007" s="21">
        <f>Data!J4023</f>
        <v>0</v>
      </c>
      <c r="Q4007">
        <f>Data!K4023</f>
        <v>0</v>
      </c>
      <c r="R4007">
        <f>Data!L4023</f>
        <v>0</v>
      </c>
      <c r="S4007">
        <f>Data!M4023</f>
        <v>0</v>
      </c>
      <c r="T4007">
        <f>Data!N4023</f>
        <v>0</v>
      </c>
      <c r="U4007">
        <f>Data!O4023</f>
        <v>0</v>
      </c>
      <c r="V4007" s="33">
        <f>Data!P4021</f>
        <v>0</v>
      </c>
    </row>
    <row r="4008" spans="7:22" x14ac:dyDescent="0.25">
      <c r="G4008">
        <f>Data!B4020</f>
        <v>0</v>
      </c>
      <c r="H4008" s="21">
        <f>Data!B4020</f>
        <v>0</v>
      </c>
      <c r="I4008" s="21">
        <f>Data!C4020</f>
        <v>0</v>
      </c>
      <c r="J4008">
        <f>Data!D4020</f>
        <v>0</v>
      </c>
      <c r="K4008">
        <f>Data!E4020</f>
        <v>0</v>
      </c>
      <c r="L4008">
        <f>Data!F4020</f>
        <v>0</v>
      </c>
      <c r="M4008">
        <f>Data!G4020</f>
        <v>0</v>
      </c>
      <c r="N4008">
        <f>Data!H4020</f>
        <v>0</v>
      </c>
      <c r="O4008">
        <f>Data!I4020</f>
        <v>0</v>
      </c>
      <c r="P4008" s="21">
        <f>Data!J4024</f>
        <v>0</v>
      </c>
      <c r="Q4008">
        <f>Data!K4024</f>
        <v>0</v>
      </c>
      <c r="R4008">
        <f>Data!L4024</f>
        <v>0</v>
      </c>
      <c r="S4008">
        <f>Data!M4024</f>
        <v>0</v>
      </c>
      <c r="T4008">
        <f>Data!N4024</f>
        <v>0</v>
      </c>
      <c r="U4008">
        <f>Data!O4024</f>
        <v>0</v>
      </c>
      <c r="V4008" s="33">
        <f>Data!P4022</f>
        <v>0</v>
      </c>
    </row>
    <row r="4009" spans="7:22" x14ac:dyDescent="0.25">
      <c r="G4009">
        <f>Data!B4021</f>
        <v>0</v>
      </c>
      <c r="H4009" s="21">
        <f>Data!B4021</f>
        <v>0</v>
      </c>
      <c r="I4009" s="21">
        <f>Data!C4021</f>
        <v>0</v>
      </c>
      <c r="J4009">
        <f>Data!D4021</f>
        <v>0</v>
      </c>
      <c r="K4009">
        <f>Data!E4021</f>
        <v>0</v>
      </c>
      <c r="L4009">
        <f>Data!F4021</f>
        <v>0</v>
      </c>
      <c r="M4009">
        <f>Data!G4021</f>
        <v>0</v>
      </c>
      <c r="N4009">
        <f>Data!H4021</f>
        <v>0</v>
      </c>
      <c r="O4009">
        <f>Data!I4021</f>
        <v>0</v>
      </c>
      <c r="P4009" s="21">
        <f>Data!J4025</f>
        <v>0</v>
      </c>
      <c r="Q4009">
        <f>Data!K4025</f>
        <v>0</v>
      </c>
      <c r="R4009">
        <f>Data!L4025</f>
        <v>0</v>
      </c>
      <c r="S4009">
        <f>Data!M4025</f>
        <v>0</v>
      </c>
      <c r="T4009">
        <f>Data!N4025</f>
        <v>0</v>
      </c>
      <c r="U4009">
        <f>Data!O4025</f>
        <v>0</v>
      </c>
      <c r="V4009" s="33">
        <f>Data!P4023</f>
        <v>0</v>
      </c>
    </row>
    <row r="4010" spans="7:22" x14ac:dyDescent="0.25">
      <c r="G4010">
        <f>Data!B4022</f>
        <v>0</v>
      </c>
      <c r="H4010" s="21">
        <f>Data!B4022</f>
        <v>0</v>
      </c>
      <c r="I4010" s="21">
        <f>Data!C4022</f>
        <v>0</v>
      </c>
      <c r="J4010">
        <f>Data!D4022</f>
        <v>0</v>
      </c>
      <c r="K4010">
        <f>Data!E4022</f>
        <v>0</v>
      </c>
      <c r="L4010">
        <f>Data!F4022</f>
        <v>0</v>
      </c>
      <c r="M4010">
        <f>Data!G4022</f>
        <v>0</v>
      </c>
      <c r="N4010">
        <f>Data!H4022</f>
        <v>0</v>
      </c>
      <c r="O4010">
        <f>Data!I4022</f>
        <v>0</v>
      </c>
      <c r="P4010" s="21">
        <f>Data!J4026</f>
        <v>0</v>
      </c>
      <c r="Q4010">
        <f>Data!K4026</f>
        <v>0</v>
      </c>
      <c r="R4010">
        <f>Data!L4026</f>
        <v>0</v>
      </c>
      <c r="S4010">
        <f>Data!M4026</f>
        <v>0</v>
      </c>
      <c r="T4010">
        <f>Data!N4026</f>
        <v>0</v>
      </c>
      <c r="U4010">
        <f>Data!O4026</f>
        <v>0</v>
      </c>
      <c r="V4010" s="33">
        <f>Data!P4024</f>
        <v>0</v>
      </c>
    </row>
    <row r="4011" spans="7:22" x14ac:dyDescent="0.25">
      <c r="G4011">
        <f>Data!B4023</f>
        <v>0</v>
      </c>
      <c r="H4011" s="21">
        <f>Data!B4023</f>
        <v>0</v>
      </c>
      <c r="I4011" s="21">
        <f>Data!C4023</f>
        <v>0</v>
      </c>
      <c r="J4011">
        <f>Data!D4023</f>
        <v>0</v>
      </c>
      <c r="K4011">
        <f>Data!E4023</f>
        <v>0</v>
      </c>
      <c r="L4011">
        <f>Data!F4023</f>
        <v>0</v>
      </c>
      <c r="M4011">
        <f>Data!G4023</f>
        <v>0</v>
      </c>
      <c r="N4011">
        <f>Data!H4023</f>
        <v>0</v>
      </c>
      <c r="O4011">
        <f>Data!I4023</f>
        <v>0</v>
      </c>
      <c r="P4011" s="21">
        <f>Data!J4027</f>
        <v>0</v>
      </c>
      <c r="Q4011">
        <f>Data!K4027</f>
        <v>0</v>
      </c>
      <c r="R4011">
        <f>Data!L4027</f>
        <v>0</v>
      </c>
      <c r="S4011">
        <f>Data!M4027</f>
        <v>0</v>
      </c>
      <c r="T4011">
        <f>Data!N4027</f>
        <v>0</v>
      </c>
      <c r="U4011">
        <f>Data!O4027</f>
        <v>0</v>
      </c>
      <c r="V4011" s="33">
        <f>Data!P4025</f>
        <v>0</v>
      </c>
    </row>
    <row r="4012" spans="7:22" x14ac:dyDescent="0.25">
      <c r="G4012">
        <f>Data!B4024</f>
        <v>0</v>
      </c>
      <c r="H4012" s="21">
        <f>Data!B4024</f>
        <v>0</v>
      </c>
      <c r="I4012" s="21">
        <f>Data!C4024</f>
        <v>0</v>
      </c>
      <c r="J4012">
        <f>Data!D4024</f>
        <v>0</v>
      </c>
      <c r="K4012">
        <f>Data!E4024</f>
        <v>0</v>
      </c>
      <c r="L4012">
        <f>Data!F4024</f>
        <v>0</v>
      </c>
      <c r="M4012">
        <f>Data!G4024</f>
        <v>0</v>
      </c>
      <c r="N4012">
        <f>Data!H4024</f>
        <v>0</v>
      </c>
      <c r="O4012">
        <f>Data!I4024</f>
        <v>0</v>
      </c>
      <c r="P4012" s="21">
        <f>Data!J4028</f>
        <v>0</v>
      </c>
      <c r="Q4012">
        <f>Data!K4028</f>
        <v>0</v>
      </c>
      <c r="R4012">
        <f>Data!L4028</f>
        <v>0</v>
      </c>
      <c r="S4012">
        <f>Data!M4028</f>
        <v>0</v>
      </c>
      <c r="T4012">
        <f>Data!N4028</f>
        <v>0</v>
      </c>
      <c r="U4012">
        <f>Data!O4028</f>
        <v>0</v>
      </c>
      <c r="V4012" s="33">
        <f>Data!P4026</f>
        <v>0</v>
      </c>
    </row>
    <row r="4013" spans="7:22" x14ac:dyDescent="0.25">
      <c r="G4013">
        <f>Data!B4025</f>
        <v>0</v>
      </c>
      <c r="H4013" s="21">
        <f>Data!B4025</f>
        <v>0</v>
      </c>
      <c r="I4013" s="21">
        <f>Data!C4025</f>
        <v>0</v>
      </c>
      <c r="J4013">
        <f>Data!D4025</f>
        <v>0</v>
      </c>
      <c r="K4013">
        <f>Data!E4025</f>
        <v>0</v>
      </c>
      <c r="L4013">
        <f>Data!F4025</f>
        <v>0</v>
      </c>
      <c r="M4013">
        <f>Data!G4025</f>
        <v>0</v>
      </c>
      <c r="N4013">
        <f>Data!H4025</f>
        <v>0</v>
      </c>
      <c r="O4013">
        <f>Data!I4025</f>
        <v>0</v>
      </c>
      <c r="P4013" s="21">
        <f>Data!J4029</f>
        <v>0</v>
      </c>
      <c r="Q4013">
        <f>Data!K4029</f>
        <v>0</v>
      </c>
      <c r="R4013">
        <f>Data!L4029</f>
        <v>0</v>
      </c>
      <c r="S4013">
        <f>Data!M4029</f>
        <v>0</v>
      </c>
      <c r="T4013">
        <f>Data!N4029</f>
        <v>0</v>
      </c>
      <c r="U4013">
        <f>Data!O4029</f>
        <v>0</v>
      </c>
      <c r="V4013" s="33">
        <f>Data!P4027</f>
        <v>0</v>
      </c>
    </row>
    <row r="4014" spans="7:22" x14ac:dyDescent="0.25">
      <c r="G4014">
        <f>Data!B4026</f>
        <v>0</v>
      </c>
      <c r="H4014" s="21">
        <f>Data!B4026</f>
        <v>0</v>
      </c>
      <c r="I4014" s="21">
        <f>Data!C4026</f>
        <v>0</v>
      </c>
      <c r="J4014">
        <f>Data!D4026</f>
        <v>0</v>
      </c>
      <c r="K4014">
        <f>Data!E4026</f>
        <v>0</v>
      </c>
      <c r="L4014">
        <f>Data!F4026</f>
        <v>0</v>
      </c>
      <c r="M4014">
        <f>Data!G4026</f>
        <v>0</v>
      </c>
      <c r="N4014">
        <f>Data!H4026</f>
        <v>0</v>
      </c>
      <c r="O4014">
        <f>Data!I4026</f>
        <v>0</v>
      </c>
      <c r="P4014" s="21">
        <f>Data!J4030</f>
        <v>0</v>
      </c>
      <c r="Q4014">
        <f>Data!K4030</f>
        <v>0</v>
      </c>
      <c r="R4014">
        <f>Data!L4030</f>
        <v>0</v>
      </c>
      <c r="S4014">
        <f>Data!M4030</f>
        <v>0</v>
      </c>
      <c r="T4014">
        <f>Data!N4030</f>
        <v>0</v>
      </c>
      <c r="U4014">
        <f>Data!O4030</f>
        <v>0</v>
      </c>
      <c r="V4014" s="33">
        <f>Data!P4028</f>
        <v>0</v>
      </c>
    </row>
    <row r="4015" spans="7:22" x14ac:dyDescent="0.25">
      <c r="G4015">
        <f>Data!B4027</f>
        <v>0</v>
      </c>
      <c r="H4015" s="21">
        <f>Data!B4027</f>
        <v>0</v>
      </c>
      <c r="I4015" s="21">
        <f>Data!C4027</f>
        <v>0</v>
      </c>
      <c r="J4015">
        <f>Data!D4027</f>
        <v>0</v>
      </c>
      <c r="K4015">
        <f>Data!E4027</f>
        <v>0</v>
      </c>
      <c r="L4015">
        <f>Data!F4027</f>
        <v>0</v>
      </c>
      <c r="M4015">
        <f>Data!G4027</f>
        <v>0</v>
      </c>
      <c r="N4015">
        <f>Data!H4027</f>
        <v>0</v>
      </c>
      <c r="O4015">
        <f>Data!I4027</f>
        <v>0</v>
      </c>
      <c r="P4015" s="21">
        <f>Data!J4031</f>
        <v>0</v>
      </c>
      <c r="Q4015">
        <f>Data!K4031</f>
        <v>0</v>
      </c>
      <c r="R4015">
        <f>Data!L4031</f>
        <v>0</v>
      </c>
      <c r="S4015">
        <f>Data!M4031</f>
        <v>0</v>
      </c>
      <c r="T4015">
        <f>Data!N4031</f>
        <v>0</v>
      </c>
      <c r="U4015">
        <f>Data!O4031</f>
        <v>0</v>
      </c>
      <c r="V4015" s="33">
        <f>Data!P4029</f>
        <v>0</v>
      </c>
    </row>
    <row r="4016" spans="7:22" x14ac:dyDescent="0.25">
      <c r="G4016">
        <f>Data!B4028</f>
        <v>0</v>
      </c>
      <c r="H4016" s="21">
        <f>Data!B4028</f>
        <v>0</v>
      </c>
      <c r="I4016" s="21">
        <f>Data!C4028</f>
        <v>0</v>
      </c>
      <c r="J4016">
        <f>Data!D4028</f>
        <v>0</v>
      </c>
      <c r="K4016">
        <f>Data!E4028</f>
        <v>0</v>
      </c>
      <c r="L4016">
        <f>Data!F4028</f>
        <v>0</v>
      </c>
      <c r="M4016">
        <f>Data!G4028</f>
        <v>0</v>
      </c>
      <c r="N4016">
        <f>Data!H4028</f>
        <v>0</v>
      </c>
      <c r="O4016">
        <f>Data!I4028</f>
        <v>0</v>
      </c>
      <c r="P4016" s="21">
        <f>Data!J4032</f>
        <v>0</v>
      </c>
      <c r="Q4016">
        <f>Data!K4032</f>
        <v>0</v>
      </c>
      <c r="R4016">
        <f>Data!L4032</f>
        <v>0</v>
      </c>
      <c r="S4016">
        <f>Data!M4032</f>
        <v>0</v>
      </c>
      <c r="T4016">
        <f>Data!N4032</f>
        <v>0</v>
      </c>
      <c r="U4016">
        <f>Data!O4032</f>
        <v>0</v>
      </c>
      <c r="V4016" s="33">
        <f>Data!P4030</f>
        <v>0</v>
      </c>
    </row>
    <row r="4017" spans="7:22" x14ac:dyDescent="0.25">
      <c r="G4017">
        <f>Data!B4029</f>
        <v>0</v>
      </c>
      <c r="H4017" s="21">
        <f>Data!B4029</f>
        <v>0</v>
      </c>
      <c r="I4017" s="21">
        <f>Data!C4029</f>
        <v>0</v>
      </c>
      <c r="J4017">
        <f>Data!D4029</f>
        <v>0</v>
      </c>
      <c r="K4017">
        <f>Data!E4029</f>
        <v>0</v>
      </c>
      <c r="L4017">
        <f>Data!F4029</f>
        <v>0</v>
      </c>
      <c r="M4017">
        <f>Data!G4029</f>
        <v>0</v>
      </c>
      <c r="N4017">
        <f>Data!H4029</f>
        <v>0</v>
      </c>
      <c r="O4017">
        <f>Data!I4029</f>
        <v>0</v>
      </c>
      <c r="P4017" s="21">
        <f>Data!J4033</f>
        <v>0</v>
      </c>
      <c r="Q4017">
        <f>Data!K4033</f>
        <v>0</v>
      </c>
      <c r="R4017">
        <f>Data!L4033</f>
        <v>0</v>
      </c>
      <c r="S4017">
        <f>Data!M4033</f>
        <v>0</v>
      </c>
      <c r="T4017">
        <f>Data!N4033</f>
        <v>0</v>
      </c>
      <c r="U4017">
        <f>Data!O4033</f>
        <v>0</v>
      </c>
      <c r="V4017" s="33">
        <f>Data!P4031</f>
        <v>0</v>
      </c>
    </row>
    <row r="4018" spans="7:22" x14ac:dyDescent="0.25">
      <c r="G4018">
        <f>Data!B4030</f>
        <v>0</v>
      </c>
      <c r="H4018" s="21">
        <f>Data!B4030</f>
        <v>0</v>
      </c>
      <c r="I4018" s="21">
        <f>Data!C4030</f>
        <v>0</v>
      </c>
      <c r="J4018">
        <f>Data!D4030</f>
        <v>0</v>
      </c>
      <c r="K4018">
        <f>Data!E4030</f>
        <v>0</v>
      </c>
      <c r="L4018">
        <f>Data!F4030</f>
        <v>0</v>
      </c>
      <c r="M4018">
        <f>Data!G4030</f>
        <v>0</v>
      </c>
      <c r="N4018">
        <f>Data!H4030</f>
        <v>0</v>
      </c>
      <c r="O4018">
        <f>Data!I4030</f>
        <v>0</v>
      </c>
      <c r="P4018" s="21">
        <f>Data!J4034</f>
        <v>0</v>
      </c>
      <c r="Q4018">
        <f>Data!K4034</f>
        <v>0</v>
      </c>
      <c r="R4018">
        <f>Data!L4034</f>
        <v>0</v>
      </c>
      <c r="S4018">
        <f>Data!M4034</f>
        <v>0</v>
      </c>
      <c r="T4018">
        <f>Data!N4034</f>
        <v>0</v>
      </c>
      <c r="U4018">
        <f>Data!O4034</f>
        <v>0</v>
      </c>
      <c r="V4018" s="33">
        <f>Data!P4032</f>
        <v>0</v>
      </c>
    </row>
    <row r="4019" spans="7:22" x14ac:dyDescent="0.25">
      <c r="G4019">
        <f>Data!B4031</f>
        <v>0</v>
      </c>
      <c r="H4019" s="21">
        <f>Data!B4031</f>
        <v>0</v>
      </c>
      <c r="I4019" s="21">
        <f>Data!C4031</f>
        <v>0</v>
      </c>
      <c r="J4019">
        <f>Data!D4031</f>
        <v>0</v>
      </c>
      <c r="K4019">
        <f>Data!E4031</f>
        <v>0</v>
      </c>
      <c r="L4019">
        <f>Data!F4031</f>
        <v>0</v>
      </c>
      <c r="M4019">
        <f>Data!G4031</f>
        <v>0</v>
      </c>
      <c r="N4019">
        <f>Data!H4031</f>
        <v>0</v>
      </c>
      <c r="O4019">
        <f>Data!I4031</f>
        <v>0</v>
      </c>
      <c r="P4019" s="21">
        <f>Data!J4035</f>
        <v>0</v>
      </c>
      <c r="Q4019">
        <f>Data!K4035</f>
        <v>0</v>
      </c>
      <c r="R4019">
        <f>Data!L4035</f>
        <v>0</v>
      </c>
      <c r="S4019">
        <f>Data!M4035</f>
        <v>0</v>
      </c>
      <c r="T4019">
        <f>Data!N4035</f>
        <v>0</v>
      </c>
      <c r="U4019">
        <f>Data!O4035</f>
        <v>0</v>
      </c>
      <c r="V4019" s="33">
        <f>Data!P4033</f>
        <v>0</v>
      </c>
    </row>
    <row r="4020" spans="7:22" x14ac:dyDescent="0.25">
      <c r="G4020">
        <f>Data!B4032</f>
        <v>0</v>
      </c>
      <c r="H4020" s="21">
        <f>Data!B4032</f>
        <v>0</v>
      </c>
      <c r="I4020" s="21">
        <f>Data!C4032</f>
        <v>0</v>
      </c>
      <c r="J4020">
        <f>Data!D4032</f>
        <v>0</v>
      </c>
      <c r="K4020">
        <f>Data!E4032</f>
        <v>0</v>
      </c>
      <c r="L4020">
        <f>Data!F4032</f>
        <v>0</v>
      </c>
      <c r="M4020">
        <f>Data!G4032</f>
        <v>0</v>
      </c>
      <c r="N4020">
        <f>Data!H4032</f>
        <v>0</v>
      </c>
      <c r="O4020">
        <f>Data!I4032</f>
        <v>0</v>
      </c>
      <c r="P4020" s="21">
        <f>Data!J4036</f>
        <v>0</v>
      </c>
      <c r="Q4020">
        <f>Data!K4036</f>
        <v>0</v>
      </c>
      <c r="R4020">
        <f>Data!L4036</f>
        <v>0</v>
      </c>
      <c r="S4020">
        <f>Data!M4036</f>
        <v>0</v>
      </c>
      <c r="T4020">
        <f>Data!N4036</f>
        <v>0</v>
      </c>
      <c r="U4020">
        <f>Data!O4036</f>
        <v>0</v>
      </c>
      <c r="V4020" s="33">
        <f>Data!P4034</f>
        <v>0</v>
      </c>
    </row>
    <row r="4021" spans="7:22" x14ac:dyDescent="0.25">
      <c r="G4021">
        <f>Data!B4033</f>
        <v>0</v>
      </c>
      <c r="H4021" s="21">
        <f>Data!B4033</f>
        <v>0</v>
      </c>
      <c r="I4021" s="21">
        <f>Data!C4033</f>
        <v>0</v>
      </c>
      <c r="J4021">
        <f>Data!D4033</f>
        <v>0</v>
      </c>
      <c r="K4021">
        <f>Data!E4033</f>
        <v>0</v>
      </c>
      <c r="L4021">
        <f>Data!F4033</f>
        <v>0</v>
      </c>
      <c r="M4021">
        <f>Data!G4033</f>
        <v>0</v>
      </c>
      <c r="N4021">
        <f>Data!H4033</f>
        <v>0</v>
      </c>
      <c r="O4021">
        <f>Data!I4033</f>
        <v>0</v>
      </c>
      <c r="P4021" s="21">
        <f>Data!J4037</f>
        <v>0</v>
      </c>
      <c r="Q4021">
        <f>Data!K4037</f>
        <v>0</v>
      </c>
      <c r="R4021">
        <f>Data!L4037</f>
        <v>0</v>
      </c>
      <c r="S4021">
        <f>Data!M4037</f>
        <v>0</v>
      </c>
      <c r="T4021">
        <f>Data!N4037</f>
        <v>0</v>
      </c>
      <c r="U4021">
        <f>Data!O4037</f>
        <v>0</v>
      </c>
      <c r="V4021" s="33">
        <f>Data!P4035</f>
        <v>0</v>
      </c>
    </row>
    <row r="4022" spans="7:22" x14ac:dyDescent="0.25">
      <c r="G4022">
        <f>Data!B4034</f>
        <v>0</v>
      </c>
      <c r="H4022" s="21">
        <f>Data!B4034</f>
        <v>0</v>
      </c>
      <c r="I4022" s="21">
        <f>Data!C4034</f>
        <v>0</v>
      </c>
      <c r="J4022">
        <f>Data!D4034</f>
        <v>0</v>
      </c>
      <c r="K4022">
        <f>Data!E4034</f>
        <v>0</v>
      </c>
      <c r="L4022">
        <f>Data!F4034</f>
        <v>0</v>
      </c>
      <c r="M4022">
        <f>Data!G4034</f>
        <v>0</v>
      </c>
      <c r="N4022">
        <f>Data!H4034</f>
        <v>0</v>
      </c>
      <c r="O4022">
        <f>Data!I4034</f>
        <v>0</v>
      </c>
      <c r="P4022" s="21">
        <f>Data!J4038</f>
        <v>0</v>
      </c>
      <c r="Q4022">
        <f>Data!K4038</f>
        <v>0</v>
      </c>
      <c r="R4022">
        <f>Data!L4038</f>
        <v>0</v>
      </c>
      <c r="S4022">
        <f>Data!M4038</f>
        <v>0</v>
      </c>
      <c r="T4022">
        <f>Data!N4038</f>
        <v>0</v>
      </c>
      <c r="U4022">
        <f>Data!O4038</f>
        <v>0</v>
      </c>
      <c r="V4022" s="33">
        <f>Data!P4036</f>
        <v>0</v>
      </c>
    </row>
    <row r="4023" spans="7:22" x14ac:dyDescent="0.25">
      <c r="G4023">
        <f>Data!B4035</f>
        <v>0</v>
      </c>
      <c r="H4023" s="21">
        <f>Data!B4035</f>
        <v>0</v>
      </c>
      <c r="I4023" s="21">
        <f>Data!C4035</f>
        <v>0</v>
      </c>
      <c r="J4023">
        <f>Data!D4035</f>
        <v>0</v>
      </c>
      <c r="K4023">
        <f>Data!E4035</f>
        <v>0</v>
      </c>
      <c r="L4023">
        <f>Data!F4035</f>
        <v>0</v>
      </c>
      <c r="M4023">
        <f>Data!G4035</f>
        <v>0</v>
      </c>
      <c r="N4023">
        <f>Data!H4035</f>
        <v>0</v>
      </c>
      <c r="O4023">
        <f>Data!I4035</f>
        <v>0</v>
      </c>
      <c r="P4023" s="21">
        <f>Data!J4039</f>
        <v>0</v>
      </c>
      <c r="Q4023">
        <f>Data!K4039</f>
        <v>0</v>
      </c>
      <c r="R4023">
        <f>Data!L4039</f>
        <v>0</v>
      </c>
      <c r="S4023">
        <f>Data!M4039</f>
        <v>0</v>
      </c>
      <c r="T4023">
        <f>Data!N4039</f>
        <v>0</v>
      </c>
      <c r="U4023">
        <f>Data!O4039</f>
        <v>0</v>
      </c>
      <c r="V4023" s="33">
        <f>Data!P4037</f>
        <v>0</v>
      </c>
    </row>
    <row r="4024" spans="7:22" x14ac:dyDescent="0.25">
      <c r="G4024">
        <f>Data!B4036</f>
        <v>0</v>
      </c>
      <c r="H4024" s="21">
        <f>Data!B4036</f>
        <v>0</v>
      </c>
      <c r="I4024" s="21">
        <f>Data!C4036</f>
        <v>0</v>
      </c>
      <c r="J4024">
        <f>Data!D4036</f>
        <v>0</v>
      </c>
      <c r="K4024">
        <f>Data!E4036</f>
        <v>0</v>
      </c>
      <c r="L4024">
        <f>Data!F4036</f>
        <v>0</v>
      </c>
      <c r="M4024">
        <f>Data!G4036</f>
        <v>0</v>
      </c>
      <c r="N4024">
        <f>Data!H4036</f>
        <v>0</v>
      </c>
      <c r="O4024">
        <f>Data!I4036</f>
        <v>0</v>
      </c>
      <c r="P4024" s="21">
        <f>Data!J4040</f>
        <v>0</v>
      </c>
      <c r="Q4024">
        <f>Data!K4040</f>
        <v>0</v>
      </c>
      <c r="R4024">
        <f>Data!L4040</f>
        <v>0</v>
      </c>
      <c r="S4024">
        <f>Data!M4040</f>
        <v>0</v>
      </c>
      <c r="T4024">
        <f>Data!N4040</f>
        <v>0</v>
      </c>
      <c r="U4024">
        <f>Data!O4040</f>
        <v>0</v>
      </c>
      <c r="V4024" s="33">
        <f>Data!P4038</f>
        <v>0</v>
      </c>
    </row>
    <row r="4025" spans="7:22" x14ac:dyDescent="0.25">
      <c r="G4025">
        <f>Data!B4037</f>
        <v>0</v>
      </c>
      <c r="H4025" s="21">
        <f>Data!B4037</f>
        <v>0</v>
      </c>
      <c r="I4025" s="21">
        <f>Data!C4037</f>
        <v>0</v>
      </c>
      <c r="J4025">
        <f>Data!D4037</f>
        <v>0</v>
      </c>
      <c r="K4025">
        <f>Data!E4037</f>
        <v>0</v>
      </c>
      <c r="L4025">
        <f>Data!F4037</f>
        <v>0</v>
      </c>
      <c r="M4025">
        <f>Data!G4037</f>
        <v>0</v>
      </c>
      <c r="N4025">
        <f>Data!H4037</f>
        <v>0</v>
      </c>
      <c r="O4025">
        <f>Data!I4037</f>
        <v>0</v>
      </c>
      <c r="P4025" s="21">
        <f>Data!J4041</f>
        <v>0</v>
      </c>
      <c r="Q4025">
        <f>Data!K4041</f>
        <v>0</v>
      </c>
      <c r="R4025">
        <f>Data!L4041</f>
        <v>0</v>
      </c>
      <c r="S4025">
        <f>Data!M4041</f>
        <v>0</v>
      </c>
      <c r="T4025">
        <f>Data!N4041</f>
        <v>0</v>
      </c>
      <c r="U4025">
        <f>Data!O4041</f>
        <v>0</v>
      </c>
      <c r="V4025" s="33">
        <f>Data!P4039</f>
        <v>0</v>
      </c>
    </row>
    <row r="4026" spans="7:22" x14ac:dyDescent="0.25">
      <c r="G4026">
        <f>Data!B4038</f>
        <v>0</v>
      </c>
      <c r="H4026" s="21">
        <f>Data!B4038</f>
        <v>0</v>
      </c>
      <c r="I4026" s="21">
        <f>Data!C4038</f>
        <v>0</v>
      </c>
      <c r="J4026">
        <f>Data!D4038</f>
        <v>0</v>
      </c>
      <c r="K4026">
        <f>Data!E4038</f>
        <v>0</v>
      </c>
      <c r="L4026">
        <f>Data!F4038</f>
        <v>0</v>
      </c>
      <c r="M4026">
        <f>Data!G4038</f>
        <v>0</v>
      </c>
      <c r="N4026">
        <f>Data!H4038</f>
        <v>0</v>
      </c>
      <c r="O4026">
        <f>Data!I4038</f>
        <v>0</v>
      </c>
      <c r="P4026" s="21">
        <f>Data!J4042</f>
        <v>0</v>
      </c>
      <c r="Q4026">
        <f>Data!K4042</f>
        <v>0</v>
      </c>
      <c r="R4026">
        <f>Data!L4042</f>
        <v>0</v>
      </c>
      <c r="S4026">
        <f>Data!M4042</f>
        <v>0</v>
      </c>
      <c r="T4026">
        <f>Data!N4042</f>
        <v>0</v>
      </c>
      <c r="U4026">
        <f>Data!O4042</f>
        <v>0</v>
      </c>
      <c r="V4026" s="33">
        <f>Data!P4040</f>
        <v>0</v>
      </c>
    </row>
    <row r="4027" spans="7:22" x14ac:dyDescent="0.25">
      <c r="G4027">
        <f>Data!B4039</f>
        <v>0</v>
      </c>
      <c r="H4027" s="21">
        <f>Data!B4039</f>
        <v>0</v>
      </c>
      <c r="I4027" s="21">
        <f>Data!C4039</f>
        <v>0</v>
      </c>
      <c r="J4027">
        <f>Data!D4039</f>
        <v>0</v>
      </c>
      <c r="K4027">
        <f>Data!E4039</f>
        <v>0</v>
      </c>
      <c r="L4027">
        <f>Data!F4039</f>
        <v>0</v>
      </c>
      <c r="M4027">
        <f>Data!G4039</f>
        <v>0</v>
      </c>
      <c r="N4027">
        <f>Data!H4039</f>
        <v>0</v>
      </c>
      <c r="O4027">
        <f>Data!I4039</f>
        <v>0</v>
      </c>
      <c r="P4027" s="21">
        <f>Data!J4043</f>
        <v>0</v>
      </c>
      <c r="Q4027">
        <f>Data!K4043</f>
        <v>0</v>
      </c>
      <c r="R4027">
        <f>Data!L4043</f>
        <v>0</v>
      </c>
      <c r="S4027">
        <f>Data!M4043</f>
        <v>0</v>
      </c>
      <c r="T4027">
        <f>Data!N4043</f>
        <v>0</v>
      </c>
      <c r="U4027">
        <f>Data!O4043</f>
        <v>0</v>
      </c>
      <c r="V4027" s="33">
        <f>Data!P4041</f>
        <v>0</v>
      </c>
    </row>
    <row r="4028" spans="7:22" x14ac:dyDescent="0.25">
      <c r="G4028">
        <f>Data!B4040</f>
        <v>0</v>
      </c>
      <c r="H4028" s="21">
        <f>Data!B4040</f>
        <v>0</v>
      </c>
      <c r="I4028" s="21">
        <f>Data!C4040</f>
        <v>0</v>
      </c>
      <c r="J4028">
        <f>Data!D4040</f>
        <v>0</v>
      </c>
      <c r="K4028">
        <f>Data!E4040</f>
        <v>0</v>
      </c>
      <c r="L4028">
        <f>Data!F4040</f>
        <v>0</v>
      </c>
      <c r="M4028">
        <f>Data!G4040</f>
        <v>0</v>
      </c>
      <c r="N4028">
        <f>Data!H4040</f>
        <v>0</v>
      </c>
      <c r="O4028">
        <f>Data!I4040</f>
        <v>0</v>
      </c>
      <c r="P4028" s="21">
        <f>Data!J4044</f>
        <v>0</v>
      </c>
      <c r="Q4028">
        <f>Data!K4044</f>
        <v>0</v>
      </c>
      <c r="R4028">
        <f>Data!L4044</f>
        <v>0</v>
      </c>
      <c r="S4028">
        <f>Data!M4044</f>
        <v>0</v>
      </c>
      <c r="T4028">
        <f>Data!N4044</f>
        <v>0</v>
      </c>
      <c r="U4028">
        <f>Data!O4044</f>
        <v>0</v>
      </c>
      <c r="V4028" s="33">
        <f>Data!P4042</f>
        <v>0</v>
      </c>
    </row>
    <row r="4029" spans="7:22" x14ac:dyDescent="0.25">
      <c r="G4029">
        <f>Data!B4041</f>
        <v>0</v>
      </c>
      <c r="H4029" s="21">
        <f>Data!B4041</f>
        <v>0</v>
      </c>
      <c r="I4029" s="21">
        <f>Data!C4041</f>
        <v>0</v>
      </c>
      <c r="J4029">
        <f>Data!D4041</f>
        <v>0</v>
      </c>
      <c r="K4029">
        <f>Data!E4041</f>
        <v>0</v>
      </c>
      <c r="L4029">
        <f>Data!F4041</f>
        <v>0</v>
      </c>
      <c r="M4029">
        <f>Data!G4041</f>
        <v>0</v>
      </c>
      <c r="N4029">
        <f>Data!H4041</f>
        <v>0</v>
      </c>
      <c r="O4029">
        <f>Data!I4041</f>
        <v>0</v>
      </c>
      <c r="P4029" s="21">
        <f>Data!J4045</f>
        <v>0</v>
      </c>
      <c r="Q4029">
        <f>Data!K4045</f>
        <v>0</v>
      </c>
      <c r="R4029">
        <f>Data!L4045</f>
        <v>0</v>
      </c>
      <c r="S4029">
        <f>Data!M4045</f>
        <v>0</v>
      </c>
      <c r="T4029">
        <f>Data!N4045</f>
        <v>0</v>
      </c>
      <c r="U4029">
        <f>Data!O4045</f>
        <v>0</v>
      </c>
      <c r="V4029" s="33">
        <f>Data!P4043</f>
        <v>0</v>
      </c>
    </row>
    <row r="4030" spans="7:22" x14ac:dyDescent="0.25">
      <c r="G4030">
        <f>Data!B4042</f>
        <v>0</v>
      </c>
      <c r="H4030" s="21">
        <f>Data!B4042</f>
        <v>0</v>
      </c>
      <c r="I4030" s="21">
        <f>Data!C4042</f>
        <v>0</v>
      </c>
      <c r="J4030">
        <f>Data!D4042</f>
        <v>0</v>
      </c>
      <c r="K4030">
        <f>Data!E4042</f>
        <v>0</v>
      </c>
      <c r="L4030">
        <f>Data!F4042</f>
        <v>0</v>
      </c>
      <c r="M4030">
        <f>Data!G4042</f>
        <v>0</v>
      </c>
      <c r="N4030">
        <f>Data!H4042</f>
        <v>0</v>
      </c>
      <c r="O4030">
        <f>Data!I4042</f>
        <v>0</v>
      </c>
      <c r="P4030" s="21">
        <f>Data!J4046</f>
        <v>0</v>
      </c>
      <c r="Q4030">
        <f>Data!K4046</f>
        <v>0</v>
      </c>
      <c r="R4030">
        <f>Data!L4046</f>
        <v>0</v>
      </c>
      <c r="S4030">
        <f>Data!M4046</f>
        <v>0</v>
      </c>
      <c r="T4030">
        <f>Data!N4046</f>
        <v>0</v>
      </c>
      <c r="U4030">
        <f>Data!O4046</f>
        <v>0</v>
      </c>
      <c r="V4030" s="33">
        <f>Data!P4044</f>
        <v>0</v>
      </c>
    </row>
    <row r="4031" spans="7:22" x14ac:dyDescent="0.25">
      <c r="G4031">
        <f>Data!B4043</f>
        <v>0</v>
      </c>
      <c r="H4031" s="21">
        <f>Data!B4043</f>
        <v>0</v>
      </c>
      <c r="I4031" s="21">
        <f>Data!C4043</f>
        <v>0</v>
      </c>
      <c r="J4031">
        <f>Data!D4043</f>
        <v>0</v>
      </c>
      <c r="K4031">
        <f>Data!E4043</f>
        <v>0</v>
      </c>
      <c r="L4031">
        <f>Data!F4043</f>
        <v>0</v>
      </c>
      <c r="M4031">
        <f>Data!G4043</f>
        <v>0</v>
      </c>
      <c r="N4031">
        <f>Data!H4043</f>
        <v>0</v>
      </c>
      <c r="O4031">
        <f>Data!I4043</f>
        <v>0</v>
      </c>
      <c r="P4031" s="21">
        <f>Data!J4047</f>
        <v>0</v>
      </c>
      <c r="Q4031">
        <f>Data!K4047</f>
        <v>0</v>
      </c>
      <c r="R4031">
        <f>Data!L4047</f>
        <v>0</v>
      </c>
      <c r="S4031">
        <f>Data!M4047</f>
        <v>0</v>
      </c>
      <c r="T4031">
        <f>Data!N4047</f>
        <v>0</v>
      </c>
      <c r="U4031">
        <f>Data!O4047</f>
        <v>0</v>
      </c>
      <c r="V4031" s="33">
        <f>Data!P4045</f>
        <v>0</v>
      </c>
    </row>
    <row r="4032" spans="7:22" x14ac:dyDescent="0.25">
      <c r="G4032">
        <f>Data!B4044</f>
        <v>0</v>
      </c>
      <c r="H4032" s="21">
        <f>Data!B4044</f>
        <v>0</v>
      </c>
      <c r="I4032" s="21">
        <f>Data!C4044</f>
        <v>0</v>
      </c>
      <c r="J4032">
        <f>Data!D4044</f>
        <v>0</v>
      </c>
      <c r="K4032">
        <f>Data!E4044</f>
        <v>0</v>
      </c>
      <c r="L4032">
        <f>Data!F4044</f>
        <v>0</v>
      </c>
      <c r="M4032">
        <f>Data!G4044</f>
        <v>0</v>
      </c>
      <c r="N4032">
        <f>Data!H4044</f>
        <v>0</v>
      </c>
      <c r="O4032">
        <f>Data!I4044</f>
        <v>0</v>
      </c>
      <c r="P4032" s="21">
        <f>Data!J4048</f>
        <v>0</v>
      </c>
      <c r="Q4032">
        <f>Data!K4048</f>
        <v>0</v>
      </c>
      <c r="R4032">
        <f>Data!L4048</f>
        <v>0</v>
      </c>
      <c r="S4032">
        <f>Data!M4048</f>
        <v>0</v>
      </c>
      <c r="T4032">
        <f>Data!N4048</f>
        <v>0</v>
      </c>
      <c r="U4032">
        <f>Data!O4048</f>
        <v>0</v>
      </c>
      <c r="V4032" s="33">
        <f>Data!P4046</f>
        <v>0</v>
      </c>
    </row>
    <row r="4033" spans="7:22" x14ac:dyDescent="0.25">
      <c r="G4033">
        <f>Data!B4045</f>
        <v>0</v>
      </c>
      <c r="H4033" s="21">
        <f>Data!B4045</f>
        <v>0</v>
      </c>
      <c r="I4033" s="21">
        <f>Data!C4045</f>
        <v>0</v>
      </c>
      <c r="J4033">
        <f>Data!D4045</f>
        <v>0</v>
      </c>
      <c r="K4033">
        <f>Data!E4045</f>
        <v>0</v>
      </c>
      <c r="L4033">
        <f>Data!F4045</f>
        <v>0</v>
      </c>
      <c r="M4033">
        <f>Data!G4045</f>
        <v>0</v>
      </c>
      <c r="N4033">
        <f>Data!H4045</f>
        <v>0</v>
      </c>
      <c r="O4033">
        <f>Data!I4045</f>
        <v>0</v>
      </c>
      <c r="P4033" s="21">
        <f>Data!J4049</f>
        <v>0</v>
      </c>
      <c r="Q4033">
        <f>Data!K4049</f>
        <v>0</v>
      </c>
      <c r="R4033">
        <f>Data!L4049</f>
        <v>0</v>
      </c>
      <c r="S4033">
        <f>Data!M4049</f>
        <v>0</v>
      </c>
      <c r="T4033">
        <f>Data!N4049</f>
        <v>0</v>
      </c>
      <c r="U4033">
        <f>Data!O4049</f>
        <v>0</v>
      </c>
      <c r="V4033" s="33">
        <f>Data!P4047</f>
        <v>0</v>
      </c>
    </row>
    <row r="4034" spans="7:22" x14ac:dyDescent="0.25">
      <c r="G4034">
        <f>Data!B4046</f>
        <v>0</v>
      </c>
      <c r="H4034" s="21">
        <f>Data!B4046</f>
        <v>0</v>
      </c>
      <c r="I4034" s="21">
        <f>Data!C4046</f>
        <v>0</v>
      </c>
      <c r="J4034">
        <f>Data!D4046</f>
        <v>0</v>
      </c>
      <c r="K4034">
        <f>Data!E4046</f>
        <v>0</v>
      </c>
      <c r="L4034">
        <f>Data!F4046</f>
        <v>0</v>
      </c>
      <c r="M4034">
        <f>Data!G4046</f>
        <v>0</v>
      </c>
      <c r="N4034">
        <f>Data!H4046</f>
        <v>0</v>
      </c>
      <c r="O4034">
        <f>Data!I4046</f>
        <v>0</v>
      </c>
      <c r="P4034" s="21">
        <f>Data!J4050</f>
        <v>0</v>
      </c>
      <c r="Q4034">
        <f>Data!K4050</f>
        <v>0</v>
      </c>
      <c r="R4034">
        <f>Data!L4050</f>
        <v>0</v>
      </c>
      <c r="S4034">
        <f>Data!M4050</f>
        <v>0</v>
      </c>
      <c r="T4034">
        <f>Data!N4050</f>
        <v>0</v>
      </c>
      <c r="U4034">
        <f>Data!O4050</f>
        <v>0</v>
      </c>
      <c r="V4034" s="33">
        <f>Data!P4048</f>
        <v>0</v>
      </c>
    </row>
    <row r="4035" spans="7:22" x14ac:dyDescent="0.25">
      <c r="G4035">
        <f>Data!B4047</f>
        <v>0</v>
      </c>
      <c r="H4035" s="21">
        <f>Data!B4047</f>
        <v>0</v>
      </c>
      <c r="I4035" s="21">
        <f>Data!C4047</f>
        <v>0</v>
      </c>
      <c r="J4035">
        <f>Data!D4047</f>
        <v>0</v>
      </c>
      <c r="K4035">
        <f>Data!E4047</f>
        <v>0</v>
      </c>
      <c r="L4035">
        <f>Data!F4047</f>
        <v>0</v>
      </c>
      <c r="M4035">
        <f>Data!G4047</f>
        <v>0</v>
      </c>
      <c r="N4035">
        <f>Data!H4047</f>
        <v>0</v>
      </c>
      <c r="O4035">
        <f>Data!I4047</f>
        <v>0</v>
      </c>
      <c r="P4035" s="21">
        <f>Data!J4051</f>
        <v>0</v>
      </c>
      <c r="Q4035">
        <f>Data!K4051</f>
        <v>0</v>
      </c>
      <c r="R4035">
        <f>Data!L4051</f>
        <v>0</v>
      </c>
      <c r="S4035">
        <f>Data!M4051</f>
        <v>0</v>
      </c>
      <c r="T4035">
        <f>Data!N4051</f>
        <v>0</v>
      </c>
      <c r="U4035">
        <f>Data!O4051</f>
        <v>0</v>
      </c>
      <c r="V4035" s="33">
        <f>Data!P4049</f>
        <v>0</v>
      </c>
    </row>
    <row r="4036" spans="7:22" x14ac:dyDescent="0.25">
      <c r="G4036">
        <f>Data!B4048</f>
        <v>0</v>
      </c>
      <c r="H4036" s="21">
        <f>Data!B4048</f>
        <v>0</v>
      </c>
      <c r="I4036" s="21">
        <f>Data!C4048</f>
        <v>0</v>
      </c>
      <c r="J4036">
        <f>Data!D4048</f>
        <v>0</v>
      </c>
      <c r="K4036">
        <f>Data!E4048</f>
        <v>0</v>
      </c>
      <c r="L4036">
        <f>Data!F4048</f>
        <v>0</v>
      </c>
      <c r="M4036">
        <f>Data!G4048</f>
        <v>0</v>
      </c>
      <c r="N4036">
        <f>Data!H4048</f>
        <v>0</v>
      </c>
      <c r="O4036">
        <f>Data!I4048</f>
        <v>0</v>
      </c>
      <c r="P4036" s="21">
        <f>Data!J4052</f>
        <v>0</v>
      </c>
      <c r="Q4036">
        <f>Data!K4052</f>
        <v>0</v>
      </c>
      <c r="R4036">
        <f>Data!L4052</f>
        <v>0</v>
      </c>
      <c r="S4036">
        <f>Data!M4052</f>
        <v>0</v>
      </c>
      <c r="T4036">
        <f>Data!N4052</f>
        <v>0</v>
      </c>
      <c r="U4036">
        <f>Data!O4052</f>
        <v>0</v>
      </c>
      <c r="V4036" s="33">
        <f>Data!P4050</f>
        <v>0</v>
      </c>
    </row>
    <row r="4037" spans="7:22" x14ac:dyDescent="0.25">
      <c r="G4037">
        <f>Data!B4049</f>
        <v>0</v>
      </c>
      <c r="H4037" s="21">
        <f>Data!B4049</f>
        <v>0</v>
      </c>
      <c r="I4037" s="21">
        <f>Data!C4049</f>
        <v>0</v>
      </c>
      <c r="J4037">
        <f>Data!D4049</f>
        <v>0</v>
      </c>
      <c r="K4037">
        <f>Data!E4049</f>
        <v>0</v>
      </c>
      <c r="L4037">
        <f>Data!F4049</f>
        <v>0</v>
      </c>
      <c r="M4037">
        <f>Data!G4049</f>
        <v>0</v>
      </c>
      <c r="N4037">
        <f>Data!H4049</f>
        <v>0</v>
      </c>
      <c r="O4037">
        <f>Data!I4049</f>
        <v>0</v>
      </c>
      <c r="P4037" s="21">
        <f>Data!J4053</f>
        <v>0</v>
      </c>
      <c r="Q4037">
        <f>Data!K4053</f>
        <v>0</v>
      </c>
      <c r="R4037">
        <f>Data!L4053</f>
        <v>0</v>
      </c>
      <c r="S4037">
        <f>Data!M4053</f>
        <v>0</v>
      </c>
      <c r="T4037">
        <f>Data!N4053</f>
        <v>0</v>
      </c>
      <c r="U4037">
        <f>Data!O4053</f>
        <v>0</v>
      </c>
      <c r="V4037" s="33">
        <f>Data!P4051</f>
        <v>0</v>
      </c>
    </row>
    <row r="4038" spans="7:22" x14ac:dyDescent="0.25">
      <c r="G4038">
        <f>Data!B4050</f>
        <v>0</v>
      </c>
      <c r="H4038" s="21">
        <f>Data!B4050</f>
        <v>0</v>
      </c>
      <c r="I4038" s="21">
        <f>Data!C4050</f>
        <v>0</v>
      </c>
      <c r="J4038">
        <f>Data!D4050</f>
        <v>0</v>
      </c>
      <c r="K4038">
        <f>Data!E4050</f>
        <v>0</v>
      </c>
      <c r="L4038">
        <f>Data!F4050</f>
        <v>0</v>
      </c>
      <c r="M4038">
        <f>Data!G4050</f>
        <v>0</v>
      </c>
      <c r="N4038">
        <f>Data!H4050</f>
        <v>0</v>
      </c>
      <c r="O4038">
        <f>Data!I4050</f>
        <v>0</v>
      </c>
      <c r="P4038" s="21">
        <f>Data!J4054</f>
        <v>0</v>
      </c>
      <c r="Q4038">
        <f>Data!K4054</f>
        <v>0</v>
      </c>
      <c r="R4038">
        <f>Data!L4054</f>
        <v>0</v>
      </c>
      <c r="S4038">
        <f>Data!M4054</f>
        <v>0</v>
      </c>
      <c r="T4038">
        <f>Data!N4054</f>
        <v>0</v>
      </c>
      <c r="U4038">
        <f>Data!O4054</f>
        <v>0</v>
      </c>
      <c r="V4038" s="33">
        <f>Data!P4052</f>
        <v>0</v>
      </c>
    </row>
    <row r="4039" spans="7:22" x14ac:dyDescent="0.25">
      <c r="G4039">
        <f>Data!B4051</f>
        <v>0</v>
      </c>
      <c r="H4039" s="21">
        <f>Data!B4051</f>
        <v>0</v>
      </c>
      <c r="I4039" s="21">
        <f>Data!C4051</f>
        <v>0</v>
      </c>
      <c r="J4039">
        <f>Data!D4051</f>
        <v>0</v>
      </c>
      <c r="K4039">
        <f>Data!E4051</f>
        <v>0</v>
      </c>
      <c r="L4039">
        <f>Data!F4051</f>
        <v>0</v>
      </c>
      <c r="M4039">
        <f>Data!G4051</f>
        <v>0</v>
      </c>
      <c r="N4039">
        <f>Data!H4051</f>
        <v>0</v>
      </c>
      <c r="O4039">
        <f>Data!I4051</f>
        <v>0</v>
      </c>
      <c r="P4039" s="21">
        <f>Data!J4055</f>
        <v>0</v>
      </c>
      <c r="Q4039">
        <f>Data!K4055</f>
        <v>0</v>
      </c>
      <c r="R4039">
        <f>Data!L4055</f>
        <v>0</v>
      </c>
      <c r="S4039">
        <f>Data!M4055</f>
        <v>0</v>
      </c>
      <c r="T4039">
        <f>Data!N4055</f>
        <v>0</v>
      </c>
      <c r="U4039">
        <f>Data!O4055</f>
        <v>0</v>
      </c>
      <c r="V4039" s="33">
        <f>Data!P4053</f>
        <v>0</v>
      </c>
    </row>
    <row r="4040" spans="7:22" x14ac:dyDescent="0.25">
      <c r="G4040">
        <f>Data!B4052</f>
        <v>0</v>
      </c>
      <c r="H4040" s="21">
        <f>Data!B4052</f>
        <v>0</v>
      </c>
      <c r="I4040" s="21">
        <f>Data!C4052</f>
        <v>0</v>
      </c>
      <c r="J4040">
        <f>Data!D4052</f>
        <v>0</v>
      </c>
      <c r="K4040">
        <f>Data!E4052</f>
        <v>0</v>
      </c>
      <c r="L4040">
        <f>Data!F4052</f>
        <v>0</v>
      </c>
      <c r="M4040">
        <f>Data!G4052</f>
        <v>0</v>
      </c>
      <c r="N4040">
        <f>Data!H4052</f>
        <v>0</v>
      </c>
      <c r="O4040">
        <f>Data!I4052</f>
        <v>0</v>
      </c>
      <c r="P4040" s="21">
        <f>Data!J4056</f>
        <v>0</v>
      </c>
      <c r="Q4040">
        <f>Data!K4056</f>
        <v>0</v>
      </c>
      <c r="R4040">
        <f>Data!L4056</f>
        <v>0</v>
      </c>
      <c r="S4040">
        <f>Data!M4056</f>
        <v>0</v>
      </c>
      <c r="T4040">
        <f>Data!N4056</f>
        <v>0</v>
      </c>
      <c r="U4040">
        <f>Data!O4056</f>
        <v>0</v>
      </c>
      <c r="V4040" s="33">
        <f>Data!P4054</f>
        <v>0</v>
      </c>
    </row>
    <row r="4041" spans="7:22" x14ac:dyDescent="0.25">
      <c r="G4041">
        <f>Data!B4053</f>
        <v>0</v>
      </c>
      <c r="H4041" s="21">
        <f>Data!B4053</f>
        <v>0</v>
      </c>
      <c r="I4041" s="21">
        <f>Data!C4053</f>
        <v>0</v>
      </c>
      <c r="J4041">
        <f>Data!D4053</f>
        <v>0</v>
      </c>
      <c r="K4041">
        <f>Data!E4053</f>
        <v>0</v>
      </c>
      <c r="L4041">
        <f>Data!F4053</f>
        <v>0</v>
      </c>
      <c r="M4041">
        <f>Data!G4053</f>
        <v>0</v>
      </c>
      <c r="N4041">
        <f>Data!H4053</f>
        <v>0</v>
      </c>
      <c r="O4041">
        <f>Data!I4053</f>
        <v>0</v>
      </c>
      <c r="P4041" s="21">
        <f>Data!J4057</f>
        <v>0</v>
      </c>
      <c r="Q4041">
        <f>Data!K4057</f>
        <v>0</v>
      </c>
      <c r="R4041">
        <f>Data!L4057</f>
        <v>0</v>
      </c>
      <c r="S4041">
        <f>Data!M4057</f>
        <v>0</v>
      </c>
      <c r="T4041">
        <f>Data!N4057</f>
        <v>0</v>
      </c>
      <c r="U4041">
        <f>Data!O4057</f>
        <v>0</v>
      </c>
      <c r="V4041" s="33">
        <f>Data!P4055</f>
        <v>0</v>
      </c>
    </row>
    <row r="4042" spans="7:22" x14ac:dyDescent="0.25">
      <c r="G4042">
        <f>Data!B4054</f>
        <v>0</v>
      </c>
      <c r="H4042" s="21">
        <f>Data!B4054</f>
        <v>0</v>
      </c>
      <c r="I4042" s="21">
        <f>Data!C4054</f>
        <v>0</v>
      </c>
      <c r="J4042">
        <f>Data!D4054</f>
        <v>0</v>
      </c>
      <c r="K4042">
        <f>Data!E4054</f>
        <v>0</v>
      </c>
      <c r="L4042">
        <f>Data!F4054</f>
        <v>0</v>
      </c>
      <c r="M4042">
        <f>Data!G4054</f>
        <v>0</v>
      </c>
      <c r="N4042">
        <f>Data!H4054</f>
        <v>0</v>
      </c>
      <c r="O4042">
        <f>Data!I4054</f>
        <v>0</v>
      </c>
      <c r="P4042" s="21">
        <f>Data!J4058</f>
        <v>0</v>
      </c>
      <c r="Q4042">
        <f>Data!K4058</f>
        <v>0</v>
      </c>
      <c r="R4042">
        <f>Data!L4058</f>
        <v>0</v>
      </c>
      <c r="S4042">
        <f>Data!M4058</f>
        <v>0</v>
      </c>
      <c r="T4042">
        <f>Data!N4058</f>
        <v>0</v>
      </c>
      <c r="U4042">
        <f>Data!O4058</f>
        <v>0</v>
      </c>
      <c r="V4042" s="33">
        <f>Data!P4056</f>
        <v>0</v>
      </c>
    </row>
    <row r="4043" spans="7:22" x14ac:dyDescent="0.25">
      <c r="G4043">
        <f>Data!B4055</f>
        <v>0</v>
      </c>
      <c r="H4043" s="21">
        <f>Data!B4055</f>
        <v>0</v>
      </c>
      <c r="I4043" s="21">
        <f>Data!C4055</f>
        <v>0</v>
      </c>
      <c r="J4043">
        <f>Data!D4055</f>
        <v>0</v>
      </c>
      <c r="K4043">
        <f>Data!E4055</f>
        <v>0</v>
      </c>
      <c r="L4043">
        <f>Data!F4055</f>
        <v>0</v>
      </c>
      <c r="M4043">
        <f>Data!G4055</f>
        <v>0</v>
      </c>
      <c r="N4043">
        <f>Data!H4055</f>
        <v>0</v>
      </c>
      <c r="O4043">
        <f>Data!I4055</f>
        <v>0</v>
      </c>
      <c r="P4043" s="21">
        <f>Data!J4059</f>
        <v>0</v>
      </c>
      <c r="Q4043">
        <f>Data!K4059</f>
        <v>0</v>
      </c>
      <c r="R4043">
        <f>Data!L4059</f>
        <v>0</v>
      </c>
      <c r="S4043">
        <f>Data!M4059</f>
        <v>0</v>
      </c>
      <c r="T4043">
        <f>Data!N4059</f>
        <v>0</v>
      </c>
      <c r="U4043">
        <f>Data!O4059</f>
        <v>0</v>
      </c>
      <c r="V4043" s="33">
        <f>Data!P4057</f>
        <v>0</v>
      </c>
    </row>
    <row r="4044" spans="7:22" x14ac:dyDescent="0.25">
      <c r="G4044">
        <f>Data!B4056</f>
        <v>0</v>
      </c>
      <c r="H4044" s="21">
        <f>Data!B4056</f>
        <v>0</v>
      </c>
      <c r="I4044" s="21">
        <f>Data!C4056</f>
        <v>0</v>
      </c>
      <c r="J4044">
        <f>Data!D4056</f>
        <v>0</v>
      </c>
      <c r="K4044">
        <f>Data!E4056</f>
        <v>0</v>
      </c>
      <c r="L4044">
        <f>Data!F4056</f>
        <v>0</v>
      </c>
      <c r="M4044">
        <f>Data!G4056</f>
        <v>0</v>
      </c>
      <c r="N4044">
        <f>Data!H4056</f>
        <v>0</v>
      </c>
      <c r="O4044">
        <f>Data!I4056</f>
        <v>0</v>
      </c>
      <c r="P4044" s="21">
        <f>Data!J4060</f>
        <v>0</v>
      </c>
      <c r="Q4044">
        <f>Data!K4060</f>
        <v>0</v>
      </c>
      <c r="R4044">
        <f>Data!L4060</f>
        <v>0</v>
      </c>
      <c r="S4044">
        <f>Data!M4060</f>
        <v>0</v>
      </c>
      <c r="T4044">
        <f>Data!N4060</f>
        <v>0</v>
      </c>
      <c r="U4044">
        <f>Data!O4060</f>
        <v>0</v>
      </c>
      <c r="V4044" s="33">
        <f>Data!P4058</f>
        <v>0</v>
      </c>
    </row>
    <row r="4045" spans="7:22" x14ac:dyDescent="0.25">
      <c r="G4045">
        <f>Data!B4057</f>
        <v>0</v>
      </c>
      <c r="H4045" s="21">
        <f>Data!B4057</f>
        <v>0</v>
      </c>
      <c r="I4045" s="21">
        <f>Data!C4057</f>
        <v>0</v>
      </c>
      <c r="J4045">
        <f>Data!D4057</f>
        <v>0</v>
      </c>
      <c r="K4045">
        <f>Data!E4057</f>
        <v>0</v>
      </c>
      <c r="L4045">
        <f>Data!F4057</f>
        <v>0</v>
      </c>
      <c r="M4045">
        <f>Data!G4057</f>
        <v>0</v>
      </c>
      <c r="N4045">
        <f>Data!H4057</f>
        <v>0</v>
      </c>
      <c r="O4045">
        <f>Data!I4057</f>
        <v>0</v>
      </c>
      <c r="P4045" s="21">
        <f>Data!J4061</f>
        <v>0</v>
      </c>
      <c r="Q4045">
        <f>Data!K4061</f>
        <v>0</v>
      </c>
      <c r="R4045">
        <f>Data!L4061</f>
        <v>0</v>
      </c>
      <c r="S4045">
        <f>Data!M4061</f>
        <v>0</v>
      </c>
      <c r="T4045">
        <f>Data!N4061</f>
        <v>0</v>
      </c>
      <c r="U4045">
        <f>Data!O4061</f>
        <v>0</v>
      </c>
      <c r="V4045" s="33">
        <f>Data!P4059</f>
        <v>0</v>
      </c>
    </row>
    <row r="4046" spans="7:22" x14ac:dyDescent="0.25">
      <c r="G4046">
        <f>Data!B4058</f>
        <v>0</v>
      </c>
      <c r="H4046" s="21">
        <f>Data!B4058</f>
        <v>0</v>
      </c>
      <c r="I4046" s="21">
        <f>Data!C4058</f>
        <v>0</v>
      </c>
      <c r="J4046">
        <f>Data!D4058</f>
        <v>0</v>
      </c>
      <c r="K4046">
        <f>Data!E4058</f>
        <v>0</v>
      </c>
      <c r="L4046">
        <f>Data!F4058</f>
        <v>0</v>
      </c>
      <c r="M4046">
        <f>Data!G4058</f>
        <v>0</v>
      </c>
      <c r="N4046">
        <f>Data!H4058</f>
        <v>0</v>
      </c>
      <c r="O4046">
        <f>Data!I4058</f>
        <v>0</v>
      </c>
      <c r="P4046" s="21">
        <f>Data!J4062</f>
        <v>0</v>
      </c>
      <c r="Q4046">
        <f>Data!K4062</f>
        <v>0</v>
      </c>
      <c r="R4046">
        <f>Data!L4062</f>
        <v>0</v>
      </c>
      <c r="S4046">
        <f>Data!M4062</f>
        <v>0</v>
      </c>
      <c r="T4046">
        <f>Data!N4062</f>
        <v>0</v>
      </c>
      <c r="U4046">
        <f>Data!O4062</f>
        <v>0</v>
      </c>
      <c r="V4046" s="33">
        <f>Data!P4060</f>
        <v>0</v>
      </c>
    </row>
    <row r="4047" spans="7:22" x14ac:dyDescent="0.25">
      <c r="G4047">
        <f>Data!B4059</f>
        <v>0</v>
      </c>
      <c r="H4047" s="21">
        <f>Data!B4059</f>
        <v>0</v>
      </c>
      <c r="I4047" s="21">
        <f>Data!C4059</f>
        <v>0</v>
      </c>
      <c r="J4047">
        <f>Data!D4059</f>
        <v>0</v>
      </c>
      <c r="K4047">
        <f>Data!E4059</f>
        <v>0</v>
      </c>
      <c r="L4047">
        <f>Data!F4059</f>
        <v>0</v>
      </c>
      <c r="M4047">
        <f>Data!G4059</f>
        <v>0</v>
      </c>
      <c r="N4047">
        <f>Data!H4059</f>
        <v>0</v>
      </c>
      <c r="O4047">
        <f>Data!I4059</f>
        <v>0</v>
      </c>
      <c r="P4047" s="21">
        <f>Data!J4063</f>
        <v>0</v>
      </c>
      <c r="Q4047">
        <f>Data!K4063</f>
        <v>0</v>
      </c>
      <c r="R4047">
        <f>Data!L4063</f>
        <v>0</v>
      </c>
      <c r="S4047">
        <f>Data!M4063</f>
        <v>0</v>
      </c>
      <c r="T4047">
        <f>Data!N4063</f>
        <v>0</v>
      </c>
      <c r="U4047">
        <f>Data!O4063</f>
        <v>0</v>
      </c>
      <c r="V4047" s="33">
        <f>Data!P4061</f>
        <v>0</v>
      </c>
    </row>
    <row r="4048" spans="7:22" x14ac:dyDescent="0.25">
      <c r="G4048">
        <f>Data!B4060</f>
        <v>0</v>
      </c>
      <c r="H4048" s="21">
        <f>Data!B4060</f>
        <v>0</v>
      </c>
      <c r="I4048" s="21">
        <f>Data!C4060</f>
        <v>0</v>
      </c>
      <c r="J4048">
        <f>Data!D4060</f>
        <v>0</v>
      </c>
      <c r="K4048">
        <f>Data!E4060</f>
        <v>0</v>
      </c>
      <c r="L4048">
        <f>Data!F4060</f>
        <v>0</v>
      </c>
      <c r="M4048">
        <f>Data!G4060</f>
        <v>0</v>
      </c>
      <c r="N4048">
        <f>Data!H4060</f>
        <v>0</v>
      </c>
      <c r="O4048">
        <f>Data!I4060</f>
        <v>0</v>
      </c>
      <c r="P4048" s="21">
        <f>Data!J4064</f>
        <v>0</v>
      </c>
      <c r="Q4048">
        <f>Data!K4064</f>
        <v>0</v>
      </c>
      <c r="R4048">
        <f>Data!L4064</f>
        <v>0</v>
      </c>
      <c r="S4048">
        <f>Data!M4064</f>
        <v>0</v>
      </c>
      <c r="T4048">
        <f>Data!N4064</f>
        <v>0</v>
      </c>
      <c r="U4048">
        <f>Data!O4064</f>
        <v>0</v>
      </c>
      <c r="V4048" s="33">
        <f>Data!P4062</f>
        <v>0</v>
      </c>
    </row>
    <row r="4049" spans="7:22" x14ac:dyDescent="0.25">
      <c r="G4049">
        <f>Data!B4061</f>
        <v>0</v>
      </c>
      <c r="H4049" s="21">
        <f>Data!B4061</f>
        <v>0</v>
      </c>
      <c r="I4049" s="21">
        <f>Data!C4061</f>
        <v>0</v>
      </c>
      <c r="J4049">
        <f>Data!D4061</f>
        <v>0</v>
      </c>
      <c r="K4049">
        <f>Data!E4061</f>
        <v>0</v>
      </c>
      <c r="L4049">
        <f>Data!F4061</f>
        <v>0</v>
      </c>
      <c r="M4049">
        <f>Data!G4061</f>
        <v>0</v>
      </c>
      <c r="N4049">
        <f>Data!H4061</f>
        <v>0</v>
      </c>
      <c r="O4049">
        <f>Data!I4061</f>
        <v>0</v>
      </c>
      <c r="P4049" s="21">
        <f>Data!J4065</f>
        <v>0</v>
      </c>
      <c r="Q4049">
        <f>Data!K4065</f>
        <v>0</v>
      </c>
      <c r="R4049">
        <f>Data!L4065</f>
        <v>0</v>
      </c>
      <c r="S4049">
        <f>Data!M4065</f>
        <v>0</v>
      </c>
      <c r="T4049">
        <f>Data!N4065</f>
        <v>0</v>
      </c>
      <c r="U4049">
        <f>Data!O4065</f>
        <v>0</v>
      </c>
      <c r="V4049" s="33">
        <f>Data!P4063</f>
        <v>0</v>
      </c>
    </row>
    <row r="4050" spans="7:22" x14ac:dyDescent="0.25">
      <c r="G4050">
        <f>Data!B4062</f>
        <v>0</v>
      </c>
      <c r="H4050" s="21">
        <f>Data!B4062</f>
        <v>0</v>
      </c>
      <c r="I4050" s="21">
        <f>Data!C4062</f>
        <v>0</v>
      </c>
      <c r="J4050">
        <f>Data!D4062</f>
        <v>0</v>
      </c>
      <c r="K4050">
        <f>Data!E4062</f>
        <v>0</v>
      </c>
      <c r="L4050">
        <f>Data!F4062</f>
        <v>0</v>
      </c>
      <c r="M4050">
        <f>Data!G4062</f>
        <v>0</v>
      </c>
      <c r="N4050">
        <f>Data!H4062</f>
        <v>0</v>
      </c>
      <c r="O4050">
        <f>Data!I4062</f>
        <v>0</v>
      </c>
      <c r="P4050" s="21">
        <f>Data!J4066</f>
        <v>0</v>
      </c>
      <c r="Q4050">
        <f>Data!K4066</f>
        <v>0</v>
      </c>
      <c r="R4050">
        <f>Data!L4066</f>
        <v>0</v>
      </c>
      <c r="S4050">
        <f>Data!M4066</f>
        <v>0</v>
      </c>
      <c r="T4050">
        <f>Data!N4066</f>
        <v>0</v>
      </c>
      <c r="U4050">
        <f>Data!O4066</f>
        <v>0</v>
      </c>
      <c r="V4050" s="33">
        <f>Data!P4064</f>
        <v>0</v>
      </c>
    </row>
    <row r="4051" spans="7:22" x14ac:dyDescent="0.25">
      <c r="G4051">
        <f>Data!B4063</f>
        <v>0</v>
      </c>
      <c r="H4051" s="21">
        <f>Data!B4063</f>
        <v>0</v>
      </c>
      <c r="I4051" s="21">
        <f>Data!C4063</f>
        <v>0</v>
      </c>
      <c r="J4051">
        <f>Data!D4063</f>
        <v>0</v>
      </c>
      <c r="K4051">
        <f>Data!E4063</f>
        <v>0</v>
      </c>
      <c r="L4051">
        <f>Data!F4063</f>
        <v>0</v>
      </c>
      <c r="M4051">
        <f>Data!G4063</f>
        <v>0</v>
      </c>
      <c r="N4051">
        <f>Data!H4063</f>
        <v>0</v>
      </c>
      <c r="O4051">
        <f>Data!I4063</f>
        <v>0</v>
      </c>
      <c r="P4051" s="21">
        <f>Data!J4067</f>
        <v>0</v>
      </c>
      <c r="Q4051">
        <f>Data!K4067</f>
        <v>0</v>
      </c>
      <c r="R4051">
        <f>Data!L4067</f>
        <v>0</v>
      </c>
      <c r="S4051">
        <f>Data!M4067</f>
        <v>0</v>
      </c>
      <c r="T4051">
        <f>Data!N4067</f>
        <v>0</v>
      </c>
      <c r="U4051">
        <f>Data!O4067</f>
        <v>0</v>
      </c>
      <c r="V4051" s="33">
        <f>Data!P4065</f>
        <v>0</v>
      </c>
    </row>
    <row r="4052" spans="7:22" x14ac:dyDescent="0.25">
      <c r="G4052">
        <f>Data!B4064</f>
        <v>0</v>
      </c>
      <c r="H4052" s="21">
        <f>Data!B4064</f>
        <v>0</v>
      </c>
      <c r="I4052" s="21">
        <f>Data!C4064</f>
        <v>0</v>
      </c>
      <c r="J4052">
        <f>Data!D4064</f>
        <v>0</v>
      </c>
      <c r="K4052">
        <f>Data!E4064</f>
        <v>0</v>
      </c>
      <c r="L4052">
        <f>Data!F4064</f>
        <v>0</v>
      </c>
      <c r="M4052">
        <f>Data!G4064</f>
        <v>0</v>
      </c>
      <c r="N4052">
        <f>Data!H4064</f>
        <v>0</v>
      </c>
      <c r="O4052">
        <f>Data!I4064</f>
        <v>0</v>
      </c>
      <c r="P4052" s="21">
        <f>Data!J4068</f>
        <v>0</v>
      </c>
      <c r="Q4052">
        <f>Data!K4068</f>
        <v>0</v>
      </c>
      <c r="R4052">
        <f>Data!L4068</f>
        <v>0</v>
      </c>
      <c r="S4052">
        <f>Data!M4068</f>
        <v>0</v>
      </c>
      <c r="T4052">
        <f>Data!N4068</f>
        <v>0</v>
      </c>
      <c r="U4052">
        <f>Data!O4068</f>
        <v>0</v>
      </c>
      <c r="V4052" s="33">
        <f>Data!P4066</f>
        <v>0</v>
      </c>
    </row>
    <row r="4053" spans="7:22" x14ac:dyDescent="0.25">
      <c r="G4053">
        <f>Data!B4065</f>
        <v>0</v>
      </c>
      <c r="H4053" s="21">
        <f>Data!B4065</f>
        <v>0</v>
      </c>
      <c r="I4053" s="21">
        <f>Data!C4065</f>
        <v>0</v>
      </c>
      <c r="J4053">
        <f>Data!D4065</f>
        <v>0</v>
      </c>
      <c r="K4053">
        <f>Data!E4065</f>
        <v>0</v>
      </c>
      <c r="L4053">
        <f>Data!F4065</f>
        <v>0</v>
      </c>
      <c r="M4053">
        <f>Data!G4065</f>
        <v>0</v>
      </c>
      <c r="N4053">
        <f>Data!H4065</f>
        <v>0</v>
      </c>
      <c r="O4053">
        <f>Data!I4065</f>
        <v>0</v>
      </c>
      <c r="P4053" s="21">
        <f>Data!J4069</f>
        <v>0</v>
      </c>
      <c r="Q4053">
        <f>Data!K4069</f>
        <v>0</v>
      </c>
      <c r="R4053">
        <f>Data!L4069</f>
        <v>0</v>
      </c>
      <c r="S4053">
        <f>Data!M4069</f>
        <v>0</v>
      </c>
      <c r="T4053">
        <f>Data!N4069</f>
        <v>0</v>
      </c>
      <c r="U4053">
        <f>Data!O4069</f>
        <v>0</v>
      </c>
      <c r="V4053" s="33">
        <f>Data!P4067</f>
        <v>0</v>
      </c>
    </row>
    <row r="4054" spans="7:22" x14ac:dyDescent="0.25">
      <c r="G4054">
        <f>Data!B4066</f>
        <v>0</v>
      </c>
      <c r="H4054" s="21">
        <f>Data!B4066</f>
        <v>0</v>
      </c>
      <c r="I4054" s="21">
        <f>Data!C4066</f>
        <v>0</v>
      </c>
      <c r="J4054">
        <f>Data!D4066</f>
        <v>0</v>
      </c>
      <c r="K4054">
        <f>Data!E4066</f>
        <v>0</v>
      </c>
      <c r="L4054">
        <f>Data!F4066</f>
        <v>0</v>
      </c>
      <c r="M4054">
        <f>Data!G4066</f>
        <v>0</v>
      </c>
      <c r="N4054">
        <f>Data!H4066</f>
        <v>0</v>
      </c>
      <c r="O4054">
        <f>Data!I4066</f>
        <v>0</v>
      </c>
      <c r="P4054" s="21">
        <f>Data!J4070</f>
        <v>0</v>
      </c>
      <c r="Q4054">
        <f>Data!K4070</f>
        <v>0</v>
      </c>
      <c r="R4054">
        <f>Data!L4070</f>
        <v>0</v>
      </c>
      <c r="S4054">
        <f>Data!M4070</f>
        <v>0</v>
      </c>
      <c r="T4054">
        <f>Data!N4070</f>
        <v>0</v>
      </c>
      <c r="U4054">
        <f>Data!O4070</f>
        <v>0</v>
      </c>
      <c r="V4054" s="33">
        <f>Data!P4068</f>
        <v>0</v>
      </c>
    </row>
    <row r="4055" spans="7:22" x14ac:dyDescent="0.25">
      <c r="G4055">
        <f>Data!B4067</f>
        <v>0</v>
      </c>
      <c r="H4055" s="21">
        <f>Data!B4067</f>
        <v>0</v>
      </c>
      <c r="I4055" s="21">
        <f>Data!C4067</f>
        <v>0</v>
      </c>
      <c r="J4055">
        <f>Data!D4067</f>
        <v>0</v>
      </c>
      <c r="K4055">
        <f>Data!E4067</f>
        <v>0</v>
      </c>
      <c r="L4055">
        <f>Data!F4067</f>
        <v>0</v>
      </c>
      <c r="M4055">
        <f>Data!G4067</f>
        <v>0</v>
      </c>
      <c r="N4055">
        <f>Data!H4067</f>
        <v>0</v>
      </c>
      <c r="O4055">
        <f>Data!I4067</f>
        <v>0</v>
      </c>
      <c r="P4055" s="21">
        <f>Data!J4071</f>
        <v>0</v>
      </c>
      <c r="Q4055">
        <f>Data!K4071</f>
        <v>0</v>
      </c>
      <c r="R4055">
        <f>Data!L4071</f>
        <v>0</v>
      </c>
      <c r="S4055">
        <f>Data!M4071</f>
        <v>0</v>
      </c>
      <c r="T4055">
        <f>Data!N4071</f>
        <v>0</v>
      </c>
      <c r="U4055">
        <f>Data!O4071</f>
        <v>0</v>
      </c>
      <c r="V4055" s="33">
        <f>Data!P4069</f>
        <v>0</v>
      </c>
    </row>
    <row r="4056" spans="7:22" x14ac:dyDescent="0.25">
      <c r="G4056">
        <f>Data!B4068</f>
        <v>0</v>
      </c>
      <c r="H4056" s="21">
        <f>Data!B4068</f>
        <v>0</v>
      </c>
      <c r="I4056" s="21">
        <f>Data!C4068</f>
        <v>0</v>
      </c>
      <c r="J4056">
        <f>Data!D4068</f>
        <v>0</v>
      </c>
      <c r="K4056">
        <f>Data!E4068</f>
        <v>0</v>
      </c>
      <c r="L4056">
        <f>Data!F4068</f>
        <v>0</v>
      </c>
      <c r="M4056">
        <f>Data!G4068</f>
        <v>0</v>
      </c>
      <c r="N4056">
        <f>Data!H4068</f>
        <v>0</v>
      </c>
      <c r="O4056">
        <f>Data!I4068</f>
        <v>0</v>
      </c>
      <c r="P4056" s="21">
        <f>Data!J4072</f>
        <v>0</v>
      </c>
      <c r="Q4056">
        <f>Data!K4072</f>
        <v>0</v>
      </c>
      <c r="R4056">
        <f>Data!L4072</f>
        <v>0</v>
      </c>
      <c r="S4056">
        <f>Data!M4072</f>
        <v>0</v>
      </c>
      <c r="T4056">
        <f>Data!N4072</f>
        <v>0</v>
      </c>
      <c r="U4056">
        <f>Data!O4072</f>
        <v>0</v>
      </c>
      <c r="V4056" s="33">
        <f>Data!P4070</f>
        <v>0</v>
      </c>
    </row>
    <row r="4057" spans="7:22" x14ac:dyDescent="0.25">
      <c r="G4057">
        <f>Data!B4069</f>
        <v>0</v>
      </c>
      <c r="H4057" s="21">
        <f>Data!B4069</f>
        <v>0</v>
      </c>
      <c r="I4057" s="21">
        <f>Data!C4069</f>
        <v>0</v>
      </c>
      <c r="J4057">
        <f>Data!D4069</f>
        <v>0</v>
      </c>
      <c r="K4057">
        <f>Data!E4069</f>
        <v>0</v>
      </c>
      <c r="L4057">
        <f>Data!F4069</f>
        <v>0</v>
      </c>
      <c r="M4057">
        <f>Data!G4069</f>
        <v>0</v>
      </c>
      <c r="N4057">
        <f>Data!H4069</f>
        <v>0</v>
      </c>
      <c r="O4057">
        <f>Data!I4069</f>
        <v>0</v>
      </c>
      <c r="P4057" s="21">
        <f>Data!J4073</f>
        <v>0</v>
      </c>
      <c r="Q4057">
        <f>Data!K4073</f>
        <v>0</v>
      </c>
      <c r="R4057">
        <f>Data!L4073</f>
        <v>0</v>
      </c>
      <c r="S4057">
        <f>Data!M4073</f>
        <v>0</v>
      </c>
      <c r="T4057">
        <f>Data!N4073</f>
        <v>0</v>
      </c>
      <c r="U4057">
        <f>Data!O4073</f>
        <v>0</v>
      </c>
      <c r="V4057" s="33">
        <f>Data!P4071</f>
        <v>0</v>
      </c>
    </row>
    <row r="4058" spans="7:22" x14ac:dyDescent="0.25">
      <c r="G4058">
        <f>Data!B4070</f>
        <v>0</v>
      </c>
      <c r="H4058" s="21">
        <f>Data!B4070</f>
        <v>0</v>
      </c>
      <c r="I4058" s="21">
        <f>Data!C4070</f>
        <v>0</v>
      </c>
      <c r="J4058">
        <f>Data!D4070</f>
        <v>0</v>
      </c>
      <c r="K4058">
        <f>Data!E4070</f>
        <v>0</v>
      </c>
      <c r="L4058">
        <f>Data!F4070</f>
        <v>0</v>
      </c>
      <c r="M4058">
        <f>Data!G4070</f>
        <v>0</v>
      </c>
      <c r="N4058">
        <f>Data!H4070</f>
        <v>0</v>
      </c>
      <c r="O4058">
        <f>Data!I4070</f>
        <v>0</v>
      </c>
      <c r="P4058" s="21">
        <f>Data!J4074</f>
        <v>0</v>
      </c>
      <c r="Q4058">
        <f>Data!K4074</f>
        <v>0</v>
      </c>
      <c r="R4058">
        <f>Data!L4074</f>
        <v>0</v>
      </c>
      <c r="S4058">
        <f>Data!M4074</f>
        <v>0</v>
      </c>
      <c r="T4058">
        <f>Data!N4074</f>
        <v>0</v>
      </c>
      <c r="U4058">
        <f>Data!O4074</f>
        <v>0</v>
      </c>
      <c r="V4058" s="33">
        <f>Data!P4072</f>
        <v>0</v>
      </c>
    </row>
    <row r="4059" spans="7:22" x14ac:dyDescent="0.25">
      <c r="G4059">
        <f>Data!B4071</f>
        <v>0</v>
      </c>
      <c r="H4059" s="21">
        <f>Data!B4071</f>
        <v>0</v>
      </c>
      <c r="I4059" s="21">
        <f>Data!C4071</f>
        <v>0</v>
      </c>
      <c r="J4059">
        <f>Data!D4071</f>
        <v>0</v>
      </c>
      <c r="K4059">
        <f>Data!E4071</f>
        <v>0</v>
      </c>
      <c r="L4059">
        <f>Data!F4071</f>
        <v>0</v>
      </c>
      <c r="M4059">
        <f>Data!G4071</f>
        <v>0</v>
      </c>
      <c r="N4059">
        <f>Data!H4071</f>
        <v>0</v>
      </c>
      <c r="O4059">
        <f>Data!I4071</f>
        <v>0</v>
      </c>
      <c r="P4059" s="21">
        <f>Data!J4075</f>
        <v>0</v>
      </c>
      <c r="Q4059">
        <f>Data!K4075</f>
        <v>0</v>
      </c>
      <c r="R4059">
        <f>Data!L4075</f>
        <v>0</v>
      </c>
      <c r="S4059">
        <f>Data!M4075</f>
        <v>0</v>
      </c>
      <c r="T4059">
        <f>Data!N4075</f>
        <v>0</v>
      </c>
      <c r="U4059">
        <f>Data!O4075</f>
        <v>0</v>
      </c>
      <c r="V4059" s="33">
        <f>Data!P4073</f>
        <v>0</v>
      </c>
    </row>
    <row r="4060" spans="7:22" x14ac:dyDescent="0.25">
      <c r="G4060">
        <f>Data!B4072</f>
        <v>0</v>
      </c>
      <c r="H4060" s="21">
        <f>Data!B4072</f>
        <v>0</v>
      </c>
      <c r="I4060" s="21">
        <f>Data!C4072</f>
        <v>0</v>
      </c>
      <c r="J4060">
        <f>Data!D4072</f>
        <v>0</v>
      </c>
      <c r="K4060">
        <f>Data!E4072</f>
        <v>0</v>
      </c>
      <c r="L4060">
        <f>Data!F4072</f>
        <v>0</v>
      </c>
      <c r="M4060">
        <f>Data!G4072</f>
        <v>0</v>
      </c>
      <c r="N4060">
        <f>Data!H4072</f>
        <v>0</v>
      </c>
      <c r="O4060">
        <f>Data!I4072</f>
        <v>0</v>
      </c>
      <c r="P4060" s="21">
        <f>Data!J4076</f>
        <v>0</v>
      </c>
      <c r="Q4060">
        <f>Data!K4076</f>
        <v>0</v>
      </c>
      <c r="R4060">
        <f>Data!L4076</f>
        <v>0</v>
      </c>
      <c r="S4060">
        <f>Data!M4076</f>
        <v>0</v>
      </c>
      <c r="T4060">
        <f>Data!N4076</f>
        <v>0</v>
      </c>
      <c r="U4060">
        <f>Data!O4076</f>
        <v>0</v>
      </c>
      <c r="V4060" s="33">
        <f>Data!P4074</f>
        <v>0</v>
      </c>
    </row>
    <row r="4061" spans="7:22" x14ac:dyDescent="0.25">
      <c r="G4061">
        <f>Data!B4073</f>
        <v>0</v>
      </c>
      <c r="H4061" s="21">
        <f>Data!B4073</f>
        <v>0</v>
      </c>
      <c r="I4061" s="21">
        <f>Data!C4073</f>
        <v>0</v>
      </c>
      <c r="J4061">
        <f>Data!D4073</f>
        <v>0</v>
      </c>
      <c r="K4061">
        <f>Data!E4073</f>
        <v>0</v>
      </c>
      <c r="L4061">
        <f>Data!F4073</f>
        <v>0</v>
      </c>
      <c r="M4061">
        <f>Data!G4073</f>
        <v>0</v>
      </c>
      <c r="N4061">
        <f>Data!H4073</f>
        <v>0</v>
      </c>
      <c r="O4061">
        <f>Data!I4073</f>
        <v>0</v>
      </c>
      <c r="P4061" s="21">
        <f>Data!J4077</f>
        <v>0</v>
      </c>
      <c r="Q4061">
        <f>Data!K4077</f>
        <v>0</v>
      </c>
      <c r="R4061">
        <f>Data!L4077</f>
        <v>0</v>
      </c>
      <c r="S4061">
        <f>Data!M4077</f>
        <v>0</v>
      </c>
      <c r="T4061">
        <f>Data!N4077</f>
        <v>0</v>
      </c>
      <c r="U4061">
        <f>Data!O4077</f>
        <v>0</v>
      </c>
      <c r="V4061" s="33">
        <f>Data!P4075</f>
        <v>0</v>
      </c>
    </row>
    <row r="4062" spans="7:22" x14ac:dyDescent="0.25">
      <c r="G4062">
        <f>Data!B4074</f>
        <v>0</v>
      </c>
      <c r="H4062" s="21">
        <f>Data!B4074</f>
        <v>0</v>
      </c>
      <c r="I4062" s="21">
        <f>Data!C4074</f>
        <v>0</v>
      </c>
      <c r="J4062">
        <f>Data!D4074</f>
        <v>0</v>
      </c>
      <c r="K4062">
        <f>Data!E4074</f>
        <v>0</v>
      </c>
      <c r="L4062">
        <f>Data!F4074</f>
        <v>0</v>
      </c>
      <c r="M4062">
        <f>Data!G4074</f>
        <v>0</v>
      </c>
      <c r="N4062">
        <f>Data!H4074</f>
        <v>0</v>
      </c>
      <c r="O4062">
        <f>Data!I4074</f>
        <v>0</v>
      </c>
      <c r="P4062" s="21">
        <f>Data!J4078</f>
        <v>0</v>
      </c>
      <c r="Q4062">
        <f>Data!K4078</f>
        <v>0</v>
      </c>
      <c r="R4062">
        <f>Data!L4078</f>
        <v>0</v>
      </c>
      <c r="S4062">
        <f>Data!M4078</f>
        <v>0</v>
      </c>
      <c r="T4062">
        <f>Data!N4078</f>
        <v>0</v>
      </c>
      <c r="U4062">
        <f>Data!O4078</f>
        <v>0</v>
      </c>
      <c r="V4062" s="33">
        <f>Data!P4076</f>
        <v>0</v>
      </c>
    </row>
    <row r="4063" spans="7:22" x14ac:dyDescent="0.25">
      <c r="G4063">
        <f>Data!B4075</f>
        <v>0</v>
      </c>
      <c r="H4063" s="21">
        <f>Data!B4075</f>
        <v>0</v>
      </c>
      <c r="I4063" s="21">
        <f>Data!C4075</f>
        <v>0</v>
      </c>
      <c r="J4063">
        <f>Data!D4075</f>
        <v>0</v>
      </c>
      <c r="K4063">
        <f>Data!E4075</f>
        <v>0</v>
      </c>
      <c r="L4063">
        <f>Data!F4075</f>
        <v>0</v>
      </c>
      <c r="M4063">
        <f>Data!G4075</f>
        <v>0</v>
      </c>
      <c r="N4063">
        <f>Data!H4075</f>
        <v>0</v>
      </c>
      <c r="O4063">
        <f>Data!I4075</f>
        <v>0</v>
      </c>
      <c r="P4063" s="21">
        <f>Data!J4079</f>
        <v>0</v>
      </c>
      <c r="Q4063">
        <f>Data!K4079</f>
        <v>0</v>
      </c>
      <c r="R4063">
        <f>Data!L4079</f>
        <v>0</v>
      </c>
      <c r="S4063">
        <f>Data!M4079</f>
        <v>0</v>
      </c>
      <c r="T4063">
        <f>Data!N4079</f>
        <v>0</v>
      </c>
      <c r="U4063">
        <f>Data!O4079</f>
        <v>0</v>
      </c>
      <c r="V4063" s="33">
        <f>Data!P4077</f>
        <v>0</v>
      </c>
    </row>
    <row r="4064" spans="7:22" x14ac:dyDescent="0.25">
      <c r="G4064">
        <f>Data!B4076</f>
        <v>0</v>
      </c>
      <c r="H4064" s="21">
        <f>Data!B4076</f>
        <v>0</v>
      </c>
      <c r="I4064" s="21">
        <f>Data!C4076</f>
        <v>0</v>
      </c>
      <c r="J4064">
        <f>Data!D4076</f>
        <v>0</v>
      </c>
      <c r="K4064">
        <f>Data!E4076</f>
        <v>0</v>
      </c>
      <c r="L4064">
        <f>Data!F4076</f>
        <v>0</v>
      </c>
      <c r="M4064">
        <f>Data!G4076</f>
        <v>0</v>
      </c>
      <c r="N4064">
        <f>Data!H4076</f>
        <v>0</v>
      </c>
      <c r="O4064">
        <f>Data!I4076</f>
        <v>0</v>
      </c>
      <c r="P4064" s="21">
        <f>Data!J4080</f>
        <v>0</v>
      </c>
      <c r="Q4064">
        <f>Data!K4080</f>
        <v>0</v>
      </c>
      <c r="R4064">
        <f>Data!L4080</f>
        <v>0</v>
      </c>
      <c r="S4064">
        <f>Data!M4080</f>
        <v>0</v>
      </c>
      <c r="T4064">
        <f>Data!N4080</f>
        <v>0</v>
      </c>
      <c r="U4064">
        <f>Data!O4080</f>
        <v>0</v>
      </c>
      <c r="V4064" s="33">
        <f>Data!P4078</f>
        <v>0</v>
      </c>
    </row>
    <row r="4065" spans="7:22" x14ac:dyDescent="0.25">
      <c r="G4065">
        <f>Data!B4077</f>
        <v>0</v>
      </c>
      <c r="H4065" s="21">
        <f>Data!B4077</f>
        <v>0</v>
      </c>
      <c r="I4065" s="21">
        <f>Data!C4077</f>
        <v>0</v>
      </c>
      <c r="J4065">
        <f>Data!D4077</f>
        <v>0</v>
      </c>
      <c r="K4065">
        <f>Data!E4077</f>
        <v>0</v>
      </c>
      <c r="L4065">
        <f>Data!F4077</f>
        <v>0</v>
      </c>
      <c r="M4065">
        <f>Data!G4077</f>
        <v>0</v>
      </c>
      <c r="N4065">
        <f>Data!H4077</f>
        <v>0</v>
      </c>
      <c r="O4065">
        <f>Data!I4077</f>
        <v>0</v>
      </c>
      <c r="P4065" s="21">
        <f>Data!J4081</f>
        <v>0</v>
      </c>
      <c r="Q4065">
        <f>Data!K4081</f>
        <v>0</v>
      </c>
      <c r="R4065">
        <f>Data!L4081</f>
        <v>0</v>
      </c>
      <c r="S4065">
        <f>Data!M4081</f>
        <v>0</v>
      </c>
      <c r="T4065">
        <f>Data!N4081</f>
        <v>0</v>
      </c>
      <c r="U4065">
        <f>Data!O4081</f>
        <v>0</v>
      </c>
      <c r="V4065" s="33">
        <f>Data!P4079</f>
        <v>0</v>
      </c>
    </row>
    <row r="4066" spans="7:22" x14ac:dyDescent="0.25">
      <c r="G4066">
        <f>Data!B4078</f>
        <v>0</v>
      </c>
      <c r="H4066" s="21">
        <f>Data!B4078</f>
        <v>0</v>
      </c>
      <c r="I4066" s="21">
        <f>Data!C4078</f>
        <v>0</v>
      </c>
      <c r="J4066">
        <f>Data!D4078</f>
        <v>0</v>
      </c>
      <c r="K4066">
        <f>Data!E4078</f>
        <v>0</v>
      </c>
      <c r="L4066">
        <f>Data!F4078</f>
        <v>0</v>
      </c>
      <c r="M4066">
        <f>Data!G4078</f>
        <v>0</v>
      </c>
      <c r="N4066">
        <f>Data!H4078</f>
        <v>0</v>
      </c>
      <c r="O4066">
        <f>Data!I4078</f>
        <v>0</v>
      </c>
      <c r="P4066" s="21">
        <f>Data!J4082</f>
        <v>0</v>
      </c>
      <c r="Q4066">
        <f>Data!K4082</f>
        <v>0</v>
      </c>
      <c r="R4066">
        <f>Data!L4082</f>
        <v>0</v>
      </c>
      <c r="S4066">
        <f>Data!M4082</f>
        <v>0</v>
      </c>
      <c r="T4066">
        <f>Data!N4082</f>
        <v>0</v>
      </c>
      <c r="U4066">
        <f>Data!O4082</f>
        <v>0</v>
      </c>
      <c r="V4066" s="33">
        <f>Data!P4080</f>
        <v>0</v>
      </c>
    </row>
    <row r="4067" spans="7:22" x14ac:dyDescent="0.25">
      <c r="G4067">
        <f>Data!B4079</f>
        <v>0</v>
      </c>
      <c r="H4067" s="21">
        <f>Data!B4079</f>
        <v>0</v>
      </c>
      <c r="I4067" s="21">
        <f>Data!C4079</f>
        <v>0</v>
      </c>
      <c r="J4067">
        <f>Data!D4079</f>
        <v>0</v>
      </c>
      <c r="K4067">
        <f>Data!E4079</f>
        <v>0</v>
      </c>
      <c r="L4067">
        <f>Data!F4079</f>
        <v>0</v>
      </c>
      <c r="M4067">
        <f>Data!G4079</f>
        <v>0</v>
      </c>
      <c r="N4067">
        <f>Data!H4079</f>
        <v>0</v>
      </c>
      <c r="O4067">
        <f>Data!I4079</f>
        <v>0</v>
      </c>
      <c r="P4067" s="21">
        <f>Data!J4083</f>
        <v>0</v>
      </c>
      <c r="Q4067">
        <f>Data!K4083</f>
        <v>0</v>
      </c>
      <c r="R4067">
        <f>Data!L4083</f>
        <v>0</v>
      </c>
      <c r="S4067">
        <f>Data!M4083</f>
        <v>0</v>
      </c>
      <c r="T4067">
        <f>Data!N4083</f>
        <v>0</v>
      </c>
      <c r="U4067">
        <f>Data!O4083</f>
        <v>0</v>
      </c>
      <c r="V4067" s="33">
        <f>Data!P4081</f>
        <v>0</v>
      </c>
    </row>
    <row r="4068" spans="7:22" x14ac:dyDescent="0.25">
      <c r="G4068">
        <f>Data!B4080</f>
        <v>0</v>
      </c>
      <c r="H4068" s="21">
        <f>Data!B4080</f>
        <v>0</v>
      </c>
      <c r="I4068" s="21">
        <f>Data!C4080</f>
        <v>0</v>
      </c>
      <c r="J4068">
        <f>Data!D4080</f>
        <v>0</v>
      </c>
      <c r="K4068">
        <f>Data!E4080</f>
        <v>0</v>
      </c>
      <c r="L4068">
        <f>Data!F4080</f>
        <v>0</v>
      </c>
      <c r="M4068">
        <f>Data!G4080</f>
        <v>0</v>
      </c>
      <c r="N4068">
        <f>Data!H4080</f>
        <v>0</v>
      </c>
      <c r="O4068">
        <f>Data!I4080</f>
        <v>0</v>
      </c>
      <c r="P4068" s="21">
        <f>Data!J4084</f>
        <v>0</v>
      </c>
      <c r="Q4068">
        <f>Data!K4084</f>
        <v>0</v>
      </c>
      <c r="R4068">
        <f>Data!L4084</f>
        <v>0</v>
      </c>
      <c r="S4068">
        <f>Data!M4084</f>
        <v>0</v>
      </c>
      <c r="T4068">
        <f>Data!N4084</f>
        <v>0</v>
      </c>
      <c r="U4068">
        <f>Data!O4084</f>
        <v>0</v>
      </c>
      <c r="V4068" s="33">
        <f>Data!P4082</f>
        <v>0</v>
      </c>
    </row>
    <row r="4069" spans="7:22" x14ac:dyDescent="0.25">
      <c r="G4069">
        <f>Data!B4081</f>
        <v>0</v>
      </c>
      <c r="H4069" s="21">
        <f>Data!B4081</f>
        <v>0</v>
      </c>
      <c r="I4069" s="21">
        <f>Data!C4081</f>
        <v>0</v>
      </c>
      <c r="J4069">
        <f>Data!D4081</f>
        <v>0</v>
      </c>
      <c r="K4069">
        <f>Data!E4081</f>
        <v>0</v>
      </c>
      <c r="L4069">
        <f>Data!F4081</f>
        <v>0</v>
      </c>
      <c r="M4069">
        <f>Data!G4081</f>
        <v>0</v>
      </c>
      <c r="N4069">
        <f>Data!H4081</f>
        <v>0</v>
      </c>
      <c r="O4069">
        <f>Data!I4081</f>
        <v>0</v>
      </c>
      <c r="P4069" s="21">
        <f>Data!J4085</f>
        <v>0</v>
      </c>
      <c r="Q4069">
        <f>Data!K4085</f>
        <v>0</v>
      </c>
      <c r="R4069">
        <f>Data!L4085</f>
        <v>0</v>
      </c>
      <c r="S4069">
        <f>Data!M4085</f>
        <v>0</v>
      </c>
      <c r="T4069">
        <f>Data!N4085</f>
        <v>0</v>
      </c>
      <c r="U4069">
        <f>Data!O4085</f>
        <v>0</v>
      </c>
      <c r="V4069" s="33">
        <f>Data!P4083</f>
        <v>0</v>
      </c>
    </row>
    <row r="4070" spans="7:22" x14ac:dyDescent="0.25">
      <c r="G4070">
        <f>Data!B4082</f>
        <v>0</v>
      </c>
      <c r="H4070" s="21">
        <f>Data!B4082</f>
        <v>0</v>
      </c>
      <c r="I4070" s="21">
        <f>Data!C4082</f>
        <v>0</v>
      </c>
      <c r="J4070">
        <f>Data!D4082</f>
        <v>0</v>
      </c>
      <c r="K4070">
        <f>Data!E4082</f>
        <v>0</v>
      </c>
      <c r="L4070">
        <f>Data!F4082</f>
        <v>0</v>
      </c>
      <c r="M4070">
        <f>Data!G4082</f>
        <v>0</v>
      </c>
      <c r="N4070">
        <f>Data!H4082</f>
        <v>0</v>
      </c>
      <c r="O4070">
        <f>Data!I4082</f>
        <v>0</v>
      </c>
      <c r="P4070" s="21">
        <f>Data!J4086</f>
        <v>0</v>
      </c>
      <c r="Q4070">
        <f>Data!K4086</f>
        <v>0</v>
      </c>
      <c r="R4070">
        <f>Data!L4086</f>
        <v>0</v>
      </c>
      <c r="S4070">
        <f>Data!M4086</f>
        <v>0</v>
      </c>
      <c r="T4070">
        <f>Data!N4086</f>
        <v>0</v>
      </c>
      <c r="U4070">
        <f>Data!O4086</f>
        <v>0</v>
      </c>
      <c r="V4070" s="33">
        <f>Data!P4084</f>
        <v>0</v>
      </c>
    </row>
    <row r="4071" spans="7:22" x14ac:dyDescent="0.25">
      <c r="G4071">
        <f>Data!B4083</f>
        <v>0</v>
      </c>
      <c r="H4071" s="21">
        <f>Data!B4083</f>
        <v>0</v>
      </c>
      <c r="I4071" s="21">
        <f>Data!C4083</f>
        <v>0</v>
      </c>
      <c r="J4071">
        <f>Data!D4083</f>
        <v>0</v>
      </c>
      <c r="K4071">
        <f>Data!E4083</f>
        <v>0</v>
      </c>
      <c r="L4071">
        <f>Data!F4083</f>
        <v>0</v>
      </c>
      <c r="M4071">
        <f>Data!G4083</f>
        <v>0</v>
      </c>
      <c r="N4071">
        <f>Data!H4083</f>
        <v>0</v>
      </c>
      <c r="O4071">
        <f>Data!I4083</f>
        <v>0</v>
      </c>
      <c r="P4071" s="21">
        <f>Data!J4087</f>
        <v>0</v>
      </c>
      <c r="Q4071">
        <f>Data!K4087</f>
        <v>0</v>
      </c>
      <c r="R4071">
        <f>Data!L4087</f>
        <v>0</v>
      </c>
      <c r="S4071">
        <f>Data!M4087</f>
        <v>0</v>
      </c>
      <c r="T4071">
        <f>Data!N4087</f>
        <v>0</v>
      </c>
      <c r="U4071">
        <f>Data!O4087</f>
        <v>0</v>
      </c>
      <c r="V4071" s="33">
        <f>Data!P4085</f>
        <v>0</v>
      </c>
    </row>
    <row r="4072" spans="7:22" x14ac:dyDescent="0.25">
      <c r="G4072">
        <f>Data!B4084</f>
        <v>0</v>
      </c>
      <c r="H4072" s="21">
        <f>Data!B4084</f>
        <v>0</v>
      </c>
      <c r="I4072" s="21">
        <f>Data!C4084</f>
        <v>0</v>
      </c>
      <c r="J4072">
        <f>Data!D4084</f>
        <v>0</v>
      </c>
      <c r="K4072">
        <f>Data!E4084</f>
        <v>0</v>
      </c>
      <c r="L4072">
        <f>Data!F4084</f>
        <v>0</v>
      </c>
      <c r="M4072">
        <f>Data!G4084</f>
        <v>0</v>
      </c>
      <c r="N4072">
        <f>Data!H4084</f>
        <v>0</v>
      </c>
      <c r="O4072">
        <f>Data!I4084</f>
        <v>0</v>
      </c>
      <c r="P4072" s="21">
        <f>Data!J4088</f>
        <v>0</v>
      </c>
      <c r="Q4072">
        <f>Data!K4088</f>
        <v>0</v>
      </c>
      <c r="R4072">
        <f>Data!L4088</f>
        <v>0</v>
      </c>
      <c r="S4072">
        <f>Data!M4088</f>
        <v>0</v>
      </c>
      <c r="T4072">
        <f>Data!N4088</f>
        <v>0</v>
      </c>
      <c r="U4072">
        <f>Data!O4088</f>
        <v>0</v>
      </c>
      <c r="V4072" s="33">
        <f>Data!P4086</f>
        <v>0</v>
      </c>
    </row>
    <row r="4073" spans="7:22" x14ac:dyDescent="0.25">
      <c r="G4073">
        <f>Data!B4085</f>
        <v>0</v>
      </c>
      <c r="H4073" s="21">
        <f>Data!B4085</f>
        <v>0</v>
      </c>
      <c r="I4073" s="21">
        <f>Data!C4085</f>
        <v>0</v>
      </c>
      <c r="J4073">
        <f>Data!D4085</f>
        <v>0</v>
      </c>
      <c r="K4073">
        <f>Data!E4085</f>
        <v>0</v>
      </c>
      <c r="L4073">
        <f>Data!F4085</f>
        <v>0</v>
      </c>
      <c r="M4073">
        <f>Data!G4085</f>
        <v>0</v>
      </c>
      <c r="N4073">
        <f>Data!H4085</f>
        <v>0</v>
      </c>
      <c r="O4073">
        <f>Data!I4085</f>
        <v>0</v>
      </c>
      <c r="P4073" s="21">
        <f>Data!J4089</f>
        <v>0</v>
      </c>
      <c r="Q4073">
        <f>Data!K4089</f>
        <v>0</v>
      </c>
      <c r="R4073">
        <f>Data!L4089</f>
        <v>0</v>
      </c>
      <c r="S4073">
        <f>Data!M4089</f>
        <v>0</v>
      </c>
      <c r="T4073">
        <f>Data!N4089</f>
        <v>0</v>
      </c>
      <c r="U4073">
        <f>Data!O4089</f>
        <v>0</v>
      </c>
      <c r="V4073" s="33">
        <f>Data!P4087</f>
        <v>0</v>
      </c>
    </row>
    <row r="4074" spans="7:22" x14ac:dyDescent="0.25">
      <c r="G4074">
        <f>Data!B4086</f>
        <v>0</v>
      </c>
      <c r="H4074" s="21">
        <f>Data!B4086</f>
        <v>0</v>
      </c>
      <c r="I4074" s="21">
        <f>Data!C4086</f>
        <v>0</v>
      </c>
      <c r="J4074">
        <f>Data!D4086</f>
        <v>0</v>
      </c>
      <c r="K4074">
        <f>Data!E4086</f>
        <v>0</v>
      </c>
      <c r="L4074">
        <f>Data!F4086</f>
        <v>0</v>
      </c>
      <c r="M4074">
        <f>Data!G4086</f>
        <v>0</v>
      </c>
      <c r="N4074">
        <f>Data!H4086</f>
        <v>0</v>
      </c>
      <c r="O4074">
        <f>Data!I4086</f>
        <v>0</v>
      </c>
      <c r="P4074" s="21">
        <f>Data!J4090</f>
        <v>0</v>
      </c>
      <c r="Q4074">
        <f>Data!K4090</f>
        <v>0</v>
      </c>
      <c r="R4074">
        <f>Data!L4090</f>
        <v>0</v>
      </c>
      <c r="S4074">
        <f>Data!M4090</f>
        <v>0</v>
      </c>
      <c r="T4074">
        <f>Data!N4090</f>
        <v>0</v>
      </c>
      <c r="U4074">
        <f>Data!O4090</f>
        <v>0</v>
      </c>
      <c r="V4074" s="33">
        <f>Data!P4088</f>
        <v>0</v>
      </c>
    </row>
    <row r="4075" spans="7:22" x14ac:dyDescent="0.25">
      <c r="G4075">
        <f>Data!B4087</f>
        <v>0</v>
      </c>
      <c r="H4075" s="21">
        <f>Data!B4087</f>
        <v>0</v>
      </c>
      <c r="I4075" s="21">
        <f>Data!C4087</f>
        <v>0</v>
      </c>
      <c r="J4075">
        <f>Data!D4087</f>
        <v>0</v>
      </c>
      <c r="K4075">
        <f>Data!E4087</f>
        <v>0</v>
      </c>
      <c r="L4075">
        <f>Data!F4087</f>
        <v>0</v>
      </c>
      <c r="M4075">
        <f>Data!G4087</f>
        <v>0</v>
      </c>
      <c r="N4075">
        <f>Data!H4087</f>
        <v>0</v>
      </c>
      <c r="O4075">
        <f>Data!I4087</f>
        <v>0</v>
      </c>
      <c r="P4075" s="21">
        <f>Data!J4091</f>
        <v>0</v>
      </c>
      <c r="Q4075">
        <f>Data!K4091</f>
        <v>0</v>
      </c>
      <c r="R4075">
        <f>Data!L4091</f>
        <v>0</v>
      </c>
      <c r="S4075">
        <f>Data!M4091</f>
        <v>0</v>
      </c>
      <c r="T4075">
        <f>Data!N4091</f>
        <v>0</v>
      </c>
      <c r="U4075">
        <f>Data!O4091</f>
        <v>0</v>
      </c>
      <c r="V4075" s="33">
        <f>Data!P4089</f>
        <v>0</v>
      </c>
    </row>
    <row r="4076" spans="7:22" x14ac:dyDescent="0.25">
      <c r="G4076">
        <f>Data!B4088</f>
        <v>0</v>
      </c>
      <c r="H4076" s="21">
        <f>Data!B4088</f>
        <v>0</v>
      </c>
      <c r="I4076" s="21">
        <f>Data!C4088</f>
        <v>0</v>
      </c>
      <c r="J4076">
        <f>Data!D4088</f>
        <v>0</v>
      </c>
      <c r="K4076">
        <f>Data!E4088</f>
        <v>0</v>
      </c>
      <c r="L4076">
        <f>Data!F4088</f>
        <v>0</v>
      </c>
      <c r="M4076">
        <f>Data!G4088</f>
        <v>0</v>
      </c>
      <c r="N4076">
        <f>Data!H4088</f>
        <v>0</v>
      </c>
      <c r="O4076">
        <f>Data!I4088</f>
        <v>0</v>
      </c>
      <c r="P4076" s="21">
        <f>Data!J4092</f>
        <v>0</v>
      </c>
      <c r="Q4076">
        <f>Data!K4092</f>
        <v>0</v>
      </c>
      <c r="R4076">
        <f>Data!L4092</f>
        <v>0</v>
      </c>
      <c r="S4076">
        <f>Data!M4092</f>
        <v>0</v>
      </c>
      <c r="T4076">
        <f>Data!N4092</f>
        <v>0</v>
      </c>
      <c r="U4076">
        <f>Data!O4092</f>
        <v>0</v>
      </c>
      <c r="V4076" s="33">
        <f>Data!P4090</f>
        <v>0</v>
      </c>
    </row>
    <row r="4077" spans="7:22" x14ac:dyDescent="0.25">
      <c r="G4077">
        <f>Data!B4089</f>
        <v>0</v>
      </c>
      <c r="H4077" s="21">
        <f>Data!B4089</f>
        <v>0</v>
      </c>
      <c r="I4077" s="21">
        <f>Data!C4089</f>
        <v>0</v>
      </c>
      <c r="J4077">
        <f>Data!D4089</f>
        <v>0</v>
      </c>
      <c r="K4077">
        <f>Data!E4089</f>
        <v>0</v>
      </c>
      <c r="L4077">
        <f>Data!F4089</f>
        <v>0</v>
      </c>
      <c r="M4077">
        <f>Data!G4089</f>
        <v>0</v>
      </c>
      <c r="N4077">
        <f>Data!H4089</f>
        <v>0</v>
      </c>
      <c r="O4077">
        <f>Data!I4089</f>
        <v>0</v>
      </c>
      <c r="P4077" s="21">
        <f>Data!J4093</f>
        <v>0</v>
      </c>
      <c r="Q4077">
        <f>Data!K4093</f>
        <v>0</v>
      </c>
      <c r="R4077">
        <f>Data!L4093</f>
        <v>0</v>
      </c>
      <c r="S4077">
        <f>Data!M4093</f>
        <v>0</v>
      </c>
      <c r="T4077">
        <f>Data!N4093</f>
        <v>0</v>
      </c>
      <c r="U4077">
        <f>Data!O4093</f>
        <v>0</v>
      </c>
      <c r="V4077" s="33">
        <f>Data!P4091</f>
        <v>0</v>
      </c>
    </row>
    <row r="4078" spans="7:22" x14ac:dyDescent="0.25">
      <c r="G4078">
        <f>Data!B4090</f>
        <v>0</v>
      </c>
      <c r="H4078" s="21">
        <f>Data!B4090</f>
        <v>0</v>
      </c>
      <c r="I4078" s="21">
        <f>Data!C4090</f>
        <v>0</v>
      </c>
      <c r="J4078">
        <f>Data!D4090</f>
        <v>0</v>
      </c>
      <c r="K4078">
        <f>Data!E4090</f>
        <v>0</v>
      </c>
      <c r="L4078">
        <f>Data!F4090</f>
        <v>0</v>
      </c>
      <c r="M4078">
        <f>Data!G4090</f>
        <v>0</v>
      </c>
      <c r="N4078">
        <f>Data!H4090</f>
        <v>0</v>
      </c>
      <c r="O4078">
        <f>Data!I4090</f>
        <v>0</v>
      </c>
      <c r="P4078" s="21">
        <f>Data!J4094</f>
        <v>0</v>
      </c>
      <c r="Q4078">
        <f>Data!K4094</f>
        <v>0</v>
      </c>
      <c r="R4078">
        <f>Data!L4094</f>
        <v>0</v>
      </c>
      <c r="S4078">
        <f>Data!M4094</f>
        <v>0</v>
      </c>
      <c r="T4078">
        <f>Data!N4094</f>
        <v>0</v>
      </c>
      <c r="U4078">
        <f>Data!O4094</f>
        <v>0</v>
      </c>
      <c r="V4078" s="33">
        <f>Data!P4092</f>
        <v>0</v>
      </c>
    </row>
    <row r="4079" spans="7:22" x14ac:dyDescent="0.25">
      <c r="G4079">
        <f>Data!B4091</f>
        <v>0</v>
      </c>
      <c r="H4079" s="21">
        <f>Data!B4091</f>
        <v>0</v>
      </c>
      <c r="I4079" s="21">
        <f>Data!C4091</f>
        <v>0</v>
      </c>
      <c r="J4079">
        <f>Data!D4091</f>
        <v>0</v>
      </c>
      <c r="K4079">
        <f>Data!E4091</f>
        <v>0</v>
      </c>
      <c r="L4079">
        <f>Data!F4091</f>
        <v>0</v>
      </c>
      <c r="M4079">
        <f>Data!G4091</f>
        <v>0</v>
      </c>
      <c r="N4079">
        <f>Data!H4091</f>
        <v>0</v>
      </c>
      <c r="O4079">
        <f>Data!I4091</f>
        <v>0</v>
      </c>
      <c r="P4079" s="21">
        <f>Data!J4095</f>
        <v>0</v>
      </c>
      <c r="Q4079">
        <f>Data!K4095</f>
        <v>0</v>
      </c>
      <c r="R4079">
        <f>Data!L4095</f>
        <v>0</v>
      </c>
      <c r="S4079">
        <f>Data!M4095</f>
        <v>0</v>
      </c>
      <c r="T4079">
        <f>Data!N4095</f>
        <v>0</v>
      </c>
      <c r="U4079">
        <f>Data!O4095</f>
        <v>0</v>
      </c>
      <c r="V4079" s="33">
        <f>Data!P4093</f>
        <v>0</v>
      </c>
    </row>
    <row r="4080" spans="7:22" x14ac:dyDescent="0.25">
      <c r="G4080">
        <f>Data!B4092</f>
        <v>0</v>
      </c>
      <c r="H4080" s="21">
        <f>Data!B4092</f>
        <v>0</v>
      </c>
      <c r="I4080" s="21">
        <f>Data!C4092</f>
        <v>0</v>
      </c>
      <c r="J4080">
        <f>Data!D4092</f>
        <v>0</v>
      </c>
      <c r="K4080">
        <f>Data!E4092</f>
        <v>0</v>
      </c>
      <c r="L4080">
        <f>Data!F4092</f>
        <v>0</v>
      </c>
      <c r="M4080">
        <f>Data!G4092</f>
        <v>0</v>
      </c>
      <c r="N4080">
        <f>Data!H4092</f>
        <v>0</v>
      </c>
      <c r="O4080">
        <f>Data!I4092</f>
        <v>0</v>
      </c>
      <c r="P4080" s="21">
        <f>Data!J4096</f>
        <v>0</v>
      </c>
      <c r="Q4080">
        <f>Data!K4096</f>
        <v>0</v>
      </c>
      <c r="R4080">
        <f>Data!L4096</f>
        <v>0</v>
      </c>
      <c r="S4080">
        <f>Data!M4096</f>
        <v>0</v>
      </c>
      <c r="T4080">
        <f>Data!N4096</f>
        <v>0</v>
      </c>
      <c r="U4080">
        <f>Data!O4096</f>
        <v>0</v>
      </c>
      <c r="V4080" s="33">
        <f>Data!P4094</f>
        <v>0</v>
      </c>
    </row>
    <row r="4081" spans="7:22" x14ac:dyDescent="0.25">
      <c r="G4081">
        <f>Data!B4093</f>
        <v>0</v>
      </c>
      <c r="H4081" s="21">
        <f>Data!B4093</f>
        <v>0</v>
      </c>
      <c r="I4081" s="21">
        <f>Data!C4093</f>
        <v>0</v>
      </c>
      <c r="J4081">
        <f>Data!D4093</f>
        <v>0</v>
      </c>
      <c r="K4081">
        <f>Data!E4093</f>
        <v>0</v>
      </c>
      <c r="L4081">
        <f>Data!F4093</f>
        <v>0</v>
      </c>
      <c r="M4081">
        <f>Data!G4093</f>
        <v>0</v>
      </c>
      <c r="N4081">
        <f>Data!H4093</f>
        <v>0</v>
      </c>
      <c r="O4081">
        <f>Data!I4093</f>
        <v>0</v>
      </c>
      <c r="P4081" s="21">
        <f>Data!J4097</f>
        <v>0</v>
      </c>
      <c r="Q4081">
        <f>Data!K4097</f>
        <v>0</v>
      </c>
      <c r="R4081">
        <f>Data!L4097</f>
        <v>0</v>
      </c>
      <c r="S4081">
        <f>Data!M4097</f>
        <v>0</v>
      </c>
      <c r="T4081">
        <f>Data!N4097</f>
        <v>0</v>
      </c>
      <c r="U4081">
        <f>Data!O4097</f>
        <v>0</v>
      </c>
      <c r="V4081" s="33">
        <f>Data!P4095</f>
        <v>0</v>
      </c>
    </row>
    <row r="4082" spans="7:22" x14ac:dyDescent="0.25">
      <c r="G4082">
        <f>Data!B4094</f>
        <v>0</v>
      </c>
      <c r="H4082" s="21">
        <f>Data!B4094</f>
        <v>0</v>
      </c>
      <c r="I4082" s="21">
        <f>Data!C4094</f>
        <v>0</v>
      </c>
      <c r="J4082">
        <f>Data!D4094</f>
        <v>0</v>
      </c>
      <c r="K4082">
        <f>Data!E4094</f>
        <v>0</v>
      </c>
      <c r="L4082">
        <f>Data!F4094</f>
        <v>0</v>
      </c>
      <c r="M4082">
        <f>Data!G4094</f>
        <v>0</v>
      </c>
      <c r="N4082">
        <f>Data!H4094</f>
        <v>0</v>
      </c>
      <c r="O4082">
        <f>Data!I4094</f>
        <v>0</v>
      </c>
      <c r="P4082" s="21">
        <f>Data!J4098</f>
        <v>0</v>
      </c>
      <c r="Q4082">
        <f>Data!K4098</f>
        <v>0</v>
      </c>
      <c r="R4082">
        <f>Data!L4098</f>
        <v>0</v>
      </c>
      <c r="S4082">
        <f>Data!M4098</f>
        <v>0</v>
      </c>
      <c r="T4082">
        <f>Data!N4098</f>
        <v>0</v>
      </c>
      <c r="U4082">
        <f>Data!O4098</f>
        <v>0</v>
      </c>
      <c r="V4082" s="33">
        <f>Data!P4096</f>
        <v>0</v>
      </c>
    </row>
    <row r="4083" spans="7:22" x14ac:dyDescent="0.25">
      <c r="G4083">
        <f>Data!B4095</f>
        <v>0</v>
      </c>
      <c r="H4083" s="21">
        <f>Data!B4095</f>
        <v>0</v>
      </c>
      <c r="I4083" s="21">
        <f>Data!C4095</f>
        <v>0</v>
      </c>
      <c r="J4083">
        <f>Data!D4095</f>
        <v>0</v>
      </c>
      <c r="K4083">
        <f>Data!E4095</f>
        <v>0</v>
      </c>
      <c r="L4083">
        <f>Data!F4095</f>
        <v>0</v>
      </c>
      <c r="M4083">
        <f>Data!G4095</f>
        <v>0</v>
      </c>
      <c r="N4083">
        <f>Data!H4095</f>
        <v>0</v>
      </c>
      <c r="O4083">
        <f>Data!I4095</f>
        <v>0</v>
      </c>
      <c r="P4083" s="21">
        <f>Data!J4099</f>
        <v>0</v>
      </c>
      <c r="Q4083">
        <f>Data!K4099</f>
        <v>0</v>
      </c>
      <c r="R4083">
        <f>Data!L4099</f>
        <v>0</v>
      </c>
      <c r="S4083">
        <f>Data!M4099</f>
        <v>0</v>
      </c>
      <c r="T4083">
        <f>Data!N4099</f>
        <v>0</v>
      </c>
      <c r="U4083">
        <f>Data!O4099</f>
        <v>0</v>
      </c>
      <c r="V4083" s="33">
        <f>Data!P4097</f>
        <v>0</v>
      </c>
    </row>
    <row r="4084" spans="7:22" x14ac:dyDescent="0.25">
      <c r="G4084">
        <f>Data!B4096</f>
        <v>0</v>
      </c>
      <c r="H4084" s="21">
        <f>Data!B4096</f>
        <v>0</v>
      </c>
      <c r="I4084" s="21">
        <f>Data!C4096</f>
        <v>0</v>
      </c>
      <c r="J4084">
        <f>Data!D4096</f>
        <v>0</v>
      </c>
      <c r="K4084">
        <f>Data!E4096</f>
        <v>0</v>
      </c>
      <c r="L4084">
        <f>Data!F4096</f>
        <v>0</v>
      </c>
      <c r="M4084">
        <f>Data!G4096</f>
        <v>0</v>
      </c>
      <c r="N4084">
        <f>Data!H4096</f>
        <v>0</v>
      </c>
      <c r="O4084">
        <f>Data!I4096</f>
        <v>0</v>
      </c>
      <c r="P4084" s="21">
        <f>Data!J4100</f>
        <v>0</v>
      </c>
      <c r="Q4084">
        <f>Data!K4100</f>
        <v>0</v>
      </c>
      <c r="R4084">
        <f>Data!L4100</f>
        <v>0</v>
      </c>
      <c r="S4084">
        <f>Data!M4100</f>
        <v>0</v>
      </c>
      <c r="T4084">
        <f>Data!N4100</f>
        <v>0</v>
      </c>
      <c r="U4084">
        <f>Data!O4100</f>
        <v>0</v>
      </c>
      <c r="V4084" s="33">
        <f>Data!P4098</f>
        <v>0</v>
      </c>
    </row>
    <row r="4085" spans="7:22" x14ac:dyDescent="0.25">
      <c r="G4085">
        <f>Data!B4097</f>
        <v>0</v>
      </c>
      <c r="H4085" s="21">
        <f>Data!B4097</f>
        <v>0</v>
      </c>
      <c r="I4085" s="21">
        <f>Data!C4097</f>
        <v>0</v>
      </c>
      <c r="J4085">
        <f>Data!D4097</f>
        <v>0</v>
      </c>
      <c r="K4085">
        <f>Data!E4097</f>
        <v>0</v>
      </c>
      <c r="L4085">
        <f>Data!F4097</f>
        <v>0</v>
      </c>
      <c r="M4085">
        <f>Data!G4097</f>
        <v>0</v>
      </c>
      <c r="N4085">
        <f>Data!H4097</f>
        <v>0</v>
      </c>
      <c r="O4085">
        <f>Data!I4097</f>
        <v>0</v>
      </c>
      <c r="P4085" s="21">
        <f>Data!J4101</f>
        <v>0</v>
      </c>
      <c r="Q4085">
        <f>Data!K4101</f>
        <v>0</v>
      </c>
      <c r="R4085">
        <f>Data!L4101</f>
        <v>0</v>
      </c>
      <c r="S4085">
        <f>Data!M4101</f>
        <v>0</v>
      </c>
      <c r="T4085">
        <f>Data!N4101</f>
        <v>0</v>
      </c>
      <c r="U4085">
        <f>Data!O4101</f>
        <v>0</v>
      </c>
      <c r="V4085" s="33">
        <f>Data!P4099</f>
        <v>0</v>
      </c>
    </row>
    <row r="4086" spans="7:22" x14ac:dyDescent="0.25">
      <c r="G4086">
        <f>Data!B4098</f>
        <v>0</v>
      </c>
      <c r="H4086" s="21">
        <f>Data!B4098</f>
        <v>0</v>
      </c>
      <c r="I4086" s="21">
        <f>Data!C4098</f>
        <v>0</v>
      </c>
      <c r="J4086">
        <f>Data!D4098</f>
        <v>0</v>
      </c>
      <c r="K4086">
        <f>Data!E4098</f>
        <v>0</v>
      </c>
      <c r="L4086">
        <f>Data!F4098</f>
        <v>0</v>
      </c>
      <c r="M4086">
        <f>Data!G4098</f>
        <v>0</v>
      </c>
      <c r="N4086">
        <f>Data!H4098</f>
        <v>0</v>
      </c>
      <c r="O4086">
        <f>Data!I4098</f>
        <v>0</v>
      </c>
      <c r="P4086" s="21">
        <f>Data!J4102</f>
        <v>0</v>
      </c>
      <c r="Q4086">
        <f>Data!K4102</f>
        <v>0</v>
      </c>
      <c r="R4086">
        <f>Data!L4102</f>
        <v>0</v>
      </c>
      <c r="S4086">
        <f>Data!M4102</f>
        <v>0</v>
      </c>
      <c r="T4086">
        <f>Data!N4102</f>
        <v>0</v>
      </c>
      <c r="U4086">
        <f>Data!O4102</f>
        <v>0</v>
      </c>
      <c r="V4086" s="33">
        <f>Data!P4100</f>
        <v>0</v>
      </c>
    </row>
    <row r="4087" spans="7:22" x14ac:dyDescent="0.25">
      <c r="G4087">
        <f>Data!B4099</f>
        <v>0</v>
      </c>
      <c r="H4087" s="21">
        <f>Data!B4099</f>
        <v>0</v>
      </c>
      <c r="I4087" s="21">
        <f>Data!C4099</f>
        <v>0</v>
      </c>
      <c r="J4087">
        <f>Data!D4099</f>
        <v>0</v>
      </c>
      <c r="K4087">
        <f>Data!E4099</f>
        <v>0</v>
      </c>
      <c r="L4087">
        <f>Data!F4099</f>
        <v>0</v>
      </c>
      <c r="M4087">
        <f>Data!G4099</f>
        <v>0</v>
      </c>
      <c r="N4087">
        <f>Data!H4099</f>
        <v>0</v>
      </c>
      <c r="O4087">
        <f>Data!I4099</f>
        <v>0</v>
      </c>
      <c r="P4087" s="21">
        <f>Data!J4103</f>
        <v>0</v>
      </c>
      <c r="Q4087">
        <f>Data!K4103</f>
        <v>0</v>
      </c>
      <c r="R4087">
        <f>Data!L4103</f>
        <v>0</v>
      </c>
      <c r="S4087">
        <f>Data!M4103</f>
        <v>0</v>
      </c>
      <c r="T4087">
        <f>Data!N4103</f>
        <v>0</v>
      </c>
      <c r="U4087">
        <f>Data!O4103</f>
        <v>0</v>
      </c>
      <c r="V4087" s="33">
        <f>Data!P4101</f>
        <v>0</v>
      </c>
    </row>
    <row r="4088" spans="7:22" x14ac:dyDescent="0.25">
      <c r="G4088">
        <f>Data!B4100</f>
        <v>0</v>
      </c>
      <c r="H4088" s="21">
        <f>Data!B4100</f>
        <v>0</v>
      </c>
      <c r="I4088" s="21">
        <f>Data!C4100</f>
        <v>0</v>
      </c>
      <c r="J4088">
        <f>Data!D4100</f>
        <v>0</v>
      </c>
      <c r="K4088">
        <f>Data!E4100</f>
        <v>0</v>
      </c>
      <c r="L4088">
        <f>Data!F4100</f>
        <v>0</v>
      </c>
      <c r="M4088">
        <f>Data!G4100</f>
        <v>0</v>
      </c>
      <c r="N4088">
        <f>Data!H4100</f>
        <v>0</v>
      </c>
      <c r="O4088">
        <f>Data!I4100</f>
        <v>0</v>
      </c>
      <c r="P4088" s="21">
        <f>Data!J4104</f>
        <v>0</v>
      </c>
      <c r="Q4088">
        <f>Data!K4104</f>
        <v>0</v>
      </c>
      <c r="R4088">
        <f>Data!L4104</f>
        <v>0</v>
      </c>
      <c r="S4088">
        <f>Data!M4104</f>
        <v>0</v>
      </c>
      <c r="T4088">
        <f>Data!N4104</f>
        <v>0</v>
      </c>
      <c r="U4088">
        <f>Data!O4104</f>
        <v>0</v>
      </c>
      <c r="V4088" s="33">
        <f>Data!P4102</f>
        <v>0</v>
      </c>
    </row>
    <row r="4089" spans="7:22" x14ac:dyDescent="0.25">
      <c r="G4089">
        <f>Data!B4101</f>
        <v>0</v>
      </c>
      <c r="H4089" s="21">
        <f>Data!B4101</f>
        <v>0</v>
      </c>
      <c r="I4089" s="21">
        <f>Data!C4101</f>
        <v>0</v>
      </c>
      <c r="J4089">
        <f>Data!D4101</f>
        <v>0</v>
      </c>
      <c r="K4089">
        <f>Data!E4101</f>
        <v>0</v>
      </c>
      <c r="L4089">
        <f>Data!F4101</f>
        <v>0</v>
      </c>
      <c r="M4089">
        <f>Data!G4101</f>
        <v>0</v>
      </c>
      <c r="N4089">
        <f>Data!H4101</f>
        <v>0</v>
      </c>
      <c r="O4089">
        <f>Data!I4101</f>
        <v>0</v>
      </c>
      <c r="P4089" s="21">
        <f>Data!J4105</f>
        <v>0</v>
      </c>
      <c r="Q4089">
        <f>Data!K4105</f>
        <v>0</v>
      </c>
      <c r="R4089">
        <f>Data!L4105</f>
        <v>0</v>
      </c>
      <c r="S4089">
        <f>Data!M4105</f>
        <v>0</v>
      </c>
      <c r="T4089">
        <f>Data!N4105</f>
        <v>0</v>
      </c>
      <c r="U4089">
        <f>Data!O4105</f>
        <v>0</v>
      </c>
      <c r="V4089" s="33">
        <f>Data!P4103</f>
        <v>0</v>
      </c>
    </row>
    <row r="4090" spans="7:22" x14ac:dyDescent="0.25">
      <c r="G4090">
        <f>Data!B4102</f>
        <v>0</v>
      </c>
      <c r="H4090" s="21">
        <f>Data!B4102</f>
        <v>0</v>
      </c>
      <c r="I4090" s="21">
        <f>Data!C4102</f>
        <v>0</v>
      </c>
      <c r="J4090">
        <f>Data!D4102</f>
        <v>0</v>
      </c>
      <c r="K4090">
        <f>Data!E4102</f>
        <v>0</v>
      </c>
      <c r="L4090">
        <f>Data!F4102</f>
        <v>0</v>
      </c>
      <c r="M4090">
        <f>Data!G4102</f>
        <v>0</v>
      </c>
      <c r="N4090">
        <f>Data!H4102</f>
        <v>0</v>
      </c>
      <c r="O4090">
        <f>Data!I4102</f>
        <v>0</v>
      </c>
      <c r="P4090" s="21">
        <f>Data!J4106</f>
        <v>0</v>
      </c>
      <c r="Q4090">
        <f>Data!K4106</f>
        <v>0</v>
      </c>
      <c r="R4090">
        <f>Data!L4106</f>
        <v>0</v>
      </c>
      <c r="S4090">
        <f>Data!M4106</f>
        <v>0</v>
      </c>
      <c r="T4090">
        <f>Data!N4106</f>
        <v>0</v>
      </c>
      <c r="U4090">
        <f>Data!O4106</f>
        <v>0</v>
      </c>
      <c r="V4090" s="33">
        <f>Data!P4104</f>
        <v>0</v>
      </c>
    </row>
    <row r="4091" spans="7:22" x14ac:dyDescent="0.25">
      <c r="G4091">
        <f>Data!B4103</f>
        <v>0</v>
      </c>
      <c r="H4091" s="21">
        <f>Data!B4103</f>
        <v>0</v>
      </c>
      <c r="I4091" s="21">
        <f>Data!C4103</f>
        <v>0</v>
      </c>
      <c r="J4091">
        <f>Data!D4103</f>
        <v>0</v>
      </c>
      <c r="K4091">
        <f>Data!E4103</f>
        <v>0</v>
      </c>
      <c r="L4091">
        <f>Data!F4103</f>
        <v>0</v>
      </c>
      <c r="M4091">
        <f>Data!G4103</f>
        <v>0</v>
      </c>
      <c r="N4091">
        <f>Data!H4103</f>
        <v>0</v>
      </c>
      <c r="O4091">
        <f>Data!I4103</f>
        <v>0</v>
      </c>
      <c r="P4091" s="21">
        <f>Data!J4107</f>
        <v>0</v>
      </c>
      <c r="Q4091">
        <f>Data!K4107</f>
        <v>0</v>
      </c>
      <c r="R4091">
        <f>Data!L4107</f>
        <v>0</v>
      </c>
      <c r="S4091">
        <f>Data!M4107</f>
        <v>0</v>
      </c>
      <c r="T4091">
        <f>Data!N4107</f>
        <v>0</v>
      </c>
      <c r="U4091">
        <f>Data!O4107</f>
        <v>0</v>
      </c>
      <c r="V4091" s="33">
        <f>Data!P4105</f>
        <v>0</v>
      </c>
    </row>
    <row r="4092" spans="7:22" x14ac:dyDescent="0.25">
      <c r="G4092">
        <f>Data!B4104</f>
        <v>0</v>
      </c>
      <c r="H4092" s="21">
        <f>Data!B4104</f>
        <v>0</v>
      </c>
      <c r="I4092" s="21">
        <f>Data!C4104</f>
        <v>0</v>
      </c>
      <c r="J4092">
        <f>Data!D4104</f>
        <v>0</v>
      </c>
      <c r="K4092">
        <f>Data!E4104</f>
        <v>0</v>
      </c>
      <c r="L4092">
        <f>Data!F4104</f>
        <v>0</v>
      </c>
      <c r="M4092">
        <f>Data!G4104</f>
        <v>0</v>
      </c>
      <c r="N4092">
        <f>Data!H4104</f>
        <v>0</v>
      </c>
      <c r="O4092">
        <f>Data!I4104</f>
        <v>0</v>
      </c>
      <c r="P4092" s="21">
        <f>Data!J4108</f>
        <v>0</v>
      </c>
      <c r="Q4092">
        <f>Data!K4108</f>
        <v>0</v>
      </c>
      <c r="R4092">
        <f>Data!L4108</f>
        <v>0</v>
      </c>
      <c r="S4092">
        <f>Data!M4108</f>
        <v>0</v>
      </c>
      <c r="T4092">
        <f>Data!N4108</f>
        <v>0</v>
      </c>
      <c r="U4092">
        <f>Data!O4108</f>
        <v>0</v>
      </c>
      <c r="V4092" s="33">
        <f>Data!P4106</f>
        <v>0</v>
      </c>
    </row>
    <row r="4093" spans="7:22" x14ac:dyDescent="0.25">
      <c r="G4093">
        <f>Data!B4105</f>
        <v>0</v>
      </c>
      <c r="H4093" s="21">
        <f>Data!B4105</f>
        <v>0</v>
      </c>
      <c r="I4093" s="21">
        <f>Data!C4105</f>
        <v>0</v>
      </c>
      <c r="J4093">
        <f>Data!D4105</f>
        <v>0</v>
      </c>
      <c r="K4093">
        <f>Data!E4105</f>
        <v>0</v>
      </c>
      <c r="L4093">
        <f>Data!F4105</f>
        <v>0</v>
      </c>
      <c r="M4093">
        <f>Data!G4105</f>
        <v>0</v>
      </c>
      <c r="N4093">
        <f>Data!H4105</f>
        <v>0</v>
      </c>
      <c r="O4093">
        <f>Data!I4105</f>
        <v>0</v>
      </c>
      <c r="P4093" s="21">
        <f>Data!J4109</f>
        <v>0</v>
      </c>
      <c r="Q4093">
        <f>Data!K4109</f>
        <v>0</v>
      </c>
      <c r="R4093">
        <f>Data!L4109</f>
        <v>0</v>
      </c>
      <c r="S4093">
        <f>Data!M4109</f>
        <v>0</v>
      </c>
      <c r="T4093">
        <f>Data!N4109</f>
        <v>0</v>
      </c>
      <c r="U4093">
        <f>Data!O4109</f>
        <v>0</v>
      </c>
      <c r="V4093" s="33">
        <f>Data!P4107</f>
        <v>0</v>
      </c>
    </row>
    <row r="4094" spans="7:22" x14ac:dyDescent="0.25">
      <c r="G4094">
        <f>Data!B4106</f>
        <v>0</v>
      </c>
      <c r="H4094" s="21">
        <f>Data!B4106</f>
        <v>0</v>
      </c>
      <c r="I4094" s="21">
        <f>Data!C4106</f>
        <v>0</v>
      </c>
      <c r="J4094">
        <f>Data!D4106</f>
        <v>0</v>
      </c>
      <c r="K4094">
        <f>Data!E4106</f>
        <v>0</v>
      </c>
      <c r="L4094">
        <f>Data!F4106</f>
        <v>0</v>
      </c>
      <c r="M4094">
        <f>Data!G4106</f>
        <v>0</v>
      </c>
      <c r="N4094">
        <f>Data!H4106</f>
        <v>0</v>
      </c>
      <c r="O4094">
        <f>Data!I4106</f>
        <v>0</v>
      </c>
      <c r="P4094" s="21">
        <f>Data!J4110</f>
        <v>0</v>
      </c>
      <c r="Q4094">
        <f>Data!K4110</f>
        <v>0</v>
      </c>
      <c r="R4094">
        <f>Data!L4110</f>
        <v>0</v>
      </c>
      <c r="S4094">
        <f>Data!M4110</f>
        <v>0</v>
      </c>
      <c r="T4094">
        <f>Data!N4110</f>
        <v>0</v>
      </c>
      <c r="U4094">
        <f>Data!O4110</f>
        <v>0</v>
      </c>
      <c r="V4094" s="33">
        <f>Data!P4108</f>
        <v>0</v>
      </c>
    </row>
    <row r="4095" spans="7:22" x14ac:dyDescent="0.25">
      <c r="G4095">
        <f>Data!B4107</f>
        <v>0</v>
      </c>
      <c r="H4095" s="21">
        <f>Data!B4107</f>
        <v>0</v>
      </c>
      <c r="I4095" s="21">
        <f>Data!C4107</f>
        <v>0</v>
      </c>
      <c r="J4095">
        <f>Data!D4107</f>
        <v>0</v>
      </c>
      <c r="K4095">
        <f>Data!E4107</f>
        <v>0</v>
      </c>
      <c r="L4095">
        <f>Data!F4107</f>
        <v>0</v>
      </c>
      <c r="M4095">
        <f>Data!G4107</f>
        <v>0</v>
      </c>
      <c r="N4095">
        <f>Data!H4107</f>
        <v>0</v>
      </c>
      <c r="O4095">
        <f>Data!I4107</f>
        <v>0</v>
      </c>
      <c r="P4095" s="21">
        <f>Data!J4111</f>
        <v>0</v>
      </c>
      <c r="Q4095">
        <f>Data!K4111</f>
        <v>0</v>
      </c>
      <c r="R4095">
        <f>Data!L4111</f>
        <v>0</v>
      </c>
      <c r="S4095">
        <f>Data!M4111</f>
        <v>0</v>
      </c>
      <c r="T4095">
        <f>Data!N4111</f>
        <v>0</v>
      </c>
      <c r="U4095">
        <f>Data!O4111</f>
        <v>0</v>
      </c>
      <c r="V4095" s="33">
        <f>Data!P4109</f>
        <v>0</v>
      </c>
    </row>
    <row r="4096" spans="7:22" x14ac:dyDescent="0.25">
      <c r="G4096">
        <f>Data!B4108</f>
        <v>0</v>
      </c>
      <c r="H4096" s="21">
        <f>Data!B4108</f>
        <v>0</v>
      </c>
      <c r="I4096" s="21">
        <f>Data!C4108</f>
        <v>0</v>
      </c>
      <c r="J4096">
        <f>Data!D4108</f>
        <v>0</v>
      </c>
      <c r="K4096">
        <f>Data!E4108</f>
        <v>0</v>
      </c>
      <c r="L4096">
        <f>Data!F4108</f>
        <v>0</v>
      </c>
      <c r="M4096">
        <f>Data!G4108</f>
        <v>0</v>
      </c>
      <c r="N4096">
        <f>Data!H4108</f>
        <v>0</v>
      </c>
      <c r="O4096">
        <f>Data!I4108</f>
        <v>0</v>
      </c>
      <c r="P4096" s="21">
        <f>Data!J4112</f>
        <v>0</v>
      </c>
      <c r="Q4096">
        <f>Data!K4112</f>
        <v>0</v>
      </c>
      <c r="R4096">
        <f>Data!L4112</f>
        <v>0</v>
      </c>
      <c r="S4096">
        <f>Data!M4112</f>
        <v>0</v>
      </c>
      <c r="T4096">
        <f>Data!N4112</f>
        <v>0</v>
      </c>
      <c r="U4096">
        <f>Data!O4112</f>
        <v>0</v>
      </c>
      <c r="V4096" s="33">
        <f>Data!P4110</f>
        <v>0</v>
      </c>
    </row>
    <row r="4097" spans="7:22" x14ac:dyDescent="0.25">
      <c r="G4097">
        <f>Data!B4109</f>
        <v>0</v>
      </c>
      <c r="H4097" s="21">
        <f>Data!B4109</f>
        <v>0</v>
      </c>
      <c r="I4097" s="21">
        <f>Data!C4109</f>
        <v>0</v>
      </c>
      <c r="J4097">
        <f>Data!D4109</f>
        <v>0</v>
      </c>
      <c r="K4097">
        <f>Data!E4109</f>
        <v>0</v>
      </c>
      <c r="L4097">
        <f>Data!F4109</f>
        <v>0</v>
      </c>
      <c r="M4097">
        <f>Data!G4109</f>
        <v>0</v>
      </c>
      <c r="N4097">
        <f>Data!H4109</f>
        <v>0</v>
      </c>
      <c r="O4097">
        <f>Data!I4109</f>
        <v>0</v>
      </c>
      <c r="P4097" s="21">
        <f>Data!J4113</f>
        <v>0</v>
      </c>
      <c r="Q4097">
        <f>Data!K4113</f>
        <v>0</v>
      </c>
      <c r="R4097">
        <f>Data!L4113</f>
        <v>0</v>
      </c>
      <c r="S4097">
        <f>Data!M4113</f>
        <v>0</v>
      </c>
      <c r="T4097">
        <f>Data!N4113</f>
        <v>0</v>
      </c>
      <c r="U4097">
        <f>Data!O4113</f>
        <v>0</v>
      </c>
      <c r="V4097" s="33">
        <f>Data!P4111</f>
        <v>0</v>
      </c>
    </row>
    <row r="4098" spans="7:22" x14ac:dyDescent="0.25">
      <c r="G4098">
        <f>Data!B4110</f>
        <v>0</v>
      </c>
      <c r="H4098" s="21">
        <f>Data!B4110</f>
        <v>0</v>
      </c>
      <c r="I4098" s="21">
        <f>Data!C4110</f>
        <v>0</v>
      </c>
      <c r="J4098">
        <f>Data!D4110</f>
        <v>0</v>
      </c>
      <c r="K4098">
        <f>Data!E4110</f>
        <v>0</v>
      </c>
      <c r="L4098">
        <f>Data!F4110</f>
        <v>0</v>
      </c>
      <c r="M4098">
        <f>Data!G4110</f>
        <v>0</v>
      </c>
      <c r="N4098">
        <f>Data!H4110</f>
        <v>0</v>
      </c>
      <c r="O4098">
        <f>Data!I4110</f>
        <v>0</v>
      </c>
      <c r="P4098" s="21">
        <f>Data!J4114</f>
        <v>0</v>
      </c>
      <c r="Q4098">
        <f>Data!K4114</f>
        <v>0</v>
      </c>
      <c r="R4098">
        <f>Data!L4114</f>
        <v>0</v>
      </c>
      <c r="S4098">
        <f>Data!M4114</f>
        <v>0</v>
      </c>
      <c r="T4098">
        <f>Data!N4114</f>
        <v>0</v>
      </c>
      <c r="U4098">
        <f>Data!O4114</f>
        <v>0</v>
      </c>
      <c r="V4098" s="33">
        <f>Data!P4112</f>
        <v>0</v>
      </c>
    </row>
    <row r="4099" spans="7:22" x14ac:dyDescent="0.25">
      <c r="G4099">
        <f>Data!B4111</f>
        <v>0</v>
      </c>
      <c r="H4099" s="21">
        <f>Data!B4111</f>
        <v>0</v>
      </c>
      <c r="I4099" s="21">
        <f>Data!C4111</f>
        <v>0</v>
      </c>
      <c r="J4099">
        <f>Data!D4111</f>
        <v>0</v>
      </c>
      <c r="K4099">
        <f>Data!E4111</f>
        <v>0</v>
      </c>
      <c r="L4099">
        <f>Data!F4111</f>
        <v>0</v>
      </c>
      <c r="M4099">
        <f>Data!G4111</f>
        <v>0</v>
      </c>
      <c r="N4099">
        <f>Data!H4111</f>
        <v>0</v>
      </c>
      <c r="O4099">
        <f>Data!I4111</f>
        <v>0</v>
      </c>
      <c r="P4099" s="21">
        <f>Data!J4115</f>
        <v>0</v>
      </c>
      <c r="Q4099">
        <f>Data!K4115</f>
        <v>0</v>
      </c>
      <c r="R4099">
        <f>Data!L4115</f>
        <v>0</v>
      </c>
      <c r="S4099">
        <f>Data!M4115</f>
        <v>0</v>
      </c>
      <c r="T4099">
        <f>Data!N4115</f>
        <v>0</v>
      </c>
      <c r="U4099">
        <f>Data!O4115</f>
        <v>0</v>
      </c>
      <c r="V4099" s="33">
        <f>Data!P4113</f>
        <v>0</v>
      </c>
    </row>
    <row r="4100" spans="7:22" x14ac:dyDescent="0.25">
      <c r="G4100">
        <f>Data!B4112</f>
        <v>0</v>
      </c>
      <c r="H4100" s="21">
        <f>Data!B4112</f>
        <v>0</v>
      </c>
      <c r="I4100" s="21">
        <f>Data!C4112</f>
        <v>0</v>
      </c>
      <c r="J4100">
        <f>Data!D4112</f>
        <v>0</v>
      </c>
      <c r="K4100">
        <f>Data!E4112</f>
        <v>0</v>
      </c>
      <c r="L4100">
        <f>Data!F4112</f>
        <v>0</v>
      </c>
      <c r="M4100">
        <f>Data!G4112</f>
        <v>0</v>
      </c>
      <c r="N4100">
        <f>Data!H4112</f>
        <v>0</v>
      </c>
      <c r="O4100">
        <f>Data!I4112</f>
        <v>0</v>
      </c>
      <c r="P4100" s="21">
        <f>Data!J4116</f>
        <v>0</v>
      </c>
      <c r="Q4100">
        <f>Data!K4116</f>
        <v>0</v>
      </c>
      <c r="R4100">
        <f>Data!L4116</f>
        <v>0</v>
      </c>
      <c r="S4100">
        <f>Data!M4116</f>
        <v>0</v>
      </c>
      <c r="T4100">
        <f>Data!N4116</f>
        <v>0</v>
      </c>
      <c r="U4100">
        <f>Data!O4116</f>
        <v>0</v>
      </c>
      <c r="V4100" s="33">
        <f>Data!P4114</f>
        <v>0</v>
      </c>
    </row>
    <row r="4101" spans="7:22" x14ac:dyDescent="0.25">
      <c r="G4101">
        <f>Data!B4113</f>
        <v>0</v>
      </c>
      <c r="H4101" s="21">
        <f>Data!B4113</f>
        <v>0</v>
      </c>
      <c r="I4101" s="21">
        <f>Data!C4113</f>
        <v>0</v>
      </c>
      <c r="J4101">
        <f>Data!D4113</f>
        <v>0</v>
      </c>
      <c r="K4101">
        <f>Data!E4113</f>
        <v>0</v>
      </c>
      <c r="L4101">
        <f>Data!F4113</f>
        <v>0</v>
      </c>
      <c r="M4101">
        <f>Data!G4113</f>
        <v>0</v>
      </c>
      <c r="N4101">
        <f>Data!H4113</f>
        <v>0</v>
      </c>
      <c r="O4101">
        <f>Data!I4113</f>
        <v>0</v>
      </c>
      <c r="P4101" s="21">
        <f>Data!J4117</f>
        <v>0</v>
      </c>
      <c r="Q4101">
        <f>Data!K4117</f>
        <v>0</v>
      </c>
      <c r="R4101">
        <f>Data!L4117</f>
        <v>0</v>
      </c>
      <c r="S4101">
        <f>Data!M4117</f>
        <v>0</v>
      </c>
      <c r="T4101">
        <f>Data!N4117</f>
        <v>0</v>
      </c>
      <c r="U4101">
        <f>Data!O4117</f>
        <v>0</v>
      </c>
      <c r="V4101" s="33">
        <f>Data!P4115</f>
        <v>0</v>
      </c>
    </row>
    <row r="4102" spans="7:22" x14ac:dyDescent="0.25">
      <c r="G4102">
        <f>Data!B4114</f>
        <v>0</v>
      </c>
      <c r="H4102" s="21">
        <f>Data!B4114</f>
        <v>0</v>
      </c>
      <c r="I4102" s="21">
        <f>Data!C4114</f>
        <v>0</v>
      </c>
      <c r="J4102">
        <f>Data!D4114</f>
        <v>0</v>
      </c>
      <c r="K4102">
        <f>Data!E4114</f>
        <v>0</v>
      </c>
      <c r="L4102">
        <f>Data!F4114</f>
        <v>0</v>
      </c>
      <c r="M4102">
        <f>Data!G4114</f>
        <v>0</v>
      </c>
      <c r="N4102">
        <f>Data!H4114</f>
        <v>0</v>
      </c>
      <c r="O4102">
        <f>Data!I4114</f>
        <v>0</v>
      </c>
      <c r="P4102" s="21">
        <f>Data!J4118</f>
        <v>0</v>
      </c>
      <c r="Q4102">
        <f>Data!K4118</f>
        <v>0</v>
      </c>
      <c r="R4102">
        <f>Data!L4118</f>
        <v>0</v>
      </c>
      <c r="S4102">
        <f>Data!M4118</f>
        <v>0</v>
      </c>
      <c r="T4102">
        <f>Data!N4118</f>
        <v>0</v>
      </c>
      <c r="U4102">
        <f>Data!O4118</f>
        <v>0</v>
      </c>
      <c r="V4102" s="33">
        <f>Data!P4116</f>
        <v>0</v>
      </c>
    </row>
    <row r="4103" spans="7:22" x14ac:dyDescent="0.25">
      <c r="G4103">
        <f>Data!B4115</f>
        <v>0</v>
      </c>
      <c r="H4103" s="21">
        <f>Data!B4115</f>
        <v>0</v>
      </c>
      <c r="I4103" s="21">
        <f>Data!C4115</f>
        <v>0</v>
      </c>
      <c r="J4103">
        <f>Data!D4115</f>
        <v>0</v>
      </c>
      <c r="K4103">
        <f>Data!E4115</f>
        <v>0</v>
      </c>
      <c r="L4103">
        <f>Data!F4115</f>
        <v>0</v>
      </c>
      <c r="M4103">
        <f>Data!G4115</f>
        <v>0</v>
      </c>
      <c r="N4103">
        <f>Data!H4115</f>
        <v>0</v>
      </c>
      <c r="O4103">
        <f>Data!I4115</f>
        <v>0</v>
      </c>
      <c r="P4103" s="21">
        <f>Data!J4119</f>
        <v>0</v>
      </c>
      <c r="Q4103">
        <f>Data!K4119</f>
        <v>0</v>
      </c>
      <c r="R4103">
        <f>Data!L4119</f>
        <v>0</v>
      </c>
      <c r="S4103">
        <f>Data!M4119</f>
        <v>0</v>
      </c>
      <c r="T4103">
        <f>Data!N4119</f>
        <v>0</v>
      </c>
      <c r="U4103">
        <f>Data!O4119</f>
        <v>0</v>
      </c>
      <c r="V4103" s="33">
        <f>Data!P4117</f>
        <v>0</v>
      </c>
    </row>
    <row r="4104" spans="7:22" x14ac:dyDescent="0.25">
      <c r="G4104">
        <f>Data!B4116</f>
        <v>0</v>
      </c>
      <c r="H4104" s="21">
        <f>Data!B4116</f>
        <v>0</v>
      </c>
      <c r="I4104" s="21">
        <f>Data!C4116</f>
        <v>0</v>
      </c>
      <c r="J4104">
        <f>Data!D4116</f>
        <v>0</v>
      </c>
      <c r="K4104">
        <f>Data!E4116</f>
        <v>0</v>
      </c>
      <c r="L4104">
        <f>Data!F4116</f>
        <v>0</v>
      </c>
      <c r="M4104">
        <f>Data!G4116</f>
        <v>0</v>
      </c>
      <c r="N4104">
        <f>Data!H4116</f>
        <v>0</v>
      </c>
      <c r="O4104">
        <f>Data!I4116</f>
        <v>0</v>
      </c>
      <c r="P4104" s="21">
        <f>Data!J4120</f>
        <v>0</v>
      </c>
      <c r="Q4104">
        <f>Data!K4120</f>
        <v>0</v>
      </c>
      <c r="R4104">
        <f>Data!L4120</f>
        <v>0</v>
      </c>
      <c r="S4104">
        <f>Data!M4120</f>
        <v>0</v>
      </c>
      <c r="T4104">
        <f>Data!N4120</f>
        <v>0</v>
      </c>
      <c r="U4104">
        <f>Data!O4120</f>
        <v>0</v>
      </c>
      <c r="V4104" s="33">
        <f>Data!P4118</f>
        <v>0</v>
      </c>
    </row>
    <row r="4105" spans="7:22" x14ac:dyDescent="0.25">
      <c r="G4105">
        <f>Data!B4117</f>
        <v>0</v>
      </c>
      <c r="H4105" s="21">
        <f>Data!B4117</f>
        <v>0</v>
      </c>
      <c r="I4105" s="21">
        <f>Data!C4117</f>
        <v>0</v>
      </c>
      <c r="J4105">
        <f>Data!D4117</f>
        <v>0</v>
      </c>
      <c r="K4105">
        <f>Data!E4117</f>
        <v>0</v>
      </c>
      <c r="L4105">
        <f>Data!F4117</f>
        <v>0</v>
      </c>
      <c r="M4105">
        <f>Data!G4117</f>
        <v>0</v>
      </c>
      <c r="N4105">
        <f>Data!H4117</f>
        <v>0</v>
      </c>
      <c r="O4105">
        <f>Data!I4117</f>
        <v>0</v>
      </c>
      <c r="P4105" s="21">
        <f>Data!J4121</f>
        <v>0</v>
      </c>
      <c r="Q4105">
        <f>Data!K4121</f>
        <v>0</v>
      </c>
      <c r="R4105">
        <f>Data!L4121</f>
        <v>0</v>
      </c>
      <c r="S4105">
        <f>Data!M4121</f>
        <v>0</v>
      </c>
      <c r="T4105">
        <f>Data!N4121</f>
        <v>0</v>
      </c>
      <c r="U4105">
        <f>Data!O4121</f>
        <v>0</v>
      </c>
      <c r="V4105" s="33">
        <f>Data!P4119</f>
        <v>0</v>
      </c>
    </row>
    <row r="4106" spans="7:22" x14ac:dyDescent="0.25">
      <c r="G4106">
        <f>Data!B4118</f>
        <v>0</v>
      </c>
      <c r="H4106" s="21">
        <f>Data!B4118</f>
        <v>0</v>
      </c>
      <c r="I4106" s="21">
        <f>Data!C4118</f>
        <v>0</v>
      </c>
      <c r="J4106">
        <f>Data!D4118</f>
        <v>0</v>
      </c>
      <c r="K4106">
        <f>Data!E4118</f>
        <v>0</v>
      </c>
      <c r="L4106">
        <f>Data!F4118</f>
        <v>0</v>
      </c>
      <c r="M4106">
        <f>Data!G4118</f>
        <v>0</v>
      </c>
      <c r="N4106">
        <f>Data!H4118</f>
        <v>0</v>
      </c>
      <c r="O4106">
        <f>Data!I4118</f>
        <v>0</v>
      </c>
      <c r="P4106" s="21">
        <f>Data!J4122</f>
        <v>0</v>
      </c>
      <c r="Q4106">
        <f>Data!K4122</f>
        <v>0</v>
      </c>
      <c r="R4106">
        <f>Data!L4122</f>
        <v>0</v>
      </c>
      <c r="S4106">
        <f>Data!M4122</f>
        <v>0</v>
      </c>
      <c r="T4106">
        <f>Data!N4122</f>
        <v>0</v>
      </c>
      <c r="U4106">
        <f>Data!O4122</f>
        <v>0</v>
      </c>
      <c r="V4106" s="33">
        <f>Data!P4120</f>
        <v>0</v>
      </c>
    </row>
    <row r="4107" spans="7:22" x14ac:dyDescent="0.25">
      <c r="G4107">
        <f>Data!B4119</f>
        <v>0</v>
      </c>
      <c r="H4107" s="21">
        <f>Data!B4119</f>
        <v>0</v>
      </c>
      <c r="I4107" s="21">
        <f>Data!C4119</f>
        <v>0</v>
      </c>
      <c r="J4107">
        <f>Data!D4119</f>
        <v>0</v>
      </c>
      <c r="K4107">
        <f>Data!E4119</f>
        <v>0</v>
      </c>
      <c r="L4107">
        <f>Data!F4119</f>
        <v>0</v>
      </c>
      <c r="M4107">
        <f>Data!G4119</f>
        <v>0</v>
      </c>
      <c r="N4107">
        <f>Data!H4119</f>
        <v>0</v>
      </c>
      <c r="O4107">
        <f>Data!I4119</f>
        <v>0</v>
      </c>
      <c r="P4107" s="21">
        <f>Data!J4123</f>
        <v>0</v>
      </c>
      <c r="Q4107">
        <f>Data!K4123</f>
        <v>0</v>
      </c>
      <c r="R4107">
        <f>Data!L4123</f>
        <v>0</v>
      </c>
      <c r="S4107">
        <f>Data!M4123</f>
        <v>0</v>
      </c>
      <c r="T4107">
        <f>Data!N4123</f>
        <v>0</v>
      </c>
      <c r="U4107">
        <f>Data!O4123</f>
        <v>0</v>
      </c>
      <c r="V4107" s="33">
        <f>Data!P4121</f>
        <v>0</v>
      </c>
    </row>
    <row r="4108" spans="7:22" x14ac:dyDescent="0.25">
      <c r="G4108">
        <f>Data!B4120</f>
        <v>0</v>
      </c>
      <c r="H4108" s="21">
        <f>Data!B4120</f>
        <v>0</v>
      </c>
      <c r="I4108" s="21">
        <f>Data!C4120</f>
        <v>0</v>
      </c>
      <c r="J4108">
        <f>Data!D4120</f>
        <v>0</v>
      </c>
      <c r="K4108">
        <f>Data!E4120</f>
        <v>0</v>
      </c>
      <c r="L4108">
        <f>Data!F4120</f>
        <v>0</v>
      </c>
      <c r="M4108">
        <f>Data!G4120</f>
        <v>0</v>
      </c>
      <c r="N4108">
        <f>Data!H4120</f>
        <v>0</v>
      </c>
      <c r="O4108">
        <f>Data!I4120</f>
        <v>0</v>
      </c>
      <c r="P4108" s="21">
        <f>Data!J4124</f>
        <v>0</v>
      </c>
      <c r="Q4108">
        <f>Data!K4124</f>
        <v>0</v>
      </c>
      <c r="R4108">
        <f>Data!L4124</f>
        <v>0</v>
      </c>
      <c r="S4108">
        <f>Data!M4124</f>
        <v>0</v>
      </c>
      <c r="T4108">
        <f>Data!N4124</f>
        <v>0</v>
      </c>
      <c r="U4108">
        <f>Data!O4124</f>
        <v>0</v>
      </c>
      <c r="V4108" s="33">
        <f>Data!P4122</f>
        <v>0</v>
      </c>
    </row>
    <row r="4109" spans="7:22" x14ac:dyDescent="0.25">
      <c r="G4109">
        <f>Data!B4121</f>
        <v>0</v>
      </c>
      <c r="H4109" s="21">
        <f>Data!B4121</f>
        <v>0</v>
      </c>
      <c r="I4109" s="21">
        <f>Data!C4121</f>
        <v>0</v>
      </c>
      <c r="J4109">
        <f>Data!D4121</f>
        <v>0</v>
      </c>
      <c r="K4109">
        <f>Data!E4121</f>
        <v>0</v>
      </c>
      <c r="L4109">
        <f>Data!F4121</f>
        <v>0</v>
      </c>
      <c r="M4109">
        <f>Data!G4121</f>
        <v>0</v>
      </c>
      <c r="N4109">
        <f>Data!H4121</f>
        <v>0</v>
      </c>
      <c r="O4109">
        <f>Data!I4121</f>
        <v>0</v>
      </c>
      <c r="P4109" s="21">
        <f>Data!J4125</f>
        <v>0</v>
      </c>
      <c r="Q4109">
        <f>Data!K4125</f>
        <v>0</v>
      </c>
      <c r="R4109">
        <f>Data!L4125</f>
        <v>0</v>
      </c>
      <c r="S4109">
        <f>Data!M4125</f>
        <v>0</v>
      </c>
      <c r="T4109">
        <f>Data!N4125</f>
        <v>0</v>
      </c>
      <c r="U4109">
        <f>Data!O4125</f>
        <v>0</v>
      </c>
      <c r="V4109" s="33">
        <f>Data!P4123</f>
        <v>0</v>
      </c>
    </row>
    <row r="4110" spans="7:22" x14ac:dyDescent="0.25">
      <c r="G4110">
        <f>Data!B4122</f>
        <v>0</v>
      </c>
      <c r="H4110" s="21">
        <f>Data!B4122</f>
        <v>0</v>
      </c>
      <c r="I4110" s="21">
        <f>Data!C4122</f>
        <v>0</v>
      </c>
      <c r="J4110">
        <f>Data!D4122</f>
        <v>0</v>
      </c>
      <c r="K4110">
        <f>Data!E4122</f>
        <v>0</v>
      </c>
      <c r="L4110">
        <f>Data!F4122</f>
        <v>0</v>
      </c>
      <c r="M4110">
        <f>Data!G4122</f>
        <v>0</v>
      </c>
      <c r="N4110">
        <f>Data!H4122</f>
        <v>0</v>
      </c>
      <c r="O4110">
        <f>Data!I4122</f>
        <v>0</v>
      </c>
      <c r="P4110" s="21">
        <f>Data!J4126</f>
        <v>0</v>
      </c>
      <c r="Q4110">
        <f>Data!K4126</f>
        <v>0</v>
      </c>
      <c r="R4110">
        <f>Data!L4126</f>
        <v>0</v>
      </c>
      <c r="S4110">
        <f>Data!M4126</f>
        <v>0</v>
      </c>
      <c r="T4110">
        <f>Data!N4126</f>
        <v>0</v>
      </c>
      <c r="U4110">
        <f>Data!O4126</f>
        <v>0</v>
      </c>
      <c r="V4110" s="33">
        <f>Data!P4124</f>
        <v>0</v>
      </c>
    </row>
    <row r="4111" spans="7:22" x14ac:dyDescent="0.25">
      <c r="G4111">
        <f>Data!B4123</f>
        <v>0</v>
      </c>
      <c r="H4111" s="21">
        <f>Data!B4123</f>
        <v>0</v>
      </c>
      <c r="I4111" s="21">
        <f>Data!C4123</f>
        <v>0</v>
      </c>
      <c r="J4111">
        <f>Data!D4123</f>
        <v>0</v>
      </c>
      <c r="K4111">
        <f>Data!E4123</f>
        <v>0</v>
      </c>
      <c r="L4111">
        <f>Data!F4123</f>
        <v>0</v>
      </c>
      <c r="M4111">
        <f>Data!G4123</f>
        <v>0</v>
      </c>
      <c r="N4111">
        <f>Data!H4123</f>
        <v>0</v>
      </c>
      <c r="O4111">
        <f>Data!I4123</f>
        <v>0</v>
      </c>
      <c r="P4111" s="21">
        <f>Data!J4127</f>
        <v>0</v>
      </c>
      <c r="Q4111">
        <f>Data!K4127</f>
        <v>0</v>
      </c>
      <c r="R4111">
        <f>Data!L4127</f>
        <v>0</v>
      </c>
      <c r="S4111">
        <f>Data!M4127</f>
        <v>0</v>
      </c>
      <c r="T4111">
        <f>Data!N4127</f>
        <v>0</v>
      </c>
      <c r="U4111">
        <f>Data!O4127</f>
        <v>0</v>
      </c>
      <c r="V4111" s="33">
        <f>Data!P4125</f>
        <v>0</v>
      </c>
    </row>
    <row r="4112" spans="7:22" x14ac:dyDescent="0.25">
      <c r="G4112">
        <f>Data!B4124</f>
        <v>0</v>
      </c>
      <c r="H4112" s="21">
        <f>Data!B4124</f>
        <v>0</v>
      </c>
      <c r="I4112" s="21">
        <f>Data!C4124</f>
        <v>0</v>
      </c>
      <c r="J4112">
        <f>Data!D4124</f>
        <v>0</v>
      </c>
      <c r="K4112">
        <f>Data!E4124</f>
        <v>0</v>
      </c>
      <c r="L4112">
        <f>Data!F4124</f>
        <v>0</v>
      </c>
      <c r="M4112">
        <f>Data!G4124</f>
        <v>0</v>
      </c>
      <c r="N4112">
        <f>Data!H4124</f>
        <v>0</v>
      </c>
      <c r="O4112">
        <f>Data!I4124</f>
        <v>0</v>
      </c>
      <c r="P4112" s="21">
        <f>Data!J4128</f>
        <v>0</v>
      </c>
      <c r="Q4112">
        <f>Data!K4128</f>
        <v>0</v>
      </c>
      <c r="R4112">
        <f>Data!L4128</f>
        <v>0</v>
      </c>
      <c r="S4112">
        <f>Data!M4128</f>
        <v>0</v>
      </c>
      <c r="T4112">
        <f>Data!N4128</f>
        <v>0</v>
      </c>
      <c r="U4112">
        <f>Data!O4128</f>
        <v>0</v>
      </c>
      <c r="V4112" s="33">
        <f>Data!P4126</f>
        <v>0</v>
      </c>
    </row>
    <row r="4113" spans="7:22" x14ac:dyDescent="0.25">
      <c r="G4113">
        <f>Data!B4125</f>
        <v>0</v>
      </c>
      <c r="H4113" s="21">
        <f>Data!B4125</f>
        <v>0</v>
      </c>
      <c r="I4113" s="21">
        <f>Data!C4125</f>
        <v>0</v>
      </c>
      <c r="J4113">
        <f>Data!D4125</f>
        <v>0</v>
      </c>
      <c r="K4113">
        <f>Data!E4125</f>
        <v>0</v>
      </c>
      <c r="L4113">
        <f>Data!F4125</f>
        <v>0</v>
      </c>
      <c r="M4113">
        <f>Data!G4125</f>
        <v>0</v>
      </c>
      <c r="N4113">
        <f>Data!H4125</f>
        <v>0</v>
      </c>
      <c r="O4113">
        <f>Data!I4125</f>
        <v>0</v>
      </c>
      <c r="P4113" s="21">
        <f>Data!J4129</f>
        <v>0</v>
      </c>
      <c r="Q4113">
        <f>Data!K4129</f>
        <v>0</v>
      </c>
      <c r="R4113">
        <f>Data!L4129</f>
        <v>0</v>
      </c>
      <c r="S4113">
        <f>Data!M4129</f>
        <v>0</v>
      </c>
      <c r="T4113">
        <f>Data!N4129</f>
        <v>0</v>
      </c>
      <c r="U4113">
        <f>Data!O4129</f>
        <v>0</v>
      </c>
      <c r="V4113" s="33">
        <f>Data!P4127</f>
        <v>0</v>
      </c>
    </row>
    <row r="4114" spans="7:22" x14ac:dyDescent="0.25">
      <c r="G4114">
        <f>Data!B4126</f>
        <v>0</v>
      </c>
      <c r="H4114" s="21">
        <f>Data!B4126</f>
        <v>0</v>
      </c>
      <c r="I4114" s="21">
        <f>Data!C4126</f>
        <v>0</v>
      </c>
      <c r="J4114">
        <f>Data!D4126</f>
        <v>0</v>
      </c>
      <c r="K4114">
        <f>Data!E4126</f>
        <v>0</v>
      </c>
      <c r="L4114">
        <f>Data!F4126</f>
        <v>0</v>
      </c>
      <c r="M4114">
        <f>Data!G4126</f>
        <v>0</v>
      </c>
      <c r="N4114">
        <f>Data!H4126</f>
        <v>0</v>
      </c>
      <c r="O4114">
        <f>Data!I4126</f>
        <v>0</v>
      </c>
      <c r="P4114" s="21">
        <f>Data!J4130</f>
        <v>0</v>
      </c>
      <c r="Q4114">
        <f>Data!K4130</f>
        <v>0</v>
      </c>
      <c r="R4114">
        <f>Data!L4130</f>
        <v>0</v>
      </c>
      <c r="S4114">
        <f>Data!M4130</f>
        <v>0</v>
      </c>
      <c r="T4114">
        <f>Data!N4130</f>
        <v>0</v>
      </c>
      <c r="U4114">
        <f>Data!O4130</f>
        <v>0</v>
      </c>
      <c r="V4114" s="33">
        <f>Data!P4128</f>
        <v>0</v>
      </c>
    </row>
    <row r="4115" spans="7:22" x14ac:dyDescent="0.25">
      <c r="G4115">
        <f>Data!B4127</f>
        <v>0</v>
      </c>
      <c r="H4115" s="21">
        <f>Data!B4127</f>
        <v>0</v>
      </c>
      <c r="I4115" s="21">
        <f>Data!C4127</f>
        <v>0</v>
      </c>
      <c r="J4115">
        <f>Data!D4127</f>
        <v>0</v>
      </c>
      <c r="K4115">
        <f>Data!E4127</f>
        <v>0</v>
      </c>
      <c r="L4115">
        <f>Data!F4127</f>
        <v>0</v>
      </c>
      <c r="M4115">
        <f>Data!G4127</f>
        <v>0</v>
      </c>
      <c r="N4115">
        <f>Data!H4127</f>
        <v>0</v>
      </c>
      <c r="O4115">
        <f>Data!I4127</f>
        <v>0</v>
      </c>
      <c r="P4115" s="21">
        <f>Data!J4131</f>
        <v>0</v>
      </c>
      <c r="Q4115">
        <f>Data!K4131</f>
        <v>0</v>
      </c>
      <c r="R4115">
        <f>Data!L4131</f>
        <v>0</v>
      </c>
      <c r="S4115">
        <f>Data!M4131</f>
        <v>0</v>
      </c>
      <c r="T4115">
        <f>Data!N4131</f>
        <v>0</v>
      </c>
      <c r="U4115">
        <f>Data!O4131</f>
        <v>0</v>
      </c>
      <c r="V4115" s="33">
        <f>Data!P4129</f>
        <v>0</v>
      </c>
    </row>
    <row r="4116" spans="7:22" x14ac:dyDescent="0.25">
      <c r="G4116">
        <f>Data!B4128</f>
        <v>0</v>
      </c>
      <c r="H4116" s="21">
        <f>Data!B4128</f>
        <v>0</v>
      </c>
      <c r="I4116" s="21">
        <f>Data!C4128</f>
        <v>0</v>
      </c>
      <c r="J4116">
        <f>Data!D4128</f>
        <v>0</v>
      </c>
      <c r="K4116">
        <f>Data!E4128</f>
        <v>0</v>
      </c>
      <c r="L4116">
        <f>Data!F4128</f>
        <v>0</v>
      </c>
      <c r="M4116">
        <f>Data!G4128</f>
        <v>0</v>
      </c>
      <c r="N4116">
        <f>Data!H4128</f>
        <v>0</v>
      </c>
      <c r="O4116">
        <f>Data!I4128</f>
        <v>0</v>
      </c>
      <c r="P4116" s="21">
        <f>Data!J4132</f>
        <v>0</v>
      </c>
      <c r="Q4116">
        <f>Data!K4132</f>
        <v>0</v>
      </c>
      <c r="R4116">
        <f>Data!L4132</f>
        <v>0</v>
      </c>
      <c r="S4116">
        <f>Data!M4132</f>
        <v>0</v>
      </c>
      <c r="T4116">
        <f>Data!N4132</f>
        <v>0</v>
      </c>
      <c r="U4116">
        <f>Data!O4132</f>
        <v>0</v>
      </c>
      <c r="V4116" s="33">
        <f>Data!P4130</f>
        <v>0</v>
      </c>
    </row>
    <row r="4117" spans="7:22" x14ac:dyDescent="0.25">
      <c r="G4117">
        <f>Data!B4129</f>
        <v>0</v>
      </c>
      <c r="H4117" s="21">
        <f>Data!B4129</f>
        <v>0</v>
      </c>
      <c r="I4117" s="21">
        <f>Data!C4129</f>
        <v>0</v>
      </c>
      <c r="J4117">
        <f>Data!D4129</f>
        <v>0</v>
      </c>
      <c r="K4117">
        <f>Data!E4129</f>
        <v>0</v>
      </c>
      <c r="L4117">
        <f>Data!F4129</f>
        <v>0</v>
      </c>
      <c r="M4117">
        <f>Data!G4129</f>
        <v>0</v>
      </c>
      <c r="N4117">
        <f>Data!H4129</f>
        <v>0</v>
      </c>
      <c r="O4117">
        <f>Data!I4129</f>
        <v>0</v>
      </c>
      <c r="P4117" s="21">
        <f>Data!J4133</f>
        <v>0</v>
      </c>
      <c r="Q4117">
        <f>Data!K4133</f>
        <v>0</v>
      </c>
      <c r="R4117">
        <f>Data!L4133</f>
        <v>0</v>
      </c>
      <c r="S4117">
        <f>Data!M4133</f>
        <v>0</v>
      </c>
      <c r="T4117">
        <f>Data!N4133</f>
        <v>0</v>
      </c>
      <c r="U4117">
        <f>Data!O4133</f>
        <v>0</v>
      </c>
      <c r="V4117" s="33">
        <f>Data!P4131</f>
        <v>0</v>
      </c>
    </row>
    <row r="4118" spans="7:22" x14ac:dyDescent="0.25">
      <c r="G4118">
        <f>Data!B4130</f>
        <v>0</v>
      </c>
      <c r="H4118" s="21">
        <f>Data!B4130</f>
        <v>0</v>
      </c>
      <c r="I4118" s="21">
        <f>Data!C4130</f>
        <v>0</v>
      </c>
      <c r="J4118">
        <f>Data!D4130</f>
        <v>0</v>
      </c>
      <c r="K4118">
        <f>Data!E4130</f>
        <v>0</v>
      </c>
      <c r="L4118">
        <f>Data!F4130</f>
        <v>0</v>
      </c>
      <c r="M4118">
        <f>Data!G4130</f>
        <v>0</v>
      </c>
      <c r="N4118">
        <f>Data!H4130</f>
        <v>0</v>
      </c>
      <c r="O4118">
        <f>Data!I4130</f>
        <v>0</v>
      </c>
      <c r="P4118" s="21">
        <f>Data!J4134</f>
        <v>0</v>
      </c>
      <c r="Q4118">
        <f>Data!K4134</f>
        <v>0</v>
      </c>
      <c r="R4118">
        <f>Data!L4134</f>
        <v>0</v>
      </c>
      <c r="S4118">
        <f>Data!M4134</f>
        <v>0</v>
      </c>
      <c r="T4118">
        <f>Data!N4134</f>
        <v>0</v>
      </c>
      <c r="U4118">
        <f>Data!O4134</f>
        <v>0</v>
      </c>
      <c r="V4118" s="33">
        <f>Data!P4132</f>
        <v>0</v>
      </c>
    </row>
    <row r="4119" spans="7:22" x14ac:dyDescent="0.25">
      <c r="G4119">
        <f>Data!B4131</f>
        <v>0</v>
      </c>
      <c r="H4119" s="21">
        <f>Data!B4131</f>
        <v>0</v>
      </c>
      <c r="I4119" s="21">
        <f>Data!C4131</f>
        <v>0</v>
      </c>
      <c r="J4119">
        <f>Data!D4131</f>
        <v>0</v>
      </c>
      <c r="K4119">
        <f>Data!E4131</f>
        <v>0</v>
      </c>
      <c r="L4119">
        <f>Data!F4131</f>
        <v>0</v>
      </c>
      <c r="M4119">
        <f>Data!G4131</f>
        <v>0</v>
      </c>
      <c r="N4119">
        <f>Data!H4131</f>
        <v>0</v>
      </c>
      <c r="O4119">
        <f>Data!I4131</f>
        <v>0</v>
      </c>
      <c r="P4119" s="21">
        <f>Data!J4135</f>
        <v>0</v>
      </c>
      <c r="Q4119">
        <f>Data!K4135</f>
        <v>0</v>
      </c>
      <c r="R4119">
        <f>Data!L4135</f>
        <v>0</v>
      </c>
      <c r="S4119">
        <f>Data!M4135</f>
        <v>0</v>
      </c>
      <c r="T4119">
        <f>Data!N4135</f>
        <v>0</v>
      </c>
      <c r="U4119">
        <f>Data!O4135</f>
        <v>0</v>
      </c>
      <c r="V4119" s="33">
        <f>Data!P4133</f>
        <v>0</v>
      </c>
    </row>
    <row r="4120" spans="7:22" x14ac:dyDescent="0.25">
      <c r="G4120">
        <f>Data!B4132</f>
        <v>0</v>
      </c>
      <c r="H4120" s="21">
        <f>Data!B4132</f>
        <v>0</v>
      </c>
      <c r="I4120" s="21">
        <f>Data!C4132</f>
        <v>0</v>
      </c>
      <c r="J4120">
        <f>Data!D4132</f>
        <v>0</v>
      </c>
      <c r="K4120">
        <f>Data!E4132</f>
        <v>0</v>
      </c>
      <c r="L4120">
        <f>Data!F4132</f>
        <v>0</v>
      </c>
      <c r="M4120">
        <f>Data!G4132</f>
        <v>0</v>
      </c>
      <c r="N4120">
        <f>Data!H4132</f>
        <v>0</v>
      </c>
      <c r="O4120">
        <f>Data!I4132</f>
        <v>0</v>
      </c>
      <c r="P4120" s="21">
        <f>Data!J4136</f>
        <v>0</v>
      </c>
      <c r="Q4120">
        <f>Data!K4136</f>
        <v>0</v>
      </c>
      <c r="R4120">
        <f>Data!L4136</f>
        <v>0</v>
      </c>
      <c r="S4120">
        <f>Data!M4136</f>
        <v>0</v>
      </c>
      <c r="T4120">
        <f>Data!N4136</f>
        <v>0</v>
      </c>
      <c r="U4120">
        <f>Data!O4136</f>
        <v>0</v>
      </c>
      <c r="V4120" s="33">
        <f>Data!P4134</f>
        <v>0</v>
      </c>
    </row>
    <row r="4121" spans="7:22" x14ac:dyDescent="0.25">
      <c r="G4121">
        <f>Data!B4133</f>
        <v>0</v>
      </c>
      <c r="H4121" s="21">
        <f>Data!B4133</f>
        <v>0</v>
      </c>
      <c r="I4121" s="21">
        <f>Data!C4133</f>
        <v>0</v>
      </c>
      <c r="J4121">
        <f>Data!D4133</f>
        <v>0</v>
      </c>
      <c r="K4121">
        <f>Data!E4133</f>
        <v>0</v>
      </c>
      <c r="L4121">
        <f>Data!F4133</f>
        <v>0</v>
      </c>
      <c r="M4121">
        <f>Data!G4133</f>
        <v>0</v>
      </c>
      <c r="N4121">
        <f>Data!H4133</f>
        <v>0</v>
      </c>
      <c r="O4121">
        <f>Data!I4133</f>
        <v>0</v>
      </c>
      <c r="P4121" s="21">
        <f>Data!J4137</f>
        <v>0</v>
      </c>
      <c r="Q4121">
        <f>Data!K4137</f>
        <v>0</v>
      </c>
      <c r="R4121">
        <f>Data!L4137</f>
        <v>0</v>
      </c>
      <c r="S4121">
        <f>Data!M4137</f>
        <v>0</v>
      </c>
      <c r="T4121">
        <f>Data!N4137</f>
        <v>0</v>
      </c>
      <c r="U4121">
        <f>Data!O4137</f>
        <v>0</v>
      </c>
      <c r="V4121" s="33">
        <f>Data!P4135</f>
        <v>0</v>
      </c>
    </row>
    <row r="4122" spans="7:22" x14ac:dyDescent="0.25">
      <c r="G4122">
        <f>Data!B4134</f>
        <v>0</v>
      </c>
      <c r="H4122" s="21">
        <f>Data!B4134</f>
        <v>0</v>
      </c>
      <c r="I4122" s="21">
        <f>Data!C4134</f>
        <v>0</v>
      </c>
      <c r="J4122">
        <f>Data!D4134</f>
        <v>0</v>
      </c>
      <c r="K4122">
        <f>Data!E4134</f>
        <v>0</v>
      </c>
      <c r="L4122">
        <f>Data!F4134</f>
        <v>0</v>
      </c>
      <c r="M4122">
        <f>Data!G4134</f>
        <v>0</v>
      </c>
      <c r="N4122">
        <f>Data!H4134</f>
        <v>0</v>
      </c>
      <c r="O4122">
        <f>Data!I4134</f>
        <v>0</v>
      </c>
      <c r="P4122" s="21">
        <f>Data!J4138</f>
        <v>0</v>
      </c>
      <c r="Q4122">
        <f>Data!K4138</f>
        <v>0</v>
      </c>
      <c r="R4122">
        <f>Data!L4138</f>
        <v>0</v>
      </c>
      <c r="S4122">
        <f>Data!M4138</f>
        <v>0</v>
      </c>
      <c r="T4122">
        <f>Data!N4138</f>
        <v>0</v>
      </c>
      <c r="U4122">
        <f>Data!O4138</f>
        <v>0</v>
      </c>
      <c r="V4122" s="33">
        <f>Data!P4136</f>
        <v>0</v>
      </c>
    </row>
    <row r="4123" spans="7:22" x14ac:dyDescent="0.25">
      <c r="G4123">
        <f>Data!B4135</f>
        <v>0</v>
      </c>
      <c r="H4123" s="21">
        <f>Data!B4135</f>
        <v>0</v>
      </c>
      <c r="I4123" s="21">
        <f>Data!C4135</f>
        <v>0</v>
      </c>
      <c r="J4123">
        <f>Data!D4135</f>
        <v>0</v>
      </c>
      <c r="K4123">
        <f>Data!E4135</f>
        <v>0</v>
      </c>
      <c r="L4123">
        <f>Data!F4135</f>
        <v>0</v>
      </c>
      <c r="M4123">
        <f>Data!G4135</f>
        <v>0</v>
      </c>
      <c r="N4123">
        <f>Data!H4135</f>
        <v>0</v>
      </c>
      <c r="O4123">
        <f>Data!I4135</f>
        <v>0</v>
      </c>
      <c r="P4123" s="21">
        <f>Data!J4139</f>
        <v>0</v>
      </c>
      <c r="Q4123">
        <f>Data!K4139</f>
        <v>0</v>
      </c>
      <c r="R4123">
        <f>Data!L4139</f>
        <v>0</v>
      </c>
      <c r="S4123">
        <f>Data!M4139</f>
        <v>0</v>
      </c>
      <c r="T4123">
        <f>Data!N4139</f>
        <v>0</v>
      </c>
      <c r="U4123">
        <f>Data!O4139</f>
        <v>0</v>
      </c>
      <c r="V4123" s="33">
        <f>Data!P4137</f>
        <v>0</v>
      </c>
    </row>
    <row r="4124" spans="7:22" x14ac:dyDescent="0.25">
      <c r="G4124">
        <f>Data!B4136</f>
        <v>0</v>
      </c>
      <c r="H4124" s="21">
        <f>Data!B4136</f>
        <v>0</v>
      </c>
      <c r="I4124" s="21">
        <f>Data!C4136</f>
        <v>0</v>
      </c>
      <c r="J4124">
        <f>Data!D4136</f>
        <v>0</v>
      </c>
      <c r="K4124">
        <f>Data!E4136</f>
        <v>0</v>
      </c>
      <c r="L4124">
        <f>Data!F4136</f>
        <v>0</v>
      </c>
      <c r="M4124">
        <f>Data!G4136</f>
        <v>0</v>
      </c>
      <c r="N4124">
        <f>Data!H4136</f>
        <v>0</v>
      </c>
      <c r="O4124">
        <f>Data!I4136</f>
        <v>0</v>
      </c>
      <c r="P4124" s="21">
        <f>Data!J4140</f>
        <v>0</v>
      </c>
      <c r="Q4124">
        <f>Data!K4140</f>
        <v>0</v>
      </c>
      <c r="R4124">
        <f>Data!L4140</f>
        <v>0</v>
      </c>
      <c r="S4124">
        <f>Data!M4140</f>
        <v>0</v>
      </c>
      <c r="T4124">
        <f>Data!N4140</f>
        <v>0</v>
      </c>
      <c r="U4124">
        <f>Data!O4140</f>
        <v>0</v>
      </c>
      <c r="V4124" s="33">
        <f>Data!P4138</f>
        <v>0</v>
      </c>
    </row>
    <row r="4125" spans="7:22" x14ac:dyDescent="0.25">
      <c r="G4125">
        <f>Data!B4137</f>
        <v>0</v>
      </c>
      <c r="H4125" s="21">
        <f>Data!B4137</f>
        <v>0</v>
      </c>
      <c r="I4125" s="21">
        <f>Data!C4137</f>
        <v>0</v>
      </c>
      <c r="J4125">
        <f>Data!D4137</f>
        <v>0</v>
      </c>
      <c r="K4125">
        <f>Data!E4137</f>
        <v>0</v>
      </c>
      <c r="L4125">
        <f>Data!F4137</f>
        <v>0</v>
      </c>
      <c r="M4125">
        <f>Data!G4137</f>
        <v>0</v>
      </c>
      <c r="N4125">
        <f>Data!H4137</f>
        <v>0</v>
      </c>
      <c r="O4125">
        <f>Data!I4137</f>
        <v>0</v>
      </c>
      <c r="P4125" s="21">
        <f>Data!J4141</f>
        <v>0</v>
      </c>
      <c r="Q4125">
        <f>Data!K4141</f>
        <v>0</v>
      </c>
      <c r="R4125">
        <f>Data!L4141</f>
        <v>0</v>
      </c>
      <c r="S4125">
        <f>Data!M4141</f>
        <v>0</v>
      </c>
      <c r="T4125">
        <f>Data!N4141</f>
        <v>0</v>
      </c>
      <c r="U4125">
        <f>Data!O4141</f>
        <v>0</v>
      </c>
      <c r="V4125" s="33">
        <f>Data!P4139</f>
        <v>0</v>
      </c>
    </row>
    <row r="4126" spans="7:22" x14ac:dyDescent="0.25">
      <c r="G4126">
        <f>Data!B4138</f>
        <v>0</v>
      </c>
      <c r="H4126" s="21">
        <f>Data!B4138</f>
        <v>0</v>
      </c>
      <c r="I4126" s="21">
        <f>Data!C4138</f>
        <v>0</v>
      </c>
      <c r="J4126">
        <f>Data!D4138</f>
        <v>0</v>
      </c>
      <c r="K4126">
        <f>Data!E4138</f>
        <v>0</v>
      </c>
      <c r="L4126">
        <f>Data!F4138</f>
        <v>0</v>
      </c>
      <c r="M4126">
        <f>Data!G4138</f>
        <v>0</v>
      </c>
      <c r="N4126">
        <f>Data!H4138</f>
        <v>0</v>
      </c>
      <c r="O4126">
        <f>Data!I4138</f>
        <v>0</v>
      </c>
      <c r="P4126" s="21">
        <f>Data!J4142</f>
        <v>0</v>
      </c>
      <c r="Q4126">
        <f>Data!K4142</f>
        <v>0</v>
      </c>
      <c r="R4126">
        <f>Data!L4142</f>
        <v>0</v>
      </c>
      <c r="S4126">
        <f>Data!M4142</f>
        <v>0</v>
      </c>
      <c r="T4126">
        <f>Data!N4142</f>
        <v>0</v>
      </c>
      <c r="U4126">
        <f>Data!O4142</f>
        <v>0</v>
      </c>
      <c r="V4126" s="33">
        <f>Data!P4140</f>
        <v>0</v>
      </c>
    </row>
    <row r="4127" spans="7:22" x14ac:dyDescent="0.25">
      <c r="G4127">
        <f>Data!B4139</f>
        <v>0</v>
      </c>
      <c r="H4127" s="21">
        <f>Data!B4139</f>
        <v>0</v>
      </c>
      <c r="I4127" s="21">
        <f>Data!C4139</f>
        <v>0</v>
      </c>
      <c r="J4127">
        <f>Data!D4139</f>
        <v>0</v>
      </c>
      <c r="K4127">
        <f>Data!E4139</f>
        <v>0</v>
      </c>
      <c r="L4127">
        <f>Data!F4139</f>
        <v>0</v>
      </c>
      <c r="M4127">
        <f>Data!G4139</f>
        <v>0</v>
      </c>
      <c r="N4127">
        <f>Data!H4139</f>
        <v>0</v>
      </c>
      <c r="O4127">
        <f>Data!I4139</f>
        <v>0</v>
      </c>
      <c r="P4127" s="21">
        <f>Data!J4143</f>
        <v>0</v>
      </c>
      <c r="Q4127">
        <f>Data!K4143</f>
        <v>0</v>
      </c>
      <c r="R4127">
        <f>Data!L4143</f>
        <v>0</v>
      </c>
      <c r="S4127">
        <f>Data!M4143</f>
        <v>0</v>
      </c>
      <c r="T4127">
        <f>Data!N4143</f>
        <v>0</v>
      </c>
      <c r="U4127">
        <f>Data!O4143</f>
        <v>0</v>
      </c>
      <c r="V4127" s="33">
        <f>Data!P4141</f>
        <v>0</v>
      </c>
    </row>
    <row r="4128" spans="7:22" x14ac:dyDescent="0.25">
      <c r="G4128">
        <f>Data!B4140</f>
        <v>0</v>
      </c>
      <c r="H4128" s="21">
        <f>Data!B4140</f>
        <v>0</v>
      </c>
      <c r="I4128" s="21">
        <f>Data!C4140</f>
        <v>0</v>
      </c>
      <c r="J4128">
        <f>Data!D4140</f>
        <v>0</v>
      </c>
      <c r="K4128">
        <f>Data!E4140</f>
        <v>0</v>
      </c>
      <c r="L4128">
        <f>Data!F4140</f>
        <v>0</v>
      </c>
      <c r="M4128">
        <f>Data!G4140</f>
        <v>0</v>
      </c>
      <c r="N4128">
        <f>Data!H4140</f>
        <v>0</v>
      </c>
      <c r="O4128">
        <f>Data!I4140</f>
        <v>0</v>
      </c>
      <c r="P4128" s="21">
        <f>Data!J4144</f>
        <v>0</v>
      </c>
      <c r="Q4128">
        <f>Data!K4144</f>
        <v>0</v>
      </c>
      <c r="R4128">
        <f>Data!L4144</f>
        <v>0</v>
      </c>
      <c r="S4128">
        <f>Data!M4144</f>
        <v>0</v>
      </c>
      <c r="T4128">
        <f>Data!N4144</f>
        <v>0</v>
      </c>
      <c r="U4128">
        <f>Data!O4144</f>
        <v>0</v>
      </c>
      <c r="V4128" s="33">
        <f>Data!P4142</f>
        <v>0</v>
      </c>
    </row>
    <row r="4129" spans="7:22" x14ac:dyDescent="0.25">
      <c r="G4129">
        <f>Data!B4141</f>
        <v>0</v>
      </c>
      <c r="H4129" s="21">
        <f>Data!B4141</f>
        <v>0</v>
      </c>
      <c r="I4129" s="21">
        <f>Data!C4141</f>
        <v>0</v>
      </c>
      <c r="J4129">
        <f>Data!D4141</f>
        <v>0</v>
      </c>
      <c r="K4129">
        <f>Data!E4141</f>
        <v>0</v>
      </c>
      <c r="L4129">
        <f>Data!F4141</f>
        <v>0</v>
      </c>
      <c r="M4129">
        <f>Data!G4141</f>
        <v>0</v>
      </c>
      <c r="N4129">
        <f>Data!H4141</f>
        <v>0</v>
      </c>
      <c r="O4129">
        <f>Data!I4141</f>
        <v>0</v>
      </c>
      <c r="P4129" s="21">
        <f>Data!J4145</f>
        <v>0</v>
      </c>
      <c r="Q4129">
        <f>Data!K4145</f>
        <v>0</v>
      </c>
      <c r="R4129">
        <f>Data!L4145</f>
        <v>0</v>
      </c>
      <c r="S4129">
        <f>Data!M4145</f>
        <v>0</v>
      </c>
      <c r="T4129">
        <f>Data!N4145</f>
        <v>0</v>
      </c>
      <c r="U4129">
        <f>Data!O4145</f>
        <v>0</v>
      </c>
      <c r="V4129" s="33">
        <f>Data!P4143</f>
        <v>0</v>
      </c>
    </row>
    <row r="4130" spans="7:22" x14ac:dyDescent="0.25">
      <c r="G4130">
        <f>Data!B4142</f>
        <v>0</v>
      </c>
      <c r="H4130" s="21">
        <f>Data!B4142</f>
        <v>0</v>
      </c>
      <c r="I4130" s="21">
        <f>Data!C4142</f>
        <v>0</v>
      </c>
      <c r="J4130">
        <f>Data!D4142</f>
        <v>0</v>
      </c>
      <c r="K4130">
        <f>Data!E4142</f>
        <v>0</v>
      </c>
      <c r="L4130">
        <f>Data!F4142</f>
        <v>0</v>
      </c>
      <c r="M4130">
        <f>Data!G4142</f>
        <v>0</v>
      </c>
      <c r="N4130">
        <f>Data!H4142</f>
        <v>0</v>
      </c>
      <c r="O4130">
        <f>Data!I4142</f>
        <v>0</v>
      </c>
      <c r="P4130" s="21">
        <f>Data!J4146</f>
        <v>0</v>
      </c>
      <c r="Q4130">
        <f>Data!K4146</f>
        <v>0</v>
      </c>
      <c r="R4130">
        <f>Data!L4146</f>
        <v>0</v>
      </c>
      <c r="S4130">
        <f>Data!M4146</f>
        <v>0</v>
      </c>
      <c r="T4130">
        <f>Data!N4146</f>
        <v>0</v>
      </c>
      <c r="U4130">
        <f>Data!O4146</f>
        <v>0</v>
      </c>
      <c r="V4130" s="33">
        <f>Data!P4144</f>
        <v>0</v>
      </c>
    </row>
    <row r="4131" spans="7:22" x14ac:dyDescent="0.25">
      <c r="G4131">
        <f>Data!B4143</f>
        <v>0</v>
      </c>
      <c r="H4131" s="21">
        <f>Data!B4143</f>
        <v>0</v>
      </c>
      <c r="I4131" s="21">
        <f>Data!C4143</f>
        <v>0</v>
      </c>
      <c r="J4131">
        <f>Data!D4143</f>
        <v>0</v>
      </c>
      <c r="K4131">
        <f>Data!E4143</f>
        <v>0</v>
      </c>
      <c r="L4131">
        <f>Data!F4143</f>
        <v>0</v>
      </c>
      <c r="M4131">
        <f>Data!G4143</f>
        <v>0</v>
      </c>
      <c r="N4131">
        <f>Data!H4143</f>
        <v>0</v>
      </c>
      <c r="O4131">
        <f>Data!I4143</f>
        <v>0</v>
      </c>
      <c r="P4131" s="21">
        <f>Data!J4147</f>
        <v>0</v>
      </c>
      <c r="Q4131">
        <f>Data!K4147</f>
        <v>0</v>
      </c>
      <c r="R4131">
        <f>Data!L4147</f>
        <v>0</v>
      </c>
      <c r="S4131">
        <f>Data!M4147</f>
        <v>0</v>
      </c>
      <c r="T4131">
        <f>Data!N4147</f>
        <v>0</v>
      </c>
      <c r="U4131">
        <f>Data!O4147</f>
        <v>0</v>
      </c>
      <c r="V4131" s="33">
        <f>Data!P4145</f>
        <v>0</v>
      </c>
    </row>
    <row r="4132" spans="7:22" x14ac:dyDescent="0.25">
      <c r="G4132">
        <f>Data!B4144</f>
        <v>0</v>
      </c>
      <c r="H4132" s="21">
        <f>Data!B4144</f>
        <v>0</v>
      </c>
      <c r="I4132" s="21">
        <f>Data!C4144</f>
        <v>0</v>
      </c>
      <c r="J4132">
        <f>Data!D4144</f>
        <v>0</v>
      </c>
      <c r="K4132">
        <f>Data!E4144</f>
        <v>0</v>
      </c>
      <c r="L4132">
        <f>Data!F4144</f>
        <v>0</v>
      </c>
      <c r="M4132">
        <f>Data!G4144</f>
        <v>0</v>
      </c>
      <c r="N4132">
        <f>Data!H4144</f>
        <v>0</v>
      </c>
      <c r="O4132">
        <f>Data!I4144</f>
        <v>0</v>
      </c>
      <c r="P4132" s="21">
        <f>Data!J4148</f>
        <v>0</v>
      </c>
      <c r="Q4132">
        <f>Data!K4148</f>
        <v>0</v>
      </c>
      <c r="R4132">
        <f>Data!L4148</f>
        <v>0</v>
      </c>
      <c r="S4132">
        <f>Data!M4148</f>
        <v>0</v>
      </c>
      <c r="T4132">
        <f>Data!N4148</f>
        <v>0</v>
      </c>
      <c r="U4132">
        <f>Data!O4148</f>
        <v>0</v>
      </c>
      <c r="V4132" s="33">
        <f>Data!P4146</f>
        <v>0</v>
      </c>
    </row>
    <row r="4133" spans="7:22" x14ac:dyDescent="0.25">
      <c r="G4133">
        <f>Data!B4145</f>
        <v>0</v>
      </c>
      <c r="H4133" s="21">
        <f>Data!B4145</f>
        <v>0</v>
      </c>
      <c r="I4133" s="21">
        <f>Data!C4145</f>
        <v>0</v>
      </c>
      <c r="J4133">
        <f>Data!D4145</f>
        <v>0</v>
      </c>
      <c r="K4133">
        <f>Data!E4145</f>
        <v>0</v>
      </c>
      <c r="L4133">
        <f>Data!F4145</f>
        <v>0</v>
      </c>
      <c r="M4133">
        <f>Data!G4145</f>
        <v>0</v>
      </c>
      <c r="N4133">
        <f>Data!H4145</f>
        <v>0</v>
      </c>
      <c r="O4133">
        <f>Data!I4145</f>
        <v>0</v>
      </c>
      <c r="P4133" s="21">
        <f>Data!J4149</f>
        <v>0</v>
      </c>
      <c r="Q4133">
        <f>Data!K4149</f>
        <v>0</v>
      </c>
      <c r="R4133">
        <f>Data!L4149</f>
        <v>0</v>
      </c>
      <c r="S4133">
        <f>Data!M4149</f>
        <v>0</v>
      </c>
      <c r="T4133">
        <f>Data!N4149</f>
        <v>0</v>
      </c>
      <c r="U4133">
        <f>Data!O4149</f>
        <v>0</v>
      </c>
      <c r="V4133" s="33">
        <f>Data!P4147</f>
        <v>0</v>
      </c>
    </row>
    <row r="4134" spans="7:22" x14ac:dyDescent="0.25">
      <c r="G4134">
        <f>Data!B4146</f>
        <v>0</v>
      </c>
      <c r="H4134" s="21">
        <f>Data!B4146</f>
        <v>0</v>
      </c>
      <c r="I4134" s="21">
        <f>Data!C4146</f>
        <v>0</v>
      </c>
      <c r="J4134">
        <f>Data!D4146</f>
        <v>0</v>
      </c>
      <c r="K4134">
        <f>Data!E4146</f>
        <v>0</v>
      </c>
      <c r="L4134">
        <f>Data!F4146</f>
        <v>0</v>
      </c>
      <c r="M4134">
        <f>Data!G4146</f>
        <v>0</v>
      </c>
      <c r="N4134">
        <f>Data!H4146</f>
        <v>0</v>
      </c>
      <c r="O4134">
        <f>Data!I4146</f>
        <v>0</v>
      </c>
      <c r="P4134" s="21">
        <f>Data!J4150</f>
        <v>0</v>
      </c>
      <c r="Q4134">
        <f>Data!K4150</f>
        <v>0</v>
      </c>
      <c r="R4134">
        <f>Data!L4150</f>
        <v>0</v>
      </c>
      <c r="S4134">
        <f>Data!M4150</f>
        <v>0</v>
      </c>
      <c r="T4134">
        <f>Data!N4150</f>
        <v>0</v>
      </c>
      <c r="U4134">
        <f>Data!O4150</f>
        <v>0</v>
      </c>
      <c r="V4134" s="33">
        <f>Data!P4148</f>
        <v>0</v>
      </c>
    </row>
    <row r="4135" spans="7:22" x14ac:dyDescent="0.25">
      <c r="G4135">
        <f>Data!B4147</f>
        <v>0</v>
      </c>
      <c r="H4135" s="21">
        <f>Data!B4147</f>
        <v>0</v>
      </c>
      <c r="I4135" s="21">
        <f>Data!C4147</f>
        <v>0</v>
      </c>
      <c r="J4135">
        <f>Data!D4147</f>
        <v>0</v>
      </c>
      <c r="K4135">
        <f>Data!E4147</f>
        <v>0</v>
      </c>
      <c r="L4135">
        <f>Data!F4147</f>
        <v>0</v>
      </c>
      <c r="M4135">
        <f>Data!G4147</f>
        <v>0</v>
      </c>
      <c r="N4135">
        <f>Data!H4147</f>
        <v>0</v>
      </c>
      <c r="O4135">
        <f>Data!I4147</f>
        <v>0</v>
      </c>
      <c r="P4135" s="21">
        <f>Data!J4151</f>
        <v>0</v>
      </c>
      <c r="Q4135">
        <f>Data!K4151</f>
        <v>0</v>
      </c>
      <c r="R4135">
        <f>Data!L4151</f>
        <v>0</v>
      </c>
      <c r="S4135">
        <f>Data!M4151</f>
        <v>0</v>
      </c>
      <c r="T4135">
        <f>Data!N4151</f>
        <v>0</v>
      </c>
      <c r="U4135">
        <f>Data!O4151</f>
        <v>0</v>
      </c>
      <c r="V4135" s="33">
        <f>Data!P4149</f>
        <v>0</v>
      </c>
    </row>
    <row r="4136" spans="7:22" x14ac:dyDescent="0.25">
      <c r="G4136">
        <f>Data!B4148</f>
        <v>0</v>
      </c>
      <c r="H4136" s="21">
        <f>Data!B4148</f>
        <v>0</v>
      </c>
      <c r="I4136" s="21">
        <f>Data!C4148</f>
        <v>0</v>
      </c>
      <c r="J4136">
        <f>Data!D4148</f>
        <v>0</v>
      </c>
      <c r="K4136">
        <f>Data!E4148</f>
        <v>0</v>
      </c>
      <c r="L4136">
        <f>Data!F4148</f>
        <v>0</v>
      </c>
      <c r="M4136">
        <f>Data!G4148</f>
        <v>0</v>
      </c>
      <c r="N4136">
        <f>Data!H4148</f>
        <v>0</v>
      </c>
      <c r="O4136">
        <f>Data!I4148</f>
        <v>0</v>
      </c>
      <c r="P4136" s="21">
        <f>Data!J4152</f>
        <v>0</v>
      </c>
      <c r="Q4136">
        <f>Data!K4152</f>
        <v>0</v>
      </c>
      <c r="R4136">
        <f>Data!L4152</f>
        <v>0</v>
      </c>
      <c r="S4136">
        <f>Data!M4152</f>
        <v>0</v>
      </c>
      <c r="T4136">
        <f>Data!N4152</f>
        <v>0</v>
      </c>
      <c r="U4136">
        <f>Data!O4152</f>
        <v>0</v>
      </c>
      <c r="V4136" s="33">
        <f>Data!P4150</f>
        <v>0</v>
      </c>
    </row>
    <row r="4137" spans="7:22" x14ac:dyDescent="0.25">
      <c r="G4137">
        <f>Data!B4149</f>
        <v>0</v>
      </c>
      <c r="H4137" s="21">
        <f>Data!B4149</f>
        <v>0</v>
      </c>
      <c r="I4137" s="21">
        <f>Data!C4149</f>
        <v>0</v>
      </c>
      <c r="J4137">
        <f>Data!D4149</f>
        <v>0</v>
      </c>
      <c r="K4137">
        <f>Data!E4149</f>
        <v>0</v>
      </c>
      <c r="L4137">
        <f>Data!F4149</f>
        <v>0</v>
      </c>
      <c r="M4137">
        <f>Data!G4149</f>
        <v>0</v>
      </c>
      <c r="N4137">
        <f>Data!H4149</f>
        <v>0</v>
      </c>
      <c r="O4137">
        <f>Data!I4149</f>
        <v>0</v>
      </c>
      <c r="P4137" s="21">
        <f>Data!J4153</f>
        <v>0</v>
      </c>
      <c r="Q4137">
        <f>Data!K4153</f>
        <v>0</v>
      </c>
      <c r="R4137">
        <f>Data!L4153</f>
        <v>0</v>
      </c>
      <c r="S4137">
        <f>Data!M4153</f>
        <v>0</v>
      </c>
      <c r="T4137">
        <f>Data!N4153</f>
        <v>0</v>
      </c>
      <c r="U4137">
        <f>Data!O4153</f>
        <v>0</v>
      </c>
      <c r="V4137" s="33">
        <f>Data!P4151</f>
        <v>0</v>
      </c>
    </row>
    <row r="4138" spans="7:22" x14ac:dyDescent="0.25">
      <c r="G4138">
        <f>Data!B4150</f>
        <v>0</v>
      </c>
      <c r="H4138" s="21">
        <f>Data!B4150</f>
        <v>0</v>
      </c>
      <c r="I4138" s="21">
        <f>Data!C4150</f>
        <v>0</v>
      </c>
      <c r="J4138">
        <f>Data!D4150</f>
        <v>0</v>
      </c>
      <c r="K4138">
        <f>Data!E4150</f>
        <v>0</v>
      </c>
      <c r="L4138">
        <f>Data!F4150</f>
        <v>0</v>
      </c>
      <c r="M4138">
        <f>Data!G4150</f>
        <v>0</v>
      </c>
      <c r="N4138">
        <f>Data!H4150</f>
        <v>0</v>
      </c>
      <c r="O4138">
        <f>Data!I4150</f>
        <v>0</v>
      </c>
      <c r="P4138" s="21">
        <f>Data!J4154</f>
        <v>0</v>
      </c>
      <c r="Q4138">
        <f>Data!K4154</f>
        <v>0</v>
      </c>
      <c r="R4138">
        <f>Data!L4154</f>
        <v>0</v>
      </c>
      <c r="S4138">
        <f>Data!M4154</f>
        <v>0</v>
      </c>
      <c r="T4138">
        <f>Data!N4154</f>
        <v>0</v>
      </c>
      <c r="U4138">
        <f>Data!O4154</f>
        <v>0</v>
      </c>
      <c r="V4138" s="33">
        <f>Data!P4152</f>
        <v>0</v>
      </c>
    </row>
    <row r="4139" spans="7:22" x14ac:dyDescent="0.25">
      <c r="G4139">
        <f>Data!B4151</f>
        <v>0</v>
      </c>
      <c r="H4139" s="21">
        <f>Data!B4151</f>
        <v>0</v>
      </c>
      <c r="I4139" s="21">
        <f>Data!C4151</f>
        <v>0</v>
      </c>
      <c r="J4139">
        <f>Data!D4151</f>
        <v>0</v>
      </c>
      <c r="K4139">
        <f>Data!E4151</f>
        <v>0</v>
      </c>
      <c r="L4139">
        <f>Data!F4151</f>
        <v>0</v>
      </c>
      <c r="M4139">
        <f>Data!G4151</f>
        <v>0</v>
      </c>
      <c r="N4139">
        <f>Data!H4151</f>
        <v>0</v>
      </c>
      <c r="O4139">
        <f>Data!I4151</f>
        <v>0</v>
      </c>
      <c r="P4139" s="21">
        <f>Data!J4155</f>
        <v>0</v>
      </c>
      <c r="Q4139">
        <f>Data!K4155</f>
        <v>0</v>
      </c>
      <c r="R4139">
        <f>Data!L4155</f>
        <v>0</v>
      </c>
      <c r="S4139">
        <f>Data!M4155</f>
        <v>0</v>
      </c>
      <c r="T4139">
        <f>Data!N4155</f>
        <v>0</v>
      </c>
      <c r="U4139">
        <f>Data!O4155</f>
        <v>0</v>
      </c>
      <c r="V4139" s="33">
        <f>Data!P4153</f>
        <v>0</v>
      </c>
    </row>
    <row r="4140" spans="7:22" x14ac:dyDescent="0.25">
      <c r="G4140">
        <f>Data!B4152</f>
        <v>0</v>
      </c>
      <c r="H4140" s="21">
        <f>Data!B4152</f>
        <v>0</v>
      </c>
      <c r="I4140" s="21">
        <f>Data!C4152</f>
        <v>0</v>
      </c>
      <c r="J4140">
        <f>Data!D4152</f>
        <v>0</v>
      </c>
      <c r="K4140">
        <f>Data!E4152</f>
        <v>0</v>
      </c>
      <c r="L4140">
        <f>Data!F4152</f>
        <v>0</v>
      </c>
      <c r="M4140">
        <f>Data!G4152</f>
        <v>0</v>
      </c>
      <c r="N4140">
        <f>Data!H4152</f>
        <v>0</v>
      </c>
      <c r="O4140">
        <f>Data!I4152</f>
        <v>0</v>
      </c>
      <c r="P4140" s="21">
        <f>Data!J4156</f>
        <v>0</v>
      </c>
      <c r="Q4140">
        <f>Data!K4156</f>
        <v>0</v>
      </c>
      <c r="R4140">
        <f>Data!L4156</f>
        <v>0</v>
      </c>
      <c r="S4140">
        <f>Data!M4156</f>
        <v>0</v>
      </c>
      <c r="T4140">
        <f>Data!N4156</f>
        <v>0</v>
      </c>
      <c r="U4140">
        <f>Data!O4156</f>
        <v>0</v>
      </c>
      <c r="V4140" s="33">
        <f>Data!P4154</f>
        <v>0</v>
      </c>
    </row>
    <row r="4141" spans="7:22" x14ac:dyDescent="0.25">
      <c r="G4141">
        <f>Data!B4153</f>
        <v>0</v>
      </c>
      <c r="H4141" s="21">
        <f>Data!B4153</f>
        <v>0</v>
      </c>
      <c r="I4141" s="21">
        <f>Data!C4153</f>
        <v>0</v>
      </c>
      <c r="J4141">
        <f>Data!D4153</f>
        <v>0</v>
      </c>
      <c r="K4141">
        <f>Data!E4153</f>
        <v>0</v>
      </c>
      <c r="L4141">
        <f>Data!F4153</f>
        <v>0</v>
      </c>
      <c r="M4141">
        <f>Data!G4153</f>
        <v>0</v>
      </c>
      <c r="N4141">
        <f>Data!H4153</f>
        <v>0</v>
      </c>
      <c r="O4141">
        <f>Data!I4153</f>
        <v>0</v>
      </c>
      <c r="P4141" s="21">
        <f>Data!J4157</f>
        <v>0</v>
      </c>
      <c r="Q4141">
        <f>Data!K4157</f>
        <v>0</v>
      </c>
      <c r="R4141">
        <f>Data!L4157</f>
        <v>0</v>
      </c>
      <c r="S4141">
        <f>Data!M4157</f>
        <v>0</v>
      </c>
      <c r="T4141">
        <f>Data!N4157</f>
        <v>0</v>
      </c>
      <c r="U4141">
        <f>Data!O4157</f>
        <v>0</v>
      </c>
      <c r="V4141" s="33">
        <f>Data!P4155</f>
        <v>0</v>
      </c>
    </row>
    <row r="4142" spans="7:22" x14ac:dyDescent="0.25">
      <c r="G4142">
        <f>Data!B4154</f>
        <v>0</v>
      </c>
      <c r="H4142" s="21">
        <f>Data!B4154</f>
        <v>0</v>
      </c>
      <c r="I4142" s="21">
        <f>Data!C4154</f>
        <v>0</v>
      </c>
      <c r="J4142">
        <f>Data!D4154</f>
        <v>0</v>
      </c>
      <c r="K4142">
        <f>Data!E4154</f>
        <v>0</v>
      </c>
      <c r="L4142">
        <f>Data!F4154</f>
        <v>0</v>
      </c>
      <c r="M4142">
        <f>Data!G4154</f>
        <v>0</v>
      </c>
      <c r="N4142">
        <f>Data!H4154</f>
        <v>0</v>
      </c>
      <c r="O4142">
        <f>Data!I4154</f>
        <v>0</v>
      </c>
      <c r="P4142" s="21">
        <f>Data!J4158</f>
        <v>0</v>
      </c>
      <c r="Q4142">
        <f>Data!K4158</f>
        <v>0</v>
      </c>
      <c r="R4142">
        <f>Data!L4158</f>
        <v>0</v>
      </c>
      <c r="S4142">
        <f>Data!M4158</f>
        <v>0</v>
      </c>
      <c r="T4142">
        <f>Data!N4158</f>
        <v>0</v>
      </c>
      <c r="U4142">
        <f>Data!O4158</f>
        <v>0</v>
      </c>
      <c r="V4142" s="33">
        <f>Data!P4156</f>
        <v>0</v>
      </c>
    </row>
    <row r="4143" spans="7:22" x14ac:dyDescent="0.25">
      <c r="G4143">
        <f>Data!B4155</f>
        <v>0</v>
      </c>
      <c r="H4143" s="21">
        <f>Data!B4155</f>
        <v>0</v>
      </c>
      <c r="I4143" s="21">
        <f>Data!C4155</f>
        <v>0</v>
      </c>
      <c r="J4143">
        <f>Data!D4155</f>
        <v>0</v>
      </c>
      <c r="K4143">
        <f>Data!E4155</f>
        <v>0</v>
      </c>
      <c r="L4143">
        <f>Data!F4155</f>
        <v>0</v>
      </c>
      <c r="M4143">
        <f>Data!G4155</f>
        <v>0</v>
      </c>
      <c r="N4143">
        <f>Data!H4155</f>
        <v>0</v>
      </c>
      <c r="O4143">
        <f>Data!I4155</f>
        <v>0</v>
      </c>
      <c r="P4143" s="21">
        <f>Data!J4159</f>
        <v>0</v>
      </c>
      <c r="Q4143">
        <f>Data!K4159</f>
        <v>0</v>
      </c>
      <c r="R4143">
        <f>Data!L4159</f>
        <v>0</v>
      </c>
      <c r="S4143">
        <f>Data!M4159</f>
        <v>0</v>
      </c>
      <c r="T4143">
        <f>Data!N4159</f>
        <v>0</v>
      </c>
      <c r="U4143">
        <f>Data!O4159</f>
        <v>0</v>
      </c>
      <c r="V4143" s="33">
        <f>Data!P4157</f>
        <v>0</v>
      </c>
    </row>
    <row r="4144" spans="7:22" x14ac:dyDescent="0.25">
      <c r="G4144">
        <f>Data!B4156</f>
        <v>0</v>
      </c>
      <c r="H4144" s="21">
        <f>Data!B4156</f>
        <v>0</v>
      </c>
      <c r="I4144" s="21">
        <f>Data!C4156</f>
        <v>0</v>
      </c>
      <c r="J4144">
        <f>Data!D4156</f>
        <v>0</v>
      </c>
      <c r="K4144">
        <f>Data!E4156</f>
        <v>0</v>
      </c>
      <c r="L4144">
        <f>Data!F4156</f>
        <v>0</v>
      </c>
      <c r="M4144">
        <f>Data!G4156</f>
        <v>0</v>
      </c>
      <c r="N4144">
        <f>Data!H4156</f>
        <v>0</v>
      </c>
      <c r="O4144">
        <f>Data!I4156</f>
        <v>0</v>
      </c>
      <c r="P4144" s="21">
        <f>Data!J4160</f>
        <v>0</v>
      </c>
      <c r="Q4144">
        <f>Data!K4160</f>
        <v>0</v>
      </c>
      <c r="R4144">
        <f>Data!L4160</f>
        <v>0</v>
      </c>
      <c r="S4144">
        <f>Data!M4160</f>
        <v>0</v>
      </c>
      <c r="T4144">
        <f>Data!N4160</f>
        <v>0</v>
      </c>
      <c r="U4144">
        <f>Data!O4160</f>
        <v>0</v>
      </c>
      <c r="V4144" s="33">
        <f>Data!P4158</f>
        <v>0</v>
      </c>
    </row>
    <row r="4145" spans="7:22" x14ac:dyDescent="0.25">
      <c r="G4145">
        <f>Data!B4157</f>
        <v>0</v>
      </c>
      <c r="H4145" s="21">
        <f>Data!B4157</f>
        <v>0</v>
      </c>
      <c r="I4145" s="21">
        <f>Data!C4157</f>
        <v>0</v>
      </c>
      <c r="J4145">
        <f>Data!D4157</f>
        <v>0</v>
      </c>
      <c r="K4145">
        <f>Data!E4157</f>
        <v>0</v>
      </c>
      <c r="L4145">
        <f>Data!F4157</f>
        <v>0</v>
      </c>
      <c r="M4145">
        <f>Data!G4157</f>
        <v>0</v>
      </c>
      <c r="N4145">
        <f>Data!H4157</f>
        <v>0</v>
      </c>
      <c r="O4145">
        <f>Data!I4157</f>
        <v>0</v>
      </c>
      <c r="P4145" s="21">
        <f>Data!J4161</f>
        <v>0</v>
      </c>
      <c r="Q4145">
        <f>Data!K4161</f>
        <v>0</v>
      </c>
      <c r="R4145">
        <f>Data!L4161</f>
        <v>0</v>
      </c>
      <c r="S4145">
        <f>Data!M4161</f>
        <v>0</v>
      </c>
      <c r="T4145">
        <f>Data!N4161</f>
        <v>0</v>
      </c>
      <c r="U4145">
        <f>Data!O4161</f>
        <v>0</v>
      </c>
      <c r="V4145" s="33">
        <f>Data!P4159</f>
        <v>0</v>
      </c>
    </row>
    <row r="4146" spans="7:22" x14ac:dyDescent="0.25">
      <c r="G4146">
        <f>Data!B4158</f>
        <v>0</v>
      </c>
      <c r="H4146" s="21">
        <f>Data!B4158</f>
        <v>0</v>
      </c>
      <c r="I4146" s="21">
        <f>Data!C4158</f>
        <v>0</v>
      </c>
      <c r="J4146">
        <f>Data!D4158</f>
        <v>0</v>
      </c>
      <c r="K4146">
        <f>Data!E4158</f>
        <v>0</v>
      </c>
      <c r="L4146">
        <f>Data!F4158</f>
        <v>0</v>
      </c>
      <c r="M4146">
        <f>Data!G4158</f>
        <v>0</v>
      </c>
      <c r="N4146">
        <f>Data!H4158</f>
        <v>0</v>
      </c>
      <c r="O4146">
        <f>Data!I4158</f>
        <v>0</v>
      </c>
      <c r="P4146" s="21">
        <f>Data!J4162</f>
        <v>0</v>
      </c>
      <c r="Q4146">
        <f>Data!K4162</f>
        <v>0</v>
      </c>
      <c r="R4146">
        <f>Data!L4162</f>
        <v>0</v>
      </c>
      <c r="S4146">
        <f>Data!M4162</f>
        <v>0</v>
      </c>
      <c r="T4146">
        <f>Data!N4162</f>
        <v>0</v>
      </c>
      <c r="U4146">
        <f>Data!O4162</f>
        <v>0</v>
      </c>
      <c r="V4146" s="33">
        <f>Data!P4160</f>
        <v>0</v>
      </c>
    </row>
    <row r="4147" spans="7:22" x14ac:dyDescent="0.25">
      <c r="G4147">
        <f>Data!B4159</f>
        <v>0</v>
      </c>
      <c r="H4147" s="21">
        <f>Data!B4159</f>
        <v>0</v>
      </c>
      <c r="I4147" s="21">
        <f>Data!C4159</f>
        <v>0</v>
      </c>
      <c r="J4147">
        <f>Data!D4159</f>
        <v>0</v>
      </c>
      <c r="K4147">
        <f>Data!E4159</f>
        <v>0</v>
      </c>
      <c r="L4147">
        <f>Data!F4159</f>
        <v>0</v>
      </c>
      <c r="M4147">
        <f>Data!G4159</f>
        <v>0</v>
      </c>
      <c r="N4147">
        <f>Data!H4159</f>
        <v>0</v>
      </c>
      <c r="O4147">
        <f>Data!I4159</f>
        <v>0</v>
      </c>
      <c r="P4147" s="21">
        <f>Data!J4163</f>
        <v>0</v>
      </c>
      <c r="Q4147">
        <f>Data!K4163</f>
        <v>0</v>
      </c>
      <c r="R4147">
        <f>Data!L4163</f>
        <v>0</v>
      </c>
      <c r="S4147">
        <f>Data!M4163</f>
        <v>0</v>
      </c>
      <c r="T4147">
        <f>Data!N4163</f>
        <v>0</v>
      </c>
      <c r="U4147">
        <f>Data!O4163</f>
        <v>0</v>
      </c>
      <c r="V4147" s="33">
        <f>Data!P4161</f>
        <v>0</v>
      </c>
    </row>
    <row r="4148" spans="7:22" x14ac:dyDescent="0.25">
      <c r="G4148">
        <f>Data!B4160</f>
        <v>0</v>
      </c>
      <c r="H4148" s="21">
        <f>Data!B4160</f>
        <v>0</v>
      </c>
      <c r="I4148" s="21">
        <f>Data!C4160</f>
        <v>0</v>
      </c>
      <c r="J4148">
        <f>Data!D4160</f>
        <v>0</v>
      </c>
      <c r="K4148">
        <f>Data!E4160</f>
        <v>0</v>
      </c>
      <c r="L4148">
        <f>Data!F4160</f>
        <v>0</v>
      </c>
      <c r="M4148">
        <f>Data!G4160</f>
        <v>0</v>
      </c>
      <c r="N4148">
        <f>Data!H4160</f>
        <v>0</v>
      </c>
      <c r="O4148">
        <f>Data!I4160</f>
        <v>0</v>
      </c>
      <c r="P4148" s="21">
        <f>Data!J4164</f>
        <v>0</v>
      </c>
      <c r="Q4148">
        <f>Data!K4164</f>
        <v>0</v>
      </c>
      <c r="R4148">
        <f>Data!L4164</f>
        <v>0</v>
      </c>
      <c r="S4148">
        <f>Data!M4164</f>
        <v>0</v>
      </c>
      <c r="T4148">
        <f>Data!N4164</f>
        <v>0</v>
      </c>
      <c r="U4148">
        <f>Data!O4164</f>
        <v>0</v>
      </c>
      <c r="V4148" s="33">
        <f>Data!P4162</f>
        <v>0</v>
      </c>
    </row>
    <row r="4149" spans="7:22" x14ac:dyDescent="0.25">
      <c r="G4149">
        <f>Data!B4161</f>
        <v>0</v>
      </c>
      <c r="H4149" s="21">
        <f>Data!B4161</f>
        <v>0</v>
      </c>
      <c r="I4149" s="21">
        <f>Data!C4161</f>
        <v>0</v>
      </c>
      <c r="J4149">
        <f>Data!D4161</f>
        <v>0</v>
      </c>
      <c r="K4149">
        <f>Data!E4161</f>
        <v>0</v>
      </c>
      <c r="L4149">
        <f>Data!F4161</f>
        <v>0</v>
      </c>
      <c r="M4149">
        <f>Data!G4161</f>
        <v>0</v>
      </c>
      <c r="N4149">
        <f>Data!H4161</f>
        <v>0</v>
      </c>
      <c r="O4149">
        <f>Data!I4161</f>
        <v>0</v>
      </c>
      <c r="P4149" s="21">
        <f>Data!J4165</f>
        <v>0</v>
      </c>
      <c r="Q4149">
        <f>Data!K4165</f>
        <v>0</v>
      </c>
      <c r="R4149">
        <f>Data!L4165</f>
        <v>0</v>
      </c>
      <c r="S4149">
        <f>Data!M4165</f>
        <v>0</v>
      </c>
      <c r="T4149">
        <f>Data!N4165</f>
        <v>0</v>
      </c>
      <c r="U4149">
        <f>Data!O4165</f>
        <v>0</v>
      </c>
      <c r="V4149" s="33">
        <f>Data!P4163</f>
        <v>0</v>
      </c>
    </row>
    <row r="4150" spans="7:22" x14ac:dyDescent="0.25">
      <c r="G4150">
        <f>Data!B4162</f>
        <v>0</v>
      </c>
      <c r="H4150" s="21">
        <f>Data!B4162</f>
        <v>0</v>
      </c>
      <c r="I4150" s="21">
        <f>Data!C4162</f>
        <v>0</v>
      </c>
      <c r="J4150">
        <f>Data!D4162</f>
        <v>0</v>
      </c>
      <c r="K4150">
        <f>Data!E4162</f>
        <v>0</v>
      </c>
      <c r="L4150">
        <f>Data!F4162</f>
        <v>0</v>
      </c>
      <c r="M4150">
        <f>Data!G4162</f>
        <v>0</v>
      </c>
      <c r="N4150">
        <f>Data!H4162</f>
        <v>0</v>
      </c>
      <c r="O4150">
        <f>Data!I4162</f>
        <v>0</v>
      </c>
      <c r="P4150" s="21">
        <f>Data!J4166</f>
        <v>0</v>
      </c>
      <c r="Q4150">
        <f>Data!K4166</f>
        <v>0</v>
      </c>
      <c r="R4150">
        <f>Data!L4166</f>
        <v>0</v>
      </c>
      <c r="S4150">
        <f>Data!M4166</f>
        <v>0</v>
      </c>
      <c r="T4150">
        <f>Data!N4166</f>
        <v>0</v>
      </c>
      <c r="U4150">
        <f>Data!O4166</f>
        <v>0</v>
      </c>
      <c r="V4150" s="33">
        <f>Data!P4164</f>
        <v>0</v>
      </c>
    </row>
    <row r="4151" spans="7:22" x14ac:dyDescent="0.25">
      <c r="G4151">
        <f>Data!B4163</f>
        <v>0</v>
      </c>
      <c r="H4151" s="21">
        <f>Data!B4163</f>
        <v>0</v>
      </c>
      <c r="I4151" s="21">
        <f>Data!C4163</f>
        <v>0</v>
      </c>
      <c r="J4151">
        <f>Data!D4163</f>
        <v>0</v>
      </c>
      <c r="K4151">
        <f>Data!E4163</f>
        <v>0</v>
      </c>
      <c r="L4151">
        <f>Data!F4163</f>
        <v>0</v>
      </c>
      <c r="M4151">
        <f>Data!G4163</f>
        <v>0</v>
      </c>
      <c r="N4151">
        <f>Data!H4163</f>
        <v>0</v>
      </c>
      <c r="O4151">
        <f>Data!I4163</f>
        <v>0</v>
      </c>
      <c r="P4151" s="21">
        <f>Data!J4167</f>
        <v>0</v>
      </c>
      <c r="Q4151">
        <f>Data!K4167</f>
        <v>0</v>
      </c>
      <c r="R4151">
        <f>Data!L4167</f>
        <v>0</v>
      </c>
      <c r="S4151">
        <f>Data!M4167</f>
        <v>0</v>
      </c>
      <c r="T4151">
        <f>Data!N4167</f>
        <v>0</v>
      </c>
      <c r="U4151">
        <f>Data!O4167</f>
        <v>0</v>
      </c>
      <c r="V4151" s="33">
        <f>Data!P4165</f>
        <v>0</v>
      </c>
    </row>
    <row r="4152" spans="7:22" x14ac:dyDescent="0.25">
      <c r="G4152">
        <f>Data!B4164</f>
        <v>0</v>
      </c>
      <c r="H4152" s="21">
        <f>Data!B4164</f>
        <v>0</v>
      </c>
      <c r="I4152" s="21">
        <f>Data!C4164</f>
        <v>0</v>
      </c>
      <c r="J4152">
        <f>Data!D4164</f>
        <v>0</v>
      </c>
      <c r="K4152">
        <f>Data!E4164</f>
        <v>0</v>
      </c>
      <c r="L4152">
        <f>Data!F4164</f>
        <v>0</v>
      </c>
      <c r="M4152">
        <f>Data!G4164</f>
        <v>0</v>
      </c>
      <c r="N4152">
        <f>Data!H4164</f>
        <v>0</v>
      </c>
      <c r="O4152">
        <f>Data!I4164</f>
        <v>0</v>
      </c>
      <c r="P4152" s="21">
        <f>Data!J4168</f>
        <v>0</v>
      </c>
      <c r="Q4152">
        <f>Data!K4168</f>
        <v>0</v>
      </c>
      <c r="R4152">
        <f>Data!L4168</f>
        <v>0</v>
      </c>
      <c r="S4152">
        <f>Data!M4168</f>
        <v>0</v>
      </c>
      <c r="T4152">
        <f>Data!N4168</f>
        <v>0</v>
      </c>
      <c r="U4152">
        <f>Data!O4168</f>
        <v>0</v>
      </c>
      <c r="V4152" s="33">
        <f>Data!P4166</f>
        <v>0</v>
      </c>
    </row>
    <row r="4153" spans="7:22" x14ac:dyDescent="0.25">
      <c r="G4153">
        <f>Data!B4165</f>
        <v>0</v>
      </c>
      <c r="H4153" s="21">
        <f>Data!B4165</f>
        <v>0</v>
      </c>
      <c r="I4153" s="21">
        <f>Data!C4165</f>
        <v>0</v>
      </c>
      <c r="J4153">
        <f>Data!D4165</f>
        <v>0</v>
      </c>
      <c r="K4153">
        <f>Data!E4165</f>
        <v>0</v>
      </c>
      <c r="L4153">
        <f>Data!F4165</f>
        <v>0</v>
      </c>
      <c r="M4153">
        <f>Data!G4165</f>
        <v>0</v>
      </c>
      <c r="N4153">
        <f>Data!H4165</f>
        <v>0</v>
      </c>
      <c r="O4153">
        <f>Data!I4165</f>
        <v>0</v>
      </c>
      <c r="P4153" s="21">
        <f>Data!J4169</f>
        <v>0</v>
      </c>
      <c r="Q4153">
        <f>Data!K4169</f>
        <v>0</v>
      </c>
      <c r="R4153">
        <f>Data!L4169</f>
        <v>0</v>
      </c>
      <c r="S4153">
        <f>Data!M4169</f>
        <v>0</v>
      </c>
      <c r="T4153">
        <f>Data!N4169</f>
        <v>0</v>
      </c>
      <c r="U4153">
        <f>Data!O4169</f>
        <v>0</v>
      </c>
      <c r="V4153" s="33">
        <f>Data!P4167</f>
        <v>0</v>
      </c>
    </row>
    <row r="4154" spans="7:22" x14ac:dyDescent="0.25">
      <c r="G4154">
        <f>Data!B4166</f>
        <v>0</v>
      </c>
      <c r="H4154" s="21">
        <f>Data!B4166</f>
        <v>0</v>
      </c>
      <c r="I4154" s="21">
        <f>Data!C4166</f>
        <v>0</v>
      </c>
      <c r="J4154">
        <f>Data!D4166</f>
        <v>0</v>
      </c>
      <c r="K4154">
        <f>Data!E4166</f>
        <v>0</v>
      </c>
      <c r="L4154">
        <f>Data!F4166</f>
        <v>0</v>
      </c>
      <c r="M4154">
        <f>Data!G4166</f>
        <v>0</v>
      </c>
      <c r="N4154">
        <f>Data!H4166</f>
        <v>0</v>
      </c>
      <c r="O4154">
        <f>Data!I4166</f>
        <v>0</v>
      </c>
      <c r="P4154" s="21">
        <f>Data!J4170</f>
        <v>0</v>
      </c>
      <c r="Q4154">
        <f>Data!K4170</f>
        <v>0</v>
      </c>
      <c r="R4154">
        <f>Data!L4170</f>
        <v>0</v>
      </c>
      <c r="S4154">
        <f>Data!M4170</f>
        <v>0</v>
      </c>
      <c r="T4154">
        <f>Data!N4170</f>
        <v>0</v>
      </c>
      <c r="U4154">
        <f>Data!O4170</f>
        <v>0</v>
      </c>
      <c r="V4154" s="33">
        <f>Data!P4168</f>
        <v>0</v>
      </c>
    </row>
    <row r="4155" spans="7:22" x14ac:dyDescent="0.25">
      <c r="G4155">
        <f>Data!B4167</f>
        <v>0</v>
      </c>
      <c r="H4155" s="21">
        <f>Data!B4167</f>
        <v>0</v>
      </c>
      <c r="I4155" s="21">
        <f>Data!C4167</f>
        <v>0</v>
      </c>
      <c r="J4155">
        <f>Data!D4167</f>
        <v>0</v>
      </c>
      <c r="K4155">
        <f>Data!E4167</f>
        <v>0</v>
      </c>
      <c r="L4155">
        <f>Data!F4167</f>
        <v>0</v>
      </c>
      <c r="M4155">
        <f>Data!G4167</f>
        <v>0</v>
      </c>
      <c r="N4155">
        <f>Data!H4167</f>
        <v>0</v>
      </c>
      <c r="O4155">
        <f>Data!I4167</f>
        <v>0</v>
      </c>
      <c r="P4155" s="21">
        <f>Data!J4171</f>
        <v>0</v>
      </c>
      <c r="Q4155">
        <f>Data!K4171</f>
        <v>0</v>
      </c>
      <c r="R4155">
        <f>Data!L4171</f>
        <v>0</v>
      </c>
      <c r="S4155">
        <f>Data!M4171</f>
        <v>0</v>
      </c>
      <c r="T4155">
        <f>Data!N4171</f>
        <v>0</v>
      </c>
      <c r="U4155">
        <f>Data!O4171</f>
        <v>0</v>
      </c>
      <c r="V4155" s="33">
        <f>Data!P4169</f>
        <v>0</v>
      </c>
    </row>
    <row r="4156" spans="7:22" x14ac:dyDescent="0.25">
      <c r="G4156">
        <f>Data!B4168</f>
        <v>0</v>
      </c>
      <c r="H4156" s="21">
        <f>Data!B4168</f>
        <v>0</v>
      </c>
      <c r="I4156" s="21">
        <f>Data!C4168</f>
        <v>0</v>
      </c>
      <c r="J4156">
        <f>Data!D4168</f>
        <v>0</v>
      </c>
      <c r="K4156">
        <f>Data!E4168</f>
        <v>0</v>
      </c>
      <c r="L4156">
        <f>Data!F4168</f>
        <v>0</v>
      </c>
      <c r="M4156">
        <f>Data!G4168</f>
        <v>0</v>
      </c>
      <c r="N4156">
        <f>Data!H4168</f>
        <v>0</v>
      </c>
      <c r="O4156">
        <f>Data!I4168</f>
        <v>0</v>
      </c>
      <c r="P4156" s="21">
        <f>Data!J4172</f>
        <v>0</v>
      </c>
      <c r="Q4156">
        <f>Data!K4172</f>
        <v>0</v>
      </c>
      <c r="R4156">
        <f>Data!L4172</f>
        <v>0</v>
      </c>
      <c r="S4156">
        <f>Data!M4172</f>
        <v>0</v>
      </c>
      <c r="T4156">
        <f>Data!N4172</f>
        <v>0</v>
      </c>
      <c r="U4156">
        <f>Data!O4172</f>
        <v>0</v>
      </c>
      <c r="V4156" s="33">
        <f>Data!P4170</f>
        <v>0</v>
      </c>
    </row>
    <row r="4157" spans="7:22" x14ac:dyDescent="0.25">
      <c r="G4157">
        <f>Data!B4169</f>
        <v>0</v>
      </c>
      <c r="H4157" s="21">
        <f>Data!B4169</f>
        <v>0</v>
      </c>
      <c r="I4157" s="21">
        <f>Data!C4169</f>
        <v>0</v>
      </c>
      <c r="J4157">
        <f>Data!D4169</f>
        <v>0</v>
      </c>
      <c r="K4157">
        <f>Data!E4169</f>
        <v>0</v>
      </c>
      <c r="L4157">
        <f>Data!F4169</f>
        <v>0</v>
      </c>
      <c r="M4157">
        <f>Data!G4169</f>
        <v>0</v>
      </c>
      <c r="N4157">
        <f>Data!H4169</f>
        <v>0</v>
      </c>
      <c r="O4157">
        <f>Data!I4169</f>
        <v>0</v>
      </c>
      <c r="P4157" s="21">
        <f>Data!J4173</f>
        <v>0</v>
      </c>
      <c r="Q4157">
        <f>Data!K4173</f>
        <v>0</v>
      </c>
      <c r="R4157">
        <f>Data!L4173</f>
        <v>0</v>
      </c>
      <c r="S4157">
        <f>Data!M4173</f>
        <v>0</v>
      </c>
      <c r="T4157">
        <f>Data!N4173</f>
        <v>0</v>
      </c>
      <c r="U4157">
        <f>Data!O4173</f>
        <v>0</v>
      </c>
      <c r="V4157" s="33">
        <f>Data!P4171</f>
        <v>0</v>
      </c>
    </row>
    <row r="4158" spans="7:22" x14ac:dyDescent="0.25">
      <c r="G4158">
        <f>Data!B4170</f>
        <v>0</v>
      </c>
      <c r="H4158" s="21">
        <f>Data!B4170</f>
        <v>0</v>
      </c>
      <c r="I4158" s="21">
        <f>Data!C4170</f>
        <v>0</v>
      </c>
      <c r="J4158">
        <f>Data!D4170</f>
        <v>0</v>
      </c>
      <c r="K4158">
        <f>Data!E4170</f>
        <v>0</v>
      </c>
      <c r="L4158">
        <f>Data!F4170</f>
        <v>0</v>
      </c>
      <c r="M4158">
        <f>Data!G4170</f>
        <v>0</v>
      </c>
      <c r="N4158">
        <f>Data!H4170</f>
        <v>0</v>
      </c>
      <c r="O4158">
        <f>Data!I4170</f>
        <v>0</v>
      </c>
      <c r="P4158" s="21">
        <f>Data!J4174</f>
        <v>0</v>
      </c>
      <c r="Q4158">
        <f>Data!K4174</f>
        <v>0</v>
      </c>
      <c r="R4158">
        <f>Data!L4174</f>
        <v>0</v>
      </c>
      <c r="S4158">
        <f>Data!M4174</f>
        <v>0</v>
      </c>
      <c r="T4158">
        <f>Data!N4174</f>
        <v>0</v>
      </c>
      <c r="U4158">
        <f>Data!O4174</f>
        <v>0</v>
      </c>
      <c r="V4158" s="33">
        <f>Data!P4172</f>
        <v>0</v>
      </c>
    </row>
    <row r="4159" spans="7:22" x14ac:dyDescent="0.25">
      <c r="G4159">
        <f>Data!B4171</f>
        <v>0</v>
      </c>
      <c r="H4159" s="21">
        <f>Data!B4171</f>
        <v>0</v>
      </c>
      <c r="I4159" s="21">
        <f>Data!C4171</f>
        <v>0</v>
      </c>
      <c r="J4159">
        <f>Data!D4171</f>
        <v>0</v>
      </c>
      <c r="K4159">
        <f>Data!E4171</f>
        <v>0</v>
      </c>
      <c r="L4159">
        <f>Data!F4171</f>
        <v>0</v>
      </c>
      <c r="M4159">
        <f>Data!G4171</f>
        <v>0</v>
      </c>
      <c r="N4159">
        <f>Data!H4171</f>
        <v>0</v>
      </c>
      <c r="O4159">
        <f>Data!I4171</f>
        <v>0</v>
      </c>
      <c r="P4159" s="21">
        <f>Data!J4175</f>
        <v>0</v>
      </c>
      <c r="Q4159">
        <f>Data!K4175</f>
        <v>0</v>
      </c>
      <c r="R4159">
        <f>Data!L4175</f>
        <v>0</v>
      </c>
      <c r="S4159">
        <f>Data!M4175</f>
        <v>0</v>
      </c>
      <c r="T4159">
        <f>Data!N4175</f>
        <v>0</v>
      </c>
      <c r="U4159">
        <f>Data!O4175</f>
        <v>0</v>
      </c>
      <c r="V4159" s="33">
        <f>Data!P4173</f>
        <v>0</v>
      </c>
    </row>
    <row r="4160" spans="7:22" x14ac:dyDescent="0.25">
      <c r="G4160">
        <f>Data!B4172</f>
        <v>0</v>
      </c>
      <c r="H4160" s="21">
        <f>Data!B4172</f>
        <v>0</v>
      </c>
      <c r="I4160" s="21">
        <f>Data!C4172</f>
        <v>0</v>
      </c>
      <c r="J4160">
        <f>Data!D4172</f>
        <v>0</v>
      </c>
      <c r="K4160">
        <f>Data!E4172</f>
        <v>0</v>
      </c>
      <c r="L4160">
        <f>Data!F4172</f>
        <v>0</v>
      </c>
      <c r="M4160">
        <f>Data!G4172</f>
        <v>0</v>
      </c>
      <c r="N4160">
        <f>Data!H4172</f>
        <v>0</v>
      </c>
      <c r="O4160">
        <f>Data!I4172</f>
        <v>0</v>
      </c>
      <c r="P4160" s="21">
        <f>Data!J4176</f>
        <v>0</v>
      </c>
      <c r="Q4160">
        <f>Data!K4176</f>
        <v>0</v>
      </c>
      <c r="R4160">
        <f>Data!L4176</f>
        <v>0</v>
      </c>
      <c r="S4160">
        <f>Data!M4176</f>
        <v>0</v>
      </c>
      <c r="T4160">
        <f>Data!N4176</f>
        <v>0</v>
      </c>
      <c r="U4160">
        <f>Data!O4176</f>
        <v>0</v>
      </c>
      <c r="V4160" s="33">
        <f>Data!P4174</f>
        <v>0</v>
      </c>
    </row>
    <row r="4161" spans="7:22" x14ac:dyDescent="0.25">
      <c r="G4161">
        <f>Data!B4173</f>
        <v>0</v>
      </c>
      <c r="H4161" s="21">
        <f>Data!B4173</f>
        <v>0</v>
      </c>
      <c r="I4161" s="21">
        <f>Data!C4173</f>
        <v>0</v>
      </c>
      <c r="J4161">
        <f>Data!D4173</f>
        <v>0</v>
      </c>
      <c r="K4161">
        <f>Data!E4173</f>
        <v>0</v>
      </c>
      <c r="L4161">
        <f>Data!F4173</f>
        <v>0</v>
      </c>
      <c r="M4161">
        <f>Data!G4173</f>
        <v>0</v>
      </c>
      <c r="N4161">
        <f>Data!H4173</f>
        <v>0</v>
      </c>
      <c r="O4161">
        <f>Data!I4173</f>
        <v>0</v>
      </c>
      <c r="P4161" s="21">
        <f>Data!J4177</f>
        <v>0</v>
      </c>
      <c r="Q4161">
        <f>Data!K4177</f>
        <v>0</v>
      </c>
      <c r="R4161">
        <f>Data!L4177</f>
        <v>0</v>
      </c>
      <c r="S4161">
        <f>Data!M4177</f>
        <v>0</v>
      </c>
      <c r="T4161">
        <f>Data!N4177</f>
        <v>0</v>
      </c>
      <c r="U4161">
        <f>Data!O4177</f>
        <v>0</v>
      </c>
      <c r="V4161" s="33">
        <f>Data!P4175</f>
        <v>0</v>
      </c>
    </row>
    <row r="4162" spans="7:22" x14ac:dyDescent="0.25">
      <c r="G4162">
        <f>Data!B4174</f>
        <v>0</v>
      </c>
      <c r="H4162" s="21">
        <f>Data!B4174</f>
        <v>0</v>
      </c>
      <c r="I4162" s="21">
        <f>Data!C4174</f>
        <v>0</v>
      </c>
      <c r="J4162">
        <f>Data!D4174</f>
        <v>0</v>
      </c>
      <c r="K4162">
        <f>Data!E4174</f>
        <v>0</v>
      </c>
      <c r="L4162">
        <f>Data!F4174</f>
        <v>0</v>
      </c>
      <c r="M4162">
        <f>Data!G4174</f>
        <v>0</v>
      </c>
      <c r="N4162">
        <f>Data!H4174</f>
        <v>0</v>
      </c>
      <c r="O4162">
        <f>Data!I4174</f>
        <v>0</v>
      </c>
      <c r="P4162" s="21">
        <f>Data!J4178</f>
        <v>0</v>
      </c>
      <c r="Q4162">
        <f>Data!K4178</f>
        <v>0</v>
      </c>
      <c r="R4162">
        <f>Data!L4178</f>
        <v>0</v>
      </c>
      <c r="S4162">
        <f>Data!M4178</f>
        <v>0</v>
      </c>
      <c r="T4162">
        <f>Data!N4178</f>
        <v>0</v>
      </c>
      <c r="U4162">
        <f>Data!O4178</f>
        <v>0</v>
      </c>
      <c r="V4162" s="33">
        <f>Data!P4176</f>
        <v>0</v>
      </c>
    </row>
    <row r="4163" spans="7:22" x14ac:dyDescent="0.25">
      <c r="G4163">
        <f>Data!B4175</f>
        <v>0</v>
      </c>
      <c r="H4163" s="21">
        <f>Data!B4175</f>
        <v>0</v>
      </c>
      <c r="I4163" s="21">
        <f>Data!C4175</f>
        <v>0</v>
      </c>
      <c r="J4163">
        <f>Data!D4175</f>
        <v>0</v>
      </c>
      <c r="K4163">
        <f>Data!E4175</f>
        <v>0</v>
      </c>
      <c r="L4163">
        <f>Data!F4175</f>
        <v>0</v>
      </c>
      <c r="M4163">
        <f>Data!G4175</f>
        <v>0</v>
      </c>
      <c r="N4163">
        <f>Data!H4175</f>
        <v>0</v>
      </c>
      <c r="O4163">
        <f>Data!I4175</f>
        <v>0</v>
      </c>
      <c r="P4163" s="21">
        <f>Data!J4179</f>
        <v>0</v>
      </c>
      <c r="Q4163">
        <f>Data!K4179</f>
        <v>0</v>
      </c>
      <c r="R4163">
        <f>Data!L4179</f>
        <v>0</v>
      </c>
      <c r="S4163">
        <f>Data!M4179</f>
        <v>0</v>
      </c>
      <c r="T4163">
        <f>Data!N4179</f>
        <v>0</v>
      </c>
      <c r="U4163">
        <f>Data!O4179</f>
        <v>0</v>
      </c>
      <c r="V4163" s="33">
        <f>Data!P4177</f>
        <v>0</v>
      </c>
    </row>
    <row r="4164" spans="7:22" x14ac:dyDescent="0.25">
      <c r="G4164">
        <f>Data!B4176</f>
        <v>0</v>
      </c>
      <c r="H4164" s="21">
        <f>Data!B4176</f>
        <v>0</v>
      </c>
      <c r="I4164" s="21">
        <f>Data!C4176</f>
        <v>0</v>
      </c>
      <c r="J4164">
        <f>Data!D4176</f>
        <v>0</v>
      </c>
      <c r="K4164">
        <f>Data!E4176</f>
        <v>0</v>
      </c>
      <c r="L4164">
        <f>Data!F4176</f>
        <v>0</v>
      </c>
      <c r="M4164">
        <f>Data!G4176</f>
        <v>0</v>
      </c>
      <c r="N4164">
        <f>Data!H4176</f>
        <v>0</v>
      </c>
      <c r="O4164">
        <f>Data!I4176</f>
        <v>0</v>
      </c>
      <c r="P4164" s="21">
        <f>Data!J4180</f>
        <v>0</v>
      </c>
      <c r="Q4164">
        <f>Data!K4180</f>
        <v>0</v>
      </c>
      <c r="R4164">
        <f>Data!L4180</f>
        <v>0</v>
      </c>
      <c r="S4164">
        <f>Data!M4180</f>
        <v>0</v>
      </c>
      <c r="T4164">
        <f>Data!N4180</f>
        <v>0</v>
      </c>
      <c r="U4164">
        <f>Data!O4180</f>
        <v>0</v>
      </c>
      <c r="V4164" s="33">
        <f>Data!P4178</f>
        <v>0</v>
      </c>
    </row>
    <row r="4165" spans="7:22" x14ac:dyDescent="0.25">
      <c r="G4165">
        <f>Data!B4177</f>
        <v>0</v>
      </c>
      <c r="H4165" s="21">
        <f>Data!B4177</f>
        <v>0</v>
      </c>
      <c r="I4165" s="21">
        <f>Data!C4177</f>
        <v>0</v>
      </c>
      <c r="J4165">
        <f>Data!D4177</f>
        <v>0</v>
      </c>
      <c r="K4165">
        <f>Data!E4177</f>
        <v>0</v>
      </c>
      <c r="L4165">
        <f>Data!F4177</f>
        <v>0</v>
      </c>
      <c r="M4165">
        <f>Data!G4177</f>
        <v>0</v>
      </c>
      <c r="N4165">
        <f>Data!H4177</f>
        <v>0</v>
      </c>
      <c r="O4165">
        <f>Data!I4177</f>
        <v>0</v>
      </c>
      <c r="P4165" s="21">
        <f>Data!J4181</f>
        <v>0</v>
      </c>
      <c r="Q4165">
        <f>Data!K4181</f>
        <v>0</v>
      </c>
      <c r="R4165">
        <f>Data!L4181</f>
        <v>0</v>
      </c>
      <c r="S4165">
        <f>Data!M4181</f>
        <v>0</v>
      </c>
      <c r="T4165">
        <f>Data!N4181</f>
        <v>0</v>
      </c>
      <c r="U4165">
        <f>Data!O4181</f>
        <v>0</v>
      </c>
      <c r="V4165" s="33">
        <f>Data!P4179</f>
        <v>0</v>
      </c>
    </row>
    <row r="4166" spans="7:22" x14ac:dyDescent="0.25">
      <c r="G4166">
        <f>Data!B4178</f>
        <v>0</v>
      </c>
      <c r="H4166" s="21">
        <f>Data!B4178</f>
        <v>0</v>
      </c>
      <c r="I4166" s="21">
        <f>Data!C4178</f>
        <v>0</v>
      </c>
      <c r="J4166">
        <f>Data!D4178</f>
        <v>0</v>
      </c>
      <c r="K4166">
        <f>Data!E4178</f>
        <v>0</v>
      </c>
      <c r="L4166">
        <f>Data!F4178</f>
        <v>0</v>
      </c>
      <c r="M4166">
        <f>Data!G4178</f>
        <v>0</v>
      </c>
      <c r="N4166">
        <f>Data!H4178</f>
        <v>0</v>
      </c>
      <c r="O4166">
        <f>Data!I4178</f>
        <v>0</v>
      </c>
      <c r="P4166" s="21">
        <f>Data!J4182</f>
        <v>0</v>
      </c>
      <c r="Q4166">
        <f>Data!K4182</f>
        <v>0</v>
      </c>
      <c r="R4166">
        <f>Data!L4182</f>
        <v>0</v>
      </c>
      <c r="S4166">
        <f>Data!M4182</f>
        <v>0</v>
      </c>
      <c r="T4166">
        <f>Data!N4182</f>
        <v>0</v>
      </c>
      <c r="U4166">
        <f>Data!O4182</f>
        <v>0</v>
      </c>
      <c r="V4166" s="33">
        <f>Data!P4180</f>
        <v>0</v>
      </c>
    </row>
    <row r="4167" spans="7:22" x14ac:dyDescent="0.25">
      <c r="G4167">
        <f>Data!B4179</f>
        <v>0</v>
      </c>
      <c r="H4167" s="21">
        <f>Data!B4179</f>
        <v>0</v>
      </c>
      <c r="I4167" s="21">
        <f>Data!C4179</f>
        <v>0</v>
      </c>
      <c r="J4167">
        <f>Data!D4179</f>
        <v>0</v>
      </c>
      <c r="K4167">
        <f>Data!E4179</f>
        <v>0</v>
      </c>
      <c r="L4167">
        <f>Data!F4179</f>
        <v>0</v>
      </c>
      <c r="M4167">
        <f>Data!G4179</f>
        <v>0</v>
      </c>
      <c r="N4167">
        <f>Data!H4179</f>
        <v>0</v>
      </c>
      <c r="O4167">
        <f>Data!I4179</f>
        <v>0</v>
      </c>
      <c r="P4167" s="21">
        <f>Data!J4183</f>
        <v>0</v>
      </c>
      <c r="Q4167">
        <f>Data!K4183</f>
        <v>0</v>
      </c>
      <c r="R4167">
        <f>Data!L4183</f>
        <v>0</v>
      </c>
      <c r="S4167">
        <f>Data!M4183</f>
        <v>0</v>
      </c>
      <c r="T4167">
        <f>Data!N4183</f>
        <v>0</v>
      </c>
      <c r="U4167">
        <f>Data!O4183</f>
        <v>0</v>
      </c>
      <c r="V4167" s="33">
        <f>Data!P4181</f>
        <v>0</v>
      </c>
    </row>
    <row r="4168" spans="7:22" x14ac:dyDescent="0.25">
      <c r="G4168">
        <f>Data!B4180</f>
        <v>0</v>
      </c>
      <c r="H4168" s="21">
        <f>Data!B4180</f>
        <v>0</v>
      </c>
      <c r="I4168" s="21">
        <f>Data!C4180</f>
        <v>0</v>
      </c>
      <c r="J4168">
        <f>Data!D4180</f>
        <v>0</v>
      </c>
      <c r="K4168">
        <f>Data!E4180</f>
        <v>0</v>
      </c>
      <c r="L4168">
        <f>Data!F4180</f>
        <v>0</v>
      </c>
      <c r="M4168">
        <f>Data!G4180</f>
        <v>0</v>
      </c>
      <c r="N4168">
        <f>Data!H4180</f>
        <v>0</v>
      </c>
      <c r="O4168">
        <f>Data!I4180</f>
        <v>0</v>
      </c>
      <c r="P4168" s="21">
        <f>Data!J4184</f>
        <v>0</v>
      </c>
      <c r="Q4168">
        <f>Data!K4184</f>
        <v>0</v>
      </c>
      <c r="R4168">
        <f>Data!L4184</f>
        <v>0</v>
      </c>
      <c r="S4168">
        <f>Data!M4184</f>
        <v>0</v>
      </c>
      <c r="T4168">
        <f>Data!N4184</f>
        <v>0</v>
      </c>
      <c r="U4168">
        <f>Data!O4184</f>
        <v>0</v>
      </c>
      <c r="V4168" s="33">
        <f>Data!P4182</f>
        <v>0</v>
      </c>
    </row>
    <row r="4169" spans="7:22" x14ac:dyDescent="0.25">
      <c r="G4169">
        <f>Data!B4181</f>
        <v>0</v>
      </c>
      <c r="H4169" s="21">
        <f>Data!B4181</f>
        <v>0</v>
      </c>
      <c r="I4169" s="21">
        <f>Data!C4181</f>
        <v>0</v>
      </c>
      <c r="J4169">
        <f>Data!D4181</f>
        <v>0</v>
      </c>
      <c r="K4169">
        <f>Data!E4181</f>
        <v>0</v>
      </c>
      <c r="L4169">
        <f>Data!F4181</f>
        <v>0</v>
      </c>
      <c r="M4169">
        <f>Data!G4181</f>
        <v>0</v>
      </c>
      <c r="N4169">
        <f>Data!H4181</f>
        <v>0</v>
      </c>
      <c r="O4169">
        <f>Data!I4181</f>
        <v>0</v>
      </c>
      <c r="P4169" s="21">
        <f>Data!J4185</f>
        <v>0</v>
      </c>
      <c r="Q4169">
        <f>Data!K4185</f>
        <v>0</v>
      </c>
      <c r="R4169">
        <f>Data!L4185</f>
        <v>0</v>
      </c>
      <c r="S4169">
        <f>Data!M4185</f>
        <v>0</v>
      </c>
      <c r="T4169">
        <f>Data!N4185</f>
        <v>0</v>
      </c>
      <c r="U4169">
        <f>Data!O4185</f>
        <v>0</v>
      </c>
      <c r="V4169" s="33">
        <f>Data!P4183</f>
        <v>0</v>
      </c>
    </row>
    <row r="4170" spans="7:22" x14ac:dyDescent="0.25">
      <c r="G4170">
        <f>Data!B4182</f>
        <v>0</v>
      </c>
      <c r="H4170" s="21">
        <f>Data!B4182</f>
        <v>0</v>
      </c>
      <c r="I4170" s="21">
        <f>Data!C4182</f>
        <v>0</v>
      </c>
      <c r="J4170">
        <f>Data!D4182</f>
        <v>0</v>
      </c>
      <c r="K4170">
        <f>Data!E4182</f>
        <v>0</v>
      </c>
      <c r="L4170">
        <f>Data!F4182</f>
        <v>0</v>
      </c>
      <c r="M4170">
        <f>Data!G4182</f>
        <v>0</v>
      </c>
      <c r="N4170">
        <f>Data!H4182</f>
        <v>0</v>
      </c>
      <c r="O4170">
        <f>Data!I4182</f>
        <v>0</v>
      </c>
      <c r="P4170" s="21">
        <f>Data!J4186</f>
        <v>0</v>
      </c>
      <c r="Q4170">
        <f>Data!K4186</f>
        <v>0</v>
      </c>
      <c r="R4170">
        <f>Data!L4186</f>
        <v>0</v>
      </c>
      <c r="S4170">
        <f>Data!M4186</f>
        <v>0</v>
      </c>
      <c r="T4170">
        <f>Data!N4186</f>
        <v>0</v>
      </c>
      <c r="U4170">
        <f>Data!O4186</f>
        <v>0</v>
      </c>
      <c r="V4170" s="33">
        <f>Data!P4184</f>
        <v>0</v>
      </c>
    </row>
    <row r="4171" spans="7:22" x14ac:dyDescent="0.25">
      <c r="G4171">
        <f>Data!B4183</f>
        <v>0</v>
      </c>
      <c r="H4171" s="21">
        <f>Data!B4183</f>
        <v>0</v>
      </c>
      <c r="I4171" s="21">
        <f>Data!C4183</f>
        <v>0</v>
      </c>
      <c r="J4171">
        <f>Data!D4183</f>
        <v>0</v>
      </c>
      <c r="K4171">
        <f>Data!E4183</f>
        <v>0</v>
      </c>
      <c r="L4171">
        <f>Data!F4183</f>
        <v>0</v>
      </c>
      <c r="M4171">
        <f>Data!G4183</f>
        <v>0</v>
      </c>
      <c r="N4171">
        <f>Data!H4183</f>
        <v>0</v>
      </c>
      <c r="O4171">
        <f>Data!I4183</f>
        <v>0</v>
      </c>
      <c r="P4171" s="21">
        <f>Data!J4187</f>
        <v>0</v>
      </c>
      <c r="Q4171">
        <f>Data!K4187</f>
        <v>0</v>
      </c>
      <c r="R4171">
        <f>Data!L4187</f>
        <v>0</v>
      </c>
      <c r="S4171">
        <f>Data!M4187</f>
        <v>0</v>
      </c>
      <c r="T4171">
        <f>Data!N4187</f>
        <v>0</v>
      </c>
      <c r="U4171">
        <f>Data!O4187</f>
        <v>0</v>
      </c>
      <c r="V4171" s="33">
        <f>Data!P4185</f>
        <v>0</v>
      </c>
    </row>
    <row r="4172" spans="7:22" x14ac:dyDescent="0.25">
      <c r="G4172">
        <f>Data!B4184</f>
        <v>0</v>
      </c>
      <c r="H4172" s="21">
        <f>Data!B4184</f>
        <v>0</v>
      </c>
      <c r="I4172" s="21">
        <f>Data!C4184</f>
        <v>0</v>
      </c>
      <c r="J4172">
        <f>Data!D4184</f>
        <v>0</v>
      </c>
      <c r="K4172">
        <f>Data!E4184</f>
        <v>0</v>
      </c>
      <c r="L4172">
        <f>Data!F4184</f>
        <v>0</v>
      </c>
      <c r="M4172">
        <f>Data!G4184</f>
        <v>0</v>
      </c>
      <c r="N4172">
        <f>Data!H4184</f>
        <v>0</v>
      </c>
      <c r="O4172">
        <f>Data!I4184</f>
        <v>0</v>
      </c>
      <c r="P4172" s="21">
        <f>Data!J4188</f>
        <v>0</v>
      </c>
      <c r="Q4172">
        <f>Data!K4188</f>
        <v>0</v>
      </c>
      <c r="R4172">
        <f>Data!L4188</f>
        <v>0</v>
      </c>
      <c r="S4172">
        <f>Data!M4188</f>
        <v>0</v>
      </c>
      <c r="T4172">
        <f>Data!N4188</f>
        <v>0</v>
      </c>
      <c r="U4172">
        <f>Data!O4188</f>
        <v>0</v>
      </c>
      <c r="V4172" s="33">
        <f>Data!P4186</f>
        <v>0</v>
      </c>
    </row>
    <row r="4173" spans="7:22" x14ac:dyDescent="0.25">
      <c r="G4173">
        <f>Data!B4185</f>
        <v>0</v>
      </c>
      <c r="H4173" s="21">
        <f>Data!B4185</f>
        <v>0</v>
      </c>
      <c r="I4173" s="21">
        <f>Data!C4185</f>
        <v>0</v>
      </c>
      <c r="J4173">
        <f>Data!D4185</f>
        <v>0</v>
      </c>
      <c r="K4173">
        <f>Data!E4185</f>
        <v>0</v>
      </c>
      <c r="L4173">
        <f>Data!F4185</f>
        <v>0</v>
      </c>
      <c r="M4173">
        <f>Data!G4185</f>
        <v>0</v>
      </c>
      <c r="N4173">
        <f>Data!H4185</f>
        <v>0</v>
      </c>
      <c r="O4173">
        <f>Data!I4185</f>
        <v>0</v>
      </c>
      <c r="P4173" s="21">
        <f>Data!J4189</f>
        <v>0</v>
      </c>
      <c r="Q4173">
        <f>Data!K4189</f>
        <v>0</v>
      </c>
      <c r="R4173">
        <f>Data!L4189</f>
        <v>0</v>
      </c>
      <c r="S4173">
        <f>Data!M4189</f>
        <v>0</v>
      </c>
      <c r="T4173">
        <f>Data!N4189</f>
        <v>0</v>
      </c>
      <c r="U4173">
        <f>Data!O4189</f>
        <v>0</v>
      </c>
      <c r="V4173" s="33">
        <f>Data!P4187</f>
        <v>0</v>
      </c>
    </row>
    <row r="4174" spans="7:22" x14ac:dyDescent="0.25">
      <c r="G4174">
        <f>Data!B4186</f>
        <v>0</v>
      </c>
      <c r="H4174" s="21">
        <f>Data!B4186</f>
        <v>0</v>
      </c>
      <c r="I4174" s="21">
        <f>Data!C4186</f>
        <v>0</v>
      </c>
      <c r="J4174">
        <f>Data!D4186</f>
        <v>0</v>
      </c>
      <c r="K4174">
        <f>Data!E4186</f>
        <v>0</v>
      </c>
      <c r="L4174">
        <f>Data!F4186</f>
        <v>0</v>
      </c>
      <c r="M4174">
        <f>Data!G4186</f>
        <v>0</v>
      </c>
      <c r="N4174">
        <f>Data!H4186</f>
        <v>0</v>
      </c>
      <c r="O4174">
        <f>Data!I4186</f>
        <v>0</v>
      </c>
      <c r="P4174" s="21">
        <f>Data!J4190</f>
        <v>0</v>
      </c>
      <c r="Q4174">
        <f>Data!K4190</f>
        <v>0</v>
      </c>
      <c r="R4174">
        <f>Data!L4190</f>
        <v>0</v>
      </c>
      <c r="S4174">
        <f>Data!M4190</f>
        <v>0</v>
      </c>
      <c r="T4174">
        <f>Data!N4190</f>
        <v>0</v>
      </c>
      <c r="U4174">
        <f>Data!O4190</f>
        <v>0</v>
      </c>
      <c r="V4174" s="33">
        <f>Data!P4188</f>
        <v>0</v>
      </c>
    </row>
    <row r="4175" spans="7:22" x14ac:dyDescent="0.25">
      <c r="G4175">
        <f>Data!B4187</f>
        <v>0</v>
      </c>
      <c r="H4175" s="21">
        <f>Data!B4187</f>
        <v>0</v>
      </c>
      <c r="I4175" s="21">
        <f>Data!C4187</f>
        <v>0</v>
      </c>
      <c r="J4175">
        <f>Data!D4187</f>
        <v>0</v>
      </c>
      <c r="K4175">
        <f>Data!E4187</f>
        <v>0</v>
      </c>
      <c r="L4175">
        <f>Data!F4187</f>
        <v>0</v>
      </c>
      <c r="M4175">
        <f>Data!G4187</f>
        <v>0</v>
      </c>
      <c r="N4175">
        <f>Data!H4187</f>
        <v>0</v>
      </c>
      <c r="O4175">
        <f>Data!I4187</f>
        <v>0</v>
      </c>
      <c r="P4175" s="21">
        <f>Data!J4191</f>
        <v>0</v>
      </c>
      <c r="Q4175">
        <f>Data!K4191</f>
        <v>0</v>
      </c>
      <c r="R4175">
        <f>Data!L4191</f>
        <v>0</v>
      </c>
      <c r="S4175">
        <f>Data!M4191</f>
        <v>0</v>
      </c>
      <c r="T4175">
        <f>Data!N4191</f>
        <v>0</v>
      </c>
      <c r="U4175">
        <f>Data!O4191</f>
        <v>0</v>
      </c>
      <c r="V4175" s="33">
        <f>Data!P4189</f>
        <v>0</v>
      </c>
    </row>
    <row r="4176" spans="7:22" x14ac:dyDescent="0.25">
      <c r="G4176">
        <f>Data!B4188</f>
        <v>0</v>
      </c>
      <c r="H4176" s="21">
        <f>Data!B4188</f>
        <v>0</v>
      </c>
      <c r="I4176" s="21">
        <f>Data!C4188</f>
        <v>0</v>
      </c>
      <c r="J4176">
        <f>Data!D4188</f>
        <v>0</v>
      </c>
      <c r="K4176">
        <f>Data!E4188</f>
        <v>0</v>
      </c>
      <c r="L4176">
        <f>Data!F4188</f>
        <v>0</v>
      </c>
      <c r="M4176">
        <f>Data!G4188</f>
        <v>0</v>
      </c>
      <c r="N4176">
        <f>Data!H4188</f>
        <v>0</v>
      </c>
      <c r="O4176">
        <f>Data!I4188</f>
        <v>0</v>
      </c>
      <c r="P4176" s="21">
        <f>Data!J4192</f>
        <v>0</v>
      </c>
      <c r="Q4176">
        <f>Data!K4192</f>
        <v>0</v>
      </c>
      <c r="R4176">
        <f>Data!L4192</f>
        <v>0</v>
      </c>
      <c r="S4176">
        <f>Data!M4192</f>
        <v>0</v>
      </c>
      <c r="T4176">
        <f>Data!N4192</f>
        <v>0</v>
      </c>
      <c r="U4176">
        <f>Data!O4192</f>
        <v>0</v>
      </c>
      <c r="V4176" s="33">
        <f>Data!P4190</f>
        <v>0</v>
      </c>
    </row>
    <row r="4177" spans="7:22" x14ac:dyDescent="0.25">
      <c r="G4177">
        <f>Data!B4189</f>
        <v>0</v>
      </c>
      <c r="H4177" s="21">
        <f>Data!B4189</f>
        <v>0</v>
      </c>
      <c r="I4177" s="21">
        <f>Data!C4189</f>
        <v>0</v>
      </c>
      <c r="J4177">
        <f>Data!D4189</f>
        <v>0</v>
      </c>
      <c r="K4177">
        <f>Data!E4189</f>
        <v>0</v>
      </c>
      <c r="L4177">
        <f>Data!F4189</f>
        <v>0</v>
      </c>
      <c r="M4177">
        <f>Data!G4189</f>
        <v>0</v>
      </c>
      <c r="N4177">
        <f>Data!H4189</f>
        <v>0</v>
      </c>
      <c r="O4177">
        <f>Data!I4189</f>
        <v>0</v>
      </c>
      <c r="P4177" s="21">
        <f>Data!J4193</f>
        <v>0</v>
      </c>
      <c r="Q4177">
        <f>Data!K4193</f>
        <v>0</v>
      </c>
      <c r="R4177">
        <f>Data!L4193</f>
        <v>0</v>
      </c>
      <c r="S4177">
        <f>Data!M4193</f>
        <v>0</v>
      </c>
      <c r="T4177">
        <f>Data!N4193</f>
        <v>0</v>
      </c>
      <c r="U4177">
        <f>Data!O4193</f>
        <v>0</v>
      </c>
      <c r="V4177" s="33">
        <f>Data!P4191</f>
        <v>0</v>
      </c>
    </row>
    <row r="4178" spans="7:22" x14ac:dyDescent="0.25">
      <c r="G4178">
        <f>Data!B4190</f>
        <v>0</v>
      </c>
      <c r="H4178" s="21">
        <f>Data!B4190</f>
        <v>0</v>
      </c>
      <c r="I4178" s="21">
        <f>Data!C4190</f>
        <v>0</v>
      </c>
      <c r="J4178">
        <f>Data!D4190</f>
        <v>0</v>
      </c>
      <c r="K4178">
        <f>Data!E4190</f>
        <v>0</v>
      </c>
      <c r="L4178">
        <f>Data!F4190</f>
        <v>0</v>
      </c>
      <c r="M4178">
        <f>Data!G4190</f>
        <v>0</v>
      </c>
      <c r="N4178">
        <f>Data!H4190</f>
        <v>0</v>
      </c>
      <c r="O4178">
        <f>Data!I4190</f>
        <v>0</v>
      </c>
      <c r="P4178" s="21">
        <f>Data!J4194</f>
        <v>0</v>
      </c>
      <c r="Q4178">
        <f>Data!K4194</f>
        <v>0</v>
      </c>
      <c r="R4178">
        <f>Data!L4194</f>
        <v>0</v>
      </c>
      <c r="S4178">
        <f>Data!M4194</f>
        <v>0</v>
      </c>
      <c r="T4178">
        <f>Data!N4194</f>
        <v>0</v>
      </c>
      <c r="U4178">
        <f>Data!O4194</f>
        <v>0</v>
      </c>
      <c r="V4178" s="33">
        <f>Data!P4192</f>
        <v>0</v>
      </c>
    </row>
    <row r="4179" spans="7:22" x14ac:dyDescent="0.25">
      <c r="G4179">
        <f>Data!B4191</f>
        <v>0</v>
      </c>
      <c r="H4179" s="21">
        <f>Data!B4191</f>
        <v>0</v>
      </c>
      <c r="I4179" s="21">
        <f>Data!C4191</f>
        <v>0</v>
      </c>
      <c r="J4179">
        <f>Data!D4191</f>
        <v>0</v>
      </c>
      <c r="K4179">
        <f>Data!E4191</f>
        <v>0</v>
      </c>
      <c r="L4179">
        <f>Data!F4191</f>
        <v>0</v>
      </c>
      <c r="M4179">
        <f>Data!G4191</f>
        <v>0</v>
      </c>
      <c r="N4179">
        <f>Data!H4191</f>
        <v>0</v>
      </c>
      <c r="O4179">
        <f>Data!I4191</f>
        <v>0</v>
      </c>
      <c r="P4179" s="21">
        <f>Data!J4195</f>
        <v>0</v>
      </c>
      <c r="Q4179">
        <f>Data!K4195</f>
        <v>0</v>
      </c>
      <c r="R4179">
        <f>Data!L4195</f>
        <v>0</v>
      </c>
      <c r="S4179">
        <f>Data!M4195</f>
        <v>0</v>
      </c>
      <c r="T4179">
        <f>Data!N4195</f>
        <v>0</v>
      </c>
      <c r="U4179">
        <f>Data!O4195</f>
        <v>0</v>
      </c>
      <c r="V4179" s="33">
        <f>Data!P4193</f>
        <v>0</v>
      </c>
    </row>
    <row r="4180" spans="7:22" x14ac:dyDescent="0.25">
      <c r="G4180">
        <f>Data!B4192</f>
        <v>0</v>
      </c>
      <c r="H4180" s="21">
        <f>Data!B4192</f>
        <v>0</v>
      </c>
      <c r="I4180" s="21">
        <f>Data!C4192</f>
        <v>0</v>
      </c>
      <c r="J4180">
        <f>Data!D4192</f>
        <v>0</v>
      </c>
      <c r="K4180">
        <f>Data!E4192</f>
        <v>0</v>
      </c>
      <c r="L4180">
        <f>Data!F4192</f>
        <v>0</v>
      </c>
      <c r="M4180">
        <f>Data!G4192</f>
        <v>0</v>
      </c>
      <c r="N4180">
        <f>Data!H4192</f>
        <v>0</v>
      </c>
      <c r="O4180">
        <f>Data!I4192</f>
        <v>0</v>
      </c>
      <c r="P4180" s="21">
        <f>Data!J4196</f>
        <v>0</v>
      </c>
      <c r="Q4180">
        <f>Data!K4196</f>
        <v>0</v>
      </c>
      <c r="R4180">
        <f>Data!L4196</f>
        <v>0</v>
      </c>
      <c r="S4180">
        <f>Data!M4196</f>
        <v>0</v>
      </c>
      <c r="T4180">
        <f>Data!N4196</f>
        <v>0</v>
      </c>
      <c r="U4180">
        <f>Data!O4196</f>
        <v>0</v>
      </c>
      <c r="V4180" s="33">
        <f>Data!P4194</f>
        <v>0</v>
      </c>
    </row>
    <row r="4181" spans="7:22" x14ac:dyDescent="0.25">
      <c r="G4181">
        <f>Data!B4193</f>
        <v>0</v>
      </c>
      <c r="H4181" s="21">
        <f>Data!B4193</f>
        <v>0</v>
      </c>
      <c r="I4181" s="21">
        <f>Data!C4193</f>
        <v>0</v>
      </c>
      <c r="J4181">
        <f>Data!D4193</f>
        <v>0</v>
      </c>
      <c r="K4181">
        <f>Data!E4193</f>
        <v>0</v>
      </c>
      <c r="L4181">
        <f>Data!F4193</f>
        <v>0</v>
      </c>
      <c r="M4181">
        <f>Data!G4193</f>
        <v>0</v>
      </c>
      <c r="N4181">
        <f>Data!H4193</f>
        <v>0</v>
      </c>
      <c r="O4181">
        <f>Data!I4193</f>
        <v>0</v>
      </c>
      <c r="P4181" s="21">
        <f>Data!J4197</f>
        <v>0</v>
      </c>
      <c r="Q4181">
        <f>Data!K4197</f>
        <v>0</v>
      </c>
      <c r="R4181">
        <f>Data!L4197</f>
        <v>0</v>
      </c>
      <c r="S4181">
        <f>Data!M4197</f>
        <v>0</v>
      </c>
      <c r="T4181">
        <f>Data!N4197</f>
        <v>0</v>
      </c>
      <c r="U4181">
        <f>Data!O4197</f>
        <v>0</v>
      </c>
      <c r="V4181" s="33">
        <f>Data!P4195</f>
        <v>0</v>
      </c>
    </row>
    <row r="4182" spans="7:22" x14ac:dyDescent="0.25">
      <c r="G4182">
        <f>Data!B4194</f>
        <v>0</v>
      </c>
      <c r="H4182" s="21">
        <f>Data!B4194</f>
        <v>0</v>
      </c>
      <c r="I4182" s="21">
        <f>Data!C4194</f>
        <v>0</v>
      </c>
      <c r="J4182">
        <f>Data!D4194</f>
        <v>0</v>
      </c>
      <c r="K4182">
        <f>Data!E4194</f>
        <v>0</v>
      </c>
      <c r="L4182">
        <f>Data!F4194</f>
        <v>0</v>
      </c>
      <c r="M4182">
        <f>Data!G4194</f>
        <v>0</v>
      </c>
      <c r="N4182">
        <f>Data!H4194</f>
        <v>0</v>
      </c>
      <c r="O4182">
        <f>Data!I4194</f>
        <v>0</v>
      </c>
      <c r="P4182" s="21">
        <f>Data!J4198</f>
        <v>0</v>
      </c>
      <c r="Q4182">
        <f>Data!K4198</f>
        <v>0</v>
      </c>
      <c r="R4182">
        <f>Data!L4198</f>
        <v>0</v>
      </c>
      <c r="S4182">
        <f>Data!M4198</f>
        <v>0</v>
      </c>
      <c r="T4182">
        <f>Data!N4198</f>
        <v>0</v>
      </c>
      <c r="U4182">
        <f>Data!O4198</f>
        <v>0</v>
      </c>
      <c r="V4182" s="33">
        <f>Data!P4196</f>
        <v>0</v>
      </c>
    </row>
    <row r="4183" spans="7:22" x14ac:dyDescent="0.25">
      <c r="G4183">
        <f>Data!B4195</f>
        <v>0</v>
      </c>
      <c r="H4183" s="21">
        <f>Data!B4195</f>
        <v>0</v>
      </c>
      <c r="I4183" s="21">
        <f>Data!C4195</f>
        <v>0</v>
      </c>
      <c r="J4183">
        <f>Data!D4195</f>
        <v>0</v>
      </c>
      <c r="K4183">
        <f>Data!E4195</f>
        <v>0</v>
      </c>
      <c r="L4183">
        <f>Data!F4195</f>
        <v>0</v>
      </c>
      <c r="M4183">
        <f>Data!G4195</f>
        <v>0</v>
      </c>
      <c r="N4183">
        <f>Data!H4195</f>
        <v>0</v>
      </c>
      <c r="O4183">
        <f>Data!I4195</f>
        <v>0</v>
      </c>
      <c r="P4183" s="21">
        <f>Data!J4199</f>
        <v>0</v>
      </c>
      <c r="Q4183">
        <f>Data!K4199</f>
        <v>0</v>
      </c>
      <c r="R4183">
        <f>Data!L4199</f>
        <v>0</v>
      </c>
      <c r="S4183">
        <f>Data!M4199</f>
        <v>0</v>
      </c>
      <c r="T4183">
        <f>Data!N4199</f>
        <v>0</v>
      </c>
      <c r="U4183">
        <f>Data!O4199</f>
        <v>0</v>
      </c>
      <c r="V4183" s="33">
        <f>Data!P4197</f>
        <v>0</v>
      </c>
    </row>
    <row r="4184" spans="7:22" x14ac:dyDescent="0.25">
      <c r="G4184">
        <f>Data!B4196</f>
        <v>0</v>
      </c>
      <c r="H4184" s="21">
        <f>Data!B4196</f>
        <v>0</v>
      </c>
      <c r="I4184" s="21">
        <f>Data!C4196</f>
        <v>0</v>
      </c>
      <c r="J4184">
        <f>Data!D4196</f>
        <v>0</v>
      </c>
      <c r="K4184">
        <f>Data!E4196</f>
        <v>0</v>
      </c>
      <c r="L4184">
        <f>Data!F4196</f>
        <v>0</v>
      </c>
      <c r="M4184">
        <f>Data!G4196</f>
        <v>0</v>
      </c>
      <c r="N4184">
        <f>Data!H4196</f>
        <v>0</v>
      </c>
      <c r="O4184">
        <f>Data!I4196</f>
        <v>0</v>
      </c>
      <c r="P4184" s="21">
        <f>Data!J4200</f>
        <v>0</v>
      </c>
      <c r="Q4184">
        <f>Data!K4200</f>
        <v>0</v>
      </c>
      <c r="R4184">
        <f>Data!L4200</f>
        <v>0</v>
      </c>
      <c r="S4184">
        <f>Data!M4200</f>
        <v>0</v>
      </c>
      <c r="T4184">
        <f>Data!N4200</f>
        <v>0</v>
      </c>
      <c r="U4184">
        <f>Data!O4200</f>
        <v>0</v>
      </c>
      <c r="V4184" s="33">
        <f>Data!P4198</f>
        <v>0</v>
      </c>
    </row>
    <row r="4185" spans="7:22" x14ac:dyDescent="0.25">
      <c r="G4185">
        <f>Data!B4197</f>
        <v>0</v>
      </c>
      <c r="H4185" s="21">
        <f>Data!B4197</f>
        <v>0</v>
      </c>
      <c r="I4185" s="21">
        <f>Data!C4197</f>
        <v>0</v>
      </c>
      <c r="J4185">
        <f>Data!D4197</f>
        <v>0</v>
      </c>
      <c r="K4185">
        <f>Data!E4197</f>
        <v>0</v>
      </c>
      <c r="L4185">
        <f>Data!F4197</f>
        <v>0</v>
      </c>
      <c r="M4185">
        <f>Data!G4197</f>
        <v>0</v>
      </c>
      <c r="N4185">
        <f>Data!H4197</f>
        <v>0</v>
      </c>
      <c r="O4185">
        <f>Data!I4197</f>
        <v>0</v>
      </c>
      <c r="P4185" s="21">
        <f>Data!J4201</f>
        <v>0</v>
      </c>
      <c r="Q4185">
        <f>Data!K4201</f>
        <v>0</v>
      </c>
      <c r="R4185">
        <f>Data!L4201</f>
        <v>0</v>
      </c>
      <c r="S4185">
        <f>Data!M4201</f>
        <v>0</v>
      </c>
      <c r="T4185">
        <f>Data!N4201</f>
        <v>0</v>
      </c>
      <c r="U4185">
        <f>Data!O4201</f>
        <v>0</v>
      </c>
      <c r="V4185" s="33">
        <f>Data!P4199</f>
        <v>0</v>
      </c>
    </row>
    <row r="4186" spans="7:22" x14ac:dyDescent="0.25">
      <c r="G4186">
        <f>Data!B4198</f>
        <v>0</v>
      </c>
      <c r="H4186" s="21">
        <f>Data!B4198</f>
        <v>0</v>
      </c>
      <c r="I4186" s="21">
        <f>Data!C4198</f>
        <v>0</v>
      </c>
      <c r="J4186">
        <f>Data!D4198</f>
        <v>0</v>
      </c>
      <c r="K4186">
        <f>Data!E4198</f>
        <v>0</v>
      </c>
      <c r="L4186">
        <f>Data!F4198</f>
        <v>0</v>
      </c>
      <c r="M4186">
        <f>Data!G4198</f>
        <v>0</v>
      </c>
      <c r="N4186">
        <f>Data!H4198</f>
        <v>0</v>
      </c>
      <c r="O4186">
        <f>Data!I4198</f>
        <v>0</v>
      </c>
      <c r="P4186" s="21">
        <f>Data!J4202</f>
        <v>0</v>
      </c>
      <c r="Q4186">
        <f>Data!K4202</f>
        <v>0</v>
      </c>
      <c r="R4186">
        <f>Data!L4202</f>
        <v>0</v>
      </c>
      <c r="S4186">
        <f>Data!M4202</f>
        <v>0</v>
      </c>
      <c r="T4186">
        <f>Data!N4202</f>
        <v>0</v>
      </c>
      <c r="U4186">
        <f>Data!O4202</f>
        <v>0</v>
      </c>
      <c r="V4186" s="33">
        <f>Data!P4200</f>
        <v>0</v>
      </c>
    </row>
    <row r="4187" spans="7:22" x14ac:dyDescent="0.25">
      <c r="G4187">
        <f>Data!B4199</f>
        <v>0</v>
      </c>
      <c r="H4187" s="21">
        <f>Data!B4199</f>
        <v>0</v>
      </c>
      <c r="I4187" s="21">
        <f>Data!C4199</f>
        <v>0</v>
      </c>
      <c r="J4187">
        <f>Data!D4199</f>
        <v>0</v>
      </c>
      <c r="K4187">
        <f>Data!E4199</f>
        <v>0</v>
      </c>
      <c r="L4187">
        <f>Data!F4199</f>
        <v>0</v>
      </c>
      <c r="M4187">
        <f>Data!G4199</f>
        <v>0</v>
      </c>
      <c r="N4187">
        <f>Data!H4199</f>
        <v>0</v>
      </c>
      <c r="O4187">
        <f>Data!I4199</f>
        <v>0</v>
      </c>
      <c r="P4187" s="21">
        <f>Data!J4203</f>
        <v>0</v>
      </c>
      <c r="Q4187">
        <f>Data!K4203</f>
        <v>0</v>
      </c>
      <c r="R4187">
        <f>Data!L4203</f>
        <v>0</v>
      </c>
      <c r="S4187">
        <f>Data!M4203</f>
        <v>0</v>
      </c>
      <c r="T4187">
        <f>Data!N4203</f>
        <v>0</v>
      </c>
      <c r="U4187">
        <f>Data!O4203</f>
        <v>0</v>
      </c>
      <c r="V4187" s="33">
        <f>Data!P4201</f>
        <v>0</v>
      </c>
    </row>
    <row r="4188" spans="7:22" x14ac:dyDescent="0.25">
      <c r="G4188">
        <f>Data!B4200</f>
        <v>0</v>
      </c>
      <c r="H4188" s="21">
        <f>Data!B4200</f>
        <v>0</v>
      </c>
      <c r="I4188" s="21">
        <f>Data!C4200</f>
        <v>0</v>
      </c>
      <c r="J4188">
        <f>Data!D4200</f>
        <v>0</v>
      </c>
      <c r="K4188">
        <f>Data!E4200</f>
        <v>0</v>
      </c>
      <c r="L4188">
        <f>Data!F4200</f>
        <v>0</v>
      </c>
      <c r="M4188">
        <f>Data!G4200</f>
        <v>0</v>
      </c>
      <c r="N4188">
        <f>Data!H4200</f>
        <v>0</v>
      </c>
      <c r="O4188">
        <f>Data!I4200</f>
        <v>0</v>
      </c>
      <c r="P4188" s="21">
        <f>Data!J4204</f>
        <v>0</v>
      </c>
      <c r="Q4188">
        <f>Data!K4204</f>
        <v>0</v>
      </c>
      <c r="R4188">
        <f>Data!L4204</f>
        <v>0</v>
      </c>
      <c r="S4188">
        <f>Data!M4204</f>
        <v>0</v>
      </c>
      <c r="T4188">
        <f>Data!N4204</f>
        <v>0</v>
      </c>
      <c r="U4188">
        <f>Data!O4204</f>
        <v>0</v>
      </c>
      <c r="V4188" s="33">
        <f>Data!P4202</f>
        <v>0</v>
      </c>
    </row>
    <row r="4189" spans="7:22" x14ac:dyDescent="0.25">
      <c r="G4189">
        <f>Data!B4201</f>
        <v>0</v>
      </c>
      <c r="H4189" s="21">
        <f>Data!B4201</f>
        <v>0</v>
      </c>
      <c r="I4189" s="21">
        <f>Data!C4201</f>
        <v>0</v>
      </c>
      <c r="J4189">
        <f>Data!D4201</f>
        <v>0</v>
      </c>
      <c r="K4189">
        <f>Data!E4201</f>
        <v>0</v>
      </c>
      <c r="L4189">
        <f>Data!F4201</f>
        <v>0</v>
      </c>
      <c r="M4189">
        <f>Data!G4201</f>
        <v>0</v>
      </c>
      <c r="N4189">
        <f>Data!H4201</f>
        <v>0</v>
      </c>
      <c r="O4189">
        <f>Data!I4201</f>
        <v>0</v>
      </c>
      <c r="P4189" s="21">
        <f>Data!J4205</f>
        <v>0</v>
      </c>
      <c r="Q4189">
        <f>Data!K4205</f>
        <v>0</v>
      </c>
      <c r="R4189">
        <f>Data!L4205</f>
        <v>0</v>
      </c>
      <c r="S4189">
        <f>Data!M4205</f>
        <v>0</v>
      </c>
      <c r="T4189">
        <f>Data!N4205</f>
        <v>0</v>
      </c>
      <c r="U4189">
        <f>Data!O4205</f>
        <v>0</v>
      </c>
      <c r="V4189" s="33">
        <f>Data!P4203</f>
        <v>0</v>
      </c>
    </row>
    <row r="4190" spans="7:22" x14ac:dyDescent="0.25">
      <c r="G4190">
        <f>Data!B4202</f>
        <v>0</v>
      </c>
      <c r="H4190" s="21">
        <f>Data!B4202</f>
        <v>0</v>
      </c>
      <c r="I4190" s="21">
        <f>Data!C4202</f>
        <v>0</v>
      </c>
      <c r="J4190">
        <f>Data!D4202</f>
        <v>0</v>
      </c>
      <c r="K4190">
        <f>Data!E4202</f>
        <v>0</v>
      </c>
      <c r="L4190">
        <f>Data!F4202</f>
        <v>0</v>
      </c>
      <c r="M4190">
        <f>Data!G4202</f>
        <v>0</v>
      </c>
      <c r="N4190">
        <f>Data!H4202</f>
        <v>0</v>
      </c>
      <c r="O4190">
        <f>Data!I4202</f>
        <v>0</v>
      </c>
      <c r="P4190" s="21">
        <f>Data!J4206</f>
        <v>0</v>
      </c>
      <c r="Q4190">
        <f>Data!K4206</f>
        <v>0</v>
      </c>
      <c r="R4190">
        <f>Data!L4206</f>
        <v>0</v>
      </c>
      <c r="S4190">
        <f>Data!M4206</f>
        <v>0</v>
      </c>
      <c r="T4190">
        <f>Data!N4206</f>
        <v>0</v>
      </c>
      <c r="U4190">
        <f>Data!O4206</f>
        <v>0</v>
      </c>
      <c r="V4190" s="33">
        <f>Data!P4204</f>
        <v>0</v>
      </c>
    </row>
    <row r="4191" spans="7:22" x14ac:dyDescent="0.25">
      <c r="G4191">
        <f>Data!B4203</f>
        <v>0</v>
      </c>
      <c r="H4191" s="21">
        <f>Data!B4203</f>
        <v>0</v>
      </c>
      <c r="I4191" s="21">
        <f>Data!C4203</f>
        <v>0</v>
      </c>
      <c r="J4191">
        <f>Data!D4203</f>
        <v>0</v>
      </c>
      <c r="K4191">
        <f>Data!E4203</f>
        <v>0</v>
      </c>
      <c r="L4191">
        <f>Data!F4203</f>
        <v>0</v>
      </c>
      <c r="M4191">
        <f>Data!G4203</f>
        <v>0</v>
      </c>
      <c r="N4191">
        <f>Data!H4203</f>
        <v>0</v>
      </c>
      <c r="O4191">
        <f>Data!I4203</f>
        <v>0</v>
      </c>
      <c r="P4191" s="21">
        <f>Data!J4207</f>
        <v>0</v>
      </c>
      <c r="Q4191">
        <f>Data!K4207</f>
        <v>0</v>
      </c>
      <c r="R4191">
        <f>Data!L4207</f>
        <v>0</v>
      </c>
      <c r="S4191">
        <f>Data!M4207</f>
        <v>0</v>
      </c>
      <c r="T4191">
        <f>Data!N4207</f>
        <v>0</v>
      </c>
      <c r="U4191">
        <f>Data!O4207</f>
        <v>0</v>
      </c>
      <c r="V4191" s="33">
        <f>Data!P4205</f>
        <v>0</v>
      </c>
    </row>
    <row r="4192" spans="7:22" x14ac:dyDescent="0.25">
      <c r="G4192">
        <f>Data!B4204</f>
        <v>0</v>
      </c>
      <c r="H4192" s="21">
        <f>Data!B4204</f>
        <v>0</v>
      </c>
      <c r="I4192" s="21">
        <f>Data!C4204</f>
        <v>0</v>
      </c>
      <c r="J4192">
        <f>Data!D4204</f>
        <v>0</v>
      </c>
      <c r="K4192">
        <f>Data!E4204</f>
        <v>0</v>
      </c>
      <c r="L4192">
        <f>Data!F4204</f>
        <v>0</v>
      </c>
      <c r="M4192">
        <f>Data!G4204</f>
        <v>0</v>
      </c>
      <c r="N4192">
        <f>Data!H4204</f>
        <v>0</v>
      </c>
      <c r="O4192">
        <f>Data!I4204</f>
        <v>0</v>
      </c>
      <c r="P4192" s="21">
        <f>Data!J4208</f>
        <v>0</v>
      </c>
      <c r="Q4192">
        <f>Data!K4208</f>
        <v>0</v>
      </c>
      <c r="R4192">
        <f>Data!L4208</f>
        <v>0</v>
      </c>
      <c r="S4192">
        <f>Data!M4208</f>
        <v>0</v>
      </c>
      <c r="T4192">
        <f>Data!N4208</f>
        <v>0</v>
      </c>
      <c r="U4192">
        <f>Data!O4208</f>
        <v>0</v>
      </c>
      <c r="V4192" s="33">
        <f>Data!P4206</f>
        <v>0</v>
      </c>
    </row>
    <row r="4193" spans="7:22" x14ac:dyDescent="0.25">
      <c r="G4193">
        <f>Data!B4205</f>
        <v>0</v>
      </c>
      <c r="H4193" s="21">
        <f>Data!B4205</f>
        <v>0</v>
      </c>
      <c r="I4193" s="21">
        <f>Data!C4205</f>
        <v>0</v>
      </c>
      <c r="J4193">
        <f>Data!D4205</f>
        <v>0</v>
      </c>
      <c r="K4193">
        <f>Data!E4205</f>
        <v>0</v>
      </c>
      <c r="L4193">
        <f>Data!F4205</f>
        <v>0</v>
      </c>
      <c r="M4193">
        <f>Data!G4205</f>
        <v>0</v>
      </c>
      <c r="N4193">
        <f>Data!H4205</f>
        <v>0</v>
      </c>
      <c r="O4193">
        <f>Data!I4205</f>
        <v>0</v>
      </c>
      <c r="P4193" s="21">
        <f>Data!J4209</f>
        <v>0</v>
      </c>
      <c r="Q4193">
        <f>Data!K4209</f>
        <v>0</v>
      </c>
      <c r="R4193">
        <f>Data!L4209</f>
        <v>0</v>
      </c>
      <c r="S4193">
        <f>Data!M4209</f>
        <v>0</v>
      </c>
      <c r="T4193">
        <f>Data!N4209</f>
        <v>0</v>
      </c>
      <c r="U4193">
        <f>Data!O4209</f>
        <v>0</v>
      </c>
      <c r="V4193" s="33">
        <f>Data!P4207</f>
        <v>0</v>
      </c>
    </row>
    <row r="4194" spans="7:22" x14ac:dyDescent="0.25">
      <c r="G4194">
        <f>Data!B4206</f>
        <v>0</v>
      </c>
      <c r="H4194" s="21">
        <f>Data!B4206</f>
        <v>0</v>
      </c>
      <c r="I4194" s="21">
        <f>Data!C4206</f>
        <v>0</v>
      </c>
      <c r="J4194">
        <f>Data!D4206</f>
        <v>0</v>
      </c>
      <c r="K4194">
        <f>Data!E4206</f>
        <v>0</v>
      </c>
      <c r="L4194">
        <f>Data!F4206</f>
        <v>0</v>
      </c>
      <c r="M4194">
        <f>Data!G4206</f>
        <v>0</v>
      </c>
      <c r="N4194">
        <f>Data!H4206</f>
        <v>0</v>
      </c>
      <c r="O4194">
        <f>Data!I4206</f>
        <v>0</v>
      </c>
      <c r="P4194" s="21">
        <f>Data!J4210</f>
        <v>0</v>
      </c>
      <c r="Q4194">
        <f>Data!K4210</f>
        <v>0</v>
      </c>
      <c r="R4194">
        <f>Data!L4210</f>
        <v>0</v>
      </c>
      <c r="S4194">
        <f>Data!M4210</f>
        <v>0</v>
      </c>
      <c r="T4194">
        <f>Data!N4210</f>
        <v>0</v>
      </c>
      <c r="U4194">
        <f>Data!O4210</f>
        <v>0</v>
      </c>
      <c r="V4194" s="33">
        <f>Data!P4208</f>
        <v>0</v>
      </c>
    </row>
    <row r="4195" spans="7:22" x14ac:dyDescent="0.25">
      <c r="G4195">
        <f>Data!B4207</f>
        <v>0</v>
      </c>
      <c r="H4195" s="21">
        <f>Data!B4207</f>
        <v>0</v>
      </c>
      <c r="I4195" s="21">
        <f>Data!C4207</f>
        <v>0</v>
      </c>
      <c r="J4195">
        <f>Data!D4207</f>
        <v>0</v>
      </c>
      <c r="K4195">
        <f>Data!E4207</f>
        <v>0</v>
      </c>
      <c r="L4195">
        <f>Data!F4207</f>
        <v>0</v>
      </c>
      <c r="M4195">
        <f>Data!G4207</f>
        <v>0</v>
      </c>
      <c r="N4195">
        <f>Data!H4207</f>
        <v>0</v>
      </c>
      <c r="O4195">
        <f>Data!I4207</f>
        <v>0</v>
      </c>
      <c r="P4195" s="21">
        <f>Data!J4211</f>
        <v>0</v>
      </c>
      <c r="Q4195">
        <f>Data!K4211</f>
        <v>0</v>
      </c>
      <c r="R4195">
        <f>Data!L4211</f>
        <v>0</v>
      </c>
      <c r="S4195">
        <f>Data!M4211</f>
        <v>0</v>
      </c>
      <c r="T4195">
        <f>Data!N4211</f>
        <v>0</v>
      </c>
      <c r="U4195">
        <f>Data!O4211</f>
        <v>0</v>
      </c>
      <c r="V4195" s="33">
        <f>Data!P4209</f>
        <v>0</v>
      </c>
    </row>
    <row r="4196" spans="7:22" x14ac:dyDescent="0.25">
      <c r="G4196">
        <f>Data!B4208</f>
        <v>0</v>
      </c>
      <c r="H4196" s="21">
        <f>Data!B4208</f>
        <v>0</v>
      </c>
      <c r="I4196" s="21">
        <f>Data!C4208</f>
        <v>0</v>
      </c>
      <c r="J4196">
        <f>Data!D4208</f>
        <v>0</v>
      </c>
      <c r="K4196">
        <f>Data!E4208</f>
        <v>0</v>
      </c>
      <c r="L4196">
        <f>Data!F4208</f>
        <v>0</v>
      </c>
      <c r="M4196">
        <f>Data!G4208</f>
        <v>0</v>
      </c>
      <c r="N4196">
        <f>Data!H4208</f>
        <v>0</v>
      </c>
      <c r="O4196">
        <f>Data!I4208</f>
        <v>0</v>
      </c>
      <c r="P4196" s="21">
        <f>Data!J4212</f>
        <v>0</v>
      </c>
      <c r="Q4196">
        <f>Data!K4212</f>
        <v>0</v>
      </c>
      <c r="R4196">
        <f>Data!L4212</f>
        <v>0</v>
      </c>
      <c r="S4196">
        <f>Data!M4212</f>
        <v>0</v>
      </c>
      <c r="T4196">
        <f>Data!N4212</f>
        <v>0</v>
      </c>
      <c r="U4196">
        <f>Data!O4212</f>
        <v>0</v>
      </c>
      <c r="V4196" s="33">
        <f>Data!P4210</f>
        <v>0</v>
      </c>
    </row>
    <row r="4197" spans="7:22" x14ac:dyDescent="0.25">
      <c r="G4197">
        <f>Data!B4209</f>
        <v>0</v>
      </c>
      <c r="H4197" s="21">
        <f>Data!B4209</f>
        <v>0</v>
      </c>
      <c r="I4197" s="21">
        <f>Data!C4209</f>
        <v>0</v>
      </c>
      <c r="J4197">
        <f>Data!D4209</f>
        <v>0</v>
      </c>
      <c r="K4197">
        <f>Data!E4209</f>
        <v>0</v>
      </c>
      <c r="L4197">
        <f>Data!F4209</f>
        <v>0</v>
      </c>
      <c r="M4197">
        <f>Data!G4209</f>
        <v>0</v>
      </c>
      <c r="N4197">
        <f>Data!H4209</f>
        <v>0</v>
      </c>
      <c r="O4197">
        <f>Data!I4209</f>
        <v>0</v>
      </c>
      <c r="P4197" s="21">
        <f>Data!J4213</f>
        <v>0</v>
      </c>
      <c r="Q4197">
        <f>Data!K4213</f>
        <v>0</v>
      </c>
      <c r="R4197">
        <f>Data!L4213</f>
        <v>0</v>
      </c>
      <c r="S4197">
        <f>Data!M4213</f>
        <v>0</v>
      </c>
      <c r="T4197">
        <f>Data!N4213</f>
        <v>0</v>
      </c>
      <c r="U4197">
        <f>Data!O4213</f>
        <v>0</v>
      </c>
      <c r="V4197" s="33">
        <f>Data!P4211</f>
        <v>0</v>
      </c>
    </row>
    <row r="4198" spans="7:22" x14ac:dyDescent="0.25">
      <c r="G4198">
        <f>Data!B4210</f>
        <v>0</v>
      </c>
      <c r="H4198" s="21">
        <f>Data!B4210</f>
        <v>0</v>
      </c>
      <c r="I4198" s="21">
        <f>Data!C4210</f>
        <v>0</v>
      </c>
      <c r="J4198">
        <f>Data!D4210</f>
        <v>0</v>
      </c>
      <c r="K4198">
        <f>Data!E4210</f>
        <v>0</v>
      </c>
      <c r="L4198">
        <f>Data!F4210</f>
        <v>0</v>
      </c>
      <c r="M4198">
        <f>Data!G4210</f>
        <v>0</v>
      </c>
      <c r="N4198">
        <f>Data!H4210</f>
        <v>0</v>
      </c>
      <c r="O4198">
        <f>Data!I4210</f>
        <v>0</v>
      </c>
      <c r="P4198" s="21">
        <f>Data!J4214</f>
        <v>0</v>
      </c>
      <c r="Q4198">
        <f>Data!K4214</f>
        <v>0</v>
      </c>
      <c r="R4198">
        <f>Data!L4214</f>
        <v>0</v>
      </c>
      <c r="S4198">
        <f>Data!M4214</f>
        <v>0</v>
      </c>
      <c r="T4198">
        <f>Data!N4214</f>
        <v>0</v>
      </c>
      <c r="U4198">
        <f>Data!O4214</f>
        <v>0</v>
      </c>
      <c r="V4198" s="33">
        <f>Data!P4212</f>
        <v>0</v>
      </c>
    </row>
    <row r="4199" spans="7:22" x14ac:dyDescent="0.25">
      <c r="G4199">
        <f>Data!B4211</f>
        <v>0</v>
      </c>
      <c r="H4199" s="21">
        <f>Data!B4211</f>
        <v>0</v>
      </c>
      <c r="I4199" s="21">
        <f>Data!C4211</f>
        <v>0</v>
      </c>
      <c r="J4199">
        <f>Data!D4211</f>
        <v>0</v>
      </c>
      <c r="K4199">
        <f>Data!E4211</f>
        <v>0</v>
      </c>
      <c r="L4199">
        <f>Data!F4211</f>
        <v>0</v>
      </c>
      <c r="M4199">
        <f>Data!G4211</f>
        <v>0</v>
      </c>
      <c r="N4199">
        <f>Data!H4211</f>
        <v>0</v>
      </c>
      <c r="O4199">
        <f>Data!I4211</f>
        <v>0</v>
      </c>
      <c r="P4199" s="21">
        <f>Data!J4215</f>
        <v>0</v>
      </c>
      <c r="Q4199">
        <f>Data!K4215</f>
        <v>0</v>
      </c>
      <c r="R4199">
        <f>Data!L4215</f>
        <v>0</v>
      </c>
      <c r="S4199">
        <f>Data!M4215</f>
        <v>0</v>
      </c>
      <c r="T4199">
        <f>Data!N4215</f>
        <v>0</v>
      </c>
      <c r="U4199">
        <f>Data!O4215</f>
        <v>0</v>
      </c>
      <c r="V4199" s="33">
        <f>Data!P4213</f>
        <v>0</v>
      </c>
    </row>
    <row r="4200" spans="7:22" x14ac:dyDescent="0.25">
      <c r="G4200">
        <f>Data!B4212</f>
        <v>0</v>
      </c>
      <c r="H4200" s="21">
        <f>Data!B4212</f>
        <v>0</v>
      </c>
      <c r="I4200" s="21">
        <f>Data!C4212</f>
        <v>0</v>
      </c>
      <c r="J4200">
        <f>Data!D4212</f>
        <v>0</v>
      </c>
      <c r="K4200">
        <f>Data!E4212</f>
        <v>0</v>
      </c>
      <c r="L4200">
        <f>Data!F4212</f>
        <v>0</v>
      </c>
      <c r="M4200">
        <f>Data!G4212</f>
        <v>0</v>
      </c>
      <c r="N4200">
        <f>Data!H4212</f>
        <v>0</v>
      </c>
      <c r="O4200">
        <f>Data!I4212</f>
        <v>0</v>
      </c>
      <c r="P4200" s="21">
        <f>Data!J4216</f>
        <v>0</v>
      </c>
      <c r="Q4200">
        <f>Data!K4216</f>
        <v>0</v>
      </c>
      <c r="R4200">
        <f>Data!L4216</f>
        <v>0</v>
      </c>
      <c r="S4200">
        <f>Data!M4216</f>
        <v>0</v>
      </c>
      <c r="T4200">
        <f>Data!N4216</f>
        <v>0</v>
      </c>
      <c r="U4200">
        <f>Data!O4216</f>
        <v>0</v>
      </c>
      <c r="V4200" s="33">
        <f>Data!P4214</f>
        <v>0</v>
      </c>
    </row>
    <row r="4201" spans="7:22" x14ac:dyDescent="0.25">
      <c r="G4201">
        <f>Data!B4213</f>
        <v>0</v>
      </c>
      <c r="H4201" s="21">
        <f>Data!B4213</f>
        <v>0</v>
      </c>
      <c r="I4201" s="21">
        <f>Data!C4213</f>
        <v>0</v>
      </c>
      <c r="J4201">
        <f>Data!D4213</f>
        <v>0</v>
      </c>
      <c r="K4201">
        <f>Data!E4213</f>
        <v>0</v>
      </c>
      <c r="L4201">
        <f>Data!F4213</f>
        <v>0</v>
      </c>
      <c r="M4201">
        <f>Data!G4213</f>
        <v>0</v>
      </c>
      <c r="N4201">
        <f>Data!H4213</f>
        <v>0</v>
      </c>
      <c r="O4201">
        <f>Data!I4213</f>
        <v>0</v>
      </c>
      <c r="P4201" s="21">
        <f>Data!J4217</f>
        <v>0</v>
      </c>
      <c r="Q4201">
        <f>Data!K4217</f>
        <v>0</v>
      </c>
      <c r="R4201">
        <f>Data!L4217</f>
        <v>0</v>
      </c>
      <c r="S4201">
        <f>Data!M4217</f>
        <v>0</v>
      </c>
      <c r="T4201">
        <f>Data!N4217</f>
        <v>0</v>
      </c>
      <c r="U4201">
        <f>Data!O4217</f>
        <v>0</v>
      </c>
      <c r="V4201" s="33">
        <f>Data!P4215</f>
        <v>0</v>
      </c>
    </row>
    <row r="4202" spans="7:22" x14ac:dyDescent="0.25">
      <c r="G4202">
        <f>Data!B4214</f>
        <v>0</v>
      </c>
      <c r="H4202" s="21">
        <f>Data!B4214</f>
        <v>0</v>
      </c>
      <c r="I4202" s="21">
        <f>Data!C4214</f>
        <v>0</v>
      </c>
      <c r="J4202">
        <f>Data!D4214</f>
        <v>0</v>
      </c>
      <c r="K4202">
        <f>Data!E4214</f>
        <v>0</v>
      </c>
      <c r="L4202">
        <f>Data!F4214</f>
        <v>0</v>
      </c>
      <c r="M4202">
        <f>Data!G4214</f>
        <v>0</v>
      </c>
      <c r="N4202">
        <f>Data!H4214</f>
        <v>0</v>
      </c>
      <c r="O4202">
        <f>Data!I4214</f>
        <v>0</v>
      </c>
      <c r="P4202" s="21">
        <f>Data!J4218</f>
        <v>0</v>
      </c>
      <c r="Q4202">
        <f>Data!K4218</f>
        <v>0</v>
      </c>
      <c r="R4202">
        <f>Data!L4218</f>
        <v>0</v>
      </c>
      <c r="S4202">
        <f>Data!M4218</f>
        <v>0</v>
      </c>
      <c r="T4202">
        <f>Data!N4218</f>
        <v>0</v>
      </c>
      <c r="U4202">
        <f>Data!O4218</f>
        <v>0</v>
      </c>
      <c r="V4202" s="33">
        <f>Data!P4216</f>
        <v>0</v>
      </c>
    </row>
    <row r="4203" spans="7:22" x14ac:dyDescent="0.25">
      <c r="G4203">
        <f>Data!B4215</f>
        <v>0</v>
      </c>
      <c r="H4203" s="21">
        <f>Data!B4215</f>
        <v>0</v>
      </c>
      <c r="I4203" s="21">
        <f>Data!C4215</f>
        <v>0</v>
      </c>
      <c r="J4203">
        <f>Data!D4215</f>
        <v>0</v>
      </c>
      <c r="K4203">
        <f>Data!E4215</f>
        <v>0</v>
      </c>
      <c r="L4203">
        <f>Data!F4215</f>
        <v>0</v>
      </c>
      <c r="M4203">
        <f>Data!G4215</f>
        <v>0</v>
      </c>
      <c r="N4203">
        <f>Data!H4215</f>
        <v>0</v>
      </c>
      <c r="O4203">
        <f>Data!I4215</f>
        <v>0</v>
      </c>
      <c r="P4203" s="21">
        <f>Data!J4219</f>
        <v>0</v>
      </c>
      <c r="Q4203">
        <f>Data!K4219</f>
        <v>0</v>
      </c>
      <c r="R4203">
        <f>Data!L4219</f>
        <v>0</v>
      </c>
      <c r="S4203">
        <f>Data!M4219</f>
        <v>0</v>
      </c>
      <c r="T4203">
        <f>Data!N4219</f>
        <v>0</v>
      </c>
      <c r="U4203">
        <f>Data!O4219</f>
        <v>0</v>
      </c>
      <c r="V4203" s="33">
        <f>Data!P4217</f>
        <v>0</v>
      </c>
    </row>
    <row r="4204" spans="7:22" x14ac:dyDescent="0.25">
      <c r="G4204">
        <f>Data!B4216</f>
        <v>0</v>
      </c>
      <c r="H4204" s="21">
        <f>Data!B4216</f>
        <v>0</v>
      </c>
      <c r="I4204" s="21">
        <f>Data!C4216</f>
        <v>0</v>
      </c>
      <c r="J4204">
        <f>Data!D4216</f>
        <v>0</v>
      </c>
      <c r="K4204">
        <f>Data!E4216</f>
        <v>0</v>
      </c>
      <c r="L4204">
        <f>Data!F4216</f>
        <v>0</v>
      </c>
      <c r="M4204">
        <f>Data!G4216</f>
        <v>0</v>
      </c>
      <c r="N4204">
        <f>Data!H4216</f>
        <v>0</v>
      </c>
      <c r="O4204">
        <f>Data!I4216</f>
        <v>0</v>
      </c>
      <c r="P4204" s="21">
        <f>Data!J4220</f>
        <v>0</v>
      </c>
      <c r="Q4204">
        <f>Data!K4220</f>
        <v>0</v>
      </c>
      <c r="R4204">
        <f>Data!L4220</f>
        <v>0</v>
      </c>
      <c r="S4204">
        <f>Data!M4220</f>
        <v>0</v>
      </c>
      <c r="T4204">
        <f>Data!N4220</f>
        <v>0</v>
      </c>
      <c r="U4204">
        <f>Data!O4220</f>
        <v>0</v>
      </c>
      <c r="V4204" s="33">
        <f>Data!P4218</f>
        <v>0</v>
      </c>
    </row>
    <row r="4205" spans="7:22" x14ac:dyDescent="0.25">
      <c r="G4205">
        <f>Data!B4217</f>
        <v>0</v>
      </c>
      <c r="H4205" s="21">
        <f>Data!B4217</f>
        <v>0</v>
      </c>
      <c r="I4205" s="21">
        <f>Data!C4217</f>
        <v>0</v>
      </c>
      <c r="J4205">
        <f>Data!D4217</f>
        <v>0</v>
      </c>
      <c r="K4205">
        <f>Data!E4217</f>
        <v>0</v>
      </c>
      <c r="L4205">
        <f>Data!F4217</f>
        <v>0</v>
      </c>
      <c r="M4205">
        <f>Data!G4217</f>
        <v>0</v>
      </c>
      <c r="N4205">
        <f>Data!H4217</f>
        <v>0</v>
      </c>
      <c r="O4205">
        <f>Data!I4217</f>
        <v>0</v>
      </c>
      <c r="P4205" s="21">
        <f>Data!J4221</f>
        <v>0</v>
      </c>
      <c r="Q4205">
        <f>Data!K4221</f>
        <v>0</v>
      </c>
      <c r="R4205">
        <f>Data!L4221</f>
        <v>0</v>
      </c>
      <c r="S4205">
        <f>Data!M4221</f>
        <v>0</v>
      </c>
      <c r="T4205">
        <f>Data!N4221</f>
        <v>0</v>
      </c>
      <c r="U4205">
        <f>Data!O4221</f>
        <v>0</v>
      </c>
      <c r="V4205" s="33">
        <f>Data!P4219</f>
        <v>0</v>
      </c>
    </row>
    <row r="4206" spans="7:22" x14ac:dyDescent="0.25">
      <c r="G4206">
        <f>Data!B4218</f>
        <v>0</v>
      </c>
      <c r="H4206" s="21">
        <f>Data!B4218</f>
        <v>0</v>
      </c>
      <c r="I4206" s="21">
        <f>Data!C4218</f>
        <v>0</v>
      </c>
      <c r="J4206">
        <f>Data!D4218</f>
        <v>0</v>
      </c>
      <c r="K4206">
        <f>Data!E4218</f>
        <v>0</v>
      </c>
      <c r="L4206">
        <f>Data!F4218</f>
        <v>0</v>
      </c>
      <c r="M4206">
        <f>Data!G4218</f>
        <v>0</v>
      </c>
      <c r="N4206">
        <f>Data!H4218</f>
        <v>0</v>
      </c>
      <c r="O4206">
        <f>Data!I4218</f>
        <v>0</v>
      </c>
      <c r="P4206" s="21">
        <f>Data!J4222</f>
        <v>0</v>
      </c>
      <c r="Q4206">
        <f>Data!K4222</f>
        <v>0</v>
      </c>
      <c r="R4206">
        <f>Data!L4222</f>
        <v>0</v>
      </c>
      <c r="S4206">
        <f>Data!M4222</f>
        <v>0</v>
      </c>
      <c r="T4206">
        <f>Data!N4222</f>
        <v>0</v>
      </c>
      <c r="U4206">
        <f>Data!O4222</f>
        <v>0</v>
      </c>
      <c r="V4206" s="33">
        <f>Data!P4220</f>
        <v>0</v>
      </c>
    </row>
    <row r="4207" spans="7:22" x14ac:dyDescent="0.25">
      <c r="G4207">
        <f>Data!B4219</f>
        <v>0</v>
      </c>
      <c r="H4207" s="21">
        <f>Data!B4219</f>
        <v>0</v>
      </c>
      <c r="I4207" s="21">
        <f>Data!C4219</f>
        <v>0</v>
      </c>
      <c r="J4207">
        <f>Data!D4219</f>
        <v>0</v>
      </c>
      <c r="K4207">
        <f>Data!E4219</f>
        <v>0</v>
      </c>
      <c r="L4207">
        <f>Data!F4219</f>
        <v>0</v>
      </c>
      <c r="M4207">
        <f>Data!G4219</f>
        <v>0</v>
      </c>
      <c r="N4207">
        <f>Data!H4219</f>
        <v>0</v>
      </c>
      <c r="O4207">
        <f>Data!I4219</f>
        <v>0</v>
      </c>
      <c r="P4207" s="21">
        <f>Data!J4223</f>
        <v>0</v>
      </c>
      <c r="Q4207">
        <f>Data!K4223</f>
        <v>0</v>
      </c>
      <c r="R4207">
        <f>Data!L4223</f>
        <v>0</v>
      </c>
      <c r="S4207">
        <f>Data!M4223</f>
        <v>0</v>
      </c>
      <c r="T4207">
        <f>Data!N4223</f>
        <v>0</v>
      </c>
      <c r="U4207">
        <f>Data!O4223</f>
        <v>0</v>
      </c>
      <c r="V4207" s="33">
        <f>Data!P4221</f>
        <v>0</v>
      </c>
    </row>
    <row r="4208" spans="7:22" x14ac:dyDescent="0.25">
      <c r="G4208">
        <f>Data!B4220</f>
        <v>0</v>
      </c>
      <c r="H4208" s="21">
        <f>Data!B4220</f>
        <v>0</v>
      </c>
      <c r="I4208" s="21">
        <f>Data!C4220</f>
        <v>0</v>
      </c>
      <c r="J4208">
        <f>Data!D4220</f>
        <v>0</v>
      </c>
      <c r="K4208">
        <f>Data!E4220</f>
        <v>0</v>
      </c>
      <c r="L4208">
        <f>Data!F4220</f>
        <v>0</v>
      </c>
      <c r="M4208">
        <f>Data!G4220</f>
        <v>0</v>
      </c>
      <c r="N4208">
        <f>Data!H4220</f>
        <v>0</v>
      </c>
      <c r="O4208">
        <f>Data!I4220</f>
        <v>0</v>
      </c>
      <c r="P4208" s="21">
        <f>Data!J4224</f>
        <v>0</v>
      </c>
      <c r="Q4208">
        <f>Data!K4224</f>
        <v>0</v>
      </c>
      <c r="R4208">
        <f>Data!L4224</f>
        <v>0</v>
      </c>
      <c r="S4208">
        <f>Data!M4224</f>
        <v>0</v>
      </c>
      <c r="T4208">
        <f>Data!N4224</f>
        <v>0</v>
      </c>
      <c r="U4208">
        <f>Data!O4224</f>
        <v>0</v>
      </c>
      <c r="V4208" s="33">
        <f>Data!P4222</f>
        <v>0</v>
      </c>
    </row>
    <row r="4209" spans="7:22" x14ac:dyDescent="0.25">
      <c r="G4209">
        <f>Data!B4221</f>
        <v>0</v>
      </c>
      <c r="H4209" s="21">
        <f>Data!B4221</f>
        <v>0</v>
      </c>
      <c r="I4209" s="21">
        <f>Data!C4221</f>
        <v>0</v>
      </c>
      <c r="J4209">
        <f>Data!D4221</f>
        <v>0</v>
      </c>
      <c r="K4209">
        <f>Data!E4221</f>
        <v>0</v>
      </c>
      <c r="L4209">
        <f>Data!F4221</f>
        <v>0</v>
      </c>
      <c r="M4209">
        <f>Data!G4221</f>
        <v>0</v>
      </c>
      <c r="N4209">
        <f>Data!H4221</f>
        <v>0</v>
      </c>
      <c r="O4209">
        <f>Data!I4221</f>
        <v>0</v>
      </c>
      <c r="P4209" s="21">
        <f>Data!J4225</f>
        <v>0</v>
      </c>
      <c r="Q4209">
        <f>Data!K4225</f>
        <v>0</v>
      </c>
      <c r="R4209">
        <f>Data!L4225</f>
        <v>0</v>
      </c>
      <c r="S4209">
        <f>Data!M4225</f>
        <v>0</v>
      </c>
      <c r="T4209">
        <f>Data!N4225</f>
        <v>0</v>
      </c>
      <c r="U4209">
        <f>Data!O4225</f>
        <v>0</v>
      </c>
      <c r="V4209" s="33">
        <f>Data!P4223</f>
        <v>0</v>
      </c>
    </row>
    <row r="4210" spans="7:22" x14ac:dyDescent="0.25">
      <c r="G4210">
        <f>Data!B4222</f>
        <v>0</v>
      </c>
      <c r="H4210" s="21">
        <f>Data!B4222</f>
        <v>0</v>
      </c>
      <c r="I4210" s="21">
        <f>Data!C4222</f>
        <v>0</v>
      </c>
      <c r="J4210">
        <f>Data!D4222</f>
        <v>0</v>
      </c>
      <c r="K4210">
        <f>Data!E4222</f>
        <v>0</v>
      </c>
      <c r="L4210">
        <f>Data!F4222</f>
        <v>0</v>
      </c>
      <c r="M4210">
        <f>Data!G4222</f>
        <v>0</v>
      </c>
      <c r="N4210">
        <f>Data!H4222</f>
        <v>0</v>
      </c>
      <c r="O4210">
        <f>Data!I4222</f>
        <v>0</v>
      </c>
      <c r="P4210" s="21">
        <f>Data!J4226</f>
        <v>0</v>
      </c>
      <c r="Q4210">
        <f>Data!K4226</f>
        <v>0</v>
      </c>
      <c r="R4210">
        <f>Data!L4226</f>
        <v>0</v>
      </c>
      <c r="S4210">
        <f>Data!M4226</f>
        <v>0</v>
      </c>
      <c r="T4210">
        <f>Data!N4226</f>
        <v>0</v>
      </c>
      <c r="U4210">
        <f>Data!O4226</f>
        <v>0</v>
      </c>
      <c r="V4210" s="33">
        <f>Data!P4224</f>
        <v>0</v>
      </c>
    </row>
    <row r="4211" spans="7:22" x14ac:dyDescent="0.25">
      <c r="G4211">
        <f>Data!B4223</f>
        <v>0</v>
      </c>
      <c r="H4211" s="21">
        <f>Data!B4223</f>
        <v>0</v>
      </c>
      <c r="I4211" s="21">
        <f>Data!C4223</f>
        <v>0</v>
      </c>
      <c r="J4211">
        <f>Data!D4223</f>
        <v>0</v>
      </c>
      <c r="K4211">
        <f>Data!E4223</f>
        <v>0</v>
      </c>
      <c r="L4211">
        <f>Data!F4223</f>
        <v>0</v>
      </c>
      <c r="M4211">
        <f>Data!G4223</f>
        <v>0</v>
      </c>
      <c r="N4211">
        <f>Data!H4223</f>
        <v>0</v>
      </c>
      <c r="O4211">
        <f>Data!I4223</f>
        <v>0</v>
      </c>
      <c r="P4211" s="21">
        <f>Data!J4227</f>
        <v>0</v>
      </c>
      <c r="Q4211">
        <f>Data!K4227</f>
        <v>0</v>
      </c>
      <c r="R4211">
        <f>Data!L4227</f>
        <v>0</v>
      </c>
      <c r="S4211">
        <f>Data!M4227</f>
        <v>0</v>
      </c>
      <c r="T4211">
        <f>Data!N4227</f>
        <v>0</v>
      </c>
      <c r="U4211">
        <f>Data!O4227</f>
        <v>0</v>
      </c>
      <c r="V4211" s="33">
        <f>Data!P4225</f>
        <v>0</v>
      </c>
    </row>
    <row r="4212" spans="7:22" x14ac:dyDescent="0.25">
      <c r="G4212">
        <f>Data!B4224</f>
        <v>0</v>
      </c>
      <c r="H4212" s="21">
        <f>Data!B4224</f>
        <v>0</v>
      </c>
      <c r="I4212" s="21">
        <f>Data!C4224</f>
        <v>0</v>
      </c>
      <c r="J4212">
        <f>Data!D4224</f>
        <v>0</v>
      </c>
      <c r="K4212">
        <f>Data!E4224</f>
        <v>0</v>
      </c>
      <c r="L4212">
        <f>Data!F4224</f>
        <v>0</v>
      </c>
      <c r="M4212">
        <f>Data!G4224</f>
        <v>0</v>
      </c>
      <c r="N4212">
        <f>Data!H4224</f>
        <v>0</v>
      </c>
      <c r="O4212">
        <f>Data!I4224</f>
        <v>0</v>
      </c>
      <c r="P4212" s="21">
        <f>Data!J4228</f>
        <v>0</v>
      </c>
      <c r="Q4212">
        <f>Data!K4228</f>
        <v>0</v>
      </c>
      <c r="R4212">
        <f>Data!L4228</f>
        <v>0</v>
      </c>
      <c r="S4212">
        <f>Data!M4228</f>
        <v>0</v>
      </c>
      <c r="T4212">
        <f>Data!N4228</f>
        <v>0</v>
      </c>
      <c r="U4212">
        <f>Data!O4228</f>
        <v>0</v>
      </c>
      <c r="V4212" s="33">
        <f>Data!P4226</f>
        <v>0</v>
      </c>
    </row>
    <row r="4213" spans="7:22" x14ac:dyDescent="0.25">
      <c r="G4213">
        <f>Data!B4225</f>
        <v>0</v>
      </c>
      <c r="H4213" s="21">
        <f>Data!B4225</f>
        <v>0</v>
      </c>
      <c r="I4213" s="21">
        <f>Data!C4225</f>
        <v>0</v>
      </c>
      <c r="J4213">
        <f>Data!D4225</f>
        <v>0</v>
      </c>
      <c r="K4213">
        <f>Data!E4225</f>
        <v>0</v>
      </c>
      <c r="L4213">
        <f>Data!F4225</f>
        <v>0</v>
      </c>
      <c r="M4213">
        <f>Data!G4225</f>
        <v>0</v>
      </c>
      <c r="N4213">
        <f>Data!H4225</f>
        <v>0</v>
      </c>
      <c r="O4213">
        <f>Data!I4225</f>
        <v>0</v>
      </c>
      <c r="P4213" s="21">
        <f>Data!J4229</f>
        <v>0</v>
      </c>
      <c r="Q4213">
        <f>Data!K4229</f>
        <v>0</v>
      </c>
      <c r="R4213">
        <f>Data!L4229</f>
        <v>0</v>
      </c>
      <c r="S4213">
        <f>Data!M4229</f>
        <v>0</v>
      </c>
      <c r="T4213">
        <f>Data!N4229</f>
        <v>0</v>
      </c>
      <c r="U4213">
        <f>Data!O4229</f>
        <v>0</v>
      </c>
      <c r="V4213" s="33">
        <f>Data!P4227</f>
        <v>0</v>
      </c>
    </row>
    <row r="4214" spans="7:22" x14ac:dyDescent="0.25">
      <c r="G4214">
        <f>Data!B4226</f>
        <v>0</v>
      </c>
      <c r="H4214" s="21">
        <f>Data!B4226</f>
        <v>0</v>
      </c>
      <c r="I4214" s="21">
        <f>Data!C4226</f>
        <v>0</v>
      </c>
      <c r="J4214">
        <f>Data!D4226</f>
        <v>0</v>
      </c>
      <c r="K4214">
        <f>Data!E4226</f>
        <v>0</v>
      </c>
      <c r="L4214">
        <f>Data!F4226</f>
        <v>0</v>
      </c>
      <c r="M4214">
        <f>Data!G4226</f>
        <v>0</v>
      </c>
      <c r="N4214">
        <f>Data!H4226</f>
        <v>0</v>
      </c>
      <c r="O4214">
        <f>Data!I4226</f>
        <v>0</v>
      </c>
      <c r="P4214" s="21">
        <f>Data!J4230</f>
        <v>0</v>
      </c>
      <c r="Q4214">
        <f>Data!K4230</f>
        <v>0</v>
      </c>
      <c r="R4214">
        <f>Data!L4230</f>
        <v>0</v>
      </c>
      <c r="S4214">
        <f>Data!M4230</f>
        <v>0</v>
      </c>
      <c r="T4214">
        <f>Data!N4230</f>
        <v>0</v>
      </c>
      <c r="U4214">
        <f>Data!O4230</f>
        <v>0</v>
      </c>
      <c r="V4214" s="33">
        <f>Data!P4228</f>
        <v>0</v>
      </c>
    </row>
    <row r="4215" spans="7:22" x14ac:dyDescent="0.25">
      <c r="G4215">
        <f>Data!B4227</f>
        <v>0</v>
      </c>
      <c r="H4215" s="21">
        <f>Data!B4227</f>
        <v>0</v>
      </c>
      <c r="I4215" s="21">
        <f>Data!C4227</f>
        <v>0</v>
      </c>
      <c r="J4215">
        <f>Data!D4227</f>
        <v>0</v>
      </c>
      <c r="K4215">
        <f>Data!E4227</f>
        <v>0</v>
      </c>
      <c r="L4215">
        <f>Data!F4227</f>
        <v>0</v>
      </c>
      <c r="M4215">
        <f>Data!G4227</f>
        <v>0</v>
      </c>
      <c r="N4215">
        <f>Data!H4227</f>
        <v>0</v>
      </c>
      <c r="O4215">
        <f>Data!I4227</f>
        <v>0</v>
      </c>
      <c r="P4215" s="21">
        <f>Data!J4231</f>
        <v>0</v>
      </c>
      <c r="Q4215">
        <f>Data!K4231</f>
        <v>0</v>
      </c>
      <c r="R4215">
        <f>Data!L4231</f>
        <v>0</v>
      </c>
      <c r="S4215">
        <f>Data!M4231</f>
        <v>0</v>
      </c>
      <c r="T4215">
        <f>Data!N4231</f>
        <v>0</v>
      </c>
      <c r="U4215">
        <f>Data!O4231</f>
        <v>0</v>
      </c>
      <c r="V4215" s="33">
        <f>Data!P4229</f>
        <v>0</v>
      </c>
    </row>
    <row r="4216" spans="7:22" x14ac:dyDescent="0.25">
      <c r="G4216">
        <f>Data!B4228</f>
        <v>0</v>
      </c>
      <c r="H4216" s="21">
        <f>Data!B4228</f>
        <v>0</v>
      </c>
      <c r="I4216" s="21">
        <f>Data!C4228</f>
        <v>0</v>
      </c>
      <c r="J4216">
        <f>Data!D4228</f>
        <v>0</v>
      </c>
      <c r="K4216">
        <f>Data!E4228</f>
        <v>0</v>
      </c>
      <c r="L4216">
        <f>Data!F4228</f>
        <v>0</v>
      </c>
      <c r="M4216">
        <f>Data!G4228</f>
        <v>0</v>
      </c>
      <c r="N4216">
        <f>Data!H4228</f>
        <v>0</v>
      </c>
      <c r="O4216">
        <f>Data!I4228</f>
        <v>0</v>
      </c>
      <c r="P4216" s="21">
        <f>Data!J4232</f>
        <v>0</v>
      </c>
      <c r="Q4216">
        <f>Data!K4232</f>
        <v>0</v>
      </c>
      <c r="R4216">
        <f>Data!L4232</f>
        <v>0</v>
      </c>
      <c r="S4216">
        <f>Data!M4232</f>
        <v>0</v>
      </c>
      <c r="T4216">
        <f>Data!N4232</f>
        <v>0</v>
      </c>
      <c r="U4216">
        <f>Data!O4232</f>
        <v>0</v>
      </c>
      <c r="V4216" s="33">
        <f>Data!P4230</f>
        <v>0</v>
      </c>
    </row>
    <row r="4217" spans="7:22" x14ac:dyDescent="0.25">
      <c r="G4217">
        <f>Data!B4229</f>
        <v>0</v>
      </c>
      <c r="H4217" s="21">
        <f>Data!B4229</f>
        <v>0</v>
      </c>
      <c r="I4217" s="21">
        <f>Data!C4229</f>
        <v>0</v>
      </c>
      <c r="J4217">
        <f>Data!D4229</f>
        <v>0</v>
      </c>
      <c r="K4217">
        <f>Data!E4229</f>
        <v>0</v>
      </c>
      <c r="L4217">
        <f>Data!F4229</f>
        <v>0</v>
      </c>
      <c r="M4217">
        <f>Data!G4229</f>
        <v>0</v>
      </c>
      <c r="N4217">
        <f>Data!H4229</f>
        <v>0</v>
      </c>
      <c r="O4217">
        <f>Data!I4229</f>
        <v>0</v>
      </c>
      <c r="P4217" s="21">
        <f>Data!J4233</f>
        <v>0</v>
      </c>
      <c r="Q4217">
        <f>Data!K4233</f>
        <v>0</v>
      </c>
      <c r="R4217">
        <f>Data!L4233</f>
        <v>0</v>
      </c>
      <c r="S4217">
        <f>Data!M4233</f>
        <v>0</v>
      </c>
      <c r="T4217">
        <f>Data!N4233</f>
        <v>0</v>
      </c>
      <c r="U4217">
        <f>Data!O4233</f>
        <v>0</v>
      </c>
      <c r="V4217" s="33">
        <f>Data!P4231</f>
        <v>0</v>
      </c>
    </row>
    <row r="4218" spans="7:22" x14ac:dyDescent="0.25">
      <c r="G4218">
        <f>Data!B4230</f>
        <v>0</v>
      </c>
      <c r="H4218" s="21">
        <f>Data!B4230</f>
        <v>0</v>
      </c>
      <c r="I4218" s="21">
        <f>Data!C4230</f>
        <v>0</v>
      </c>
      <c r="J4218">
        <f>Data!D4230</f>
        <v>0</v>
      </c>
      <c r="K4218">
        <f>Data!E4230</f>
        <v>0</v>
      </c>
      <c r="L4218">
        <f>Data!F4230</f>
        <v>0</v>
      </c>
      <c r="M4218">
        <f>Data!G4230</f>
        <v>0</v>
      </c>
      <c r="N4218">
        <f>Data!H4230</f>
        <v>0</v>
      </c>
      <c r="O4218">
        <f>Data!I4230</f>
        <v>0</v>
      </c>
      <c r="P4218" s="21">
        <f>Data!J4234</f>
        <v>0</v>
      </c>
      <c r="Q4218">
        <f>Data!K4234</f>
        <v>0</v>
      </c>
      <c r="R4218">
        <f>Data!L4234</f>
        <v>0</v>
      </c>
      <c r="S4218">
        <f>Data!M4234</f>
        <v>0</v>
      </c>
      <c r="T4218">
        <f>Data!N4234</f>
        <v>0</v>
      </c>
      <c r="U4218">
        <f>Data!O4234</f>
        <v>0</v>
      </c>
      <c r="V4218" s="33">
        <f>Data!P4232</f>
        <v>0</v>
      </c>
    </row>
    <row r="4219" spans="7:22" x14ac:dyDescent="0.25">
      <c r="G4219">
        <f>Data!B4231</f>
        <v>0</v>
      </c>
      <c r="H4219" s="21">
        <f>Data!B4231</f>
        <v>0</v>
      </c>
      <c r="I4219" s="21">
        <f>Data!C4231</f>
        <v>0</v>
      </c>
      <c r="J4219">
        <f>Data!D4231</f>
        <v>0</v>
      </c>
      <c r="K4219">
        <f>Data!E4231</f>
        <v>0</v>
      </c>
      <c r="L4219">
        <f>Data!F4231</f>
        <v>0</v>
      </c>
      <c r="M4219">
        <f>Data!G4231</f>
        <v>0</v>
      </c>
      <c r="N4219">
        <f>Data!H4231</f>
        <v>0</v>
      </c>
      <c r="O4219">
        <f>Data!I4231</f>
        <v>0</v>
      </c>
      <c r="P4219" s="21">
        <f>Data!J4235</f>
        <v>0</v>
      </c>
      <c r="Q4219">
        <f>Data!K4235</f>
        <v>0</v>
      </c>
      <c r="R4219">
        <f>Data!L4235</f>
        <v>0</v>
      </c>
      <c r="S4219">
        <f>Data!M4235</f>
        <v>0</v>
      </c>
      <c r="T4219">
        <f>Data!N4235</f>
        <v>0</v>
      </c>
      <c r="U4219">
        <f>Data!O4235</f>
        <v>0</v>
      </c>
      <c r="V4219" s="33">
        <f>Data!P4233</f>
        <v>0</v>
      </c>
    </row>
    <row r="4220" spans="7:22" x14ac:dyDescent="0.25">
      <c r="G4220">
        <f>Data!B4232</f>
        <v>0</v>
      </c>
      <c r="H4220" s="21">
        <f>Data!B4232</f>
        <v>0</v>
      </c>
      <c r="I4220" s="21">
        <f>Data!C4232</f>
        <v>0</v>
      </c>
      <c r="J4220">
        <f>Data!D4232</f>
        <v>0</v>
      </c>
      <c r="K4220">
        <f>Data!E4232</f>
        <v>0</v>
      </c>
      <c r="L4220">
        <f>Data!F4232</f>
        <v>0</v>
      </c>
      <c r="M4220">
        <f>Data!G4232</f>
        <v>0</v>
      </c>
      <c r="N4220">
        <f>Data!H4232</f>
        <v>0</v>
      </c>
      <c r="O4220">
        <f>Data!I4232</f>
        <v>0</v>
      </c>
      <c r="P4220" s="21">
        <f>Data!J4236</f>
        <v>0</v>
      </c>
      <c r="Q4220">
        <f>Data!K4236</f>
        <v>0</v>
      </c>
      <c r="R4220">
        <f>Data!L4236</f>
        <v>0</v>
      </c>
      <c r="S4220">
        <f>Data!M4236</f>
        <v>0</v>
      </c>
      <c r="T4220">
        <f>Data!N4236</f>
        <v>0</v>
      </c>
      <c r="U4220">
        <f>Data!O4236</f>
        <v>0</v>
      </c>
      <c r="V4220" s="33">
        <f>Data!P4234</f>
        <v>0</v>
      </c>
    </row>
    <row r="4221" spans="7:22" x14ac:dyDescent="0.25">
      <c r="G4221">
        <f>Data!B4233</f>
        <v>0</v>
      </c>
      <c r="H4221" s="21">
        <f>Data!B4233</f>
        <v>0</v>
      </c>
      <c r="I4221" s="21">
        <f>Data!C4233</f>
        <v>0</v>
      </c>
      <c r="J4221">
        <f>Data!D4233</f>
        <v>0</v>
      </c>
      <c r="K4221">
        <f>Data!E4233</f>
        <v>0</v>
      </c>
      <c r="L4221">
        <f>Data!F4233</f>
        <v>0</v>
      </c>
      <c r="M4221">
        <f>Data!G4233</f>
        <v>0</v>
      </c>
      <c r="N4221">
        <f>Data!H4233</f>
        <v>0</v>
      </c>
      <c r="O4221">
        <f>Data!I4233</f>
        <v>0</v>
      </c>
      <c r="P4221" s="21">
        <f>Data!J4237</f>
        <v>0</v>
      </c>
      <c r="Q4221">
        <f>Data!K4237</f>
        <v>0</v>
      </c>
      <c r="R4221">
        <f>Data!L4237</f>
        <v>0</v>
      </c>
      <c r="S4221">
        <f>Data!M4237</f>
        <v>0</v>
      </c>
      <c r="T4221">
        <f>Data!N4237</f>
        <v>0</v>
      </c>
      <c r="U4221">
        <f>Data!O4237</f>
        <v>0</v>
      </c>
      <c r="V4221" s="33">
        <f>Data!P4235</f>
        <v>0</v>
      </c>
    </row>
    <row r="4222" spans="7:22" x14ac:dyDescent="0.25">
      <c r="G4222">
        <f>Data!B4234</f>
        <v>0</v>
      </c>
      <c r="H4222" s="21">
        <f>Data!B4234</f>
        <v>0</v>
      </c>
      <c r="I4222" s="21">
        <f>Data!C4234</f>
        <v>0</v>
      </c>
      <c r="J4222">
        <f>Data!D4234</f>
        <v>0</v>
      </c>
      <c r="K4222">
        <f>Data!E4234</f>
        <v>0</v>
      </c>
      <c r="L4222">
        <f>Data!F4234</f>
        <v>0</v>
      </c>
      <c r="M4222">
        <f>Data!G4234</f>
        <v>0</v>
      </c>
      <c r="N4222">
        <f>Data!H4234</f>
        <v>0</v>
      </c>
      <c r="O4222">
        <f>Data!I4234</f>
        <v>0</v>
      </c>
      <c r="P4222" s="21">
        <f>Data!J4238</f>
        <v>0</v>
      </c>
      <c r="Q4222">
        <f>Data!K4238</f>
        <v>0</v>
      </c>
      <c r="R4222">
        <f>Data!L4238</f>
        <v>0</v>
      </c>
      <c r="S4222">
        <f>Data!M4238</f>
        <v>0</v>
      </c>
      <c r="T4222">
        <f>Data!N4238</f>
        <v>0</v>
      </c>
      <c r="U4222">
        <f>Data!O4238</f>
        <v>0</v>
      </c>
      <c r="V4222" s="33">
        <f>Data!P4236</f>
        <v>0</v>
      </c>
    </row>
    <row r="4223" spans="7:22" x14ac:dyDescent="0.25">
      <c r="G4223">
        <f>Data!B4235</f>
        <v>0</v>
      </c>
      <c r="H4223" s="21">
        <f>Data!B4235</f>
        <v>0</v>
      </c>
      <c r="I4223" s="21">
        <f>Data!C4235</f>
        <v>0</v>
      </c>
      <c r="J4223">
        <f>Data!D4235</f>
        <v>0</v>
      </c>
      <c r="K4223">
        <f>Data!E4235</f>
        <v>0</v>
      </c>
      <c r="L4223">
        <f>Data!F4235</f>
        <v>0</v>
      </c>
      <c r="M4223">
        <f>Data!G4235</f>
        <v>0</v>
      </c>
      <c r="N4223">
        <f>Data!H4235</f>
        <v>0</v>
      </c>
      <c r="O4223">
        <f>Data!I4235</f>
        <v>0</v>
      </c>
      <c r="P4223" s="21">
        <f>Data!J4239</f>
        <v>0</v>
      </c>
      <c r="Q4223">
        <f>Data!K4239</f>
        <v>0</v>
      </c>
      <c r="R4223">
        <f>Data!L4239</f>
        <v>0</v>
      </c>
      <c r="S4223">
        <f>Data!M4239</f>
        <v>0</v>
      </c>
      <c r="T4223">
        <f>Data!N4239</f>
        <v>0</v>
      </c>
      <c r="U4223">
        <f>Data!O4239</f>
        <v>0</v>
      </c>
      <c r="V4223" s="33">
        <f>Data!P4237</f>
        <v>0</v>
      </c>
    </row>
    <row r="4224" spans="7:22" x14ac:dyDescent="0.25">
      <c r="G4224">
        <f>Data!B4236</f>
        <v>0</v>
      </c>
      <c r="H4224" s="21">
        <f>Data!B4236</f>
        <v>0</v>
      </c>
      <c r="I4224" s="21">
        <f>Data!C4236</f>
        <v>0</v>
      </c>
      <c r="J4224">
        <f>Data!D4236</f>
        <v>0</v>
      </c>
      <c r="K4224">
        <f>Data!E4236</f>
        <v>0</v>
      </c>
      <c r="L4224">
        <f>Data!F4236</f>
        <v>0</v>
      </c>
      <c r="M4224">
        <f>Data!G4236</f>
        <v>0</v>
      </c>
      <c r="N4224">
        <f>Data!H4236</f>
        <v>0</v>
      </c>
      <c r="O4224">
        <f>Data!I4236</f>
        <v>0</v>
      </c>
      <c r="P4224" s="21">
        <f>Data!J4240</f>
        <v>0</v>
      </c>
      <c r="Q4224">
        <f>Data!K4240</f>
        <v>0</v>
      </c>
      <c r="R4224">
        <f>Data!L4240</f>
        <v>0</v>
      </c>
      <c r="S4224">
        <f>Data!M4240</f>
        <v>0</v>
      </c>
      <c r="T4224">
        <f>Data!N4240</f>
        <v>0</v>
      </c>
      <c r="U4224">
        <f>Data!O4240</f>
        <v>0</v>
      </c>
      <c r="V4224" s="33">
        <f>Data!P4238</f>
        <v>0</v>
      </c>
    </row>
    <row r="4225" spans="7:22" x14ac:dyDescent="0.25">
      <c r="G4225">
        <f>Data!B4237</f>
        <v>0</v>
      </c>
      <c r="H4225" s="21">
        <f>Data!B4237</f>
        <v>0</v>
      </c>
      <c r="I4225" s="21">
        <f>Data!C4237</f>
        <v>0</v>
      </c>
      <c r="J4225">
        <f>Data!D4237</f>
        <v>0</v>
      </c>
      <c r="K4225">
        <f>Data!E4237</f>
        <v>0</v>
      </c>
      <c r="L4225">
        <f>Data!F4237</f>
        <v>0</v>
      </c>
      <c r="M4225">
        <f>Data!G4237</f>
        <v>0</v>
      </c>
      <c r="N4225">
        <f>Data!H4237</f>
        <v>0</v>
      </c>
      <c r="O4225">
        <f>Data!I4237</f>
        <v>0</v>
      </c>
      <c r="P4225" s="21">
        <f>Data!J4241</f>
        <v>0</v>
      </c>
      <c r="Q4225">
        <f>Data!K4241</f>
        <v>0</v>
      </c>
      <c r="R4225">
        <f>Data!L4241</f>
        <v>0</v>
      </c>
      <c r="S4225">
        <f>Data!M4241</f>
        <v>0</v>
      </c>
      <c r="T4225">
        <f>Data!N4241</f>
        <v>0</v>
      </c>
      <c r="U4225">
        <f>Data!O4241</f>
        <v>0</v>
      </c>
      <c r="V4225" s="33">
        <f>Data!P4239</f>
        <v>0</v>
      </c>
    </row>
    <row r="4226" spans="7:22" x14ac:dyDescent="0.25">
      <c r="G4226">
        <f>Data!B4238</f>
        <v>0</v>
      </c>
      <c r="H4226" s="21">
        <f>Data!B4238</f>
        <v>0</v>
      </c>
      <c r="I4226" s="21">
        <f>Data!C4238</f>
        <v>0</v>
      </c>
      <c r="J4226">
        <f>Data!D4238</f>
        <v>0</v>
      </c>
      <c r="K4226">
        <f>Data!E4238</f>
        <v>0</v>
      </c>
      <c r="L4226">
        <f>Data!F4238</f>
        <v>0</v>
      </c>
      <c r="M4226">
        <f>Data!G4238</f>
        <v>0</v>
      </c>
      <c r="N4226">
        <f>Data!H4238</f>
        <v>0</v>
      </c>
      <c r="O4226">
        <f>Data!I4238</f>
        <v>0</v>
      </c>
      <c r="P4226" s="21">
        <f>Data!J4242</f>
        <v>0</v>
      </c>
      <c r="Q4226">
        <f>Data!K4242</f>
        <v>0</v>
      </c>
      <c r="R4226">
        <f>Data!L4242</f>
        <v>0</v>
      </c>
      <c r="S4226">
        <f>Data!M4242</f>
        <v>0</v>
      </c>
      <c r="T4226">
        <f>Data!N4242</f>
        <v>0</v>
      </c>
      <c r="U4226">
        <f>Data!O4242</f>
        <v>0</v>
      </c>
      <c r="V4226" s="33">
        <f>Data!P4240</f>
        <v>0</v>
      </c>
    </row>
    <row r="4227" spans="7:22" x14ac:dyDescent="0.25">
      <c r="G4227">
        <f>Data!B4239</f>
        <v>0</v>
      </c>
      <c r="H4227" s="21">
        <f>Data!B4239</f>
        <v>0</v>
      </c>
      <c r="I4227" s="21">
        <f>Data!C4239</f>
        <v>0</v>
      </c>
      <c r="J4227">
        <f>Data!D4239</f>
        <v>0</v>
      </c>
      <c r="K4227">
        <f>Data!E4239</f>
        <v>0</v>
      </c>
      <c r="L4227">
        <f>Data!F4239</f>
        <v>0</v>
      </c>
      <c r="M4227">
        <f>Data!G4239</f>
        <v>0</v>
      </c>
      <c r="N4227">
        <f>Data!H4239</f>
        <v>0</v>
      </c>
      <c r="O4227">
        <f>Data!I4239</f>
        <v>0</v>
      </c>
      <c r="P4227" s="21">
        <f>Data!J4243</f>
        <v>0</v>
      </c>
      <c r="Q4227">
        <f>Data!K4243</f>
        <v>0</v>
      </c>
      <c r="R4227">
        <f>Data!L4243</f>
        <v>0</v>
      </c>
      <c r="S4227">
        <f>Data!M4243</f>
        <v>0</v>
      </c>
      <c r="T4227">
        <f>Data!N4243</f>
        <v>0</v>
      </c>
      <c r="U4227">
        <f>Data!O4243</f>
        <v>0</v>
      </c>
      <c r="V4227" s="33">
        <f>Data!P4241</f>
        <v>0</v>
      </c>
    </row>
    <row r="4228" spans="7:22" x14ac:dyDescent="0.25">
      <c r="G4228">
        <f>Data!B4240</f>
        <v>0</v>
      </c>
      <c r="H4228" s="21">
        <f>Data!B4240</f>
        <v>0</v>
      </c>
      <c r="I4228" s="21">
        <f>Data!C4240</f>
        <v>0</v>
      </c>
      <c r="J4228">
        <f>Data!D4240</f>
        <v>0</v>
      </c>
      <c r="K4228">
        <f>Data!E4240</f>
        <v>0</v>
      </c>
      <c r="L4228">
        <f>Data!F4240</f>
        <v>0</v>
      </c>
      <c r="M4228">
        <f>Data!G4240</f>
        <v>0</v>
      </c>
      <c r="N4228">
        <f>Data!H4240</f>
        <v>0</v>
      </c>
      <c r="O4228">
        <f>Data!I4240</f>
        <v>0</v>
      </c>
      <c r="P4228" s="21">
        <f>Data!J4244</f>
        <v>0</v>
      </c>
      <c r="Q4228">
        <f>Data!K4244</f>
        <v>0</v>
      </c>
      <c r="R4228">
        <f>Data!L4244</f>
        <v>0</v>
      </c>
      <c r="S4228">
        <f>Data!M4244</f>
        <v>0</v>
      </c>
      <c r="T4228">
        <f>Data!N4244</f>
        <v>0</v>
      </c>
      <c r="U4228">
        <f>Data!O4244</f>
        <v>0</v>
      </c>
      <c r="V4228" s="33">
        <f>Data!P4242</f>
        <v>0</v>
      </c>
    </row>
    <row r="4229" spans="7:22" x14ac:dyDescent="0.25">
      <c r="G4229">
        <f>Data!B4241</f>
        <v>0</v>
      </c>
      <c r="H4229" s="21">
        <f>Data!B4241</f>
        <v>0</v>
      </c>
      <c r="I4229" s="21">
        <f>Data!C4241</f>
        <v>0</v>
      </c>
      <c r="J4229">
        <f>Data!D4241</f>
        <v>0</v>
      </c>
      <c r="K4229">
        <f>Data!E4241</f>
        <v>0</v>
      </c>
      <c r="L4229">
        <f>Data!F4241</f>
        <v>0</v>
      </c>
      <c r="M4229">
        <f>Data!G4241</f>
        <v>0</v>
      </c>
      <c r="N4229">
        <f>Data!H4241</f>
        <v>0</v>
      </c>
      <c r="O4229">
        <f>Data!I4241</f>
        <v>0</v>
      </c>
      <c r="P4229" s="21">
        <f>Data!J4245</f>
        <v>0</v>
      </c>
      <c r="Q4229">
        <f>Data!K4245</f>
        <v>0</v>
      </c>
      <c r="R4229">
        <f>Data!L4245</f>
        <v>0</v>
      </c>
      <c r="S4229">
        <f>Data!M4245</f>
        <v>0</v>
      </c>
      <c r="T4229">
        <f>Data!N4245</f>
        <v>0</v>
      </c>
      <c r="U4229">
        <f>Data!O4245</f>
        <v>0</v>
      </c>
      <c r="V4229" s="33">
        <f>Data!P4243</f>
        <v>0</v>
      </c>
    </row>
    <row r="4230" spans="7:22" x14ac:dyDescent="0.25">
      <c r="G4230">
        <f>Data!B4242</f>
        <v>0</v>
      </c>
      <c r="H4230" s="21">
        <f>Data!B4242</f>
        <v>0</v>
      </c>
      <c r="I4230" s="21">
        <f>Data!C4242</f>
        <v>0</v>
      </c>
      <c r="J4230">
        <f>Data!D4242</f>
        <v>0</v>
      </c>
      <c r="K4230">
        <f>Data!E4242</f>
        <v>0</v>
      </c>
      <c r="L4230">
        <f>Data!F4242</f>
        <v>0</v>
      </c>
      <c r="M4230">
        <f>Data!G4242</f>
        <v>0</v>
      </c>
      <c r="N4230">
        <f>Data!H4242</f>
        <v>0</v>
      </c>
      <c r="O4230">
        <f>Data!I4242</f>
        <v>0</v>
      </c>
      <c r="P4230" s="21">
        <f>Data!J4246</f>
        <v>0</v>
      </c>
      <c r="Q4230">
        <f>Data!K4246</f>
        <v>0</v>
      </c>
      <c r="R4230">
        <f>Data!L4246</f>
        <v>0</v>
      </c>
      <c r="S4230">
        <f>Data!M4246</f>
        <v>0</v>
      </c>
      <c r="T4230">
        <f>Data!N4246</f>
        <v>0</v>
      </c>
      <c r="U4230">
        <f>Data!O4246</f>
        <v>0</v>
      </c>
      <c r="V4230" s="33">
        <f>Data!P4244</f>
        <v>0</v>
      </c>
    </row>
    <row r="4231" spans="7:22" x14ac:dyDescent="0.25">
      <c r="G4231">
        <f>Data!B4243</f>
        <v>0</v>
      </c>
      <c r="H4231" s="21">
        <f>Data!B4243</f>
        <v>0</v>
      </c>
      <c r="I4231" s="21">
        <f>Data!C4243</f>
        <v>0</v>
      </c>
      <c r="J4231">
        <f>Data!D4243</f>
        <v>0</v>
      </c>
      <c r="K4231">
        <f>Data!E4243</f>
        <v>0</v>
      </c>
      <c r="L4231">
        <f>Data!F4243</f>
        <v>0</v>
      </c>
      <c r="M4231">
        <f>Data!G4243</f>
        <v>0</v>
      </c>
      <c r="N4231">
        <f>Data!H4243</f>
        <v>0</v>
      </c>
      <c r="O4231">
        <f>Data!I4243</f>
        <v>0</v>
      </c>
      <c r="P4231" s="21">
        <f>Data!J4247</f>
        <v>0</v>
      </c>
      <c r="Q4231">
        <f>Data!K4247</f>
        <v>0</v>
      </c>
      <c r="R4231">
        <f>Data!L4247</f>
        <v>0</v>
      </c>
      <c r="S4231">
        <f>Data!M4247</f>
        <v>0</v>
      </c>
      <c r="T4231">
        <f>Data!N4247</f>
        <v>0</v>
      </c>
      <c r="U4231">
        <f>Data!O4247</f>
        <v>0</v>
      </c>
      <c r="V4231" s="33">
        <f>Data!P4245</f>
        <v>0</v>
      </c>
    </row>
    <row r="4232" spans="7:22" x14ac:dyDescent="0.25">
      <c r="G4232">
        <f>Data!B4244</f>
        <v>0</v>
      </c>
      <c r="H4232" s="21">
        <f>Data!B4244</f>
        <v>0</v>
      </c>
      <c r="I4232" s="21">
        <f>Data!C4244</f>
        <v>0</v>
      </c>
      <c r="J4232">
        <f>Data!D4244</f>
        <v>0</v>
      </c>
      <c r="K4232">
        <f>Data!E4244</f>
        <v>0</v>
      </c>
      <c r="L4232">
        <f>Data!F4244</f>
        <v>0</v>
      </c>
      <c r="M4232">
        <f>Data!G4244</f>
        <v>0</v>
      </c>
      <c r="N4232">
        <f>Data!H4244</f>
        <v>0</v>
      </c>
      <c r="O4232">
        <f>Data!I4244</f>
        <v>0</v>
      </c>
      <c r="P4232" s="21">
        <f>Data!J4248</f>
        <v>0</v>
      </c>
      <c r="Q4232">
        <f>Data!K4248</f>
        <v>0</v>
      </c>
      <c r="R4232">
        <f>Data!L4248</f>
        <v>0</v>
      </c>
      <c r="S4232">
        <f>Data!M4248</f>
        <v>0</v>
      </c>
      <c r="T4232">
        <f>Data!N4248</f>
        <v>0</v>
      </c>
      <c r="U4232">
        <f>Data!O4248</f>
        <v>0</v>
      </c>
      <c r="V4232" s="33">
        <f>Data!P4246</f>
        <v>0</v>
      </c>
    </row>
    <row r="4233" spans="7:22" x14ac:dyDescent="0.25">
      <c r="G4233">
        <f>Data!B4245</f>
        <v>0</v>
      </c>
      <c r="H4233" s="21">
        <f>Data!B4245</f>
        <v>0</v>
      </c>
      <c r="I4233" s="21">
        <f>Data!C4245</f>
        <v>0</v>
      </c>
      <c r="J4233">
        <f>Data!D4245</f>
        <v>0</v>
      </c>
      <c r="K4233">
        <f>Data!E4245</f>
        <v>0</v>
      </c>
      <c r="L4233">
        <f>Data!F4245</f>
        <v>0</v>
      </c>
      <c r="M4233">
        <f>Data!G4245</f>
        <v>0</v>
      </c>
      <c r="N4233">
        <f>Data!H4245</f>
        <v>0</v>
      </c>
      <c r="O4233">
        <f>Data!I4245</f>
        <v>0</v>
      </c>
      <c r="P4233" s="21">
        <f>Data!J4249</f>
        <v>0</v>
      </c>
      <c r="Q4233">
        <f>Data!K4249</f>
        <v>0</v>
      </c>
      <c r="R4233">
        <f>Data!L4249</f>
        <v>0</v>
      </c>
      <c r="S4233">
        <f>Data!M4249</f>
        <v>0</v>
      </c>
      <c r="T4233">
        <f>Data!N4249</f>
        <v>0</v>
      </c>
      <c r="U4233">
        <f>Data!O4249</f>
        <v>0</v>
      </c>
      <c r="V4233" s="33">
        <f>Data!P4247</f>
        <v>0</v>
      </c>
    </row>
    <row r="4234" spans="7:22" x14ac:dyDescent="0.25">
      <c r="G4234">
        <f>Data!B4246</f>
        <v>0</v>
      </c>
      <c r="H4234" s="21">
        <f>Data!B4246</f>
        <v>0</v>
      </c>
      <c r="I4234" s="21">
        <f>Data!C4246</f>
        <v>0</v>
      </c>
      <c r="J4234">
        <f>Data!D4246</f>
        <v>0</v>
      </c>
      <c r="K4234">
        <f>Data!E4246</f>
        <v>0</v>
      </c>
      <c r="L4234">
        <f>Data!F4246</f>
        <v>0</v>
      </c>
      <c r="M4234">
        <f>Data!G4246</f>
        <v>0</v>
      </c>
      <c r="N4234">
        <f>Data!H4246</f>
        <v>0</v>
      </c>
      <c r="O4234">
        <f>Data!I4246</f>
        <v>0</v>
      </c>
      <c r="P4234" s="21">
        <f>Data!J4250</f>
        <v>0</v>
      </c>
      <c r="Q4234">
        <f>Data!K4250</f>
        <v>0</v>
      </c>
      <c r="R4234">
        <f>Data!L4250</f>
        <v>0</v>
      </c>
      <c r="S4234">
        <f>Data!M4250</f>
        <v>0</v>
      </c>
      <c r="T4234">
        <f>Data!N4250</f>
        <v>0</v>
      </c>
      <c r="U4234">
        <f>Data!O4250</f>
        <v>0</v>
      </c>
      <c r="V4234" s="33">
        <f>Data!P4248</f>
        <v>0</v>
      </c>
    </row>
    <row r="4235" spans="7:22" x14ac:dyDescent="0.25">
      <c r="G4235">
        <f>Data!B4247</f>
        <v>0</v>
      </c>
      <c r="H4235" s="21">
        <f>Data!B4247</f>
        <v>0</v>
      </c>
      <c r="I4235" s="21">
        <f>Data!C4247</f>
        <v>0</v>
      </c>
      <c r="J4235">
        <f>Data!D4247</f>
        <v>0</v>
      </c>
      <c r="K4235">
        <f>Data!E4247</f>
        <v>0</v>
      </c>
      <c r="L4235">
        <f>Data!F4247</f>
        <v>0</v>
      </c>
      <c r="M4235">
        <f>Data!G4247</f>
        <v>0</v>
      </c>
      <c r="N4235">
        <f>Data!H4247</f>
        <v>0</v>
      </c>
      <c r="O4235">
        <f>Data!I4247</f>
        <v>0</v>
      </c>
      <c r="P4235" s="21">
        <f>Data!J4251</f>
        <v>0</v>
      </c>
      <c r="Q4235">
        <f>Data!K4251</f>
        <v>0</v>
      </c>
      <c r="R4235">
        <f>Data!L4251</f>
        <v>0</v>
      </c>
      <c r="S4235">
        <f>Data!M4251</f>
        <v>0</v>
      </c>
      <c r="T4235">
        <f>Data!N4251</f>
        <v>0</v>
      </c>
      <c r="U4235">
        <f>Data!O4251</f>
        <v>0</v>
      </c>
      <c r="V4235" s="33">
        <f>Data!P4249</f>
        <v>0</v>
      </c>
    </row>
    <row r="4236" spans="7:22" x14ac:dyDescent="0.25">
      <c r="G4236">
        <f>Data!B4248</f>
        <v>0</v>
      </c>
      <c r="H4236" s="21">
        <f>Data!B4248</f>
        <v>0</v>
      </c>
      <c r="I4236" s="21">
        <f>Data!C4248</f>
        <v>0</v>
      </c>
      <c r="J4236">
        <f>Data!D4248</f>
        <v>0</v>
      </c>
      <c r="K4236">
        <f>Data!E4248</f>
        <v>0</v>
      </c>
      <c r="L4236">
        <f>Data!F4248</f>
        <v>0</v>
      </c>
      <c r="M4236">
        <f>Data!G4248</f>
        <v>0</v>
      </c>
      <c r="N4236">
        <f>Data!H4248</f>
        <v>0</v>
      </c>
      <c r="O4236">
        <f>Data!I4248</f>
        <v>0</v>
      </c>
      <c r="P4236" s="21">
        <f>Data!J4252</f>
        <v>0</v>
      </c>
      <c r="Q4236">
        <f>Data!K4252</f>
        <v>0</v>
      </c>
      <c r="R4236">
        <f>Data!L4252</f>
        <v>0</v>
      </c>
      <c r="S4236">
        <f>Data!M4252</f>
        <v>0</v>
      </c>
      <c r="T4236">
        <f>Data!N4252</f>
        <v>0</v>
      </c>
      <c r="U4236">
        <f>Data!O4252</f>
        <v>0</v>
      </c>
      <c r="V4236" s="33">
        <f>Data!P4250</f>
        <v>0</v>
      </c>
    </row>
    <row r="4237" spans="7:22" x14ac:dyDescent="0.25">
      <c r="G4237">
        <f>Data!B4249</f>
        <v>0</v>
      </c>
      <c r="H4237" s="21">
        <f>Data!B4249</f>
        <v>0</v>
      </c>
      <c r="I4237" s="21">
        <f>Data!C4249</f>
        <v>0</v>
      </c>
      <c r="J4237">
        <f>Data!D4249</f>
        <v>0</v>
      </c>
      <c r="K4237">
        <f>Data!E4249</f>
        <v>0</v>
      </c>
      <c r="L4237">
        <f>Data!F4249</f>
        <v>0</v>
      </c>
      <c r="M4237">
        <f>Data!G4249</f>
        <v>0</v>
      </c>
      <c r="N4237">
        <f>Data!H4249</f>
        <v>0</v>
      </c>
      <c r="O4237">
        <f>Data!I4249</f>
        <v>0</v>
      </c>
      <c r="P4237" s="21">
        <f>Data!J4253</f>
        <v>0</v>
      </c>
      <c r="Q4237">
        <f>Data!K4253</f>
        <v>0</v>
      </c>
      <c r="R4237">
        <f>Data!L4253</f>
        <v>0</v>
      </c>
      <c r="S4237">
        <f>Data!M4253</f>
        <v>0</v>
      </c>
      <c r="T4237">
        <f>Data!N4253</f>
        <v>0</v>
      </c>
      <c r="U4237">
        <f>Data!O4253</f>
        <v>0</v>
      </c>
      <c r="V4237" s="33">
        <f>Data!P4251</f>
        <v>0</v>
      </c>
    </row>
    <row r="4238" spans="7:22" x14ac:dyDescent="0.25">
      <c r="G4238">
        <f>Data!B4250</f>
        <v>0</v>
      </c>
      <c r="H4238" s="21">
        <f>Data!B4250</f>
        <v>0</v>
      </c>
      <c r="I4238" s="21">
        <f>Data!C4250</f>
        <v>0</v>
      </c>
      <c r="J4238">
        <f>Data!D4250</f>
        <v>0</v>
      </c>
      <c r="K4238">
        <f>Data!E4250</f>
        <v>0</v>
      </c>
      <c r="L4238">
        <f>Data!F4250</f>
        <v>0</v>
      </c>
      <c r="M4238">
        <f>Data!G4250</f>
        <v>0</v>
      </c>
      <c r="N4238">
        <f>Data!H4250</f>
        <v>0</v>
      </c>
      <c r="O4238">
        <f>Data!I4250</f>
        <v>0</v>
      </c>
      <c r="P4238" s="21">
        <f>Data!J4254</f>
        <v>0</v>
      </c>
      <c r="Q4238">
        <f>Data!K4254</f>
        <v>0</v>
      </c>
      <c r="R4238">
        <f>Data!L4254</f>
        <v>0</v>
      </c>
      <c r="S4238">
        <f>Data!M4254</f>
        <v>0</v>
      </c>
      <c r="T4238">
        <f>Data!N4254</f>
        <v>0</v>
      </c>
      <c r="U4238">
        <f>Data!O4254</f>
        <v>0</v>
      </c>
      <c r="V4238" s="33">
        <f>Data!P4252</f>
        <v>0</v>
      </c>
    </row>
    <row r="4239" spans="7:22" x14ac:dyDescent="0.25">
      <c r="G4239">
        <f>Data!B4251</f>
        <v>0</v>
      </c>
      <c r="H4239" s="21">
        <f>Data!B4251</f>
        <v>0</v>
      </c>
      <c r="I4239" s="21">
        <f>Data!C4251</f>
        <v>0</v>
      </c>
      <c r="J4239">
        <f>Data!D4251</f>
        <v>0</v>
      </c>
      <c r="K4239">
        <f>Data!E4251</f>
        <v>0</v>
      </c>
      <c r="L4239">
        <f>Data!F4251</f>
        <v>0</v>
      </c>
      <c r="M4239">
        <f>Data!G4251</f>
        <v>0</v>
      </c>
      <c r="N4239">
        <f>Data!H4251</f>
        <v>0</v>
      </c>
      <c r="O4239">
        <f>Data!I4251</f>
        <v>0</v>
      </c>
      <c r="P4239" s="21">
        <f>Data!J4255</f>
        <v>0</v>
      </c>
      <c r="Q4239">
        <f>Data!K4255</f>
        <v>0</v>
      </c>
      <c r="R4239">
        <f>Data!L4255</f>
        <v>0</v>
      </c>
      <c r="S4239">
        <f>Data!M4255</f>
        <v>0</v>
      </c>
      <c r="T4239">
        <f>Data!N4255</f>
        <v>0</v>
      </c>
      <c r="U4239">
        <f>Data!O4255</f>
        <v>0</v>
      </c>
      <c r="V4239" s="33">
        <f>Data!P4253</f>
        <v>0</v>
      </c>
    </row>
    <row r="4240" spans="7:22" x14ac:dyDescent="0.25">
      <c r="G4240">
        <f>Data!B4252</f>
        <v>0</v>
      </c>
      <c r="H4240" s="21">
        <f>Data!B4252</f>
        <v>0</v>
      </c>
      <c r="I4240" s="21">
        <f>Data!C4252</f>
        <v>0</v>
      </c>
      <c r="J4240">
        <f>Data!D4252</f>
        <v>0</v>
      </c>
      <c r="K4240">
        <f>Data!E4252</f>
        <v>0</v>
      </c>
      <c r="L4240">
        <f>Data!F4252</f>
        <v>0</v>
      </c>
      <c r="M4240">
        <f>Data!G4252</f>
        <v>0</v>
      </c>
      <c r="N4240">
        <f>Data!H4252</f>
        <v>0</v>
      </c>
      <c r="O4240">
        <f>Data!I4252</f>
        <v>0</v>
      </c>
      <c r="P4240" s="21">
        <f>Data!J4256</f>
        <v>0</v>
      </c>
      <c r="Q4240">
        <f>Data!K4256</f>
        <v>0</v>
      </c>
      <c r="R4240">
        <f>Data!L4256</f>
        <v>0</v>
      </c>
      <c r="S4240">
        <f>Data!M4256</f>
        <v>0</v>
      </c>
      <c r="T4240">
        <f>Data!N4256</f>
        <v>0</v>
      </c>
      <c r="U4240">
        <f>Data!O4256</f>
        <v>0</v>
      </c>
      <c r="V4240" s="33">
        <f>Data!P4254</f>
        <v>0</v>
      </c>
    </row>
    <row r="4241" spans="7:22" x14ac:dyDescent="0.25">
      <c r="G4241">
        <f>Data!B4253</f>
        <v>0</v>
      </c>
      <c r="H4241" s="21">
        <f>Data!B4253</f>
        <v>0</v>
      </c>
      <c r="I4241" s="21">
        <f>Data!C4253</f>
        <v>0</v>
      </c>
      <c r="J4241">
        <f>Data!D4253</f>
        <v>0</v>
      </c>
      <c r="K4241">
        <f>Data!E4253</f>
        <v>0</v>
      </c>
      <c r="L4241">
        <f>Data!F4253</f>
        <v>0</v>
      </c>
      <c r="M4241">
        <f>Data!G4253</f>
        <v>0</v>
      </c>
      <c r="N4241">
        <f>Data!H4253</f>
        <v>0</v>
      </c>
      <c r="O4241">
        <f>Data!I4253</f>
        <v>0</v>
      </c>
      <c r="P4241" s="21">
        <f>Data!J4257</f>
        <v>0</v>
      </c>
      <c r="Q4241">
        <f>Data!K4257</f>
        <v>0</v>
      </c>
      <c r="R4241">
        <f>Data!L4257</f>
        <v>0</v>
      </c>
      <c r="S4241">
        <f>Data!M4257</f>
        <v>0</v>
      </c>
      <c r="T4241">
        <f>Data!N4257</f>
        <v>0</v>
      </c>
      <c r="U4241">
        <f>Data!O4257</f>
        <v>0</v>
      </c>
      <c r="V4241" s="33">
        <f>Data!P4255</f>
        <v>0</v>
      </c>
    </row>
    <row r="4242" spans="7:22" x14ac:dyDescent="0.25">
      <c r="G4242">
        <f>Data!B4254</f>
        <v>0</v>
      </c>
      <c r="H4242" s="21">
        <f>Data!B4254</f>
        <v>0</v>
      </c>
      <c r="I4242" s="21">
        <f>Data!C4254</f>
        <v>0</v>
      </c>
      <c r="J4242">
        <f>Data!D4254</f>
        <v>0</v>
      </c>
      <c r="K4242">
        <f>Data!E4254</f>
        <v>0</v>
      </c>
      <c r="L4242">
        <f>Data!F4254</f>
        <v>0</v>
      </c>
      <c r="M4242">
        <f>Data!G4254</f>
        <v>0</v>
      </c>
      <c r="N4242">
        <f>Data!H4254</f>
        <v>0</v>
      </c>
      <c r="O4242">
        <f>Data!I4254</f>
        <v>0</v>
      </c>
      <c r="P4242" s="21">
        <f>Data!J4258</f>
        <v>0</v>
      </c>
      <c r="Q4242">
        <f>Data!K4258</f>
        <v>0</v>
      </c>
      <c r="R4242">
        <f>Data!L4258</f>
        <v>0</v>
      </c>
      <c r="S4242">
        <f>Data!M4258</f>
        <v>0</v>
      </c>
      <c r="T4242">
        <f>Data!N4258</f>
        <v>0</v>
      </c>
      <c r="U4242">
        <f>Data!O4258</f>
        <v>0</v>
      </c>
      <c r="V4242" s="33">
        <f>Data!P4256</f>
        <v>0</v>
      </c>
    </row>
    <row r="4243" spans="7:22" x14ac:dyDescent="0.25">
      <c r="G4243">
        <f>Data!B4255</f>
        <v>0</v>
      </c>
      <c r="H4243" s="21">
        <f>Data!B4255</f>
        <v>0</v>
      </c>
      <c r="I4243" s="21">
        <f>Data!C4255</f>
        <v>0</v>
      </c>
      <c r="J4243">
        <f>Data!D4255</f>
        <v>0</v>
      </c>
      <c r="K4243">
        <f>Data!E4255</f>
        <v>0</v>
      </c>
      <c r="L4243">
        <f>Data!F4255</f>
        <v>0</v>
      </c>
      <c r="M4243">
        <f>Data!G4255</f>
        <v>0</v>
      </c>
      <c r="N4243">
        <f>Data!H4255</f>
        <v>0</v>
      </c>
      <c r="O4243">
        <f>Data!I4255</f>
        <v>0</v>
      </c>
      <c r="P4243" s="21">
        <f>Data!J4259</f>
        <v>0</v>
      </c>
      <c r="Q4243">
        <f>Data!K4259</f>
        <v>0</v>
      </c>
      <c r="R4243">
        <f>Data!L4259</f>
        <v>0</v>
      </c>
      <c r="S4243">
        <f>Data!M4259</f>
        <v>0</v>
      </c>
      <c r="T4243">
        <f>Data!N4259</f>
        <v>0</v>
      </c>
      <c r="U4243">
        <f>Data!O4259</f>
        <v>0</v>
      </c>
      <c r="V4243" s="33">
        <f>Data!P4257</f>
        <v>0</v>
      </c>
    </row>
    <row r="4244" spans="7:22" x14ac:dyDescent="0.25">
      <c r="G4244">
        <f>Data!B4256</f>
        <v>0</v>
      </c>
      <c r="H4244" s="21">
        <f>Data!B4256</f>
        <v>0</v>
      </c>
      <c r="I4244" s="21">
        <f>Data!C4256</f>
        <v>0</v>
      </c>
      <c r="J4244">
        <f>Data!D4256</f>
        <v>0</v>
      </c>
      <c r="K4244">
        <f>Data!E4256</f>
        <v>0</v>
      </c>
      <c r="L4244">
        <f>Data!F4256</f>
        <v>0</v>
      </c>
      <c r="M4244">
        <f>Data!G4256</f>
        <v>0</v>
      </c>
      <c r="N4244">
        <f>Data!H4256</f>
        <v>0</v>
      </c>
      <c r="O4244">
        <f>Data!I4256</f>
        <v>0</v>
      </c>
      <c r="P4244" s="21">
        <f>Data!J4260</f>
        <v>0</v>
      </c>
      <c r="Q4244">
        <f>Data!K4260</f>
        <v>0</v>
      </c>
      <c r="R4244">
        <f>Data!L4260</f>
        <v>0</v>
      </c>
      <c r="S4244">
        <f>Data!M4260</f>
        <v>0</v>
      </c>
      <c r="T4244">
        <f>Data!N4260</f>
        <v>0</v>
      </c>
      <c r="U4244">
        <f>Data!O4260</f>
        <v>0</v>
      </c>
      <c r="V4244" s="33">
        <f>Data!P4258</f>
        <v>0</v>
      </c>
    </row>
    <row r="4245" spans="7:22" x14ac:dyDescent="0.25">
      <c r="G4245">
        <f>Data!B4257</f>
        <v>0</v>
      </c>
      <c r="H4245" s="21">
        <f>Data!B4257</f>
        <v>0</v>
      </c>
      <c r="I4245" s="21">
        <f>Data!C4257</f>
        <v>0</v>
      </c>
      <c r="J4245">
        <f>Data!D4257</f>
        <v>0</v>
      </c>
      <c r="K4245">
        <f>Data!E4257</f>
        <v>0</v>
      </c>
      <c r="L4245">
        <f>Data!F4257</f>
        <v>0</v>
      </c>
      <c r="M4245">
        <f>Data!G4257</f>
        <v>0</v>
      </c>
      <c r="N4245">
        <f>Data!H4257</f>
        <v>0</v>
      </c>
      <c r="O4245">
        <f>Data!I4257</f>
        <v>0</v>
      </c>
      <c r="P4245" s="21">
        <f>Data!J4261</f>
        <v>0</v>
      </c>
      <c r="Q4245">
        <f>Data!K4261</f>
        <v>0</v>
      </c>
      <c r="R4245">
        <f>Data!L4261</f>
        <v>0</v>
      </c>
      <c r="S4245">
        <f>Data!M4261</f>
        <v>0</v>
      </c>
      <c r="T4245">
        <f>Data!N4261</f>
        <v>0</v>
      </c>
      <c r="U4245">
        <f>Data!O4261</f>
        <v>0</v>
      </c>
      <c r="V4245" s="33">
        <f>Data!P4259</f>
        <v>0</v>
      </c>
    </row>
    <row r="4246" spans="7:22" x14ac:dyDescent="0.25">
      <c r="G4246">
        <f>Data!B4258</f>
        <v>0</v>
      </c>
      <c r="H4246" s="21">
        <f>Data!B4258</f>
        <v>0</v>
      </c>
      <c r="I4246" s="21">
        <f>Data!C4258</f>
        <v>0</v>
      </c>
      <c r="J4246">
        <f>Data!D4258</f>
        <v>0</v>
      </c>
      <c r="K4246">
        <f>Data!E4258</f>
        <v>0</v>
      </c>
      <c r="L4246">
        <f>Data!F4258</f>
        <v>0</v>
      </c>
      <c r="M4246">
        <f>Data!G4258</f>
        <v>0</v>
      </c>
      <c r="N4246">
        <f>Data!H4258</f>
        <v>0</v>
      </c>
      <c r="O4246">
        <f>Data!I4258</f>
        <v>0</v>
      </c>
      <c r="P4246" s="21">
        <f>Data!J4262</f>
        <v>0</v>
      </c>
      <c r="Q4246">
        <f>Data!K4262</f>
        <v>0</v>
      </c>
      <c r="R4246">
        <f>Data!L4262</f>
        <v>0</v>
      </c>
      <c r="S4246">
        <f>Data!M4262</f>
        <v>0</v>
      </c>
      <c r="T4246">
        <f>Data!N4262</f>
        <v>0</v>
      </c>
      <c r="U4246">
        <f>Data!O4262</f>
        <v>0</v>
      </c>
      <c r="V4246" s="33">
        <f>Data!P4260</f>
        <v>0</v>
      </c>
    </row>
    <row r="4247" spans="7:22" x14ac:dyDescent="0.25">
      <c r="G4247">
        <f>Data!B4259</f>
        <v>0</v>
      </c>
      <c r="H4247" s="21">
        <f>Data!B4259</f>
        <v>0</v>
      </c>
      <c r="I4247" s="21">
        <f>Data!C4259</f>
        <v>0</v>
      </c>
      <c r="J4247">
        <f>Data!D4259</f>
        <v>0</v>
      </c>
      <c r="K4247">
        <f>Data!E4259</f>
        <v>0</v>
      </c>
      <c r="L4247">
        <f>Data!F4259</f>
        <v>0</v>
      </c>
      <c r="M4247">
        <f>Data!G4259</f>
        <v>0</v>
      </c>
      <c r="N4247">
        <f>Data!H4259</f>
        <v>0</v>
      </c>
      <c r="O4247">
        <f>Data!I4259</f>
        <v>0</v>
      </c>
      <c r="P4247" s="21">
        <f>Data!J4263</f>
        <v>0</v>
      </c>
      <c r="Q4247">
        <f>Data!K4263</f>
        <v>0</v>
      </c>
      <c r="R4247">
        <f>Data!L4263</f>
        <v>0</v>
      </c>
      <c r="S4247">
        <f>Data!M4263</f>
        <v>0</v>
      </c>
      <c r="T4247">
        <f>Data!N4263</f>
        <v>0</v>
      </c>
      <c r="U4247">
        <f>Data!O4263</f>
        <v>0</v>
      </c>
      <c r="V4247" s="33">
        <f>Data!P4261</f>
        <v>0</v>
      </c>
    </row>
    <row r="4248" spans="7:22" x14ac:dyDescent="0.25">
      <c r="G4248">
        <f>Data!B4260</f>
        <v>0</v>
      </c>
      <c r="H4248" s="21">
        <f>Data!B4260</f>
        <v>0</v>
      </c>
      <c r="I4248" s="21">
        <f>Data!C4260</f>
        <v>0</v>
      </c>
      <c r="J4248">
        <f>Data!D4260</f>
        <v>0</v>
      </c>
      <c r="K4248">
        <f>Data!E4260</f>
        <v>0</v>
      </c>
      <c r="L4248">
        <f>Data!F4260</f>
        <v>0</v>
      </c>
      <c r="M4248">
        <f>Data!G4260</f>
        <v>0</v>
      </c>
      <c r="N4248">
        <f>Data!H4260</f>
        <v>0</v>
      </c>
      <c r="O4248">
        <f>Data!I4260</f>
        <v>0</v>
      </c>
      <c r="P4248" s="21">
        <f>Data!J4264</f>
        <v>0</v>
      </c>
      <c r="Q4248">
        <f>Data!K4264</f>
        <v>0</v>
      </c>
      <c r="R4248">
        <f>Data!L4264</f>
        <v>0</v>
      </c>
      <c r="S4248">
        <f>Data!M4264</f>
        <v>0</v>
      </c>
      <c r="T4248">
        <f>Data!N4264</f>
        <v>0</v>
      </c>
      <c r="U4248">
        <f>Data!O4264</f>
        <v>0</v>
      </c>
      <c r="V4248" s="33">
        <f>Data!P4262</f>
        <v>0</v>
      </c>
    </row>
    <row r="4249" spans="7:22" x14ac:dyDescent="0.25">
      <c r="G4249">
        <f>Data!B4261</f>
        <v>0</v>
      </c>
      <c r="H4249" s="21">
        <f>Data!B4261</f>
        <v>0</v>
      </c>
      <c r="I4249" s="21">
        <f>Data!C4261</f>
        <v>0</v>
      </c>
      <c r="J4249">
        <f>Data!D4261</f>
        <v>0</v>
      </c>
      <c r="K4249">
        <f>Data!E4261</f>
        <v>0</v>
      </c>
      <c r="L4249">
        <f>Data!F4261</f>
        <v>0</v>
      </c>
      <c r="M4249">
        <f>Data!G4261</f>
        <v>0</v>
      </c>
      <c r="N4249">
        <f>Data!H4261</f>
        <v>0</v>
      </c>
      <c r="O4249">
        <f>Data!I4261</f>
        <v>0</v>
      </c>
      <c r="P4249" s="21">
        <f>Data!J4265</f>
        <v>0</v>
      </c>
      <c r="Q4249">
        <f>Data!K4265</f>
        <v>0</v>
      </c>
      <c r="R4249">
        <f>Data!L4265</f>
        <v>0</v>
      </c>
      <c r="S4249">
        <f>Data!M4265</f>
        <v>0</v>
      </c>
      <c r="T4249">
        <f>Data!N4265</f>
        <v>0</v>
      </c>
      <c r="U4249">
        <f>Data!O4265</f>
        <v>0</v>
      </c>
      <c r="V4249" s="33">
        <f>Data!P4263</f>
        <v>0</v>
      </c>
    </row>
    <row r="4250" spans="7:22" x14ac:dyDescent="0.25">
      <c r="G4250">
        <f>Data!B4262</f>
        <v>0</v>
      </c>
      <c r="H4250" s="21">
        <f>Data!B4262</f>
        <v>0</v>
      </c>
      <c r="I4250" s="21">
        <f>Data!C4262</f>
        <v>0</v>
      </c>
      <c r="J4250">
        <f>Data!D4262</f>
        <v>0</v>
      </c>
      <c r="K4250">
        <f>Data!E4262</f>
        <v>0</v>
      </c>
      <c r="L4250">
        <f>Data!F4262</f>
        <v>0</v>
      </c>
      <c r="M4250">
        <f>Data!G4262</f>
        <v>0</v>
      </c>
      <c r="N4250">
        <f>Data!H4262</f>
        <v>0</v>
      </c>
      <c r="O4250">
        <f>Data!I4262</f>
        <v>0</v>
      </c>
      <c r="P4250" s="21">
        <f>Data!J4266</f>
        <v>0</v>
      </c>
      <c r="Q4250">
        <f>Data!K4266</f>
        <v>0</v>
      </c>
      <c r="R4250">
        <f>Data!L4266</f>
        <v>0</v>
      </c>
      <c r="S4250">
        <f>Data!M4266</f>
        <v>0</v>
      </c>
      <c r="T4250">
        <f>Data!N4266</f>
        <v>0</v>
      </c>
      <c r="U4250">
        <f>Data!O4266</f>
        <v>0</v>
      </c>
      <c r="V4250" s="33">
        <f>Data!P4264</f>
        <v>0</v>
      </c>
    </row>
    <row r="4251" spans="7:22" x14ac:dyDescent="0.25">
      <c r="G4251">
        <f>Data!B4263</f>
        <v>0</v>
      </c>
      <c r="H4251" s="21">
        <f>Data!B4263</f>
        <v>0</v>
      </c>
      <c r="I4251" s="21">
        <f>Data!C4263</f>
        <v>0</v>
      </c>
      <c r="J4251">
        <f>Data!D4263</f>
        <v>0</v>
      </c>
      <c r="K4251">
        <f>Data!E4263</f>
        <v>0</v>
      </c>
      <c r="L4251">
        <f>Data!F4263</f>
        <v>0</v>
      </c>
      <c r="M4251">
        <f>Data!G4263</f>
        <v>0</v>
      </c>
      <c r="N4251">
        <f>Data!H4263</f>
        <v>0</v>
      </c>
      <c r="O4251">
        <f>Data!I4263</f>
        <v>0</v>
      </c>
      <c r="P4251" s="21">
        <f>Data!J4267</f>
        <v>0</v>
      </c>
      <c r="Q4251">
        <f>Data!K4267</f>
        <v>0</v>
      </c>
      <c r="R4251">
        <f>Data!L4267</f>
        <v>0</v>
      </c>
      <c r="S4251">
        <f>Data!M4267</f>
        <v>0</v>
      </c>
      <c r="T4251">
        <f>Data!N4267</f>
        <v>0</v>
      </c>
      <c r="U4251">
        <f>Data!O4267</f>
        <v>0</v>
      </c>
      <c r="V4251" s="33">
        <f>Data!P4265</f>
        <v>0</v>
      </c>
    </row>
    <row r="4252" spans="7:22" x14ac:dyDescent="0.25">
      <c r="G4252">
        <f>Data!B4264</f>
        <v>0</v>
      </c>
      <c r="H4252" s="21">
        <f>Data!B4264</f>
        <v>0</v>
      </c>
      <c r="I4252" s="21">
        <f>Data!C4264</f>
        <v>0</v>
      </c>
      <c r="J4252">
        <f>Data!D4264</f>
        <v>0</v>
      </c>
      <c r="K4252">
        <f>Data!E4264</f>
        <v>0</v>
      </c>
      <c r="L4252">
        <f>Data!F4264</f>
        <v>0</v>
      </c>
      <c r="M4252">
        <f>Data!G4264</f>
        <v>0</v>
      </c>
      <c r="N4252">
        <f>Data!H4264</f>
        <v>0</v>
      </c>
      <c r="O4252">
        <f>Data!I4264</f>
        <v>0</v>
      </c>
      <c r="P4252" s="21">
        <f>Data!J4268</f>
        <v>0</v>
      </c>
      <c r="Q4252">
        <f>Data!K4268</f>
        <v>0</v>
      </c>
      <c r="R4252">
        <f>Data!L4268</f>
        <v>0</v>
      </c>
      <c r="S4252">
        <f>Data!M4268</f>
        <v>0</v>
      </c>
      <c r="T4252">
        <f>Data!N4268</f>
        <v>0</v>
      </c>
      <c r="U4252">
        <f>Data!O4268</f>
        <v>0</v>
      </c>
      <c r="V4252" s="33">
        <f>Data!P4266</f>
        <v>0</v>
      </c>
    </row>
    <row r="4253" spans="7:22" x14ac:dyDescent="0.25">
      <c r="G4253">
        <f>Data!B4265</f>
        <v>0</v>
      </c>
      <c r="H4253" s="21">
        <f>Data!B4265</f>
        <v>0</v>
      </c>
      <c r="I4253" s="21">
        <f>Data!C4265</f>
        <v>0</v>
      </c>
      <c r="J4253">
        <f>Data!D4265</f>
        <v>0</v>
      </c>
      <c r="K4253">
        <f>Data!E4265</f>
        <v>0</v>
      </c>
      <c r="L4253">
        <f>Data!F4265</f>
        <v>0</v>
      </c>
      <c r="M4253">
        <f>Data!G4265</f>
        <v>0</v>
      </c>
      <c r="N4253">
        <f>Data!H4265</f>
        <v>0</v>
      </c>
      <c r="O4253">
        <f>Data!I4265</f>
        <v>0</v>
      </c>
      <c r="P4253" s="21">
        <f>Data!J4269</f>
        <v>0</v>
      </c>
      <c r="Q4253">
        <f>Data!K4269</f>
        <v>0</v>
      </c>
      <c r="R4253">
        <f>Data!L4269</f>
        <v>0</v>
      </c>
      <c r="S4253">
        <f>Data!M4269</f>
        <v>0</v>
      </c>
      <c r="T4253">
        <f>Data!N4269</f>
        <v>0</v>
      </c>
      <c r="U4253">
        <f>Data!O4269</f>
        <v>0</v>
      </c>
      <c r="V4253" s="33">
        <f>Data!P4267</f>
        <v>0</v>
      </c>
    </row>
    <row r="4254" spans="7:22" x14ac:dyDescent="0.25">
      <c r="G4254">
        <f>Data!B4266</f>
        <v>0</v>
      </c>
      <c r="H4254" s="21">
        <f>Data!B4266</f>
        <v>0</v>
      </c>
      <c r="I4254" s="21">
        <f>Data!C4266</f>
        <v>0</v>
      </c>
      <c r="J4254">
        <f>Data!D4266</f>
        <v>0</v>
      </c>
      <c r="K4254">
        <f>Data!E4266</f>
        <v>0</v>
      </c>
      <c r="L4254">
        <f>Data!F4266</f>
        <v>0</v>
      </c>
      <c r="M4254">
        <f>Data!G4266</f>
        <v>0</v>
      </c>
      <c r="N4254">
        <f>Data!H4266</f>
        <v>0</v>
      </c>
      <c r="O4254">
        <f>Data!I4266</f>
        <v>0</v>
      </c>
      <c r="P4254" s="21">
        <f>Data!J4270</f>
        <v>0</v>
      </c>
      <c r="Q4254">
        <f>Data!K4270</f>
        <v>0</v>
      </c>
      <c r="R4254">
        <f>Data!L4270</f>
        <v>0</v>
      </c>
      <c r="S4254">
        <f>Data!M4270</f>
        <v>0</v>
      </c>
      <c r="T4254">
        <f>Data!N4270</f>
        <v>0</v>
      </c>
      <c r="U4254">
        <f>Data!O4270</f>
        <v>0</v>
      </c>
      <c r="V4254" s="33">
        <f>Data!P4268</f>
        <v>0</v>
      </c>
    </row>
    <row r="4255" spans="7:22" x14ac:dyDescent="0.25">
      <c r="G4255">
        <f>Data!B4267</f>
        <v>0</v>
      </c>
      <c r="H4255" s="21">
        <f>Data!B4267</f>
        <v>0</v>
      </c>
      <c r="I4255" s="21">
        <f>Data!C4267</f>
        <v>0</v>
      </c>
      <c r="J4255">
        <f>Data!D4267</f>
        <v>0</v>
      </c>
      <c r="K4255">
        <f>Data!E4267</f>
        <v>0</v>
      </c>
      <c r="L4255">
        <f>Data!F4267</f>
        <v>0</v>
      </c>
      <c r="M4255">
        <f>Data!G4267</f>
        <v>0</v>
      </c>
      <c r="N4255">
        <f>Data!H4267</f>
        <v>0</v>
      </c>
      <c r="O4255">
        <f>Data!I4267</f>
        <v>0</v>
      </c>
      <c r="P4255" s="21">
        <f>Data!J4271</f>
        <v>0</v>
      </c>
      <c r="Q4255">
        <f>Data!K4271</f>
        <v>0</v>
      </c>
      <c r="R4255">
        <f>Data!L4271</f>
        <v>0</v>
      </c>
      <c r="S4255">
        <f>Data!M4271</f>
        <v>0</v>
      </c>
      <c r="T4255">
        <f>Data!N4271</f>
        <v>0</v>
      </c>
      <c r="U4255">
        <f>Data!O4271</f>
        <v>0</v>
      </c>
      <c r="V4255" s="33">
        <f>Data!P4269</f>
        <v>0</v>
      </c>
    </row>
    <row r="4256" spans="7:22" x14ac:dyDescent="0.25">
      <c r="G4256">
        <f>Data!B4268</f>
        <v>0</v>
      </c>
      <c r="H4256" s="21">
        <f>Data!B4268</f>
        <v>0</v>
      </c>
      <c r="I4256" s="21">
        <f>Data!C4268</f>
        <v>0</v>
      </c>
      <c r="J4256">
        <f>Data!D4268</f>
        <v>0</v>
      </c>
      <c r="K4256">
        <f>Data!E4268</f>
        <v>0</v>
      </c>
      <c r="L4256">
        <f>Data!F4268</f>
        <v>0</v>
      </c>
      <c r="M4256">
        <f>Data!G4268</f>
        <v>0</v>
      </c>
      <c r="N4256">
        <f>Data!H4268</f>
        <v>0</v>
      </c>
      <c r="O4256">
        <f>Data!I4268</f>
        <v>0</v>
      </c>
      <c r="P4256" s="21">
        <f>Data!J4272</f>
        <v>0</v>
      </c>
      <c r="Q4256">
        <f>Data!K4272</f>
        <v>0</v>
      </c>
      <c r="R4256">
        <f>Data!L4272</f>
        <v>0</v>
      </c>
      <c r="S4256">
        <f>Data!M4272</f>
        <v>0</v>
      </c>
      <c r="T4256">
        <f>Data!N4272</f>
        <v>0</v>
      </c>
      <c r="U4256">
        <f>Data!O4272</f>
        <v>0</v>
      </c>
      <c r="V4256" s="33">
        <f>Data!P4270</f>
        <v>0</v>
      </c>
    </row>
    <row r="4257" spans="7:22" x14ac:dyDescent="0.25">
      <c r="G4257">
        <f>Data!B4269</f>
        <v>0</v>
      </c>
      <c r="H4257" s="21">
        <f>Data!B4269</f>
        <v>0</v>
      </c>
      <c r="I4257" s="21">
        <f>Data!C4269</f>
        <v>0</v>
      </c>
      <c r="J4257">
        <f>Data!D4269</f>
        <v>0</v>
      </c>
      <c r="K4257">
        <f>Data!E4269</f>
        <v>0</v>
      </c>
      <c r="L4257">
        <f>Data!F4269</f>
        <v>0</v>
      </c>
      <c r="M4257">
        <f>Data!G4269</f>
        <v>0</v>
      </c>
      <c r="N4257">
        <f>Data!H4269</f>
        <v>0</v>
      </c>
      <c r="O4257">
        <f>Data!I4269</f>
        <v>0</v>
      </c>
      <c r="P4257" s="21">
        <f>Data!J4273</f>
        <v>0</v>
      </c>
      <c r="Q4257">
        <f>Data!K4273</f>
        <v>0</v>
      </c>
      <c r="R4257">
        <f>Data!L4273</f>
        <v>0</v>
      </c>
      <c r="S4257">
        <f>Data!M4273</f>
        <v>0</v>
      </c>
      <c r="T4257">
        <f>Data!N4273</f>
        <v>0</v>
      </c>
      <c r="U4257">
        <f>Data!O4273</f>
        <v>0</v>
      </c>
      <c r="V4257" s="33">
        <f>Data!P4271</f>
        <v>0</v>
      </c>
    </row>
    <row r="4258" spans="7:22" x14ac:dyDescent="0.25">
      <c r="G4258">
        <f>Data!B4270</f>
        <v>0</v>
      </c>
      <c r="H4258" s="21">
        <f>Data!B4270</f>
        <v>0</v>
      </c>
      <c r="I4258" s="21">
        <f>Data!C4270</f>
        <v>0</v>
      </c>
      <c r="J4258">
        <f>Data!D4270</f>
        <v>0</v>
      </c>
      <c r="K4258">
        <f>Data!E4270</f>
        <v>0</v>
      </c>
      <c r="L4258">
        <f>Data!F4270</f>
        <v>0</v>
      </c>
      <c r="M4258">
        <f>Data!G4270</f>
        <v>0</v>
      </c>
      <c r="N4258">
        <f>Data!H4270</f>
        <v>0</v>
      </c>
      <c r="O4258">
        <f>Data!I4270</f>
        <v>0</v>
      </c>
      <c r="P4258" s="21">
        <f>Data!J4274</f>
        <v>0</v>
      </c>
      <c r="Q4258">
        <f>Data!K4274</f>
        <v>0</v>
      </c>
      <c r="R4258">
        <f>Data!L4274</f>
        <v>0</v>
      </c>
      <c r="S4258">
        <f>Data!M4274</f>
        <v>0</v>
      </c>
      <c r="T4258">
        <f>Data!N4274</f>
        <v>0</v>
      </c>
      <c r="U4258">
        <f>Data!O4274</f>
        <v>0</v>
      </c>
      <c r="V4258" s="33">
        <f>Data!P4272</f>
        <v>0</v>
      </c>
    </row>
    <row r="4259" spans="7:22" x14ac:dyDescent="0.25">
      <c r="G4259">
        <f>Data!B4271</f>
        <v>0</v>
      </c>
      <c r="H4259" s="21">
        <f>Data!B4271</f>
        <v>0</v>
      </c>
      <c r="I4259" s="21">
        <f>Data!C4271</f>
        <v>0</v>
      </c>
      <c r="J4259">
        <f>Data!D4271</f>
        <v>0</v>
      </c>
      <c r="K4259">
        <f>Data!E4271</f>
        <v>0</v>
      </c>
      <c r="L4259">
        <f>Data!F4271</f>
        <v>0</v>
      </c>
      <c r="M4259">
        <f>Data!G4271</f>
        <v>0</v>
      </c>
      <c r="N4259">
        <f>Data!H4271</f>
        <v>0</v>
      </c>
      <c r="O4259">
        <f>Data!I4271</f>
        <v>0</v>
      </c>
      <c r="P4259" s="21">
        <f>Data!J4275</f>
        <v>0</v>
      </c>
      <c r="Q4259">
        <f>Data!K4275</f>
        <v>0</v>
      </c>
      <c r="R4259">
        <f>Data!L4275</f>
        <v>0</v>
      </c>
      <c r="S4259">
        <f>Data!M4275</f>
        <v>0</v>
      </c>
      <c r="T4259">
        <f>Data!N4275</f>
        <v>0</v>
      </c>
      <c r="U4259">
        <f>Data!O4275</f>
        <v>0</v>
      </c>
      <c r="V4259" s="33">
        <f>Data!P4273</f>
        <v>0</v>
      </c>
    </row>
    <row r="4260" spans="7:22" x14ac:dyDescent="0.25">
      <c r="G4260">
        <f>Data!B4272</f>
        <v>0</v>
      </c>
      <c r="H4260" s="21">
        <f>Data!B4272</f>
        <v>0</v>
      </c>
      <c r="I4260" s="21">
        <f>Data!C4272</f>
        <v>0</v>
      </c>
      <c r="J4260">
        <f>Data!D4272</f>
        <v>0</v>
      </c>
      <c r="K4260">
        <f>Data!E4272</f>
        <v>0</v>
      </c>
      <c r="L4260">
        <f>Data!F4272</f>
        <v>0</v>
      </c>
      <c r="M4260">
        <f>Data!G4272</f>
        <v>0</v>
      </c>
      <c r="N4260">
        <f>Data!H4272</f>
        <v>0</v>
      </c>
      <c r="O4260">
        <f>Data!I4272</f>
        <v>0</v>
      </c>
      <c r="P4260" s="21">
        <f>Data!J4276</f>
        <v>0</v>
      </c>
      <c r="Q4260">
        <f>Data!K4276</f>
        <v>0</v>
      </c>
      <c r="R4260">
        <f>Data!L4276</f>
        <v>0</v>
      </c>
      <c r="S4260">
        <f>Data!M4276</f>
        <v>0</v>
      </c>
      <c r="T4260">
        <f>Data!N4276</f>
        <v>0</v>
      </c>
      <c r="U4260">
        <f>Data!O4276</f>
        <v>0</v>
      </c>
      <c r="V4260" s="33">
        <f>Data!P4274</f>
        <v>0</v>
      </c>
    </row>
    <row r="4261" spans="7:22" x14ac:dyDescent="0.25">
      <c r="G4261">
        <f>Data!B4273</f>
        <v>0</v>
      </c>
      <c r="H4261" s="21">
        <f>Data!B4273</f>
        <v>0</v>
      </c>
      <c r="I4261" s="21">
        <f>Data!C4273</f>
        <v>0</v>
      </c>
      <c r="J4261">
        <f>Data!D4273</f>
        <v>0</v>
      </c>
      <c r="K4261">
        <f>Data!E4273</f>
        <v>0</v>
      </c>
      <c r="L4261">
        <f>Data!F4273</f>
        <v>0</v>
      </c>
      <c r="M4261">
        <f>Data!G4273</f>
        <v>0</v>
      </c>
      <c r="N4261">
        <f>Data!H4273</f>
        <v>0</v>
      </c>
      <c r="O4261">
        <f>Data!I4273</f>
        <v>0</v>
      </c>
      <c r="P4261" s="21">
        <f>Data!J4277</f>
        <v>0</v>
      </c>
      <c r="Q4261">
        <f>Data!K4277</f>
        <v>0</v>
      </c>
      <c r="R4261">
        <f>Data!L4277</f>
        <v>0</v>
      </c>
      <c r="S4261">
        <f>Data!M4277</f>
        <v>0</v>
      </c>
      <c r="T4261">
        <f>Data!N4277</f>
        <v>0</v>
      </c>
      <c r="U4261">
        <f>Data!O4277</f>
        <v>0</v>
      </c>
      <c r="V4261" s="33">
        <f>Data!P4275</f>
        <v>0</v>
      </c>
    </row>
    <row r="4262" spans="7:22" x14ac:dyDescent="0.25">
      <c r="G4262">
        <f>Data!B4274</f>
        <v>0</v>
      </c>
      <c r="H4262" s="21">
        <f>Data!B4274</f>
        <v>0</v>
      </c>
      <c r="I4262" s="21">
        <f>Data!C4274</f>
        <v>0</v>
      </c>
      <c r="J4262">
        <f>Data!D4274</f>
        <v>0</v>
      </c>
      <c r="K4262">
        <f>Data!E4274</f>
        <v>0</v>
      </c>
      <c r="L4262">
        <f>Data!F4274</f>
        <v>0</v>
      </c>
      <c r="M4262">
        <f>Data!G4274</f>
        <v>0</v>
      </c>
      <c r="N4262">
        <f>Data!H4274</f>
        <v>0</v>
      </c>
      <c r="O4262">
        <f>Data!I4274</f>
        <v>0</v>
      </c>
      <c r="P4262" s="21">
        <f>Data!J4278</f>
        <v>0</v>
      </c>
      <c r="Q4262">
        <f>Data!K4278</f>
        <v>0</v>
      </c>
      <c r="R4262">
        <f>Data!L4278</f>
        <v>0</v>
      </c>
      <c r="S4262">
        <f>Data!M4278</f>
        <v>0</v>
      </c>
      <c r="T4262">
        <f>Data!N4278</f>
        <v>0</v>
      </c>
      <c r="U4262">
        <f>Data!O4278</f>
        <v>0</v>
      </c>
      <c r="V4262" s="33">
        <f>Data!P4276</f>
        <v>0</v>
      </c>
    </row>
    <row r="4263" spans="7:22" x14ac:dyDescent="0.25">
      <c r="G4263">
        <f>Data!B4275</f>
        <v>0</v>
      </c>
      <c r="H4263" s="21">
        <f>Data!B4275</f>
        <v>0</v>
      </c>
      <c r="I4263" s="21">
        <f>Data!C4275</f>
        <v>0</v>
      </c>
      <c r="J4263">
        <f>Data!D4275</f>
        <v>0</v>
      </c>
      <c r="K4263">
        <f>Data!E4275</f>
        <v>0</v>
      </c>
      <c r="L4263">
        <f>Data!F4275</f>
        <v>0</v>
      </c>
      <c r="M4263">
        <f>Data!G4275</f>
        <v>0</v>
      </c>
      <c r="N4263">
        <f>Data!H4275</f>
        <v>0</v>
      </c>
      <c r="O4263">
        <f>Data!I4275</f>
        <v>0</v>
      </c>
      <c r="P4263" s="21">
        <f>Data!J4279</f>
        <v>0</v>
      </c>
      <c r="Q4263">
        <f>Data!K4279</f>
        <v>0</v>
      </c>
      <c r="R4263">
        <f>Data!L4279</f>
        <v>0</v>
      </c>
      <c r="S4263">
        <f>Data!M4279</f>
        <v>0</v>
      </c>
      <c r="T4263">
        <f>Data!N4279</f>
        <v>0</v>
      </c>
      <c r="U4263">
        <f>Data!O4279</f>
        <v>0</v>
      </c>
      <c r="V4263" s="33">
        <f>Data!P4277</f>
        <v>0</v>
      </c>
    </row>
    <row r="4264" spans="7:22" x14ac:dyDescent="0.25">
      <c r="G4264">
        <f>Data!B4276</f>
        <v>0</v>
      </c>
      <c r="H4264" s="21">
        <f>Data!B4276</f>
        <v>0</v>
      </c>
      <c r="I4264" s="21">
        <f>Data!C4276</f>
        <v>0</v>
      </c>
      <c r="J4264">
        <f>Data!D4276</f>
        <v>0</v>
      </c>
      <c r="K4264">
        <f>Data!E4276</f>
        <v>0</v>
      </c>
      <c r="L4264">
        <f>Data!F4276</f>
        <v>0</v>
      </c>
      <c r="M4264">
        <f>Data!G4276</f>
        <v>0</v>
      </c>
      <c r="N4264">
        <f>Data!H4276</f>
        <v>0</v>
      </c>
      <c r="O4264">
        <f>Data!I4276</f>
        <v>0</v>
      </c>
      <c r="P4264" s="21">
        <f>Data!J4280</f>
        <v>0</v>
      </c>
      <c r="Q4264">
        <f>Data!K4280</f>
        <v>0</v>
      </c>
      <c r="R4264">
        <f>Data!L4280</f>
        <v>0</v>
      </c>
      <c r="S4264">
        <f>Data!M4280</f>
        <v>0</v>
      </c>
      <c r="T4264">
        <f>Data!N4280</f>
        <v>0</v>
      </c>
      <c r="U4264">
        <f>Data!O4280</f>
        <v>0</v>
      </c>
      <c r="V4264" s="33">
        <f>Data!P4278</f>
        <v>0</v>
      </c>
    </row>
    <row r="4265" spans="7:22" x14ac:dyDescent="0.25">
      <c r="G4265">
        <f>Data!B4277</f>
        <v>0</v>
      </c>
      <c r="H4265" s="21">
        <f>Data!B4277</f>
        <v>0</v>
      </c>
      <c r="I4265" s="21">
        <f>Data!C4277</f>
        <v>0</v>
      </c>
      <c r="J4265">
        <f>Data!D4277</f>
        <v>0</v>
      </c>
      <c r="K4265">
        <f>Data!E4277</f>
        <v>0</v>
      </c>
      <c r="L4265">
        <f>Data!F4277</f>
        <v>0</v>
      </c>
      <c r="M4265">
        <f>Data!G4277</f>
        <v>0</v>
      </c>
      <c r="N4265">
        <f>Data!H4277</f>
        <v>0</v>
      </c>
      <c r="O4265">
        <f>Data!I4277</f>
        <v>0</v>
      </c>
      <c r="P4265" s="21">
        <f>Data!J4281</f>
        <v>0</v>
      </c>
      <c r="Q4265">
        <f>Data!K4281</f>
        <v>0</v>
      </c>
      <c r="R4265">
        <f>Data!L4281</f>
        <v>0</v>
      </c>
      <c r="S4265">
        <f>Data!M4281</f>
        <v>0</v>
      </c>
      <c r="T4265">
        <f>Data!N4281</f>
        <v>0</v>
      </c>
      <c r="U4265">
        <f>Data!O4281</f>
        <v>0</v>
      </c>
      <c r="V4265" s="33">
        <f>Data!P4279</f>
        <v>0</v>
      </c>
    </row>
    <row r="4266" spans="7:22" x14ac:dyDescent="0.25">
      <c r="G4266">
        <f>Data!B4278</f>
        <v>0</v>
      </c>
      <c r="H4266" s="21">
        <f>Data!B4278</f>
        <v>0</v>
      </c>
      <c r="I4266" s="21">
        <f>Data!C4278</f>
        <v>0</v>
      </c>
      <c r="J4266">
        <f>Data!D4278</f>
        <v>0</v>
      </c>
      <c r="K4266">
        <f>Data!E4278</f>
        <v>0</v>
      </c>
      <c r="L4266">
        <f>Data!F4278</f>
        <v>0</v>
      </c>
      <c r="M4266">
        <f>Data!G4278</f>
        <v>0</v>
      </c>
      <c r="N4266">
        <f>Data!H4278</f>
        <v>0</v>
      </c>
      <c r="O4266">
        <f>Data!I4278</f>
        <v>0</v>
      </c>
      <c r="P4266" s="21">
        <f>Data!J4282</f>
        <v>0</v>
      </c>
      <c r="Q4266">
        <f>Data!K4282</f>
        <v>0</v>
      </c>
      <c r="R4266">
        <f>Data!L4282</f>
        <v>0</v>
      </c>
      <c r="S4266">
        <f>Data!M4282</f>
        <v>0</v>
      </c>
      <c r="T4266">
        <f>Data!N4282</f>
        <v>0</v>
      </c>
      <c r="U4266">
        <f>Data!O4282</f>
        <v>0</v>
      </c>
      <c r="V4266" s="33">
        <f>Data!P4280</f>
        <v>0</v>
      </c>
    </row>
    <row r="4267" spans="7:22" x14ac:dyDescent="0.25">
      <c r="G4267">
        <f>Data!B4279</f>
        <v>0</v>
      </c>
      <c r="H4267" s="21">
        <f>Data!B4279</f>
        <v>0</v>
      </c>
      <c r="I4267" s="21">
        <f>Data!C4279</f>
        <v>0</v>
      </c>
      <c r="J4267">
        <f>Data!D4279</f>
        <v>0</v>
      </c>
      <c r="K4267">
        <f>Data!E4279</f>
        <v>0</v>
      </c>
      <c r="L4267">
        <f>Data!F4279</f>
        <v>0</v>
      </c>
      <c r="M4267">
        <f>Data!G4279</f>
        <v>0</v>
      </c>
      <c r="N4267">
        <f>Data!H4279</f>
        <v>0</v>
      </c>
      <c r="O4267">
        <f>Data!I4279</f>
        <v>0</v>
      </c>
      <c r="P4267" s="21">
        <f>Data!J4283</f>
        <v>0</v>
      </c>
      <c r="Q4267">
        <f>Data!K4283</f>
        <v>0</v>
      </c>
      <c r="R4267">
        <f>Data!L4283</f>
        <v>0</v>
      </c>
      <c r="S4267">
        <f>Data!M4283</f>
        <v>0</v>
      </c>
      <c r="T4267">
        <f>Data!N4283</f>
        <v>0</v>
      </c>
      <c r="U4267">
        <f>Data!O4283</f>
        <v>0</v>
      </c>
      <c r="V4267" s="33">
        <f>Data!P4281</f>
        <v>0</v>
      </c>
    </row>
    <row r="4268" spans="7:22" x14ac:dyDescent="0.25">
      <c r="G4268">
        <f>Data!B4280</f>
        <v>0</v>
      </c>
      <c r="H4268" s="21">
        <f>Data!B4280</f>
        <v>0</v>
      </c>
      <c r="I4268" s="21">
        <f>Data!C4280</f>
        <v>0</v>
      </c>
      <c r="J4268">
        <f>Data!D4280</f>
        <v>0</v>
      </c>
      <c r="K4268">
        <f>Data!E4280</f>
        <v>0</v>
      </c>
      <c r="L4268">
        <f>Data!F4280</f>
        <v>0</v>
      </c>
      <c r="M4268">
        <f>Data!G4280</f>
        <v>0</v>
      </c>
      <c r="N4268">
        <f>Data!H4280</f>
        <v>0</v>
      </c>
      <c r="O4268">
        <f>Data!I4280</f>
        <v>0</v>
      </c>
      <c r="P4268" s="21">
        <f>Data!J4284</f>
        <v>0</v>
      </c>
      <c r="Q4268">
        <f>Data!K4284</f>
        <v>0</v>
      </c>
      <c r="R4268">
        <f>Data!L4284</f>
        <v>0</v>
      </c>
      <c r="S4268">
        <f>Data!M4284</f>
        <v>0</v>
      </c>
      <c r="T4268">
        <f>Data!N4284</f>
        <v>0</v>
      </c>
      <c r="U4268">
        <f>Data!O4284</f>
        <v>0</v>
      </c>
      <c r="V4268" s="33">
        <f>Data!P4282</f>
        <v>0</v>
      </c>
    </row>
    <row r="4269" spans="7:22" x14ac:dyDescent="0.25">
      <c r="G4269">
        <f>Data!B4281</f>
        <v>0</v>
      </c>
      <c r="H4269" s="21">
        <f>Data!B4281</f>
        <v>0</v>
      </c>
      <c r="I4269" s="21">
        <f>Data!C4281</f>
        <v>0</v>
      </c>
      <c r="J4269">
        <f>Data!D4281</f>
        <v>0</v>
      </c>
      <c r="K4269">
        <f>Data!E4281</f>
        <v>0</v>
      </c>
      <c r="L4269">
        <f>Data!F4281</f>
        <v>0</v>
      </c>
      <c r="M4269">
        <f>Data!G4281</f>
        <v>0</v>
      </c>
      <c r="N4269">
        <f>Data!H4281</f>
        <v>0</v>
      </c>
      <c r="O4269">
        <f>Data!I4281</f>
        <v>0</v>
      </c>
      <c r="P4269" s="21">
        <f>Data!J4285</f>
        <v>0</v>
      </c>
      <c r="Q4269">
        <f>Data!K4285</f>
        <v>0</v>
      </c>
      <c r="R4269">
        <f>Data!L4285</f>
        <v>0</v>
      </c>
      <c r="S4269">
        <f>Data!M4285</f>
        <v>0</v>
      </c>
      <c r="T4269">
        <f>Data!N4285</f>
        <v>0</v>
      </c>
      <c r="U4269">
        <f>Data!O4285</f>
        <v>0</v>
      </c>
      <c r="V4269" s="33">
        <f>Data!P4283</f>
        <v>0</v>
      </c>
    </row>
    <row r="4270" spans="7:22" x14ac:dyDescent="0.25">
      <c r="G4270">
        <f>Data!B4282</f>
        <v>0</v>
      </c>
      <c r="H4270" s="21">
        <f>Data!B4282</f>
        <v>0</v>
      </c>
      <c r="I4270" s="21">
        <f>Data!C4282</f>
        <v>0</v>
      </c>
      <c r="J4270">
        <f>Data!D4282</f>
        <v>0</v>
      </c>
      <c r="K4270">
        <f>Data!E4282</f>
        <v>0</v>
      </c>
      <c r="L4270">
        <f>Data!F4282</f>
        <v>0</v>
      </c>
      <c r="M4270">
        <f>Data!G4282</f>
        <v>0</v>
      </c>
      <c r="N4270">
        <f>Data!H4282</f>
        <v>0</v>
      </c>
      <c r="O4270">
        <f>Data!I4282</f>
        <v>0</v>
      </c>
      <c r="P4270" s="21">
        <f>Data!J4286</f>
        <v>0</v>
      </c>
      <c r="Q4270">
        <f>Data!K4286</f>
        <v>0</v>
      </c>
      <c r="R4270">
        <f>Data!L4286</f>
        <v>0</v>
      </c>
      <c r="S4270">
        <f>Data!M4286</f>
        <v>0</v>
      </c>
      <c r="T4270">
        <f>Data!N4286</f>
        <v>0</v>
      </c>
      <c r="U4270">
        <f>Data!O4286</f>
        <v>0</v>
      </c>
      <c r="V4270" s="33">
        <f>Data!P4284</f>
        <v>0</v>
      </c>
    </row>
    <row r="4271" spans="7:22" x14ac:dyDescent="0.25">
      <c r="G4271">
        <f>Data!B4283</f>
        <v>0</v>
      </c>
      <c r="H4271" s="21">
        <f>Data!B4283</f>
        <v>0</v>
      </c>
      <c r="I4271" s="21">
        <f>Data!C4283</f>
        <v>0</v>
      </c>
      <c r="J4271">
        <f>Data!D4283</f>
        <v>0</v>
      </c>
      <c r="K4271">
        <f>Data!E4283</f>
        <v>0</v>
      </c>
      <c r="L4271">
        <f>Data!F4283</f>
        <v>0</v>
      </c>
      <c r="M4271">
        <f>Data!G4283</f>
        <v>0</v>
      </c>
      <c r="N4271">
        <f>Data!H4283</f>
        <v>0</v>
      </c>
      <c r="O4271">
        <f>Data!I4283</f>
        <v>0</v>
      </c>
      <c r="P4271" s="21">
        <f>Data!J4287</f>
        <v>0</v>
      </c>
      <c r="Q4271">
        <f>Data!K4287</f>
        <v>0</v>
      </c>
      <c r="R4271">
        <f>Data!L4287</f>
        <v>0</v>
      </c>
      <c r="S4271">
        <f>Data!M4287</f>
        <v>0</v>
      </c>
      <c r="T4271">
        <f>Data!N4287</f>
        <v>0</v>
      </c>
      <c r="U4271">
        <f>Data!O4287</f>
        <v>0</v>
      </c>
      <c r="V4271" s="33">
        <f>Data!P4285</f>
        <v>0</v>
      </c>
    </row>
    <row r="4272" spans="7:22" x14ac:dyDescent="0.25">
      <c r="G4272">
        <f>Data!B4284</f>
        <v>0</v>
      </c>
      <c r="H4272" s="21">
        <f>Data!B4284</f>
        <v>0</v>
      </c>
      <c r="I4272" s="21">
        <f>Data!C4284</f>
        <v>0</v>
      </c>
      <c r="J4272">
        <f>Data!D4284</f>
        <v>0</v>
      </c>
      <c r="K4272">
        <f>Data!E4284</f>
        <v>0</v>
      </c>
      <c r="L4272">
        <f>Data!F4284</f>
        <v>0</v>
      </c>
      <c r="M4272">
        <f>Data!G4284</f>
        <v>0</v>
      </c>
      <c r="N4272">
        <f>Data!H4284</f>
        <v>0</v>
      </c>
      <c r="O4272">
        <f>Data!I4284</f>
        <v>0</v>
      </c>
      <c r="P4272" s="21">
        <f>Data!J4288</f>
        <v>0</v>
      </c>
      <c r="Q4272">
        <f>Data!K4288</f>
        <v>0</v>
      </c>
      <c r="R4272">
        <f>Data!L4288</f>
        <v>0</v>
      </c>
      <c r="S4272">
        <f>Data!M4288</f>
        <v>0</v>
      </c>
      <c r="T4272">
        <f>Data!N4288</f>
        <v>0</v>
      </c>
      <c r="U4272">
        <f>Data!O4288</f>
        <v>0</v>
      </c>
      <c r="V4272" s="33">
        <f>Data!P4286</f>
        <v>0</v>
      </c>
    </row>
    <row r="4273" spans="7:22" x14ac:dyDescent="0.25">
      <c r="G4273">
        <f>Data!B4285</f>
        <v>0</v>
      </c>
      <c r="H4273" s="21">
        <f>Data!B4285</f>
        <v>0</v>
      </c>
      <c r="I4273" s="21">
        <f>Data!C4285</f>
        <v>0</v>
      </c>
      <c r="J4273">
        <f>Data!D4285</f>
        <v>0</v>
      </c>
      <c r="K4273">
        <f>Data!E4285</f>
        <v>0</v>
      </c>
      <c r="L4273">
        <f>Data!F4285</f>
        <v>0</v>
      </c>
      <c r="M4273">
        <f>Data!G4285</f>
        <v>0</v>
      </c>
      <c r="N4273">
        <f>Data!H4285</f>
        <v>0</v>
      </c>
      <c r="O4273">
        <f>Data!I4285</f>
        <v>0</v>
      </c>
      <c r="P4273" s="21">
        <f>Data!J4289</f>
        <v>0</v>
      </c>
      <c r="Q4273">
        <f>Data!K4289</f>
        <v>0</v>
      </c>
      <c r="R4273">
        <f>Data!L4289</f>
        <v>0</v>
      </c>
      <c r="S4273">
        <f>Data!M4289</f>
        <v>0</v>
      </c>
      <c r="T4273">
        <f>Data!N4289</f>
        <v>0</v>
      </c>
      <c r="U4273">
        <f>Data!O4289</f>
        <v>0</v>
      </c>
      <c r="V4273" s="33">
        <f>Data!P4287</f>
        <v>0</v>
      </c>
    </row>
    <row r="4274" spans="7:22" x14ac:dyDescent="0.25">
      <c r="G4274">
        <f>Data!B4286</f>
        <v>0</v>
      </c>
      <c r="H4274" s="21">
        <f>Data!B4286</f>
        <v>0</v>
      </c>
      <c r="I4274" s="21">
        <f>Data!C4286</f>
        <v>0</v>
      </c>
      <c r="J4274">
        <f>Data!D4286</f>
        <v>0</v>
      </c>
      <c r="K4274">
        <f>Data!E4286</f>
        <v>0</v>
      </c>
      <c r="L4274">
        <f>Data!F4286</f>
        <v>0</v>
      </c>
      <c r="M4274">
        <f>Data!G4286</f>
        <v>0</v>
      </c>
      <c r="N4274">
        <f>Data!H4286</f>
        <v>0</v>
      </c>
      <c r="O4274">
        <f>Data!I4286</f>
        <v>0</v>
      </c>
      <c r="P4274" s="21">
        <f>Data!J4290</f>
        <v>0</v>
      </c>
      <c r="Q4274">
        <f>Data!K4290</f>
        <v>0</v>
      </c>
      <c r="R4274">
        <f>Data!L4290</f>
        <v>0</v>
      </c>
      <c r="S4274">
        <f>Data!M4290</f>
        <v>0</v>
      </c>
      <c r="T4274">
        <f>Data!N4290</f>
        <v>0</v>
      </c>
      <c r="U4274">
        <f>Data!O4290</f>
        <v>0</v>
      </c>
      <c r="V4274" s="33">
        <f>Data!P4288</f>
        <v>0</v>
      </c>
    </row>
    <row r="4275" spans="7:22" x14ac:dyDescent="0.25">
      <c r="G4275">
        <f>Data!B4287</f>
        <v>0</v>
      </c>
      <c r="H4275" s="21">
        <f>Data!B4287</f>
        <v>0</v>
      </c>
      <c r="I4275" s="21">
        <f>Data!C4287</f>
        <v>0</v>
      </c>
      <c r="J4275">
        <f>Data!D4287</f>
        <v>0</v>
      </c>
      <c r="K4275">
        <f>Data!E4287</f>
        <v>0</v>
      </c>
      <c r="L4275">
        <f>Data!F4287</f>
        <v>0</v>
      </c>
      <c r="M4275">
        <f>Data!G4287</f>
        <v>0</v>
      </c>
      <c r="N4275">
        <f>Data!H4287</f>
        <v>0</v>
      </c>
      <c r="O4275">
        <f>Data!I4287</f>
        <v>0</v>
      </c>
      <c r="P4275" s="21">
        <f>Data!J4291</f>
        <v>0</v>
      </c>
      <c r="Q4275">
        <f>Data!K4291</f>
        <v>0</v>
      </c>
      <c r="R4275">
        <f>Data!L4291</f>
        <v>0</v>
      </c>
      <c r="S4275">
        <f>Data!M4291</f>
        <v>0</v>
      </c>
      <c r="T4275">
        <f>Data!N4291</f>
        <v>0</v>
      </c>
      <c r="U4275">
        <f>Data!O4291</f>
        <v>0</v>
      </c>
      <c r="V4275" s="33">
        <f>Data!P4289</f>
        <v>0</v>
      </c>
    </row>
    <row r="4276" spans="7:22" x14ac:dyDescent="0.25">
      <c r="G4276">
        <f>Data!B4288</f>
        <v>0</v>
      </c>
      <c r="H4276" s="21">
        <f>Data!B4288</f>
        <v>0</v>
      </c>
      <c r="I4276" s="21">
        <f>Data!C4288</f>
        <v>0</v>
      </c>
      <c r="J4276">
        <f>Data!D4288</f>
        <v>0</v>
      </c>
      <c r="K4276">
        <f>Data!E4288</f>
        <v>0</v>
      </c>
      <c r="L4276">
        <f>Data!F4288</f>
        <v>0</v>
      </c>
      <c r="M4276">
        <f>Data!G4288</f>
        <v>0</v>
      </c>
      <c r="N4276">
        <f>Data!H4288</f>
        <v>0</v>
      </c>
      <c r="O4276">
        <f>Data!I4288</f>
        <v>0</v>
      </c>
      <c r="P4276" s="21">
        <f>Data!J4292</f>
        <v>0</v>
      </c>
      <c r="Q4276">
        <f>Data!K4292</f>
        <v>0</v>
      </c>
      <c r="R4276">
        <f>Data!L4292</f>
        <v>0</v>
      </c>
      <c r="S4276">
        <f>Data!M4292</f>
        <v>0</v>
      </c>
      <c r="T4276">
        <f>Data!N4292</f>
        <v>0</v>
      </c>
      <c r="U4276">
        <f>Data!O4292</f>
        <v>0</v>
      </c>
      <c r="V4276" s="33">
        <f>Data!P4290</f>
        <v>0</v>
      </c>
    </row>
    <row r="4277" spans="7:22" x14ac:dyDescent="0.25">
      <c r="G4277">
        <f>Data!B4289</f>
        <v>0</v>
      </c>
      <c r="H4277" s="21">
        <f>Data!B4289</f>
        <v>0</v>
      </c>
      <c r="I4277" s="21">
        <f>Data!C4289</f>
        <v>0</v>
      </c>
      <c r="J4277">
        <f>Data!D4289</f>
        <v>0</v>
      </c>
      <c r="K4277">
        <f>Data!E4289</f>
        <v>0</v>
      </c>
      <c r="L4277">
        <f>Data!F4289</f>
        <v>0</v>
      </c>
      <c r="M4277">
        <f>Data!G4289</f>
        <v>0</v>
      </c>
      <c r="N4277">
        <f>Data!H4289</f>
        <v>0</v>
      </c>
      <c r="O4277">
        <f>Data!I4289</f>
        <v>0</v>
      </c>
      <c r="P4277" s="21">
        <f>Data!J4293</f>
        <v>0</v>
      </c>
      <c r="Q4277">
        <f>Data!K4293</f>
        <v>0</v>
      </c>
      <c r="R4277">
        <f>Data!L4293</f>
        <v>0</v>
      </c>
      <c r="S4277">
        <f>Data!M4293</f>
        <v>0</v>
      </c>
      <c r="T4277">
        <f>Data!N4293</f>
        <v>0</v>
      </c>
      <c r="U4277">
        <f>Data!O4293</f>
        <v>0</v>
      </c>
      <c r="V4277" s="33">
        <f>Data!P4291</f>
        <v>0</v>
      </c>
    </row>
    <row r="4278" spans="7:22" x14ac:dyDescent="0.25">
      <c r="G4278">
        <f>Data!B4290</f>
        <v>0</v>
      </c>
      <c r="H4278" s="21">
        <f>Data!B4290</f>
        <v>0</v>
      </c>
      <c r="I4278" s="21">
        <f>Data!C4290</f>
        <v>0</v>
      </c>
      <c r="J4278">
        <f>Data!D4290</f>
        <v>0</v>
      </c>
      <c r="K4278">
        <f>Data!E4290</f>
        <v>0</v>
      </c>
      <c r="L4278">
        <f>Data!F4290</f>
        <v>0</v>
      </c>
      <c r="M4278">
        <f>Data!G4290</f>
        <v>0</v>
      </c>
      <c r="N4278">
        <f>Data!H4290</f>
        <v>0</v>
      </c>
      <c r="O4278">
        <f>Data!I4290</f>
        <v>0</v>
      </c>
      <c r="P4278" s="21">
        <f>Data!J4294</f>
        <v>0</v>
      </c>
      <c r="Q4278">
        <f>Data!K4294</f>
        <v>0</v>
      </c>
      <c r="R4278">
        <f>Data!L4294</f>
        <v>0</v>
      </c>
      <c r="S4278">
        <f>Data!M4294</f>
        <v>0</v>
      </c>
      <c r="T4278">
        <f>Data!N4294</f>
        <v>0</v>
      </c>
      <c r="U4278">
        <f>Data!O4294</f>
        <v>0</v>
      </c>
      <c r="V4278" s="33">
        <f>Data!P4292</f>
        <v>0</v>
      </c>
    </row>
    <row r="4279" spans="7:22" x14ac:dyDescent="0.25">
      <c r="G4279">
        <f>Data!B4291</f>
        <v>0</v>
      </c>
      <c r="H4279" s="21">
        <f>Data!B4291</f>
        <v>0</v>
      </c>
      <c r="I4279" s="21">
        <f>Data!C4291</f>
        <v>0</v>
      </c>
      <c r="J4279">
        <f>Data!D4291</f>
        <v>0</v>
      </c>
      <c r="K4279">
        <f>Data!E4291</f>
        <v>0</v>
      </c>
      <c r="L4279">
        <f>Data!F4291</f>
        <v>0</v>
      </c>
      <c r="M4279">
        <f>Data!G4291</f>
        <v>0</v>
      </c>
      <c r="N4279">
        <f>Data!H4291</f>
        <v>0</v>
      </c>
      <c r="O4279">
        <f>Data!I4291</f>
        <v>0</v>
      </c>
      <c r="P4279" s="21">
        <f>Data!J4295</f>
        <v>0</v>
      </c>
      <c r="Q4279">
        <f>Data!K4295</f>
        <v>0</v>
      </c>
      <c r="R4279">
        <f>Data!L4295</f>
        <v>0</v>
      </c>
      <c r="S4279">
        <f>Data!M4295</f>
        <v>0</v>
      </c>
      <c r="T4279">
        <f>Data!N4295</f>
        <v>0</v>
      </c>
      <c r="U4279">
        <f>Data!O4295</f>
        <v>0</v>
      </c>
      <c r="V4279" s="33">
        <f>Data!P4293</f>
        <v>0</v>
      </c>
    </row>
    <row r="4280" spans="7:22" x14ac:dyDescent="0.25">
      <c r="G4280">
        <f>Data!B4292</f>
        <v>0</v>
      </c>
      <c r="H4280" s="21">
        <f>Data!B4292</f>
        <v>0</v>
      </c>
      <c r="I4280" s="21">
        <f>Data!C4292</f>
        <v>0</v>
      </c>
      <c r="J4280">
        <f>Data!D4292</f>
        <v>0</v>
      </c>
      <c r="K4280">
        <f>Data!E4292</f>
        <v>0</v>
      </c>
      <c r="L4280">
        <f>Data!F4292</f>
        <v>0</v>
      </c>
      <c r="M4280">
        <f>Data!G4292</f>
        <v>0</v>
      </c>
      <c r="N4280">
        <f>Data!H4292</f>
        <v>0</v>
      </c>
      <c r="O4280">
        <f>Data!I4292</f>
        <v>0</v>
      </c>
      <c r="P4280" s="21">
        <f>Data!J4296</f>
        <v>0</v>
      </c>
      <c r="Q4280">
        <f>Data!K4296</f>
        <v>0</v>
      </c>
      <c r="R4280">
        <f>Data!L4296</f>
        <v>0</v>
      </c>
      <c r="S4280">
        <f>Data!M4296</f>
        <v>0</v>
      </c>
      <c r="T4280">
        <f>Data!N4296</f>
        <v>0</v>
      </c>
      <c r="U4280">
        <f>Data!O4296</f>
        <v>0</v>
      </c>
      <c r="V4280" s="33">
        <f>Data!P4294</f>
        <v>0</v>
      </c>
    </row>
    <row r="4281" spans="7:22" x14ac:dyDescent="0.25">
      <c r="G4281">
        <f>Data!B4293</f>
        <v>0</v>
      </c>
      <c r="H4281" s="21">
        <f>Data!B4293</f>
        <v>0</v>
      </c>
      <c r="I4281" s="21">
        <f>Data!C4293</f>
        <v>0</v>
      </c>
      <c r="J4281">
        <f>Data!D4293</f>
        <v>0</v>
      </c>
      <c r="K4281">
        <f>Data!E4293</f>
        <v>0</v>
      </c>
      <c r="L4281">
        <f>Data!F4293</f>
        <v>0</v>
      </c>
      <c r="M4281">
        <f>Data!G4293</f>
        <v>0</v>
      </c>
      <c r="N4281">
        <f>Data!H4293</f>
        <v>0</v>
      </c>
      <c r="O4281">
        <f>Data!I4293</f>
        <v>0</v>
      </c>
      <c r="P4281" s="21">
        <f>Data!J4297</f>
        <v>0</v>
      </c>
      <c r="Q4281">
        <f>Data!K4297</f>
        <v>0</v>
      </c>
      <c r="R4281">
        <f>Data!L4297</f>
        <v>0</v>
      </c>
      <c r="S4281">
        <f>Data!M4297</f>
        <v>0</v>
      </c>
      <c r="T4281">
        <f>Data!N4297</f>
        <v>0</v>
      </c>
      <c r="U4281">
        <f>Data!O4297</f>
        <v>0</v>
      </c>
      <c r="V4281" s="33">
        <f>Data!P4295</f>
        <v>0</v>
      </c>
    </row>
    <row r="4282" spans="7:22" x14ac:dyDescent="0.25">
      <c r="G4282">
        <f>Data!B4294</f>
        <v>0</v>
      </c>
      <c r="H4282" s="21">
        <f>Data!B4294</f>
        <v>0</v>
      </c>
      <c r="I4282" s="21">
        <f>Data!C4294</f>
        <v>0</v>
      </c>
      <c r="J4282">
        <f>Data!D4294</f>
        <v>0</v>
      </c>
      <c r="K4282">
        <f>Data!E4294</f>
        <v>0</v>
      </c>
      <c r="L4282">
        <f>Data!F4294</f>
        <v>0</v>
      </c>
      <c r="M4282">
        <f>Data!G4294</f>
        <v>0</v>
      </c>
      <c r="N4282">
        <f>Data!H4294</f>
        <v>0</v>
      </c>
      <c r="O4282">
        <f>Data!I4294</f>
        <v>0</v>
      </c>
      <c r="P4282" s="21">
        <f>Data!J4298</f>
        <v>0</v>
      </c>
      <c r="Q4282">
        <f>Data!K4298</f>
        <v>0</v>
      </c>
      <c r="R4282">
        <f>Data!L4298</f>
        <v>0</v>
      </c>
      <c r="S4282">
        <f>Data!M4298</f>
        <v>0</v>
      </c>
      <c r="T4282">
        <f>Data!N4298</f>
        <v>0</v>
      </c>
      <c r="U4282">
        <f>Data!O4298</f>
        <v>0</v>
      </c>
      <c r="V4282" s="33">
        <f>Data!P4296</f>
        <v>0</v>
      </c>
    </row>
    <row r="4283" spans="7:22" x14ac:dyDescent="0.25">
      <c r="G4283">
        <f>Data!B4295</f>
        <v>0</v>
      </c>
      <c r="H4283" s="21">
        <f>Data!B4295</f>
        <v>0</v>
      </c>
      <c r="I4283" s="21">
        <f>Data!C4295</f>
        <v>0</v>
      </c>
      <c r="J4283">
        <f>Data!D4295</f>
        <v>0</v>
      </c>
      <c r="K4283">
        <f>Data!E4295</f>
        <v>0</v>
      </c>
      <c r="L4283">
        <f>Data!F4295</f>
        <v>0</v>
      </c>
      <c r="M4283">
        <f>Data!G4295</f>
        <v>0</v>
      </c>
      <c r="N4283">
        <f>Data!H4295</f>
        <v>0</v>
      </c>
      <c r="O4283">
        <f>Data!I4295</f>
        <v>0</v>
      </c>
      <c r="P4283" s="21">
        <f>Data!J4299</f>
        <v>0</v>
      </c>
      <c r="Q4283">
        <f>Data!K4299</f>
        <v>0</v>
      </c>
      <c r="R4283">
        <f>Data!L4299</f>
        <v>0</v>
      </c>
      <c r="S4283">
        <f>Data!M4299</f>
        <v>0</v>
      </c>
      <c r="T4283">
        <f>Data!N4299</f>
        <v>0</v>
      </c>
      <c r="U4283">
        <f>Data!O4299</f>
        <v>0</v>
      </c>
      <c r="V4283" s="33">
        <f>Data!P4297</f>
        <v>0</v>
      </c>
    </row>
    <row r="4284" spans="7:22" x14ac:dyDescent="0.25">
      <c r="G4284">
        <f>Data!B4296</f>
        <v>0</v>
      </c>
      <c r="H4284" s="21">
        <f>Data!B4296</f>
        <v>0</v>
      </c>
      <c r="I4284" s="21">
        <f>Data!C4296</f>
        <v>0</v>
      </c>
      <c r="J4284">
        <f>Data!D4296</f>
        <v>0</v>
      </c>
      <c r="K4284">
        <f>Data!E4296</f>
        <v>0</v>
      </c>
      <c r="L4284">
        <f>Data!F4296</f>
        <v>0</v>
      </c>
      <c r="M4284">
        <f>Data!G4296</f>
        <v>0</v>
      </c>
      <c r="N4284">
        <f>Data!H4296</f>
        <v>0</v>
      </c>
      <c r="O4284">
        <f>Data!I4296</f>
        <v>0</v>
      </c>
      <c r="P4284" s="21">
        <f>Data!J4300</f>
        <v>0</v>
      </c>
      <c r="Q4284">
        <f>Data!K4300</f>
        <v>0</v>
      </c>
      <c r="R4284">
        <f>Data!L4300</f>
        <v>0</v>
      </c>
      <c r="S4284">
        <f>Data!M4300</f>
        <v>0</v>
      </c>
      <c r="T4284">
        <f>Data!N4300</f>
        <v>0</v>
      </c>
      <c r="U4284">
        <f>Data!O4300</f>
        <v>0</v>
      </c>
      <c r="V4284" s="33">
        <f>Data!P4298</f>
        <v>0</v>
      </c>
    </row>
    <row r="4285" spans="7:22" x14ac:dyDescent="0.25">
      <c r="G4285">
        <f>Data!B4297</f>
        <v>0</v>
      </c>
      <c r="H4285" s="21">
        <f>Data!B4297</f>
        <v>0</v>
      </c>
      <c r="I4285" s="21">
        <f>Data!C4297</f>
        <v>0</v>
      </c>
      <c r="J4285">
        <f>Data!D4297</f>
        <v>0</v>
      </c>
      <c r="K4285">
        <f>Data!E4297</f>
        <v>0</v>
      </c>
      <c r="L4285">
        <f>Data!F4297</f>
        <v>0</v>
      </c>
      <c r="M4285">
        <f>Data!G4297</f>
        <v>0</v>
      </c>
      <c r="N4285">
        <f>Data!H4297</f>
        <v>0</v>
      </c>
      <c r="O4285">
        <f>Data!I4297</f>
        <v>0</v>
      </c>
      <c r="P4285" s="21">
        <f>Data!J4301</f>
        <v>0</v>
      </c>
      <c r="Q4285">
        <f>Data!K4301</f>
        <v>0</v>
      </c>
      <c r="R4285">
        <f>Data!L4301</f>
        <v>0</v>
      </c>
      <c r="S4285">
        <f>Data!M4301</f>
        <v>0</v>
      </c>
      <c r="T4285">
        <f>Data!N4301</f>
        <v>0</v>
      </c>
      <c r="U4285">
        <f>Data!O4301</f>
        <v>0</v>
      </c>
      <c r="V4285" s="33">
        <f>Data!P4299</f>
        <v>0</v>
      </c>
    </row>
    <row r="4286" spans="7:22" x14ac:dyDescent="0.25">
      <c r="G4286">
        <f>Data!B4298</f>
        <v>0</v>
      </c>
      <c r="H4286" s="21">
        <f>Data!B4298</f>
        <v>0</v>
      </c>
      <c r="I4286" s="21">
        <f>Data!C4298</f>
        <v>0</v>
      </c>
      <c r="J4286">
        <f>Data!D4298</f>
        <v>0</v>
      </c>
      <c r="K4286">
        <f>Data!E4298</f>
        <v>0</v>
      </c>
      <c r="L4286">
        <f>Data!F4298</f>
        <v>0</v>
      </c>
      <c r="M4286">
        <f>Data!G4298</f>
        <v>0</v>
      </c>
      <c r="N4286">
        <f>Data!H4298</f>
        <v>0</v>
      </c>
      <c r="O4286">
        <f>Data!I4298</f>
        <v>0</v>
      </c>
      <c r="P4286" s="21">
        <f>Data!J4302</f>
        <v>0</v>
      </c>
      <c r="Q4286">
        <f>Data!K4302</f>
        <v>0</v>
      </c>
      <c r="R4286">
        <f>Data!L4302</f>
        <v>0</v>
      </c>
      <c r="S4286">
        <f>Data!M4302</f>
        <v>0</v>
      </c>
      <c r="T4286">
        <f>Data!N4302</f>
        <v>0</v>
      </c>
      <c r="U4286">
        <f>Data!O4302</f>
        <v>0</v>
      </c>
      <c r="V4286" s="33">
        <f>Data!P4300</f>
        <v>0</v>
      </c>
    </row>
    <row r="4287" spans="7:22" x14ac:dyDescent="0.25">
      <c r="G4287">
        <f>Data!B4299</f>
        <v>0</v>
      </c>
      <c r="H4287" s="21">
        <f>Data!B4299</f>
        <v>0</v>
      </c>
      <c r="I4287" s="21">
        <f>Data!C4299</f>
        <v>0</v>
      </c>
      <c r="J4287">
        <f>Data!D4299</f>
        <v>0</v>
      </c>
      <c r="K4287">
        <f>Data!E4299</f>
        <v>0</v>
      </c>
      <c r="L4287">
        <f>Data!F4299</f>
        <v>0</v>
      </c>
      <c r="M4287">
        <f>Data!G4299</f>
        <v>0</v>
      </c>
      <c r="N4287">
        <f>Data!H4299</f>
        <v>0</v>
      </c>
      <c r="O4287">
        <f>Data!I4299</f>
        <v>0</v>
      </c>
      <c r="P4287" s="21">
        <f>Data!J4303</f>
        <v>0</v>
      </c>
      <c r="Q4287">
        <f>Data!K4303</f>
        <v>0</v>
      </c>
      <c r="R4287">
        <f>Data!L4303</f>
        <v>0</v>
      </c>
      <c r="S4287">
        <f>Data!M4303</f>
        <v>0</v>
      </c>
      <c r="T4287">
        <f>Data!N4303</f>
        <v>0</v>
      </c>
      <c r="U4287">
        <f>Data!O4303</f>
        <v>0</v>
      </c>
      <c r="V4287" s="33">
        <f>Data!P4301</f>
        <v>0</v>
      </c>
    </row>
    <row r="4288" spans="7:22" x14ac:dyDescent="0.25">
      <c r="G4288">
        <f>Data!B4300</f>
        <v>0</v>
      </c>
      <c r="H4288" s="21">
        <f>Data!B4300</f>
        <v>0</v>
      </c>
      <c r="I4288" s="21">
        <f>Data!C4300</f>
        <v>0</v>
      </c>
      <c r="J4288">
        <f>Data!D4300</f>
        <v>0</v>
      </c>
      <c r="K4288">
        <f>Data!E4300</f>
        <v>0</v>
      </c>
      <c r="L4288">
        <f>Data!F4300</f>
        <v>0</v>
      </c>
      <c r="M4288">
        <f>Data!G4300</f>
        <v>0</v>
      </c>
      <c r="N4288">
        <f>Data!H4300</f>
        <v>0</v>
      </c>
      <c r="O4288">
        <f>Data!I4300</f>
        <v>0</v>
      </c>
      <c r="P4288" s="21">
        <f>Data!J4304</f>
        <v>0</v>
      </c>
      <c r="Q4288">
        <f>Data!K4304</f>
        <v>0</v>
      </c>
      <c r="R4288">
        <f>Data!L4304</f>
        <v>0</v>
      </c>
      <c r="S4288">
        <f>Data!M4304</f>
        <v>0</v>
      </c>
      <c r="T4288">
        <f>Data!N4304</f>
        <v>0</v>
      </c>
      <c r="U4288">
        <f>Data!O4304</f>
        <v>0</v>
      </c>
      <c r="V4288" s="33">
        <f>Data!P4302</f>
        <v>0</v>
      </c>
    </row>
    <row r="4289" spans="7:22" x14ac:dyDescent="0.25">
      <c r="G4289">
        <f>Data!B4301</f>
        <v>0</v>
      </c>
      <c r="H4289" s="21">
        <f>Data!B4301</f>
        <v>0</v>
      </c>
      <c r="I4289" s="21">
        <f>Data!C4301</f>
        <v>0</v>
      </c>
      <c r="J4289">
        <f>Data!D4301</f>
        <v>0</v>
      </c>
      <c r="K4289">
        <f>Data!E4301</f>
        <v>0</v>
      </c>
      <c r="L4289">
        <f>Data!F4301</f>
        <v>0</v>
      </c>
      <c r="M4289">
        <f>Data!G4301</f>
        <v>0</v>
      </c>
      <c r="N4289">
        <f>Data!H4301</f>
        <v>0</v>
      </c>
      <c r="O4289">
        <f>Data!I4301</f>
        <v>0</v>
      </c>
      <c r="P4289" s="21">
        <f>Data!J4305</f>
        <v>0</v>
      </c>
      <c r="Q4289">
        <f>Data!K4305</f>
        <v>0</v>
      </c>
      <c r="R4289">
        <f>Data!L4305</f>
        <v>0</v>
      </c>
      <c r="S4289">
        <f>Data!M4305</f>
        <v>0</v>
      </c>
      <c r="T4289">
        <f>Data!N4305</f>
        <v>0</v>
      </c>
      <c r="U4289">
        <f>Data!O4305</f>
        <v>0</v>
      </c>
      <c r="V4289" s="33">
        <f>Data!P4303</f>
        <v>0</v>
      </c>
    </row>
    <row r="4290" spans="7:22" x14ac:dyDescent="0.25">
      <c r="G4290">
        <f>Data!B4302</f>
        <v>0</v>
      </c>
      <c r="H4290" s="21">
        <f>Data!B4302</f>
        <v>0</v>
      </c>
      <c r="I4290" s="21">
        <f>Data!C4302</f>
        <v>0</v>
      </c>
      <c r="J4290">
        <f>Data!D4302</f>
        <v>0</v>
      </c>
      <c r="K4290">
        <f>Data!E4302</f>
        <v>0</v>
      </c>
      <c r="L4290">
        <f>Data!F4302</f>
        <v>0</v>
      </c>
      <c r="M4290">
        <f>Data!G4302</f>
        <v>0</v>
      </c>
      <c r="N4290">
        <f>Data!H4302</f>
        <v>0</v>
      </c>
      <c r="O4290">
        <f>Data!I4302</f>
        <v>0</v>
      </c>
      <c r="P4290" s="21">
        <f>Data!J4306</f>
        <v>0</v>
      </c>
      <c r="Q4290">
        <f>Data!K4306</f>
        <v>0</v>
      </c>
      <c r="R4290">
        <f>Data!L4306</f>
        <v>0</v>
      </c>
      <c r="S4290">
        <f>Data!M4306</f>
        <v>0</v>
      </c>
      <c r="T4290">
        <f>Data!N4306</f>
        <v>0</v>
      </c>
      <c r="U4290">
        <f>Data!O4306</f>
        <v>0</v>
      </c>
      <c r="V4290" s="33">
        <f>Data!P4304</f>
        <v>0</v>
      </c>
    </row>
    <row r="4291" spans="7:22" x14ac:dyDescent="0.25">
      <c r="G4291">
        <f>Data!B4303</f>
        <v>0</v>
      </c>
      <c r="H4291" s="21">
        <f>Data!B4303</f>
        <v>0</v>
      </c>
      <c r="I4291" s="21">
        <f>Data!C4303</f>
        <v>0</v>
      </c>
      <c r="J4291">
        <f>Data!D4303</f>
        <v>0</v>
      </c>
      <c r="K4291">
        <f>Data!E4303</f>
        <v>0</v>
      </c>
      <c r="L4291">
        <f>Data!F4303</f>
        <v>0</v>
      </c>
      <c r="M4291">
        <f>Data!G4303</f>
        <v>0</v>
      </c>
      <c r="N4291">
        <f>Data!H4303</f>
        <v>0</v>
      </c>
      <c r="O4291">
        <f>Data!I4303</f>
        <v>0</v>
      </c>
      <c r="P4291" s="21">
        <f>Data!J4307</f>
        <v>0</v>
      </c>
      <c r="Q4291">
        <f>Data!K4307</f>
        <v>0</v>
      </c>
      <c r="R4291">
        <f>Data!L4307</f>
        <v>0</v>
      </c>
      <c r="S4291">
        <f>Data!M4307</f>
        <v>0</v>
      </c>
      <c r="T4291">
        <f>Data!N4307</f>
        <v>0</v>
      </c>
      <c r="U4291">
        <f>Data!O4307</f>
        <v>0</v>
      </c>
      <c r="V4291" s="33">
        <f>Data!P4305</f>
        <v>0</v>
      </c>
    </row>
    <row r="4292" spans="7:22" x14ac:dyDescent="0.25">
      <c r="G4292">
        <f>Data!B4304</f>
        <v>0</v>
      </c>
      <c r="H4292" s="21">
        <f>Data!B4304</f>
        <v>0</v>
      </c>
      <c r="I4292" s="21">
        <f>Data!C4304</f>
        <v>0</v>
      </c>
      <c r="J4292">
        <f>Data!D4304</f>
        <v>0</v>
      </c>
      <c r="K4292">
        <f>Data!E4304</f>
        <v>0</v>
      </c>
      <c r="L4292">
        <f>Data!F4304</f>
        <v>0</v>
      </c>
      <c r="M4292">
        <f>Data!G4304</f>
        <v>0</v>
      </c>
      <c r="N4292">
        <f>Data!H4304</f>
        <v>0</v>
      </c>
      <c r="O4292">
        <f>Data!I4304</f>
        <v>0</v>
      </c>
      <c r="P4292" s="21">
        <f>Data!J4308</f>
        <v>0</v>
      </c>
      <c r="Q4292">
        <f>Data!K4308</f>
        <v>0</v>
      </c>
      <c r="R4292">
        <f>Data!L4308</f>
        <v>0</v>
      </c>
      <c r="S4292">
        <f>Data!M4308</f>
        <v>0</v>
      </c>
      <c r="T4292">
        <f>Data!N4308</f>
        <v>0</v>
      </c>
      <c r="U4292">
        <f>Data!O4308</f>
        <v>0</v>
      </c>
      <c r="V4292" s="33">
        <f>Data!P4306</f>
        <v>0</v>
      </c>
    </row>
    <row r="4293" spans="7:22" x14ac:dyDescent="0.25">
      <c r="G4293">
        <f>Data!B4305</f>
        <v>0</v>
      </c>
      <c r="H4293" s="21">
        <f>Data!B4305</f>
        <v>0</v>
      </c>
      <c r="I4293" s="21">
        <f>Data!C4305</f>
        <v>0</v>
      </c>
      <c r="J4293">
        <f>Data!D4305</f>
        <v>0</v>
      </c>
      <c r="K4293">
        <f>Data!E4305</f>
        <v>0</v>
      </c>
      <c r="L4293">
        <f>Data!F4305</f>
        <v>0</v>
      </c>
      <c r="M4293">
        <f>Data!G4305</f>
        <v>0</v>
      </c>
      <c r="N4293">
        <f>Data!H4305</f>
        <v>0</v>
      </c>
      <c r="O4293">
        <f>Data!I4305</f>
        <v>0</v>
      </c>
      <c r="P4293" s="21">
        <f>Data!J4309</f>
        <v>0</v>
      </c>
      <c r="Q4293">
        <f>Data!K4309</f>
        <v>0</v>
      </c>
      <c r="R4293">
        <f>Data!L4309</f>
        <v>0</v>
      </c>
      <c r="S4293">
        <f>Data!M4309</f>
        <v>0</v>
      </c>
      <c r="T4293">
        <f>Data!N4309</f>
        <v>0</v>
      </c>
      <c r="U4293">
        <f>Data!O4309</f>
        <v>0</v>
      </c>
      <c r="V4293" s="33">
        <f>Data!P4307</f>
        <v>0</v>
      </c>
    </row>
    <row r="4294" spans="7:22" x14ac:dyDescent="0.25">
      <c r="G4294">
        <f>Data!B4306</f>
        <v>0</v>
      </c>
      <c r="H4294" s="21">
        <f>Data!B4306</f>
        <v>0</v>
      </c>
      <c r="I4294" s="21">
        <f>Data!C4306</f>
        <v>0</v>
      </c>
      <c r="J4294">
        <f>Data!D4306</f>
        <v>0</v>
      </c>
      <c r="K4294">
        <f>Data!E4306</f>
        <v>0</v>
      </c>
      <c r="L4294">
        <f>Data!F4306</f>
        <v>0</v>
      </c>
      <c r="M4294">
        <f>Data!G4306</f>
        <v>0</v>
      </c>
      <c r="N4294">
        <f>Data!H4306</f>
        <v>0</v>
      </c>
      <c r="O4294">
        <f>Data!I4306</f>
        <v>0</v>
      </c>
      <c r="P4294" s="21">
        <f>Data!J4310</f>
        <v>0</v>
      </c>
      <c r="Q4294">
        <f>Data!K4310</f>
        <v>0</v>
      </c>
      <c r="R4294">
        <f>Data!L4310</f>
        <v>0</v>
      </c>
      <c r="S4294">
        <f>Data!M4310</f>
        <v>0</v>
      </c>
      <c r="T4294">
        <f>Data!N4310</f>
        <v>0</v>
      </c>
      <c r="U4294">
        <f>Data!O4310</f>
        <v>0</v>
      </c>
      <c r="V4294" s="33">
        <f>Data!P4308</f>
        <v>0</v>
      </c>
    </row>
    <row r="4295" spans="7:22" x14ac:dyDescent="0.25">
      <c r="G4295">
        <f>Data!B4307</f>
        <v>0</v>
      </c>
      <c r="H4295" s="21">
        <f>Data!B4307</f>
        <v>0</v>
      </c>
      <c r="I4295" s="21">
        <f>Data!C4307</f>
        <v>0</v>
      </c>
      <c r="J4295">
        <f>Data!D4307</f>
        <v>0</v>
      </c>
      <c r="K4295">
        <f>Data!E4307</f>
        <v>0</v>
      </c>
      <c r="L4295">
        <f>Data!F4307</f>
        <v>0</v>
      </c>
      <c r="M4295">
        <f>Data!G4307</f>
        <v>0</v>
      </c>
      <c r="N4295">
        <f>Data!H4307</f>
        <v>0</v>
      </c>
      <c r="O4295">
        <f>Data!I4307</f>
        <v>0</v>
      </c>
      <c r="P4295" s="21">
        <f>Data!J4311</f>
        <v>0</v>
      </c>
      <c r="Q4295">
        <f>Data!K4311</f>
        <v>0</v>
      </c>
      <c r="R4295">
        <f>Data!L4311</f>
        <v>0</v>
      </c>
      <c r="S4295">
        <f>Data!M4311</f>
        <v>0</v>
      </c>
      <c r="T4295">
        <f>Data!N4311</f>
        <v>0</v>
      </c>
      <c r="U4295">
        <f>Data!O4311</f>
        <v>0</v>
      </c>
      <c r="V4295" s="33">
        <f>Data!P4309</f>
        <v>0</v>
      </c>
    </row>
    <row r="4296" spans="7:22" x14ac:dyDescent="0.25">
      <c r="G4296">
        <f>Data!B4308</f>
        <v>0</v>
      </c>
      <c r="H4296" s="21">
        <f>Data!B4308</f>
        <v>0</v>
      </c>
      <c r="I4296" s="21">
        <f>Data!C4308</f>
        <v>0</v>
      </c>
      <c r="J4296">
        <f>Data!D4308</f>
        <v>0</v>
      </c>
      <c r="K4296">
        <f>Data!E4308</f>
        <v>0</v>
      </c>
      <c r="L4296">
        <f>Data!F4308</f>
        <v>0</v>
      </c>
      <c r="M4296">
        <f>Data!G4308</f>
        <v>0</v>
      </c>
      <c r="N4296">
        <f>Data!H4308</f>
        <v>0</v>
      </c>
      <c r="O4296">
        <f>Data!I4308</f>
        <v>0</v>
      </c>
      <c r="P4296" s="21">
        <f>Data!J4312</f>
        <v>0</v>
      </c>
      <c r="Q4296">
        <f>Data!K4312</f>
        <v>0</v>
      </c>
      <c r="R4296">
        <f>Data!L4312</f>
        <v>0</v>
      </c>
      <c r="S4296">
        <f>Data!M4312</f>
        <v>0</v>
      </c>
      <c r="T4296">
        <f>Data!N4312</f>
        <v>0</v>
      </c>
      <c r="U4296">
        <f>Data!O4312</f>
        <v>0</v>
      </c>
      <c r="V4296" s="33">
        <f>Data!P4310</f>
        <v>0</v>
      </c>
    </row>
    <row r="4297" spans="7:22" x14ac:dyDescent="0.25">
      <c r="G4297">
        <f>Data!B4309</f>
        <v>0</v>
      </c>
      <c r="H4297" s="21">
        <f>Data!B4309</f>
        <v>0</v>
      </c>
      <c r="I4297" s="21">
        <f>Data!C4309</f>
        <v>0</v>
      </c>
      <c r="J4297">
        <f>Data!D4309</f>
        <v>0</v>
      </c>
      <c r="K4297">
        <f>Data!E4309</f>
        <v>0</v>
      </c>
      <c r="L4297">
        <f>Data!F4309</f>
        <v>0</v>
      </c>
      <c r="M4297">
        <f>Data!G4309</f>
        <v>0</v>
      </c>
      <c r="N4297">
        <f>Data!H4309</f>
        <v>0</v>
      </c>
      <c r="O4297">
        <f>Data!I4309</f>
        <v>0</v>
      </c>
      <c r="P4297" s="21">
        <f>Data!J4313</f>
        <v>0</v>
      </c>
      <c r="Q4297">
        <f>Data!K4313</f>
        <v>0</v>
      </c>
      <c r="R4297">
        <f>Data!L4313</f>
        <v>0</v>
      </c>
      <c r="S4297">
        <f>Data!M4313</f>
        <v>0</v>
      </c>
      <c r="T4297">
        <f>Data!N4313</f>
        <v>0</v>
      </c>
      <c r="U4297">
        <f>Data!O4313</f>
        <v>0</v>
      </c>
      <c r="V4297" s="33">
        <f>Data!P4311</f>
        <v>0</v>
      </c>
    </row>
    <row r="4298" spans="7:22" x14ac:dyDescent="0.25">
      <c r="G4298">
        <f>Data!B4310</f>
        <v>0</v>
      </c>
      <c r="H4298" s="21">
        <f>Data!B4310</f>
        <v>0</v>
      </c>
      <c r="I4298" s="21">
        <f>Data!C4310</f>
        <v>0</v>
      </c>
      <c r="J4298">
        <f>Data!D4310</f>
        <v>0</v>
      </c>
      <c r="K4298">
        <f>Data!E4310</f>
        <v>0</v>
      </c>
      <c r="L4298">
        <f>Data!F4310</f>
        <v>0</v>
      </c>
      <c r="M4298">
        <f>Data!G4310</f>
        <v>0</v>
      </c>
      <c r="N4298">
        <f>Data!H4310</f>
        <v>0</v>
      </c>
      <c r="O4298">
        <f>Data!I4310</f>
        <v>0</v>
      </c>
      <c r="P4298" s="21">
        <f>Data!J4314</f>
        <v>0</v>
      </c>
      <c r="Q4298">
        <f>Data!K4314</f>
        <v>0</v>
      </c>
      <c r="R4298">
        <f>Data!L4314</f>
        <v>0</v>
      </c>
      <c r="S4298">
        <f>Data!M4314</f>
        <v>0</v>
      </c>
      <c r="T4298">
        <f>Data!N4314</f>
        <v>0</v>
      </c>
      <c r="U4298">
        <f>Data!O4314</f>
        <v>0</v>
      </c>
      <c r="V4298" s="33">
        <f>Data!P4312</f>
        <v>0</v>
      </c>
    </row>
    <row r="4299" spans="7:22" x14ac:dyDescent="0.25">
      <c r="G4299">
        <f>Data!B4311</f>
        <v>0</v>
      </c>
      <c r="H4299" s="21">
        <f>Data!B4311</f>
        <v>0</v>
      </c>
      <c r="I4299" s="21">
        <f>Data!C4311</f>
        <v>0</v>
      </c>
      <c r="J4299">
        <f>Data!D4311</f>
        <v>0</v>
      </c>
      <c r="K4299">
        <f>Data!E4311</f>
        <v>0</v>
      </c>
      <c r="L4299">
        <f>Data!F4311</f>
        <v>0</v>
      </c>
      <c r="M4299">
        <f>Data!G4311</f>
        <v>0</v>
      </c>
      <c r="N4299">
        <f>Data!H4311</f>
        <v>0</v>
      </c>
      <c r="O4299">
        <f>Data!I4311</f>
        <v>0</v>
      </c>
      <c r="P4299" s="21">
        <f>Data!J4315</f>
        <v>0</v>
      </c>
      <c r="Q4299">
        <f>Data!K4315</f>
        <v>0</v>
      </c>
      <c r="R4299">
        <f>Data!L4315</f>
        <v>0</v>
      </c>
      <c r="S4299">
        <f>Data!M4315</f>
        <v>0</v>
      </c>
      <c r="T4299">
        <f>Data!N4315</f>
        <v>0</v>
      </c>
      <c r="U4299">
        <f>Data!O4315</f>
        <v>0</v>
      </c>
      <c r="V4299" s="33">
        <f>Data!P4313</f>
        <v>0</v>
      </c>
    </row>
    <row r="4300" spans="7:22" x14ac:dyDescent="0.25">
      <c r="G4300">
        <f>Data!B4312</f>
        <v>0</v>
      </c>
      <c r="H4300" s="21">
        <f>Data!B4312</f>
        <v>0</v>
      </c>
      <c r="I4300" s="21">
        <f>Data!C4312</f>
        <v>0</v>
      </c>
      <c r="J4300">
        <f>Data!D4312</f>
        <v>0</v>
      </c>
      <c r="K4300">
        <f>Data!E4312</f>
        <v>0</v>
      </c>
      <c r="L4300">
        <f>Data!F4312</f>
        <v>0</v>
      </c>
      <c r="M4300">
        <f>Data!G4312</f>
        <v>0</v>
      </c>
      <c r="N4300">
        <f>Data!H4312</f>
        <v>0</v>
      </c>
      <c r="O4300">
        <f>Data!I4312</f>
        <v>0</v>
      </c>
      <c r="P4300" s="21">
        <f>Data!J4316</f>
        <v>0</v>
      </c>
      <c r="Q4300">
        <f>Data!K4316</f>
        <v>0</v>
      </c>
      <c r="R4300">
        <f>Data!L4316</f>
        <v>0</v>
      </c>
      <c r="S4300">
        <f>Data!M4316</f>
        <v>0</v>
      </c>
      <c r="T4300">
        <f>Data!N4316</f>
        <v>0</v>
      </c>
      <c r="U4300">
        <f>Data!O4316</f>
        <v>0</v>
      </c>
      <c r="V4300" s="33">
        <f>Data!P4314</f>
        <v>0</v>
      </c>
    </row>
    <row r="4301" spans="7:22" x14ac:dyDescent="0.25">
      <c r="G4301">
        <f>Data!B4313</f>
        <v>0</v>
      </c>
      <c r="H4301" s="21">
        <f>Data!B4313</f>
        <v>0</v>
      </c>
      <c r="I4301" s="21">
        <f>Data!C4313</f>
        <v>0</v>
      </c>
      <c r="J4301">
        <f>Data!D4313</f>
        <v>0</v>
      </c>
      <c r="K4301">
        <f>Data!E4313</f>
        <v>0</v>
      </c>
      <c r="L4301">
        <f>Data!F4313</f>
        <v>0</v>
      </c>
      <c r="M4301">
        <f>Data!G4313</f>
        <v>0</v>
      </c>
      <c r="N4301">
        <f>Data!H4313</f>
        <v>0</v>
      </c>
      <c r="O4301">
        <f>Data!I4313</f>
        <v>0</v>
      </c>
      <c r="P4301" s="21">
        <f>Data!J4317</f>
        <v>0</v>
      </c>
      <c r="Q4301">
        <f>Data!K4317</f>
        <v>0</v>
      </c>
      <c r="R4301">
        <f>Data!L4317</f>
        <v>0</v>
      </c>
      <c r="S4301">
        <f>Data!M4317</f>
        <v>0</v>
      </c>
      <c r="T4301">
        <f>Data!N4317</f>
        <v>0</v>
      </c>
      <c r="U4301">
        <f>Data!O4317</f>
        <v>0</v>
      </c>
      <c r="V4301" s="33">
        <f>Data!P4315</f>
        <v>0</v>
      </c>
    </row>
    <row r="4302" spans="7:22" x14ac:dyDescent="0.25">
      <c r="G4302">
        <f>Data!B4314</f>
        <v>0</v>
      </c>
      <c r="H4302" s="21">
        <f>Data!B4314</f>
        <v>0</v>
      </c>
      <c r="I4302" s="21">
        <f>Data!C4314</f>
        <v>0</v>
      </c>
      <c r="J4302">
        <f>Data!D4314</f>
        <v>0</v>
      </c>
      <c r="K4302">
        <f>Data!E4314</f>
        <v>0</v>
      </c>
      <c r="L4302">
        <f>Data!F4314</f>
        <v>0</v>
      </c>
      <c r="M4302">
        <f>Data!G4314</f>
        <v>0</v>
      </c>
      <c r="N4302">
        <f>Data!H4314</f>
        <v>0</v>
      </c>
      <c r="O4302">
        <f>Data!I4314</f>
        <v>0</v>
      </c>
      <c r="P4302" s="21">
        <f>Data!J4318</f>
        <v>0</v>
      </c>
      <c r="Q4302">
        <f>Data!K4318</f>
        <v>0</v>
      </c>
      <c r="R4302">
        <f>Data!L4318</f>
        <v>0</v>
      </c>
      <c r="S4302">
        <f>Data!M4318</f>
        <v>0</v>
      </c>
      <c r="T4302">
        <f>Data!N4318</f>
        <v>0</v>
      </c>
      <c r="U4302">
        <f>Data!O4318</f>
        <v>0</v>
      </c>
      <c r="V4302" s="33">
        <f>Data!P4316</f>
        <v>0</v>
      </c>
    </row>
    <row r="4303" spans="7:22" x14ac:dyDescent="0.25">
      <c r="G4303">
        <f>Data!B4315</f>
        <v>0</v>
      </c>
      <c r="H4303" s="21">
        <f>Data!B4315</f>
        <v>0</v>
      </c>
      <c r="I4303" s="21">
        <f>Data!C4315</f>
        <v>0</v>
      </c>
      <c r="J4303">
        <f>Data!D4315</f>
        <v>0</v>
      </c>
      <c r="K4303">
        <f>Data!E4315</f>
        <v>0</v>
      </c>
      <c r="L4303">
        <f>Data!F4315</f>
        <v>0</v>
      </c>
      <c r="M4303">
        <f>Data!G4315</f>
        <v>0</v>
      </c>
      <c r="N4303">
        <f>Data!H4315</f>
        <v>0</v>
      </c>
      <c r="O4303">
        <f>Data!I4315</f>
        <v>0</v>
      </c>
      <c r="P4303" s="21">
        <f>Data!J4319</f>
        <v>0</v>
      </c>
      <c r="Q4303">
        <f>Data!K4319</f>
        <v>0</v>
      </c>
      <c r="R4303">
        <f>Data!L4319</f>
        <v>0</v>
      </c>
      <c r="S4303">
        <f>Data!M4319</f>
        <v>0</v>
      </c>
      <c r="T4303">
        <f>Data!N4319</f>
        <v>0</v>
      </c>
      <c r="U4303">
        <f>Data!O4319</f>
        <v>0</v>
      </c>
      <c r="V4303" s="33">
        <f>Data!P4317</f>
        <v>0</v>
      </c>
    </row>
    <row r="4304" spans="7:22" x14ac:dyDescent="0.25">
      <c r="G4304">
        <f>Data!B4316</f>
        <v>0</v>
      </c>
      <c r="H4304" s="21">
        <f>Data!B4316</f>
        <v>0</v>
      </c>
      <c r="I4304" s="21">
        <f>Data!C4316</f>
        <v>0</v>
      </c>
      <c r="J4304">
        <f>Data!D4316</f>
        <v>0</v>
      </c>
      <c r="K4304">
        <f>Data!E4316</f>
        <v>0</v>
      </c>
      <c r="L4304">
        <f>Data!F4316</f>
        <v>0</v>
      </c>
      <c r="M4304">
        <f>Data!G4316</f>
        <v>0</v>
      </c>
      <c r="N4304">
        <f>Data!H4316</f>
        <v>0</v>
      </c>
      <c r="O4304">
        <f>Data!I4316</f>
        <v>0</v>
      </c>
      <c r="P4304" s="21">
        <f>Data!J4320</f>
        <v>0</v>
      </c>
      <c r="Q4304">
        <f>Data!K4320</f>
        <v>0</v>
      </c>
      <c r="R4304">
        <f>Data!L4320</f>
        <v>0</v>
      </c>
      <c r="S4304">
        <f>Data!M4320</f>
        <v>0</v>
      </c>
      <c r="T4304">
        <f>Data!N4320</f>
        <v>0</v>
      </c>
      <c r="U4304">
        <f>Data!O4320</f>
        <v>0</v>
      </c>
      <c r="V4304" s="33">
        <f>Data!P4318</f>
        <v>0</v>
      </c>
    </row>
    <row r="4305" spans="7:22" x14ac:dyDescent="0.25">
      <c r="G4305">
        <f>Data!B4317</f>
        <v>0</v>
      </c>
      <c r="H4305" s="21">
        <f>Data!B4317</f>
        <v>0</v>
      </c>
      <c r="I4305" s="21">
        <f>Data!C4317</f>
        <v>0</v>
      </c>
      <c r="J4305">
        <f>Data!D4317</f>
        <v>0</v>
      </c>
      <c r="K4305">
        <f>Data!E4317</f>
        <v>0</v>
      </c>
      <c r="L4305">
        <f>Data!F4317</f>
        <v>0</v>
      </c>
      <c r="M4305">
        <f>Data!G4317</f>
        <v>0</v>
      </c>
      <c r="N4305">
        <f>Data!H4317</f>
        <v>0</v>
      </c>
      <c r="O4305">
        <f>Data!I4317</f>
        <v>0</v>
      </c>
      <c r="P4305" s="21">
        <f>Data!J4321</f>
        <v>0</v>
      </c>
      <c r="Q4305">
        <f>Data!K4321</f>
        <v>0</v>
      </c>
      <c r="R4305">
        <f>Data!L4321</f>
        <v>0</v>
      </c>
      <c r="S4305">
        <f>Data!M4321</f>
        <v>0</v>
      </c>
      <c r="T4305">
        <f>Data!N4321</f>
        <v>0</v>
      </c>
      <c r="U4305">
        <f>Data!O4321</f>
        <v>0</v>
      </c>
      <c r="V4305" s="33">
        <f>Data!P4319</f>
        <v>0</v>
      </c>
    </row>
    <row r="4306" spans="7:22" x14ac:dyDescent="0.25">
      <c r="G4306">
        <f>Data!B4318</f>
        <v>0</v>
      </c>
      <c r="H4306" s="21">
        <f>Data!B4318</f>
        <v>0</v>
      </c>
      <c r="I4306" s="21">
        <f>Data!C4318</f>
        <v>0</v>
      </c>
      <c r="J4306">
        <f>Data!D4318</f>
        <v>0</v>
      </c>
      <c r="K4306">
        <f>Data!E4318</f>
        <v>0</v>
      </c>
      <c r="L4306">
        <f>Data!F4318</f>
        <v>0</v>
      </c>
      <c r="M4306">
        <f>Data!G4318</f>
        <v>0</v>
      </c>
      <c r="N4306">
        <f>Data!H4318</f>
        <v>0</v>
      </c>
      <c r="O4306">
        <f>Data!I4318</f>
        <v>0</v>
      </c>
      <c r="P4306" s="21">
        <f>Data!J4322</f>
        <v>0</v>
      </c>
      <c r="Q4306">
        <f>Data!K4322</f>
        <v>0</v>
      </c>
      <c r="R4306">
        <f>Data!L4322</f>
        <v>0</v>
      </c>
      <c r="S4306">
        <f>Data!M4322</f>
        <v>0</v>
      </c>
      <c r="T4306">
        <f>Data!N4322</f>
        <v>0</v>
      </c>
      <c r="U4306">
        <f>Data!O4322</f>
        <v>0</v>
      </c>
      <c r="V4306" s="33">
        <f>Data!P4320</f>
        <v>0</v>
      </c>
    </row>
    <row r="4307" spans="7:22" x14ac:dyDescent="0.25">
      <c r="G4307">
        <f>Data!B4319</f>
        <v>0</v>
      </c>
      <c r="H4307" s="21">
        <f>Data!B4319</f>
        <v>0</v>
      </c>
      <c r="I4307" s="21">
        <f>Data!C4319</f>
        <v>0</v>
      </c>
      <c r="J4307">
        <f>Data!D4319</f>
        <v>0</v>
      </c>
      <c r="K4307">
        <f>Data!E4319</f>
        <v>0</v>
      </c>
      <c r="L4307">
        <f>Data!F4319</f>
        <v>0</v>
      </c>
      <c r="M4307">
        <f>Data!G4319</f>
        <v>0</v>
      </c>
      <c r="N4307">
        <f>Data!H4319</f>
        <v>0</v>
      </c>
      <c r="O4307">
        <f>Data!I4319</f>
        <v>0</v>
      </c>
      <c r="P4307" s="21">
        <f>Data!J4323</f>
        <v>0</v>
      </c>
      <c r="Q4307">
        <f>Data!K4323</f>
        <v>0</v>
      </c>
      <c r="R4307">
        <f>Data!L4323</f>
        <v>0</v>
      </c>
      <c r="S4307">
        <f>Data!M4323</f>
        <v>0</v>
      </c>
      <c r="T4307">
        <f>Data!N4323</f>
        <v>0</v>
      </c>
      <c r="U4307">
        <f>Data!O4323</f>
        <v>0</v>
      </c>
      <c r="V4307" s="33">
        <f>Data!P4321</f>
        <v>0</v>
      </c>
    </row>
    <row r="4308" spans="7:22" x14ac:dyDescent="0.25">
      <c r="G4308">
        <f>Data!B4320</f>
        <v>0</v>
      </c>
      <c r="H4308" s="21">
        <f>Data!B4320</f>
        <v>0</v>
      </c>
      <c r="I4308" s="21">
        <f>Data!C4320</f>
        <v>0</v>
      </c>
      <c r="J4308">
        <f>Data!D4320</f>
        <v>0</v>
      </c>
      <c r="K4308">
        <f>Data!E4320</f>
        <v>0</v>
      </c>
      <c r="L4308">
        <f>Data!F4320</f>
        <v>0</v>
      </c>
      <c r="M4308">
        <f>Data!G4320</f>
        <v>0</v>
      </c>
      <c r="N4308">
        <f>Data!H4320</f>
        <v>0</v>
      </c>
      <c r="O4308">
        <f>Data!I4320</f>
        <v>0</v>
      </c>
      <c r="P4308" s="21">
        <f>Data!J4324</f>
        <v>0</v>
      </c>
      <c r="Q4308">
        <f>Data!K4324</f>
        <v>0</v>
      </c>
      <c r="R4308">
        <f>Data!L4324</f>
        <v>0</v>
      </c>
      <c r="S4308">
        <f>Data!M4324</f>
        <v>0</v>
      </c>
      <c r="T4308">
        <f>Data!N4324</f>
        <v>0</v>
      </c>
      <c r="U4308">
        <f>Data!O4324</f>
        <v>0</v>
      </c>
      <c r="V4308" s="33">
        <f>Data!P4322</f>
        <v>0</v>
      </c>
    </row>
    <row r="4309" spans="7:22" x14ac:dyDescent="0.25">
      <c r="G4309">
        <f>Data!B4321</f>
        <v>0</v>
      </c>
      <c r="H4309" s="21">
        <f>Data!B4321</f>
        <v>0</v>
      </c>
      <c r="I4309" s="21">
        <f>Data!C4321</f>
        <v>0</v>
      </c>
      <c r="J4309">
        <f>Data!D4321</f>
        <v>0</v>
      </c>
      <c r="K4309">
        <f>Data!E4321</f>
        <v>0</v>
      </c>
      <c r="L4309">
        <f>Data!F4321</f>
        <v>0</v>
      </c>
      <c r="M4309">
        <f>Data!G4321</f>
        <v>0</v>
      </c>
      <c r="N4309">
        <f>Data!H4321</f>
        <v>0</v>
      </c>
      <c r="O4309">
        <f>Data!I4321</f>
        <v>0</v>
      </c>
      <c r="P4309" s="21">
        <f>Data!J4325</f>
        <v>0</v>
      </c>
      <c r="Q4309">
        <f>Data!K4325</f>
        <v>0</v>
      </c>
      <c r="R4309">
        <f>Data!L4325</f>
        <v>0</v>
      </c>
      <c r="S4309">
        <f>Data!M4325</f>
        <v>0</v>
      </c>
      <c r="T4309">
        <f>Data!N4325</f>
        <v>0</v>
      </c>
      <c r="U4309">
        <f>Data!O4325</f>
        <v>0</v>
      </c>
      <c r="V4309" s="33">
        <f>Data!P4323</f>
        <v>0</v>
      </c>
    </row>
    <row r="4310" spans="7:22" x14ac:dyDescent="0.25">
      <c r="G4310">
        <f>Data!B4322</f>
        <v>0</v>
      </c>
      <c r="H4310" s="21">
        <f>Data!B4322</f>
        <v>0</v>
      </c>
      <c r="I4310" s="21">
        <f>Data!C4322</f>
        <v>0</v>
      </c>
      <c r="J4310">
        <f>Data!D4322</f>
        <v>0</v>
      </c>
      <c r="K4310">
        <f>Data!E4322</f>
        <v>0</v>
      </c>
      <c r="L4310">
        <f>Data!F4322</f>
        <v>0</v>
      </c>
      <c r="M4310">
        <f>Data!G4322</f>
        <v>0</v>
      </c>
      <c r="N4310">
        <f>Data!H4322</f>
        <v>0</v>
      </c>
      <c r="O4310">
        <f>Data!I4322</f>
        <v>0</v>
      </c>
      <c r="P4310" s="21">
        <f>Data!J4326</f>
        <v>0</v>
      </c>
      <c r="Q4310">
        <f>Data!K4326</f>
        <v>0</v>
      </c>
      <c r="R4310">
        <f>Data!L4326</f>
        <v>0</v>
      </c>
      <c r="S4310">
        <f>Data!M4326</f>
        <v>0</v>
      </c>
      <c r="T4310">
        <f>Data!N4326</f>
        <v>0</v>
      </c>
      <c r="U4310">
        <f>Data!O4326</f>
        <v>0</v>
      </c>
      <c r="V4310" s="33">
        <f>Data!P4324</f>
        <v>0</v>
      </c>
    </row>
    <row r="4311" spans="7:22" x14ac:dyDescent="0.25">
      <c r="G4311">
        <f>Data!B4323</f>
        <v>0</v>
      </c>
      <c r="H4311" s="21">
        <f>Data!B4323</f>
        <v>0</v>
      </c>
      <c r="I4311" s="21">
        <f>Data!C4323</f>
        <v>0</v>
      </c>
      <c r="J4311">
        <f>Data!D4323</f>
        <v>0</v>
      </c>
      <c r="K4311">
        <f>Data!E4323</f>
        <v>0</v>
      </c>
      <c r="L4311">
        <f>Data!F4323</f>
        <v>0</v>
      </c>
      <c r="M4311">
        <f>Data!G4323</f>
        <v>0</v>
      </c>
      <c r="N4311">
        <f>Data!H4323</f>
        <v>0</v>
      </c>
      <c r="O4311">
        <f>Data!I4323</f>
        <v>0</v>
      </c>
      <c r="P4311" s="21">
        <f>Data!J4327</f>
        <v>0</v>
      </c>
      <c r="Q4311">
        <f>Data!K4327</f>
        <v>0</v>
      </c>
      <c r="R4311">
        <f>Data!L4327</f>
        <v>0</v>
      </c>
      <c r="S4311">
        <f>Data!M4327</f>
        <v>0</v>
      </c>
      <c r="T4311">
        <f>Data!N4327</f>
        <v>0</v>
      </c>
      <c r="U4311">
        <f>Data!O4327</f>
        <v>0</v>
      </c>
      <c r="V4311" s="33">
        <f>Data!P4325</f>
        <v>0</v>
      </c>
    </row>
    <row r="4312" spans="7:22" x14ac:dyDescent="0.25">
      <c r="G4312">
        <f>Data!B4324</f>
        <v>0</v>
      </c>
      <c r="H4312" s="21">
        <f>Data!B4324</f>
        <v>0</v>
      </c>
      <c r="I4312" s="21">
        <f>Data!C4324</f>
        <v>0</v>
      </c>
      <c r="J4312">
        <f>Data!D4324</f>
        <v>0</v>
      </c>
      <c r="K4312">
        <f>Data!E4324</f>
        <v>0</v>
      </c>
      <c r="L4312">
        <f>Data!F4324</f>
        <v>0</v>
      </c>
      <c r="M4312">
        <f>Data!G4324</f>
        <v>0</v>
      </c>
      <c r="N4312">
        <f>Data!H4324</f>
        <v>0</v>
      </c>
      <c r="O4312">
        <f>Data!I4324</f>
        <v>0</v>
      </c>
      <c r="P4312" s="21">
        <f>Data!J4328</f>
        <v>0</v>
      </c>
      <c r="Q4312">
        <f>Data!K4328</f>
        <v>0</v>
      </c>
      <c r="R4312">
        <f>Data!L4328</f>
        <v>0</v>
      </c>
      <c r="S4312">
        <f>Data!M4328</f>
        <v>0</v>
      </c>
      <c r="T4312">
        <f>Data!N4328</f>
        <v>0</v>
      </c>
      <c r="U4312">
        <f>Data!O4328</f>
        <v>0</v>
      </c>
      <c r="V4312" s="33">
        <f>Data!P4326</f>
        <v>0</v>
      </c>
    </row>
    <row r="4313" spans="7:22" x14ac:dyDescent="0.25">
      <c r="G4313">
        <f>Data!B4325</f>
        <v>0</v>
      </c>
      <c r="H4313" s="21">
        <f>Data!B4325</f>
        <v>0</v>
      </c>
      <c r="I4313" s="21">
        <f>Data!C4325</f>
        <v>0</v>
      </c>
      <c r="J4313">
        <f>Data!D4325</f>
        <v>0</v>
      </c>
      <c r="K4313">
        <f>Data!E4325</f>
        <v>0</v>
      </c>
      <c r="L4313">
        <f>Data!F4325</f>
        <v>0</v>
      </c>
      <c r="M4313">
        <f>Data!G4325</f>
        <v>0</v>
      </c>
      <c r="N4313">
        <f>Data!H4325</f>
        <v>0</v>
      </c>
      <c r="O4313">
        <f>Data!I4325</f>
        <v>0</v>
      </c>
      <c r="P4313" s="21">
        <f>Data!J4329</f>
        <v>0</v>
      </c>
      <c r="Q4313">
        <f>Data!K4329</f>
        <v>0</v>
      </c>
      <c r="R4313">
        <f>Data!L4329</f>
        <v>0</v>
      </c>
      <c r="S4313">
        <f>Data!M4329</f>
        <v>0</v>
      </c>
      <c r="T4313">
        <f>Data!N4329</f>
        <v>0</v>
      </c>
      <c r="U4313">
        <f>Data!O4329</f>
        <v>0</v>
      </c>
      <c r="V4313" s="33">
        <f>Data!P4327</f>
        <v>0</v>
      </c>
    </row>
    <row r="4314" spans="7:22" x14ac:dyDescent="0.25">
      <c r="G4314">
        <f>Data!B4326</f>
        <v>0</v>
      </c>
      <c r="H4314" s="21">
        <f>Data!B4326</f>
        <v>0</v>
      </c>
      <c r="I4314" s="21">
        <f>Data!C4326</f>
        <v>0</v>
      </c>
      <c r="J4314">
        <f>Data!D4326</f>
        <v>0</v>
      </c>
      <c r="K4314">
        <f>Data!E4326</f>
        <v>0</v>
      </c>
      <c r="L4314">
        <f>Data!F4326</f>
        <v>0</v>
      </c>
      <c r="M4314">
        <f>Data!G4326</f>
        <v>0</v>
      </c>
      <c r="N4314">
        <f>Data!H4326</f>
        <v>0</v>
      </c>
      <c r="O4314">
        <f>Data!I4326</f>
        <v>0</v>
      </c>
      <c r="P4314" s="21">
        <f>Data!J4330</f>
        <v>0</v>
      </c>
      <c r="Q4314">
        <f>Data!K4330</f>
        <v>0</v>
      </c>
      <c r="R4314">
        <f>Data!L4330</f>
        <v>0</v>
      </c>
      <c r="S4314">
        <f>Data!M4330</f>
        <v>0</v>
      </c>
      <c r="T4314">
        <f>Data!N4330</f>
        <v>0</v>
      </c>
      <c r="U4314">
        <f>Data!O4330</f>
        <v>0</v>
      </c>
      <c r="V4314" s="33">
        <f>Data!P4328</f>
        <v>0</v>
      </c>
    </row>
    <row r="4315" spans="7:22" x14ac:dyDescent="0.25">
      <c r="G4315">
        <f>Data!B4327</f>
        <v>0</v>
      </c>
      <c r="H4315" s="21">
        <f>Data!B4327</f>
        <v>0</v>
      </c>
      <c r="I4315" s="21">
        <f>Data!C4327</f>
        <v>0</v>
      </c>
      <c r="J4315">
        <f>Data!D4327</f>
        <v>0</v>
      </c>
      <c r="K4315">
        <f>Data!E4327</f>
        <v>0</v>
      </c>
      <c r="L4315">
        <f>Data!F4327</f>
        <v>0</v>
      </c>
      <c r="M4315">
        <f>Data!G4327</f>
        <v>0</v>
      </c>
      <c r="N4315">
        <f>Data!H4327</f>
        <v>0</v>
      </c>
      <c r="O4315">
        <f>Data!I4327</f>
        <v>0</v>
      </c>
      <c r="P4315" s="21">
        <f>Data!J4331</f>
        <v>0</v>
      </c>
      <c r="Q4315">
        <f>Data!K4331</f>
        <v>0</v>
      </c>
      <c r="R4315">
        <f>Data!L4331</f>
        <v>0</v>
      </c>
      <c r="S4315">
        <f>Data!M4331</f>
        <v>0</v>
      </c>
      <c r="T4315">
        <f>Data!N4331</f>
        <v>0</v>
      </c>
      <c r="U4315">
        <f>Data!O4331</f>
        <v>0</v>
      </c>
      <c r="V4315" s="33">
        <f>Data!P4329</f>
        <v>0</v>
      </c>
    </row>
    <row r="4316" spans="7:22" x14ac:dyDescent="0.25">
      <c r="G4316">
        <f>Data!B4328</f>
        <v>0</v>
      </c>
      <c r="H4316" s="21">
        <f>Data!B4328</f>
        <v>0</v>
      </c>
      <c r="I4316" s="21">
        <f>Data!C4328</f>
        <v>0</v>
      </c>
      <c r="J4316">
        <f>Data!D4328</f>
        <v>0</v>
      </c>
      <c r="K4316">
        <f>Data!E4328</f>
        <v>0</v>
      </c>
      <c r="L4316">
        <f>Data!F4328</f>
        <v>0</v>
      </c>
      <c r="M4316">
        <f>Data!G4328</f>
        <v>0</v>
      </c>
      <c r="N4316">
        <f>Data!H4328</f>
        <v>0</v>
      </c>
      <c r="O4316">
        <f>Data!I4328</f>
        <v>0</v>
      </c>
      <c r="P4316" s="21">
        <f>Data!J4332</f>
        <v>0</v>
      </c>
      <c r="Q4316">
        <f>Data!K4332</f>
        <v>0</v>
      </c>
      <c r="R4316">
        <f>Data!L4332</f>
        <v>0</v>
      </c>
      <c r="S4316">
        <f>Data!M4332</f>
        <v>0</v>
      </c>
      <c r="T4316">
        <f>Data!N4332</f>
        <v>0</v>
      </c>
      <c r="U4316">
        <f>Data!O4332</f>
        <v>0</v>
      </c>
      <c r="V4316" s="33">
        <f>Data!P4330</f>
        <v>0</v>
      </c>
    </row>
    <row r="4317" spans="7:22" x14ac:dyDescent="0.25">
      <c r="G4317">
        <f>Data!B4329</f>
        <v>0</v>
      </c>
      <c r="H4317" s="21">
        <f>Data!B4329</f>
        <v>0</v>
      </c>
      <c r="I4317" s="21">
        <f>Data!C4329</f>
        <v>0</v>
      </c>
      <c r="J4317">
        <f>Data!D4329</f>
        <v>0</v>
      </c>
      <c r="K4317">
        <f>Data!E4329</f>
        <v>0</v>
      </c>
      <c r="L4317">
        <f>Data!F4329</f>
        <v>0</v>
      </c>
      <c r="M4317">
        <f>Data!G4329</f>
        <v>0</v>
      </c>
      <c r="N4317">
        <f>Data!H4329</f>
        <v>0</v>
      </c>
      <c r="O4317">
        <f>Data!I4329</f>
        <v>0</v>
      </c>
      <c r="P4317" s="21">
        <f>Data!J4333</f>
        <v>0</v>
      </c>
      <c r="Q4317">
        <f>Data!K4333</f>
        <v>0</v>
      </c>
      <c r="R4317">
        <f>Data!L4333</f>
        <v>0</v>
      </c>
      <c r="S4317">
        <f>Data!M4333</f>
        <v>0</v>
      </c>
      <c r="T4317">
        <f>Data!N4333</f>
        <v>0</v>
      </c>
      <c r="U4317">
        <f>Data!O4333</f>
        <v>0</v>
      </c>
      <c r="V4317" s="33">
        <f>Data!P4331</f>
        <v>0</v>
      </c>
    </row>
    <row r="4318" spans="7:22" x14ac:dyDescent="0.25">
      <c r="G4318">
        <f>Data!B4330</f>
        <v>0</v>
      </c>
      <c r="H4318" s="21">
        <f>Data!B4330</f>
        <v>0</v>
      </c>
      <c r="I4318" s="21">
        <f>Data!C4330</f>
        <v>0</v>
      </c>
      <c r="J4318">
        <f>Data!D4330</f>
        <v>0</v>
      </c>
      <c r="K4318">
        <f>Data!E4330</f>
        <v>0</v>
      </c>
      <c r="L4318">
        <f>Data!F4330</f>
        <v>0</v>
      </c>
      <c r="M4318">
        <f>Data!G4330</f>
        <v>0</v>
      </c>
      <c r="N4318">
        <f>Data!H4330</f>
        <v>0</v>
      </c>
      <c r="O4318">
        <f>Data!I4330</f>
        <v>0</v>
      </c>
      <c r="P4318" s="21">
        <f>Data!J4334</f>
        <v>0</v>
      </c>
      <c r="Q4318">
        <f>Data!K4334</f>
        <v>0</v>
      </c>
      <c r="R4318">
        <f>Data!L4334</f>
        <v>0</v>
      </c>
      <c r="S4318">
        <f>Data!M4334</f>
        <v>0</v>
      </c>
      <c r="T4318">
        <f>Data!N4334</f>
        <v>0</v>
      </c>
      <c r="U4318">
        <f>Data!O4334</f>
        <v>0</v>
      </c>
      <c r="V4318" s="33">
        <f>Data!P4332</f>
        <v>0</v>
      </c>
    </row>
    <row r="4319" spans="7:22" x14ac:dyDescent="0.25">
      <c r="G4319">
        <f>Data!B4331</f>
        <v>0</v>
      </c>
      <c r="H4319" s="21">
        <f>Data!B4331</f>
        <v>0</v>
      </c>
      <c r="I4319" s="21">
        <f>Data!C4331</f>
        <v>0</v>
      </c>
      <c r="J4319">
        <f>Data!D4331</f>
        <v>0</v>
      </c>
      <c r="K4319">
        <f>Data!E4331</f>
        <v>0</v>
      </c>
      <c r="L4319">
        <f>Data!F4331</f>
        <v>0</v>
      </c>
      <c r="M4319">
        <f>Data!G4331</f>
        <v>0</v>
      </c>
      <c r="N4319">
        <f>Data!H4331</f>
        <v>0</v>
      </c>
      <c r="O4319">
        <f>Data!I4331</f>
        <v>0</v>
      </c>
      <c r="P4319" s="21">
        <f>Data!J4335</f>
        <v>0</v>
      </c>
      <c r="Q4319">
        <f>Data!K4335</f>
        <v>0</v>
      </c>
      <c r="R4319">
        <f>Data!L4335</f>
        <v>0</v>
      </c>
      <c r="S4319">
        <f>Data!M4335</f>
        <v>0</v>
      </c>
      <c r="T4319">
        <f>Data!N4335</f>
        <v>0</v>
      </c>
      <c r="U4319">
        <f>Data!O4335</f>
        <v>0</v>
      </c>
      <c r="V4319" s="33">
        <f>Data!P4333</f>
        <v>0</v>
      </c>
    </row>
    <row r="4320" spans="7:22" x14ac:dyDescent="0.25">
      <c r="G4320">
        <f>Data!B4332</f>
        <v>0</v>
      </c>
      <c r="H4320" s="21">
        <f>Data!B4332</f>
        <v>0</v>
      </c>
      <c r="I4320" s="21">
        <f>Data!C4332</f>
        <v>0</v>
      </c>
      <c r="J4320">
        <f>Data!D4332</f>
        <v>0</v>
      </c>
      <c r="K4320">
        <f>Data!E4332</f>
        <v>0</v>
      </c>
      <c r="L4320">
        <f>Data!F4332</f>
        <v>0</v>
      </c>
      <c r="M4320">
        <f>Data!G4332</f>
        <v>0</v>
      </c>
      <c r="N4320">
        <f>Data!H4332</f>
        <v>0</v>
      </c>
      <c r="O4320">
        <f>Data!I4332</f>
        <v>0</v>
      </c>
      <c r="P4320" s="21">
        <f>Data!J4336</f>
        <v>0</v>
      </c>
      <c r="Q4320">
        <f>Data!K4336</f>
        <v>0</v>
      </c>
      <c r="R4320">
        <f>Data!L4336</f>
        <v>0</v>
      </c>
      <c r="S4320">
        <f>Data!M4336</f>
        <v>0</v>
      </c>
      <c r="T4320">
        <f>Data!N4336</f>
        <v>0</v>
      </c>
      <c r="U4320">
        <f>Data!O4336</f>
        <v>0</v>
      </c>
      <c r="V4320" s="33">
        <f>Data!P4334</f>
        <v>0</v>
      </c>
    </row>
    <row r="4321" spans="7:22" x14ac:dyDescent="0.25">
      <c r="G4321">
        <f>Data!B4333</f>
        <v>0</v>
      </c>
      <c r="H4321" s="21">
        <f>Data!B4333</f>
        <v>0</v>
      </c>
      <c r="I4321" s="21">
        <f>Data!C4333</f>
        <v>0</v>
      </c>
      <c r="J4321">
        <f>Data!D4333</f>
        <v>0</v>
      </c>
      <c r="K4321">
        <f>Data!E4333</f>
        <v>0</v>
      </c>
      <c r="L4321">
        <f>Data!F4333</f>
        <v>0</v>
      </c>
      <c r="M4321">
        <f>Data!G4333</f>
        <v>0</v>
      </c>
      <c r="N4321">
        <f>Data!H4333</f>
        <v>0</v>
      </c>
      <c r="O4321">
        <f>Data!I4333</f>
        <v>0</v>
      </c>
      <c r="P4321" s="21">
        <f>Data!J4337</f>
        <v>0</v>
      </c>
      <c r="Q4321">
        <f>Data!K4337</f>
        <v>0</v>
      </c>
      <c r="R4321">
        <f>Data!L4337</f>
        <v>0</v>
      </c>
      <c r="S4321">
        <f>Data!M4337</f>
        <v>0</v>
      </c>
      <c r="T4321">
        <f>Data!N4337</f>
        <v>0</v>
      </c>
      <c r="U4321">
        <f>Data!O4337</f>
        <v>0</v>
      </c>
      <c r="V4321" s="33">
        <f>Data!P4335</f>
        <v>0</v>
      </c>
    </row>
    <row r="4322" spans="7:22" x14ac:dyDescent="0.25">
      <c r="G4322">
        <f>Data!B4334</f>
        <v>0</v>
      </c>
      <c r="H4322" s="21">
        <f>Data!B4334</f>
        <v>0</v>
      </c>
      <c r="I4322" s="21">
        <f>Data!C4334</f>
        <v>0</v>
      </c>
      <c r="J4322">
        <f>Data!D4334</f>
        <v>0</v>
      </c>
      <c r="K4322">
        <f>Data!E4334</f>
        <v>0</v>
      </c>
      <c r="L4322">
        <f>Data!F4334</f>
        <v>0</v>
      </c>
      <c r="M4322">
        <f>Data!G4334</f>
        <v>0</v>
      </c>
      <c r="N4322">
        <f>Data!H4334</f>
        <v>0</v>
      </c>
      <c r="O4322">
        <f>Data!I4334</f>
        <v>0</v>
      </c>
      <c r="P4322" s="21">
        <f>Data!J4338</f>
        <v>0</v>
      </c>
      <c r="Q4322">
        <f>Data!K4338</f>
        <v>0</v>
      </c>
      <c r="R4322">
        <f>Data!L4338</f>
        <v>0</v>
      </c>
      <c r="S4322">
        <f>Data!M4338</f>
        <v>0</v>
      </c>
      <c r="T4322">
        <f>Data!N4338</f>
        <v>0</v>
      </c>
      <c r="U4322">
        <f>Data!O4338</f>
        <v>0</v>
      </c>
      <c r="V4322" s="33">
        <f>Data!P4336</f>
        <v>0</v>
      </c>
    </row>
    <row r="4323" spans="7:22" x14ac:dyDescent="0.25">
      <c r="G4323">
        <f>Data!B4335</f>
        <v>0</v>
      </c>
      <c r="H4323" s="21">
        <f>Data!B4335</f>
        <v>0</v>
      </c>
      <c r="I4323" s="21">
        <f>Data!C4335</f>
        <v>0</v>
      </c>
      <c r="J4323">
        <f>Data!D4335</f>
        <v>0</v>
      </c>
      <c r="K4323">
        <f>Data!E4335</f>
        <v>0</v>
      </c>
      <c r="L4323">
        <f>Data!F4335</f>
        <v>0</v>
      </c>
      <c r="M4323">
        <f>Data!G4335</f>
        <v>0</v>
      </c>
      <c r="N4323">
        <f>Data!H4335</f>
        <v>0</v>
      </c>
      <c r="O4323">
        <f>Data!I4335</f>
        <v>0</v>
      </c>
      <c r="P4323" s="21">
        <f>Data!J4339</f>
        <v>0</v>
      </c>
      <c r="Q4323">
        <f>Data!K4339</f>
        <v>0</v>
      </c>
      <c r="R4323">
        <f>Data!L4339</f>
        <v>0</v>
      </c>
      <c r="S4323">
        <f>Data!M4339</f>
        <v>0</v>
      </c>
      <c r="T4323">
        <f>Data!N4339</f>
        <v>0</v>
      </c>
      <c r="U4323">
        <f>Data!O4339</f>
        <v>0</v>
      </c>
      <c r="V4323" s="33">
        <f>Data!P4337</f>
        <v>0</v>
      </c>
    </row>
    <row r="4324" spans="7:22" x14ac:dyDescent="0.25">
      <c r="G4324">
        <f>Data!B4336</f>
        <v>0</v>
      </c>
      <c r="H4324" s="21">
        <f>Data!B4336</f>
        <v>0</v>
      </c>
      <c r="I4324" s="21">
        <f>Data!C4336</f>
        <v>0</v>
      </c>
      <c r="J4324">
        <f>Data!D4336</f>
        <v>0</v>
      </c>
      <c r="K4324">
        <f>Data!E4336</f>
        <v>0</v>
      </c>
      <c r="L4324">
        <f>Data!F4336</f>
        <v>0</v>
      </c>
      <c r="M4324">
        <f>Data!G4336</f>
        <v>0</v>
      </c>
      <c r="N4324">
        <f>Data!H4336</f>
        <v>0</v>
      </c>
      <c r="O4324">
        <f>Data!I4336</f>
        <v>0</v>
      </c>
      <c r="P4324" s="21">
        <f>Data!J4340</f>
        <v>0</v>
      </c>
      <c r="Q4324">
        <f>Data!K4340</f>
        <v>0</v>
      </c>
      <c r="R4324">
        <f>Data!L4340</f>
        <v>0</v>
      </c>
      <c r="S4324">
        <f>Data!M4340</f>
        <v>0</v>
      </c>
      <c r="T4324">
        <f>Data!N4340</f>
        <v>0</v>
      </c>
      <c r="U4324">
        <f>Data!O4340</f>
        <v>0</v>
      </c>
      <c r="V4324" s="33">
        <f>Data!P4338</f>
        <v>0</v>
      </c>
    </row>
    <row r="4325" spans="7:22" x14ac:dyDescent="0.25">
      <c r="G4325">
        <f>Data!B4337</f>
        <v>0</v>
      </c>
      <c r="H4325" s="21">
        <f>Data!B4337</f>
        <v>0</v>
      </c>
      <c r="I4325" s="21">
        <f>Data!C4337</f>
        <v>0</v>
      </c>
      <c r="J4325">
        <f>Data!D4337</f>
        <v>0</v>
      </c>
      <c r="K4325">
        <f>Data!E4337</f>
        <v>0</v>
      </c>
      <c r="L4325">
        <f>Data!F4337</f>
        <v>0</v>
      </c>
      <c r="M4325">
        <f>Data!G4337</f>
        <v>0</v>
      </c>
      <c r="N4325">
        <f>Data!H4337</f>
        <v>0</v>
      </c>
      <c r="O4325">
        <f>Data!I4337</f>
        <v>0</v>
      </c>
      <c r="P4325" s="21">
        <f>Data!J4341</f>
        <v>0</v>
      </c>
      <c r="Q4325">
        <f>Data!K4341</f>
        <v>0</v>
      </c>
      <c r="R4325">
        <f>Data!L4341</f>
        <v>0</v>
      </c>
      <c r="S4325">
        <f>Data!M4341</f>
        <v>0</v>
      </c>
      <c r="T4325">
        <f>Data!N4341</f>
        <v>0</v>
      </c>
      <c r="U4325">
        <f>Data!O4341</f>
        <v>0</v>
      </c>
      <c r="V4325" s="33">
        <f>Data!P4339</f>
        <v>0</v>
      </c>
    </row>
    <row r="4326" spans="7:22" x14ac:dyDescent="0.25">
      <c r="G4326">
        <f>Data!B4338</f>
        <v>0</v>
      </c>
      <c r="H4326" s="21">
        <f>Data!B4338</f>
        <v>0</v>
      </c>
      <c r="I4326" s="21">
        <f>Data!C4338</f>
        <v>0</v>
      </c>
      <c r="J4326">
        <f>Data!D4338</f>
        <v>0</v>
      </c>
      <c r="K4326">
        <f>Data!E4338</f>
        <v>0</v>
      </c>
      <c r="L4326">
        <f>Data!F4338</f>
        <v>0</v>
      </c>
      <c r="M4326">
        <f>Data!G4338</f>
        <v>0</v>
      </c>
      <c r="N4326">
        <f>Data!H4338</f>
        <v>0</v>
      </c>
      <c r="O4326">
        <f>Data!I4338</f>
        <v>0</v>
      </c>
      <c r="P4326" s="21">
        <f>Data!J4342</f>
        <v>0</v>
      </c>
      <c r="Q4326">
        <f>Data!K4342</f>
        <v>0</v>
      </c>
      <c r="R4326">
        <f>Data!L4342</f>
        <v>0</v>
      </c>
      <c r="S4326">
        <f>Data!M4342</f>
        <v>0</v>
      </c>
      <c r="T4326">
        <f>Data!N4342</f>
        <v>0</v>
      </c>
      <c r="U4326">
        <f>Data!O4342</f>
        <v>0</v>
      </c>
      <c r="V4326" s="33">
        <f>Data!P4340</f>
        <v>0</v>
      </c>
    </row>
    <row r="4327" spans="7:22" x14ac:dyDescent="0.25">
      <c r="G4327">
        <f>Data!B4339</f>
        <v>0</v>
      </c>
      <c r="H4327" s="21">
        <f>Data!B4339</f>
        <v>0</v>
      </c>
      <c r="I4327" s="21">
        <f>Data!C4339</f>
        <v>0</v>
      </c>
      <c r="J4327">
        <f>Data!D4339</f>
        <v>0</v>
      </c>
      <c r="K4327">
        <f>Data!E4339</f>
        <v>0</v>
      </c>
      <c r="L4327">
        <f>Data!F4339</f>
        <v>0</v>
      </c>
      <c r="M4327">
        <f>Data!G4339</f>
        <v>0</v>
      </c>
      <c r="N4327">
        <f>Data!H4339</f>
        <v>0</v>
      </c>
      <c r="O4327">
        <f>Data!I4339</f>
        <v>0</v>
      </c>
      <c r="P4327" s="21">
        <f>Data!J4343</f>
        <v>0</v>
      </c>
      <c r="Q4327">
        <f>Data!K4343</f>
        <v>0</v>
      </c>
      <c r="R4327">
        <f>Data!L4343</f>
        <v>0</v>
      </c>
      <c r="S4327">
        <f>Data!M4343</f>
        <v>0</v>
      </c>
      <c r="T4327">
        <f>Data!N4343</f>
        <v>0</v>
      </c>
      <c r="U4327">
        <f>Data!O4343</f>
        <v>0</v>
      </c>
      <c r="V4327" s="33">
        <f>Data!P4341</f>
        <v>0</v>
      </c>
    </row>
    <row r="4328" spans="7:22" x14ac:dyDescent="0.25">
      <c r="G4328">
        <f>Data!B4340</f>
        <v>0</v>
      </c>
      <c r="H4328" s="21">
        <f>Data!B4340</f>
        <v>0</v>
      </c>
      <c r="I4328" s="21">
        <f>Data!C4340</f>
        <v>0</v>
      </c>
      <c r="J4328">
        <f>Data!D4340</f>
        <v>0</v>
      </c>
      <c r="K4328">
        <f>Data!E4340</f>
        <v>0</v>
      </c>
      <c r="L4328">
        <f>Data!F4340</f>
        <v>0</v>
      </c>
      <c r="M4328">
        <f>Data!G4340</f>
        <v>0</v>
      </c>
      <c r="N4328">
        <f>Data!H4340</f>
        <v>0</v>
      </c>
      <c r="O4328">
        <f>Data!I4340</f>
        <v>0</v>
      </c>
      <c r="P4328" s="21">
        <f>Data!J4344</f>
        <v>0</v>
      </c>
      <c r="Q4328">
        <f>Data!K4344</f>
        <v>0</v>
      </c>
      <c r="R4328">
        <f>Data!L4344</f>
        <v>0</v>
      </c>
      <c r="S4328">
        <f>Data!M4344</f>
        <v>0</v>
      </c>
      <c r="T4328">
        <f>Data!N4344</f>
        <v>0</v>
      </c>
      <c r="U4328">
        <f>Data!O4344</f>
        <v>0</v>
      </c>
      <c r="V4328" s="33">
        <f>Data!P4342</f>
        <v>0</v>
      </c>
    </row>
    <row r="4329" spans="7:22" x14ac:dyDescent="0.25">
      <c r="G4329">
        <f>Data!B4341</f>
        <v>0</v>
      </c>
      <c r="H4329" s="21">
        <f>Data!B4341</f>
        <v>0</v>
      </c>
      <c r="I4329" s="21">
        <f>Data!C4341</f>
        <v>0</v>
      </c>
      <c r="J4329">
        <f>Data!D4341</f>
        <v>0</v>
      </c>
      <c r="K4329">
        <f>Data!E4341</f>
        <v>0</v>
      </c>
      <c r="L4329">
        <f>Data!F4341</f>
        <v>0</v>
      </c>
      <c r="M4329">
        <f>Data!G4341</f>
        <v>0</v>
      </c>
      <c r="N4329">
        <f>Data!H4341</f>
        <v>0</v>
      </c>
      <c r="O4329">
        <f>Data!I4341</f>
        <v>0</v>
      </c>
      <c r="P4329" s="21">
        <f>Data!J4345</f>
        <v>0</v>
      </c>
      <c r="Q4329">
        <f>Data!K4345</f>
        <v>0</v>
      </c>
      <c r="R4329">
        <f>Data!L4345</f>
        <v>0</v>
      </c>
      <c r="S4329">
        <f>Data!M4345</f>
        <v>0</v>
      </c>
      <c r="T4329">
        <f>Data!N4345</f>
        <v>0</v>
      </c>
      <c r="U4329">
        <f>Data!O4345</f>
        <v>0</v>
      </c>
      <c r="V4329" s="33">
        <f>Data!P4343</f>
        <v>0</v>
      </c>
    </row>
    <row r="4330" spans="7:22" x14ac:dyDescent="0.25">
      <c r="G4330">
        <f>Data!B4342</f>
        <v>0</v>
      </c>
      <c r="H4330" s="21">
        <f>Data!B4342</f>
        <v>0</v>
      </c>
      <c r="I4330" s="21">
        <f>Data!C4342</f>
        <v>0</v>
      </c>
      <c r="J4330">
        <f>Data!D4342</f>
        <v>0</v>
      </c>
      <c r="K4330">
        <f>Data!E4342</f>
        <v>0</v>
      </c>
      <c r="L4330">
        <f>Data!F4342</f>
        <v>0</v>
      </c>
      <c r="M4330">
        <f>Data!G4342</f>
        <v>0</v>
      </c>
      <c r="N4330">
        <f>Data!H4342</f>
        <v>0</v>
      </c>
      <c r="O4330">
        <f>Data!I4342</f>
        <v>0</v>
      </c>
      <c r="P4330" s="21">
        <f>Data!J4346</f>
        <v>0</v>
      </c>
      <c r="Q4330">
        <f>Data!K4346</f>
        <v>0</v>
      </c>
      <c r="R4330">
        <f>Data!L4346</f>
        <v>0</v>
      </c>
      <c r="S4330">
        <f>Data!M4346</f>
        <v>0</v>
      </c>
      <c r="T4330">
        <f>Data!N4346</f>
        <v>0</v>
      </c>
      <c r="U4330">
        <f>Data!O4346</f>
        <v>0</v>
      </c>
      <c r="V4330" s="33">
        <f>Data!P4344</f>
        <v>0</v>
      </c>
    </row>
    <row r="4331" spans="7:22" x14ac:dyDescent="0.25">
      <c r="G4331">
        <f>Data!B4343</f>
        <v>0</v>
      </c>
      <c r="H4331" s="21">
        <f>Data!B4343</f>
        <v>0</v>
      </c>
      <c r="I4331" s="21">
        <f>Data!C4343</f>
        <v>0</v>
      </c>
      <c r="J4331">
        <f>Data!D4343</f>
        <v>0</v>
      </c>
      <c r="K4331">
        <f>Data!E4343</f>
        <v>0</v>
      </c>
      <c r="L4331">
        <f>Data!F4343</f>
        <v>0</v>
      </c>
      <c r="M4331">
        <f>Data!G4343</f>
        <v>0</v>
      </c>
      <c r="N4331">
        <f>Data!H4343</f>
        <v>0</v>
      </c>
      <c r="O4331">
        <f>Data!I4343</f>
        <v>0</v>
      </c>
      <c r="P4331" s="21">
        <f>Data!J4347</f>
        <v>0</v>
      </c>
      <c r="Q4331">
        <f>Data!K4347</f>
        <v>0</v>
      </c>
      <c r="R4331">
        <f>Data!L4347</f>
        <v>0</v>
      </c>
      <c r="S4331">
        <f>Data!M4347</f>
        <v>0</v>
      </c>
      <c r="T4331">
        <f>Data!N4347</f>
        <v>0</v>
      </c>
      <c r="U4331">
        <f>Data!O4347</f>
        <v>0</v>
      </c>
      <c r="V4331" s="33">
        <f>Data!P4345</f>
        <v>0</v>
      </c>
    </row>
    <row r="4332" spans="7:22" x14ac:dyDescent="0.25">
      <c r="G4332">
        <f>Data!B4344</f>
        <v>0</v>
      </c>
      <c r="H4332" s="21">
        <f>Data!B4344</f>
        <v>0</v>
      </c>
      <c r="I4332" s="21">
        <f>Data!C4344</f>
        <v>0</v>
      </c>
      <c r="J4332">
        <f>Data!D4344</f>
        <v>0</v>
      </c>
      <c r="K4332">
        <f>Data!E4344</f>
        <v>0</v>
      </c>
      <c r="L4332">
        <f>Data!F4344</f>
        <v>0</v>
      </c>
      <c r="M4332">
        <f>Data!G4344</f>
        <v>0</v>
      </c>
      <c r="N4332">
        <f>Data!H4344</f>
        <v>0</v>
      </c>
      <c r="O4332">
        <f>Data!I4344</f>
        <v>0</v>
      </c>
      <c r="P4332" s="21">
        <f>Data!J4348</f>
        <v>0</v>
      </c>
      <c r="Q4332">
        <f>Data!K4348</f>
        <v>0</v>
      </c>
      <c r="R4332">
        <f>Data!L4348</f>
        <v>0</v>
      </c>
      <c r="S4332">
        <f>Data!M4348</f>
        <v>0</v>
      </c>
      <c r="T4332">
        <f>Data!N4348</f>
        <v>0</v>
      </c>
      <c r="U4332">
        <f>Data!O4348</f>
        <v>0</v>
      </c>
      <c r="V4332" s="33">
        <f>Data!P4346</f>
        <v>0</v>
      </c>
    </row>
    <row r="4333" spans="7:22" x14ac:dyDescent="0.25">
      <c r="G4333">
        <f>Data!B4345</f>
        <v>0</v>
      </c>
      <c r="H4333" s="21">
        <f>Data!B4345</f>
        <v>0</v>
      </c>
      <c r="I4333" s="21">
        <f>Data!C4345</f>
        <v>0</v>
      </c>
      <c r="J4333">
        <f>Data!D4345</f>
        <v>0</v>
      </c>
      <c r="K4333">
        <f>Data!E4345</f>
        <v>0</v>
      </c>
      <c r="L4333">
        <f>Data!F4345</f>
        <v>0</v>
      </c>
      <c r="M4333">
        <f>Data!G4345</f>
        <v>0</v>
      </c>
      <c r="N4333">
        <f>Data!H4345</f>
        <v>0</v>
      </c>
      <c r="O4333">
        <f>Data!I4345</f>
        <v>0</v>
      </c>
      <c r="P4333" s="21">
        <f>Data!J4349</f>
        <v>0</v>
      </c>
      <c r="Q4333">
        <f>Data!K4349</f>
        <v>0</v>
      </c>
      <c r="R4333">
        <f>Data!L4349</f>
        <v>0</v>
      </c>
      <c r="S4333">
        <f>Data!M4349</f>
        <v>0</v>
      </c>
      <c r="T4333">
        <f>Data!N4349</f>
        <v>0</v>
      </c>
      <c r="U4333">
        <f>Data!O4349</f>
        <v>0</v>
      </c>
      <c r="V4333" s="33">
        <f>Data!P4347</f>
        <v>0</v>
      </c>
    </row>
    <row r="4334" spans="7:22" x14ac:dyDescent="0.25">
      <c r="G4334">
        <f>Data!B4346</f>
        <v>0</v>
      </c>
      <c r="H4334" s="21">
        <f>Data!B4346</f>
        <v>0</v>
      </c>
      <c r="I4334" s="21">
        <f>Data!C4346</f>
        <v>0</v>
      </c>
      <c r="J4334">
        <f>Data!D4346</f>
        <v>0</v>
      </c>
      <c r="K4334">
        <f>Data!E4346</f>
        <v>0</v>
      </c>
      <c r="L4334">
        <f>Data!F4346</f>
        <v>0</v>
      </c>
      <c r="M4334">
        <f>Data!G4346</f>
        <v>0</v>
      </c>
      <c r="N4334">
        <f>Data!H4346</f>
        <v>0</v>
      </c>
      <c r="O4334">
        <f>Data!I4346</f>
        <v>0</v>
      </c>
      <c r="P4334" s="21">
        <f>Data!J4350</f>
        <v>0</v>
      </c>
      <c r="Q4334">
        <f>Data!K4350</f>
        <v>0</v>
      </c>
      <c r="R4334">
        <f>Data!L4350</f>
        <v>0</v>
      </c>
      <c r="S4334">
        <f>Data!M4350</f>
        <v>0</v>
      </c>
      <c r="T4334">
        <f>Data!N4350</f>
        <v>0</v>
      </c>
      <c r="U4334">
        <f>Data!O4350</f>
        <v>0</v>
      </c>
      <c r="V4334" s="33">
        <f>Data!P4348</f>
        <v>0</v>
      </c>
    </row>
    <row r="4335" spans="7:22" x14ac:dyDescent="0.25">
      <c r="G4335">
        <f>Data!B4347</f>
        <v>0</v>
      </c>
      <c r="H4335" s="21">
        <f>Data!B4347</f>
        <v>0</v>
      </c>
      <c r="I4335" s="21">
        <f>Data!C4347</f>
        <v>0</v>
      </c>
      <c r="J4335">
        <f>Data!D4347</f>
        <v>0</v>
      </c>
      <c r="K4335">
        <f>Data!E4347</f>
        <v>0</v>
      </c>
      <c r="L4335">
        <f>Data!F4347</f>
        <v>0</v>
      </c>
      <c r="M4335">
        <f>Data!G4347</f>
        <v>0</v>
      </c>
      <c r="N4335">
        <f>Data!H4347</f>
        <v>0</v>
      </c>
      <c r="O4335">
        <f>Data!I4347</f>
        <v>0</v>
      </c>
      <c r="P4335" s="21">
        <f>Data!J4351</f>
        <v>0</v>
      </c>
      <c r="Q4335">
        <f>Data!K4351</f>
        <v>0</v>
      </c>
      <c r="R4335">
        <f>Data!L4351</f>
        <v>0</v>
      </c>
      <c r="S4335">
        <f>Data!M4351</f>
        <v>0</v>
      </c>
      <c r="T4335">
        <f>Data!N4351</f>
        <v>0</v>
      </c>
      <c r="U4335">
        <f>Data!O4351</f>
        <v>0</v>
      </c>
      <c r="V4335" s="33">
        <f>Data!P4349</f>
        <v>0</v>
      </c>
    </row>
    <row r="4336" spans="7:22" x14ac:dyDescent="0.25">
      <c r="G4336">
        <f>Data!B4348</f>
        <v>0</v>
      </c>
      <c r="H4336" s="21">
        <f>Data!B4348</f>
        <v>0</v>
      </c>
      <c r="I4336" s="21">
        <f>Data!C4348</f>
        <v>0</v>
      </c>
      <c r="J4336">
        <f>Data!D4348</f>
        <v>0</v>
      </c>
      <c r="K4336">
        <f>Data!E4348</f>
        <v>0</v>
      </c>
      <c r="L4336">
        <f>Data!F4348</f>
        <v>0</v>
      </c>
      <c r="M4336">
        <f>Data!G4348</f>
        <v>0</v>
      </c>
      <c r="N4336">
        <f>Data!H4348</f>
        <v>0</v>
      </c>
      <c r="O4336">
        <f>Data!I4348</f>
        <v>0</v>
      </c>
      <c r="P4336" s="21">
        <f>Data!J4352</f>
        <v>0</v>
      </c>
      <c r="Q4336">
        <f>Data!K4352</f>
        <v>0</v>
      </c>
      <c r="R4336">
        <f>Data!L4352</f>
        <v>0</v>
      </c>
      <c r="S4336">
        <f>Data!M4352</f>
        <v>0</v>
      </c>
      <c r="T4336">
        <f>Data!N4352</f>
        <v>0</v>
      </c>
      <c r="U4336">
        <f>Data!O4352</f>
        <v>0</v>
      </c>
      <c r="V4336" s="33">
        <f>Data!P4350</f>
        <v>0</v>
      </c>
    </row>
    <row r="4337" spans="7:22" x14ac:dyDescent="0.25">
      <c r="G4337">
        <f>Data!B4349</f>
        <v>0</v>
      </c>
      <c r="H4337" s="21">
        <f>Data!B4349</f>
        <v>0</v>
      </c>
      <c r="I4337" s="21">
        <f>Data!C4349</f>
        <v>0</v>
      </c>
      <c r="J4337">
        <f>Data!D4349</f>
        <v>0</v>
      </c>
      <c r="K4337">
        <f>Data!E4349</f>
        <v>0</v>
      </c>
      <c r="L4337">
        <f>Data!F4349</f>
        <v>0</v>
      </c>
      <c r="M4337">
        <f>Data!G4349</f>
        <v>0</v>
      </c>
      <c r="N4337">
        <f>Data!H4349</f>
        <v>0</v>
      </c>
      <c r="O4337">
        <f>Data!I4349</f>
        <v>0</v>
      </c>
      <c r="P4337" s="21">
        <f>Data!J4353</f>
        <v>0</v>
      </c>
      <c r="Q4337">
        <f>Data!K4353</f>
        <v>0</v>
      </c>
      <c r="R4337">
        <f>Data!L4353</f>
        <v>0</v>
      </c>
      <c r="S4337">
        <f>Data!M4353</f>
        <v>0</v>
      </c>
      <c r="T4337">
        <f>Data!N4353</f>
        <v>0</v>
      </c>
      <c r="U4337">
        <f>Data!O4353</f>
        <v>0</v>
      </c>
      <c r="V4337" s="33">
        <f>Data!P4351</f>
        <v>0</v>
      </c>
    </row>
    <row r="4338" spans="7:22" x14ac:dyDescent="0.25">
      <c r="G4338">
        <f>Data!B4350</f>
        <v>0</v>
      </c>
      <c r="H4338" s="21">
        <f>Data!B4350</f>
        <v>0</v>
      </c>
      <c r="I4338" s="21">
        <f>Data!C4350</f>
        <v>0</v>
      </c>
      <c r="J4338">
        <f>Data!D4350</f>
        <v>0</v>
      </c>
      <c r="K4338">
        <f>Data!E4350</f>
        <v>0</v>
      </c>
      <c r="L4338">
        <f>Data!F4350</f>
        <v>0</v>
      </c>
      <c r="M4338">
        <f>Data!G4350</f>
        <v>0</v>
      </c>
      <c r="N4338">
        <f>Data!H4350</f>
        <v>0</v>
      </c>
      <c r="O4338">
        <f>Data!I4350</f>
        <v>0</v>
      </c>
      <c r="P4338" s="21">
        <f>Data!J4354</f>
        <v>0</v>
      </c>
      <c r="Q4338">
        <f>Data!K4354</f>
        <v>0</v>
      </c>
      <c r="R4338">
        <f>Data!L4354</f>
        <v>0</v>
      </c>
      <c r="S4338">
        <f>Data!M4354</f>
        <v>0</v>
      </c>
      <c r="T4338">
        <f>Data!N4354</f>
        <v>0</v>
      </c>
      <c r="U4338">
        <f>Data!O4354</f>
        <v>0</v>
      </c>
      <c r="V4338" s="33">
        <f>Data!P4352</f>
        <v>0</v>
      </c>
    </row>
    <row r="4339" spans="7:22" x14ac:dyDescent="0.25">
      <c r="G4339">
        <f>Data!B4351</f>
        <v>0</v>
      </c>
      <c r="H4339" s="21">
        <f>Data!B4351</f>
        <v>0</v>
      </c>
      <c r="I4339" s="21">
        <f>Data!C4351</f>
        <v>0</v>
      </c>
      <c r="J4339">
        <f>Data!D4351</f>
        <v>0</v>
      </c>
      <c r="K4339">
        <f>Data!E4351</f>
        <v>0</v>
      </c>
      <c r="L4339">
        <f>Data!F4351</f>
        <v>0</v>
      </c>
      <c r="M4339">
        <f>Data!G4351</f>
        <v>0</v>
      </c>
      <c r="N4339">
        <f>Data!H4351</f>
        <v>0</v>
      </c>
      <c r="O4339">
        <f>Data!I4351</f>
        <v>0</v>
      </c>
      <c r="P4339" s="21">
        <f>Data!J4355</f>
        <v>0</v>
      </c>
      <c r="Q4339">
        <f>Data!K4355</f>
        <v>0</v>
      </c>
      <c r="R4339">
        <f>Data!L4355</f>
        <v>0</v>
      </c>
      <c r="S4339">
        <f>Data!M4355</f>
        <v>0</v>
      </c>
      <c r="T4339">
        <f>Data!N4355</f>
        <v>0</v>
      </c>
      <c r="U4339">
        <f>Data!O4355</f>
        <v>0</v>
      </c>
      <c r="V4339" s="33">
        <f>Data!P4353</f>
        <v>0</v>
      </c>
    </row>
    <row r="4340" spans="7:22" x14ac:dyDescent="0.25">
      <c r="G4340">
        <f>Data!B4352</f>
        <v>0</v>
      </c>
      <c r="H4340" s="21">
        <f>Data!B4352</f>
        <v>0</v>
      </c>
      <c r="I4340" s="21">
        <f>Data!C4352</f>
        <v>0</v>
      </c>
      <c r="J4340">
        <f>Data!D4352</f>
        <v>0</v>
      </c>
      <c r="K4340">
        <f>Data!E4352</f>
        <v>0</v>
      </c>
      <c r="L4340">
        <f>Data!F4352</f>
        <v>0</v>
      </c>
      <c r="M4340">
        <f>Data!G4352</f>
        <v>0</v>
      </c>
      <c r="N4340">
        <f>Data!H4352</f>
        <v>0</v>
      </c>
      <c r="O4340">
        <f>Data!I4352</f>
        <v>0</v>
      </c>
      <c r="P4340" s="21">
        <f>Data!J4356</f>
        <v>0</v>
      </c>
      <c r="Q4340">
        <f>Data!K4356</f>
        <v>0</v>
      </c>
      <c r="R4340">
        <f>Data!L4356</f>
        <v>0</v>
      </c>
      <c r="S4340">
        <f>Data!M4356</f>
        <v>0</v>
      </c>
      <c r="T4340">
        <f>Data!N4356</f>
        <v>0</v>
      </c>
      <c r="U4340">
        <f>Data!O4356</f>
        <v>0</v>
      </c>
      <c r="V4340" s="33">
        <f>Data!P4354</f>
        <v>0</v>
      </c>
    </row>
    <row r="4341" spans="7:22" x14ac:dyDescent="0.25">
      <c r="G4341">
        <f>Data!B4353</f>
        <v>0</v>
      </c>
      <c r="H4341" s="21">
        <f>Data!B4353</f>
        <v>0</v>
      </c>
      <c r="I4341" s="21">
        <f>Data!C4353</f>
        <v>0</v>
      </c>
      <c r="J4341">
        <f>Data!D4353</f>
        <v>0</v>
      </c>
      <c r="K4341">
        <f>Data!E4353</f>
        <v>0</v>
      </c>
      <c r="L4341">
        <f>Data!F4353</f>
        <v>0</v>
      </c>
      <c r="M4341">
        <f>Data!G4353</f>
        <v>0</v>
      </c>
      <c r="N4341">
        <f>Data!H4353</f>
        <v>0</v>
      </c>
      <c r="O4341">
        <f>Data!I4353</f>
        <v>0</v>
      </c>
      <c r="P4341" s="21">
        <f>Data!J4357</f>
        <v>0</v>
      </c>
      <c r="Q4341">
        <f>Data!K4357</f>
        <v>0</v>
      </c>
      <c r="R4341">
        <f>Data!L4357</f>
        <v>0</v>
      </c>
      <c r="S4341">
        <f>Data!M4357</f>
        <v>0</v>
      </c>
      <c r="T4341">
        <f>Data!N4357</f>
        <v>0</v>
      </c>
      <c r="U4341">
        <f>Data!O4357</f>
        <v>0</v>
      </c>
      <c r="V4341" s="33">
        <f>Data!P4355</f>
        <v>0</v>
      </c>
    </row>
    <row r="4342" spans="7:22" x14ac:dyDescent="0.25">
      <c r="G4342">
        <f>Data!B4354</f>
        <v>0</v>
      </c>
      <c r="H4342" s="21">
        <f>Data!B4354</f>
        <v>0</v>
      </c>
      <c r="I4342" s="21">
        <f>Data!C4354</f>
        <v>0</v>
      </c>
      <c r="J4342">
        <f>Data!D4354</f>
        <v>0</v>
      </c>
      <c r="K4342">
        <f>Data!E4354</f>
        <v>0</v>
      </c>
      <c r="L4342">
        <f>Data!F4354</f>
        <v>0</v>
      </c>
      <c r="M4342">
        <f>Data!G4354</f>
        <v>0</v>
      </c>
      <c r="N4342">
        <f>Data!H4354</f>
        <v>0</v>
      </c>
      <c r="O4342">
        <f>Data!I4354</f>
        <v>0</v>
      </c>
      <c r="P4342" s="21">
        <f>Data!J4358</f>
        <v>0</v>
      </c>
      <c r="Q4342">
        <f>Data!K4358</f>
        <v>0</v>
      </c>
      <c r="R4342">
        <f>Data!L4358</f>
        <v>0</v>
      </c>
      <c r="S4342">
        <f>Data!M4358</f>
        <v>0</v>
      </c>
      <c r="T4342">
        <f>Data!N4358</f>
        <v>0</v>
      </c>
      <c r="U4342">
        <f>Data!O4358</f>
        <v>0</v>
      </c>
      <c r="V4342" s="33">
        <f>Data!P4356</f>
        <v>0</v>
      </c>
    </row>
    <row r="4343" spans="7:22" x14ac:dyDescent="0.25">
      <c r="G4343">
        <f>Data!B4355</f>
        <v>0</v>
      </c>
      <c r="H4343" s="21">
        <f>Data!B4355</f>
        <v>0</v>
      </c>
      <c r="I4343" s="21">
        <f>Data!C4355</f>
        <v>0</v>
      </c>
      <c r="J4343">
        <f>Data!D4355</f>
        <v>0</v>
      </c>
      <c r="K4343">
        <f>Data!E4355</f>
        <v>0</v>
      </c>
      <c r="L4343">
        <f>Data!F4355</f>
        <v>0</v>
      </c>
      <c r="M4343">
        <f>Data!G4355</f>
        <v>0</v>
      </c>
      <c r="N4343">
        <f>Data!H4355</f>
        <v>0</v>
      </c>
      <c r="O4343">
        <f>Data!I4355</f>
        <v>0</v>
      </c>
      <c r="P4343" s="21">
        <f>Data!J4359</f>
        <v>0</v>
      </c>
      <c r="Q4343">
        <f>Data!K4359</f>
        <v>0</v>
      </c>
      <c r="R4343">
        <f>Data!L4359</f>
        <v>0</v>
      </c>
      <c r="S4343">
        <f>Data!M4359</f>
        <v>0</v>
      </c>
      <c r="T4343">
        <f>Data!N4359</f>
        <v>0</v>
      </c>
      <c r="U4343">
        <f>Data!O4359</f>
        <v>0</v>
      </c>
      <c r="V4343" s="33">
        <f>Data!P4357</f>
        <v>0</v>
      </c>
    </row>
    <row r="4344" spans="7:22" x14ac:dyDescent="0.25">
      <c r="G4344">
        <f>Data!B4356</f>
        <v>0</v>
      </c>
      <c r="H4344" s="21">
        <f>Data!B4356</f>
        <v>0</v>
      </c>
      <c r="I4344" s="21">
        <f>Data!C4356</f>
        <v>0</v>
      </c>
      <c r="J4344">
        <f>Data!D4356</f>
        <v>0</v>
      </c>
      <c r="K4344">
        <f>Data!E4356</f>
        <v>0</v>
      </c>
      <c r="L4344">
        <f>Data!F4356</f>
        <v>0</v>
      </c>
      <c r="M4344">
        <f>Data!G4356</f>
        <v>0</v>
      </c>
      <c r="N4344">
        <f>Data!H4356</f>
        <v>0</v>
      </c>
      <c r="O4344">
        <f>Data!I4356</f>
        <v>0</v>
      </c>
      <c r="P4344" s="21">
        <f>Data!J4360</f>
        <v>0</v>
      </c>
      <c r="Q4344">
        <f>Data!K4360</f>
        <v>0</v>
      </c>
      <c r="R4344">
        <f>Data!L4360</f>
        <v>0</v>
      </c>
      <c r="S4344">
        <f>Data!M4360</f>
        <v>0</v>
      </c>
      <c r="T4344">
        <f>Data!N4360</f>
        <v>0</v>
      </c>
      <c r="U4344">
        <f>Data!O4360</f>
        <v>0</v>
      </c>
      <c r="V4344" s="33">
        <f>Data!P4358</f>
        <v>0</v>
      </c>
    </row>
    <row r="4345" spans="7:22" x14ac:dyDescent="0.25">
      <c r="G4345">
        <f>Data!B4357</f>
        <v>0</v>
      </c>
      <c r="H4345" s="21">
        <f>Data!B4357</f>
        <v>0</v>
      </c>
      <c r="I4345" s="21">
        <f>Data!C4357</f>
        <v>0</v>
      </c>
      <c r="J4345">
        <f>Data!D4357</f>
        <v>0</v>
      </c>
      <c r="K4345">
        <f>Data!E4357</f>
        <v>0</v>
      </c>
      <c r="L4345">
        <f>Data!F4357</f>
        <v>0</v>
      </c>
      <c r="M4345">
        <f>Data!G4357</f>
        <v>0</v>
      </c>
      <c r="N4345">
        <f>Data!H4357</f>
        <v>0</v>
      </c>
      <c r="O4345">
        <f>Data!I4357</f>
        <v>0</v>
      </c>
      <c r="P4345" s="21">
        <f>Data!J4361</f>
        <v>0</v>
      </c>
      <c r="Q4345">
        <f>Data!K4361</f>
        <v>0</v>
      </c>
      <c r="R4345">
        <f>Data!L4361</f>
        <v>0</v>
      </c>
      <c r="S4345">
        <f>Data!M4361</f>
        <v>0</v>
      </c>
      <c r="T4345">
        <f>Data!N4361</f>
        <v>0</v>
      </c>
      <c r="U4345">
        <f>Data!O4361</f>
        <v>0</v>
      </c>
      <c r="V4345" s="33">
        <f>Data!P4359</f>
        <v>0</v>
      </c>
    </row>
    <row r="4346" spans="7:22" x14ac:dyDescent="0.25">
      <c r="G4346">
        <f>Data!B4358</f>
        <v>0</v>
      </c>
      <c r="H4346" s="21">
        <f>Data!B4358</f>
        <v>0</v>
      </c>
      <c r="I4346" s="21">
        <f>Data!C4358</f>
        <v>0</v>
      </c>
      <c r="J4346">
        <f>Data!D4358</f>
        <v>0</v>
      </c>
      <c r="K4346">
        <f>Data!E4358</f>
        <v>0</v>
      </c>
      <c r="L4346">
        <f>Data!F4358</f>
        <v>0</v>
      </c>
      <c r="M4346">
        <f>Data!G4358</f>
        <v>0</v>
      </c>
      <c r="N4346">
        <f>Data!H4358</f>
        <v>0</v>
      </c>
      <c r="O4346">
        <f>Data!I4358</f>
        <v>0</v>
      </c>
      <c r="P4346" s="21">
        <f>Data!J4362</f>
        <v>0</v>
      </c>
      <c r="Q4346">
        <f>Data!K4362</f>
        <v>0</v>
      </c>
      <c r="R4346">
        <f>Data!L4362</f>
        <v>0</v>
      </c>
      <c r="S4346">
        <f>Data!M4362</f>
        <v>0</v>
      </c>
      <c r="T4346">
        <f>Data!N4362</f>
        <v>0</v>
      </c>
      <c r="U4346">
        <f>Data!O4362</f>
        <v>0</v>
      </c>
      <c r="V4346" s="33">
        <f>Data!P4360</f>
        <v>0</v>
      </c>
    </row>
    <row r="4347" spans="7:22" x14ac:dyDescent="0.25">
      <c r="G4347">
        <f>Data!B4359</f>
        <v>0</v>
      </c>
      <c r="H4347" s="21">
        <f>Data!B4359</f>
        <v>0</v>
      </c>
      <c r="I4347" s="21">
        <f>Data!C4359</f>
        <v>0</v>
      </c>
      <c r="J4347">
        <f>Data!D4359</f>
        <v>0</v>
      </c>
      <c r="K4347">
        <f>Data!E4359</f>
        <v>0</v>
      </c>
      <c r="L4347">
        <f>Data!F4359</f>
        <v>0</v>
      </c>
      <c r="M4347">
        <f>Data!G4359</f>
        <v>0</v>
      </c>
      <c r="N4347">
        <f>Data!H4359</f>
        <v>0</v>
      </c>
      <c r="O4347">
        <f>Data!I4359</f>
        <v>0</v>
      </c>
      <c r="P4347" s="21">
        <f>Data!J4363</f>
        <v>0</v>
      </c>
      <c r="Q4347">
        <f>Data!K4363</f>
        <v>0</v>
      </c>
      <c r="R4347">
        <f>Data!L4363</f>
        <v>0</v>
      </c>
      <c r="S4347">
        <f>Data!M4363</f>
        <v>0</v>
      </c>
      <c r="T4347">
        <f>Data!N4363</f>
        <v>0</v>
      </c>
      <c r="U4347">
        <f>Data!O4363</f>
        <v>0</v>
      </c>
      <c r="V4347" s="33">
        <f>Data!P4361</f>
        <v>0</v>
      </c>
    </row>
    <row r="4348" spans="7:22" x14ac:dyDescent="0.25">
      <c r="G4348">
        <f>Data!B4360</f>
        <v>0</v>
      </c>
      <c r="H4348" s="21">
        <f>Data!B4360</f>
        <v>0</v>
      </c>
      <c r="I4348" s="21">
        <f>Data!C4360</f>
        <v>0</v>
      </c>
      <c r="J4348">
        <f>Data!D4360</f>
        <v>0</v>
      </c>
      <c r="K4348">
        <f>Data!E4360</f>
        <v>0</v>
      </c>
      <c r="L4348">
        <f>Data!F4360</f>
        <v>0</v>
      </c>
      <c r="M4348">
        <f>Data!G4360</f>
        <v>0</v>
      </c>
      <c r="N4348">
        <f>Data!H4360</f>
        <v>0</v>
      </c>
      <c r="O4348">
        <f>Data!I4360</f>
        <v>0</v>
      </c>
      <c r="P4348" s="21">
        <f>Data!J4364</f>
        <v>0</v>
      </c>
      <c r="Q4348">
        <f>Data!K4364</f>
        <v>0</v>
      </c>
      <c r="R4348">
        <f>Data!L4364</f>
        <v>0</v>
      </c>
      <c r="S4348">
        <f>Data!M4364</f>
        <v>0</v>
      </c>
      <c r="T4348">
        <f>Data!N4364</f>
        <v>0</v>
      </c>
      <c r="U4348">
        <f>Data!O4364</f>
        <v>0</v>
      </c>
      <c r="V4348" s="33">
        <f>Data!P4362</f>
        <v>0</v>
      </c>
    </row>
    <row r="4349" spans="7:22" x14ac:dyDescent="0.25">
      <c r="G4349">
        <f>Data!B4361</f>
        <v>0</v>
      </c>
      <c r="H4349" s="21">
        <f>Data!B4361</f>
        <v>0</v>
      </c>
      <c r="I4349" s="21">
        <f>Data!C4361</f>
        <v>0</v>
      </c>
      <c r="J4349">
        <f>Data!D4361</f>
        <v>0</v>
      </c>
      <c r="K4349">
        <f>Data!E4361</f>
        <v>0</v>
      </c>
      <c r="L4349">
        <f>Data!F4361</f>
        <v>0</v>
      </c>
      <c r="M4349">
        <f>Data!G4361</f>
        <v>0</v>
      </c>
      <c r="N4349">
        <f>Data!H4361</f>
        <v>0</v>
      </c>
      <c r="O4349">
        <f>Data!I4361</f>
        <v>0</v>
      </c>
      <c r="P4349" s="21">
        <f>Data!J4365</f>
        <v>0</v>
      </c>
      <c r="Q4349">
        <f>Data!K4365</f>
        <v>0</v>
      </c>
      <c r="R4349">
        <f>Data!L4365</f>
        <v>0</v>
      </c>
      <c r="S4349">
        <f>Data!M4365</f>
        <v>0</v>
      </c>
      <c r="T4349">
        <f>Data!N4365</f>
        <v>0</v>
      </c>
      <c r="U4349">
        <f>Data!O4365</f>
        <v>0</v>
      </c>
      <c r="V4349" s="33">
        <f>Data!P4363</f>
        <v>0</v>
      </c>
    </row>
    <row r="4350" spans="7:22" x14ac:dyDescent="0.25">
      <c r="G4350">
        <f>Data!B4362</f>
        <v>0</v>
      </c>
      <c r="H4350" s="21">
        <f>Data!B4362</f>
        <v>0</v>
      </c>
      <c r="I4350" s="21">
        <f>Data!C4362</f>
        <v>0</v>
      </c>
      <c r="J4350">
        <f>Data!D4362</f>
        <v>0</v>
      </c>
      <c r="K4350">
        <f>Data!E4362</f>
        <v>0</v>
      </c>
      <c r="L4350">
        <f>Data!F4362</f>
        <v>0</v>
      </c>
      <c r="M4350">
        <f>Data!G4362</f>
        <v>0</v>
      </c>
      <c r="N4350">
        <f>Data!H4362</f>
        <v>0</v>
      </c>
      <c r="O4350">
        <f>Data!I4362</f>
        <v>0</v>
      </c>
      <c r="P4350" s="21">
        <f>Data!J4366</f>
        <v>0</v>
      </c>
      <c r="Q4350">
        <f>Data!K4366</f>
        <v>0</v>
      </c>
      <c r="R4350">
        <f>Data!L4366</f>
        <v>0</v>
      </c>
      <c r="S4350">
        <f>Data!M4366</f>
        <v>0</v>
      </c>
      <c r="T4350">
        <f>Data!N4366</f>
        <v>0</v>
      </c>
      <c r="U4350">
        <f>Data!O4366</f>
        <v>0</v>
      </c>
      <c r="V4350" s="33">
        <f>Data!P4364</f>
        <v>0</v>
      </c>
    </row>
    <row r="4351" spans="7:22" x14ac:dyDescent="0.25">
      <c r="G4351">
        <f>Data!B4363</f>
        <v>0</v>
      </c>
      <c r="H4351" s="21">
        <f>Data!B4363</f>
        <v>0</v>
      </c>
      <c r="I4351" s="21">
        <f>Data!C4363</f>
        <v>0</v>
      </c>
      <c r="J4351">
        <f>Data!D4363</f>
        <v>0</v>
      </c>
      <c r="K4351">
        <f>Data!E4363</f>
        <v>0</v>
      </c>
      <c r="L4351">
        <f>Data!F4363</f>
        <v>0</v>
      </c>
      <c r="M4351">
        <f>Data!G4363</f>
        <v>0</v>
      </c>
      <c r="N4351">
        <f>Data!H4363</f>
        <v>0</v>
      </c>
      <c r="O4351">
        <f>Data!I4363</f>
        <v>0</v>
      </c>
      <c r="P4351" s="21">
        <f>Data!J4367</f>
        <v>0</v>
      </c>
      <c r="Q4351">
        <f>Data!K4367</f>
        <v>0</v>
      </c>
      <c r="R4351">
        <f>Data!L4367</f>
        <v>0</v>
      </c>
      <c r="S4351">
        <f>Data!M4367</f>
        <v>0</v>
      </c>
      <c r="T4351">
        <f>Data!N4367</f>
        <v>0</v>
      </c>
      <c r="U4351">
        <f>Data!O4367</f>
        <v>0</v>
      </c>
      <c r="V4351" s="33">
        <f>Data!P4365</f>
        <v>0</v>
      </c>
    </row>
    <row r="4352" spans="7:22" x14ac:dyDescent="0.25">
      <c r="G4352">
        <f>Data!B4364</f>
        <v>0</v>
      </c>
      <c r="H4352" s="21">
        <f>Data!B4364</f>
        <v>0</v>
      </c>
      <c r="I4352" s="21">
        <f>Data!C4364</f>
        <v>0</v>
      </c>
      <c r="J4352">
        <f>Data!D4364</f>
        <v>0</v>
      </c>
      <c r="K4352">
        <f>Data!E4364</f>
        <v>0</v>
      </c>
      <c r="L4352">
        <f>Data!F4364</f>
        <v>0</v>
      </c>
      <c r="M4352">
        <f>Data!G4364</f>
        <v>0</v>
      </c>
      <c r="N4352">
        <f>Data!H4364</f>
        <v>0</v>
      </c>
      <c r="O4352">
        <f>Data!I4364</f>
        <v>0</v>
      </c>
      <c r="P4352" s="21">
        <f>Data!J4368</f>
        <v>0</v>
      </c>
      <c r="Q4352">
        <f>Data!K4368</f>
        <v>0</v>
      </c>
      <c r="R4352">
        <f>Data!L4368</f>
        <v>0</v>
      </c>
      <c r="S4352">
        <f>Data!M4368</f>
        <v>0</v>
      </c>
      <c r="T4352">
        <f>Data!N4368</f>
        <v>0</v>
      </c>
      <c r="U4352">
        <f>Data!O4368</f>
        <v>0</v>
      </c>
      <c r="V4352" s="33">
        <f>Data!P4366</f>
        <v>0</v>
      </c>
    </row>
    <row r="4353" spans="7:22" x14ac:dyDescent="0.25">
      <c r="G4353">
        <f>Data!B4365</f>
        <v>0</v>
      </c>
      <c r="H4353" s="21">
        <f>Data!B4365</f>
        <v>0</v>
      </c>
      <c r="I4353" s="21">
        <f>Data!C4365</f>
        <v>0</v>
      </c>
      <c r="J4353">
        <f>Data!D4365</f>
        <v>0</v>
      </c>
      <c r="K4353">
        <f>Data!E4365</f>
        <v>0</v>
      </c>
      <c r="L4353">
        <f>Data!F4365</f>
        <v>0</v>
      </c>
      <c r="M4353">
        <f>Data!G4365</f>
        <v>0</v>
      </c>
      <c r="N4353">
        <f>Data!H4365</f>
        <v>0</v>
      </c>
      <c r="O4353">
        <f>Data!I4365</f>
        <v>0</v>
      </c>
      <c r="P4353" s="21">
        <f>Data!J4369</f>
        <v>0</v>
      </c>
      <c r="Q4353">
        <f>Data!K4369</f>
        <v>0</v>
      </c>
      <c r="R4353">
        <f>Data!L4369</f>
        <v>0</v>
      </c>
      <c r="S4353">
        <f>Data!M4369</f>
        <v>0</v>
      </c>
      <c r="T4353">
        <f>Data!N4369</f>
        <v>0</v>
      </c>
      <c r="U4353">
        <f>Data!O4369</f>
        <v>0</v>
      </c>
      <c r="V4353" s="33">
        <f>Data!P4367</f>
        <v>0</v>
      </c>
    </row>
    <row r="4354" spans="7:22" x14ac:dyDescent="0.25">
      <c r="G4354">
        <f>Data!B4366</f>
        <v>0</v>
      </c>
      <c r="H4354" s="21">
        <f>Data!B4366</f>
        <v>0</v>
      </c>
      <c r="I4354" s="21">
        <f>Data!C4366</f>
        <v>0</v>
      </c>
      <c r="J4354">
        <f>Data!D4366</f>
        <v>0</v>
      </c>
      <c r="K4354">
        <f>Data!E4366</f>
        <v>0</v>
      </c>
      <c r="L4354">
        <f>Data!F4366</f>
        <v>0</v>
      </c>
      <c r="M4354">
        <f>Data!G4366</f>
        <v>0</v>
      </c>
      <c r="N4354">
        <f>Data!H4366</f>
        <v>0</v>
      </c>
      <c r="O4354">
        <f>Data!I4366</f>
        <v>0</v>
      </c>
      <c r="P4354" s="21">
        <f>Data!J4370</f>
        <v>0</v>
      </c>
      <c r="Q4354">
        <f>Data!K4370</f>
        <v>0</v>
      </c>
      <c r="R4354">
        <f>Data!L4370</f>
        <v>0</v>
      </c>
      <c r="S4354">
        <f>Data!M4370</f>
        <v>0</v>
      </c>
      <c r="T4354">
        <f>Data!N4370</f>
        <v>0</v>
      </c>
      <c r="U4354">
        <f>Data!O4370</f>
        <v>0</v>
      </c>
      <c r="V4354" s="33">
        <f>Data!P4368</f>
        <v>0</v>
      </c>
    </row>
    <row r="4355" spans="7:22" x14ac:dyDescent="0.25">
      <c r="G4355">
        <f>Data!B4367</f>
        <v>0</v>
      </c>
      <c r="H4355" s="21">
        <f>Data!B4367</f>
        <v>0</v>
      </c>
      <c r="I4355" s="21">
        <f>Data!C4367</f>
        <v>0</v>
      </c>
      <c r="J4355">
        <f>Data!D4367</f>
        <v>0</v>
      </c>
      <c r="K4355">
        <f>Data!E4367</f>
        <v>0</v>
      </c>
      <c r="L4355">
        <f>Data!F4367</f>
        <v>0</v>
      </c>
      <c r="M4355">
        <f>Data!G4367</f>
        <v>0</v>
      </c>
      <c r="N4355">
        <f>Data!H4367</f>
        <v>0</v>
      </c>
      <c r="O4355">
        <f>Data!I4367</f>
        <v>0</v>
      </c>
      <c r="P4355" s="21">
        <f>Data!J4371</f>
        <v>0</v>
      </c>
      <c r="Q4355">
        <f>Data!K4371</f>
        <v>0</v>
      </c>
      <c r="R4355">
        <f>Data!L4371</f>
        <v>0</v>
      </c>
      <c r="S4355">
        <f>Data!M4371</f>
        <v>0</v>
      </c>
      <c r="T4355">
        <f>Data!N4371</f>
        <v>0</v>
      </c>
      <c r="U4355">
        <f>Data!O4371</f>
        <v>0</v>
      </c>
      <c r="V4355" s="33">
        <f>Data!P4369</f>
        <v>0</v>
      </c>
    </row>
    <row r="4356" spans="7:22" x14ac:dyDescent="0.25">
      <c r="G4356">
        <f>Data!B4368</f>
        <v>0</v>
      </c>
      <c r="H4356" s="21">
        <f>Data!B4368</f>
        <v>0</v>
      </c>
      <c r="I4356" s="21">
        <f>Data!C4368</f>
        <v>0</v>
      </c>
      <c r="J4356">
        <f>Data!D4368</f>
        <v>0</v>
      </c>
      <c r="K4356">
        <f>Data!E4368</f>
        <v>0</v>
      </c>
      <c r="L4356">
        <f>Data!F4368</f>
        <v>0</v>
      </c>
      <c r="M4356">
        <f>Data!G4368</f>
        <v>0</v>
      </c>
      <c r="N4356">
        <f>Data!H4368</f>
        <v>0</v>
      </c>
      <c r="O4356">
        <f>Data!I4368</f>
        <v>0</v>
      </c>
      <c r="P4356" s="21">
        <f>Data!J4372</f>
        <v>0</v>
      </c>
      <c r="Q4356">
        <f>Data!K4372</f>
        <v>0</v>
      </c>
      <c r="R4356">
        <f>Data!L4372</f>
        <v>0</v>
      </c>
      <c r="S4356">
        <f>Data!M4372</f>
        <v>0</v>
      </c>
      <c r="T4356">
        <f>Data!N4372</f>
        <v>0</v>
      </c>
      <c r="U4356">
        <f>Data!O4372</f>
        <v>0</v>
      </c>
      <c r="V4356" s="33">
        <f>Data!P4370</f>
        <v>0</v>
      </c>
    </row>
    <row r="4357" spans="7:22" x14ac:dyDescent="0.25">
      <c r="G4357">
        <f>Data!B4369</f>
        <v>0</v>
      </c>
      <c r="H4357" s="21">
        <f>Data!B4369</f>
        <v>0</v>
      </c>
      <c r="I4357" s="21">
        <f>Data!C4369</f>
        <v>0</v>
      </c>
      <c r="J4357">
        <f>Data!D4369</f>
        <v>0</v>
      </c>
      <c r="K4357">
        <f>Data!E4369</f>
        <v>0</v>
      </c>
      <c r="L4357">
        <f>Data!F4369</f>
        <v>0</v>
      </c>
      <c r="M4357">
        <f>Data!G4369</f>
        <v>0</v>
      </c>
      <c r="N4357">
        <f>Data!H4369</f>
        <v>0</v>
      </c>
      <c r="O4357">
        <f>Data!I4369</f>
        <v>0</v>
      </c>
      <c r="P4357" s="21">
        <f>Data!J4373</f>
        <v>0</v>
      </c>
      <c r="Q4357">
        <f>Data!K4373</f>
        <v>0</v>
      </c>
      <c r="R4357">
        <f>Data!L4373</f>
        <v>0</v>
      </c>
      <c r="S4357">
        <f>Data!M4373</f>
        <v>0</v>
      </c>
      <c r="T4357">
        <f>Data!N4373</f>
        <v>0</v>
      </c>
      <c r="U4357">
        <f>Data!O4373</f>
        <v>0</v>
      </c>
      <c r="V4357" s="33">
        <f>Data!P4371</f>
        <v>0</v>
      </c>
    </row>
    <row r="4358" spans="7:22" x14ac:dyDescent="0.25">
      <c r="G4358">
        <f>Data!B4370</f>
        <v>0</v>
      </c>
      <c r="H4358" s="21">
        <f>Data!B4370</f>
        <v>0</v>
      </c>
      <c r="I4358" s="21">
        <f>Data!C4370</f>
        <v>0</v>
      </c>
      <c r="J4358">
        <f>Data!D4370</f>
        <v>0</v>
      </c>
      <c r="K4358">
        <f>Data!E4370</f>
        <v>0</v>
      </c>
      <c r="L4358">
        <f>Data!F4370</f>
        <v>0</v>
      </c>
      <c r="M4358">
        <f>Data!G4370</f>
        <v>0</v>
      </c>
      <c r="N4358">
        <f>Data!H4370</f>
        <v>0</v>
      </c>
      <c r="O4358">
        <f>Data!I4370</f>
        <v>0</v>
      </c>
      <c r="P4358" s="21">
        <f>Data!J4374</f>
        <v>0</v>
      </c>
      <c r="Q4358">
        <f>Data!K4374</f>
        <v>0</v>
      </c>
      <c r="R4358">
        <f>Data!L4374</f>
        <v>0</v>
      </c>
      <c r="S4358">
        <f>Data!M4374</f>
        <v>0</v>
      </c>
      <c r="T4358">
        <f>Data!N4374</f>
        <v>0</v>
      </c>
      <c r="U4358">
        <f>Data!O4374</f>
        <v>0</v>
      </c>
      <c r="V4358" s="33">
        <f>Data!P4372</f>
        <v>0</v>
      </c>
    </row>
    <row r="4359" spans="7:22" x14ac:dyDescent="0.25">
      <c r="G4359">
        <f>Data!B4371</f>
        <v>0</v>
      </c>
      <c r="H4359" s="21">
        <f>Data!B4371</f>
        <v>0</v>
      </c>
      <c r="I4359" s="21">
        <f>Data!C4371</f>
        <v>0</v>
      </c>
      <c r="J4359">
        <f>Data!D4371</f>
        <v>0</v>
      </c>
      <c r="K4359">
        <f>Data!E4371</f>
        <v>0</v>
      </c>
      <c r="L4359">
        <f>Data!F4371</f>
        <v>0</v>
      </c>
      <c r="M4359">
        <f>Data!G4371</f>
        <v>0</v>
      </c>
      <c r="N4359">
        <f>Data!H4371</f>
        <v>0</v>
      </c>
      <c r="O4359">
        <f>Data!I4371</f>
        <v>0</v>
      </c>
      <c r="P4359" s="21">
        <f>Data!J4375</f>
        <v>0</v>
      </c>
      <c r="Q4359">
        <f>Data!K4375</f>
        <v>0</v>
      </c>
      <c r="R4359">
        <f>Data!L4375</f>
        <v>0</v>
      </c>
      <c r="S4359">
        <f>Data!M4375</f>
        <v>0</v>
      </c>
      <c r="T4359">
        <f>Data!N4375</f>
        <v>0</v>
      </c>
      <c r="U4359">
        <f>Data!O4375</f>
        <v>0</v>
      </c>
      <c r="V4359" s="33">
        <f>Data!P4373</f>
        <v>0</v>
      </c>
    </row>
    <row r="4360" spans="7:22" x14ac:dyDescent="0.25">
      <c r="G4360">
        <f>Data!B4372</f>
        <v>0</v>
      </c>
      <c r="H4360" s="21">
        <f>Data!B4372</f>
        <v>0</v>
      </c>
      <c r="I4360" s="21">
        <f>Data!C4372</f>
        <v>0</v>
      </c>
      <c r="J4360">
        <f>Data!D4372</f>
        <v>0</v>
      </c>
      <c r="K4360">
        <f>Data!E4372</f>
        <v>0</v>
      </c>
      <c r="L4360">
        <f>Data!F4372</f>
        <v>0</v>
      </c>
      <c r="M4360">
        <f>Data!G4372</f>
        <v>0</v>
      </c>
      <c r="N4360">
        <f>Data!H4372</f>
        <v>0</v>
      </c>
      <c r="O4360">
        <f>Data!I4372</f>
        <v>0</v>
      </c>
      <c r="P4360" s="21">
        <f>Data!J4376</f>
        <v>0</v>
      </c>
      <c r="Q4360">
        <f>Data!K4376</f>
        <v>0</v>
      </c>
      <c r="R4360">
        <f>Data!L4376</f>
        <v>0</v>
      </c>
      <c r="S4360">
        <f>Data!M4376</f>
        <v>0</v>
      </c>
      <c r="T4360">
        <f>Data!N4376</f>
        <v>0</v>
      </c>
      <c r="U4360">
        <f>Data!O4376</f>
        <v>0</v>
      </c>
      <c r="V4360" s="33">
        <f>Data!P4374</f>
        <v>0</v>
      </c>
    </row>
    <row r="4361" spans="7:22" x14ac:dyDescent="0.25">
      <c r="G4361">
        <f>Data!B4373</f>
        <v>0</v>
      </c>
      <c r="H4361" s="21">
        <f>Data!B4373</f>
        <v>0</v>
      </c>
      <c r="I4361" s="21">
        <f>Data!C4373</f>
        <v>0</v>
      </c>
      <c r="J4361">
        <f>Data!D4373</f>
        <v>0</v>
      </c>
      <c r="K4361">
        <f>Data!E4373</f>
        <v>0</v>
      </c>
      <c r="L4361">
        <f>Data!F4373</f>
        <v>0</v>
      </c>
      <c r="M4361">
        <f>Data!G4373</f>
        <v>0</v>
      </c>
      <c r="N4361">
        <f>Data!H4373</f>
        <v>0</v>
      </c>
      <c r="O4361">
        <f>Data!I4373</f>
        <v>0</v>
      </c>
      <c r="P4361" s="21">
        <f>Data!J4377</f>
        <v>0</v>
      </c>
      <c r="Q4361">
        <f>Data!K4377</f>
        <v>0</v>
      </c>
      <c r="R4361">
        <f>Data!L4377</f>
        <v>0</v>
      </c>
      <c r="S4361">
        <f>Data!M4377</f>
        <v>0</v>
      </c>
      <c r="T4361">
        <f>Data!N4377</f>
        <v>0</v>
      </c>
      <c r="U4361">
        <f>Data!O4377</f>
        <v>0</v>
      </c>
      <c r="V4361" s="33">
        <f>Data!P4375</f>
        <v>0</v>
      </c>
    </row>
    <row r="4362" spans="7:22" x14ac:dyDescent="0.25">
      <c r="G4362">
        <f>Data!B4374</f>
        <v>0</v>
      </c>
      <c r="H4362" s="21">
        <f>Data!B4374</f>
        <v>0</v>
      </c>
      <c r="I4362" s="21">
        <f>Data!C4374</f>
        <v>0</v>
      </c>
      <c r="J4362">
        <f>Data!D4374</f>
        <v>0</v>
      </c>
      <c r="K4362">
        <f>Data!E4374</f>
        <v>0</v>
      </c>
      <c r="L4362">
        <f>Data!F4374</f>
        <v>0</v>
      </c>
      <c r="M4362">
        <f>Data!G4374</f>
        <v>0</v>
      </c>
      <c r="N4362">
        <f>Data!H4374</f>
        <v>0</v>
      </c>
      <c r="O4362">
        <f>Data!I4374</f>
        <v>0</v>
      </c>
      <c r="P4362" s="21">
        <f>Data!J4378</f>
        <v>0</v>
      </c>
      <c r="Q4362">
        <f>Data!K4378</f>
        <v>0</v>
      </c>
      <c r="R4362">
        <f>Data!L4378</f>
        <v>0</v>
      </c>
      <c r="S4362">
        <f>Data!M4378</f>
        <v>0</v>
      </c>
      <c r="T4362">
        <f>Data!N4378</f>
        <v>0</v>
      </c>
      <c r="U4362">
        <f>Data!O4378</f>
        <v>0</v>
      </c>
      <c r="V4362" s="33">
        <f>Data!P4376</f>
        <v>0</v>
      </c>
    </row>
    <row r="4363" spans="7:22" x14ac:dyDescent="0.25">
      <c r="G4363">
        <f>Data!B4375</f>
        <v>0</v>
      </c>
      <c r="H4363" s="21">
        <f>Data!B4375</f>
        <v>0</v>
      </c>
      <c r="I4363" s="21">
        <f>Data!C4375</f>
        <v>0</v>
      </c>
      <c r="J4363">
        <f>Data!D4375</f>
        <v>0</v>
      </c>
      <c r="K4363">
        <f>Data!E4375</f>
        <v>0</v>
      </c>
      <c r="L4363">
        <f>Data!F4375</f>
        <v>0</v>
      </c>
      <c r="M4363">
        <f>Data!G4375</f>
        <v>0</v>
      </c>
      <c r="N4363">
        <f>Data!H4375</f>
        <v>0</v>
      </c>
      <c r="O4363">
        <f>Data!I4375</f>
        <v>0</v>
      </c>
      <c r="P4363" s="21">
        <f>Data!J4379</f>
        <v>0</v>
      </c>
      <c r="Q4363">
        <f>Data!K4379</f>
        <v>0</v>
      </c>
      <c r="R4363">
        <f>Data!L4379</f>
        <v>0</v>
      </c>
      <c r="S4363">
        <f>Data!M4379</f>
        <v>0</v>
      </c>
      <c r="T4363">
        <f>Data!N4379</f>
        <v>0</v>
      </c>
      <c r="U4363">
        <f>Data!O4379</f>
        <v>0</v>
      </c>
      <c r="V4363" s="33">
        <f>Data!P4377</f>
        <v>0</v>
      </c>
    </row>
    <row r="4364" spans="7:22" x14ac:dyDescent="0.25">
      <c r="G4364">
        <f>Data!B4376</f>
        <v>0</v>
      </c>
      <c r="H4364" s="21">
        <f>Data!B4376</f>
        <v>0</v>
      </c>
      <c r="I4364" s="21">
        <f>Data!C4376</f>
        <v>0</v>
      </c>
      <c r="J4364">
        <f>Data!D4376</f>
        <v>0</v>
      </c>
      <c r="K4364">
        <f>Data!E4376</f>
        <v>0</v>
      </c>
      <c r="L4364">
        <f>Data!F4376</f>
        <v>0</v>
      </c>
      <c r="M4364">
        <f>Data!G4376</f>
        <v>0</v>
      </c>
      <c r="N4364">
        <f>Data!H4376</f>
        <v>0</v>
      </c>
      <c r="O4364">
        <f>Data!I4376</f>
        <v>0</v>
      </c>
      <c r="P4364" s="21">
        <f>Data!J4380</f>
        <v>0</v>
      </c>
      <c r="Q4364">
        <f>Data!K4380</f>
        <v>0</v>
      </c>
      <c r="R4364">
        <f>Data!L4380</f>
        <v>0</v>
      </c>
      <c r="S4364">
        <f>Data!M4380</f>
        <v>0</v>
      </c>
      <c r="T4364">
        <f>Data!N4380</f>
        <v>0</v>
      </c>
      <c r="U4364">
        <f>Data!O4380</f>
        <v>0</v>
      </c>
      <c r="V4364" s="33">
        <f>Data!P4378</f>
        <v>0</v>
      </c>
    </row>
    <row r="4365" spans="7:22" x14ac:dyDescent="0.25">
      <c r="G4365">
        <f>Data!B4377</f>
        <v>0</v>
      </c>
      <c r="H4365" s="21">
        <f>Data!B4377</f>
        <v>0</v>
      </c>
      <c r="I4365" s="21">
        <f>Data!C4377</f>
        <v>0</v>
      </c>
      <c r="J4365">
        <f>Data!D4377</f>
        <v>0</v>
      </c>
      <c r="K4365">
        <f>Data!E4377</f>
        <v>0</v>
      </c>
      <c r="L4365">
        <f>Data!F4377</f>
        <v>0</v>
      </c>
      <c r="M4365">
        <f>Data!G4377</f>
        <v>0</v>
      </c>
      <c r="N4365">
        <f>Data!H4377</f>
        <v>0</v>
      </c>
      <c r="O4365">
        <f>Data!I4377</f>
        <v>0</v>
      </c>
      <c r="P4365" s="21">
        <f>Data!J4381</f>
        <v>0</v>
      </c>
      <c r="Q4365">
        <f>Data!K4381</f>
        <v>0</v>
      </c>
      <c r="R4365">
        <f>Data!L4381</f>
        <v>0</v>
      </c>
      <c r="S4365">
        <f>Data!M4381</f>
        <v>0</v>
      </c>
      <c r="T4365">
        <f>Data!N4381</f>
        <v>0</v>
      </c>
      <c r="U4365">
        <f>Data!O4381</f>
        <v>0</v>
      </c>
      <c r="V4365" s="33">
        <f>Data!P4379</f>
        <v>0</v>
      </c>
    </row>
    <row r="4366" spans="7:22" x14ac:dyDescent="0.25">
      <c r="G4366">
        <f>Data!B4378</f>
        <v>0</v>
      </c>
      <c r="H4366" s="21">
        <f>Data!B4378</f>
        <v>0</v>
      </c>
      <c r="I4366" s="21">
        <f>Data!C4378</f>
        <v>0</v>
      </c>
      <c r="J4366">
        <f>Data!D4378</f>
        <v>0</v>
      </c>
      <c r="K4366">
        <f>Data!E4378</f>
        <v>0</v>
      </c>
      <c r="L4366">
        <f>Data!F4378</f>
        <v>0</v>
      </c>
      <c r="M4366">
        <f>Data!G4378</f>
        <v>0</v>
      </c>
      <c r="N4366">
        <f>Data!H4378</f>
        <v>0</v>
      </c>
      <c r="O4366">
        <f>Data!I4378</f>
        <v>0</v>
      </c>
      <c r="P4366" s="21">
        <f>Data!J4382</f>
        <v>0</v>
      </c>
      <c r="Q4366">
        <f>Data!K4382</f>
        <v>0</v>
      </c>
      <c r="R4366">
        <f>Data!L4382</f>
        <v>0</v>
      </c>
      <c r="S4366">
        <f>Data!M4382</f>
        <v>0</v>
      </c>
      <c r="T4366">
        <f>Data!N4382</f>
        <v>0</v>
      </c>
      <c r="U4366">
        <f>Data!O4382</f>
        <v>0</v>
      </c>
      <c r="V4366" s="33">
        <f>Data!P4380</f>
        <v>0</v>
      </c>
    </row>
    <row r="4367" spans="7:22" x14ac:dyDescent="0.25">
      <c r="G4367">
        <f>Data!B4379</f>
        <v>0</v>
      </c>
      <c r="H4367" s="21">
        <f>Data!B4379</f>
        <v>0</v>
      </c>
      <c r="I4367" s="21">
        <f>Data!C4379</f>
        <v>0</v>
      </c>
      <c r="J4367">
        <f>Data!D4379</f>
        <v>0</v>
      </c>
      <c r="K4367">
        <f>Data!E4379</f>
        <v>0</v>
      </c>
      <c r="L4367">
        <f>Data!F4379</f>
        <v>0</v>
      </c>
      <c r="M4367">
        <f>Data!G4379</f>
        <v>0</v>
      </c>
      <c r="N4367">
        <f>Data!H4379</f>
        <v>0</v>
      </c>
      <c r="O4367">
        <f>Data!I4379</f>
        <v>0</v>
      </c>
      <c r="P4367" s="21">
        <f>Data!J4383</f>
        <v>0</v>
      </c>
      <c r="Q4367">
        <f>Data!K4383</f>
        <v>0</v>
      </c>
      <c r="R4367">
        <f>Data!L4383</f>
        <v>0</v>
      </c>
      <c r="S4367">
        <f>Data!M4383</f>
        <v>0</v>
      </c>
      <c r="T4367">
        <f>Data!N4383</f>
        <v>0</v>
      </c>
      <c r="U4367">
        <f>Data!O4383</f>
        <v>0</v>
      </c>
      <c r="V4367" s="33">
        <f>Data!P4381</f>
        <v>0</v>
      </c>
    </row>
    <row r="4368" spans="7:22" x14ac:dyDescent="0.25">
      <c r="G4368">
        <f>Data!B4380</f>
        <v>0</v>
      </c>
      <c r="H4368" s="21">
        <f>Data!B4380</f>
        <v>0</v>
      </c>
      <c r="I4368" s="21">
        <f>Data!C4380</f>
        <v>0</v>
      </c>
      <c r="J4368">
        <f>Data!D4380</f>
        <v>0</v>
      </c>
      <c r="K4368">
        <f>Data!E4380</f>
        <v>0</v>
      </c>
      <c r="L4368">
        <f>Data!F4380</f>
        <v>0</v>
      </c>
      <c r="M4368">
        <f>Data!G4380</f>
        <v>0</v>
      </c>
      <c r="N4368">
        <f>Data!H4380</f>
        <v>0</v>
      </c>
      <c r="O4368">
        <f>Data!I4380</f>
        <v>0</v>
      </c>
      <c r="P4368" s="21">
        <f>Data!J4384</f>
        <v>0</v>
      </c>
      <c r="Q4368">
        <f>Data!K4384</f>
        <v>0</v>
      </c>
      <c r="R4368">
        <f>Data!L4384</f>
        <v>0</v>
      </c>
      <c r="S4368">
        <f>Data!M4384</f>
        <v>0</v>
      </c>
      <c r="T4368">
        <f>Data!N4384</f>
        <v>0</v>
      </c>
      <c r="U4368">
        <f>Data!O4384</f>
        <v>0</v>
      </c>
      <c r="V4368" s="33">
        <f>Data!P4382</f>
        <v>0</v>
      </c>
    </row>
    <row r="4369" spans="7:22" x14ac:dyDescent="0.25">
      <c r="G4369">
        <f>Data!B4381</f>
        <v>0</v>
      </c>
      <c r="H4369" s="21">
        <f>Data!B4381</f>
        <v>0</v>
      </c>
      <c r="I4369" s="21">
        <f>Data!C4381</f>
        <v>0</v>
      </c>
      <c r="J4369">
        <f>Data!D4381</f>
        <v>0</v>
      </c>
      <c r="K4369">
        <f>Data!E4381</f>
        <v>0</v>
      </c>
      <c r="L4369">
        <f>Data!F4381</f>
        <v>0</v>
      </c>
      <c r="M4369">
        <f>Data!G4381</f>
        <v>0</v>
      </c>
      <c r="N4369">
        <f>Data!H4381</f>
        <v>0</v>
      </c>
      <c r="O4369">
        <f>Data!I4381</f>
        <v>0</v>
      </c>
      <c r="P4369" s="21">
        <f>Data!J4385</f>
        <v>0</v>
      </c>
      <c r="Q4369">
        <f>Data!K4385</f>
        <v>0</v>
      </c>
      <c r="R4369">
        <f>Data!L4385</f>
        <v>0</v>
      </c>
      <c r="S4369">
        <f>Data!M4385</f>
        <v>0</v>
      </c>
      <c r="T4369">
        <f>Data!N4385</f>
        <v>0</v>
      </c>
      <c r="U4369">
        <f>Data!O4385</f>
        <v>0</v>
      </c>
      <c r="V4369" s="33">
        <f>Data!P4383</f>
        <v>0</v>
      </c>
    </row>
    <row r="4370" spans="7:22" x14ac:dyDescent="0.25">
      <c r="G4370">
        <f>Data!B4382</f>
        <v>0</v>
      </c>
      <c r="H4370" s="21">
        <f>Data!B4382</f>
        <v>0</v>
      </c>
      <c r="I4370" s="21">
        <f>Data!C4382</f>
        <v>0</v>
      </c>
      <c r="J4370">
        <f>Data!D4382</f>
        <v>0</v>
      </c>
      <c r="K4370">
        <f>Data!E4382</f>
        <v>0</v>
      </c>
      <c r="L4370">
        <f>Data!F4382</f>
        <v>0</v>
      </c>
      <c r="M4370">
        <f>Data!G4382</f>
        <v>0</v>
      </c>
      <c r="N4370">
        <f>Data!H4382</f>
        <v>0</v>
      </c>
      <c r="O4370">
        <f>Data!I4382</f>
        <v>0</v>
      </c>
      <c r="P4370" s="21">
        <f>Data!J4386</f>
        <v>0</v>
      </c>
      <c r="Q4370">
        <f>Data!K4386</f>
        <v>0</v>
      </c>
      <c r="R4370">
        <f>Data!L4386</f>
        <v>0</v>
      </c>
      <c r="S4370">
        <f>Data!M4386</f>
        <v>0</v>
      </c>
      <c r="T4370">
        <f>Data!N4386</f>
        <v>0</v>
      </c>
      <c r="U4370">
        <f>Data!O4386</f>
        <v>0</v>
      </c>
      <c r="V4370" s="33">
        <f>Data!P4384</f>
        <v>0</v>
      </c>
    </row>
    <row r="4371" spans="7:22" x14ac:dyDescent="0.25">
      <c r="G4371">
        <f>Data!B4383</f>
        <v>0</v>
      </c>
      <c r="H4371" s="21">
        <f>Data!B4383</f>
        <v>0</v>
      </c>
      <c r="I4371" s="21">
        <f>Data!C4383</f>
        <v>0</v>
      </c>
      <c r="J4371">
        <f>Data!D4383</f>
        <v>0</v>
      </c>
      <c r="K4371">
        <f>Data!E4383</f>
        <v>0</v>
      </c>
      <c r="L4371">
        <f>Data!F4383</f>
        <v>0</v>
      </c>
      <c r="M4371">
        <f>Data!G4383</f>
        <v>0</v>
      </c>
      <c r="N4371">
        <f>Data!H4383</f>
        <v>0</v>
      </c>
      <c r="O4371">
        <f>Data!I4383</f>
        <v>0</v>
      </c>
      <c r="P4371" s="21">
        <f>Data!J4387</f>
        <v>0</v>
      </c>
      <c r="Q4371">
        <f>Data!K4387</f>
        <v>0</v>
      </c>
      <c r="R4371">
        <f>Data!L4387</f>
        <v>0</v>
      </c>
      <c r="S4371">
        <f>Data!M4387</f>
        <v>0</v>
      </c>
      <c r="T4371">
        <f>Data!N4387</f>
        <v>0</v>
      </c>
      <c r="U4371">
        <f>Data!O4387</f>
        <v>0</v>
      </c>
      <c r="V4371" s="33">
        <f>Data!P4385</f>
        <v>0</v>
      </c>
    </row>
    <row r="4372" spans="7:22" x14ac:dyDescent="0.25">
      <c r="G4372">
        <f>Data!B4384</f>
        <v>0</v>
      </c>
      <c r="H4372" s="21">
        <f>Data!B4384</f>
        <v>0</v>
      </c>
      <c r="I4372" s="21">
        <f>Data!C4384</f>
        <v>0</v>
      </c>
      <c r="J4372">
        <f>Data!D4384</f>
        <v>0</v>
      </c>
      <c r="K4372">
        <f>Data!E4384</f>
        <v>0</v>
      </c>
      <c r="L4372">
        <f>Data!F4384</f>
        <v>0</v>
      </c>
      <c r="M4372">
        <f>Data!G4384</f>
        <v>0</v>
      </c>
      <c r="N4372">
        <f>Data!H4384</f>
        <v>0</v>
      </c>
      <c r="O4372">
        <f>Data!I4384</f>
        <v>0</v>
      </c>
      <c r="P4372" s="21">
        <f>Data!J4388</f>
        <v>0</v>
      </c>
      <c r="Q4372">
        <f>Data!K4388</f>
        <v>0</v>
      </c>
      <c r="R4372">
        <f>Data!L4388</f>
        <v>0</v>
      </c>
      <c r="S4372">
        <f>Data!M4388</f>
        <v>0</v>
      </c>
      <c r="T4372">
        <f>Data!N4388</f>
        <v>0</v>
      </c>
      <c r="U4372">
        <f>Data!O4388</f>
        <v>0</v>
      </c>
      <c r="V4372" s="33">
        <f>Data!P4386</f>
        <v>0</v>
      </c>
    </row>
    <row r="4373" spans="7:22" x14ac:dyDescent="0.25">
      <c r="G4373">
        <f>Data!B4385</f>
        <v>0</v>
      </c>
      <c r="H4373" s="21">
        <f>Data!B4385</f>
        <v>0</v>
      </c>
      <c r="I4373" s="21">
        <f>Data!C4385</f>
        <v>0</v>
      </c>
      <c r="J4373">
        <f>Data!D4385</f>
        <v>0</v>
      </c>
      <c r="K4373">
        <f>Data!E4385</f>
        <v>0</v>
      </c>
      <c r="L4373">
        <f>Data!F4385</f>
        <v>0</v>
      </c>
      <c r="M4373">
        <f>Data!G4385</f>
        <v>0</v>
      </c>
      <c r="N4373">
        <f>Data!H4385</f>
        <v>0</v>
      </c>
      <c r="O4373">
        <f>Data!I4385</f>
        <v>0</v>
      </c>
      <c r="P4373" s="21">
        <f>Data!J4389</f>
        <v>0</v>
      </c>
      <c r="Q4373">
        <f>Data!K4389</f>
        <v>0</v>
      </c>
      <c r="R4373">
        <f>Data!L4389</f>
        <v>0</v>
      </c>
      <c r="S4373">
        <f>Data!M4389</f>
        <v>0</v>
      </c>
      <c r="T4373">
        <f>Data!N4389</f>
        <v>0</v>
      </c>
      <c r="U4373">
        <f>Data!O4389</f>
        <v>0</v>
      </c>
      <c r="V4373" s="33">
        <f>Data!P4387</f>
        <v>0</v>
      </c>
    </row>
    <row r="4374" spans="7:22" x14ac:dyDescent="0.25">
      <c r="G4374">
        <f>Data!B4386</f>
        <v>0</v>
      </c>
      <c r="H4374" s="21">
        <f>Data!B4386</f>
        <v>0</v>
      </c>
      <c r="I4374" s="21">
        <f>Data!C4386</f>
        <v>0</v>
      </c>
      <c r="J4374">
        <f>Data!D4386</f>
        <v>0</v>
      </c>
      <c r="K4374">
        <f>Data!E4386</f>
        <v>0</v>
      </c>
      <c r="L4374">
        <f>Data!F4386</f>
        <v>0</v>
      </c>
      <c r="M4374">
        <f>Data!G4386</f>
        <v>0</v>
      </c>
      <c r="N4374">
        <f>Data!H4386</f>
        <v>0</v>
      </c>
      <c r="O4374">
        <f>Data!I4386</f>
        <v>0</v>
      </c>
      <c r="P4374" s="21">
        <f>Data!J4390</f>
        <v>0</v>
      </c>
      <c r="Q4374">
        <f>Data!K4390</f>
        <v>0</v>
      </c>
      <c r="R4374">
        <f>Data!L4390</f>
        <v>0</v>
      </c>
      <c r="S4374">
        <f>Data!M4390</f>
        <v>0</v>
      </c>
      <c r="T4374">
        <f>Data!N4390</f>
        <v>0</v>
      </c>
      <c r="U4374">
        <f>Data!O4390</f>
        <v>0</v>
      </c>
      <c r="V4374" s="33">
        <f>Data!P4388</f>
        <v>0</v>
      </c>
    </row>
    <row r="4375" spans="7:22" x14ac:dyDescent="0.25">
      <c r="G4375">
        <f>Data!B4387</f>
        <v>0</v>
      </c>
      <c r="H4375" s="21">
        <f>Data!B4387</f>
        <v>0</v>
      </c>
      <c r="I4375" s="21">
        <f>Data!C4387</f>
        <v>0</v>
      </c>
      <c r="J4375">
        <f>Data!D4387</f>
        <v>0</v>
      </c>
      <c r="K4375">
        <f>Data!E4387</f>
        <v>0</v>
      </c>
      <c r="L4375">
        <f>Data!F4387</f>
        <v>0</v>
      </c>
      <c r="M4375">
        <f>Data!G4387</f>
        <v>0</v>
      </c>
      <c r="N4375">
        <f>Data!H4387</f>
        <v>0</v>
      </c>
      <c r="O4375">
        <f>Data!I4387</f>
        <v>0</v>
      </c>
      <c r="P4375" s="21">
        <f>Data!J4391</f>
        <v>0</v>
      </c>
      <c r="Q4375">
        <f>Data!K4391</f>
        <v>0</v>
      </c>
      <c r="R4375">
        <f>Data!L4391</f>
        <v>0</v>
      </c>
      <c r="S4375">
        <f>Data!M4391</f>
        <v>0</v>
      </c>
      <c r="T4375">
        <f>Data!N4391</f>
        <v>0</v>
      </c>
      <c r="U4375">
        <f>Data!O4391</f>
        <v>0</v>
      </c>
      <c r="V4375" s="33">
        <f>Data!P4389</f>
        <v>0</v>
      </c>
    </row>
    <row r="4376" spans="7:22" x14ac:dyDescent="0.25">
      <c r="G4376">
        <f>Data!B4388</f>
        <v>0</v>
      </c>
      <c r="H4376" s="21">
        <f>Data!B4388</f>
        <v>0</v>
      </c>
      <c r="I4376" s="21">
        <f>Data!C4388</f>
        <v>0</v>
      </c>
      <c r="J4376">
        <f>Data!D4388</f>
        <v>0</v>
      </c>
      <c r="K4376">
        <f>Data!E4388</f>
        <v>0</v>
      </c>
      <c r="L4376">
        <f>Data!F4388</f>
        <v>0</v>
      </c>
      <c r="M4376">
        <f>Data!G4388</f>
        <v>0</v>
      </c>
      <c r="N4376">
        <f>Data!H4388</f>
        <v>0</v>
      </c>
      <c r="O4376">
        <f>Data!I4388</f>
        <v>0</v>
      </c>
      <c r="P4376" s="21">
        <f>Data!J4392</f>
        <v>0</v>
      </c>
      <c r="Q4376">
        <f>Data!K4392</f>
        <v>0</v>
      </c>
      <c r="R4376">
        <f>Data!L4392</f>
        <v>0</v>
      </c>
      <c r="S4376">
        <f>Data!M4392</f>
        <v>0</v>
      </c>
      <c r="T4376">
        <f>Data!N4392</f>
        <v>0</v>
      </c>
      <c r="U4376">
        <f>Data!O4392</f>
        <v>0</v>
      </c>
      <c r="V4376" s="33">
        <f>Data!P4390</f>
        <v>0</v>
      </c>
    </row>
    <row r="4377" spans="7:22" x14ac:dyDescent="0.25">
      <c r="G4377">
        <f>Data!B4389</f>
        <v>0</v>
      </c>
      <c r="H4377" s="21">
        <f>Data!B4389</f>
        <v>0</v>
      </c>
      <c r="I4377" s="21">
        <f>Data!C4389</f>
        <v>0</v>
      </c>
      <c r="J4377">
        <f>Data!D4389</f>
        <v>0</v>
      </c>
      <c r="K4377">
        <f>Data!E4389</f>
        <v>0</v>
      </c>
      <c r="L4377">
        <f>Data!F4389</f>
        <v>0</v>
      </c>
      <c r="M4377">
        <f>Data!G4389</f>
        <v>0</v>
      </c>
      <c r="N4377">
        <f>Data!H4389</f>
        <v>0</v>
      </c>
      <c r="O4377">
        <f>Data!I4389</f>
        <v>0</v>
      </c>
      <c r="P4377" s="21">
        <f>Data!J4393</f>
        <v>0</v>
      </c>
      <c r="Q4377">
        <f>Data!K4393</f>
        <v>0</v>
      </c>
      <c r="R4377">
        <f>Data!L4393</f>
        <v>0</v>
      </c>
      <c r="S4377">
        <f>Data!M4393</f>
        <v>0</v>
      </c>
      <c r="T4377">
        <f>Data!N4393</f>
        <v>0</v>
      </c>
      <c r="U4377">
        <f>Data!O4393</f>
        <v>0</v>
      </c>
      <c r="V4377" s="33">
        <f>Data!P4391</f>
        <v>0</v>
      </c>
    </row>
    <row r="4378" spans="7:22" x14ac:dyDescent="0.25">
      <c r="G4378">
        <f>Data!B4390</f>
        <v>0</v>
      </c>
      <c r="H4378" s="21">
        <f>Data!B4390</f>
        <v>0</v>
      </c>
      <c r="I4378" s="21">
        <f>Data!C4390</f>
        <v>0</v>
      </c>
      <c r="J4378">
        <f>Data!D4390</f>
        <v>0</v>
      </c>
      <c r="K4378">
        <f>Data!E4390</f>
        <v>0</v>
      </c>
      <c r="L4378">
        <f>Data!F4390</f>
        <v>0</v>
      </c>
      <c r="M4378">
        <f>Data!G4390</f>
        <v>0</v>
      </c>
      <c r="N4378">
        <f>Data!H4390</f>
        <v>0</v>
      </c>
      <c r="O4378">
        <f>Data!I4390</f>
        <v>0</v>
      </c>
      <c r="P4378" s="21">
        <f>Data!J4394</f>
        <v>0</v>
      </c>
      <c r="Q4378">
        <f>Data!K4394</f>
        <v>0</v>
      </c>
      <c r="R4378">
        <f>Data!L4394</f>
        <v>0</v>
      </c>
      <c r="S4378">
        <f>Data!M4394</f>
        <v>0</v>
      </c>
      <c r="T4378">
        <f>Data!N4394</f>
        <v>0</v>
      </c>
      <c r="U4378">
        <f>Data!O4394</f>
        <v>0</v>
      </c>
      <c r="V4378" s="33">
        <f>Data!P4392</f>
        <v>0</v>
      </c>
    </row>
    <row r="4379" spans="7:22" x14ac:dyDescent="0.25">
      <c r="G4379">
        <f>Data!B4391</f>
        <v>0</v>
      </c>
      <c r="H4379" s="21">
        <f>Data!B4391</f>
        <v>0</v>
      </c>
      <c r="I4379" s="21">
        <f>Data!C4391</f>
        <v>0</v>
      </c>
      <c r="J4379">
        <f>Data!D4391</f>
        <v>0</v>
      </c>
      <c r="K4379">
        <f>Data!E4391</f>
        <v>0</v>
      </c>
      <c r="L4379">
        <f>Data!F4391</f>
        <v>0</v>
      </c>
      <c r="M4379">
        <f>Data!G4391</f>
        <v>0</v>
      </c>
      <c r="N4379">
        <f>Data!H4391</f>
        <v>0</v>
      </c>
      <c r="O4379">
        <f>Data!I4391</f>
        <v>0</v>
      </c>
      <c r="P4379" s="21">
        <f>Data!J4395</f>
        <v>0</v>
      </c>
      <c r="Q4379">
        <f>Data!K4395</f>
        <v>0</v>
      </c>
      <c r="R4379">
        <f>Data!L4395</f>
        <v>0</v>
      </c>
      <c r="S4379">
        <f>Data!M4395</f>
        <v>0</v>
      </c>
      <c r="T4379">
        <f>Data!N4395</f>
        <v>0</v>
      </c>
      <c r="U4379">
        <f>Data!O4395</f>
        <v>0</v>
      </c>
      <c r="V4379" s="33">
        <f>Data!P4393</f>
        <v>0</v>
      </c>
    </row>
    <row r="4380" spans="7:22" x14ac:dyDescent="0.25">
      <c r="G4380">
        <f>Data!B4392</f>
        <v>0</v>
      </c>
      <c r="H4380" s="21">
        <f>Data!B4392</f>
        <v>0</v>
      </c>
      <c r="I4380" s="21">
        <f>Data!C4392</f>
        <v>0</v>
      </c>
      <c r="J4380">
        <f>Data!D4392</f>
        <v>0</v>
      </c>
      <c r="K4380">
        <f>Data!E4392</f>
        <v>0</v>
      </c>
      <c r="L4380">
        <f>Data!F4392</f>
        <v>0</v>
      </c>
      <c r="M4380">
        <f>Data!G4392</f>
        <v>0</v>
      </c>
      <c r="N4380">
        <f>Data!H4392</f>
        <v>0</v>
      </c>
      <c r="O4380">
        <f>Data!I4392</f>
        <v>0</v>
      </c>
      <c r="P4380" s="21">
        <f>Data!J4396</f>
        <v>0</v>
      </c>
      <c r="Q4380">
        <f>Data!K4396</f>
        <v>0</v>
      </c>
      <c r="R4380">
        <f>Data!L4396</f>
        <v>0</v>
      </c>
      <c r="S4380">
        <f>Data!M4396</f>
        <v>0</v>
      </c>
      <c r="T4380">
        <f>Data!N4396</f>
        <v>0</v>
      </c>
      <c r="U4380">
        <f>Data!O4396</f>
        <v>0</v>
      </c>
      <c r="V4380" s="33">
        <f>Data!P4394</f>
        <v>0</v>
      </c>
    </row>
    <row r="4381" spans="7:22" x14ac:dyDescent="0.25">
      <c r="G4381">
        <f>Data!B4393</f>
        <v>0</v>
      </c>
      <c r="H4381" s="21">
        <f>Data!B4393</f>
        <v>0</v>
      </c>
      <c r="I4381" s="21">
        <f>Data!C4393</f>
        <v>0</v>
      </c>
      <c r="J4381">
        <f>Data!D4393</f>
        <v>0</v>
      </c>
      <c r="K4381">
        <f>Data!E4393</f>
        <v>0</v>
      </c>
      <c r="L4381">
        <f>Data!F4393</f>
        <v>0</v>
      </c>
      <c r="M4381">
        <f>Data!G4393</f>
        <v>0</v>
      </c>
      <c r="N4381">
        <f>Data!H4393</f>
        <v>0</v>
      </c>
      <c r="O4381">
        <f>Data!I4393</f>
        <v>0</v>
      </c>
      <c r="P4381" s="21">
        <f>Data!J4397</f>
        <v>0</v>
      </c>
      <c r="Q4381">
        <f>Data!K4397</f>
        <v>0</v>
      </c>
      <c r="R4381">
        <f>Data!L4397</f>
        <v>0</v>
      </c>
      <c r="S4381">
        <f>Data!M4397</f>
        <v>0</v>
      </c>
      <c r="T4381">
        <f>Data!N4397</f>
        <v>0</v>
      </c>
      <c r="U4381">
        <f>Data!O4397</f>
        <v>0</v>
      </c>
      <c r="V4381" s="33">
        <f>Data!P4395</f>
        <v>0</v>
      </c>
    </row>
    <row r="4382" spans="7:22" x14ac:dyDescent="0.25">
      <c r="G4382">
        <f>Data!B4394</f>
        <v>0</v>
      </c>
      <c r="H4382" s="21">
        <f>Data!B4394</f>
        <v>0</v>
      </c>
      <c r="I4382" s="21">
        <f>Data!C4394</f>
        <v>0</v>
      </c>
      <c r="J4382">
        <f>Data!D4394</f>
        <v>0</v>
      </c>
      <c r="K4382">
        <f>Data!E4394</f>
        <v>0</v>
      </c>
      <c r="L4382">
        <f>Data!F4394</f>
        <v>0</v>
      </c>
      <c r="M4382">
        <f>Data!G4394</f>
        <v>0</v>
      </c>
      <c r="N4382">
        <f>Data!H4394</f>
        <v>0</v>
      </c>
      <c r="O4382">
        <f>Data!I4394</f>
        <v>0</v>
      </c>
      <c r="P4382" s="21">
        <f>Data!J4398</f>
        <v>0</v>
      </c>
      <c r="Q4382">
        <f>Data!K4398</f>
        <v>0</v>
      </c>
      <c r="R4382">
        <f>Data!L4398</f>
        <v>0</v>
      </c>
      <c r="S4382">
        <f>Data!M4398</f>
        <v>0</v>
      </c>
      <c r="T4382">
        <f>Data!N4398</f>
        <v>0</v>
      </c>
      <c r="U4382">
        <f>Data!O4398</f>
        <v>0</v>
      </c>
      <c r="V4382" s="33">
        <f>Data!P4396</f>
        <v>0</v>
      </c>
    </row>
    <row r="4383" spans="7:22" x14ac:dyDescent="0.25">
      <c r="G4383">
        <f>Data!B4395</f>
        <v>0</v>
      </c>
      <c r="H4383" s="21">
        <f>Data!B4395</f>
        <v>0</v>
      </c>
      <c r="I4383" s="21">
        <f>Data!C4395</f>
        <v>0</v>
      </c>
      <c r="J4383">
        <f>Data!D4395</f>
        <v>0</v>
      </c>
      <c r="K4383">
        <f>Data!E4395</f>
        <v>0</v>
      </c>
      <c r="L4383">
        <f>Data!F4395</f>
        <v>0</v>
      </c>
      <c r="M4383">
        <f>Data!G4395</f>
        <v>0</v>
      </c>
      <c r="N4383">
        <f>Data!H4395</f>
        <v>0</v>
      </c>
      <c r="O4383">
        <f>Data!I4395</f>
        <v>0</v>
      </c>
      <c r="P4383" s="21">
        <f>Data!J4399</f>
        <v>0</v>
      </c>
      <c r="Q4383">
        <f>Data!K4399</f>
        <v>0</v>
      </c>
      <c r="R4383">
        <f>Data!L4399</f>
        <v>0</v>
      </c>
      <c r="S4383">
        <f>Data!M4399</f>
        <v>0</v>
      </c>
      <c r="T4383">
        <f>Data!N4399</f>
        <v>0</v>
      </c>
      <c r="U4383">
        <f>Data!O4399</f>
        <v>0</v>
      </c>
      <c r="V4383" s="33">
        <f>Data!P4397</f>
        <v>0</v>
      </c>
    </row>
    <row r="4384" spans="7:22" x14ac:dyDescent="0.25">
      <c r="G4384">
        <f>Data!B4396</f>
        <v>0</v>
      </c>
      <c r="H4384" s="21">
        <f>Data!B4396</f>
        <v>0</v>
      </c>
      <c r="I4384" s="21">
        <f>Data!C4396</f>
        <v>0</v>
      </c>
      <c r="J4384">
        <f>Data!D4396</f>
        <v>0</v>
      </c>
      <c r="K4384">
        <f>Data!E4396</f>
        <v>0</v>
      </c>
      <c r="L4384">
        <f>Data!F4396</f>
        <v>0</v>
      </c>
      <c r="M4384">
        <f>Data!G4396</f>
        <v>0</v>
      </c>
      <c r="N4384">
        <f>Data!H4396</f>
        <v>0</v>
      </c>
      <c r="O4384">
        <f>Data!I4396</f>
        <v>0</v>
      </c>
      <c r="P4384" s="21">
        <f>Data!J4400</f>
        <v>0</v>
      </c>
      <c r="Q4384">
        <f>Data!K4400</f>
        <v>0</v>
      </c>
      <c r="R4384">
        <f>Data!L4400</f>
        <v>0</v>
      </c>
      <c r="S4384">
        <f>Data!M4400</f>
        <v>0</v>
      </c>
      <c r="T4384">
        <f>Data!N4400</f>
        <v>0</v>
      </c>
      <c r="U4384">
        <f>Data!O4400</f>
        <v>0</v>
      </c>
      <c r="V4384" s="33">
        <f>Data!P4398</f>
        <v>0</v>
      </c>
    </row>
    <row r="4385" spans="7:22" x14ac:dyDescent="0.25">
      <c r="G4385">
        <f>Data!B4397</f>
        <v>0</v>
      </c>
      <c r="H4385" s="21">
        <f>Data!B4397</f>
        <v>0</v>
      </c>
      <c r="I4385" s="21">
        <f>Data!C4397</f>
        <v>0</v>
      </c>
      <c r="J4385">
        <f>Data!D4397</f>
        <v>0</v>
      </c>
      <c r="K4385">
        <f>Data!E4397</f>
        <v>0</v>
      </c>
      <c r="L4385">
        <f>Data!F4397</f>
        <v>0</v>
      </c>
      <c r="M4385">
        <f>Data!G4397</f>
        <v>0</v>
      </c>
      <c r="N4385">
        <f>Data!H4397</f>
        <v>0</v>
      </c>
      <c r="O4385">
        <f>Data!I4397</f>
        <v>0</v>
      </c>
      <c r="P4385" s="21">
        <f>Data!J4401</f>
        <v>0</v>
      </c>
      <c r="Q4385">
        <f>Data!K4401</f>
        <v>0</v>
      </c>
      <c r="R4385">
        <f>Data!L4401</f>
        <v>0</v>
      </c>
      <c r="S4385">
        <f>Data!M4401</f>
        <v>0</v>
      </c>
      <c r="T4385">
        <f>Data!N4401</f>
        <v>0</v>
      </c>
      <c r="U4385">
        <f>Data!O4401</f>
        <v>0</v>
      </c>
      <c r="V4385" s="33">
        <f>Data!P4399</f>
        <v>0</v>
      </c>
    </row>
    <row r="4386" spans="7:22" x14ac:dyDescent="0.25">
      <c r="G4386">
        <f>Data!B4398</f>
        <v>0</v>
      </c>
      <c r="H4386" s="21">
        <f>Data!B4398</f>
        <v>0</v>
      </c>
      <c r="I4386" s="21">
        <f>Data!C4398</f>
        <v>0</v>
      </c>
      <c r="J4386">
        <f>Data!D4398</f>
        <v>0</v>
      </c>
      <c r="K4386">
        <f>Data!E4398</f>
        <v>0</v>
      </c>
      <c r="L4386">
        <f>Data!F4398</f>
        <v>0</v>
      </c>
      <c r="M4386">
        <f>Data!G4398</f>
        <v>0</v>
      </c>
      <c r="N4386">
        <f>Data!H4398</f>
        <v>0</v>
      </c>
      <c r="O4386">
        <f>Data!I4398</f>
        <v>0</v>
      </c>
      <c r="P4386" s="21">
        <f>Data!J4402</f>
        <v>0</v>
      </c>
      <c r="Q4386">
        <f>Data!K4402</f>
        <v>0</v>
      </c>
      <c r="R4386">
        <f>Data!L4402</f>
        <v>0</v>
      </c>
      <c r="S4386">
        <f>Data!M4402</f>
        <v>0</v>
      </c>
      <c r="T4386">
        <f>Data!N4402</f>
        <v>0</v>
      </c>
      <c r="U4386">
        <f>Data!O4402</f>
        <v>0</v>
      </c>
      <c r="V4386" s="33">
        <f>Data!P4400</f>
        <v>0</v>
      </c>
    </row>
    <row r="4387" spans="7:22" x14ac:dyDescent="0.25">
      <c r="G4387">
        <f>Data!B4399</f>
        <v>0</v>
      </c>
      <c r="H4387" s="21">
        <f>Data!B4399</f>
        <v>0</v>
      </c>
      <c r="I4387" s="21">
        <f>Data!C4399</f>
        <v>0</v>
      </c>
      <c r="J4387">
        <f>Data!D4399</f>
        <v>0</v>
      </c>
      <c r="K4387">
        <f>Data!E4399</f>
        <v>0</v>
      </c>
      <c r="L4387">
        <f>Data!F4399</f>
        <v>0</v>
      </c>
      <c r="M4387">
        <f>Data!G4399</f>
        <v>0</v>
      </c>
      <c r="N4387">
        <f>Data!H4399</f>
        <v>0</v>
      </c>
      <c r="O4387">
        <f>Data!I4399</f>
        <v>0</v>
      </c>
      <c r="P4387" s="21">
        <f>Data!J4403</f>
        <v>0</v>
      </c>
      <c r="Q4387">
        <f>Data!K4403</f>
        <v>0</v>
      </c>
      <c r="R4387">
        <f>Data!L4403</f>
        <v>0</v>
      </c>
      <c r="S4387">
        <f>Data!M4403</f>
        <v>0</v>
      </c>
      <c r="T4387">
        <f>Data!N4403</f>
        <v>0</v>
      </c>
      <c r="U4387">
        <f>Data!O4403</f>
        <v>0</v>
      </c>
      <c r="V4387" s="33">
        <f>Data!P4401</f>
        <v>0</v>
      </c>
    </row>
    <row r="4388" spans="7:22" x14ac:dyDescent="0.25">
      <c r="G4388">
        <f>Data!B4400</f>
        <v>0</v>
      </c>
      <c r="H4388" s="21">
        <f>Data!B4400</f>
        <v>0</v>
      </c>
      <c r="I4388" s="21">
        <f>Data!C4400</f>
        <v>0</v>
      </c>
      <c r="J4388">
        <f>Data!D4400</f>
        <v>0</v>
      </c>
      <c r="K4388">
        <f>Data!E4400</f>
        <v>0</v>
      </c>
      <c r="L4388">
        <f>Data!F4400</f>
        <v>0</v>
      </c>
      <c r="M4388">
        <f>Data!G4400</f>
        <v>0</v>
      </c>
      <c r="N4388">
        <f>Data!H4400</f>
        <v>0</v>
      </c>
      <c r="O4388">
        <f>Data!I4400</f>
        <v>0</v>
      </c>
      <c r="P4388" s="21">
        <f>Data!J4404</f>
        <v>0</v>
      </c>
      <c r="Q4388">
        <f>Data!K4404</f>
        <v>0</v>
      </c>
      <c r="R4388">
        <f>Data!L4404</f>
        <v>0</v>
      </c>
      <c r="S4388">
        <f>Data!M4404</f>
        <v>0</v>
      </c>
      <c r="T4388">
        <f>Data!N4404</f>
        <v>0</v>
      </c>
      <c r="U4388">
        <f>Data!O4404</f>
        <v>0</v>
      </c>
      <c r="V4388" s="33">
        <f>Data!P4402</f>
        <v>0</v>
      </c>
    </row>
    <row r="4389" spans="7:22" x14ac:dyDescent="0.25">
      <c r="G4389">
        <f>Data!B4401</f>
        <v>0</v>
      </c>
      <c r="H4389" s="21">
        <f>Data!B4401</f>
        <v>0</v>
      </c>
      <c r="I4389" s="21">
        <f>Data!C4401</f>
        <v>0</v>
      </c>
      <c r="J4389">
        <f>Data!D4401</f>
        <v>0</v>
      </c>
      <c r="K4389">
        <f>Data!E4401</f>
        <v>0</v>
      </c>
      <c r="L4389">
        <f>Data!F4401</f>
        <v>0</v>
      </c>
      <c r="M4389">
        <f>Data!G4401</f>
        <v>0</v>
      </c>
      <c r="N4389">
        <f>Data!H4401</f>
        <v>0</v>
      </c>
      <c r="O4389">
        <f>Data!I4401</f>
        <v>0</v>
      </c>
      <c r="P4389" s="21">
        <f>Data!J4405</f>
        <v>0</v>
      </c>
      <c r="Q4389">
        <f>Data!K4405</f>
        <v>0</v>
      </c>
      <c r="R4389">
        <f>Data!L4405</f>
        <v>0</v>
      </c>
      <c r="S4389">
        <f>Data!M4405</f>
        <v>0</v>
      </c>
      <c r="T4389">
        <f>Data!N4405</f>
        <v>0</v>
      </c>
      <c r="U4389">
        <f>Data!O4405</f>
        <v>0</v>
      </c>
      <c r="V4389" s="33">
        <f>Data!P4403</f>
        <v>0</v>
      </c>
    </row>
    <row r="4390" spans="7:22" x14ac:dyDescent="0.25">
      <c r="G4390">
        <f>Data!B4402</f>
        <v>0</v>
      </c>
      <c r="H4390" s="21">
        <f>Data!B4402</f>
        <v>0</v>
      </c>
      <c r="I4390" s="21">
        <f>Data!C4402</f>
        <v>0</v>
      </c>
      <c r="J4390">
        <f>Data!D4402</f>
        <v>0</v>
      </c>
      <c r="K4390">
        <f>Data!E4402</f>
        <v>0</v>
      </c>
      <c r="L4390">
        <f>Data!F4402</f>
        <v>0</v>
      </c>
      <c r="M4390">
        <f>Data!G4402</f>
        <v>0</v>
      </c>
      <c r="N4390">
        <f>Data!H4402</f>
        <v>0</v>
      </c>
      <c r="O4390">
        <f>Data!I4402</f>
        <v>0</v>
      </c>
      <c r="P4390" s="21">
        <f>Data!J4406</f>
        <v>0</v>
      </c>
      <c r="Q4390">
        <f>Data!K4406</f>
        <v>0</v>
      </c>
      <c r="R4390">
        <f>Data!L4406</f>
        <v>0</v>
      </c>
      <c r="S4390">
        <f>Data!M4406</f>
        <v>0</v>
      </c>
      <c r="T4390">
        <f>Data!N4406</f>
        <v>0</v>
      </c>
      <c r="U4390">
        <f>Data!O4406</f>
        <v>0</v>
      </c>
      <c r="V4390" s="33">
        <f>Data!P4404</f>
        <v>0</v>
      </c>
    </row>
    <row r="4391" spans="7:22" x14ac:dyDescent="0.25">
      <c r="G4391">
        <f>Data!B4403</f>
        <v>0</v>
      </c>
      <c r="H4391" s="21">
        <f>Data!B4403</f>
        <v>0</v>
      </c>
      <c r="I4391" s="21">
        <f>Data!C4403</f>
        <v>0</v>
      </c>
      <c r="J4391">
        <f>Data!D4403</f>
        <v>0</v>
      </c>
      <c r="K4391">
        <f>Data!E4403</f>
        <v>0</v>
      </c>
      <c r="L4391">
        <f>Data!F4403</f>
        <v>0</v>
      </c>
      <c r="M4391">
        <f>Data!G4403</f>
        <v>0</v>
      </c>
      <c r="N4391">
        <f>Data!H4403</f>
        <v>0</v>
      </c>
      <c r="O4391">
        <f>Data!I4403</f>
        <v>0</v>
      </c>
      <c r="P4391" s="21">
        <f>Data!J4407</f>
        <v>0</v>
      </c>
      <c r="Q4391">
        <f>Data!K4407</f>
        <v>0</v>
      </c>
      <c r="R4391">
        <f>Data!L4407</f>
        <v>0</v>
      </c>
      <c r="S4391">
        <f>Data!M4407</f>
        <v>0</v>
      </c>
      <c r="T4391">
        <f>Data!N4407</f>
        <v>0</v>
      </c>
      <c r="U4391">
        <f>Data!O4407</f>
        <v>0</v>
      </c>
      <c r="V4391" s="33">
        <f>Data!P4405</f>
        <v>0</v>
      </c>
    </row>
    <row r="4392" spans="7:22" x14ac:dyDescent="0.25">
      <c r="G4392">
        <f>Data!B4404</f>
        <v>0</v>
      </c>
      <c r="H4392" s="21">
        <f>Data!B4404</f>
        <v>0</v>
      </c>
      <c r="I4392" s="21">
        <f>Data!C4404</f>
        <v>0</v>
      </c>
      <c r="J4392">
        <f>Data!D4404</f>
        <v>0</v>
      </c>
      <c r="K4392">
        <f>Data!E4404</f>
        <v>0</v>
      </c>
      <c r="L4392">
        <f>Data!F4404</f>
        <v>0</v>
      </c>
      <c r="M4392">
        <f>Data!G4404</f>
        <v>0</v>
      </c>
      <c r="N4392">
        <f>Data!H4404</f>
        <v>0</v>
      </c>
      <c r="O4392">
        <f>Data!I4404</f>
        <v>0</v>
      </c>
      <c r="P4392" s="21">
        <f>Data!J4408</f>
        <v>0</v>
      </c>
      <c r="Q4392">
        <f>Data!K4408</f>
        <v>0</v>
      </c>
      <c r="R4392">
        <f>Data!L4408</f>
        <v>0</v>
      </c>
      <c r="S4392">
        <f>Data!M4408</f>
        <v>0</v>
      </c>
      <c r="T4392">
        <f>Data!N4408</f>
        <v>0</v>
      </c>
      <c r="U4392">
        <f>Data!O4408</f>
        <v>0</v>
      </c>
      <c r="V4392" s="33">
        <f>Data!P4406</f>
        <v>0</v>
      </c>
    </row>
    <row r="4393" spans="7:22" x14ac:dyDescent="0.25">
      <c r="G4393">
        <f>Data!B4405</f>
        <v>0</v>
      </c>
      <c r="H4393" s="21">
        <f>Data!B4405</f>
        <v>0</v>
      </c>
      <c r="I4393" s="21">
        <f>Data!C4405</f>
        <v>0</v>
      </c>
      <c r="J4393">
        <f>Data!D4405</f>
        <v>0</v>
      </c>
      <c r="K4393">
        <f>Data!E4405</f>
        <v>0</v>
      </c>
      <c r="L4393">
        <f>Data!F4405</f>
        <v>0</v>
      </c>
      <c r="M4393">
        <f>Data!G4405</f>
        <v>0</v>
      </c>
      <c r="N4393">
        <f>Data!H4405</f>
        <v>0</v>
      </c>
      <c r="O4393">
        <f>Data!I4405</f>
        <v>0</v>
      </c>
      <c r="P4393" s="21">
        <f>Data!J4409</f>
        <v>0</v>
      </c>
      <c r="Q4393">
        <f>Data!K4409</f>
        <v>0</v>
      </c>
      <c r="R4393">
        <f>Data!L4409</f>
        <v>0</v>
      </c>
      <c r="S4393">
        <f>Data!M4409</f>
        <v>0</v>
      </c>
      <c r="T4393">
        <f>Data!N4409</f>
        <v>0</v>
      </c>
      <c r="U4393">
        <f>Data!O4409</f>
        <v>0</v>
      </c>
      <c r="V4393" s="33">
        <f>Data!P4407</f>
        <v>0</v>
      </c>
    </row>
    <row r="4394" spans="7:22" x14ac:dyDescent="0.25">
      <c r="G4394">
        <f>Data!B4406</f>
        <v>0</v>
      </c>
      <c r="H4394" s="21">
        <f>Data!B4406</f>
        <v>0</v>
      </c>
      <c r="I4394" s="21">
        <f>Data!C4406</f>
        <v>0</v>
      </c>
      <c r="J4394">
        <f>Data!D4406</f>
        <v>0</v>
      </c>
      <c r="K4394">
        <f>Data!E4406</f>
        <v>0</v>
      </c>
      <c r="L4394">
        <f>Data!F4406</f>
        <v>0</v>
      </c>
      <c r="M4394">
        <f>Data!G4406</f>
        <v>0</v>
      </c>
      <c r="N4394">
        <f>Data!H4406</f>
        <v>0</v>
      </c>
      <c r="O4394">
        <f>Data!I4406</f>
        <v>0</v>
      </c>
      <c r="P4394" s="21">
        <f>Data!J4410</f>
        <v>0</v>
      </c>
      <c r="Q4394">
        <f>Data!K4410</f>
        <v>0</v>
      </c>
      <c r="R4394">
        <f>Data!L4410</f>
        <v>0</v>
      </c>
      <c r="S4394">
        <f>Data!M4410</f>
        <v>0</v>
      </c>
      <c r="T4394">
        <f>Data!N4410</f>
        <v>0</v>
      </c>
      <c r="U4394">
        <f>Data!O4410</f>
        <v>0</v>
      </c>
      <c r="V4394" s="33">
        <f>Data!P4408</f>
        <v>0</v>
      </c>
    </row>
    <row r="4395" spans="7:22" x14ac:dyDescent="0.25">
      <c r="G4395">
        <f>Data!B4407</f>
        <v>0</v>
      </c>
      <c r="H4395" s="21">
        <f>Data!B4407</f>
        <v>0</v>
      </c>
      <c r="I4395" s="21">
        <f>Data!C4407</f>
        <v>0</v>
      </c>
      <c r="J4395">
        <f>Data!D4407</f>
        <v>0</v>
      </c>
      <c r="K4395">
        <f>Data!E4407</f>
        <v>0</v>
      </c>
      <c r="L4395">
        <f>Data!F4407</f>
        <v>0</v>
      </c>
      <c r="M4395">
        <f>Data!G4407</f>
        <v>0</v>
      </c>
      <c r="N4395">
        <f>Data!H4407</f>
        <v>0</v>
      </c>
      <c r="O4395">
        <f>Data!I4407</f>
        <v>0</v>
      </c>
      <c r="P4395" s="21">
        <f>Data!J4411</f>
        <v>0</v>
      </c>
      <c r="Q4395">
        <f>Data!K4411</f>
        <v>0</v>
      </c>
      <c r="R4395">
        <f>Data!L4411</f>
        <v>0</v>
      </c>
      <c r="S4395">
        <f>Data!M4411</f>
        <v>0</v>
      </c>
      <c r="T4395">
        <f>Data!N4411</f>
        <v>0</v>
      </c>
      <c r="U4395">
        <f>Data!O4411</f>
        <v>0</v>
      </c>
      <c r="V4395" s="33">
        <f>Data!P4409</f>
        <v>0</v>
      </c>
    </row>
    <row r="4396" spans="7:22" x14ac:dyDescent="0.25">
      <c r="G4396">
        <f>Data!B4408</f>
        <v>0</v>
      </c>
      <c r="H4396" s="21">
        <f>Data!B4408</f>
        <v>0</v>
      </c>
      <c r="I4396" s="21">
        <f>Data!C4408</f>
        <v>0</v>
      </c>
      <c r="J4396">
        <f>Data!D4408</f>
        <v>0</v>
      </c>
      <c r="K4396">
        <f>Data!E4408</f>
        <v>0</v>
      </c>
      <c r="L4396">
        <f>Data!F4408</f>
        <v>0</v>
      </c>
      <c r="M4396">
        <f>Data!G4408</f>
        <v>0</v>
      </c>
      <c r="N4396">
        <f>Data!H4408</f>
        <v>0</v>
      </c>
      <c r="O4396">
        <f>Data!I4408</f>
        <v>0</v>
      </c>
      <c r="P4396" s="21">
        <f>Data!J4412</f>
        <v>0</v>
      </c>
      <c r="Q4396">
        <f>Data!K4412</f>
        <v>0</v>
      </c>
      <c r="R4396">
        <f>Data!L4412</f>
        <v>0</v>
      </c>
      <c r="S4396">
        <f>Data!M4412</f>
        <v>0</v>
      </c>
      <c r="T4396">
        <f>Data!N4412</f>
        <v>0</v>
      </c>
      <c r="U4396">
        <f>Data!O4412</f>
        <v>0</v>
      </c>
      <c r="V4396" s="33">
        <f>Data!P4410</f>
        <v>0</v>
      </c>
    </row>
    <row r="4397" spans="7:22" x14ac:dyDescent="0.25">
      <c r="G4397">
        <f>Data!B4409</f>
        <v>0</v>
      </c>
      <c r="H4397" s="21">
        <f>Data!B4409</f>
        <v>0</v>
      </c>
      <c r="I4397" s="21">
        <f>Data!C4409</f>
        <v>0</v>
      </c>
      <c r="J4397">
        <f>Data!D4409</f>
        <v>0</v>
      </c>
      <c r="K4397">
        <f>Data!E4409</f>
        <v>0</v>
      </c>
      <c r="L4397">
        <f>Data!F4409</f>
        <v>0</v>
      </c>
      <c r="M4397">
        <f>Data!G4409</f>
        <v>0</v>
      </c>
      <c r="N4397">
        <f>Data!H4409</f>
        <v>0</v>
      </c>
      <c r="O4397">
        <f>Data!I4409</f>
        <v>0</v>
      </c>
      <c r="P4397" s="21">
        <f>Data!J4413</f>
        <v>0</v>
      </c>
      <c r="Q4397">
        <f>Data!K4413</f>
        <v>0</v>
      </c>
      <c r="R4397">
        <f>Data!L4413</f>
        <v>0</v>
      </c>
      <c r="S4397">
        <f>Data!M4413</f>
        <v>0</v>
      </c>
      <c r="T4397">
        <f>Data!N4413</f>
        <v>0</v>
      </c>
      <c r="U4397">
        <f>Data!O4413</f>
        <v>0</v>
      </c>
      <c r="V4397" s="33">
        <f>Data!P4411</f>
        <v>0</v>
      </c>
    </row>
    <row r="4398" spans="7:22" x14ac:dyDescent="0.25">
      <c r="G4398">
        <f>Data!B4410</f>
        <v>0</v>
      </c>
      <c r="H4398" s="21">
        <f>Data!B4410</f>
        <v>0</v>
      </c>
      <c r="I4398" s="21">
        <f>Data!C4410</f>
        <v>0</v>
      </c>
      <c r="J4398">
        <f>Data!D4410</f>
        <v>0</v>
      </c>
      <c r="K4398">
        <f>Data!E4410</f>
        <v>0</v>
      </c>
      <c r="L4398">
        <f>Data!F4410</f>
        <v>0</v>
      </c>
      <c r="M4398">
        <f>Data!G4410</f>
        <v>0</v>
      </c>
      <c r="N4398">
        <f>Data!H4410</f>
        <v>0</v>
      </c>
      <c r="O4398">
        <f>Data!I4410</f>
        <v>0</v>
      </c>
      <c r="P4398" s="21">
        <f>Data!J4414</f>
        <v>0</v>
      </c>
      <c r="Q4398">
        <f>Data!K4414</f>
        <v>0</v>
      </c>
      <c r="R4398">
        <f>Data!L4414</f>
        <v>0</v>
      </c>
      <c r="S4398">
        <f>Data!M4414</f>
        <v>0</v>
      </c>
      <c r="T4398">
        <f>Data!N4414</f>
        <v>0</v>
      </c>
      <c r="U4398">
        <f>Data!O4414</f>
        <v>0</v>
      </c>
      <c r="V4398" s="33">
        <f>Data!P4412</f>
        <v>0</v>
      </c>
    </row>
    <row r="4399" spans="7:22" x14ac:dyDescent="0.25">
      <c r="G4399">
        <f>Data!B4411</f>
        <v>0</v>
      </c>
      <c r="H4399" s="21">
        <f>Data!B4411</f>
        <v>0</v>
      </c>
      <c r="I4399" s="21">
        <f>Data!C4411</f>
        <v>0</v>
      </c>
      <c r="J4399">
        <f>Data!D4411</f>
        <v>0</v>
      </c>
      <c r="K4399">
        <f>Data!E4411</f>
        <v>0</v>
      </c>
      <c r="L4399">
        <f>Data!F4411</f>
        <v>0</v>
      </c>
      <c r="M4399">
        <f>Data!G4411</f>
        <v>0</v>
      </c>
      <c r="N4399">
        <f>Data!H4411</f>
        <v>0</v>
      </c>
      <c r="O4399">
        <f>Data!I4411</f>
        <v>0</v>
      </c>
      <c r="P4399" s="21">
        <f>Data!J4415</f>
        <v>0</v>
      </c>
      <c r="Q4399">
        <f>Data!K4415</f>
        <v>0</v>
      </c>
      <c r="R4399">
        <f>Data!L4415</f>
        <v>0</v>
      </c>
      <c r="S4399">
        <f>Data!M4415</f>
        <v>0</v>
      </c>
      <c r="T4399">
        <f>Data!N4415</f>
        <v>0</v>
      </c>
      <c r="U4399">
        <f>Data!O4415</f>
        <v>0</v>
      </c>
      <c r="V4399" s="33">
        <f>Data!P4413</f>
        <v>0</v>
      </c>
    </row>
    <row r="4400" spans="7:22" x14ac:dyDescent="0.25">
      <c r="G4400">
        <f>Data!B4412</f>
        <v>0</v>
      </c>
      <c r="H4400" s="21">
        <f>Data!B4412</f>
        <v>0</v>
      </c>
      <c r="I4400" s="21">
        <f>Data!C4412</f>
        <v>0</v>
      </c>
      <c r="J4400">
        <f>Data!D4412</f>
        <v>0</v>
      </c>
      <c r="K4400">
        <f>Data!E4412</f>
        <v>0</v>
      </c>
      <c r="L4400">
        <f>Data!F4412</f>
        <v>0</v>
      </c>
      <c r="M4400">
        <f>Data!G4412</f>
        <v>0</v>
      </c>
      <c r="N4400">
        <f>Data!H4412</f>
        <v>0</v>
      </c>
      <c r="O4400">
        <f>Data!I4412</f>
        <v>0</v>
      </c>
      <c r="P4400" s="21">
        <f>Data!J4416</f>
        <v>0</v>
      </c>
      <c r="Q4400">
        <f>Data!K4416</f>
        <v>0</v>
      </c>
      <c r="R4400">
        <f>Data!L4416</f>
        <v>0</v>
      </c>
      <c r="S4400">
        <f>Data!M4416</f>
        <v>0</v>
      </c>
      <c r="T4400">
        <f>Data!N4416</f>
        <v>0</v>
      </c>
      <c r="U4400">
        <f>Data!O4416</f>
        <v>0</v>
      </c>
      <c r="V4400" s="33">
        <f>Data!P4414</f>
        <v>0</v>
      </c>
    </row>
    <row r="4401" spans="7:22" x14ac:dyDescent="0.25">
      <c r="G4401">
        <f>Data!B4413</f>
        <v>0</v>
      </c>
      <c r="H4401" s="21">
        <f>Data!B4413</f>
        <v>0</v>
      </c>
      <c r="I4401" s="21">
        <f>Data!C4413</f>
        <v>0</v>
      </c>
      <c r="J4401">
        <f>Data!D4413</f>
        <v>0</v>
      </c>
      <c r="K4401">
        <f>Data!E4413</f>
        <v>0</v>
      </c>
      <c r="L4401">
        <f>Data!F4413</f>
        <v>0</v>
      </c>
      <c r="M4401">
        <f>Data!G4413</f>
        <v>0</v>
      </c>
      <c r="N4401">
        <f>Data!H4413</f>
        <v>0</v>
      </c>
      <c r="O4401">
        <f>Data!I4413</f>
        <v>0</v>
      </c>
      <c r="P4401" s="21">
        <f>Data!J4417</f>
        <v>0</v>
      </c>
      <c r="Q4401">
        <f>Data!K4417</f>
        <v>0</v>
      </c>
      <c r="R4401">
        <f>Data!L4417</f>
        <v>0</v>
      </c>
      <c r="S4401">
        <f>Data!M4417</f>
        <v>0</v>
      </c>
      <c r="T4401">
        <f>Data!N4417</f>
        <v>0</v>
      </c>
      <c r="U4401">
        <f>Data!O4417</f>
        <v>0</v>
      </c>
      <c r="V4401" s="33">
        <f>Data!P4415</f>
        <v>0</v>
      </c>
    </row>
    <row r="4402" spans="7:22" x14ac:dyDescent="0.25">
      <c r="G4402">
        <f>Data!B4414</f>
        <v>0</v>
      </c>
      <c r="H4402" s="21">
        <f>Data!B4414</f>
        <v>0</v>
      </c>
      <c r="I4402" s="21">
        <f>Data!C4414</f>
        <v>0</v>
      </c>
      <c r="J4402">
        <f>Data!D4414</f>
        <v>0</v>
      </c>
      <c r="K4402">
        <f>Data!E4414</f>
        <v>0</v>
      </c>
      <c r="L4402">
        <f>Data!F4414</f>
        <v>0</v>
      </c>
      <c r="M4402">
        <f>Data!G4414</f>
        <v>0</v>
      </c>
      <c r="N4402">
        <f>Data!H4414</f>
        <v>0</v>
      </c>
      <c r="O4402">
        <f>Data!I4414</f>
        <v>0</v>
      </c>
      <c r="P4402" s="21">
        <f>Data!J4418</f>
        <v>0</v>
      </c>
      <c r="Q4402">
        <f>Data!K4418</f>
        <v>0</v>
      </c>
      <c r="R4402">
        <f>Data!L4418</f>
        <v>0</v>
      </c>
      <c r="S4402">
        <f>Data!M4418</f>
        <v>0</v>
      </c>
      <c r="T4402">
        <f>Data!N4418</f>
        <v>0</v>
      </c>
      <c r="U4402">
        <f>Data!O4418</f>
        <v>0</v>
      </c>
      <c r="V4402" s="33">
        <f>Data!P4416</f>
        <v>0</v>
      </c>
    </row>
    <row r="4403" spans="7:22" x14ac:dyDescent="0.25">
      <c r="G4403">
        <f>Data!B4415</f>
        <v>0</v>
      </c>
      <c r="H4403" s="21">
        <f>Data!B4415</f>
        <v>0</v>
      </c>
      <c r="I4403" s="21">
        <f>Data!C4415</f>
        <v>0</v>
      </c>
      <c r="J4403">
        <f>Data!D4415</f>
        <v>0</v>
      </c>
      <c r="K4403">
        <f>Data!E4415</f>
        <v>0</v>
      </c>
      <c r="L4403">
        <f>Data!F4415</f>
        <v>0</v>
      </c>
      <c r="M4403">
        <f>Data!G4415</f>
        <v>0</v>
      </c>
      <c r="N4403">
        <f>Data!H4415</f>
        <v>0</v>
      </c>
      <c r="O4403">
        <f>Data!I4415</f>
        <v>0</v>
      </c>
      <c r="P4403" s="21">
        <f>Data!J4419</f>
        <v>0</v>
      </c>
      <c r="Q4403">
        <f>Data!K4419</f>
        <v>0</v>
      </c>
      <c r="R4403">
        <f>Data!L4419</f>
        <v>0</v>
      </c>
      <c r="S4403">
        <f>Data!M4419</f>
        <v>0</v>
      </c>
      <c r="T4403">
        <f>Data!N4419</f>
        <v>0</v>
      </c>
      <c r="U4403">
        <f>Data!O4419</f>
        <v>0</v>
      </c>
      <c r="V4403" s="33">
        <f>Data!P4417</f>
        <v>0</v>
      </c>
    </row>
    <row r="4404" spans="7:22" x14ac:dyDescent="0.25">
      <c r="G4404">
        <f>Data!B4416</f>
        <v>0</v>
      </c>
      <c r="H4404" s="21">
        <f>Data!B4416</f>
        <v>0</v>
      </c>
      <c r="I4404" s="21">
        <f>Data!C4416</f>
        <v>0</v>
      </c>
      <c r="J4404">
        <f>Data!D4416</f>
        <v>0</v>
      </c>
      <c r="K4404">
        <f>Data!E4416</f>
        <v>0</v>
      </c>
      <c r="L4404">
        <f>Data!F4416</f>
        <v>0</v>
      </c>
      <c r="M4404">
        <f>Data!G4416</f>
        <v>0</v>
      </c>
      <c r="N4404">
        <f>Data!H4416</f>
        <v>0</v>
      </c>
      <c r="O4404">
        <f>Data!I4416</f>
        <v>0</v>
      </c>
      <c r="P4404" s="21">
        <f>Data!J4420</f>
        <v>0</v>
      </c>
      <c r="Q4404">
        <f>Data!K4420</f>
        <v>0</v>
      </c>
      <c r="R4404">
        <f>Data!L4420</f>
        <v>0</v>
      </c>
      <c r="S4404">
        <f>Data!M4420</f>
        <v>0</v>
      </c>
      <c r="T4404">
        <f>Data!N4420</f>
        <v>0</v>
      </c>
      <c r="U4404">
        <f>Data!O4420</f>
        <v>0</v>
      </c>
      <c r="V4404" s="33">
        <f>Data!P4418</f>
        <v>0</v>
      </c>
    </row>
    <row r="4405" spans="7:22" x14ac:dyDescent="0.25">
      <c r="G4405">
        <f>Data!B4417</f>
        <v>0</v>
      </c>
      <c r="H4405" s="21">
        <f>Data!B4417</f>
        <v>0</v>
      </c>
      <c r="I4405" s="21">
        <f>Data!C4417</f>
        <v>0</v>
      </c>
      <c r="J4405">
        <f>Data!D4417</f>
        <v>0</v>
      </c>
      <c r="K4405">
        <f>Data!E4417</f>
        <v>0</v>
      </c>
      <c r="L4405">
        <f>Data!F4417</f>
        <v>0</v>
      </c>
      <c r="M4405">
        <f>Data!G4417</f>
        <v>0</v>
      </c>
      <c r="N4405">
        <f>Data!H4417</f>
        <v>0</v>
      </c>
      <c r="O4405">
        <f>Data!I4417</f>
        <v>0</v>
      </c>
      <c r="P4405" s="21">
        <f>Data!J4421</f>
        <v>0</v>
      </c>
      <c r="Q4405">
        <f>Data!K4421</f>
        <v>0</v>
      </c>
      <c r="R4405">
        <f>Data!L4421</f>
        <v>0</v>
      </c>
      <c r="S4405">
        <f>Data!M4421</f>
        <v>0</v>
      </c>
      <c r="T4405">
        <f>Data!N4421</f>
        <v>0</v>
      </c>
      <c r="U4405">
        <f>Data!O4421</f>
        <v>0</v>
      </c>
      <c r="V4405" s="33">
        <f>Data!P4419</f>
        <v>0</v>
      </c>
    </row>
    <row r="4406" spans="7:22" x14ac:dyDescent="0.25">
      <c r="G4406">
        <f>Data!B4418</f>
        <v>0</v>
      </c>
      <c r="H4406" s="21">
        <f>Data!B4418</f>
        <v>0</v>
      </c>
      <c r="I4406" s="21">
        <f>Data!C4418</f>
        <v>0</v>
      </c>
      <c r="J4406">
        <f>Data!D4418</f>
        <v>0</v>
      </c>
      <c r="K4406">
        <f>Data!E4418</f>
        <v>0</v>
      </c>
      <c r="L4406">
        <f>Data!F4418</f>
        <v>0</v>
      </c>
      <c r="M4406">
        <f>Data!G4418</f>
        <v>0</v>
      </c>
      <c r="N4406">
        <f>Data!H4418</f>
        <v>0</v>
      </c>
      <c r="O4406">
        <f>Data!I4418</f>
        <v>0</v>
      </c>
      <c r="P4406" s="21">
        <f>Data!J4422</f>
        <v>0</v>
      </c>
      <c r="Q4406">
        <f>Data!K4422</f>
        <v>0</v>
      </c>
      <c r="R4406">
        <f>Data!L4422</f>
        <v>0</v>
      </c>
      <c r="S4406">
        <f>Data!M4422</f>
        <v>0</v>
      </c>
      <c r="T4406">
        <f>Data!N4422</f>
        <v>0</v>
      </c>
      <c r="U4406">
        <f>Data!O4422</f>
        <v>0</v>
      </c>
      <c r="V4406" s="33">
        <f>Data!P4420</f>
        <v>0</v>
      </c>
    </row>
    <row r="4407" spans="7:22" x14ac:dyDescent="0.25">
      <c r="G4407">
        <f>Data!B4419</f>
        <v>0</v>
      </c>
      <c r="H4407" s="21">
        <f>Data!B4419</f>
        <v>0</v>
      </c>
      <c r="I4407" s="21">
        <f>Data!C4419</f>
        <v>0</v>
      </c>
      <c r="J4407">
        <f>Data!D4419</f>
        <v>0</v>
      </c>
      <c r="K4407">
        <f>Data!E4419</f>
        <v>0</v>
      </c>
      <c r="L4407">
        <f>Data!F4419</f>
        <v>0</v>
      </c>
      <c r="M4407">
        <f>Data!G4419</f>
        <v>0</v>
      </c>
      <c r="N4407">
        <f>Data!H4419</f>
        <v>0</v>
      </c>
      <c r="O4407">
        <f>Data!I4419</f>
        <v>0</v>
      </c>
      <c r="P4407" s="21">
        <f>Data!J4423</f>
        <v>0</v>
      </c>
      <c r="Q4407">
        <f>Data!K4423</f>
        <v>0</v>
      </c>
      <c r="R4407">
        <f>Data!L4423</f>
        <v>0</v>
      </c>
      <c r="S4407">
        <f>Data!M4423</f>
        <v>0</v>
      </c>
      <c r="T4407">
        <f>Data!N4423</f>
        <v>0</v>
      </c>
      <c r="U4407">
        <f>Data!O4423</f>
        <v>0</v>
      </c>
      <c r="V4407" s="33">
        <f>Data!P4421</f>
        <v>0</v>
      </c>
    </row>
    <row r="4408" spans="7:22" x14ac:dyDescent="0.25">
      <c r="G4408">
        <f>Data!B4420</f>
        <v>0</v>
      </c>
      <c r="H4408" s="21">
        <f>Data!B4420</f>
        <v>0</v>
      </c>
      <c r="I4408" s="21">
        <f>Data!C4420</f>
        <v>0</v>
      </c>
      <c r="J4408">
        <f>Data!D4420</f>
        <v>0</v>
      </c>
      <c r="K4408">
        <f>Data!E4420</f>
        <v>0</v>
      </c>
      <c r="L4408">
        <f>Data!F4420</f>
        <v>0</v>
      </c>
      <c r="M4408">
        <f>Data!G4420</f>
        <v>0</v>
      </c>
      <c r="N4408">
        <f>Data!H4420</f>
        <v>0</v>
      </c>
      <c r="O4408">
        <f>Data!I4420</f>
        <v>0</v>
      </c>
      <c r="P4408" s="21">
        <f>Data!J4424</f>
        <v>0</v>
      </c>
      <c r="Q4408">
        <f>Data!K4424</f>
        <v>0</v>
      </c>
      <c r="R4408">
        <f>Data!L4424</f>
        <v>0</v>
      </c>
      <c r="S4408">
        <f>Data!M4424</f>
        <v>0</v>
      </c>
      <c r="T4408">
        <f>Data!N4424</f>
        <v>0</v>
      </c>
      <c r="U4408">
        <f>Data!O4424</f>
        <v>0</v>
      </c>
      <c r="V4408" s="33">
        <f>Data!P4422</f>
        <v>0</v>
      </c>
    </row>
    <row r="4409" spans="7:22" x14ac:dyDescent="0.25">
      <c r="G4409">
        <f>Data!B4421</f>
        <v>0</v>
      </c>
      <c r="H4409" s="21">
        <f>Data!B4421</f>
        <v>0</v>
      </c>
      <c r="I4409" s="21">
        <f>Data!C4421</f>
        <v>0</v>
      </c>
      <c r="J4409">
        <f>Data!D4421</f>
        <v>0</v>
      </c>
      <c r="K4409">
        <f>Data!E4421</f>
        <v>0</v>
      </c>
      <c r="L4409">
        <f>Data!F4421</f>
        <v>0</v>
      </c>
      <c r="M4409">
        <f>Data!G4421</f>
        <v>0</v>
      </c>
      <c r="N4409">
        <f>Data!H4421</f>
        <v>0</v>
      </c>
      <c r="O4409">
        <f>Data!I4421</f>
        <v>0</v>
      </c>
      <c r="P4409" s="21">
        <f>Data!J4425</f>
        <v>0</v>
      </c>
      <c r="Q4409">
        <f>Data!K4425</f>
        <v>0</v>
      </c>
      <c r="R4409">
        <f>Data!L4425</f>
        <v>0</v>
      </c>
      <c r="S4409">
        <f>Data!M4425</f>
        <v>0</v>
      </c>
      <c r="T4409">
        <f>Data!N4425</f>
        <v>0</v>
      </c>
      <c r="U4409">
        <f>Data!O4425</f>
        <v>0</v>
      </c>
      <c r="V4409" s="33">
        <f>Data!P4423</f>
        <v>0</v>
      </c>
    </row>
    <row r="4410" spans="7:22" x14ac:dyDescent="0.25">
      <c r="G4410">
        <f>Data!B4422</f>
        <v>0</v>
      </c>
      <c r="H4410" s="21">
        <f>Data!B4422</f>
        <v>0</v>
      </c>
      <c r="I4410" s="21">
        <f>Data!C4422</f>
        <v>0</v>
      </c>
      <c r="J4410">
        <f>Data!D4422</f>
        <v>0</v>
      </c>
      <c r="K4410">
        <f>Data!E4422</f>
        <v>0</v>
      </c>
      <c r="L4410">
        <f>Data!F4422</f>
        <v>0</v>
      </c>
      <c r="M4410">
        <f>Data!G4422</f>
        <v>0</v>
      </c>
      <c r="N4410">
        <f>Data!H4422</f>
        <v>0</v>
      </c>
      <c r="O4410">
        <f>Data!I4422</f>
        <v>0</v>
      </c>
      <c r="P4410" s="21">
        <f>Data!J4426</f>
        <v>0</v>
      </c>
      <c r="Q4410">
        <f>Data!K4426</f>
        <v>0</v>
      </c>
      <c r="R4410">
        <f>Data!L4426</f>
        <v>0</v>
      </c>
      <c r="S4410">
        <f>Data!M4426</f>
        <v>0</v>
      </c>
      <c r="T4410">
        <f>Data!N4426</f>
        <v>0</v>
      </c>
      <c r="U4410">
        <f>Data!O4426</f>
        <v>0</v>
      </c>
      <c r="V4410" s="33">
        <f>Data!P4424</f>
        <v>0</v>
      </c>
    </row>
    <row r="4411" spans="7:22" x14ac:dyDescent="0.25">
      <c r="G4411">
        <f>Data!B4423</f>
        <v>0</v>
      </c>
      <c r="H4411" s="21">
        <f>Data!B4423</f>
        <v>0</v>
      </c>
      <c r="I4411" s="21">
        <f>Data!C4423</f>
        <v>0</v>
      </c>
      <c r="J4411">
        <f>Data!D4423</f>
        <v>0</v>
      </c>
      <c r="K4411">
        <f>Data!E4423</f>
        <v>0</v>
      </c>
      <c r="L4411">
        <f>Data!F4423</f>
        <v>0</v>
      </c>
      <c r="M4411">
        <f>Data!G4423</f>
        <v>0</v>
      </c>
      <c r="N4411">
        <f>Data!H4423</f>
        <v>0</v>
      </c>
      <c r="O4411">
        <f>Data!I4423</f>
        <v>0</v>
      </c>
      <c r="P4411" s="21">
        <f>Data!J4427</f>
        <v>0</v>
      </c>
      <c r="Q4411">
        <f>Data!K4427</f>
        <v>0</v>
      </c>
      <c r="R4411">
        <f>Data!L4427</f>
        <v>0</v>
      </c>
      <c r="S4411">
        <f>Data!M4427</f>
        <v>0</v>
      </c>
      <c r="T4411">
        <f>Data!N4427</f>
        <v>0</v>
      </c>
      <c r="U4411">
        <f>Data!O4427</f>
        <v>0</v>
      </c>
      <c r="V4411" s="33">
        <f>Data!P4425</f>
        <v>0</v>
      </c>
    </row>
    <row r="4412" spans="7:22" x14ac:dyDescent="0.25">
      <c r="G4412">
        <f>Data!B4424</f>
        <v>0</v>
      </c>
      <c r="H4412" s="21">
        <f>Data!B4424</f>
        <v>0</v>
      </c>
      <c r="I4412" s="21">
        <f>Data!C4424</f>
        <v>0</v>
      </c>
      <c r="J4412">
        <f>Data!D4424</f>
        <v>0</v>
      </c>
      <c r="K4412">
        <f>Data!E4424</f>
        <v>0</v>
      </c>
      <c r="L4412">
        <f>Data!F4424</f>
        <v>0</v>
      </c>
      <c r="M4412">
        <f>Data!G4424</f>
        <v>0</v>
      </c>
      <c r="N4412">
        <f>Data!H4424</f>
        <v>0</v>
      </c>
      <c r="O4412">
        <f>Data!I4424</f>
        <v>0</v>
      </c>
      <c r="P4412" s="21">
        <f>Data!J4428</f>
        <v>0</v>
      </c>
      <c r="Q4412">
        <f>Data!K4428</f>
        <v>0</v>
      </c>
      <c r="R4412">
        <f>Data!L4428</f>
        <v>0</v>
      </c>
      <c r="S4412">
        <f>Data!M4428</f>
        <v>0</v>
      </c>
      <c r="T4412">
        <f>Data!N4428</f>
        <v>0</v>
      </c>
      <c r="U4412">
        <f>Data!O4428</f>
        <v>0</v>
      </c>
      <c r="V4412" s="33">
        <f>Data!P4426</f>
        <v>0</v>
      </c>
    </row>
    <row r="4413" spans="7:22" x14ac:dyDescent="0.25">
      <c r="G4413">
        <f>Data!B4425</f>
        <v>0</v>
      </c>
      <c r="H4413" s="21">
        <f>Data!B4425</f>
        <v>0</v>
      </c>
      <c r="I4413" s="21">
        <f>Data!C4425</f>
        <v>0</v>
      </c>
      <c r="J4413">
        <f>Data!D4425</f>
        <v>0</v>
      </c>
      <c r="K4413">
        <f>Data!E4425</f>
        <v>0</v>
      </c>
      <c r="L4413">
        <f>Data!F4425</f>
        <v>0</v>
      </c>
      <c r="M4413">
        <f>Data!G4425</f>
        <v>0</v>
      </c>
      <c r="N4413">
        <f>Data!H4425</f>
        <v>0</v>
      </c>
      <c r="O4413">
        <f>Data!I4425</f>
        <v>0</v>
      </c>
      <c r="P4413" s="21">
        <f>Data!J4429</f>
        <v>0</v>
      </c>
      <c r="Q4413">
        <f>Data!K4429</f>
        <v>0</v>
      </c>
      <c r="R4413">
        <f>Data!L4429</f>
        <v>0</v>
      </c>
      <c r="S4413">
        <f>Data!M4429</f>
        <v>0</v>
      </c>
      <c r="T4413">
        <f>Data!N4429</f>
        <v>0</v>
      </c>
      <c r="U4413">
        <f>Data!O4429</f>
        <v>0</v>
      </c>
      <c r="V4413" s="33">
        <f>Data!P4427</f>
        <v>0</v>
      </c>
    </row>
    <row r="4414" spans="7:22" x14ac:dyDescent="0.25">
      <c r="G4414">
        <f>Data!B4426</f>
        <v>0</v>
      </c>
      <c r="H4414" s="21">
        <f>Data!B4426</f>
        <v>0</v>
      </c>
      <c r="I4414" s="21">
        <f>Data!C4426</f>
        <v>0</v>
      </c>
      <c r="J4414">
        <f>Data!D4426</f>
        <v>0</v>
      </c>
      <c r="K4414">
        <f>Data!E4426</f>
        <v>0</v>
      </c>
      <c r="L4414">
        <f>Data!F4426</f>
        <v>0</v>
      </c>
      <c r="M4414">
        <f>Data!G4426</f>
        <v>0</v>
      </c>
      <c r="N4414">
        <f>Data!H4426</f>
        <v>0</v>
      </c>
      <c r="O4414">
        <f>Data!I4426</f>
        <v>0</v>
      </c>
      <c r="P4414" s="21">
        <f>Data!J4430</f>
        <v>0</v>
      </c>
      <c r="Q4414">
        <f>Data!K4430</f>
        <v>0</v>
      </c>
      <c r="R4414">
        <f>Data!L4430</f>
        <v>0</v>
      </c>
      <c r="S4414">
        <f>Data!M4430</f>
        <v>0</v>
      </c>
      <c r="T4414">
        <f>Data!N4430</f>
        <v>0</v>
      </c>
      <c r="U4414">
        <f>Data!O4430</f>
        <v>0</v>
      </c>
      <c r="V4414" s="33">
        <f>Data!P4428</f>
        <v>0</v>
      </c>
    </row>
    <row r="4415" spans="7:22" x14ac:dyDescent="0.25">
      <c r="G4415">
        <f>Data!B4427</f>
        <v>0</v>
      </c>
      <c r="H4415" s="21">
        <f>Data!B4427</f>
        <v>0</v>
      </c>
      <c r="I4415" s="21">
        <f>Data!C4427</f>
        <v>0</v>
      </c>
      <c r="J4415">
        <f>Data!D4427</f>
        <v>0</v>
      </c>
      <c r="K4415">
        <f>Data!E4427</f>
        <v>0</v>
      </c>
      <c r="L4415">
        <f>Data!F4427</f>
        <v>0</v>
      </c>
      <c r="M4415">
        <f>Data!G4427</f>
        <v>0</v>
      </c>
      <c r="N4415">
        <f>Data!H4427</f>
        <v>0</v>
      </c>
      <c r="O4415">
        <f>Data!I4427</f>
        <v>0</v>
      </c>
      <c r="P4415" s="21">
        <f>Data!J4431</f>
        <v>0</v>
      </c>
      <c r="Q4415">
        <f>Data!K4431</f>
        <v>0</v>
      </c>
      <c r="R4415">
        <f>Data!L4431</f>
        <v>0</v>
      </c>
      <c r="S4415">
        <f>Data!M4431</f>
        <v>0</v>
      </c>
      <c r="T4415">
        <f>Data!N4431</f>
        <v>0</v>
      </c>
      <c r="U4415">
        <f>Data!O4431</f>
        <v>0</v>
      </c>
      <c r="V4415" s="33">
        <f>Data!P4429</f>
        <v>0</v>
      </c>
    </row>
    <row r="4416" spans="7:22" x14ac:dyDescent="0.25">
      <c r="G4416">
        <f>Data!B4428</f>
        <v>0</v>
      </c>
      <c r="H4416" s="21">
        <f>Data!B4428</f>
        <v>0</v>
      </c>
      <c r="I4416" s="21">
        <f>Data!C4428</f>
        <v>0</v>
      </c>
      <c r="J4416">
        <f>Data!D4428</f>
        <v>0</v>
      </c>
      <c r="K4416">
        <f>Data!E4428</f>
        <v>0</v>
      </c>
      <c r="L4416">
        <f>Data!F4428</f>
        <v>0</v>
      </c>
      <c r="M4416">
        <f>Data!G4428</f>
        <v>0</v>
      </c>
      <c r="N4416">
        <f>Data!H4428</f>
        <v>0</v>
      </c>
      <c r="O4416">
        <f>Data!I4428</f>
        <v>0</v>
      </c>
      <c r="P4416" s="21">
        <f>Data!J4432</f>
        <v>0</v>
      </c>
      <c r="Q4416">
        <f>Data!K4432</f>
        <v>0</v>
      </c>
      <c r="R4416">
        <f>Data!L4432</f>
        <v>0</v>
      </c>
      <c r="S4416">
        <f>Data!M4432</f>
        <v>0</v>
      </c>
      <c r="T4416">
        <f>Data!N4432</f>
        <v>0</v>
      </c>
      <c r="U4416">
        <f>Data!O4432</f>
        <v>0</v>
      </c>
      <c r="V4416" s="33">
        <f>Data!P4430</f>
        <v>0</v>
      </c>
    </row>
    <row r="4417" spans="7:22" x14ac:dyDescent="0.25">
      <c r="G4417">
        <f>Data!B4429</f>
        <v>0</v>
      </c>
      <c r="H4417" s="21">
        <f>Data!B4429</f>
        <v>0</v>
      </c>
      <c r="I4417" s="21">
        <f>Data!C4429</f>
        <v>0</v>
      </c>
      <c r="J4417">
        <f>Data!D4429</f>
        <v>0</v>
      </c>
      <c r="K4417">
        <f>Data!E4429</f>
        <v>0</v>
      </c>
      <c r="L4417">
        <f>Data!F4429</f>
        <v>0</v>
      </c>
      <c r="M4417">
        <f>Data!G4429</f>
        <v>0</v>
      </c>
      <c r="N4417">
        <f>Data!H4429</f>
        <v>0</v>
      </c>
      <c r="O4417">
        <f>Data!I4429</f>
        <v>0</v>
      </c>
      <c r="P4417" s="21">
        <f>Data!J4433</f>
        <v>0</v>
      </c>
      <c r="Q4417">
        <f>Data!K4433</f>
        <v>0</v>
      </c>
      <c r="R4417">
        <f>Data!L4433</f>
        <v>0</v>
      </c>
      <c r="S4417">
        <f>Data!M4433</f>
        <v>0</v>
      </c>
      <c r="T4417">
        <f>Data!N4433</f>
        <v>0</v>
      </c>
      <c r="U4417">
        <f>Data!O4433</f>
        <v>0</v>
      </c>
      <c r="V4417" s="33">
        <f>Data!P4431</f>
        <v>0</v>
      </c>
    </row>
    <row r="4418" spans="7:22" x14ac:dyDescent="0.25">
      <c r="G4418">
        <f>Data!B4430</f>
        <v>0</v>
      </c>
      <c r="H4418" s="21">
        <f>Data!B4430</f>
        <v>0</v>
      </c>
      <c r="I4418" s="21">
        <f>Data!C4430</f>
        <v>0</v>
      </c>
      <c r="J4418">
        <f>Data!D4430</f>
        <v>0</v>
      </c>
      <c r="K4418">
        <f>Data!E4430</f>
        <v>0</v>
      </c>
      <c r="L4418">
        <f>Data!F4430</f>
        <v>0</v>
      </c>
      <c r="M4418">
        <f>Data!G4430</f>
        <v>0</v>
      </c>
      <c r="N4418">
        <f>Data!H4430</f>
        <v>0</v>
      </c>
      <c r="O4418">
        <f>Data!I4430</f>
        <v>0</v>
      </c>
      <c r="P4418" s="21">
        <f>Data!J4434</f>
        <v>0</v>
      </c>
      <c r="Q4418">
        <f>Data!K4434</f>
        <v>0</v>
      </c>
      <c r="R4418">
        <f>Data!L4434</f>
        <v>0</v>
      </c>
      <c r="S4418">
        <f>Data!M4434</f>
        <v>0</v>
      </c>
      <c r="T4418">
        <f>Data!N4434</f>
        <v>0</v>
      </c>
      <c r="U4418">
        <f>Data!O4434</f>
        <v>0</v>
      </c>
      <c r="V4418" s="33">
        <f>Data!P4432</f>
        <v>0</v>
      </c>
    </row>
    <row r="4419" spans="7:22" x14ac:dyDescent="0.25">
      <c r="G4419">
        <f>Data!B4431</f>
        <v>0</v>
      </c>
      <c r="H4419" s="21">
        <f>Data!B4431</f>
        <v>0</v>
      </c>
      <c r="I4419" s="21">
        <f>Data!C4431</f>
        <v>0</v>
      </c>
      <c r="J4419">
        <f>Data!D4431</f>
        <v>0</v>
      </c>
      <c r="K4419">
        <f>Data!E4431</f>
        <v>0</v>
      </c>
      <c r="L4419">
        <f>Data!F4431</f>
        <v>0</v>
      </c>
      <c r="M4419">
        <f>Data!G4431</f>
        <v>0</v>
      </c>
      <c r="N4419">
        <f>Data!H4431</f>
        <v>0</v>
      </c>
      <c r="O4419">
        <f>Data!I4431</f>
        <v>0</v>
      </c>
      <c r="P4419" s="21">
        <f>Data!J4435</f>
        <v>0</v>
      </c>
      <c r="Q4419">
        <f>Data!K4435</f>
        <v>0</v>
      </c>
      <c r="R4419">
        <f>Data!L4435</f>
        <v>0</v>
      </c>
      <c r="S4419">
        <f>Data!M4435</f>
        <v>0</v>
      </c>
      <c r="T4419">
        <f>Data!N4435</f>
        <v>0</v>
      </c>
      <c r="U4419">
        <f>Data!O4435</f>
        <v>0</v>
      </c>
      <c r="V4419" s="33">
        <f>Data!P4433</f>
        <v>0</v>
      </c>
    </row>
    <row r="4420" spans="7:22" x14ac:dyDescent="0.25">
      <c r="G4420">
        <f>Data!B4432</f>
        <v>0</v>
      </c>
      <c r="H4420" s="21">
        <f>Data!B4432</f>
        <v>0</v>
      </c>
      <c r="I4420" s="21">
        <f>Data!C4432</f>
        <v>0</v>
      </c>
      <c r="J4420">
        <f>Data!D4432</f>
        <v>0</v>
      </c>
      <c r="K4420">
        <f>Data!E4432</f>
        <v>0</v>
      </c>
      <c r="L4420">
        <f>Data!F4432</f>
        <v>0</v>
      </c>
      <c r="M4420">
        <f>Data!G4432</f>
        <v>0</v>
      </c>
      <c r="N4420">
        <f>Data!H4432</f>
        <v>0</v>
      </c>
      <c r="O4420">
        <f>Data!I4432</f>
        <v>0</v>
      </c>
      <c r="P4420" s="21">
        <f>Data!J4436</f>
        <v>0</v>
      </c>
      <c r="Q4420">
        <f>Data!K4436</f>
        <v>0</v>
      </c>
      <c r="R4420">
        <f>Data!L4436</f>
        <v>0</v>
      </c>
      <c r="S4420">
        <f>Data!M4436</f>
        <v>0</v>
      </c>
      <c r="T4420">
        <f>Data!N4436</f>
        <v>0</v>
      </c>
      <c r="U4420">
        <f>Data!O4436</f>
        <v>0</v>
      </c>
      <c r="V4420" s="33">
        <f>Data!P4434</f>
        <v>0</v>
      </c>
    </row>
    <row r="4421" spans="7:22" x14ac:dyDescent="0.25">
      <c r="G4421">
        <f>Data!B4433</f>
        <v>0</v>
      </c>
      <c r="H4421" s="21">
        <f>Data!B4433</f>
        <v>0</v>
      </c>
      <c r="I4421" s="21">
        <f>Data!C4433</f>
        <v>0</v>
      </c>
      <c r="J4421">
        <f>Data!D4433</f>
        <v>0</v>
      </c>
      <c r="K4421">
        <f>Data!E4433</f>
        <v>0</v>
      </c>
      <c r="L4421">
        <f>Data!F4433</f>
        <v>0</v>
      </c>
      <c r="M4421">
        <f>Data!G4433</f>
        <v>0</v>
      </c>
      <c r="N4421">
        <f>Data!H4433</f>
        <v>0</v>
      </c>
      <c r="O4421">
        <f>Data!I4433</f>
        <v>0</v>
      </c>
      <c r="P4421" s="21">
        <f>Data!J4437</f>
        <v>0</v>
      </c>
      <c r="Q4421">
        <f>Data!K4437</f>
        <v>0</v>
      </c>
      <c r="R4421">
        <f>Data!L4437</f>
        <v>0</v>
      </c>
      <c r="S4421">
        <f>Data!M4437</f>
        <v>0</v>
      </c>
      <c r="T4421">
        <f>Data!N4437</f>
        <v>0</v>
      </c>
      <c r="U4421">
        <f>Data!O4437</f>
        <v>0</v>
      </c>
      <c r="V4421" s="33">
        <f>Data!P4435</f>
        <v>0</v>
      </c>
    </row>
    <row r="4422" spans="7:22" x14ac:dyDescent="0.25">
      <c r="G4422">
        <f>Data!B4434</f>
        <v>0</v>
      </c>
      <c r="H4422" s="21">
        <f>Data!B4434</f>
        <v>0</v>
      </c>
      <c r="I4422" s="21">
        <f>Data!C4434</f>
        <v>0</v>
      </c>
      <c r="J4422">
        <f>Data!D4434</f>
        <v>0</v>
      </c>
      <c r="K4422">
        <f>Data!E4434</f>
        <v>0</v>
      </c>
      <c r="L4422">
        <f>Data!F4434</f>
        <v>0</v>
      </c>
      <c r="M4422">
        <f>Data!G4434</f>
        <v>0</v>
      </c>
      <c r="N4422">
        <f>Data!H4434</f>
        <v>0</v>
      </c>
      <c r="O4422">
        <f>Data!I4434</f>
        <v>0</v>
      </c>
      <c r="P4422" s="21">
        <f>Data!J4438</f>
        <v>0</v>
      </c>
      <c r="Q4422">
        <f>Data!K4438</f>
        <v>0</v>
      </c>
      <c r="R4422">
        <f>Data!L4438</f>
        <v>0</v>
      </c>
      <c r="S4422">
        <f>Data!M4438</f>
        <v>0</v>
      </c>
      <c r="T4422">
        <f>Data!N4438</f>
        <v>0</v>
      </c>
      <c r="U4422">
        <f>Data!O4438</f>
        <v>0</v>
      </c>
      <c r="V4422" s="33">
        <f>Data!P4436</f>
        <v>0</v>
      </c>
    </row>
    <row r="4423" spans="7:22" x14ac:dyDescent="0.25">
      <c r="G4423">
        <f>Data!B4435</f>
        <v>0</v>
      </c>
      <c r="H4423" s="21">
        <f>Data!B4435</f>
        <v>0</v>
      </c>
      <c r="I4423" s="21">
        <f>Data!C4435</f>
        <v>0</v>
      </c>
      <c r="J4423">
        <f>Data!D4435</f>
        <v>0</v>
      </c>
      <c r="K4423">
        <f>Data!E4435</f>
        <v>0</v>
      </c>
      <c r="L4423">
        <f>Data!F4435</f>
        <v>0</v>
      </c>
      <c r="M4423">
        <f>Data!G4435</f>
        <v>0</v>
      </c>
      <c r="N4423">
        <f>Data!H4435</f>
        <v>0</v>
      </c>
      <c r="O4423">
        <f>Data!I4435</f>
        <v>0</v>
      </c>
      <c r="P4423" s="21">
        <f>Data!J4439</f>
        <v>0</v>
      </c>
      <c r="Q4423">
        <f>Data!K4439</f>
        <v>0</v>
      </c>
      <c r="R4423">
        <f>Data!L4439</f>
        <v>0</v>
      </c>
      <c r="S4423">
        <f>Data!M4439</f>
        <v>0</v>
      </c>
      <c r="T4423">
        <f>Data!N4439</f>
        <v>0</v>
      </c>
      <c r="U4423">
        <f>Data!O4439</f>
        <v>0</v>
      </c>
      <c r="V4423" s="33">
        <f>Data!P4437</f>
        <v>0</v>
      </c>
    </row>
    <row r="4424" spans="7:22" x14ac:dyDescent="0.25">
      <c r="G4424">
        <f>Data!B4436</f>
        <v>0</v>
      </c>
      <c r="H4424" s="21">
        <f>Data!B4436</f>
        <v>0</v>
      </c>
      <c r="I4424" s="21">
        <f>Data!C4436</f>
        <v>0</v>
      </c>
      <c r="J4424">
        <f>Data!D4436</f>
        <v>0</v>
      </c>
      <c r="K4424">
        <f>Data!E4436</f>
        <v>0</v>
      </c>
      <c r="L4424">
        <f>Data!F4436</f>
        <v>0</v>
      </c>
      <c r="M4424">
        <f>Data!G4436</f>
        <v>0</v>
      </c>
      <c r="N4424">
        <f>Data!H4436</f>
        <v>0</v>
      </c>
      <c r="O4424">
        <f>Data!I4436</f>
        <v>0</v>
      </c>
      <c r="P4424" s="21">
        <f>Data!J4440</f>
        <v>0</v>
      </c>
      <c r="Q4424">
        <f>Data!K4440</f>
        <v>0</v>
      </c>
      <c r="R4424">
        <f>Data!L4440</f>
        <v>0</v>
      </c>
      <c r="S4424">
        <f>Data!M4440</f>
        <v>0</v>
      </c>
      <c r="T4424">
        <f>Data!N4440</f>
        <v>0</v>
      </c>
      <c r="U4424">
        <f>Data!O4440</f>
        <v>0</v>
      </c>
      <c r="V4424" s="33">
        <f>Data!P4438</f>
        <v>0</v>
      </c>
    </row>
    <row r="4425" spans="7:22" x14ac:dyDescent="0.25">
      <c r="G4425">
        <f>Data!B4437</f>
        <v>0</v>
      </c>
      <c r="H4425" s="21">
        <f>Data!B4437</f>
        <v>0</v>
      </c>
      <c r="I4425" s="21">
        <f>Data!C4437</f>
        <v>0</v>
      </c>
      <c r="J4425">
        <f>Data!D4437</f>
        <v>0</v>
      </c>
      <c r="K4425">
        <f>Data!E4437</f>
        <v>0</v>
      </c>
      <c r="L4425">
        <f>Data!F4437</f>
        <v>0</v>
      </c>
      <c r="M4425">
        <f>Data!G4437</f>
        <v>0</v>
      </c>
      <c r="N4425">
        <f>Data!H4437</f>
        <v>0</v>
      </c>
      <c r="O4425">
        <f>Data!I4437</f>
        <v>0</v>
      </c>
      <c r="P4425" s="21">
        <f>Data!J4441</f>
        <v>0</v>
      </c>
      <c r="Q4425">
        <f>Data!K4441</f>
        <v>0</v>
      </c>
      <c r="R4425">
        <f>Data!L4441</f>
        <v>0</v>
      </c>
      <c r="S4425">
        <f>Data!M4441</f>
        <v>0</v>
      </c>
      <c r="T4425">
        <f>Data!N4441</f>
        <v>0</v>
      </c>
      <c r="U4425">
        <f>Data!O4441</f>
        <v>0</v>
      </c>
      <c r="V4425" s="33">
        <f>Data!P4439</f>
        <v>0</v>
      </c>
    </row>
    <row r="4426" spans="7:22" x14ac:dyDescent="0.25">
      <c r="G4426">
        <f>Data!B4438</f>
        <v>0</v>
      </c>
      <c r="H4426" s="21">
        <f>Data!B4438</f>
        <v>0</v>
      </c>
      <c r="I4426" s="21">
        <f>Data!C4438</f>
        <v>0</v>
      </c>
      <c r="J4426">
        <f>Data!D4438</f>
        <v>0</v>
      </c>
      <c r="K4426">
        <f>Data!E4438</f>
        <v>0</v>
      </c>
      <c r="L4426">
        <f>Data!F4438</f>
        <v>0</v>
      </c>
      <c r="M4426">
        <f>Data!G4438</f>
        <v>0</v>
      </c>
      <c r="N4426">
        <f>Data!H4438</f>
        <v>0</v>
      </c>
      <c r="O4426">
        <f>Data!I4438</f>
        <v>0</v>
      </c>
      <c r="P4426" s="21">
        <f>Data!J4442</f>
        <v>0</v>
      </c>
      <c r="Q4426">
        <f>Data!K4442</f>
        <v>0</v>
      </c>
      <c r="R4426">
        <f>Data!L4442</f>
        <v>0</v>
      </c>
      <c r="S4426">
        <f>Data!M4442</f>
        <v>0</v>
      </c>
      <c r="T4426">
        <f>Data!N4442</f>
        <v>0</v>
      </c>
      <c r="U4426">
        <f>Data!O4442</f>
        <v>0</v>
      </c>
      <c r="V4426" s="33">
        <f>Data!P4440</f>
        <v>0</v>
      </c>
    </row>
    <row r="4427" spans="7:22" x14ac:dyDescent="0.25">
      <c r="G4427">
        <f>Data!B4439</f>
        <v>0</v>
      </c>
      <c r="H4427" s="21">
        <f>Data!B4439</f>
        <v>0</v>
      </c>
      <c r="I4427" s="21">
        <f>Data!C4439</f>
        <v>0</v>
      </c>
      <c r="J4427">
        <f>Data!D4439</f>
        <v>0</v>
      </c>
      <c r="K4427">
        <f>Data!E4439</f>
        <v>0</v>
      </c>
      <c r="L4427">
        <f>Data!F4439</f>
        <v>0</v>
      </c>
      <c r="M4427">
        <f>Data!G4439</f>
        <v>0</v>
      </c>
      <c r="N4427">
        <f>Data!H4439</f>
        <v>0</v>
      </c>
      <c r="O4427">
        <f>Data!I4439</f>
        <v>0</v>
      </c>
      <c r="P4427" s="21">
        <f>Data!J4443</f>
        <v>0</v>
      </c>
      <c r="Q4427">
        <f>Data!K4443</f>
        <v>0</v>
      </c>
      <c r="R4427">
        <f>Data!L4443</f>
        <v>0</v>
      </c>
      <c r="S4427">
        <f>Data!M4443</f>
        <v>0</v>
      </c>
      <c r="T4427">
        <f>Data!N4443</f>
        <v>0</v>
      </c>
      <c r="U4427">
        <f>Data!O4443</f>
        <v>0</v>
      </c>
      <c r="V4427" s="33">
        <f>Data!P4441</f>
        <v>0</v>
      </c>
    </row>
    <row r="4428" spans="7:22" x14ac:dyDescent="0.25">
      <c r="G4428">
        <f>Data!B4440</f>
        <v>0</v>
      </c>
      <c r="H4428" s="21">
        <f>Data!B4440</f>
        <v>0</v>
      </c>
      <c r="I4428" s="21">
        <f>Data!C4440</f>
        <v>0</v>
      </c>
      <c r="J4428">
        <f>Data!D4440</f>
        <v>0</v>
      </c>
      <c r="K4428">
        <f>Data!E4440</f>
        <v>0</v>
      </c>
      <c r="L4428">
        <f>Data!F4440</f>
        <v>0</v>
      </c>
      <c r="M4428">
        <f>Data!G4440</f>
        <v>0</v>
      </c>
      <c r="N4428">
        <f>Data!H4440</f>
        <v>0</v>
      </c>
      <c r="O4428">
        <f>Data!I4440</f>
        <v>0</v>
      </c>
      <c r="P4428" s="21">
        <f>Data!J4444</f>
        <v>0</v>
      </c>
      <c r="Q4428">
        <f>Data!K4444</f>
        <v>0</v>
      </c>
      <c r="R4428">
        <f>Data!L4444</f>
        <v>0</v>
      </c>
      <c r="S4428">
        <f>Data!M4444</f>
        <v>0</v>
      </c>
      <c r="T4428">
        <f>Data!N4444</f>
        <v>0</v>
      </c>
      <c r="U4428">
        <f>Data!O4444</f>
        <v>0</v>
      </c>
      <c r="V4428" s="33">
        <f>Data!P4442</f>
        <v>0</v>
      </c>
    </row>
    <row r="4429" spans="7:22" x14ac:dyDescent="0.25">
      <c r="G4429">
        <f>Data!B4441</f>
        <v>0</v>
      </c>
      <c r="H4429" s="21">
        <f>Data!B4441</f>
        <v>0</v>
      </c>
      <c r="I4429" s="21">
        <f>Data!C4441</f>
        <v>0</v>
      </c>
      <c r="J4429">
        <f>Data!D4441</f>
        <v>0</v>
      </c>
      <c r="K4429">
        <f>Data!E4441</f>
        <v>0</v>
      </c>
      <c r="L4429">
        <f>Data!F4441</f>
        <v>0</v>
      </c>
      <c r="M4429">
        <f>Data!G4441</f>
        <v>0</v>
      </c>
      <c r="N4429">
        <f>Data!H4441</f>
        <v>0</v>
      </c>
      <c r="O4429">
        <f>Data!I4441</f>
        <v>0</v>
      </c>
      <c r="P4429" s="21">
        <f>Data!J4445</f>
        <v>0</v>
      </c>
      <c r="Q4429">
        <f>Data!K4445</f>
        <v>0</v>
      </c>
      <c r="R4429">
        <f>Data!L4445</f>
        <v>0</v>
      </c>
      <c r="S4429">
        <f>Data!M4445</f>
        <v>0</v>
      </c>
      <c r="T4429">
        <f>Data!N4445</f>
        <v>0</v>
      </c>
      <c r="U4429">
        <f>Data!O4445</f>
        <v>0</v>
      </c>
      <c r="V4429" s="33">
        <f>Data!P4443</f>
        <v>0</v>
      </c>
    </row>
    <row r="4430" spans="7:22" x14ac:dyDescent="0.25">
      <c r="G4430">
        <f>Data!B4442</f>
        <v>0</v>
      </c>
      <c r="H4430" s="21">
        <f>Data!B4442</f>
        <v>0</v>
      </c>
      <c r="I4430" s="21">
        <f>Data!C4442</f>
        <v>0</v>
      </c>
      <c r="J4430">
        <f>Data!D4442</f>
        <v>0</v>
      </c>
      <c r="K4430">
        <f>Data!E4442</f>
        <v>0</v>
      </c>
      <c r="L4430">
        <f>Data!F4442</f>
        <v>0</v>
      </c>
      <c r="M4430">
        <f>Data!G4442</f>
        <v>0</v>
      </c>
      <c r="N4430">
        <f>Data!H4442</f>
        <v>0</v>
      </c>
      <c r="O4430">
        <f>Data!I4442</f>
        <v>0</v>
      </c>
      <c r="P4430" s="21">
        <f>Data!J4446</f>
        <v>0</v>
      </c>
      <c r="Q4430">
        <f>Data!K4446</f>
        <v>0</v>
      </c>
      <c r="R4430">
        <f>Data!L4446</f>
        <v>0</v>
      </c>
      <c r="S4430">
        <f>Data!M4446</f>
        <v>0</v>
      </c>
      <c r="T4430">
        <f>Data!N4446</f>
        <v>0</v>
      </c>
      <c r="U4430">
        <f>Data!O4446</f>
        <v>0</v>
      </c>
      <c r="V4430" s="33">
        <f>Data!P4444</f>
        <v>0</v>
      </c>
    </row>
    <row r="4431" spans="7:22" x14ac:dyDescent="0.25">
      <c r="G4431">
        <f>Data!B4443</f>
        <v>0</v>
      </c>
      <c r="H4431" s="21">
        <f>Data!B4443</f>
        <v>0</v>
      </c>
      <c r="I4431" s="21">
        <f>Data!C4443</f>
        <v>0</v>
      </c>
      <c r="J4431">
        <f>Data!D4443</f>
        <v>0</v>
      </c>
      <c r="K4431">
        <f>Data!E4443</f>
        <v>0</v>
      </c>
      <c r="L4431">
        <f>Data!F4443</f>
        <v>0</v>
      </c>
      <c r="M4431">
        <f>Data!G4443</f>
        <v>0</v>
      </c>
      <c r="N4431">
        <f>Data!H4443</f>
        <v>0</v>
      </c>
      <c r="O4431">
        <f>Data!I4443</f>
        <v>0</v>
      </c>
      <c r="P4431" s="21">
        <f>Data!J4447</f>
        <v>0</v>
      </c>
      <c r="Q4431">
        <f>Data!K4447</f>
        <v>0</v>
      </c>
      <c r="R4431">
        <f>Data!L4447</f>
        <v>0</v>
      </c>
      <c r="S4431">
        <f>Data!M4447</f>
        <v>0</v>
      </c>
      <c r="T4431">
        <f>Data!N4447</f>
        <v>0</v>
      </c>
      <c r="U4431">
        <f>Data!O4447</f>
        <v>0</v>
      </c>
      <c r="V4431" s="33">
        <f>Data!P4445</f>
        <v>0</v>
      </c>
    </row>
    <row r="4432" spans="7:22" x14ac:dyDescent="0.25">
      <c r="G4432">
        <f>Data!B4444</f>
        <v>0</v>
      </c>
      <c r="H4432" s="21">
        <f>Data!B4444</f>
        <v>0</v>
      </c>
      <c r="I4432" s="21">
        <f>Data!C4444</f>
        <v>0</v>
      </c>
      <c r="J4432">
        <f>Data!D4444</f>
        <v>0</v>
      </c>
      <c r="K4432">
        <f>Data!E4444</f>
        <v>0</v>
      </c>
      <c r="L4432">
        <f>Data!F4444</f>
        <v>0</v>
      </c>
      <c r="M4432">
        <f>Data!G4444</f>
        <v>0</v>
      </c>
      <c r="N4432">
        <f>Data!H4444</f>
        <v>0</v>
      </c>
      <c r="O4432">
        <f>Data!I4444</f>
        <v>0</v>
      </c>
      <c r="P4432" s="21">
        <f>Data!J4448</f>
        <v>0</v>
      </c>
      <c r="Q4432">
        <f>Data!K4448</f>
        <v>0</v>
      </c>
      <c r="R4432">
        <f>Data!L4448</f>
        <v>0</v>
      </c>
      <c r="S4432">
        <f>Data!M4448</f>
        <v>0</v>
      </c>
      <c r="T4432">
        <f>Data!N4448</f>
        <v>0</v>
      </c>
      <c r="U4432">
        <f>Data!O4448</f>
        <v>0</v>
      </c>
      <c r="V4432" s="33">
        <f>Data!P4446</f>
        <v>0</v>
      </c>
    </row>
    <row r="4433" spans="7:22" x14ac:dyDescent="0.25">
      <c r="G4433">
        <f>Data!B4445</f>
        <v>0</v>
      </c>
      <c r="H4433" s="21">
        <f>Data!B4445</f>
        <v>0</v>
      </c>
      <c r="I4433" s="21">
        <f>Data!C4445</f>
        <v>0</v>
      </c>
      <c r="J4433">
        <f>Data!D4445</f>
        <v>0</v>
      </c>
      <c r="K4433">
        <f>Data!E4445</f>
        <v>0</v>
      </c>
      <c r="L4433">
        <f>Data!F4445</f>
        <v>0</v>
      </c>
      <c r="M4433">
        <f>Data!G4445</f>
        <v>0</v>
      </c>
      <c r="N4433">
        <f>Data!H4445</f>
        <v>0</v>
      </c>
      <c r="O4433">
        <f>Data!I4445</f>
        <v>0</v>
      </c>
      <c r="P4433" s="21">
        <f>Data!J4449</f>
        <v>0</v>
      </c>
      <c r="Q4433">
        <f>Data!K4449</f>
        <v>0</v>
      </c>
      <c r="R4433">
        <f>Data!L4449</f>
        <v>0</v>
      </c>
      <c r="S4433">
        <f>Data!M4449</f>
        <v>0</v>
      </c>
      <c r="T4433">
        <f>Data!N4449</f>
        <v>0</v>
      </c>
      <c r="U4433">
        <f>Data!O4449</f>
        <v>0</v>
      </c>
      <c r="V4433" s="33">
        <f>Data!P4447</f>
        <v>0</v>
      </c>
    </row>
    <row r="4434" spans="7:22" x14ac:dyDescent="0.25">
      <c r="G4434">
        <f>Data!B4446</f>
        <v>0</v>
      </c>
      <c r="H4434" s="21">
        <f>Data!B4446</f>
        <v>0</v>
      </c>
      <c r="I4434" s="21">
        <f>Data!C4446</f>
        <v>0</v>
      </c>
      <c r="J4434">
        <f>Data!D4446</f>
        <v>0</v>
      </c>
      <c r="K4434">
        <f>Data!E4446</f>
        <v>0</v>
      </c>
      <c r="L4434">
        <f>Data!F4446</f>
        <v>0</v>
      </c>
      <c r="M4434">
        <f>Data!G4446</f>
        <v>0</v>
      </c>
      <c r="N4434">
        <f>Data!H4446</f>
        <v>0</v>
      </c>
      <c r="O4434">
        <f>Data!I4446</f>
        <v>0</v>
      </c>
      <c r="P4434" s="21">
        <f>Data!J4450</f>
        <v>0</v>
      </c>
      <c r="Q4434">
        <f>Data!K4450</f>
        <v>0</v>
      </c>
      <c r="R4434">
        <f>Data!L4450</f>
        <v>0</v>
      </c>
      <c r="S4434">
        <f>Data!M4450</f>
        <v>0</v>
      </c>
      <c r="T4434">
        <f>Data!N4450</f>
        <v>0</v>
      </c>
      <c r="U4434">
        <f>Data!O4450</f>
        <v>0</v>
      </c>
      <c r="V4434" s="33">
        <f>Data!P4448</f>
        <v>0</v>
      </c>
    </row>
    <row r="4435" spans="7:22" x14ac:dyDescent="0.25">
      <c r="G4435">
        <f>Data!B4447</f>
        <v>0</v>
      </c>
      <c r="H4435" s="21">
        <f>Data!B4447</f>
        <v>0</v>
      </c>
      <c r="I4435" s="21">
        <f>Data!C4447</f>
        <v>0</v>
      </c>
      <c r="J4435">
        <f>Data!D4447</f>
        <v>0</v>
      </c>
      <c r="K4435">
        <f>Data!E4447</f>
        <v>0</v>
      </c>
      <c r="L4435">
        <f>Data!F4447</f>
        <v>0</v>
      </c>
      <c r="M4435">
        <f>Data!G4447</f>
        <v>0</v>
      </c>
      <c r="N4435">
        <f>Data!H4447</f>
        <v>0</v>
      </c>
      <c r="O4435">
        <f>Data!I4447</f>
        <v>0</v>
      </c>
      <c r="P4435" s="21">
        <f>Data!J4451</f>
        <v>0</v>
      </c>
      <c r="Q4435">
        <f>Data!K4451</f>
        <v>0</v>
      </c>
      <c r="R4435">
        <f>Data!L4451</f>
        <v>0</v>
      </c>
      <c r="S4435">
        <f>Data!M4451</f>
        <v>0</v>
      </c>
      <c r="T4435">
        <f>Data!N4451</f>
        <v>0</v>
      </c>
      <c r="U4435">
        <f>Data!O4451</f>
        <v>0</v>
      </c>
      <c r="V4435" s="33">
        <f>Data!P4449</f>
        <v>0</v>
      </c>
    </row>
    <row r="4436" spans="7:22" x14ac:dyDescent="0.25">
      <c r="G4436">
        <f>Data!B4448</f>
        <v>0</v>
      </c>
      <c r="H4436" s="21">
        <f>Data!B4448</f>
        <v>0</v>
      </c>
      <c r="I4436" s="21">
        <f>Data!C4448</f>
        <v>0</v>
      </c>
      <c r="J4436">
        <f>Data!D4448</f>
        <v>0</v>
      </c>
      <c r="K4436">
        <f>Data!E4448</f>
        <v>0</v>
      </c>
      <c r="L4436">
        <f>Data!F4448</f>
        <v>0</v>
      </c>
      <c r="M4436">
        <f>Data!G4448</f>
        <v>0</v>
      </c>
      <c r="N4436">
        <f>Data!H4448</f>
        <v>0</v>
      </c>
      <c r="O4436">
        <f>Data!I4448</f>
        <v>0</v>
      </c>
      <c r="P4436" s="21">
        <f>Data!J4452</f>
        <v>0</v>
      </c>
      <c r="Q4436">
        <f>Data!K4452</f>
        <v>0</v>
      </c>
      <c r="R4436">
        <f>Data!L4452</f>
        <v>0</v>
      </c>
      <c r="S4436">
        <f>Data!M4452</f>
        <v>0</v>
      </c>
      <c r="T4436">
        <f>Data!N4452</f>
        <v>0</v>
      </c>
      <c r="U4436">
        <f>Data!O4452</f>
        <v>0</v>
      </c>
      <c r="V4436" s="33">
        <f>Data!P4450</f>
        <v>0</v>
      </c>
    </row>
    <row r="4437" spans="7:22" x14ac:dyDescent="0.25">
      <c r="G4437">
        <f>Data!B4449</f>
        <v>0</v>
      </c>
      <c r="H4437" s="21">
        <f>Data!B4449</f>
        <v>0</v>
      </c>
      <c r="I4437" s="21">
        <f>Data!C4449</f>
        <v>0</v>
      </c>
      <c r="J4437">
        <f>Data!D4449</f>
        <v>0</v>
      </c>
      <c r="K4437">
        <f>Data!E4449</f>
        <v>0</v>
      </c>
      <c r="L4437">
        <f>Data!F4449</f>
        <v>0</v>
      </c>
      <c r="M4437">
        <f>Data!G4449</f>
        <v>0</v>
      </c>
      <c r="N4437">
        <f>Data!H4449</f>
        <v>0</v>
      </c>
      <c r="O4437">
        <f>Data!I4449</f>
        <v>0</v>
      </c>
      <c r="P4437" s="21">
        <f>Data!J4453</f>
        <v>0</v>
      </c>
      <c r="Q4437">
        <f>Data!K4453</f>
        <v>0</v>
      </c>
      <c r="R4437">
        <f>Data!L4453</f>
        <v>0</v>
      </c>
      <c r="S4437">
        <f>Data!M4453</f>
        <v>0</v>
      </c>
      <c r="T4437">
        <f>Data!N4453</f>
        <v>0</v>
      </c>
      <c r="U4437">
        <f>Data!O4453</f>
        <v>0</v>
      </c>
      <c r="V4437" s="33">
        <f>Data!P4451</f>
        <v>0</v>
      </c>
    </row>
    <row r="4438" spans="7:22" x14ac:dyDescent="0.25">
      <c r="G4438">
        <f>Data!B4450</f>
        <v>0</v>
      </c>
      <c r="H4438" s="21">
        <f>Data!B4450</f>
        <v>0</v>
      </c>
      <c r="I4438" s="21">
        <f>Data!C4450</f>
        <v>0</v>
      </c>
      <c r="J4438">
        <f>Data!D4450</f>
        <v>0</v>
      </c>
      <c r="K4438">
        <f>Data!E4450</f>
        <v>0</v>
      </c>
      <c r="L4438">
        <f>Data!F4450</f>
        <v>0</v>
      </c>
      <c r="M4438">
        <f>Data!G4450</f>
        <v>0</v>
      </c>
      <c r="N4438">
        <f>Data!H4450</f>
        <v>0</v>
      </c>
      <c r="O4438">
        <f>Data!I4450</f>
        <v>0</v>
      </c>
      <c r="P4438" s="21">
        <f>Data!J4454</f>
        <v>0</v>
      </c>
      <c r="Q4438">
        <f>Data!K4454</f>
        <v>0</v>
      </c>
      <c r="R4438">
        <f>Data!L4454</f>
        <v>0</v>
      </c>
      <c r="S4438">
        <f>Data!M4454</f>
        <v>0</v>
      </c>
      <c r="T4438">
        <f>Data!N4454</f>
        <v>0</v>
      </c>
      <c r="U4438">
        <f>Data!O4454</f>
        <v>0</v>
      </c>
      <c r="V4438" s="33">
        <f>Data!P4452</f>
        <v>0</v>
      </c>
    </row>
    <row r="4439" spans="7:22" x14ac:dyDescent="0.25">
      <c r="G4439">
        <f>Data!B4451</f>
        <v>0</v>
      </c>
      <c r="H4439" s="21">
        <f>Data!B4451</f>
        <v>0</v>
      </c>
      <c r="I4439" s="21">
        <f>Data!C4451</f>
        <v>0</v>
      </c>
      <c r="J4439">
        <f>Data!D4451</f>
        <v>0</v>
      </c>
      <c r="K4439">
        <f>Data!E4451</f>
        <v>0</v>
      </c>
      <c r="L4439">
        <f>Data!F4451</f>
        <v>0</v>
      </c>
      <c r="M4439">
        <f>Data!G4451</f>
        <v>0</v>
      </c>
      <c r="N4439">
        <f>Data!H4451</f>
        <v>0</v>
      </c>
      <c r="O4439">
        <f>Data!I4451</f>
        <v>0</v>
      </c>
      <c r="P4439" s="21">
        <f>Data!J4455</f>
        <v>0</v>
      </c>
      <c r="Q4439">
        <f>Data!K4455</f>
        <v>0</v>
      </c>
      <c r="R4439">
        <f>Data!L4455</f>
        <v>0</v>
      </c>
      <c r="S4439">
        <f>Data!M4455</f>
        <v>0</v>
      </c>
      <c r="T4439">
        <f>Data!N4455</f>
        <v>0</v>
      </c>
      <c r="U4439">
        <f>Data!O4455</f>
        <v>0</v>
      </c>
      <c r="V4439" s="33">
        <f>Data!P4453</f>
        <v>0</v>
      </c>
    </row>
    <row r="4440" spans="7:22" x14ac:dyDescent="0.25">
      <c r="G4440">
        <f>Data!B4452</f>
        <v>0</v>
      </c>
      <c r="H4440" s="21">
        <f>Data!B4452</f>
        <v>0</v>
      </c>
      <c r="I4440" s="21">
        <f>Data!C4452</f>
        <v>0</v>
      </c>
      <c r="J4440">
        <f>Data!D4452</f>
        <v>0</v>
      </c>
      <c r="K4440">
        <f>Data!E4452</f>
        <v>0</v>
      </c>
      <c r="L4440">
        <f>Data!F4452</f>
        <v>0</v>
      </c>
      <c r="M4440">
        <f>Data!G4452</f>
        <v>0</v>
      </c>
      <c r="N4440">
        <f>Data!H4452</f>
        <v>0</v>
      </c>
      <c r="O4440">
        <f>Data!I4452</f>
        <v>0</v>
      </c>
      <c r="P4440" s="21">
        <f>Data!J4456</f>
        <v>0</v>
      </c>
      <c r="Q4440">
        <f>Data!K4456</f>
        <v>0</v>
      </c>
      <c r="R4440">
        <f>Data!L4456</f>
        <v>0</v>
      </c>
      <c r="S4440">
        <f>Data!M4456</f>
        <v>0</v>
      </c>
      <c r="T4440">
        <f>Data!N4456</f>
        <v>0</v>
      </c>
      <c r="U4440">
        <f>Data!O4456</f>
        <v>0</v>
      </c>
      <c r="V4440" s="33">
        <f>Data!P4454</f>
        <v>0</v>
      </c>
    </row>
    <row r="4441" spans="7:22" x14ac:dyDescent="0.25">
      <c r="G4441">
        <f>Data!B4453</f>
        <v>0</v>
      </c>
      <c r="H4441" s="21">
        <f>Data!B4453</f>
        <v>0</v>
      </c>
      <c r="I4441" s="21">
        <f>Data!C4453</f>
        <v>0</v>
      </c>
      <c r="J4441">
        <f>Data!D4453</f>
        <v>0</v>
      </c>
      <c r="K4441">
        <f>Data!E4453</f>
        <v>0</v>
      </c>
      <c r="L4441">
        <f>Data!F4453</f>
        <v>0</v>
      </c>
      <c r="M4441">
        <f>Data!G4453</f>
        <v>0</v>
      </c>
      <c r="N4441">
        <f>Data!H4453</f>
        <v>0</v>
      </c>
      <c r="O4441">
        <f>Data!I4453</f>
        <v>0</v>
      </c>
      <c r="P4441" s="21">
        <f>Data!J4457</f>
        <v>0</v>
      </c>
      <c r="Q4441">
        <f>Data!K4457</f>
        <v>0</v>
      </c>
      <c r="R4441">
        <f>Data!L4457</f>
        <v>0</v>
      </c>
      <c r="S4441">
        <f>Data!M4457</f>
        <v>0</v>
      </c>
      <c r="T4441">
        <f>Data!N4457</f>
        <v>0</v>
      </c>
      <c r="U4441">
        <f>Data!O4457</f>
        <v>0</v>
      </c>
      <c r="V4441" s="33">
        <f>Data!P4455</f>
        <v>0</v>
      </c>
    </row>
    <row r="4442" spans="7:22" x14ac:dyDescent="0.25">
      <c r="G4442">
        <f>Data!B4454</f>
        <v>0</v>
      </c>
      <c r="H4442" s="21">
        <f>Data!B4454</f>
        <v>0</v>
      </c>
      <c r="I4442" s="21">
        <f>Data!C4454</f>
        <v>0</v>
      </c>
      <c r="J4442">
        <f>Data!D4454</f>
        <v>0</v>
      </c>
      <c r="K4442">
        <f>Data!E4454</f>
        <v>0</v>
      </c>
      <c r="L4442">
        <f>Data!F4454</f>
        <v>0</v>
      </c>
      <c r="M4442">
        <f>Data!G4454</f>
        <v>0</v>
      </c>
      <c r="N4442">
        <f>Data!H4454</f>
        <v>0</v>
      </c>
      <c r="O4442">
        <f>Data!I4454</f>
        <v>0</v>
      </c>
      <c r="P4442" s="21">
        <f>Data!J4458</f>
        <v>0</v>
      </c>
      <c r="Q4442">
        <f>Data!K4458</f>
        <v>0</v>
      </c>
      <c r="R4442">
        <f>Data!L4458</f>
        <v>0</v>
      </c>
      <c r="S4442">
        <f>Data!M4458</f>
        <v>0</v>
      </c>
      <c r="T4442">
        <f>Data!N4458</f>
        <v>0</v>
      </c>
      <c r="U4442">
        <f>Data!O4458</f>
        <v>0</v>
      </c>
      <c r="V4442" s="33">
        <f>Data!P4456</f>
        <v>0</v>
      </c>
    </row>
    <row r="4443" spans="7:22" x14ac:dyDescent="0.25">
      <c r="G4443">
        <f>Data!B4455</f>
        <v>0</v>
      </c>
      <c r="H4443" s="21">
        <f>Data!B4455</f>
        <v>0</v>
      </c>
      <c r="I4443" s="21">
        <f>Data!C4455</f>
        <v>0</v>
      </c>
      <c r="J4443">
        <f>Data!D4455</f>
        <v>0</v>
      </c>
      <c r="K4443">
        <f>Data!E4455</f>
        <v>0</v>
      </c>
      <c r="L4443">
        <f>Data!F4455</f>
        <v>0</v>
      </c>
      <c r="M4443">
        <f>Data!G4455</f>
        <v>0</v>
      </c>
      <c r="N4443">
        <f>Data!H4455</f>
        <v>0</v>
      </c>
      <c r="O4443">
        <f>Data!I4455</f>
        <v>0</v>
      </c>
      <c r="P4443" s="21">
        <f>Data!J4459</f>
        <v>0</v>
      </c>
      <c r="Q4443">
        <f>Data!K4459</f>
        <v>0</v>
      </c>
      <c r="R4443">
        <f>Data!L4459</f>
        <v>0</v>
      </c>
      <c r="S4443">
        <f>Data!M4459</f>
        <v>0</v>
      </c>
      <c r="T4443">
        <f>Data!N4459</f>
        <v>0</v>
      </c>
      <c r="U4443">
        <f>Data!O4459</f>
        <v>0</v>
      </c>
      <c r="V4443" s="33">
        <f>Data!P4457</f>
        <v>0</v>
      </c>
    </row>
    <row r="4444" spans="7:22" x14ac:dyDescent="0.25">
      <c r="G4444">
        <f>Data!B4456</f>
        <v>0</v>
      </c>
      <c r="H4444" s="21">
        <f>Data!B4456</f>
        <v>0</v>
      </c>
      <c r="I4444" s="21">
        <f>Data!C4456</f>
        <v>0</v>
      </c>
      <c r="J4444">
        <f>Data!D4456</f>
        <v>0</v>
      </c>
      <c r="K4444">
        <f>Data!E4456</f>
        <v>0</v>
      </c>
      <c r="L4444">
        <f>Data!F4456</f>
        <v>0</v>
      </c>
      <c r="M4444">
        <f>Data!G4456</f>
        <v>0</v>
      </c>
      <c r="N4444">
        <f>Data!H4456</f>
        <v>0</v>
      </c>
      <c r="O4444">
        <f>Data!I4456</f>
        <v>0</v>
      </c>
      <c r="P4444" s="21">
        <f>Data!J4460</f>
        <v>0</v>
      </c>
      <c r="Q4444">
        <f>Data!K4460</f>
        <v>0</v>
      </c>
      <c r="R4444">
        <f>Data!L4460</f>
        <v>0</v>
      </c>
      <c r="S4444">
        <f>Data!M4460</f>
        <v>0</v>
      </c>
      <c r="T4444">
        <f>Data!N4460</f>
        <v>0</v>
      </c>
      <c r="U4444">
        <f>Data!O4460</f>
        <v>0</v>
      </c>
      <c r="V4444" s="33">
        <f>Data!P4458</f>
        <v>0</v>
      </c>
    </row>
    <row r="4445" spans="7:22" x14ac:dyDescent="0.25">
      <c r="G4445">
        <f>Data!B4457</f>
        <v>0</v>
      </c>
      <c r="H4445" s="21">
        <f>Data!B4457</f>
        <v>0</v>
      </c>
      <c r="I4445" s="21">
        <f>Data!C4457</f>
        <v>0</v>
      </c>
      <c r="J4445">
        <f>Data!D4457</f>
        <v>0</v>
      </c>
      <c r="K4445">
        <f>Data!E4457</f>
        <v>0</v>
      </c>
      <c r="L4445">
        <f>Data!F4457</f>
        <v>0</v>
      </c>
      <c r="M4445">
        <f>Data!G4457</f>
        <v>0</v>
      </c>
      <c r="N4445">
        <f>Data!H4457</f>
        <v>0</v>
      </c>
      <c r="O4445">
        <f>Data!I4457</f>
        <v>0</v>
      </c>
      <c r="P4445" s="21">
        <f>Data!J4461</f>
        <v>0</v>
      </c>
      <c r="Q4445">
        <f>Data!K4461</f>
        <v>0</v>
      </c>
      <c r="R4445">
        <f>Data!L4461</f>
        <v>0</v>
      </c>
      <c r="S4445">
        <f>Data!M4461</f>
        <v>0</v>
      </c>
      <c r="T4445">
        <f>Data!N4461</f>
        <v>0</v>
      </c>
      <c r="U4445">
        <f>Data!O4461</f>
        <v>0</v>
      </c>
      <c r="V4445" s="33">
        <f>Data!P4459</f>
        <v>0</v>
      </c>
    </row>
    <row r="4446" spans="7:22" x14ac:dyDescent="0.25">
      <c r="G4446">
        <f>Data!B4458</f>
        <v>0</v>
      </c>
      <c r="H4446" s="21">
        <f>Data!B4458</f>
        <v>0</v>
      </c>
      <c r="I4446" s="21">
        <f>Data!C4458</f>
        <v>0</v>
      </c>
      <c r="J4446">
        <f>Data!D4458</f>
        <v>0</v>
      </c>
      <c r="K4446">
        <f>Data!E4458</f>
        <v>0</v>
      </c>
      <c r="L4446">
        <f>Data!F4458</f>
        <v>0</v>
      </c>
      <c r="M4446">
        <f>Data!G4458</f>
        <v>0</v>
      </c>
      <c r="N4446">
        <f>Data!H4458</f>
        <v>0</v>
      </c>
      <c r="O4446">
        <f>Data!I4458</f>
        <v>0</v>
      </c>
      <c r="P4446" s="21">
        <f>Data!J4462</f>
        <v>0</v>
      </c>
      <c r="Q4446">
        <f>Data!K4462</f>
        <v>0</v>
      </c>
      <c r="R4446">
        <f>Data!L4462</f>
        <v>0</v>
      </c>
      <c r="S4446">
        <f>Data!M4462</f>
        <v>0</v>
      </c>
      <c r="T4446">
        <f>Data!N4462</f>
        <v>0</v>
      </c>
      <c r="U4446">
        <f>Data!O4462</f>
        <v>0</v>
      </c>
      <c r="V4446" s="33">
        <f>Data!P4460</f>
        <v>0</v>
      </c>
    </row>
    <row r="4447" spans="7:22" x14ac:dyDescent="0.25">
      <c r="G4447">
        <f>Data!B4459</f>
        <v>0</v>
      </c>
      <c r="H4447" s="21">
        <f>Data!B4459</f>
        <v>0</v>
      </c>
      <c r="I4447" s="21">
        <f>Data!C4459</f>
        <v>0</v>
      </c>
      <c r="J4447">
        <f>Data!D4459</f>
        <v>0</v>
      </c>
      <c r="K4447">
        <f>Data!E4459</f>
        <v>0</v>
      </c>
      <c r="L4447">
        <f>Data!F4459</f>
        <v>0</v>
      </c>
      <c r="M4447">
        <f>Data!G4459</f>
        <v>0</v>
      </c>
      <c r="N4447">
        <f>Data!H4459</f>
        <v>0</v>
      </c>
      <c r="O4447">
        <f>Data!I4459</f>
        <v>0</v>
      </c>
      <c r="P4447" s="21">
        <f>Data!J4463</f>
        <v>0</v>
      </c>
      <c r="Q4447">
        <f>Data!K4463</f>
        <v>0</v>
      </c>
      <c r="R4447">
        <f>Data!L4463</f>
        <v>0</v>
      </c>
      <c r="S4447">
        <f>Data!M4463</f>
        <v>0</v>
      </c>
      <c r="T4447">
        <f>Data!N4463</f>
        <v>0</v>
      </c>
      <c r="U4447">
        <f>Data!O4463</f>
        <v>0</v>
      </c>
      <c r="V4447" s="33">
        <f>Data!P4461</f>
        <v>0</v>
      </c>
    </row>
    <row r="4448" spans="7:22" x14ac:dyDescent="0.25">
      <c r="G4448">
        <f>Data!B4460</f>
        <v>0</v>
      </c>
      <c r="H4448" s="21">
        <f>Data!B4460</f>
        <v>0</v>
      </c>
      <c r="I4448" s="21">
        <f>Data!C4460</f>
        <v>0</v>
      </c>
      <c r="J4448">
        <f>Data!D4460</f>
        <v>0</v>
      </c>
      <c r="K4448">
        <f>Data!E4460</f>
        <v>0</v>
      </c>
      <c r="L4448">
        <f>Data!F4460</f>
        <v>0</v>
      </c>
      <c r="M4448">
        <f>Data!G4460</f>
        <v>0</v>
      </c>
      <c r="N4448">
        <f>Data!H4460</f>
        <v>0</v>
      </c>
      <c r="O4448">
        <f>Data!I4460</f>
        <v>0</v>
      </c>
      <c r="P4448" s="21">
        <f>Data!J4464</f>
        <v>0</v>
      </c>
      <c r="Q4448">
        <f>Data!K4464</f>
        <v>0</v>
      </c>
      <c r="R4448">
        <f>Data!L4464</f>
        <v>0</v>
      </c>
      <c r="S4448">
        <f>Data!M4464</f>
        <v>0</v>
      </c>
      <c r="T4448">
        <f>Data!N4464</f>
        <v>0</v>
      </c>
      <c r="U4448">
        <f>Data!O4464</f>
        <v>0</v>
      </c>
      <c r="V4448" s="33">
        <f>Data!P4462</f>
        <v>0</v>
      </c>
    </row>
    <row r="4449" spans="7:22" x14ac:dyDescent="0.25">
      <c r="G4449">
        <f>Data!B4461</f>
        <v>0</v>
      </c>
      <c r="H4449" s="21">
        <f>Data!B4461</f>
        <v>0</v>
      </c>
      <c r="I4449" s="21">
        <f>Data!C4461</f>
        <v>0</v>
      </c>
      <c r="J4449">
        <f>Data!D4461</f>
        <v>0</v>
      </c>
      <c r="K4449">
        <f>Data!E4461</f>
        <v>0</v>
      </c>
      <c r="L4449">
        <f>Data!F4461</f>
        <v>0</v>
      </c>
      <c r="M4449">
        <f>Data!G4461</f>
        <v>0</v>
      </c>
      <c r="N4449">
        <f>Data!H4461</f>
        <v>0</v>
      </c>
      <c r="O4449">
        <f>Data!I4461</f>
        <v>0</v>
      </c>
      <c r="P4449" s="21">
        <f>Data!J4465</f>
        <v>0</v>
      </c>
      <c r="Q4449">
        <f>Data!K4465</f>
        <v>0</v>
      </c>
      <c r="R4449">
        <f>Data!L4465</f>
        <v>0</v>
      </c>
      <c r="S4449">
        <f>Data!M4465</f>
        <v>0</v>
      </c>
      <c r="T4449">
        <f>Data!N4465</f>
        <v>0</v>
      </c>
      <c r="U4449">
        <f>Data!O4465</f>
        <v>0</v>
      </c>
      <c r="V4449" s="33">
        <f>Data!P4463</f>
        <v>0</v>
      </c>
    </row>
    <row r="4450" spans="7:22" x14ac:dyDescent="0.25">
      <c r="G4450">
        <f>Data!B4462</f>
        <v>0</v>
      </c>
      <c r="H4450" s="21">
        <f>Data!B4462</f>
        <v>0</v>
      </c>
      <c r="I4450" s="21">
        <f>Data!C4462</f>
        <v>0</v>
      </c>
      <c r="J4450">
        <f>Data!D4462</f>
        <v>0</v>
      </c>
      <c r="K4450">
        <f>Data!E4462</f>
        <v>0</v>
      </c>
      <c r="L4450">
        <f>Data!F4462</f>
        <v>0</v>
      </c>
      <c r="M4450">
        <f>Data!G4462</f>
        <v>0</v>
      </c>
      <c r="N4450">
        <f>Data!H4462</f>
        <v>0</v>
      </c>
      <c r="O4450">
        <f>Data!I4462</f>
        <v>0</v>
      </c>
      <c r="P4450" s="21">
        <f>Data!J4466</f>
        <v>0</v>
      </c>
      <c r="Q4450">
        <f>Data!K4466</f>
        <v>0</v>
      </c>
      <c r="R4450">
        <f>Data!L4466</f>
        <v>0</v>
      </c>
      <c r="S4450">
        <f>Data!M4466</f>
        <v>0</v>
      </c>
      <c r="T4450">
        <f>Data!N4466</f>
        <v>0</v>
      </c>
      <c r="U4450">
        <f>Data!O4466</f>
        <v>0</v>
      </c>
      <c r="V4450" s="33">
        <f>Data!P4464</f>
        <v>0</v>
      </c>
    </row>
    <row r="4451" spans="7:22" x14ac:dyDescent="0.25">
      <c r="G4451">
        <f>Data!B4463</f>
        <v>0</v>
      </c>
      <c r="H4451" s="21">
        <f>Data!B4463</f>
        <v>0</v>
      </c>
      <c r="I4451" s="21">
        <f>Data!C4463</f>
        <v>0</v>
      </c>
      <c r="J4451">
        <f>Data!D4463</f>
        <v>0</v>
      </c>
      <c r="K4451">
        <f>Data!E4463</f>
        <v>0</v>
      </c>
      <c r="L4451">
        <f>Data!F4463</f>
        <v>0</v>
      </c>
      <c r="M4451">
        <f>Data!G4463</f>
        <v>0</v>
      </c>
      <c r="N4451">
        <f>Data!H4463</f>
        <v>0</v>
      </c>
      <c r="O4451">
        <f>Data!I4463</f>
        <v>0</v>
      </c>
      <c r="P4451" s="21">
        <f>Data!J4467</f>
        <v>0</v>
      </c>
      <c r="Q4451">
        <f>Data!K4467</f>
        <v>0</v>
      </c>
      <c r="R4451">
        <f>Data!L4467</f>
        <v>0</v>
      </c>
      <c r="S4451">
        <f>Data!M4467</f>
        <v>0</v>
      </c>
      <c r="T4451">
        <f>Data!N4467</f>
        <v>0</v>
      </c>
      <c r="U4451">
        <f>Data!O4467</f>
        <v>0</v>
      </c>
      <c r="V4451" s="33">
        <f>Data!P4465</f>
        <v>0</v>
      </c>
    </row>
    <row r="4452" spans="7:22" x14ac:dyDescent="0.25">
      <c r="G4452">
        <f>Data!B4464</f>
        <v>0</v>
      </c>
      <c r="H4452" s="21">
        <f>Data!B4464</f>
        <v>0</v>
      </c>
      <c r="I4452" s="21">
        <f>Data!C4464</f>
        <v>0</v>
      </c>
      <c r="J4452">
        <f>Data!D4464</f>
        <v>0</v>
      </c>
      <c r="K4452">
        <f>Data!E4464</f>
        <v>0</v>
      </c>
      <c r="L4452">
        <f>Data!F4464</f>
        <v>0</v>
      </c>
      <c r="M4452">
        <f>Data!G4464</f>
        <v>0</v>
      </c>
      <c r="N4452">
        <f>Data!H4464</f>
        <v>0</v>
      </c>
      <c r="O4452">
        <f>Data!I4464</f>
        <v>0</v>
      </c>
      <c r="P4452" s="21">
        <f>Data!J4468</f>
        <v>0</v>
      </c>
      <c r="Q4452">
        <f>Data!K4468</f>
        <v>0</v>
      </c>
      <c r="R4452">
        <f>Data!L4468</f>
        <v>0</v>
      </c>
      <c r="S4452">
        <f>Data!M4468</f>
        <v>0</v>
      </c>
      <c r="T4452">
        <f>Data!N4468</f>
        <v>0</v>
      </c>
      <c r="U4452">
        <f>Data!O4468</f>
        <v>0</v>
      </c>
      <c r="V4452" s="33">
        <f>Data!P4466</f>
        <v>0</v>
      </c>
    </row>
    <row r="4453" spans="7:22" x14ac:dyDescent="0.25">
      <c r="G4453">
        <f>Data!B4465</f>
        <v>0</v>
      </c>
      <c r="H4453" s="21">
        <f>Data!B4465</f>
        <v>0</v>
      </c>
      <c r="I4453" s="21">
        <f>Data!C4465</f>
        <v>0</v>
      </c>
      <c r="J4453">
        <f>Data!D4465</f>
        <v>0</v>
      </c>
      <c r="K4453">
        <f>Data!E4465</f>
        <v>0</v>
      </c>
      <c r="L4453">
        <f>Data!F4465</f>
        <v>0</v>
      </c>
      <c r="M4453">
        <f>Data!G4465</f>
        <v>0</v>
      </c>
      <c r="N4453">
        <f>Data!H4465</f>
        <v>0</v>
      </c>
      <c r="O4453">
        <f>Data!I4465</f>
        <v>0</v>
      </c>
      <c r="P4453" s="21">
        <f>Data!J4469</f>
        <v>0</v>
      </c>
      <c r="Q4453">
        <f>Data!K4469</f>
        <v>0</v>
      </c>
      <c r="R4453">
        <f>Data!L4469</f>
        <v>0</v>
      </c>
      <c r="S4453">
        <f>Data!M4469</f>
        <v>0</v>
      </c>
      <c r="T4453">
        <f>Data!N4469</f>
        <v>0</v>
      </c>
      <c r="U4453">
        <f>Data!O4469</f>
        <v>0</v>
      </c>
      <c r="V4453" s="33">
        <f>Data!P4467</f>
        <v>0</v>
      </c>
    </row>
    <row r="4454" spans="7:22" x14ac:dyDescent="0.25">
      <c r="G4454">
        <f>Data!B4466</f>
        <v>0</v>
      </c>
      <c r="H4454" s="21">
        <f>Data!B4466</f>
        <v>0</v>
      </c>
      <c r="I4454" s="21">
        <f>Data!C4466</f>
        <v>0</v>
      </c>
      <c r="J4454">
        <f>Data!D4466</f>
        <v>0</v>
      </c>
      <c r="K4454">
        <f>Data!E4466</f>
        <v>0</v>
      </c>
      <c r="L4454">
        <f>Data!F4466</f>
        <v>0</v>
      </c>
      <c r="M4454">
        <f>Data!G4466</f>
        <v>0</v>
      </c>
      <c r="N4454">
        <f>Data!H4466</f>
        <v>0</v>
      </c>
      <c r="O4454">
        <f>Data!I4466</f>
        <v>0</v>
      </c>
      <c r="P4454" s="21">
        <f>Data!J4470</f>
        <v>0</v>
      </c>
      <c r="Q4454">
        <f>Data!K4470</f>
        <v>0</v>
      </c>
      <c r="R4454">
        <f>Data!L4470</f>
        <v>0</v>
      </c>
      <c r="S4454">
        <f>Data!M4470</f>
        <v>0</v>
      </c>
      <c r="T4454">
        <f>Data!N4470</f>
        <v>0</v>
      </c>
      <c r="U4454">
        <f>Data!O4470</f>
        <v>0</v>
      </c>
      <c r="V4454" s="33">
        <f>Data!P4468</f>
        <v>0</v>
      </c>
    </row>
    <row r="4455" spans="7:22" x14ac:dyDescent="0.25">
      <c r="G4455">
        <f>Data!B4467</f>
        <v>0</v>
      </c>
      <c r="H4455" s="21">
        <f>Data!B4467</f>
        <v>0</v>
      </c>
      <c r="I4455" s="21">
        <f>Data!C4467</f>
        <v>0</v>
      </c>
      <c r="J4455">
        <f>Data!D4467</f>
        <v>0</v>
      </c>
      <c r="K4455">
        <f>Data!E4467</f>
        <v>0</v>
      </c>
      <c r="L4455">
        <f>Data!F4467</f>
        <v>0</v>
      </c>
      <c r="M4455">
        <f>Data!G4467</f>
        <v>0</v>
      </c>
      <c r="N4455">
        <f>Data!H4467</f>
        <v>0</v>
      </c>
      <c r="O4455">
        <f>Data!I4467</f>
        <v>0</v>
      </c>
      <c r="P4455" s="21">
        <f>Data!J4471</f>
        <v>0</v>
      </c>
      <c r="Q4455">
        <f>Data!K4471</f>
        <v>0</v>
      </c>
      <c r="R4455">
        <f>Data!L4471</f>
        <v>0</v>
      </c>
      <c r="S4455">
        <f>Data!M4471</f>
        <v>0</v>
      </c>
      <c r="T4455">
        <f>Data!N4471</f>
        <v>0</v>
      </c>
      <c r="U4455">
        <f>Data!O4471</f>
        <v>0</v>
      </c>
      <c r="V4455" s="33">
        <f>Data!P4469</f>
        <v>0</v>
      </c>
    </row>
    <row r="4456" spans="7:22" x14ac:dyDescent="0.25">
      <c r="G4456">
        <f>Data!B4468</f>
        <v>0</v>
      </c>
      <c r="H4456" s="21">
        <f>Data!B4468</f>
        <v>0</v>
      </c>
      <c r="I4456" s="21">
        <f>Data!C4468</f>
        <v>0</v>
      </c>
      <c r="J4456">
        <f>Data!D4468</f>
        <v>0</v>
      </c>
      <c r="K4456">
        <f>Data!E4468</f>
        <v>0</v>
      </c>
      <c r="L4456">
        <f>Data!F4468</f>
        <v>0</v>
      </c>
      <c r="M4456">
        <f>Data!G4468</f>
        <v>0</v>
      </c>
      <c r="N4456">
        <f>Data!H4468</f>
        <v>0</v>
      </c>
      <c r="O4456">
        <f>Data!I4468</f>
        <v>0</v>
      </c>
      <c r="P4456" s="21">
        <f>Data!J4472</f>
        <v>0</v>
      </c>
      <c r="Q4456">
        <f>Data!K4472</f>
        <v>0</v>
      </c>
      <c r="R4456">
        <f>Data!L4472</f>
        <v>0</v>
      </c>
      <c r="S4456">
        <f>Data!M4472</f>
        <v>0</v>
      </c>
      <c r="T4456">
        <f>Data!N4472</f>
        <v>0</v>
      </c>
      <c r="U4456">
        <f>Data!O4472</f>
        <v>0</v>
      </c>
      <c r="V4456" s="33">
        <f>Data!P4470</f>
        <v>0</v>
      </c>
    </row>
    <row r="4457" spans="7:22" x14ac:dyDescent="0.25">
      <c r="G4457">
        <f>Data!B4469</f>
        <v>0</v>
      </c>
      <c r="H4457" s="21">
        <f>Data!B4469</f>
        <v>0</v>
      </c>
      <c r="I4457" s="21">
        <f>Data!C4469</f>
        <v>0</v>
      </c>
      <c r="J4457">
        <f>Data!D4469</f>
        <v>0</v>
      </c>
      <c r="K4457">
        <f>Data!E4469</f>
        <v>0</v>
      </c>
      <c r="L4457">
        <f>Data!F4469</f>
        <v>0</v>
      </c>
      <c r="M4457">
        <f>Data!G4469</f>
        <v>0</v>
      </c>
      <c r="N4457">
        <f>Data!H4469</f>
        <v>0</v>
      </c>
      <c r="O4457">
        <f>Data!I4469</f>
        <v>0</v>
      </c>
      <c r="P4457" s="21">
        <f>Data!J4473</f>
        <v>0</v>
      </c>
      <c r="Q4457">
        <f>Data!K4473</f>
        <v>0</v>
      </c>
      <c r="R4457">
        <f>Data!L4473</f>
        <v>0</v>
      </c>
      <c r="S4457">
        <f>Data!M4473</f>
        <v>0</v>
      </c>
      <c r="T4457">
        <f>Data!N4473</f>
        <v>0</v>
      </c>
      <c r="U4457">
        <f>Data!O4473</f>
        <v>0</v>
      </c>
      <c r="V4457" s="33">
        <f>Data!P4471</f>
        <v>0</v>
      </c>
    </row>
    <row r="4458" spans="7:22" x14ac:dyDescent="0.25">
      <c r="G4458">
        <f>Data!B4470</f>
        <v>0</v>
      </c>
      <c r="H4458" s="21">
        <f>Data!B4470</f>
        <v>0</v>
      </c>
      <c r="I4458" s="21">
        <f>Data!C4470</f>
        <v>0</v>
      </c>
      <c r="J4458">
        <f>Data!D4470</f>
        <v>0</v>
      </c>
      <c r="K4458">
        <f>Data!E4470</f>
        <v>0</v>
      </c>
      <c r="L4458">
        <f>Data!F4470</f>
        <v>0</v>
      </c>
      <c r="M4458">
        <f>Data!G4470</f>
        <v>0</v>
      </c>
      <c r="N4458">
        <f>Data!H4470</f>
        <v>0</v>
      </c>
      <c r="O4458">
        <f>Data!I4470</f>
        <v>0</v>
      </c>
      <c r="P4458" s="21">
        <f>Data!J4474</f>
        <v>0</v>
      </c>
      <c r="Q4458">
        <f>Data!K4474</f>
        <v>0</v>
      </c>
      <c r="R4458">
        <f>Data!L4474</f>
        <v>0</v>
      </c>
      <c r="S4458">
        <f>Data!M4474</f>
        <v>0</v>
      </c>
      <c r="T4458">
        <f>Data!N4474</f>
        <v>0</v>
      </c>
      <c r="U4458">
        <f>Data!O4474</f>
        <v>0</v>
      </c>
      <c r="V4458" s="33">
        <f>Data!P4472</f>
        <v>0</v>
      </c>
    </row>
    <row r="4459" spans="7:22" x14ac:dyDescent="0.25">
      <c r="G4459">
        <f>Data!B4471</f>
        <v>0</v>
      </c>
      <c r="H4459" s="21">
        <f>Data!B4471</f>
        <v>0</v>
      </c>
      <c r="I4459" s="21">
        <f>Data!C4471</f>
        <v>0</v>
      </c>
      <c r="J4459">
        <f>Data!D4471</f>
        <v>0</v>
      </c>
      <c r="K4459">
        <f>Data!E4471</f>
        <v>0</v>
      </c>
      <c r="L4459">
        <f>Data!F4471</f>
        <v>0</v>
      </c>
      <c r="M4459">
        <f>Data!G4471</f>
        <v>0</v>
      </c>
      <c r="N4459">
        <f>Data!H4471</f>
        <v>0</v>
      </c>
      <c r="O4459">
        <f>Data!I4471</f>
        <v>0</v>
      </c>
      <c r="P4459" s="21">
        <f>Data!J4475</f>
        <v>0</v>
      </c>
      <c r="Q4459">
        <f>Data!K4475</f>
        <v>0</v>
      </c>
      <c r="R4459">
        <f>Data!L4475</f>
        <v>0</v>
      </c>
      <c r="S4459">
        <f>Data!M4475</f>
        <v>0</v>
      </c>
      <c r="T4459">
        <f>Data!N4475</f>
        <v>0</v>
      </c>
      <c r="U4459">
        <f>Data!O4475</f>
        <v>0</v>
      </c>
      <c r="V4459" s="33">
        <f>Data!P4473</f>
        <v>0</v>
      </c>
    </row>
    <row r="4460" spans="7:22" x14ac:dyDescent="0.25">
      <c r="G4460">
        <f>Data!B4472</f>
        <v>0</v>
      </c>
      <c r="H4460" s="21">
        <f>Data!B4472</f>
        <v>0</v>
      </c>
      <c r="I4460" s="21">
        <f>Data!C4472</f>
        <v>0</v>
      </c>
      <c r="J4460">
        <f>Data!D4472</f>
        <v>0</v>
      </c>
      <c r="K4460">
        <f>Data!E4472</f>
        <v>0</v>
      </c>
      <c r="L4460">
        <f>Data!F4472</f>
        <v>0</v>
      </c>
      <c r="M4460">
        <f>Data!G4472</f>
        <v>0</v>
      </c>
      <c r="N4460">
        <f>Data!H4472</f>
        <v>0</v>
      </c>
      <c r="O4460">
        <f>Data!I4472</f>
        <v>0</v>
      </c>
      <c r="P4460" s="21">
        <f>Data!J4476</f>
        <v>0</v>
      </c>
      <c r="Q4460">
        <f>Data!K4476</f>
        <v>0</v>
      </c>
      <c r="R4460">
        <f>Data!L4476</f>
        <v>0</v>
      </c>
      <c r="S4460">
        <f>Data!M4476</f>
        <v>0</v>
      </c>
      <c r="T4460">
        <f>Data!N4476</f>
        <v>0</v>
      </c>
      <c r="U4460">
        <f>Data!O4476</f>
        <v>0</v>
      </c>
      <c r="V4460" s="33">
        <f>Data!P4474</f>
        <v>0</v>
      </c>
    </row>
    <row r="4461" spans="7:22" x14ac:dyDescent="0.25">
      <c r="G4461">
        <f>Data!B4473</f>
        <v>0</v>
      </c>
      <c r="H4461" s="21">
        <f>Data!B4473</f>
        <v>0</v>
      </c>
      <c r="I4461" s="21">
        <f>Data!C4473</f>
        <v>0</v>
      </c>
      <c r="J4461">
        <f>Data!D4473</f>
        <v>0</v>
      </c>
      <c r="K4461">
        <f>Data!E4473</f>
        <v>0</v>
      </c>
      <c r="L4461">
        <f>Data!F4473</f>
        <v>0</v>
      </c>
      <c r="M4461">
        <f>Data!G4473</f>
        <v>0</v>
      </c>
      <c r="N4461">
        <f>Data!H4473</f>
        <v>0</v>
      </c>
      <c r="O4461">
        <f>Data!I4473</f>
        <v>0</v>
      </c>
      <c r="P4461" s="21">
        <f>Data!J4477</f>
        <v>0</v>
      </c>
      <c r="Q4461">
        <f>Data!K4477</f>
        <v>0</v>
      </c>
      <c r="R4461">
        <f>Data!L4477</f>
        <v>0</v>
      </c>
      <c r="S4461">
        <f>Data!M4477</f>
        <v>0</v>
      </c>
      <c r="T4461">
        <f>Data!N4477</f>
        <v>0</v>
      </c>
      <c r="U4461">
        <f>Data!O4477</f>
        <v>0</v>
      </c>
      <c r="V4461" s="33">
        <f>Data!P4475</f>
        <v>0</v>
      </c>
    </row>
    <row r="4462" spans="7:22" x14ac:dyDescent="0.25">
      <c r="G4462">
        <f>Data!B4474</f>
        <v>0</v>
      </c>
      <c r="H4462" s="21">
        <f>Data!B4474</f>
        <v>0</v>
      </c>
      <c r="I4462" s="21">
        <f>Data!C4474</f>
        <v>0</v>
      </c>
      <c r="J4462">
        <f>Data!D4474</f>
        <v>0</v>
      </c>
      <c r="K4462">
        <f>Data!E4474</f>
        <v>0</v>
      </c>
      <c r="L4462">
        <f>Data!F4474</f>
        <v>0</v>
      </c>
      <c r="M4462">
        <f>Data!G4474</f>
        <v>0</v>
      </c>
      <c r="N4462">
        <f>Data!H4474</f>
        <v>0</v>
      </c>
      <c r="O4462">
        <f>Data!I4474</f>
        <v>0</v>
      </c>
      <c r="P4462" s="21">
        <f>Data!J4478</f>
        <v>0</v>
      </c>
      <c r="Q4462">
        <f>Data!K4478</f>
        <v>0</v>
      </c>
      <c r="R4462">
        <f>Data!L4478</f>
        <v>0</v>
      </c>
      <c r="S4462">
        <f>Data!M4478</f>
        <v>0</v>
      </c>
      <c r="T4462">
        <f>Data!N4478</f>
        <v>0</v>
      </c>
      <c r="U4462">
        <f>Data!O4478</f>
        <v>0</v>
      </c>
      <c r="V4462" s="33">
        <f>Data!P4476</f>
        <v>0</v>
      </c>
    </row>
    <row r="4463" spans="7:22" x14ac:dyDescent="0.25">
      <c r="G4463">
        <f>Data!B4475</f>
        <v>0</v>
      </c>
      <c r="H4463" s="21">
        <f>Data!B4475</f>
        <v>0</v>
      </c>
      <c r="I4463" s="21">
        <f>Data!C4475</f>
        <v>0</v>
      </c>
      <c r="J4463">
        <f>Data!D4475</f>
        <v>0</v>
      </c>
      <c r="K4463">
        <f>Data!E4475</f>
        <v>0</v>
      </c>
      <c r="L4463">
        <f>Data!F4475</f>
        <v>0</v>
      </c>
      <c r="M4463">
        <f>Data!G4475</f>
        <v>0</v>
      </c>
      <c r="N4463">
        <f>Data!H4475</f>
        <v>0</v>
      </c>
      <c r="O4463">
        <f>Data!I4475</f>
        <v>0</v>
      </c>
      <c r="P4463" s="21">
        <f>Data!J4479</f>
        <v>0</v>
      </c>
      <c r="Q4463">
        <f>Data!K4479</f>
        <v>0</v>
      </c>
      <c r="R4463">
        <f>Data!L4479</f>
        <v>0</v>
      </c>
      <c r="S4463">
        <f>Data!M4479</f>
        <v>0</v>
      </c>
      <c r="T4463">
        <f>Data!N4479</f>
        <v>0</v>
      </c>
      <c r="U4463">
        <f>Data!O4479</f>
        <v>0</v>
      </c>
      <c r="V4463" s="33">
        <f>Data!P4477</f>
        <v>0</v>
      </c>
    </row>
    <row r="4464" spans="7:22" x14ac:dyDescent="0.25">
      <c r="G4464">
        <f>Data!B4476</f>
        <v>0</v>
      </c>
      <c r="H4464" s="21">
        <f>Data!B4476</f>
        <v>0</v>
      </c>
      <c r="I4464" s="21">
        <f>Data!C4476</f>
        <v>0</v>
      </c>
      <c r="J4464">
        <f>Data!D4476</f>
        <v>0</v>
      </c>
      <c r="K4464">
        <f>Data!E4476</f>
        <v>0</v>
      </c>
      <c r="L4464">
        <f>Data!F4476</f>
        <v>0</v>
      </c>
      <c r="M4464">
        <f>Data!G4476</f>
        <v>0</v>
      </c>
      <c r="N4464">
        <f>Data!H4476</f>
        <v>0</v>
      </c>
      <c r="O4464">
        <f>Data!I4476</f>
        <v>0</v>
      </c>
      <c r="P4464" s="21">
        <f>Data!J4480</f>
        <v>0</v>
      </c>
      <c r="Q4464">
        <f>Data!K4480</f>
        <v>0</v>
      </c>
      <c r="R4464">
        <f>Data!L4480</f>
        <v>0</v>
      </c>
      <c r="S4464">
        <f>Data!M4480</f>
        <v>0</v>
      </c>
      <c r="T4464">
        <f>Data!N4480</f>
        <v>0</v>
      </c>
      <c r="U4464">
        <f>Data!O4480</f>
        <v>0</v>
      </c>
      <c r="V4464" s="33">
        <f>Data!P4478</f>
        <v>0</v>
      </c>
    </row>
    <row r="4465" spans="7:22" x14ac:dyDescent="0.25">
      <c r="G4465">
        <f>Data!B4477</f>
        <v>0</v>
      </c>
      <c r="H4465" s="21">
        <f>Data!B4477</f>
        <v>0</v>
      </c>
      <c r="I4465" s="21">
        <f>Data!C4477</f>
        <v>0</v>
      </c>
      <c r="J4465">
        <f>Data!D4477</f>
        <v>0</v>
      </c>
      <c r="K4465">
        <f>Data!E4477</f>
        <v>0</v>
      </c>
      <c r="L4465">
        <f>Data!F4477</f>
        <v>0</v>
      </c>
      <c r="M4465">
        <f>Data!G4477</f>
        <v>0</v>
      </c>
      <c r="N4465">
        <f>Data!H4477</f>
        <v>0</v>
      </c>
      <c r="O4465">
        <f>Data!I4477</f>
        <v>0</v>
      </c>
      <c r="P4465" s="21">
        <f>Data!J4481</f>
        <v>0</v>
      </c>
      <c r="Q4465">
        <f>Data!K4481</f>
        <v>0</v>
      </c>
      <c r="R4465">
        <f>Data!L4481</f>
        <v>0</v>
      </c>
      <c r="S4465">
        <f>Data!M4481</f>
        <v>0</v>
      </c>
      <c r="T4465">
        <f>Data!N4481</f>
        <v>0</v>
      </c>
      <c r="U4465">
        <f>Data!O4481</f>
        <v>0</v>
      </c>
      <c r="V4465" s="33">
        <f>Data!P4479</f>
        <v>0</v>
      </c>
    </row>
    <row r="4466" spans="7:22" x14ac:dyDescent="0.25">
      <c r="G4466">
        <f>Data!B4478</f>
        <v>0</v>
      </c>
      <c r="H4466" s="21">
        <f>Data!B4478</f>
        <v>0</v>
      </c>
      <c r="I4466" s="21">
        <f>Data!C4478</f>
        <v>0</v>
      </c>
      <c r="J4466">
        <f>Data!D4478</f>
        <v>0</v>
      </c>
      <c r="K4466">
        <f>Data!E4478</f>
        <v>0</v>
      </c>
      <c r="L4466">
        <f>Data!F4478</f>
        <v>0</v>
      </c>
      <c r="M4466">
        <f>Data!G4478</f>
        <v>0</v>
      </c>
      <c r="N4466">
        <f>Data!H4478</f>
        <v>0</v>
      </c>
      <c r="O4466">
        <f>Data!I4478</f>
        <v>0</v>
      </c>
      <c r="P4466" s="21">
        <f>Data!J4482</f>
        <v>0</v>
      </c>
      <c r="Q4466">
        <f>Data!K4482</f>
        <v>0</v>
      </c>
      <c r="R4466">
        <f>Data!L4482</f>
        <v>0</v>
      </c>
      <c r="S4466">
        <f>Data!M4482</f>
        <v>0</v>
      </c>
      <c r="T4466">
        <f>Data!N4482</f>
        <v>0</v>
      </c>
      <c r="U4466">
        <f>Data!O4482</f>
        <v>0</v>
      </c>
      <c r="V4466" s="33">
        <f>Data!P4480</f>
        <v>0</v>
      </c>
    </row>
    <row r="4467" spans="7:22" x14ac:dyDescent="0.25">
      <c r="G4467">
        <f>Data!B4479</f>
        <v>0</v>
      </c>
      <c r="H4467" s="21">
        <f>Data!B4479</f>
        <v>0</v>
      </c>
      <c r="I4467" s="21">
        <f>Data!C4479</f>
        <v>0</v>
      </c>
      <c r="J4467">
        <f>Data!D4479</f>
        <v>0</v>
      </c>
      <c r="K4467">
        <f>Data!E4479</f>
        <v>0</v>
      </c>
      <c r="L4467">
        <f>Data!F4479</f>
        <v>0</v>
      </c>
      <c r="M4467">
        <f>Data!G4479</f>
        <v>0</v>
      </c>
      <c r="N4467">
        <f>Data!H4479</f>
        <v>0</v>
      </c>
      <c r="O4467">
        <f>Data!I4479</f>
        <v>0</v>
      </c>
      <c r="P4467" s="21">
        <f>Data!J4483</f>
        <v>0</v>
      </c>
      <c r="Q4467">
        <f>Data!K4483</f>
        <v>0</v>
      </c>
      <c r="R4467">
        <f>Data!L4483</f>
        <v>0</v>
      </c>
      <c r="S4467">
        <f>Data!M4483</f>
        <v>0</v>
      </c>
      <c r="T4467">
        <f>Data!N4483</f>
        <v>0</v>
      </c>
      <c r="U4467">
        <f>Data!O4483</f>
        <v>0</v>
      </c>
      <c r="V4467" s="33">
        <f>Data!P4481</f>
        <v>0</v>
      </c>
    </row>
    <row r="4468" spans="7:22" x14ac:dyDescent="0.25">
      <c r="G4468">
        <f>Data!B4480</f>
        <v>0</v>
      </c>
      <c r="H4468" s="21">
        <f>Data!B4480</f>
        <v>0</v>
      </c>
      <c r="I4468" s="21">
        <f>Data!C4480</f>
        <v>0</v>
      </c>
      <c r="J4468">
        <f>Data!D4480</f>
        <v>0</v>
      </c>
      <c r="K4468">
        <f>Data!E4480</f>
        <v>0</v>
      </c>
      <c r="L4468">
        <f>Data!F4480</f>
        <v>0</v>
      </c>
      <c r="M4468">
        <f>Data!G4480</f>
        <v>0</v>
      </c>
      <c r="N4468">
        <f>Data!H4480</f>
        <v>0</v>
      </c>
      <c r="O4468">
        <f>Data!I4480</f>
        <v>0</v>
      </c>
      <c r="P4468" s="21">
        <f>Data!J4484</f>
        <v>0</v>
      </c>
      <c r="Q4468">
        <f>Data!K4484</f>
        <v>0</v>
      </c>
      <c r="R4468">
        <f>Data!L4484</f>
        <v>0</v>
      </c>
      <c r="S4468">
        <f>Data!M4484</f>
        <v>0</v>
      </c>
      <c r="T4468">
        <f>Data!N4484</f>
        <v>0</v>
      </c>
      <c r="U4468">
        <f>Data!O4484</f>
        <v>0</v>
      </c>
      <c r="V4468" s="33">
        <f>Data!P4482</f>
        <v>0</v>
      </c>
    </row>
    <row r="4469" spans="7:22" x14ac:dyDescent="0.25">
      <c r="G4469">
        <f>Data!B4481</f>
        <v>0</v>
      </c>
      <c r="H4469" s="21">
        <f>Data!B4481</f>
        <v>0</v>
      </c>
      <c r="I4469" s="21">
        <f>Data!C4481</f>
        <v>0</v>
      </c>
      <c r="J4469">
        <f>Data!D4481</f>
        <v>0</v>
      </c>
      <c r="K4469">
        <f>Data!E4481</f>
        <v>0</v>
      </c>
      <c r="L4469">
        <f>Data!F4481</f>
        <v>0</v>
      </c>
      <c r="M4469">
        <f>Data!G4481</f>
        <v>0</v>
      </c>
      <c r="N4469">
        <f>Data!H4481</f>
        <v>0</v>
      </c>
      <c r="O4469">
        <f>Data!I4481</f>
        <v>0</v>
      </c>
      <c r="P4469" s="21">
        <f>Data!J4485</f>
        <v>0</v>
      </c>
      <c r="Q4469">
        <f>Data!K4485</f>
        <v>0</v>
      </c>
      <c r="R4469">
        <f>Data!L4485</f>
        <v>0</v>
      </c>
      <c r="S4469">
        <f>Data!M4485</f>
        <v>0</v>
      </c>
      <c r="T4469">
        <f>Data!N4485</f>
        <v>0</v>
      </c>
      <c r="U4469">
        <f>Data!O4485</f>
        <v>0</v>
      </c>
      <c r="V4469" s="33">
        <f>Data!P4483</f>
        <v>0</v>
      </c>
    </row>
    <row r="4470" spans="7:22" x14ac:dyDescent="0.25">
      <c r="G4470">
        <f>Data!B4482</f>
        <v>0</v>
      </c>
      <c r="H4470" s="21">
        <f>Data!B4482</f>
        <v>0</v>
      </c>
      <c r="I4470" s="21">
        <f>Data!C4482</f>
        <v>0</v>
      </c>
      <c r="J4470">
        <f>Data!D4482</f>
        <v>0</v>
      </c>
      <c r="K4470">
        <f>Data!E4482</f>
        <v>0</v>
      </c>
      <c r="L4470">
        <f>Data!F4482</f>
        <v>0</v>
      </c>
      <c r="M4470">
        <f>Data!G4482</f>
        <v>0</v>
      </c>
      <c r="N4470">
        <f>Data!H4482</f>
        <v>0</v>
      </c>
      <c r="O4470">
        <f>Data!I4482</f>
        <v>0</v>
      </c>
      <c r="P4470" s="21">
        <f>Data!J4486</f>
        <v>0</v>
      </c>
      <c r="Q4470">
        <f>Data!K4486</f>
        <v>0</v>
      </c>
      <c r="R4470">
        <f>Data!L4486</f>
        <v>0</v>
      </c>
      <c r="S4470">
        <f>Data!M4486</f>
        <v>0</v>
      </c>
      <c r="T4470">
        <f>Data!N4486</f>
        <v>0</v>
      </c>
      <c r="U4470">
        <f>Data!O4486</f>
        <v>0</v>
      </c>
      <c r="V4470" s="33">
        <f>Data!P4484</f>
        <v>0</v>
      </c>
    </row>
    <row r="4471" spans="7:22" x14ac:dyDescent="0.25">
      <c r="G4471">
        <f>Data!B4483</f>
        <v>0</v>
      </c>
      <c r="H4471" s="21">
        <f>Data!B4483</f>
        <v>0</v>
      </c>
      <c r="I4471" s="21">
        <f>Data!C4483</f>
        <v>0</v>
      </c>
      <c r="J4471">
        <f>Data!D4483</f>
        <v>0</v>
      </c>
      <c r="K4471">
        <f>Data!E4483</f>
        <v>0</v>
      </c>
      <c r="L4471">
        <f>Data!F4483</f>
        <v>0</v>
      </c>
      <c r="M4471">
        <f>Data!G4483</f>
        <v>0</v>
      </c>
      <c r="N4471">
        <f>Data!H4483</f>
        <v>0</v>
      </c>
      <c r="O4471">
        <f>Data!I4483</f>
        <v>0</v>
      </c>
      <c r="P4471" s="21">
        <f>Data!J4487</f>
        <v>0</v>
      </c>
      <c r="Q4471">
        <f>Data!K4487</f>
        <v>0</v>
      </c>
      <c r="R4471">
        <f>Data!L4487</f>
        <v>0</v>
      </c>
      <c r="S4471">
        <f>Data!M4487</f>
        <v>0</v>
      </c>
      <c r="T4471">
        <f>Data!N4487</f>
        <v>0</v>
      </c>
      <c r="U4471">
        <f>Data!O4487</f>
        <v>0</v>
      </c>
      <c r="V4471" s="33">
        <f>Data!P4485</f>
        <v>0</v>
      </c>
    </row>
    <row r="4472" spans="7:22" x14ac:dyDescent="0.25">
      <c r="G4472">
        <f>Data!B4484</f>
        <v>0</v>
      </c>
      <c r="H4472" s="21">
        <f>Data!B4484</f>
        <v>0</v>
      </c>
      <c r="I4472" s="21">
        <f>Data!C4484</f>
        <v>0</v>
      </c>
      <c r="J4472">
        <f>Data!D4484</f>
        <v>0</v>
      </c>
      <c r="K4472">
        <f>Data!E4484</f>
        <v>0</v>
      </c>
      <c r="L4472">
        <f>Data!F4484</f>
        <v>0</v>
      </c>
      <c r="M4472">
        <f>Data!G4484</f>
        <v>0</v>
      </c>
      <c r="N4472">
        <f>Data!H4484</f>
        <v>0</v>
      </c>
      <c r="O4472">
        <f>Data!I4484</f>
        <v>0</v>
      </c>
      <c r="P4472" s="21">
        <f>Data!J4488</f>
        <v>0</v>
      </c>
      <c r="Q4472">
        <f>Data!K4488</f>
        <v>0</v>
      </c>
      <c r="R4472">
        <f>Data!L4488</f>
        <v>0</v>
      </c>
      <c r="S4472">
        <f>Data!M4488</f>
        <v>0</v>
      </c>
      <c r="T4472">
        <f>Data!N4488</f>
        <v>0</v>
      </c>
      <c r="U4472">
        <f>Data!O4488</f>
        <v>0</v>
      </c>
      <c r="V4472" s="33">
        <f>Data!P4486</f>
        <v>0</v>
      </c>
    </row>
    <row r="4473" spans="7:22" x14ac:dyDescent="0.25">
      <c r="G4473">
        <f>Data!B4485</f>
        <v>0</v>
      </c>
      <c r="H4473" s="21">
        <f>Data!B4485</f>
        <v>0</v>
      </c>
      <c r="I4473" s="21">
        <f>Data!C4485</f>
        <v>0</v>
      </c>
      <c r="J4473">
        <f>Data!D4485</f>
        <v>0</v>
      </c>
      <c r="K4473">
        <f>Data!E4485</f>
        <v>0</v>
      </c>
      <c r="L4473">
        <f>Data!F4485</f>
        <v>0</v>
      </c>
      <c r="M4473">
        <f>Data!G4485</f>
        <v>0</v>
      </c>
      <c r="N4473">
        <f>Data!H4485</f>
        <v>0</v>
      </c>
      <c r="O4473">
        <f>Data!I4485</f>
        <v>0</v>
      </c>
      <c r="P4473" s="21">
        <f>Data!J4489</f>
        <v>0</v>
      </c>
      <c r="Q4473">
        <f>Data!K4489</f>
        <v>0</v>
      </c>
      <c r="R4473">
        <f>Data!L4489</f>
        <v>0</v>
      </c>
      <c r="S4473">
        <f>Data!M4489</f>
        <v>0</v>
      </c>
      <c r="T4473">
        <f>Data!N4489</f>
        <v>0</v>
      </c>
      <c r="U4473">
        <f>Data!O4489</f>
        <v>0</v>
      </c>
      <c r="V4473" s="33">
        <f>Data!P4487</f>
        <v>0</v>
      </c>
    </row>
    <row r="4474" spans="7:22" x14ac:dyDescent="0.25">
      <c r="G4474">
        <f>Data!B4486</f>
        <v>0</v>
      </c>
      <c r="H4474" s="21">
        <f>Data!B4486</f>
        <v>0</v>
      </c>
      <c r="I4474" s="21">
        <f>Data!C4486</f>
        <v>0</v>
      </c>
      <c r="J4474">
        <f>Data!D4486</f>
        <v>0</v>
      </c>
      <c r="K4474">
        <f>Data!E4486</f>
        <v>0</v>
      </c>
      <c r="L4474">
        <f>Data!F4486</f>
        <v>0</v>
      </c>
      <c r="M4474">
        <f>Data!G4486</f>
        <v>0</v>
      </c>
      <c r="N4474">
        <f>Data!H4486</f>
        <v>0</v>
      </c>
      <c r="O4474">
        <f>Data!I4486</f>
        <v>0</v>
      </c>
      <c r="P4474" s="21">
        <f>Data!J4490</f>
        <v>0</v>
      </c>
      <c r="Q4474">
        <f>Data!K4490</f>
        <v>0</v>
      </c>
      <c r="R4474">
        <f>Data!L4490</f>
        <v>0</v>
      </c>
      <c r="S4474">
        <f>Data!M4490</f>
        <v>0</v>
      </c>
      <c r="T4474">
        <f>Data!N4490</f>
        <v>0</v>
      </c>
      <c r="U4474">
        <f>Data!O4490</f>
        <v>0</v>
      </c>
      <c r="V4474" s="33">
        <f>Data!P4488</f>
        <v>0</v>
      </c>
    </row>
    <row r="4475" spans="7:22" x14ac:dyDescent="0.25">
      <c r="G4475">
        <f>Data!B4487</f>
        <v>0</v>
      </c>
      <c r="H4475" s="21">
        <f>Data!B4487</f>
        <v>0</v>
      </c>
      <c r="I4475" s="21">
        <f>Data!C4487</f>
        <v>0</v>
      </c>
      <c r="J4475">
        <f>Data!D4487</f>
        <v>0</v>
      </c>
      <c r="K4475">
        <f>Data!E4487</f>
        <v>0</v>
      </c>
      <c r="L4475">
        <f>Data!F4487</f>
        <v>0</v>
      </c>
      <c r="M4475">
        <f>Data!G4487</f>
        <v>0</v>
      </c>
      <c r="N4475">
        <f>Data!H4487</f>
        <v>0</v>
      </c>
      <c r="O4475">
        <f>Data!I4487</f>
        <v>0</v>
      </c>
      <c r="P4475" s="21">
        <f>Data!J4491</f>
        <v>0</v>
      </c>
      <c r="Q4475">
        <f>Data!K4491</f>
        <v>0</v>
      </c>
      <c r="R4475">
        <f>Data!L4491</f>
        <v>0</v>
      </c>
      <c r="S4475">
        <f>Data!M4491</f>
        <v>0</v>
      </c>
      <c r="T4475">
        <f>Data!N4491</f>
        <v>0</v>
      </c>
      <c r="U4475">
        <f>Data!O4491</f>
        <v>0</v>
      </c>
      <c r="V4475" s="33">
        <f>Data!P4489</f>
        <v>0</v>
      </c>
    </row>
    <row r="4476" spans="7:22" x14ac:dyDescent="0.25">
      <c r="G4476">
        <f>Data!B4488</f>
        <v>0</v>
      </c>
      <c r="H4476" s="21">
        <f>Data!B4488</f>
        <v>0</v>
      </c>
      <c r="I4476" s="21">
        <f>Data!C4488</f>
        <v>0</v>
      </c>
      <c r="J4476">
        <f>Data!D4488</f>
        <v>0</v>
      </c>
      <c r="K4476">
        <f>Data!E4488</f>
        <v>0</v>
      </c>
      <c r="L4476">
        <f>Data!F4488</f>
        <v>0</v>
      </c>
      <c r="M4476">
        <f>Data!G4488</f>
        <v>0</v>
      </c>
      <c r="N4476">
        <f>Data!H4488</f>
        <v>0</v>
      </c>
      <c r="O4476">
        <f>Data!I4488</f>
        <v>0</v>
      </c>
      <c r="P4476" s="21">
        <f>Data!J4492</f>
        <v>0</v>
      </c>
      <c r="Q4476">
        <f>Data!K4492</f>
        <v>0</v>
      </c>
      <c r="R4476">
        <f>Data!L4492</f>
        <v>0</v>
      </c>
      <c r="S4476">
        <f>Data!M4492</f>
        <v>0</v>
      </c>
      <c r="T4476">
        <f>Data!N4492</f>
        <v>0</v>
      </c>
      <c r="U4476">
        <f>Data!O4492</f>
        <v>0</v>
      </c>
      <c r="V4476" s="33">
        <f>Data!P4490</f>
        <v>0</v>
      </c>
    </row>
    <row r="4477" spans="7:22" x14ac:dyDescent="0.25">
      <c r="G4477">
        <f>Data!B4489</f>
        <v>0</v>
      </c>
      <c r="H4477" s="21">
        <f>Data!B4489</f>
        <v>0</v>
      </c>
      <c r="I4477" s="21">
        <f>Data!C4489</f>
        <v>0</v>
      </c>
      <c r="J4477">
        <f>Data!D4489</f>
        <v>0</v>
      </c>
      <c r="K4477">
        <f>Data!E4489</f>
        <v>0</v>
      </c>
      <c r="L4477">
        <f>Data!F4489</f>
        <v>0</v>
      </c>
      <c r="M4477">
        <f>Data!G4489</f>
        <v>0</v>
      </c>
      <c r="N4477">
        <f>Data!H4489</f>
        <v>0</v>
      </c>
      <c r="O4477">
        <f>Data!I4489</f>
        <v>0</v>
      </c>
      <c r="P4477" s="21">
        <f>Data!J4493</f>
        <v>0</v>
      </c>
      <c r="Q4477">
        <f>Data!K4493</f>
        <v>0</v>
      </c>
      <c r="R4477">
        <f>Data!L4493</f>
        <v>0</v>
      </c>
      <c r="S4477">
        <f>Data!M4493</f>
        <v>0</v>
      </c>
      <c r="T4477">
        <f>Data!N4493</f>
        <v>0</v>
      </c>
      <c r="U4477">
        <f>Data!O4493</f>
        <v>0</v>
      </c>
      <c r="V4477" s="33">
        <f>Data!P4491</f>
        <v>0</v>
      </c>
    </row>
    <row r="4478" spans="7:22" x14ac:dyDescent="0.25">
      <c r="G4478">
        <f>Data!B4490</f>
        <v>0</v>
      </c>
      <c r="H4478" s="21">
        <f>Data!B4490</f>
        <v>0</v>
      </c>
      <c r="I4478" s="21">
        <f>Data!C4490</f>
        <v>0</v>
      </c>
      <c r="J4478">
        <f>Data!D4490</f>
        <v>0</v>
      </c>
      <c r="K4478">
        <f>Data!E4490</f>
        <v>0</v>
      </c>
      <c r="L4478">
        <f>Data!F4490</f>
        <v>0</v>
      </c>
      <c r="M4478">
        <f>Data!G4490</f>
        <v>0</v>
      </c>
      <c r="N4478">
        <f>Data!H4490</f>
        <v>0</v>
      </c>
      <c r="O4478">
        <f>Data!I4490</f>
        <v>0</v>
      </c>
      <c r="P4478" s="21">
        <f>Data!J4494</f>
        <v>0</v>
      </c>
      <c r="Q4478">
        <f>Data!K4494</f>
        <v>0</v>
      </c>
      <c r="R4478">
        <f>Data!L4494</f>
        <v>0</v>
      </c>
      <c r="S4478">
        <f>Data!M4494</f>
        <v>0</v>
      </c>
      <c r="T4478">
        <f>Data!N4494</f>
        <v>0</v>
      </c>
      <c r="U4478">
        <f>Data!O4494</f>
        <v>0</v>
      </c>
      <c r="V4478" s="33">
        <f>Data!P4492</f>
        <v>0</v>
      </c>
    </row>
    <row r="4479" spans="7:22" x14ac:dyDescent="0.25">
      <c r="G4479">
        <f>Data!B4491</f>
        <v>0</v>
      </c>
      <c r="H4479" s="21">
        <f>Data!B4491</f>
        <v>0</v>
      </c>
      <c r="I4479" s="21">
        <f>Data!C4491</f>
        <v>0</v>
      </c>
      <c r="J4479">
        <f>Data!D4491</f>
        <v>0</v>
      </c>
      <c r="K4479">
        <f>Data!E4491</f>
        <v>0</v>
      </c>
      <c r="L4479">
        <f>Data!F4491</f>
        <v>0</v>
      </c>
      <c r="M4479">
        <f>Data!G4491</f>
        <v>0</v>
      </c>
      <c r="N4479">
        <f>Data!H4491</f>
        <v>0</v>
      </c>
      <c r="O4479">
        <f>Data!I4491</f>
        <v>0</v>
      </c>
      <c r="P4479" s="21">
        <f>Data!J4495</f>
        <v>0</v>
      </c>
      <c r="Q4479">
        <f>Data!K4495</f>
        <v>0</v>
      </c>
      <c r="R4479">
        <f>Data!L4495</f>
        <v>0</v>
      </c>
      <c r="S4479">
        <f>Data!M4495</f>
        <v>0</v>
      </c>
      <c r="T4479">
        <f>Data!N4495</f>
        <v>0</v>
      </c>
      <c r="U4479">
        <f>Data!O4495</f>
        <v>0</v>
      </c>
      <c r="V4479" s="33">
        <f>Data!P4493</f>
        <v>0</v>
      </c>
    </row>
    <row r="4480" spans="7:22" x14ac:dyDescent="0.25">
      <c r="G4480">
        <f>Data!B4492</f>
        <v>0</v>
      </c>
      <c r="H4480" s="21">
        <f>Data!B4492</f>
        <v>0</v>
      </c>
      <c r="I4480" s="21">
        <f>Data!C4492</f>
        <v>0</v>
      </c>
      <c r="J4480">
        <f>Data!D4492</f>
        <v>0</v>
      </c>
      <c r="K4480">
        <f>Data!E4492</f>
        <v>0</v>
      </c>
      <c r="L4480">
        <f>Data!F4492</f>
        <v>0</v>
      </c>
      <c r="M4480">
        <f>Data!G4492</f>
        <v>0</v>
      </c>
      <c r="N4480">
        <f>Data!H4492</f>
        <v>0</v>
      </c>
      <c r="O4480">
        <f>Data!I4492</f>
        <v>0</v>
      </c>
      <c r="P4480" s="21">
        <f>Data!J4496</f>
        <v>0</v>
      </c>
      <c r="Q4480">
        <f>Data!K4496</f>
        <v>0</v>
      </c>
      <c r="R4480">
        <f>Data!L4496</f>
        <v>0</v>
      </c>
      <c r="S4480">
        <f>Data!M4496</f>
        <v>0</v>
      </c>
      <c r="T4480">
        <f>Data!N4496</f>
        <v>0</v>
      </c>
      <c r="U4480">
        <f>Data!O4496</f>
        <v>0</v>
      </c>
      <c r="V4480" s="33">
        <f>Data!P4494</f>
        <v>0</v>
      </c>
    </row>
    <row r="4481" spans="7:22" x14ac:dyDescent="0.25">
      <c r="G4481">
        <f>Data!B4493</f>
        <v>0</v>
      </c>
      <c r="H4481" s="21">
        <f>Data!B4493</f>
        <v>0</v>
      </c>
      <c r="I4481" s="21">
        <f>Data!C4493</f>
        <v>0</v>
      </c>
      <c r="J4481">
        <f>Data!D4493</f>
        <v>0</v>
      </c>
      <c r="K4481">
        <f>Data!E4493</f>
        <v>0</v>
      </c>
      <c r="L4481">
        <f>Data!F4493</f>
        <v>0</v>
      </c>
      <c r="M4481">
        <f>Data!G4493</f>
        <v>0</v>
      </c>
      <c r="N4481">
        <f>Data!H4493</f>
        <v>0</v>
      </c>
      <c r="O4481">
        <f>Data!I4493</f>
        <v>0</v>
      </c>
      <c r="P4481" s="21">
        <f>Data!J4497</f>
        <v>0</v>
      </c>
      <c r="Q4481">
        <f>Data!K4497</f>
        <v>0</v>
      </c>
      <c r="R4481">
        <f>Data!L4497</f>
        <v>0</v>
      </c>
      <c r="S4481">
        <f>Data!M4497</f>
        <v>0</v>
      </c>
      <c r="T4481">
        <f>Data!N4497</f>
        <v>0</v>
      </c>
      <c r="U4481">
        <f>Data!O4497</f>
        <v>0</v>
      </c>
      <c r="V4481" s="33">
        <f>Data!P4495</f>
        <v>0</v>
      </c>
    </row>
    <row r="4482" spans="7:22" x14ac:dyDescent="0.25">
      <c r="G4482">
        <f>Data!B4494</f>
        <v>0</v>
      </c>
      <c r="H4482" s="21">
        <f>Data!B4494</f>
        <v>0</v>
      </c>
      <c r="I4482" s="21">
        <f>Data!C4494</f>
        <v>0</v>
      </c>
      <c r="J4482">
        <f>Data!D4494</f>
        <v>0</v>
      </c>
      <c r="K4482">
        <f>Data!E4494</f>
        <v>0</v>
      </c>
      <c r="L4482">
        <f>Data!F4494</f>
        <v>0</v>
      </c>
      <c r="M4482">
        <f>Data!G4494</f>
        <v>0</v>
      </c>
      <c r="N4482">
        <f>Data!H4494</f>
        <v>0</v>
      </c>
      <c r="O4482">
        <f>Data!I4494</f>
        <v>0</v>
      </c>
      <c r="P4482" s="21">
        <f>Data!J4498</f>
        <v>0</v>
      </c>
      <c r="Q4482">
        <f>Data!K4498</f>
        <v>0</v>
      </c>
      <c r="R4482">
        <f>Data!L4498</f>
        <v>0</v>
      </c>
      <c r="S4482">
        <f>Data!M4498</f>
        <v>0</v>
      </c>
      <c r="T4482">
        <f>Data!N4498</f>
        <v>0</v>
      </c>
      <c r="U4482">
        <f>Data!O4498</f>
        <v>0</v>
      </c>
      <c r="V4482" s="33">
        <f>Data!P4496</f>
        <v>0</v>
      </c>
    </row>
    <row r="4483" spans="7:22" x14ac:dyDescent="0.25">
      <c r="G4483">
        <f>Data!B4495</f>
        <v>0</v>
      </c>
      <c r="H4483" s="21">
        <f>Data!B4495</f>
        <v>0</v>
      </c>
      <c r="I4483" s="21">
        <f>Data!C4495</f>
        <v>0</v>
      </c>
      <c r="J4483">
        <f>Data!D4495</f>
        <v>0</v>
      </c>
      <c r="K4483">
        <f>Data!E4495</f>
        <v>0</v>
      </c>
      <c r="L4483">
        <f>Data!F4495</f>
        <v>0</v>
      </c>
      <c r="M4483">
        <f>Data!G4495</f>
        <v>0</v>
      </c>
      <c r="N4483">
        <f>Data!H4495</f>
        <v>0</v>
      </c>
      <c r="O4483">
        <f>Data!I4495</f>
        <v>0</v>
      </c>
      <c r="P4483" s="21">
        <f>Data!J4499</f>
        <v>0</v>
      </c>
      <c r="Q4483">
        <f>Data!K4499</f>
        <v>0</v>
      </c>
      <c r="R4483">
        <f>Data!L4499</f>
        <v>0</v>
      </c>
      <c r="S4483">
        <f>Data!M4499</f>
        <v>0</v>
      </c>
      <c r="T4483">
        <f>Data!N4499</f>
        <v>0</v>
      </c>
      <c r="U4483">
        <f>Data!O4499</f>
        <v>0</v>
      </c>
      <c r="V4483" s="33">
        <f>Data!P4497</f>
        <v>0</v>
      </c>
    </row>
    <row r="4484" spans="7:22" x14ac:dyDescent="0.25">
      <c r="G4484">
        <f>Data!B4496</f>
        <v>0</v>
      </c>
      <c r="H4484" s="21">
        <f>Data!B4496</f>
        <v>0</v>
      </c>
      <c r="I4484" s="21">
        <f>Data!C4496</f>
        <v>0</v>
      </c>
      <c r="J4484">
        <f>Data!D4496</f>
        <v>0</v>
      </c>
      <c r="K4484">
        <f>Data!E4496</f>
        <v>0</v>
      </c>
      <c r="L4484">
        <f>Data!F4496</f>
        <v>0</v>
      </c>
      <c r="M4484">
        <f>Data!G4496</f>
        <v>0</v>
      </c>
      <c r="N4484">
        <f>Data!H4496</f>
        <v>0</v>
      </c>
      <c r="O4484">
        <f>Data!I4496</f>
        <v>0</v>
      </c>
      <c r="P4484" s="21">
        <f>Data!J4500</f>
        <v>0</v>
      </c>
      <c r="Q4484">
        <f>Data!K4500</f>
        <v>0</v>
      </c>
      <c r="R4484">
        <f>Data!L4500</f>
        <v>0</v>
      </c>
      <c r="S4484">
        <f>Data!M4500</f>
        <v>0</v>
      </c>
      <c r="T4484">
        <f>Data!N4500</f>
        <v>0</v>
      </c>
      <c r="U4484">
        <f>Data!O4500</f>
        <v>0</v>
      </c>
      <c r="V4484" s="33">
        <f>Data!P4498</f>
        <v>0</v>
      </c>
    </row>
    <row r="4485" spans="7:22" x14ac:dyDescent="0.25">
      <c r="G4485">
        <f>Data!B4497</f>
        <v>0</v>
      </c>
      <c r="H4485" s="21">
        <f>Data!B4497</f>
        <v>0</v>
      </c>
      <c r="I4485" s="21">
        <f>Data!C4497</f>
        <v>0</v>
      </c>
      <c r="J4485">
        <f>Data!D4497</f>
        <v>0</v>
      </c>
      <c r="K4485">
        <f>Data!E4497</f>
        <v>0</v>
      </c>
      <c r="L4485">
        <f>Data!F4497</f>
        <v>0</v>
      </c>
      <c r="M4485">
        <f>Data!G4497</f>
        <v>0</v>
      </c>
      <c r="N4485">
        <f>Data!H4497</f>
        <v>0</v>
      </c>
      <c r="O4485">
        <f>Data!I4497</f>
        <v>0</v>
      </c>
      <c r="P4485" s="21">
        <f>Data!J4501</f>
        <v>0</v>
      </c>
      <c r="Q4485">
        <f>Data!K4501</f>
        <v>0</v>
      </c>
      <c r="R4485">
        <f>Data!L4501</f>
        <v>0</v>
      </c>
      <c r="S4485">
        <f>Data!M4501</f>
        <v>0</v>
      </c>
      <c r="T4485">
        <f>Data!N4501</f>
        <v>0</v>
      </c>
      <c r="U4485">
        <f>Data!O4501</f>
        <v>0</v>
      </c>
      <c r="V4485" s="33">
        <f>Data!P4499</f>
        <v>0</v>
      </c>
    </row>
    <row r="4486" spans="7:22" x14ac:dyDescent="0.25">
      <c r="G4486">
        <f>Data!B4498</f>
        <v>0</v>
      </c>
      <c r="H4486" s="21">
        <f>Data!B4498</f>
        <v>0</v>
      </c>
      <c r="I4486" s="21">
        <f>Data!C4498</f>
        <v>0</v>
      </c>
      <c r="J4486">
        <f>Data!D4498</f>
        <v>0</v>
      </c>
      <c r="K4486">
        <f>Data!E4498</f>
        <v>0</v>
      </c>
      <c r="L4486">
        <f>Data!F4498</f>
        <v>0</v>
      </c>
      <c r="M4486">
        <f>Data!G4498</f>
        <v>0</v>
      </c>
      <c r="N4486">
        <f>Data!H4498</f>
        <v>0</v>
      </c>
      <c r="O4486">
        <f>Data!I4498</f>
        <v>0</v>
      </c>
      <c r="P4486" s="21">
        <f>Data!J4502</f>
        <v>0</v>
      </c>
      <c r="Q4486">
        <f>Data!K4502</f>
        <v>0</v>
      </c>
      <c r="R4486">
        <f>Data!L4502</f>
        <v>0</v>
      </c>
      <c r="S4486">
        <f>Data!M4502</f>
        <v>0</v>
      </c>
      <c r="T4486">
        <f>Data!N4502</f>
        <v>0</v>
      </c>
      <c r="U4486">
        <f>Data!O4502</f>
        <v>0</v>
      </c>
      <c r="V4486" s="33">
        <f>Data!P4500</f>
        <v>0</v>
      </c>
    </row>
    <row r="4487" spans="7:22" x14ac:dyDescent="0.25">
      <c r="G4487">
        <f>Data!B4499</f>
        <v>0</v>
      </c>
      <c r="H4487" s="21">
        <f>Data!B4499</f>
        <v>0</v>
      </c>
      <c r="I4487" s="21">
        <f>Data!C4499</f>
        <v>0</v>
      </c>
      <c r="J4487">
        <f>Data!D4499</f>
        <v>0</v>
      </c>
      <c r="K4487">
        <f>Data!E4499</f>
        <v>0</v>
      </c>
      <c r="L4487">
        <f>Data!F4499</f>
        <v>0</v>
      </c>
      <c r="M4487">
        <f>Data!G4499</f>
        <v>0</v>
      </c>
      <c r="N4487">
        <f>Data!H4499</f>
        <v>0</v>
      </c>
      <c r="O4487">
        <f>Data!I4499</f>
        <v>0</v>
      </c>
      <c r="P4487" s="21">
        <f>Data!J4503</f>
        <v>0</v>
      </c>
      <c r="Q4487">
        <f>Data!K4503</f>
        <v>0</v>
      </c>
      <c r="R4487">
        <f>Data!L4503</f>
        <v>0</v>
      </c>
      <c r="S4487">
        <f>Data!M4503</f>
        <v>0</v>
      </c>
      <c r="T4487">
        <f>Data!N4503</f>
        <v>0</v>
      </c>
      <c r="U4487">
        <f>Data!O4503</f>
        <v>0</v>
      </c>
      <c r="V4487" s="33">
        <f>Data!P4501</f>
        <v>0</v>
      </c>
    </row>
    <row r="4488" spans="7:22" x14ac:dyDescent="0.25">
      <c r="G4488">
        <f>Data!B4500</f>
        <v>0</v>
      </c>
      <c r="H4488" s="21">
        <f>Data!B4500</f>
        <v>0</v>
      </c>
      <c r="I4488" s="21">
        <f>Data!C4500</f>
        <v>0</v>
      </c>
      <c r="J4488">
        <f>Data!D4500</f>
        <v>0</v>
      </c>
      <c r="K4488">
        <f>Data!E4500</f>
        <v>0</v>
      </c>
      <c r="L4488">
        <f>Data!F4500</f>
        <v>0</v>
      </c>
      <c r="M4488">
        <f>Data!G4500</f>
        <v>0</v>
      </c>
      <c r="N4488">
        <f>Data!H4500</f>
        <v>0</v>
      </c>
      <c r="O4488">
        <f>Data!I4500</f>
        <v>0</v>
      </c>
      <c r="P4488" s="21">
        <f>Data!J4504</f>
        <v>0</v>
      </c>
      <c r="Q4488">
        <f>Data!K4504</f>
        <v>0</v>
      </c>
      <c r="R4488">
        <f>Data!L4504</f>
        <v>0</v>
      </c>
      <c r="S4488">
        <f>Data!M4504</f>
        <v>0</v>
      </c>
      <c r="T4488">
        <f>Data!N4504</f>
        <v>0</v>
      </c>
      <c r="U4488">
        <f>Data!O4504</f>
        <v>0</v>
      </c>
      <c r="V4488" s="33">
        <f>Data!P4502</f>
        <v>0</v>
      </c>
    </row>
    <row r="4489" spans="7:22" x14ac:dyDescent="0.25">
      <c r="G4489">
        <f>Data!B4501</f>
        <v>0</v>
      </c>
      <c r="H4489" s="21">
        <f>Data!B4501</f>
        <v>0</v>
      </c>
      <c r="I4489" s="21">
        <f>Data!C4501</f>
        <v>0</v>
      </c>
      <c r="J4489">
        <f>Data!D4501</f>
        <v>0</v>
      </c>
      <c r="K4489">
        <f>Data!E4501</f>
        <v>0</v>
      </c>
      <c r="L4489">
        <f>Data!F4501</f>
        <v>0</v>
      </c>
      <c r="M4489">
        <f>Data!G4501</f>
        <v>0</v>
      </c>
      <c r="N4489">
        <f>Data!H4501</f>
        <v>0</v>
      </c>
      <c r="O4489">
        <f>Data!I4501</f>
        <v>0</v>
      </c>
      <c r="P4489" s="21">
        <f>Data!J4505</f>
        <v>0</v>
      </c>
      <c r="Q4489">
        <f>Data!K4505</f>
        <v>0</v>
      </c>
      <c r="R4489">
        <f>Data!L4505</f>
        <v>0</v>
      </c>
      <c r="S4489">
        <f>Data!M4505</f>
        <v>0</v>
      </c>
      <c r="T4489">
        <f>Data!N4505</f>
        <v>0</v>
      </c>
      <c r="U4489">
        <f>Data!O4505</f>
        <v>0</v>
      </c>
      <c r="V4489" s="33">
        <f>Data!P4503</f>
        <v>0</v>
      </c>
    </row>
    <row r="4490" spans="7:22" x14ac:dyDescent="0.25">
      <c r="G4490">
        <f>Data!B4502</f>
        <v>0</v>
      </c>
      <c r="H4490" s="21">
        <f>Data!B4502</f>
        <v>0</v>
      </c>
      <c r="I4490" s="21">
        <f>Data!C4502</f>
        <v>0</v>
      </c>
      <c r="J4490">
        <f>Data!D4502</f>
        <v>0</v>
      </c>
      <c r="K4490">
        <f>Data!E4502</f>
        <v>0</v>
      </c>
      <c r="L4490">
        <f>Data!F4502</f>
        <v>0</v>
      </c>
      <c r="M4490">
        <f>Data!G4502</f>
        <v>0</v>
      </c>
      <c r="N4490">
        <f>Data!H4502</f>
        <v>0</v>
      </c>
      <c r="O4490">
        <f>Data!I4502</f>
        <v>0</v>
      </c>
      <c r="P4490" s="21">
        <f>Data!J4506</f>
        <v>0</v>
      </c>
      <c r="Q4490">
        <f>Data!K4506</f>
        <v>0</v>
      </c>
      <c r="R4490">
        <f>Data!L4506</f>
        <v>0</v>
      </c>
      <c r="S4490">
        <f>Data!M4506</f>
        <v>0</v>
      </c>
      <c r="T4490">
        <f>Data!N4506</f>
        <v>0</v>
      </c>
      <c r="U4490">
        <f>Data!O4506</f>
        <v>0</v>
      </c>
      <c r="V4490" s="33">
        <f>Data!P4504</f>
        <v>0</v>
      </c>
    </row>
    <row r="4491" spans="7:22" x14ac:dyDescent="0.25">
      <c r="G4491">
        <f>Data!B4503</f>
        <v>0</v>
      </c>
      <c r="H4491" s="21">
        <f>Data!B4503</f>
        <v>0</v>
      </c>
      <c r="I4491" s="21">
        <f>Data!C4503</f>
        <v>0</v>
      </c>
      <c r="J4491">
        <f>Data!D4503</f>
        <v>0</v>
      </c>
      <c r="K4491">
        <f>Data!E4503</f>
        <v>0</v>
      </c>
      <c r="L4491">
        <f>Data!F4503</f>
        <v>0</v>
      </c>
      <c r="M4491">
        <f>Data!G4503</f>
        <v>0</v>
      </c>
      <c r="N4491">
        <f>Data!H4503</f>
        <v>0</v>
      </c>
      <c r="O4491">
        <f>Data!I4503</f>
        <v>0</v>
      </c>
      <c r="P4491" s="21">
        <f>Data!J4507</f>
        <v>0</v>
      </c>
      <c r="Q4491">
        <f>Data!K4507</f>
        <v>0</v>
      </c>
      <c r="R4491">
        <f>Data!L4507</f>
        <v>0</v>
      </c>
      <c r="S4491">
        <f>Data!M4507</f>
        <v>0</v>
      </c>
      <c r="T4491">
        <f>Data!N4507</f>
        <v>0</v>
      </c>
      <c r="U4491">
        <f>Data!O4507</f>
        <v>0</v>
      </c>
      <c r="V4491" s="33">
        <f>Data!P4505</f>
        <v>0</v>
      </c>
    </row>
    <row r="4492" spans="7:22" x14ac:dyDescent="0.25">
      <c r="G4492">
        <f>Data!B4504</f>
        <v>0</v>
      </c>
      <c r="H4492" s="21">
        <f>Data!B4504</f>
        <v>0</v>
      </c>
      <c r="I4492" s="21">
        <f>Data!C4504</f>
        <v>0</v>
      </c>
      <c r="J4492">
        <f>Data!D4504</f>
        <v>0</v>
      </c>
      <c r="K4492">
        <f>Data!E4504</f>
        <v>0</v>
      </c>
      <c r="L4492">
        <f>Data!F4504</f>
        <v>0</v>
      </c>
      <c r="M4492">
        <f>Data!G4504</f>
        <v>0</v>
      </c>
      <c r="N4492">
        <f>Data!H4504</f>
        <v>0</v>
      </c>
      <c r="O4492">
        <f>Data!I4504</f>
        <v>0</v>
      </c>
      <c r="P4492" s="21">
        <f>Data!J4508</f>
        <v>0</v>
      </c>
      <c r="Q4492">
        <f>Data!K4508</f>
        <v>0</v>
      </c>
      <c r="R4492">
        <f>Data!L4508</f>
        <v>0</v>
      </c>
      <c r="S4492">
        <f>Data!M4508</f>
        <v>0</v>
      </c>
      <c r="T4492">
        <f>Data!N4508</f>
        <v>0</v>
      </c>
      <c r="U4492">
        <f>Data!O4508</f>
        <v>0</v>
      </c>
      <c r="V4492" s="33">
        <f>Data!P4506</f>
        <v>0</v>
      </c>
    </row>
    <row r="4493" spans="7:22" x14ac:dyDescent="0.25">
      <c r="G4493">
        <f>Data!B4505</f>
        <v>0</v>
      </c>
      <c r="H4493" s="21">
        <f>Data!B4505</f>
        <v>0</v>
      </c>
      <c r="I4493" s="21">
        <f>Data!C4505</f>
        <v>0</v>
      </c>
      <c r="J4493">
        <f>Data!D4505</f>
        <v>0</v>
      </c>
      <c r="K4493">
        <f>Data!E4505</f>
        <v>0</v>
      </c>
      <c r="L4493">
        <f>Data!F4505</f>
        <v>0</v>
      </c>
      <c r="M4493">
        <f>Data!G4505</f>
        <v>0</v>
      </c>
      <c r="N4493">
        <f>Data!H4505</f>
        <v>0</v>
      </c>
      <c r="O4493">
        <f>Data!I4505</f>
        <v>0</v>
      </c>
      <c r="P4493" s="21">
        <f>Data!J4509</f>
        <v>0</v>
      </c>
      <c r="Q4493">
        <f>Data!K4509</f>
        <v>0</v>
      </c>
      <c r="R4493">
        <f>Data!L4509</f>
        <v>0</v>
      </c>
      <c r="S4493">
        <f>Data!M4509</f>
        <v>0</v>
      </c>
      <c r="T4493">
        <f>Data!N4509</f>
        <v>0</v>
      </c>
      <c r="U4493">
        <f>Data!O4509</f>
        <v>0</v>
      </c>
      <c r="V4493" s="33">
        <f>Data!P4507</f>
        <v>0</v>
      </c>
    </row>
    <row r="4494" spans="7:22" x14ac:dyDescent="0.25">
      <c r="G4494">
        <f>Data!B4506</f>
        <v>0</v>
      </c>
      <c r="H4494" s="21">
        <f>Data!B4506</f>
        <v>0</v>
      </c>
      <c r="I4494" s="21">
        <f>Data!C4506</f>
        <v>0</v>
      </c>
      <c r="J4494">
        <f>Data!D4506</f>
        <v>0</v>
      </c>
      <c r="K4494">
        <f>Data!E4506</f>
        <v>0</v>
      </c>
      <c r="L4494">
        <f>Data!F4506</f>
        <v>0</v>
      </c>
      <c r="M4494">
        <f>Data!G4506</f>
        <v>0</v>
      </c>
      <c r="N4494">
        <f>Data!H4506</f>
        <v>0</v>
      </c>
      <c r="O4494">
        <f>Data!I4506</f>
        <v>0</v>
      </c>
      <c r="P4494" s="21">
        <f>Data!J4510</f>
        <v>0</v>
      </c>
      <c r="Q4494">
        <f>Data!K4510</f>
        <v>0</v>
      </c>
      <c r="R4494">
        <f>Data!L4510</f>
        <v>0</v>
      </c>
      <c r="S4494">
        <f>Data!M4510</f>
        <v>0</v>
      </c>
      <c r="T4494">
        <f>Data!N4510</f>
        <v>0</v>
      </c>
      <c r="U4494">
        <f>Data!O4510</f>
        <v>0</v>
      </c>
      <c r="V4494" s="33">
        <f>Data!P4508</f>
        <v>0</v>
      </c>
    </row>
    <row r="4495" spans="7:22" x14ac:dyDescent="0.25">
      <c r="G4495">
        <f>Data!B4507</f>
        <v>0</v>
      </c>
      <c r="H4495" s="21">
        <f>Data!B4507</f>
        <v>0</v>
      </c>
      <c r="I4495" s="21">
        <f>Data!C4507</f>
        <v>0</v>
      </c>
      <c r="J4495">
        <f>Data!D4507</f>
        <v>0</v>
      </c>
      <c r="K4495">
        <f>Data!E4507</f>
        <v>0</v>
      </c>
      <c r="L4495">
        <f>Data!F4507</f>
        <v>0</v>
      </c>
      <c r="M4495">
        <f>Data!G4507</f>
        <v>0</v>
      </c>
      <c r="N4495">
        <f>Data!H4507</f>
        <v>0</v>
      </c>
      <c r="O4495">
        <f>Data!I4507</f>
        <v>0</v>
      </c>
      <c r="P4495" s="21">
        <f>Data!J4511</f>
        <v>0</v>
      </c>
      <c r="Q4495">
        <f>Data!K4511</f>
        <v>0</v>
      </c>
      <c r="R4495">
        <f>Data!L4511</f>
        <v>0</v>
      </c>
      <c r="S4495">
        <f>Data!M4511</f>
        <v>0</v>
      </c>
      <c r="T4495">
        <f>Data!N4511</f>
        <v>0</v>
      </c>
      <c r="U4495">
        <f>Data!O4511</f>
        <v>0</v>
      </c>
      <c r="V4495" s="33">
        <f>Data!P4509</f>
        <v>0</v>
      </c>
    </row>
    <row r="4496" spans="7:22" x14ac:dyDescent="0.25">
      <c r="G4496">
        <f>Data!B4508</f>
        <v>0</v>
      </c>
      <c r="H4496" s="21">
        <f>Data!B4508</f>
        <v>0</v>
      </c>
      <c r="I4496" s="21">
        <f>Data!C4508</f>
        <v>0</v>
      </c>
      <c r="J4496">
        <f>Data!D4508</f>
        <v>0</v>
      </c>
      <c r="K4496">
        <f>Data!E4508</f>
        <v>0</v>
      </c>
      <c r="L4496">
        <f>Data!F4508</f>
        <v>0</v>
      </c>
      <c r="M4496">
        <f>Data!G4508</f>
        <v>0</v>
      </c>
      <c r="N4496">
        <f>Data!H4508</f>
        <v>0</v>
      </c>
      <c r="O4496">
        <f>Data!I4508</f>
        <v>0</v>
      </c>
      <c r="P4496" s="21">
        <f>Data!J4512</f>
        <v>0</v>
      </c>
      <c r="Q4496">
        <f>Data!K4512</f>
        <v>0</v>
      </c>
      <c r="R4496">
        <f>Data!L4512</f>
        <v>0</v>
      </c>
      <c r="S4496">
        <f>Data!M4512</f>
        <v>0</v>
      </c>
      <c r="T4496">
        <f>Data!N4512</f>
        <v>0</v>
      </c>
      <c r="U4496">
        <f>Data!O4512</f>
        <v>0</v>
      </c>
      <c r="V4496" s="33">
        <f>Data!P4510</f>
        <v>0</v>
      </c>
    </row>
    <row r="4497" spans="7:22" x14ac:dyDescent="0.25">
      <c r="G4497">
        <f>Data!B4509</f>
        <v>0</v>
      </c>
      <c r="H4497" s="21">
        <f>Data!B4509</f>
        <v>0</v>
      </c>
      <c r="I4497" s="21">
        <f>Data!C4509</f>
        <v>0</v>
      </c>
      <c r="J4497">
        <f>Data!D4509</f>
        <v>0</v>
      </c>
      <c r="K4497">
        <f>Data!E4509</f>
        <v>0</v>
      </c>
      <c r="L4497">
        <f>Data!F4509</f>
        <v>0</v>
      </c>
      <c r="M4497">
        <f>Data!G4509</f>
        <v>0</v>
      </c>
      <c r="N4497">
        <f>Data!H4509</f>
        <v>0</v>
      </c>
      <c r="O4497">
        <f>Data!I4509</f>
        <v>0</v>
      </c>
      <c r="P4497" s="21">
        <f>Data!J4513</f>
        <v>0</v>
      </c>
      <c r="Q4497">
        <f>Data!K4513</f>
        <v>0</v>
      </c>
      <c r="R4497">
        <f>Data!L4513</f>
        <v>0</v>
      </c>
      <c r="S4497">
        <f>Data!M4513</f>
        <v>0</v>
      </c>
      <c r="T4497">
        <f>Data!N4513</f>
        <v>0</v>
      </c>
      <c r="U4497">
        <f>Data!O4513</f>
        <v>0</v>
      </c>
      <c r="V4497" s="33">
        <f>Data!P4511</f>
        <v>0</v>
      </c>
    </row>
    <row r="4498" spans="7:22" x14ac:dyDescent="0.25">
      <c r="G4498">
        <f>Data!B4510</f>
        <v>0</v>
      </c>
      <c r="H4498" s="21">
        <f>Data!B4510</f>
        <v>0</v>
      </c>
      <c r="I4498" s="21">
        <f>Data!C4510</f>
        <v>0</v>
      </c>
      <c r="J4498">
        <f>Data!D4510</f>
        <v>0</v>
      </c>
      <c r="K4498">
        <f>Data!E4510</f>
        <v>0</v>
      </c>
      <c r="L4498">
        <f>Data!F4510</f>
        <v>0</v>
      </c>
      <c r="M4498">
        <f>Data!G4510</f>
        <v>0</v>
      </c>
      <c r="N4498">
        <f>Data!H4510</f>
        <v>0</v>
      </c>
      <c r="O4498">
        <f>Data!I4510</f>
        <v>0</v>
      </c>
      <c r="P4498" s="21">
        <f>Data!J4514</f>
        <v>0</v>
      </c>
      <c r="Q4498">
        <f>Data!K4514</f>
        <v>0</v>
      </c>
      <c r="R4498">
        <f>Data!L4514</f>
        <v>0</v>
      </c>
      <c r="S4498">
        <f>Data!M4514</f>
        <v>0</v>
      </c>
      <c r="T4498">
        <f>Data!N4514</f>
        <v>0</v>
      </c>
      <c r="U4498">
        <f>Data!O4514</f>
        <v>0</v>
      </c>
      <c r="V4498" s="33">
        <f>Data!P4512</f>
        <v>0</v>
      </c>
    </row>
    <row r="4499" spans="7:22" x14ac:dyDescent="0.25">
      <c r="G4499">
        <f>Data!B4511</f>
        <v>0</v>
      </c>
      <c r="H4499" s="21">
        <f>Data!B4511</f>
        <v>0</v>
      </c>
      <c r="I4499" s="21">
        <f>Data!C4511</f>
        <v>0</v>
      </c>
      <c r="J4499">
        <f>Data!D4511</f>
        <v>0</v>
      </c>
      <c r="K4499">
        <f>Data!E4511</f>
        <v>0</v>
      </c>
      <c r="L4499">
        <f>Data!F4511</f>
        <v>0</v>
      </c>
      <c r="M4499">
        <f>Data!G4511</f>
        <v>0</v>
      </c>
      <c r="N4499">
        <f>Data!H4511</f>
        <v>0</v>
      </c>
      <c r="O4499">
        <f>Data!I4511</f>
        <v>0</v>
      </c>
      <c r="P4499" s="21">
        <f>Data!J4515</f>
        <v>0</v>
      </c>
      <c r="Q4499">
        <f>Data!K4515</f>
        <v>0</v>
      </c>
      <c r="R4499">
        <f>Data!L4515</f>
        <v>0</v>
      </c>
      <c r="S4499">
        <f>Data!M4515</f>
        <v>0</v>
      </c>
      <c r="T4499">
        <f>Data!N4515</f>
        <v>0</v>
      </c>
      <c r="U4499">
        <f>Data!O4515</f>
        <v>0</v>
      </c>
      <c r="V4499" s="33">
        <f>Data!P4513</f>
        <v>0</v>
      </c>
    </row>
    <row r="4500" spans="7:22" x14ac:dyDescent="0.25">
      <c r="G4500">
        <f>Data!B4512</f>
        <v>0</v>
      </c>
      <c r="H4500" s="21">
        <f>Data!B4512</f>
        <v>0</v>
      </c>
      <c r="I4500" s="21">
        <f>Data!C4512</f>
        <v>0</v>
      </c>
      <c r="J4500">
        <f>Data!D4512</f>
        <v>0</v>
      </c>
      <c r="K4500">
        <f>Data!E4512</f>
        <v>0</v>
      </c>
      <c r="L4500">
        <f>Data!F4512</f>
        <v>0</v>
      </c>
      <c r="M4500">
        <f>Data!G4512</f>
        <v>0</v>
      </c>
      <c r="N4500">
        <f>Data!H4512</f>
        <v>0</v>
      </c>
      <c r="O4500">
        <f>Data!I4512</f>
        <v>0</v>
      </c>
      <c r="P4500" s="21">
        <f>Data!J4516</f>
        <v>0</v>
      </c>
      <c r="Q4500">
        <f>Data!K4516</f>
        <v>0</v>
      </c>
      <c r="R4500">
        <f>Data!L4516</f>
        <v>0</v>
      </c>
      <c r="S4500">
        <f>Data!M4516</f>
        <v>0</v>
      </c>
      <c r="T4500">
        <f>Data!N4516</f>
        <v>0</v>
      </c>
      <c r="U4500">
        <f>Data!O4516</f>
        <v>0</v>
      </c>
      <c r="V4500" s="33">
        <f>Data!P4514</f>
        <v>0</v>
      </c>
    </row>
    <row r="4501" spans="7:22" x14ac:dyDescent="0.25">
      <c r="G4501">
        <f>Data!B4513</f>
        <v>0</v>
      </c>
      <c r="H4501" s="21">
        <f>Data!B4513</f>
        <v>0</v>
      </c>
      <c r="I4501" s="21">
        <f>Data!C4513</f>
        <v>0</v>
      </c>
      <c r="J4501">
        <f>Data!D4513</f>
        <v>0</v>
      </c>
      <c r="K4501">
        <f>Data!E4513</f>
        <v>0</v>
      </c>
      <c r="L4501">
        <f>Data!F4513</f>
        <v>0</v>
      </c>
      <c r="M4501">
        <f>Data!G4513</f>
        <v>0</v>
      </c>
      <c r="N4501">
        <f>Data!H4513</f>
        <v>0</v>
      </c>
      <c r="O4501">
        <f>Data!I4513</f>
        <v>0</v>
      </c>
      <c r="P4501" s="21">
        <f>Data!J4517</f>
        <v>0</v>
      </c>
      <c r="Q4501">
        <f>Data!K4517</f>
        <v>0</v>
      </c>
      <c r="R4501">
        <f>Data!L4517</f>
        <v>0</v>
      </c>
      <c r="S4501">
        <f>Data!M4517</f>
        <v>0</v>
      </c>
      <c r="T4501">
        <f>Data!N4517</f>
        <v>0</v>
      </c>
      <c r="U4501">
        <f>Data!O4517</f>
        <v>0</v>
      </c>
      <c r="V4501" s="33">
        <f>Data!P4515</f>
        <v>0</v>
      </c>
    </row>
    <row r="4502" spans="7:22" x14ac:dyDescent="0.25">
      <c r="G4502">
        <f>Data!B4514</f>
        <v>0</v>
      </c>
      <c r="H4502" s="21">
        <f>Data!B4514</f>
        <v>0</v>
      </c>
      <c r="I4502" s="21">
        <f>Data!C4514</f>
        <v>0</v>
      </c>
      <c r="J4502">
        <f>Data!D4514</f>
        <v>0</v>
      </c>
      <c r="K4502">
        <f>Data!E4514</f>
        <v>0</v>
      </c>
      <c r="L4502">
        <f>Data!F4514</f>
        <v>0</v>
      </c>
      <c r="M4502">
        <f>Data!G4514</f>
        <v>0</v>
      </c>
      <c r="N4502">
        <f>Data!H4514</f>
        <v>0</v>
      </c>
      <c r="O4502">
        <f>Data!I4514</f>
        <v>0</v>
      </c>
      <c r="P4502" s="21">
        <f>Data!J4518</f>
        <v>0</v>
      </c>
      <c r="Q4502">
        <f>Data!K4518</f>
        <v>0</v>
      </c>
      <c r="R4502">
        <f>Data!L4518</f>
        <v>0</v>
      </c>
      <c r="S4502">
        <f>Data!M4518</f>
        <v>0</v>
      </c>
      <c r="T4502">
        <f>Data!N4518</f>
        <v>0</v>
      </c>
      <c r="U4502">
        <f>Data!O4518</f>
        <v>0</v>
      </c>
      <c r="V4502" s="33">
        <f>Data!P4516</f>
        <v>0</v>
      </c>
    </row>
    <row r="4503" spans="7:22" x14ac:dyDescent="0.25">
      <c r="G4503">
        <f>Data!B4515</f>
        <v>0</v>
      </c>
      <c r="H4503" s="21">
        <f>Data!B4515</f>
        <v>0</v>
      </c>
      <c r="I4503" s="21">
        <f>Data!C4515</f>
        <v>0</v>
      </c>
      <c r="J4503">
        <f>Data!D4515</f>
        <v>0</v>
      </c>
      <c r="K4503">
        <f>Data!E4515</f>
        <v>0</v>
      </c>
      <c r="L4503">
        <f>Data!F4515</f>
        <v>0</v>
      </c>
      <c r="M4503">
        <f>Data!G4515</f>
        <v>0</v>
      </c>
      <c r="N4503">
        <f>Data!H4515</f>
        <v>0</v>
      </c>
      <c r="O4503">
        <f>Data!I4515</f>
        <v>0</v>
      </c>
      <c r="P4503" s="21">
        <f>Data!J4519</f>
        <v>0</v>
      </c>
      <c r="Q4503">
        <f>Data!K4519</f>
        <v>0</v>
      </c>
      <c r="R4503">
        <f>Data!L4519</f>
        <v>0</v>
      </c>
      <c r="S4503">
        <f>Data!M4519</f>
        <v>0</v>
      </c>
      <c r="T4503">
        <f>Data!N4519</f>
        <v>0</v>
      </c>
      <c r="U4503">
        <f>Data!O4519</f>
        <v>0</v>
      </c>
      <c r="V4503" s="33">
        <f>Data!P4517</f>
        <v>0</v>
      </c>
    </row>
    <row r="4504" spans="7:22" x14ac:dyDescent="0.25">
      <c r="G4504">
        <f>Data!B4516</f>
        <v>0</v>
      </c>
      <c r="H4504" s="21">
        <f>Data!B4516</f>
        <v>0</v>
      </c>
      <c r="I4504" s="21">
        <f>Data!C4516</f>
        <v>0</v>
      </c>
      <c r="J4504">
        <f>Data!D4516</f>
        <v>0</v>
      </c>
      <c r="K4504">
        <f>Data!E4516</f>
        <v>0</v>
      </c>
      <c r="L4504">
        <f>Data!F4516</f>
        <v>0</v>
      </c>
      <c r="M4504">
        <f>Data!G4516</f>
        <v>0</v>
      </c>
      <c r="N4504">
        <f>Data!H4516</f>
        <v>0</v>
      </c>
      <c r="O4504">
        <f>Data!I4516</f>
        <v>0</v>
      </c>
      <c r="P4504" s="21">
        <f>Data!J4520</f>
        <v>0</v>
      </c>
      <c r="Q4504">
        <f>Data!K4520</f>
        <v>0</v>
      </c>
      <c r="R4504">
        <f>Data!L4520</f>
        <v>0</v>
      </c>
      <c r="S4504">
        <f>Data!M4520</f>
        <v>0</v>
      </c>
      <c r="T4504">
        <f>Data!N4520</f>
        <v>0</v>
      </c>
      <c r="U4504">
        <f>Data!O4520</f>
        <v>0</v>
      </c>
      <c r="V4504" s="33">
        <f>Data!P4518</f>
        <v>0</v>
      </c>
    </row>
    <row r="4505" spans="7:22" x14ac:dyDescent="0.25">
      <c r="G4505">
        <f>Data!B4517</f>
        <v>0</v>
      </c>
      <c r="H4505" s="21">
        <f>Data!B4517</f>
        <v>0</v>
      </c>
      <c r="I4505" s="21">
        <f>Data!C4517</f>
        <v>0</v>
      </c>
      <c r="J4505">
        <f>Data!D4517</f>
        <v>0</v>
      </c>
      <c r="K4505">
        <f>Data!E4517</f>
        <v>0</v>
      </c>
      <c r="L4505">
        <f>Data!F4517</f>
        <v>0</v>
      </c>
      <c r="M4505">
        <f>Data!G4517</f>
        <v>0</v>
      </c>
      <c r="N4505">
        <f>Data!H4517</f>
        <v>0</v>
      </c>
      <c r="O4505">
        <f>Data!I4517</f>
        <v>0</v>
      </c>
      <c r="P4505" s="21">
        <f>Data!J4521</f>
        <v>0</v>
      </c>
      <c r="Q4505">
        <f>Data!K4521</f>
        <v>0</v>
      </c>
      <c r="R4505">
        <f>Data!L4521</f>
        <v>0</v>
      </c>
      <c r="S4505">
        <f>Data!M4521</f>
        <v>0</v>
      </c>
      <c r="T4505">
        <f>Data!N4521</f>
        <v>0</v>
      </c>
      <c r="U4505">
        <f>Data!O4521</f>
        <v>0</v>
      </c>
      <c r="V4505" s="33">
        <f>Data!P4519</f>
        <v>0</v>
      </c>
    </row>
    <row r="4506" spans="7:22" x14ac:dyDescent="0.25">
      <c r="G4506">
        <f>Data!B4518</f>
        <v>0</v>
      </c>
      <c r="H4506" s="21">
        <f>Data!B4518</f>
        <v>0</v>
      </c>
      <c r="I4506" s="21">
        <f>Data!C4518</f>
        <v>0</v>
      </c>
      <c r="J4506">
        <f>Data!D4518</f>
        <v>0</v>
      </c>
      <c r="K4506">
        <f>Data!E4518</f>
        <v>0</v>
      </c>
      <c r="L4506">
        <f>Data!F4518</f>
        <v>0</v>
      </c>
      <c r="M4506">
        <f>Data!G4518</f>
        <v>0</v>
      </c>
      <c r="N4506">
        <f>Data!H4518</f>
        <v>0</v>
      </c>
      <c r="O4506">
        <f>Data!I4518</f>
        <v>0</v>
      </c>
      <c r="P4506" s="21">
        <f>Data!J4522</f>
        <v>0</v>
      </c>
      <c r="Q4506">
        <f>Data!K4522</f>
        <v>0</v>
      </c>
      <c r="R4506">
        <f>Data!L4522</f>
        <v>0</v>
      </c>
      <c r="S4506">
        <f>Data!M4522</f>
        <v>0</v>
      </c>
      <c r="T4506">
        <f>Data!N4522</f>
        <v>0</v>
      </c>
      <c r="U4506">
        <f>Data!O4522</f>
        <v>0</v>
      </c>
      <c r="V4506" s="33">
        <f>Data!P4520</f>
        <v>0</v>
      </c>
    </row>
    <row r="4507" spans="7:22" x14ac:dyDescent="0.25">
      <c r="G4507">
        <f>Data!B4519</f>
        <v>0</v>
      </c>
      <c r="H4507" s="21">
        <f>Data!B4519</f>
        <v>0</v>
      </c>
      <c r="I4507" s="21">
        <f>Data!C4519</f>
        <v>0</v>
      </c>
      <c r="J4507">
        <f>Data!D4519</f>
        <v>0</v>
      </c>
      <c r="K4507">
        <f>Data!E4519</f>
        <v>0</v>
      </c>
      <c r="L4507">
        <f>Data!F4519</f>
        <v>0</v>
      </c>
      <c r="M4507">
        <f>Data!G4519</f>
        <v>0</v>
      </c>
      <c r="N4507">
        <f>Data!H4519</f>
        <v>0</v>
      </c>
      <c r="O4507">
        <f>Data!I4519</f>
        <v>0</v>
      </c>
      <c r="P4507" s="21">
        <f>Data!J4523</f>
        <v>0</v>
      </c>
      <c r="Q4507">
        <f>Data!K4523</f>
        <v>0</v>
      </c>
      <c r="R4507">
        <f>Data!L4523</f>
        <v>0</v>
      </c>
      <c r="S4507">
        <f>Data!M4523</f>
        <v>0</v>
      </c>
      <c r="T4507">
        <f>Data!N4523</f>
        <v>0</v>
      </c>
      <c r="U4507">
        <f>Data!O4523</f>
        <v>0</v>
      </c>
      <c r="V4507" s="33">
        <f>Data!P4521</f>
        <v>0</v>
      </c>
    </row>
    <row r="4508" spans="7:22" x14ac:dyDescent="0.25">
      <c r="G4508">
        <f>Data!B4520</f>
        <v>0</v>
      </c>
      <c r="H4508" s="21">
        <f>Data!B4520</f>
        <v>0</v>
      </c>
      <c r="I4508" s="21">
        <f>Data!C4520</f>
        <v>0</v>
      </c>
      <c r="J4508">
        <f>Data!D4520</f>
        <v>0</v>
      </c>
      <c r="K4508">
        <f>Data!E4520</f>
        <v>0</v>
      </c>
      <c r="L4508">
        <f>Data!F4520</f>
        <v>0</v>
      </c>
      <c r="M4508">
        <f>Data!G4520</f>
        <v>0</v>
      </c>
      <c r="N4508">
        <f>Data!H4520</f>
        <v>0</v>
      </c>
      <c r="O4508">
        <f>Data!I4520</f>
        <v>0</v>
      </c>
      <c r="P4508" s="21">
        <f>Data!J4524</f>
        <v>0</v>
      </c>
      <c r="Q4508">
        <f>Data!K4524</f>
        <v>0</v>
      </c>
      <c r="R4508">
        <f>Data!L4524</f>
        <v>0</v>
      </c>
      <c r="S4508">
        <f>Data!M4524</f>
        <v>0</v>
      </c>
      <c r="T4508">
        <f>Data!N4524</f>
        <v>0</v>
      </c>
      <c r="U4508">
        <f>Data!O4524</f>
        <v>0</v>
      </c>
      <c r="V4508" s="33">
        <f>Data!P4522</f>
        <v>0</v>
      </c>
    </row>
    <row r="4509" spans="7:22" x14ac:dyDescent="0.25">
      <c r="G4509">
        <f>Data!B4521</f>
        <v>0</v>
      </c>
      <c r="H4509" s="21">
        <f>Data!B4521</f>
        <v>0</v>
      </c>
      <c r="I4509" s="21">
        <f>Data!C4521</f>
        <v>0</v>
      </c>
      <c r="J4509">
        <f>Data!D4521</f>
        <v>0</v>
      </c>
      <c r="K4509">
        <f>Data!E4521</f>
        <v>0</v>
      </c>
      <c r="L4509">
        <f>Data!F4521</f>
        <v>0</v>
      </c>
      <c r="M4509">
        <f>Data!G4521</f>
        <v>0</v>
      </c>
      <c r="N4509">
        <f>Data!H4521</f>
        <v>0</v>
      </c>
      <c r="O4509">
        <f>Data!I4521</f>
        <v>0</v>
      </c>
      <c r="P4509" s="21">
        <f>Data!J4525</f>
        <v>0</v>
      </c>
      <c r="Q4509">
        <f>Data!K4525</f>
        <v>0</v>
      </c>
      <c r="R4509">
        <f>Data!L4525</f>
        <v>0</v>
      </c>
      <c r="S4509">
        <f>Data!M4525</f>
        <v>0</v>
      </c>
      <c r="T4509">
        <f>Data!N4525</f>
        <v>0</v>
      </c>
      <c r="U4509">
        <f>Data!O4525</f>
        <v>0</v>
      </c>
      <c r="V4509" s="33">
        <f>Data!P4523</f>
        <v>0</v>
      </c>
    </row>
    <row r="4510" spans="7:22" x14ac:dyDescent="0.25">
      <c r="G4510">
        <f>Data!B4522</f>
        <v>0</v>
      </c>
      <c r="H4510" s="21">
        <f>Data!B4522</f>
        <v>0</v>
      </c>
      <c r="I4510" s="21">
        <f>Data!C4522</f>
        <v>0</v>
      </c>
      <c r="J4510">
        <f>Data!D4522</f>
        <v>0</v>
      </c>
      <c r="K4510">
        <f>Data!E4522</f>
        <v>0</v>
      </c>
      <c r="L4510">
        <f>Data!F4522</f>
        <v>0</v>
      </c>
      <c r="M4510">
        <f>Data!G4522</f>
        <v>0</v>
      </c>
      <c r="N4510">
        <f>Data!H4522</f>
        <v>0</v>
      </c>
      <c r="O4510">
        <f>Data!I4522</f>
        <v>0</v>
      </c>
      <c r="P4510" s="21">
        <f>Data!J4526</f>
        <v>0</v>
      </c>
      <c r="Q4510">
        <f>Data!K4526</f>
        <v>0</v>
      </c>
      <c r="R4510">
        <f>Data!L4526</f>
        <v>0</v>
      </c>
      <c r="S4510">
        <f>Data!M4526</f>
        <v>0</v>
      </c>
      <c r="T4510">
        <f>Data!N4526</f>
        <v>0</v>
      </c>
      <c r="U4510">
        <f>Data!O4526</f>
        <v>0</v>
      </c>
      <c r="V4510" s="33">
        <f>Data!P4524</f>
        <v>0</v>
      </c>
    </row>
    <row r="4511" spans="7:22" x14ac:dyDescent="0.25">
      <c r="G4511">
        <f>Data!B4523</f>
        <v>0</v>
      </c>
      <c r="H4511" s="21">
        <f>Data!B4523</f>
        <v>0</v>
      </c>
      <c r="I4511" s="21">
        <f>Data!C4523</f>
        <v>0</v>
      </c>
      <c r="J4511">
        <f>Data!D4523</f>
        <v>0</v>
      </c>
      <c r="K4511">
        <f>Data!E4523</f>
        <v>0</v>
      </c>
      <c r="L4511">
        <f>Data!F4523</f>
        <v>0</v>
      </c>
      <c r="M4511">
        <f>Data!G4523</f>
        <v>0</v>
      </c>
      <c r="N4511">
        <f>Data!H4523</f>
        <v>0</v>
      </c>
      <c r="O4511">
        <f>Data!I4523</f>
        <v>0</v>
      </c>
      <c r="P4511" s="21">
        <f>Data!J4527</f>
        <v>0</v>
      </c>
      <c r="Q4511">
        <f>Data!K4527</f>
        <v>0</v>
      </c>
      <c r="R4511">
        <f>Data!L4527</f>
        <v>0</v>
      </c>
      <c r="S4511">
        <f>Data!M4527</f>
        <v>0</v>
      </c>
      <c r="T4511">
        <f>Data!N4527</f>
        <v>0</v>
      </c>
      <c r="U4511">
        <f>Data!O4527</f>
        <v>0</v>
      </c>
      <c r="V4511" s="33">
        <f>Data!P4525</f>
        <v>0</v>
      </c>
    </row>
    <row r="4512" spans="7:22" x14ac:dyDescent="0.25">
      <c r="G4512">
        <f>Data!B4524</f>
        <v>0</v>
      </c>
      <c r="H4512" s="21">
        <f>Data!B4524</f>
        <v>0</v>
      </c>
      <c r="I4512" s="21">
        <f>Data!C4524</f>
        <v>0</v>
      </c>
      <c r="J4512">
        <f>Data!D4524</f>
        <v>0</v>
      </c>
      <c r="K4512">
        <f>Data!E4524</f>
        <v>0</v>
      </c>
      <c r="L4512">
        <f>Data!F4524</f>
        <v>0</v>
      </c>
      <c r="M4512">
        <f>Data!G4524</f>
        <v>0</v>
      </c>
      <c r="N4512">
        <f>Data!H4524</f>
        <v>0</v>
      </c>
      <c r="O4512">
        <f>Data!I4524</f>
        <v>0</v>
      </c>
      <c r="P4512" s="21">
        <f>Data!J4528</f>
        <v>0</v>
      </c>
      <c r="Q4512">
        <f>Data!K4528</f>
        <v>0</v>
      </c>
      <c r="R4512">
        <f>Data!L4528</f>
        <v>0</v>
      </c>
      <c r="S4512">
        <f>Data!M4528</f>
        <v>0</v>
      </c>
      <c r="T4512">
        <f>Data!N4528</f>
        <v>0</v>
      </c>
      <c r="U4512">
        <f>Data!O4528</f>
        <v>0</v>
      </c>
      <c r="V4512" s="33">
        <f>Data!P4526</f>
        <v>0</v>
      </c>
    </row>
    <row r="4513" spans="7:22" x14ac:dyDescent="0.25">
      <c r="G4513">
        <f>Data!B4525</f>
        <v>0</v>
      </c>
      <c r="H4513" s="21">
        <f>Data!B4525</f>
        <v>0</v>
      </c>
      <c r="I4513" s="21">
        <f>Data!C4525</f>
        <v>0</v>
      </c>
      <c r="J4513">
        <f>Data!D4525</f>
        <v>0</v>
      </c>
      <c r="K4513">
        <f>Data!E4525</f>
        <v>0</v>
      </c>
      <c r="L4513">
        <f>Data!F4525</f>
        <v>0</v>
      </c>
      <c r="M4513">
        <f>Data!G4525</f>
        <v>0</v>
      </c>
      <c r="N4513">
        <f>Data!H4525</f>
        <v>0</v>
      </c>
      <c r="O4513">
        <f>Data!I4525</f>
        <v>0</v>
      </c>
      <c r="P4513" s="21">
        <f>Data!J4529</f>
        <v>0</v>
      </c>
      <c r="Q4513">
        <f>Data!K4529</f>
        <v>0</v>
      </c>
      <c r="R4513">
        <f>Data!L4529</f>
        <v>0</v>
      </c>
      <c r="S4513">
        <f>Data!M4529</f>
        <v>0</v>
      </c>
      <c r="T4513">
        <f>Data!N4529</f>
        <v>0</v>
      </c>
      <c r="U4513">
        <f>Data!O4529</f>
        <v>0</v>
      </c>
      <c r="V4513" s="33">
        <f>Data!P4527</f>
        <v>0</v>
      </c>
    </row>
    <row r="4514" spans="7:22" x14ac:dyDescent="0.25">
      <c r="G4514">
        <f>Data!B4526</f>
        <v>0</v>
      </c>
      <c r="H4514" s="21">
        <f>Data!B4526</f>
        <v>0</v>
      </c>
      <c r="I4514" s="21">
        <f>Data!C4526</f>
        <v>0</v>
      </c>
      <c r="J4514">
        <f>Data!D4526</f>
        <v>0</v>
      </c>
      <c r="K4514">
        <f>Data!E4526</f>
        <v>0</v>
      </c>
      <c r="L4514">
        <f>Data!F4526</f>
        <v>0</v>
      </c>
      <c r="M4514">
        <f>Data!G4526</f>
        <v>0</v>
      </c>
      <c r="N4514">
        <f>Data!H4526</f>
        <v>0</v>
      </c>
      <c r="O4514">
        <f>Data!I4526</f>
        <v>0</v>
      </c>
      <c r="P4514" s="21">
        <f>Data!J4530</f>
        <v>0</v>
      </c>
      <c r="Q4514">
        <f>Data!K4530</f>
        <v>0</v>
      </c>
      <c r="R4514">
        <f>Data!L4530</f>
        <v>0</v>
      </c>
      <c r="S4514">
        <f>Data!M4530</f>
        <v>0</v>
      </c>
      <c r="T4514">
        <f>Data!N4530</f>
        <v>0</v>
      </c>
      <c r="U4514">
        <f>Data!O4530</f>
        <v>0</v>
      </c>
      <c r="V4514" s="33">
        <f>Data!P4528</f>
        <v>0</v>
      </c>
    </row>
    <row r="4515" spans="7:22" x14ac:dyDescent="0.25">
      <c r="G4515">
        <f>Data!B4527</f>
        <v>0</v>
      </c>
      <c r="H4515" s="21">
        <f>Data!B4527</f>
        <v>0</v>
      </c>
      <c r="I4515" s="21">
        <f>Data!C4527</f>
        <v>0</v>
      </c>
      <c r="J4515">
        <f>Data!D4527</f>
        <v>0</v>
      </c>
      <c r="K4515">
        <f>Data!E4527</f>
        <v>0</v>
      </c>
      <c r="L4515">
        <f>Data!F4527</f>
        <v>0</v>
      </c>
      <c r="M4515">
        <f>Data!G4527</f>
        <v>0</v>
      </c>
      <c r="N4515">
        <f>Data!H4527</f>
        <v>0</v>
      </c>
      <c r="O4515">
        <f>Data!I4527</f>
        <v>0</v>
      </c>
      <c r="P4515" s="21">
        <f>Data!J4531</f>
        <v>0</v>
      </c>
      <c r="Q4515">
        <f>Data!K4531</f>
        <v>0</v>
      </c>
      <c r="R4515">
        <f>Data!L4531</f>
        <v>0</v>
      </c>
      <c r="S4515">
        <f>Data!M4531</f>
        <v>0</v>
      </c>
      <c r="T4515">
        <f>Data!N4531</f>
        <v>0</v>
      </c>
      <c r="U4515">
        <f>Data!O4531</f>
        <v>0</v>
      </c>
      <c r="V4515" s="33">
        <f>Data!P4529</f>
        <v>0</v>
      </c>
    </row>
    <row r="4516" spans="7:22" x14ac:dyDescent="0.25">
      <c r="G4516">
        <f>Data!B4528</f>
        <v>0</v>
      </c>
      <c r="H4516" s="21">
        <f>Data!B4528</f>
        <v>0</v>
      </c>
      <c r="I4516" s="21">
        <f>Data!C4528</f>
        <v>0</v>
      </c>
      <c r="J4516">
        <f>Data!D4528</f>
        <v>0</v>
      </c>
      <c r="K4516">
        <f>Data!E4528</f>
        <v>0</v>
      </c>
      <c r="L4516">
        <f>Data!F4528</f>
        <v>0</v>
      </c>
      <c r="M4516">
        <f>Data!G4528</f>
        <v>0</v>
      </c>
      <c r="N4516">
        <f>Data!H4528</f>
        <v>0</v>
      </c>
      <c r="O4516">
        <f>Data!I4528</f>
        <v>0</v>
      </c>
      <c r="P4516" s="21">
        <f>Data!J4532</f>
        <v>0</v>
      </c>
      <c r="Q4516">
        <f>Data!K4532</f>
        <v>0</v>
      </c>
      <c r="R4516">
        <f>Data!L4532</f>
        <v>0</v>
      </c>
      <c r="S4516">
        <f>Data!M4532</f>
        <v>0</v>
      </c>
      <c r="T4516">
        <f>Data!N4532</f>
        <v>0</v>
      </c>
      <c r="U4516">
        <f>Data!O4532</f>
        <v>0</v>
      </c>
      <c r="V4516" s="33">
        <f>Data!P4530</f>
        <v>0</v>
      </c>
    </row>
    <row r="4517" spans="7:22" x14ac:dyDescent="0.25">
      <c r="G4517">
        <f>Data!B4529</f>
        <v>0</v>
      </c>
      <c r="H4517" s="21">
        <f>Data!B4529</f>
        <v>0</v>
      </c>
      <c r="I4517" s="21">
        <f>Data!C4529</f>
        <v>0</v>
      </c>
      <c r="J4517">
        <f>Data!D4529</f>
        <v>0</v>
      </c>
      <c r="K4517">
        <f>Data!E4529</f>
        <v>0</v>
      </c>
      <c r="L4517">
        <f>Data!F4529</f>
        <v>0</v>
      </c>
      <c r="M4517">
        <f>Data!G4529</f>
        <v>0</v>
      </c>
      <c r="N4517">
        <f>Data!H4529</f>
        <v>0</v>
      </c>
      <c r="O4517">
        <f>Data!I4529</f>
        <v>0</v>
      </c>
      <c r="P4517" s="21">
        <f>Data!J4533</f>
        <v>0</v>
      </c>
      <c r="Q4517">
        <f>Data!K4533</f>
        <v>0</v>
      </c>
      <c r="R4517">
        <f>Data!L4533</f>
        <v>0</v>
      </c>
      <c r="S4517">
        <f>Data!M4533</f>
        <v>0</v>
      </c>
      <c r="T4517">
        <f>Data!N4533</f>
        <v>0</v>
      </c>
      <c r="U4517">
        <f>Data!O4533</f>
        <v>0</v>
      </c>
      <c r="V4517" s="33">
        <f>Data!P4531</f>
        <v>0</v>
      </c>
    </row>
    <row r="4518" spans="7:22" x14ac:dyDescent="0.25">
      <c r="G4518">
        <f>Data!B4530</f>
        <v>0</v>
      </c>
      <c r="H4518" s="21">
        <f>Data!B4530</f>
        <v>0</v>
      </c>
      <c r="I4518" s="21">
        <f>Data!C4530</f>
        <v>0</v>
      </c>
      <c r="J4518">
        <f>Data!D4530</f>
        <v>0</v>
      </c>
      <c r="K4518">
        <f>Data!E4530</f>
        <v>0</v>
      </c>
      <c r="L4518">
        <f>Data!F4530</f>
        <v>0</v>
      </c>
      <c r="M4518">
        <f>Data!G4530</f>
        <v>0</v>
      </c>
      <c r="N4518">
        <f>Data!H4530</f>
        <v>0</v>
      </c>
      <c r="O4518">
        <f>Data!I4530</f>
        <v>0</v>
      </c>
      <c r="P4518" s="21">
        <f>Data!J4534</f>
        <v>0</v>
      </c>
      <c r="Q4518">
        <f>Data!K4534</f>
        <v>0</v>
      </c>
      <c r="R4518">
        <f>Data!L4534</f>
        <v>0</v>
      </c>
      <c r="S4518">
        <f>Data!M4534</f>
        <v>0</v>
      </c>
      <c r="T4518">
        <f>Data!N4534</f>
        <v>0</v>
      </c>
      <c r="U4518">
        <f>Data!O4534</f>
        <v>0</v>
      </c>
      <c r="V4518" s="33">
        <f>Data!P4532</f>
        <v>0</v>
      </c>
    </row>
    <row r="4519" spans="7:22" x14ac:dyDescent="0.25">
      <c r="G4519">
        <f>Data!B4531</f>
        <v>0</v>
      </c>
      <c r="H4519" s="21">
        <f>Data!B4531</f>
        <v>0</v>
      </c>
      <c r="I4519" s="21">
        <f>Data!C4531</f>
        <v>0</v>
      </c>
      <c r="J4519">
        <f>Data!D4531</f>
        <v>0</v>
      </c>
      <c r="K4519">
        <f>Data!E4531</f>
        <v>0</v>
      </c>
      <c r="L4519">
        <f>Data!F4531</f>
        <v>0</v>
      </c>
      <c r="M4519">
        <f>Data!G4531</f>
        <v>0</v>
      </c>
      <c r="N4519">
        <f>Data!H4531</f>
        <v>0</v>
      </c>
      <c r="O4519">
        <f>Data!I4531</f>
        <v>0</v>
      </c>
      <c r="P4519" s="21">
        <f>Data!J4535</f>
        <v>0</v>
      </c>
      <c r="Q4519">
        <f>Data!K4535</f>
        <v>0</v>
      </c>
      <c r="R4519">
        <f>Data!L4535</f>
        <v>0</v>
      </c>
      <c r="S4519">
        <f>Data!M4535</f>
        <v>0</v>
      </c>
      <c r="T4519">
        <f>Data!N4535</f>
        <v>0</v>
      </c>
      <c r="U4519">
        <f>Data!O4535</f>
        <v>0</v>
      </c>
      <c r="V4519" s="33">
        <f>Data!P4533</f>
        <v>0</v>
      </c>
    </row>
    <row r="4520" spans="7:22" x14ac:dyDescent="0.25">
      <c r="G4520">
        <f>Data!B4532</f>
        <v>0</v>
      </c>
      <c r="H4520" s="21">
        <f>Data!B4532</f>
        <v>0</v>
      </c>
      <c r="I4520" s="21">
        <f>Data!C4532</f>
        <v>0</v>
      </c>
      <c r="J4520">
        <f>Data!D4532</f>
        <v>0</v>
      </c>
      <c r="K4520">
        <f>Data!E4532</f>
        <v>0</v>
      </c>
      <c r="L4520">
        <f>Data!F4532</f>
        <v>0</v>
      </c>
      <c r="M4520">
        <f>Data!G4532</f>
        <v>0</v>
      </c>
      <c r="N4520">
        <f>Data!H4532</f>
        <v>0</v>
      </c>
      <c r="O4520">
        <f>Data!I4532</f>
        <v>0</v>
      </c>
      <c r="P4520" s="21">
        <f>Data!J4536</f>
        <v>0</v>
      </c>
      <c r="Q4520">
        <f>Data!K4536</f>
        <v>0</v>
      </c>
      <c r="R4520">
        <f>Data!L4536</f>
        <v>0</v>
      </c>
      <c r="S4520">
        <f>Data!M4536</f>
        <v>0</v>
      </c>
      <c r="T4520">
        <f>Data!N4536</f>
        <v>0</v>
      </c>
      <c r="U4520">
        <f>Data!O4536</f>
        <v>0</v>
      </c>
      <c r="V4520" s="33">
        <f>Data!P4534</f>
        <v>0</v>
      </c>
    </row>
    <row r="4521" spans="7:22" x14ac:dyDescent="0.25">
      <c r="G4521">
        <f>Data!B4533</f>
        <v>0</v>
      </c>
      <c r="H4521" s="21">
        <f>Data!B4533</f>
        <v>0</v>
      </c>
      <c r="I4521" s="21">
        <f>Data!C4533</f>
        <v>0</v>
      </c>
      <c r="J4521">
        <f>Data!D4533</f>
        <v>0</v>
      </c>
      <c r="K4521">
        <f>Data!E4533</f>
        <v>0</v>
      </c>
      <c r="L4521">
        <f>Data!F4533</f>
        <v>0</v>
      </c>
      <c r="M4521">
        <f>Data!G4533</f>
        <v>0</v>
      </c>
      <c r="N4521">
        <f>Data!H4533</f>
        <v>0</v>
      </c>
      <c r="O4521">
        <f>Data!I4533</f>
        <v>0</v>
      </c>
      <c r="P4521" s="21">
        <f>Data!J4537</f>
        <v>0</v>
      </c>
      <c r="Q4521">
        <f>Data!K4537</f>
        <v>0</v>
      </c>
      <c r="R4521">
        <f>Data!L4537</f>
        <v>0</v>
      </c>
      <c r="S4521">
        <f>Data!M4537</f>
        <v>0</v>
      </c>
      <c r="T4521">
        <f>Data!N4537</f>
        <v>0</v>
      </c>
      <c r="U4521">
        <f>Data!O4537</f>
        <v>0</v>
      </c>
      <c r="V4521" s="33">
        <f>Data!P4535</f>
        <v>0</v>
      </c>
    </row>
    <row r="4522" spans="7:22" x14ac:dyDescent="0.25">
      <c r="G4522">
        <f>Data!B4534</f>
        <v>0</v>
      </c>
      <c r="H4522" s="21">
        <f>Data!B4534</f>
        <v>0</v>
      </c>
      <c r="I4522" s="21">
        <f>Data!C4534</f>
        <v>0</v>
      </c>
      <c r="J4522">
        <f>Data!D4534</f>
        <v>0</v>
      </c>
      <c r="K4522">
        <f>Data!E4534</f>
        <v>0</v>
      </c>
      <c r="L4522">
        <f>Data!F4534</f>
        <v>0</v>
      </c>
      <c r="M4522">
        <f>Data!G4534</f>
        <v>0</v>
      </c>
      <c r="N4522">
        <f>Data!H4534</f>
        <v>0</v>
      </c>
      <c r="O4522">
        <f>Data!I4534</f>
        <v>0</v>
      </c>
      <c r="P4522" s="21">
        <f>Data!J4538</f>
        <v>0</v>
      </c>
      <c r="Q4522">
        <f>Data!K4538</f>
        <v>0</v>
      </c>
      <c r="R4522">
        <f>Data!L4538</f>
        <v>0</v>
      </c>
      <c r="S4522">
        <f>Data!M4538</f>
        <v>0</v>
      </c>
      <c r="T4522">
        <f>Data!N4538</f>
        <v>0</v>
      </c>
      <c r="U4522">
        <f>Data!O4538</f>
        <v>0</v>
      </c>
      <c r="V4522" s="33">
        <f>Data!P4536</f>
        <v>0</v>
      </c>
    </row>
    <row r="4523" spans="7:22" x14ac:dyDescent="0.25">
      <c r="G4523">
        <f>Data!B4535</f>
        <v>0</v>
      </c>
      <c r="H4523" s="21">
        <f>Data!B4535</f>
        <v>0</v>
      </c>
      <c r="I4523" s="21">
        <f>Data!C4535</f>
        <v>0</v>
      </c>
      <c r="J4523">
        <f>Data!D4535</f>
        <v>0</v>
      </c>
      <c r="K4523">
        <f>Data!E4535</f>
        <v>0</v>
      </c>
      <c r="L4523">
        <f>Data!F4535</f>
        <v>0</v>
      </c>
      <c r="M4523">
        <f>Data!G4535</f>
        <v>0</v>
      </c>
      <c r="N4523">
        <f>Data!H4535</f>
        <v>0</v>
      </c>
      <c r="O4523">
        <f>Data!I4535</f>
        <v>0</v>
      </c>
      <c r="P4523" s="21">
        <f>Data!J4539</f>
        <v>0</v>
      </c>
      <c r="Q4523">
        <f>Data!K4539</f>
        <v>0</v>
      </c>
      <c r="R4523">
        <f>Data!L4539</f>
        <v>0</v>
      </c>
      <c r="S4523">
        <f>Data!M4539</f>
        <v>0</v>
      </c>
      <c r="T4523">
        <f>Data!N4539</f>
        <v>0</v>
      </c>
      <c r="U4523">
        <f>Data!O4539</f>
        <v>0</v>
      </c>
      <c r="V4523" s="33">
        <f>Data!P4537</f>
        <v>0</v>
      </c>
    </row>
    <row r="4524" spans="7:22" x14ac:dyDescent="0.25">
      <c r="G4524">
        <f>Data!B4536</f>
        <v>0</v>
      </c>
      <c r="H4524" s="21">
        <f>Data!B4536</f>
        <v>0</v>
      </c>
      <c r="I4524" s="21">
        <f>Data!C4536</f>
        <v>0</v>
      </c>
      <c r="J4524">
        <f>Data!D4536</f>
        <v>0</v>
      </c>
      <c r="K4524">
        <f>Data!E4536</f>
        <v>0</v>
      </c>
      <c r="L4524">
        <f>Data!F4536</f>
        <v>0</v>
      </c>
      <c r="M4524">
        <f>Data!G4536</f>
        <v>0</v>
      </c>
      <c r="N4524">
        <f>Data!H4536</f>
        <v>0</v>
      </c>
      <c r="O4524">
        <f>Data!I4536</f>
        <v>0</v>
      </c>
      <c r="P4524" s="21">
        <f>Data!J4540</f>
        <v>0</v>
      </c>
      <c r="Q4524">
        <f>Data!K4540</f>
        <v>0</v>
      </c>
      <c r="R4524">
        <f>Data!L4540</f>
        <v>0</v>
      </c>
      <c r="S4524">
        <f>Data!M4540</f>
        <v>0</v>
      </c>
      <c r="T4524">
        <f>Data!N4540</f>
        <v>0</v>
      </c>
      <c r="U4524">
        <f>Data!O4540</f>
        <v>0</v>
      </c>
      <c r="V4524" s="33">
        <f>Data!P4538</f>
        <v>0</v>
      </c>
    </row>
    <row r="4525" spans="7:22" x14ac:dyDescent="0.25">
      <c r="G4525">
        <f>Data!B4537</f>
        <v>0</v>
      </c>
      <c r="H4525" s="21">
        <f>Data!B4537</f>
        <v>0</v>
      </c>
      <c r="I4525" s="21">
        <f>Data!C4537</f>
        <v>0</v>
      </c>
      <c r="J4525">
        <f>Data!D4537</f>
        <v>0</v>
      </c>
      <c r="K4525">
        <f>Data!E4537</f>
        <v>0</v>
      </c>
      <c r="L4525">
        <f>Data!F4537</f>
        <v>0</v>
      </c>
      <c r="M4525">
        <f>Data!G4537</f>
        <v>0</v>
      </c>
      <c r="N4525">
        <f>Data!H4537</f>
        <v>0</v>
      </c>
      <c r="O4525">
        <f>Data!I4537</f>
        <v>0</v>
      </c>
      <c r="P4525" s="21">
        <f>Data!J4541</f>
        <v>0</v>
      </c>
      <c r="Q4525">
        <f>Data!K4541</f>
        <v>0</v>
      </c>
      <c r="R4525">
        <f>Data!L4541</f>
        <v>0</v>
      </c>
      <c r="S4525">
        <f>Data!M4541</f>
        <v>0</v>
      </c>
      <c r="T4525">
        <f>Data!N4541</f>
        <v>0</v>
      </c>
      <c r="U4525">
        <f>Data!O4541</f>
        <v>0</v>
      </c>
      <c r="V4525" s="33">
        <f>Data!P4539</f>
        <v>0</v>
      </c>
    </row>
    <row r="4526" spans="7:22" x14ac:dyDescent="0.25">
      <c r="G4526">
        <f>Data!B4538</f>
        <v>0</v>
      </c>
      <c r="H4526" s="21">
        <f>Data!B4538</f>
        <v>0</v>
      </c>
      <c r="I4526" s="21">
        <f>Data!C4538</f>
        <v>0</v>
      </c>
      <c r="J4526">
        <f>Data!D4538</f>
        <v>0</v>
      </c>
      <c r="K4526">
        <f>Data!E4538</f>
        <v>0</v>
      </c>
      <c r="L4526">
        <f>Data!F4538</f>
        <v>0</v>
      </c>
      <c r="M4526">
        <f>Data!G4538</f>
        <v>0</v>
      </c>
      <c r="N4526">
        <f>Data!H4538</f>
        <v>0</v>
      </c>
      <c r="O4526">
        <f>Data!I4538</f>
        <v>0</v>
      </c>
      <c r="P4526" s="21">
        <f>Data!J4542</f>
        <v>0</v>
      </c>
      <c r="Q4526">
        <f>Data!K4542</f>
        <v>0</v>
      </c>
      <c r="R4526">
        <f>Data!L4542</f>
        <v>0</v>
      </c>
      <c r="S4526">
        <f>Data!M4542</f>
        <v>0</v>
      </c>
      <c r="T4526">
        <f>Data!N4542</f>
        <v>0</v>
      </c>
      <c r="U4526">
        <f>Data!O4542</f>
        <v>0</v>
      </c>
      <c r="V4526" s="33">
        <f>Data!P4540</f>
        <v>0</v>
      </c>
    </row>
    <row r="4527" spans="7:22" x14ac:dyDescent="0.25">
      <c r="G4527">
        <f>Data!B4539</f>
        <v>0</v>
      </c>
      <c r="H4527" s="21">
        <f>Data!B4539</f>
        <v>0</v>
      </c>
      <c r="I4527" s="21">
        <f>Data!C4539</f>
        <v>0</v>
      </c>
      <c r="J4527">
        <f>Data!D4539</f>
        <v>0</v>
      </c>
      <c r="K4527">
        <f>Data!E4539</f>
        <v>0</v>
      </c>
      <c r="L4527">
        <f>Data!F4539</f>
        <v>0</v>
      </c>
      <c r="M4527">
        <f>Data!G4539</f>
        <v>0</v>
      </c>
      <c r="N4527">
        <f>Data!H4539</f>
        <v>0</v>
      </c>
      <c r="O4527">
        <f>Data!I4539</f>
        <v>0</v>
      </c>
      <c r="P4527" s="21">
        <f>Data!J4543</f>
        <v>0</v>
      </c>
      <c r="Q4527">
        <f>Data!K4543</f>
        <v>0</v>
      </c>
      <c r="R4527">
        <f>Data!L4543</f>
        <v>0</v>
      </c>
      <c r="S4527">
        <f>Data!M4543</f>
        <v>0</v>
      </c>
      <c r="T4527">
        <f>Data!N4543</f>
        <v>0</v>
      </c>
      <c r="U4527">
        <f>Data!O4543</f>
        <v>0</v>
      </c>
      <c r="V4527" s="33">
        <f>Data!P4541</f>
        <v>0</v>
      </c>
    </row>
    <row r="4528" spans="7:22" x14ac:dyDescent="0.25">
      <c r="G4528">
        <f>Data!B4540</f>
        <v>0</v>
      </c>
      <c r="H4528" s="21">
        <f>Data!B4540</f>
        <v>0</v>
      </c>
      <c r="I4528" s="21">
        <f>Data!C4540</f>
        <v>0</v>
      </c>
      <c r="J4528">
        <f>Data!D4540</f>
        <v>0</v>
      </c>
      <c r="K4528">
        <f>Data!E4540</f>
        <v>0</v>
      </c>
      <c r="L4528">
        <f>Data!F4540</f>
        <v>0</v>
      </c>
      <c r="M4528">
        <f>Data!G4540</f>
        <v>0</v>
      </c>
      <c r="N4528">
        <f>Data!H4540</f>
        <v>0</v>
      </c>
      <c r="O4528">
        <f>Data!I4540</f>
        <v>0</v>
      </c>
      <c r="P4528" s="21">
        <f>Data!J4544</f>
        <v>0</v>
      </c>
      <c r="Q4528">
        <f>Data!K4544</f>
        <v>0</v>
      </c>
      <c r="R4528">
        <f>Data!L4544</f>
        <v>0</v>
      </c>
      <c r="S4528">
        <f>Data!M4544</f>
        <v>0</v>
      </c>
      <c r="T4528">
        <f>Data!N4544</f>
        <v>0</v>
      </c>
      <c r="U4528">
        <f>Data!O4544</f>
        <v>0</v>
      </c>
      <c r="V4528" s="33">
        <f>Data!P4542</f>
        <v>0</v>
      </c>
    </row>
    <row r="4529" spans="7:22" x14ac:dyDescent="0.25">
      <c r="G4529">
        <f>Data!B4541</f>
        <v>0</v>
      </c>
      <c r="H4529" s="21">
        <f>Data!B4541</f>
        <v>0</v>
      </c>
      <c r="I4529" s="21">
        <f>Data!C4541</f>
        <v>0</v>
      </c>
      <c r="J4529">
        <f>Data!D4541</f>
        <v>0</v>
      </c>
      <c r="K4529">
        <f>Data!E4541</f>
        <v>0</v>
      </c>
      <c r="L4529">
        <f>Data!F4541</f>
        <v>0</v>
      </c>
      <c r="M4529">
        <f>Data!G4541</f>
        <v>0</v>
      </c>
      <c r="N4529">
        <f>Data!H4541</f>
        <v>0</v>
      </c>
      <c r="O4529">
        <f>Data!I4541</f>
        <v>0</v>
      </c>
      <c r="P4529" s="21">
        <f>Data!J4545</f>
        <v>0</v>
      </c>
      <c r="Q4529">
        <f>Data!K4545</f>
        <v>0</v>
      </c>
      <c r="R4529">
        <f>Data!L4545</f>
        <v>0</v>
      </c>
      <c r="S4529">
        <f>Data!M4545</f>
        <v>0</v>
      </c>
      <c r="T4529">
        <f>Data!N4545</f>
        <v>0</v>
      </c>
      <c r="U4529">
        <f>Data!O4545</f>
        <v>0</v>
      </c>
      <c r="V4529" s="33">
        <f>Data!P4543</f>
        <v>0</v>
      </c>
    </row>
    <row r="4530" spans="7:22" x14ac:dyDescent="0.25">
      <c r="G4530">
        <f>Data!B4542</f>
        <v>0</v>
      </c>
      <c r="H4530" s="21">
        <f>Data!B4542</f>
        <v>0</v>
      </c>
      <c r="I4530" s="21">
        <f>Data!C4542</f>
        <v>0</v>
      </c>
      <c r="J4530">
        <f>Data!D4542</f>
        <v>0</v>
      </c>
      <c r="K4530">
        <f>Data!E4542</f>
        <v>0</v>
      </c>
      <c r="L4530">
        <f>Data!F4542</f>
        <v>0</v>
      </c>
      <c r="M4530">
        <f>Data!G4542</f>
        <v>0</v>
      </c>
      <c r="N4530">
        <f>Data!H4542</f>
        <v>0</v>
      </c>
      <c r="O4530">
        <f>Data!I4542</f>
        <v>0</v>
      </c>
      <c r="P4530" s="21">
        <f>Data!J4546</f>
        <v>0</v>
      </c>
      <c r="Q4530">
        <f>Data!K4546</f>
        <v>0</v>
      </c>
      <c r="R4530">
        <f>Data!L4546</f>
        <v>0</v>
      </c>
      <c r="S4530">
        <f>Data!M4546</f>
        <v>0</v>
      </c>
      <c r="T4530">
        <f>Data!N4546</f>
        <v>0</v>
      </c>
      <c r="U4530">
        <f>Data!O4546</f>
        <v>0</v>
      </c>
      <c r="V4530" s="33">
        <f>Data!P4544</f>
        <v>0</v>
      </c>
    </row>
    <row r="4531" spans="7:22" x14ac:dyDescent="0.25">
      <c r="G4531">
        <f>Data!B4543</f>
        <v>0</v>
      </c>
      <c r="H4531" s="21">
        <f>Data!B4543</f>
        <v>0</v>
      </c>
      <c r="I4531" s="21">
        <f>Data!C4543</f>
        <v>0</v>
      </c>
      <c r="J4531">
        <f>Data!D4543</f>
        <v>0</v>
      </c>
      <c r="K4531">
        <f>Data!E4543</f>
        <v>0</v>
      </c>
      <c r="L4531">
        <f>Data!F4543</f>
        <v>0</v>
      </c>
      <c r="M4531">
        <f>Data!G4543</f>
        <v>0</v>
      </c>
      <c r="N4531">
        <f>Data!H4543</f>
        <v>0</v>
      </c>
      <c r="O4531">
        <f>Data!I4543</f>
        <v>0</v>
      </c>
      <c r="P4531" s="21">
        <f>Data!J4547</f>
        <v>0</v>
      </c>
      <c r="Q4531">
        <f>Data!K4547</f>
        <v>0</v>
      </c>
      <c r="R4531">
        <f>Data!L4547</f>
        <v>0</v>
      </c>
      <c r="S4531">
        <f>Data!M4547</f>
        <v>0</v>
      </c>
      <c r="T4531">
        <f>Data!N4547</f>
        <v>0</v>
      </c>
      <c r="U4531">
        <f>Data!O4547</f>
        <v>0</v>
      </c>
      <c r="V4531" s="33">
        <f>Data!P4545</f>
        <v>0</v>
      </c>
    </row>
    <row r="4532" spans="7:22" x14ac:dyDescent="0.25">
      <c r="G4532">
        <f>Data!B4544</f>
        <v>0</v>
      </c>
      <c r="H4532" s="21">
        <f>Data!B4544</f>
        <v>0</v>
      </c>
      <c r="I4532" s="21">
        <f>Data!C4544</f>
        <v>0</v>
      </c>
      <c r="J4532">
        <f>Data!D4544</f>
        <v>0</v>
      </c>
      <c r="K4532">
        <f>Data!E4544</f>
        <v>0</v>
      </c>
      <c r="L4532">
        <f>Data!F4544</f>
        <v>0</v>
      </c>
      <c r="M4532">
        <f>Data!G4544</f>
        <v>0</v>
      </c>
      <c r="N4532">
        <f>Data!H4544</f>
        <v>0</v>
      </c>
      <c r="O4532">
        <f>Data!I4544</f>
        <v>0</v>
      </c>
      <c r="P4532" s="21">
        <f>Data!J4548</f>
        <v>0</v>
      </c>
      <c r="Q4532">
        <f>Data!K4548</f>
        <v>0</v>
      </c>
      <c r="R4532">
        <f>Data!L4548</f>
        <v>0</v>
      </c>
      <c r="S4532">
        <f>Data!M4548</f>
        <v>0</v>
      </c>
      <c r="T4532">
        <f>Data!N4548</f>
        <v>0</v>
      </c>
      <c r="U4532">
        <f>Data!O4548</f>
        <v>0</v>
      </c>
      <c r="V4532" s="33">
        <f>Data!P4546</f>
        <v>0</v>
      </c>
    </row>
    <row r="4533" spans="7:22" x14ac:dyDescent="0.25">
      <c r="G4533">
        <f>Data!B4545</f>
        <v>0</v>
      </c>
      <c r="H4533" s="21">
        <f>Data!B4545</f>
        <v>0</v>
      </c>
      <c r="I4533" s="21">
        <f>Data!C4545</f>
        <v>0</v>
      </c>
      <c r="J4533">
        <f>Data!D4545</f>
        <v>0</v>
      </c>
      <c r="K4533">
        <f>Data!E4545</f>
        <v>0</v>
      </c>
      <c r="L4533">
        <f>Data!F4545</f>
        <v>0</v>
      </c>
      <c r="M4533">
        <f>Data!G4545</f>
        <v>0</v>
      </c>
      <c r="N4533">
        <f>Data!H4545</f>
        <v>0</v>
      </c>
      <c r="O4533">
        <f>Data!I4545</f>
        <v>0</v>
      </c>
      <c r="P4533" s="21">
        <f>Data!J4549</f>
        <v>0</v>
      </c>
      <c r="Q4533">
        <f>Data!K4549</f>
        <v>0</v>
      </c>
      <c r="R4533">
        <f>Data!L4549</f>
        <v>0</v>
      </c>
      <c r="S4533">
        <f>Data!M4549</f>
        <v>0</v>
      </c>
      <c r="T4533">
        <f>Data!N4549</f>
        <v>0</v>
      </c>
      <c r="U4533">
        <f>Data!O4549</f>
        <v>0</v>
      </c>
      <c r="V4533" s="33">
        <f>Data!P4547</f>
        <v>0</v>
      </c>
    </row>
    <row r="4534" spans="7:22" x14ac:dyDescent="0.25">
      <c r="G4534">
        <f>Data!B4546</f>
        <v>0</v>
      </c>
      <c r="H4534" s="21">
        <f>Data!B4546</f>
        <v>0</v>
      </c>
      <c r="I4534" s="21">
        <f>Data!C4546</f>
        <v>0</v>
      </c>
      <c r="J4534">
        <f>Data!D4546</f>
        <v>0</v>
      </c>
      <c r="K4534">
        <f>Data!E4546</f>
        <v>0</v>
      </c>
      <c r="L4534">
        <f>Data!F4546</f>
        <v>0</v>
      </c>
      <c r="M4534">
        <f>Data!G4546</f>
        <v>0</v>
      </c>
      <c r="N4534">
        <f>Data!H4546</f>
        <v>0</v>
      </c>
      <c r="O4534">
        <f>Data!I4546</f>
        <v>0</v>
      </c>
      <c r="P4534" s="21">
        <f>Data!J4550</f>
        <v>0</v>
      </c>
      <c r="Q4534">
        <f>Data!K4550</f>
        <v>0</v>
      </c>
      <c r="R4534">
        <f>Data!L4550</f>
        <v>0</v>
      </c>
      <c r="S4534">
        <f>Data!M4550</f>
        <v>0</v>
      </c>
      <c r="T4534">
        <f>Data!N4550</f>
        <v>0</v>
      </c>
      <c r="U4534">
        <f>Data!O4550</f>
        <v>0</v>
      </c>
      <c r="V4534" s="33">
        <f>Data!P4548</f>
        <v>0</v>
      </c>
    </row>
    <row r="4535" spans="7:22" x14ac:dyDescent="0.25">
      <c r="G4535">
        <f>Data!B4547</f>
        <v>0</v>
      </c>
      <c r="H4535" s="21">
        <f>Data!B4547</f>
        <v>0</v>
      </c>
      <c r="I4535" s="21">
        <f>Data!C4547</f>
        <v>0</v>
      </c>
      <c r="J4535">
        <f>Data!D4547</f>
        <v>0</v>
      </c>
      <c r="K4535">
        <f>Data!E4547</f>
        <v>0</v>
      </c>
      <c r="L4535">
        <f>Data!F4547</f>
        <v>0</v>
      </c>
      <c r="M4535">
        <f>Data!G4547</f>
        <v>0</v>
      </c>
      <c r="N4535">
        <f>Data!H4547</f>
        <v>0</v>
      </c>
      <c r="O4535">
        <f>Data!I4547</f>
        <v>0</v>
      </c>
      <c r="P4535" s="21">
        <f>Data!J4551</f>
        <v>0</v>
      </c>
      <c r="Q4535">
        <f>Data!K4551</f>
        <v>0</v>
      </c>
      <c r="R4535">
        <f>Data!L4551</f>
        <v>0</v>
      </c>
      <c r="S4535">
        <f>Data!M4551</f>
        <v>0</v>
      </c>
      <c r="T4535">
        <f>Data!N4551</f>
        <v>0</v>
      </c>
      <c r="U4535">
        <f>Data!O4551</f>
        <v>0</v>
      </c>
      <c r="V4535" s="33">
        <f>Data!P4549</f>
        <v>0</v>
      </c>
    </row>
    <row r="4536" spans="7:22" x14ac:dyDescent="0.25">
      <c r="G4536">
        <f>Data!B4548</f>
        <v>0</v>
      </c>
      <c r="H4536" s="21">
        <f>Data!B4548</f>
        <v>0</v>
      </c>
      <c r="I4536" s="21">
        <f>Data!C4548</f>
        <v>0</v>
      </c>
      <c r="J4536">
        <f>Data!D4548</f>
        <v>0</v>
      </c>
      <c r="K4536">
        <f>Data!E4548</f>
        <v>0</v>
      </c>
      <c r="L4536">
        <f>Data!F4548</f>
        <v>0</v>
      </c>
      <c r="M4536">
        <f>Data!G4548</f>
        <v>0</v>
      </c>
      <c r="N4536">
        <f>Data!H4548</f>
        <v>0</v>
      </c>
      <c r="O4536">
        <f>Data!I4548</f>
        <v>0</v>
      </c>
      <c r="P4536" s="21">
        <f>Data!J4552</f>
        <v>0</v>
      </c>
      <c r="Q4536">
        <f>Data!K4552</f>
        <v>0</v>
      </c>
      <c r="R4536">
        <f>Data!L4552</f>
        <v>0</v>
      </c>
      <c r="S4536">
        <f>Data!M4552</f>
        <v>0</v>
      </c>
      <c r="T4536">
        <f>Data!N4552</f>
        <v>0</v>
      </c>
      <c r="U4536">
        <f>Data!O4552</f>
        <v>0</v>
      </c>
      <c r="V4536" s="33">
        <f>Data!P4550</f>
        <v>0</v>
      </c>
    </row>
    <row r="4537" spans="7:22" x14ac:dyDescent="0.25">
      <c r="G4537">
        <f>Data!B4549</f>
        <v>0</v>
      </c>
      <c r="H4537" s="21">
        <f>Data!B4549</f>
        <v>0</v>
      </c>
      <c r="I4537" s="21">
        <f>Data!C4549</f>
        <v>0</v>
      </c>
      <c r="J4537">
        <f>Data!D4549</f>
        <v>0</v>
      </c>
      <c r="K4537">
        <f>Data!E4549</f>
        <v>0</v>
      </c>
      <c r="L4537">
        <f>Data!F4549</f>
        <v>0</v>
      </c>
      <c r="M4537">
        <f>Data!G4549</f>
        <v>0</v>
      </c>
      <c r="N4537">
        <f>Data!H4549</f>
        <v>0</v>
      </c>
      <c r="O4537">
        <f>Data!I4549</f>
        <v>0</v>
      </c>
      <c r="P4537" s="21">
        <f>Data!J4553</f>
        <v>0</v>
      </c>
      <c r="Q4537">
        <f>Data!K4553</f>
        <v>0</v>
      </c>
      <c r="R4537">
        <f>Data!L4553</f>
        <v>0</v>
      </c>
      <c r="S4537">
        <f>Data!M4553</f>
        <v>0</v>
      </c>
      <c r="T4537">
        <f>Data!N4553</f>
        <v>0</v>
      </c>
      <c r="U4537">
        <f>Data!O4553</f>
        <v>0</v>
      </c>
      <c r="V4537" s="33">
        <f>Data!P4551</f>
        <v>0</v>
      </c>
    </row>
    <row r="4538" spans="7:22" x14ac:dyDescent="0.25">
      <c r="G4538">
        <f>Data!B4550</f>
        <v>0</v>
      </c>
      <c r="H4538" s="21">
        <f>Data!B4550</f>
        <v>0</v>
      </c>
      <c r="I4538" s="21">
        <f>Data!C4550</f>
        <v>0</v>
      </c>
      <c r="J4538">
        <f>Data!D4550</f>
        <v>0</v>
      </c>
      <c r="K4538">
        <f>Data!E4550</f>
        <v>0</v>
      </c>
      <c r="L4538">
        <f>Data!F4550</f>
        <v>0</v>
      </c>
      <c r="M4538">
        <f>Data!G4550</f>
        <v>0</v>
      </c>
      <c r="N4538">
        <f>Data!H4550</f>
        <v>0</v>
      </c>
      <c r="O4538">
        <f>Data!I4550</f>
        <v>0</v>
      </c>
      <c r="P4538" s="21">
        <f>Data!J4554</f>
        <v>0</v>
      </c>
      <c r="Q4538">
        <f>Data!K4554</f>
        <v>0</v>
      </c>
      <c r="R4538">
        <f>Data!L4554</f>
        <v>0</v>
      </c>
      <c r="S4538">
        <f>Data!M4554</f>
        <v>0</v>
      </c>
      <c r="T4538">
        <f>Data!N4554</f>
        <v>0</v>
      </c>
      <c r="U4538">
        <f>Data!O4554</f>
        <v>0</v>
      </c>
      <c r="V4538" s="33">
        <f>Data!P4552</f>
        <v>0</v>
      </c>
    </row>
    <row r="4539" spans="7:22" x14ac:dyDescent="0.25">
      <c r="G4539">
        <f>Data!B4551</f>
        <v>0</v>
      </c>
      <c r="H4539" s="21">
        <f>Data!B4551</f>
        <v>0</v>
      </c>
      <c r="I4539" s="21">
        <f>Data!C4551</f>
        <v>0</v>
      </c>
      <c r="J4539">
        <f>Data!D4551</f>
        <v>0</v>
      </c>
      <c r="K4539">
        <f>Data!E4551</f>
        <v>0</v>
      </c>
      <c r="L4539">
        <f>Data!F4551</f>
        <v>0</v>
      </c>
      <c r="M4539">
        <f>Data!G4551</f>
        <v>0</v>
      </c>
      <c r="N4539">
        <f>Data!H4551</f>
        <v>0</v>
      </c>
      <c r="O4539">
        <f>Data!I4551</f>
        <v>0</v>
      </c>
      <c r="P4539" s="21">
        <f>Data!J4555</f>
        <v>0</v>
      </c>
      <c r="Q4539">
        <f>Data!K4555</f>
        <v>0</v>
      </c>
      <c r="R4539">
        <f>Data!L4555</f>
        <v>0</v>
      </c>
      <c r="S4539">
        <f>Data!M4555</f>
        <v>0</v>
      </c>
      <c r="T4539">
        <f>Data!N4555</f>
        <v>0</v>
      </c>
      <c r="U4539">
        <f>Data!O4555</f>
        <v>0</v>
      </c>
      <c r="V4539" s="33">
        <f>Data!P4553</f>
        <v>0</v>
      </c>
    </row>
    <row r="4540" spans="7:22" x14ac:dyDescent="0.25">
      <c r="G4540">
        <f>Data!B4552</f>
        <v>0</v>
      </c>
      <c r="H4540" s="21">
        <f>Data!B4552</f>
        <v>0</v>
      </c>
      <c r="I4540" s="21">
        <f>Data!C4552</f>
        <v>0</v>
      </c>
      <c r="J4540">
        <f>Data!D4552</f>
        <v>0</v>
      </c>
      <c r="K4540">
        <f>Data!E4552</f>
        <v>0</v>
      </c>
      <c r="L4540">
        <f>Data!F4552</f>
        <v>0</v>
      </c>
      <c r="M4540">
        <f>Data!G4552</f>
        <v>0</v>
      </c>
      <c r="N4540">
        <f>Data!H4552</f>
        <v>0</v>
      </c>
      <c r="O4540">
        <f>Data!I4552</f>
        <v>0</v>
      </c>
      <c r="P4540" s="21">
        <f>Data!J4556</f>
        <v>0</v>
      </c>
      <c r="Q4540">
        <f>Data!K4556</f>
        <v>0</v>
      </c>
      <c r="R4540">
        <f>Data!L4556</f>
        <v>0</v>
      </c>
      <c r="S4540">
        <f>Data!M4556</f>
        <v>0</v>
      </c>
      <c r="T4540">
        <f>Data!N4556</f>
        <v>0</v>
      </c>
      <c r="U4540">
        <f>Data!O4556</f>
        <v>0</v>
      </c>
      <c r="V4540" s="33">
        <f>Data!P4554</f>
        <v>0</v>
      </c>
    </row>
    <row r="4541" spans="7:22" x14ac:dyDescent="0.25">
      <c r="G4541">
        <f>Data!B4553</f>
        <v>0</v>
      </c>
      <c r="H4541" s="21">
        <f>Data!B4553</f>
        <v>0</v>
      </c>
      <c r="I4541" s="21">
        <f>Data!C4553</f>
        <v>0</v>
      </c>
      <c r="J4541">
        <f>Data!D4553</f>
        <v>0</v>
      </c>
      <c r="K4541">
        <f>Data!E4553</f>
        <v>0</v>
      </c>
      <c r="L4541">
        <f>Data!F4553</f>
        <v>0</v>
      </c>
      <c r="M4541">
        <f>Data!G4553</f>
        <v>0</v>
      </c>
      <c r="N4541">
        <f>Data!H4553</f>
        <v>0</v>
      </c>
      <c r="O4541">
        <f>Data!I4553</f>
        <v>0</v>
      </c>
      <c r="P4541" s="21">
        <f>Data!J4557</f>
        <v>0</v>
      </c>
      <c r="Q4541">
        <f>Data!K4557</f>
        <v>0</v>
      </c>
      <c r="R4541">
        <f>Data!L4557</f>
        <v>0</v>
      </c>
      <c r="S4541">
        <f>Data!M4557</f>
        <v>0</v>
      </c>
      <c r="T4541">
        <f>Data!N4557</f>
        <v>0</v>
      </c>
      <c r="U4541">
        <f>Data!O4557</f>
        <v>0</v>
      </c>
      <c r="V4541" s="33">
        <f>Data!P4555</f>
        <v>0</v>
      </c>
    </row>
    <row r="4542" spans="7:22" x14ac:dyDescent="0.25">
      <c r="G4542">
        <f>Data!B4554</f>
        <v>0</v>
      </c>
      <c r="H4542" s="21">
        <f>Data!B4554</f>
        <v>0</v>
      </c>
      <c r="I4542" s="21">
        <f>Data!C4554</f>
        <v>0</v>
      </c>
      <c r="J4542">
        <f>Data!D4554</f>
        <v>0</v>
      </c>
      <c r="K4542">
        <f>Data!E4554</f>
        <v>0</v>
      </c>
      <c r="L4542">
        <f>Data!F4554</f>
        <v>0</v>
      </c>
      <c r="M4542">
        <f>Data!G4554</f>
        <v>0</v>
      </c>
      <c r="N4542">
        <f>Data!H4554</f>
        <v>0</v>
      </c>
      <c r="O4542">
        <f>Data!I4554</f>
        <v>0</v>
      </c>
      <c r="P4542" s="21">
        <f>Data!J4558</f>
        <v>0</v>
      </c>
      <c r="Q4542">
        <f>Data!K4558</f>
        <v>0</v>
      </c>
      <c r="R4542">
        <f>Data!L4558</f>
        <v>0</v>
      </c>
      <c r="S4542">
        <f>Data!M4558</f>
        <v>0</v>
      </c>
      <c r="T4542">
        <f>Data!N4558</f>
        <v>0</v>
      </c>
      <c r="U4542">
        <f>Data!O4558</f>
        <v>0</v>
      </c>
      <c r="V4542" s="33">
        <f>Data!P4556</f>
        <v>0</v>
      </c>
    </row>
    <row r="4543" spans="7:22" x14ac:dyDescent="0.25">
      <c r="G4543">
        <f>Data!B4555</f>
        <v>0</v>
      </c>
      <c r="H4543" s="21">
        <f>Data!B4555</f>
        <v>0</v>
      </c>
      <c r="I4543" s="21">
        <f>Data!C4555</f>
        <v>0</v>
      </c>
      <c r="J4543">
        <f>Data!D4555</f>
        <v>0</v>
      </c>
      <c r="K4543">
        <f>Data!E4555</f>
        <v>0</v>
      </c>
      <c r="L4543">
        <f>Data!F4555</f>
        <v>0</v>
      </c>
      <c r="M4543">
        <f>Data!G4555</f>
        <v>0</v>
      </c>
      <c r="N4543">
        <f>Data!H4555</f>
        <v>0</v>
      </c>
      <c r="O4543">
        <f>Data!I4555</f>
        <v>0</v>
      </c>
      <c r="P4543" s="21">
        <f>Data!J4559</f>
        <v>0</v>
      </c>
      <c r="Q4543">
        <f>Data!K4559</f>
        <v>0</v>
      </c>
      <c r="R4543">
        <f>Data!L4559</f>
        <v>0</v>
      </c>
      <c r="S4543">
        <f>Data!M4559</f>
        <v>0</v>
      </c>
      <c r="T4543">
        <f>Data!N4559</f>
        <v>0</v>
      </c>
      <c r="U4543">
        <f>Data!O4559</f>
        <v>0</v>
      </c>
      <c r="V4543" s="33">
        <f>Data!P4557</f>
        <v>0</v>
      </c>
    </row>
    <row r="4544" spans="7:22" x14ac:dyDescent="0.25">
      <c r="G4544">
        <f>Data!B4556</f>
        <v>0</v>
      </c>
      <c r="H4544" s="21">
        <f>Data!B4556</f>
        <v>0</v>
      </c>
      <c r="I4544" s="21">
        <f>Data!C4556</f>
        <v>0</v>
      </c>
      <c r="J4544">
        <f>Data!D4556</f>
        <v>0</v>
      </c>
      <c r="K4544">
        <f>Data!E4556</f>
        <v>0</v>
      </c>
      <c r="L4544">
        <f>Data!F4556</f>
        <v>0</v>
      </c>
      <c r="M4544">
        <f>Data!G4556</f>
        <v>0</v>
      </c>
      <c r="N4544">
        <f>Data!H4556</f>
        <v>0</v>
      </c>
      <c r="O4544">
        <f>Data!I4556</f>
        <v>0</v>
      </c>
      <c r="P4544" s="21">
        <f>Data!J4560</f>
        <v>0</v>
      </c>
      <c r="Q4544">
        <f>Data!K4560</f>
        <v>0</v>
      </c>
      <c r="R4544">
        <f>Data!L4560</f>
        <v>0</v>
      </c>
      <c r="S4544">
        <f>Data!M4560</f>
        <v>0</v>
      </c>
      <c r="T4544">
        <f>Data!N4560</f>
        <v>0</v>
      </c>
      <c r="U4544">
        <f>Data!O4560</f>
        <v>0</v>
      </c>
      <c r="V4544" s="33">
        <f>Data!P4558</f>
        <v>0</v>
      </c>
    </row>
    <row r="4545" spans="7:22" x14ac:dyDescent="0.25">
      <c r="G4545">
        <f>Data!B4557</f>
        <v>0</v>
      </c>
      <c r="H4545" s="21">
        <f>Data!B4557</f>
        <v>0</v>
      </c>
      <c r="I4545" s="21">
        <f>Data!C4557</f>
        <v>0</v>
      </c>
      <c r="J4545">
        <f>Data!D4557</f>
        <v>0</v>
      </c>
      <c r="K4545">
        <f>Data!E4557</f>
        <v>0</v>
      </c>
      <c r="L4545">
        <f>Data!F4557</f>
        <v>0</v>
      </c>
      <c r="M4545">
        <f>Data!G4557</f>
        <v>0</v>
      </c>
      <c r="N4545">
        <f>Data!H4557</f>
        <v>0</v>
      </c>
      <c r="O4545">
        <f>Data!I4557</f>
        <v>0</v>
      </c>
      <c r="P4545" s="21">
        <f>Data!J4561</f>
        <v>0</v>
      </c>
      <c r="Q4545">
        <f>Data!K4561</f>
        <v>0</v>
      </c>
      <c r="R4545">
        <f>Data!L4561</f>
        <v>0</v>
      </c>
      <c r="S4545">
        <f>Data!M4561</f>
        <v>0</v>
      </c>
      <c r="T4545">
        <f>Data!N4561</f>
        <v>0</v>
      </c>
      <c r="U4545">
        <f>Data!O4561</f>
        <v>0</v>
      </c>
      <c r="V4545" s="33">
        <f>Data!P4559</f>
        <v>0</v>
      </c>
    </row>
    <row r="4546" spans="7:22" x14ac:dyDescent="0.25">
      <c r="G4546">
        <f>Data!B4558</f>
        <v>0</v>
      </c>
      <c r="H4546" s="21">
        <f>Data!B4558</f>
        <v>0</v>
      </c>
      <c r="I4546" s="21">
        <f>Data!C4558</f>
        <v>0</v>
      </c>
      <c r="J4546">
        <f>Data!D4558</f>
        <v>0</v>
      </c>
      <c r="K4546">
        <f>Data!E4558</f>
        <v>0</v>
      </c>
      <c r="L4546">
        <f>Data!F4558</f>
        <v>0</v>
      </c>
      <c r="M4546">
        <f>Data!G4558</f>
        <v>0</v>
      </c>
      <c r="N4546">
        <f>Data!H4558</f>
        <v>0</v>
      </c>
      <c r="O4546">
        <f>Data!I4558</f>
        <v>0</v>
      </c>
      <c r="P4546" s="21">
        <f>Data!J4562</f>
        <v>0</v>
      </c>
      <c r="Q4546">
        <f>Data!K4562</f>
        <v>0</v>
      </c>
      <c r="R4546">
        <f>Data!L4562</f>
        <v>0</v>
      </c>
      <c r="S4546">
        <f>Data!M4562</f>
        <v>0</v>
      </c>
      <c r="T4546">
        <f>Data!N4562</f>
        <v>0</v>
      </c>
      <c r="U4546">
        <f>Data!O4562</f>
        <v>0</v>
      </c>
      <c r="V4546" s="33">
        <f>Data!P4560</f>
        <v>0</v>
      </c>
    </row>
    <row r="4547" spans="7:22" x14ac:dyDescent="0.25">
      <c r="G4547">
        <f>Data!B4559</f>
        <v>0</v>
      </c>
      <c r="H4547" s="21">
        <f>Data!B4559</f>
        <v>0</v>
      </c>
      <c r="I4547" s="21">
        <f>Data!C4559</f>
        <v>0</v>
      </c>
      <c r="J4547">
        <f>Data!D4559</f>
        <v>0</v>
      </c>
      <c r="K4547">
        <f>Data!E4559</f>
        <v>0</v>
      </c>
      <c r="L4547">
        <f>Data!F4559</f>
        <v>0</v>
      </c>
      <c r="M4547">
        <f>Data!G4559</f>
        <v>0</v>
      </c>
      <c r="N4547">
        <f>Data!H4559</f>
        <v>0</v>
      </c>
      <c r="O4547">
        <f>Data!I4559</f>
        <v>0</v>
      </c>
      <c r="P4547" s="21">
        <f>Data!J4563</f>
        <v>0</v>
      </c>
      <c r="Q4547">
        <f>Data!K4563</f>
        <v>0</v>
      </c>
      <c r="R4547">
        <f>Data!L4563</f>
        <v>0</v>
      </c>
      <c r="S4547">
        <f>Data!M4563</f>
        <v>0</v>
      </c>
      <c r="T4547">
        <f>Data!N4563</f>
        <v>0</v>
      </c>
      <c r="U4547">
        <f>Data!O4563</f>
        <v>0</v>
      </c>
      <c r="V4547" s="33">
        <f>Data!P4561</f>
        <v>0</v>
      </c>
    </row>
    <row r="4548" spans="7:22" x14ac:dyDescent="0.25">
      <c r="G4548">
        <f>Data!B4560</f>
        <v>0</v>
      </c>
      <c r="H4548" s="21">
        <f>Data!B4560</f>
        <v>0</v>
      </c>
      <c r="I4548" s="21">
        <f>Data!C4560</f>
        <v>0</v>
      </c>
      <c r="J4548">
        <f>Data!D4560</f>
        <v>0</v>
      </c>
      <c r="K4548">
        <f>Data!E4560</f>
        <v>0</v>
      </c>
      <c r="L4548">
        <f>Data!F4560</f>
        <v>0</v>
      </c>
      <c r="M4548">
        <f>Data!G4560</f>
        <v>0</v>
      </c>
      <c r="N4548">
        <f>Data!H4560</f>
        <v>0</v>
      </c>
      <c r="O4548">
        <f>Data!I4560</f>
        <v>0</v>
      </c>
      <c r="P4548" s="21">
        <f>Data!J4564</f>
        <v>0</v>
      </c>
      <c r="Q4548">
        <f>Data!K4564</f>
        <v>0</v>
      </c>
      <c r="R4548">
        <f>Data!L4564</f>
        <v>0</v>
      </c>
      <c r="S4548">
        <f>Data!M4564</f>
        <v>0</v>
      </c>
      <c r="T4548">
        <f>Data!N4564</f>
        <v>0</v>
      </c>
      <c r="U4548">
        <f>Data!O4564</f>
        <v>0</v>
      </c>
      <c r="V4548" s="33">
        <f>Data!P4562</f>
        <v>0</v>
      </c>
    </row>
    <row r="4549" spans="7:22" x14ac:dyDescent="0.25">
      <c r="G4549">
        <f>Data!B4561</f>
        <v>0</v>
      </c>
      <c r="H4549" s="21">
        <f>Data!B4561</f>
        <v>0</v>
      </c>
      <c r="I4549" s="21">
        <f>Data!C4561</f>
        <v>0</v>
      </c>
      <c r="J4549">
        <f>Data!D4561</f>
        <v>0</v>
      </c>
      <c r="K4549">
        <f>Data!E4561</f>
        <v>0</v>
      </c>
      <c r="L4549">
        <f>Data!F4561</f>
        <v>0</v>
      </c>
      <c r="M4549">
        <f>Data!G4561</f>
        <v>0</v>
      </c>
      <c r="N4549">
        <f>Data!H4561</f>
        <v>0</v>
      </c>
      <c r="O4549">
        <f>Data!I4561</f>
        <v>0</v>
      </c>
      <c r="P4549" s="21">
        <f>Data!J4565</f>
        <v>0</v>
      </c>
      <c r="Q4549">
        <f>Data!K4565</f>
        <v>0</v>
      </c>
      <c r="R4549">
        <f>Data!L4565</f>
        <v>0</v>
      </c>
      <c r="S4549">
        <f>Data!M4565</f>
        <v>0</v>
      </c>
      <c r="T4549">
        <f>Data!N4565</f>
        <v>0</v>
      </c>
      <c r="U4549">
        <f>Data!O4565</f>
        <v>0</v>
      </c>
      <c r="V4549" s="33">
        <f>Data!P4563</f>
        <v>0</v>
      </c>
    </row>
    <row r="4550" spans="7:22" x14ac:dyDescent="0.25">
      <c r="G4550">
        <f>Data!B4562</f>
        <v>0</v>
      </c>
      <c r="H4550" s="21">
        <f>Data!B4562</f>
        <v>0</v>
      </c>
      <c r="I4550" s="21">
        <f>Data!C4562</f>
        <v>0</v>
      </c>
      <c r="J4550">
        <f>Data!D4562</f>
        <v>0</v>
      </c>
      <c r="K4550">
        <f>Data!E4562</f>
        <v>0</v>
      </c>
      <c r="L4550">
        <f>Data!F4562</f>
        <v>0</v>
      </c>
      <c r="M4550">
        <f>Data!G4562</f>
        <v>0</v>
      </c>
      <c r="N4550">
        <f>Data!H4562</f>
        <v>0</v>
      </c>
      <c r="O4550">
        <f>Data!I4562</f>
        <v>0</v>
      </c>
      <c r="P4550" s="21">
        <f>Data!J4566</f>
        <v>0</v>
      </c>
      <c r="Q4550">
        <f>Data!K4566</f>
        <v>0</v>
      </c>
      <c r="R4550">
        <f>Data!L4566</f>
        <v>0</v>
      </c>
      <c r="S4550">
        <f>Data!M4566</f>
        <v>0</v>
      </c>
      <c r="T4550">
        <f>Data!N4566</f>
        <v>0</v>
      </c>
      <c r="U4550">
        <f>Data!O4566</f>
        <v>0</v>
      </c>
      <c r="V4550" s="33">
        <f>Data!P4564</f>
        <v>0</v>
      </c>
    </row>
    <row r="4551" spans="7:22" x14ac:dyDescent="0.25">
      <c r="G4551">
        <f>Data!B4563</f>
        <v>0</v>
      </c>
      <c r="H4551" s="21">
        <f>Data!B4563</f>
        <v>0</v>
      </c>
      <c r="I4551" s="21">
        <f>Data!C4563</f>
        <v>0</v>
      </c>
      <c r="J4551">
        <f>Data!D4563</f>
        <v>0</v>
      </c>
      <c r="K4551">
        <f>Data!E4563</f>
        <v>0</v>
      </c>
      <c r="L4551">
        <f>Data!F4563</f>
        <v>0</v>
      </c>
      <c r="M4551">
        <f>Data!G4563</f>
        <v>0</v>
      </c>
      <c r="N4551">
        <f>Data!H4563</f>
        <v>0</v>
      </c>
      <c r="O4551">
        <f>Data!I4563</f>
        <v>0</v>
      </c>
      <c r="P4551" s="21">
        <f>Data!J4567</f>
        <v>0</v>
      </c>
      <c r="Q4551">
        <f>Data!K4567</f>
        <v>0</v>
      </c>
      <c r="R4551">
        <f>Data!L4567</f>
        <v>0</v>
      </c>
      <c r="S4551">
        <f>Data!M4567</f>
        <v>0</v>
      </c>
      <c r="T4551">
        <f>Data!N4567</f>
        <v>0</v>
      </c>
      <c r="U4551">
        <f>Data!O4567</f>
        <v>0</v>
      </c>
      <c r="V4551" s="33">
        <f>Data!P4565</f>
        <v>0</v>
      </c>
    </row>
    <row r="4552" spans="7:22" x14ac:dyDescent="0.25">
      <c r="G4552">
        <f>Data!B4564</f>
        <v>0</v>
      </c>
      <c r="H4552" s="21">
        <f>Data!B4564</f>
        <v>0</v>
      </c>
      <c r="I4552" s="21">
        <f>Data!C4564</f>
        <v>0</v>
      </c>
      <c r="J4552">
        <f>Data!D4564</f>
        <v>0</v>
      </c>
      <c r="K4552">
        <f>Data!E4564</f>
        <v>0</v>
      </c>
      <c r="L4552">
        <f>Data!F4564</f>
        <v>0</v>
      </c>
      <c r="M4552">
        <f>Data!G4564</f>
        <v>0</v>
      </c>
      <c r="N4552">
        <f>Data!H4564</f>
        <v>0</v>
      </c>
      <c r="O4552">
        <f>Data!I4564</f>
        <v>0</v>
      </c>
      <c r="P4552" s="21">
        <f>Data!J4568</f>
        <v>0</v>
      </c>
      <c r="Q4552">
        <f>Data!K4568</f>
        <v>0</v>
      </c>
      <c r="R4552">
        <f>Data!L4568</f>
        <v>0</v>
      </c>
      <c r="S4552">
        <f>Data!M4568</f>
        <v>0</v>
      </c>
      <c r="T4552">
        <f>Data!N4568</f>
        <v>0</v>
      </c>
      <c r="U4552">
        <f>Data!O4568</f>
        <v>0</v>
      </c>
      <c r="V4552" s="33">
        <f>Data!P4566</f>
        <v>0</v>
      </c>
    </row>
    <row r="4553" spans="7:22" x14ac:dyDescent="0.25">
      <c r="G4553">
        <f>Data!B4565</f>
        <v>0</v>
      </c>
      <c r="H4553" s="21">
        <f>Data!B4565</f>
        <v>0</v>
      </c>
      <c r="I4553" s="21">
        <f>Data!C4565</f>
        <v>0</v>
      </c>
      <c r="J4553">
        <f>Data!D4565</f>
        <v>0</v>
      </c>
      <c r="K4553">
        <f>Data!E4565</f>
        <v>0</v>
      </c>
      <c r="L4553">
        <f>Data!F4565</f>
        <v>0</v>
      </c>
      <c r="M4553">
        <f>Data!G4565</f>
        <v>0</v>
      </c>
      <c r="N4553">
        <f>Data!H4565</f>
        <v>0</v>
      </c>
      <c r="O4553">
        <f>Data!I4565</f>
        <v>0</v>
      </c>
      <c r="P4553" s="21">
        <f>Data!J4569</f>
        <v>0</v>
      </c>
      <c r="Q4553">
        <f>Data!K4569</f>
        <v>0</v>
      </c>
      <c r="R4553">
        <f>Data!L4569</f>
        <v>0</v>
      </c>
      <c r="S4553">
        <f>Data!M4569</f>
        <v>0</v>
      </c>
      <c r="T4553">
        <f>Data!N4569</f>
        <v>0</v>
      </c>
      <c r="U4553">
        <f>Data!O4569</f>
        <v>0</v>
      </c>
      <c r="V4553" s="33">
        <f>Data!P4567</f>
        <v>0</v>
      </c>
    </row>
    <row r="4554" spans="7:22" x14ac:dyDescent="0.25">
      <c r="G4554">
        <f>Data!B4566</f>
        <v>0</v>
      </c>
      <c r="H4554" s="21">
        <f>Data!B4566</f>
        <v>0</v>
      </c>
      <c r="I4554" s="21">
        <f>Data!C4566</f>
        <v>0</v>
      </c>
      <c r="J4554">
        <f>Data!D4566</f>
        <v>0</v>
      </c>
      <c r="K4554">
        <f>Data!E4566</f>
        <v>0</v>
      </c>
      <c r="L4554">
        <f>Data!F4566</f>
        <v>0</v>
      </c>
      <c r="M4554">
        <f>Data!G4566</f>
        <v>0</v>
      </c>
      <c r="N4554">
        <f>Data!H4566</f>
        <v>0</v>
      </c>
      <c r="O4554">
        <f>Data!I4566</f>
        <v>0</v>
      </c>
      <c r="P4554" s="21">
        <f>Data!J4570</f>
        <v>0</v>
      </c>
      <c r="Q4554">
        <f>Data!K4570</f>
        <v>0</v>
      </c>
      <c r="R4554">
        <f>Data!L4570</f>
        <v>0</v>
      </c>
      <c r="S4554">
        <f>Data!M4570</f>
        <v>0</v>
      </c>
      <c r="T4554">
        <f>Data!N4570</f>
        <v>0</v>
      </c>
      <c r="U4554">
        <f>Data!O4570</f>
        <v>0</v>
      </c>
      <c r="V4554" s="33">
        <f>Data!P4568</f>
        <v>0</v>
      </c>
    </row>
    <row r="4555" spans="7:22" x14ac:dyDescent="0.25">
      <c r="G4555">
        <f>Data!B4567</f>
        <v>0</v>
      </c>
      <c r="H4555" s="21">
        <f>Data!B4567</f>
        <v>0</v>
      </c>
      <c r="I4555" s="21">
        <f>Data!C4567</f>
        <v>0</v>
      </c>
      <c r="J4555">
        <f>Data!D4567</f>
        <v>0</v>
      </c>
      <c r="K4555">
        <f>Data!E4567</f>
        <v>0</v>
      </c>
      <c r="L4555">
        <f>Data!F4567</f>
        <v>0</v>
      </c>
      <c r="M4555">
        <f>Data!G4567</f>
        <v>0</v>
      </c>
      <c r="N4555">
        <f>Data!H4567</f>
        <v>0</v>
      </c>
      <c r="O4555">
        <f>Data!I4567</f>
        <v>0</v>
      </c>
      <c r="P4555" s="21">
        <f>Data!J4571</f>
        <v>0</v>
      </c>
      <c r="Q4555">
        <f>Data!K4571</f>
        <v>0</v>
      </c>
      <c r="R4555">
        <f>Data!L4571</f>
        <v>0</v>
      </c>
      <c r="S4555">
        <f>Data!M4571</f>
        <v>0</v>
      </c>
      <c r="T4555">
        <f>Data!N4571</f>
        <v>0</v>
      </c>
      <c r="U4555">
        <f>Data!O4571</f>
        <v>0</v>
      </c>
      <c r="V4555" s="33">
        <f>Data!P4569</f>
        <v>0</v>
      </c>
    </row>
    <row r="4556" spans="7:22" x14ac:dyDescent="0.25">
      <c r="G4556">
        <f>Data!B4568</f>
        <v>0</v>
      </c>
      <c r="H4556" s="21">
        <f>Data!B4568</f>
        <v>0</v>
      </c>
      <c r="I4556" s="21">
        <f>Data!C4568</f>
        <v>0</v>
      </c>
      <c r="J4556">
        <f>Data!D4568</f>
        <v>0</v>
      </c>
      <c r="K4556">
        <f>Data!E4568</f>
        <v>0</v>
      </c>
      <c r="L4556">
        <f>Data!F4568</f>
        <v>0</v>
      </c>
      <c r="M4556">
        <f>Data!G4568</f>
        <v>0</v>
      </c>
      <c r="N4556">
        <f>Data!H4568</f>
        <v>0</v>
      </c>
      <c r="O4556">
        <f>Data!I4568</f>
        <v>0</v>
      </c>
      <c r="P4556" s="21">
        <f>Data!J4572</f>
        <v>0</v>
      </c>
      <c r="Q4556">
        <f>Data!K4572</f>
        <v>0</v>
      </c>
      <c r="R4556">
        <f>Data!L4572</f>
        <v>0</v>
      </c>
      <c r="S4556">
        <f>Data!M4572</f>
        <v>0</v>
      </c>
      <c r="T4556">
        <f>Data!N4572</f>
        <v>0</v>
      </c>
      <c r="U4556">
        <f>Data!O4572</f>
        <v>0</v>
      </c>
      <c r="V4556" s="33">
        <f>Data!P4570</f>
        <v>0</v>
      </c>
    </row>
    <row r="4557" spans="7:22" x14ac:dyDescent="0.25">
      <c r="G4557">
        <f>Data!B4569</f>
        <v>0</v>
      </c>
      <c r="H4557" s="21">
        <f>Data!B4569</f>
        <v>0</v>
      </c>
      <c r="I4557" s="21">
        <f>Data!C4569</f>
        <v>0</v>
      </c>
      <c r="J4557">
        <f>Data!D4569</f>
        <v>0</v>
      </c>
      <c r="K4557">
        <f>Data!E4569</f>
        <v>0</v>
      </c>
      <c r="L4557">
        <f>Data!F4569</f>
        <v>0</v>
      </c>
      <c r="M4557">
        <f>Data!G4569</f>
        <v>0</v>
      </c>
      <c r="N4557">
        <f>Data!H4569</f>
        <v>0</v>
      </c>
      <c r="O4557">
        <f>Data!I4569</f>
        <v>0</v>
      </c>
      <c r="P4557" s="21">
        <f>Data!J4573</f>
        <v>0</v>
      </c>
      <c r="Q4557">
        <f>Data!K4573</f>
        <v>0</v>
      </c>
      <c r="R4557">
        <f>Data!L4573</f>
        <v>0</v>
      </c>
      <c r="S4557">
        <f>Data!M4573</f>
        <v>0</v>
      </c>
      <c r="T4557">
        <f>Data!N4573</f>
        <v>0</v>
      </c>
      <c r="U4557">
        <f>Data!O4573</f>
        <v>0</v>
      </c>
      <c r="V4557" s="33">
        <f>Data!P4571</f>
        <v>0</v>
      </c>
    </row>
    <row r="4558" spans="7:22" x14ac:dyDescent="0.25">
      <c r="G4558">
        <f>Data!B4570</f>
        <v>0</v>
      </c>
      <c r="H4558" s="21">
        <f>Data!B4570</f>
        <v>0</v>
      </c>
      <c r="I4558" s="21">
        <f>Data!C4570</f>
        <v>0</v>
      </c>
      <c r="J4558">
        <f>Data!D4570</f>
        <v>0</v>
      </c>
      <c r="K4558">
        <f>Data!E4570</f>
        <v>0</v>
      </c>
      <c r="L4558">
        <f>Data!F4570</f>
        <v>0</v>
      </c>
      <c r="M4558">
        <f>Data!G4570</f>
        <v>0</v>
      </c>
      <c r="N4558">
        <f>Data!H4570</f>
        <v>0</v>
      </c>
      <c r="O4558">
        <f>Data!I4570</f>
        <v>0</v>
      </c>
      <c r="P4558" s="21">
        <f>Data!J4574</f>
        <v>0</v>
      </c>
      <c r="Q4558">
        <f>Data!K4574</f>
        <v>0</v>
      </c>
      <c r="R4558">
        <f>Data!L4574</f>
        <v>0</v>
      </c>
      <c r="S4558">
        <f>Data!M4574</f>
        <v>0</v>
      </c>
      <c r="T4558">
        <f>Data!N4574</f>
        <v>0</v>
      </c>
      <c r="U4558">
        <f>Data!O4574</f>
        <v>0</v>
      </c>
      <c r="V4558" s="33">
        <f>Data!P4572</f>
        <v>0</v>
      </c>
    </row>
    <row r="4559" spans="7:22" x14ac:dyDescent="0.25">
      <c r="G4559">
        <f>Data!B4571</f>
        <v>0</v>
      </c>
      <c r="H4559" s="21">
        <f>Data!B4571</f>
        <v>0</v>
      </c>
      <c r="I4559" s="21">
        <f>Data!C4571</f>
        <v>0</v>
      </c>
      <c r="J4559">
        <f>Data!D4571</f>
        <v>0</v>
      </c>
      <c r="K4559">
        <f>Data!E4571</f>
        <v>0</v>
      </c>
      <c r="L4559">
        <f>Data!F4571</f>
        <v>0</v>
      </c>
      <c r="M4559">
        <f>Data!G4571</f>
        <v>0</v>
      </c>
      <c r="N4559">
        <f>Data!H4571</f>
        <v>0</v>
      </c>
      <c r="O4559">
        <f>Data!I4571</f>
        <v>0</v>
      </c>
      <c r="P4559" s="21">
        <f>Data!J4575</f>
        <v>0</v>
      </c>
      <c r="Q4559">
        <f>Data!K4575</f>
        <v>0</v>
      </c>
      <c r="R4559">
        <f>Data!L4575</f>
        <v>0</v>
      </c>
      <c r="S4559">
        <f>Data!M4575</f>
        <v>0</v>
      </c>
      <c r="T4559">
        <f>Data!N4575</f>
        <v>0</v>
      </c>
      <c r="U4559">
        <f>Data!O4575</f>
        <v>0</v>
      </c>
      <c r="V4559" s="33">
        <f>Data!P4573</f>
        <v>0</v>
      </c>
    </row>
    <row r="4560" spans="7:22" x14ac:dyDescent="0.25">
      <c r="G4560">
        <f>Data!B4572</f>
        <v>0</v>
      </c>
      <c r="H4560" s="21">
        <f>Data!B4572</f>
        <v>0</v>
      </c>
      <c r="I4560" s="21">
        <f>Data!C4572</f>
        <v>0</v>
      </c>
      <c r="J4560">
        <f>Data!D4572</f>
        <v>0</v>
      </c>
      <c r="K4560">
        <f>Data!E4572</f>
        <v>0</v>
      </c>
      <c r="L4560">
        <f>Data!F4572</f>
        <v>0</v>
      </c>
      <c r="M4560">
        <f>Data!G4572</f>
        <v>0</v>
      </c>
      <c r="N4560">
        <f>Data!H4572</f>
        <v>0</v>
      </c>
      <c r="O4560">
        <f>Data!I4572</f>
        <v>0</v>
      </c>
      <c r="P4560" s="21">
        <f>Data!J4576</f>
        <v>0</v>
      </c>
      <c r="Q4560">
        <f>Data!K4576</f>
        <v>0</v>
      </c>
      <c r="R4560">
        <f>Data!L4576</f>
        <v>0</v>
      </c>
      <c r="S4560">
        <f>Data!M4576</f>
        <v>0</v>
      </c>
      <c r="T4560">
        <f>Data!N4576</f>
        <v>0</v>
      </c>
      <c r="U4560">
        <f>Data!O4576</f>
        <v>0</v>
      </c>
      <c r="V4560" s="33">
        <f>Data!P4574</f>
        <v>0</v>
      </c>
    </row>
    <row r="4561" spans="7:22" x14ac:dyDescent="0.25">
      <c r="G4561">
        <f>Data!B4573</f>
        <v>0</v>
      </c>
      <c r="H4561" s="21">
        <f>Data!B4573</f>
        <v>0</v>
      </c>
      <c r="I4561" s="21">
        <f>Data!C4573</f>
        <v>0</v>
      </c>
      <c r="J4561">
        <f>Data!D4573</f>
        <v>0</v>
      </c>
      <c r="K4561">
        <f>Data!E4573</f>
        <v>0</v>
      </c>
      <c r="L4561">
        <f>Data!F4573</f>
        <v>0</v>
      </c>
      <c r="M4561">
        <f>Data!G4573</f>
        <v>0</v>
      </c>
      <c r="N4561">
        <f>Data!H4573</f>
        <v>0</v>
      </c>
      <c r="O4561">
        <f>Data!I4573</f>
        <v>0</v>
      </c>
      <c r="P4561" s="21">
        <f>Data!J4577</f>
        <v>0</v>
      </c>
      <c r="Q4561">
        <f>Data!K4577</f>
        <v>0</v>
      </c>
      <c r="R4561">
        <f>Data!L4577</f>
        <v>0</v>
      </c>
      <c r="S4561">
        <f>Data!M4577</f>
        <v>0</v>
      </c>
      <c r="T4561">
        <f>Data!N4577</f>
        <v>0</v>
      </c>
      <c r="U4561">
        <f>Data!O4577</f>
        <v>0</v>
      </c>
      <c r="V4561" s="33">
        <f>Data!P4575</f>
        <v>0</v>
      </c>
    </row>
    <row r="4562" spans="7:22" x14ac:dyDescent="0.25">
      <c r="G4562">
        <f>Data!B4574</f>
        <v>0</v>
      </c>
      <c r="H4562" s="21">
        <f>Data!B4574</f>
        <v>0</v>
      </c>
      <c r="I4562" s="21">
        <f>Data!C4574</f>
        <v>0</v>
      </c>
      <c r="J4562">
        <f>Data!D4574</f>
        <v>0</v>
      </c>
      <c r="K4562">
        <f>Data!E4574</f>
        <v>0</v>
      </c>
      <c r="L4562">
        <f>Data!F4574</f>
        <v>0</v>
      </c>
      <c r="M4562">
        <f>Data!G4574</f>
        <v>0</v>
      </c>
      <c r="N4562">
        <f>Data!H4574</f>
        <v>0</v>
      </c>
      <c r="O4562">
        <f>Data!I4574</f>
        <v>0</v>
      </c>
      <c r="P4562" s="21">
        <f>Data!J4578</f>
        <v>0</v>
      </c>
      <c r="Q4562">
        <f>Data!K4578</f>
        <v>0</v>
      </c>
      <c r="R4562">
        <f>Data!L4578</f>
        <v>0</v>
      </c>
      <c r="S4562">
        <f>Data!M4578</f>
        <v>0</v>
      </c>
      <c r="T4562">
        <f>Data!N4578</f>
        <v>0</v>
      </c>
      <c r="U4562">
        <f>Data!O4578</f>
        <v>0</v>
      </c>
      <c r="V4562" s="33">
        <f>Data!P4576</f>
        <v>0</v>
      </c>
    </row>
    <row r="4563" spans="7:22" x14ac:dyDescent="0.25">
      <c r="G4563">
        <f>Data!B4575</f>
        <v>0</v>
      </c>
      <c r="H4563" s="21">
        <f>Data!B4575</f>
        <v>0</v>
      </c>
      <c r="I4563" s="21">
        <f>Data!C4575</f>
        <v>0</v>
      </c>
      <c r="J4563">
        <f>Data!D4575</f>
        <v>0</v>
      </c>
      <c r="K4563">
        <f>Data!E4575</f>
        <v>0</v>
      </c>
      <c r="L4563">
        <f>Data!F4575</f>
        <v>0</v>
      </c>
      <c r="M4563">
        <f>Data!G4575</f>
        <v>0</v>
      </c>
      <c r="N4563">
        <f>Data!H4575</f>
        <v>0</v>
      </c>
      <c r="O4563">
        <f>Data!I4575</f>
        <v>0</v>
      </c>
      <c r="P4563" s="21">
        <f>Data!J4579</f>
        <v>0</v>
      </c>
      <c r="Q4563">
        <f>Data!K4579</f>
        <v>0</v>
      </c>
      <c r="R4563">
        <f>Data!L4579</f>
        <v>0</v>
      </c>
      <c r="S4563">
        <f>Data!M4579</f>
        <v>0</v>
      </c>
      <c r="T4563">
        <f>Data!N4579</f>
        <v>0</v>
      </c>
      <c r="U4563">
        <f>Data!O4579</f>
        <v>0</v>
      </c>
      <c r="V4563" s="33">
        <f>Data!P4577</f>
        <v>0</v>
      </c>
    </row>
    <row r="4564" spans="7:22" x14ac:dyDescent="0.25">
      <c r="G4564">
        <f>Data!B4576</f>
        <v>0</v>
      </c>
      <c r="H4564" s="21">
        <f>Data!B4576</f>
        <v>0</v>
      </c>
      <c r="I4564" s="21">
        <f>Data!C4576</f>
        <v>0</v>
      </c>
      <c r="J4564">
        <f>Data!D4576</f>
        <v>0</v>
      </c>
      <c r="K4564">
        <f>Data!E4576</f>
        <v>0</v>
      </c>
      <c r="L4564">
        <f>Data!F4576</f>
        <v>0</v>
      </c>
      <c r="M4564">
        <f>Data!G4576</f>
        <v>0</v>
      </c>
      <c r="N4564">
        <f>Data!H4576</f>
        <v>0</v>
      </c>
      <c r="O4564">
        <f>Data!I4576</f>
        <v>0</v>
      </c>
      <c r="P4564" s="21">
        <f>Data!J4580</f>
        <v>0</v>
      </c>
      <c r="Q4564">
        <f>Data!K4580</f>
        <v>0</v>
      </c>
      <c r="R4564">
        <f>Data!L4580</f>
        <v>0</v>
      </c>
      <c r="S4564">
        <f>Data!M4580</f>
        <v>0</v>
      </c>
      <c r="T4564">
        <f>Data!N4580</f>
        <v>0</v>
      </c>
      <c r="U4564">
        <f>Data!O4580</f>
        <v>0</v>
      </c>
      <c r="V4564" s="33">
        <f>Data!P4578</f>
        <v>0</v>
      </c>
    </row>
    <row r="4565" spans="7:22" x14ac:dyDescent="0.25">
      <c r="G4565">
        <f>Data!B4577</f>
        <v>0</v>
      </c>
      <c r="H4565" s="21">
        <f>Data!B4577</f>
        <v>0</v>
      </c>
      <c r="I4565" s="21">
        <f>Data!C4577</f>
        <v>0</v>
      </c>
      <c r="J4565">
        <f>Data!D4577</f>
        <v>0</v>
      </c>
      <c r="K4565">
        <f>Data!E4577</f>
        <v>0</v>
      </c>
      <c r="L4565">
        <f>Data!F4577</f>
        <v>0</v>
      </c>
      <c r="M4565">
        <f>Data!G4577</f>
        <v>0</v>
      </c>
      <c r="N4565">
        <f>Data!H4577</f>
        <v>0</v>
      </c>
      <c r="O4565">
        <f>Data!I4577</f>
        <v>0</v>
      </c>
      <c r="P4565" s="21">
        <f>Data!J4581</f>
        <v>0</v>
      </c>
      <c r="Q4565">
        <f>Data!K4581</f>
        <v>0</v>
      </c>
      <c r="R4565">
        <f>Data!L4581</f>
        <v>0</v>
      </c>
      <c r="S4565">
        <f>Data!M4581</f>
        <v>0</v>
      </c>
      <c r="T4565">
        <f>Data!N4581</f>
        <v>0</v>
      </c>
      <c r="U4565">
        <f>Data!O4581</f>
        <v>0</v>
      </c>
      <c r="V4565" s="33">
        <f>Data!P4579</f>
        <v>0</v>
      </c>
    </row>
    <row r="4566" spans="7:22" x14ac:dyDescent="0.25">
      <c r="G4566">
        <f>Data!B4578</f>
        <v>0</v>
      </c>
      <c r="H4566" s="21">
        <f>Data!B4578</f>
        <v>0</v>
      </c>
      <c r="I4566" s="21">
        <f>Data!C4578</f>
        <v>0</v>
      </c>
      <c r="J4566">
        <f>Data!D4578</f>
        <v>0</v>
      </c>
      <c r="K4566">
        <f>Data!E4578</f>
        <v>0</v>
      </c>
      <c r="L4566">
        <f>Data!F4578</f>
        <v>0</v>
      </c>
      <c r="M4566">
        <f>Data!G4578</f>
        <v>0</v>
      </c>
      <c r="N4566">
        <f>Data!H4578</f>
        <v>0</v>
      </c>
      <c r="O4566">
        <f>Data!I4578</f>
        <v>0</v>
      </c>
      <c r="P4566" s="21">
        <f>Data!J4582</f>
        <v>0</v>
      </c>
      <c r="Q4566">
        <f>Data!K4582</f>
        <v>0</v>
      </c>
      <c r="R4566">
        <f>Data!L4582</f>
        <v>0</v>
      </c>
      <c r="S4566">
        <f>Data!M4582</f>
        <v>0</v>
      </c>
      <c r="T4566">
        <f>Data!N4582</f>
        <v>0</v>
      </c>
      <c r="U4566">
        <f>Data!O4582</f>
        <v>0</v>
      </c>
      <c r="V4566" s="33">
        <f>Data!P4580</f>
        <v>0</v>
      </c>
    </row>
    <row r="4567" spans="7:22" x14ac:dyDescent="0.25">
      <c r="G4567">
        <f>Data!B4579</f>
        <v>0</v>
      </c>
      <c r="H4567" s="21">
        <f>Data!B4579</f>
        <v>0</v>
      </c>
      <c r="I4567" s="21">
        <f>Data!C4579</f>
        <v>0</v>
      </c>
      <c r="J4567">
        <f>Data!D4579</f>
        <v>0</v>
      </c>
      <c r="K4567">
        <f>Data!E4579</f>
        <v>0</v>
      </c>
      <c r="L4567">
        <f>Data!F4579</f>
        <v>0</v>
      </c>
      <c r="M4567">
        <f>Data!G4579</f>
        <v>0</v>
      </c>
      <c r="N4567">
        <f>Data!H4579</f>
        <v>0</v>
      </c>
      <c r="O4567">
        <f>Data!I4579</f>
        <v>0</v>
      </c>
      <c r="P4567" s="21">
        <f>Data!J4583</f>
        <v>0</v>
      </c>
      <c r="Q4567">
        <f>Data!K4583</f>
        <v>0</v>
      </c>
      <c r="R4567">
        <f>Data!L4583</f>
        <v>0</v>
      </c>
      <c r="S4567">
        <f>Data!M4583</f>
        <v>0</v>
      </c>
      <c r="T4567">
        <f>Data!N4583</f>
        <v>0</v>
      </c>
      <c r="U4567">
        <f>Data!O4583</f>
        <v>0</v>
      </c>
      <c r="V4567" s="33">
        <f>Data!P4581</f>
        <v>0</v>
      </c>
    </row>
    <row r="4568" spans="7:22" x14ac:dyDescent="0.25">
      <c r="G4568">
        <f>Data!B4580</f>
        <v>0</v>
      </c>
      <c r="H4568" s="21">
        <f>Data!B4580</f>
        <v>0</v>
      </c>
      <c r="I4568" s="21">
        <f>Data!C4580</f>
        <v>0</v>
      </c>
      <c r="J4568">
        <f>Data!D4580</f>
        <v>0</v>
      </c>
      <c r="K4568">
        <f>Data!E4580</f>
        <v>0</v>
      </c>
      <c r="L4568">
        <f>Data!F4580</f>
        <v>0</v>
      </c>
      <c r="M4568">
        <f>Data!G4580</f>
        <v>0</v>
      </c>
      <c r="N4568">
        <f>Data!H4580</f>
        <v>0</v>
      </c>
      <c r="O4568">
        <f>Data!I4580</f>
        <v>0</v>
      </c>
      <c r="P4568" s="21">
        <f>Data!J4584</f>
        <v>0</v>
      </c>
      <c r="Q4568">
        <f>Data!K4584</f>
        <v>0</v>
      </c>
      <c r="R4568">
        <f>Data!L4584</f>
        <v>0</v>
      </c>
      <c r="S4568">
        <f>Data!M4584</f>
        <v>0</v>
      </c>
      <c r="T4568">
        <f>Data!N4584</f>
        <v>0</v>
      </c>
      <c r="U4568">
        <f>Data!O4584</f>
        <v>0</v>
      </c>
      <c r="V4568" s="33">
        <f>Data!P4582</f>
        <v>0</v>
      </c>
    </row>
    <row r="4569" spans="7:22" x14ac:dyDescent="0.25">
      <c r="G4569">
        <f>Data!B4581</f>
        <v>0</v>
      </c>
      <c r="H4569" s="21">
        <f>Data!B4581</f>
        <v>0</v>
      </c>
      <c r="I4569" s="21">
        <f>Data!C4581</f>
        <v>0</v>
      </c>
      <c r="J4569">
        <f>Data!D4581</f>
        <v>0</v>
      </c>
      <c r="K4569">
        <f>Data!E4581</f>
        <v>0</v>
      </c>
      <c r="L4569">
        <f>Data!F4581</f>
        <v>0</v>
      </c>
      <c r="M4569">
        <f>Data!G4581</f>
        <v>0</v>
      </c>
      <c r="N4569">
        <f>Data!H4581</f>
        <v>0</v>
      </c>
      <c r="O4569">
        <f>Data!I4581</f>
        <v>0</v>
      </c>
      <c r="P4569" s="21">
        <f>Data!J4585</f>
        <v>0</v>
      </c>
      <c r="Q4569">
        <f>Data!K4585</f>
        <v>0</v>
      </c>
      <c r="R4569">
        <f>Data!L4585</f>
        <v>0</v>
      </c>
      <c r="S4569">
        <f>Data!M4585</f>
        <v>0</v>
      </c>
      <c r="T4569">
        <f>Data!N4585</f>
        <v>0</v>
      </c>
      <c r="U4569">
        <f>Data!O4585</f>
        <v>0</v>
      </c>
      <c r="V4569" s="33">
        <f>Data!P4583</f>
        <v>0</v>
      </c>
    </row>
    <row r="4570" spans="7:22" x14ac:dyDescent="0.25">
      <c r="G4570">
        <f>Data!B4582</f>
        <v>0</v>
      </c>
      <c r="H4570" s="21">
        <f>Data!B4582</f>
        <v>0</v>
      </c>
      <c r="I4570" s="21">
        <f>Data!C4582</f>
        <v>0</v>
      </c>
      <c r="J4570">
        <f>Data!D4582</f>
        <v>0</v>
      </c>
      <c r="K4570">
        <f>Data!E4582</f>
        <v>0</v>
      </c>
      <c r="L4570">
        <f>Data!F4582</f>
        <v>0</v>
      </c>
      <c r="M4570">
        <f>Data!G4582</f>
        <v>0</v>
      </c>
      <c r="N4570">
        <f>Data!H4582</f>
        <v>0</v>
      </c>
      <c r="O4570">
        <f>Data!I4582</f>
        <v>0</v>
      </c>
      <c r="P4570" s="21">
        <f>Data!J4586</f>
        <v>0</v>
      </c>
      <c r="Q4570">
        <f>Data!K4586</f>
        <v>0</v>
      </c>
      <c r="R4570">
        <f>Data!L4586</f>
        <v>0</v>
      </c>
      <c r="S4570">
        <f>Data!M4586</f>
        <v>0</v>
      </c>
      <c r="T4570">
        <f>Data!N4586</f>
        <v>0</v>
      </c>
      <c r="U4570">
        <f>Data!O4586</f>
        <v>0</v>
      </c>
      <c r="V4570" s="33">
        <f>Data!P4584</f>
        <v>0</v>
      </c>
    </row>
    <row r="4571" spans="7:22" x14ac:dyDescent="0.25">
      <c r="G4571">
        <f>Data!B4583</f>
        <v>0</v>
      </c>
      <c r="H4571" s="21">
        <f>Data!B4583</f>
        <v>0</v>
      </c>
      <c r="I4571" s="21">
        <f>Data!C4583</f>
        <v>0</v>
      </c>
      <c r="J4571">
        <f>Data!D4583</f>
        <v>0</v>
      </c>
      <c r="K4571">
        <f>Data!E4583</f>
        <v>0</v>
      </c>
      <c r="L4571">
        <f>Data!F4583</f>
        <v>0</v>
      </c>
      <c r="M4571">
        <f>Data!G4583</f>
        <v>0</v>
      </c>
      <c r="N4571">
        <f>Data!H4583</f>
        <v>0</v>
      </c>
      <c r="O4571">
        <f>Data!I4583</f>
        <v>0</v>
      </c>
      <c r="P4571" s="21">
        <f>Data!J4587</f>
        <v>0</v>
      </c>
      <c r="Q4571">
        <f>Data!K4587</f>
        <v>0</v>
      </c>
      <c r="R4571">
        <f>Data!L4587</f>
        <v>0</v>
      </c>
      <c r="S4571">
        <f>Data!M4587</f>
        <v>0</v>
      </c>
      <c r="T4571">
        <f>Data!N4587</f>
        <v>0</v>
      </c>
      <c r="U4571">
        <f>Data!O4587</f>
        <v>0</v>
      </c>
      <c r="V4571" s="33">
        <f>Data!P4585</f>
        <v>0</v>
      </c>
    </row>
    <row r="4572" spans="7:22" x14ac:dyDescent="0.25">
      <c r="G4572">
        <f>Data!B4584</f>
        <v>0</v>
      </c>
      <c r="H4572" s="21">
        <f>Data!B4584</f>
        <v>0</v>
      </c>
      <c r="I4572" s="21">
        <f>Data!C4584</f>
        <v>0</v>
      </c>
      <c r="J4572">
        <f>Data!D4584</f>
        <v>0</v>
      </c>
      <c r="K4572">
        <f>Data!E4584</f>
        <v>0</v>
      </c>
      <c r="L4572">
        <f>Data!F4584</f>
        <v>0</v>
      </c>
      <c r="M4572">
        <f>Data!G4584</f>
        <v>0</v>
      </c>
      <c r="N4572">
        <f>Data!H4584</f>
        <v>0</v>
      </c>
      <c r="O4572">
        <f>Data!I4584</f>
        <v>0</v>
      </c>
      <c r="P4572" s="21">
        <f>Data!J4588</f>
        <v>0</v>
      </c>
      <c r="Q4572">
        <f>Data!K4588</f>
        <v>0</v>
      </c>
      <c r="R4572">
        <f>Data!L4588</f>
        <v>0</v>
      </c>
      <c r="S4572">
        <f>Data!M4588</f>
        <v>0</v>
      </c>
      <c r="T4572">
        <f>Data!N4588</f>
        <v>0</v>
      </c>
      <c r="U4572">
        <f>Data!O4588</f>
        <v>0</v>
      </c>
      <c r="V4572" s="33">
        <f>Data!P4586</f>
        <v>0</v>
      </c>
    </row>
    <row r="4573" spans="7:22" x14ac:dyDescent="0.25">
      <c r="G4573">
        <f>Data!B4585</f>
        <v>0</v>
      </c>
      <c r="H4573" s="21">
        <f>Data!B4585</f>
        <v>0</v>
      </c>
      <c r="I4573" s="21">
        <f>Data!C4585</f>
        <v>0</v>
      </c>
      <c r="J4573">
        <f>Data!D4585</f>
        <v>0</v>
      </c>
      <c r="K4573">
        <f>Data!E4585</f>
        <v>0</v>
      </c>
      <c r="L4573">
        <f>Data!F4585</f>
        <v>0</v>
      </c>
      <c r="M4573">
        <f>Data!G4585</f>
        <v>0</v>
      </c>
      <c r="N4573">
        <f>Data!H4585</f>
        <v>0</v>
      </c>
      <c r="O4573">
        <f>Data!I4585</f>
        <v>0</v>
      </c>
      <c r="P4573" s="21">
        <f>Data!J4589</f>
        <v>0</v>
      </c>
      <c r="Q4573">
        <f>Data!K4589</f>
        <v>0</v>
      </c>
      <c r="R4573">
        <f>Data!L4589</f>
        <v>0</v>
      </c>
      <c r="S4573">
        <f>Data!M4589</f>
        <v>0</v>
      </c>
      <c r="T4573">
        <f>Data!N4589</f>
        <v>0</v>
      </c>
      <c r="U4573">
        <f>Data!O4589</f>
        <v>0</v>
      </c>
      <c r="V4573" s="33">
        <f>Data!P4587</f>
        <v>0</v>
      </c>
    </row>
    <row r="4574" spans="7:22" x14ac:dyDescent="0.25">
      <c r="G4574">
        <f>Data!B4586</f>
        <v>0</v>
      </c>
      <c r="H4574" s="21">
        <f>Data!B4586</f>
        <v>0</v>
      </c>
      <c r="I4574" s="21">
        <f>Data!C4586</f>
        <v>0</v>
      </c>
      <c r="J4574">
        <f>Data!D4586</f>
        <v>0</v>
      </c>
      <c r="K4574">
        <f>Data!E4586</f>
        <v>0</v>
      </c>
      <c r="L4574">
        <f>Data!F4586</f>
        <v>0</v>
      </c>
      <c r="M4574">
        <f>Data!G4586</f>
        <v>0</v>
      </c>
      <c r="N4574">
        <f>Data!H4586</f>
        <v>0</v>
      </c>
      <c r="O4574">
        <f>Data!I4586</f>
        <v>0</v>
      </c>
      <c r="P4574" s="21">
        <f>Data!J4590</f>
        <v>0</v>
      </c>
      <c r="Q4574">
        <f>Data!K4590</f>
        <v>0</v>
      </c>
      <c r="R4574">
        <f>Data!L4590</f>
        <v>0</v>
      </c>
      <c r="S4574">
        <f>Data!M4590</f>
        <v>0</v>
      </c>
      <c r="T4574">
        <f>Data!N4590</f>
        <v>0</v>
      </c>
      <c r="U4574">
        <f>Data!O4590</f>
        <v>0</v>
      </c>
      <c r="V4574" s="33">
        <f>Data!P4588</f>
        <v>0</v>
      </c>
    </row>
    <row r="4575" spans="7:22" x14ac:dyDescent="0.25">
      <c r="G4575">
        <f>Data!B4587</f>
        <v>0</v>
      </c>
      <c r="H4575" s="21">
        <f>Data!B4587</f>
        <v>0</v>
      </c>
      <c r="I4575" s="21">
        <f>Data!C4587</f>
        <v>0</v>
      </c>
      <c r="J4575">
        <f>Data!D4587</f>
        <v>0</v>
      </c>
      <c r="K4575">
        <f>Data!E4587</f>
        <v>0</v>
      </c>
      <c r="L4575">
        <f>Data!F4587</f>
        <v>0</v>
      </c>
      <c r="M4575">
        <f>Data!G4587</f>
        <v>0</v>
      </c>
      <c r="N4575">
        <f>Data!H4587</f>
        <v>0</v>
      </c>
      <c r="O4575">
        <f>Data!I4587</f>
        <v>0</v>
      </c>
      <c r="P4575" s="21">
        <f>Data!J4591</f>
        <v>0</v>
      </c>
      <c r="Q4575">
        <f>Data!K4591</f>
        <v>0</v>
      </c>
      <c r="R4575">
        <f>Data!L4591</f>
        <v>0</v>
      </c>
      <c r="S4575">
        <f>Data!M4591</f>
        <v>0</v>
      </c>
      <c r="T4575">
        <f>Data!N4591</f>
        <v>0</v>
      </c>
      <c r="U4575">
        <f>Data!O4591</f>
        <v>0</v>
      </c>
      <c r="V4575" s="33">
        <f>Data!P4589</f>
        <v>0</v>
      </c>
    </row>
    <row r="4576" spans="7:22" x14ac:dyDescent="0.25">
      <c r="G4576">
        <f>Data!B4588</f>
        <v>0</v>
      </c>
      <c r="H4576" s="21">
        <f>Data!B4588</f>
        <v>0</v>
      </c>
      <c r="I4576" s="21">
        <f>Data!C4588</f>
        <v>0</v>
      </c>
      <c r="J4576">
        <f>Data!D4588</f>
        <v>0</v>
      </c>
      <c r="K4576">
        <f>Data!E4588</f>
        <v>0</v>
      </c>
      <c r="L4576">
        <f>Data!F4588</f>
        <v>0</v>
      </c>
      <c r="M4576">
        <f>Data!G4588</f>
        <v>0</v>
      </c>
      <c r="N4576">
        <f>Data!H4588</f>
        <v>0</v>
      </c>
      <c r="O4576">
        <f>Data!I4588</f>
        <v>0</v>
      </c>
      <c r="P4576" s="21">
        <f>Data!J4592</f>
        <v>0</v>
      </c>
      <c r="Q4576">
        <f>Data!K4592</f>
        <v>0</v>
      </c>
      <c r="R4576">
        <f>Data!L4592</f>
        <v>0</v>
      </c>
      <c r="S4576">
        <f>Data!M4592</f>
        <v>0</v>
      </c>
      <c r="T4576">
        <f>Data!N4592</f>
        <v>0</v>
      </c>
      <c r="U4576">
        <f>Data!O4592</f>
        <v>0</v>
      </c>
      <c r="V4576" s="33">
        <f>Data!P4590</f>
        <v>0</v>
      </c>
    </row>
    <row r="4577" spans="7:22" x14ac:dyDescent="0.25">
      <c r="G4577">
        <f>Data!B4589</f>
        <v>0</v>
      </c>
      <c r="H4577" s="21">
        <f>Data!B4589</f>
        <v>0</v>
      </c>
      <c r="I4577" s="21">
        <f>Data!C4589</f>
        <v>0</v>
      </c>
      <c r="J4577">
        <f>Data!D4589</f>
        <v>0</v>
      </c>
      <c r="K4577">
        <f>Data!E4589</f>
        <v>0</v>
      </c>
      <c r="L4577">
        <f>Data!F4589</f>
        <v>0</v>
      </c>
      <c r="M4577">
        <f>Data!G4589</f>
        <v>0</v>
      </c>
      <c r="N4577">
        <f>Data!H4589</f>
        <v>0</v>
      </c>
      <c r="O4577">
        <f>Data!I4589</f>
        <v>0</v>
      </c>
      <c r="P4577" s="21">
        <f>Data!J4593</f>
        <v>0</v>
      </c>
      <c r="Q4577">
        <f>Data!K4593</f>
        <v>0</v>
      </c>
      <c r="R4577">
        <f>Data!L4593</f>
        <v>0</v>
      </c>
      <c r="S4577">
        <f>Data!M4593</f>
        <v>0</v>
      </c>
      <c r="T4577">
        <f>Data!N4593</f>
        <v>0</v>
      </c>
      <c r="U4577">
        <f>Data!O4593</f>
        <v>0</v>
      </c>
      <c r="V4577" s="33">
        <f>Data!P4591</f>
        <v>0</v>
      </c>
    </row>
    <row r="4578" spans="7:22" x14ac:dyDescent="0.25">
      <c r="G4578">
        <f>Data!B4590</f>
        <v>0</v>
      </c>
      <c r="H4578" s="21">
        <f>Data!B4590</f>
        <v>0</v>
      </c>
      <c r="I4578" s="21">
        <f>Data!C4590</f>
        <v>0</v>
      </c>
      <c r="J4578">
        <f>Data!D4590</f>
        <v>0</v>
      </c>
      <c r="K4578">
        <f>Data!E4590</f>
        <v>0</v>
      </c>
      <c r="L4578">
        <f>Data!F4590</f>
        <v>0</v>
      </c>
      <c r="M4578">
        <f>Data!G4590</f>
        <v>0</v>
      </c>
      <c r="N4578">
        <f>Data!H4590</f>
        <v>0</v>
      </c>
      <c r="O4578">
        <f>Data!I4590</f>
        <v>0</v>
      </c>
      <c r="P4578" s="21">
        <f>Data!J4594</f>
        <v>0</v>
      </c>
      <c r="Q4578">
        <f>Data!K4594</f>
        <v>0</v>
      </c>
      <c r="R4578">
        <f>Data!L4594</f>
        <v>0</v>
      </c>
      <c r="S4578">
        <f>Data!M4594</f>
        <v>0</v>
      </c>
      <c r="T4578">
        <f>Data!N4594</f>
        <v>0</v>
      </c>
      <c r="U4578">
        <f>Data!O4594</f>
        <v>0</v>
      </c>
      <c r="V4578" s="33">
        <f>Data!P4592</f>
        <v>0</v>
      </c>
    </row>
    <row r="4579" spans="7:22" x14ac:dyDescent="0.25">
      <c r="G4579">
        <f>Data!B4591</f>
        <v>0</v>
      </c>
      <c r="H4579" s="21">
        <f>Data!B4591</f>
        <v>0</v>
      </c>
      <c r="I4579" s="21">
        <f>Data!C4591</f>
        <v>0</v>
      </c>
      <c r="J4579">
        <f>Data!D4591</f>
        <v>0</v>
      </c>
      <c r="K4579">
        <f>Data!E4591</f>
        <v>0</v>
      </c>
      <c r="L4579">
        <f>Data!F4591</f>
        <v>0</v>
      </c>
      <c r="M4579">
        <f>Data!G4591</f>
        <v>0</v>
      </c>
      <c r="N4579">
        <f>Data!H4591</f>
        <v>0</v>
      </c>
      <c r="O4579">
        <f>Data!I4591</f>
        <v>0</v>
      </c>
      <c r="P4579" s="21">
        <f>Data!J4595</f>
        <v>0</v>
      </c>
      <c r="Q4579">
        <f>Data!K4595</f>
        <v>0</v>
      </c>
      <c r="R4579">
        <f>Data!L4595</f>
        <v>0</v>
      </c>
      <c r="S4579">
        <f>Data!M4595</f>
        <v>0</v>
      </c>
      <c r="T4579">
        <f>Data!N4595</f>
        <v>0</v>
      </c>
      <c r="U4579">
        <f>Data!O4595</f>
        <v>0</v>
      </c>
      <c r="V4579" s="33">
        <f>Data!P4593</f>
        <v>0</v>
      </c>
    </row>
    <row r="4580" spans="7:22" x14ac:dyDescent="0.25">
      <c r="G4580">
        <f>Data!B4592</f>
        <v>0</v>
      </c>
      <c r="H4580" s="21">
        <f>Data!B4592</f>
        <v>0</v>
      </c>
      <c r="I4580" s="21">
        <f>Data!C4592</f>
        <v>0</v>
      </c>
      <c r="J4580">
        <f>Data!D4592</f>
        <v>0</v>
      </c>
      <c r="K4580">
        <f>Data!E4592</f>
        <v>0</v>
      </c>
      <c r="L4580">
        <f>Data!F4592</f>
        <v>0</v>
      </c>
      <c r="M4580">
        <f>Data!G4592</f>
        <v>0</v>
      </c>
      <c r="N4580">
        <f>Data!H4592</f>
        <v>0</v>
      </c>
      <c r="O4580">
        <f>Data!I4592</f>
        <v>0</v>
      </c>
      <c r="P4580" s="21">
        <f>Data!J4596</f>
        <v>0</v>
      </c>
      <c r="Q4580">
        <f>Data!K4596</f>
        <v>0</v>
      </c>
      <c r="R4580">
        <f>Data!L4596</f>
        <v>0</v>
      </c>
      <c r="S4580">
        <f>Data!M4596</f>
        <v>0</v>
      </c>
      <c r="T4580">
        <f>Data!N4596</f>
        <v>0</v>
      </c>
      <c r="U4580">
        <f>Data!O4596</f>
        <v>0</v>
      </c>
      <c r="V4580" s="33">
        <f>Data!P4594</f>
        <v>0</v>
      </c>
    </row>
    <row r="4581" spans="7:22" x14ac:dyDescent="0.25">
      <c r="G4581">
        <f>Data!B4593</f>
        <v>0</v>
      </c>
      <c r="H4581" s="21">
        <f>Data!B4593</f>
        <v>0</v>
      </c>
      <c r="I4581" s="21">
        <f>Data!C4593</f>
        <v>0</v>
      </c>
      <c r="J4581">
        <f>Data!D4593</f>
        <v>0</v>
      </c>
      <c r="K4581">
        <f>Data!E4593</f>
        <v>0</v>
      </c>
      <c r="L4581">
        <f>Data!F4593</f>
        <v>0</v>
      </c>
      <c r="M4581">
        <f>Data!G4593</f>
        <v>0</v>
      </c>
      <c r="N4581">
        <f>Data!H4593</f>
        <v>0</v>
      </c>
      <c r="O4581">
        <f>Data!I4593</f>
        <v>0</v>
      </c>
      <c r="P4581" s="21">
        <f>Data!J4597</f>
        <v>0</v>
      </c>
      <c r="Q4581">
        <f>Data!K4597</f>
        <v>0</v>
      </c>
      <c r="R4581">
        <f>Data!L4597</f>
        <v>0</v>
      </c>
      <c r="S4581">
        <f>Data!M4597</f>
        <v>0</v>
      </c>
      <c r="T4581">
        <f>Data!N4597</f>
        <v>0</v>
      </c>
      <c r="U4581">
        <f>Data!O4597</f>
        <v>0</v>
      </c>
      <c r="V4581" s="33">
        <f>Data!P4595</f>
        <v>0</v>
      </c>
    </row>
    <row r="4582" spans="7:22" x14ac:dyDescent="0.25">
      <c r="G4582">
        <f>Data!B4594</f>
        <v>0</v>
      </c>
      <c r="H4582" s="21">
        <f>Data!B4594</f>
        <v>0</v>
      </c>
      <c r="I4582" s="21">
        <f>Data!C4594</f>
        <v>0</v>
      </c>
      <c r="J4582">
        <f>Data!D4594</f>
        <v>0</v>
      </c>
      <c r="K4582">
        <f>Data!E4594</f>
        <v>0</v>
      </c>
      <c r="L4582">
        <f>Data!F4594</f>
        <v>0</v>
      </c>
      <c r="M4582">
        <f>Data!G4594</f>
        <v>0</v>
      </c>
      <c r="N4582">
        <f>Data!H4594</f>
        <v>0</v>
      </c>
      <c r="O4582">
        <f>Data!I4594</f>
        <v>0</v>
      </c>
      <c r="P4582" s="21">
        <f>Data!J4598</f>
        <v>0</v>
      </c>
      <c r="Q4582">
        <f>Data!K4598</f>
        <v>0</v>
      </c>
      <c r="R4582">
        <f>Data!L4598</f>
        <v>0</v>
      </c>
      <c r="S4582">
        <f>Data!M4598</f>
        <v>0</v>
      </c>
      <c r="T4582">
        <f>Data!N4598</f>
        <v>0</v>
      </c>
      <c r="U4582">
        <f>Data!O4598</f>
        <v>0</v>
      </c>
      <c r="V4582" s="33">
        <f>Data!P4596</f>
        <v>0</v>
      </c>
    </row>
    <row r="4583" spans="7:22" x14ac:dyDescent="0.25">
      <c r="G4583">
        <f>Data!B4595</f>
        <v>0</v>
      </c>
      <c r="H4583" s="21">
        <f>Data!B4595</f>
        <v>0</v>
      </c>
      <c r="I4583" s="21">
        <f>Data!C4595</f>
        <v>0</v>
      </c>
      <c r="J4583">
        <f>Data!D4595</f>
        <v>0</v>
      </c>
      <c r="K4583">
        <f>Data!E4595</f>
        <v>0</v>
      </c>
      <c r="L4583">
        <f>Data!F4595</f>
        <v>0</v>
      </c>
      <c r="M4583">
        <f>Data!G4595</f>
        <v>0</v>
      </c>
      <c r="N4583">
        <f>Data!H4595</f>
        <v>0</v>
      </c>
      <c r="O4583">
        <f>Data!I4595</f>
        <v>0</v>
      </c>
      <c r="P4583" s="21">
        <f>Data!J4599</f>
        <v>0</v>
      </c>
      <c r="Q4583">
        <f>Data!K4599</f>
        <v>0</v>
      </c>
      <c r="R4583">
        <f>Data!L4599</f>
        <v>0</v>
      </c>
      <c r="S4583">
        <f>Data!M4599</f>
        <v>0</v>
      </c>
      <c r="T4583">
        <f>Data!N4599</f>
        <v>0</v>
      </c>
      <c r="U4583">
        <f>Data!O4599</f>
        <v>0</v>
      </c>
      <c r="V4583" s="33">
        <f>Data!P4597</f>
        <v>0</v>
      </c>
    </row>
    <row r="4584" spans="7:22" x14ac:dyDescent="0.25">
      <c r="G4584">
        <f>Data!B4596</f>
        <v>0</v>
      </c>
      <c r="H4584" s="21">
        <f>Data!B4596</f>
        <v>0</v>
      </c>
      <c r="I4584" s="21">
        <f>Data!C4596</f>
        <v>0</v>
      </c>
      <c r="J4584">
        <f>Data!D4596</f>
        <v>0</v>
      </c>
      <c r="K4584">
        <f>Data!E4596</f>
        <v>0</v>
      </c>
      <c r="L4584">
        <f>Data!F4596</f>
        <v>0</v>
      </c>
      <c r="M4584">
        <f>Data!G4596</f>
        <v>0</v>
      </c>
      <c r="N4584">
        <f>Data!H4596</f>
        <v>0</v>
      </c>
      <c r="O4584">
        <f>Data!I4596</f>
        <v>0</v>
      </c>
      <c r="P4584" s="21">
        <f>Data!J4600</f>
        <v>0</v>
      </c>
      <c r="Q4584">
        <f>Data!K4600</f>
        <v>0</v>
      </c>
      <c r="R4584">
        <f>Data!L4600</f>
        <v>0</v>
      </c>
      <c r="S4584">
        <f>Data!M4600</f>
        <v>0</v>
      </c>
      <c r="T4584">
        <f>Data!N4600</f>
        <v>0</v>
      </c>
      <c r="U4584">
        <f>Data!O4600</f>
        <v>0</v>
      </c>
      <c r="V4584" s="33">
        <f>Data!P4598</f>
        <v>0</v>
      </c>
    </row>
    <row r="4585" spans="7:22" x14ac:dyDescent="0.25">
      <c r="G4585">
        <f>Data!B4597</f>
        <v>0</v>
      </c>
      <c r="H4585" s="21">
        <f>Data!B4597</f>
        <v>0</v>
      </c>
      <c r="I4585" s="21">
        <f>Data!C4597</f>
        <v>0</v>
      </c>
      <c r="J4585">
        <f>Data!D4597</f>
        <v>0</v>
      </c>
      <c r="K4585">
        <f>Data!E4597</f>
        <v>0</v>
      </c>
      <c r="L4585">
        <f>Data!F4597</f>
        <v>0</v>
      </c>
      <c r="M4585">
        <f>Data!G4597</f>
        <v>0</v>
      </c>
      <c r="N4585">
        <f>Data!H4597</f>
        <v>0</v>
      </c>
      <c r="O4585">
        <f>Data!I4597</f>
        <v>0</v>
      </c>
      <c r="P4585" s="21">
        <f>Data!J4601</f>
        <v>0</v>
      </c>
      <c r="Q4585">
        <f>Data!K4601</f>
        <v>0</v>
      </c>
      <c r="R4585">
        <f>Data!L4601</f>
        <v>0</v>
      </c>
      <c r="S4585">
        <f>Data!M4601</f>
        <v>0</v>
      </c>
      <c r="T4585">
        <f>Data!N4601</f>
        <v>0</v>
      </c>
      <c r="U4585">
        <f>Data!O4601</f>
        <v>0</v>
      </c>
      <c r="V4585" s="33">
        <f>Data!P4599</f>
        <v>0</v>
      </c>
    </row>
    <row r="4586" spans="7:22" x14ac:dyDescent="0.25">
      <c r="G4586">
        <f>Data!B4598</f>
        <v>0</v>
      </c>
      <c r="H4586" s="21">
        <f>Data!B4598</f>
        <v>0</v>
      </c>
      <c r="I4586" s="21">
        <f>Data!C4598</f>
        <v>0</v>
      </c>
      <c r="J4586">
        <f>Data!D4598</f>
        <v>0</v>
      </c>
      <c r="K4586">
        <f>Data!E4598</f>
        <v>0</v>
      </c>
      <c r="L4586">
        <f>Data!F4598</f>
        <v>0</v>
      </c>
      <c r="M4586">
        <f>Data!G4598</f>
        <v>0</v>
      </c>
      <c r="N4586">
        <f>Data!H4598</f>
        <v>0</v>
      </c>
      <c r="O4586">
        <f>Data!I4598</f>
        <v>0</v>
      </c>
      <c r="P4586" s="21">
        <f>Data!J4602</f>
        <v>0</v>
      </c>
      <c r="Q4586">
        <f>Data!K4602</f>
        <v>0</v>
      </c>
      <c r="R4586">
        <f>Data!L4602</f>
        <v>0</v>
      </c>
      <c r="S4586">
        <f>Data!M4602</f>
        <v>0</v>
      </c>
      <c r="T4586">
        <f>Data!N4602</f>
        <v>0</v>
      </c>
      <c r="U4586">
        <f>Data!O4602</f>
        <v>0</v>
      </c>
      <c r="V4586" s="33">
        <f>Data!P4600</f>
        <v>0</v>
      </c>
    </row>
    <row r="4587" spans="7:22" x14ac:dyDescent="0.25">
      <c r="G4587">
        <f>Data!B4599</f>
        <v>0</v>
      </c>
      <c r="H4587" s="21">
        <f>Data!B4599</f>
        <v>0</v>
      </c>
      <c r="I4587" s="21">
        <f>Data!C4599</f>
        <v>0</v>
      </c>
      <c r="J4587">
        <f>Data!D4599</f>
        <v>0</v>
      </c>
      <c r="K4587">
        <f>Data!E4599</f>
        <v>0</v>
      </c>
      <c r="L4587">
        <f>Data!F4599</f>
        <v>0</v>
      </c>
      <c r="M4587">
        <f>Data!G4599</f>
        <v>0</v>
      </c>
      <c r="N4587">
        <f>Data!H4599</f>
        <v>0</v>
      </c>
      <c r="O4587">
        <f>Data!I4599</f>
        <v>0</v>
      </c>
      <c r="P4587" s="21">
        <f>Data!J4603</f>
        <v>0</v>
      </c>
      <c r="Q4587">
        <f>Data!K4603</f>
        <v>0</v>
      </c>
      <c r="R4587">
        <f>Data!L4603</f>
        <v>0</v>
      </c>
      <c r="S4587">
        <f>Data!M4603</f>
        <v>0</v>
      </c>
      <c r="T4587">
        <f>Data!N4603</f>
        <v>0</v>
      </c>
      <c r="U4587">
        <f>Data!O4603</f>
        <v>0</v>
      </c>
      <c r="V4587" s="33">
        <f>Data!P4601</f>
        <v>0</v>
      </c>
    </row>
    <row r="4588" spans="7:22" x14ac:dyDescent="0.25">
      <c r="G4588">
        <f>Data!B4600</f>
        <v>0</v>
      </c>
      <c r="H4588" s="21">
        <f>Data!B4600</f>
        <v>0</v>
      </c>
      <c r="I4588" s="21">
        <f>Data!C4600</f>
        <v>0</v>
      </c>
      <c r="J4588">
        <f>Data!D4600</f>
        <v>0</v>
      </c>
      <c r="K4588">
        <f>Data!E4600</f>
        <v>0</v>
      </c>
      <c r="L4588">
        <f>Data!F4600</f>
        <v>0</v>
      </c>
      <c r="M4588">
        <f>Data!G4600</f>
        <v>0</v>
      </c>
      <c r="N4588">
        <f>Data!H4600</f>
        <v>0</v>
      </c>
      <c r="O4588">
        <f>Data!I4600</f>
        <v>0</v>
      </c>
      <c r="P4588" s="21">
        <f>Data!J4604</f>
        <v>0</v>
      </c>
      <c r="Q4588">
        <f>Data!K4604</f>
        <v>0</v>
      </c>
      <c r="R4588">
        <f>Data!L4604</f>
        <v>0</v>
      </c>
      <c r="S4588">
        <f>Data!M4604</f>
        <v>0</v>
      </c>
      <c r="T4588">
        <f>Data!N4604</f>
        <v>0</v>
      </c>
      <c r="U4588">
        <f>Data!O4604</f>
        <v>0</v>
      </c>
      <c r="V4588" s="33">
        <f>Data!P4602</f>
        <v>0</v>
      </c>
    </row>
    <row r="4589" spans="7:22" x14ac:dyDescent="0.25">
      <c r="G4589">
        <f>Data!B4601</f>
        <v>0</v>
      </c>
      <c r="H4589" s="21">
        <f>Data!B4601</f>
        <v>0</v>
      </c>
      <c r="I4589" s="21">
        <f>Data!C4601</f>
        <v>0</v>
      </c>
      <c r="J4589">
        <f>Data!D4601</f>
        <v>0</v>
      </c>
      <c r="K4589">
        <f>Data!E4601</f>
        <v>0</v>
      </c>
      <c r="L4589">
        <f>Data!F4601</f>
        <v>0</v>
      </c>
      <c r="M4589">
        <f>Data!G4601</f>
        <v>0</v>
      </c>
      <c r="N4589">
        <f>Data!H4601</f>
        <v>0</v>
      </c>
      <c r="O4589">
        <f>Data!I4601</f>
        <v>0</v>
      </c>
      <c r="P4589" s="21">
        <f>Data!J4605</f>
        <v>0</v>
      </c>
      <c r="Q4589">
        <f>Data!K4605</f>
        <v>0</v>
      </c>
      <c r="R4589">
        <f>Data!L4605</f>
        <v>0</v>
      </c>
      <c r="S4589">
        <f>Data!M4605</f>
        <v>0</v>
      </c>
      <c r="T4589">
        <f>Data!N4605</f>
        <v>0</v>
      </c>
      <c r="U4589">
        <f>Data!O4605</f>
        <v>0</v>
      </c>
      <c r="V4589" s="33">
        <f>Data!P4603</f>
        <v>0</v>
      </c>
    </row>
    <row r="4590" spans="7:22" x14ac:dyDescent="0.25">
      <c r="G4590">
        <f>Data!B4602</f>
        <v>0</v>
      </c>
      <c r="H4590" s="21">
        <f>Data!B4602</f>
        <v>0</v>
      </c>
      <c r="I4590" s="21">
        <f>Data!C4602</f>
        <v>0</v>
      </c>
      <c r="J4590">
        <f>Data!D4602</f>
        <v>0</v>
      </c>
      <c r="K4590">
        <f>Data!E4602</f>
        <v>0</v>
      </c>
      <c r="L4590">
        <f>Data!F4602</f>
        <v>0</v>
      </c>
      <c r="M4590">
        <f>Data!G4602</f>
        <v>0</v>
      </c>
      <c r="N4590">
        <f>Data!H4602</f>
        <v>0</v>
      </c>
      <c r="O4590">
        <f>Data!I4602</f>
        <v>0</v>
      </c>
      <c r="P4590" s="21">
        <f>Data!J4606</f>
        <v>0</v>
      </c>
      <c r="Q4590">
        <f>Data!K4606</f>
        <v>0</v>
      </c>
      <c r="R4590">
        <f>Data!L4606</f>
        <v>0</v>
      </c>
      <c r="S4590">
        <f>Data!M4606</f>
        <v>0</v>
      </c>
      <c r="T4590">
        <f>Data!N4606</f>
        <v>0</v>
      </c>
      <c r="U4590">
        <f>Data!O4606</f>
        <v>0</v>
      </c>
      <c r="V4590" s="33">
        <f>Data!P4604</f>
        <v>0</v>
      </c>
    </row>
    <row r="4591" spans="7:22" x14ac:dyDescent="0.25">
      <c r="G4591">
        <f>Data!B4603</f>
        <v>0</v>
      </c>
      <c r="H4591" s="21">
        <f>Data!B4603</f>
        <v>0</v>
      </c>
      <c r="I4591" s="21">
        <f>Data!C4603</f>
        <v>0</v>
      </c>
      <c r="J4591">
        <f>Data!D4603</f>
        <v>0</v>
      </c>
      <c r="K4591">
        <f>Data!E4603</f>
        <v>0</v>
      </c>
      <c r="L4591">
        <f>Data!F4603</f>
        <v>0</v>
      </c>
      <c r="M4591">
        <f>Data!G4603</f>
        <v>0</v>
      </c>
      <c r="N4591">
        <f>Data!H4603</f>
        <v>0</v>
      </c>
      <c r="O4591">
        <f>Data!I4603</f>
        <v>0</v>
      </c>
      <c r="P4591" s="21">
        <f>Data!J4607</f>
        <v>0</v>
      </c>
      <c r="Q4591">
        <f>Data!K4607</f>
        <v>0</v>
      </c>
      <c r="R4591">
        <f>Data!L4607</f>
        <v>0</v>
      </c>
      <c r="S4591">
        <f>Data!M4607</f>
        <v>0</v>
      </c>
      <c r="T4591">
        <f>Data!N4607</f>
        <v>0</v>
      </c>
      <c r="U4591">
        <f>Data!O4607</f>
        <v>0</v>
      </c>
      <c r="V4591" s="33">
        <f>Data!P4605</f>
        <v>0</v>
      </c>
    </row>
    <row r="4592" spans="7:22" x14ac:dyDescent="0.25">
      <c r="G4592">
        <f>Data!B4604</f>
        <v>0</v>
      </c>
      <c r="H4592" s="21">
        <f>Data!B4604</f>
        <v>0</v>
      </c>
      <c r="I4592" s="21">
        <f>Data!C4604</f>
        <v>0</v>
      </c>
      <c r="J4592">
        <f>Data!D4604</f>
        <v>0</v>
      </c>
      <c r="K4592">
        <f>Data!E4604</f>
        <v>0</v>
      </c>
      <c r="L4592">
        <f>Data!F4604</f>
        <v>0</v>
      </c>
      <c r="M4592">
        <f>Data!G4604</f>
        <v>0</v>
      </c>
      <c r="N4592">
        <f>Data!H4604</f>
        <v>0</v>
      </c>
      <c r="O4592">
        <f>Data!I4604</f>
        <v>0</v>
      </c>
      <c r="P4592" s="21">
        <f>Data!J4608</f>
        <v>0</v>
      </c>
      <c r="Q4592">
        <f>Data!K4608</f>
        <v>0</v>
      </c>
      <c r="R4592">
        <f>Data!L4608</f>
        <v>0</v>
      </c>
      <c r="S4592">
        <f>Data!M4608</f>
        <v>0</v>
      </c>
      <c r="T4592">
        <f>Data!N4608</f>
        <v>0</v>
      </c>
      <c r="U4592">
        <f>Data!O4608</f>
        <v>0</v>
      </c>
      <c r="V4592" s="33">
        <f>Data!P4606</f>
        <v>0</v>
      </c>
    </row>
    <row r="4593" spans="7:22" x14ac:dyDescent="0.25">
      <c r="G4593">
        <f>Data!B4605</f>
        <v>0</v>
      </c>
      <c r="H4593" s="21">
        <f>Data!B4605</f>
        <v>0</v>
      </c>
      <c r="I4593" s="21">
        <f>Data!C4605</f>
        <v>0</v>
      </c>
      <c r="J4593">
        <f>Data!D4605</f>
        <v>0</v>
      </c>
      <c r="K4593">
        <f>Data!E4605</f>
        <v>0</v>
      </c>
      <c r="L4593">
        <f>Data!F4605</f>
        <v>0</v>
      </c>
      <c r="M4593">
        <f>Data!G4605</f>
        <v>0</v>
      </c>
      <c r="N4593">
        <f>Data!H4605</f>
        <v>0</v>
      </c>
      <c r="O4593">
        <f>Data!I4605</f>
        <v>0</v>
      </c>
      <c r="P4593" s="21">
        <f>Data!J4609</f>
        <v>0</v>
      </c>
      <c r="Q4593">
        <f>Data!K4609</f>
        <v>0</v>
      </c>
      <c r="R4593">
        <f>Data!L4609</f>
        <v>0</v>
      </c>
      <c r="S4593">
        <f>Data!M4609</f>
        <v>0</v>
      </c>
      <c r="T4593">
        <f>Data!N4609</f>
        <v>0</v>
      </c>
      <c r="U4593">
        <f>Data!O4609</f>
        <v>0</v>
      </c>
      <c r="V4593" s="33">
        <f>Data!P4607</f>
        <v>0</v>
      </c>
    </row>
    <row r="4594" spans="7:22" x14ac:dyDescent="0.25">
      <c r="G4594">
        <f>Data!B4606</f>
        <v>0</v>
      </c>
      <c r="H4594" s="21">
        <f>Data!B4606</f>
        <v>0</v>
      </c>
      <c r="I4594" s="21">
        <f>Data!C4606</f>
        <v>0</v>
      </c>
      <c r="J4594">
        <f>Data!D4606</f>
        <v>0</v>
      </c>
      <c r="K4594">
        <f>Data!E4606</f>
        <v>0</v>
      </c>
      <c r="L4594">
        <f>Data!F4606</f>
        <v>0</v>
      </c>
      <c r="M4594">
        <f>Data!G4606</f>
        <v>0</v>
      </c>
      <c r="N4594">
        <f>Data!H4606</f>
        <v>0</v>
      </c>
      <c r="O4594">
        <f>Data!I4606</f>
        <v>0</v>
      </c>
      <c r="P4594" s="21">
        <f>Data!J4610</f>
        <v>0</v>
      </c>
      <c r="Q4594">
        <f>Data!K4610</f>
        <v>0</v>
      </c>
      <c r="R4594">
        <f>Data!L4610</f>
        <v>0</v>
      </c>
      <c r="S4594">
        <f>Data!M4610</f>
        <v>0</v>
      </c>
      <c r="T4594">
        <f>Data!N4610</f>
        <v>0</v>
      </c>
      <c r="U4594">
        <f>Data!O4610</f>
        <v>0</v>
      </c>
      <c r="V4594" s="33">
        <f>Data!P4608</f>
        <v>0</v>
      </c>
    </row>
    <row r="4595" spans="7:22" x14ac:dyDescent="0.25">
      <c r="G4595">
        <f>Data!B4607</f>
        <v>0</v>
      </c>
      <c r="H4595" s="21">
        <f>Data!B4607</f>
        <v>0</v>
      </c>
      <c r="I4595" s="21">
        <f>Data!C4607</f>
        <v>0</v>
      </c>
      <c r="J4595">
        <f>Data!D4607</f>
        <v>0</v>
      </c>
      <c r="K4595">
        <f>Data!E4607</f>
        <v>0</v>
      </c>
      <c r="L4595">
        <f>Data!F4607</f>
        <v>0</v>
      </c>
      <c r="M4595">
        <f>Data!G4607</f>
        <v>0</v>
      </c>
      <c r="N4595">
        <f>Data!H4607</f>
        <v>0</v>
      </c>
      <c r="O4595">
        <f>Data!I4607</f>
        <v>0</v>
      </c>
      <c r="P4595" s="21">
        <f>Data!J4611</f>
        <v>0</v>
      </c>
      <c r="Q4595">
        <f>Data!K4611</f>
        <v>0</v>
      </c>
      <c r="R4595">
        <f>Data!L4611</f>
        <v>0</v>
      </c>
      <c r="S4595">
        <f>Data!M4611</f>
        <v>0</v>
      </c>
      <c r="T4595">
        <f>Data!N4611</f>
        <v>0</v>
      </c>
      <c r="U4595">
        <f>Data!O4611</f>
        <v>0</v>
      </c>
      <c r="V4595" s="33">
        <f>Data!P4609</f>
        <v>0</v>
      </c>
    </row>
    <row r="4596" spans="7:22" x14ac:dyDescent="0.25">
      <c r="G4596">
        <f>Data!B4608</f>
        <v>0</v>
      </c>
      <c r="H4596" s="21">
        <f>Data!B4608</f>
        <v>0</v>
      </c>
      <c r="I4596" s="21">
        <f>Data!C4608</f>
        <v>0</v>
      </c>
      <c r="J4596">
        <f>Data!D4608</f>
        <v>0</v>
      </c>
      <c r="K4596">
        <f>Data!E4608</f>
        <v>0</v>
      </c>
      <c r="L4596">
        <f>Data!F4608</f>
        <v>0</v>
      </c>
      <c r="M4596">
        <f>Data!G4608</f>
        <v>0</v>
      </c>
      <c r="N4596">
        <f>Data!H4608</f>
        <v>0</v>
      </c>
      <c r="O4596">
        <f>Data!I4608</f>
        <v>0</v>
      </c>
      <c r="P4596" s="21">
        <f>Data!J4612</f>
        <v>0</v>
      </c>
      <c r="Q4596">
        <f>Data!K4612</f>
        <v>0</v>
      </c>
      <c r="R4596">
        <f>Data!L4612</f>
        <v>0</v>
      </c>
      <c r="S4596">
        <f>Data!M4612</f>
        <v>0</v>
      </c>
      <c r="T4596">
        <f>Data!N4612</f>
        <v>0</v>
      </c>
      <c r="U4596">
        <f>Data!O4612</f>
        <v>0</v>
      </c>
      <c r="V4596" s="33">
        <f>Data!P4610</f>
        <v>0</v>
      </c>
    </row>
    <row r="4597" spans="7:22" x14ac:dyDescent="0.25">
      <c r="G4597">
        <f>Data!B4609</f>
        <v>0</v>
      </c>
      <c r="H4597" s="21">
        <f>Data!B4609</f>
        <v>0</v>
      </c>
      <c r="I4597" s="21">
        <f>Data!C4609</f>
        <v>0</v>
      </c>
      <c r="J4597">
        <f>Data!D4609</f>
        <v>0</v>
      </c>
      <c r="K4597">
        <f>Data!E4609</f>
        <v>0</v>
      </c>
      <c r="L4597">
        <f>Data!F4609</f>
        <v>0</v>
      </c>
      <c r="M4597">
        <f>Data!G4609</f>
        <v>0</v>
      </c>
      <c r="N4597">
        <f>Data!H4609</f>
        <v>0</v>
      </c>
      <c r="O4597">
        <f>Data!I4609</f>
        <v>0</v>
      </c>
      <c r="P4597" s="21">
        <f>Data!J4613</f>
        <v>0</v>
      </c>
      <c r="Q4597">
        <f>Data!K4613</f>
        <v>0</v>
      </c>
      <c r="R4597">
        <f>Data!L4613</f>
        <v>0</v>
      </c>
      <c r="S4597">
        <f>Data!M4613</f>
        <v>0</v>
      </c>
      <c r="T4597">
        <f>Data!N4613</f>
        <v>0</v>
      </c>
      <c r="U4597">
        <f>Data!O4613</f>
        <v>0</v>
      </c>
      <c r="V4597" s="33">
        <f>Data!P4611</f>
        <v>0</v>
      </c>
    </row>
    <row r="4598" spans="7:22" x14ac:dyDescent="0.25">
      <c r="G4598">
        <f>Data!B4610</f>
        <v>0</v>
      </c>
      <c r="H4598" s="21">
        <f>Data!B4610</f>
        <v>0</v>
      </c>
      <c r="I4598" s="21">
        <f>Data!C4610</f>
        <v>0</v>
      </c>
      <c r="J4598">
        <f>Data!D4610</f>
        <v>0</v>
      </c>
      <c r="K4598">
        <f>Data!E4610</f>
        <v>0</v>
      </c>
      <c r="L4598">
        <f>Data!F4610</f>
        <v>0</v>
      </c>
      <c r="M4598">
        <f>Data!G4610</f>
        <v>0</v>
      </c>
      <c r="N4598">
        <f>Data!H4610</f>
        <v>0</v>
      </c>
      <c r="O4598">
        <f>Data!I4610</f>
        <v>0</v>
      </c>
      <c r="P4598" s="21">
        <f>Data!J4614</f>
        <v>0</v>
      </c>
      <c r="Q4598">
        <f>Data!K4614</f>
        <v>0</v>
      </c>
      <c r="R4598">
        <f>Data!L4614</f>
        <v>0</v>
      </c>
      <c r="S4598">
        <f>Data!M4614</f>
        <v>0</v>
      </c>
      <c r="T4598">
        <f>Data!N4614</f>
        <v>0</v>
      </c>
      <c r="U4598">
        <f>Data!O4614</f>
        <v>0</v>
      </c>
      <c r="V4598" s="33">
        <f>Data!P4612</f>
        <v>0</v>
      </c>
    </row>
    <row r="4599" spans="7:22" x14ac:dyDescent="0.25">
      <c r="G4599">
        <f>Data!B4611</f>
        <v>0</v>
      </c>
      <c r="H4599" s="21">
        <f>Data!B4611</f>
        <v>0</v>
      </c>
      <c r="I4599" s="21">
        <f>Data!C4611</f>
        <v>0</v>
      </c>
      <c r="J4599">
        <f>Data!D4611</f>
        <v>0</v>
      </c>
      <c r="K4599">
        <f>Data!E4611</f>
        <v>0</v>
      </c>
      <c r="L4599">
        <f>Data!F4611</f>
        <v>0</v>
      </c>
      <c r="M4599">
        <f>Data!G4611</f>
        <v>0</v>
      </c>
      <c r="N4599">
        <f>Data!H4611</f>
        <v>0</v>
      </c>
      <c r="O4599">
        <f>Data!I4611</f>
        <v>0</v>
      </c>
      <c r="P4599" s="21">
        <f>Data!J4615</f>
        <v>0</v>
      </c>
      <c r="Q4599">
        <f>Data!K4615</f>
        <v>0</v>
      </c>
      <c r="R4599">
        <f>Data!L4615</f>
        <v>0</v>
      </c>
      <c r="S4599">
        <f>Data!M4615</f>
        <v>0</v>
      </c>
      <c r="T4599">
        <f>Data!N4615</f>
        <v>0</v>
      </c>
      <c r="U4599">
        <f>Data!O4615</f>
        <v>0</v>
      </c>
      <c r="V4599" s="33">
        <f>Data!P4613</f>
        <v>0</v>
      </c>
    </row>
    <row r="4600" spans="7:22" x14ac:dyDescent="0.25">
      <c r="G4600">
        <f>Data!B4612</f>
        <v>0</v>
      </c>
      <c r="H4600" s="21">
        <f>Data!B4612</f>
        <v>0</v>
      </c>
      <c r="I4600" s="21">
        <f>Data!C4612</f>
        <v>0</v>
      </c>
      <c r="J4600">
        <f>Data!D4612</f>
        <v>0</v>
      </c>
      <c r="K4600">
        <f>Data!E4612</f>
        <v>0</v>
      </c>
      <c r="L4600">
        <f>Data!F4612</f>
        <v>0</v>
      </c>
      <c r="M4600">
        <f>Data!G4612</f>
        <v>0</v>
      </c>
      <c r="N4600">
        <f>Data!H4612</f>
        <v>0</v>
      </c>
      <c r="O4600">
        <f>Data!I4612</f>
        <v>0</v>
      </c>
      <c r="P4600" s="21">
        <f>Data!J4616</f>
        <v>0</v>
      </c>
      <c r="Q4600">
        <f>Data!K4616</f>
        <v>0</v>
      </c>
      <c r="R4600">
        <f>Data!L4616</f>
        <v>0</v>
      </c>
      <c r="S4600">
        <f>Data!M4616</f>
        <v>0</v>
      </c>
      <c r="T4600">
        <f>Data!N4616</f>
        <v>0</v>
      </c>
      <c r="U4600">
        <f>Data!O4616</f>
        <v>0</v>
      </c>
      <c r="V4600" s="33">
        <f>Data!P4614</f>
        <v>0</v>
      </c>
    </row>
    <row r="4601" spans="7:22" x14ac:dyDescent="0.25">
      <c r="G4601">
        <f>Data!B4613</f>
        <v>0</v>
      </c>
      <c r="H4601" s="21">
        <f>Data!B4613</f>
        <v>0</v>
      </c>
      <c r="I4601" s="21">
        <f>Data!C4613</f>
        <v>0</v>
      </c>
      <c r="J4601">
        <f>Data!D4613</f>
        <v>0</v>
      </c>
      <c r="K4601">
        <f>Data!E4613</f>
        <v>0</v>
      </c>
      <c r="L4601">
        <f>Data!F4613</f>
        <v>0</v>
      </c>
      <c r="M4601">
        <f>Data!G4613</f>
        <v>0</v>
      </c>
      <c r="N4601">
        <f>Data!H4613</f>
        <v>0</v>
      </c>
      <c r="O4601">
        <f>Data!I4613</f>
        <v>0</v>
      </c>
      <c r="P4601" s="21">
        <f>Data!J4617</f>
        <v>0</v>
      </c>
      <c r="Q4601">
        <f>Data!K4617</f>
        <v>0</v>
      </c>
      <c r="R4601">
        <f>Data!L4617</f>
        <v>0</v>
      </c>
      <c r="S4601">
        <f>Data!M4617</f>
        <v>0</v>
      </c>
      <c r="T4601">
        <f>Data!N4617</f>
        <v>0</v>
      </c>
      <c r="U4601">
        <f>Data!O4617</f>
        <v>0</v>
      </c>
      <c r="V4601" s="33">
        <f>Data!P4615</f>
        <v>0</v>
      </c>
    </row>
    <row r="4602" spans="7:22" x14ac:dyDescent="0.25">
      <c r="G4602">
        <f>Data!B4614</f>
        <v>0</v>
      </c>
      <c r="H4602" s="21">
        <f>Data!B4614</f>
        <v>0</v>
      </c>
      <c r="I4602" s="21">
        <f>Data!C4614</f>
        <v>0</v>
      </c>
      <c r="J4602">
        <f>Data!D4614</f>
        <v>0</v>
      </c>
      <c r="K4602">
        <f>Data!E4614</f>
        <v>0</v>
      </c>
      <c r="L4602">
        <f>Data!F4614</f>
        <v>0</v>
      </c>
      <c r="M4602">
        <f>Data!G4614</f>
        <v>0</v>
      </c>
      <c r="N4602">
        <f>Data!H4614</f>
        <v>0</v>
      </c>
      <c r="O4602">
        <f>Data!I4614</f>
        <v>0</v>
      </c>
      <c r="P4602" s="21">
        <f>Data!J4618</f>
        <v>0</v>
      </c>
      <c r="Q4602">
        <f>Data!K4618</f>
        <v>0</v>
      </c>
      <c r="R4602">
        <f>Data!L4618</f>
        <v>0</v>
      </c>
      <c r="S4602">
        <f>Data!M4618</f>
        <v>0</v>
      </c>
      <c r="T4602">
        <f>Data!N4618</f>
        <v>0</v>
      </c>
      <c r="U4602">
        <f>Data!O4618</f>
        <v>0</v>
      </c>
      <c r="V4602" s="33">
        <f>Data!P4616</f>
        <v>0</v>
      </c>
    </row>
    <row r="4603" spans="7:22" x14ac:dyDescent="0.25">
      <c r="G4603">
        <f>Data!B4615</f>
        <v>0</v>
      </c>
      <c r="H4603" s="21">
        <f>Data!B4615</f>
        <v>0</v>
      </c>
      <c r="I4603" s="21">
        <f>Data!C4615</f>
        <v>0</v>
      </c>
      <c r="J4603">
        <f>Data!D4615</f>
        <v>0</v>
      </c>
      <c r="K4603">
        <f>Data!E4615</f>
        <v>0</v>
      </c>
      <c r="L4603">
        <f>Data!F4615</f>
        <v>0</v>
      </c>
      <c r="M4603">
        <f>Data!G4615</f>
        <v>0</v>
      </c>
      <c r="N4603">
        <f>Data!H4615</f>
        <v>0</v>
      </c>
      <c r="O4603">
        <f>Data!I4615</f>
        <v>0</v>
      </c>
      <c r="P4603" s="21">
        <f>Data!J4619</f>
        <v>0</v>
      </c>
      <c r="Q4603">
        <f>Data!K4619</f>
        <v>0</v>
      </c>
      <c r="R4603">
        <f>Data!L4619</f>
        <v>0</v>
      </c>
      <c r="S4603">
        <f>Data!M4619</f>
        <v>0</v>
      </c>
      <c r="T4603">
        <f>Data!N4619</f>
        <v>0</v>
      </c>
      <c r="U4603">
        <f>Data!O4619</f>
        <v>0</v>
      </c>
      <c r="V4603" s="33">
        <f>Data!P4617</f>
        <v>0</v>
      </c>
    </row>
    <row r="4604" spans="7:22" x14ac:dyDescent="0.25">
      <c r="G4604">
        <f>Data!B4616</f>
        <v>0</v>
      </c>
      <c r="H4604" s="21">
        <f>Data!B4616</f>
        <v>0</v>
      </c>
      <c r="I4604" s="21">
        <f>Data!C4616</f>
        <v>0</v>
      </c>
      <c r="J4604">
        <f>Data!D4616</f>
        <v>0</v>
      </c>
      <c r="K4604">
        <f>Data!E4616</f>
        <v>0</v>
      </c>
      <c r="L4604">
        <f>Data!F4616</f>
        <v>0</v>
      </c>
      <c r="M4604">
        <f>Data!G4616</f>
        <v>0</v>
      </c>
      <c r="N4604">
        <f>Data!H4616</f>
        <v>0</v>
      </c>
      <c r="O4604">
        <f>Data!I4616</f>
        <v>0</v>
      </c>
      <c r="P4604" s="21">
        <f>Data!J4620</f>
        <v>0</v>
      </c>
      <c r="Q4604">
        <f>Data!K4620</f>
        <v>0</v>
      </c>
      <c r="R4604">
        <f>Data!L4620</f>
        <v>0</v>
      </c>
      <c r="S4604">
        <f>Data!M4620</f>
        <v>0</v>
      </c>
      <c r="T4604">
        <f>Data!N4620</f>
        <v>0</v>
      </c>
      <c r="U4604">
        <f>Data!O4620</f>
        <v>0</v>
      </c>
      <c r="V4604" s="33">
        <f>Data!P4618</f>
        <v>0</v>
      </c>
    </row>
    <row r="4605" spans="7:22" x14ac:dyDescent="0.25">
      <c r="G4605">
        <f>Data!B4617</f>
        <v>0</v>
      </c>
      <c r="H4605" s="21">
        <f>Data!B4617</f>
        <v>0</v>
      </c>
      <c r="I4605" s="21">
        <f>Data!C4617</f>
        <v>0</v>
      </c>
      <c r="J4605">
        <f>Data!D4617</f>
        <v>0</v>
      </c>
      <c r="K4605">
        <f>Data!E4617</f>
        <v>0</v>
      </c>
      <c r="L4605">
        <f>Data!F4617</f>
        <v>0</v>
      </c>
      <c r="M4605">
        <f>Data!G4617</f>
        <v>0</v>
      </c>
      <c r="N4605">
        <f>Data!H4617</f>
        <v>0</v>
      </c>
      <c r="O4605">
        <f>Data!I4617</f>
        <v>0</v>
      </c>
      <c r="P4605" s="21">
        <f>Data!J4621</f>
        <v>0</v>
      </c>
      <c r="Q4605">
        <f>Data!K4621</f>
        <v>0</v>
      </c>
      <c r="R4605">
        <f>Data!L4621</f>
        <v>0</v>
      </c>
      <c r="S4605">
        <f>Data!M4621</f>
        <v>0</v>
      </c>
      <c r="T4605">
        <f>Data!N4621</f>
        <v>0</v>
      </c>
      <c r="U4605">
        <f>Data!O4621</f>
        <v>0</v>
      </c>
      <c r="V4605" s="33">
        <f>Data!P4619</f>
        <v>0</v>
      </c>
    </row>
    <row r="4606" spans="7:22" x14ac:dyDescent="0.25">
      <c r="G4606">
        <f>Data!B4618</f>
        <v>0</v>
      </c>
      <c r="H4606" s="21">
        <f>Data!B4618</f>
        <v>0</v>
      </c>
      <c r="I4606" s="21">
        <f>Data!C4618</f>
        <v>0</v>
      </c>
      <c r="J4606">
        <f>Data!D4618</f>
        <v>0</v>
      </c>
      <c r="K4606">
        <f>Data!E4618</f>
        <v>0</v>
      </c>
      <c r="L4606">
        <f>Data!F4618</f>
        <v>0</v>
      </c>
      <c r="M4606">
        <f>Data!G4618</f>
        <v>0</v>
      </c>
      <c r="N4606">
        <f>Data!H4618</f>
        <v>0</v>
      </c>
      <c r="O4606">
        <f>Data!I4618</f>
        <v>0</v>
      </c>
      <c r="P4606" s="21">
        <f>Data!J4622</f>
        <v>0</v>
      </c>
      <c r="Q4606">
        <f>Data!K4622</f>
        <v>0</v>
      </c>
      <c r="R4606">
        <f>Data!L4622</f>
        <v>0</v>
      </c>
      <c r="S4606">
        <f>Data!M4622</f>
        <v>0</v>
      </c>
      <c r="T4606">
        <f>Data!N4622</f>
        <v>0</v>
      </c>
      <c r="U4606">
        <f>Data!O4622</f>
        <v>0</v>
      </c>
      <c r="V4606" s="33">
        <f>Data!P4620</f>
        <v>0</v>
      </c>
    </row>
    <row r="4607" spans="7:22" x14ac:dyDescent="0.25">
      <c r="G4607">
        <f>Data!B4619</f>
        <v>0</v>
      </c>
      <c r="H4607" s="21">
        <f>Data!B4619</f>
        <v>0</v>
      </c>
      <c r="I4607" s="21">
        <f>Data!C4619</f>
        <v>0</v>
      </c>
      <c r="J4607">
        <f>Data!D4619</f>
        <v>0</v>
      </c>
      <c r="K4607">
        <f>Data!E4619</f>
        <v>0</v>
      </c>
      <c r="L4607">
        <f>Data!F4619</f>
        <v>0</v>
      </c>
      <c r="M4607">
        <f>Data!G4619</f>
        <v>0</v>
      </c>
      <c r="N4607">
        <f>Data!H4619</f>
        <v>0</v>
      </c>
      <c r="O4607">
        <f>Data!I4619</f>
        <v>0</v>
      </c>
      <c r="P4607" s="21">
        <f>Data!J4623</f>
        <v>0</v>
      </c>
      <c r="Q4607">
        <f>Data!K4623</f>
        <v>0</v>
      </c>
      <c r="R4607">
        <f>Data!L4623</f>
        <v>0</v>
      </c>
      <c r="S4607">
        <f>Data!M4623</f>
        <v>0</v>
      </c>
      <c r="T4607">
        <f>Data!N4623</f>
        <v>0</v>
      </c>
      <c r="U4607">
        <f>Data!O4623</f>
        <v>0</v>
      </c>
      <c r="V4607" s="33">
        <f>Data!P4621</f>
        <v>0</v>
      </c>
    </row>
    <row r="4608" spans="7:22" x14ac:dyDescent="0.25">
      <c r="G4608">
        <f>Data!B4620</f>
        <v>0</v>
      </c>
      <c r="H4608" s="21">
        <f>Data!B4620</f>
        <v>0</v>
      </c>
      <c r="I4608" s="21">
        <f>Data!C4620</f>
        <v>0</v>
      </c>
      <c r="J4608">
        <f>Data!D4620</f>
        <v>0</v>
      </c>
      <c r="K4608">
        <f>Data!E4620</f>
        <v>0</v>
      </c>
      <c r="L4608">
        <f>Data!F4620</f>
        <v>0</v>
      </c>
      <c r="M4608">
        <f>Data!G4620</f>
        <v>0</v>
      </c>
      <c r="N4608">
        <f>Data!H4620</f>
        <v>0</v>
      </c>
      <c r="O4608">
        <f>Data!I4620</f>
        <v>0</v>
      </c>
      <c r="P4608" s="21">
        <f>Data!J4624</f>
        <v>0</v>
      </c>
      <c r="Q4608">
        <f>Data!K4624</f>
        <v>0</v>
      </c>
      <c r="R4608">
        <f>Data!L4624</f>
        <v>0</v>
      </c>
      <c r="S4608">
        <f>Data!M4624</f>
        <v>0</v>
      </c>
      <c r="T4608">
        <f>Data!N4624</f>
        <v>0</v>
      </c>
      <c r="U4608">
        <f>Data!O4624</f>
        <v>0</v>
      </c>
      <c r="V4608" s="33">
        <f>Data!P4622</f>
        <v>0</v>
      </c>
    </row>
    <row r="4609" spans="7:22" x14ac:dyDescent="0.25">
      <c r="G4609">
        <f>Data!B4621</f>
        <v>0</v>
      </c>
      <c r="H4609" s="21">
        <f>Data!B4621</f>
        <v>0</v>
      </c>
      <c r="I4609" s="21">
        <f>Data!C4621</f>
        <v>0</v>
      </c>
      <c r="J4609">
        <f>Data!D4621</f>
        <v>0</v>
      </c>
      <c r="K4609">
        <f>Data!E4621</f>
        <v>0</v>
      </c>
      <c r="L4609">
        <f>Data!F4621</f>
        <v>0</v>
      </c>
      <c r="M4609">
        <f>Data!G4621</f>
        <v>0</v>
      </c>
      <c r="N4609">
        <f>Data!H4621</f>
        <v>0</v>
      </c>
      <c r="O4609">
        <f>Data!I4621</f>
        <v>0</v>
      </c>
      <c r="P4609" s="21">
        <f>Data!J4625</f>
        <v>0</v>
      </c>
      <c r="Q4609">
        <f>Data!K4625</f>
        <v>0</v>
      </c>
      <c r="R4609">
        <f>Data!L4625</f>
        <v>0</v>
      </c>
      <c r="S4609">
        <f>Data!M4625</f>
        <v>0</v>
      </c>
      <c r="T4609">
        <f>Data!N4625</f>
        <v>0</v>
      </c>
      <c r="U4609">
        <f>Data!O4625</f>
        <v>0</v>
      </c>
      <c r="V4609" s="33">
        <f>Data!P4623</f>
        <v>0</v>
      </c>
    </row>
    <row r="4610" spans="7:22" x14ac:dyDescent="0.25">
      <c r="G4610">
        <f>Data!B4622</f>
        <v>0</v>
      </c>
      <c r="H4610" s="21">
        <f>Data!B4622</f>
        <v>0</v>
      </c>
      <c r="I4610" s="21">
        <f>Data!C4622</f>
        <v>0</v>
      </c>
      <c r="J4610">
        <f>Data!D4622</f>
        <v>0</v>
      </c>
      <c r="K4610">
        <f>Data!E4622</f>
        <v>0</v>
      </c>
      <c r="L4610">
        <f>Data!F4622</f>
        <v>0</v>
      </c>
      <c r="M4610">
        <f>Data!G4622</f>
        <v>0</v>
      </c>
      <c r="N4610">
        <f>Data!H4622</f>
        <v>0</v>
      </c>
      <c r="O4610">
        <f>Data!I4622</f>
        <v>0</v>
      </c>
      <c r="P4610" s="21">
        <f>Data!J4626</f>
        <v>0</v>
      </c>
      <c r="Q4610">
        <f>Data!K4626</f>
        <v>0</v>
      </c>
      <c r="R4610">
        <f>Data!L4626</f>
        <v>0</v>
      </c>
      <c r="S4610">
        <f>Data!M4626</f>
        <v>0</v>
      </c>
      <c r="T4610">
        <f>Data!N4626</f>
        <v>0</v>
      </c>
      <c r="U4610">
        <f>Data!O4626</f>
        <v>0</v>
      </c>
      <c r="V4610" s="33">
        <f>Data!P4624</f>
        <v>0</v>
      </c>
    </row>
    <row r="4611" spans="7:22" x14ac:dyDescent="0.25">
      <c r="G4611">
        <f>Data!B4623</f>
        <v>0</v>
      </c>
      <c r="H4611" s="21">
        <f>Data!B4623</f>
        <v>0</v>
      </c>
      <c r="I4611" s="21">
        <f>Data!C4623</f>
        <v>0</v>
      </c>
      <c r="J4611">
        <f>Data!D4623</f>
        <v>0</v>
      </c>
      <c r="K4611">
        <f>Data!E4623</f>
        <v>0</v>
      </c>
      <c r="L4611">
        <f>Data!F4623</f>
        <v>0</v>
      </c>
      <c r="M4611">
        <f>Data!G4623</f>
        <v>0</v>
      </c>
      <c r="N4611">
        <f>Data!H4623</f>
        <v>0</v>
      </c>
      <c r="O4611">
        <f>Data!I4623</f>
        <v>0</v>
      </c>
      <c r="P4611" s="21">
        <f>Data!J4627</f>
        <v>0</v>
      </c>
      <c r="Q4611">
        <f>Data!K4627</f>
        <v>0</v>
      </c>
      <c r="R4611">
        <f>Data!L4627</f>
        <v>0</v>
      </c>
      <c r="S4611">
        <f>Data!M4627</f>
        <v>0</v>
      </c>
      <c r="T4611">
        <f>Data!N4627</f>
        <v>0</v>
      </c>
      <c r="U4611">
        <f>Data!O4627</f>
        <v>0</v>
      </c>
      <c r="V4611" s="33">
        <f>Data!P4625</f>
        <v>0</v>
      </c>
    </row>
    <row r="4612" spans="7:22" x14ac:dyDescent="0.25">
      <c r="G4612">
        <f>Data!B4624</f>
        <v>0</v>
      </c>
      <c r="H4612" s="21">
        <f>Data!B4624</f>
        <v>0</v>
      </c>
      <c r="I4612" s="21">
        <f>Data!C4624</f>
        <v>0</v>
      </c>
      <c r="J4612">
        <f>Data!D4624</f>
        <v>0</v>
      </c>
      <c r="K4612">
        <f>Data!E4624</f>
        <v>0</v>
      </c>
      <c r="L4612">
        <f>Data!F4624</f>
        <v>0</v>
      </c>
      <c r="M4612">
        <f>Data!G4624</f>
        <v>0</v>
      </c>
      <c r="N4612">
        <f>Data!H4624</f>
        <v>0</v>
      </c>
      <c r="O4612">
        <f>Data!I4624</f>
        <v>0</v>
      </c>
      <c r="P4612" s="21">
        <f>Data!J4628</f>
        <v>0</v>
      </c>
      <c r="Q4612">
        <f>Data!K4628</f>
        <v>0</v>
      </c>
      <c r="R4612">
        <f>Data!L4628</f>
        <v>0</v>
      </c>
      <c r="S4612">
        <f>Data!M4628</f>
        <v>0</v>
      </c>
      <c r="T4612">
        <f>Data!N4628</f>
        <v>0</v>
      </c>
      <c r="U4612">
        <f>Data!O4628</f>
        <v>0</v>
      </c>
      <c r="V4612" s="33">
        <f>Data!P4626</f>
        <v>0</v>
      </c>
    </row>
    <row r="4613" spans="7:22" x14ac:dyDescent="0.25">
      <c r="G4613">
        <f>Data!B4625</f>
        <v>0</v>
      </c>
      <c r="H4613" s="21">
        <f>Data!B4625</f>
        <v>0</v>
      </c>
      <c r="I4613" s="21">
        <f>Data!C4625</f>
        <v>0</v>
      </c>
      <c r="J4613">
        <f>Data!D4625</f>
        <v>0</v>
      </c>
      <c r="K4613">
        <f>Data!E4625</f>
        <v>0</v>
      </c>
      <c r="L4613">
        <f>Data!F4625</f>
        <v>0</v>
      </c>
      <c r="M4613">
        <f>Data!G4625</f>
        <v>0</v>
      </c>
      <c r="N4613">
        <f>Data!H4625</f>
        <v>0</v>
      </c>
      <c r="O4613">
        <f>Data!I4625</f>
        <v>0</v>
      </c>
      <c r="P4613" s="21">
        <f>Data!J4629</f>
        <v>0</v>
      </c>
      <c r="Q4613">
        <f>Data!K4629</f>
        <v>0</v>
      </c>
      <c r="R4613">
        <f>Data!L4629</f>
        <v>0</v>
      </c>
      <c r="S4613">
        <f>Data!M4629</f>
        <v>0</v>
      </c>
      <c r="T4613">
        <f>Data!N4629</f>
        <v>0</v>
      </c>
      <c r="U4613">
        <f>Data!O4629</f>
        <v>0</v>
      </c>
      <c r="V4613" s="33">
        <f>Data!P4627</f>
        <v>0</v>
      </c>
    </row>
    <row r="4614" spans="7:22" x14ac:dyDescent="0.25">
      <c r="G4614">
        <f>Data!B4626</f>
        <v>0</v>
      </c>
      <c r="H4614" s="21">
        <f>Data!B4626</f>
        <v>0</v>
      </c>
      <c r="I4614" s="21">
        <f>Data!C4626</f>
        <v>0</v>
      </c>
      <c r="J4614">
        <f>Data!D4626</f>
        <v>0</v>
      </c>
      <c r="K4614">
        <f>Data!E4626</f>
        <v>0</v>
      </c>
      <c r="L4614">
        <f>Data!F4626</f>
        <v>0</v>
      </c>
      <c r="M4614">
        <f>Data!G4626</f>
        <v>0</v>
      </c>
      <c r="N4614">
        <f>Data!H4626</f>
        <v>0</v>
      </c>
      <c r="O4614">
        <f>Data!I4626</f>
        <v>0</v>
      </c>
      <c r="P4614" s="21">
        <f>Data!J4630</f>
        <v>0</v>
      </c>
      <c r="Q4614">
        <f>Data!K4630</f>
        <v>0</v>
      </c>
      <c r="R4614">
        <f>Data!L4630</f>
        <v>0</v>
      </c>
      <c r="S4614">
        <f>Data!M4630</f>
        <v>0</v>
      </c>
      <c r="T4614">
        <f>Data!N4630</f>
        <v>0</v>
      </c>
      <c r="U4614">
        <f>Data!O4630</f>
        <v>0</v>
      </c>
      <c r="V4614" s="33">
        <f>Data!P4628</f>
        <v>0</v>
      </c>
    </row>
    <row r="4615" spans="7:22" x14ac:dyDescent="0.25">
      <c r="G4615">
        <f>Data!B4627</f>
        <v>0</v>
      </c>
      <c r="H4615" s="21">
        <f>Data!B4627</f>
        <v>0</v>
      </c>
      <c r="I4615" s="21">
        <f>Data!C4627</f>
        <v>0</v>
      </c>
      <c r="J4615">
        <f>Data!D4627</f>
        <v>0</v>
      </c>
      <c r="K4615">
        <f>Data!E4627</f>
        <v>0</v>
      </c>
      <c r="L4615">
        <f>Data!F4627</f>
        <v>0</v>
      </c>
      <c r="M4615">
        <f>Data!G4627</f>
        <v>0</v>
      </c>
      <c r="N4615">
        <f>Data!H4627</f>
        <v>0</v>
      </c>
      <c r="O4615">
        <f>Data!I4627</f>
        <v>0</v>
      </c>
      <c r="P4615" s="21">
        <f>Data!J4631</f>
        <v>0</v>
      </c>
      <c r="Q4615">
        <f>Data!K4631</f>
        <v>0</v>
      </c>
      <c r="R4615">
        <f>Data!L4631</f>
        <v>0</v>
      </c>
      <c r="S4615">
        <f>Data!M4631</f>
        <v>0</v>
      </c>
      <c r="T4615">
        <f>Data!N4631</f>
        <v>0</v>
      </c>
      <c r="U4615">
        <f>Data!O4631</f>
        <v>0</v>
      </c>
      <c r="V4615" s="33">
        <f>Data!P4629</f>
        <v>0</v>
      </c>
    </row>
    <row r="4616" spans="7:22" x14ac:dyDescent="0.25">
      <c r="G4616">
        <f>Data!B4628</f>
        <v>0</v>
      </c>
      <c r="H4616" s="21">
        <f>Data!B4628</f>
        <v>0</v>
      </c>
      <c r="I4616" s="21">
        <f>Data!C4628</f>
        <v>0</v>
      </c>
      <c r="J4616">
        <f>Data!D4628</f>
        <v>0</v>
      </c>
      <c r="K4616">
        <f>Data!E4628</f>
        <v>0</v>
      </c>
      <c r="L4616">
        <f>Data!F4628</f>
        <v>0</v>
      </c>
      <c r="M4616">
        <f>Data!G4628</f>
        <v>0</v>
      </c>
      <c r="N4616">
        <f>Data!H4628</f>
        <v>0</v>
      </c>
      <c r="O4616">
        <f>Data!I4628</f>
        <v>0</v>
      </c>
      <c r="P4616" s="21">
        <f>Data!J4632</f>
        <v>0</v>
      </c>
      <c r="Q4616">
        <f>Data!K4632</f>
        <v>0</v>
      </c>
      <c r="R4616">
        <f>Data!L4632</f>
        <v>0</v>
      </c>
      <c r="S4616">
        <f>Data!M4632</f>
        <v>0</v>
      </c>
      <c r="T4616">
        <f>Data!N4632</f>
        <v>0</v>
      </c>
      <c r="U4616">
        <f>Data!O4632</f>
        <v>0</v>
      </c>
      <c r="V4616" s="33">
        <f>Data!P4630</f>
        <v>0</v>
      </c>
    </row>
    <row r="4617" spans="7:22" x14ac:dyDescent="0.25">
      <c r="G4617">
        <f>Data!B4629</f>
        <v>0</v>
      </c>
      <c r="H4617" s="21">
        <f>Data!B4629</f>
        <v>0</v>
      </c>
      <c r="I4617" s="21">
        <f>Data!C4629</f>
        <v>0</v>
      </c>
      <c r="J4617">
        <f>Data!D4629</f>
        <v>0</v>
      </c>
      <c r="K4617">
        <f>Data!E4629</f>
        <v>0</v>
      </c>
      <c r="L4617">
        <f>Data!F4629</f>
        <v>0</v>
      </c>
      <c r="M4617">
        <f>Data!G4629</f>
        <v>0</v>
      </c>
      <c r="N4617">
        <f>Data!H4629</f>
        <v>0</v>
      </c>
      <c r="O4617">
        <f>Data!I4629</f>
        <v>0</v>
      </c>
      <c r="P4617" s="21">
        <f>Data!J4633</f>
        <v>0</v>
      </c>
      <c r="Q4617">
        <f>Data!K4633</f>
        <v>0</v>
      </c>
      <c r="R4617">
        <f>Data!L4633</f>
        <v>0</v>
      </c>
      <c r="S4617">
        <f>Data!M4633</f>
        <v>0</v>
      </c>
      <c r="T4617">
        <f>Data!N4633</f>
        <v>0</v>
      </c>
      <c r="U4617">
        <f>Data!O4633</f>
        <v>0</v>
      </c>
      <c r="V4617" s="33">
        <f>Data!P4631</f>
        <v>0</v>
      </c>
    </row>
    <row r="4618" spans="7:22" x14ac:dyDescent="0.25">
      <c r="G4618">
        <f>Data!B4630</f>
        <v>0</v>
      </c>
      <c r="H4618" s="21">
        <f>Data!B4630</f>
        <v>0</v>
      </c>
      <c r="I4618" s="21">
        <f>Data!C4630</f>
        <v>0</v>
      </c>
      <c r="J4618">
        <f>Data!D4630</f>
        <v>0</v>
      </c>
      <c r="K4618">
        <f>Data!E4630</f>
        <v>0</v>
      </c>
      <c r="L4618">
        <f>Data!F4630</f>
        <v>0</v>
      </c>
      <c r="M4618">
        <f>Data!G4630</f>
        <v>0</v>
      </c>
      <c r="N4618">
        <f>Data!H4630</f>
        <v>0</v>
      </c>
      <c r="O4618">
        <f>Data!I4630</f>
        <v>0</v>
      </c>
      <c r="P4618" s="21">
        <f>Data!J4634</f>
        <v>0</v>
      </c>
      <c r="Q4618">
        <f>Data!K4634</f>
        <v>0</v>
      </c>
      <c r="R4618">
        <f>Data!L4634</f>
        <v>0</v>
      </c>
      <c r="S4618">
        <f>Data!M4634</f>
        <v>0</v>
      </c>
      <c r="T4618">
        <f>Data!N4634</f>
        <v>0</v>
      </c>
      <c r="U4618">
        <f>Data!O4634</f>
        <v>0</v>
      </c>
      <c r="V4618" s="33">
        <f>Data!P4632</f>
        <v>0</v>
      </c>
    </row>
    <row r="4619" spans="7:22" x14ac:dyDescent="0.25">
      <c r="G4619">
        <f>Data!B4631</f>
        <v>0</v>
      </c>
      <c r="H4619" s="21">
        <f>Data!B4631</f>
        <v>0</v>
      </c>
      <c r="I4619" s="21">
        <f>Data!C4631</f>
        <v>0</v>
      </c>
      <c r="J4619">
        <f>Data!D4631</f>
        <v>0</v>
      </c>
      <c r="K4619">
        <f>Data!E4631</f>
        <v>0</v>
      </c>
      <c r="L4619">
        <f>Data!F4631</f>
        <v>0</v>
      </c>
      <c r="M4619">
        <f>Data!G4631</f>
        <v>0</v>
      </c>
      <c r="N4619">
        <f>Data!H4631</f>
        <v>0</v>
      </c>
      <c r="O4619">
        <f>Data!I4631</f>
        <v>0</v>
      </c>
      <c r="P4619" s="21">
        <f>Data!J4635</f>
        <v>0</v>
      </c>
      <c r="Q4619">
        <f>Data!K4635</f>
        <v>0</v>
      </c>
      <c r="R4619">
        <f>Data!L4635</f>
        <v>0</v>
      </c>
      <c r="S4619">
        <f>Data!M4635</f>
        <v>0</v>
      </c>
      <c r="T4619">
        <f>Data!N4635</f>
        <v>0</v>
      </c>
      <c r="U4619">
        <f>Data!O4635</f>
        <v>0</v>
      </c>
      <c r="V4619" s="33">
        <f>Data!P4633</f>
        <v>0</v>
      </c>
    </row>
    <row r="4620" spans="7:22" x14ac:dyDescent="0.25">
      <c r="G4620">
        <f>Data!B4632</f>
        <v>0</v>
      </c>
      <c r="H4620" s="21">
        <f>Data!B4632</f>
        <v>0</v>
      </c>
      <c r="I4620" s="21">
        <f>Data!C4632</f>
        <v>0</v>
      </c>
      <c r="J4620">
        <f>Data!D4632</f>
        <v>0</v>
      </c>
      <c r="K4620">
        <f>Data!E4632</f>
        <v>0</v>
      </c>
      <c r="L4620">
        <f>Data!F4632</f>
        <v>0</v>
      </c>
      <c r="M4620">
        <f>Data!G4632</f>
        <v>0</v>
      </c>
      <c r="N4620">
        <f>Data!H4632</f>
        <v>0</v>
      </c>
      <c r="O4620">
        <f>Data!I4632</f>
        <v>0</v>
      </c>
      <c r="P4620" s="21">
        <f>Data!J4636</f>
        <v>0</v>
      </c>
      <c r="Q4620">
        <f>Data!K4636</f>
        <v>0</v>
      </c>
      <c r="R4620">
        <f>Data!L4636</f>
        <v>0</v>
      </c>
      <c r="S4620">
        <f>Data!M4636</f>
        <v>0</v>
      </c>
      <c r="T4620">
        <f>Data!N4636</f>
        <v>0</v>
      </c>
      <c r="U4620">
        <f>Data!O4636</f>
        <v>0</v>
      </c>
      <c r="V4620" s="33">
        <f>Data!P4634</f>
        <v>0</v>
      </c>
    </row>
    <row r="4621" spans="7:22" x14ac:dyDescent="0.25">
      <c r="G4621">
        <f>Data!B4633</f>
        <v>0</v>
      </c>
      <c r="H4621" s="21">
        <f>Data!B4633</f>
        <v>0</v>
      </c>
      <c r="I4621" s="21">
        <f>Data!C4633</f>
        <v>0</v>
      </c>
      <c r="J4621">
        <f>Data!D4633</f>
        <v>0</v>
      </c>
      <c r="K4621">
        <f>Data!E4633</f>
        <v>0</v>
      </c>
      <c r="L4621">
        <f>Data!F4633</f>
        <v>0</v>
      </c>
      <c r="M4621">
        <f>Data!G4633</f>
        <v>0</v>
      </c>
      <c r="N4621">
        <f>Data!H4633</f>
        <v>0</v>
      </c>
      <c r="O4621">
        <f>Data!I4633</f>
        <v>0</v>
      </c>
      <c r="P4621" s="21">
        <f>Data!J4637</f>
        <v>0</v>
      </c>
      <c r="Q4621">
        <f>Data!K4637</f>
        <v>0</v>
      </c>
      <c r="R4621">
        <f>Data!L4637</f>
        <v>0</v>
      </c>
      <c r="S4621">
        <f>Data!M4637</f>
        <v>0</v>
      </c>
      <c r="T4621">
        <f>Data!N4637</f>
        <v>0</v>
      </c>
      <c r="U4621">
        <f>Data!O4637</f>
        <v>0</v>
      </c>
      <c r="V4621" s="33">
        <f>Data!P4635</f>
        <v>0</v>
      </c>
    </row>
    <row r="4622" spans="7:22" x14ac:dyDescent="0.25">
      <c r="G4622">
        <f>Data!B4634</f>
        <v>0</v>
      </c>
      <c r="H4622" s="21">
        <f>Data!B4634</f>
        <v>0</v>
      </c>
      <c r="I4622" s="21">
        <f>Data!C4634</f>
        <v>0</v>
      </c>
      <c r="J4622">
        <f>Data!D4634</f>
        <v>0</v>
      </c>
      <c r="K4622">
        <f>Data!E4634</f>
        <v>0</v>
      </c>
      <c r="L4622">
        <f>Data!F4634</f>
        <v>0</v>
      </c>
      <c r="M4622">
        <f>Data!G4634</f>
        <v>0</v>
      </c>
      <c r="N4622">
        <f>Data!H4634</f>
        <v>0</v>
      </c>
      <c r="O4622">
        <f>Data!I4634</f>
        <v>0</v>
      </c>
      <c r="P4622" s="21">
        <f>Data!J4638</f>
        <v>0</v>
      </c>
      <c r="Q4622">
        <f>Data!K4638</f>
        <v>0</v>
      </c>
      <c r="R4622">
        <f>Data!L4638</f>
        <v>0</v>
      </c>
      <c r="S4622">
        <f>Data!M4638</f>
        <v>0</v>
      </c>
      <c r="T4622">
        <f>Data!N4638</f>
        <v>0</v>
      </c>
      <c r="U4622">
        <f>Data!O4638</f>
        <v>0</v>
      </c>
      <c r="V4622" s="33">
        <f>Data!P4636</f>
        <v>0</v>
      </c>
    </row>
    <row r="4623" spans="7:22" x14ac:dyDescent="0.25">
      <c r="G4623">
        <f>Data!B4635</f>
        <v>0</v>
      </c>
      <c r="H4623" s="21">
        <f>Data!B4635</f>
        <v>0</v>
      </c>
      <c r="I4623" s="21">
        <f>Data!C4635</f>
        <v>0</v>
      </c>
      <c r="J4623">
        <f>Data!D4635</f>
        <v>0</v>
      </c>
      <c r="K4623">
        <f>Data!E4635</f>
        <v>0</v>
      </c>
      <c r="L4623">
        <f>Data!F4635</f>
        <v>0</v>
      </c>
      <c r="M4623">
        <f>Data!G4635</f>
        <v>0</v>
      </c>
      <c r="N4623">
        <f>Data!H4635</f>
        <v>0</v>
      </c>
      <c r="O4623">
        <f>Data!I4635</f>
        <v>0</v>
      </c>
      <c r="P4623" s="21">
        <f>Data!J4639</f>
        <v>0</v>
      </c>
      <c r="Q4623">
        <f>Data!K4639</f>
        <v>0</v>
      </c>
      <c r="R4623">
        <f>Data!L4639</f>
        <v>0</v>
      </c>
      <c r="S4623">
        <f>Data!M4639</f>
        <v>0</v>
      </c>
      <c r="T4623">
        <f>Data!N4639</f>
        <v>0</v>
      </c>
      <c r="U4623">
        <f>Data!O4639</f>
        <v>0</v>
      </c>
      <c r="V4623" s="33">
        <f>Data!P4637</f>
        <v>0</v>
      </c>
    </row>
    <row r="4624" spans="7:22" x14ac:dyDescent="0.25">
      <c r="G4624">
        <f>Data!B4636</f>
        <v>0</v>
      </c>
      <c r="H4624" s="21">
        <f>Data!B4636</f>
        <v>0</v>
      </c>
      <c r="I4624" s="21">
        <f>Data!C4636</f>
        <v>0</v>
      </c>
      <c r="J4624">
        <f>Data!D4636</f>
        <v>0</v>
      </c>
      <c r="K4624">
        <f>Data!E4636</f>
        <v>0</v>
      </c>
      <c r="L4624">
        <f>Data!F4636</f>
        <v>0</v>
      </c>
      <c r="M4624">
        <f>Data!G4636</f>
        <v>0</v>
      </c>
      <c r="N4624">
        <f>Data!H4636</f>
        <v>0</v>
      </c>
      <c r="O4624">
        <f>Data!I4636</f>
        <v>0</v>
      </c>
      <c r="P4624" s="21">
        <f>Data!J4640</f>
        <v>0</v>
      </c>
      <c r="Q4624">
        <f>Data!K4640</f>
        <v>0</v>
      </c>
      <c r="R4624">
        <f>Data!L4640</f>
        <v>0</v>
      </c>
      <c r="S4624">
        <f>Data!M4640</f>
        <v>0</v>
      </c>
      <c r="T4624">
        <f>Data!N4640</f>
        <v>0</v>
      </c>
      <c r="U4624">
        <f>Data!O4640</f>
        <v>0</v>
      </c>
      <c r="V4624" s="33">
        <f>Data!P4638</f>
        <v>0</v>
      </c>
    </row>
    <row r="4625" spans="7:22" x14ac:dyDescent="0.25">
      <c r="G4625">
        <f>Data!B4637</f>
        <v>0</v>
      </c>
      <c r="H4625" s="21">
        <f>Data!B4637</f>
        <v>0</v>
      </c>
      <c r="I4625" s="21">
        <f>Data!C4637</f>
        <v>0</v>
      </c>
      <c r="J4625">
        <f>Data!D4637</f>
        <v>0</v>
      </c>
      <c r="K4625">
        <f>Data!E4637</f>
        <v>0</v>
      </c>
      <c r="L4625">
        <f>Data!F4637</f>
        <v>0</v>
      </c>
      <c r="M4625">
        <f>Data!G4637</f>
        <v>0</v>
      </c>
      <c r="N4625">
        <f>Data!H4637</f>
        <v>0</v>
      </c>
      <c r="O4625">
        <f>Data!I4637</f>
        <v>0</v>
      </c>
      <c r="P4625" s="21">
        <f>Data!J4641</f>
        <v>0</v>
      </c>
      <c r="Q4625">
        <f>Data!K4641</f>
        <v>0</v>
      </c>
      <c r="R4625">
        <f>Data!L4641</f>
        <v>0</v>
      </c>
      <c r="S4625">
        <f>Data!M4641</f>
        <v>0</v>
      </c>
      <c r="T4625">
        <f>Data!N4641</f>
        <v>0</v>
      </c>
      <c r="U4625">
        <f>Data!O4641</f>
        <v>0</v>
      </c>
      <c r="V4625" s="33">
        <f>Data!P4639</f>
        <v>0</v>
      </c>
    </row>
    <row r="4626" spans="7:22" x14ac:dyDescent="0.25">
      <c r="G4626">
        <f>Data!B4638</f>
        <v>0</v>
      </c>
      <c r="H4626" s="21">
        <f>Data!B4638</f>
        <v>0</v>
      </c>
      <c r="I4626" s="21">
        <f>Data!C4638</f>
        <v>0</v>
      </c>
      <c r="J4626">
        <f>Data!D4638</f>
        <v>0</v>
      </c>
      <c r="K4626">
        <f>Data!E4638</f>
        <v>0</v>
      </c>
      <c r="L4626">
        <f>Data!F4638</f>
        <v>0</v>
      </c>
      <c r="M4626">
        <f>Data!G4638</f>
        <v>0</v>
      </c>
      <c r="N4626">
        <f>Data!H4638</f>
        <v>0</v>
      </c>
      <c r="O4626">
        <f>Data!I4638</f>
        <v>0</v>
      </c>
      <c r="P4626" s="21">
        <f>Data!J4642</f>
        <v>0</v>
      </c>
      <c r="Q4626">
        <f>Data!K4642</f>
        <v>0</v>
      </c>
      <c r="R4626">
        <f>Data!L4642</f>
        <v>0</v>
      </c>
      <c r="S4626">
        <f>Data!M4642</f>
        <v>0</v>
      </c>
      <c r="T4626">
        <f>Data!N4642</f>
        <v>0</v>
      </c>
      <c r="U4626">
        <f>Data!O4642</f>
        <v>0</v>
      </c>
      <c r="V4626" s="33">
        <f>Data!P4640</f>
        <v>0</v>
      </c>
    </row>
    <row r="4627" spans="7:22" x14ac:dyDescent="0.25">
      <c r="G4627">
        <f>Data!B4639</f>
        <v>0</v>
      </c>
      <c r="H4627" s="21">
        <f>Data!B4639</f>
        <v>0</v>
      </c>
      <c r="I4627" s="21">
        <f>Data!C4639</f>
        <v>0</v>
      </c>
      <c r="J4627">
        <f>Data!D4639</f>
        <v>0</v>
      </c>
      <c r="K4627">
        <f>Data!E4639</f>
        <v>0</v>
      </c>
      <c r="L4627">
        <f>Data!F4639</f>
        <v>0</v>
      </c>
      <c r="M4627">
        <f>Data!G4639</f>
        <v>0</v>
      </c>
      <c r="N4627">
        <f>Data!H4639</f>
        <v>0</v>
      </c>
      <c r="O4627">
        <f>Data!I4639</f>
        <v>0</v>
      </c>
      <c r="P4627" s="21">
        <f>Data!J4643</f>
        <v>0</v>
      </c>
      <c r="Q4627">
        <f>Data!K4643</f>
        <v>0</v>
      </c>
      <c r="R4627">
        <f>Data!L4643</f>
        <v>0</v>
      </c>
      <c r="S4627">
        <f>Data!M4643</f>
        <v>0</v>
      </c>
      <c r="T4627">
        <f>Data!N4643</f>
        <v>0</v>
      </c>
      <c r="U4627">
        <f>Data!O4643</f>
        <v>0</v>
      </c>
      <c r="V4627" s="33">
        <f>Data!P4641</f>
        <v>0</v>
      </c>
    </row>
    <row r="4628" spans="7:22" x14ac:dyDescent="0.25">
      <c r="G4628">
        <f>Data!B4640</f>
        <v>0</v>
      </c>
      <c r="H4628" s="21">
        <f>Data!B4640</f>
        <v>0</v>
      </c>
      <c r="I4628" s="21">
        <f>Data!C4640</f>
        <v>0</v>
      </c>
      <c r="J4628">
        <f>Data!D4640</f>
        <v>0</v>
      </c>
      <c r="K4628">
        <f>Data!E4640</f>
        <v>0</v>
      </c>
      <c r="L4628">
        <f>Data!F4640</f>
        <v>0</v>
      </c>
      <c r="M4628">
        <f>Data!G4640</f>
        <v>0</v>
      </c>
      <c r="N4628">
        <f>Data!H4640</f>
        <v>0</v>
      </c>
      <c r="O4628">
        <f>Data!I4640</f>
        <v>0</v>
      </c>
      <c r="P4628" s="21">
        <f>Data!J4644</f>
        <v>0</v>
      </c>
      <c r="Q4628">
        <f>Data!K4644</f>
        <v>0</v>
      </c>
      <c r="R4628">
        <f>Data!L4644</f>
        <v>0</v>
      </c>
      <c r="S4628">
        <f>Data!M4644</f>
        <v>0</v>
      </c>
      <c r="T4628">
        <f>Data!N4644</f>
        <v>0</v>
      </c>
      <c r="U4628">
        <f>Data!O4644</f>
        <v>0</v>
      </c>
      <c r="V4628" s="33">
        <f>Data!P4642</f>
        <v>0</v>
      </c>
    </row>
    <row r="4629" spans="7:22" x14ac:dyDescent="0.25">
      <c r="G4629">
        <f>Data!B4641</f>
        <v>0</v>
      </c>
      <c r="H4629" s="21">
        <f>Data!B4641</f>
        <v>0</v>
      </c>
      <c r="I4629" s="21">
        <f>Data!C4641</f>
        <v>0</v>
      </c>
      <c r="J4629">
        <f>Data!D4641</f>
        <v>0</v>
      </c>
      <c r="K4629">
        <f>Data!E4641</f>
        <v>0</v>
      </c>
      <c r="L4629">
        <f>Data!F4641</f>
        <v>0</v>
      </c>
      <c r="M4629">
        <f>Data!G4641</f>
        <v>0</v>
      </c>
      <c r="N4629">
        <f>Data!H4641</f>
        <v>0</v>
      </c>
      <c r="O4629">
        <f>Data!I4641</f>
        <v>0</v>
      </c>
      <c r="P4629" s="21">
        <f>Data!J4645</f>
        <v>0</v>
      </c>
      <c r="Q4629">
        <f>Data!K4645</f>
        <v>0</v>
      </c>
      <c r="R4629">
        <f>Data!L4645</f>
        <v>0</v>
      </c>
      <c r="S4629">
        <f>Data!M4645</f>
        <v>0</v>
      </c>
      <c r="T4629">
        <f>Data!N4645</f>
        <v>0</v>
      </c>
      <c r="U4629">
        <f>Data!O4645</f>
        <v>0</v>
      </c>
      <c r="V4629" s="33">
        <f>Data!P4643</f>
        <v>0</v>
      </c>
    </row>
    <row r="4630" spans="7:22" x14ac:dyDescent="0.25">
      <c r="G4630">
        <f>Data!B4642</f>
        <v>0</v>
      </c>
      <c r="H4630" s="21">
        <f>Data!B4642</f>
        <v>0</v>
      </c>
      <c r="I4630" s="21">
        <f>Data!C4642</f>
        <v>0</v>
      </c>
      <c r="J4630">
        <f>Data!D4642</f>
        <v>0</v>
      </c>
      <c r="K4630">
        <f>Data!E4642</f>
        <v>0</v>
      </c>
      <c r="L4630">
        <f>Data!F4642</f>
        <v>0</v>
      </c>
      <c r="M4630">
        <f>Data!G4642</f>
        <v>0</v>
      </c>
      <c r="N4630">
        <f>Data!H4642</f>
        <v>0</v>
      </c>
      <c r="O4630">
        <f>Data!I4642</f>
        <v>0</v>
      </c>
      <c r="P4630" s="21">
        <f>Data!J4646</f>
        <v>0</v>
      </c>
      <c r="Q4630">
        <f>Data!K4646</f>
        <v>0</v>
      </c>
      <c r="R4630">
        <f>Data!L4646</f>
        <v>0</v>
      </c>
      <c r="S4630">
        <f>Data!M4646</f>
        <v>0</v>
      </c>
      <c r="T4630">
        <f>Data!N4646</f>
        <v>0</v>
      </c>
      <c r="U4630">
        <f>Data!O4646</f>
        <v>0</v>
      </c>
      <c r="V4630" s="33">
        <f>Data!P4644</f>
        <v>0</v>
      </c>
    </row>
    <row r="4631" spans="7:22" x14ac:dyDescent="0.25">
      <c r="G4631">
        <f>Data!B4643</f>
        <v>0</v>
      </c>
      <c r="H4631" s="21">
        <f>Data!B4643</f>
        <v>0</v>
      </c>
      <c r="I4631" s="21">
        <f>Data!C4643</f>
        <v>0</v>
      </c>
      <c r="J4631">
        <f>Data!D4643</f>
        <v>0</v>
      </c>
      <c r="K4631">
        <f>Data!E4643</f>
        <v>0</v>
      </c>
      <c r="L4631">
        <f>Data!F4643</f>
        <v>0</v>
      </c>
      <c r="M4631">
        <f>Data!G4643</f>
        <v>0</v>
      </c>
      <c r="N4631">
        <f>Data!H4643</f>
        <v>0</v>
      </c>
      <c r="O4631">
        <f>Data!I4643</f>
        <v>0</v>
      </c>
      <c r="P4631" s="21">
        <f>Data!J4647</f>
        <v>0</v>
      </c>
      <c r="Q4631">
        <f>Data!K4647</f>
        <v>0</v>
      </c>
      <c r="R4631">
        <f>Data!L4647</f>
        <v>0</v>
      </c>
      <c r="S4631">
        <f>Data!M4647</f>
        <v>0</v>
      </c>
      <c r="T4631">
        <f>Data!N4647</f>
        <v>0</v>
      </c>
      <c r="U4631">
        <f>Data!O4647</f>
        <v>0</v>
      </c>
      <c r="V4631" s="33">
        <f>Data!P4645</f>
        <v>0</v>
      </c>
    </row>
    <row r="4632" spans="7:22" x14ac:dyDescent="0.25">
      <c r="G4632">
        <f>Data!B4644</f>
        <v>0</v>
      </c>
      <c r="H4632" s="21">
        <f>Data!B4644</f>
        <v>0</v>
      </c>
      <c r="I4632" s="21">
        <f>Data!C4644</f>
        <v>0</v>
      </c>
      <c r="J4632">
        <f>Data!D4644</f>
        <v>0</v>
      </c>
      <c r="K4632">
        <f>Data!E4644</f>
        <v>0</v>
      </c>
      <c r="L4632">
        <f>Data!F4644</f>
        <v>0</v>
      </c>
      <c r="M4632">
        <f>Data!G4644</f>
        <v>0</v>
      </c>
      <c r="N4632">
        <f>Data!H4644</f>
        <v>0</v>
      </c>
      <c r="O4632">
        <f>Data!I4644</f>
        <v>0</v>
      </c>
      <c r="P4632" s="21">
        <f>Data!J4648</f>
        <v>0</v>
      </c>
      <c r="Q4632">
        <f>Data!K4648</f>
        <v>0</v>
      </c>
      <c r="R4632">
        <f>Data!L4648</f>
        <v>0</v>
      </c>
      <c r="S4632">
        <f>Data!M4648</f>
        <v>0</v>
      </c>
      <c r="T4632">
        <f>Data!N4648</f>
        <v>0</v>
      </c>
      <c r="U4632">
        <f>Data!O4648</f>
        <v>0</v>
      </c>
      <c r="V4632" s="33">
        <f>Data!P4646</f>
        <v>0</v>
      </c>
    </row>
    <row r="4633" spans="7:22" x14ac:dyDescent="0.25">
      <c r="G4633">
        <f>Data!B4645</f>
        <v>0</v>
      </c>
      <c r="H4633" s="21">
        <f>Data!B4645</f>
        <v>0</v>
      </c>
      <c r="I4633" s="21">
        <f>Data!C4645</f>
        <v>0</v>
      </c>
      <c r="J4633">
        <f>Data!D4645</f>
        <v>0</v>
      </c>
      <c r="K4633">
        <f>Data!E4645</f>
        <v>0</v>
      </c>
      <c r="L4633">
        <f>Data!F4645</f>
        <v>0</v>
      </c>
      <c r="M4633">
        <f>Data!G4645</f>
        <v>0</v>
      </c>
      <c r="N4633">
        <f>Data!H4645</f>
        <v>0</v>
      </c>
      <c r="O4633">
        <f>Data!I4645</f>
        <v>0</v>
      </c>
      <c r="P4633" s="21">
        <f>Data!J4649</f>
        <v>0</v>
      </c>
      <c r="Q4633">
        <f>Data!K4649</f>
        <v>0</v>
      </c>
      <c r="R4633">
        <f>Data!L4649</f>
        <v>0</v>
      </c>
      <c r="S4633">
        <f>Data!M4649</f>
        <v>0</v>
      </c>
      <c r="T4633">
        <f>Data!N4649</f>
        <v>0</v>
      </c>
      <c r="U4633">
        <f>Data!O4649</f>
        <v>0</v>
      </c>
      <c r="V4633" s="33">
        <f>Data!P4647</f>
        <v>0</v>
      </c>
    </row>
    <row r="4634" spans="7:22" x14ac:dyDescent="0.25">
      <c r="G4634">
        <f>Data!B4646</f>
        <v>0</v>
      </c>
      <c r="H4634" s="21">
        <f>Data!B4646</f>
        <v>0</v>
      </c>
      <c r="I4634" s="21">
        <f>Data!C4646</f>
        <v>0</v>
      </c>
      <c r="J4634">
        <f>Data!D4646</f>
        <v>0</v>
      </c>
      <c r="K4634">
        <f>Data!E4646</f>
        <v>0</v>
      </c>
      <c r="L4634">
        <f>Data!F4646</f>
        <v>0</v>
      </c>
      <c r="M4634">
        <f>Data!G4646</f>
        <v>0</v>
      </c>
      <c r="N4634">
        <f>Data!H4646</f>
        <v>0</v>
      </c>
      <c r="O4634">
        <f>Data!I4646</f>
        <v>0</v>
      </c>
      <c r="P4634" s="21">
        <f>Data!J4650</f>
        <v>0</v>
      </c>
      <c r="Q4634">
        <f>Data!K4650</f>
        <v>0</v>
      </c>
      <c r="R4634">
        <f>Data!L4650</f>
        <v>0</v>
      </c>
      <c r="S4634">
        <f>Data!M4650</f>
        <v>0</v>
      </c>
      <c r="T4634">
        <f>Data!N4650</f>
        <v>0</v>
      </c>
      <c r="U4634">
        <f>Data!O4650</f>
        <v>0</v>
      </c>
      <c r="V4634" s="33">
        <f>Data!P4648</f>
        <v>0</v>
      </c>
    </row>
    <row r="4635" spans="7:22" x14ac:dyDescent="0.25">
      <c r="G4635">
        <f>Data!B4647</f>
        <v>0</v>
      </c>
      <c r="H4635" s="21">
        <f>Data!B4647</f>
        <v>0</v>
      </c>
      <c r="I4635" s="21">
        <f>Data!C4647</f>
        <v>0</v>
      </c>
      <c r="J4635">
        <f>Data!D4647</f>
        <v>0</v>
      </c>
      <c r="K4635">
        <f>Data!E4647</f>
        <v>0</v>
      </c>
      <c r="L4635">
        <f>Data!F4647</f>
        <v>0</v>
      </c>
      <c r="M4635">
        <f>Data!G4647</f>
        <v>0</v>
      </c>
      <c r="N4635">
        <f>Data!H4647</f>
        <v>0</v>
      </c>
      <c r="O4635">
        <f>Data!I4647</f>
        <v>0</v>
      </c>
      <c r="P4635" s="21">
        <f>Data!J4651</f>
        <v>0</v>
      </c>
      <c r="Q4635">
        <f>Data!K4651</f>
        <v>0</v>
      </c>
      <c r="R4635">
        <f>Data!L4651</f>
        <v>0</v>
      </c>
      <c r="S4635">
        <f>Data!M4651</f>
        <v>0</v>
      </c>
      <c r="T4635">
        <f>Data!N4651</f>
        <v>0</v>
      </c>
      <c r="U4635">
        <f>Data!O4651</f>
        <v>0</v>
      </c>
      <c r="V4635" s="33">
        <f>Data!P4649</f>
        <v>0</v>
      </c>
    </row>
    <row r="4636" spans="7:22" x14ac:dyDescent="0.25">
      <c r="G4636">
        <f>Data!B4648</f>
        <v>0</v>
      </c>
      <c r="H4636" s="21">
        <f>Data!B4648</f>
        <v>0</v>
      </c>
      <c r="I4636" s="21">
        <f>Data!C4648</f>
        <v>0</v>
      </c>
      <c r="J4636">
        <f>Data!D4648</f>
        <v>0</v>
      </c>
      <c r="K4636">
        <f>Data!E4648</f>
        <v>0</v>
      </c>
      <c r="L4636">
        <f>Data!F4648</f>
        <v>0</v>
      </c>
      <c r="M4636">
        <f>Data!G4648</f>
        <v>0</v>
      </c>
      <c r="N4636">
        <f>Data!H4648</f>
        <v>0</v>
      </c>
      <c r="O4636">
        <f>Data!I4648</f>
        <v>0</v>
      </c>
      <c r="P4636" s="21">
        <f>Data!J4652</f>
        <v>0</v>
      </c>
      <c r="Q4636">
        <f>Data!K4652</f>
        <v>0</v>
      </c>
      <c r="R4636">
        <f>Data!L4652</f>
        <v>0</v>
      </c>
      <c r="S4636">
        <f>Data!M4652</f>
        <v>0</v>
      </c>
      <c r="T4636">
        <f>Data!N4652</f>
        <v>0</v>
      </c>
      <c r="U4636">
        <f>Data!O4652</f>
        <v>0</v>
      </c>
      <c r="V4636" s="33">
        <f>Data!P4650</f>
        <v>0</v>
      </c>
    </row>
    <row r="4637" spans="7:22" x14ac:dyDescent="0.25">
      <c r="G4637">
        <f>Data!B4649</f>
        <v>0</v>
      </c>
      <c r="H4637" s="21">
        <f>Data!B4649</f>
        <v>0</v>
      </c>
      <c r="I4637" s="21">
        <f>Data!C4649</f>
        <v>0</v>
      </c>
      <c r="J4637">
        <f>Data!D4649</f>
        <v>0</v>
      </c>
      <c r="K4637">
        <f>Data!E4649</f>
        <v>0</v>
      </c>
      <c r="L4637">
        <f>Data!F4649</f>
        <v>0</v>
      </c>
      <c r="M4637">
        <f>Data!G4649</f>
        <v>0</v>
      </c>
      <c r="N4637">
        <f>Data!H4649</f>
        <v>0</v>
      </c>
      <c r="O4637">
        <f>Data!I4649</f>
        <v>0</v>
      </c>
      <c r="P4637" s="21">
        <f>Data!J4653</f>
        <v>0</v>
      </c>
      <c r="Q4637">
        <f>Data!K4653</f>
        <v>0</v>
      </c>
      <c r="R4637">
        <f>Data!L4653</f>
        <v>0</v>
      </c>
      <c r="S4637">
        <f>Data!M4653</f>
        <v>0</v>
      </c>
      <c r="T4637">
        <f>Data!N4653</f>
        <v>0</v>
      </c>
      <c r="U4637">
        <f>Data!O4653</f>
        <v>0</v>
      </c>
      <c r="V4637" s="33">
        <f>Data!P4651</f>
        <v>0</v>
      </c>
    </row>
    <row r="4638" spans="7:22" x14ac:dyDescent="0.25">
      <c r="G4638">
        <f>Data!B4650</f>
        <v>0</v>
      </c>
      <c r="H4638" s="21">
        <f>Data!B4650</f>
        <v>0</v>
      </c>
      <c r="I4638" s="21">
        <f>Data!C4650</f>
        <v>0</v>
      </c>
      <c r="J4638">
        <f>Data!D4650</f>
        <v>0</v>
      </c>
      <c r="K4638">
        <f>Data!E4650</f>
        <v>0</v>
      </c>
      <c r="L4638">
        <f>Data!F4650</f>
        <v>0</v>
      </c>
      <c r="M4638">
        <f>Data!G4650</f>
        <v>0</v>
      </c>
      <c r="N4638">
        <f>Data!H4650</f>
        <v>0</v>
      </c>
      <c r="O4638">
        <f>Data!I4650</f>
        <v>0</v>
      </c>
      <c r="P4638" s="21">
        <f>Data!J4654</f>
        <v>0</v>
      </c>
      <c r="Q4638">
        <f>Data!K4654</f>
        <v>0</v>
      </c>
      <c r="R4638">
        <f>Data!L4654</f>
        <v>0</v>
      </c>
      <c r="S4638">
        <f>Data!M4654</f>
        <v>0</v>
      </c>
      <c r="T4638">
        <f>Data!N4654</f>
        <v>0</v>
      </c>
      <c r="U4638">
        <f>Data!O4654</f>
        <v>0</v>
      </c>
      <c r="V4638" s="33">
        <f>Data!P4652</f>
        <v>0</v>
      </c>
    </row>
    <row r="4639" spans="7:22" x14ac:dyDescent="0.25">
      <c r="G4639">
        <f>Data!B4651</f>
        <v>0</v>
      </c>
      <c r="H4639" s="21">
        <f>Data!B4651</f>
        <v>0</v>
      </c>
      <c r="I4639" s="21">
        <f>Data!C4651</f>
        <v>0</v>
      </c>
      <c r="J4639">
        <f>Data!D4651</f>
        <v>0</v>
      </c>
      <c r="K4639">
        <f>Data!E4651</f>
        <v>0</v>
      </c>
      <c r="L4639">
        <f>Data!F4651</f>
        <v>0</v>
      </c>
      <c r="M4639">
        <f>Data!G4651</f>
        <v>0</v>
      </c>
      <c r="N4639">
        <f>Data!H4651</f>
        <v>0</v>
      </c>
      <c r="O4639">
        <f>Data!I4651</f>
        <v>0</v>
      </c>
      <c r="P4639" s="21">
        <f>Data!J4655</f>
        <v>0</v>
      </c>
      <c r="Q4639">
        <f>Data!K4655</f>
        <v>0</v>
      </c>
      <c r="R4639">
        <f>Data!L4655</f>
        <v>0</v>
      </c>
      <c r="S4639">
        <f>Data!M4655</f>
        <v>0</v>
      </c>
      <c r="T4639">
        <f>Data!N4655</f>
        <v>0</v>
      </c>
      <c r="U4639">
        <f>Data!O4655</f>
        <v>0</v>
      </c>
      <c r="V4639" s="33">
        <f>Data!P4653</f>
        <v>0</v>
      </c>
    </row>
    <row r="4640" spans="7:22" x14ac:dyDescent="0.25">
      <c r="G4640">
        <f>Data!B4652</f>
        <v>0</v>
      </c>
      <c r="H4640" s="21">
        <f>Data!B4652</f>
        <v>0</v>
      </c>
      <c r="I4640" s="21">
        <f>Data!C4652</f>
        <v>0</v>
      </c>
      <c r="J4640">
        <f>Data!D4652</f>
        <v>0</v>
      </c>
      <c r="K4640">
        <f>Data!E4652</f>
        <v>0</v>
      </c>
      <c r="L4640">
        <f>Data!F4652</f>
        <v>0</v>
      </c>
      <c r="M4640">
        <f>Data!G4652</f>
        <v>0</v>
      </c>
      <c r="N4640">
        <f>Data!H4652</f>
        <v>0</v>
      </c>
      <c r="O4640">
        <f>Data!I4652</f>
        <v>0</v>
      </c>
      <c r="P4640" s="21">
        <f>Data!J4656</f>
        <v>0</v>
      </c>
      <c r="Q4640">
        <f>Data!K4656</f>
        <v>0</v>
      </c>
      <c r="R4640">
        <f>Data!L4656</f>
        <v>0</v>
      </c>
      <c r="S4640">
        <f>Data!M4656</f>
        <v>0</v>
      </c>
      <c r="T4640">
        <f>Data!N4656</f>
        <v>0</v>
      </c>
      <c r="U4640">
        <f>Data!O4656</f>
        <v>0</v>
      </c>
      <c r="V4640" s="33">
        <f>Data!P4654</f>
        <v>0</v>
      </c>
    </row>
    <row r="4641" spans="7:22" x14ac:dyDescent="0.25">
      <c r="G4641">
        <f>Data!B4653</f>
        <v>0</v>
      </c>
      <c r="H4641" s="21">
        <f>Data!B4653</f>
        <v>0</v>
      </c>
      <c r="I4641" s="21">
        <f>Data!C4653</f>
        <v>0</v>
      </c>
      <c r="J4641">
        <f>Data!D4653</f>
        <v>0</v>
      </c>
      <c r="K4641">
        <f>Data!E4653</f>
        <v>0</v>
      </c>
      <c r="L4641">
        <f>Data!F4653</f>
        <v>0</v>
      </c>
      <c r="M4641">
        <f>Data!G4653</f>
        <v>0</v>
      </c>
      <c r="N4641">
        <f>Data!H4653</f>
        <v>0</v>
      </c>
      <c r="O4641">
        <f>Data!I4653</f>
        <v>0</v>
      </c>
      <c r="P4641" s="21">
        <f>Data!J4657</f>
        <v>0</v>
      </c>
      <c r="Q4641">
        <f>Data!K4657</f>
        <v>0</v>
      </c>
      <c r="R4641">
        <f>Data!L4657</f>
        <v>0</v>
      </c>
      <c r="S4641">
        <f>Data!M4657</f>
        <v>0</v>
      </c>
      <c r="T4641">
        <f>Data!N4657</f>
        <v>0</v>
      </c>
      <c r="U4641">
        <f>Data!O4657</f>
        <v>0</v>
      </c>
      <c r="V4641" s="33">
        <f>Data!P4655</f>
        <v>0</v>
      </c>
    </row>
    <row r="4642" spans="7:22" x14ac:dyDescent="0.25">
      <c r="G4642">
        <f>Data!B4654</f>
        <v>0</v>
      </c>
      <c r="H4642" s="21">
        <f>Data!B4654</f>
        <v>0</v>
      </c>
      <c r="I4642" s="21">
        <f>Data!C4654</f>
        <v>0</v>
      </c>
      <c r="J4642">
        <f>Data!D4654</f>
        <v>0</v>
      </c>
      <c r="K4642">
        <f>Data!E4654</f>
        <v>0</v>
      </c>
      <c r="L4642">
        <f>Data!F4654</f>
        <v>0</v>
      </c>
      <c r="M4642">
        <f>Data!G4654</f>
        <v>0</v>
      </c>
      <c r="N4642">
        <f>Data!H4654</f>
        <v>0</v>
      </c>
      <c r="O4642">
        <f>Data!I4654</f>
        <v>0</v>
      </c>
      <c r="P4642" s="21">
        <f>Data!J4658</f>
        <v>0</v>
      </c>
      <c r="Q4642">
        <f>Data!K4658</f>
        <v>0</v>
      </c>
      <c r="R4642">
        <f>Data!L4658</f>
        <v>0</v>
      </c>
      <c r="S4642">
        <f>Data!M4658</f>
        <v>0</v>
      </c>
      <c r="T4642">
        <f>Data!N4658</f>
        <v>0</v>
      </c>
      <c r="U4642">
        <f>Data!O4658</f>
        <v>0</v>
      </c>
      <c r="V4642" s="33">
        <f>Data!P4656</f>
        <v>0</v>
      </c>
    </row>
    <row r="4643" spans="7:22" x14ac:dyDescent="0.25">
      <c r="G4643">
        <f>Data!B4655</f>
        <v>0</v>
      </c>
      <c r="H4643" s="21">
        <f>Data!B4655</f>
        <v>0</v>
      </c>
      <c r="I4643" s="21">
        <f>Data!C4655</f>
        <v>0</v>
      </c>
      <c r="J4643">
        <f>Data!D4655</f>
        <v>0</v>
      </c>
      <c r="K4643">
        <f>Data!E4655</f>
        <v>0</v>
      </c>
      <c r="L4643">
        <f>Data!F4655</f>
        <v>0</v>
      </c>
      <c r="M4643">
        <f>Data!G4655</f>
        <v>0</v>
      </c>
      <c r="N4643">
        <f>Data!H4655</f>
        <v>0</v>
      </c>
      <c r="O4643">
        <f>Data!I4655</f>
        <v>0</v>
      </c>
      <c r="P4643" s="21">
        <f>Data!J4659</f>
        <v>0</v>
      </c>
      <c r="Q4643">
        <f>Data!K4659</f>
        <v>0</v>
      </c>
      <c r="R4643">
        <f>Data!L4659</f>
        <v>0</v>
      </c>
      <c r="S4643">
        <f>Data!M4659</f>
        <v>0</v>
      </c>
      <c r="T4643">
        <f>Data!N4659</f>
        <v>0</v>
      </c>
      <c r="U4643">
        <f>Data!O4659</f>
        <v>0</v>
      </c>
      <c r="V4643" s="33">
        <f>Data!P4657</f>
        <v>0</v>
      </c>
    </row>
    <row r="4644" spans="7:22" x14ac:dyDescent="0.25">
      <c r="G4644">
        <f>Data!B4656</f>
        <v>0</v>
      </c>
      <c r="H4644" s="21">
        <f>Data!B4656</f>
        <v>0</v>
      </c>
      <c r="I4644" s="21">
        <f>Data!C4656</f>
        <v>0</v>
      </c>
      <c r="J4644">
        <f>Data!D4656</f>
        <v>0</v>
      </c>
      <c r="K4644">
        <f>Data!E4656</f>
        <v>0</v>
      </c>
      <c r="L4644">
        <f>Data!F4656</f>
        <v>0</v>
      </c>
      <c r="M4644">
        <f>Data!G4656</f>
        <v>0</v>
      </c>
      <c r="N4644">
        <f>Data!H4656</f>
        <v>0</v>
      </c>
      <c r="O4644">
        <f>Data!I4656</f>
        <v>0</v>
      </c>
      <c r="P4644" s="21">
        <f>Data!J4660</f>
        <v>0</v>
      </c>
      <c r="Q4644">
        <f>Data!K4660</f>
        <v>0</v>
      </c>
      <c r="R4644">
        <f>Data!L4660</f>
        <v>0</v>
      </c>
      <c r="S4644">
        <f>Data!M4660</f>
        <v>0</v>
      </c>
      <c r="T4644">
        <f>Data!N4660</f>
        <v>0</v>
      </c>
      <c r="U4644">
        <f>Data!O4660</f>
        <v>0</v>
      </c>
      <c r="V4644" s="33">
        <f>Data!P4658</f>
        <v>0</v>
      </c>
    </row>
    <row r="4645" spans="7:22" x14ac:dyDescent="0.25">
      <c r="G4645">
        <f>Data!B4657</f>
        <v>0</v>
      </c>
      <c r="H4645" s="21">
        <f>Data!B4657</f>
        <v>0</v>
      </c>
      <c r="I4645" s="21">
        <f>Data!C4657</f>
        <v>0</v>
      </c>
      <c r="J4645">
        <f>Data!D4657</f>
        <v>0</v>
      </c>
      <c r="K4645">
        <f>Data!E4657</f>
        <v>0</v>
      </c>
      <c r="L4645">
        <f>Data!F4657</f>
        <v>0</v>
      </c>
      <c r="M4645">
        <f>Data!G4657</f>
        <v>0</v>
      </c>
      <c r="N4645">
        <f>Data!H4657</f>
        <v>0</v>
      </c>
      <c r="O4645">
        <f>Data!I4657</f>
        <v>0</v>
      </c>
      <c r="P4645" s="21">
        <f>Data!J4661</f>
        <v>0</v>
      </c>
      <c r="Q4645">
        <f>Data!K4661</f>
        <v>0</v>
      </c>
      <c r="R4645">
        <f>Data!L4661</f>
        <v>0</v>
      </c>
      <c r="S4645">
        <f>Data!M4661</f>
        <v>0</v>
      </c>
      <c r="T4645">
        <f>Data!N4661</f>
        <v>0</v>
      </c>
      <c r="U4645">
        <f>Data!O4661</f>
        <v>0</v>
      </c>
      <c r="V4645" s="33">
        <f>Data!P4659</f>
        <v>0</v>
      </c>
    </row>
    <row r="4646" spans="7:22" x14ac:dyDescent="0.25">
      <c r="G4646">
        <f>Data!B4658</f>
        <v>0</v>
      </c>
      <c r="H4646" s="21">
        <f>Data!B4658</f>
        <v>0</v>
      </c>
      <c r="I4646" s="21">
        <f>Data!C4658</f>
        <v>0</v>
      </c>
      <c r="J4646">
        <f>Data!D4658</f>
        <v>0</v>
      </c>
      <c r="K4646">
        <f>Data!E4658</f>
        <v>0</v>
      </c>
      <c r="L4646">
        <f>Data!F4658</f>
        <v>0</v>
      </c>
      <c r="M4646">
        <f>Data!G4658</f>
        <v>0</v>
      </c>
      <c r="N4646">
        <f>Data!H4658</f>
        <v>0</v>
      </c>
      <c r="O4646">
        <f>Data!I4658</f>
        <v>0</v>
      </c>
      <c r="P4646" s="21">
        <f>Data!J4662</f>
        <v>0</v>
      </c>
      <c r="Q4646">
        <f>Data!K4662</f>
        <v>0</v>
      </c>
      <c r="R4646">
        <f>Data!L4662</f>
        <v>0</v>
      </c>
      <c r="S4646">
        <f>Data!M4662</f>
        <v>0</v>
      </c>
      <c r="T4646">
        <f>Data!N4662</f>
        <v>0</v>
      </c>
      <c r="U4646">
        <f>Data!O4662</f>
        <v>0</v>
      </c>
      <c r="V4646" s="33">
        <f>Data!P4660</f>
        <v>0</v>
      </c>
    </row>
    <row r="4647" spans="7:22" x14ac:dyDescent="0.25">
      <c r="G4647">
        <f>Data!B4659</f>
        <v>0</v>
      </c>
      <c r="H4647" s="21">
        <f>Data!B4659</f>
        <v>0</v>
      </c>
      <c r="I4647" s="21">
        <f>Data!C4659</f>
        <v>0</v>
      </c>
      <c r="J4647">
        <f>Data!D4659</f>
        <v>0</v>
      </c>
      <c r="K4647">
        <f>Data!E4659</f>
        <v>0</v>
      </c>
      <c r="L4647">
        <f>Data!F4659</f>
        <v>0</v>
      </c>
      <c r="M4647">
        <f>Data!G4659</f>
        <v>0</v>
      </c>
      <c r="N4647">
        <f>Data!H4659</f>
        <v>0</v>
      </c>
      <c r="O4647">
        <f>Data!I4659</f>
        <v>0</v>
      </c>
      <c r="P4647" s="21">
        <f>Data!J4663</f>
        <v>0</v>
      </c>
      <c r="Q4647">
        <f>Data!K4663</f>
        <v>0</v>
      </c>
      <c r="R4647">
        <f>Data!L4663</f>
        <v>0</v>
      </c>
      <c r="S4647">
        <f>Data!M4663</f>
        <v>0</v>
      </c>
      <c r="T4647">
        <f>Data!N4663</f>
        <v>0</v>
      </c>
      <c r="U4647">
        <f>Data!O4663</f>
        <v>0</v>
      </c>
      <c r="V4647" s="33">
        <f>Data!P4661</f>
        <v>0</v>
      </c>
    </row>
    <row r="4648" spans="7:22" x14ac:dyDescent="0.25">
      <c r="G4648">
        <f>Data!B4660</f>
        <v>0</v>
      </c>
      <c r="H4648" s="21">
        <f>Data!B4660</f>
        <v>0</v>
      </c>
      <c r="I4648" s="21">
        <f>Data!C4660</f>
        <v>0</v>
      </c>
      <c r="J4648">
        <f>Data!D4660</f>
        <v>0</v>
      </c>
      <c r="K4648">
        <f>Data!E4660</f>
        <v>0</v>
      </c>
      <c r="L4648">
        <f>Data!F4660</f>
        <v>0</v>
      </c>
      <c r="M4648">
        <f>Data!G4660</f>
        <v>0</v>
      </c>
      <c r="N4648">
        <f>Data!H4660</f>
        <v>0</v>
      </c>
      <c r="O4648">
        <f>Data!I4660</f>
        <v>0</v>
      </c>
      <c r="P4648" s="21">
        <f>Data!J4664</f>
        <v>0</v>
      </c>
      <c r="Q4648">
        <f>Data!K4664</f>
        <v>0</v>
      </c>
      <c r="R4648">
        <f>Data!L4664</f>
        <v>0</v>
      </c>
      <c r="S4648">
        <f>Data!M4664</f>
        <v>0</v>
      </c>
      <c r="T4648">
        <f>Data!N4664</f>
        <v>0</v>
      </c>
      <c r="U4648">
        <f>Data!O4664</f>
        <v>0</v>
      </c>
      <c r="V4648" s="33">
        <f>Data!P4662</f>
        <v>0</v>
      </c>
    </row>
    <row r="4649" spans="7:22" x14ac:dyDescent="0.25">
      <c r="G4649">
        <f>Data!B4661</f>
        <v>0</v>
      </c>
      <c r="H4649" s="21">
        <f>Data!B4661</f>
        <v>0</v>
      </c>
      <c r="I4649" s="21">
        <f>Data!C4661</f>
        <v>0</v>
      </c>
      <c r="J4649">
        <f>Data!D4661</f>
        <v>0</v>
      </c>
      <c r="K4649">
        <f>Data!E4661</f>
        <v>0</v>
      </c>
      <c r="L4649">
        <f>Data!F4661</f>
        <v>0</v>
      </c>
      <c r="M4649">
        <f>Data!G4661</f>
        <v>0</v>
      </c>
      <c r="N4649">
        <f>Data!H4661</f>
        <v>0</v>
      </c>
      <c r="O4649">
        <f>Data!I4661</f>
        <v>0</v>
      </c>
      <c r="P4649" s="21">
        <f>Data!J4665</f>
        <v>0</v>
      </c>
      <c r="Q4649">
        <f>Data!K4665</f>
        <v>0</v>
      </c>
      <c r="R4649">
        <f>Data!L4665</f>
        <v>0</v>
      </c>
      <c r="S4649">
        <f>Data!M4665</f>
        <v>0</v>
      </c>
      <c r="T4649">
        <f>Data!N4665</f>
        <v>0</v>
      </c>
      <c r="U4649">
        <f>Data!O4665</f>
        <v>0</v>
      </c>
      <c r="V4649" s="33">
        <f>Data!P4663</f>
        <v>0</v>
      </c>
    </row>
    <row r="4650" spans="7:22" x14ac:dyDescent="0.25">
      <c r="G4650">
        <f>Data!B4662</f>
        <v>0</v>
      </c>
      <c r="H4650" s="21">
        <f>Data!B4662</f>
        <v>0</v>
      </c>
      <c r="I4650" s="21">
        <f>Data!C4662</f>
        <v>0</v>
      </c>
      <c r="J4650">
        <f>Data!D4662</f>
        <v>0</v>
      </c>
      <c r="K4650">
        <f>Data!E4662</f>
        <v>0</v>
      </c>
      <c r="L4650">
        <f>Data!F4662</f>
        <v>0</v>
      </c>
      <c r="M4650">
        <f>Data!G4662</f>
        <v>0</v>
      </c>
      <c r="N4650">
        <f>Data!H4662</f>
        <v>0</v>
      </c>
      <c r="O4650">
        <f>Data!I4662</f>
        <v>0</v>
      </c>
      <c r="P4650" s="21">
        <f>Data!J4666</f>
        <v>0</v>
      </c>
      <c r="Q4650">
        <f>Data!K4666</f>
        <v>0</v>
      </c>
      <c r="R4650">
        <f>Data!L4666</f>
        <v>0</v>
      </c>
      <c r="S4650">
        <f>Data!M4666</f>
        <v>0</v>
      </c>
      <c r="T4650">
        <f>Data!N4666</f>
        <v>0</v>
      </c>
      <c r="U4650">
        <f>Data!O4666</f>
        <v>0</v>
      </c>
      <c r="V4650" s="33">
        <f>Data!P4664</f>
        <v>0</v>
      </c>
    </row>
    <row r="4651" spans="7:22" x14ac:dyDescent="0.25">
      <c r="G4651">
        <f>Data!B4663</f>
        <v>0</v>
      </c>
      <c r="H4651" s="21">
        <f>Data!B4663</f>
        <v>0</v>
      </c>
      <c r="I4651" s="21">
        <f>Data!C4663</f>
        <v>0</v>
      </c>
      <c r="J4651">
        <f>Data!D4663</f>
        <v>0</v>
      </c>
      <c r="K4651">
        <f>Data!E4663</f>
        <v>0</v>
      </c>
      <c r="L4651">
        <f>Data!F4663</f>
        <v>0</v>
      </c>
      <c r="M4651">
        <f>Data!G4663</f>
        <v>0</v>
      </c>
      <c r="N4651">
        <f>Data!H4663</f>
        <v>0</v>
      </c>
      <c r="O4651">
        <f>Data!I4663</f>
        <v>0</v>
      </c>
      <c r="P4651" s="21">
        <f>Data!J4667</f>
        <v>0</v>
      </c>
      <c r="Q4651">
        <f>Data!K4667</f>
        <v>0</v>
      </c>
      <c r="R4651">
        <f>Data!L4667</f>
        <v>0</v>
      </c>
      <c r="S4651">
        <f>Data!M4667</f>
        <v>0</v>
      </c>
      <c r="T4651">
        <f>Data!N4667</f>
        <v>0</v>
      </c>
      <c r="U4651">
        <f>Data!O4667</f>
        <v>0</v>
      </c>
      <c r="V4651" s="33">
        <f>Data!P4665</f>
        <v>0</v>
      </c>
    </row>
    <row r="4652" spans="7:22" x14ac:dyDescent="0.25">
      <c r="G4652">
        <f>Data!B4664</f>
        <v>0</v>
      </c>
      <c r="H4652" s="21">
        <f>Data!B4664</f>
        <v>0</v>
      </c>
      <c r="I4652" s="21">
        <f>Data!C4664</f>
        <v>0</v>
      </c>
      <c r="J4652">
        <f>Data!D4664</f>
        <v>0</v>
      </c>
      <c r="K4652">
        <f>Data!E4664</f>
        <v>0</v>
      </c>
      <c r="L4652">
        <f>Data!F4664</f>
        <v>0</v>
      </c>
      <c r="M4652">
        <f>Data!G4664</f>
        <v>0</v>
      </c>
      <c r="N4652">
        <f>Data!H4664</f>
        <v>0</v>
      </c>
      <c r="O4652">
        <f>Data!I4664</f>
        <v>0</v>
      </c>
      <c r="P4652" s="21">
        <f>Data!J4668</f>
        <v>0</v>
      </c>
      <c r="Q4652">
        <f>Data!K4668</f>
        <v>0</v>
      </c>
      <c r="R4652">
        <f>Data!L4668</f>
        <v>0</v>
      </c>
      <c r="S4652">
        <f>Data!M4668</f>
        <v>0</v>
      </c>
      <c r="T4652">
        <f>Data!N4668</f>
        <v>0</v>
      </c>
      <c r="U4652">
        <f>Data!O4668</f>
        <v>0</v>
      </c>
      <c r="V4652" s="33">
        <f>Data!P4666</f>
        <v>0</v>
      </c>
    </row>
    <row r="4653" spans="7:22" x14ac:dyDescent="0.25">
      <c r="G4653">
        <f>Data!B4665</f>
        <v>0</v>
      </c>
      <c r="H4653" s="21">
        <f>Data!B4665</f>
        <v>0</v>
      </c>
      <c r="I4653" s="21">
        <f>Data!C4665</f>
        <v>0</v>
      </c>
      <c r="J4653">
        <f>Data!D4665</f>
        <v>0</v>
      </c>
      <c r="K4653">
        <f>Data!E4665</f>
        <v>0</v>
      </c>
      <c r="L4653">
        <f>Data!F4665</f>
        <v>0</v>
      </c>
      <c r="M4653">
        <f>Data!G4665</f>
        <v>0</v>
      </c>
      <c r="N4653">
        <f>Data!H4665</f>
        <v>0</v>
      </c>
      <c r="O4653">
        <f>Data!I4665</f>
        <v>0</v>
      </c>
      <c r="P4653" s="21">
        <f>Data!J4669</f>
        <v>0</v>
      </c>
      <c r="Q4653">
        <f>Data!K4669</f>
        <v>0</v>
      </c>
      <c r="R4653">
        <f>Data!L4669</f>
        <v>0</v>
      </c>
      <c r="S4653">
        <f>Data!M4669</f>
        <v>0</v>
      </c>
      <c r="T4653">
        <f>Data!N4669</f>
        <v>0</v>
      </c>
      <c r="U4653">
        <f>Data!O4669</f>
        <v>0</v>
      </c>
      <c r="V4653" s="33">
        <f>Data!P4667</f>
        <v>0</v>
      </c>
    </row>
    <row r="4654" spans="7:22" x14ac:dyDescent="0.25">
      <c r="G4654">
        <f>Data!B4666</f>
        <v>0</v>
      </c>
      <c r="H4654" s="21">
        <f>Data!B4666</f>
        <v>0</v>
      </c>
      <c r="I4654" s="21">
        <f>Data!C4666</f>
        <v>0</v>
      </c>
      <c r="J4654">
        <f>Data!D4666</f>
        <v>0</v>
      </c>
      <c r="K4654">
        <f>Data!E4666</f>
        <v>0</v>
      </c>
      <c r="L4654">
        <f>Data!F4666</f>
        <v>0</v>
      </c>
      <c r="M4654">
        <f>Data!G4666</f>
        <v>0</v>
      </c>
      <c r="N4654">
        <f>Data!H4666</f>
        <v>0</v>
      </c>
      <c r="O4654">
        <f>Data!I4666</f>
        <v>0</v>
      </c>
      <c r="P4654" s="21">
        <f>Data!J4670</f>
        <v>0</v>
      </c>
      <c r="Q4654">
        <f>Data!K4670</f>
        <v>0</v>
      </c>
      <c r="R4654">
        <f>Data!L4670</f>
        <v>0</v>
      </c>
      <c r="S4654">
        <f>Data!M4670</f>
        <v>0</v>
      </c>
      <c r="T4654">
        <f>Data!N4670</f>
        <v>0</v>
      </c>
      <c r="U4654">
        <f>Data!O4670</f>
        <v>0</v>
      </c>
      <c r="V4654" s="33">
        <f>Data!P4668</f>
        <v>0</v>
      </c>
    </row>
    <row r="4655" spans="7:22" x14ac:dyDescent="0.25">
      <c r="G4655">
        <f>Data!B4667</f>
        <v>0</v>
      </c>
      <c r="H4655" s="21">
        <f>Data!B4667</f>
        <v>0</v>
      </c>
      <c r="I4655" s="21">
        <f>Data!C4667</f>
        <v>0</v>
      </c>
      <c r="J4655">
        <f>Data!D4667</f>
        <v>0</v>
      </c>
      <c r="K4655">
        <f>Data!E4667</f>
        <v>0</v>
      </c>
      <c r="L4655">
        <f>Data!F4667</f>
        <v>0</v>
      </c>
      <c r="M4655">
        <f>Data!G4667</f>
        <v>0</v>
      </c>
      <c r="N4655">
        <f>Data!H4667</f>
        <v>0</v>
      </c>
      <c r="O4655">
        <f>Data!I4667</f>
        <v>0</v>
      </c>
      <c r="P4655" s="21">
        <f>Data!J4671</f>
        <v>0</v>
      </c>
      <c r="Q4655">
        <f>Data!K4671</f>
        <v>0</v>
      </c>
      <c r="R4655">
        <f>Data!L4671</f>
        <v>0</v>
      </c>
      <c r="S4655">
        <f>Data!M4671</f>
        <v>0</v>
      </c>
      <c r="T4655">
        <f>Data!N4671</f>
        <v>0</v>
      </c>
      <c r="U4655">
        <f>Data!O4671</f>
        <v>0</v>
      </c>
      <c r="V4655" s="33">
        <f>Data!P4669</f>
        <v>0</v>
      </c>
    </row>
    <row r="4656" spans="7:22" x14ac:dyDescent="0.25">
      <c r="G4656">
        <f>Data!B4668</f>
        <v>0</v>
      </c>
      <c r="H4656" s="21">
        <f>Data!B4668</f>
        <v>0</v>
      </c>
      <c r="I4656" s="21">
        <f>Data!C4668</f>
        <v>0</v>
      </c>
      <c r="J4656">
        <f>Data!D4668</f>
        <v>0</v>
      </c>
      <c r="K4656">
        <f>Data!E4668</f>
        <v>0</v>
      </c>
      <c r="L4656">
        <f>Data!F4668</f>
        <v>0</v>
      </c>
      <c r="M4656">
        <f>Data!G4668</f>
        <v>0</v>
      </c>
      <c r="N4656">
        <f>Data!H4668</f>
        <v>0</v>
      </c>
      <c r="O4656">
        <f>Data!I4668</f>
        <v>0</v>
      </c>
      <c r="P4656" s="21">
        <f>Data!J4672</f>
        <v>0</v>
      </c>
      <c r="Q4656">
        <f>Data!K4672</f>
        <v>0</v>
      </c>
      <c r="R4656">
        <f>Data!L4672</f>
        <v>0</v>
      </c>
      <c r="S4656">
        <f>Data!M4672</f>
        <v>0</v>
      </c>
      <c r="T4656">
        <f>Data!N4672</f>
        <v>0</v>
      </c>
      <c r="U4656">
        <f>Data!O4672</f>
        <v>0</v>
      </c>
      <c r="V4656" s="33">
        <f>Data!P4670</f>
        <v>0</v>
      </c>
    </row>
    <row r="4657" spans="7:22" x14ac:dyDescent="0.25">
      <c r="G4657">
        <f>Data!B4669</f>
        <v>0</v>
      </c>
      <c r="H4657" s="21">
        <f>Data!B4669</f>
        <v>0</v>
      </c>
      <c r="I4657" s="21">
        <f>Data!C4669</f>
        <v>0</v>
      </c>
      <c r="J4657">
        <f>Data!D4669</f>
        <v>0</v>
      </c>
      <c r="K4657">
        <f>Data!E4669</f>
        <v>0</v>
      </c>
      <c r="L4657">
        <f>Data!F4669</f>
        <v>0</v>
      </c>
      <c r="M4657">
        <f>Data!G4669</f>
        <v>0</v>
      </c>
      <c r="N4657">
        <f>Data!H4669</f>
        <v>0</v>
      </c>
      <c r="O4657">
        <f>Data!I4669</f>
        <v>0</v>
      </c>
      <c r="P4657" s="21">
        <f>Data!J4673</f>
        <v>0</v>
      </c>
      <c r="Q4657">
        <f>Data!K4673</f>
        <v>0</v>
      </c>
      <c r="R4657">
        <f>Data!L4673</f>
        <v>0</v>
      </c>
      <c r="S4657">
        <f>Data!M4673</f>
        <v>0</v>
      </c>
      <c r="T4657">
        <f>Data!N4673</f>
        <v>0</v>
      </c>
      <c r="U4657">
        <f>Data!O4673</f>
        <v>0</v>
      </c>
      <c r="V4657" s="33">
        <f>Data!P4671</f>
        <v>0</v>
      </c>
    </row>
    <row r="4658" spans="7:22" x14ac:dyDescent="0.25">
      <c r="G4658">
        <f>Data!B4670</f>
        <v>0</v>
      </c>
      <c r="H4658" s="21">
        <f>Data!B4670</f>
        <v>0</v>
      </c>
      <c r="I4658" s="21">
        <f>Data!C4670</f>
        <v>0</v>
      </c>
      <c r="J4658">
        <f>Data!D4670</f>
        <v>0</v>
      </c>
      <c r="K4658">
        <f>Data!E4670</f>
        <v>0</v>
      </c>
      <c r="L4658">
        <f>Data!F4670</f>
        <v>0</v>
      </c>
      <c r="M4658">
        <f>Data!G4670</f>
        <v>0</v>
      </c>
      <c r="N4658">
        <f>Data!H4670</f>
        <v>0</v>
      </c>
      <c r="O4658">
        <f>Data!I4670</f>
        <v>0</v>
      </c>
      <c r="P4658" s="21">
        <f>Data!J4674</f>
        <v>0</v>
      </c>
      <c r="Q4658">
        <f>Data!K4674</f>
        <v>0</v>
      </c>
      <c r="R4658">
        <f>Data!L4674</f>
        <v>0</v>
      </c>
      <c r="S4658">
        <f>Data!M4674</f>
        <v>0</v>
      </c>
      <c r="T4658">
        <f>Data!N4674</f>
        <v>0</v>
      </c>
      <c r="U4658">
        <f>Data!O4674</f>
        <v>0</v>
      </c>
      <c r="V4658" s="33">
        <f>Data!P4672</f>
        <v>0</v>
      </c>
    </row>
    <row r="4659" spans="7:22" x14ac:dyDescent="0.25">
      <c r="G4659">
        <f>Data!B4671</f>
        <v>0</v>
      </c>
      <c r="H4659" s="21">
        <f>Data!B4671</f>
        <v>0</v>
      </c>
      <c r="I4659" s="21">
        <f>Data!C4671</f>
        <v>0</v>
      </c>
      <c r="J4659">
        <f>Data!D4671</f>
        <v>0</v>
      </c>
      <c r="K4659">
        <f>Data!E4671</f>
        <v>0</v>
      </c>
      <c r="L4659">
        <f>Data!F4671</f>
        <v>0</v>
      </c>
      <c r="M4659">
        <f>Data!G4671</f>
        <v>0</v>
      </c>
      <c r="N4659">
        <f>Data!H4671</f>
        <v>0</v>
      </c>
      <c r="O4659">
        <f>Data!I4671</f>
        <v>0</v>
      </c>
      <c r="P4659" s="21">
        <f>Data!J4675</f>
        <v>0</v>
      </c>
      <c r="Q4659">
        <f>Data!K4675</f>
        <v>0</v>
      </c>
      <c r="R4659">
        <f>Data!L4675</f>
        <v>0</v>
      </c>
      <c r="S4659">
        <f>Data!M4675</f>
        <v>0</v>
      </c>
      <c r="T4659">
        <f>Data!N4675</f>
        <v>0</v>
      </c>
      <c r="U4659">
        <f>Data!O4675</f>
        <v>0</v>
      </c>
      <c r="V4659" s="33">
        <f>Data!P4673</f>
        <v>0</v>
      </c>
    </row>
    <row r="4660" spans="7:22" x14ac:dyDescent="0.25">
      <c r="G4660">
        <f>Data!B4672</f>
        <v>0</v>
      </c>
      <c r="H4660" s="21">
        <f>Data!B4672</f>
        <v>0</v>
      </c>
      <c r="I4660" s="21">
        <f>Data!C4672</f>
        <v>0</v>
      </c>
      <c r="J4660">
        <f>Data!D4672</f>
        <v>0</v>
      </c>
      <c r="K4660">
        <f>Data!E4672</f>
        <v>0</v>
      </c>
      <c r="L4660">
        <f>Data!F4672</f>
        <v>0</v>
      </c>
      <c r="M4660">
        <f>Data!G4672</f>
        <v>0</v>
      </c>
      <c r="N4660">
        <f>Data!H4672</f>
        <v>0</v>
      </c>
      <c r="O4660">
        <f>Data!I4672</f>
        <v>0</v>
      </c>
      <c r="P4660" s="21">
        <f>Data!J4676</f>
        <v>0</v>
      </c>
      <c r="Q4660">
        <f>Data!K4676</f>
        <v>0</v>
      </c>
      <c r="R4660">
        <f>Data!L4676</f>
        <v>0</v>
      </c>
      <c r="S4660">
        <f>Data!M4676</f>
        <v>0</v>
      </c>
      <c r="T4660">
        <f>Data!N4676</f>
        <v>0</v>
      </c>
      <c r="U4660">
        <f>Data!O4676</f>
        <v>0</v>
      </c>
      <c r="V4660" s="33">
        <f>Data!P4674</f>
        <v>0</v>
      </c>
    </row>
    <row r="4661" spans="7:22" x14ac:dyDescent="0.25">
      <c r="G4661">
        <f>Data!B4673</f>
        <v>0</v>
      </c>
      <c r="H4661" s="21">
        <f>Data!B4673</f>
        <v>0</v>
      </c>
      <c r="I4661" s="21">
        <f>Data!C4673</f>
        <v>0</v>
      </c>
      <c r="J4661">
        <f>Data!D4673</f>
        <v>0</v>
      </c>
      <c r="K4661">
        <f>Data!E4673</f>
        <v>0</v>
      </c>
      <c r="L4661">
        <f>Data!F4673</f>
        <v>0</v>
      </c>
      <c r="M4661">
        <f>Data!G4673</f>
        <v>0</v>
      </c>
      <c r="N4661">
        <f>Data!H4673</f>
        <v>0</v>
      </c>
      <c r="O4661">
        <f>Data!I4673</f>
        <v>0</v>
      </c>
      <c r="P4661" s="21">
        <f>Data!J4677</f>
        <v>0</v>
      </c>
      <c r="Q4661">
        <f>Data!K4677</f>
        <v>0</v>
      </c>
      <c r="R4661">
        <f>Data!L4677</f>
        <v>0</v>
      </c>
      <c r="S4661">
        <f>Data!M4677</f>
        <v>0</v>
      </c>
      <c r="T4661">
        <f>Data!N4677</f>
        <v>0</v>
      </c>
      <c r="U4661">
        <f>Data!O4677</f>
        <v>0</v>
      </c>
      <c r="V4661" s="33">
        <f>Data!P4675</f>
        <v>0</v>
      </c>
    </row>
    <row r="4662" spans="7:22" x14ac:dyDescent="0.25">
      <c r="G4662">
        <f>Data!B4674</f>
        <v>0</v>
      </c>
      <c r="H4662" s="21">
        <f>Data!B4674</f>
        <v>0</v>
      </c>
      <c r="I4662" s="21">
        <f>Data!C4674</f>
        <v>0</v>
      </c>
      <c r="J4662">
        <f>Data!D4674</f>
        <v>0</v>
      </c>
      <c r="K4662">
        <f>Data!E4674</f>
        <v>0</v>
      </c>
      <c r="L4662">
        <f>Data!F4674</f>
        <v>0</v>
      </c>
      <c r="M4662">
        <f>Data!G4674</f>
        <v>0</v>
      </c>
      <c r="N4662">
        <f>Data!H4674</f>
        <v>0</v>
      </c>
      <c r="O4662">
        <f>Data!I4674</f>
        <v>0</v>
      </c>
      <c r="P4662" s="21">
        <f>Data!J4678</f>
        <v>0</v>
      </c>
      <c r="Q4662">
        <f>Data!K4678</f>
        <v>0</v>
      </c>
      <c r="R4662">
        <f>Data!L4678</f>
        <v>0</v>
      </c>
      <c r="S4662">
        <f>Data!M4678</f>
        <v>0</v>
      </c>
      <c r="T4662">
        <f>Data!N4678</f>
        <v>0</v>
      </c>
      <c r="U4662">
        <f>Data!O4678</f>
        <v>0</v>
      </c>
      <c r="V4662" s="33">
        <f>Data!P4676</f>
        <v>0</v>
      </c>
    </row>
    <row r="4663" spans="7:22" x14ac:dyDescent="0.25">
      <c r="G4663">
        <f>Data!B4675</f>
        <v>0</v>
      </c>
      <c r="H4663" s="21">
        <f>Data!B4675</f>
        <v>0</v>
      </c>
      <c r="I4663" s="21">
        <f>Data!C4675</f>
        <v>0</v>
      </c>
      <c r="J4663">
        <f>Data!D4675</f>
        <v>0</v>
      </c>
      <c r="K4663">
        <f>Data!E4675</f>
        <v>0</v>
      </c>
      <c r="L4663">
        <f>Data!F4675</f>
        <v>0</v>
      </c>
      <c r="M4663">
        <f>Data!G4675</f>
        <v>0</v>
      </c>
      <c r="N4663">
        <f>Data!H4675</f>
        <v>0</v>
      </c>
      <c r="O4663">
        <f>Data!I4675</f>
        <v>0</v>
      </c>
      <c r="P4663" s="21">
        <f>Data!J4679</f>
        <v>0</v>
      </c>
      <c r="Q4663">
        <f>Data!K4679</f>
        <v>0</v>
      </c>
      <c r="R4663">
        <f>Data!L4679</f>
        <v>0</v>
      </c>
      <c r="S4663">
        <f>Data!M4679</f>
        <v>0</v>
      </c>
      <c r="T4663">
        <f>Data!N4679</f>
        <v>0</v>
      </c>
      <c r="U4663">
        <f>Data!O4679</f>
        <v>0</v>
      </c>
      <c r="V4663" s="33">
        <f>Data!P4677</f>
        <v>0</v>
      </c>
    </row>
    <row r="4664" spans="7:22" x14ac:dyDescent="0.25">
      <c r="G4664">
        <f>Data!B4676</f>
        <v>0</v>
      </c>
      <c r="H4664" s="21">
        <f>Data!B4676</f>
        <v>0</v>
      </c>
      <c r="I4664" s="21">
        <f>Data!C4676</f>
        <v>0</v>
      </c>
      <c r="J4664">
        <f>Data!D4676</f>
        <v>0</v>
      </c>
      <c r="K4664">
        <f>Data!E4676</f>
        <v>0</v>
      </c>
      <c r="L4664">
        <f>Data!F4676</f>
        <v>0</v>
      </c>
      <c r="M4664">
        <f>Data!G4676</f>
        <v>0</v>
      </c>
      <c r="N4664">
        <f>Data!H4676</f>
        <v>0</v>
      </c>
      <c r="O4664">
        <f>Data!I4676</f>
        <v>0</v>
      </c>
      <c r="P4664" s="21">
        <f>Data!J4680</f>
        <v>0</v>
      </c>
      <c r="Q4664">
        <f>Data!K4680</f>
        <v>0</v>
      </c>
      <c r="R4664">
        <f>Data!L4680</f>
        <v>0</v>
      </c>
      <c r="S4664">
        <f>Data!M4680</f>
        <v>0</v>
      </c>
      <c r="T4664">
        <f>Data!N4680</f>
        <v>0</v>
      </c>
      <c r="U4664">
        <f>Data!O4680</f>
        <v>0</v>
      </c>
      <c r="V4664" s="33">
        <f>Data!P4678</f>
        <v>0</v>
      </c>
    </row>
    <row r="4665" spans="7:22" x14ac:dyDescent="0.25">
      <c r="G4665">
        <f>Data!B4677</f>
        <v>0</v>
      </c>
      <c r="H4665" s="21">
        <f>Data!B4677</f>
        <v>0</v>
      </c>
      <c r="I4665" s="21">
        <f>Data!C4677</f>
        <v>0</v>
      </c>
      <c r="J4665">
        <f>Data!D4677</f>
        <v>0</v>
      </c>
      <c r="K4665">
        <f>Data!E4677</f>
        <v>0</v>
      </c>
      <c r="L4665">
        <f>Data!F4677</f>
        <v>0</v>
      </c>
      <c r="M4665">
        <f>Data!G4677</f>
        <v>0</v>
      </c>
      <c r="N4665">
        <f>Data!H4677</f>
        <v>0</v>
      </c>
      <c r="O4665">
        <f>Data!I4677</f>
        <v>0</v>
      </c>
      <c r="P4665" s="21">
        <f>Data!J4681</f>
        <v>0</v>
      </c>
      <c r="Q4665">
        <f>Data!K4681</f>
        <v>0</v>
      </c>
      <c r="R4665">
        <f>Data!L4681</f>
        <v>0</v>
      </c>
      <c r="S4665">
        <f>Data!M4681</f>
        <v>0</v>
      </c>
      <c r="T4665">
        <f>Data!N4681</f>
        <v>0</v>
      </c>
      <c r="U4665">
        <f>Data!O4681</f>
        <v>0</v>
      </c>
      <c r="V4665" s="33">
        <f>Data!P4679</f>
        <v>0</v>
      </c>
    </row>
    <row r="4666" spans="7:22" x14ac:dyDescent="0.25">
      <c r="G4666">
        <f>Data!B4678</f>
        <v>0</v>
      </c>
      <c r="H4666" s="21">
        <f>Data!B4678</f>
        <v>0</v>
      </c>
      <c r="I4666" s="21">
        <f>Data!C4678</f>
        <v>0</v>
      </c>
      <c r="J4666">
        <f>Data!D4678</f>
        <v>0</v>
      </c>
      <c r="K4666">
        <f>Data!E4678</f>
        <v>0</v>
      </c>
      <c r="L4666">
        <f>Data!F4678</f>
        <v>0</v>
      </c>
      <c r="M4666">
        <f>Data!G4678</f>
        <v>0</v>
      </c>
      <c r="N4666">
        <f>Data!H4678</f>
        <v>0</v>
      </c>
      <c r="O4666">
        <f>Data!I4678</f>
        <v>0</v>
      </c>
      <c r="P4666" s="21">
        <f>Data!J4682</f>
        <v>0</v>
      </c>
      <c r="Q4666">
        <f>Data!K4682</f>
        <v>0</v>
      </c>
      <c r="R4666">
        <f>Data!L4682</f>
        <v>0</v>
      </c>
      <c r="S4666">
        <f>Data!M4682</f>
        <v>0</v>
      </c>
      <c r="T4666">
        <f>Data!N4682</f>
        <v>0</v>
      </c>
      <c r="U4666">
        <f>Data!O4682</f>
        <v>0</v>
      </c>
      <c r="V4666" s="33">
        <f>Data!P4680</f>
        <v>0</v>
      </c>
    </row>
    <row r="4667" spans="7:22" x14ac:dyDescent="0.25">
      <c r="G4667">
        <f>Data!B4679</f>
        <v>0</v>
      </c>
      <c r="H4667" s="21">
        <f>Data!B4679</f>
        <v>0</v>
      </c>
      <c r="I4667" s="21">
        <f>Data!C4679</f>
        <v>0</v>
      </c>
      <c r="J4667">
        <f>Data!D4679</f>
        <v>0</v>
      </c>
      <c r="K4667">
        <f>Data!E4679</f>
        <v>0</v>
      </c>
      <c r="L4667">
        <f>Data!F4679</f>
        <v>0</v>
      </c>
      <c r="M4667">
        <f>Data!G4679</f>
        <v>0</v>
      </c>
      <c r="N4667">
        <f>Data!H4679</f>
        <v>0</v>
      </c>
      <c r="O4667">
        <f>Data!I4679</f>
        <v>0</v>
      </c>
      <c r="P4667" s="21">
        <f>Data!J4683</f>
        <v>0</v>
      </c>
      <c r="Q4667">
        <f>Data!K4683</f>
        <v>0</v>
      </c>
      <c r="R4667">
        <f>Data!L4683</f>
        <v>0</v>
      </c>
      <c r="S4667">
        <f>Data!M4683</f>
        <v>0</v>
      </c>
      <c r="T4667">
        <f>Data!N4683</f>
        <v>0</v>
      </c>
      <c r="U4667">
        <f>Data!O4683</f>
        <v>0</v>
      </c>
      <c r="V4667" s="33">
        <f>Data!P4681</f>
        <v>0</v>
      </c>
    </row>
    <row r="4668" spans="7:22" x14ac:dyDescent="0.25">
      <c r="G4668">
        <f>Data!B4680</f>
        <v>0</v>
      </c>
      <c r="H4668" s="21">
        <f>Data!B4680</f>
        <v>0</v>
      </c>
      <c r="I4668" s="21">
        <f>Data!C4680</f>
        <v>0</v>
      </c>
      <c r="J4668">
        <f>Data!D4680</f>
        <v>0</v>
      </c>
      <c r="K4668">
        <f>Data!E4680</f>
        <v>0</v>
      </c>
      <c r="L4668">
        <f>Data!F4680</f>
        <v>0</v>
      </c>
      <c r="M4668">
        <f>Data!G4680</f>
        <v>0</v>
      </c>
      <c r="N4668">
        <f>Data!H4680</f>
        <v>0</v>
      </c>
      <c r="O4668">
        <f>Data!I4680</f>
        <v>0</v>
      </c>
      <c r="P4668" s="21">
        <f>Data!J4684</f>
        <v>0</v>
      </c>
      <c r="Q4668">
        <f>Data!K4684</f>
        <v>0</v>
      </c>
      <c r="R4668">
        <f>Data!L4684</f>
        <v>0</v>
      </c>
      <c r="S4668">
        <f>Data!M4684</f>
        <v>0</v>
      </c>
      <c r="T4668">
        <f>Data!N4684</f>
        <v>0</v>
      </c>
      <c r="U4668">
        <f>Data!O4684</f>
        <v>0</v>
      </c>
      <c r="V4668" s="33">
        <f>Data!P4682</f>
        <v>0</v>
      </c>
    </row>
    <row r="4669" spans="7:22" x14ac:dyDescent="0.25">
      <c r="G4669">
        <f>Data!B4681</f>
        <v>0</v>
      </c>
      <c r="H4669" s="21">
        <f>Data!B4681</f>
        <v>0</v>
      </c>
      <c r="I4669" s="21">
        <f>Data!C4681</f>
        <v>0</v>
      </c>
      <c r="J4669">
        <f>Data!D4681</f>
        <v>0</v>
      </c>
      <c r="K4669">
        <f>Data!E4681</f>
        <v>0</v>
      </c>
      <c r="L4669">
        <f>Data!F4681</f>
        <v>0</v>
      </c>
      <c r="M4669">
        <f>Data!G4681</f>
        <v>0</v>
      </c>
      <c r="N4669">
        <f>Data!H4681</f>
        <v>0</v>
      </c>
      <c r="O4669">
        <f>Data!I4681</f>
        <v>0</v>
      </c>
      <c r="P4669" s="21">
        <f>Data!J4685</f>
        <v>0</v>
      </c>
      <c r="Q4669">
        <f>Data!K4685</f>
        <v>0</v>
      </c>
      <c r="R4669">
        <f>Data!L4685</f>
        <v>0</v>
      </c>
      <c r="S4669">
        <f>Data!M4685</f>
        <v>0</v>
      </c>
      <c r="T4669">
        <f>Data!N4685</f>
        <v>0</v>
      </c>
      <c r="U4669">
        <f>Data!O4685</f>
        <v>0</v>
      </c>
      <c r="V4669" s="33">
        <f>Data!P4683</f>
        <v>0</v>
      </c>
    </row>
    <row r="4670" spans="7:22" x14ac:dyDescent="0.25">
      <c r="G4670">
        <f>Data!B4682</f>
        <v>0</v>
      </c>
      <c r="H4670" s="21">
        <f>Data!B4682</f>
        <v>0</v>
      </c>
      <c r="I4670" s="21">
        <f>Data!C4682</f>
        <v>0</v>
      </c>
      <c r="J4670">
        <f>Data!D4682</f>
        <v>0</v>
      </c>
      <c r="K4670">
        <f>Data!E4682</f>
        <v>0</v>
      </c>
      <c r="L4670">
        <f>Data!F4682</f>
        <v>0</v>
      </c>
      <c r="M4670">
        <f>Data!G4682</f>
        <v>0</v>
      </c>
      <c r="N4670">
        <f>Data!H4682</f>
        <v>0</v>
      </c>
      <c r="O4670">
        <f>Data!I4682</f>
        <v>0</v>
      </c>
      <c r="P4670" s="21">
        <f>Data!J4686</f>
        <v>0</v>
      </c>
      <c r="Q4670">
        <f>Data!K4686</f>
        <v>0</v>
      </c>
      <c r="R4670">
        <f>Data!L4686</f>
        <v>0</v>
      </c>
      <c r="S4670">
        <f>Data!M4686</f>
        <v>0</v>
      </c>
      <c r="T4670">
        <f>Data!N4686</f>
        <v>0</v>
      </c>
      <c r="U4670">
        <f>Data!O4686</f>
        <v>0</v>
      </c>
      <c r="V4670" s="33">
        <f>Data!P4684</f>
        <v>0</v>
      </c>
    </row>
    <row r="4671" spans="7:22" x14ac:dyDescent="0.25">
      <c r="G4671">
        <f>Data!B4683</f>
        <v>0</v>
      </c>
      <c r="H4671" s="21">
        <f>Data!B4683</f>
        <v>0</v>
      </c>
      <c r="I4671" s="21">
        <f>Data!C4683</f>
        <v>0</v>
      </c>
      <c r="J4671">
        <f>Data!D4683</f>
        <v>0</v>
      </c>
      <c r="K4671">
        <f>Data!E4683</f>
        <v>0</v>
      </c>
      <c r="L4671">
        <f>Data!F4683</f>
        <v>0</v>
      </c>
      <c r="M4671">
        <f>Data!G4683</f>
        <v>0</v>
      </c>
      <c r="N4671">
        <f>Data!H4683</f>
        <v>0</v>
      </c>
      <c r="O4671">
        <f>Data!I4683</f>
        <v>0</v>
      </c>
      <c r="P4671" s="21">
        <f>Data!J4687</f>
        <v>0</v>
      </c>
      <c r="Q4671">
        <f>Data!K4687</f>
        <v>0</v>
      </c>
      <c r="R4671">
        <f>Data!L4687</f>
        <v>0</v>
      </c>
      <c r="S4671">
        <f>Data!M4687</f>
        <v>0</v>
      </c>
      <c r="T4671">
        <f>Data!N4687</f>
        <v>0</v>
      </c>
      <c r="U4671">
        <f>Data!O4687</f>
        <v>0</v>
      </c>
      <c r="V4671" s="33">
        <f>Data!P4685</f>
        <v>0</v>
      </c>
    </row>
    <row r="4672" spans="7:22" x14ac:dyDescent="0.25">
      <c r="G4672">
        <f>Data!B4684</f>
        <v>0</v>
      </c>
      <c r="H4672" s="21">
        <f>Data!B4684</f>
        <v>0</v>
      </c>
      <c r="I4672" s="21">
        <f>Data!C4684</f>
        <v>0</v>
      </c>
      <c r="J4672">
        <f>Data!D4684</f>
        <v>0</v>
      </c>
      <c r="K4672">
        <f>Data!E4684</f>
        <v>0</v>
      </c>
      <c r="L4672">
        <f>Data!F4684</f>
        <v>0</v>
      </c>
      <c r="M4672">
        <f>Data!G4684</f>
        <v>0</v>
      </c>
      <c r="N4672">
        <f>Data!H4684</f>
        <v>0</v>
      </c>
      <c r="O4672">
        <f>Data!I4684</f>
        <v>0</v>
      </c>
      <c r="P4672" s="21">
        <f>Data!J4688</f>
        <v>0</v>
      </c>
      <c r="Q4672">
        <f>Data!K4688</f>
        <v>0</v>
      </c>
      <c r="R4672">
        <f>Data!L4688</f>
        <v>0</v>
      </c>
      <c r="S4672">
        <f>Data!M4688</f>
        <v>0</v>
      </c>
      <c r="T4672">
        <f>Data!N4688</f>
        <v>0</v>
      </c>
      <c r="U4672">
        <f>Data!O4688</f>
        <v>0</v>
      </c>
      <c r="V4672" s="33">
        <f>Data!P4686</f>
        <v>0</v>
      </c>
    </row>
    <row r="4673" spans="7:22" x14ac:dyDescent="0.25">
      <c r="G4673">
        <f>Data!B4685</f>
        <v>0</v>
      </c>
      <c r="H4673" s="21">
        <f>Data!B4685</f>
        <v>0</v>
      </c>
      <c r="I4673" s="21">
        <f>Data!C4685</f>
        <v>0</v>
      </c>
      <c r="J4673">
        <f>Data!D4685</f>
        <v>0</v>
      </c>
      <c r="K4673">
        <f>Data!E4685</f>
        <v>0</v>
      </c>
      <c r="L4673">
        <f>Data!F4685</f>
        <v>0</v>
      </c>
      <c r="M4673">
        <f>Data!G4685</f>
        <v>0</v>
      </c>
      <c r="N4673">
        <f>Data!H4685</f>
        <v>0</v>
      </c>
      <c r="O4673">
        <f>Data!I4685</f>
        <v>0</v>
      </c>
      <c r="P4673" s="21">
        <f>Data!J4689</f>
        <v>0</v>
      </c>
      <c r="Q4673">
        <f>Data!K4689</f>
        <v>0</v>
      </c>
      <c r="R4673">
        <f>Data!L4689</f>
        <v>0</v>
      </c>
      <c r="S4673">
        <f>Data!M4689</f>
        <v>0</v>
      </c>
      <c r="T4673">
        <f>Data!N4689</f>
        <v>0</v>
      </c>
      <c r="U4673">
        <f>Data!O4689</f>
        <v>0</v>
      </c>
      <c r="V4673" s="33">
        <f>Data!P4687</f>
        <v>0</v>
      </c>
    </row>
    <row r="4674" spans="7:22" x14ac:dyDescent="0.25">
      <c r="G4674">
        <f>Data!B4686</f>
        <v>0</v>
      </c>
      <c r="H4674" s="21">
        <f>Data!B4686</f>
        <v>0</v>
      </c>
      <c r="I4674" s="21">
        <f>Data!C4686</f>
        <v>0</v>
      </c>
      <c r="J4674">
        <f>Data!D4686</f>
        <v>0</v>
      </c>
      <c r="K4674">
        <f>Data!E4686</f>
        <v>0</v>
      </c>
      <c r="L4674">
        <f>Data!F4686</f>
        <v>0</v>
      </c>
      <c r="M4674">
        <f>Data!G4686</f>
        <v>0</v>
      </c>
      <c r="N4674">
        <f>Data!H4686</f>
        <v>0</v>
      </c>
      <c r="O4674">
        <f>Data!I4686</f>
        <v>0</v>
      </c>
      <c r="P4674" s="21">
        <f>Data!J4690</f>
        <v>0</v>
      </c>
      <c r="Q4674">
        <f>Data!K4690</f>
        <v>0</v>
      </c>
      <c r="R4674">
        <f>Data!L4690</f>
        <v>0</v>
      </c>
      <c r="S4674">
        <f>Data!M4690</f>
        <v>0</v>
      </c>
      <c r="T4674">
        <f>Data!N4690</f>
        <v>0</v>
      </c>
      <c r="U4674">
        <f>Data!O4690</f>
        <v>0</v>
      </c>
      <c r="V4674" s="33">
        <f>Data!P4688</f>
        <v>0</v>
      </c>
    </row>
    <row r="4675" spans="7:22" x14ac:dyDescent="0.25">
      <c r="G4675">
        <f>Data!B4687</f>
        <v>0</v>
      </c>
      <c r="H4675" s="21">
        <f>Data!B4687</f>
        <v>0</v>
      </c>
      <c r="I4675" s="21">
        <f>Data!C4687</f>
        <v>0</v>
      </c>
      <c r="J4675">
        <f>Data!D4687</f>
        <v>0</v>
      </c>
      <c r="K4675">
        <f>Data!E4687</f>
        <v>0</v>
      </c>
      <c r="L4675">
        <f>Data!F4687</f>
        <v>0</v>
      </c>
      <c r="M4675">
        <f>Data!G4687</f>
        <v>0</v>
      </c>
      <c r="N4675">
        <f>Data!H4687</f>
        <v>0</v>
      </c>
      <c r="O4675">
        <f>Data!I4687</f>
        <v>0</v>
      </c>
      <c r="P4675" s="21">
        <f>Data!J4691</f>
        <v>0</v>
      </c>
      <c r="Q4675">
        <f>Data!K4691</f>
        <v>0</v>
      </c>
      <c r="R4675">
        <f>Data!L4691</f>
        <v>0</v>
      </c>
      <c r="S4675">
        <f>Data!M4691</f>
        <v>0</v>
      </c>
      <c r="T4675">
        <f>Data!N4691</f>
        <v>0</v>
      </c>
      <c r="U4675">
        <f>Data!O4691</f>
        <v>0</v>
      </c>
      <c r="V4675" s="33">
        <f>Data!P4689</f>
        <v>0</v>
      </c>
    </row>
    <row r="4676" spans="7:22" x14ac:dyDescent="0.25">
      <c r="G4676">
        <f>Data!B4688</f>
        <v>0</v>
      </c>
      <c r="H4676" s="21">
        <f>Data!B4688</f>
        <v>0</v>
      </c>
      <c r="I4676" s="21">
        <f>Data!C4688</f>
        <v>0</v>
      </c>
      <c r="J4676">
        <f>Data!D4688</f>
        <v>0</v>
      </c>
      <c r="K4676">
        <f>Data!E4688</f>
        <v>0</v>
      </c>
      <c r="L4676">
        <f>Data!F4688</f>
        <v>0</v>
      </c>
      <c r="M4676">
        <f>Data!G4688</f>
        <v>0</v>
      </c>
      <c r="N4676">
        <f>Data!H4688</f>
        <v>0</v>
      </c>
      <c r="O4676">
        <f>Data!I4688</f>
        <v>0</v>
      </c>
      <c r="P4676" s="21">
        <f>Data!J4692</f>
        <v>0</v>
      </c>
      <c r="Q4676">
        <f>Data!K4692</f>
        <v>0</v>
      </c>
      <c r="R4676">
        <f>Data!L4692</f>
        <v>0</v>
      </c>
      <c r="S4676">
        <f>Data!M4692</f>
        <v>0</v>
      </c>
      <c r="T4676">
        <f>Data!N4692</f>
        <v>0</v>
      </c>
      <c r="U4676">
        <f>Data!O4692</f>
        <v>0</v>
      </c>
      <c r="V4676" s="33">
        <f>Data!P4690</f>
        <v>0</v>
      </c>
    </row>
    <row r="4677" spans="7:22" x14ac:dyDescent="0.25">
      <c r="G4677">
        <f>Data!B4689</f>
        <v>0</v>
      </c>
      <c r="H4677" s="21">
        <f>Data!B4689</f>
        <v>0</v>
      </c>
      <c r="I4677" s="21">
        <f>Data!C4689</f>
        <v>0</v>
      </c>
      <c r="J4677">
        <f>Data!D4689</f>
        <v>0</v>
      </c>
      <c r="K4677">
        <f>Data!E4689</f>
        <v>0</v>
      </c>
      <c r="L4677">
        <f>Data!F4689</f>
        <v>0</v>
      </c>
      <c r="M4677">
        <f>Data!G4689</f>
        <v>0</v>
      </c>
      <c r="N4677">
        <f>Data!H4689</f>
        <v>0</v>
      </c>
      <c r="O4677">
        <f>Data!I4689</f>
        <v>0</v>
      </c>
      <c r="P4677" s="21">
        <f>Data!J4693</f>
        <v>0</v>
      </c>
      <c r="Q4677">
        <f>Data!K4693</f>
        <v>0</v>
      </c>
      <c r="R4677">
        <f>Data!L4693</f>
        <v>0</v>
      </c>
      <c r="S4677">
        <f>Data!M4693</f>
        <v>0</v>
      </c>
      <c r="T4677">
        <f>Data!N4693</f>
        <v>0</v>
      </c>
      <c r="U4677">
        <f>Data!O4693</f>
        <v>0</v>
      </c>
      <c r="V4677" s="33">
        <f>Data!P4691</f>
        <v>0</v>
      </c>
    </row>
    <row r="4678" spans="7:22" x14ac:dyDescent="0.25">
      <c r="G4678">
        <f>Data!B4690</f>
        <v>0</v>
      </c>
      <c r="H4678" s="21">
        <f>Data!B4690</f>
        <v>0</v>
      </c>
      <c r="I4678" s="21">
        <f>Data!C4690</f>
        <v>0</v>
      </c>
      <c r="J4678">
        <f>Data!D4690</f>
        <v>0</v>
      </c>
      <c r="K4678">
        <f>Data!E4690</f>
        <v>0</v>
      </c>
      <c r="L4678">
        <f>Data!F4690</f>
        <v>0</v>
      </c>
      <c r="M4678">
        <f>Data!G4690</f>
        <v>0</v>
      </c>
      <c r="N4678">
        <f>Data!H4690</f>
        <v>0</v>
      </c>
      <c r="O4678">
        <f>Data!I4690</f>
        <v>0</v>
      </c>
      <c r="P4678" s="21">
        <f>Data!J4694</f>
        <v>0</v>
      </c>
      <c r="Q4678">
        <f>Data!K4694</f>
        <v>0</v>
      </c>
      <c r="R4678">
        <f>Data!L4694</f>
        <v>0</v>
      </c>
      <c r="S4678">
        <f>Data!M4694</f>
        <v>0</v>
      </c>
      <c r="T4678">
        <f>Data!N4694</f>
        <v>0</v>
      </c>
      <c r="U4678">
        <f>Data!O4694</f>
        <v>0</v>
      </c>
      <c r="V4678" s="33">
        <f>Data!P4692</f>
        <v>0</v>
      </c>
    </row>
    <row r="4679" spans="7:22" x14ac:dyDescent="0.25">
      <c r="G4679">
        <f>Data!B4691</f>
        <v>0</v>
      </c>
      <c r="H4679" s="21">
        <f>Data!B4691</f>
        <v>0</v>
      </c>
      <c r="I4679" s="21">
        <f>Data!C4691</f>
        <v>0</v>
      </c>
      <c r="J4679">
        <f>Data!D4691</f>
        <v>0</v>
      </c>
      <c r="K4679">
        <f>Data!E4691</f>
        <v>0</v>
      </c>
      <c r="L4679">
        <f>Data!F4691</f>
        <v>0</v>
      </c>
      <c r="M4679">
        <f>Data!G4691</f>
        <v>0</v>
      </c>
      <c r="N4679">
        <f>Data!H4691</f>
        <v>0</v>
      </c>
      <c r="O4679">
        <f>Data!I4691</f>
        <v>0</v>
      </c>
      <c r="P4679" s="21">
        <f>Data!J4695</f>
        <v>0</v>
      </c>
      <c r="Q4679">
        <f>Data!K4695</f>
        <v>0</v>
      </c>
      <c r="R4679">
        <f>Data!L4695</f>
        <v>0</v>
      </c>
      <c r="S4679">
        <f>Data!M4695</f>
        <v>0</v>
      </c>
      <c r="T4679">
        <f>Data!N4695</f>
        <v>0</v>
      </c>
      <c r="U4679">
        <f>Data!O4695</f>
        <v>0</v>
      </c>
      <c r="V4679" s="33">
        <f>Data!P4693</f>
        <v>0</v>
      </c>
    </row>
    <row r="4680" spans="7:22" x14ac:dyDescent="0.25">
      <c r="G4680">
        <f>Data!B4692</f>
        <v>0</v>
      </c>
      <c r="H4680" s="21">
        <f>Data!B4692</f>
        <v>0</v>
      </c>
      <c r="I4680" s="21">
        <f>Data!C4692</f>
        <v>0</v>
      </c>
      <c r="J4680">
        <f>Data!D4692</f>
        <v>0</v>
      </c>
      <c r="K4680">
        <f>Data!E4692</f>
        <v>0</v>
      </c>
      <c r="L4680">
        <f>Data!F4692</f>
        <v>0</v>
      </c>
      <c r="M4680">
        <f>Data!G4692</f>
        <v>0</v>
      </c>
      <c r="N4680">
        <f>Data!H4692</f>
        <v>0</v>
      </c>
      <c r="O4680">
        <f>Data!I4692</f>
        <v>0</v>
      </c>
      <c r="P4680" s="21">
        <f>Data!J4696</f>
        <v>0</v>
      </c>
      <c r="Q4680">
        <f>Data!K4696</f>
        <v>0</v>
      </c>
      <c r="R4680">
        <f>Data!L4696</f>
        <v>0</v>
      </c>
      <c r="S4680">
        <f>Data!M4696</f>
        <v>0</v>
      </c>
      <c r="T4680">
        <f>Data!N4696</f>
        <v>0</v>
      </c>
      <c r="U4680">
        <f>Data!O4696</f>
        <v>0</v>
      </c>
      <c r="V4680" s="33">
        <f>Data!P4694</f>
        <v>0</v>
      </c>
    </row>
    <row r="4681" spans="7:22" x14ac:dyDescent="0.25">
      <c r="G4681">
        <f>Data!B4693</f>
        <v>0</v>
      </c>
      <c r="H4681" s="21">
        <f>Data!B4693</f>
        <v>0</v>
      </c>
      <c r="I4681" s="21">
        <f>Data!C4693</f>
        <v>0</v>
      </c>
      <c r="J4681">
        <f>Data!D4693</f>
        <v>0</v>
      </c>
      <c r="K4681">
        <f>Data!E4693</f>
        <v>0</v>
      </c>
      <c r="L4681">
        <f>Data!F4693</f>
        <v>0</v>
      </c>
      <c r="M4681">
        <f>Data!G4693</f>
        <v>0</v>
      </c>
      <c r="N4681">
        <f>Data!H4693</f>
        <v>0</v>
      </c>
      <c r="O4681">
        <f>Data!I4693</f>
        <v>0</v>
      </c>
      <c r="P4681" s="21">
        <f>Data!J4697</f>
        <v>0</v>
      </c>
      <c r="Q4681">
        <f>Data!K4697</f>
        <v>0</v>
      </c>
      <c r="R4681">
        <f>Data!L4697</f>
        <v>0</v>
      </c>
      <c r="S4681">
        <f>Data!M4697</f>
        <v>0</v>
      </c>
      <c r="T4681">
        <f>Data!N4697</f>
        <v>0</v>
      </c>
      <c r="U4681">
        <f>Data!O4697</f>
        <v>0</v>
      </c>
      <c r="V4681" s="33">
        <f>Data!P4695</f>
        <v>0</v>
      </c>
    </row>
    <row r="4682" spans="7:22" x14ac:dyDescent="0.25">
      <c r="G4682">
        <f>Data!B4694</f>
        <v>0</v>
      </c>
      <c r="H4682" s="21">
        <f>Data!B4694</f>
        <v>0</v>
      </c>
      <c r="I4682" s="21">
        <f>Data!C4694</f>
        <v>0</v>
      </c>
      <c r="J4682">
        <f>Data!D4694</f>
        <v>0</v>
      </c>
      <c r="K4682">
        <f>Data!E4694</f>
        <v>0</v>
      </c>
      <c r="L4682">
        <f>Data!F4694</f>
        <v>0</v>
      </c>
      <c r="M4682">
        <f>Data!G4694</f>
        <v>0</v>
      </c>
      <c r="N4682">
        <f>Data!H4694</f>
        <v>0</v>
      </c>
      <c r="O4682">
        <f>Data!I4694</f>
        <v>0</v>
      </c>
      <c r="P4682" s="21">
        <f>Data!J4698</f>
        <v>0</v>
      </c>
      <c r="Q4682">
        <f>Data!K4698</f>
        <v>0</v>
      </c>
      <c r="R4682">
        <f>Data!L4698</f>
        <v>0</v>
      </c>
      <c r="S4682">
        <f>Data!M4698</f>
        <v>0</v>
      </c>
      <c r="T4682">
        <f>Data!N4698</f>
        <v>0</v>
      </c>
      <c r="U4682">
        <f>Data!O4698</f>
        <v>0</v>
      </c>
      <c r="V4682" s="33">
        <f>Data!P4696</f>
        <v>0</v>
      </c>
    </row>
    <row r="4683" spans="7:22" x14ac:dyDescent="0.25">
      <c r="G4683">
        <f>Data!B4695</f>
        <v>0</v>
      </c>
      <c r="H4683" s="21">
        <f>Data!B4695</f>
        <v>0</v>
      </c>
      <c r="I4683" s="21">
        <f>Data!C4695</f>
        <v>0</v>
      </c>
      <c r="J4683">
        <f>Data!D4695</f>
        <v>0</v>
      </c>
      <c r="K4683">
        <f>Data!E4695</f>
        <v>0</v>
      </c>
      <c r="L4683">
        <f>Data!F4695</f>
        <v>0</v>
      </c>
      <c r="M4683">
        <f>Data!G4695</f>
        <v>0</v>
      </c>
      <c r="N4683">
        <f>Data!H4695</f>
        <v>0</v>
      </c>
      <c r="O4683">
        <f>Data!I4695</f>
        <v>0</v>
      </c>
      <c r="P4683" s="21">
        <f>Data!J4699</f>
        <v>0</v>
      </c>
      <c r="Q4683">
        <f>Data!K4699</f>
        <v>0</v>
      </c>
      <c r="R4683">
        <f>Data!L4699</f>
        <v>0</v>
      </c>
      <c r="S4683">
        <f>Data!M4699</f>
        <v>0</v>
      </c>
      <c r="T4683">
        <f>Data!N4699</f>
        <v>0</v>
      </c>
      <c r="U4683">
        <f>Data!O4699</f>
        <v>0</v>
      </c>
      <c r="V4683" s="33">
        <f>Data!P4697</f>
        <v>0</v>
      </c>
    </row>
    <row r="4684" spans="7:22" x14ac:dyDescent="0.25">
      <c r="G4684">
        <f>Data!B4696</f>
        <v>0</v>
      </c>
      <c r="H4684" s="21">
        <f>Data!B4696</f>
        <v>0</v>
      </c>
      <c r="I4684" s="21">
        <f>Data!C4696</f>
        <v>0</v>
      </c>
      <c r="J4684">
        <f>Data!D4696</f>
        <v>0</v>
      </c>
      <c r="K4684">
        <f>Data!E4696</f>
        <v>0</v>
      </c>
      <c r="L4684">
        <f>Data!F4696</f>
        <v>0</v>
      </c>
      <c r="M4684">
        <f>Data!G4696</f>
        <v>0</v>
      </c>
      <c r="N4684">
        <f>Data!H4696</f>
        <v>0</v>
      </c>
      <c r="O4684">
        <f>Data!I4696</f>
        <v>0</v>
      </c>
      <c r="P4684" s="21">
        <f>Data!J4700</f>
        <v>0</v>
      </c>
      <c r="Q4684">
        <f>Data!K4700</f>
        <v>0</v>
      </c>
      <c r="R4684">
        <f>Data!L4700</f>
        <v>0</v>
      </c>
      <c r="S4684">
        <f>Data!M4700</f>
        <v>0</v>
      </c>
      <c r="T4684">
        <f>Data!N4700</f>
        <v>0</v>
      </c>
      <c r="U4684">
        <f>Data!O4700</f>
        <v>0</v>
      </c>
      <c r="V4684" s="33">
        <f>Data!P4698</f>
        <v>0</v>
      </c>
    </row>
    <row r="4685" spans="7:22" x14ac:dyDescent="0.25">
      <c r="G4685">
        <f>Data!B4697</f>
        <v>0</v>
      </c>
      <c r="H4685" s="21">
        <f>Data!B4697</f>
        <v>0</v>
      </c>
      <c r="I4685" s="21">
        <f>Data!C4697</f>
        <v>0</v>
      </c>
      <c r="J4685">
        <f>Data!D4697</f>
        <v>0</v>
      </c>
      <c r="K4685">
        <f>Data!E4697</f>
        <v>0</v>
      </c>
      <c r="L4685">
        <f>Data!F4697</f>
        <v>0</v>
      </c>
      <c r="M4685">
        <f>Data!G4697</f>
        <v>0</v>
      </c>
      <c r="N4685">
        <f>Data!H4697</f>
        <v>0</v>
      </c>
      <c r="O4685">
        <f>Data!I4697</f>
        <v>0</v>
      </c>
      <c r="P4685" s="21">
        <f>Data!J4701</f>
        <v>0</v>
      </c>
      <c r="Q4685">
        <f>Data!K4701</f>
        <v>0</v>
      </c>
      <c r="R4685">
        <f>Data!L4701</f>
        <v>0</v>
      </c>
      <c r="S4685">
        <f>Data!M4701</f>
        <v>0</v>
      </c>
      <c r="T4685">
        <f>Data!N4701</f>
        <v>0</v>
      </c>
      <c r="U4685">
        <f>Data!O4701</f>
        <v>0</v>
      </c>
      <c r="V4685" s="33">
        <f>Data!P4699</f>
        <v>0</v>
      </c>
    </row>
    <row r="4686" spans="7:22" x14ac:dyDescent="0.25">
      <c r="G4686">
        <f>Data!B4698</f>
        <v>0</v>
      </c>
      <c r="H4686" s="21">
        <f>Data!B4698</f>
        <v>0</v>
      </c>
      <c r="I4686" s="21">
        <f>Data!C4698</f>
        <v>0</v>
      </c>
      <c r="J4686">
        <f>Data!D4698</f>
        <v>0</v>
      </c>
      <c r="K4686">
        <f>Data!E4698</f>
        <v>0</v>
      </c>
      <c r="L4686">
        <f>Data!F4698</f>
        <v>0</v>
      </c>
      <c r="M4686">
        <f>Data!G4698</f>
        <v>0</v>
      </c>
      <c r="N4686">
        <f>Data!H4698</f>
        <v>0</v>
      </c>
      <c r="O4686">
        <f>Data!I4698</f>
        <v>0</v>
      </c>
      <c r="P4686" s="21">
        <f>Data!J4702</f>
        <v>0</v>
      </c>
      <c r="Q4686">
        <f>Data!K4702</f>
        <v>0</v>
      </c>
      <c r="R4686">
        <f>Data!L4702</f>
        <v>0</v>
      </c>
      <c r="S4686">
        <f>Data!M4702</f>
        <v>0</v>
      </c>
      <c r="T4686">
        <f>Data!N4702</f>
        <v>0</v>
      </c>
      <c r="U4686">
        <f>Data!O4702</f>
        <v>0</v>
      </c>
      <c r="V4686" s="33">
        <f>Data!P4700</f>
        <v>0</v>
      </c>
    </row>
    <row r="4687" spans="7:22" x14ac:dyDescent="0.25">
      <c r="G4687">
        <f>Data!B4699</f>
        <v>0</v>
      </c>
      <c r="H4687" s="21">
        <f>Data!B4699</f>
        <v>0</v>
      </c>
      <c r="I4687" s="21">
        <f>Data!C4699</f>
        <v>0</v>
      </c>
      <c r="J4687">
        <f>Data!D4699</f>
        <v>0</v>
      </c>
      <c r="K4687">
        <f>Data!E4699</f>
        <v>0</v>
      </c>
      <c r="L4687">
        <f>Data!F4699</f>
        <v>0</v>
      </c>
      <c r="M4687">
        <f>Data!G4699</f>
        <v>0</v>
      </c>
      <c r="N4687">
        <f>Data!H4699</f>
        <v>0</v>
      </c>
      <c r="O4687">
        <f>Data!I4699</f>
        <v>0</v>
      </c>
      <c r="P4687" s="21">
        <f>Data!J4703</f>
        <v>0</v>
      </c>
      <c r="Q4687">
        <f>Data!K4703</f>
        <v>0</v>
      </c>
      <c r="R4687">
        <f>Data!L4703</f>
        <v>0</v>
      </c>
      <c r="S4687">
        <f>Data!M4703</f>
        <v>0</v>
      </c>
      <c r="T4687">
        <f>Data!N4703</f>
        <v>0</v>
      </c>
      <c r="U4687">
        <f>Data!O4703</f>
        <v>0</v>
      </c>
      <c r="V4687" s="33">
        <f>Data!P4701</f>
        <v>0</v>
      </c>
    </row>
    <row r="4688" spans="7:22" x14ac:dyDescent="0.25">
      <c r="G4688">
        <f>Data!B4700</f>
        <v>0</v>
      </c>
      <c r="H4688" s="21">
        <f>Data!B4700</f>
        <v>0</v>
      </c>
      <c r="I4688" s="21">
        <f>Data!C4700</f>
        <v>0</v>
      </c>
      <c r="J4688">
        <f>Data!D4700</f>
        <v>0</v>
      </c>
      <c r="K4688">
        <f>Data!E4700</f>
        <v>0</v>
      </c>
      <c r="L4688">
        <f>Data!F4700</f>
        <v>0</v>
      </c>
      <c r="M4688">
        <f>Data!G4700</f>
        <v>0</v>
      </c>
      <c r="N4688">
        <f>Data!H4700</f>
        <v>0</v>
      </c>
      <c r="O4688">
        <f>Data!I4700</f>
        <v>0</v>
      </c>
      <c r="P4688" s="21">
        <f>Data!J4704</f>
        <v>0</v>
      </c>
      <c r="Q4688">
        <f>Data!K4704</f>
        <v>0</v>
      </c>
      <c r="R4688">
        <f>Data!L4704</f>
        <v>0</v>
      </c>
      <c r="S4688">
        <f>Data!M4704</f>
        <v>0</v>
      </c>
      <c r="T4688">
        <f>Data!N4704</f>
        <v>0</v>
      </c>
      <c r="U4688">
        <f>Data!O4704</f>
        <v>0</v>
      </c>
      <c r="V4688" s="33">
        <f>Data!P4702</f>
        <v>0</v>
      </c>
    </row>
    <row r="4689" spans="7:22" x14ac:dyDescent="0.25">
      <c r="G4689">
        <f>Data!B4701</f>
        <v>0</v>
      </c>
      <c r="H4689" s="21">
        <f>Data!B4701</f>
        <v>0</v>
      </c>
      <c r="I4689" s="21">
        <f>Data!C4701</f>
        <v>0</v>
      </c>
      <c r="J4689">
        <f>Data!D4701</f>
        <v>0</v>
      </c>
      <c r="K4689">
        <f>Data!E4701</f>
        <v>0</v>
      </c>
      <c r="L4689">
        <f>Data!F4701</f>
        <v>0</v>
      </c>
      <c r="M4689">
        <f>Data!G4701</f>
        <v>0</v>
      </c>
      <c r="N4689">
        <f>Data!H4701</f>
        <v>0</v>
      </c>
      <c r="O4689">
        <f>Data!I4701</f>
        <v>0</v>
      </c>
      <c r="P4689" s="21">
        <f>Data!J4705</f>
        <v>0</v>
      </c>
      <c r="Q4689">
        <f>Data!K4705</f>
        <v>0</v>
      </c>
      <c r="R4689">
        <f>Data!L4705</f>
        <v>0</v>
      </c>
      <c r="S4689">
        <f>Data!M4705</f>
        <v>0</v>
      </c>
      <c r="T4689">
        <f>Data!N4705</f>
        <v>0</v>
      </c>
      <c r="U4689">
        <f>Data!O4705</f>
        <v>0</v>
      </c>
      <c r="V4689" s="33">
        <f>Data!P4703</f>
        <v>0</v>
      </c>
    </row>
    <row r="4690" spans="7:22" x14ac:dyDescent="0.25">
      <c r="G4690">
        <f>Data!B4702</f>
        <v>0</v>
      </c>
      <c r="H4690" s="21">
        <f>Data!B4702</f>
        <v>0</v>
      </c>
      <c r="I4690" s="21">
        <f>Data!C4702</f>
        <v>0</v>
      </c>
      <c r="J4690">
        <f>Data!D4702</f>
        <v>0</v>
      </c>
      <c r="K4690">
        <f>Data!E4702</f>
        <v>0</v>
      </c>
      <c r="L4690">
        <f>Data!F4702</f>
        <v>0</v>
      </c>
      <c r="M4690">
        <f>Data!G4702</f>
        <v>0</v>
      </c>
      <c r="N4690">
        <f>Data!H4702</f>
        <v>0</v>
      </c>
      <c r="O4690">
        <f>Data!I4702</f>
        <v>0</v>
      </c>
      <c r="P4690" s="21">
        <f>Data!J4706</f>
        <v>0</v>
      </c>
      <c r="Q4690">
        <f>Data!K4706</f>
        <v>0</v>
      </c>
      <c r="R4690">
        <f>Data!L4706</f>
        <v>0</v>
      </c>
      <c r="S4690">
        <f>Data!M4706</f>
        <v>0</v>
      </c>
      <c r="T4690">
        <f>Data!N4706</f>
        <v>0</v>
      </c>
      <c r="U4690">
        <f>Data!O4706</f>
        <v>0</v>
      </c>
      <c r="V4690" s="33">
        <f>Data!P4704</f>
        <v>0</v>
      </c>
    </row>
    <row r="4691" spans="7:22" x14ac:dyDescent="0.25">
      <c r="G4691">
        <f>Data!B4703</f>
        <v>0</v>
      </c>
      <c r="H4691" s="21">
        <f>Data!B4703</f>
        <v>0</v>
      </c>
      <c r="I4691" s="21">
        <f>Data!C4703</f>
        <v>0</v>
      </c>
      <c r="J4691">
        <f>Data!D4703</f>
        <v>0</v>
      </c>
      <c r="K4691">
        <f>Data!E4703</f>
        <v>0</v>
      </c>
      <c r="L4691">
        <f>Data!F4703</f>
        <v>0</v>
      </c>
      <c r="M4691">
        <f>Data!G4703</f>
        <v>0</v>
      </c>
      <c r="N4691">
        <f>Data!H4703</f>
        <v>0</v>
      </c>
      <c r="O4691">
        <f>Data!I4703</f>
        <v>0</v>
      </c>
      <c r="P4691" s="21">
        <f>Data!J4707</f>
        <v>0</v>
      </c>
      <c r="Q4691">
        <f>Data!K4707</f>
        <v>0</v>
      </c>
      <c r="R4691">
        <f>Data!L4707</f>
        <v>0</v>
      </c>
      <c r="S4691">
        <f>Data!M4707</f>
        <v>0</v>
      </c>
      <c r="T4691">
        <f>Data!N4707</f>
        <v>0</v>
      </c>
      <c r="U4691">
        <f>Data!O4707</f>
        <v>0</v>
      </c>
      <c r="V4691" s="33">
        <f>Data!P4705</f>
        <v>0</v>
      </c>
    </row>
    <row r="4692" spans="7:22" x14ac:dyDescent="0.25">
      <c r="G4692">
        <f>Data!B4704</f>
        <v>0</v>
      </c>
      <c r="H4692" s="21">
        <f>Data!B4704</f>
        <v>0</v>
      </c>
      <c r="I4692" s="21">
        <f>Data!C4704</f>
        <v>0</v>
      </c>
      <c r="J4692">
        <f>Data!D4704</f>
        <v>0</v>
      </c>
      <c r="K4692">
        <f>Data!E4704</f>
        <v>0</v>
      </c>
      <c r="L4692">
        <f>Data!F4704</f>
        <v>0</v>
      </c>
      <c r="M4692">
        <f>Data!G4704</f>
        <v>0</v>
      </c>
      <c r="N4692">
        <f>Data!H4704</f>
        <v>0</v>
      </c>
      <c r="O4692">
        <f>Data!I4704</f>
        <v>0</v>
      </c>
      <c r="P4692" s="21">
        <f>Data!J4708</f>
        <v>0</v>
      </c>
      <c r="Q4692">
        <f>Data!K4708</f>
        <v>0</v>
      </c>
      <c r="R4692">
        <f>Data!L4708</f>
        <v>0</v>
      </c>
      <c r="S4692">
        <f>Data!M4708</f>
        <v>0</v>
      </c>
      <c r="T4692">
        <f>Data!N4708</f>
        <v>0</v>
      </c>
      <c r="U4692">
        <f>Data!O4708</f>
        <v>0</v>
      </c>
      <c r="V4692" s="33">
        <f>Data!P4706</f>
        <v>0</v>
      </c>
    </row>
    <row r="4693" spans="7:22" x14ac:dyDescent="0.25">
      <c r="G4693">
        <f>Data!B4705</f>
        <v>0</v>
      </c>
      <c r="H4693" s="21">
        <f>Data!B4705</f>
        <v>0</v>
      </c>
      <c r="I4693" s="21">
        <f>Data!C4705</f>
        <v>0</v>
      </c>
      <c r="J4693">
        <f>Data!D4705</f>
        <v>0</v>
      </c>
      <c r="K4693">
        <f>Data!E4705</f>
        <v>0</v>
      </c>
      <c r="L4693">
        <f>Data!F4705</f>
        <v>0</v>
      </c>
      <c r="M4693">
        <f>Data!G4705</f>
        <v>0</v>
      </c>
      <c r="N4693">
        <f>Data!H4705</f>
        <v>0</v>
      </c>
      <c r="O4693">
        <f>Data!I4705</f>
        <v>0</v>
      </c>
      <c r="P4693" s="21">
        <f>Data!J4709</f>
        <v>0</v>
      </c>
      <c r="Q4693">
        <f>Data!K4709</f>
        <v>0</v>
      </c>
      <c r="R4693">
        <f>Data!L4709</f>
        <v>0</v>
      </c>
      <c r="S4693">
        <f>Data!M4709</f>
        <v>0</v>
      </c>
      <c r="T4693">
        <f>Data!N4709</f>
        <v>0</v>
      </c>
      <c r="U4693">
        <f>Data!O4709</f>
        <v>0</v>
      </c>
      <c r="V4693" s="33">
        <f>Data!P4707</f>
        <v>0</v>
      </c>
    </row>
    <row r="4694" spans="7:22" x14ac:dyDescent="0.25">
      <c r="G4694">
        <f>Data!B4706</f>
        <v>0</v>
      </c>
      <c r="H4694" s="21">
        <f>Data!B4706</f>
        <v>0</v>
      </c>
      <c r="I4694" s="21">
        <f>Data!C4706</f>
        <v>0</v>
      </c>
      <c r="J4694">
        <f>Data!D4706</f>
        <v>0</v>
      </c>
      <c r="K4694">
        <f>Data!E4706</f>
        <v>0</v>
      </c>
      <c r="L4694">
        <f>Data!F4706</f>
        <v>0</v>
      </c>
      <c r="M4694">
        <f>Data!G4706</f>
        <v>0</v>
      </c>
      <c r="N4694">
        <f>Data!H4706</f>
        <v>0</v>
      </c>
      <c r="O4694">
        <f>Data!I4706</f>
        <v>0</v>
      </c>
      <c r="P4694" s="21">
        <f>Data!J4710</f>
        <v>0</v>
      </c>
      <c r="Q4694">
        <f>Data!K4710</f>
        <v>0</v>
      </c>
      <c r="R4694">
        <f>Data!L4710</f>
        <v>0</v>
      </c>
      <c r="S4694">
        <f>Data!M4710</f>
        <v>0</v>
      </c>
      <c r="T4694">
        <f>Data!N4710</f>
        <v>0</v>
      </c>
      <c r="U4694">
        <f>Data!O4710</f>
        <v>0</v>
      </c>
      <c r="V4694" s="33">
        <f>Data!P4708</f>
        <v>0</v>
      </c>
    </row>
    <row r="4695" spans="7:22" x14ac:dyDescent="0.25">
      <c r="G4695">
        <f>Data!B4707</f>
        <v>0</v>
      </c>
      <c r="H4695" s="21">
        <f>Data!B4707</f>
        <v>0</v>
      </c>
      <c r="I4695" s="21">
        <f>Data!C4707</f>
        <v>0</v>
      </c>
      <c r="J4695">
        <f>Data!D4707</f>
        <v>0</v>
      </c>
      <c r="K4695">
        <f>Data!E4707</f>
        <v>0</v>
      </c>
      <c r="L4695">
        <f>Data!F4707</f>
        <v>0</v>
      </c>
      <c r="M4695">
        <f>Data!G4707</f>
        <v>0</v>
      </c>
      <c r="N4695">
        <f>Data!H4707</f>
        <v>0</v>
      </c>
      <c r="O4695">
        <f>Data!I4707</f>
        <v>0</v>
      </c>
      <c r="P4695" s="21">
        <f>Data!J4711</f>
        <v>0</v>
      </c>
      <c r="Q4695">
        <f>Data!K4711</f>
        <v>0</v>
      </c>
      <c r="R4695">
        <f>Data!L4711</f>
        <v>0</v>
      </c>
      <c r="S4695">
        <f>Data!M4711</f>
        <v>0</v>
      </c>
      <c r="T4695">
        <f>Data!N4711</f>
        <v>0</v>
      </c>
      <c r="U4695">
        <f>Data!O4711</f>
        <v>0</v>
      </c>
      <c r="V4695" s="33">
        <f>Data!P4709</f>
        <v>0</v>
      </c>
    </row>
    <row r="4696" spans="7:22" x14ac:dyDescent="0.25">
      <c r="G4696">
        <f>Data!B4708</f>
        <v>0</v>
      </c>
      <c r="H4696" s="21">
        <f>Data!B4708</f>
        <v>0</v>
      </c>
      <c r="I4696" s="21">
        <f>Data!C4708</f>
        <v>0</v>
      </c>
      <c r="J4696">
        <f>Data!D4708</f>
        <v>0</v>
      </c>
      <c r="K4696">
        <f>Data!E4708</f>
        <v>0</v>
      </c>
      <c r="L4696">
        <f>Data!F4708</f>
        <v>0</v>
      </c>
      <c r="M4696">
        <f>Data!G4708</f>
        <v>0</v>
      </c>
      <c r="N4696">
        <f>Data!H4708</f>
        <v>0</v>
      </c>
      <c r="O4696">
        <f>Data!I4708</f>
        <v>0</v>
      </c>
      <c r="P4696" s="21">
        <f>Data!J4712</f>
        <v>0</v>
      </c>
      <c r="Q4696">
        <f>Data!K4712</f>
        <v>0</v>
      </c>
      <c r="R4696">
        <f>Data!L4712</f>
        <v>0</v>
      </c>
      <c r="S4696">
        <f>Data!M4712</f>
        <v>0</v>
      </c>
      <c r="T4696">
        <f>Data!N4712</f>
        <v>0</v>
      </c>
      <c r="U4696">
        <f>Data!O4712</f>
        <v>0</v>
      </c>
      <c r="V4696" s="33">
        <f>Data!P4710</f>
        <v>0</v>
      </c>
    </row>
    <row r="4697" spans="7:22" x14ac:dyDescent="0.25">
      <c r="G4697">
        <f>Data!B4709</f>
        <v>0</v>
      </c>
      <c r="H4697" s="21">
        <f>Data!B4709</f>
        <v>0</v>
      </c>
      <c r="I4697" s="21">
        <f>Data!C4709</f>
        <v>0</v>
      </c>
      <c r="J4697">
        <f>Data!D4709</f>
        <v>0</v>
      </c>
      <c r="K4697">
        <f>Data!E4709</f>
        <v>0</v>
      </c>
      <c r="L4697">
        <f>Data!F4709</f>
        <v>0</v>
      </c>
      <c r="M4697">
        <f>Data!G4709</f>
        <v>0</v>
      </c>
      <c r="N4697">
        <f>Data!H4709</f>
        <v>0</v>
      </c>
      <c r="O4697">
        <f>Data!I4709</f>
        <v>0</v>
      </c>
      <c r="P4697" s="21">
        <f>Data!J4713</f>
        <v>0</v>
      </c>
      <c r="Q4697">
        <f>Data!K4713</f>
        <v>0</v>
      </c>
      <c r="R4697">
        <f>Data!L4713</f>
        <v>0</v>
      </c>
      <c r="S4697">
        <f>Data!M4713</f>
        <v>0</v>
      </c>
      <c r="T4697">
        <f>Data!N4713</f>
        <v>0</v>
      </c>
      <c r="U4697">
        <f>Data!O4713</f>
        <v>0</v>
      </c>
      <c r="V4697" s="33">
        <f>Data!P4711</f>
        <v>0</v>
      </c>
    </row>
    <row r="4698" spans="7:22" x14ac:dyDescent="0.25">
      <c r="G4698">
        <f>Data!B4710</f>
        <v>0</v>
      </c>
      <c r="H4698" s="21">
        <f>Data!B4710</f>
        <v>0</v>
      </c>
      <c r="I4698" s="21">
        <f>Data!C4710</f>
        <v>0</v>
      </c>
      <c r="J4698">
        <f>Data!D4710</f>
        <v>0</v>
      </c>
      <c r="K4698">
        <f>Data!E4710</f>
        <v>0</v>
      </c>
      <c r="L4698">
        <f>Data!F4710</f>
        <v>0</v>
      </c>
      <c r="M4698">
        <f>Data!G4710</f>
        <v>0</v>
      </c>
      <c r="N4698">
        <f>Data!H4710</f>
        <v>0</v>
      </c>
      <c r="O4698">
        <f>Data!I4710</f>
        <v>0</v>
      </c>
      <c r="P4698" s="21">
        <f>Data!J4714</f>
        <v>0</v>
      </c>
      <c r="Q4698">
        <f>Data!K4714</f>
        <v>0</v>
      </c>
      <c r="R4698">
        <f>Data!L4714</f>
        <v>0</v>
      </c>
      <c r="S4698">
        <f>Data!M4714</f>
        <v>0</v>
      </c>
      <c r="T4698">
        <f>Data!N4714</f>
        <v>0</v>
      </c>
      <c r="U4698">
        <f>Data!O4714</f>
        <v>0</v>
      </c>
      <c r="V4698" s="33">
        <f>Data!P4712</f>
        <v>0</v>
      </c>
    </row>
    <row r="4699" spans="7:22" x14ac:dyDescent="0.25">
      <c r="G4699">
        <f>Data!B4711</f>
        <v>0</v>
      </c>
      <c r="H4699" s="21">
        <f>Data!B4711</f>
        <v>0</v>
      </c>
      <c r="I4699" s="21">
        <f>Data!C4711</f>
        <v>0</v>
      </c>
      <c r="J4699">
        <f>Data!D4711</f>
        <v>0</v>
      </c>
      <c r="K4699">
        <f>Data!E4711</f>
        <v>0</v>
      </c>
      <c r="L4699">
        <f>Data!F4711</f>
        <v>0</v>
      </c>
      <c r="M4699">
        <f>Data!G4711</f>
        <v>0</v>
      </c>
      <c r="N4699">
        <f>Data!H4711</f>
        <v>0</v>
      </c>
      <c r="O4699">
        <f>Data!I4711</f>
        <v>0</v>
      </c>
      <c r="P4699" s="21">
        <f>Data!J4715</f>
        <v>0</v>
      </c>
      <c r="Q4699">
        <f>Data!K4715</f>
        <v>0</v>
      </c>
      <c r="R4699">
        <f>Data!L4715</f>
        <v>0</v>
      </c>
      <c r="S4699">
        <f>Data!M4715</f>
        <v>0</v>
      </c>
      <c r="T4699">
        <f>Data!N4715</f>
        <v>0</v>
      </c>
      <c r="U4699">
        <f>Data!O4715</f>
        <v>0</v>
      </c>
      <c r="V4699" s="33">
        <f>Data!P4713</f>
        <v>0</v>
      </c>
    </row>
    <row r="4700" spans="7:22" x14ac:dyDescent="0.25">
      <c r="G4700">
        <f>Data!B4712</f>
        <v>0</v>
      </c>
      <c r="H4700" s="21">
        <f>Data!B4712</f>
        <v>0</v>
      </c>
      <c r="I4700" s="21">
        <f>Data!C4712</f>
        <v>0</v>
      </c>
      <c r="J4700">
        <f>Data!D4712</f>
        <v>0</v>
      </c>
      <c r="K4700">
        <f>Data!E4712</f>
        <v>0</v>
      </c>
      <c r="L4700">
        <f>Data!F4712</f>
        <v>0</v>
      </c>
      <c r="M4700">
        <f>Data!G4712</f>
        <v>0</v>
      </c>
      <c r="N4700">
        <f>Data!H4712</f>
        <v>0</v>
      </c>
      <c r="O4700">
        <f>Data!I4712</f>
        <v>0</v>
      </c>
      <c r="P4700" s="21">
        <f>Data!J4716</f>
        <v>0</v>
      </c>
      <c r="Q4700">
        <f>Data!K4716</f>
        <v>0</v>
      </c>
      <c r="R4700">
        <f>Data!L4716</f>
        <v>0</v>
      </c>
      <c r="S4700">
        <f>Data!M4716</f>
        <v>0</v>
      </c>
      <c r="T4700">
        <f>Data!N4716</f>
        <v>0</v>
      </c>
      <c r="U4700">
        <f>Data!O4716</f>
        <v>0</v>
      </c>
      <c r="V4700" s="33">
        <f>Data!P4714</f>
        <v>0</v>
      </c>
    </row>
    <row r="4701" spans="7:22" x14ac:dyDescent="0.25">
      <c r="G4701">
        <f>Data!B4713</f>
        <v>0</v>
      </c>
      <c r="H4701" s="21">
        <f>Data!B4713</f>
        <v>0</v>
      </c>
      <c r="I4701" s="21">
        <f>Data!C4713</f>
        <v>0</v>
      </c>
      <c r="J4701">
        <f>Data!D4713</f>
        <v>0</v>
      </c>
      <c r="K4701">
        <f>Data!E4713</f>
        <v>0</v>
      </c>
      <c r="L4701">
        <f>Data!F4713</f>
        <v>0</v>
      </c>
      <c r="M4701">
        <f>Data!G4713</f>
        <v>0</v>
      </c>
      <c r="N4701">
        <f>Data!H4713</f>
        <v>0</v>
      </c>
      <c r="O4701">
        <f>Data!I4713</f>
        <v>0</v>
      </c>
      <c r="P4701" s="21">
        <f>Data!J4717</f>
        <v>0</v>
      </c>
      <c r="Q4701">
        <f>Data!K4717</f>
        <v>0</v>
      </c>
      <c r="R4701">
        <f>Data!L4717</f>
        <v>0</v>
      </c>
      <c r="S4701">
        <f>Data!M4717</f>
        <v>0</v>
      </c>
      <c r="T4701">
        <f>Data!N4717</f>
        <v>0</v>
      </c>
      <c r="U4701">
        <f>Data!O4717</f>
        <v>0</v>
      </c>
      <c r="V4701" s="33">
        <f>Data!P4715</f>
        <v>0</v>
      </c>
    </row>
    <row r="4702" spans="7:22" x14ac:dyDescent="0.25">
      <c r="G4702">
        <f>Data!B4714</f>
        <v>0</v>
      </c>
      <c r="H4702" s="21">
        <f>Data!B4714</f>
        <v>0</v>
      </c>
      <c r="I4702" s="21">
        <f>Data!C4714</f>
        <v>0</v>
      </c>
      <c r="J4702">
        <f>Data!D4714</f>
        <v>0</v>
      </c>
      <c r="K4702">
        <f>Data!E4714</f>
        <v>0</v>
      </c>
      <c r="L4702">
        <f>Data!F4714</f>
        <v>0</v>
      </c>
      <c r="M4702">
        <f>Data!G4714</f>
        <v>0</v>
      </c>
      <c r="N4702">
        <f>Data!H4714</f>
        <v>0</v>
      </c>
      <c r="O4702">
        <f>Data!I4714</f>
        <v>0</v>
      </c>
      <c r="P4702" s="21">
        <f>Data!J4718</f>
        <v>0</v>
      </c>
      <c r="Q4702">
        <f>Data!K4718</f>
        <v>0</v>
      </c>
      <c r="R4702">
        <f>Data!L4718</f>
        <v>0</v>
      </c>
      <c r="S4702">
        <f>Data!M4718</f>
        <v>0</v>
      </c>
      <c r="T4702">
        <f>Data!N4718</f>
        <v>0</v>
      </c>
      <c r="U4702">
        <f>Data!O4718</f>
        <v>0</v>
      </c>
      <c r="V4702" s="33">
        <f>Data!P4716</f>
        <v>0</v>
      </c>
    </row>
    <row r="4703" spans="7:22" x14ac:dyDescent="0.25">
      <c r="G4703">
        <f>Data!B4715</f>
        <v>0</v>
      </c>
      <c r="H4703" s="21">
        <f>Data!B4715</f>
        <v>0</v>
      </c>
      <c r="I4703" s="21">
        <f>Data!C4715</f>
        <v>0</v>
      </c>
      <c r="J4703">
        <f>Data!D4715</f>
        <v>0</v>
      </c>
      <c r="K4703">
        <f>Data!E4715</f>
        <v>0</v>
      </c>
      <c r="L4703">
        <f>Data!F4715</f>
        <v>0</v>
      </c>
      <c r="M4703">
        <f>Data!G4715</f>
        <v>0</v>
      </c>
      <c r="N4703">
        <f>Data!H4715</f>
        <v>0</v>
      </c>
      <c r="O4703">
        <f>Data!I4715</f>
        <v>0</v>
      </c>
      <c r="P4703" s="21">
        <f>Data!J4719</f>
        <v>0</v>
      </c>
      <c r="Q4703">
        <f>Data!K4719</f>
        <v>0</v>
      </c>
      <c r="R4703">
        <f>Data!L4719</f>
        <v>0</v>
      </c>
      <c r="S4703">
        <f>Data!M4719</f>
        <v>0</v>
      </c>
      <c r="T4703">
        <f>Data!N4719</f>
        <v>0</v>
      </c>
      <c r="U4703">
        <f>Data!O4719</f>
        <v>0</v>
      </c>
      <c r="V4703" s="33">
        <f>Data!P4717</f>
        <v>0</v>
      </c>
    </row>
    <row r="4704" spans="7:22" x14ac:dyDescent="0.25">
      <c r="G4704">
        <f>Data!B4716</f>
        <v>0</v>
      </c>
      <c r="H4704" s="21">
        <f>Data!B4716</f>
        <v>0</v>
      </c>
      <c r="I4704" s="21">
        <f>Data!C4716</f>
        <v>0</v>
      </c>
      <c r="J4704">
        <f>Data!D4716</f>
        <v>0</v>
      </c>
      <c r="K4704">
        <f>Data!E4716</f>
        <v>0</v>
      </c>
      <c r="L4704">
        <f>Data!F4716</f>
        <v>0</v>
      </c>
      <c r="M4704">
        <f>Data!G4716</f>
        <v>0</v>
      </c>
      <c r="N4704">
        <f>Data!H4716</f>
        <v>0</v>
      </c>
      <c r="O4704">
        <f>Data!I4716</f>
        <v>0</v>
      </c>
      <c r="P4704" s="21">
        <f>Data!J4720</f>
        <v>0</v>
      </c>
      <c r="Q4704">
        <f>Data!K4720</f>
        <v>0</v>
      </c>
      <c r="R4704">
        <f>Data!L4720</f>
        <v>0</v>
      </c>
      <c r="S4704">
        <f>Data!M4720</f>
        <v>0</v>
      </c>
      <c r="T4704">
        <f>Data!N4720</f>
        <v>0</v>
      </c>
      <c r="U4704">
        <f>Data!O4720</f>
        <v>0</v>
      </c>
      <c r="V4704" s="33">
        <f>Data!P4718</f>
        <v>0</v>
      </c>
    </row>
    <row r="4705" spans="7:22" x14ac:dyDescent="0.25">
      <c r="G4705">
        <f>Data!B4717</f>
        <v>0</v>
      </c>
      <c r="H4705" s="21">
        <f>Data!B4717</f>
        <v>0</v>
      </c>
      <c r="I4705" s="21">
        <f>Data!C4717</f>
        <v>0</v>
      </c>
      <c r="J4705">
        <f>Data!D4717</f>
        <v>0</v>
      </c>
      <c r="K4705">
        <f>Data!E4717</f>
        <v>0</v>
      </c>
      <c r="L4705">
        <f>Data!F4717</f>
        <v>0</v>
      </c>
      <c r="M4705">
        <f>Data!G4717</f>
        <v>0</v>
      </c>
      <c r="N4705">
        <f>Data!H4717</f>
        <v>0</v>
      </c>
      <c r="O4705">
        <f>Data!I4717</f>
        <v>0</v>
      </c>
      <c r="P4705" s="21">
        <f>Data!J4721</f>
        <v>0</v>
      </c>
      <c r="Q4705">
        <f>Data!K4721</f>
        <v>0</v>
      </c>
      <c r="R4705">
        <f>Data!L4721</f>
        <v>0</v>
      </c>
      <c r="S4705">
        <f>Data!M4721</f>
        <v>0</v>
      </c>
      <c r="T4705">
        <f>Data!N4721</f>
        <v>0</v>
      </c>
      <c r="U4705">
        <f>Data!O4721</f>
        <v>0</v>
      </c>
      <c r="V4705" s="33">
        <f>Data!P4719</f>
        <v>0</v>
      </c>
    </row>
    <row r="4706" spans="7:22" x14ac:dyDescent="0.25">
      <c r="G4706">
        <f>Data!B4718</f>
        <v>0</v>
      </c>
      <c r="H4706" s="21">
        <f>Data!B4718</f>
        <v>0</v>
      </c>
      <c r="I4706" s="21">
        <f>Data!C4718</f>
        <v>0</v>
      </c>
      <c r="J4706">
        <f>Data!D4718</f>
        <v>0</v>
      </c>
      <c r="K4706">
        <f>Data!E4718</f>
        <v>0</v>
      </c>
      <c r="L4706">
        <f>Data!F4718</f>
        <v>0</v>
      </c>
      <c r="M4706">
        <f>Data!G4718</f>
        <v>0</v>
      </c>
      <c r="N4706">
        <f>Data!H4718</f>
        <v>0</v>
      </c>
      <c r="O4706">
        <f>Data!I4718</f>
        <v>0</v>
      </c>
      <c r="P4706" s="21">
        <f>Data!J4722</f>
        <v>0</v>
      </c>
      <c r="Q4706">
        <f>Data!K4722</f>
        <v>0</v>
      </c>
      <c r="R4706">
        <f>Data!L4722</f>
        <v>0</v>
      </c>
      <c r="S4706">
        <f>Data!M4722</f>
        <v>0</v>
      </c>
      <c r="T4706">
        <f>Data!N4722</f>
        <v>0</v>
      </c>
      <c r="U4706">
        <f>Data!O4722</f>
        <v>0</v>
      </c>
      <c r="V4706" s="33">
        <f>Data!P4720</f>
        <v>0</v>
      </c>
    </row>
    <row r="4707" spans="7:22" x14ac:dyDescent="0.25">
      <c r="G4707">
        <f>Data!B4719</f>
        <v>0</v>
      </c>
      <c r="H4707" s="21">
        <f>Data!B4719</f>
        <v>0</v>
      </c>
      <c r="I4707" s="21">
        <f>Data!C4719</f>
        <v>0</v>
      </c>
      <c r="J4707">
        <f>Data!D4719</f>
        <v>0</v>
      </c>
      <c r="K4707">
        <f>Data!E4719</f>
        <v>0</v>
      </c>
      <c r="L4707">
        <f>Data!F4719</f>
        <v>0</v>
      </c>
      <c r="M4707">
        <f>Data!G4719</f>
        <v>0</v>
      </c>
      <c r="N4707">
        <f>Data!H4719</f>
        <v>0</v>
      </c>
      <c r="O4707">
        <f>Data!I4719</f>
        <v>0</v>
      </c>
      <c r="P4707" s="21">
        <f>Data!J4723</f>
        <v>0</v>
      </c>
      <c r="Q4707">
        <f>Data!K4723</f>
        <v>0</v>
      </c>
      <c r="R4707">
        <f>Data!L4723</f>
        <v>0</v>
      </c>
      <c r="S4707">
        <f>Data!M4723</f>
        <v>0</v>
      </c>
      <c r="T4707">
        <f>Data!N4723</f>
        <v>0</v>
      </c>
      <c r="U4707">
        <f>Data!O4723</f>
        <v>0</v>
      </c>
      <c r="V4707" s="33">
        <f>Data!P4721</f>
        <v>0</v>
      </c>
    </row>
    <row r="4708" spans="7:22" x14ac:dyDescent="0.25">
      <c r="G4708">
        <f>Data!B4720</f>
        <v>0</v>
      </c>
      <c r="H4708" s="21">
        <f>Data!B4720</f>
        <v>0</v>
      </c>
      <c r="I4708" s="21">
        <f>Data!C4720</f>
        <v>0</v>
      </c>
      <c r="J4708">
        <f>Data!D4720</f>
        <v>0</v>
      </c>
      <c r="K4708">
        <f>Data!E4720</f>
        <v>0</v>
      </c>
      <c r="L4708">
        <f>Data!F4720</f>
        <v>0</v>
      </c>
      <c r="M4708">
        <f>Data!G4720</f>
        <v>0</v>
      </c>
      <c r="N4708">
        <f>Data!H4720</f>
        <v>0</v>
      </c>
      <c r="O4708">
        <f>Data!I4720</f>
        <v>0</v>
      </c>
      <c r="P4708" s="21">
        <f>Data!J4724</f>
        <v>0</v>
      </c>
      <c r="Q4708">
        <f>Data!K4724</f>
        <v>0</v>
      </c>
      <c r="R4708">
        <f>Data!L4724</f>
        <v>0</v>
      </c>
      <c r="S4708">
        <f>Data!M4724</f>
        <v>0</v>
      </c>
      <c r="T4708">
        <f>Data!N4724</f>
        <v>0</v>
      </c>
      <c r="U4708">
        <f>Data!O4724</f>
        <v>0</v>
      </c>
      <c r="V4708" s="33">
        <f>Data!P4722</f>
        <v>0</v>
      </c>
    </row>
    <row r="4709" spans="7:22" x14ac:dyDescent="0.25">
      <c r="G4709">
        <f>Data!B4721</f>
        <v>0</v>
      </c>
      <c r="H4709" s="21">
        <f>Data!B4721</f>
        <v>0</v>
      </c>
      <c r="I4709" s="21">
        <f>Data!C4721</f>
        <v>0</v>
      </c>
      <c r="J4709">
        <f>Data!D4721</f>
        <v>0</v>
      </c>
      <c r="K4709">
        <f>Data!E4721</f>
        <v>0</v>
      </c>
      <c r="L4709">
        <f>Data!F4721</f>
        <v>0</v>
      </c>
      <c r="M4709">
        <f>Data!G4721</f>
        <v>0</v>
      </c>
      <c r="N4709">
        <f>Data!H4721</f>
        <v>0</v>
      </c>
      <c r="O4709">
        <f>Data!I4721</f>
        <v>0</v>
      </c>
      <c r="P4709" s="21">
        <f>Data!J4725</f>
        <v>0</v>
      </c>
      <c r="Q4709">
        <f>Data!K4725</f>
        <v>0</v>
      </c>
      <c r="R4709">
        <f>Data!L4725</f>
        <v>0</v>
      </c>
      <c r="S4709">
        <f>Data!M4725</f>
        <v>0</v>
      </c>
      <c r="T4709">
        <f>Data!N4725</f>
        <v>0</v>
      </c>
      <c r="U4709">
        <f>Data!O4725</f>
        <v>0</v>
      </c>
      <c r="V4709" s="33">
        <f>Data!P4723</f>
        <v>0</v>
      </c>
    </row>
    <row r="4710" spans="7:22" x14ac:dyDescent="0.25">
      <c r="G4710">
        <f>Data!B4722</f>
        <v>0</v>
      </c>
      <c r="H4710" s="21">
        <f>Data!B4722</f>
        <v>0</v>
      </c>
      <c r="I4710" s="21">
        <f>Data!C4722</f>
        <v>0</v>
      </c>
      <c r="J4710">
        <f>Data!D4722</f>
        <v>0</v>
      </c>
      <c r="K4710">
        <f>Data!E4722</f>
        <v>0</v>
      </c>
      <c r="L4710">
        <f>Data!F4722</f>
        <v>0</v>
      </c>
      <c r="M4710">
        <f>Data!G4722</f>
        <v>0</v>
      </c>
      <c r="N4710">
        <f>Data!H4722</f>
        <v>0</v>
      </c>
      <c r="O4710">
        <f>Data!I4722</f>
        <v>0</v>
      </c>
      <c r="P4710" s="21">
        <f>Data!J4726</f>
        <v>0</v>
      </c>
      <c r="Q4710">
        <f>Data!K4726</f>
        <v>0</v>
      </c>
      <c r="R4710">
        <f>Data!L4726</f>
        <v>0</v>
      </c>
      <c r="S4710">
        <f>Data!M4726</f>
        <v>0</v>
      </c>
      <c r="T4710">
        <f>Data!N4726</f>
        <v>0</v>
      </c>
      <c r="U4710">
        <f>Data!O4726</f>
        <v>0</v>
      </c>
      <c r="V4710" s="33">
        <f>Data!P4724</f>
        <v>0</v>
      </c>
    </row>
    <row r="4711" spans="7:22" x14ac:dyDescent="0.25">
      <c r="G4711">
        <f>Data!B4723</f>
        <v>0</v>
      </c>
      <c r="H4711" s="21">
        <f>Data!B4723</f>
        <v>0</v>
      </c>
      <c r="I4711" s="21">
        <f>Data!C4723</f>
        <v>0</v>
      </c>
      <c r="J4711">
        <f>Data!D4723</f>
        <v>0</v>
      </c>
      <c r="K4711">
        <f>Data!E4723</f>
        <v>0</v>
      </c>
      <c r="L4711">
        <f>Data!F4723</f>
        <v>0</v>
      </c>
      <c r="M4711">
        <f>Data!G4723</f>
        <v>0</v>
      </c>
      <c r="N4711">
        <f>Data!H4723</f>
        <v>0</v>
      </c>
      <c r="O4711">
        <f>Data!I4723</f>
        <v>0</v>
      </c>
      <c r="P4711" s="21">
        <f>Data!J4727</f>
        <v>0</v>
      </c>
      <c r="Q4711">
        <f>Data!K4727</f>
        <v>0</v>
      </c>
      <c r="R4711">
        <f>Data!L4727</f>
        <v>0</v>
      </c>
      <c r="S4711">
        <f>Data!M4727</f>
        <v>0</v>
      </c>
      <c r="T4711">
        <f>Data!N4727</f>
        <v>0</v>
      </c>
      <c r="U4711">
        <f>Data!O4727</f>
        <v>0</v>
      </c>
      <c r="V4711" s="33">
        <f>Data!P4725</f>
        <v>0</v>
      </c>
    </row>
    <row r="4712" spans="7:22" x14ac:dyDescent="0.25">
      <c r="G4712">
        <f>Data!B4724</f>
        <v>0</v>
      </c>
      <c r="H4712" s="21">
        <f>Data!B4724</f>
        <v>0</v>
      </c>
      <c r="I4712" s="21">
        <f>Data!C4724</f>
        <v>0</v>
      </c>
      <c r="J4712">
        <f>Data!D4724</f>
        <v>0</v>
      </c>
      <c r="K4712">
        <f>Data!E4724</f>
        <v>0</v>
      </c>
      <c r="L4712">
        <f>Data!F4724</f>
        <v>0</v>
      </c>
      <c r="M4712">
        <f>Data!G4724</f>
        <v>0</v>
      </c>
      <c r="N4712">
        <f>Data!H4724</f>
        <v>0</v>
      </c>
      <c r="O4712">
        <f>Data!I4724</f>
        <v>0</v>
      </c>
      <c r="P4712" s="21">
        <f>Data!J4728</f>
        <v>0</v>
      </c>
      <c r="Q4712">
        <f>Data!K4728</f>
        <v>0</v>
      </c>
      <c r="R4712">
        <f>Data!L4728</f>
        <v>0</v>
      </c>
      <c r="S4712">
        <f>Data!M4728</f>
        <v>0</v>
      </c>
      <c r="T4712">
        <f>Data!N4728</f>
        <v>0</v>
      </c>
      <c r="U4712">
        <f>Data!O4728</f>
        <v>0</v>
      </c>
      <c r="V4712" s="33">
        <f>Data!P4726</f>
        <v>0</v>
      </c>
    </row>
    <row r="4713" spans="7:22" x14ac:dyDescent="0.25">
      <c r="G4713">
        <f>Data!B4725</f>
        <v>0</v>
      </c>
      <c r="H4713" s="21">
        <f>Data!B4725</f>
        <v>0</v>
      </c>
      <c r="I4713" s="21">
        <f>Data!C4725</f>
        <v>0</v>
      </c>
      <c r="J4713">
        <f>Data!D4725</f>
        <v>0</v>
      </c>
      <c r="K4713">
        <f>Data!E4725</f>
        <v>0</v>
      </c>
      <c r="L4713">
        <f>Data!F4725</f>
        <v>0</v>
      </c>
      <c r="M4713">
        <f>Data!G4725</f>
        <v>0</v>
      </c>
      <c r="N4713">
        <f>Data!H4725</f>
        <v>0</v>
      </c>
      <c r="O4713">
        <f>Data!I4725</f>
        <v>0</v>
      </c>
      <c r="P4713" s="21">
        <f>Data!J4729</f>
        <v>0</v>
      </c>
      <c r="Q4713">
        <f>Data!K4729</f>
        <v>0</v>
      </c>
      <c r="R4713">
        <f>Data!L4729</f>
        <v>0</v>
      </c>
      <c r="S4713">
        <f>Data!M4729</f>
        <v>0</v>
      </c>
      <c r="T4713">
        <f>Data!N4729</f>
        <v>0</v>
      </c>
      <c r="U4713">
        <f>Data!O4729</f>
        <v>0</v>
      </c>
      <c r="V4713" s="33">
        <f>Data!P4727</f>
        <v>0</v>
      </c>
    </row>
    <row r="4714" spans="7:22" x14ac:dyDescent="0.25">
      <c r="G4714">
        <f>Data!B4726</f>
        <v>0</v>
      </c>
      <c r="H4714" s="21">
        <f>Data!B4726</f>
        <v>0</v>
      </c>
      <c r="I4714" s="21">
        <f>Data!C4726</f>
        <v>0</v>
      </c>
      <c r="J4714">
        <f>Data!D4726</f>
        <v>0</v>
      </c>
      <c r="K4714">
        <f>Data!E4726</f>
        <v>0</v>
      </c>
      <c r="L4714">
        <f>Data!F4726</f>
        <v>0</v>
      </c>
      <c r="M4714">
        <f>Data!G4726</f>
        <v>0</v>
      </c>
      <c r="N4714">
        <f>Data!H4726</f>
        <v>0</v>
      </c>
      <c r="O4714">
        <f>Data!I4726</f>
        <v>0</v>
      </c>
      <c r="P4714" s="21">
        <f>Data!J4730</f>
        <v>0</v>
      </c>
      <c r="Q4714">
        <f>Data!K4730</f>
        <v>0</v>
      </c>
      <c r="R4714">
        <f>Data!L4730</f>
        <v>0</v>
      </c>
      <c r="S4714">
        <f>Data!M4730</f>
        <v>0</v>
      </c>
      <c r="T4714">
        <f>Data!N4730</f>
        <v>0</v>
      </c>
      <c r="U4714">
        <f>Data!O4730</f>
        <v>0</v>
      </c>
      <c r="V4714" s="33">
        <f>Data!P4728</f>
        <v>0</v>
      </c>
    </row>
    <row r="4715" spans="7:22" x14ac:dyDescent="0.25">
      <c r="G4715">
        <f>Data!B4727</f>
        <v>0</v>
      </c>
      <c r="H4715" s="21">
        <f>Data!B4727</f>
        <v>0</v>
      </c>
      <c r="I4715" s="21">
        <f>Data!C4727</f>
        <v>0</v>
      </c>
      <c r="J4715">
        <f>Data!D4727</f>
        <v>0</v>
      </c>
      <c r="K4715">
        <f>Data!E4727</f>
        <v>0</v>
      </c>
      <c r="L4715">
        <f>Data!F4727</f>
        <v>0</v>
      </c>
      <c r="M4715">
        <f>Data!G4727</f>
        <v>0</v>
      </c>
      <c r="N4715">
        <f>Data!H4727</f>
        <v>0</v>
      </c>
      <c r="O4715">
        <f>Data!I4727</f>
        <v>0</v>
      </c>
      <c r="P4715" s="21">
        <f>Data!J4731</f>
        <v>0</v>
      </c>
      <c r="Q4715">
        <f>Data!K4731</f>
        <v>0</v>
      </c>
      <c r="R4715">
        <f>Data!L4731</f>
        <v>0</v>
      </c>
      <c r="S4715">
        <f>Data!M4731</f>
        <v>0</v>
      </c>
      <c r="T4715">
        <f>Data!N4731</f>
        <v>0</v>
      </c>
      <c r="U4715">
        <f>Data!O4731</f>
        <v>0</v>
      </c>
      <c r="V4715" s="33">
        <f>Data!P4729</f>
        <v>0</v>
      </c>
    </row>
    <row r="4716" spans="7:22" x14ac:dyDescent="0.25">
      <c r="G4716">
        <f>Data!B4728</f>
        <v>0</v>
      </c>
      <c r="H4716" s="21">
        <f>Data!B4728</f>
        <v>0</v>
      </c>
      <c r="I4716" s="21">
        <f>Data!C4728</f>
        <v>0</v>
      </c>
      <c r="J4716">
        <f>Data!D4728</f>
        <v>0</v>
      </c>
      <c r="K4716">
        <f>Data!E4728</f>
        <v>0</v>
      </c>
      <c r="L4716">
        <f>Data!F4728</f>
        <v>0</v>
      </c>
      <c r="M4716">
        <f>Data!G4728</f>
        <v>0</v>
      </c>
      <c r="N4716">
        <f>Data!H4728</f>
        <v>0</v>
      </c>
      <c r="O4716">
        <f>Data!I4728</f>
        <v>0</v>
      </c>
      <c r="P4716" s="21">
        <f>Data!J4732</f>
        <v>0</v>
      </c>
      <c r="Q4716">
        <f>Data!K4732</f>
        <v>0</v>
      </c>
      <c r="R4716">
        <f>Data!L4732</f>
        <v>0</v>
      </c>
      <c r="S4716">
        <f>Data!M4732</f>
        <v>0</v>
      </c>
      <c r="T4716">
        <f>Data!N4732</f>
        <v>0</v>
      </c>
      <c r="U4716">
        <f>Data!O4732</f>
        <v>0</v>
      </c>
      <c r="V4716" s="33">
        <f>Data!P4730</f>
        <v>0</v>
      </c>
    </row>
    <row r="4717" spans="7:22" x14ac:dyDescent="0.25">
      <c r="G4717">
        <f>Data!B4729</f>
        <v>0</v>
      </c>
      <c r="H4717" s="21">
        <f>Data!B4729</f>
        <v>0</v>
      </c>
      <c r="I4717" s="21">
        <f>Data!C4729</f>
        <v>0</v>
      </c>
      <c r="J4717">
        <f>Data!D4729</f>
        <v>0</v>
      </c>
      <c r="K4717">
        <f>Data!E4729</f>
        <v>0</v>
      </c>
      <c r="L4717">
        <f>Data!F4729</f>
        <v>0</v>
      </c>
      <c r="M4717">
        <f>Data!G4729</f>
        <v>0</v>
      </c>
      <c r="N4717">
        <f>Data!H4729</f>
        <v>0</v>
      </c>
      <c r="O4717">
        <f>Data!I4729</f>
        <v>0</v>
      </c>
      <c r="P4717" s="21">
        <f>Data!J4733</f>
        <v>0</v>
      </c>
      <c r="Q4717">
        <f>Data!K4733</f>
        <v>0</v>
      </c>
      <c r="R4717">
        <f>Data!L4733</f>
        <v>0</v>
      </c>
      <c r="S4717">
        <f>Data!M4733</f>
        <v>0</v>
      </c>
      <c r="T4717">
        <f>Data!N4733</f>
        <v>0</v>
      </c>
      <c r="U4717">
        <f>Data!O4733</f>
        <v>0</v>
      </c>
      <c r="V4717" s="33">
        <f>Data!P4731</f>
        <v>0</v>
      </c>
    </row>
    <row r="4718" spans="7:22" x14ac:dyDescent="0.25">
      <c r="G4718">
        <f>Data!B4730</f>
        <v>0</v>
      </c>
      <c r="H4718" s="21">
        <f>Data!B4730</f>
        <v>0</v>
      </c>
      <c r="I4718" s="21">
        <f>Data!C4730</f>
        <v>0</v>
      </c>
      <c r="J4718">
        <f>Data!D4730</f>
        <v>0</v>
      </c>
      <c r="K4718">
        <f>Data!E4730</f>
        <v>0</v>
      </c>
      <c r="L4718">
        <f>Data!F4730</f>
        <v>0</v>
      </c>
      <c r="M4718">
        <f>Data!G4730</f>
        <v>0</v>
      </c>
      <c r="N4718">
        <f>Data!H4730</f>
        <v>0</v>
      </c>
      <c r="O4718">
        <f>Data!I4730</f>
        <v>0</v>
      </c>
      <c r="P4718" s="21">
        <f>Data!J4734</f>
        <v>0</v>
      </c>
      <c r="Q4718">
        <f>Data!K4734</f>
        <v>0</v>
      </c>
      <c r="R4718">
        <f>Data!L4734</f>
        <v>0</v>
      </c>
      <c r="S4718">
        <f>Data!M4734</f>
        <v>0</v>
      </c>
      <c r="T4718">
        <f>Data!N4734</f>
        <v>0</v>
      </c>
      <c r="U4718">
        <f>Data!O4734</f>
        <v>0</v>
      </c>
      <c r="V4718" s="33">
        <f>Data!P4732</f>
        <v>0</v>
      </c>
    </row>
    <row r="4719" spans="7:22" x14ac:dyDescent="0.25">
      <c r="G4719">
        <f>Data!B4731</f>
        <v>0</v>
      </c>
      <c r="H4719" s="21">
        <f>Data!B4731</f>
        <v>0</v>
      </c>
      <c r="I4719" s="21">
        <f>Data!C4731</f>
        <v>0</v>
      </c>
      <c r="J4719">
        <f>Data!D4731</f>
        <v>0</v>
      </c>
      <c r="K4719">
        <f>Data!E4731</f>
        <v>0</v>
      </c>
      <c r="L4719">
        <f>Data!F4731</f>
        <v>0</v>
      </c>
      <c r="M4719">
        <f>Data!G4731</f>
        <v>0</v>
      </c>
      <c r="N4719">
        <f>Data!H4731</f>
        <v>0</v>
      </c>
      <c r="O4719">
        <f>Data!I4731</f>
        <v>0</v>
      </c>
      <c r="P4719" s="21">
        <f>Data!J4735</f>
        <v>0</v>
      </c>
      <c r="Q4719">
        <f>Data!K4735</f>
        <v>0</v>
      </c>
      <c r="R4719">
        <f>Data!L4735</f>
        <v>0</v>
      </c>
      <c r="S4719">
        <f>Data!M4735</f>
        <v>0</v>
      </c>
      <c r="T4719">
        <f>Data!N4735</f>
        <v>0</v>
      </c>
      <c r="U4719">
        <f>Data!O4735</f>
        <v>0</v>
      </c>
      <c r="V4719" s="33">
        <f>Data!P4733</f>
        <v>0</v>
      </c>
    </row>
    <row r="4720" spans="7:22" x14ac:dyDescent="0.25">
      <c r="G4720">
        <f>Data!B4732</f>
        <v>0</v>
      </c>
      <c r="H4720" s="21">
        <f>Data!B4732</f>
        <v>0</v>
      </c>
      <c r="I4720" s="21">
        <f>Data!C4732</f>
        <v>0</v>
      </c>
      <c r="J4720">
        <f>Data!D4732</f>
        <v>0</v>
      </c>
      <c r="K4720">
        <f>Data!E4732</f>
        <v>0</v>
      </c>
      <c r="L4720">
        <f>Data!F4732</f>
        <v>0</v>
      </c>
      <c r="M4720">
        <f>Data!G4732</f>
        <v>0</v>
      </c>
      <c r="N4720">
        <f>Data!H4732</f>
        <v>0</v>
      </c>
      <c r="O4720">
        <f>Data!I4732</f>
        <v>0</v>
      </c>
      <c r="P4720" s="21">
        <f>Data!J4736</f>
        <v>0</v>
      </c>
      <c r="Q4720">
        <f>Data!K4736</f>
        <v>0</v>
      </c>
      <c r="R4720">
        <f>Data!L4736</f>
        <v>0</v>
      </c>
      <c r="S4720">
        <f>Data!M4736</f>
        <v>0</v>
      </c>
      <c r="T4720">
        <f>Data!N4736</f>
        <v>0</v>
      </c>
      <c r="U4720">
        <f>Data!O4736</f>
        <v>0</v>
      </c>
      <c r="V4720" s="33">
        <f>Data!P4734</f>
        <v>0</v>
      </c>
    </row>
    <row r="4721" spans="7:22" x14ac:dyDescent="0.25">
      <c r="G4721">
        <f>Data!B4733</f>
        <v>0</v>
      </c>
      <c r="H4721" s="21">
        <f>Data!B4733</f>
        <v>0</v>
      </c>
      <c r="I4721" s="21">
        <f>Data!C4733</f>
        <v>0</v>
      </c>
      <c r="J4721">
        <f>Data!D4733</f>
        <v>0</v>
      </c>
      <c r="K4721">
        <f>Data!E4733</f>
        <v>0</v>
      </c>
      <c r="L4721">
        <f>Data!F4733</f>
        <v>0</v>
      </c>
      <c r="M4721">
        <f>Data!G4733</f>
        <v>0</v>
      </c>
      <c r="N4721">
        <f>Data!H4733</f>
        <v>0</v>
      </c>
      <c r="O4721">
        <f>Data!I4733</f>
        <v>0</v>
      </c>
      <c r="P4721" s="21">
        <f>Data!J4737</f>
        <v>0</v>
      </c>
      <c r="Q4721">
        <f>Data!K4737</f>
        <v>0</v>
      </c>
      <c r="R4721">
        <f>Data!L4737</f>
        <v>0</v>
      </c>
      <c r="S4721">
        <f>Data!M4737</f>
        <v>0</v>
      </c>
      <c r="T4721">
        <f>Data!N4737</f>
        <v>0</v>
      </c>
      <c r="U4721">
        <f>Data!O4737</f>
        <v>0</v>
      </c>
      <c r="V4721" s="33">
        <f>Data!P4735</f>
        <v>0</v>
      </c>
    </row>
    <row r="4722" spans="7:22" x14ac:dyDescent="0.25">
      <c r="G4722">
        <f>Data!B4734</f>
        <v>0</v>
      </c>
      <c r="H4722" s="21">
        <f>Data!B4734</f>
        <v>0</v>
      </c>
      <c r="I4722" s="21">
        <f>Data!C4734</f>
        <v>0</v>
      </c>
      <c r="J4722">
        <f>Data!D4734</f>
        <v>0</v>
      </c>
      <c r="K4722">
        <f>Data!E4734</f>
        <v>0</v>
      </c>
      <c r="L4722">
        <f>Data!F4734</f>
        <v>0</v>
      </c>
      <c r="M4722">
        <f>Data!G4734</f>
        <v>0</v>
      </c>
      <c r="N4722">
        <f>Data!H4734</f>
        <v>0</v>
      </c>
      <c r="O4722">
        <f>Data!I4734</f>
        <v>0</v>
      </c>
      <c r="P4722" s="21">
        <f>Data!J4738</f>
        <v>0</v>
      </c>
      <c r="Q4722">
        <f>Data!K4738</f>
        <v>0</v>
      </c>
      <c r="R4722">
        <f>Data!L4738</f>
        <v>0</v>
      </c>
      <c r="S4722">
        <f>Data!M4738</f>
        <v>0</v>
      </c>
      <c r="T4722">
        <f>Data!N4738</f>
        <v>0</v>
      </c>
      <c r="U4722">
        <f>Data!O4738</f>
        <v>0</v>
      </c>
      <c r="V4722" s="33">
        <f>Data!P4736</f>
        <v>0</v>
      </c>
    </row>
    <row r="4723" spans="7:22" x14ac:dyDescent="0.25">
      <c r="G4723">
        <f>Data!B4735</f>
        <v>0</v>
      </c>
      <c r="H4723" s="21">
        <f>Data!B4735</f>
        <v>0</v>
      </c>
      <c r="I4723" s="21">
        <f>Data!C4735</f>
        <v>0</v>
      </c>
      <c r="J4723">
        <f>Data!D4735</f>
        <v>0</v>
      </c>
      <c r="K4723">
        <f>Data!E4735</f>
        <v>0</v>
      </c>
      <c r="L4723">
        <f>Data!F4735</f>
        <v>0</v>
      </c>
      <c r="M4723">
        <f>Data!G4735</f>
        <v>0</v>
      </c>
      <c r="N4723">
        <f>Data!H4735</f>
        <v>0</v>
      </c>
      <c r="O4723">
        <f>Data!I4735</f>
        <v>0</v>
      </c>
      <c r="P4723" s="21">
        <f>Data!J4739</f>
        <v>0</v>
      </c>
      <c r="Q4723">
        <f>Data!K4739</f>
        <v>0</v>
      </c>
      <c r="R4723">
        <f>Data!L4739</f>
        <v>0</v>
      </c>
      <c r="S4723">
        <f>Data!M4739</f>
        <v>0</v>
      </c>
      <c r="T4723">
        <f>Data!N4739</f>
        <v>0</v>
      </c>
      <c r="U4723">
        <f>Data!O4739</f>
        <v>0</v>
      </c>
      <c r="V4723" s="33">
        <f>Data!P4737</f>
        <v>0</v>
      </c>
    </row>
    <row r="4724" spans="7:22" x14ac:dyDescent="0.25">
      <c r="G4724">
        <f>Data!B4736</f>
        <v>0</v>
      </c>
      <c r="H4724" s="21">
        <f>Data!B4736</f>
        <v>0</v>
      </c>
      <c r="I4724" s="21">
        <f>Data!C4736</f>
        <v>0</v>
      </c>
      <c r="J4724">
        <f>Data!D4736</f>
        <v>0</v>
      </c>
      <c r="K4724">
        <f>Data!E4736</f>
        <v>0</v>
      </c>
      <c r="L4724">
        <f>Data!F4736</f>
        <v>0</v>
      </c>
      <c r="M4724">
        <f>Data!G4736</f>
        <v>0</v>
      </c>
      <c r="N4724">
        <f>Data!H4736</f>
        <v>0</v>
      </c>
      <c r="O4724">
        <f>Data!I4736</f>
        <v>0</v>
      </c>
      <c r="P4724" s="21">
        <f>Data!J4740</f>
        <v>0</v>
      </c>
      <c r="Q4724">
        <f>Data!K4740</f>
        <v>0</v>
      </c>
      <c r="R4724">
        <f>Data!L4740</f>
        <v>0</v>
      </c>
      <c r="S4724">
        <f>Data!M4740</f>
        <v>0</v>
      </c>
      <c r="T4724">
        <f>Data!N4740</f>
        <v>0</v>
      </c>
      <c r="U4724">
        <f>Data!O4740</f>
        <v>0</v>
      </c>
      <c r="V4724" s="33">
        <f>Data!P4738</f>
        <v>0</v>
      </c>
    </row>
    <row r="4725" spans="7:22" x14ac:dyDescent="0.25">
      <c r="G4725">
        <f>Data!B4737</f>
        <v>0</v>
      </c>
      <c r="H4725" s="21">
        <f>Data!B4737</f>
        <v>0</v>
      </c>
      <c r="I4725" s="21">
        <f>Data!C4737</f>
        <v>0</v>
      </c>
      <c r="J4725">
        <f>Data!D4737</f>
        <v>0</v>
      </c>
      <c r="K4725">
        <f>Data!E4737</f>
        <v>0</v>
      </c>
      <c r="L4725">
        <f>Data!F4737</f>
        <v>0</v>
      </c>
      <c r="M4725">
        <f>Data!G4737</f>
        <v>0</v>
      </c>
      <c r="N4725">
        <f>Data!H4737</f>
        <v>0</v>
      </c>
      <c r="O4725">
        <f>Data!I4737</f>
        <v>0</v>
      </c>
      <c r="P4725" s="21">
        <f>Data!J4741</f>
        <v>0</v>
      </c>
      <c r="Q4725">
        <f>Data!K4741</f>
        <v>0</v>
      </c>
      <c r="R4725">
        <f>Data!L4741</f>
        <v>0</v>
      </c>
      <c r="S4725">
        <f>Data!M4741</f>
        <v>0</v>
      </c>
      <c r="T4725">
        <f>Data!N4741</f>
        <v>0</v>
      </c>
      <c r="U4725">
        <f>Data!O4741</f>
        <v>0</v>
      </c>
      <c r="V4725" s="33">
        <f>Data!P4739</f>
        <v>0</v>
      </c>
    </row>
    <row r="4726" spans="7:22" x14ac:dyDescent="0.25">
      <c r="G4726">
        <f>Data!B4738</f>
        <v>0</v>
      </c>
      <c r="H4726" s="21">
        <f>Data!B4738</f>
        <v>0</v>
      </c>
      <c r="I4726" s="21">
        <f>Data!C4738</f>
        <v>0</v>
      </c>
      <c r="J4726">
        <f>Data!D4738</f>
        <v>0</v>
      </c>
      <c r="K4726">
        <f>Data!E4738</f>
        <v>0</v>
      </c>
      <c r="L4726">
        <f>Data!F4738</f>
        <v>0</v>
      </c>
      <c r="M4726">
        <f>Data!G4738</f>
        <v>0</v>
      </c>
      <c r="N4726">
        <f>Data!H4738</f>
        <v>0</v>
      </c>
      <c r="O4726">
        <f>Data!I4738</f>
        <v>0</v>
      </c>
      <c r="P4726" s="21">
        <f>Data!J4742</f>
        <v>0</v>
      </c>
      <c r="Q4726">
        <f>Data!K4742</f>
        <v>0</v>
      </c>
      <c r="R4726">
        <f>Data!L4742</f>
        <v>0</v>
      </c>
      <c r="S4726">
        <f>Data!M4742</f>
        <v>0</v>
      </c>
      <c r="T4726">
        <f>Data!N4742</f>
        <v>0</v>
      </c>
      <c r="U4726">
        <f>Data!O4742</f>
        <v>0</v>
      </c>
      <c r="V4726" s="33">
        <f>Data!P4740</f>
        <v>0</v>
      </c>
    </row>
    <row r="4727" spans="7:22" x14ac:dyDescent="0.25">
      <c r="G4727">
        <f>Data!B4739</f>
        <v>0</v>
      </c>
      <c r="H4727" s="21">
        <f>Data!B4739</f>
        <v>0</v>
      </c>
      <c r="I4727" s="21">
        <f>Data!C4739</f>
        <v>0</v>
      </c>
      <c r="J4727">
        <f>Data!D4739</f>
        <v>0</v>
      </c>
      <c r="K4727">
        <f>Data!E4739</f>
        <v>0</v>
      </c>
      <c r="L4727">
        <f>Data!F4739</f>
        <v>0</v>
      </c>
      <c r="M4727">
        <f>Data!G4739</f>
        <v>0</v>
      </c>
      <c r="N4727">
        <f>Data!H4739</f>
        <v>0</v>
      </c>
      <c r="O4727">
        <f>Data!I4739</f>
        <v>0</v>
      </c>
      <c r="P4727" s="21">
        <f>Data!J4743</f>
        <v>0</v>
      </c>
      <c r="Q4727">
        <f>Data!K4743</f>
        <v>0</v>
      </c>
      <c r="R4727">
        <f>Data!L4743</f>
        <v>0</v>
      </c>
      <c r="S4727">
        <f>Data!M4743</f>
        <v>0</v>
      </c>
      <c r="T4727">
        <f>Data!N4743</f>
        <v>0</v>
      </c>
      <c r="U4727">
        <f>Data!O4743</f>
        <v>0</v>
      </c>
      <c r="V4727" s="33">
        <f>Data!P4741</f>
        <v>0</v>
      </c>
    </row>
    <row r="4728" spans="7:22" x14ac:dyDescent="0.25">
      <c r="G4728">
        <f>Data!B4740</f>
        <v>0</v>
      </c>
      <c r="H4728" s="21">
        <f>Data!B4740</f>
        <v>0</v>
      </c>
      <c r="I4728" s="21">
        <f>Data!C4740</f>
        <v>0</v>
      </c>
      <c r="J4728">
        <f>Data!D4740</f>
        <v>0</v>
      </c>
      <c r="K4728">
        <f>Data!E4740</f>
        <v>0</v>
      </c>
      <c r="L4728">
        <f>Data!F4740</f>
        <v>0</v>
      </c>
      <c r="M4728">
        <f>Data!G4740</f>
        <v>0</v>
      </c>
      <c r="N4728">
        <f>Data!H4740</f>
        <v>0</v>
      </c>
      <c r="O4728">
        <f>Data!I4740</f>
        <v>0</v>
      </c>
      <c r="P4728" s="21">
        <f>Data!J4744</f>
        <v>0</v>
      </c>
      <c r="Q4728">
        <f>Data!K4744</f>
        <v>0</v>
      </c>
      <c r="R4728">
        <f>Data!L4744</f>
        <v>0</v>
      </c>
      <c r="S4728">
        <f>Data!M4744</f>
        <v>0</v>
      </c>
      <c r="T4728">
        <f>Data!N4744</f>
        <v>0</v>
      </c>
      <c r="U4728">
        <f>Data!O4744</f>
        <v>0</v>
      </c>
      <c r="V4728" s="33">
        <f>Data!P4742</f>
        <v>0</v>
      </c>
    </row>
    <row r="4729" spans="7:22" x14ac:dyDescent="0.25">
      <c r="G4729">
        <f>Data!B4741</f>
        <v>0</v>
      </c>
      <c r="H4729" s="21">
        <f>Data!B4741</f>
        <v>0</v>
      </c>
      <c r="I4729" s="21">
        <f>Data!C4741</f>
        <v>0</v>
      </c>
      <c r="J4729">
        <f>Data!D4741</f>
        <v>0</v>
      </c>
      <c r="K4729">
        <f>Data!E4741</f>
        <v>0</v>
      </c>
      <c r="L4729">
        <f>Data!F4741</f>
        <v>0</v>
      </c>
      <c r="M4729">
        <f>Data!G4741</f>
        <v>0</v>
      </c>
      <c r="N4729">
        <f>Data!H4741</f>
        <v>0</v>
      </c>
      <c r="O4729">
        <f>Data!I4741</f>
        <v>0</v>
      </c>
      <c r="P4729" s="21">
        <f>Data!J4745</f>
        <v>0</v>
      </c>
      <c r="Q4729">
        <f>Data!K4745</f>
        <v>0</v>
      </c>
      <c r="R4729">
        <f>Data!L4745</f>
        <v>0</v>
      </c>
      <c r="S4729">
        <f>Data!M4745</f>
        <v>0</v>
      </c>
      <c r="T4729">
        <f>Data!N4745</f>
        <v>0</v>
      </c>
      <c r="U4729">
        <f>Data!O4745</f>
        <v>0</v>
      </c>
      <c r="V4729" s="33">
        <f>Data!P4743</f>
        <v>0</v>
      </c>
    </row>
    <row r="4730" spans="7:22" x14ac:dyDescent="0.25">
      <c r="G4730">
        <f>Data!B4742</f>
        <v>0</v>
      </c>
      <c r="H4730" s="21">
        <f>Data!B4742</f>
        <v>0</v>
      </c>
      <c r="I4730" s="21">
        <f>Data!C4742</f>
        <v>0</v>
      </c>
      <c r="J4730">
        <f>Data!D4742</f>
        <v>0</v>
      </c>
      <c r="K4730">
        <f>Data!E4742</f>
        <v>0</v>
      </c>
      <c r="L4730">
        <f>Data!F4742</f>
        <v>0</v>
      </c>
      <c r="M4730">
        <f>Data!G4742</f>
        <v>0</v>
      </c>
      <c r="N4730">
        <f>Data!H4742</f>
        <v>0</v>
      </c>
      <c r="O4730">
        <f>Data!I4742</f>
        <v>0</v>
      </c>
      <c r="P4730" s="21">
        <f>Data!J4746</f>
        <v>0</v>
      </c>
      <c r="Q4730">
        <f>Data!K4746</f>
        <v>0</v>
      </c>
      <c r="R4730">
        <f>Data!L4746</f>
        <v>0</v>
      </c>
      <c r="S4730">
        <f>Data!M4746</f>
        <v>0</v>
      </c>
      <c r="T4730">
        <f>Data!N4746</f>
        <v>0</v>
      </c>
      <c r="U4730">
        <f>Data!O4746</f>
        <v>0</v>
      </c>
      <c r="V4730" s="33">
        <f>Data!P4744</f>
        <v>0</v>
      </c>
    </row>
    <row r="4731" spans="7:22" x14ac:dyDescent="0.25">
      <c r="G4731">
        <f>Data!B4743</f>
        <v>0</v>
      </c>
      <c r="H4731" s="21">
        <f>Data!B4743</f>
        <v>0</v>
      </c>
      <c r="I4731" s="21">
        <f>Data!C4743</f>
        <v>0</v>
      </c>
      <c r="J4731">
        <f>Data!D4743</f>
        <v>0</v>
      </c>
      <c r="K4731">
        <f>Data!E4743</f>
        <v>0</v>
      </c>
      <c r="L4731">
        <f>Data!F4743</f>
        <v>0</v>
      </c>
      <c r="M4731">
        <f>Data!G4743</f>
        <v>0</v>
      </c>
      <c r="N4731">
        <f>Data!H4743</f>
        <v>0</v>
      </c>
      <c r="O4731">
        <f>Data!I4743</f>
        <v>0</v>
      </c>
      <c r="P4731" s="21">
        <f>Data!J4747</f>
        <v>0</v>
      </c>
      <c r="Q4731">
        <f>Data!K4747</f>
        <v>0</v>
      </c>
      <c r="R4731">
        <f>Data!L4747</f>
        <v>0</v>
      </c>
      <c r="S4731">
        <f>Data!M4747</f>
        <v>0</v>
      </c>
      <c r="T4731">
        <f>Data!N4747</f>
        <v>0</v>
      </c>
      <c r="U4731">
        <f>Data!O4747</f>
        <v>0</v>
      </c>
      <c r="V4731" s="33">
        <f>Data!P4745</f>
        <v>0</v>
      </c>
    </row>
    <row r="4732" spans="7:22" x14ac:dyDescent="0.25">
      <c r="G4732">
        <f>Data!B4744</f>
        <v>0</v>
      </c>
      <c r="H4732" s="21">
        <f>Data!B4744</f>
        <v>0</v>
      </c>
      <c r="I4732" s="21">
        <f>Data!C4744</f>
        <v>0</v>
      </c>
      <c r="J4732">
        <f>Data!D4744</f>
        <v>0</v>
      </c>
      <c r="K4732">
        <f>Data!E4744</f>
        <v>0</v>
      </c>
      <c r="L4732">
        <f>Data!F4744</f>
        <v>0</v>
      </c>
      <c r="M4732">
        <f>Data!G4744</f>
        <v>0</v>
      </c>
      <c r="N4732">
        <f>Data!H4744</f>
        <v>0</v>
      </c>
      <c r="O4732">
        <f>Data!I4744</f>
        <v>0</v>
      </c>
      <c r="P4732" s="21">
        <f>Data!J4748</f>
        <v>0</v>
      </c>
      <c r="Q4732">
        <f>Data!K4748</f>
        <v>0</v>
      </c>
      <c r="R4732">
        <f>Data!L4748</f>
        <v>0</v>
      </c>
      <c r="S4732">
        <f>Data!M4748</f>
        <v>0</v>
      </c>
      <c r="T4732">
        <f>Data!N4748</f>
        <v>0</v>
      </c>
      <c r="U4732">
        <f>Data!O4748</f>
        <v>0</v>
      </c>
      <c r="V4732" s="33">
        <f>Data!P4746</f>
        <v>0</v>
      </c>
    </row>
    <row r="4733" spans="7:22" x14ac:dyDescent="0.25">
      <c r="G4733">
        <f>Data!B4745</f>
        <v>0</v>
      </c>
      <c r="H4733" s="21">
        <f>Data!B4745</f>
        <v>0</v>
      </c>
      <c r="I4733" s="21">
        <f>Data!C4745</f>
        <v>0</v>
      </c>
      <c r="J4733">
        <f>Data!D4745</f>
        <v>0</v>
      </c>
      <c r="K4733">
        <f>Data!E4745</f>
        <v>0</v>
      </c>
      <c r="L4733">
        <f>Data!F4745</f>
        <v>0</v>
      </c>
      <c r="M4733">
        <f>Data!G4745</f>
        <v>0</v>
      </c>
      <c r="N4733">
        <f>Data!H4745</f>
        <v>0</v>
      </c>
      <c r="O4733">
        <f>Data!I4745</f>
        <v>0</v>
      </c>
      <c r="P4733" s="21">
        <f>Data!J4749</f>
        <v>0</v>
      </c>
      <c r="Q4733">
        <f>Data!K4749</f>
        <v>0</v>
      </c>
      <c r="R4733">
        <f>Data!L4749</f>
        <v>0</v>
      </c>
      <c r="S4733">
        <f>Data!M4749</f>
        <v>0</v>
      </c>
      <c r="T4733">
        <f>Data!N4749</f>
        <v>0</v>
      </c>
      <c r="U4733">
        <f>Data!O4749</f>
        <v>0</v>
      </c>
      <c r="V4733" s="33">
        <f>Data!P4747</f>
        <v>0</v>
      </c>
    </row>
    <row r="4734" spans="7:22" x14ac:dyDescent="0.25">
      <c r="G4734">
        <f>Data!B4746</f>
        <v>0</v>
      </c>
      <c r="H4734" s="21">
        <f>Data!B4746</f>
        <v>0</v>
      </c>
      <c r="I4734" s="21">
        <f>Data!C4746</f>
        <v>0</v>
      </c>
      <c r="J4734">
        <f>Data!D4746</f>
        <v>0</v>
      </c>
      <c r="K4734">
        <f>Data!E4746</f>
        <v>0</v>
      </c>
      <c r="L4734">
        <f>Data!F4746</f>
        <v>0</v>
      </c>
      <c r="M4734">
        <f>Data!G4746</f>
        <v>0</v>
      </c>
      <c r="N4734">
        <f>Data!H4746</f>
        <v>0</v>
      </c>
      <c r="O4734">
        <f>Data!I4746</f>
        <v>0</v>
      </c>
      <c r="P4734" s="21">
        <f>Data!J4750</f>
        <v>0</v>
      </c>
      <c r="Q4734">
        <f>Data!K4750</f>
        <v>0</v>
      </c>
      <c r="R4734">
        <f>Data!L4750</f>
        <v>0</v>
      </c>
      <c r="S4734">
        <f>Data!M4750</f>
        <v>0</v>
      </c>
      <c r="T4734">
        <f>Data!N4750</f>
        <v>0</v>
      </c>
      <c r="U4734">
        <f>Data!O4750</f>
        <v>0</v>
      </c>
      <c r="V4734" s="33">
        <f>Data!P4748</f>
        <v>0</v>
      </c>
    </row>
    <row r="4735" spans="7:22" x14ac:dyDescent="0.25">
      <c r="G4735">
        <f>Data!B4747</f>
        <v>0</v>
      </c>
      <c r="H4735" s="21">
        <f>Data!B4747</f>
        <v>0</v>
      </c>
      <c r="I4735" s="21">
        <f>Data!C4747</f>
        <v>0</v>
      </c>
      <c r="J4735">
        <f>Data!D4747</f>
        <v>0</v>
      </c>
      <c r="K4735">
        <f>Data!E4747</f>
        <v>0</v>
      </c>
      <c r="L4735">
        <f>Data!F4747</f>
        <v>0</v>
      </c>
      <c r="M4735">
        <f>Data!G4747</f>
        <v>0</v>
      </c>
      <c r="N4735">
        <f>Data!H4747</f>
        <v>0</v>
      </c>
      <c r="O4735">
        <f>Data!I4747</f>
        <v>0</v>
      </c>
      <c r="P4735" s="21">
        <f>Data!J4751</f>
        <v>0</v>
      </c>
      <c r="Q4735">
        <f>Data!K4751</f>
        <v>0</v>
      </c>
      <c r="R4735">
        <f>Data!L4751</f>
        <v>0</v>
      </c>
      <c r="S4735">
        <f>Data!M4751</f>
        <v>0</v>
      </c>
      <c r="T4735">
        <f>Data!N4751</f>
        <v>0</v>
      </c>
      <c r="U4735">
        <f>Data!O4751</f>
        <v>0</v>
      </c>
      <c r="V4735" s="33">
        <f>Data!P4749</f>
        <v>0</v>
      </c>
    </row>
    <row r="4736" spans="7:22" x14ac:dyDescent="0.25">
      <c r="G4736">
        <f>Data!B4748</f>
        <v>0</v>
      </c>
      <c r="H4736" s="21">
        <f>Data!B4748</f>
        <v>0</v>
      </c>
      <c r="I4736" s="21">
        <f>Data!C4748</f>
        <v>0</v>
      </c>
      <c r="J4736">
        <f>Data!D4748</f>
        <v>0</v>
      </c>
      <c r="K4736">
        <f>Data!E4748</f>
        <v>0</v>
      </c>
      <c r="L4736">
        <f>Data!F4748</f>
        <v>0</v>
      </c>
      <c r="M4736">
        <f>Data!G4748</f>
        <v>0</v>
      </c>
      <c r="N4736">
        <f>Data!H4748</f>
        <v>0</v>
      </c>
      <c r="O4736">
        <f>Data!I4748</f>
        <v>0</v>
      </c>
      <c r="P4736" s="21">
        <f>Data!J4752</f>
        <v>0</v>
      </c>
      <c r="Q4736">
        <f>Data!K4752</f>
        <v>0</v>
      </c>
      <c r="R4736">
        <f>Data!L4752</f>
        <v>0</v>
      </c>
      <c r="S4736">
        <f>Data!M4752</f>
        <v>0</v>
      </c>
      <c r="T4736">
        <f>Data!N4752</f>
        <v>0</v>
      </c>
      <c r="U4736">
        <f>Data!O4752</f>
        <v>0</v>
      </c>
      <c r="V4736" s="33">
        <f>Data!P4750</f>
        <v>0</v>
      </c>
    </row>
    <row r="4737" spans="7:22" x14ac:dyDescent="0.25">
      <c r="G4737">
        <f>Data!B4749</f>
        <v>0</v>
      </c>
      <c r="H4737" s="21">
        <f>Data!B4749</f>
        <v>0</v>
      </c>
      <c r="I4737" s="21">
        <f>Data!C4749</f>
        <v>0</v>
      </c>
      <c r="J4737">
        <f>Data!D4749</f>
        <v>0</v>
      </c>
      <c r="K4737">
        <f>Data!E4749</f>
        <v>0</v>
      </c>
      <c r="L4737">
        <f>Data!F4749</f>
        <v>0</v>
      </c>
      <c r="M4737">
        <f>Data!G4749</f>
        <v>0</v>
      </c>
      <c r="N4737">
        <f>Data!H4749</f>
        <v>0</v>
      </c>
      <c r="O4737">
        <f>Data!I4749</f>
        <v>0</v>
      </c>
      <c r="P4737" s="21">
        <f>Data!J4753</f>
        <v>0</v>
      </c>
      <c r="Q4737">
        <f>Data!K4753</f>
        <v>0</v>
      </c>
      <c r="R4737">
        <f>Data!L4753</f>
        <v>0</v>
      </c>
      <c r="S4737">
        <f>Data!M4753</f>
        <v>0</v>
      </c>
      <c r="T4737">
        <f>Data!N4753</f>
        <v>0</v>
      </c>
      <c r="U4737">
        <f>Data!O4753</f>
        <v>0</v>
      </c>
      <c r="V4737" s="33">
        <f>Data!P4751</f>
        <v>0</v>
      </c>
    </row>
    <row r="4738" spans="7:22" x14ac:dyDescent="0.25">
      <c r="G4738">
        <f>Data!B4750</f>
        <v>0</v>
      </c>
      <c r="H4738" s="21">
        <f>Data!B4750</f>
        <v>0</v>
      </c>
      <c r="I4738" s="21">
        <f>Data!C4750</f>
        <v>0</v>
      </c>
      <c r="J4738">
        <f>Data!D4750</f>
        <v>0</v>
      </c>
      <c r="K4738">
        <f>Data!E4750</f>
        <v>0</v>
      </c>
      <c r="L4738">
        <f>Data!F4750</f>
        <v>0</v>
      </c>
      <c r="M4738">
        <f>Data!G4750</f>
        <v>0</v>
      </c>
      <c r="N4738">
        <f>Data!H4750</f>
        <v>0</v>
      </c>
      <c r="O4738">
        <f>Data!I4750</f>
        <v>0</v>
      </c>
      <c r="P4738" s="21">
        <f>Data!J4754</f>
        <v>0</v>
      </c>
      <c r="Q4738">
        <f>Data!K4754</f>
        <v>0</v>
      </c>
      <c r="R4738">
        <f>Data!L4754</f>
        <v>0</v>
      </c>
      <c r="S4738">
        <f>Data!M4754</f>
        <v>0</v>
      </c>
      <c r="T4738">
        <f>Data!N4754</f>
        <v>0</v>
      </c>
      <c r="U4738">
        <f>Data!O4754</f>
        <v>0</v>
      </c>
      <c r="V4738" s="33">
        <f>Data!P4752</f>
        <v>0</v>
      </c>
    </row>
    <row r="4739" spans="7:22" x14ac:dyDescent="0.25">
      <c r="G4739">
        <f>Data!B4751</f>
        <v>0</v>
      </c>
      <c r="H4739" s="21">
        <f>Data!B4751</f>
        <v>0</v>
      </c>
      <c r="I4739" s="21">
        <f>Data!C4751</f>
        <v>0</v>
      </c>
      <c r="J4739">
        <f>Data!D4751</f>
        <v>0</v>
      </c>
      <c r="K4739">
        <f>Data!E4751</f>
        <v>0</v>
      </c>
      <c r="L4739">
        <f>Data!F4751</f>
        <v>0</v>
      </c>
      <c r="M4739">
        <f>Data!G4751</f>
        <v>0</v>
      </c>
      <c r="N4739">
        <f>Data!H4751</f>
        <v>0</v>
      </c>
      <c r="O4739">
        <f>Data!I4751</f>
        <v>0</v>
      </c>
      <c r="P4739" s="21">
        <f>Data!J4755</f>
        <v>0</v>
      </c>
      <c r="Q4739">
        <f>Data!K4755</f>
        <v>0</v>
      </c>
      <c r="R4739">
        <f>Data!L4755</f>
        <v>0</v>
      </c>
      <c r="S4739">
        <f>Data!M4755</f>
        <v>0</v>
      </c>
      <c r="T4739">
        <f>Data!N4755</f>
        <v>0</v>
      </c>
      <c r="U4739">
        <f>Data!O4755</f>
        <v>0</v>
      </c>
      <c r="V4739" s="33">
        <f>Data!P4753</f>
        <v>0</v>
      </c>
    </row>
    <row r="4740" spans="7:22" x14ac:dyDescent="0.25">
      <c r="G4740">
        <f>Data!B4752</f>
        <v>0</v>
      </c>
      <c r="H4740" s="21">
        <f>Data!B4752</f>
        <v>0</v>
      </c>
      <c r="I4740" s="21">
        <f>Data!C4752</f>
        <v>0</v>
      </c>
      <c r="J4740">
        <f>Data!D4752</f>
        <v>0</v>
      </c>
      <c r="K4740">
        <f>Data!E4752</f>
        <v>0</v>
      </c>
      <c r="L4740">
        <f>Data!F4752</f>
        <v>0</v>
      </c>
      <c r="M4740">
        <f>Data!G4752</f>
        <v>0</v>
      </c>
      <c r="N4740">
        <f>Data!H4752</f>
        <v>0</v>
      </c>
      <c r="O4740">
        <f>Data!I4752</f>
        <v>0</v>
      </c>
      <c r="P4740" s="21">
        <f>Data!J4756</f>
        <v>0</v>
      </c>
      <c r="Q4740">
        <f>Data!K4756</f>
        <v>0</v>
      </c>
      <c r="R4740">
        <f>Data!L4756</f>
        <v>0</v>
      </c>
      <c r="S4740">
        <f>Data!M4756</f>
        <v>0</v>
      </c>
      <c r="T4740">
        <f>Data!N4756</f>
        <v>0</v>
      </c>
      <c r="U4740">
        <f>Data!O4756</f>
        <v>0</v>
      </c>
      <c r="V4740" s="33">
        <f>Data!P4754</f>
        <v>0</v>
      </c>
    </row>
    <row r="4741" spans="7:22" x14ac:dyDescent="0.25">
      <c r="G4741">
        <f>Data!B4753</f>
        <v>0</v>
      </c>
      <c r="H4741" s="21">
        <f>Data!B4753</f>
        <v>0</v>
      </c>
      <c r="I4741" s="21">
        <f>Data!C4753</f>
        <v>0</v>
      </c>
      <c r="J4741">
        <f>Data!D4753</f>
        <v>0</v>
      </c>
      <c r="K4741">
        <f>Data!E4753</f>
        <v>0</v>
      </c>
      <c r="L4741">
        <f>Data!F4753</f>
        <v>0</v>
      </c>
      <c r="M4741">
        <f>Data!G4753</f>
        <v>0</v>
      </c>
      <c r="N4741">
        <f>Data!H4753</f>
        <v>0</v>
      </c>
      <c r="O4741">
        <f>Data!I4753</f>
        <v>0</v>
      </c>
      <c r="P4741" s="21">
        <f>Data!J4757</f>
        <v>0</v>
      </c>
      <c r="Q4741">
        <f>Data!K4757</f>
        <v>0</v>
      </c>
      <c r="R4741">
        <f>Data!L4757</f>
        <v>0</v>
      </c>
      <c r="S4741">
        <f>Data!M4757</f>
        <v>0</v>
      </c>
      <c r="T4741">
        <f>Data!N4757</f>
        <v>0</v>
      </c>
      <c r="U4741">
        <f>Data!O4757</f>
        <v>0</v>
      </c>
      <c r="V4741" s="33">
        <f>Data!P4755</f>
        <v>0</v>
      </c>
    </row>
    <row r="4742" spans="7:22" x14ac:dyDescent="0.25">
      <c r="G4742">
        <f>Data!B4754</f>
        <v>0</v>
      </c>
      <c r="H4742" s="21">
        <f>Data!B4754</f>
        <v>0</v>
      </c>
      <c r="I4742" s="21">
        <f>Data!C4754</f>
        <v>0</v>
      </c>
      <c r="J4742">
        <f>Data!D4754</f>
        <v>0</v>
      </c>
      <c r="K4742">
        <f>Data!E4754</f>
        <v>0</v>
      </c>
      <c r="L4742">
        <f>Data!F4754</f>
        <v>0</v>
      </c>
      <c r="M4742">
        <f>Data!G4754</f>
        <v>0</v>
      </c>
      <c r="N4742">
        <f>Data!H4754</f>
        <v>0</v>
      </c>
      <c r="O4742">
        <f>Data!I4754</f>
        <v>0</v>
      </c>
      <c r="P4742" s="21">
        <f>Data!J4758</f>
        <v>0</v>
      </c>
      <c r="Q4742">
        <f>Data!K4758</f>
        <v>0</v>
      </c>
      <c r="R4742">
        <f>Data!L4758</f>
        <v>0</v>
      </c>
      <c r="S4742">
        <f>Data!M4758</f>
        <v>0</v>
      </c>
      <c r="T4742">
        <f>Data!N4758</f>
        <v>0</v>
      </c>
      <c r="U4742">
        <f>Data!O4758</f>
        <v>0</v>
      </c>
      <c r="V4742" s="33">
        <f>Data!P4756</f>
        <v>0</v>
      </c>
    </row>
    <row r="4743" spans="7:22" x14ac:dyDescent="0.25">
      <c r="G4743">
        <f>Data!B4755</f>
        <v>0</v>
      </c>
      <c r="H4743" s="21">
        <f>Data!B4755</f>
        <v>0</v>
      </c>
      <c r="I4743" s="21">
        <f>Data!C4755</f>
        <v>0</v>
      </c>
      <c r="J4743">
        <f>Data!D4755</f>
        <v>0</v>
      </c>
      <c r="K4743">
        <f>Data!E4755</f>
        <v>0</v>
      </c>
      <c r="L4743">
        <f>Data!F4755</f>
        <v>0</v>
      </c>
      <c r="M4743">
        <f>Data!G4755</f>
        <v>0</v>
      </c>
      <c r="N4743">
        <f>Data!H4755</f>
        <v>0</v>
      </c>
      <c r="O4743">
        <f>Data!I4755</f>
        <v>0</v>
      </c>
      <c r="P4743" s="21">
        <f>Data!J4759</f>
        <v>0</v>
      </c>
      <c r="Q4743">
        <f>Data!K4759</f>
        <v>0</v>
      </c>
      <c r="R4743">
        <f>Data!L4759</f>
        <v>0</v>
      </c>
      <c r="S4743">
        <f>Data!M4759</f>
        <v>0</v>
      </c>
      <c r="T4743">
        <f>Data!N4759</f>
        <v>0</v>
      </c>
      <c r="U4743">
        <f>Data!O4759</f>
        <v>0</v>
      </c>
      <c r="V4743" s="33">
        <f>Data!P4757</f>
        <v>0</v>
      </c>
    </row>
    <row r="4744" spans="7:22" x14ac:dyDescent="0.25">
      <c r="G4744">
        <f>Data!B4756</f>
        <v>0</v>
      </c>
      <c r="H4744" s="21">
        <f>Data!B4756</f>
        <v>0</v>
      </c>
      <c r="I4744" s="21">
        <f>Data!C4756</f>
        <v>0</v>
      </c>
      <c r="J4744">
        <f>Data!D4756</f>
        <v>0</v>
      </c>
      <c r="K4744">
        <f>Data!E4756</f>
        <v>0</v>
      </c>
      <c r="L4744">
        <f>Data!F4756</f>
        <v>0</v>
      </c>
      <c r="M4744">
        <f>Data!G4756</f>
        <v>0</v>
      </c>
      <c r="N4744">
        <f>Data!H4756</f>
        <v>0</v>
      </c>
      <c r="O4744">
        <f>Data!I4756</f>
        <v>0</v>
      </c>
      <c r="P4744" s="21">
        <f>Data!J4760</f>
        <v>0</v>
      </c>
      <c r="Q4744">
        <f>Data!K4760</f>
        <v>0</v>
      </c>
      <c r="R4744">
        <f>Data!L4760</f>
        <v>0</v>
      </c>
      <c r="S4744">
        <f>Data!M4760</f>
        <v>0</v>
      </c>
      <c r="T4744">
        <f>Data!N4760</f>
        <v>0</v>
      </c>
      <c r="U4744">
        <f>Data!O4760</f>
        <v>0</v>
      </c>
      <c r="V4744" s="33">
        <f>Data!P4758</f>
        <v>0</v>
      </c>
    </row>
    <row r="4745" spans="7:22" x14ac:dyDescent="0.25">
      <c r="G4745">
        <f>Data!B4757</f>
        <v>0</v>
      </c>
      <c r="H4745" s="21">
        <f>Data!B4757</f>
        <v>0</v>
      </c>
      <c r="I4745" s="21">
        <f>Data!C4757</f>
        <v>0</v>
      </c>
      <c r="J4745">
        <f>Data!D4757</f>
        <v>0</v>
      </c>
      <c r="K4745">
        <f>Data!E4757</f>
        <v>0</v>
      </c>
      <c r="L4745">
        <f>Data!F4757</f>
        <v>0</v>
      </c>
      <c r="M4745">
        <f>Data!G4757</f>
        <v>0</v>
      </c>
      <c r="N4745">
        <f>Data!H4757</f>
        <v>0</v>
      </c>
      <c r="O4745">
        <f>Data!I4757</f>
        <v>0</v>
      </c>
      <c r="P4745" s="21">
        <f>Data!J4761</f>
        <v>0</v>
      </c>
      <c r="Q4745">
        <f>Data!K4761</f>
        <v>0</v>
      </c>
      <c r="R4745">
        <f>Data!L4761</f>
        <v>0</v>
      </c>
      <c r="S4745">
        <f>Data!M4761</f>
        <v>0</v>
      </c>
      <c r="T4745">
        <f>Data!N4761</f>
        <v>0</v>
      </c>
      <c r="U4745">
        <f>Data!O4761</f>
        <v>0</v>
      </c>
      <c r="V4745" s="33">
        <f>Data!P4759</f>
        <v>0</v>
      </c>
    </row>
    <row r="4746" spans="7:22" x14ac:dyDescent="0.25">
      <c r="G4746">
        <f>Data!B4758</f>
        <v>0</v>
      </c>
      <c r="H4746" s="21">
        <f>Data!B4758</f>
        <v>0</v>
      </c>
      <c r="I4746" s="21">
        <f>Data!C4758</f>
        <v>0</v>
      </c>
      <c r="J4746">
        <f>Data!D4758</f>
        <v>0</v>
      </c>
      <c r="K4746">
        <f>Data!E4758</f>
        <v>0</v>
      </c>
      <c r="L4746">
        <f>Data!F4758</f>
        <v>0</v>
      </c>
      <c r="M4746">
        <f>Data!G4758</f>
        <v>0</v>
      </c>
      <c r="N4746">
        <f>Data!H4758</f>
        <v>0</v>
      </c>
      <c r="O4746">
        <f>Data!I4758</f>
        <v>0</v>
      </c>
      <c r="P4746" s="21">
        <f>Data!J4762</f>
        <v>0</v>
      </c>
      <c r="Q4746">
        <f>Data!K4762</f>
        <v>0</v>
      </c>
      <c r="R4746">
        <f>Data!L4762</f>
        <v>0</v>
      </c>
      <c r="S4746">
        <f>Data!M4762</f>
        <v>0</v>
      </c>
      <c r="T4746">
        <f>Data!N4762</f>
        <v>0</v>
      </c>
      <c r="U4746">
        <f>Data!O4762</f>
        <v>0</v>
      </c>
      <c r="V4746" s="33">
        <f>Data!P4760</f>
        <v>0</v>
      </c>
    </row>
    <row r="4747" spans="7:22" x14ac:dyDescent="0.25">
      <c r="G4747">
        <f>Data!B4759</f>
        <v>0</v>
      </c>
      <c r="H4747" s="21">
        <f>Data!B4759</f>
        <v>0</v>
      </c>
      <c r="I4747" s="21">
        <f>Data!C4759</f>
        <v>0</v>
      </c>
      <c r="J4747">
        <f>Data!D4759</f>
        <v>0</v>
      </c>
      <c r="K4747">
        <f>Data!E4759</f>
        <v>0</v>
      </c>
      <c r="L4747">
        <f>Data!F4759</f>
        <v>0</v>
      </c>
      <c r="M4747">
        <f>Data!G4759</f>
        <v>0</v>
      </c>
      <c r="N4747">
        <f>Data!H4759</f>
        <v>0</v>
      </c>
      <c r="O4747">
        <f>Data!I4759</f>
        <v>0</v>
      </c>
      <c r="P4747" s="21">
        <f>Data!J4763</f>
        <v>0</v>
      </c>
      <c r="Q4747">
        <f>Data!K4763</f>
        <v>0</v>
      </c>
      <c r="R4747">
        <f>Data!L4763</f>
        <v>0</v>
      </c>
      <c r="S4747">
        <f>Data!M4763</f>
        <v>0</v>
      </c>
      <c r="T4747">
        <f>Data!N4763</f>
        <v>0</v>
      </c>
      <c r="U4747">
        <f>Data!O4763</f>
        <v>0</v>
      </c>
      <c r="V4747" s="33">
        <f>Data!P4761</f>
        <v>0</v>
      </c>
    </row>
    <row r="4748" spans="7:22" x14ac:dyDescent="0.25">
      <c r="G4748">
        <f>Data!B4760</f>
        <v>0</v>
      </c>
      <c r="H4748" s="21">
        <f>Data!B4760</f>
        <v>0</v>
      </c>
      <c r="I4748" s="21">
        <f>Data!C4760</f>
        <v>0</v>
      </c>
      <c r="J4748">
        <f>Data!D4760</f>
        <v>0</v>
      </c>
      <c r="K4748">
        <f>Data!E4760</f>
        <v>0</v>
      </c>
      <c r="L4748">
        <f>Data!F4760</f>
        <v>0</v>
      </c>
      <c r="M4748">
        <f>Data!G4760</f>
        <v>0</v>
      </c>
      <c r="N4748">
        <f>Data!H4760</f>
        <v>0</v>
      </c>
      <c r="O4748">
        <f>Data!I4760</f>
        <v>0</v>
      </c>
      <c r="P4748" s="21">
        <f>Data!J4764</f>
        <v>0</v>
      </c>
      <c r="Q4748">
        <f>Data!K4764</f>
        <v>0</v>
      </c>
      <c r="R4748">
        <f>Data!L4764</f>
        <v>0</v>
      </c>
      <c r="S4748">
        <f>Data!M4764</f>
        <v>0</v>
      </c>
      <c r="T4748">
        <f>Data!N4764</f>
        <v>0</v>
      </c>
      <c r="U4748">
        <f>Data!O4764</f>
        <v>0</v>
      </c>
      <c r="V4748" s="33">
        <f>Data!P4762</f>
        <v>0</v>
      </c>
    </row>
    <row r="4749" spans="7:22" x14ac:dyDescent="0.25">
      <c r="G4749">
        <f>Data!B4761</f>
        <v>0</v>
      </c>
      <c r="H4749" s="21">
        <f>Data!B4761</f>
        <v>0</v>
      </c>
      <c r="I4749" s="21">
        <f>Data!C4761</f>
        <v>0</v>
      </c>
      <c r="J4749">
        <f>Data!D4761</f>
        <v>0</v>
      </c>
      <c r="K4749">
        <f>Data!E4761</f>
        <v>0</v>
      </c>
      <c r="L4749">
        <f>Data!F4761</f>
        <v>0</v>
      </c>
      <c r="M4749">
        <f>Data!G4761</f>
        <v>0</v>
      </c>
      <c r="N4749">
        <f>Data!H4761</f>
        <v>0</v>
      </c>
      <c r="O4749">
        <f>Data!I4761</f>
        <v>0</v>
      </c>
      <c r="P4749" s="21">
        <f>Data!J4765</f>
        <v>0</v>
      </c>
      <c r="Q4749">
        <f>Data!K4765</f>
        <v>0</v>
      </c>
      <c r="R4749">
        <f>Data!L4765</f>
        <v>0</v>
      </c>
      <c r="S4749">
        <f>Data!M4765</f>
        <v>0</v>
      </c>
      <c r="T4749">
        <f>Data!N4765</f>
        <v>0</v>
      </c>
      <c r="U4749">
        <f>Data!O4765</f>
        <v>0</v>
      </c>
      <c r="V4749" s="33">
        <f>Data!P4763</f>
        <v>0</v>
      </c>
    </row>
    <row r="4750" spans="7:22" x14ac:dyDescent="0.25">
      <c r="G4750">
        <f>Data!B4762</f>
        <v>0</v>
      </c>
      <c r="H4750" s="21">
        <f>Data!B4762</f>
        <v>0</v>
      </c>
      <c r="I4750" s="21">
        <f>Data!C4762</f>
        <v>0</v>
      </c>
      <c r="J4750">
        <f>Data!D4762</f>
        <v>0</v>
      </c>
      <c r="K4750">
        <f>Data!E4762</f>
        <v>0</v>
      </c>
      <c r="L4750">
        <f>Data!F4762</f>
        <v>0</v>
      </c>
      <c r="M4750">
        <f>Data!G4762</f>
        <v>0</v>
      </c>
      <c r="N4750">
        <f>Data!H4762</f>
        <v>0</v>
      </c>
      <c r="O4750">
        <f>Data!I4762</f>
        <v>0</v>
      </c>
      <c r="P4750" s="21">
        <f>Data!J4766</f>
        <v>0</v>
      </c>
      <c r="Q4750">
        <f>Data!K4766</f>
        <v>0</v>
      </c>
      <c r="R4750">
        <f>Data!L4766</f>
        <v>0</v>
      </c>
      <c r="S4750">
        <f>Data!M4766</f>
        <v>0</v>
      </c>
      <c r="T4750">
        <f>Data!N4766</f>
        <v>0</v>
      </c>
      <c r="U4750">
        <f>Data!O4766</f>
        <v>0</v>
      </c>
      <c r="V4750" s="33">
        <f>Data!P4764</f>
        <v>0</v>
      </c>
    </row>
    <row r="4751" spans="7:22" x14ac:dyDescent="0.25">
      <c r="G4751">
        <f>Data!B4763</f>
        <v>0</v>
      </c>
      <c r="H4751" s="21">
        <f>Data!B4763</f>
        <v>0</v>
      </c>
      <c r="I4751" s="21">
        <f>Data!C4763</f>
        <v>0</v>
      </c>
      <c r="J4751">
        <f>Data!D4763</f>
        <v>0</v>
      </c>
      <c r="K4751">
        <f>Data!E4763</f>
        <v>0</v>
      </c>
      <c r="L4751">
        <f>Data!F4763</f>
        <v>0</v>
      </c>
      <c r="M4751">
        <f>Data!G4763</f>
        <v>0</v>
      </c>
      <c r="N4751">
        <f>Data!H4763</f>
        <v>0</v>
      </c>
      <c r="O4751">
        <f>Data!I4763</f>
        <v>0</v>
      </c>
      <c r="P4751" s="21">
        <f>Data!J4767</f>
        <v>0</v>
      </c>
      <c r="Q4751">
        <f>Data!K4767</f>
        <v>0</v>
      </c>
      <c r="R4751">
        <f>Data!L4767</f>
        <v>0</v>
      </c>
      <c r="S4751">
        <f>Data!M4767</f>
        <v>0</v>
      </c>
      <c r="T4751">
        <f>Data!N4767</f>
        <v>0</v>
      </c>
      <c r="U4751">
        <f>Data!O4767</f>
        <v>0</v>
      </c>
      <c r="V4751" s="33">
        <f>Data!P4765</f>
        <v>0</v>
      </c>
    </row>
    <row r="4752" spans="7:22" x14ac:dyDescent="0.25">
      <c r="G4752">
        <f>Data!B4764</f>
        <v>0</v>
      </c>
      <c r="H4752" s="21">
        <f>Data!B4764</f>
        <v>0</v>
      </c>
      <c r="I4752" s="21">
        <f>Data!C4764</f>
        <v>0</v>
      </c>
      <c r="J4752">
        <f>Data!D4764</f>
        <v>0</v>
      </c>
      <c r="K4752">
        <f>Data!E4764</f>
        <v>0</v>
      </c>
      <c r="L4752">
        <f>Data!F4764</f>
        <v>0</v>
      </c>
      <c r="M4752">
        <f>Data!G4764</f>
        <v>0</v>
      </c>
      <c r="N4752">
        <f>Data!H4764</f>
        <v>0</v>
      </c>
      <c r="O4752">
        <f>Data!I4764</f>
        <v>0</v>
      </c>
      <c r="P4752" s="21">
        <f>Data!J4768</f>
        <v>0</v>
      </c>
      <c r="Q4752">
        <f>Data!K4768</f>
        <v>0</v>
      </c>
      <c r="R4752">
        <f>Data!L4768</f>
        <v>0</v>
      </c>
      <c r="S4752">
        <f>Data!M4768</f>
        <v>0</v>
      </c>
      <c r="T4752">
        <f>Data!N4768</f>
        <v>0</v>
      </c>
      <c r="U4752">
        <f>Data!O4768</f>
        <v>0</v>
      </c>
      <c r="V4752" s="33">
        <f>Data!P4766</f>
        <v>0</v>
      </c>
    </row>
    <row r="4753" spans="7:22" x14ac:dyDescent="0.25">
      <c r="G4753">
        <f>Data!B4765</f>
        <v>0</v>
      </c>
      <c r="H4753" s="21">
        <f>Data!B4765</f>
        <v>0</v>
      </c>
      <c r="I4753" s="21">
        <f>Data!C4765</f>
        <v>0</v>
      </c>
      <c r="J4753">
        <f>Data!D4765</f>
        <v>0</v>
      </c>
      <c r="K4753">
        <f>Data!E4765</f>
        <v>0</v>
      </c>
      <c r="L4753">
        <f>Data!F4765</f>
        <v>0</v>
      </c>
      <c r="M4753">
        <f>Data!G4765</f>
        <v>0</v>
      </c>
      <c r="N4753">
        <f>Data!H4765</f>
        <v>0</v>
      </c>
      <c r="O4753">
        <f>Data!I4765</f>
        <v>0</v>
      </c>
      <c r="P4753" s="21">
        <f>Data!J4769</f>
        <v>0</v>
      </c>
      <c r="Q4753">
        <f>Data!K4769</f>
        <v>0</v>
      </c>
      <c r="R4753">
        <f>Data!L4769</f>
        <v>0</v>
      </c>
      <c r="S4753">
        <f>Data!M4769</f>
        <v>0</v>
      </c>
      <c r="T4753">
        <f>Data!N4769</f>
        <v>0</v>
      </c>
      <c r="U4753">
        <f>Data!O4769</f>
        <v>0</v>
      </c>
      <c r="V4753" s="33">
        <f>Data!P4767</f>
        <v>0</v>
      </c>
    </row>
    <row r="4754" spans="7:22" x14ac:dyDescent="0.25">
      <c r="G4754">
        <f>Data!B4766</f>
        <v>0</v>
      </c>
      <c r="H4754" s="21">
        <f>Data!B4766</f>
        <v>0</v>
      </c>
      <c r="I4754" s="21">
        <f>Data!C4766</f>
        <v>0</v>
      </c>
      <c r="J4754">
        <f>Data!D4766</f>
        <v>0</v>
      </c>
      <c r="K4754">
        <f>Data!E4766</f>
        <v>0</v>
      </c>
      <c r="L4754">
        <f>Data!F4766</f>
        <v>0</v>
      </c>
      <c r="M4754">
        <f>Data!G4766</f>
        <v>0</v>
      </c>
      <c r="N4754">
        <f>Data!H4766</f>
        <v>0</v>
      </c>
      <c r="O4754">
        <f>Data!I4766</f>
        <v>0</v>
      </c>
      <c r="P4754" s="21">
        <f>Data!J4770</f>
        <v>0</v>
      </c>
      <c r="Q4754">
        <f>Data!K4770</f>
        <v>0</v>
      </c>
      <c r="R4754">
        <f>Data!L4770</f>
        <v>0</v>
      </c>
      <c r="S4754">
        <f>Data!M4770</f>
        <v>0</v>
      </c>
      <c r="T4754">
        <f>Data!N4770</f>
        <v>0</v>
      </c>
      <c r="U4754">
        <f>Data!O4770</f>
        <v>0</v>
      </c>
      <c r="V4754" s="33">
        <f>Data!P4768</f>
        <v>0</v>
      </c>
    </row>
    <row r="4755" spans="7:22" x14ac:dyDescent="0.25">
      <c r="G4755">
        <f>Data!B4767</f>
        <v>0</v>
      </c>
      <c r="H4755" s="21">
        <f>Data!B4767</f>
        <v>0</v>
      </c>
      <c r="I4755" s="21">
        <f>Data!C4767</f>
        <v>0</v>
      </c>
      <c r="J4755">
        <f>Data!D4767</f>
        <v>0</v>
      </c>
      <c r="K4755">
        <f>Data!E4767</f>
        <v>0</v>
      </c>
      <c r="L4755">
        <f>Data!F4767</f>
        <v>0</v>
      </c>
      <c r="M4755">
        <f>Data!G4767</f>
        <v>0</v>
      </c>
      <c r="N4755">
        <f>Data!H4767</f>
        <v>0</v>
      </c>
      <c r="O4755">
        <f>Data!I4767</f>
        <v>0</v>
      </c>
      <c r="P4755" s="21">
        <f>Data!J4771</f>
        <v>0</v>
      </c>
      <c r="Q4755">
        <f>Data!K4771</f>
        <v>0</v>
      </c>
      <c r="R4755">
        <f>Data!L4771</f>
        <v>0</v>
      </c>
      <c r="S4755">
        <f>Data!M4771</f>
        <v>0</v>
      </c>
      <c r="T4755">
        <f>Data!N4771</f>
        <v>0</v>
      </c>
      <c r="U4755">
        <f>Data!O4771</f>
        <v>0</v>
      </c>
      <c r="V4755" s="33">
        <f>Data!P4769</f>
        <v>0</v>
      </c>
    </row>
    <row r="4756" spans="7:22" x14ac:dyDescent="0.25">
      <c r="G4756">
        <f>Data!B4768</f>
        <v>0</v>
      </c>
      <c r="H4756" s="21">
        <f>Data!B4768</f>
        <v>0</v>
      </c>
      <c r="I4756" s="21">
        <f>Data!C4768</f>
        <v>0</v>
      </c>
      <c r="J4756">
        <f>Data!D4768</f>
        <v>0</v>
      </c>
      <c r="K4756">
        <f>Data!E4768</f>
        <v>0</v>
      </c>
      <c r="L4756">
        <f>Data!F4768</f>
        <v>0</v>
      </c>
      <c r="M4756">
        <f>Data!G4768</f>
        <v>0</v>
      </c>
      <c r="N4756">
        <f>Data!H4768</f>
        <v>0</v>
      </c>
      <c r="O4756">
        <f>Data!I4768</f>
        <v>0</v>
      </c>
      <c r="P4756" s="21">
        <f>Data!J4772</f>
        <v>0</v>
      </c>
      <c r="Q4756">
        <f>Data!K4772</f>
        <v>0</v>
      </c>
      <c r="R4756">
        <f>Data!L4772</f>
        <v>0</v>
      </c>
      <c r="S4756">
        <f>Data!M4772</f>
        <v>0</v>
      </c>
      <c r="T4756">
        <f>Data!N4772</f>
        <v>0</v>
      </c>
      <c r="U4756">
        <f>Data!O4772</f>
        <v>0</v>
      </c>
      <c r="V4756" s="33">
        <f>Data!P4770</f>
        <v>0</v>
      </c>
    </row>
    <row r="4757" spans="7:22" x14ac:dyDescent="0.25">
      <c r="G4757">
        <f>Data!B4769</f>
        <v>0</v>
      </c>
      <c r="H4757" s="21">
        <f>Data!B4769</f>
        <v>0</v>
      </c>
      <c r="I4757" s="21">
        <f>Data!C4769</f>
        <v>0</v>
      </c>
      <c r="J4757">
        <f>Data!D4769</f>
        <v>0</v>
      </c>
      <c r="K4757">
        <f>Data!E4769</f>
        <v>0</v>
      </c>
      <c r="L4757">
        <f>Data!F4769</f>
        <v>0</v>
      </c>
      <c r="M4757">
        <f>Data!G4769</f>
        <v>0</v>
      </c>
      <c r="N4757">
        <f>Data!H4769</f>
        <v>0</v>
      </c>
      <c r="O4757">
        <f>Data!I4769</f>
        <v>0</v>
      </c>
      <c r="P4757" s="21">
        <f>Data!J4773</f>
        <v>0</v>
      </c>
      <c r="Q4757">
        <f>Data!K4773</f>
        <v>0</v>
      </c>
      <c r="R4757">
        <f>Data!L4773</f>
        <v>0</v>
      </c>
      <c r="S4757">
        <f>Data!M4773</f>
        <v>0</v>
      </c>
      <c r="T4757">
        <f>Data!N4773</f>
        <v>0</v>
      </c>
      <c r="U4757">
        <f>Data!O4773</f>
        <v>0</v>
      </c>
      <c r="V4757" s="33">
        <f>Data!P4771</f>
        <v>0</v>
      </c>
    </row>
    <row r="4758" spans="7:22" x14ac:dyDescent="0.25">
      <c r="G4758">
        <f>Data!B4770</f>
        <v>0</v>
      </c>
      <c r="H4758" s="21">
        <f>Data!B4770</f>
        <v>0</v>
      </c>
      <c r="I4758" s="21">
        <f>Data!C4770</f>
        <v>0</v>
      </c>
      <c r="J4758">
        <f>Data!D4770</f>
        <v>0</v>
      </c>
      <c r="K4758">
        <f>Data!E4770</f>
        <v>0</v>
      </c>
      <c r="L4758">
        <f>Data!F4770</f>
        <v>0</v>
      </c>
      <c r="M4758">
        <f>Data!G4770</f>
        <v>0</v>
      </c>
      <c r="N4758">
        <f>Data!H4770</f>
        <v>0</v>
      </c>
      <c r="O4758">
        <f>Data!I4770</f>
        <v>0</v>
      </c>
      <c r="P4758" s="21">
        <f>Data!J4774</f>
        <v>0</v>
      </c>
      <c r="Q4758">
        <f>Data!K4774</f>
        <v>0</v>
      </c>
      <c r="R4758">
        <f>Data!L4774</f>
        <v>0</v>
      </c>
      <c r="S4758">
        <f>Data!M4774</f>
        <v>0</v>
      </c>
      <c r="T4758">
        <f>Data!N4774</f>
        <v>0</v>
      </c>
      <c r="U4758">
        <f>Data!O4774</f>
        <v>0</v>
      </c>
      <c r="V4758" s="33">
        <f>Data!P4772</f>
        <v>0</v>
      </c>
    </row>
    <row r="4759" spans="7:22" x14ac:dyDescent="0.25">
      <c r="G4759">
        <f>Data!B4771</f>
        <v>0</v>
      </c>
      <c r="H4759" s="21">
        <f>Data!B4771</f>
        <v>0</v>
      </c>
      <c r="I4759" s="21">
        <f>Data!C4771</f>
        <v>0</v>
      </c>
      <c r="J4759">
        <f>Data!D4771</f>
        <v>0</v>
      </c>
      <c r="K4759">
        <f>Data!E4771</f>
        <v>0</v>
      </c>
      <c r="L4759">
        <f>Data!F4771</f>
        <v>0</v>
      </c>
      <c r="M4759">
        <f>Data!G4771</f>
        <v>0</v>
      </c>
      <c r="N4759">
        <f>Data!H4771</f>
        <v>0</v>
      </c>
      <c r="O4759">
        <f>Data!I4771</f>
        <v>0</v>
      </c>
      <c r="P4759" s="21">
        <f>Data!J4775</f>
        <v>0</v>
      </c>
      <c r="Q4759">
        <f>Data!K4775</f>
        <v>0</v>
      </c>
      <c r="R4759">
        <f>Data!L4775</f>
        <v>0</v>
      </c>
      <c r="S4759">
        <f>Data!M4775</f>
        <v>0</v>
      </c>
      <c r="T4759">
        <f>Data!N4775</f>
        <v>0</v>
      </c>
      <c r="U4759">
        <f>Data!O4775</f>
        <v>0</v>
      </c>
      <c r="V4759" s="33">
        <f>Data!P4773</f>
        <v>0</v>
      </c>
    </row>
    <row r="4760" spans="7:22" x14ac:dyDescent="0.25">
      <c r="G4760">
        <f>Data!B4772</f>
        <v>0</v>
      </c>
      <c r="H4760" s="21">
        <f>Data!B4772</f>
        <v>0</v>
      </c>
      <c r="I4760" s="21">
        <f>Data!C4772</f>
        <v>0</v>
      </c>
      <c r="J4760">
        <f>Data!D4772</f>
        <v>0</v>
      </c>
      <c r="K4760">
        <f>Data!E4772</f>
        <v>0</v>
      </c>
      <c r="L4760">
        <f>Data!F4772</f>
        <v>0</v>
      </c>
      <c r="M4760">
        <f>Data!G4772</f>
        <v>0</v>
      </c>
      <c r="N4760">
        <f>Data!H4772</f>
        <v>0</v>
      </c>
      <c r="O4760">
        <f>Data!I4772</f>
        <v>0</v>
      </c>
      <c r="P4760" s="21">
        <f>Data!J4776</f>
        <v>0</v>
      </c>
      <c r="Q4760">
        <f>Data!K4776</f>
        <v>0</v>
      </c>
      <c r="R4760">
        <f>Data!L4776</f>
        <v>0</v>
      </c>
      <c r="S4760">
        <f>Data!M4776</f>
        <v>0</v>
      </c>
      <c r="T4760">
        <f>Data!N4776</f>
        <v>0</v>
      </c>
      <c r="U4760">
        <f>Data!O4776</f>
        <v>0</v>
      </c>
      <c r="V4760" s="33">
        <f>Data!P4774</f>
        <v>0</v>
      </c>
    </row>
    <row r="4761" spans="7:22" x14ac:dyDescent="0.25">
      <c r="G4761">
        <f>Data!B4773</f>
        <v>0</v>
      </c>
      <c r="H4761" s="21">
        <f>Data!B4773</f>
        <v>0</v>
      </c>
      <c r="I4761" s="21">
        <f>Data!C4773</f>
        <v>0</v>
      </c>
      <c r="J4761">
        <f>Data!D4773</f>
        <v>0</v>
      </c>
      <c r="K4761">
        <f>Data!E4773</f>
        <v>0</v>
      </c>
      <c r="L4761">
        <f>Data!F4773</f>
        <v>0</v>
      </c>
      <c r="M4761">
        <f>Data!G4773</f>
        <v>0</v>
      </c>
      <c r="N4761">
        <f>Data!H4773</f>
        <v>0</v>
      </c>
      <c r="O4761">
        <f>Data!I4773</f>
        <v>0</v>
      </c>
      <c r="P4761" s="21">
        <f>Data!J4777</f>
        <v>0</v>
      </c>
      <c r="Q4761">
        <f>Data!K4777</f>
        <v>0</v>
      </c>
      <c r="R4761">
        <f>Data!L4777</f>
        <v>0</v>
      </c>
      <c r="S4761">
        <f>Data!M4777</f>
        <v>0</v>
      </c>
      <c r="T4761">
        <f>Data!N4777</f>
        <v>0</v>
      </c>
      <c r="U4761">
        <f>Data!O4777</f>
        <v>0</v>
      </c>
      <c r="V4761" s="33">
        <f>Data!P4775</f>
        <v>0</v>
      </c>
    </row>
    <row r="4762" spans="7:22" x14ac:dyDescent="0.25">
      <c r="G4762">
        <f>Data!B4774</f>
        <v>0</v>
      </c>
      <c r="H4762" s="21">
        <f>Data!B4774</f>
        <v>0</v>
      </c>
      <c r="I4762" s="21">
        <f>Data!C4774</f>
        <v>0</v>
      </c>
      <c r="J4762">
        <f>Data!D4774</f>
        <v>0</v>
      </c>
      <c r="K4762">
        <f>Data!E4774</f>
        <v>0</v>
      </c>
      <c r="L4762">
        <f>Data!F4774</f>
        <v>0</v>
      </c>
      <c r="M4762">
        <f>Data!G4774</f>
        <v>0</v>
      </c>
      <c r="N4762">
        <f>Data!H4774</f>
        <v>0</v>
      </c>
      <c r="O4762">
        <f>Data!I4774</f>
        <v>0</v>
      </c>
      <c r="P4762" s="21">
        <f>Data!J4778</f>
        <v>0</v>
      </c>
      <c r="Q4762">
        <f>Data!K4778</f>
        <v>0</v>
      </c>
      <c r="R4762">
        <f>Data!L4778</f>
        <v>0</v>
      </c>
      <c r="S4762">
        <f>Data!M4778</f>
        <v>0</v>
      </c>
      <c r="T4762">
        <f>Data!N4778</f>
        <v>0</v>
      </c>
      <c r="U4762">
        <f>Data!O4778</f>
        <v>0</v>
      </c>
      <c r="V4762" s="33">
        <f>Data!P4776</f>
        <v>0</v>
      </c>
    </row>
    <row r="4763" spans="7:22" x14ac:dyDescent="0.25">
      <c r="G4763">
        <f>Data!B4775</f>
        <v>0</v>
      </c>
      <c r="H4763" s="21">
        <f>Data!B4775</f>
        <v>0</v>
      </c>
      <c r="I4763" s="21">
        <f>Data!C4775</f>
        <v>0</v>
      </c>
      <c r="J4763">
        <f>Data!D4775</f>
        <v>0</v>
      </c>
      <c r="K4763">
        <f>Data!E4775</f>
        <v>0</v>
      </c>
      <c r="L4763">
        <f>Data!F4775</f>
        <v>0</v>
      </c>
      <c r="M4763">
        <f>Data!G4775</f>
        <v>0</v>
      </c>
      <c r="N4763">
        <f>Data!H4775</f>
        <v>0</v>
      </c>
      <c r="O4763">
        <f>Data!I4775</f>
        <v>0</v>
      </c>
      <c r="P4763" s="21">
        <f>Data!J4779</f>
        <v>0</v>
      </c>
      <c r="Q4763">
        <f>Data!K4779</f>
        <v>0</v>
      </c>
      <c r="R4763">
        <f>Data!L4779</f>
        <v>0</v>
      </c>
      <c r="S4763">
        <f>Data!M4779</f>
        <v>0</v>
      </c>
      <c r="T4763">
        <f>Data!N4779</f>
        <v>0</v>
      </c>
      <c r="U4763">
        <f>Data!O4779</f>
        <v>0</v>
      </c>
      <c r="V4763" s="33">
        <f>Data!P4777</f>
        <v>0</v>
      </c>
    </row>
    <row r="4764" spans="7:22" x14ac:dyDescent="0.25">
      <c r="G4764">
        <f>Data!B4776</f>
        <v>0</v>
      </c>
      <c r="H4764" s="21">
        <f>Data!B4776</f>
        <v>0</v>
      </c>
      <c r="I4764" s="21">
        <f>Data!C4776</f>
        <v>0</v>
      </c>
      <c r="J4764">
        <f>Data!D4776</f>
        <v>0</v>
      </c>
      <c r="K4764">
        <f>Data!E4776</f>
        <v>0</v>
      </c>
      <c r="L4764">
        <f>Data!F4776</f>
        <v>0</v>
      </c>
      <c r="M4764">
        <f>Data!G4776</f>
        <v>0</v>
      </c>
      <c r="N4764">
        <f>Data!H4776</f>
        <v>0</v>
      </c>
      <c r="O4764">
        <f>Data!I4776</f>
        <v>0</v>
      </c>
      <c r="P4764" s="21">
        <f>Data!J4780</f>
        <v>0</v>
      </c>
      <c r="Q4764">
        <f>Data!K4780</f>
        <v>0</v>
      </c>
      <c r="R4764">
        <f>Data!L4780</f>
        <v>0</v>
      </c>
      <c r="S4764">
        <f>Data!M4780</f>
        <v>0</v>
      </c>
      <c r="T4764">
        <f>Data!N4780</f>
        <v>0</v>
      </c>
      <c r="U4764">
        <f>Data!O4780</f>
        <v>0</v>
      </c>
      <c r="V4764" s="33">
        <f>Data!P4778</f>
        <v>0</v>
      </c>
    </row>
    <row r="4765" spans="7:22" x14ac:dyDescent="0.25">
      <c r="G4765">
        <f>Data!B4777</f>
        <v>0</v>
      </c>
      <c r="H4765" s="21">
        <f>Data!B4777</f>
        <v>0</v>
      </c>
      <c r="I4765" s="21">
        <f>Data!C4777</f>
        <v>0</v>
      </c>
      <c r="J4765">
        <f>Data!D4777</f>
        <v>0</v>
      </c>
      <c r="K4765">
        <f>Data!E4777</f>
        <v>0</v>
      </c>
      <c r="L4765">
        <f>Data!F4777</f>
        <v>0</v>
      </c>
      <c r="M4765">
        <f>Data!G4777</f>
        <v>0</v>
      </c>
      <c r="N4765">
        <f>Data!H4777</f>
        <v>0</v>
      </c>
      <c r="O4765">
        <f>Data!I4777</f>
        <v>0</v>
      </c>
      <c r="P4765" s="21">
        <f>Data!J4781</f>
        <v>0</v>
      </c>
      <c r="Q4765">
        <f>Data!K4781</f>
        <v>0</v>
      </c>
      <c r="R4765">
        <f>Data!L4781</f>
        <v>0</v>
      </c>
      <c r="S4765">
        <f>Data!M4781</f>
        <v>0</v>
      </c>
      <c r="T4765">
        <f>Data!N4781</f>
        <v>0</v>
      </c>
      <c r="U4765">
        <f>Data!O4781</f>
        <v>0</v>
      </c>
      <c r="V4765" s="33">
        <f>Data!P4779</f>
        <v>0</v>
      </c>
    </row>
    <row r="4766" spans="7:22" x14ac:dyDescent="0.25">
      <c r="G4766">
        <f>Data!B4778</f>
        <v>0</v>
      </c>
      <c r="H4766" s="21">
        <f>Data!B4778</f>
        <v>0</v>
      </c>
      <c r="I4766" s="21">
        <f>Data!C4778</f>
        <v>0</v>
      </c>
      <c r="J4766">
        <f>Data!D4778</f>
        <v>0</v>
      </c>
      <c r="K4766">
        <f>Data!E4778</f>
        <v>0</v>
      </c>
      <c r="L4766">
        <f>Data!F4778</f>
        <v>0</v>
      </c>
      <c r="M4766">
        <f>Data!G4778</f>
        <v>0</v>
      </c>
      <c r="N4766">
        <f>Data!H4778</f>
        <v>0</v>
      </c>
      <c r="O4766">
        <f>Data!I4778</f>
        <v>0</v>
      </c>
      <c r="P4766" s="21">
        <f>Data!J4782</f>
        <v>0</v>
      </c>
      <c r="Q4766">
        <f>Data!K4782</f>
        <v>0</v>
      </c>
      <c r="R4766">
        <f>Data!L4782</f>
        <v>0</v>
      </c>
      <c r="S4766">
        <f>Data!M4782</f>
        <v>0</v>
      </c>
      <c r="T4766">
        <f>Data!N4782</f>
        <v>0</v>
      </c>
      <c r="U4766">
        <f>Data!O4782</f>
        <v>0</v>
      </c>
      <c r="V4766" s="33">
        <f>Data!P4780</f>
        <v>0</v>
      </c>
    </row>
    <row r="4767" spans="7:22" x14ac:dyDescent="0.25">
      <c r="G4767">
        <f>Data!B4779</f>
        <v>0</v>
      </c>
      <c r="H4767" s="21">
        <f>Data!B4779</f>
        <v>0</v>
      </c>
      <c r="I4767" s="21">
        <f>Data!C4779</f>
        <v>0</v>
      </c>
      <c r="J4767">
        <f>Data!D4779</f>
        <v>0</v>
      </c>
      <c r="K4767">
        <f>Data!E4779</f>
        <v>0</v>
      </c>
      <c r="L4767">
        <f>Data!F4779</f>
        <v>0</v>
      </c>
      <c r="M4767">
        <f>Data!G4779</f>
        <v>0</v>
      </c>
      <c r="N4767">
        <f>Data!H4779</f>
        <v>0</v>
      </c>
      <c r="O4767">
        <f>Data!I4779</f>
        <v>0</v>
      </c>
      <c r="P4767" s="21">
        <f>Data!J4783</f>
        <v>0</v>
      </c>
      <c r="Q4767">
        <f>Data!K4783</f>
        <v>0</v>
      </c>
      <c r="R4767">
        <f>Data!L4783</f>
        <v>0</v>
      </c>
      <c r="S4767">
        <f>Data!M4783</f>
        <v>0</v>
      </c>
      <c r="T4767">
        <f>Data!N4783</f>
        <v>0</v>
      </c>
      <c r="U4767">
        <f>Data!O4783</f>
        <v>0</v>
      </c>
      <c r="V4767" s="33">
        <f>Data!P4781</f>
        <v>0</v>
      </c>
    </row>
    <row r="4768" spans="7:22" x14ac:dyDescent="0.25">
      <c r="G4768">
        <f>Data!B4780</f>
        <v>0</v>
      </c>
      <c r="H4768" s="21">
        <f>Data!B4780</f>
        <v>0</v>
      </c>
      <c r="I4768" s="21">
        <f>Data!C4780</f>
        <v>0</v>
      </c>
      <c r="J4768">
        <f>Data!D4780</f>
        <v>0</v>
      </c>
      <c r="K4768">
        <f>Data!E4780</f>
        <v>0</v>
      </c>
      <c r="L4768">
        <f>Data!F4780</f>
        <v>0</v>
      </c>
      <c r="M4768">
        <f>Data!G4780</f>
        <v>0</v>
      </c>
      <c r="N4768">
        <f>Data!H4780</f>
        <v>0</v>
      </c>
      <c r="O4768">
        <f>Data!I4780</f>
        <v>0</v>
      </c>
      <c r="P4768" s="21">
        <f>Data!J4784</f>
        <v>0</v>
      </c>
      <c r="Q4768">
        <f>Data!K4784</f>
        <v>0</v>
      </c>
      <c r="R4768">
        <f>Data!L4784</f>
        <v>0</v>
      </c>
      <c r="S4768">
        <f>Data!M4784</f>
        <v>0</v>
      </c>
      <c r="T4768">
        <f>Data!N4784</f>
        <v>0</v>
      </c>
      <c r="U4768">
        <f>Data!O4784</f>
        <v>0</v>
      </c>
      <c r="V4768" s="33">
        <f>Data!P4782</f>
        <v>0</v>
      </c>
    </row>
    <row r="4769" spans="7:22" x14ac:dyDescent="0.25">
      <c r="G4769">
        <f>Data!B4781</f>
        <v>0</v>
      </c>
      <c r="H4769" s="21">
        <f>Data!B4781</f>
        <v>0</v>
      </c>
      <c r="I4769" s="21">
        <f>Data!C4781</f>
        <v>0</v>
      </c>
      <c r="J4769">
        <f>Data!D4781</f>
        <v>0</v>
      </c>
      <c r="K4769">
        <f>Data!E4781</f>
        <v>0</v>
      </c>
      <c r="L4769">
        <f>Data!F4781</f>
        <v>0</v>
      </c>
      <c r="M4769">
        <f>Data!G4781</f>
        <v>0</v>
      </c>
      <c r="N4769">
        <f>Data!H4781</f>
        <v>0</v>
      </c>
      <c r="O4769">
        <f>Data!I4781</f>
        <v>0</v>
      </c>
      <c r="P4769" s="21">
        <f>Data!J4785</f>
        <v>0</v>
      </c>
      <c r="Q4769">
        <f>Data!K4785</f>
        <v>0</v>
      </c>
      <c r="R4769">
        <f>Data!L4785</f>
        <v>0</v>
      </c>
      <c r="S4769">
        <f>Data!M4785</f>
        <v>0</v>
      </c>
      <c r="T4769">
        <f>Data!N4785</f>
        <v>0</v>
      </c>
      <c r="U4769">
        <f>Data!O4785</f>
        <v>0</v>
      </c>
      <c r="V4769" s="33">
        <f>Data!P4783</f>
        <v>0</v>
      </c>
    </row>
    <row r="4770" spans="7:22" x14ac:dyDescent="0.25">
      <c r="G4770">
        <f>Data!B4782</f>
        <v>0</v>
      </c>
      <c r="H4770" s="21">
        <f>Data!B4782</f>
        <v>0</v>
      </c>
      <c r="I4770" s="21">
        <f>Data!C4782</f>
        <v>0</v>
      </c>
      <c r="J4770">
        <f>Data!D4782</f>
        <v>0</v>
      </c>
      <c r="K4770">
        <f>Data!E4782</f>
        <v>0</v>
      </c>
      <c r="L4770">
        <f>Data!F4782</f>
        <v>0</v>
      </c>
      <c r="M4770">
        <f>Data!G4782</f>
        <v>0</v>
      </c>
      <c r="N4770">
        <f>Data!H4782</f>
        <v>0</v>
      </c>
      <c r="O4770">
        <f>Data!I4782</f>
        <v>0</v>
      </c>
      <c r="P4770" s="21">
        <f>Data!J4786</f>
        <v>0</v>
      </c>
      <c r="Q4770">
        <f>Data!K4786</f>
        <v>0</v>
      </c>
      <c r="R4770">
        <f>Data!L4786</f>
        <v>0</v>
      </c>
      <c r="S4770">
        <f>Data!M4786</f>
        <v>0</v>
      </c>
      <c r="T4770">
        <f>Data!N4786</f>
        <v>0</v>
      </c>
      <c r="U4770">
        <f>Data!O4786</f>
        <v>0</v>
      </c>
      <c r="V4770" s="33">
        <f>Data!P4784</f>
        <v>0</v>
      </c>
    </row>
    <row r="4771" spans="7:22" x14ac:dyDescent="0.25">
      <c r="G4771">
        <f>Data!B4783</f>
        <v>0</v>
      </c>
      <c r="H4771" s="21">
        <f>Data!B4783</f>
        <v>0</v>
      </c>
      <c r="I4771" s="21">
        <f>Data!C4783</f>
        <v>0</v>
      </c>
      <c r="J4771">
        <f>Data!D4783</f>
        <v>0</v>
      </c>
      <c r="K4771">
        <f>Data!E4783</f>
        <v>0</v>
      </c>
      <c r="L4771">
        <f>Data!F4783</f>
        <v>0</v>
      </c>
      <c r="M4771">
        <f>Data!G4783</f>
        <v>0</v>
      </c>
      <c r="N4771">
        <f>Data!H4783</f>
        <v>0</v>
      </c>
      <c r="O4771">
        <f>Data!I4783</f>
        <v>0</v>
      </c>
      <c r="P4771" s="21">
        <f>Data!J4787</f>
        <v>0</v>
      </c>
      <c r="Q4771">
        <f>Data!K4787</f>
        <v>0</v>
      </c>
      <c r="R4771">
        <f>Data!L4787</f>
        <v>0</v>
      </c>
      <c r="S4771">
        <f>Data!M4787</f>
        <v>0</v>
      </c>
      <c r="T4771">
        <f>Data!N4787</f>
        <v>0</v>
      </c>
      <c r="U4771">
        <f>Data!O4787</f>
        <v>0</v>
      </c>
      <c r="V4771" s="33">
        <f>Data!P4785</f>
        <v>0</v>
      </c>
    </row>
    <row r="4772" spans="7:22" x14ac:dyDescent="0.25">
      <c r="G4772">
        <f>Data!B4784</f>
        <v>0</v>
      </c>
      <c r="H4772" s="21">
        <f>Data!B4784</f>
        <v>0</v>
      </c>
      <c r="I4772" s="21">
        <f>Data!C4784</f>
        <v>0</v>
      </c>
      <c r="J4772">
        <f>Data!D4784</f>
        <v>0</v>
      </c>
      <c r="K4772">
        <f>Data!E4784</f>
        <v>0</v>
      </c>
      <c r="L4772">
        <f>Data!F4784</f>
        <v>0</v>
      </c>
      <c r="M4772">
        <f>Data!G4784</f>
        <v>0</v>
      </c>
      <c r="N4772">
        <f>Data!H4784</f>
        <v>0</v>
      </c>
      <c r="O4772">
        <f>Data!I4784</f>
        <v>0</v>
      </c>
      <c r="P4772" s="21">
        <f>Data!J4788</f>
        <v>0</v>
      </c>
      <c r="Q4772">
        <f>Data!K4788</f>
        <v>0</v>
      </c>
      <c r="R4772">
        <f>Data!L4788</f>
        <v>0</v>
      </c>
      <c r="S4772">
        <f>Data!M4788</f>
        <v>0</v>
      </c>
      <c r="T4772">
        <f>Data!N4788</f>
        <v>0</v>
      </c>
      <c r="U4772">
        <f>Data!O4788</f>
        <v>0</v>
      </c>
      <c r="V4772" s="33">
        <f>Data!P4786</f>
        <v>0</v>
      </c>
    </row>
    <row r="4773" spans="7:22" x14ac:dyDescent="0.25">
      <c r="G4773">
        <f>Data!B4785</f>
        <v>0</v>
      </c>
      <c r="H4773" s="21">
        <f>Data!B4785</f>
        <v>0</v>
      </c>
      <c r="I4773" s="21">
        <f>Data!C4785</f>
        <v>0</v>
      </c>
      <c r="J4773">
        <f>Data!D4785</f>
        <v>0</v>
      </c>
      <c r="K4773">
        <f>Data!E4785</f>
        <v>0</v>
      </c>
      <c r="L4773">
        <f>Data!F4785</f>
        <v>0</v>
      </c>
      <c r="M4773">
        <f>Data!G4785</f>
        <v>0</v>
      </c>
      <c r="N4773">
        <f>Data!H4785</f>
        <v>0</v>
      </c>
      <c r="O4773">
        <f>Data!I4785</f>
        <v>0</v>
      </c>
      <c r="P4773" s="21">
        <f>Data!J4789</f>
        <v>0</v>
      </c>
      <c r="Q4773">
        <f>Data!K4789</f>
        <v>0</v>
      </c>
      <c r="R4773">
        <f>Data!L4789</f>
        <v>0</v>
      </c>
      <c r="S4773">
        <f>Data!M4789</f>
        <v>0</v>
      </c>
      <c r="T4773">
        <f>Data!N4789</f>
        <v>0</v>
      </c>
      <c r="U4773">
        <f>Data!O4789</f>
        <v>0</v>
      </c>
      <c r="V4773" s="33">
        <f>Data!P4787</f>
        <v>0</v>
      </c>
    </row>
    <row r="4774" spans="7:22" x14ac:dyDescent="0.25">
      <c r="G4774">
        <f>Data!B4786</f>
        <v>0</v>
      </c>
      <c r="H4774" s="21">
        <f>Data!B4786</f>
        <v>0</v>
      </c>
      <c r="I4774" s="21">
        <f>Data!C4786</f>
        <v>0</v>
      </c>
      <c r="J4774">
        <f>Data!D4786</f>
        <v>0</v>
      </c>
      <c r="K4774">
        <f>Data!E4786</f>
        <v>0</v>
      </c>
      <c r="L4774">
        <f>Data!F4786</f>
        <v>0</v>
      </c>
      <c r="M4774">
        <f>Data!G4786</f>
        <v>0</v>
      </c>
      <c r="N4774">
        <f>Data!H4786</f>
        <v>0</v>
      </c>
      <c r="O4774">
        <f>Data!I4786</f>
        <v>0</v>
      </c>
      <c r="P4774" s="21">
        <f>Data!J4790</f>
        <v>0</v>
      </c>
      <c r="Q4774">
        <f>Data!K4790</f>
        <v>0</v>
      </c>
      <c r="R4774">
        <f>Data!L4790</f>
        <v>0</v>
      </c>
      <c r="S4774">
        <f>Data!M4790</f>
        <v>0</v>
      </c>
      <c r="T4774">
        <f>Data!N4790</f>
        <v>0</v>
      </c>
      <c r="U4774">
        <f>Data!O4790</f>
        <v>0</v>
      </c>
      <c r="V4774" s="33">
        <f>Data!P4788</f>
        <v>0</v>
      </c>
    </row>
    <row r="4775" spans="7:22" x14ac:dyDescent="0.25">
      <c r="G4775">
        <f>Data!B4787</f>
        <v>0</v>
      </c>
      <c r="H4775" s="21">
        <f>Data!B4787</f>
        <v>0</v>
      </c>
      <c r="I4775" s="21">
        <f>Data!C4787</f>
        <v>0</v>
      </c>
      <c r="J4775">
        <f>Data!D4787</f>
        <v>0</v>
      </c>
      <c r="K4775">
        <f>Data!E4787</f>
        <v>0</v>
      </c>
      <c r="L4775">
        <f>Data!F4787</f>
        <v>0</v>
      </c>
      <c r="M4775">
        <f>Data!G4787</f>
        <v>0</v>
      </c>
      <c r="N4775">
        <f>Data!H4787</f>
        <v>0</v>
      </c>
      <c r="O4775">
        <f>Data!I4787</f>
        <v>0</v>
      </c>
      <c r="P4775" s="21">
        <f>Data!J4791</f>
        <v>0</v>
      </c>
      <c r="Q4775">
        <f>Data!K4791</f>
        <v>0</v>
      </c>
      <c r="R4775">
        <f>Data!L4791</f>
        <v>0</v>
      </c>
      <c r="S4775">
        <f>Data!M4791</f>
        <v>0</v>
      </c>
      <c r="T4775">
        <f>Data!N4791</f>
        <v>0</v>
      </c>
      <c r="U4775">
        <f>Data!O4791</f>
        <v>0</v>
      </c>
      <c r="V4775" s="33">
        <f>Data!P4789</f>
        <v>0</v>
      </c>
    </row>
    <row r="4776" spans="7:22" x14ac:dyDescent="0.25">
      <c r="G4776">
        <f>Data!B4788</f>
        <v>0</v>
      </c>
      <c r="H4776" s="21">
        <f>Data!B4788</f>
        <v>0</v>
      </c>
      <c r="I4776" s="21">
        <f>Data!C4788</f>
        <v>0</v>
      </c>
      <c r="J4776">
        <f>Data!D4788</f>
        <v>0</v>
      </c>
      <c r="K4776">
        <f>Data!E4788</f>
        <v>0</v>
      </c>
      <c r="L4776">
        <f>Data!F4788</f>
        <v>0</v>
      </c>
      <c r="M4776">
        <f>Data!G4788</f>
        <v>0</v>
      </c>
      <c r="N4776">
        <f>Data!H4788</f>
        <v>0</v>
      </c>
      <c r="O4776">
        <f>Data!I4788</f>
        <v>0</v>
      </c>
      <c r="P4776" s="21">
        <f>Data!J4792</f>
        <v>0</v>
      </c>
      <c r="Q4776">
        <f>Data!K4792</f>
        <v>0</v>
      </c>
      <c r="R4776">
        <f>Data!L4792</f>
        <v>0</v>
      </c>
      <c r="S4776">
        <f>Data!M4792</f>
        <v>0</v>
      </c>
      <c r="T4776">
        <f>Data!N4792</f>
        <v>0</v>
      </c>
      <c r="U4776">
        <f>Data!O4792</f>
        <v>0</v>
      </c>
      <c r="V4776" s="33">
        <f>Data!P4790</f>
        <v>0</v>
      </c>
    </row>
    <row r="4777" spans="7:22" x14ac:dyDescent="0.25">
      <c r="G4777">
        <f>Data!B4789</f>
        <v>0</v>
      </c>
      <c r="H4777" s="21">
        <f>Data!B4789</f>
        <v>0</v>
      </c>
      <c r="I4777" s="21">
        <f>Data!C4789</f>
        <v>0</v>
      </c>
      <c r="J4777">
        <f>Data!D4789</f>
        <v>0</v>
      </c>
      <c r="K4777">
        <f>Data!E4789</f>
        <v>0</v>
      </c>
      <c r="L4777">
        <f>Data!F4789</f>
        <v>0</v>
      </c>
      <c r="M4777">
        <f>Data!G4789</f>
        <v>0</v>
      </c>
      <c r="N4777">
        <f>Data!H4789</f>
        <v>0</v>
      </c>
      <c r="O4777">
        <f>Data!I4789</f>
        <v>0</v>
      </c>
      <c r="P4777" s="21">
        <f>Data!J4793</f>
        <v>0</v>
      </c>
      <c r="Q4777">
        <f>Data!K4793</f>
        <v>0</v>
      </c>
      <c r="R4777">
        <f>Data!L4793</f>
        <v>0</v>
      </c>
      <c r="S4777">
        <f>Data!M4793</f>
        <v>0</v>
      </c>
      <c r="T4777">
        <f>Data!N4793</f>
        <v>0</v>
      </c>
      <c r="U4777">
        <f>Data!O4793</f>
        <v>0</v>
      </c>
      <c r="V4777" s="33">
        <f>Data!P4791</f>
        <v>0</v>
      </c>
    </row>
    <row r="4778" spans="7:22" x14ac:dyDescent="0.25">
      <c r="G4778">
        <f>Data!B4790</f>
        <v>0</v>
      </c>
      <c r="H4778" s="21">
        <f>Data!B4790</f>
        <v>0</v>
      </c>
      <c r="I4778" s="21">
        <f>Data!C4790</f>
        <v>0</v>
      </c>
      <c r="J4778">
        <f>Data!D4790</f>
        <v>0</v>
      </c>
      <c r="K4778">
        <f>Data!E4790</f>
        <v>0</v>
      </c>
      <c r="L4778">
        <f>Data!F4790</f>
        <v>0</v>
      </c>
      <c r="M4778">
        <f>Data!G4790</f>
        <v>0</v>
      </c>
      <c r="N4778">
        <f>Data!H4790</f>
        <v>0</v>
      </c>
      <c r="O4778">
        <f>Data!I4790</f>
        <v>0</v>
      </c>
      <c r="P4778" s="21">
        <f>Data!J4794</f>
        <v>0</v>
      </c>
      <c r="Q4778">
        <f>Data!K4794</f>
        <v>0</v>
      </c>
      <c r="R4778">
        <f>Data!L4794</f>
        <v>0</v>
      </c>
      <c r="S4778">
        <f>Data!M4794</f>
        <v>0</v>
      </c>
      <c r="T4778">
        <f>Data!N4794</f>
        <v>0</v>
      </c>
      <c r="U4778">
        <f>Data!O4794</f>
        <v>0</v>
      </c>
      <c r="V4778" s="33">
        <f>Data!P4792</f>
        <v>0</v>
      </c>
    </row>
    <row r="4779" spans="7:22" x14ac:dyDescent="0.25">
      <c r="G4779">
        <f>Data!B4791</f>
        <v>0</v>
      </c>
      <c r="H4779" s="21">
        <f>Data!B4791</f>
        <v>0</v>
      </c>
      <c r="I4779" s="21">
        <f>Data!C4791</f>
        <v>0</v>
      </c>
      <c r="J4779">
        <f>Data!D4791</f>
        <v>0</v>
      </c>
      <c r="K4779">
        <f>Data!E4791</f>
        <v>0</v>
      </c>
      <c r="L4779">
        <f>Data!F4791</f>
        <v>0</v>
      </c>
      <c r="M4779">
        <f>Data!G4791</f>
        <v>0</v>
      </c>
      <c r="N4779">
        <f>Data!H4791</f>
        <v>0</v>
      </c>
      <c r="O4779">
        <f>Data!I4791</f>
        <v>0</v>
      </c>
      <c r="P4779" s="21">
        <f>Data!J4795</f>
        <v>0</v>
      </c>
      <c r="Q4779">
        <f>Data!K4795</f>
        <v>0</v>
      </c>
      <c r="R4779">
        <f>Data!L4795</f>
        <v>0</v>
      </c>
      <c r="S4779">
        <f>Data!M4795</f>
        <v>0</v>
      </c>
      <c r="T4779">
        <f>Data!N4795</f>
        <v>0</v>
      </c>
      <c r="U4779">
        <f>Data!O4795</f>
        <v>0</v>
      </c>
      <c r="V4779" s="33">
        <f>Data!P4793</f>
        <v>0</v>
      </c>
    </row>
    <row r="4780" spans="7:22" x14ac:dyDescent="0.25">
      <c r="G4780">
        <f>Data!B4792</f>
        <v>0</v>
      </c>
      <c r="H4780" s="21">
        <f>Data!B4792</f>
        <v>0</v>
      </c>
      <c r="I4780" s="21">
        <f>Data!C4792</f>
        <v>0</v>
      </c>
      <c r="J4780">
        <f>Data!D4792</f>
        <v>0</v>
      </c>
      <c r="K4780">
        <f>Data!E4792</f>
        <v>0</v>
      </c>
      <c r="L4780">
        <f>Data!F4792</f>
        <v>0</v>
      </c>
      <c r="M4780">
        <f>Data!G4792</f>
        <v>0</v>
      </c>
      <c r="N4780">
        <f>Data!H4792</f>
        <v>0</v>
      </c>
      <c r="O4780">
        <f>Data!I4792</f>
        <v>0</v>
      </c>
      <c r="P4780" s="21">
        <f>Data!J4796</f>
        <v>0</v>
      </c>
      <c r="Q4780">
        <f>Data!K4796</f>
        <v>0</v>
      </c>
      <c r="R4780">
        <f>Data!L4796</f>
        <v>0</v>
      </c>
      <c r="S4780">
        <f>Data!M4796</f>
        <v>0</v>
      </c>
      <c r="T4780">
        <f>Data!N4796</f>
        <v>0</v>
      </c>
      <c r="U4780">
        <f>Data!O4796</f>
        <v>0</v>
      </c>
      <c r="V4780" s="33">
        <f>Data!P4794</f>
        <v>0</v>
      </c>
    </row>
    <row r="4781" spans="7:22" x14ac:dyDescent="0.25">
      <c r="G4781">
        <f>Data!B4793</f>
        <v>0</v>
      </c>
      <c r="H4781" s="21">
        <f>Data!B4793</f>
        <v>0</v>
      </c>
      <c r="I4781" s="21">
        <f>Data!C4793</f>
        <v>0</v>
      </c>
      <c r="J4781">
        <f>Data!D4793</f>
        <v>0</v>
      </c>
      <c r="K4781">
        <f>Data!E4793</f>
        <v>0</v>
      </c>
      <c r="L4781">
        <f>Data!F4793</f>
        <v>0</v>
      </c>
      <c r="M4781">
        <f>Data!G4793</f>
        <v>0</v>
      </c>
      <c r="N4781">
        <f>Data!H4793</f>
        <v>0</v>
      </c>
      <c r="O4781">
        <f>Data!I4793</f>
        <v>0</v>
      </c>
      <c r="P4781" s="21">
        <f>Data!J4797</f>
        <v>0</v>
      </c>
      <c r="Q4781">
        <f>Data!K4797</f>
        <v>0</v>
      </c>
      <c r="R4781">
        <f>Data!L4797</f>
        <v>0</v>
      </c>
      <c r="S4781">
        <f>Data!M4797</f>
        <v>0</v>
      </c>
      <c r="T4781">
        <f>Data!N4797</f>
        <v>0</v>
      </c>
      <c r="U4781">
        <f>Data!O4797</f>
        <v>0</v>
      </c>
      <c r="V4781" s="33">
        <f>Data!P4795</f>
        <v>0</v>
      </c>
    </row>
    <row r="4782" spans="7:22" x14ac:dyDescent="0.25">
      <c r="G4782">
        <f>Data!B4794</f>
        <v>0</v>
      </c>
      <c r="H4782" s="21">
        <f>Data!B4794</f>
        <v>0</v>
      </c>
      <c r="I4782" s="21">
        <f>Data!C4794</f>
        <v>0</v>
      </c>
      <c r="J4782">
        <f>Data!D4794</f>
        <v>0</v>
      </c>
      <c r="K4782">
        <f>Data!E4794</f>
        <v>0</v>
      </c>
      <c r="L4782">
        <f>Data!F4794</f>
        <v>0</v>
      </c>
      <c r="M4782">
        <f>Data!G4794</f>
        <v>0</v>
      </c>
      <c r="N4782">
        <f>Data!H4794</f>
        <v>0</v>
      </c>
      <c r="O4782">
        <f>Data!I4794</f>
        <v>0</v>
      </c>
      <c r="P4782" s="21">
        <f>Data!J4798</f>
        <v>0</v>
      </c>
      <c r="Q4782">
        <f>Data!K4798</f>
        <v>0</v>
      </c>
      <c r="R4782">
        <f>Data!L4798</f>
        <v>0</v>
      </c>
      <c r="S4782">
        <f>Data!M4798</f>
        <v>0</v>
      </c>
      <c r="T4782">
        <f>Data!N4798</f>
        <v>0</v>
      </c>
      <c r="U4782">
        <f>Data!O4798</f>
        <v>0</v>
      </c>
      <c r="V4782" s="33">
        <f>Data!P4796</f>
        <v>0</v>
      </c>
    </row>
    <row r="4783" spans="7:22" x14ac:dyDescent="0.25">
      <c r="G4783">
        <f>Data!B4795</f>
        <v>0</v>
      </c>
      <c r="H4783" s="21">
        <f>Data!B4795</f>
        <v>0</v>
      </c>
      <c r="I4783" s="21">
        <f>Data!C4795</f>
        <v>0</v>
      </c>
      <c r="J4783">
        <f>Data!D4795</f>
        <v>0</v>
      </c>
      <c r="K4783">
        <f>Data!E4795</f>
        <v>0</v>
      </c>
      <c r="L4783">
        <f>Data!F4795</f>
        <v>0</v>
      </c>
      <c r="M4783">
        <f>Data!G4795</f>
        <v>0</v>
      </c>
      <c r="N4783">
        <f>Data!H4795</f>
        <v>0</v>
      </c>
      <c r="O4783">
        <f>Data!I4795</f>
        <v>0</v>
      </c>
      <c r="P4783" s="21">
        <f>Data!J4799</f>
        <v>0</v>
      </c>
      <c r="Q4783">
        <f>Data!K4799</f>
        <v>0</v>
      </c>
      <c r="R4783">
        <f>Data!L4799</f>
        <v>0</v>
      </c>
      <c r="S4783">
        <f>Data!M4799</f>
        <v>0</v>
      </c>
      <c r="T4783">
        <f>Data!N4799</f>
        <v>0</v>
      </c>
      <c r="U4783">
        <f>Data!O4799</f>
        <v>0</v>
      </c>
      <c r="V4783" s="33">
        <f>Data!P4797</f>
        <v>0</v>
      </c>
    </row>
    <row r="4784" spans="7:22" x14ac:dyDescent="0.25">
      <c r="G4784">
        <f>Data!B4796</f>
        <v>0</v>
      </c>
      <c r="H4784" s="21">
        <f>Data!B4796</f>
        <v>0</v>
      </c>
      <c r="I4784" s="21">
        <f>Data!C4796</f>
        <v>0</v>
      </c>
      <c r="J4784">
        <f>Data!D4796</f>
        <v>0</v>
      </c>
      <c r="K4784">
        <f>Data!E4796</f>
        <v>0</v>
      </c>
      <c r="L4784">
        <f>Data!F4796</f>
        <v>0</v>
      </c>
      <c r="M4784">
        <f>Data!G4796</f>
        <v>0</v>
      </c>
      <c r="N4784">
        <f>Data!H4796</f>
        <v>0</v>
      </c>
      <c r="O4784">
        <f>Data!I4796</f>
        <v>0</v>
      </c>
      <c r="P4784" s="21">
        <f>Data!J4800</f>
        <v>0</v>
      </c>
      <c r="Q4784">
        <f>Data!K4800</f>
        <v>0</v>
      </c>
      <c r="R4784">
        <f>Data!L4800</f>
        <v>0</v>
      </c>
      <c r="S4784">
        <f>Data!M4800</f>
        <v>0</v>
      </c>
      <c r="T4784">
        <f>Data!N4800</f>
        <v>0</v>
      </c>
      <c r="U4784">
        <f>Data!O4800</f>
        <v>0</v>
      </c>
      <c r="V4784" s="33">
        <f>Data!P4798</f>
        <v>0</v>
      </c>
    </row>
    <row r="4785" spans="7:22" x14ac:dyDescent="0.25">
      <c r="G4785">
        <f>Data!B4797</f>
        <v>0</v>
      </c>
      <c r="H4785" s="21">
        <f>Data!B4797</f>
        <v>0</v>
      </c>
      <c r="I4785" s="21">
        <f>Data!C4797</f>
        <v>0</v>
      </c>
      <c r="J4785">
        <f>Data!D4797</f>
        <v>0</v>
      </c>
      <c r="K4785">
        <f>Data!E4797</f>
        <v>0</v>
      </c>
      <c r="L4785">
        <f>Data!F4797</f>
        <v>0</v>
      </c>
      <c r="M4785">
        <f>Data!G4797</f>
        <v>0</v>
      </c>
      <c r="N4785">
        <f>Data!H4797</f>
        <v>0</v>
      </c>
      <c r="O4785">
        <f>Data!I4797</f>
        <v>0</v>
      </c>
      <c r="P4785" s="21">
        <f>Data!J4801</f>
        <v>0</v>
      </c>
      <c r="Q4785">
        <f>Data!K4801</f>
        <v>0</v>
      </c>
      <c r="R4785">
        <f>Data!L4801</f>
        <v>0</v>
      </c>
      <c r="S4785">
        <f>Data!M4801</f>
        <v>0</v>
      </c>
      <c r="T4785">
        <f>Data!N4801</f>
        <v>0</v>
      </c>
      <c r="U4785">
        <f>Data!O4801</f>
        <v>0</v>
      </c>
      <c r="V4785" s="33">
        <f>Data!P4799</f>
        <v>0</v>
      </c>
    </row>
    <row r="4786" spans="7:22" x14ac:dyDescent="0.25">
      <c r="G4786">
        <f>Data!B4798</f>
        <v>0</v>
      </c>
      <c r="H4786" s="21">
        <f>Data!B4798</f>
        <v>0</v>
      </c>
      <c r="I4786" s="21">
        <f>Data!C4798</f>
        <v>0</v>
      </c>
      <c r="J4786">
        <f>Data!D4798</f>
        <v>0</v>
      </c>
      <c r="K4786">
        <f>Data!E4798</f>
        <v>0</v>
      </c>
      <c r="L4786">
        <f>Data!F4798</f>
        <v>0</v>
      </c>
      <c r="M4786">
        <f>Data!G4798</f>
        <v>0</v>
      </c>
      <c r="N4786">
        <f>Data!H4798</f>
        <v>0</v>
      </c>
      <c r="O4786">
        <f>Data!I4798</f>
        <v>0</v>
      </c>
      <c r="P4786" s="21">
        <f>Data!J4802</f>
        <v>0</v>
      </c>
      <c r="Q4786">
        <f>Data!K4802</f>
        <v>0</v>
      </c>
      <c r="R4786">
        <f>Data!L4802</f>
        <v>0</v>
      </c>
      <c r="S4786">
        <f>Data!M4802</f>
        <v>0</v>
      </c>
      <c r="T4786">
        <f>Data!N4802</f>
        <v>0</v>
      </c>
      <c r="U4786">
        <f>Data!O4802</f>
        <v>0</v>
      </c>
      <c r="V4786" s="33">
        <f>Data!P4800</f>
        <v>0</v>
      </c>
    </row>
    <row r="4787" spans="7:22" x14ac:dyDescent="0.25">
      <c r="G4787">
        <f>Data!B4799</f>
        <v>0</v>
      </c>
      <c r="H4787" s="21">
        <f>Data!B4799</f>
        <v>0</v>
      </c>
      <c r="I4787" s="21">
        <f>Data!C4799</f>
        <v>0</v>
      </c>
      <c r="J4787">
        <f>Data!D4799</f>
        <v>0</v>
      </c>
      <c r="K4787">
        <f>Data!E4799</f>
        <v>0</v>
      </c>
      <c r="L4787">
        <f>Data!F4799</f>
        <v>0</v>
      </c>
      <c r="M4787">
        <f>Data!G4799</f>
        <v>0</v>
      </c>
      <c r="N4787">
        <f>Data!H4799</f>
        <v>0</v>
      </c>
      <c r="O4787">
        <f>Data!I4799</f>
        <v>0</v>
      </c>
      <c r="P4787" s="21">
        <f>Data!J4803</f>
        <v>0</v>
      </c>
      <c r="Q4787">
        <f>Data!K4803</f>
        <v>0</v>
      </c>
      <c r="R4787">
        <f>Data!L4803</f>
        <v>0</v>
      </c>
      <c r="S4787">
        <f>Data!M4803</f>
        <v>0</v>
      </c>
      <c r="T4787">
        <f>Data!N4803</f>
        <v>0</v>
      </c>
      <c r="U4787">
        <f>Data!O4803</f>
        <v>0</v>
      </c>
      <c r="V4787" s="33">
        <f>Data!P4801</f>
        <v>0</v>
      </c>
    </row>
    <row r="4788" spans="7:22" x14ac:dyDescent="0.25">
      <c r="G4788">
        <f>Data!B4800</f>
        <v>0</v>
      </c>
      <c r="H4788" s="21">
        <f>Data!B4800</f>
        <v>0</v>
      </c>
      <c r="I4788" s="21">
        <f>Data!C4800</f>
        <v>0</v>
      </c>
      <c r="J4788">
        <f>Data!D4800</f>
        <v>0</v>
      </c>
      <c r="K4788">
        <f>Data!E4800</f>
        <v>0</v>
      </c>
      <c r="L4788">
        <f>Data!F4800</f>
        <v>0</v>
      </c>
      <c r="M4788">
        <f>Data!G4800</f>
        <v>0</v>
      </c>
      <c r="N4788">
        <f>Data!H4800</f>
        <v>0</v>
      </c>
      <c r="O4788">
        <f>Data!I4800</f>
        <v>0</v>
      </c>
      <c r="P4788" s="21">
        <f>Data!J4804</f>
        <v>0</v>
      </c>
      <c r="Q4788">
        <f>Data!K4804</f>
        <v>0</v>
      </c>
      <c r="R4788">
        <f>Data!L4804</f>
        <v>0</v>
      </c>
      <c r="S4788">
        <f>Data!M4804</f>
        <v>0</v>
      </c>
      <c r="T4788">
        <f>Data!N4804</f>
        <v>0</v>
      </c>
      <c r="U4788">
        <f>Data!O4804</f>
        <v>0</v>
      </c>
      <c r="V4788" s="33">
        <f>Data!P4802</f>
        <v>0</v>
      </c>
    </row>
    <row r="4789" spans="7:22" x14ac:dyDescent="0.25">
      <c r="G4789">
        <f>Data!B4801</f>
        <v>0</v>
      </c>
      <c r="H4789" s="21">
        <f>Data!B4801</f>
        <v>0</v>
      </c>
      <c r="I4789" s="21">
        <f>Data!C4801</f>
        <v>0</v>
      </c>
      <c r="J4789">
        <f>Data!D4801</f>
        <v>0</v>
      </c>
      <c r="K4789">
        <f>Data!E4801</f>
        <v>0</v>
      </c>
      <c r="L4789">
        <f>Data!F4801</f>
        <v>0</v>
      </c>
      <c r="M4789">
        <f>Data!G4801</f>
        <v>0</v>
      </c>
      <c r="N4789">
        <f>Data!H4801</f>
        <v>0</v>
      </c>
      <c r="O4789">
        <f>Data!I4801</f>
        <v>0</v>
      </c>
      <c r="P4789" s="21">
        <f>Data!J4805</f>
        <v>0</v>
      </c>
      <c r="Q4789">
        <f>Data!K4805</f>
        <v>0</v>
      </c>
      <c r="R4789">
        <f>Data!L4805</f>
        <v>0</v>
      </c>
      <c r="S4789">
        <f>Data!M4805</f>
        <v>0</v>
      </c>
      <c r="T4789">
        <f>Data!N4805</f>
        <v>0</v>
      </c>
      <c r="U4789">
        <f>Data!O4805</f>
        <v>0</v>
      </c>
      <c r="V4789" s="33">
        <f>Data!P4803</f>
        <v>0</v>
      </c>
    </row>
    <row r="4790" spans="7:22" x14ac:dyDescent="0.25">
      <c r="G4790">
        <f>Data!B4802</f>
        <v>0</v>
      </c>
      <c r="H4790" s="21">
        <f>Data!B4802</f>
        <v>0</v>
      </c>
      <c r="I4790" s="21">
        <f>Data!C4802</f>
        <v>0</v>
      </c>
      <c r="J4790">
        <f>Data!D4802</f>
        <v>0</v>
      </c>
      <c r="K4790">
        <f>Data!E4802</f>
        <v>0</v>
      </c>
      <c r="L4790">
        <f>Data!F4802</f>
        <v>0</v>
      </c>
      <c r="M4790">
        <f>Data!G4802</f>
        <v>0</v>
      </c>
      <c r="N4790">
        <f>Data!H4802</f>
        <v>0</v>
      </c>
      <c r="O4790">
        <f>Data!I4802</f>
        <v>0</v>
      </c>
      <c r="P4790" s="21">
        <f>Data!J4806</f>
        <v>0</v>
      </c>
      <c r="Q4790">
        <f>Data!K4806</f>
        <v>0</v>
      </c>
      <c r="R4790">
        <f>Data!L4806</f>
        <v>0</v>
      </c>
      <c r="S4790">
        <f>Data!M4806</f>
        <v>0</v>
      </c>
      <c r="T4790">
        <f>Data!N4806</f>
        <v>0</v>
      </c>
      <c r="U4790">
        <f>Data!O4806</f>
        <v>0</v>
      </c>
      <c r="V4790" s="33">
        <f>Data!P4804</f>
        <v>0</v>
      </c>
    </row>
    <row r="4791" spans="7:22" x14ac:dyDescent="0.25">
      <c r="G4791">
        <f>Data!B4803</f>
        <v>0</v>
      </c>
      <c r="H4791" s="21">
        <f>Data!B4803</f>
        <v>0</v>
      </c>
      <c r="I4791" s="21">
        <f>Data!C4803</f>
        <v>0</v>
      </c>
      <c r="J4791">
        <f>Data!D4803</f>
        <v>0</v>
      </c>
      <c r="K4791">
        <f>Data!E4803</f>
        <v>0</v>
      </c>
      <c r="L4791">
        <f>Data!F4803</f>
        <v>0</v>
      </c>
      <c r="M4791">
        <f>Data!G4803</f>
        <v>0</v>
      </c>
      <c r="N4791">
        <f>Data!H4803</f>
        <v>0</v>
      </c>
      <c r="O4791">
        <f>Data!I4803</f>
        <v>0</v>
      </c>
      <c r="P4791" s="21">
        <f>Data!J4807</f>
        <v>0</v>
      </c>
      <c r="Q4791">
        <f>Data!K4807</f>
        <v>0</v>
      </c>
      <c r="R4791">
        <f>Data!L4807</f>
        <v>0</v>
      </c>
      <c r="S4791">
        <f>Data!M4807</f>
        <v>0</v>
      </c>
      <c r="T4791">
        <f>Data!N4807</f>
        <v>0</v>
      </c>
      <c r="U4791">
        <f>Data!O4807</f>
        <v>0</v>
      </c>
      <c r="V4791" s="33">
        <f>Data!P4805</f>
        <v>0</v>
      </c>
    </row>
    <row r="4792" spans="7:22" x14ac:dyDescent="0.25">
      <c r="G4792">
        <f>Data!B4804</f>
        <v>0</v>
      </c>
      <c r="H4792" s="21">
        <f>Data!B4804</f>
        <v>0</v>
      </c>
      <c r="I4792" s="21">
        <f>Data!C4804</f>
        <v>0</v>
      </c>
      <c r="J4792">
        <f>Data!D4804</f>
        <v>0</v>
      </c>
      <c r="K4792">
        <f>Data!E4804</f>
        <v>0</v>
      </c>
      <c r="L4792">
        <f>Data!F4804</f>
        <v>0</v>
      </c>
      <c r="M4792">
        <f>Data!G4804</f>
        <v>0</v>
      </c>
      <c r="N4792">
        <f>Data!H4804</f>
        <v>0</v>
      </c>
      <c r="O4792">
        <f>Data!I4804</f>
        <v>0</v>
      </c>
      <c r="P4792" s="21">
        <f>Data!J4808</f>
        <v>0</v>
      </c>
      <c r="Q4792">
        <f>Data!K4808</f>
        <v>0</v>
      </c>
      <c r="R4792">
        <f>Data!L4808</f>
        <v>0</v>
      </c>
      <c r="S4792">
        <f>Data!M4808</f>
        <v>0</v>
      </c>
      <c r="T4792">
        <f>Data!N4808</f>
        <v>0</v>
      </c>
      <c r="U4792">
        <f>Data!O4808</f>
        <v>0</v>
      </c>
      <c r="V4792" s="33">
        <f>Data!P4806</f>
        <v>0</v>
      </c>
    </row>
    <row r="4793" spans="7:22" x14ac:dyDescent="0.25">
      <c r="G4793">
        <f>Data!B4805</f>
        <v>0</v>
      </c>
      <c r="H4793" s="21">
        <f>Data!B4805</f>
        <v>0</v>
      </c>
      <c r="I4793" s="21">
        <f>Data!C4805</f>
        <v>0</v>
      </c>
      <c r="J4793">
        <f>Data!D4805</f>
        <v>0</v>
      </c>
      <c r="K4793">
        <f>Data!E4805</f>
        <v>0</v>
      </c>
      <c r="L4793">
        <f>Data!F4805</f>
        <v>0</v>
      </c>
      <c r="M4793">
        <f>Data!G4805</f>
        <v>0</v>
      </c>
      <c r="N4793">
        <f>Data!H4805</f>
        <v>0</v>
      </c>
      <c r="O4793">
        <f>Data!I4805</f>
        <v>0</v>
      </c>
      <c r="P4793" s="21">
        <f>Data!J4809</f>
        <v>0</v>
      </c>
      <c r="Q4793">
        <f>Data!K4809</f>
        <v>0</v>
      </c>
      <c r="R4793">
        <f>Data!L4809</f>
        <v>0</v>
      </c>
      <c r="S4793">
        <f>Data!M4809</f>
        <v>0</v>
      </c>
      <c r="T4793">
        <f>Data!N4809</f>
        <v>0</v>
      </c>
      <c r="U4793">
        <f>Data!O4809</f>
        <v>0</v>
      </c>
      <c r="V4793" s="33">
        <f>Data!P4807</f>
        <v>0</v>
      </c>
    </row>
    <row r="4794" spans="7:22" x14ac:dyDescent="0.25">
      <c r="G4794">
        <f>Data!B4806</f>
        <v>0</v>
      </c>
      <c r="H4794" s="21">
        <f>Data!B4806</f>
        <v>0</v>
      </c>
      <c r="I4794" s="21">
        <f>Data!C4806</f>
        <v>0</v>
      </c>
      <c r="J4794">
        <f>Data!D4806</f>
        <v>0</v>
      </c>
      <c r="K4794">
        <f>Data!E4806</f>
        <v>0</v>
      </c>
      <c r="L4794">
        <f>Data!F4806</f>
        <v>0</v>
      </c>
      <c r="M4794">
        <f>Data!G4806</f>
        <v>0</v>
      </c>
      <c r="N4794">
        <f>Data!H4806</f>
        <v>0</v>
      </c>
      <c r="O4794">
        <f>Data!I4806</f>
        <v>0</v>
      </c>
      <c r="P4794" s="21">
        <f>Data!J4810</f>
        <v>0</v>
      </c>
      <c r="Q4794">
        <f>Data!K4810</f>
        <v>0</v>
      </c>
      <c r="R4794">
        <f>Data!L4810</f>
        <v>0</v>
      </c>
      <c r="S4794">
        <f>Data!M4810</f>
        <v>0</v>
      </c>
      <c r="T4794">
        <f>Data!N4810</f>
        <v>0</v>
      </c>
      <c r="U4794">
        <f>Data!O4810</f>
        <v>0</v>
      </c>
      <c r="V4794" s="33">
        <f>Data!P4808</f>
        <v>0</v>
      </c>
    </row>
    <row r="4795" spans="7:22" x14ac:dyDescent="0.25">
      <c r="G4795">
        <f>Data!B4807</f>
        <v>0</v>
      </c>
      <c r="H4795" s="21">
        <f>Data!B4807</f>
        <v>0</v>
      </c>
      <c r="I4795" s="21">
        <f>Data!C4807</f>
        <v>0</v>
      </c>
      <c r="J4795">
        <f>Data!D4807</f>
        <v>0</v>
      </c>
      <c r="K4795">
        <f>Data!E4807</f>
        <v>0</v>
      </c>
      <c r="L4795">
        <f>Data!F4807</f>
        <v>0</v>
      </c>
      <c r="M4795">
        <f>Data!G4807</f>
        <v>0</v>
      </c>
      <c r="N4795">
        <f>Data!H4807</f>
        <v>0</v>
      </c>
      <c r="O4795">
        <f>Data!I4807</f>
        <v>0</v>
      </c>
      <c r="P4795" s="21">
        <f>Data!J4811</f>
        <v>0</v>
      </c>
      <c r="Q4795">
        <f>Data!K4811</f>
        <v>0</v>
      </c>
      <c r="R4795">
        <f>Data!L4811</f>
        <v>0</v>
      </c>
      <c r="S4795">
        <f>Data!M4811</f>
        <v>0</v>
      </c>
      <c r="T4795">
        <f>Data!N4811</f>
        <v>0</v>
      </c>
      <c r="U4795">
        <f>Data!O4811</f>
        <v>0</v>
      </c>
      <c r="V4795" s="33">
        <f>Data!P4809</f>
        <v>0</v>
      </c>
    </row>
    <row r="4796" spans="7:22" x14ac:dyDescent="0.25">
      <c r="G4796">
        <f>Data!B4808</f>
        <v>0</v>
      </c>
      <c r="H4796" s="21">
        <f>Data!B4808</f>
        <v>0</v>
      </c>
      <c r="I4796" s="21">
        <f>Data!C4808</f>
        <v>0</v>
      </c>
      <c r="J4796">
        <f>Data!D4808</f>
        <v>0</v>
      </c>
      <c r="K4796">
        <f>Data!E4808</f>
        <v>0</v>
      </c>
      <c r="L4796">
        <f>Data!F4808</f>
        <v>0</v>
      </c>
      <c r="M4796">
        <f>Data!G4808</f>
        <v>0</v>
      </c>
      <c r="N4796">
        <f>Data!H4808</f>
        <v>0</v>
      </c>
      <c r="O4796">
        <f>Data!I4808</f>
        <v>0</v>
      </c>
      <c r="P4796" s="21">
        <f>Data!J4812</f>
        <v>0</v>
      </c>
      <c r="Q4796">
        <f>Data!K4812</f>
        <v>0</v>
      </c>
      <c r="R4796">
        <f>Data!L4812</f>
        <v>0</v>
      </c>
      <c r="S4796">
        <f>Data!M4812</f>
        <v>0</v>
      </c>
      <c r="T4796">
        <f>Data!N4812</f>
        <v>0</v>
      </c>
      <c r="U4796">
        <f>Data!O4812</f>
        <v>0</v>
      </c>
      <c r="V4796" s="33">
        <f>Data!P4810</f>
        <v>0</v>
      </c>
    </row>
    <row r="4797" spans="7:22" x14ac:dyDescent="0.25">
      <c r="G4797">
        <f>Data!B4809</f>
        <v>0</v>
      </c>
      <c r="H4797" s="21">
        <f>Data!B4809</f>
        <v>0</v>
      </c>
      <c r="I4797" s="21">
        <f>Data!C4809</f>
        <v>0</v>
      </c>
      <c r="J4797">
        <f>Data!D4809</f>
        <v>0</v>
      </c>
      <c r="K4797">
        <f>Data!E4809</f>
        <v>0</v>
      </c>
      <c r="L4797">
        <f>Data!F4809</f>
        <v>0</v>
      </c>
      <c r="M4797">
        <f>Data!G4809</f>
        <v>0</v>
      </c>
      <c r="N4797">
        <f>Data!H4809</f>
        <v>0</v>
      </c>
      <c r="O4797">
        <f>Data!I4809</f>
        <v>0</v>
      </c>
      <c r="P4797" s="21">
        <f>Data!J4813</f>
        <v>0</v>
      </c>
      <c r="Q4797">
        <f>Data!K4813</f>
        <v>0</v>
      </c>
      <c r="R4797">
        <f>Data!L4813</f>
        <v>0</v>
      </c>
      <c r="S4797">
        <f>Data!M4813</f>
        <v>0</v>
      </c>
      <c r="T4797">
        <f>Data!N4813</f>
        <v>0</v>
      </c>
      <c r="U4797">
        <f>Data!O4813</f>
        <v>0</v>
      </c>
      <c r="V4797" s="33">
        <f>Data!P4811</f>
        <v>0</v>
      </c>
    </row>
    <row r="4798" spans="7:22" x14ac:dyDescent="0.25">
      <c r="G4798">
        <f>Data!B4810</f>
        <v>0</v>
      </c>
      <c r="H4798" s="21">
        <f>Data!B4810</f>
        <v>0</v>
      </c>
      <c r="I4798" s="21">
        <f>Data!C4810</f>
        <v>0</v>
      </c>
      <c r="J4798">
        <f>Data!D4810</f>
        <v>0</v>
      </c>
      <c r="K4798">
        <f>Data!E4810</f>
        <v>0</v>
      </c>
      <c r="L4798">
        <f>Data!F4810</f>
        <v>0</v>
      </c>
      <c r="M4798">
        <f>Data!G4810</f>
        <v>0</v>
      </c>
      <c r="N4798">
        <f>Data!H4810</f>
        <v>0</v>
      </c>
      <c r="O4798">
        <f>Data!I4810</f>
        <v>0</v>
      </c>
      <c r="P4798" s="21">
        <f>Data!J4814</f>
        <v>0</v>
      </c>
      <c r="Q4798">
        <f>Data!K4814</f>
        <v>0</v>
      </c>
      <c r="R4798">
        <f>Data!L4814</f>
        <v>0</v>
      </c>
      <c r="S4798">
        <f>Data!M4814</f>
        <v>0</v>
      </c>
      <c r="T4798">
        <f>Data!N4814</f>
        <v>0</v>
      </c>
      <c r="U4798">
        <f>Data!O4814</f>
        <v>0</v>
      </c>
      <c r="V4798" s="33">
        <f>Data!P4812</f>
        <v>0</v>
      </c>
    </row>
    <row r="4799" spans="7:22" x14ac:dyDescent="0.25">
      <c r="G4799">
        <f>Data!B4811</f>
        <v>0</v>
      </c>
      <c r="H4799" s="21">
        <f>Data!B4811</f>
        <v>0</v>
      </c>
      <c r="I4799" s="21">
        <f>Data!C4811</f>
        <v>0</v>
      </c>
      <c r="J4799">
        <f>Data!D4811</f>
        <v>0</v>
      </c>
      <c r="K4799">
        <f>Data!E4811</f>
        <v>0</v>
      </c>
      <c r="L4799">
        <f>Data!F4811</f>
        <v>0</v>
      </c>
      <c r="M4799">
        <f>Data!G4811</f>
        <v>0</v>
      </c>
      <c r="N4799">
        <f>Data!H4811</f>
        <v>0</v>
      </c>
      <c r="O4799">
        <f>Data!I4811</f>
        <v>0</v>
      </c>
      <c r="P4799" s="21">
        <f>Data!J4815</f>
        <v>0</v>
      </c>
      <c r="Q4799">
        <f>Data!K4815</f>
        <v>0</v>
      </c>
      <c r="R4799">
        <f>Data!L4815</f>
        <v>0</v>
      </c>
      <c r="S4799">
        <f>Data!M4815</f>
        <v>0</v>
      </c>
      <c r="T4799">
        <f>Data!N4815</f>
        <v>0</v>
      </c>
      <c r="U4799">
        <f>Data!O4815</f>
        <v>0</v>
      </c>
      <c r="V4799" s="33">
        <f>Data!P4813</f>
        <v>0</v>
      </c>
    </row>
    <row r="4800" spans="7:22" x14ac:dyDescent="0.25">
      <c r="G4800">
        <f>Data!B4812</f>
        <v>0</v>
      </c>
      <c r="H4800" s="21">
        <f>Data!B4812</f>
        <v>0</v>
      </c>
      <c r="I4800" s="21">
        <f>Data!C4812</f>
        <v>0</v>
      </c>
      <c r="J4800">
        <f>Data!D4812</f>
        <v>0</v>
      </c>
      <c r="K4800">
        <f>Data!E4812</f>
        <v>0</v>
      </c>
      <c r="L4800">
        <f>Data!F4812</f>
        <v>0</v>
      </c>
      <c r="M4800">
        <f>Data!G4812</f>
        <v>0</v>
      </c>
      <c r="N4800">
        <f>Data!H4812</f>
        <v>0</v>
      </c>
      <c r="O4800">
        <f>Data!I4812</f>
        <v>0</v>
      </c>
      <c r="P4800" s="21">
        <f>Data!J4816</f>
        <v>0</v>
      </c>
      <c r="Q4800">
        <f>Data!K4816</f>
        <v>0</v>
      </c>
      <c r="R4800">
        <f>Data!L4816</f>
        <v>0</v>
      </c>
      <c r="S4800">
        <f>Data!M4816</f>
        <v>0</v>
      </c>
      <c r="T4800">
        <f>Data!N4816</f>
        <v>0</v>
      </c>
      <c r="U4800">
        <f>Data!O4816</f>
        <v>0</v>
      </c>
      <c r="V4800" s="33">
        <f>Data!P4814</f>
        <v>0</v>
      </c>
    </row>
    <row r="4801" spans="7:22" x14ac:dyDescent="0.25">
      <c r="G4801">
        <f>Data!B4813</f>
        <v>0</v>
      </c>
      <c r="H4801" s="21">
        <f>Data!B4813</f>
        <v>0</v>
      </c>
      <c r="I4801" s="21">
        <f>Data!C4813</f>
        <v>0</v>
      </c>
      <c r="J4801">
        <f>Data!D4813</f>
        <v>0</v>
      </c>
      <c r="K4801">
        <f>Data!E4813</f>
        <v>0</v>
      </c>
      <c r="L4801">
        <f>Data!F4813</f>
        <v>0</v>
      </c>
      <c r="M4801">
        <f>Data!G4813</f>
        <v>0</v>
      </c>
      <c r="N4801">
        <f>Data!H4813</f>
        <v>0</v>
      </c>
      <c r="O4801">
        <f>Data!I4813</f>
        <v>0</v>
      </c>
      <c r="P4801" s="21">
        <f>Data!J4817</f>
        <v>0</v>
      </c>
      <c r="Q4801">
        <f>Data!K4817</f>
        <v>0</v>
      </c>
      <c r="R4801">
        <f>Data!L4817</f>
        <v>0</v>
      </c>
      <c r="S4801">
        <f>Data!M4817</f>
        <v>0</v>
      </c>
      <c r="T4801">
        <f>Data!N4817</f>
        <v>0</v>
      </c>
      <c r="U4801">
        <f>Data!O4817</f>
        <v>0</v>
      </c>
      <c r="V4801" s="33">
        <f>Data!P4815</f>
        <v>0</v>
      </c>
    </row>
    <row r="4802" spans="7:22" x14ac:dyDescent="0.25">
      <c r="G4802">
        <f>Data!B4814</f>
        <v>0</v>
      </c>
      <c r="H4802" s="21">
        <f>Data!B4814</f>
        <v>0</v>
      </c>
      <c r="I4802" s="21">
        <f>Data!C4814</f>
        <v>0</v>
      </c>
      <c r="J4802">
        <f>Data!D4814</f>
        <v>0</v>
      </c>
      <c r="K4802">
        <f>Data!E4814</f>
        <v>0</v>
      </c>
      <c r="L4802">
        <f>Data!F4814</f>
        <v>0</v>
      </c>
      <c r="M4802">
        <f>Data!G4814</f>
        <v>0</v>
      </c>
      <c r="N4802">
        <f>Data!H4814</f>
        <v>0</v>
      </c>
      <c r="O4802">
        <f>Data!I4814</f>
        <v>0</v>
      </c>
      <c r="P4802" s="21">
        <f>Data!J4818</f>
        <v>0</v>
      </c>
      <c r="Q4802">
        <f>Data!K4818</f>
        <v>0</v>
      </c>
      <c r="R4802">
        <f>Data!L4818</f>
        <v>0</v>
      </c>
      <c r="S4802">
        <f>Data!M4818</f>
        <v>0</v>
      </c>
      <c r="T4802">
        <f>Data!N4818</f>
        <v>0</v>
      </c>
      <c r="U4802">
        <f>Data!O4818</f>
        <v>0</v>
      </c>
      <c r="V4802" s="33">
        <f>Data!P4816</f>
        <v>0</v>
      </c>
    </row>
    <row r="4803" spans="7:22" x14ac:dyDescent="0.25">
      <c r="G4803">
        <f>Data!B4815</f>
        <v>0</v>
      </c>
      <c r="H4803" s="21">
        <f>Data!B4815</f>
        <v>0</v>
      </c>
      <c r="I4803" s="21">
        <f>Data!C4815</f>
        <v>0</v>
      </c>
      <c r="J4803">
        <f>Data!D4815</f>
        <v>0</v>
      </c>
      <c r="K4803">
        <f>Data!E4815</f>
        <v>0</v>
      </c>
      <c r="L4803">
        <f>Data!F4815</f>
        <v>0</v>
      </c>
      <c r="M4803">
        <f>Data!G4815</f>
        <v>0</v>
      </c>
      <c r="N4803">
        <f>Data!H4815</f>
        <v>0</v>
      </c>
      <c r="O4803">
        <f>Data!I4815</f>
        <v>0</v>
      </c>
      <c r="P4803" s="21">
        <f>Data!J4819</f>
        <v>0</v>
      </c>
      <c r="Q4803">
        <f>Data!K4819</f>
        <v>0</v>
      </c>
      <c r="R4803">
        <f>Data!L4819</f>
        <v>0</v>
      </c>
      <c r="S4803">
        <f>Data!M4819</f>
        <v>0</v>
      </c>
      <c r="T4803">
        <f>Data!N4819</f>
        <v>0</v>
      </c>
      <c r="U4803">
        <f>Data!O4819</f>
        <v>0</v>
      </c>
      <c r="V4803" s="33">
        <f>Data!P4817</f>
        <v>0</v>
      </c>
    </row>
    <row r="4804" spans="7:22" x14ac:dyDescent="0.25">
      <c r="G4804">
        <f>Data!B4816</f>
        <v>0</v>
      </c>
      <c r="H4804" s="21">
        <f>Data!B4816</f>
        <v>0</v>
      </c>
      <c r="I4804" s="21">
        <f>Data!C4816</f>
        <v>0</v>
      </c>
      <c r="J4804">
        <f>Data!D4816</f>
        <v>0</v>
      </c>
      <c r="K4804">
        <f>Data!E4816</f>
        <v>0</v>
      </c>
      <c r="L4804">
        <f>Data!F4816</f>
        <v>0</v>
      </c>
      <c r="M4804">
        <f>Data!G4816</f>
        <v>0</v>
      </c>
      <c r="N4804">
        <f>Data!H4816</f>
        <v>0</v>
      </c>
      <c r="O4804">
        <f>Data!I4816</f>
        <v>0</v>
      </c>
      <c r="P4804" s="21">
        <f>Data!J4820</f>
        <v>0</v>
      </c>
      <c r="Q4804">
        <f>Data!K4820</f>
        <v>0</v>
      </c>
      <c r="R4804">
        <f>Data!L4820</f>
        <v>0</v>
      </c>
      <c r="S4804">
        <f>Data!M4820</f>
        <v>0</v>
      </c>
      <c r="T4804">
        <f>Data!N4820</f>
        <v>0</v>
      </c>
      <c r="U4804">
        <f>Data!O4820</f>
        <v>0</v>
      </c>
      <c r="V4804" s="33">
        <f>Data!P4818</f>
        <v>0</v>
      </c>
    </row>
    <row r="4805" spans="7:22" x14ac:dyDescent="0.25">
      <c r="G4805">
        <f>Data!B4817</f>
        <v>0</v>
      </c>
      <c r="H4805" s="21">
        <f>Data!B4817</f>
        <v>0</v>
      </c>
      <c r="I4805" s="21">
        <f>Data!C4817</f>
        <v>0</v>
      </c>
      <c r="J4805">
        <f>Data!D4817</f>
        <v>0</v>
      </c>
      <c r="K4805">
        <f>Data!E4817</f>
        <v>0</v>
      </c>
      <c r="L4805">
        <f>Data!F4817</f>
        <v>0</v>
      </c>
      <c r="M4805">
        <f>Data!G4817</f>
        <v>0</v>
      </c>
      <c r="N4805">
        <f>Data!H4817</f>
        <v>0</v>
      </c>
      <c r="O4805">
        <f>Data!I4817</f>
        <v>0</v>
      </c>
      <c r="P4805" s="21">
        <f>Data!J4821</f>
        <v>0</v>
      </c>
      <c r="Q4805">
        <f>Data!K4821</f>
        <v>0</v>
      </c>
      <c r="R4805">
        <f>Data!L4821</f>
        <v>0</v>
      </c>
      <c r="S4805">
        <f>Data!M4821</f>
        <v>0</v>
      </c>
      <c r="T4805">
        <f>Data!N4821</f>
        <v>0</v>
      </c>
      <c r="U4805">
        <f>Data!O4821</f>
        <v>0</v>
      </c>
      <c r="V4805" s="33">
        <f>Data!P4819</f>
        <v>0</v>
      </c>
    </row>
    <row r="4806" spans="7:22" x14ac:dyDescent="0.25">
      <c r="G4806">
        <f>Data!B4818</f>
        <v>0</v>
      </c>
      <c r="H4806" s="21">
        <f>Data!B4818</f>
        <v>0</v>
      </c>
      <c r="I4806" s="21">
        <f>Data!C4818</f>
        <v>0</v>
      </c>
      <c r="J4806">
        <f>Data!D4818</f>
        <v>0</v>
      </c>
      <c r="K4806">
        <f>Data!E4818</f>
        <v>0</v>
      </c>
      <c r="L4806">
        <f>Data!F4818</f>
        <v>0</v>
      </c>
      <c r="M4806">
        <f>Data!G4818</f>
        <v>0</v>
      </c>
      <c r="N4806">
        <f>Data!H4818</f>
        <v>0</v>
      </c>
      <c r="O4806">
        <f>Data!I4818</f>
        <v>0</v>
      </c>
      <c r="P4806" s="21">
        <f>Data!J4822</f>
        <v>0</v>
      </c>
      <c r="Q4806">
        <f>Data!K4822</f>
        <v>0</v>
      </c>
      <c r="R4806">
        <f>Data!L4822</f>
        <v>0</v>
      </c>
      <c r="S4806">
        <f>Data!M4822</f>
        <v>0</v>
      </c>
      <c r="T4806">
        <f>Data!N4822</f>
        <v>0</v>
      </c>
      <c r="U4806">
        <f>Data!O4822</f>
        <v>0</v>
      </c>
      <c r="V4806" s="33">
        <f>Data!P4820</f>
        <v>0</v>
      </c>
    </row>
    <row r="4807" spans="7:22" x14ac:dyDescent="0.25">
      <c r="G4807">
        <f>Data!B4819</f>
        <v>0</v>
      </c>
      <c r="H4807" s="21">
        <f>Data!B4819</f>
        <v>0</v>
      </c>
      <c r="I4807" s="21">
        <f>Data!C4819</f>
        <v>0</v>
      </c>
      <c r="J4807">
        <f>Data!D4819</f>
        <v>0</v>
      </c>
      <c r="K4807">
        <f>Data!E4819</f>
        <v>0</v>
      </c>
      <c r="L4807">
        <f>Data!F4819</f>
        <v>0</v>
      </c>
      <c r="M4807">
        <f>Data!G4819</f>
        <v>0</v>
      </c>
      <c r="N4807">
        <f>Data!H4819</f>
        <v>0</v>
      </c>
      <c r="O4807">
        <f>Data!I4819</f>
        <v>0</v>
      </c>
      <c r="P4807" s="21">
        <f>Data!J4823</f>
        <v>0</v>
      </c>
      <c r="Q4807">
        <f>Data!K4823</f>
        <v>0</v>
      </c>
      <c r="R4807">
        <f>Data!L4823</f>
        <v>0</v>
      </c>
      <c r="S4807">
        <f>Data!M4823</f>
        <v>0</v>
      </c>
      <c r="T4807">
        <f>Data!N4823</f>
        <v>0</v>
      </c>
      <c r="U4807">
        <f>Data!O4823</f>
        <v>0</v>
      </c>
      <c r="V4807" s="33">
        <f>Data!P4821</f>
        <v>0</v>
      </c>
    </row>
    <row r="4808" spans="7:22" x14ac:dyDescent="0.25">
      <c r="G4808">
        <f>Data!B4820</f>
        <v>0</v>
      </c>
      <c r="H4808" s="21">
        <f>Data!B4820</f>
        <v>0</v>
      </c>
      <c r="I4808" s="21">
        <f>Data!C4820</f>
        <v>0</v>
      </c>
      <c r="J4808">
        <f>Data!D4820</f>
        <v>0</v>
      </c>
      <c r="K4808">
        <f>Data!E4820</f>
        <v>0</v>
      </c>
      <c r="L4808">
        <f>Data!F4820</f>
        <v>0</v>
      </c>
      <c r="M4808">
        <f>Data!G4820</f>
        <v>0</v>
      </c>
      <c r="N4808">
        <f>Data!H4820</f>
        <v>0</v>
      </c>
      <c r="O4808">
        <f>Data!I4820</f>
        <v>0</v>
      </c>
      <c r="P4808" s="21">
        <f>Data!J4824</f>
        <v>0</v>
      </c>
      <c r="Q4808">
        <f>Data!K4824</f>
        <v>0</v>
      </c>
      <c r="R4808">
        <f>Data!L4824</f>
        <v>0</v>
      </c>
      <c r="S4808">
        <f>Data!M4824</f>
        <v>0</v>
      </c>
      <c r="T4808">
        <f>Data!N4824</f>
        <v>0</v>
      </c>
      <c r="U4808">
        <f>Data!O4824</f>
        <v>0</v>
      </c>
      <c r="V4808" s="33">
        <f>Data!P4822</f>
        <v>0</v>
      </c>
    </row>
    <row r="4809" spans="7:22" x14ac:dyDescent="0.25">
      <c r="G4809">
        <f>Data!B4821</f>
        <v>0</v>
      </c>
      <c r="H4809" s="21">
        <f>Data!B4821</f>
        <v>0</v>
      </c>
      <c r="I4809" s="21">
        <f>Data!C4821</f>
        <v>0</v>
      </c>
      <c r="J4809">
        <f>Data!D4821</f>
        <v>0</v>
      </c>
      <c r="K4809">
        <f>Data!E4821</f>
        <v>0</v>
      </c>
      <c r="L4809">
        <f>Data!F4821</f>
        <v>0</v>
      </c>
      <c r="M4809">
        <f>Data!G4821</f>
        <v>0</v>
      </c>
      <c r="N4809">
        <f>Data!H4821</f>
        <v>0</v>
      </c>
      <c r="O4809">
        <f>Data!I4821</f>
        <v>0</v>
      </c>
      <c r="P4809" s="21">
        <f>Data!J4825</f>
        <v>0</v>
      </c>
      <c r="Q4809">
        <f>Data!K4825</f>
        <v>0</v>
      </c>
      <c r="R4809">
        <f>Data!L4825</f>
        <v>0</v>
      </c>
      <c r="S4809">
        <f>Data!M4825</f>
        <v>0</v>
      </c>
      <c r="T4809">
        <f>Data!N4825</f>
        <v>0</v>
      </c>
      <c r="U4809">
        <f>Data!O4825</f>
        <v>0</v>
      </c>
      <c r="V4809" s="33">
        <f>Data!P4823</f>
        <v>0</v>
      </c>
    </row>
    <row r="4810" spans="7:22" x14ac:dyDescent="0.25">
      <c r="G4810">
        <f>Data!B4822</f>
        <v>0</v>
      </c>
      <c r="H4810" s="21">
        <f>Data!B4822</f>
        <v>0</v>
      </c>
      <c r="I4810" s="21">
        <f>Data!C4822</f>
        <v>0</v>
      </c>
      <c r="J4810">
        <f>Data!D4822</f>
        <v>0</v>
      </c>
      <c r="K4810">
        <f>Data!E4822</f>
        <v>0</v>
      </c>
      <c r="L4810">
        <f>Data!F4822</f>
        <v>0</v>
      </c>
      <c r="M4810">
        <f>Data!G4822</f>
        <v>0</v>
      </c>
      <c r="N4810">
        <f>Data!H4822</f>
        <v>0</v>
      </c>
      <c r="O4810">
        <f>Data!I4822</f>
        <v>0</v>
      </c>
      <c r="P4810" s="21">
        <f>Data!J4826</f>
        <v>0</v>
      </c>
      <c r="Q4810">
        <f>Data!K4826</f>
        <v>0</v>
      </c>
      <c r="R4810">
        <f>Data!L4826</f>
        <v>0</v>
      </c>
      <c r="S4810">
        <f>Data!M4826</f>
        <v>0</v>
      </c>
      <c r="T4810">
        <f>Data!N4826</f>
        <v>0</v>
      </c>
      <c r="U4810">
        <f>Data!O4826</f>
        <v>0</v>
      </c>
      <c r="V4810" s="33">
        <f>Data!P4824</f>
        <v>0</v>
      </c>
    </row>
    <row r="4811" spans="7:22" x14ac:dyDescent="0.25">
      <c r="G4811">
        <f>Data!B4823</f>
        <v>0</v>
      </c>
      <c r="H4811" s="21">
        <f>Data!B4823</f>
        <v>0</v>
      </c>
      <c r="I4811" s="21">
        <f>Data!C4823</f>
        <v>0</v>
      </c>
      <c r="J4811">
        <f>Data!D4823</f>
        <v>0</v>
      </c>
      <c r="K4811">
        <f>Data!E4823</f>
        <v>0</v>
      </c>
      <c r="L4811">
        <f>Data!F4823</f>
        <v>0</v>
      </c>
      <c r="M4811">
        <f>Data!G4823</f>
        <v>0</v>
      </c>
      <c r="N4811">
        <f>Data!H4823</f>
        <v>0</v>
      </c>
      <c r="O4811">
        <f>Data!I4823</f>
        <v>0</v>
      </c>
      <c r="P4811" s="21">
        <f>Data!J4827</f>
        <v>0</v>
      </c>
      <c r="Q4811">
        <f>Data!K4827</f>
        <v>0</v>
      </c>
      <c r="R4811">
        <f>Data!L4827</f>
        <v>0</v>
      </c>
      <c r="S4811">
        <f>Data!M4827</f>
        <v>0</v>
      </c>
      <c r="T4811">
        <f>Data!N4827</f>
        <v>0</v>
      </c>
      <c r="U4811">
        <f>Data!O4827</f>
        <v>0</v>
      </c>
      <c r="V4811" s="33">
        <f>Data!P4825</f>
        <v>0</v>
      </c>
    </row>
    <row r="4812" spans="7:22" x14ac:dyDescent="0.25">
      <c r="G4812">
        <f>Data!B4824</f>
        <v>0</v>
      </c>
      <c r="H4812" s="21">
        <f>Data!B4824</f>
        <v>0</v>
      </c>
      <c r="I4812" s="21">
        <f>Data!C4824</f>
        <v>0</v>
      </c>
      <c r="J4812">
        <f>Data!D4824</f>
        <v>0</v>
      </c>
      <c r="K4812">
        <f>Data!E4824</f>
        <v>0</v>
      </c>
      <c r="L4812">
        <f>Data!F4824</f>
        <v>0</v>
      </c>
      <c r="M4812">
        <f>Data!G4824</f>
        <v>0</v>
      </c>
      <c r="N4812">
        <f>Data!H4824</f>
        <v>0</v>
      </c>
      <c r="O4812">
        <f>Data!I4824</f>
        <v>0</v>
      </c>
      <c r="P4812" s="21">
        <f>Data!J4828</f>
        <v>0</v>
      </c>
      <c r="Q4812">
        <f>Data!K4828</f>
        <v>0</v>
      </c>
      <c r="R4812">
        <f>Data!L4828</f>
        <v>0</v>
      </c>
      <c r="S4812">
        <f>Data!M4828</f>
        <v>0</v>
      </c>
      <c r="T4812">
        <f>Data!N4828</f>
        <v>0</v>
      </c>
      <c r="U4812">
        <f>Data!O4828</f>
        <v>0</v>
      </c>
      <c r="V4812" s="33">
        <f>Data!P4826</f>
        <v>0</v>
      </c>
    </row>
    <row r="4813" spans="7:22" x14ac:dyDescent="0.25">
      <c r="G4813">
        <f>Data!B4825</f>
        <v>0</v>
      </c>
      <c r="H4813" s="21">
        <f>Data!B4825</f>
        <v>0</v>
      </c>
      <c r="I4813" s="21">
        <f>Data!C4825</f>
        <v>0</v>
      </c>
      <c r="J4813">
        <f>Data!D4825</f>
        <v>0</v>
      </c>
      <c r="K4813">
        <f>Data!E4825</f>
        <v>0</v>
      </c>
      <c r="L4813">
        <f>Data!F4825</f>
        <v>0</v>
      </c>
      <c r="M4813">
        <f>Data!G4825</f>
        <v>0</v>
      </c>
      <c r="N4813">
        <f>Data!H4825</f>
        <v>0</v>
      </c>
      <c r="O4813">
        <f>Data!I4825</f>
        <v>0</v>
      </c>
      <c r="P4813" s="21">
        <f>Data!J4829</f>
        <v>0</v>
      </c>
      <c r="Q4813">
        <f>Data!K4829</f>
        <v>0</v>
      </c>
      <c r="R4813">
        <f>Data!L4829</f>
        <v>0</v>
      </c>
      <c r="S4813">
        <f>Data!M4829</f>
        <v>0</v>
      </c>
      <c r="T4813">
        <f>Data!N4829</f>
        <v>0</v>
      </c>
      <c r="U4813">
        <f>Data!O4829</f>
        <v>0</v>
      </c>
      <c r="V4813" s="33">
        <f>Data!P4827</f>
        <v>0</v>
      </c>
    </row>
    <row r="4814" spans="7:22" x14ac:dyDescent="0.25">
      <c r="G4814">
        <f>Data!B4826</f>
        <v>0</v>
      </c>
      <c r="H4814" s="21">
        <f>Data!B4826</f>
        <v>0</v>
      </c>
      <c r="I4814" s="21">
        <f>Data!C4826</f>
        <v>0</v>
      </c>
      <c r="J4814">
        <f>Data!D4826</f>
        <v>0</v>
      </c>
      <c r="K4814">
        <f>Data!E4826</f>
        <v>0</v>
      </c>
      <c r="L4814">
        <f>Data!F4826</f>
        <v>0</v>
      </c>
      <c r="M4814">
        <f>Data!G4826</f>
        <v>0</v>
      </c>
      <c r="N4814">
        <f>Data!H4826</f>
        <v>0</v>
      </c>
      <c r="O4814">
        <f>Data!I4826</f>
        <v>0</v>
      </c>
      <c r="P4814" s="21">
        <f>Data!J4830</f>
        <v>0</v>
      </c>
      <c r="Q4814">
        <f>Data!K4830</f>
        <v>0</v>
      </c>
      <c r="R4814">
        <f>Data!L4830</f>
        <v>0</v>
      </c>
      <c r="S4814">
        <f>Data!M4830</f>
        <v>0</v>
      </c>
      <c r="T4814">
        <f>Data!N4830</f>
        <v>0</v>
      </c>
      <c r="U4814">
        <f>Data!O4830</f>
        <v>0</v>
      </c>
      <c r="V4814" s="33">
        <f>Data!P4828</f>
        <v>0</v>
      </c>
    </row>
    <row r="4815" spans="7:22" x14ac:dyDescent="0.25">
      <c r="G4815">
        <f>Data!B4827</f>
        <v>0</v>
      </c>
      <c r="H4815" s="21">
        <f>Data!B4827</f>
        <v>0</v>
      </c>
      <c r="I4815" s="21">
        <f>Data!C4827</f>
        <v>0</v>
      </c>
      <c r="J4815">
        <f>Data!D4827</f>
        <v>0</v>
      </c>
      <c r="K4815">
        <f>Data!E4827</f>
        <v>0</v>
      </c>
      <c r="L4815">
        <f>Data!F4827</f>
        <v>0</v>
      </c>
      <c r="M4815">
        <f>Data!G4827</f>
        <v>0</v>
      </c>
      <c r="N4815">
        <f>Data!H4827</f>
        <v>0</v>
      </c>
      <c r="O4815">
        <f>Data!I4827</f>
        <v>0</v>
      </c>
      <c r="P4815" s="21">
        <f>Data!J4831</f>
        <v>0</v>
      </c>
      <c r="Q4815">
        <f>Data!K4831</f>
        <v>0</v>
      </c>
      <c r="R4815">
        <f>Data!L4831</f>
        <v>0</v>
      </c>
      <c r="S4815">
        <f>Data!M4831</f>
        <v>0</v>
      </c>
      <c r="T4815">
        <f>Data!N4831</f>
        <v>0</v>
      </c>
      <c r="U4815">
        <f>Data!O4831</f>
        <v>0</v>
      </c>
      <c r="V4815" s="33">
        <f>Data!P4829</f>
        <v>0</v>
      </c>
    </row>
    <row r="4816" spans="7:22" x14ac:dyDescent="0.25">
      <c r="G4816">
        <f>Data!B4828</f>
        <v>0</v>
      </c>
      <c r="H4816" s="21">
        <f>Data!B4828</f>
        <v>0</v>
      </c>
      <c r="I4816" s="21">
        <f>Data!C4828</f>
        <v>0</v>
      </c>
      <c r="J4816">
        <f>Data!D4828</f>
        <v>0</v>
      </c>
      <c r="K4816">
        <f>Data!E4828</f>
        <v>0</v>
      </c>
      <c r="L4816">
        <f>Data!F4828</f>
        <v>0</v>
      </c>
      <c r="M4816">
        <f>Data!G4828</f>
        <v>0</v>
      </c>
      <c r="N4816">
        <f>Data!H4828</f>
        <v>0</v>
      </c>
      <c r="O4816">
        <f>Data!I4828</f>
        <v>0</v>
      </c>
      <c r="P4816" s="21">
        <f>Data!J4832</f>
        <v>0</v>
      </c>
      <c r="Q4816">
        <f>Data!K4832</f>
        <v>0</v>
      </c>
      <c r="R4816">
        <f>Data!L4832</f>
        <v>0</v>
      </c>
      <c r="S4816">
        <f>Data!M4832</f>
        <v>0</v>
      </c>
      <c r="T4816">
        <f>Data!N4832</f>
        <v>0</v>
      </c>
      <c r="U4816">
        <f>Data!O4832</f>
        <v>0</v>
      </c>
      <c r="V4816" s="33">
        <f>Data!P4830</f>
        <v>0</v>
      </c>
    </row>
    <row r="4817" spans="7:22" x14ac:dyDescent="0.25">
      <c r="G4817">
        <f>Data!B4829</f>
        <v>0</v>
      </c>
      <c r="H4817" s="21">
        <f>Data!B4829</f>
        <v>0</v>
      </c>
      <c r="I4817" s="21">
        <f>Data!C4829</f>
        <v>0</v>
      </c>
      <c r="J4817">
        <f>Data!D4829</f>
        <v>0</v>
      </c>
      <c r="K4817">
        <f>Data!E4829</f>
        <v>0</v>
      </c>
      <c r="L4817">
        <f>Data!F4829</f>
        <v>0</v>
      </c>
      <c r="M4817">
        <f>Data!G4829</f>
        <v>0</v>
      </c>
      <c r="N4817">
        <f>Data!H4829</f>
        <v>0</v>
      </c>
      <c r="O4817">
        <f>Data!I4829</f>
        <v>0</v>
      </c>
      <c r="P4817" s="21">
        <f>Data!J4833</f>
        <v>0</v>
      </c>
      <c r="Q4817">
        <f>Data!K4833</f>
        <v>0</v>
      </c>
      <c r="R4817">
        <f>Data!L4833</f>
        <v>0</v>
      </c>
      <c r="S4817">
        <f>Data!M4833</f>
        <v>0</v>
      </c>
      <c r="T4817">
        <f>Data!N4833</f>
        <v>0</v>
      </c>
      <c r="U4817">
        <f>Data!O4833</f>
        <v>0</v>
      </c>
      <c r="V4817" s="33">
        <f>Data!P4831</f>
        <v>0</v>
      </c>
    </row>
    <row r="4818" spans="7:22" x14ac:dyDescent="0.25">
      <c r="G4818">
        <f>Data!B4830</f>
        <v>0</v>
      </c>
      <c r="H4818" s="21">
        <f>Data!B4830</f>
        <v>0</v>
      </c>
      <c r="I4818" s="21">
        <f>Data!C4830</f>
        <v>0</v>
      </c>
      <c r="J4818">
        <f>Data!D4830</f>
        <v>0</v>
      </c>
      <c r="K4818">
        <f>Data!E4830</f>
        <v>0</v>
      </c>
      <c r="L4818">
        <f>Data!F4830</f>
        <v>0</v>
      </c>
      <c r="M4818">
        <f>Data!G4830</f>
        <v>0</v>
      </c>
      <c r="N4818">
        <f>Data!H4830</f>
        <v>0</v>
      </c>
      <c r="O4818">
        <f>Data!I4830</f>
        <v>0</v>
      </c>
      <c r="P4818" s="21">
        <f>Data!J4834</f>
        <v>0</v>
      </c>
      <c r="Q4818">
        <f>Data!K4834</f>
        <v>0</v>
      </c>
      <c r="R4818">
        <f>Data!L4834</f>
        <v>0</v>
      </c>
      <c r="S4818">
        <f>Data!M4834</f>
        <v>0</v>
      </c>
      <c r="T4818">
        <f>Data!N4834</f>
        <v>0</v>
      </c>
      <c r="U4818">
        <f>Data!O4834</f>
        <v>0</v>
      </c>
      <c r="V4818" s="33">
        <f>Data!P4832</f>
        <v>0</v>
      </c>
    </row>
    <row r="4819" spans="7:22" x14ac:dyDescent="0.25">
      <c r="G4819">
        <f>Data!B4831</f>
        <v>0</v>
      </c>
      <c r="H4819" s="21">
        <f>Data!B4831</f>
        <v>0</v>
      </c>
      <c r="I4819" s="21">
        <f>Data!C4831</f>
        <v>0</v>
      </c>
      <c r="J4819">
        <f>Data!D4831</f>
        <v>0</v>
      </c>
      <c r="K4819">
        <f>Data!E4831</f>
        <v>0</v>
      </c>
      <c r="L4819">
        <f>Data!F4831</f>
        <v>0</v>
      </c>
      <c r="M4819">
        <f>Data!G4831</f>
        <v>0</v>
      </c>
      <c r="N4819">
        <f>Data!H4831</f>
        <v>0</v>
      </c>
      <c r="O4819">
        <f>Data!I4831</f>
        <v>0</v>
      </c>
      <c r="P4819" s="21">
        <f>Data!J4835</f>
        <v>0</v>
      </c>
      <c r="Q4819">
        <f>Data!K4835</f>
        <v>0</v>
      </c>
      <c r="R4819">
        <f>Data!L4835</f>
        <v>0</v>
      </c>
      <c r="S4819">
        <f>Data!M4835</f>
        <v>0</v>
      </c>
      <c r="T4819">
        <f>Data!N4835</f>
        <v>0</v>
      </c>
      <c r="U4819">
        <f>Data!O4835</f>
        <v>0</v>
      </c>
      <c r="V4819" s="33">
        <f>Data!P4833</f>
        <v>0</v>
      </c>
    </row>
    <row r="4820" spans="7:22" x14ac:dyDescent="0.25">
      <c r="G4820">
        <f>Data!B4832</f>
        <v>0</v>
      </c>
      <c r="H4820" s="21">
        <f>Data!B4832</f>
        <v>0</v>
      </c>
      <c r="I4820" s="21">
        <f>Data!C4832</f>
        <v>0</v>
      </c>
      <c r="J4820">
        <f>Data!D4832</f>
        <v>0</v>
      </c>
      <c r="K4820">
        <f>Data!E4832</f>
        <v>0</v>
      </c>
      <c r="L4820">
        <f>Data!F4832</f>
        <v>0</v>
      </c>
      <c r="M4820">
        <f>Data!G4832</f>
        <v>0</v>
      </c>
      <c r="N4820">
        <f>Data!H4832</f>
        <v>0</v>
      </c>
      <c r="O4820">
        <f>Data!I4832</f>
        <v>0</v>
      </c>
      <c r="P4820" s="21">
        <f>Data!J4836</f>
        <v>0</v>
      </c>
      <c r="Q4820">
        <f>Data!K4836</f>
        <v>0</v>
      </c>
      <c r="R4820">
        <f>Data!L4836</f>
        <v>0</v>
      </c>
      <c r="S4820">
        <f>Data!M4836</f>
        <v>0</v>
      </c>
      <c r="T4820">
        <f>Data!N4836</f>
        <v>0</v>
      </c>
      <c r="U4820">
        <f>Data!O4836</f>
        <v>0</v>
      </c>
      <c r="V4820" s="33">
        <f>Data!P4834</f>
        <v>0</v>
      </c>
    </row>
    <row r="4821" spans="7:22" x14ac:dyDescent="0.25">
      <c r="G4821">
        <f>Data!B4833</f>
        <v>0</v>
      </c>
      <c r="H4821" s="21">
        <f>Data!B4833</f>
        <v>0</v>
      </c>
      <c r="I4821" s="21">
        <f>Data!C4833</f>
        <v>0</v>
      </c>
      <c r="J4821">
        <f>Data!D4833</f>
        <v>0</v>
      </c>
      <c r="K4821">
        <f>Data!E4833</f>
        <v>0</v>
      </c>
      <c r="L4821">
        <f>Data!F4833</f>
        <v>0</v>
      </c>
      <c r="M4821">
        <f>Data!G4833</f>
        <v>0</v>
      </c>
      <c r="N4821">
        <f>Data!H4833</f>
        <v>0</v>
      </c>
      <c r="O4821">
        <f>Data!I4833</f>
        <v>0</v>
      </c>
      <c r="P4821" s="21">
        <f>Data!J4837</f>
        <v>0</v>
      </c>
      <c r="Q4821">
        <f>Data!K4837</f>
        <v>0</v>
      </c>
      <c r="R4821">
        <f>Data!L4837</f>
        <v>0</v>
      </c>
      <c r="S4821">
        <f>Data!M4837</f>
        <v>0</v>
      </c>
      <c r="T4821">
        <f>Data!N4837</f>
        <v>0</v>
      </c>
      <c r="U4821">
        <f>Data!O4837</f>
        <v>0</v>
      </c>
      <c r="V4821" s="33">
        <f>Data!P4835</f>
        <v>0</v>
      </c>
    </row>
    <row r="4822" spans="7:22" x14ac:dyDescent="0.25">
      <c r="G4822">
        <f>Data!B4834</f>
        <v>0</v>
      </c>
      <c r="H4822" s="21">
        <f>Data!B4834</f>
        <v>0</v>
      </c>
      <c r="I4822" s="21">
        <f>Data!C4834</f>
        <v>0</v>
      </c>
      <c r="J4822">
        <f>Data!D4834</f>
        <v>0</v>
      </c>
      <c r="K4822">
        <f>Data!E4834</f>
        <v>0</v>
      </c>
      <c r="L4822">
        <f>Data!F4834</f>
        <v>0</v>
      </c>
      <c r="M4822">
        <f>Data!G4834</f>
        <v>0</v>
      </c>
      <c r="N4822">
        <f>Data!H4834</f>
        <v>0</v>
      </c>
      <c r="O4822">
        <f>Data!I4834</f>
        <v>0</v>
      </c>
      <c r="P4822" s="21">
        <f>Data!J4838</f>
        <v>0</v>
      </c>
      <c r="Q4822">
        <f>Data!K4838</f>
        <v>0</v>
      </c>
      <c r="R4822">
        <f>Data!L4838</f>
        <v>0</v>
      </c>
      <c r="S4822">
        <f>Data!M4838</f>
        <v>0</v>
      </c>
      <c r="T4822">
        <f>Data!N4838</f>
        <v>0</v>
      </c>
      <c r="U4822">
        <f>Data!O4838</f>
        <v>0</v>
      </c>
      <c r="V4822" s="33">
        <f>Data!P4836</f>
        <v>0</v>
      </c>
    </row>
    <row r="4823" spans="7:22" x14ac:dyDescent="0.25">
      <c r="G4823">
        <f>Data!B4835</f>
        <v>0</v>
      </c>
      <c r="H4823" s="21">
        <f>Data!B4835</f>
        <v>0</v>
      </c>
      <c r="I4823" s="21">
        <f>Data!C4835</f>
        <v>0</v>
      </c>
      <c r="J4823">
        <f>Data!D4835</f>
        <v>0</v>
      </c>
      <c r="K4823">
        <f>Data!E4835</f>
        <v>0</v>
      </c>
      <c r="L4823">
        <f>Data!F4835</f>
        <v>0</v>
      </c>
      <c r="M4823">
        <f>Data!G4835</f>
        <v>0</v>
      </c>
      <c r="N4823">
        <f>Data!H4835</f>
        <v>0</v>
      </c>
      <c r="O4823">
        <f>Data!I4835</f>
        <v>0</v>
      </c>
      <c r="P4823" s="21">
        <f>Data!J4839</f>
        <v>0</v>
      </c>
      <c r="Q4823">
        <f>Data!K4839</f>
        <v>0</v>
      </c>
      <c r="R4823">
        <f>Data!L4839</f>
        <v>0</v>
      </c>
      <c r="S4823">
        <f>Data!M4839</f>
        <v>0</v>
      </c>
      <c r="T4823">
        <f>Data!N4839</f>
        <v>0</v>
      </c>
      <c r="U4823">
        <f>Data!O4839</f>
        <v>0</v>
      </c>
      <c r="V4823" s="33">
        <f>Data!P4837</f>
        <v>0</v>
      </c>
    </row>
    <row r="4824" spans="7:22" x14ac:dyDescent="0.25">
      <c r="G4824">
        <f>Data!B4836</f>
        <v>0</v>
      </c>
      <c r="H4824" s="21">
        <f>Data!B4836</f>
        <v>0</v>
      </c>
      <c r="I4824" s="21">
        <f>Data!C4836</f>
        <v>0</v>
      </c>
      <c r="J4824">
        <f>Data!D4836</f>
        <v>0</v>
      </c>
      <c r="K4824">
        <f>Data!E4836</f>
        <v>0</v>
      </c>
      <c r="L4824">
        <f>Data!F4836</f>
        <v>0</v>
      </c>
      <c r="M4824">
        <f>Data!G4836</f>
        <v>0</v>
      </c>
      <c r="N4824">
        <f>Data!H4836</f>
        <v>0</v>
      </c>
      <c r="O4824">
        <f>Data!I4836</f>
        <v>0</v>
      </c>
      <c r="P4824" s="21">
        <f>Data!J4840</f>
        <v>0</v>
      </c>
      <c r="Q4824">
        <f>Data!K4840</f>
        <v>0</v>
      </c>
      <c r="R4824">
        <f>Data!L4840</f>
        <v>0</v>
      </c>
      <c r="S4824">
        <f>Data!M4840</f>
        <v>0</v>
      </c>
      <c r="T4824">
        <f>Data!N4840</f>
        <v>0</v>
      </c>
      <c r="U4824">
        <f>Data!O4840</f>
        <v>0</v>
      </c>
      <c r="V4824" s="33">
        <f>Data!P4838</f>
        <v>0</v>
      </c>
    </row>
    <row r="4825" spans="7:22" x14ac:dyDescent="0.25">
      <c r="G4825">
        <f>Data!B4837</f>
        <v>0</v>
      </c>
      <c r="H4825" s="21">
        <f>Data!B4837</f>
        <v>0</v>
      </c>
      <c r="I4825" s="21">
        <f>Data!C4837</f>
        <v>0</v>
      </c>
      <c r="J4825">
        <f>Data!D4837</f>
        <v>0</v>
      </c>
      <c r="K4825">
        <f>Data!E4837</f>
        <v>0</v>
      </c>
      <c r="L4825">
        <f>Data!F4837</f>
        <v>0</v>
      </c>
      <c r="M4825">
        <f>Data!G4837</f>
        <v>0</v>
      </c>
      <c r="N4825">
        <f>Data!H4837</f>
        <v>0</v>
      </c>
      <c r="O4825">
        <f>Data!I4837</f>
        <v>0</v>
      </c>
      <c r="P4825" s="21">
        <f>Data!J4841</f>
        <v>0</v>
      </c>
      <c r="Q4825">
        <f>Data!K4841</f>
        <v>0</v>
      </c>
      <c r="R4825">
        <f>Data!L4841</f>
        <v>0</v>
      </c>
      <c r="S4825">
        <f>Data!M4841</f>
        <v>0</v>
      </c>
      <c r="T4825">
        <f>Data!N4841</f>
        <v>0</v>
      </c>
      <c r="U4825">
        <f>Data!O4841</f>
        <v>0</v>
      </c>
      <c r="V4825" s="33">
        <f>Data!P4839</f>
        <v>0</v>
      </c>
    </row>
    <row r="4826" spans="7:22" x14ac:dyDescent="0.25">
      <c r="G4826">
        <f>Data!B4838</f>
        <v>0</v>
      </c>
      <c r="H4826" s="21">
        <f>Data!B4838</f>
        <v>0</v>
      </c>
      <c r="I4826" s="21">
        <f>Data!C4838</f>
        <v>0</v>
      </c>
      <c r="J4826">
        <f>Data!D4838</f>
        <v>0</v>
      </c>
      <c r="K4826">
        <f>Data!E4838</f>
        <v>0</v>
      </c>
      <c r="L4826">
        <f>Data!F4838</f>
        <v>0</v>
      </c>
      <c r="M4826">
        <f>Data!G4838</f>
        <v>0</v>
      </c>
      <c r="N4826">
        <f>Data!H4838</f>
        <v>0</v>
      </c>
      <c r="O4826">
        <f>Data!I4838</f>
        <v>0</v>
      </c>
      <c r="P4826" s="21">
        <f>Data!J4842</f>
        <v>0</v>
      </c>
      <c r="Q4826">
        <f>Data!K4842</f>
        <v>0</v>
      </c>
      <c r="R4826">
        <f>Data!L4842</f>
        <v>0</v>
      </c>
      <c r="S4826">
        <f>Data!M4842</f>
        <v>0</v>
      </c>
      <c r="T4826">
        <f>Data!N4842</f>
        <v>0</v>
      </c>
      <c r="U4826">
        <f>Data!O4842</f>
        <v>0</v>
      </c>
      <c r="V4826" s="33">
        <f>Data!P4840</f>
        <v>0</v>
      </c>
    </row>
    <row r="4827" spans="7:22" x14ac:dyDescent="0.25">
      <c r="G4827">
        <f>Data!B4839</f>
        <v>0</v>
      </c>
      <c r="H4827" s="21">
        <f>Data!B4839</f>
        <v>0</v>
      </c>
      <c r="I4827" s="21">
        <f>Data!C4839</f>
        <v>0</v>
      </c>
      <c r="J4827">
        <f>Data!D4839</f>
        <v>0</v>
      </c>
      <c r="K4827">
        <f>Data!E4839</f>
        <v>0</v>
      </c>
      <c r="L4827">
        <f>Data!F4839</f>
        <v>0</v>
      </c>
      <c r="M4827">
        <f>Data!G4839</f>
        <v>0</v>
      </c>
      <c r="N4827">
        <f>Data!H4839</f>
        <v>0</v>
      </c>
      <c r="O4827">
        <f>Data!I4839</f>
        <v>0</v>
      </c>
      <c r="P4827" s="21">
        <f>Data!J4843</f>
        <v>0</v>
      </c>
      <c r="Q4827">
        <f>Data!K4843</f>
        <v>0</v>
      </c>
      <c r="R4827">
        <f>Data!L4843</f>
        <v>0</v>
      </c>
      <c r="S4827">
        <f>Data!M4843</f>
        <v>0</v>
      </c>
      <c r="T4827">
        <f>Data!N4843</f>
        <v>0</v>
      </c>
      <c r="U4827">
        <f>Data!O4843</f>
        <v>0</v>
      </c>
      <c r="V4827" s="33">
        <f>Data!P4841</f>
        <v>0</v>
      </c>
    </row>
    <row r="4828" spans="7:22" x14ac:dyDescent="0.25">
      <c r="G4828">
        <f>Data!B4840</f>
        <v>0</v>
      </c>
      <c r="H4828" s="21">
        <f>Data!B4840</f>
        <v>0</v>
      </c>
      <c r="I4828" s="21">
        <f>Data!C4840</f>
        <v>0</v>
      </c>
      <c r="J4828">
        <f>Data!D4840</f>
        <v>0</v>
      </c>
      <c r="K4828">
        <f>Data!E4840</f>
        <v>0</v>
      </c>
      <c r="L4828">
        <f>Data!F4840</f>
        <v>0</v>
      </c>
      <c r="M4828">
        <f>Data!G4840</f>
        <v>0</v>
      </c>
      <c r="N4828">
        <f>Data!H4840</f>
        <v>0</v>
      </c>
      <c r="O4828">
        <f>Data!I4840</f>
        <v>0</v>
      </c>
      <c r="P4828" s="21">
        <f>Data!J4844</f>
        <v>0</v>
      </c>
      <c r="Q4828">
        <f>Data!K4844</f>
        <v>0</v>
      </c>
      <c r="R4828">
        <f>Data!L4844</f>
        <v>0</v>
      </c>
      <c r="S4828">
        <f>Data!M4844</f>
        <v>0</v>
      </c>
      <c r="T4828">
        <f>Data!N4844</f>
        <v>0</v>
      </c>
      <c r="U4828">
        <f>Data!O4844</f>
        <v>0</v>
      </c>
      <c r="V4828" s="33">
        <f>Data!P4842</f>
        <v>0</v>
      </c>
    </row>
    <row r="4829" spans="7:22" x14ac:dyDescent="0.25">
      <c r="G4829">
        <f>Data!B4841</f>
        <v>0</v>
      </c>
      <c r="H4829" s="21">
        <f>Data!B4841</f>
        <v>0</v>
      </c>
      <c r="I4829" s="21">
        <f>Data!C4841</f>
        <v>0</v>
      </c>
      <c r="J4829">
        <f>Data!D4841</f>
        <v>0</v>
      </c>
      <c r="K4829">
        <f>Data!E4841</f>
        <v>0</v>
      </c>
      <c r="L4829">
        <f>Data!F4841</f>
        <v>0</v>
      </c>
      <c r="M4829">
        <f>Data!G4841</f>
        <v>0</v>
      </c>
      <c r="N4829">
        <f>Data!H4841</f>
        <v>0</v>
      </c>
      <c r="O4829">
        <f>Data!I4841</f>
        <v>0</v>
      </c>
      <c r="P4829" s="21">
        <f>Data!J4845</f>
        <v>0</v>
      </c>
      <c r="Q4829">
        <f>Data!K4845</f>
        <v>0</v>
      </c>
      <c r="R4829">
        <f>Data!L4845</f>
        <v>0</v>
      </c>
      <c r="S4829">
        <f>Data!M4845</f>
        <v>0</v>
      </c>
      <c r="T4829">
        <f>Data!N4845</f>
        <v>0</v>
      </c>
      <c r="U4829">
        <f>Data!O4845</f>
        <v>0</v>
      </c>
      <c r="V4829" s="33">
        <f>Data!P4843</f>
        <v>0</v>
      </c>
    </row>
    <row r="4830" spans="7:22" x14ac:dyDescent="0.25">
      <c r="G4830">
        <f>Data!B4842</f>
        <v>0</v>
      </c>
      <c r="H4830" s="21">
        <f>Data!B4842</f>
        <v>0</v>
      </c>
      <c r="I4830" s="21">
        <f>Data!C4842</f>
        <v>0</v>
      </c>
      <c r="J4830">
        <f>Data!D4842</f>
        <v>0</v>
      </c>
      <c r="K4830">
        <f>Data!E4842</f>
        <v>0</v>
      </c>
      <c r="L4830">
        <f>Data!F4842</f>
        <v>0</v>
      </c>
      <c r="M4830">
        <f>Data!G4842</f>
        <v>0</v>
      </c>
      <c r="N4830">
        <f>Data!H4842</f>
        <v>0</v>
      </c>
      <c r="O4830">
        <f>Data!I4842</f>
        <v>0</v>
      </c>
      <c r="P4830" s="21">
        <f>Data!J4846</f>
        <v>0</v>
      </c>
      <c r="Q4830">
        <f>Data!K4846</f>
        <v>0</v>
      </c>
      <c r="R4830">
        <f>Data!L4846</f>
        <v>0</v>
      </c>
      <c r="S4830">
        <f>Data!M4846</f>
        <v>0</v>
      </c>
      <c r="T4830">
        <f>Data!N4846</f>
        <v>0</v>
      </c>
      <c r="U4830">
        <f>Data!O4846</f>
        <v>0</v>
      </c>
      <c r="V4830" s="33">
        <f>Data!P4844</f>
        <v>0</v>
      </c>
    </row>
    <row r="4831" spans="7:22" x14ac:dyDescent="0.25">
      <c r="G4831">
        <f>Data!B4843</f>
        <v>0</v>
      </c>
      <c r="H4831" s="21">
        <f>Data!B4843</f>
        <v>0</v>
      </c>
      <c r="I4831" s="21">
        <f>Data!C4843</f>
        <v>0</v>
      </c>
      <c r="J4831">
        <f>Data!D4843</f>
        <v>0</v>
      </c>
      <c r="K4831">
        <f>Data!E4843</f>
        <v>0</v>
      </c>
      <c r="L4831">
        <f>Data!F4843</f>
        <v>0</v>
      </c>
      <c r="M4831">
        <f>Data!G4843</f>
        <v>0</v>
      </c>
      <c r="N4831">
        <f>Data!H4843</f>
        <v>0</v>
      </c>
      <c r="O4831">
        <f>Data!I4843</f>
        <v>0</v>
      </c>
      <c r="P4831" s="21">
        <f>Data!J4847</f>
        <v>0</v>
      </c>
      <c r="Q4831">
        <f>Data!K4847</f>
        <v>0</v>
      </c>
      <c r="R4831">
        <f>Data!L4847</f>
        <v>0</v>
      </c>
      <c r="S4831">
        <f>Data!M4847</f>
        <v>0</v>
      </c>
      <c r="T4831">
        <f>Data!N4847</f>
        <v>0</v>
      </c>
      <c r="U4831">
        <f>Data!O4847</f>
        <v>0</v>
      </c>
      <c r="V4831" s="33">
        <f>Data!P4845</f>
        <v>0</v>
      </c>
    </row>
    <row r="4832" spans="7:22" x14ac:dyDescent="0.25">
      <c r="G4832">
        <f>Data!B4844</f>
        <v>0</v>
      </c>
      <c r="H4832" s="21">
        <f>Data!B4844</f>
        <v>0</v>
      </c>
      <c r="I4832" s="21">
        <f>Data!C4844</f>
        <v>0</v>
      </c>
      <c r="J4832">
        <f>Data!D4844</f>
        <v>0</v>
      </c>
      <c r="K4832">
        <f>Data!E4844</f>
        <v>0</v>
      </c>
      <c r="L4832">
        <f>Data!F4844</f>
        <v>0</v>
      </c>
      <c r="M4832">
        <f>Data!G4844</f>
        <v>0</v>
      </c>
      <c r="N4832">
        <f>Data!H4844</f>
        <v>0</v>
      </c>
      <c r="O4832">
        <f>Data!I4844</f>
        <v>0</v>
      </c>
      <c r="P4832" s="21">
        <f>Data!J4848</f>
        <v>0</v>
      </c>
      <c r="Q4832">
        <f>Data!K4848</f>
        <v>0</v>
      </c>
      <c r="R4832">
        <f>Data!L4848</f>
        <v>0</v>
      </c>
      <c r="S4832">
        <f>Data!M4848</f>
        <v>0</v>
      </c>
      <c r="T4832">
        <f>Data!N4848</f>
        <v>0</v>
      </c>
      <c r="U4832">
        <f>Data!O4848</f>
        <v>0</v>
      </c>
      <c r="V4832" s="33">
        <f>Data!P4846</f>
        <v>0</v>
      </c>
    </row>
    <row r="4833" spans="7:22" x14ac:dyDescent="0.25">
      <c r="G4833">
        <f>Data!B4845</f>
        <v>0</v>
      </c>
      <c r="H4833" s="21">
        <f>Data!B4845</f>
        <v>0</v>
      </c>
      <c r="I4833" s="21">
        <f>Data!C4845</f>
        <v>0</v>
      </c>
      <c r="J4833">
        <f>Data!D4845</f>
        <v>0</v>
      </c>
      <c r="K4833">
        <f>Data!E4845</f>
        <v>0</v>
      </c>
      <c r="L4833">
        <f>Data!F4845</f>
        <v>0</v>
      </c>
      <c r="M4833">
        <f>Data!G4845</f>
        <v>0</v>
      </c>
      <c r="N4833">
        <f>Data!H4845</f>
        <v>0</v>
      </c>
      <c r="O4833">
        <f>Data!I4845</f>
        <v>0</v>
      </c>
      <c r="P4833" s="21">
        <f>Data!J4849</f>
        <v>0</v>
      </c>
      <c r="Q4833">
        <f>Data!K4849</f>
        <v>0</v>
      </c>
      <c r="R4833">
        <f>Data!L4849</f>
        <v>0</v>
      </c>
      <c r="S4833">
        <f>Data!M4849</f>
        <v>0</v>
      </c>
      <c r="T4833">
        <f>Data!N4849</f>
        <v>0</v>
      </c>
      <c r="U4833">
        <f>Data!O4849</f>
        <v>0</v>
      </c>
      <c r="V4833" s="33">
        <f>Data!P4847</f>
        <v>0</v>
      </c>
    </row>
    <row r="4834" spans="7:22" x14ac:dyDescent="0.25">
      <c r="G4834">
        <f>Data!B4846</f>
        <v>0</v>
      </c>
      <c r="H4834" s="21">
        <f>Data!B4846</f>
        <v>0</v>
      </c>
      <c r="I4834" s="21">
        <f>Data!C4846</f>
        <v>0</v>
      </c>
      <c r="J4834">
        <f>Data!D4846</f>
        <v>0</v>
      </c>
      <c r="K4834">
        <f>Data!E4846</f>
        <v>0</v>
      </c>
      <c r="L4834">
        <f>Data!F4846</f>
        <v>0</v>
      </c>
      <c r="M4834">
        <f>Data!G4846</f>
        <v>0</v>
      </c>
      <c r="N4834">
        <f>Data!H4846</f>
        <v>0</v>
      </c>
      <c r="O4834">
        <f>Data!I4846</f>
        <v>0</v>
      </c>
      <c r="P4834" s="21">
        <f>Data!J4850</f>
        <v>0</v>
      </c>
      <c r="Q4834">
        <f>Data!K4850</f>
        <v>0</v>
      </c>
      <c r="R4834">
        <f>Data!L4850</f>
        <v>0</v>
      </c>
      <c r="S4834">
        <f>Data!M4850</f>
        <v>0</v>
      </c>
      <c r="T4834">
        <f>Data!N4850</f>
        <v>0</v>
      </c>
      <c r="U4834">
        <f>Data!O4850</f>
        <v>0</v>
      </c>
      <c r="V4834" s="33">
        <f>Data!P4848</f>
        <v>0</v>
      </c>
    </row>
    <row r="4835" spans="7:22" x14ac:dyDescent="0.25">
      <c r="G4835">
        <f>Data!B4847</f>
        <v>0</v>
      </c>
      <c r="H4835" s="21">
        <f>Data!B4847</f>
        <v>0</v>
      </c>
      <c r="I4835" s="21">
        <f>Data!C4847</f>
        <v>0</v>
      </c>
      <c r="J4835">
        <f>Data!D4847</f>
        <v>0</v>
      </c>
      <c r="K4835">
        <f>Data!E4847</f>
        <v>0</v>
      </c>
      <c r="L4835">
        <f>Data!F4847</f>
        <v>0</v>
      </c>
      <c r="M4835">
        <f>Data!G4847</f>
        <v>0</v>
      </c>
      <c r="N4835">
        <f>Data!H4847</f>
        <v>0</v>
      </c>
      <c r="O4835">
        <f>Data!I4847</f>
        <v>0</v>
      </c>
      <c r="P4835" s="21">
        <f>Data!J4851</f>
        <v>0</v>
      </c>
      <c r="Q4835">
        <f>Data!K4851</f>
        <v>0</v>
      </c>
      <c r="R4835">
        <f>Data!L4851</f>
        <v>0</v>
      </c>
      <c r="S4835">
        <f>Data!M4851</f>
        <v>0</v>
      </c>
      <c r="T4835">
        <f>Data!N4851</f>
        <v>0</v>
      </c>
      <c r="U4835">
        <f>Data!O4851</f>
        <v>0</v>
      </c>
      <c r="V4835" s="33">
        <f>Data!P4849</f>
        <v>0</v>
      </c>
    </row>
    <row r="4836" spans="7:22" x14ac:dyDescent="0.25">
      <c r="G4836">
        <f>Data!B4848</f>
        <v>0</v>
      </c>
      <c r="H4836" s="21">
        <f>Data!B4848</f>
        <v>0</v>
      </c>
      <c r="I4836" s="21">
        <f>Data!C4848</f>
        <v>0</v>
      </c>
      <c r="J4836">
        <f>Data!D4848</f>
        <v>0</v>
      </c>
      <c r="K4836">
        <f>Data!E4848</f>
        <v>0</v>
      </c>
      <c r="L4836">
        <f>Data!F4848</f>
        <v>0</v>
      </c>
      <c r="M4836">
        <f>Data!G4848</f>
        <v>0</v>
      </c>
      <c r="N4836">
        <f>Data!H4848</f>
        <v>0</v>
      </c>
      <c r="O4836">
        <f>Data!I4848</f>
        <v>0</v>
      </c>
      <c r="P4836" s="21">
        <f>Data!J4852</f>
        <v>0</v>
      </c>
      <c r="Q4836">
        <f>Data!K4852</f>
        <v>0</v>
      </c>
      <c r="R4836">
        <f>Data!L4852</f>
        <v>0</v>
      </c>
      <c r="S4836">
        <f>Data!M4852</f>
        <v>0</v>
      </c>
      <c r="T4836">
        <f>Data!N4852</f>
        <v>0</v>
      </c>
      <c r="U4836">
        <f>Data!O4852</f>
        <v>0</v>
      </c>
      <c r="V4836" s="33">
        <f>Data!P4850</f>
        <v>0</v>
      </c>
    </row>
    <row r="4837" spans="7:22" x14ac:dyDescent="0.25">
      <c r="G4837">
        <f>Data!B4849</f>
        <v>0</v>
      </c>
      <c r="H4837" s="21">
        <f>Data!B4849</f>
        <v>0</v>
      </c>
      <c r="I4837" s="21">
        <f>Data!C4849</f>
        <v>0</v>
      </c>
      <c r="J4837">
        <f>Data!D4849</f>
        <v>0</v>
      </c>
      <c r="K4837">
        <f>Data!E4849</f>
        <v>0</v>
      </c>
      <c r="L4837">
        <f>Data!F4849</f>
        <v>0</v>
      </c>
      <c r="M4837">
        <f>Data!G4849</f>
        <v>0</v>
      </c>
      <c r="N4837">
        <f>Data!H4849</f>
        <v>0</v>
      </c>
      <c r="O4837">
        <f>Data!I4849</f>
        <v>0</v>
      </c>
      <c r="P4837" s="21">
        <f>Data!J4853</f>
        <v>0</v>
      </c>
      <c r="Q4837">
        <f>Data!K4853</f>
        <v>0</v>
      </c>
      <c r="R4837">
        <f>Data!L4853</f>
        <v>0</v>
      </c>
      <c r="S4837">
        <f>Data!M4853</f>
        <v>0</v>
      </c>
      <c r="T4837">
        <f>Data!N4853</f>
        <v>0</v>
      </c>
      <c r="U4837">
        <f>Data!O4853</f>
        <v>0</v>
      </c>
      <c r="V4837" s="33">
        <f>Data!P4851</f>
        <v>0</v>
      </c>
    </row>
    <row r="4838" spans="7:22" x14ac:dyDescent="0.25">
      <c r="G4838">
        <f>Data!B4850</f>
        <v>0</v>
      </c>
      <c r="H4838" s="21">
        <f>Data!B4850</f>
        <v>0</v>
      </c>
      <c r="I4838" s="21">
        <f>Data!C4850</f>
        <v>0</v>
      </c>
      <c r="J4838">
        <f>Data!D4850</f>
        <v>0</v>
      </c>
      <c r="K4838">
        <f>Data!E4850</f>
        <v>0</v>
      </c>
      <c r="L4838">
        <f>Data!F4850</f>
        <v>0</v>
      </c>
      <c r="M4838">
        <f>Data!G4850</f>
        <v>0</v>
      </c>
      <c r="N4838">
        <f>Data!H4850</f>
        <v>0</v>
      </c>
      <c r="O4838">
        <f>Data!I4850</f>
        <v>0</v>
      </c>
      <c r="P4838" s="21">
        <f>Data!J4854</f>
        <v>0</v>
      </c>
      <c r="Q4838">
        <f>Data!K4854</f>
        <v>0</v>
      </c>
      <c r="R4838">
        <f>Data!L4854</f>
        <v>0</v>
      </c>
      <c r="S4838">
        <f>Data!M4854</f>
        <v>0</v>
      </c>
      <c r="T4838">
        <f>Data!N4854</f>
        <v>0</v>
      </c>
      <c r="U4838">
        <f>Data!O4854</f>
        <v>0</v>
      </c>
      <c r="V4838" s="33">
        <f>Data!P4852</f>
        <v>0</v>
      </c>
    </row>
    <row r="4839" spans="7:22" x14ac:dyDescent="0.25">
      <c r="G4839">
        <f>Data!B4851</f>
        <v>0</v>
      </c>
      <c r="H4839" s="21">
        <f>Data!B4851</f>
        <v>0</v>
      </c>
      <c r="I4839" s="21">
        <f>Data!C4851</f>
        <v>0</v>
      </c>
      <c r="J4839">
        <f>Data!D4851</f>
        <v>0</v>
      </c>
      <c r="K4839">
        <f>Data!E4851</f>
        <v>0</v>
      </c>
      <c r="L4839">
        <f>Data!F4851</f>
        <v>0</v>
      </c>
      <c r="M4839">
        <f>Data!G4851</f>
        <v>0</v>
      </c>
      <c r="N4839">
        <f>Data!H4851</f>
        <v>0</v>
      </c>
      <c r="O4839">
        <f>Data!I4851</f>
        <v>0</v>
      </c>
      <c r="P4839" s="21">
        <f>Data!J4855</f>
        <v>0</v>
      </c>
      <c r="Q4839">
        <f>Data!K4855</f>
        <v>0</v>
      </c>
      <c r="R4839">
        <f>Data!L4855</f>
        <v>0</v>
      </c>
      <c r="S4839">
        <f>Data!M4855</f>
        <v>0</v>
      </c>
      <c r="T4839">
        <f>Data!N4855</f>
        <v>0</v>
      </c>
      <c r="U4839">
        <f>Data!O4855</f>
        <v>0</v>
      </c>
      <c r="V4839" s="33">
        <f>Data!P4853</f>
        <v>0</v>
      </c>
    </row>
    <row r="4840" spans="7:22" x14ac:dyDescent="0.25">
      <c r="G4840">
        <f>Data!B4852</f>
        <v>0</v>
      </c>
      <c r="H4840" s="21">
        <f>Data!B4852</f>
        <v>0</v>
      </c>
      <c r="I4840" s="21">
        <f>Data!C4852</f>
        <v>0</v>
      </c>
      <c r="J4840">
        <f>Data!D4852</f>
        <v>0</v>
      </c>
      <c r="K4840">
        <f>Data!E4852</f>
        <v>0</v>
      </c>
      <c r="L4840">
        <f>Data!F4852</f>
        <v>0</v>
      </c>
      <c r="M4840">
        <f>Data!G4852</f>
        <v>0</v>
      </c>
      <c r="N4840">
        <f>Data!H4852</f>
        <v>0</v>
      </c>
      <c r="O4840">
        <f>Data!I4852</f>
        <v>0</v>
      </c>
      <c r="P4840" s="21">
        <f>Data!J4856</f>
        <v>0</v>
      </c>
      <c r="Q4840">
        <f>Data!K4856</f>
        <v>0</v>
      </c>
      <c r="R4840">
        <f>Data!L4856</f>
        <v>0</v>
      </c>
      <c r="S4840">
        <f>Data!M4856</f>
        <v>0</v>
      </c>
      <c r="T4840">
        <f>Data!N4856</f>
        <v>0</v>
      </c>
      <c r="U4840">
        <f>Data!O4856</f>
        <v>0</v>
      </c>
      <c r="V4840" s="33">
        <f>Data!P4854</f>
        <v>0</v>
      </c>
    </row>
    <row r="4841" spans="7:22" x14ac:dyDescent="0.25">
      <c r="G4841">
        <f>Data!B4853</f>
        <v>0</v>
      </c>
      <c r="H4841" s="21">
        <f>Data!B4853</f>
        <v>0</v>
      </c>
      <c r="I4841" s="21">
        <f>Data!C4853</f>
        <v>0</v>
      </c>
      <c r="J4841">
        <f>Data!D4853</f>
        <v>0</v>
      </c>
      <c r="K4841">
        <f>Data!E4853</f>
        <v>0</v>
      </c>
      <c r="L4841">
        <f>Data!F4853</f>
        <v>0</v>
      </c>
      <c r="M4841">
        <f>Data!G4853</f>
        <v>0</v>
      </c>
      <c r="N4841">
        <f>Data!H4853</f>
        <v>0</v>
      </c>
      <c r="O4841">
        <f>Data!I4853</f>
        <v>0</v>
      </c>
      <c r="P4841" s="21">
        <f>Data!J4857</f>
        <v>0</v>
      </c>
      <c r="Q4841">
        <f>Data!K4857</f>
        <v>0</v>
      </c>
      <c r="R4841">
        <f>Data!L4857</f>
        <v>0</v>
      </c>
      <c r="S4841">
        <f>Data!M4857</f>
        <v>0</v>
      </c>
      <c r="T4841">
        <f>Data!N4857</f>
        <v>0</v>
      </c>
      <c r="U4841">
        <f>Data!O4857</f>
        <v>0</v>
      </c>
      <c r="V4841" s="33">
        <f>Data!P4855</f>
        <v>0</v>
      </c>
    </row>
    <row r="4842" spans="7:22" x14ac:dyDescent="0.25">
      <c r="G4842">
        <f>Data!B4854</f>
        <v>0</v>
      </c>
      <c r="H4842" s="21">
        <f>Data!B4854</f>
        <v>0</v>
      </c>
      <c r="I4842" s="21">
        <f>Data!C4854</f>
        <v>0</v>
      </c>
      <c r="J4842">
        <f>Data!D4854</f>
        <v>0</v>
      </c>
      <c r="K4842">
        <f>Data!E4854</f>
        <v>0</v>
      </c>
      <c r="L4842">
        <f>Data!F4854</f>
        <v>0</v>
      </c>
      <c r="M4842">
        <f>Data!G4854</f>
        <v>0</v>
      </c>
      <c r="N4842">
        <f>Data!H4854</f>
        <v>0</v>
      </c>
      <c r="O4842">
        <f>Data!I4854</f>
        <v>0</v>
      </c>
      <c r="P4842" s="21">
        <f>Data!J4858</f>
        <v>0</v>
      </c>
      <c r="Q4842">
        <f>Data!K4858</f>
        <v>0</v>
      </c>
      <c r="R4842">
        <f>Data!L4858</f>
        <v>0</v>
      </c>
      <c r="S4842">
        <f>Data!M4858</f>
        <v>0</v>
      </c>
      <c r="T4842">
        <f>Data!N4858</f>
        <v>0</v>
      </c>
      <c r="U4842">
        <f>Data!O4858</f>
        <v>0</v>
      </c>
      <c r="V4842" s="33">
        <f>Data!P4856</f>
        <v>0</v>
      </c>
    </row>
    <row r="4843" spans="7:22" x14ac:dyDescent="0.25">
      <c r="G4843">
        <f>Data!B4855</f>
        <v>0</v>
      </c>
      <c r="H4843" s="21">
        <f>Data!B4855</f>
        <v>0</v>
      </c>
      <c r="I4843" s="21">
        <f>Data!C4855</f>
        <v>0</v>
      </c>
      <c r="J4843">
        <f>Data!D4855</f>
        <v>0</v>
      </c>
      <c r="K4843">
        <f>Data!E4855</f>
        <v>0</v>
      </c>
      <c r="L4843">
        <f>Data!F4855</f>
        <v>0</v>
      </c>
      <c r="M4843">
        <f>Data!G4855</f>
        <v>0</v>
      </c>
      <c r="N4843">
        <f>Data!H4855</f>
        <v>0</v>
      </c>
      <c r="O4843">
        <f>Data!I4855</f>
        <v>0</v>
      </c>
      <c r="P4843" s="21">
        <f>Data!J4859</f>
        <v>0</v>
      </c>
      <c r="Q4843">
        <f>Data!K4859</f>
        <v>0</v>
      </c>
      <c r="R4843">
        <f>Data!L4859</f>
        <v>0</v>
      </c>
      <c r="S4843">
        <f>Data!M4859</f>
        <v>0</v>
      </c>
      <c r="T4843">
        <f>Data!N4859</f>
        <v>0</v>
      </c>
      <c r="U4843">
        <f>Data!O4859</f>
        <v>0</v>
      </c>
      <c r="V4843" s="33">
        <f>Data!P4857</f>
        <v>0</v>
      </c>
    </row>
    <row r="4844" spans="7:22" x14ac:dyDescent="0.25">
      <c r="G4844">
        <f>Data!B4856</f>
        <v>0</v>
      </c>
      <c r="H4844" s="21">
        <f>Data!B4856</f>
        <v>0</v>
      </c>
      <c r="I4844" s="21">
        <f>Data!C4856</f>
        <v>0</v>
      </c>
      <c r="J4844">
        <f>Data!D4856</f>
        <v>0</v>
      </c>
      <c r="K4844">
        <f>Data!E4856</f>
        <v>0</v>
      </c>
      <c r="L4844">
        <f>Data!F4856</f>
        <v>0</v>
      </c>
      <c r="M4844">
        <f>Data!G4856</f>
        <v>0</v>
      </c>
      <c r="N4844">
        <f>Data!H4856</f>
        <v>0</v>
      </c>
      <c r="O4844">
        <f>Data!I4856</f>
        <v>0</v>
      </c>
      <c r="P4844" s="21">
        <f>Data!J4860</f>
        <v>0</v>
      </c>
      <c r="Q4844">
        <f>Data!K4860</f>
        <v>0</v>
      </c>
      <c r="R4844">
        <f>Data!L4860</f>
        <v>0</v>
      </c>
      <c r="S4844">
        <f>Data!M4860</f>
        <v>0</v>
      </c>
      <c r="T4844">
        <f>Data!N4860</f>
        <v>0</v>
      </c>
      <c r="U4844">
        <f>Data!O4860</f>
        <v>0</v>
      </c>
      <c r="V4844" s="33">
        <f>Data!P4858</f>
        <v>0</v>
      </c>
    </row>
    <row r="4845" spans="7:22" x14ac:dyDescent="0.25">
      <c r="G4845">
        <f>Data!B4857</f>
        <v>0</v>
      </c>
      <c r="H4845" s="21">
        <f>Data!B4857</f>
        <v>0</v>
      </c>
      <c r="I4845" s="21">
        <f>Data!C4857</f>
        <v>0</v>
      </c>
      <c r="J4845">
        <f>Data!D4857</f>
        <v>0</v>
      </c>
      <c r="K4845">
        <f>Data!E4857</f>
        <v>0</v>
      </c>
      <c r="L4845">
        <f>Data!F4857</f>
        <v>0</v>
      </c>
      <c r="M4845">
        <f>Data!G4857</f>
        <v>0</v>
      </c>
      <c r="N4845">
        <f>Data!H4857</f>
        <v>0</v>
      </c>
      <c r="O4845">
        <f>Data!I4857</f>
        <v>0</v>
      </c>
      <c r="P4845" s="21">
        <f>Data!J4861</f>
        <v>0</v>
      </c>
      <c r="Q4845">
        <f>Data!K4861</f>
        <v>0</v>
      </c>
      <c r="R4845">
        <f>Data!L4861</f>
        <v>0</v>
      </c>
      <c r="S4845">
        <f>Data!M4861</f>
        <v>0</v>
      </c>
      <c r="T4845">
        <f>Data!N4861</f>
        <v>0</v>
      </c>
      <c r="U4845">
        <f>Data!O4861</f>
        <v>0</v>
      </c>
      <c r="V4845" s="33">
        <f>Data!P4859</f>
        <v>0</v>
      </c>
    </row>
    <row r="4846" spans="7:22" x14ac:dyDescent="0.25">
      <c r="G4846">
        <f>Data!B4858</f>
        <v>0</v>
      </c>
      <c r="H4846" s="21">
        <f>Data!B4858</f>
        <v>0</v>
      </c>
      <c r="I4846" s="21">
        <f>Data!C4858</f>
        <v>0</v>
      </c>
      <c r="J4846">
        <f>Data!D4858</f>
        <v>0</v>
      </c>
      <c r="K4846">
        <f>Data!E4858</f>
        <v>0</v>
      </c>
      <c r="L4846">
        <f>Data!F4858</f>
        <v>0</v>
      </c>
      <c r="M4846">
        <f>Data!G4858</f>
        <v>0</v>
      </c>
      <c r="N4846">
        <f>Data!H4858</f>
        <v>0</v>
      </c>
      <c r="O4846">
        <f>Data!I4858</f>
        <v>0</v>
      </c>
      <c r="P4846" s="21">
        <f>Data!J4862</f>
        <v>0</v>
      </c>
      <c r="Q4846">
        <f>Data!K4862</f>
        <v>0</v>
      </c>
      <c r="R4846">
        <f>Data!L4862</f>
        <v>0</v>
      </c>
      <c r="S4846">
        <f>Data!M4862</f>
        <v>0</v>
      </c>
      <c r="T4846">
        <f>Data!N4862</f>
        <v>0</v>
      </c>
      <c r="U4846">
        <f>Data!O4862</f>
        <v>0</v>
      </c>
      <c r="V4846" s="33">
        <f>Data!P4860</f>
        <v>0</v>
      </c>
    </row>
    <row r="4847" spans="7:22" x14ac:dyDescent="0.25">
      <c r="G4847">
        <f>Data!B4859</f>
        <v>0</v>
      </c>
      <c r="H4847" s="21">
        <f>Data!B4859</f>
        <v>0</v>
      </c>
      <c r="I4847" s="21">
        <f>Data!C4859</f>
        <v>0</v>
      </c>
      <c r="J4847">
        <f>Data!D4859</f>
        <v>0</v>
      </c>
      <c r="K4847">
        <f>Data!E4859</f>
        <v>0</v>
      </c>
      <c r="L4847">
        <f>Data!F4859</f>
        <v>0</v>
      </c>
      <c r="M4847">
        <f>Data!G4859</f>
        <v>0</v>
      </c>
      <c r="N4847">
        <f>Data!H4859</f>
        <v>0</v>
      </c>
      <c r="O4847">
        <f>Data!I4859</f>
        <v>0</v>
      </c>
      <c r="P4847" s="21">
        <f>Data!J4863</f>
        <v>0</v>
      </c>
      <c r="Q4847">
        <f>Data!K4863</f>
        <v>0</v>
      </c>
      <c r="R4847">
        <f>Data!L4863</f>
        <v>0</v>
      </c>
      <c r="S4847">
        <f>Data!M4863</f>
        <v>0</v>
      </c>
      <c r="T4847">
        <f>Data!N4863</f>
        <v>0</v>
      </c>
      <c r="U4847">
        <f>Data!O4863</f>
        <v>0</v>
      </c>
      <c r="V4847" s="33">
        <f>Data!P4861</f>
        <v>0</v>
      </c>
    </row>
    <row r="4848" spans="7:22" x14ac:dyDescent="0.25">
      <c r="G4848">
        <f>Data!B4860</f>
        <v>0</v>
      </c>
      <c r="H4848" s="21">
        <f>Data!B4860</f>
        <v>0</v>
      </c>
      <c r="I4848" s="21">
        <f>Data!C4860</f>
        <v>0</v>
      </c>
      <c r="J4848">
        <f>Data!D4860</f>
        <v>0</v>
      </c>
      <c r="K4848">
        <f>Data!E4860</f>
        <v>0</v>
      </c>
      <c r="L4848">
        <f>Data!F4860</f>
        <v>0</v>
      </c>
      <c r="M4848">
        <f>Data!G4860</f>
        <v>0</v>
      </c>
      <c r="N4848">
        <f>Data!H4860</f>
        <v>0</v>
      </c>
      <c r="O4848">
        <f>Data!I4860</f>
        <v>0</v>
      </c>
      <c r="P4848" s="21">
        <f>Data!J4864</f>
        <v>0</v>
      </c>
      <c r="Q4848">
        <f>Data!K4864</f>
        <v>0</v>
      </c>
      <c r="R4848">
        <f>Data!L4864</f>
        <v>0</v>
      </c>
      <c r="S4848">
        <f>Data!M4864</f>
        <v>0</v>
      </c>
      <c r="T4848">
        <f>Data!N4864</f>
        <v>0</v>
      </c>
      <c r="U4848">
        <f>Data!O4864</f>
        <v>0</v>
      </c>
      <c r="V4848" s="33">
        <f>Data!P4862</f>
        <v>0</v>
      </c>
    </row>
    <row r="4849" spans="7:22" x14ac:dyDescent="0.25">
      <c r="G4849">
        <f>Data!B4861</f>
        <v>0</v>
      </c>
      <c r="H4849" s="21">
        <f>Data!B4861</f>
        <v>0</v>
      </c>
      <c r="I4849" s="21">
        <f>Data!C4861</f>
        <v>0</v>
      </c>
      <c r="J4849">
        <f>Data!D4861</f>
        <v>0</v>
      </c>
      <c r="K4849">
        <f>Data!E4861</f>
        <v>0</v>
      </c>
      <c r="L4849">
        <f>Data!F4861</f>
        <v>0</v>
      </c>
      <c r="M4849">
        <f>Data!G4861</f>
        <v>0</v>
      </c>
      <c r="N4849">
        <f>Data!H4861</f>
        <v>0</v>
      </c>
      <c r="O4849">
        <f>Data!I4861</f>
        <v>0</v>
      </c>
      <c r="P4849" s="21">
        <f>Data!J4865</f>
        <v>0</v>
      </c>
      <c r="Q4849">
        <f>Data!K4865</f>
        <v>0</v>
      </c>
      <c r="R4849">
        <f>Data!L4865</f>
        <v>0</v>
      </c>
      <c r="S4849">
        <f>Data!M4865</f>
        <v>0</v>
      </c>
      <c r="T4849">
        <f>Data!N4865</f>
        <v>0</v>
      </c>
      <c r="U4849">
        <f>Data!O4865</f>
        <v>0</v>
      </c>
      <c r="V4849" s="33">
        <f>Data!P4863</f>
        <v>0</v>
      </c>
    </row>
    <row r="4850" spans="7:22" x14ac:dyDescent="0.25">
      <c r="G4850">
        <f>Data!B4862</f>
        <v>0</v>
      </c>
      <c r="H4850" s="21">
        <f>Data!B4862</f>
        <v>0</v>
      </c>
      <c r="I4850" s="21">
        <f>Data!C4862</f>
        <v>0</v>
      </c>
      <c r="J4850">
        <f>Data!D4862</f>
        <v>0</v>
      </c>
      <c r="K4850">
        <f>Data!E4862</f>
        <v>0</v>
      </c>
      <c r="L4850">
        <f>Data!F4862</f>
        <v>0</v>
      </c>
      <c r="M4850">
        <f>Data!G4862</f>
        <v>0</v>
      </c>
      <c r="N4850">
        <f>Data!H4862</f>
        <v>0</v>
      </c>
      <c r="O4850">
        <f>Data!I4862</f>
        <v>0</v>
      </c>
      <c r="P4850" s="21">
        <f>Data!J4866</f>
        <v>0</v>
      </c>
      <c r="Q4850">
        <f>Data!K4866</f>
        <v>0</v>
      </c>
      <c r="R4850">
        <f>Data!L4866</f>
        <v>0</v>
      </c>
      <c r="S4850">
        <f>Data!M4866</f>
        <v>0</v>
      </c>
      <c r="T4850">
        <f>Data!N4866</f>
        <v>0</v>
      </c>
      <c r="U4850">
        <f>Data!O4866</f>
        <v>0</v>
      </c>
      <c r="V4850" s="33">
        <f>Data!P4864</f>
        <v>0</v>
      </c>
    </row>
    <row r="4851" spans="7:22" x14ac:dyDescent="0.25">
      <c r="G4851">
        <f>Data!B4863</f>
        <v>0</v>
      </c>
      <c r="H4851" s="21">
        <f>Data!B4863</f>
        <v>0</v>
      </c>
      <c r="I4851" s="21">
        <f>Data!C4863</f>
        <v>0</v>
      </c>
      <c r="J4851">
        <f>Data!D4863</f>
        <v>0</v>
      </c>
      <c r="K4851">
        <f>Data!E4863</f>
        <v>0</v>
      </c>
      <c r="L4851">
        <f>Data!F4863</f>
        <v>0</v>
      </c>
      <c r="M4851">
        <f>Data!G4863</f>
        <v>0</v>
      </c>
      <c r="N4851">
        <f>Data!H4863</f>
        <v>0</v>
      </c>
      <c r="O4851">
        <f>Data!I4863</f>
        <v>0</v>
      </c>
      <c r="P4851" s="21">
        <f>Data!J4867</f>
        <v>0</v>
      </c>
      <c r="Q4851">
        <f>Data!K4867</f>
        <v>0</v>
      </c>
      <c r="R4851">
        <f>Data!L4867</f>
        <v>0</v>
      </c>
      <c r="S4851">
        <f>Data!M4867</f>
        <v>0</v>
      </c>
      <c r="T4851">
        <f>Data!N4867</f>
        <v>0</v>
      </c>
      <c r="U4851">
        <f>Data!O4867</f>
        <v>0</v>
      </c>
      <c r="V4851" s="33">
        <f>Data!P4865</f>
        <v>0</v>
      </c>
    </row>
    <row r="4852" spans="7:22" x14ac:dyDescent="0.25">
      <c r="G4852">
        <f>Data!B4864</f>
        <v>0</v>
      </c>
      <c r="H4852" s="21">
        <f>Data!B4864</f>
        <v>0</v>
      </c>
      <c r="I4852" s="21">
        <f>Data!C4864</f>
        <v>0</v>
      </c>
      <c r="J4852">
        <f>Data!D4864</f>
        <v>0</v>
      </c>
      <c r="K4852">
        <f>Data!E4864</f>
        <v>0</v>
      </c>
      <c r="L4852">
        <f>Data!F4864</f>
        <v>0</v>
      </c>
      <c r="M4852">
        <f>Data!G4864</f>
        <v>0</v>
      </c>
      <c r="N4852">
        <f>Data!H4864</f>
        <v>0</v>
      </c>
      <c r="O4852">
        <f>Data!I4864</f>
        <v>0</v>
      </c>
      <c r="P4852" s="21">
        <f>Data!J4868</f>
        <v>0</v>
      </c>
      <c r="Q4852">
        <f>Data!K4868</f>
        <v>0</v>
      </c>
      <c r="R4852">
        <f>Data!L4868</f>
        <v>0</v>
      </c>
      <c r="S4852">
        <f>Data!M4868</f>
        <v>0</v>
      </c>
      <c r="T4852">
        <f>Data!N4868</f>
        <v>0</v>
      </c>
      <c r="U4852">
        <f>Data!O4868</f>
        <v>0</v>
      </c>
      <c r="V4852" s="33">
        <f>Data!P4866</f>
        <v>0</v>
      </c>
    </row>
    <row r="4853" spans="7:22" x14ac:dyDescent="0.25">
      <c r="G4853">
        <f>Data!B4865</f>
        <v>0</v>
      </c>
      <c r="H4853" s="21">
        <f>Data!B4865</f>
        <v>0</v>
      </c>
      <c r="I4853" s="21">
        <f>Data!C4865</f>
        <v>0</v>
      </c>
      <c r="J4853">
        <f>Data!D4865</f>
        <v>0</v>
      </c>
      <c r="K4853">
        <f>Data!E4865</f>
        <v>0</v>
      </c>
      <c r="L4853">
        <f>Data!F4865</f>
        <v>0</v>
      </c>
      <c r="M4853">
        <f>Data!G4865</f>
        <v>0</v>
      </c>
      <c r="N4853">
        <f>Data!H4865</f>
        <v>0</v>
      </c>
      <c r="O4853">
        <f>Data!I4865</f>
        <v>0</v>
      </c>
      <c r="P4853" s="21">
        <f>Data!J4869</f>
        <v>0</v>
      </c>
      <c r="Q4853">
        <f>Data!K4869</f>
        <v>0</v>
      </c>
      <c r="R4853">
        <f>Data!L4869</f>
        <v>0</v>
      </c>
      <c r="S4853">
        <f>Data!M4869</f>
        <v>0</v>
      </c>
      <c r="T4853">
        <f>Data!N4869</f>
        <v>0</v>
      </c>
      <c r="U4853">
        <f>Data!O4869</f>
        <v>0</v>
      </c>
      <c r="V4853" s="33">
        <f>Data!P4867</f>
        <v>0</v>
      </c>
    </row>
    <row r="4854" spans="7:22" x14ac:dyDescent="0.25">
      <c r="G4854">
        <f>Data!B4866</f>
        <v>0</v>
      </c>
      <c r="H4854" s="21">
        <f>Data!B4866</f>
        <v>0</v>
      </c>
      <c r="I4854" s="21">
        <f>Data!C4866</f>
        <v>0</v>
      </c>
      <c r="J4854">
        <f>Data!D4866</f>
        <v>0</v>
      </c>
      <c r="K4854">
        <f>Data!E4866</f>
        <v>0</v>
      </c>
      <c r="L4854">
        <f>Data!F4866</f>
        <v>0</v>
      </c>
      <c r="M4854">
        <f>Data!G4866</f>
        <v>0</v>
      </c>
      <c r="N4854">
        <f>Data!H4866</f>
        <v>0</v>
      </c>
      <c r="O4854">
        <f>Data!I4866</f>
        <v>0</v>
      </c>
      <c r="P4854" s="21">
        <f>Data!J4870</f>
        <v>0</v>
      </c>
      <c r="Q4854">
        <f>Data!K4870</f>
        <v>0</v>
      </c>
      <c r="R4854">
        <f>Data!L4870</f>
        <v>0</v>
      </c>
      <c r="S4854">
        <f>Data!M4870</f>
        <v>0</v>
      </c>
      <c r="T4854">
        <f>Data!N4870</f>
        <v>0</v>
      </c>
      <c r="U4854">
        <f>Data!O4870</f>
        <v>0</v>
      </c>
      <c r="V4854" s="33">
        <f>Data!P4868</f>
        <v>0</v>
      </c>
    </row>
    <row r="4855" spans="7:22" x14ac:dyDescent="0.25">
      <c r="G4855">
        <f>Data!B4867</f>
        <v>0</v>
      </c>
      <c r="H4855" s="21">
        <f>Data!B4867</f>
        <v>0</v>
      </c>
      <c r="I4855" s="21">
        <f>Data!C4867</f>
        <v>0</v>
      </c>
      <c r="J4855">
        <f>Data!D4867</f>
        <v>0</v>
      </c>
      <c r="K4855">
        <f>Data!E4867</f>
        <v>0</v>
      </c>
      <c r="L4855">
        <f>Data!F4867</f>
        <v>0</v>
      </c>
      <c r="M4855">
        <f>Data!G4867</f>
        <v>0</v>
      </c>
      <c r="N4855">
        <f>Data!H4867</f>
        <v>0</v>
      </c>
      <c r="O4855">
        <f>Data!I4867</f>
        <v>0</v>
      </c>
      <c r="P4855" s="21">
        <f>Data!J4871</f>
        <v>0</v>
      </c>
      <c r="Q4855">
        <f>Data!K4871</f>
        <v>0</v>
      </c>
      <c r="R4855">
        <f>Data!L4871</f>
        <v>0</v>
      </c>
      <c r="S4855">
        <f>Data!M4871</f>
        <v>0</v>
      </c>
      <c r="T4855">
        <f>Data!N4871</f>
        <v>0</v>
      </c>
      <c r="U4855">
        <f>Data!O4871</f>
        <v>0</v>
      </c>
      <c r="V4855" s="33">
        <f>Data!P4869</f>
        <v>0</v>
      </c>
    </row>
    <row r="4856" spans="7:22" x14ac:dyDescent="0.25">
      <c r="G4856">
        <f>Data!B4868</f>
        <v>0</v>
      </c>
      <c r="H4856" s="21">
        <f>Data!B4868</f>
        <v>0</v>
      </c>
      <c r="I4856" s="21">
        <f>Data!C4868</f>
        <v>0</v>
      </c>
      <c r="J4856">
        <f>Data!D4868</f>
        <v>0</v>
      </c>
      <c r="K4856">
        <f>Data!E4868</f>
        <v>0</v>
      </c>
      <c r="L4856">
        <f>Data!F4868</f>
        <v>0</v>
      </c>
      <c r="M4856">
        <f>Data!G4868</f>
        <v>0</v>
      </c>
      <c r="N4856">
        <f>Data!H4868</f>
        <v>0</v>
      </c>
      <c r="O4856">
        <f>Data!I4868</f>
        <v>0</v>
      </c>
      <c r="P4856" s="21">
        <f>Data!J4872</f>
        <v>0</v>
      </c>
      <c r="Q4856">
        <f>Data!K4872</f>
        <v>0</v>
      </c>
      <c r="R4856">
        <f>Data!L4872</f>
        <v>0</v>
      </c>
      <c r="S4856">
        <f>Data!M4872</f>
        <v>0</v>
      </c>
      <c r="T4856">
        <f>Data!N4872</f>
        <v>0</v>
      </c>
      <c r="U4856">
        <f>Data!O4872</f>
        <v>0</v>
      </c>
      <c r="V4856" s="33">
        <f>Data!P4870</f>
        <v>0</v>
      </c>
    </row>
    <row r="4857" spans="7:22" x14ac:dyDescent="0.25">
      <c r="G4857">
        <f>Data!B4869</f>
        <v>0</v>
      </c>
      <c r="H4857" s="21">
        <f>Data!B4869</f>
        <v>0</v>
      </c>
      <c r="I4857" s="21">
        <f>Data!C4869</f>
        <v>0</v>
      </c>
      <c r="J4857">
        <f>Data!D4869</f>
        <v>0</v>
      </c>
      <c r="K4857">
        <f>Data!E4869</f>
        <v>0</v>
      </c>
      <c r="L4857">
        <f>Data!F4869</f>
        <v>0</v>
      </c>
      <c r="M4857">
        <f>Data!G4869</f>
        <v>0</v>
      </c>
      <c r="N4857">
        <f>Data!H4869</f>
        <v>0</v>
      </c>
      <c r="O4857">
        <f>Data!I4869</f>
        <v>0</v>
      </c>
      <c r="P4857" s="21">
        <f>Data!J4873</f>
        <v>0</v>
      </c>
      <c r="Q4857">
        <f>Data!K4873</f>
        <v>0</v>
      </c>
      <c r="R4857">
        <f>Data!L4873</f>
        <v>0</v>
      </c>
      <c r="S4857">
        <f>Data!M4873</f>
        <v>0</v>
      </c>
      <c r="T4857">
        <f>Data!N4873</f>
        <v>0</v>
      </c>
      <c r="U4857">
        <f>Data!O4873</f>
        <v>0</v>
      </c>
      <c r="V4857" s="33">
        <f>Data!P4871</f>
        <v>0</v>
      </c>
    </row>
    <row r="4858" spans="7:22" x14ac:dyDescent="0.25">
      <c r="G4858">
        <f>Data!B4870</f>
        <v>0</v>
      </c>
      <c r="H4858" s="21">
        <f>Data!B4870</f>
        <v>0</v>
      </c>
      <c r="I4858" s="21">
        <f>Data!C4870</f>
        <v>0</v>
      </c>
      <c r="J4858">
        <f>Data!D4870</f>
        <v>0</v>
      </c>
      <c r="K4858">
        <f>Data!E4870</f>
        <v>0</v>
      </c>
      <c r="L4858">
        <f>Data!F4870</f>
        <v>0</v>
      </c>
      <c r="M4858">
        <f>Data!G4870</f>
        <v>0</v>
      </c>
      <c r="N4858">
        <f>Data!H4870</f>
        <v>0</v>
      </c>
      <c r="O4858">
        <f>Data!I4870</f>
        <v>0</v>
      </c>
      <c r="P4858" s="21">
        <f>Data!J4874</f>
        <v>0</v>
      </c>
      <c r="Q4858">
        <f>Data!K4874</f>
        <v>0</v>
      </c>
      <c r="R4858">
        <f>Data!L4874</f>
        <v>0</v>
      </c>
      <c r="S4858">
        <f>Data!M4874</f>
        <v>0</v>
      </c>
      <c r="T4858">
        <f>Data!N4874</f>
        <v>0</v>
      </c>
      <c r="U4858">
        <f>Data!O4874</f>
        <v>0</v>
      </c>
      <c r="V4858" s="33">
        <f>Data!P4872</f>
        <v>0</v>
      </c>
    </row>
    <row r="4859" spans="7:22" x14ac:dyDescent="0.25">
      <c r="G4859">
        <f>Data!B4871</f>
        <v>0</v>
      </c>
      <c r="H4859" s="21">
        <f>Data!B4871</f>
        <v>0</v>
      </c>
      <c r="I4859" s="21">
        <f>Data!C4871</f>
        <v>0</v>
      </c>
      <c r="J4859">
        <f>Data!D4871</f>
        <v>0</v>
      </c>
      <c r="K4859">
        <f>Data!E4871</f>
        <v>0</v>
      </c>
      <c r="L4859">
        <f>Data!F4871</f>
        <v>0</v>
      </c>
      <c r="M4859">
        <f>Data!G4871</f>
        <v>0</v>
      </c>
      <c r="N4859">
        <f>Data!H4871</f>
        <v>0</v>
      </c>
      <c r="O4859">
        <f>Data!I4871</f>
        <v>0</v>
      </c>
      <c r="P4859" s="21">
        <f>Data!J4875</f>
        <v>0</v>
      </c>
      <c r="Q4859">
        <f>Data!K4875</f>
        <v>0</v>
      </c>
      <c r="R4859">
        <f>Data!L4875</f>
        <v>0</v>
      </c>
      <c r="S4859">
        <f>Data!M4875</f>
        <v>0</v>
      </c>
      <c r="T4859">
        <f>Data!N4875</f>
        <v>0</v>
      </c>
      <c r="U4859">
        <f>Data!O4875</f>
        <v>0</v>
      </c>
      <c r="V4859" s="33">
        <f>Data!P4873</f>
        <v>0</v>
      </c>
    </row>
    <row r="4860" spans="7:22" x14ac:dyDescent="0.25">
      <c r="G4860">
        <f>Data!B4872</f>
        <v>0</v>
      </c>
      <c r="H4860" s="21">
        <f>Data!B4872</f>
        <v>0</v>
      </c>
      <c r="I4860" s="21">
        <f>Data!C4872</f>
        <v>0</v>
      </c>
      <c r="J4860">
        <f>Data!D4872</f>
        <v>0</v>
      </c>
      <c r="K4860">
        <f>Data!E4872</f>
        <v>0</v>
      </c>
      <c r="L4860">
        <f>Data!F4872</f>
        <v>0</v>
      </c>
      <c r="M4860">
        <f>Data!G4872</f>
        <v>0</v>
      </c>
      <c r="N4860">
        <f>Data!H4872</f>
        <v>0</v>
      </c>
      <c r="O4860">
        <f>Data!I4872</f>
        <v>0</v>
      </c>
      <c r="P4860" s="21">
        <f>Data!J4876</f>
        <v>0</v>
      </c>
      <c r="Q4860">
        <f>Data!K4876</f>
        <v>0</v>
      </c>
      <c r="R4860">
        <f>Data!L4876</f>
        <v>0</v>
      </c>
      <c r="S4860">
        <f>Data!M4876</f>
        <v>0</v>
      </c>
      <c r="T4860">
        <f>Data!N4876</f>
        <v>0</v>
      </c>
      <c r="U4860">
        <f>Data!O4876</f>
        <v>0</v>
      </c>
      <c r="V4860" s="33">
        <f>Data!P4874</f>
        <v>0</v>
      </c>
    </row>
    <row r="4861" spans="7:22" x14ac:dyDescent="0.25">
      <c r="G4861">
        <f>Data!B4873</f>
        <v>0</v>
      </c>
      <c r="H4861" s="21">
        <f>Data!B4873</f>
        <v>0</v>
      </c>
      <c r="I4861" s="21">
        <f>Data!C4873</f>
        <v>0</v>
      </c>
      <c r="J4861">
        <f>Data!D4873</f>
        <v>0</v>
      </c>
      <c r="K4861">
        <f>Data!E4873</f>
        <v>0</v>
      </c>
      <c r="L4861">
        <f>Data!F4873</f>
        <v>0</v>
      </c>
      <c r="M4861">
        <f>Data!G4873</f>
        <v>0</v>
      </c>
      <c r="N4861">
        <f>Data!H4873</f>
        <v>0</v>
      </c>
      <c r="O4861">
        <f>Data!I4873</f>
        <v>0</v>
      </c>
      <c r="P4861" s="21">
        <f>Data!J4877</f>
        <v>0</v>
      </c>
      <c r="Q4861">
        <f>Data!K4877</f>
        <v>0</v>
      </c>
      <c r="R4861">
        <f>Data!L4877</f>
        <v>0</v>
      </c>
      <c r="S4861">
        <f>Data!M4877</f>
        <v>0</v>
      </c>
      <c r="T4861">
        <f>Data!N4877</f>
        <v>0</v>
      </c>
      <c r="U4861">
        <f>Data!O4877</f>
        <v>0</v>
      </c>
      <c r="V4861" s="33">
        <f>Data!P4875</f>
        <v>0</v>
      </c>
    </row>
    <row r="4862" spans="7:22" x14ac:dyDescent="0.25">
      <c r="G4862">
        <f>Data!B4874</f>
        <v>0</v>
      </c>
      <c r="H4862" s="21">
        <f>Data!B4874</f>
        <v>0</v>
      </c>
      <c r="I4862" s="21">
        <f>Data!C4874</f>
        <v>0</v>
      </c>
      <c r="J4862">
        <f>Data!D4874</f>
        <v>0</v>
      </c>
      <c r="K4862">
        <f>Data!E4874</f>
        <v>0</v>
      </c>
      <c r="L4862">
        <f>Data!F4874</f>
        <v>0</v>
      </c>
      <c r="M4862">
        <f>Data!G4874</f>
        <v>0</v>
      </c>
      <c r="N4862">
        <f>Data!H4874</f>
        <v>0</v>
      </c>
      <c r="O4862">
        <f>Data!I4874</f>
        <v>0</v>
      </c>
      <c r="P4862" s="21">
        <f>Data!J4878</f>
        <v>0</v>
      </c>
      <c r="Q4862">
        <f>Data!K4878</f>
        <v>0</v>
      </c>
      <c r="R4862">
        <f>Data!L4878</f>
        <v>0</v>
      </c>
      <c r="S4862">
        <f>Data!M4878</f>
        <v>0</v>
      </c>
      <c r="T4862">
        <f>Data!N4878</f>
        <v>0</v>
      </c>
      <c r="U4862">
        <f>Data!O4878</f>
        <v>0</v>
      </c>
      <c r="V4862" s="33">
        <f>Data!P4876</f>
        <v>0</v>
      </c>
    </row>
    <row r="4863" spans="7:22" x14ac:dyDescent="0.25">
      <c r="G4863">
        <f>Data!B4875</f>
        <v>0</v>
      </c>
      <c r="H4863" s="21">
        <f>Data!B4875</f>
        <v>0</v>
      </c>
      <c r="I4863" s="21">
        <f>Data!C4875</f>
        <v>0</v>
      </c>
      <c r="J4863">
        <f>Data!D4875</f>
        <v>0</v>
      </c>
      <c r="K4863">
        <f>Data!E4875</f>
        <v>0</v>
      </c>
      <c r="L4863">
        <f>Data!F4875</f>
        <v>0</v>
      </c>
      <c r="M4863">
        <f>Data!G4875</f>
        <v>0</v>
      </c>
      <c r="N4863">
        <f>Data!H4875</f>
        <v>0</v>
      </c>
      <c r="O4863">
        <f>Data!I4875</f>
        <v>0</v>
      </c>
      <c r="P4863" s="21">
        <f>Data!J4879</f>
        <v>0</v>
      </c>
      <c r="Q4863">
        <f>Data!K4879</f>
        <v>0</v>
      </c>
      <c r="R4863">
        <f>Data!L4879</f>
        <v>0</v>
      </c>
      <c r="S4863">
        <f>Data!M4879</f>
        <v>0</v>
      </c>
      <c r="T4863">
        <f>Data!N4879</f>
        <v>0</v>
      </c>
      <c r="U4863">
        <f>Data!O4879</f>
        <v>0</v>
      </c>
      <c r="V4863" s="33">
        <f>Data!P4877</f>
        <v>0</v>
      </c>
    </row>
    <row r="4864" spans="7:22" x14ac:dyDescent="0.25">
      <c r="G4864">
        <f>Data!B4876</f>
        <v>0</v>
      </c>
      <c r="H4864" s="21">
        <f>Data!B4876</f>
        <v>0</v>
      </c>
      <c r="I4864" s="21">
        <f>Data!C4876</f>
        <v>0</v>
      </c>
      <c r="J4864">
        <f>Data!D4876</f>
        <v>0</v>
      </c>
      <c r="K4864">
        <f>Data!E4876</f>
        <v>0</v>
      </c>
      <c r="L4864">
        <f>Data!F4876</f>
        <v>0</v>
      </c>
      <c r="M4864">
        <f>Data!G4876</f>
        <v>0</v>
      </c>
      <c r="N4864">
        <f>Data!H4876</f>
        <v>0</v>
      </c>
      <c r="O4864">
        <f>Data!I4876</f>
        <v>0</v>
      </c>
      <c r="P4864" s="21">
        <f>Data!J4880</f>
        <v>0</v>
      </c>
      <c r="Q4864">
        <f>Data!K4880</f>
        <v>0</v>
      </c>
      <c r="R4864">
        <f>Data!L4880</f>
        <v>0</v>
      </c>
      <c r="S4864">
        <f>Data!M4880</f>
        <v>0</v>
      </c>
      <c r="T4864">
        <f>Data!N4880</f>
        <v>0</v>
      </c>
      <c r="U4864">
        <f>Data!O4880</f>
        <v>0</v>
      </c>
      <c r="V4864" s="33">
        <f>Data!P4878</f>
        <v>0</v>
      </c>
    </row>
    <row r="4865" spans="7:22" x14ac:dyDescent="0.25">
      <c r="G4865">
        <f>Data!B4877</f>
        <v>0</v>
      </c>
      <c r="H4865" s="21">
        <f>Data!B4877</f>
        <v>0</v>
      </c>
      <c r="I4865" s="21">
        <f>Data!C4877</f>
        <v>0</v>
      </c>
      <c r="J4865">
        <f>Data!D4877</f>
        <v>0</v>
      </c>
      <c r="K4865">
        <f>Data!E4877</f>
        <v>0</v>
      </c>
      <c r="L4865">
        <f>Data!F4877</f>
        <v>0</v>
      </c>
      <c r="M4865">
        <f>Data!G4877</f>
        <v>0</v>
      </c>
      <c r="N4865">
        <f>Data!H4877</f>
        <v>0</v>
      </c>
      <c r="O4865">
        <f>Data!I4877</f>
        <v>0</v>
      </c>
      <c r="P4865" s="21">
        <f>Data!J4881</f>
        <v>0</v>
      </c>
      <c r="Q4865">
        <f>Data!K4881</f>
        <v>0</v>
      </c>
      <c r="R4865">
        <f>Data!L4881</f>
        <v>0</v>
      </c>
      <c r="S4865">
        <f>Data!M4881</f>
        <v>0</v>
      </c>
      <c r="T4865">
        <f>Data!N4881</f>
        <v>0</v>
      </c>
      <c r="U4865">
        <f>Data!O4881</f>
        <v>0</v>
      </c>
      <c r="V4865" s="33">
        <f>Data!P4879</f>
        <v>0</v>
      </c>
    </row>
    <row r="4866" spans="7:22" x14ac:dyDescent="0.25">
      <c r="G4866">
        <f>Data!B4878</f>
        <v>0</v>
      </c>
      <c r="H4866" s="21">
        <f>Data!B4878</f>
        <v>0</v>
      </c>
      <c r="I4866" s="21">
        <f>Data!C4878</f>
        <v>0</v>
      </c>
      <c r="J4866">
        <f>Data!D4878</f>
        <v>0</v>
      </c>
      <c r="K4866">
        <f>Data!E4878</f>
        <v>0</v>
      </c>
      <c r="L4866">
        <f>Data!F4878</f>
        <v>0</v>
      </c>
      <c r="M4866">
        <f>Data!G4878</f>
        <v>0</v>
      </c>
      <c r="N4866">
        <f>Data!H4878</f>
        <v>0</v>
      </c>
      <c r="O4866">
        <f>Data!I4878</f>
        <v>0</v>
      </c>
      <c r="P4866" s="21">
        <f>Data!J4882</f>
        <v>0</v>
      </c>
      <c r="Q4866">
        <f>Data!K4882</f>
        <v>0</v>
      </c>
      <c r="R4866">
        <f>Data!L4882</f>
        <v>0</v>
      </c>
      <c r="S4866">
        <f>Data!M4882</f>
        <v>0</v>
      </c>
      <c r="T4866">
        <f>Data!N4882</f>
        <v>0</v>
      </c>
      <c r="U4866">
        <f>Data!O4882</f>
        <v>0</v>
      </c>
      <c r="V4866" s="33">
        <f>Data!P4880</f>
        <v>0</v>
      </c>
    </row>
    <row r="4867" spans="7:22" x14ac:dyDescent="0.25">
      <c r="G4867">
        <f>Data!B4879</f>
        <v>0</v>
      </c>
      <c r="H4867" s="21">
        <f>Data!B4879</f>
        <v>0</v>
      </c>
      <c r="I4867" s="21">
        <f>Data!C4879</f>
        <v>0</v>
      </c>
      <c r="J4867">
        <f>Data!D4879</f>
        <v>0</v>
      </c>
      <c r="K4867">
        <f>Data!E4879</f>
        <v>0</v>
      </c>
      <c r="L4867">
        <f>Data!F4879</f>
        <v>0</v>
      </c>
      <c r="M4867">
        <f>Data!G4879</f>
        <v>0</v>
      </c>
      <c r="N4867">
        <f>Data!H4879</f>
        <v>0</v>
      </c>
      <c r="O4867">
        <f>Data!I4879</f>
        <v>0</v>
      </c>
      <c r="P4867" s="21">
        <f>Data!J4883</f>
        <v>0</v>
      </c>
      <c r="Q4867">
        <f>Data!K4883</f>
        <v>0</v>
      </c>
      <c r="R4867">
        <f>Data!L4883</f>
        <v>0</v>
      </c>
      <c r="S4867">
        <f>Data!M4883</f>
        <v>0</v>
      </c>
      <c r="T4867">
        <f>Data!N4883</f>
        <v>0</v>
      </c>
      <c r="U4867">
        <f>Data!O4883</f>
        <v>0</v>
      </c>
      <c r="V4867" s="33">
        <f>Data!P4881</f>
        <v>0</v>
      </c>
    </row>
    <row r="4868" spans="7:22" x14ac:dyDescent="0.25">
      <c r="G4868">
        <f>Data!B4880</f>
        <v>0</v>
      </c>
      <c r="H4868" s="21">
        <f>Data!B4880</f>
        <v>0</v>
      </c>
      <c r="I4868" s="21">
        <f>Data!C4880</f>
        <v>0</v>
      </c>
      <c r="J4868">
        <f>Data!D4880</f>
        <v>0</v>
      </c>
      <c r="K4868">
        <f>Data!E4880</f>
        <v>0</v>
      </c>
      <c r="L4868">
        <f>Data!F4880</f>
        <v>0</v>
      </c>
      <c r="M4868">
        <f>Data!G4880</f>
        <v>0</v>
      </c>
      <c r="N4868">
        <f>Data!H4880</f>
        <v>0</v>
      </c>
      <c r="O4868">
        <f>Data!I4880</f>
        <v>0</v>
      </c>
      <c r="P4868" s="21">
        <f>Data!J4884</f>
        <v>0</v>
      </c>
      <c r="Q4868">
        <f>Data!K4884</f>
        <v>0</v>
      </c>
      <c r="R4868">
        <f>Data!L4884</f>
        <v>0</v>
      </c>
      <c r="S4868">
        <f>Data!M4884</f>
        <v>0</v>
      </c>
      <c r="T4868">
        <f>Data!N4884</f>
        <v>0</v>
      </c>
      <c r="U4868">
        <f>Data!O4884</f>
        <v>0</v>
      </c>
      <c r="V4868" s="33">
        <f>Data!P4882</f>
        <v>0</v>
      </c>
    </row>
    <row r="4869" spans="7:22" x14ac:dyDescent="0.25">
      <c r="G4869">
        <f>Data!B4881</f>
        <v>0</v>
      </c>
      <c r="H4869" s="21">
        <f>Data!B4881</f>
        <v>0</v>
      </c>
      <c r="I4869" s="21">
        <f>Data!C4881</f>
        <v>0</v>
      </c>
      <c r="J4869">
        <f>Data!D4881</f>
        <v>0</v>
      </c>
      <c r="K4869">
        <f>Data!E4881</f>
        <v>0</v>
      </c>
      <c r="L4869">
        <f>Data!F4881</f>
        <v>0</v>
      </c>
      <c r="M4869">
        <f>Data!G4881</f>
        <v>0</v>
      </c>
      <c r="N4869">
        <f>Data!H4881</f>
        <v>0</v>
      </c>
      <c r="O4869">
        <f>Data!I4881</f>
        <v>0</v>
      </c>
      <c r="P4869" s="21">
        <f>Data!J4885</f>
        <v>0</v>
      </c>
      <c r="Q4869">
        <f>Data!K4885</f>
        <v>0</v>
      </c>
      <c r="R4869">
        <f>Data!L4885</f>
        <v>0</v>
      </c>
      <c r="S4869">
        <f>Data!M4885</f>
        <v>0</v>
      </c>
      <c r="T4869">
        <f>Data!N4885</f>
        <v>0</v>
      </c>
      <c r="U4869">
        <f>Data!O4885</f>
        <v>0</v>
      </c>
      <c r="V4869" s="33">
        <f>Data!P4883</f>
        <v>0</v>
      </c>
    </row>
    <row r="4870" spans="7:22" x14ac:dyDescent="0.25">
      <c r="G4870">
        <f>Data!B4882</f>
        <v>0</v>
      </c>
      <c r="H4870" s="21">
        <f>Data!B4882</f>
        <v>0</v>
      </c>
      <c r="I4870" s="21">
        <f>Data!C4882</f>
        <v>0</v>
      </c>
      <c r="J4870">
        <f>Data!D4882</f>
        <v>0</v>
      </c>
      <c r="K4870">
        <f>Data!E4882</f>
        <v>0</v>
      </c>
      <c r="L4870">
        <f>Data!F4882</f>
        <v>0</v>
      </c>
      <c r="M4870">
        <f>Data!G4882</f>
        <v>0</v>
      </c>
      <c r="N4870">
        <f>Data!H4882</f>
        <v>0</v>
      </c>
      <c r="O4870">
        <f>Data!I4882</f>
        <v>0</v>
      </c>
      <c r="P4870" s="21">
        <f>Data!J4886</f>
        <v>0</v>
      </c>
      <c r="Q4870">
        <f>Data!K4886</f>
        <v>0</v>
      </c>
      <c r="R4870">
        <f>Data!L4886</f>
        <v>0</v>
      </c>
      <c r="S4870">
        <f>Data!M4886</f>
        <v>0</v>
      </c>
      <c r="T4870">
        <f>Data!N4886</f>
        <v>0</v>
      </c>
      <c r="U4870">
        <f>Data!O4886</f>
        <v>0</v>
      </c>
      <c r="V4870" s="33">
        <f>Data!P4884</f>
        <v>0</v>
      </c>
    </row>
    <row r="4871" spans="7:22" x14ac:dyDescent="0.25">
      <c r="G4871">
        <f>Data!B4883</f>
        <v>0</v>
      </c>
      <c r="H4871" s="21">
        <f>Data!B4883</f>
        <v>0</v>
      </c>
      <c r="I4871" s="21">
        <f>Data!C4883</f>
        <v>0</v>
      </c>
      <c r="J4871">
        <f>Data!D4883</f>
        <v>0</v>
      </c>
      <c r="K4871">
        <f>Data!E4883</f>
        <v>0</v>
      </c>
      <c r="L4871">
        <f>Data!F4883</f>
        <v>0</v>
      </c>
      <c r="M4871">
        <f>Data!G4883</f>
        <v>0</v>
      </c>
      <c r="N4871">
        <f>Data!H4883</f>
        <v>0</v>
      </c>
      <c r="O4871">
        <f>Data!I4883</f>
        <v>0</v>
      </c>
      <c r="P4871" s="21">
        <f>Data!J4887</f>
        <v>0</v>
      </c>
      <c r="Q4871">
        <f>Data!K4887</f>
        <v>0</v>
      </c>
      <c r="R4871">
        <f>Data!L4887</f>
        <v>0</v>
      </c>
      <c r="S4871">
        <f>Data!M4887</f>
        <v>0</v>
      </c>
      <c r="T4871">
        <f>Data!N4887</f>
        <v>0</v>
      </c>
      <c r="U4871">
        <f>Data!O4887</f>
        <v>0</v>
      </c>
      <c r="V4871" s="33">
        <f>Data!P4885</f>
        <v>0</v>
      </c>
    </row>
    <row r="4872" spans="7:22" x14ac:dyDescent="0.25">
      <c r="G4872">
        <f>Data!B4884</f>
        <v>0</v>
      </c>
      <c r="H4872" s="21">
        <f>Data!B4884</f>
        <v>0</v>
      </c>
      <c r="I4872" s="21">
        <f>Data!C4884</f>
        <v>0</v>
      </c>
      <c r="J4872">
        <f>Data!D4884</f>
        <v>0</v>
      </c>
      <c r="K4872">
        <f>Data!E4884</f>
        <v>0</v>
      </c>
      <c r="L4872">
        <f>Data!F4884</f>
        <v>0</v>
      </c>
      <c r="M4872">
        <f>Data!G4884</f>
        <v>0</v>
      </c>
      <c r="N4872">
        <f>Data!H4884</f>
        <v>0</v>
      </c>
      <c r="O4872">
        <f>Data!I4884</f>
        <v>0</v>
      </c>
      <c r="P4872" s="21">
        <f>Data!J4888</f>
        <v>0</v>
      </c>
      <c r="Q4872">
        <f>Data!K4888</f>
        <v>0</v>
      </c>
      <c r="R4872">
        <f>Data!L4888</f>
        <v>0</v>
      </c>
      <c r="S4872">
        <f>Data!M4888</f>
        <v>0</v>
      </c>
      <c r="T4872">
        <f>Data!N4888</f>
        <v>0</v>
      </c>
      <c r="U4872">
        <f>Data!O4888</f>
        <v>0</v>
      </c>
      <c r="V4872" s="33">
        <f>Data!P4886</f>
        <v>0</v>
      </c>
    </row>
    <row r="4873" spans="7:22" x14ac:dyDescent="0.25">
      <c r="G4873">
        <f>Data!B4885</f>
        <v>0</v>
      </c>
      <c r="H4873" s="21">
        <f>Data!B4885</f>
        <v>0</v>
      </c>
      <c r="I4873" s="21">
        <f>Data!C4885</f>
        <v>0</v>
      </c>
      <c r="J4873">
        <f>Data!D4885</f>
        <v>0</v>
      </c>
      <c r="K4873">
        <f>Data!E4885</f>
        <v>0</v>
      </c>
      <c r="L4873">
        <f>Data!F4885</f>
        <v>0</v>
      </c>
      <c r="M4873">
        <f>Data!G4885</f>
        <v>0</v>
      </c>
      <c r="N4873">
        <f>Data!H4885</f>
        <v>0</v>
      </c>
      <c r="O4873">
        <f>Data!I4885</f>
        <v>0</v>
      </c>
      <c r="P4873" s="21">
        <f>Data!J4889</f>
        <v>0</v>
      </c>
      <c r="Q4873">
        <f>Data!K4889</f>
        <v>0</v>
      </c>
      <c r="R4873">
        <f>Data!L4889</f>
        <v>0</v>
      </c>
      <c r="S4873">
        <f>Data!M4889</f>
        <v>0</v>
      </c>
      <c r="T4873">
        <f>Data!N4889</f>
        <v>0</v>
      </c>
      <c r="U4873">
        <f>Data!O4889</f>
        <v>0</v>
      </c>
      <c r="V4873" s="33">
        <f>Data!P4887</f>
        <v>0</v>
      </c>
    </row>
    <row r="4874" spans="7:22" x14ac:dyDescent="0.25">
      <c r="G4874">
        <f>Data!B4886</f>
        <v>0</v>
      </c>
      <c r="H4874" s="21">
        <f>Data!B4886</f>
        <v>0</v>
      </c>
      <c r="I4874" s="21">
        <f>Data!C4886</f>
        <v>0</v>
      </c>
      <c r="J4874">
        <f>Data!D4886</f>
        <v>0</v>
      </c>
      <c r="K4874">
        <f>Data!E4886</f>
        <v>0</v>
      </c>
      <c r="L4874">
        <f>Data!F4886</f>
        <v>0</v>
      </c>
      <c r="M4874">
        <f>Data!G4886</f>
        <v>0</v>
      </c>
      <c r="N4874">
        <f>Data!H4886</f>
        <v>0</v>
      </c>
      <c r="O4874">
        <f>Data!I4886</f>
        <v>0</v>
      </c>
      <c r="P4874" s="21">
        <f>Data!J4890</f>
        <v>0</v>
      </c>
      <c r="Q4874">
        <f>Data!K4890</f>
        <v>0</v>
      </c>
      <c r="R4874">
        <f>Data!L4890</f>
        <v>0</v>
      </c>
      <c r="S4874">
        <f>Data!M4890</f>
        <v>0</v>
      </c>
      <c r="T4874">
        <f>Data!N4890</f>
        <v>0</v>
      </c>
      <c r="U4874">
        <f>Data!O4890</f>
        <v>0</v>
      </c>
      <c r="V4874" s="33">
        <f>Data!P4888</f>
        <v>0</v>
      </c>
    </row>
    <row r="4875" spans="7:22" x14ac:dyDescent="0.25">
      <c r="G4875">
        <f>Data!B4887</f>
        <v>0</v>
      </c>
      <c r="H4875" s="21">
        <f>Data!B4887</f>
        <v>0</v>
      </c>
      <c r="I4875" s="21">
        <f>Data!C4887</f>
        <v>0</v>
      </c>
      <c r="J4875">
        <f>Data!D4887</f>
        <v>0</v>
      </c>
      <c r="K4875">
        <f>Data!E4887</f>
        <v>0</v>
      </c>
      <c r="L4875">
        <f>Data!F4887</f>
        <v>0</v>
      </c>
      <c r="M4875">
        <f>Data!G4887</f>
        <v>0</v>
      </c>
      <c r="N4875">
        <f>Data!H4887</f>
        <v>0</v>
      </c>
      <c r="O4875">
        <f>Data!I4887</f>
        <v>0</v>
      </c>
      <c r="P4875" s="21">
        <f>Data!J4891</f>
        <v>0</v>
      </c>
      <c r="Q4875">
        <f>Data!K4891</f>
        <v>0</v>
      </c>
      <c r="R4875">
        <f>Data!L4891</f>
        <v>0</v>
      </c>
      <c r="S4875">
        <f>Data!M4891</f>
        <v>0</v>
      </c>
      <c r="T4875">
        <f>Data!N4891</f>
        <v>0</v>
      </c>
      <c r="U4875">
        <f>Data!O4891</f>
        <v>0</v>
      </c>
      <c r="V4875" s="33">
        <f>Data!P4889</f>
        <v>0</v>
      </c>
    </row>
    <row r="4876" spans="7:22" x14ac:dyDescent="0.25">
      <c r="G4876">
        <f>Data!B4888</f>
        <v>0</v>
      </c>
      <c r="H4876" s="21">
        <f>Data!B4888</f>
        <v>0</v>
      </c>
      <c r="I4876" s="21">
        <f>Data!C4888</f>
        <v>0</v>
      </c>
      <c r="J4876">
        <f>Data!D4888</f>
        <v>0</v>
      </c>
      <c r="K4876">
        <f>Data!E4888</f>
        <v>0</v>
      </c>
      <c r="L4876">
        <f>Data!F4888</f>
        <v>0</v>
      </c>
      <c r="M4876">
        <f>Data!G4888</f>
        <v>0</v>
      </c>
      <c r="N4876">
        <f>Data!H4888</f>
        <v>0</v>
      </c>
      <c r="O4876">
        <f>Data!I4888</f>
        <v>0</v>
      </c>
      <c r="P4876" s="21">
        <f>Data!J4892</f>
        <v>0</v>
      </c>
      <c r="Q4876">
        <f>Data!K4892</f>
        <v>0</v>
      </c>
      <c r="R4876">
        <f>Data!L4892</f>
        <v>0</v>
      </c>
      <c r="S4876">
        <f>Data!M4892</f>
        <v>0</v>
      </c>
      <c r="T4876">
        <f>Data!N4892</f>
        <v>0</v>
      </c>
      <c r="U4876">
        <f>Data!O4892</f>
        <v>0</v>
      </c>
      <c r="V4876" s="33">
        <f>Data!P4890</f>
        <v>0</v>
      </c>
    </row>
    <row r="4877" spans="7:22" x14ac:dyDescent="0.25">
      <c r="G4877">
        <f>Data!B4889</f>
        <v>0</v>
      </c>
      <c r="H4877" s="21">
        <f>Data!B4889</f>
        <v>0</v>
      </c>
      <c r="I4877" s="21">
        <f>Data!C4889</f>
        <v>0</v>
      </c>
      <c r="J4877">
        <f>Data!D4889</f>
        <v>0</v>
      </c>
      <c r="K4877">
        <f>Data!E4889</f>
        <v>0</v>
      </c>
      <c r="L4877">
        <f>Data!F4889</f>
        <v>0</v>
      </c>
      <c r="M4877">
        <f>Data!G4889</f>
        <v>0</v>
      </c>
      <c r="N4877">
        <f>Data!H4889</f>
        <v>0</v>
      </c>
      <c r="O4877">
        <f>Data!I4889</f>
        <v>0</v>
      </c>
      <c r="P4877" s="21">
        <f>Data!J4893</f>
        <v>0</v>
      </c>
      <c r="Q4877">
        <f>Data!K4893</f>
        <v>0</v>
      </c>
      <c r="R4877">
        <f>Data!L4893</f>
        <v>0</v>
      </c>
      <c r="S4877">
        <f>Data!M4893</f>
        <v>0</v>
      </c>
      <c r="T4877">
        <f>Data!N4893</f>
        <v>0</v>
      </c>
      <c r="U4877">
        <f>Data!O4893</f>
        <v>0</v>
      </c>
      <c r="V4877" s="33">
        <f>Data!P4891</f>
        <v>0</v>
      </c>
    </row>
    <row r="4878" spans="7:22" x14ac:dyDescent="0.25">
      <c r="G4878">
        <f>Data!B4890</f>
        <v>0</v>
      </c>
      <c r="H4878" s="21">
        <f>Data!B4890</f>
        <v>0</v>
      </c>
      <c r="I4878" s="21">
        <f>Data!C4890</f>
        <v>0</v>
      </c>
      <c r="J4878">
        <f>Data!D4890</f>
        <v>0</v>
      </c>
      <c r="K4878">
        <f>Data!E4890</f>
        <v>0</v>
      </c>
      <c r="L4878">
        <f>Data!F4890</f>
        <v>0</v>
      </c>
      <c r="M4878">
        <f>Data!G4890</f>
        <v>0</v>
      </c>
      <c r="N4878">
        <f>Data!H4890</f>
        <v>0</v>
      </c>
      <c r="O4878">
        <f>Data!I4890</f>
        <v>0</v>
      </c>
      <c r="P4878" s="21">
        <f>Data!J4894</f>
        <v>0</v>
      </c>
      <c r="Q4878">
        <f>Data!K4894</f>
        <v>0</v>
      </c>
      <c r="R4878">
        <f>Data!L4894</f>
        <v>0</v>
      </c>
      <c r="S4878">
        <f>Data!M4894</f>
        <v>0</v>
      </c>
      <c r="T4878">
        <f>Data!N4894</f>
        <v>0</v>
      </c>
      <c r="U4878">
        <f>Data!O4894</f>
        <v>0</v>
      </c>
      <c r="V4878" s="33">
        <f>Data!P4892</f>
        <v>0</v>
      </c>
    </row>
    <row r="4879" spans="7:22" x14ac:dyDescent="0.25">
      <c r="G4879">
        <f>Data!B4891</f>
        <v>0</v>
      </c>
      <c r="H4879" s="21">
        <f>Data!B4891</f>
        <v>0</v>
      </c>
      <c r="I4879" s="21">
        <f>Data!C4891</f>
        <v>0</v>
      </c>
      <c r="J4879">
        <f>Data!D4891</f>
        <v>0</v>
      </c>
      <c r="K4879">
        <f>Data!E4891</f>
        <v>0</v>
      </c>
      <c r="L4879">
        <f>Data!F4891</f>
        <v>0</v>
      </c>
      <c r="M4879">
        <f>Data!G4891</f>
        <v>0</v>
      </c>
      <c r="N4879">
        <f>Data!H4891</f>
        <v>0</v>
      </c>
      <c r="O4879">
        <f>Data!I4891</f>
        <v>0</v>
      </c>
      <c r="P4879" s="21">
        <f>Data!J4895</f>
        <v>0</v>
      </c>
      <c r="Q4879">
        <f>Data!K4895</f>
        <v>0</v>
      </c>
      <c r="R4879">
        <f>Data!L4895</f>
        <v>0</v>
      </c>
      <c r="S4879">
        <f>Data!M4895</f>
        <v>0</v>
      </c>
      <c r="T4879">
        <f>Data!N4895</f>
        <v>0</v>
      </c>
      <c r="U4879">
        <f>Data!O4895</f>
        <v>0</v>
      </c>
      <c r="V4879" s="33">
        <f>Data!P4893</f>
        <v>0</v>
      </c>
    </row>
    <row r="4880" spans="7:22" x14ac:dyDescent="0.25">
      <c r="G4880">
        <f>Data!B4892</f>
        <v>0</v>
      </c>
      <c r="H4880" s="21">
        <f>Data!B4892</f>
        <v>0</v>
      </c>
      <c r="I4880" s="21">
        <f>Data!C4892</f>
        <v>0</v>
      </c>
      <c r="J4880">
        <f>Data!D4892</f>
        <v>0</v>
      </c>
      <c r="K4880">
        <f>Data!E4892</f>
        <v>0</v>
      </c>
      <c r="L4880">
        <f>Data!F4892</f>
        <v>0</v>
      </c>
      <c r="M4880">
        <f>Data!G4892</f>
        <v>0</v>
      </c>
      <c r="N4880">
        <f>Data!H4892</f>
        <v>0</v>
      </c>
      <c r="O4880">
        <f>Data!I4892</f>
        <v>0</v>
      </c>
      <c r="P4880" s="21">
        <f>Data!J4896</f>
        <v>0</v>
      </c>
      <c r="Q4880">
        <f>Data!K4896</f>
        <v>0</v>
      </c>
      <c r="R4880">
        <f>Data!L4896</f>
        <v>0</v>
      </c>
      <c r="S4880">
        <f>Data!M4896</f>
        <v>0</v>
      </c>
      <c r="T4880">
        <f>Data!N4896</f>
        <v>0</v>
      </c>
      <c r="U4880">
        <f>Data!O4896</f>
        <v>0</v>
      </c>
      <c r="V4880" s="33">
        <f>Data!P4894</f>
        <v>0</v>
      </c>
    </row>
    <row r="4881" spans="7:22" x14ac:dyDescent="0.25">
      <c r="G4881">
        <f>Data!B4893</f>
        <v>0</v>
      </c>
      <c r="H4881" s="21">
        <f>Data!B4893</f>
        <v>0</v>
      </c>
      <c r="I4881" s="21">
        <f>Data!C4893</f>
        <v>0</v>
      </c>
      <c r="J4881">
        <f>Data!D4893</f>
        <v>0</v>
      </c>
      <c r="K4881">
        <f>Data!E4893</f>
        <v>0</v>
      </c>
      <c r="L4881">
        <f>Data!F4893</f>
        <v>0</v>
      </c>
      <c r="M4881">
        <f>Data!G4893</f>
        <v>0</v>
      </c>
      <c r="N4881">
        <f>Data!H4893</f>
        <v>0</v>
      </c>
      <c r="O4881">
        <f>Data!I4893</f>
        <v>0</v>
      </c>
      <c r="P4881" s="21">
        <f>Data!J4897</f>
        <v>0</v>
      </c>
      <c r="Q4881">
        <f>Data!K4897</f>
        <v>0</v>
      </c>
      <c r="R4881">
        <f>Data!L4897</f>
        <v>0</v>
      </c>
      <c r="S4881">
        <f>Data!M4897</f>
        <v>0</v>
      </c>
      <c r="T4881">
        <f>Data!N4897</f>
        <v>0</v>
      </c>
      <c r="U4881">
        <f>Data!O4897</f>
        <v>0</v>
      </c>
      <c r="V4881" s="33">
        <f>Data!P4895</f>
        <v>0</v>
      </c>
    </row>
    <row r="4882" spans="7:22" x14ac:dyDescent="0.25">
      <c r="G4882">
        <f>Data!B4894</f>
        <v>0</v>
      </c>
      <c r="H4882" s="21">
        <f>Data!B4894</f>
        <v>0</v>
      </c>
      <c r="I4882" s="21">
        <f>Data!C4894</f>
        <v>0</v>
      </c>
      <c r="J4882">
        <f>Data!D4894</f>
        <v>0</v>
      </c>
      <c r="K4882">
        <f>Data!E4894</f>
        <v>0</v>
      </c>
      <c r="L4882">
        <f>Data!F4894</f>
        <v>0</v>
      </c>
      <c r="M4882">
        <f>Data!G4894</f>
        <v>0</v>
      </c>
      <c r="N4882">
        <f>Data!H4894</f>
        <v>0</v>
      </c>
      <c r="O4882">
        <f>Data!I4894</f>
        <v>0</v>
      </c>
      <c r="P4882" s="21">
        <f>Data!J4898</f>
        <v>0</v>
      </c>
      <c r="Q4882">
        <f>Data!K4898</f>
        <v>0</v>
      </c>
      <c r="R4882">
        <f>Data!L4898</f>
        <v>0</v>
      </c>
      <c r="S4882">
        <f>Data!M4898</f>
        <v>0</v>
      </c>
      <c r="T4882">
        <f>Data!N4898</f>
        <v>0</v>
      </c>
      <c r="U4882">
        <f>Data!O4898</f>
        <v>0</v>
      </c>
      <c r="V4882" s="33">
        <f>Data!P4896</f>
        <v>0</v>
      </c>
    </row>
    <row r="4883" spans="7:22" x14ac:dyDescent="0.25">
      <c r="G4883">
        <f>Data!B4895</f>
        <v>0</v>
      </c>
      <c r="H4883" s="21">
        <f>Data!B4895</f>
        <v>0</v>
      </c>
      <c r="I4883" s="21">
        <f>Data!C4895</f>
        <v>0</v>
      </c>
      <c r="J4883">
        <f>Data!D4895</f>
        <v>0</v>
      </c>
      <c r="K4883">
        <f>Data!E4895</f>
        <v>0</v>
      </c>
      <c r="L4883">
        <f>Data!F4895</f>
        <v>0</v>
      </c>
      <c r="M4883">
        <f>Data!G4895</f>
        <v>0</v>
      </c>
      <c r="N4883">
        <f>Data!H4895</f>
        <v>0</v>
      </c>
      <c r="O4883">
        <f>Data!I4895</f>
        <v>0</v>
      </c>
      <c r="P4883" s="21">
        <f>Data!J4899</f>
        <v>0</v>
      </c>
      <c r="Q4883">
        <f>Data!K4899</f>
        <v>0</v>
      </c>
      <c r="R4883">
        <f>Data!L4899</f>
        <v>0</v>
      </c>
      <c r="S4883">
        <f>Data!M4899</f>
        <v>0</v>
      </c>
      <c r="T4883">
        <f>Data!N4899</f>
        <v>0</v>
      </c>
      <c r="U4883">
        <f>Data!O4899</f>
        <v>0</v>
      </c>
      <c r="V4883" s="33">
        <f>Data!P4897</f>
        <v>0</v>
      </c>
    </row>
    <row r="4884" spans="7:22" x14ac:dyDescent="0.25">
      <c r="G4884">
        <f>Data!B4896</f>
        <v>0</v>
      </c>
      <c r="H4884" s="21">
        <f>Data!B4896</f>
        <v>0</v>
      </c>
      <c r="I4884" s="21">
        <f>Data!C4896</f>
        <v>0</v>
      </c>
      <c r="J4884">
        <f>Data!D4896</f>
        <v>0</v>
      </c>
      <c r="K4884">
        <f>Data!E4896</f>
        <v>0</v>
      </c>
      <c r="L4884">
        <f>Data!F4896</f>
        <v>0</v>
      </c>
      <c r="M4884">
        <f>Data!G4896</f>
        <v>0</v>
      </c>
      <c r="N4884">
        <f>Data!H4896</f>
        <v>0</v>
      </c>
      <c r="O4884">
        <f>Data!I4896</f>
        <v>0</v>
      </c>
      <c r="P4884" s="21">
        <f>Data!J4900</f>
        <v>0</v>
      </c>
      <c r="Q4884">
        <f>Data!K4900</f>
        <v>0</v>
      </c>
      <c r="R4884">
        <f>Data!L4900</f>
        <v>0</v>
      </c>
      <c r="S4884">
        <f>Data!M4900</f>
        <v>0</v>
      </c>
      <c r="T4884">
        <f>Data!N4900</f>
        <v>0</v>
      </c>
      <c r="U4884">
        <f>Data!O4900</f>
        <v>0</v>
      </c>
      <c r="V4884" s="33">
        <f>Data!P4898</f>
        <v>0</v>
      </c>
    </row>
    <row r="4885" spans="7:22" x14ac:dyDescent="0.25">
      <c r="G4885">
        <f>Data!B4897</f>
        <v>0</v>
      </c>
      <c r="H4885" s="21">
        <f>Data!B4897</f>
        <v>0</v>
      </c>
      <c r="I4885" s="21">
        <f>Data!C4897</f>
        <v>0</v>
      </c>
      <c r="J4885">
        <f>Data!D4897</f>
        <v>0</v>
      </c>
      <c r="K4885">
        <f>Data!E4897</f>
        <v>0</v>
      </c>
      <c r="L4885">
        <f>Data!F4897</f>
        <v>0</v>
      </c>
      <c r="M4885">
        <f>Data!G4897</f>
        <v>0</v>
      </c>
      <c r="N4885">
        <f>Data!H4897</f>
        <v>0</v>
      </c>
      <c r="O4885">
        <f>Data!I4897</f>
        <v>0</v>
      </c>
      <c r="P4885" s="21">
        <f>Data!J4901</f>
        <v>0</v>
      </c>
      <c r="Q4885">
        <f>Data!K4901</f>
        <v>0</v>
      </c>
      <c r="R4885">
        <f>Data!L4901</f>
        <v>0</v>
      </c>
      <c r="S4885">
        <f>Data!M4901</f>
        <v>0</v>
      </c>
      <c r="T4885">
        <f>Data!N4901</f>
        <v>0</v>
      </c>
      <c r="U4885">
        <f>Data!O4901</f>
        <v>0</v>
      </c>
      <c r="V4885" s="33">
        <f>Data!P4899</f>
        <v>0</v>
      </c>
    </row>
    <row r="4886" spans="7:22" x14ac:dyDescent="0.25">
      <c r="G4886">
        <f>Data!B4898</f>
        <v>0</v>
      </c>
      <c r="H4886" s="21">
        <f>Data!B4898</f>
        <v>0</v>
      </c>
      <c r="I4886" s="21">
        <f>Data!C4898</f>
        <v>0</v>
      </c>
      <c r="J4886">
        <f>Data!D4898</f>
        <v>0</v>
      </c>
      <c r="K4886">
        <f>Data!E4898</f>
        <v>0</v>
      </c>
      <c r="L4886">
        <f>Data!F4898</f>
        <v>0</v>
      </c>
      <c r="M4886">
        <f>Data!G4898</f>
        <v>0</v>
      </c>
      <c r="N4886">
        <f>Data!H4898</f>
        <v>0</v>
      </c>
      <c r="O4886">
        <f>Data!I4898</f>
        <v>0</v>
      </c>
      <c r="P4886" s="21">
        <f>Data!J4902</f>
        <v>0</v>
      </c>
      <c r="Q4886">
        <f>Data!K4902</f>
        <v>0</v>
      </c>
      <c r="R4886">
        <f>Data!L4902</f>
        <v>0</v>
      </c>
      <c r="S4886">
        <f>Data!M4902</f>
        <v>0</v>
      </c>
      <c r="T4886">
        <f>Data!N4902</f>
        <v>0</v>
      </c>
      <c r="U4886">
        <f>Data!O4902</f>
        <v>0</v>
      </c>
      <c r="V4886" s="33">
        <f>Data!P4900</f>
        <v>0</v>
      </c>
    </row>
    <row r="4887" spans="7:22" x14ac:dyDescent="0.25">
      <c r="G4887">
        <f>Data!B4899</f>
        <v>0</v>
      </c>
      <c r="H4887" s="21">
        <f>Data!B4899</f>
        <v>0</v>
      </c>
      <c r="I4887" s="21">
        <f>Data!C4899</f>
        <v>0</v>
      </c>
      <c r="J4887">
        <f>Data!D4899</f>
        <v>0</v>
      </c>
      <c r="K4887">
        <f>Data!E4899</f>
        <v>0</v>
      </c>
      <c r="L4887">
        <f>Data!F4899</f>
        <v>0</v>
      </c>
      <c r="M4887">
        <f>Data!G4899</f>
        <v>0</v>
      </c>
      <c r="N4887">
        <f>Data!H4899</f>
        <v>0</v>
      </c>
      <c r="O4887">
        <f>Data!I4899</f>
        <v>0</v>
      </c>
      <c r="P4887" s="21">
        <f>Data!J4903</f>
        <v>0</v>
      </c>
      <c r="Q4887">
        <f>Data!K4903</f>
        <v>0</v>
      </c>
      <c r="R4887">
        <f>Data!L4903</f>
        <v>0</v>
      </c>
      <c r="S4887">
        <f>Data!M4903</f>
        <v>0</v>
      </c>
      <c r="T4887">
        <f>Data!N4903</f>
        <v>0</v>
      </c>
      <c r="U4887">
        <f>Data!O4903</f>
        <v>0</v>
      </c>
      <c r="V4887" s="33">
        <f>Data!P4901</f>
        <v>0</v>
      </c>
    </row>
    <row r="4888" spans="7:22" x14ac:dyDescent="0.25">
      <c r="G4888">
        <f>Data!B4900</f>
        <v>0</v>
      </c>
      <c r="H4888" s="21">
        <f>Data!B4900</f>
        <v>0</v>
      </c>
      <c r="I4888" s="21">
        <f>Data!C4900</f>
        <v>0</v>
      </c>
      <c r="J4888">
        <f>Data!D4900</f>
        <v>0</v>
      </c>
      <c r="K4888">
        <f>Data!E4900</f>
        <v>0</v>
      </c>
      <c r="L4888">
        <f>Data!F4900</f>
        <v>0</v>
      </c>
      <c r="M4888">
        <f>Data!G4900</f>
        <v>0</v>
      </c>
      <c r="N4888">
        <f>Data!H4900</f>
        <v>0</v>
      </c>
      <c r="O4888">
        <f>Data!I4900</f>
        <v>0</v>
      </c>
      <c r="P4888" s="21">
        <f>Data!J4904</f>
        <v>0</v>
      </c>
      <c r="Q4888">
        <f>Data!K4904</f>
        <v>0</v>
      </c>
      <c r="R4888">
        <f>Data!L4904</f>
        <v>0</v>
      </c>
      <c r="S4888">
        <f>Data!M4904</f>
        <v>0</v>
      </c>
      <c r="T4888">
        <f>Data!N4904</f>
        <v>0</v>
      </c>
      <c r="U4888">
        <f>Data!O4904</f>
        <v>0</v>
      </c>
      <c r="V4888" s="33">
        <f>Data!P4902</f>
        <v>0</v>
      </c>
    </row>
    <row r="4889" spans="7:22" x14ac:dyDescent="0.25">
      <c r="G4889">
        <f>Data!B4901</f>
        <v>0</v>
      </c>
      <c r="H4889" s="21">
        <f>Data!B4901</f>
        <v>0</v>
      </c>
      <c r="I4889" s="21">
        <f>Data!C4901</f>
        <v>0</v>
      </c>
      <c r="J4889">
        <f>Data!D4901</f>
        <v>0</v>
      </c>
      <c r="K4889">
        <f>Data!E4901</f>
        <v>0</v>
      </c>
      <c r="L4889">
        <f>Data!F4901</f>
        <v>0</v>
      </c>
      <c r="M4889">
        <f>Data!G4901</f>
        <v>0</v>
      </c>
      <c r="N4889">
        <f>Data!H4901</f>
        <v>0</v>
      </c>
      <c r="O4889">
        <f>Data!I4901</f>
        <v>0</v>
      </c>
      <c r="P4889" s="21">
        <f>Data!J4905</f>
        <v>0</v>
      </c>
      <c r="Q4889">
        <f>Data!K4905</f>
        <v>0</v>
      </c>
      <c r="R4889">
        <f>Data!L4905</f>
        <v>0</v>
      </c>
      <c r="S4889">
        <f>Data!M4905</f>
        <v>0</v>
      </c>
      <c r="T4889">
        <f>Data!N4905</f>
        <v>0</v>
      </c>
      <c r="U4889">
        <f>Data!O4905</f>
        <v>0</v>
      </c>
      <c r="V4889" s="33">
        <f>Data!P4903</f>
        <v>0</v>
      </c>
    </row>
    <row r="4890" spans="7:22" x14ac:dyDescent="0.25">
      <c r="G4890">
        <f>Data!B4902</f>
        <v>0</v>
      </c>
      <c r="H4890" s="21">
        <f>Data!B4902</f>
        <v>0</v>
      </c>
      <c r="I4890" s="21">
        <f>Data!C4902</f>
        <v>0</v>
      </c>
      <c r="J4890">
        <f>Data!D4902</f>
        <v>0</v>
      </c>
      <c r="K4890">
        <f>Data!E4902</f>
        <v>0</v>
      </c>
      <c r="L4890">
        <f>Data!F4902</f>
        <v>0</v>
      </c>
      <c r="M4890">
        <f>Data!G4902</f>
        <v>0</v>
      </c>
      <c r="N4890">
        <f>Data!H4902</f>
        <v>0</v>
      </c>
      <c r="O4890">
        <f>Data!I4902</f>
        <v>0</v>
      </c>
      <c r="P4890" s="21">
        <f>Data!J4906</f>
        <v>0</v>
      </c>
      <c r="Q4890">
        <f>Data!K4906</f>
        <v>0</v>
      </c>
      <c r="R4890">
        <f>Data!L4906</f>
        <v>0</v>
      </c>
      <c r="S4890">
        <f>Data!M4906</f>
        <v>0</v>
      </c>
      <c r="T4890">
        <f>Data!N4906</f>
        <v>0</v>
      </c>
      <c r="U4890">
        <f>Data!O4906</f>
        <v>0</v>
      </c>
      <c r="V4890" s="33">
        <f>Data!P4904</f>
        <v>0</v>
      </c>
    </row>
    <row r="4891" spans="7:22" x14ac:dyDescent="0.25">
      <c r="G4891">
        <f>Data!B4903</f>
        <v>0</v>
      </c>
      <c r="H4891" s="21">
        <f>Data!B4903</f>
        <v>0</v>
      </c>
      <c r="I4891" s="21">
        <f>Data!C4903</f>
        <v>0</v>
      </c>
      <c r="J4891">
        <f>Data!D4903</f>
        <v>0</v>
      </c>
      <c r="K4891">
        <f>Data!E4903</f>
        <v>0</v>
      </c>
      <c r="L4891">
        <f>Data!F4903</f>
        <v>0</v>
      </c>
      <c r="M4891">
        <f>Data!G4903</f>
        <v>0</v>
      </c>
      <c r="N4891">
        <f>Data!H4903</f>
        <v>0</v>
      </c>
      <c r="O4891">
        <f>Data!I4903</f>
        <v>0</v>
      </c>
      <c r="P4891" s="21">
        <f>Data!J4907</f>
        <v>0</v>
      </c>
      <c r="Q4891">
        <f>Data!K4907</f>
        <v>0</v>
      </c>
      <c r="R4891">
        <f>Data!L4907</f>
        <v>0</v>
      </c>
      <c r="S4891">
        <f>Data!M4907</f>
        <v>0</v>
      </c>
      <c r="T4891">
        <f>Data!N4907</f>
        <v>0</v>
      </c>
      <c r="U4891">
        <f>Data!O4907</f>
        <v>0</v>
      </c>
      <c r="V4891" s="33">
        <f>Data!P4905</f>
        <v>0</v>
      </c>
    </row>
    <row r="4892" spans="7:22" x14ac:dyDescent="0.25">
      <c r="G4892">
        <f>Data!B4904</f>
        <v>0</v>
      </c>
      <c r="H4892" s="21">
        <f>Data!B4904</f>
        <v>0</v>
      </c>
      <c r="I4892" s="21">
        <f>Data!C4904</f>
        <v>0</v>
      </c>
      <c r="J4892">
        <f>Data!D4904</f>
        <v>0</v>
      </c>
      <c r="K4892">
        <f>Data!E4904</f>
        <v>0</v>
      </c>
      <c r="L4892">
        <f>Data!F4904</f>
        <v>0</v>
      </c>
      <c r="M4892">
        <f>Data!G4904</f>
        <v>0</v>
      </c>
      <c r="N4892">
        <f>Data!H4904</f>
        <v>0</v>
      </c>
      <c r="O4892">
        <f>Data!I4904</f>
        <v>0</v>
      </c>
      <c r="P4892" s="21">
        <f>Data!J4908</f>
        <v>0</v>
      </c>
      <c r="Q4892">
        <f>Data!K4908</f>
        <v>0</v>
      </c>
      <c r="R4892">
        <f>Data!L4908</f>
        <v>0</v>
      </c>
      <c r="S4892">
        <f>Data!M4908</f>
        <v>0</v>
      </c>
      <c r="T4892">
        <f>Data!N4908</f>
        <v>0</v>
      </c>
      <c r="U4892">
        <f>Data!O4908</f>
        <v>0</v>
      </c>
      <c r="V4892" s="33">
        <f>Data!P4906</f>
        <v>0</v>
      </c>
    </row>
    <row r="4893" spans="7:22" x14ac:dyDescent="0.25">
      <c r="G4893">
        <f>Data!B4905</f>
        <v>0</v>
      </c>
      <c r="H4893" s="21">
        <f>Data!B4905</f>
        <v>0</v>
      </c>
      <c r="I4893" s="21">
        <f>Data!C4905</f>
        <v>0</v>
      </c>
      <c r="J4893">
        <f>Data!D4905</f>
        <v>0</v>
      </c>
      <c r="K4893">
        <f>Data!E4905</f>
        <v>0</v>
      </c>
      <c r="L4893">
        <f>Data!F4905</f>
        <v>0</v>
      </c>
      <c r="M4893">
        <f>Data!G4905</f>
        <v>0</v>
      </c>
      <c r="N4893">
        <f>Data!H4905</f>
        <v>0</v>
      </c>
      <c r="O4893">
        <f>Data!I4905</f>
        <v>0</v>
      </c>
      <c r="P4893" s="21">
        <f>Data!J4909</f>
        <v>0</v>
      </c>
      <c r="Q4893">
        <f>Data!K4909</f>
        <v>0</v>
      </c>
      <c r="R4893">
        <f>Data!L4909</f>
        <v>0</v>
      </c>
      <c r="S4893">
        <f>Data!M4909</f>
        <v>0</v>
      </c>
      <c r="T4893">
        <f>Data!N4909</f>
        <v>0</v>
      </c>
      <c r="U4893">
        <f>Data!O4909</f>
        <v>0</v>
      </c>
      <c r="V4893" s="33">
        <f>Data!P4907</f>
        <v>0</v>
      </c>
    </row>
    <row r="4894" spans="7:22" x14ac:dyDescent="0.25">
      <c r="G4894">
        <f>Data!B4906</f>
        <v>0</v>
      </c>
      <c r="H4894" s="21">
        <f>Data!B4906</f>
        <v>0</v>
      </c>
      <c r="I4894" s="21">
        <f>Data!C4906</f>
        <v>0</v>
      </c>
      <c r="J4894">
        <f>Data!D4906</f>
        <v>0</v>
      </c>
      <c r="K4894">
        <f>Data!E4906</f>
        <v>0</v>
      </c>
      <c r="L4894">
        <f>Data!F4906</f>
        <v>0</v>
      </c>
      <c r="M4894">
        <f>Data!G4906</f>
        <v>0</v>
      </c>
      <c r="N4894">
        <f>Data!H4906</f>
        <v>0</v>
      </c>
      <c r="O4894">
        <f>Data!I4906</f>
        <v>0</v>
      </c>
      <c r="P4894" s="21">
        <f>Data!J4910</f>
        <v>0</v>
      </c>
      <c r="Q4894">
        <f>Data!K4910</f>
        <v>0</v>
      </c>
      <c r="R4894">
        <f>Data!L4910</f>
        <v>0</v>
      </c>
      <c r="S4894">
        <f>Data!M4910</f>
        <v>0</v>
      </c>
      <c r="T4894">
        <f>Data!N4910</f>
        <v>0</v>
      </c>
      <c r="U4894">
        <f>Data!O4910</f>
        <v>0</v>
      </c>
      <c r="V4894" s="33">
        <f>Data!P4908</f>
        <v>0</v>
      </c>
    </row>
    <row r="4895" spans="7:22" x14ac:dyDescent="0.25">
      <c r="G4895">
        <f>Data!B4907</f>
        <v>0</v>
      </c>
      <c r="H4895" s="21">
        <f>Data!B4907</f>
        <v>0</v>
      </c>
      <c r="I4895" s="21">
        <f>Data!C4907</f>
        <v>0</v>
      </c>
      <c r="J4895">
        <f>Data!D4907</f>
        <v>0</v>
      </c>
      <c r="K4895">
        <f>Data!E4907</f>
        <v>0</v>
      </c>
      <c r="L4895">
        <f>Data!F4907</f>
        <v>0</v>
      </c>
      <c r="M4895">
        <f>Data!G4907</f>
        <v>0</v>
      </c>
      <c r="N4895">
        <f>Data!H4907</f>
        <v>0</v>
      </c>
      <c r="O4895">
        <f>Data!I4907</f>
        <v>0</v>
      </c>
      <c r="P4895" s="21">
        <f>Data!J4911</f>
        <v>0</v>
      </c>
      <c r="Q4895">
        <f>Data!K4911</f>
        <v>0</v>
      </c>
      <c r="R4895">
        <f>Data!L4911</f>
        <v>0</v>
      </c>
      <c r="S4895">
        <f>Data!M4911</f>
        <v>0</v>
      </c>
      <c r="T4895">
        <f>Data!N4911</f>
        <v>0</v>
      </c>
      <c r="U4895">
        <f>Data!O4911</f>
        <v>0</v>
      </c>
      <c r="V4895" s="33">
        <f>Data!P4909</f>
        <v>0</v>
      </c>
    </row>
    <row r="4896" spans="7:22" x14ac:dyDescent="0.25">
      <c r="G4896">
        <f>Data!B4908</f>
        <v>0</v>
      </c>
      <c r="H4896" s="21">
        <f>Data!B4908</f>
        <v>0</v>
      </c>
      <c r="I4896" s="21">
        <f>Data!C4908</f>
        <v>0</v>
      </c>
      <c r="J4896">
        <f>Data!D4908</f>
        <v>0</v>
      </c>
      <c r="K4896">
        <f>Data!E4908</f>
        <v>0</v>
      </c>
      <c r="L4896">
        <f>Data!F4908</f>
        <v>0</v>
      </c>
      <c r="M4896">
        <f>Data!G4908</f>
        <v>0</v>
      </c>
      <c r="N4896">
        <f>Data!H4908</f>
        <v>0</v>
      </c>
      <c r="O4896">
        <f>Data!I4908</f>
        <v>0</v>
      </c>
      <c r="P4896" s="21">
        <f>Data!J4912</f>
        <v>0</v>
      </c>
      <c r="Q4896">
        <f>Data!K4912</f>
        <v>0</v>
      </c>
      <c r="R4896">
        <f>Data!L4912</f>
        <v>0</v>
      </c>
      <c r="S4896">
        <f>Data!M4912</f>
        <v>0</v>
      </c>
      <c r="T4896">
        <f>Data!N4912</f>
        <v>0</v>
      </c>
      <c r="U4896">
        <f>Data!O4912</f>
        <v>0</v>
      </c>
      <c r="V4896" s="33">
        <f>Data!P4910</f>
        <v>0</v>
      </c>
    </row>
    <row r="4897" spans="7:22" x14ac:dyDescent="0.25">
      <c r="G4897">
        <f>Data!B4909</f>
        <v>0</v>
      </c>
      <c r="H4897" s="21">
        <f>Data!B4909</f>
        <v>0</v>
      </c>
      <c r="I4897" s="21">
        <f>Data!C4909</f>
        <v>0</v>
      </c>
      <c r="J4897">
        <f>Data!D4909</f>
        <v>0</v>
      </c>
      <c r="K4897">
        <f>Data!E4909</f>
        <v>0</v>
      </c>
      <c r="L4897">
        <f>Data!F4909</f>
        <v>0</v>
      </c>
      <c r="M4897">
        <f>Data!G4909</f>
        <v>0</v>
      </c>
      <c r="N4897">
        <f>Data!H4909</f>
        <v>0</v>
      </c>
      <c r="O4897">
        <f>Data!I4909</f>
        <v>0</v>
      </c>
      <c r="P4897" s="21">
        <f>Data!J4913</f>
        <v>0</v>
      </c>
      <c r="Q4897">
        <f>Data!K4913</f>
        <v>0</v>
      </c>
      <c r="R4897">
        <f>Data!L4913</f>
        <v>0</v>
      </c>
      <c r="S4897">
        <f>Data!M4913</f>
        <v>0</v>
      </c>
      <c r="T4897">
        <f>Data!N4913</f>
        <v>0</v>
      </c>
      <c r="U4897">
        <f>Data!O4913</f>
        <v>0</v>
      </c>
      <c r="V4897" s="33">
        <f>Data!P4911</f>
        <v>0</v>
      </c>
    </row>
    <row r="4898" spans="7:22" x14ac:dyDescent="0.25">
      <c r="G4898">
        <f>Data!B4910</f>
        <v>0</v>
      </c>
      <c r="H4898" s="21">
        <f>Data!B4910</f>
        <v>0</v>
      </c>
      <c r="I4898" s="21">
        <f>Data!C4910</f>
        <v>0</v>
      </c>
      <c r="J4898">
        <f>Data!D4910</f>
        <v>0</v>
      </c>
      <c r="K4898">
        <f>Data!E4910</f>
        <v>0</v>
      </c>
      <c r="L4898">
        <f>Data!F4910</f>
        <v>0</v>
      </c>
      <c r="M4898">
        <f>Data!G4910</f>
        <v>0</v>
      </c>
      <c r="N4898">
        <f>Data!H4910</f>
        <v>0</v>
      </c>
      <c r="O4898">
        <f>Data!I4910</f>
        <v>0</v>
      </c>
      <c r="P4898" s="21">
        <f>Data!J4914</f>
        <v>0</v>
      </c>
      <c r="Q4898">
        <f>Data!K4914</f>
        <v>0</v>
      </c>
      <c r="R4898">
        <f>Data!L4914</f>
        <v>0</v>
      </c>
      <c r="S4898">
        <f>Data!M4914</f>
        <v>0</v>
      </c>
      <c r="T4898">
        <f>Data!N4914</f>
        <v>0</v>
      </c>
      <c r="U4898">
        <f>Data!O4914</f>
        <v>0</v>
      </c>
      <c r="V4898" s="33">
        <f>Data!P4912</f>
        <v>0</v>
      </c>
    </row>
    <row r="4899" spans="7:22" x14ac:dyDescent="0.25">
      <c r="G4899">
        <f>Data!B4911</f>
        <v>0</v>
      </c>
      <c r="H4899" s="21">
        <f>Data!B4911</f>
        <v>0</v>
      </c>
      <c r="I4899" s="21">
        <f>Data!C4911</f>
        <v>0</v>
      </c>
      <c r="J4899">
        <f>Data!D4911</f>
        <v>0</v>
      </c>
      <c r="K4899">
        <f>Data!E4911</f>
        <v>0</v>
      </c>
      <c r="L4899">
        <f>Data!F4911</f>
        <v>0</v>
      </c>
      <c r="M4899">
        <f>Data!G4911</f>
        <v>0</v>
      </c>
      <c r="N4899">
        <f>Data!H4911</f>
        <v>0</v>
      </c>
      <c r="O4899">
        <f>Data!I4911</f>
        <v>0</v>
      </c>
      <c r="P4899" s="21">
        <f>Data!J4915</f>
        <v>0</v>
      </c>
      <c r="Q4899">
        <f>Data!K4915</f>
        <v>0</v>
      </c>
      <c r="R4899">
        <f>Data!L4915</f>
        <v>0</v>
      </c>
      <c r="S4899">
        <f>Data!M4915</f>
        <v>0</v>
      </c>
      <c r="T4899">
        <f>Data!N4915</f>
        <v>0</v>
      </c>
      <c r="U4899">
        <f>Data!O4915</f>
        <v>0</v>
      </c>
      <c r="V4899" s="33">
        <f>Data!P4913</f>
        <v>0</v>
      </c>
    </row>
    <row r="4900" spans="7:22" x14ac:dyDescent="0.25">
      <c r="G4900">
        <f>Data!B4912</f>
        <v>0</v>
      </c>
      <c r="H4900" s="21">
        <f>Data!B4912</f>
        <v>0</v>
      </c>
      <c r="I4900" s="21">
        <f>Data!C4912</f>
        <v>0</v>
      </c>
      <c r="J4900">
        <f>Data!D4912</f>
        <v>0</v>
      </c>
      <c r="K4900">
        <f>Data!E4912</f>
        <v>0</v>
      </c>
      <c r="L4900">
        <f>Data!F4912</f>
        <v>0</v>
      </c>
      <c r="M4900">
        <f>Data!G4912</f>
        <v>0</v>
      </c>
      <c r="N4900">
        <f>Data!H4912</f>
        <v>0</v>
      </c>
      <c r="O4900">
        <f>Data!I4912</f>
        <v>0</v>
      </c>
      <c r="P4900" s="21">
        <f>Data!J4916</f>
        <v>0</v>
      </c>
      <c r="Q4900">
        <f>Data!K4916</f>
        <v>0</v>
      </c>
      <c r="R4900">
        <f>Data!L4916</f>
        <v>0</v>
      </c>
      <c r="S4900">
        <f>Data!M4916</f>
        <v>0</v>
      </c>
      <c r="T4900">
        <f>Data!N4916</f>
        <v>0</v>
      </c>
      <c r="U4900">
        <f>Data!O4916</f>
        <v>0</v>
      </c>
      <c r="V4900" s="33">
        <f>Data!P4914</f>
        <v>0</v>
      </c>
    </row>
    <row r="4901" spans="7:22" x14ac:dyDescent="0.25">
      <c r="G4901">
        <f>Data!B4913</f>
        <v>0</v>
      </c>
      <c r="H4901" s="21">
        <f>Data!B4913</f>
        <v>0</v>
      </c>
      <c r="I4901" s="21">
        <f>Data!C4913</f>
        <v>0</v>
      </c>
      <c r="J4901">
        <f>Data!D4913</f>
        <v>0</v>
      </c>
      <c r="K4901">
        <f>Data!E4913</f>
        <v>0</v>
      </c>
      <c r="L4901">
        <f>Data!F4913</f>
        <v>0</v>
      </c>
      <c r="M4901">
        <f>Data!G4913</f>
        <v>0</v>
      </c>
      <c r="N4901">
        <f>Data!H4913</f>
        <v>0</v>
      </c>
      <c r="O4901">
        <f>Data!I4913</f>
        <v>0</v>
      </c>
      <c r="P4901" s="21">
        <f>Data!J4917</f>
        <v>0</v>
      </c>
      <c r="Q4901">
        <f>Data!K4917</f>
        <v>0</v>
      </c>
      <c r="R4901">
        <f>Data!L4917</f>
        <v>0</v>
      </c>
      <c r="S4901">
        <f>Data!M4917</f>
        <v>0</v>
      </c>
      <c r="T4901">
        <f>Data!N4917</f>
        <v>0</v>
      </c>
      <c r="U4901">
        <f>Data!O4917</f>
        <v>0</v>
      </c>
      <c r="V4901" s="33">
        <f>Data!P4915</f>
        <v>0</v>
      </c>
    </row>
    <row r="4902" spans="7:22" x14ac:dyDescent="0.25">
      <c r="G4902">
        <f>Data!B4914</f>
        <v>0</v>
      </c>
      <c r="H4902" s="21">
        <f>Data!B4914</f>
        <v>0</v>
      </c>
      <c r="I4902" s="21">
        <f>Data!C4914</f>
        <v>0</v>
      </c>
      <c r="J4902">
        <f>Data!D4914</f>
        <v>0</v>
      </c>
      <c r="K4902">
        <f>Data!E4914</f>
        <v>0</v>
      </c>
      <c r="L4902">
        <f>Data!F4914</f>
        <v>0</v>
      </c>
      <c r="M4902">
        <f>Data!G4914</f>
        <v>0</v>
      </c>
      <c r="N4902">
        <f>Data!H4914</f>
        <v>0</v>
      </c>
      <c r="O4902">
        <f>Data!I4914</f>
        <v>0</v>
      </c>
      <c r="P4902" s="21">
        <f>Data!J4918</f>
        <v>0</v>
      </c>
      <c r="Q4902">
        <f>Data!K4918</f>
        <v>0</v>
      </c>
      <c r="R4902">
        <f>Data!L4918</f>
        <v>0</v>
      </c>
      <c r="S4902">
        <f>Data!M4918</f>
        <v>0</v>
      </c>
      <c r="T4902">
        <f>Data!N4918</f>
        <v>0</v>
      </c>
      <c r="U4902">
        <f>Data!O4918</f>
        <v>0</v>
      </c>
      <c r="V4902" s="33">
        <f>Data!P4916</f>
        <v>0</v>
      </c>
    </row>
    <row r="4903" spans="7:22" x14ac:dyDescent="0.25">
      <c r="G4903">
        <f>Data!B4915</f>
        <v>0</v>
      </c>
      <c r="H4903" s="21">
        <f>Data!B4915</f>
        <v>0</v>
      </c>
      <c r="I4903" s="21">
        <f>Data!C4915</f>
        <v>0</v>
      </c>
      <c r="J4903">
        <f>Data!D4915</f>
        <v>0</v>
      </c>
      <c r="K4903">
        <f>Data!E4915</f>
        <v>0</v>
      </c>
      <c r="L4903">
        <f>Data!F4915</f>
        <v>0</v>
      </c>
      <c r="M4903">
        <f>Data!G4915</f>
        <v>0</v>
      </c>
      <c r="N4903">
        <f>Data!H4915</f>
        <v>0</v>
      </c>
      <c r="O4903">
        <f>Data!I4915</f>
        <v>0</v>
      </c>
      <c r="P4903" s="21">
        <f>Data!J4919</f>
        <v>0</v>
      </c>
      <c r="Q4903">
        <f>Data!K4919</f>
        <v>0</v>
      </c>
      <c r="R4903">
        <f>Data!L4919</f>
        <v>0</v>
      </c>
      <c r="S4903">
        <f>Data!M4919</f>
        <v>0</v>
      </c>
      <c r="T4903">
        <f>Data!N4919</f>
        <v>0</v>
      </c>
      <c r="U4903">
        <f>Data!O4919</f>
        <v>0</v>
      </c>
      <c r="V4903" s="33">
        <f>Data!P4917</f>
        <v>0</v>
      </c>
    </row>
    <row r="4904" spans="7:22" x14ac:dyDescent="0.25">
      <c r="G4904">
        <f>Data!B4916</f>
        <v>0</v>
      </c>
      <c r="H4904" s="21">
        <f>Data!B4916</f>
        <v>0</v>
      </c>
      <c r="I4904" s="21">
        <f>Data!C4916</f>
        <v>0</v>
      </c>
      <c r="J4904">
        <f>Data!D4916</f>
        <v>0</v>
      </c>
      <c r="K4904">
        <f>Data!E4916</f>
        <v>0</v>
      </c>
      <c r="L4904">
        <f>Data!F4916</f>
        <v>0</v>
      </c>
      <c r="M4904">
        <f>Data!G4916</f>
        <v>0</v>
      </c>
      <c r="N4904">
        <f>Data!H4916</f>
        <v>0</v>
      </c>
      <c r="O4904">
        <f>Data!I4916</f>
        <v>0</v>
      </c>
      <c r="P4904" s="21">
        <f>Data!J4920</f>
        <v>0</v>
      </c>
      <c r="Q4904">
        <f>Data!K4920</f>
        <v>0</v>
      </c>
      <c r="R4904">
        <f>Data!L4920</f>
        <v>0</v>
      </c>
      <c r="S4904">
        <f>Data!M4920</f>
        <v>0</v>
      </c>
      <c r="T4904">
        <f>Data!N4920</f>
        <v>0</v>
      </c>
      <c r="U4904">
        <f>Data!O4920</f>
        <v>0</v>
      </c>
      <c r="V4904" s="33">
        <f>Data!P4918</f>
        <v>0</v>
      </c>
    </row>
    <row r="4905" spans="7:22" x14ac:dyDescent="0.25">
      <c r="G4905">
        <f>Data!B4917</f>
        <v>0</v>
      </c>
      <c r="H4905" s="21">
        <f>Data!B4917</f>
        <v>0</v>
      </c>
      <c r="I4905" s="21">
        <f>Data!C4917</f>
        <v>0</v>
      </c>
      <c r="J4905">
        <f>Data!D4917</f>
        <v>0</v>
      </c>
      <c r="K4905">
        <f>Data!E4917</f>
        <v>0</v>
      </c>
      <c r="L4905">
        <f>Data!F4917</f>
        <v>0</v>
      </c>
      <c r="M4905">
        <f>Data!G4917</f>
        <v>0</v>
      </c>
      <c r="N4905">
        <f>Data!H4917</f>
        <v>0</v>
      </c>
      <c r="O4905">
        <f>Data!I4917</f>
        <v>0</v>
      </c>
      <c r="P4905" s="21">
        <f>Data!J4921</f>
        <v>0</v>
      </c>
      <c r="Q4905">
        <f>Data!K4921</f>
        <v>0</v>
      </c>
      <c r="R4905">
        <f>Data!L4921</f>
        <v>0</v>
      </c>
      <c r="S4905">
        <f>Data!M4921</f>
        <v>0</v>
      </c>
      <c r="T4905">
        <f>Data!N4921</f>
        <v>0</v>
      </c>
      <c r="U4905">
        <f>Data!O4921</f>
        <v>0</v>
      </c>
      <c r="V4905" s="33">
        <f>Data!P4919</f>
        <v>0</v>
      </c>
    </row>
    <row r="4906" spans="7:22" x14ac:dyDescent="0.25">
      <c r="G4906">
        <f>Data!B4918</f>
        <v>0</v>
      </c>
      <c r="H4906" s="21">
        <f>Data!B4918</f>
        <v>0</v>
      </c>
      <c r="I4906" s="21">
        <f>Data!C4918</f>
        <v>0</v>
      </c>
      <c r="J4906">
        <f>Data!D4918</f>
        <v>0</v>
      </c>
      <c r="K4906">
        <f>Data!E4918</f>
        <v>0</v>
      </c>
      <c r="L4906">
        <f>Data!F4918</f>
        <v>0</v>
      </c>
      <c r="M4906">
        <f>Data!G4918</f>
        <v>0</v>
      </c>
      <c r="N4906">
        <f>Data!H4918</f>
        <v>0</v>
      </c>
      <c r="O4906">
        <f>Data!I4918</f>
        <v>0</v>
      </c>
      <c r="P4906" s="21">
        <f>Data!J4922</f>
        <v>0</v>
      </c>
      <c r="Q4906">
        <f>Data!K4922</f>
        <v>0</v>
      </c>
      <c r="R4906">
        <f>Data!L4922</f>
        <v>0</v>
      </c>
      <c r="S4906">
        <f>Data!M4922</f>
        <v>0</v>
      </c>
      <c r="T4906">
        <f>Data!N4922</f>
        <v>0</v>
      </c>
      <c r="U4906">
        <f>Data!O4922</f>
        <v>0</v>
      </c>
      <c r="V4906" s="33">
        <f>Data!P4920</f>
        <v>0</v>
      </c>
    </row>
    <row r="4907" spans="7:22" x14ac:dyDescent="0.25">
      <c r="G4907">
        <f>Data!B4919</f>
        <v>0</v>
      </c>
      <c r="H4907" s="21">
        <f>Data!B4919</f>
        <v>0</v>
      </c>
      <c r="I4907" s="21">
        <f>Data!C4919</f>
        <v>0</v>
      </c>
      <c r="J4907">
        <f>Data!D4919</f>
        <v>0</v>
      </c>
      <c r="K4907">
        <f>Data!E4919</f>
        <v>0</v>
      </c>
      <c r="L4907">
        <f>Data!F4919</f>
        <v>0</v>
      </c>
      <c r="M4907">
        <f>Data!G4919</f>
        <v>0</v>
      </c>
      <c r="N4907">
        <f>Data!H4919</f>
        <v>0</v>
      </c>
      <c r="O4907">
        <f>Data!I4919</f>
        <v>0</v>
      </c>
      <c r="P4907" s="21">
        <f>Data!J4923</f>
        <v>0</v>
      </c>
      <c r="Q4907">
        <f>Data!K4923</f>
        <v>0</v>
      </c>
      <c r="R4907">
        <f>Data!L4923</f>
        <v>0</v>
      </c>
      <c r="S4907">
        <f>Data!M4923</f>
        <v>0</v>
      </c>
      <c r="T4907">
        <f>Data!N4923</f>
        <v>0</v>
      </c>
      <c r="U4907">
        <f>Data!O4923</f>
        <v>0</v>
      </c>
      <c r="V4907" s="33">
        <f>Data!P4921</f>
        <v>0</v>
      </c>
    </row>
    <row r="4908" spans="7:22" x14ac:dyDescent="0.25">
      <c r="G4908">
        <f>Data!B4920</f>
        <v>0</v>
      </c>
      <c r="H4908" s="21">
        <f>Data!B4920</f>
        <v>0</v>
      </c>
      <c r="I4908" s="21">
        <f>Data!C4920</f>
        <v>0</v>
      </c>
      <c r="J4908">
        <f>Data!D4920</f>
        <v>0</v>
      </c>
      <c r="K4908">
        <f>Data!E4920</f>
        <v>0</v>
      </c>
      <c r="L4908">
        <f>Data!F4920</f>
        <v>0</v>
      </c>
      <c r="M4908">
        <f>Data!G4920</f>
        <v>0</v>
      </c>
      <c r="N4908">
        <f>Data!H4920</f>
        <v>0</v>
      </c>
      <c r="O4908">
        <f>Data!I4920</f>
        <v>0</v>
      </c>
      <c r="P4908" s="21">
        <f>Data!J4924</f>
        <v>0</v>
      </c>
      <c r="Q4908">
        <f>Data!K4924</f>
        <v>0</v>
      </c>
      <c r="R4908">
        <f>Data!L4924</f>
        <v>0</v>
      </c>
      <c r="S4908">
        <f>Data!M4924</f>
        <v>0</v>
      </c>
      <c r="T4908">
        <f>Data!N4924</f>
        <v>0</v>
      </c>
      <c r="U4908">
        <f>Data!O4924</f>
        <v>0</v>
      </c>
      <c r="V4908" s="33">
        <f>Data!P4922</f>
        <v>0</v>
      </c>
    </row>
    <row r="4909" spans="7:22" x14ac:dyDescent="0.25">
      <c r="G4909">
        <f>Data!B4921</f>
        <v>0</v>
      </c>
      <c r="H4909" s="21">
        <f>Data!B4921</f>
        <v>0</v>
      </c>
      <c r="I4909" s="21">
        <f>Data!C4921</f>
        <v>0</v>
      </c>
      <c r="J4909">
        <f>Data!D4921</f>
        <v>0</v>
      </c>
      <c r="K4909">
        <f>Data!E4921</f>
        <v>0</v>
      </c>
      <c r="L4909">
        <f>Data!F4921</f>
        <v>0</v>
      </c>
      <c r="M4909">
        <f>Data!G4921</f>
        <v>0</v>
      </c>
      <c r="N4909">
        <f>Data!H4921</f>
        <v>0</v>
      </c>
      <c r="O4909">
        <f>Data!I4921</f>
        <v>0</v>
      </c>
      <c r="P4909" s="21">
        <f>Data!J4925</f>
        <v>0</v>
      </c>
      <c r="Q4909">
        <f>Data!K4925</f>
        <v>0</v>
      </c>
      <c r="R4909">
        <f>Data!L4925</f>
        <v>0</v>
      </c>
      <c r="S4909">
        <f>Data!M4925</f>
        <v>0</v>
      </c>
      <c r="T4909">
        <f>Data!N4925</f>
        <v>0</v>
      </c>
      <c r="U4909">
        <f>Data!O4925</f>
        <v>0</v>
      </c>
      <c r="V4909" s="33">
        <f>Data!P4923</f>
        <v>0</v>
      </c>
    </row>
    <row r="4910" spans="7:22" x14ac:dyDescent="0.25">
      <c r="G4910">
        <f>Data!B4922</f>
        <v>0</v>
      </c>
      <c r="H4910" s="21">
        <f>Data!B4922</f>
        <v>0</v>
      </c>
      <c r="I4910" s="21">
        <f>Data!C4922</f>
        <v>0</v>
      </c>
      <c r="J4910">
        <f>Data!D4922</f>
        <v>0</v>
      </c>
      <c r="K4910">
        <f>Data!E4922</f>
        <v>0</v>
      </c>
      <c r="L4910">
        <f>Data!F4922</f>
        <v>0</v>
      </c>
      <c r="M4910">
        <f>Data!G4922</f>
        <v>0</v>
      </c>
      <c r="N4910">
        <f>Data!H4922</f>
        <v>0</v>
      </c>
      <c r="O4910">
        <f>Data!I4922</f>
        <v>0</v>
      </c>
      <c r="P4910" s="21">
        <f>Data!J4926</f>
        <v>0</v>
      </c>
      <c r="Q4910">
        <f>Data!K4926</f>
        <v>0</v>
      </c>
      <c r="R4910">
        <f>Data!L4926</f>
        <v>0</v>
      </c>
      <c r="S4910">
        <f>Data!M4926</f>
        <v>0</v>
      </c>
      <c r="T4910">
        <f>Data!N4926</f>
        <v>0</v>
      </c>
      <c r="U4910">
        <f>Data!O4926</f>
        <v>0</v>
      </c>
      <c r="V4910" s="33">
        <f>Data!P4924</f>
        <v>0</v>
      </c>
    </row>
    <row r="4911" spans="7:22" x14ac:dyDescent="0.25">
      <c r="G4911">
        <f>Data!B4923</f>
        <v>0</v>
      </c>
      <c r="H4911" s="21">
        <f>Data!B4923</f>
        <v>0</v>
      </c>
      <c r="I4911" s="21">
        <f>Data!C4923</f>
        <v>0</v>
      </c>
      <c r="J4911">
        <f>Data!D4923</f>
        <v>0</v>
      </c>
      <c r="K4911">
        <f>Data!E4923</f>
        <v>0</v>
      </c>
      <c r="L4911">
        <f>Data!F4923</f>
        <v>0</v>
      </c>
      <c r="M4911">
        <f>Data!G4923</f>
        <v>0</v>
      </c>
      <c r="N4911">
        <f>Data!H4923</f>
        <v>0</v>
      </c>
      <c r="O4911">
        <f>Data!I4923</f>
        <v>0</v>
      </c>
      <c r="P4911" s="21">
        <f>Data!J4927</f>
        <v>0</v>
      </c>
      <c r="Q4911">
        <f>Data!K4927</f>
        <v>0</v>
      </c>
      <c r="R4911">
        <f>Data!L4927</f>
        <v>0</v>
      </c>
      <c r="S4911">
        <f>Data!M4927</f>
        <v>0</v>
      </c>
      <c r="T4911">
        <f>Data!N4927</f>
        <v>0</v>
      </c>
      <c r="U4911">
        <f>Data!O4927</f>
        <v>0</v>
      </c>
      <c r="V4911" s="33">
        <f>Data!P4925</f>
        <v>0</v>
      </c>
    </row>
    <row r="4912" spans="7:22" x14ac:dyDescent="0.25">
      <c r="G4912">
        <f>Data!B4924</f>
        <v>0</v>
      </c>
      <c r="H4912" s="21">
        <f>Data!B4924</f>
        <v>0</v>
      </c>
      <c r="I4912" s="21">
        <f>Data!C4924</f>
        <v>0</v>
      </c>
      <c r="J4912">
        <f>Data!D4924</f>
        <v>0</v>
      </c>
      <c r="K4912">
        <f>Data!E4924</f>
        <v>0</v>
      </c>
      <c r="L4912">
        <f>Data!F4924</f>
        <v>0</v>
      </c>
      <c r="M4912">
        <f>Data!G4924</f>
        <v>0</v>
      </c>
      <c r="N4912">
        <f>Data!H4924</f>
        <v>0</v>
      </c>
      <c r="O4912">
        <f>Data!I4924</f>
        <v>0</v>
      </c>
      <c r="P4912" s="21">
        <f>Data!J4928</f>
        <v>0</v>
      </c>
      <c r="Q4912">
        <f>Data!K4928</f>
        <v>0</v>
      </c>
      <c r="R4912">
        <f>Data!L4928</f>
        <v>0</v>
      </c>
      <c r="S4912">
        <f>Data!M4928</f>
        <v>0</v>
      </c>
      <c r="T4912">
        <f>Data!N4928</f>
        <v>0</v>
      </c>
      <c r="U4912">
        <f>Data!O4928</f>
        <v>0</v>
      </c>
      <c r="V4912" s="33">
        <f>Data!P4926</f>
        <v>0</v>
      </c>
    </row>
    <row r="4913" spans="7:22" x14ac:dyDescent="0.25">
      <c r="G4913">
        <f>Data!B4925</f>
        <v>0</v>
      </c>
      <c r="H4913" s="21">
        <f>Data!B4925</f>
        <v>0</v>
      </c>
      <c r="I4913" s="21">
        <f>Data!C4925</f>
        <v>0</v>
      </c>
      <c r="J4913">
        <f>Data!D4925</f>
        <v>0</v>
      </c>
      <c r="K4913">
        <f>Data!E4925</f>
        <v>0</v>
      </c>
      <c r="L4913">
        <f>Data!F4925</f>
        <v>0</v>
      </c>
      <c r="M4913">
        <f>Data!G4925</f>
        <v>0</v>
      </c>
      <c r="N4913">
        <f>Data!H4925</f>
        <v>0</v>
      </c>
      <c r="O4913">
        <f>Data!I4925</f>
        <v>0</v>
      </c>
      <c r="P4913" s="21">
        <f>Data!J4929</f>
        <v>0</v>
      </c>
      <c r="Q4913">
        <f>Data!K4929</f>
        <v>0</v>
      </c>
      <c r="R4913">
        <f>Data!L4929</f>
        <v>0</v>
      </c>
      <c r="S4913">
        <f>Data!M4929</f>
        <v>0</v>
      </c>
      <c r="T4913">
        <f>Data!N4929</f>
        <v>0</v>
      </c>
      <c r="U4913">
        <f>Data!O4929</f>
        <v>0</v>
      </c>
      <c r="V4913" s="33">
        <f>Data!P4927</f>
        <v>0</v>
      </c>
    </row>
    <row r="4914" spans="7:22" x14ac:dyDescent="0.25">
      <c r="G4914">
        <f>Data!B4926</f>
        <v>0</v>
      </c>
      <c r="H4914" s="21">
        <f>Data!B4926</f>
        <v>0</v>
      </c>
      <c r="I4914" s="21">
        <f>Data!C4926</f>
        <v>0</v>
      </c>
      <c r="J4914">
        <f>Data!D4926</f>
        <v>0</v>
      </c>
      <c r="K4914">
        <f>Data!E4926</f>
        <v>0</v>
      </c>
      <c r="L4914">
        <f>Data!F4926</f>
        <v>0</v>
      </c>
      <c r="M4914">
        <f>Data!G4926</f>
        <v>0</v>
      </c>
      <c r="N4914">
        <f>Data!H4926</f>
        <v>0</v>
      </c>
      <c r="O4914">
        <f>Data!I4926</f>
        <v>0</v>
      </c>
      <c r="P4914" s="21">
        <f>Data!J4930</f>
        <v>0</v>
      </c>
      <c r="Q4914">
        <f>Data!K4930</f>
        <v>0</v>
      </c>
      <c r="R4914">
        <f>Data!L4930</f>
        <v>0</v>
      </c>
      <c r="S4914">
        <f>Data!M4930</f>
        <v>0</v>
      </c>
      <c r="T4914">
        <f>Data!N4930</f>
        <v>0</v>
      </c>
      <c r="U4914">
        <f>Data!O4930</f>
        <v>0</v>
      </c>
      <c r="V4914" s="33">
        <f>Data!P4928</f>
        <v>0</v>
      </c>
    </row>
    <row r="4915" spans="7:22" x14ac:dyDescent="0.25">
      <c r="G4915">
        <f>Data!B4927</f>
        <v>0</v>
      </c>
      <c r="H4915" s="21">
        <f>Data!B4927</f>
        <v>0</v>
      </c>
      <c r="I4915" s="21">
        <f>Data!C4927</f>
        <v>0</v>
      </c>
      <c r="J4915">
        <f>Data!D4927</f>
        <v>0</v>
      </c>
      <c r="K4915">
        <f>Data!E4927</f>
        <v>0</v>
      </c>
      <c r="L4915">
        <f>Data!F4927</f>
        <v>0</v>
      </c>
      <c r="M4915">
        <f>Data!G4927</f>
        <v>0</v>
      </c>
      <c r="N4915">
        <f>Data!H4927</f>
        <v>0</v>
      </c>
      <c r="O4915">
        <f>Data!I4927</f>
        <v>0</v>
      </c>
      <c r="P4915" s="21">
        <f>Data!J4931</f>
        <v>0</v>
      </c>
      <c r="Q4915">
        <f>Data!K4931</f>
        <v>0</v>
      </c>
      <c r="R4915">
        <f>Data!L4931</f>
        <v>0</v>
      </c>
      <c r="S4915">
        <f>Data!M4931</f>
        <v>0</v>
      </c>
      <c r="T4915">
        <f>Data!N4931</f>
        <v>0</v>
      </c>
      <c r="U4915">
        <f>Data!O4931</f>
        <v>0</v>
      </c>
      <c r="V4915" s="33">
        <f>Data!P4929</f>
        <v>0</v>
      </c>
    </row>
    <row r="4916" spans="7:22" x14ac:dyDescent="0.25">
      <c r="G4916">
        <f>Data!B4928</f>
        <v>0</v>
      </c>
      <c r="H4916" s="21">
        <f>Data!B4928</f>
        <v>0</v>
      </c>
      <c r="I4916" s="21">
        <f>Data!C4928</f>
        <v>0</v>
      </c>
      <c r="J4916">
        <f>Data!D4928</f>
        <v>0</v>
      </c>
      <c r="K4916">
        <f>Data!E4928</f>
        <v>0</v>
      </c>
      <c r="L4916">
        <f>Data!F4928</f>
        <v>0</v>
      </c>
      <c r="M4916">
        <f>Data!G4928</f>
        <v>0</v>
      </c>
      <c r="N4916">
        <f>Data!H4928</f>
        <v>0</v>
      </c>
      <c r="O4916">
        <f>Data!I4928</f>
        <v>0</v>
      </c>
      <c r="P4916" s="21">
        <f>Data!J4932</f>
        <v>0</v>
      </c>
      <c r="Q4916">
        <f>Data!K4932</f>
        <v>0</v>
      </c>
      <c r="R4916">
        <f>Data!L4932</f>
        <v>0</v>
      </c>
      <c r="S4916">
        <f>Data!M4932</f>
        <v>0</v>
      </c>
      <c r="T4916">
        <f>Data!N4932</f>
        <v>0</v>
      </c>
      <c r="U4916">
        <f>Data!O4932</f>
        <v>0</v>
      </c>
      <c r="V4916" s="33">
        <f>Data!P4930</f>
        <v>0</v>
      </c>
    </row>
    <row r="4917" spans="7:22" x14ac:dyDescent="0.25">
      <c r="G4917">
        <f>Data!B4929</f>
        <v>0</v>
      </c>
      <c r="H4917" s="21">
        <f>Data!B4929</f>
        <v>0</v>
      </c>
      <c r="I4917" s="21">
        <f>Data!C4929</f>
        <v>0</v>
      </c>
      <c r="J4917">
        <f>Data!D4929</f>
        <v>0</v>
      </c>
      <c r="K4917">
        <f>Data!E4929</f>
        <v>0</v>
      </c>
      <c r="L4917">
        <f>Data!F4929</f>
        <v>0</v>
      </c>
      <c r="M4917">
        <f>Data!G4929</f>
        <v>0</v>
      </c>
      <c r="N4917">
        <f>Data!H4929</f>
        <v>0</v>
      </c>
      <c r="O4917">
        <f>Data!I4929</f>
        <v>0</v>
      </c>
      <c r="P4917" s="21">
        <f>Data!J4933</f>
        <v>0</v>
      </c>
      <c r="Q4917">
        <f>Data!K4933</f>
        <v>0</v>
      </c>
      <c r="R4917">
        <f>Data!L4933</f>
        <v>0</v>
      </c>
      <c r="S4917">
        <f>Data!M4933</f>
        <v>0</v>
      </c>
      <c r="T4917">
        <f>Data!N4933</f>
        <v>0</v>
      </c>
      <c r="U4917">
        <f>Data!O4933</f>
        <v>0</v>
      </c>
      <c r="V4917" s="33">
        <f>Data!P4931</f>
        <v>0</v>
      </c>
    </row>
    <row r="4918" spans="7:22" x14ac:dyDescent="0.25">
      <c r="G4918">
        <f>Data!B4930</f>
        <v>0</v>
      </c>
      <c r="H4918" s="21">
        <f>Data!B4930</f>
        <v>0</v>
      </c>
      <c r="I4918" s="21">
        <f>Data!C4930</f>
        <v>0</v>
      </c>
      <c r="J4918">
        <f>Data!D4930</f>
        <v>0</v>
      </c>
      <c r="K4918">
        <f>Data!E4930</f>
        <v>0</v>
      </c>
      <c r="L4918">
        <f>Data!F4930</f>
        <v>0</v>
      </c>
      <c r="M4918">
        <f>Data!G4930</f>
        <v>0</v>
      </c>
      <c r="N4918">
        <f>Data!H4930</f>
        <v>0</v>
      </c>
      <c r="O4918">
        <f>Data!I4930</f>
        <v>0</v>
      </c>
      <c r="P4918" s="21">
        <f>Data!J4934</f>
        <v>0</v>
      </c>
      <c r="Q4918">
        <f>Data!K4934</f>
        <v>0</v>
      </c>
      <c r="R4918">
        <f>Data!L4934</f>
        <v>0</v>
      </c>
      <c r="S4918">
        <f>Data!M4934</f>
        <v>0</v>
      </c>
      <c r="T4918">
        <f>Data!N4934</f>
        <v>0</v>
      </c>
      <c r="U4918">
        <f>Data!O4934</f>
        <v>0</v>
      </c>
      <c r="V4918" s="33">
        <f>Data!P4932</f>
        <v>0</v>
      </c>
    </row>
    <row r="4919" spans="7:22" x14ac:dyDescent="0.25">
      <c r="G4919">
        <f>Data!B4931</f>
        <v>0</v>
      </c>
      <c r="H4919" s="21">
        <f>Data!B4931</f>
        <v>0</v>
      </c>
      <c r="I4919" s="21">
        <f>Data!C4931</f>
        <v>0</v>
      </c>
      <c r="J4919">
        <f>Data!D4931</f>
        <v>0</v>
      </c>
      <c r="K4919">
        <f>Data!E4931</f>
        <v>0</v>
      </c>
      <c r="L4919">
        <f>Data!F4931</f>
        <v>0</v>
      </c>
      <c r="M4919">
        <f>Data!G4931</f>
        <v>0</v>
      </c>
      <c r="N4919">
        <f>Data!H4931</f>
        <v>0</v>
      </c>
      <c r="O4919">
        <f>Data!I4931</f>
        <v>0</v>
      </c>
      <c r="P4919" s="21">
        <f>Data!J4935</f>
        <v>0</v>
      </c>
      <c r="Q4919">
        <f>Data!K4935</f>
        <v>0</v>
      </c>
      <c r="R4919">
        <f>Data!L4935</f>
        <v>0</v>
      </c>
      <c r="S4919">
        <f>Data!M4935</f>
        <v>0</v>
      </c>
      <c r="T4919">
        <f>Data!N4935</f>
        <v>0</v>
      </c>
      <c r="U4919">
        <f>Data!O4935</f>
        <v>0</v>
      </c>
      <c r="V4919" s="33">
        <f>Data!P4933</f>
        <v>0</v>
      </c>
    </row>
    <row r="4920" spans="7:22" x14ac:dyDescent="0.25">
      <c r="G4920">
        <f>Data!B4932</f>
        <v>0</v>
      </c>
      <c r="H4920" s="21">
        <f>Data!B4932</f>
        <v>0</v>
      </c>
      <c r="I4920" s="21">
        <f>Data!C4932</f>
        <v>0</v>
      </c>
      <c r="J4920">
        <f>Data!D4932</f>
        <v>0</v>
      </c>
      <c r="K4920">
        <f>Data!E4932</f>
        <v>0</v>
      </c>
      <c r="L4920">
        <f>Data!F4932</f>
        <v>0</v>
      </c>
      <c r="M4920">
        <f>Data!G4932</f>
        <v>0</v>
      </c>
      <c r="N4920">
        <f>Data!H4932</f>
        <v>0</v>
      </c>
      <c r="O4920">
        <f>Data!I4932</f>
        <v>0</v>
      </c>
      <c r="P4920" s="21">
        <f>Data!J4936</f>
        <v>0</v>
      </c>
      <c r="Q4920">
        <f>Data!K4936</f>
        <v>0</v>
      </c>
      <c r="R4920">
        <f>Data!L4936</f>
        <v>0</v>
      </c>
      <c r="S4920">
        <f>Data!M4936</f>
        <v>0</v>
      </c>
      <c r="T4920">
        <f>Data!N4936</f>
        <v>0</v>
      </c>
      <c r="U4920">
        <f>Data!O4936</f>
        <v>0</v>
      </c>
      <c r="V4920" s="33">
        <f>Data!P4934</f>
        <v>0</v>
      </c>
    </row>
    <row r="4921" spans="7:22" x14ac:dyDescent="0.25">
      <c r="G4921">
        <f>Data!B4933</f>
        <v>0</v>
      </c>
      <c r="H4921" s="21">
        <f>Data!B4933</f>
        <v>0</v>
      </c>
      <c r="I4921" s="21">
        <f>Data!C4933</f>
        <v>0</v>
      </c>
      <c r="J4921">
        <f>Data!D4933</f>
        <v>0</v>
      </c>
      <c r="K4921">
        <f>Data!E4933</f>
        <v>0</v>
      </c>
      <c r="L4921">
        <f>Data!F4933</f>
        <v>0</v>
      </c>
      <c r="M4921">
        <f>Data!G4933</f>
        <v>0</v>
      </c>
      <c r="N4921">
        <f>Data!H4933</f>
        <v>0</v>
      </c>
      <c r="O4921">
        <f>Data!I4933</f>
        <v>0</v>
      </c>
      <c r="P4921" s="21">
        <f>Data!J4937</f>
        <v>0</v>
      </c>
      <c r="Q4921">
        <f>Data!K4937</f>
        <v>0</v>
      </c>
      <c r="R4921">
        <f>Data!L4937</f>
        <v>0</v>
      </c>
      <c r="S4921">
        <f>Data!M4937</f>
        <v>0</v>
      </c>
      <c r="T4921">
        <f>Data!N4937</f>
        <v>0</v>
      </c>
      <c r="U4921">
        <f>Data!O4937</f>
        <v>0</v>
      </c>
      <c r="V4921" s="33">
        <f>Data!P4935</f>
        <v>0</v>
      </c>
    </row>
    <row r="4922" spans="7:22" x14ac:dyDescent="0.25">
      <c r="G4922">
        <f>Data!B4934</f>
        <v>0</v>
      </c>
      <c r="H4922" s="21">
        <f>Data!B4934</f>
        <v>0</v>
      </c>
      <c r="I4922" s="21">
        <f>Data!C4934</f>
        <v>0</v>
      </c>
      <c r="J4922">
        <f>Data!D4934</f>
        <v>0</v>
      </c>
      <c r="K4922">
        <f>Data!E4934</f>
        <v>0</v>
      </c>
      <c r="L4922">
        <f>Data!F4934</f>
        <v>0</v>
      </c>
      <c r="M4922">
        <f>Data!G4934</f>
        <v>0</v>
      </c>
      <c r="N4922">
        <f>Data!H4934</f>
        <v>0</v>
      </c>
      <c r="O4922">
        <f>Data!I4934</f>
        <v>0</v>
      </c>
      <c r="P4922" s="21">
        <f>Data!J4938</f>
        <v>0</v>
      </c>
      <c r="Q4922">
        <f>Data!K4938</f>
        <v>0</v>
      </c>
      <c r="R4922">
        <f>Data!L4938</f>
        <v>0</v>
      </c>
      <c r="S4922">
        <f>Data!M4938</f>
        <v>0</v>
      </c>
      <c r="T4922">
        <f>Data!N4938</f>
        <v>0</v>
      </c>
      <c r="U4922">
        <f>Data!O4938</f>
        <v>0</v>
      </c>
      <c r="V4922" s="33">
        <f>Data!P4936</f>
        <v>0</v>
      </c>
    </row>
    <row r="4923" spans="7:22" x14ac:dyDescent="0.25">
      <c r="G4923">
        <f>Data!B4935</f>
        <v>0</v>
      </c>
      <c r="H4923" s="21">
        <f>Data!B4935</f>
        <v>0</v>
      </c>
      <c r="I4923" s="21">
        <f>Data!C4935</f>
        <v>0</v>
      </c>
      <c r="J4923">
        <f>Data!D4935</f>
        <v>0</v>
      </c>
      <c r="K4923">
        <f>Data!E4935</f>
        <v>0</v>
      </c>
      <c r="L4923">
        <f>Data!F4935</f>
        <v>0</v>
      </c>
      <c r="M4923">
        <f>Data!G4935</f>
        <v>0</v>
      </c>
      <c r="N4923">
        <f>Data!H4935</f>
        <v>0</v>
      </c>
      <c r="O4923">
        <f>Data!I4935</f>
        <v>0</v>
      </c>
      <c r="P4923" s="21">
        <f>Data!J4939</f>
        <v>0</v>
      </c>
      <c r="Q4923">
        <f>Data!K4939</f>
        <v>0</v>
      </c>
      <c r="R4923">
        <f>Data!L4939</f>
        <v>0</v>
      </c>
      <c r="S4923">
        <f>Data!M4939</f>
        <v>0</v>
      </c>
      <c r="T4923">
        <f>Data!N4939</f>
        <v>0</v>
      </c>
      <c r="U4923">
        <f>Data!O4939</f>
        <v>0</v>
      </c>
      <c r="V4923" s="33">
        <f>Data!P4937</f>
        <v>0</v>
      </c>
    </row>
    <row r="4924" spans="7:22" x14ac:dyDescent="0.25">
      <c r="G4924">
        <f>Data!B4936</f>
        <v>0</v>
      </c>
      <c r="H4924" s="21">
        <f>Data!B4936</f>
        <v>0</v>
      </c>
      <c r="I4924" s="21">
        <f>Data!C4936</f>
        <v>0</v>
      </c>
      <c r="J4924">
        <f>Data!D4936</f>
        <v>0</v>
      </c>
      <c r="K4924">
        <f>Data!E4936</f>
        <v>0</v>
      </c>
      <c r="L4924">
        <f>Data!F4936</f>
        <v>0</v>
      </c>
      <c r="M4924">
        <f>Data!G4936</f>
        <v>0</v>
      </c>
      <c r="N4924">
        <f>Data!H4936</f>
        <v>0</v>
      </c>
      <c r="O4924">
        <f>Data!I4936</f>
        <v>0</v>
      </c>
      <c r="P4924" s="21">
        <f>Data!J4940</f>
        <v>0</v>
      </c>
      <c r="Q4924">
        <f>Data!K4940</f>
        <v>0</v>
      </c>
      <c r="R4924">
        <f>Data!L4940</f>
        <v>0</v>
      </c>
      <c r="S4924">
        <f>Data!M4940</f>
        <v>0</v>
      </c>
      <c r="T4924">
        <f>Data!N4940</f>
        <v>0</v>
      </c>
      <c r="U4924">
        <f>Data!O4940</f>
        <v>0</v>
      </c>
      <c r="V4924" s="33">
        <f>Data!P4938</f>
        <v>0</v>
      </c>
    </row>
    <row r="4925" spans="7:22" x14ac:dyDescent="0.25">
      <c r="G4925">
        <f>Data!B4937</f>
        <v>0</v>
      </c>
      <c r="H4925" s="21">
        <f>Data!B4937</f>
        <v>0</v>
      </c>
      <c r="I4925" s="21">
        <f>Data!C4937</f>
        <v>0</v>
      </c>
      <c r="J4925">
        <f>Data!D4937</f>
        <v>0</v>
      </c>
      <c r="K4925">
        <f>Data!E4937</f>
        <v>0</v>
      </c>
      <c r="L4925">
        <f>Data!F4937</f>
        <v>0</v>
      </c>
      <c r="M4925">
        <f>Data!G4937</f>
        <v>0</v>
      </c>
      <c r="N4925">
        <f>Data!H4937</f>
        <v>0</v>
      </c>
      <c r="O4925">
        <f>Data!I4937</f>
        <v>0</v>
      </c>
      <c r="P4925" s="21">
        <f>Data!J4941</f>
        <v>0</v>
      </c>
      <c r="Q4925">
        <f>Data!K4941</f>
        <v>0</v>
      </c>
      <c r="R4925">
        <f>Data!L4941</f>
        <v>0</v>
      </c>
      <c r="S4925">
        <f>Data!M4941</f>
        <v>0</v>
      </c>
      <c r="T4925">
        <f>Data!N4941</f>
        <v>0</v>
      </c>
      <c r="U4925">
        <f>Data!O4941</f>
        <v>0</v>
      </c>
      <c r="V4925" s="33">
        <f>Data!P4939</f>
        <v>0</v>
      </c>
    </row>
    <row r="4926" spans="7:22" x14ac:dyDescent="0.25">
      <c r="G4926">
        <f>Data!B4938</f>
        <v>0</v>
      </c>
      <c r="H4926" s="21">
        <f>Data!B4938</f>
        <v>0</v>
      </c>
      <c r="I4926" s="21">
        <f>Data!C4938</f>
        <v>0</v>
      </c>
      <c r="J4926">
        <f>Data!D4938</f>
        <v>0</v>
      </c>
      <c r="K4926">
        <f>Data!E4938</f>
        <v>0</v>
      </c>
      <c r="L4926">
        <f>Data!F4938</f>
        <v>0</v>
      </c>
      <c r="M4926">
        <f>Data!G4938</f>
        <v>0</v>
      </c>
      <c r="N4926">
        <f>Data!H4938</f>
        <v>0</v>
      </c>
      <c r="O4926">
        <f>Data!I4938</f>
        <v>0</v>
      </c>
      <c r="P4926" s="21">
        <f>Data!J4942</f>
        <v>0</v>
      </c>
      <c r="Q4926">
        <f>Data!K4942</f>
        <v>0</v>
      </c>
      <c r="R4926">
        <f>Data!L4942</f>
        <v>0</v>
      </c>
      <c r="S4926">
        <f>Data!M4942</f>
        <v>0</v>
      </c>
      <c r="T4926">
        <f>Data!N4942</f>
        <v>0</v>
      </c>
      <c r="U4926">
        <f>Data!O4942</f>
        <v>0</v>
      </c>
      <c r="V4926" s="33">
        <f>Data!P4940</f>
        <v>0</v>
      </c>
    </row>
    <row r="4927" spans="7:22" x14ac:dyDescent="0.25">
      <c r="G4927">
        <f>Data!B4939</f>
        <v>0</v>
      </c>
      <c r="H4927" s="21">
        <f>Data!B4939</f>
        <v>0</v>
      </c>
      <c r="I4927" s="21">
        <f>Data!C4939</f>
        <v>0</v>
      </c>
      <c r="J4927">
        <f>Data!D4939</f>
        <v>0</v>
      </c>
      <c r="K4927">
        <f>Data!E4939</f>
        <v>0</v>
      </c>
      <c r="L4927">
        <f>Data!F4939</f>
        <v>0</v>
      </c>
      <c r="M4927">
        <f>Data!G4939</f>
        <v>0</v>
      </c>
      <c r="N4927">
        <f>Data!H4939</f>
        <v>0</v>
      </c>
      <c r="O4927">
        <f>Data!I4939</f>
        <v>0</v>
      </c>
      <c r="P4927" s="21">
        <f>Data!J4943</f>
        <v>0</v>
      </c>
      <c r="Q4927">
        <f>Data!K4943</f>
        <v>0</v>
      </c>
      <c r="R4927">
        <f>Data!L4943</f>
        <v>0</v>
      </c>
      <c r="S4927">
        <f>Data!M4943</f>
        <v>0</v>
      </c>
      <c r="T4927">
        <f>Data!N4943</f>
        <v>0</v>
      </c>
      <c r="U4927">
        <f>Data!O4943</f>
        <v>0</v>
      </c>
      <c r="V4927" s="33">
        <f>Data!P4941</f>
        <v>0</v>
      </c>
    </row>
    <row r="4928" spans="7:22" x14ac:dyDescent="0.25">
      <c r="G4928">
        <f>Data!B4940</f>
        <v>0</v>
      </c>
      <c r="H4928" s="21">
        <f>Data!B4940</f>
        <v>0</v>
      </c>
      <c r="I4928" s="21">
        <f>Data!C4940</f>
        <v>0</v>
      </c>
      <c r="J4928">
        <f>Data!D4940</f>
        <v>0</v>
      </c>
      <c r="K4928">
        <f>Data!E4940</f>
        <v>0</v>
      </c>
      <c r="L4928">
        <f>Data!F4940</f>
        <v>0</v>
      </c>
      <c r="M4928">
        <f>Data!G4940</f>
        <v>0</v>
      </c>
      <c r="N4928">
        <f>Data!H4940</f>
        <v>0</v>
      </c>
      <c r="O4928">
        <f>Data!I4940</f>
        <v>0</v>
      </c>
      <c r="P4928" s="21">
        <f>Data!J4944</f>
        <v>0</v>
      </c>
      <c r="Q4928">
        <f>Data!K4944</f>
        <v>0</v>
      </c>
      <c r="R4928">
        <f>Data!L4944</f>
        <v>0</v>
      </c>
      <c r="S4928">
        <f>Data!M4944</f>
        <v>0</v>
      </c>
      <c r="T4928">
        <f>Data!N4944</f>
        <v>0</v>
      </c>
      <c r="U4928">
        <f>Data!O4944</f>
        <v>0</v>
      </c>
      <c r="V4928" s="33">
        <f>Data!P4942</f>
        <v>0</v>
      </c>
    </row>
    <row r="4929" spans="7:22" x14ac:dyDescent="0.25">
      <c r="G4929">
        <f>Data!B4941</f>
        <v>0</v>
      </c>
      <c r="H4929" s="21">
        <f>Data!B4941</f>
        <v>0</v>
      </c>
      <c r="I4929" s="21">
        <f>Data!C4941</f>
        <v>0</v>
      </c>
      <c r="J4929">
        <f>Data!D4941</f>
        <v>0</v>
      </c>
      <c r="K4929">
        <f>Data!E4941</f>
        <v>0</v>
      </c>
      <c r="L4929">
        <f>Data!F4941</f>
        <v>0</v>
      </c>
      <c r="M4929">
        <f>Data!G4941</f>
        <v>0</v>
      </c>
      <c r="N4929">
        <f>Data!H4941</f>
        <v>0</v>
      </c>
      <c r="O4929">
        <f>Data!I4941</f>
        <v>0</v>
      </c>
      <c r="P4929" s="21">
        <f>Data!J4945</f>
        <v>0</v>
      </c>
      <c r="Q4929">
        <f>Data!K4945</f>
        <v>0</v>
      </c>
      <c r="R4929">
        <f>Data!L4945</f>
        <v>0</v>
      </c>
      <c r="S4929">
        <f>Data!M4945</f>
        <v>0</v>
      </c>
      <c r="T4929">
        <f>Data!N4945</f>
        <v>0</v>
      </c>
      <c r="U4929">
        <f>Data!O4945</f>
        <v>0</v>
      </c>
      <c r="V4929" s="33">
        <f>Data!P4943</f>
        <v>0</v>
      </c>
    </row>
    <row r="4930" spans="7:22" x14ac:dyDescent="0.25">
      <c r="G4930">
        <f>Data!B4942</f>
        <v>0</v>
      </c>
      <c r="H4930" s="21">
        <f>Data!B4942</f>
        <v>0</v>
      </c>
      <c r="I4930" s="21">
        <f>Data!C4942</f>
        <v>0</v>
      </c>
      <c r="J4930">
        <f>Data!D4942</f>
        <v>0</v>
      </c>
      <c r="K4930">
        <f>Data!E4942</f>
        <v>0</v>
      </c>
      <c r="L4930">
        <f>Data!F4942</f>
        <v>0</v>
      </c>
      <c r="M4930">
        <f>Data!G4942</f>
        <v>0</v>
      </c>
      <c r="N4930">
        <f>Data!H4942</f>
        <v>0</v>
      </c>
      <c r="O4930">
        <f>Data!I4942</f>
        <v>0</v>
      </c>
      <c r="P4930" s="21">
        <f>Data!J4946</f>
        <v>0</v>
      </c>
      <c r="Q4930">
        <f>Data!K4946</f>
        <v>0</v>
      </c>
      <c r="R4930">
        <f>Data!L4946</f>
        <v>0</v>
      </c>
      <c r="S4930">
        <f>Data!M4946</f>
        <v>0</v>
      </c>
      <c r="T4930">
        <f>Data!N4946</f>
        <v>0</v>
      </c>
      <c r="U4930">
        <f>Data!O4946</f>
        <v>0</v>
      </c>
      <c r="V4930" s="33">
        <f>Data!P4944</f>
        <v>0</v>
      </c>
    </row>
    <row r="4931" spans="7:22" x14ac:dyDescent="0.25">
      <c r="G4931">
        <f>Data!B4943</f>
        <v>0</v>
      </c>
      <c r="H4931" s="21">
        <f>Data!B4943</f>
        <v>0</v>
      </c>
      <c r="I4931" s="21">
        <f>Data!C4943</f>
        <v>0</v>
      </c>
      <c r="J4931">
        <f>Data!D4943</f>
        <v>0</v>
      </c>
      <c r="K4931">
        <f>Data!E4943</f>
        <v>0</v>
      </c>
      <c r="L4931">
        <f>Data!F4943</f>
        <v>0</v>
      </c>
      <c r="M4931">
        <f>Data!G4943</f>
        <v>0</v>
      </c>
      <c r="N4931">
        <f>Data!H4943</f>
        <v>0</v>
      </c>
      <c r="O4931">
        <f>Data!I4943</f>
        <v>0</v>
      </c>
      <c r="P4931" s="21">
        <f>Data!J4947</f>
        <v>0</v>
      </c>
      <c r="Q4931">
        <f>Data!K4947</f>
        <v>0</v>
      </c>
      <c r="R4931">
        <f>Data!L4947</f>
        <v>0</v>
      </c>
      <c r="S4931">
        <f>Data!M4947</f>
        <v>0</v>
      </c>
      <c r="T4931">
        <f>Data!N4947</f>
        <v>0</v>
      </c>
      <c r="U4931">
        <f>Data!O4947</f>
        <v>0</v>
      </c>
      <c r="V4931" s="33">
        <f>Data!P4945</f>
        <v>0</v>
      </c>
    </row>
    <row r="4932" spans="7:22" x14ac:dyDescent="0.25">
      <c r="G4932">
        <f>Data!B4944</f>
        <v>0</v>
      </c>
      <c r="H4932" s="21">
        <f>Data!B4944</f>
        <v>0</v>
      </c>
      <c r="I4932" s="21">
        <f>Data!C4944</f>
        <v>0</v>
      </c>
      <c r="J4932">
        <f>Data!D4944</f>
        <v>0</v>
      </c>
      <c r="K4932">
        <f>Data!E4944</f>
        <v>0</v>
      </c>
      <c r="L4932">
        <f>Data!F4944</f>
        <v>0</v>
      </c>
      <c r="M4932">
        <f>Data!G4944</f>
        <v>0</v>
      </c>
      <c r="N4932">
        <f>Data!H4944</f>
        <v>0</v>
      </c>
      <c r="O4932">
        <f>Data!I4944</f>
        <v>0</v>
      </c>
      <c r="P4932" s="21">
        <f>Data!J4948</f>
        <v>0</v>
      </c>
      <c r="Q4932">
        <f>Data!K4948</f>
        <v>0</v>
      </c>
      <c r="R4932">
        <f>Data!L4948</f>
        <v>0</v>
      </c>
      <c r="S4932">
        <f>Data!M4948</f>
        <v>0</v>
      </c>
      <c r="T4932">
        <f>Data!N4948</f>
        <v>0</v>
      </c>
      <c r="U4932">
        <f>Data!O4948</f>
        <v>0</v>
      </c>
      <c r="V4932" s="33">
        <f>Data!P4946</f>
        <v>0</v>
      </c>
    </row>
    <row r="4933" spans="7:22" x14ac:dyDescent="0.25">
      <c r="G4933">
        <f>Data!B4945</f>
        <v>0</v>
      </c>
      <c r="H4933" s="21">
        <f>Data!B4945</f>
        <v>0</v>
      </c>
      <c r="I4933" s="21">
        <f>Data!C4945</f>
        <v>0</v>
      </c>
      <c r="J4933">
        <f>Data!D4945</f>
        <v>0</v>
      </c>
      <c r="K4933">
        <f>Data!E4945</f>
        <v>0</v>
      </c>
      <c r="L4933">
        <f>Data!F4945</f>
        <v>0</v>
      </c>
      <c r="M4933">
        <f>Data!G4945</f>
        <v>0</v>
      </c>
      <c r="N4933">
        <f>Data!H4945</f>
        <v>0</v>
      </c>
      <c r="O4933">
        <f>Data!I4945</f>
        <v>0</v>
      </c>
      <c r="P4933" s="21">
        <f>Data!J4949</f>
        <v>0</v>
      </c>
      <c r="Q4933">
        <f>Data!K4949</f>
        <v>0</v>
      </c>
      <c r="R4933">
        <f>Data!L4949</f>
        <v>0</v>
      </c>
      <c r="S4933">
        <f>Data!M4949</f>
        <v>0</v>
      </c>
      <c r="T4933">
        <f>Data!N4949</f>
        <v>0</v>
      </c>
      <c r="U4933">
        <f>Data!O4949</f>
        <v>0</v>
      </c>
      <c r="V4933" s="33">
        <f>Data!P4947</f>
        <v>0</v>
      </c>
    </row>
    <row r="4934" spans="7:22" x14ac:dyDescent="0.25">
      <c r="G4934">
        <f>Data!B4946</f>
        <v>0</v>
      </c>
      <c r="H4934" s="21">
        <f>Data!B4946</f>
        <v>0</v>
      </c>
      <c r="I4934" s="21">
        <f>Data!C4946</f>
        <v>0</v>
      </c>
      <c r="J4934">
        <f>Data!D4946</f>
        <v>0</v>
      </c>
      <c r="K4934">
        <f>Data!E4946</f>
        <v>0</v>
      </c>
      <c r="L4934">
        <f>Data!F4946</f>
        <v>0</v>
      </c>
      <c r="M4934">
        <f>Data!G4946</f>
        <v>0</v>
      </c>
      <c r="N4934">
        <f>Data!H4946</f>
        <v>0</v>
      </c>
      <c r="O4934">
        <f>Data!I4946</f>
        <v>0</v>
      </c>
      <c r="P4934" s="21">
        <f>Data!J4950</f>
        <v>0</v>
      </c>
      <c r="Q4934">
        <f>Data!K4950</f>
        <v>0</v>
      </c>
      <c r="R4934">
        <f>Data!L4950</f>
        <v>0</v>
      </c>
      <c r="S4934">
        <f>Data!M4950</f>
        <v>0</v>
      </c>
      <c r="T4934">
        <f>Data!N4950</f>
        <v>0</v>
      </c>
      <c r="U4934">
        <f>Data!O4950</f>
        <v>0</v>
      </c>
      <c r="V4934" s="33">
        <f>Data!P4948</f>
        <v>0</v>
      </c>
    </row>
    <row r="4935" spans="7:22" x14ac:dyDescent="0.25">
      <c r="G4935">
        <f>Data!B4947</f>
        <v>0</v>
      </c>
      <c r="H4935" s="21">
        <f>Data!B4947</f>
        <v>0</v>
      </c>
      <c r="I4935" s="21">
        <f>Data!C4947</f>
        <v>0</v>
      </c>
      <c r="J4935">
        <f>Data!D4947</f>
        <v>0</v>
      </c>
      <c r="K4935">
        <f>Data!E4947</f>
        <v>0</v>
      </c>
      <c r="L4935">
        <f>Data!F4947</f>
        <v>0</v>
      </c>
      <c r="M4935">
        <f>Data!G4947</f>
        <v>0</v>
      </c>
      <c r="N4935">
        <f>Data!H4947</f>
        <v>0</v>
      </c>
      <c r="O4935">
        <f>Data!I4947</f>
        <v>0</v>
      </c>
      <c r="P4935" s="21">
        <f>Data!J4951</f>
        <v>0</v>
      </c>
      <c r="Q4935">
        <f>Data!K4951</f>
        <v>0</v>
      </c>
      <c r="R4935">
        <f>Data!L4951</f>
        <v>0</v>
      </c>
      <c r="S4935">
        <f>Data!M4951</f>
        <v>0</v>
      </c>
      <c r="T4935">
        <f>Data!N4951</f>
        <v>0</v>
      </c>
      <c r="U4935">
        <f>Data!O4951</f>
        <v>0</v>
      </c>
      <c r="V4935" s="33">
        <f>Data!P4949</f>
        <v>0</v>
      </c>
    </row>
    <row r="4936" spans="7:22" x14ac:dyDescent="0.25">
      <c r="G4936">
        <f>Data!B4948</f>
        <v>0</v>
      </c>
      <c r="H4936" s="21">
        <f>Data!B4948</f>
        <v>0</v>
      </c>
      <c r="I4936" s="21">
        <f>Data!C4948</f>
        <v>0</v>
      </c>
      <c r="J4936">
        <f>Data!D4948</f>
        <v>0</v>
      </c>
      <c r="K4936">
        <f>Data!E4948</f>
        <v>0</v>
      </c>
      <c r="L4936">
        <f>Data!F4948</f>
        <v>0</v>
      </c>
      <c r="M4936">
        <f>Data!G4948</f>
        <v>0</v>
      </c>
      <c r="N4936">
        <f>Data!H4948</f>
        <v>0</v>
      </c>
      <c r="O4936">
        <f>Data!I4948</f>
        <v>0</v>
      </c>
      <c r="P4936" s="21">
        <f>Data!J4952</f>
        <v>0</v>
      </c>
      <c r="Q4936">
        <f>Data!K4952</f>
        <v>0</v>
      </c>
      <c r="R4936">
        <f>Data!L4952</f>
        <v>0</v>
      </c>
      <c r="S4936">
        <f>Data!M4952</f>
        <v>0</v>
      </c>
      <c r="T4936">
        <f>Data!N4952</f>
        <v>0</v>
      </c>
      <c r="U4936">
        <f>Data!O4952</f>
        <v>0</v>
      </c>
      <c r="V4936" s="33">
        <f>Data!P4950</f>
        <v>0</v>
      </c>
    </row>
    <row r="4937" spans="7:22" x14ac:dyDescent="0.25">
      <c r="G4937">
        <f>Data!B4949</f>
        <v>0</v>
      </c>
      <c r="H4937" s="21">
        <f>Data!B4949</f>
        <v>0</v>
      </c>
      <c r="I4937" s="21">
        <f>Data!C4949</f>
        <v>0</v>
      </c>
      <c r="J4937">
        <f>Data!D4949</f>
        <v>0</v>
      </c>
      <c r="K4937">
        <f>Data!E4949</f>
        <v>0</v>
      </c>
      <c r="L4937">
        <f>Data!F4949</f>
        <v>0</v>
      </c>
      <c r="M4937">
        <f>Data!G4949</f>
        <v>0</v>
      </c>
      <c r="N4937">
        <f>Data!H4949</f>
        <v>0</v>
      </c>
      <c r="O4937">
        <f>Data!I4949</f>
        <v>0</v>
      </c>
      <c r="P4937" s="21">
        <f>Data!J4953</f>
        <v>0</v>
      </c>
      <c r="Q4937">
        <f>Data!K4953</f>
        <v>0</v>
      </c>
      <c r="R4937">
        <f>Data!L4953</f>
        <v>0</v>
      </c>
      <c r="S4937">
        <f>Data!M4953</f>
        <v>0</v>
      </c>
      <c r="T4937">
        <f>Data!N4953</f>
        <v>0</v>
      </c>
      <c r="U4937">
        <f>Data!O4953</f>
        <v>0</v>
      </c>
      <c r="V4937" s="33">
        <f>Data!P4951</f>
        <v>0</v>
      </c>
    </row>
    <row r="4938" spans="7:22" x14ac:dyDescent="0.25">
      <c r="G4938">
        <f>Data!B4950</f>
        <v>0</v>
      </c>
      <c r="H4938" s="21">
        <f>Data!B4950</f>
        <v>0</v>
      </c>
      <c r="I4938" s="21">
        <f>Data!C4950</f>
        <v>0</v>
      </c>
      <c r="J4938">
        <f>Data!D4950</f>
        <v>0</v>
      </c>
      <c r="K4938">
        <f>Data!E4950</f>
        <v>0</v>
      </c>
      <c r="L4938">
        <f>Data!F4950</f>
        <v>0</v>
      </c>
      <c r="M4938">
        <f>Data!G4950</f>
        <v>0</v>
      </c>
      <c r="N4938">
        <f>Data!H4950</f>
        <v>0</v>
      </c>
      <c r="O4938">
        <f>Data!I4950</f>
        <v>0</v>
      </c>
      <c r="P4938" s="21">
        <f>Data!J4954</f>
        <v>0</v>
      </c>
      <c r="Q4938">
        <f>Data!K4954</f>
        <v>0</v>
      </c>
      <c r="R4938">
        <f>Data!L4954</f>
        <v>0</v>
      </c>
      <c r="S4938">
        <f>Data!M4954</f>
        <v>0</v>
      </c>
      <c r="T4938">
        <f>Data!N4954</f>
        <v>0</v>
      </c>
      <c r="U4938">
        <f>Data!O4954</f>
        <v>0</v>
      </c>
      <c r="V4938" s="33">
        <f>Data!P4952</f>
        <v>0</v>
      </c>
    </row>
    <row r="4939" spans="7:22" x14ac:dyDescent="0.25">
      <c r="G4939">
        <f>Data!B4951</f>
        <v>0</v>
      </c>
      <c r="H4939" s="21">
        <f>Data!B4951</f>
        <v>0</v>
      </c>
      <c r="I4939" s="21">
        <f>Data!C4951</f>
        <v>0</v>
      </c>
      <c r="J4939">
        <f>Data!D4951</f>
        <v>0</v>
      </c>
      <c r="K4939">
        <f>Data!E4951</f>
        <v>0</v>
      </c>
      <c r="L4939">
        <f>Data!F4951</f>
        <v>0</v>
      </c>
      <c r="M4939">
        <f>Data!G4951</f>
        <v>0</v>
      </c>
      <c r="N4939">
        <f>Data!H4951</f>
        <v>0</v>
      </c>
      <c r="O4939">
        <f>Data!I4951</f>
        <v>0</v>
      </c>
      <c r="P4939" s="21">
        <f>Data!J4955</f>
        <v>0</v>
      </c>
      <c r="Q4939">
        <f>Data!K4955</f>
        <v>0</v>
      </c>
      <c r="R4939">
        <f>Data!L4955</f>
        <v>0</v>
      </c>
      <c r="S4939">
        <f>Data!M4955</f>
        <v>0</v>
      </c>
      <c r="T4939">
        <f>Data!N4955</f>
        <v>0</v>
      </c>
      <c r="U4939">
        <f>Data!O4955</f>
        <v>0</v>
      </c>
      <c r="V4939" s="33">
        <f>Data!P4953</f>
        <v>0</v>
      </c>
    </row>
    <row r="4940" spans="7:22" x14ac:dyDescent="0.25">
      <c r="G4940">
        <f>Data!B4952</f>
        <v>0</v>
      </c>
      <c r="H4940" s="21">
        <f>Data!B4952</f>
        <v>0</v>
      </c>
      <c r="I4940" s="21">
        <f>Data!C4952</f>
        <v>0</v>
      </c>
      <c r="J4940">
        <f>Data!D4952</f>
        <v>0</v>
      </c>
      <c r="K4940">
        <f>Data!E4952</f>
        <v>0</v>
      </c>
      <c r="L4940">
        <f>Data!F4952</f>
        <v>0</v>
      </c>
      <c r="M4940">
        <f>Data!G4952</f>
        <v>0</v>
      </c>
      <c r="N4940">
        <f>Data!H4952</f>
        <v>0</v>
      </c>
      <c r="O4940">
        <f>Data!I4952</f>
        <v>0</v>
      </c>
      <c r="P4940" s="21">
        <f>Data!J4956</f>
        <v>0</v>
      </c>
      <c r="Q4940">
        <f>Data!K4956</f>
        <v>0</v>
      </c>
      <c r="R4940">
        <f>Data!L4956</f>
        <v>0</v>
      </c>
      <c r="S4940">
        <f>Data!M4956</f>
        <v>0</v>
      </c>
      <c r="T4940">
        <f>Data!N4956</f>
        <v>0</v>
      </c>
      <c r="U4940">
        <f>Data!O4956</f>
        <v>0</v>
      </c>
      <c r="V4940" s="33">
        <f>Data!P4954</f>
        <v>0</v>
      </c>
    </row>
    <row r="4941" spans="7:22" x14ac:dyDescent="0.25">
      <c r="G4941">
        <f>Data!B4953</f>
        <v>0</v>
      </c>
      <c r="H4941" s="21">
        <f>Data!B4953</f>
        <v>0</v>
      </c>
      <c r="I4941" s="21">
        <f>Data!C4953</f>
        <v>0</v>
      </c>
      <c r="J4941">
        <f>Data!D4953</f>
        <v>0</v>
      </c>
      <c r="K4941">
        <f>Data!E4953</f>
        <v>0</v>
      </c>
      <c r="L4941">
        <f>Data!F4953</f>
        <v>0</v>
      </c>
      <c r="M4941">
        <f>Data!G4953</f>
        <v>0</v>
      </c>
      <c r="N4941">
        <f>Data!H4953</f>
        <v>0</v>
      </c>
      <c r="O4941">
        <f>Data!I4953</f>
        <v>0</v>
      </c>
      <c r="P4941" s="21">
        <f>Data!J4957</f>
        <v>0</v>
      </c>
      <c r="Q4941">
        <f>Data!K4957</f>
        <v>0</v>
      </c>
      <c r="R4941">
        <f>Data!L4957</f>
        <v>0</v>
      </c>
      <c r="S4941">
        <f>Data!M4957</f>
        <v>0</v>
      </c>
      <c r="T4941">
        <f>Data!N4957</f>
        <v>0</v>
      </c>
      <c r="U4941">
        <f>Data!O4957</f>
        <v>0</v>
      </c>
      <c r="V4941" s="33">
        <f>Data!P4955</f>
        <v>0</v>
      </c>
    </row>
    <row r="4942" spans="7:22" x14ac:dyDescent="0.25">
      <c r="G4942">
        <f>Data!B4954</f>
        <v>0</v>
      </c>
      <c r="H4942" s="21">
        <f>Data!B4954</f>
        <v>0</v>
      </c>
      <c r="I4942" s="21">
        <f>Data!C4954</f>
        <v>0</v>
      </c>
      <c r="J4942">
        <f>Data!D4954</f>
        <v>0</v>
      </c>
      <c r="K4942">
        <f>Data!E4954</f>
        <v>0</v>
      </c>
      <c r="L4942">
        <f>Data!F4954</f>
        <v>0</v>
      </c>
      <c r="M4942">
        <f>Data!G4954</f>
        <v>0</v>
      </c>
      <c r="N4942">
        <f>Data!H4954</f>
        <v>0</v>
      </c>
      <c r="O4942">
        <f>Data!I4954</f>
        <v>0</v>
      </c>
      <c r="P4942" s="21">
        <f>Data!J4958</f>
        <v>0</v>
      </c>
      <c r="Q4942">
        <f>Data!K4958</f>
        <v>0</v>
      </c>
      <c r="R4942">
        <f>Data!L4958</f>
        <v>0</v>
      </c>
      <c r="S4942">
        <f>Data!M4958</f>
        <v>0</v>
      </c>
      <c r="T4942">
        <f>Data!N4958</f>
        <v>0</v>
      </c>
      <c r="U4942">
        <f>Data!O4958</f>
        <v>0</v>
      </c>
      <c r="V4942" s="33">
        <f>Data!P4956</f>
        <v>0</v>
      </c>
    </row>
    <row r="4943" spans="7:22" x14ac:dyDescent="0.25">
      <c r="G4943">
        <f>Data!B4955</f>
        <v>0</v>
      </c>
      <c r="H4943" s="21">
        <f>Data!B4955</f>
        <v>0</v>
      </c>
      <c r="I4943" s="21">
        <f>Data!C4955</f>
        <v>0</v>
      </c>
      <c r="J4943">
        <f>Data!D4955</f>
        <v>0</v>
      </c>
      <c r="K4943">
        <f>Data!E4955</f>
        <v>0</v>
      </c>
      <c r="L4943">
        <f>Data!F4955</f>
        <v>0</v>
      </c>
      <c r="M4943">
        <f>Data!G4955</f>
        <v>0</v>
      </c>
      <c r="N4943">
        <f>Data!H4955</f>
        <v>0</v>
      </c>
      <c r="O4943">
        <f>Data!I4955</f>
        <v>0</v>
      </c>
      <c r="P4943" s="21">
        <f>Data!J4959</f>
        <v>0</v>
      </c>
      <c r="Q4943">
        <f>Data!K4959</f>
        <v>0</v>
      </c>
      <c r="R4943">
        <f>Data!L4959</f>
        <v>0</v>
      </c>
      <c r="S4943">
        <f>Data!M4959</f>
        <v>0</v>
      </c>
      <c r="T4943">
        <f>Data!N4959</f>
        <v>0</v>
      </c>
      <c r="U4943">
        <f>Data!O4959</f>
        <v>0</v>
      </c>
      <c r="V4943" s="33">
        <f>Data!P4957</f>
        <v>0</v>
      </c>
    </row>
    <row r="4944" spans="7:22" x14ac:dyDescent="0.25">
      <c r="G4944">
        <f>Data!B4956</f>
        <v>0</v>
      </c>
      <c r="H4944" s="21">
        <f>Data!B4956</f>
        <v>0</v>
      </c>
      <c r="I4944" s="21">
        <f>Data!C4956</f>
        <v>0</v>
      </c>
      <c r="J4944">
        <f>Data!D4956</f>
        <v>0</v>
      </c>
      <c r="K4944">
        <f>Data!E4956</f>
        <v>0</v>
      </c>
      <c r="L4944">
        <f>Data!F4956</f>
        <v>0</v>
      </c>
      <c r="M4944">
        <f>Data!G4956</f>
        <v>0</v>
      </c>
      <c r="N4944">
        <f>Data!H4956</f>
        <v>0</v>
      </c>
      <c r="O4944">
        <f>Data!I4956</f>
        <v>0</v>
      </c>
      <c r="P4944" s="21">
        <f>Data!J4960</f>
        <v>0</v>
      </c>
      <c r="Q4944">
        <f>Data!K4960</f>
        <v>0</v>
      </c>
      <c r="R4944">
        <f>Data!L4960</f>
        <v>0</v>
      </c>
      <c r="S4944">
        <f>Data!M4960</f>
        <v>0</v>
      </c>
      <c r="T4944">
        <f>Data!N4960</f>
        <v>0</v>
      </c>
      <c r="U4944">
        <f>Data!O4960</f>
        <v>0</v>
      </c>
      <c r="V4944" s="33">
        <f>Data!P4958</f>
        <v>0</v>
      </c>
    </row>
    <row r="4945" spans="7:22" x14ac:dyDescent="0.25">
      <c r="G4945">
        <f>Data!B4957</f>
        <v>0</v>
      </c>
      <c r="H4945" s="21">
        <f>Data!B4957</f>
        <v>0</v>
      </c>
      <c r="I4945" s="21">
        <f>Data!C4957</f>
        <v>0</v>
      </c>
      <c r="J4945">
        <f>Data!D4957</f>
        <v>0</v>
      </c>
      <c r="K4945">
        <f>Data!E4957</f>
        <v>0</v>
      </c>
      <c r="L4945">
        <f>Data!F4957</f>
        <v>0</v>
      </c>
      <c r="M4945">
        <f>Data!G4957</f>
        <v>0</v>
      </c>
      <c r="N4945">
        <f>Data!H4957</f>
        <v>0</v>
      </c>
      <c r="O4945">
        <f>Data!I4957</f>
        <v>0</v>
      </c>
      <c r="P4945" s="21">
        <f>Data!J4961</f>
        <v>0</v>
      </c>
      <c r="Q4945">
        <f>Data!K4961</f>
        <v>0</v>
      </c>
      <c r="R4945">
        <f>Data!L4961</f>
        <v>0</v>
      </c>
      <c r="S4945">
        <f>Data!M4961</f>
        <v>0</v>
      </c>
      <c r="T4945">
        <f>Data!N4961</f>
        <v>0</v>
      </c>
      <c r="U4945">
        <f>Data!O4961</f>
        <v>0</v>
      </c>
      <c r="V4945" s="33">
        <f>Data!P4959</f>
        <v>0</v>
      </c>
    </row>
    <row r="4946" spans="7:22" x14ac:dyDescent="0.25">
      <c r="G4946">
        <f>Data!B4958</f>
        <v>0</v>
      </c>
      <c r="H4946" s="21">
        <f>Data!B4958</f>
        <v>0</v>
      </c>
      <c r="I4946" s="21">
        <f>Data!C4958</f>
        <v>0</v>
      </c>
      <c r="J4946">
        <f>Data!D4958</f>
        <v>0</v>
      </c>
      <c r="K4946">
        <f>Data!E4958</f>
        <v>0</v>
      </c>
      <c r="L4946">
        <f>Data!F4958</f>
        <v>0</v>
      </c>
      <c r="M4946">
        <f>Data!G4958</f>
        <v>0</v>
      </c>
      <c r="N4946">
        <f>Data!H4958</f>
        <v>0</v>
      </c>
      <c r="O4946">
        <f>Data!I4958</f>
        <v>0</v>
      </c>
      <c r="P4946" s="21">
        <f>Data!J4962</f>
        <v>0</v>
      </c>
      <c r="Q4946">
        <f>Data!K4962</f>
        <v>0</v>
      </c>
      <c r="R4946">
        <f>Data!L4962</f>
        <v>0</v>
      </c>
      <c r="S4946">
        <f>Data!M4962</f>
        <v>0</v>
      </c>
      <c r="T4946">
        <f>Data!N4962</f>
        <v>0</v>
      </c>
      <c r="U4946">
        <f>Data!O4962</f>
        <v>0</v>
      </c>
      <c r="V4946" s="33">
        <f>Data!P4960</f>
        <v>0</v>
      </c>
    </row>
    <row r="4947" spans="7:22" x14ac:dyDescent="0.25">
      <c r="G4947">
        <f>Data!B4959</f>
        <v>0</v>
      </c>
      <c r="H4947" s="21">
        <f>Data!B4959</f>
        <v>0</v>
      </c>
      <c r="I4947" s="21">
        <f>Data!C4959</f>
        <v>0</v>
      </c>
      <c r="J4947">
        <f>Data!D4959</f>
        <v>0</v>
      </c>
      <c r="K4947">
        <f>Data!E4959</f>
        <v>0</v>
      </c>
      <c r="L4947">
        <f>Data!F4959</f>
        <v>0</v>
      </c>
      <c r="M4947">
        <f>Data!G4959</f>
        <v>0</v>
      </c>
      <c r="N4947">
        <f>Data!H4959</f>
        <v>0</v>
      </c>
      <c r="O4947">
        <f>Data!I4959</f>
        <v>0</v>
      </c>
      <c r="P4947" s="21">
        <f>Data!J4963</f>
        <v>0</v>
      </c>
      <c r="Q4947">
        <f>Data!K4963</f>
        <v>0</v>
      </c>
      <c r="R4947">
        <f>Data!L4963</f>
        <v>0</v>
      </c>
      <c r="S4947">
        <f>Data!M4963</f>
        <v>0</v>
      </c>
      <c r="T4947">
        <f>Data!N4963</f>
        <v>0</v>
      </c>
      <c r="U4947">
        <f>Data!O4963</f>
        <v>0</v>
      </c>
      <c r="V4947" s="33">
        <f>Data!P4961</f>
        <v>0</v>
      </c>
    </row>
    <row r="4948" spans="7:22" x14ac:dyDescent="0.25">
      <c r="G4948">
        <f>Data!B4960</f>
        <v>0</v>
      </c>
      <c r="H4948" s="21">
        <f>Data!B4960</f>
        <v>0</v>
      </c>
      <c r="I4948" s="21">
        <f>Data!C4960</f>
        <v>0</v>
      </c>
      <c r="J4948">
        <f>Data!D4960</f>
        <v>0</v>
      </c>
      <c r="K4948">
        <f>Data!E4960</f>
        <v>0</v>
      </c>
      <c r="L4948">
        <f>Data!F4960</f>
        <v>0</v>
      </c>
      <c r="M4948">
        <f>Data!G4960</f>
        <v>0</v>
      </c>
      <c r="N4948">
        <f>Data!H4960</f>
        <v>0</v>
      </c>
      <c r="O4948">
        <f>Data!I4960</f>
        <v>0</v>
      </c>
      <c r="P4948" s="21">
        <f>Data!J4964</f>
        <v>0</v>
      </c>
      <c r="Q4948">
        <f>Data!K4964</f>
        <v>0</v>
      </c>
      <c r="R4948">
        <f>Data!L4964</f>
        <v>0</v>
      </c>
      <c r="S4948">
        <f>Data!M4964</f>
        <v>0</v>
      </c>
      <c r="T4948">
        <f>Data!N4964</f>
        <v>0</v>
      </c>
      <c r="U4948">
        <f>Data!O4964</f>
        <v>0</v>
      </c>
      <c r="V4948" s="33">
        <f>Data!P4962</f>
        <v>0</v>
      </c>
    </row>
    <row r="4949" spans="7:22" x14ac:dyDescent="0.25">
      <c r="G4949">
        <f>Data!B4961</f>
        <v>0</v>
      </c>
      <c r="H4949" s="21">
        <f>Data!B4961</f>
        <v>0</v>
      </c>
      <c r="I4949" s="21">
        <f>Data!C4961</f>
        <v>0</v>
      </c>
      <c r="J4949">
        <f>Data!D4961</f>
        <v>0</v>
      </c>
      <c r="K4949">
        <f>Data!E4961</f>
        <v>0</v>
      </c>
      <c r="L4949">
        <f>Data!F4961</f>
        <v>0</v>
      </c>
      <c r="M4949">
        <f>Data!G4961</f>
        <v>0</v>
      </c>
      <c r="N4949">
        <f>Data!H4961</f>
        <v>0</v>
      </c>
      <c r="O4949">
        <f>Data!I4961</f>
        <v>0</v>
      </c>
      <c r="P4949" s="21">
        <f>Data!J4965</f>
        <v>0</v>
      </c>
      <c r="Q4949">
        <f>Data!K4965</f>
        <v>0</v>
      </c>
      <c r="R4949">
        <f>Data!L4965</f>
        <v>0</v>
      </c>
      <c r="S4949">
        <f>Data!M4965</f>
        <v>0</v>
      </c>
      <c r="T4949">
        <f>Data!N4965</f>
        <v>0</v>
      </c>
      <c r="U4949">
        <f>Data!O4965</f>
        <v>0</v>
      </c>
      <c r="V4949" s="33">
        <f>Data!P4963</f>
        <v>0</v>
      </c>
    </row>
    <row r="4950" spans="7:22" x14ac:dyDescent="0.25">
      <c r="G4950">
        <f>Data!B4962</f>
        <v>0</v>
      </c>
      <c r="H4950" s="21">
        <f>Data!B4962</f>
        <v>0</v>
      </c>
      <c r="I4950" s="21">
        <f>Data!C4962</f>
        <v>0</v>
      </c>
      <c r="J4950">
        <f>Data!D4962</f>
        <v>0</v>
      </c>
      <c r="K4950">
        <f>Data!E4962</f>
        <v>0</v>
      </c>
      <c r="L4950">
        <f>Data!F4962</f>
        <v>0</v>
      </c>
      <c r="M4950">
        <f>Data!G4962</f>
        <v>0</v>
      </c>
      <c r="N4950">
        <f>Data!H4962</f>
        <v>0</v>
      </c>
      <c r="O4950">
        <f>Data!I4962</f>
        <v>0</v>
      </c>
      <c r="P4950" s="21">
        <f>Data!J4966</f>
        <v>0</v>
      </c>
      <c r="Q4950">
        <f>Data!K4966</f>
        <v>0</v>
      </c>
      <c r="R4950">
        <f>Data!L4966</f>
        <v>0</v>
      </c>
      <c r="S4950">
        <f>Data!M4966</f>
        <v>0</v>
      </c>
      <c r="T4950">
        <f>Data!N4966</f>
        <v>0</v>
      </c>
      <c r="U4950">
        <f>Data!O4966</f>
        <v>0</v>
      </c>
      <c r="V4950" s="33">
        <f>Data!P4964</f>
        <v>0</v>
      </c>
    </row>
    <row r="4951" spans="7:22" x14ac:dyDescent="0.25">
      <c r="G4951">
        <f>Data!B4963</f>
        <v>0</v>
      </c>
      <c r="H4951" s="21">
        <f>Data!B4963</f>
        <v>0</v>
      </c>
      <c r="I4951" s="21">
        <f>Data!C4963</f>
        <v>0</v>
      </c>
      <c r="J4951">
        <f>Data!D4963</f>
        <v>0</v>
      </c>
      <c r="K4951">
        <f>Data!E4963</f>
        <v>0</v>
      </c>
      <c r="L4951">
        <f>Data!F4963</f>
        <v>0</v>
      </c>
      <c r="M4951">
        <f>Data!G4963</f>
        <v>0</v>
      </c>
      <c r="N4951">
        <f>Data!H4963</f>
        <v>0</v>
      </c>
      <c r="O4951">
        <f>Data!I4963</f>
        <v>0</v>
      </c>
      <c r="P4951" s="21">
        <f>Data!J4967</f>
        <v>0</v>
      </c>
      <c r="Q4951">
        <f>Data!K4967</f>
        <v>0</v>
      </c>
      <c r="R4951">
        <f>Data!L4967</f>
        <v>0</v>
      </c>
      <c r="S4951">
        <f>Data!M4967</f>
        <v>0</v>
      </c>
      <c r="T4951">
        <f>Data!N4967</f>
        <v>0</v>
      </c>
      <c r="U4951">
        <f>Data!O4967</f>
        <v>0</v>
      </c>
      <c r="V4951" s="33">
        <f>Data!P4965</f>
        <v>0</v>
      </c>
    </row>
    <row r="4952" spans="7:22" x14ac:dyDescent="0.25">
      <c r="G4952">
        <f>Data!B4964</f>
        <v>0</v>
      </c>
      <c r="H4952" s="21">
        <f>Data!B4964</f>
        <v>0</v>
      </c>
      <c r="I4952" s="21">
        <f>Data!C4964</f>
        <v>0</v>
      </c>
      <c r="J4952">
        <f>Data!D4964</f>
        <v>0</v>
      </c>
      <c r="K4952">
        <f>Data!E4964</f>
        <v>0</v>
      </c>
      <c r="L4952">
        <f>Data!F4964</f>
        <v>0</v>
      </c>
      <c r="M4952">
        <f>Data!G4964</f>
        <v>0</v>
      </c>
      <c r="N4952">
        <f>Data!H4964</f>
        <v>0</v>
      </c>
      <c r="O4952">
        <f>Data!I4964</f>
        <v>0</v>
      </c>
      <c r="P4952" s="21">
        <f>Data!J4968</f>
        <v>0</v>
      </c>
      <c r="Q4952">
        <f>Data!K4968</f>
        <v>0</v>
      </c>
      <c r="R4952">
        <f>Data!L4968</f>
        <v>0</v>
      </c>
      <c r="S4952">
        <f>Data!M4968</f>
        <v>0</v>
      </c>
      <c r="T4952">
        <f>Data!N4968</f>
        <v>0</v>
      </c>
      <c r="U4952">
        <f>Data!O4968</f>
        <v>0</v>
      </c>
      <c r="V4952" s="33">
        <f>Data!P4966</f>
        <v>0</v>
      </c>
    </row>
    <row r="4953" spans="7:22" x14ac:dyDescent="0.25">
      <c r="G4953">
        <f>Data!B4965</f>
        <v>0</v>
      </c>
      <c r="H4953" s="21">
        <f>Data!B4965</f>
        <v>0</v>
      </c>
      <c r="I4953" s="21">
        <f>Data!C4965</f>
        <v>0</v>
      </c>
      <c r="J4953">
        <f>Data!D4965</f>
        <v>0</v>
      </c>
      <c r="K4953">
        <f>Data!E4965</f>
        <v>0</v>
      </c>
      <c r="L4953">
        <f>Data!F4965</f>
        <v>0</v>
      </c>
      <c r="M4953">
        <f>Data!G4965</f>
        <v>0</v>
      </c>
      <c r="N4953">
        <f>Data!H4965</f>
        <v>0</v>
      </c>
      <c r="O4953">
        <f>Data!I4965</f>
        <v>0</v>
      </c>
      <c r="P4953" s="21">
        <f>Data!J4969</f>
        <v>0</v>
      </c>
      <c r="Q4953">
        <f>Data!K4969</f>
        <v>0</v>
      </c>
      <c r="R4953">
        <f>Data!L4969</f>
        <v>0</v>
      </c>
      <c r="S4953">
        <f>Data!M4969</f>
        <v>0</v>
      </c>
      <c r="T4953">
        <f>Data!N4969</f>
        <v>0</v>
      </c>
      <c r="U4953">
        <f>Data!O4969</f>
        <v>0</v>
      </c>
      <c r="V4953" s="33">
        <f>Data!P4967</f>
        <v>0</v>
      </c>
    </row>
    <row r="4954" spans="7:22" x14ac:dyDescent="0.25">
      <c r="G4954">
        <f>Data!B4966</f>
        <v>0</v>
      </c>
      <c r="H4954" s="21">
        <f>Data!B4966</f>
        <v>0</v>
      </c>
      <c r="I4954" s="21">
        <f>Data!C4966</f>
        <v>0</v>
      </c>
      <c r="J4954">
        <f>Data!D4966</f>
        <v>0</v>
      </c>
      <c r="K4954">
        <f>Data!E4966</f>
        <v>0</v>
      </c>
      <c r="L4954">
        <f>Data!F4966</f>
        <v>0</v>
      </c>
      <c r="M4954">
        <f>Data!G4966</f>
        <v>0</v>
      </c>
      <c r="N4954">
        <f>Data!H4966</f>
        <v>0</v>
      </c>
      <c r="O4954">
        <f>Data!I4966</f>
        <v>0</v>
      </c>
      <c r="P4954" s="21">
        <f>Data!J4970</f>
        <v>0</v>
      </c>
      <c r="Q4954">
        <f>Data!K4970</f>
        <v>0</v>
      </c>
      <c r="R4954">
        <f>Data!L4970</f>
        <v>0</v>
      </c>
      <c r="S4954">
        <f>Data!M4970</f>
        <v>0</v>
      </c>
      <c r="T4954">
        <f>Data!N4970</f>
        <v>0</v>
      </c>
      <c r="U4954">
        <f>Data!O4970</f>
        <v>0</v>
      </c>
      <c r="V4954" s="33">
        <f>Data!P4968</f>
        <v>0</v>
      </c>
    </row>
    <row r="4955" spans="7:22" x14ac:dyDescent="0.25">
      <c r="G4955">
        <f>Data!B4967</f>
        <v>0</v>
      </c>
      <c r="H4955" s="21">
        <f>Data!B4967</f>
        <v>0</v>
      </c>
      <c r="I4955" s="21">
        <f>Data!C4967</f>
        <v>0</v>
      </c>
      <c r="J4955">
        <f>Data!D4967</f>
        <v>0</v>
      </c>
      <c r="K4955">
        <f>Data!E4967</f>
        <v>0</v>
      </c>
      <c r="L4955">
        <f>Data!F4967</f>
        <v>0</v>
      </c>
      <c r="M4955">
        <f>Data!G4967</f>
        <v>0</v>
      </c>
      <c r="N4955">
        <f>Data!H4967</f>
        <v>0</v>
      </c>
      <c r="O4955">
        <f>Data!I4967</f>
        <v>0</v>
      </c>
      <c r="P4955" s="21">
        <f>Data!J4971</f>
        <v>0</v>
      </c>
      <c r="Q4955">
        <f>Data!K4971</f>
        <v>0</v>
      </c>
      <c r="R4955">
        <f>Data!L4971</f>
        <v>0</v>
      </c>
      <c r="S4955">
        <f>Data!M4971</f>
        <v>0</v>
      </c>
      <c r="T4955">
        <f>Data!N4971</f>
        <v>0</v>
      </c>
      <c r="U4955">
        <f>Data!O4971</f>
        <v>0</v>
      </c>
      <c r="V4955" s="33">
        <f>Data!P4969</f>
        <v>0</v>
      </c>
    </row>
    <row r="4956" spans="7:22" x14ac:dyDescent="0.25">
      <c r="G4956">
        <f>Data!B4968</f>
        <v>0</v>
      </c>
      <c r="H4956" s="21">
        <f>Data!B4968</f>
        <v>0</v>
      </c>
      <c r="I4956" s="21">
        <f>Data!C4968</f>
        <v>0</v>
      </c>
      <c r="J4956">
        <f>Data!D4968</f>
        <v>0</v>
      </c>
      <c r="K4956">
        <f>Data!E4968</f>
        <v>0</v>
      </c>
      <c r="L4956">
        <f>Data!F4968</f>
        <v>0</v>
      </c>
      <c r="M4956">
        <f>Data!G4968</f>
        <v>0</v>
      </c>
      <c r="N4956">
        <f>Data!H4968</f>
        <v>0</v>
      </c>
      <c r="O4956">
        <f>Data!I4968</f>
        <v>0</v>
      </c>
      <c r="P4956" s="21">
        <f>Data!J4972</f>
        <v>0</v>
      </c>
      <c r="Q4956">
        <f>Data!K4972</f>
        <v>0</v>
      </c>
      <c r="R4956">
        <f>Data!L4972</f>
        <v>0</v>
      </c>
      <c r="S4956">
        <f>Data!M4972</f>
        <v>0</v>
      </c>
      <c r="T4956">
        <f>Data!N4972</f>
        <v>0</v>
      </c>
      <c r="U4956">
        <f>Data!O4972</f>
        <v>0</v>
      </c>
      <c r="V4956" s="33">
        <f>Data!P4970</f>
        <v>0</v>
      </c>
    </row>
    <row r="4957" spans="7:22" x14ac:dyDescent="0.25">
      <c r="G4957">
        <f>Data!B4969</f>
        <v>0</v>
      </c>
      <c r="H4957" s="21">
        <f>Data!B4969</f>
        <v>0</v>
      </c>
      <c r="I4957" s="21">
        <f>Data!C4969</f>
        <v>0</v>
      </c>
      <c r="J4957">
        <f>Data!D4969</f>
        <v>0</v>
      </c>
      <c r="K4957">
        <f>Data!E4969</f>
        <v>0</v>
      </c>
      <c r="L4957">
        <f>Data!F4969</f>
        <v>0</v>
      </c>
      <c r="M4957">
        <f>Data!G4969</f>
        <v>0</v>
      </c>
      <c r="N4957">
        <f>Data!H4969</f>
        <v>0</v>
      </c>
      <c r="O4957">
        <f>Data!I4969</f>
        <v>0</v>
      </c>
      <c r="P4957" s="21">
        <f>Data!J4973</f>
        <v>0</v>
      </c>
      <c r="Q4957">
        <f>Data!K4973</f>
        <v>0</v>
      </c>
      <c r="R4957">
        <f>Data!L4973</f>
        <v>0</v>
      </c>
      <c r="S4957">
        <f>Data!M4973</f>
        <v>0</v>
      </c>
      <c r="T4957">
        <f>Data!N4973</f>
        <v>0</v>
      </c>
      <c r="U4957">
        <f>Data!O4973</f>
        <v>0</v>
      </c>
      <c r="V4957" s="33">
        <f>Data!P4971</f>
        <v>0</v>
      </c>
    </row>
    <row r="4958" spans="7:22" x14ac:dyDescent="0.25">
      <c r="G4958">
        <f>Data!B4970</f>
        <v>0</v>
      </c>
      <c r="H4958" s="21">
        <f>Data!B4970</f>
        <v>0</v>
      </c>
      <c r="I4958" s="21">
        <f>Data!C4970</f>
        <v>0</v>
      </c>
      <c r="J4958">
        <f>Data!D4970</f>
        <v>0</v>
      </c>
      <c r="K4958">
        <f>Data!E4970</f>
        <v>0</v>
      </c>
      <c r="L4958">
        <f>Data!F4970</f>
        <v>0</v>
      </c>
      <c r="M4958">
        <f>Data!G4970</f>
        <v>0</v>
      </c>
      <c r="N4958">
        <f>Data!H4970</f>
        <v>0</v>
      </c>
      <c r="O4958">
        <f>Data!I4970</f>
        <v>0</v>
      </c>
      <c r="P4958" s="21">
        <f>Data!J4974</f>
        <v>0</v>
      </c>
      <c r="Q4958">
        <f>Data!K4974</f>
        <v>0</v>
      </c>
      <c r="R4958">
        <f>Data!L4974</f>
        <v>0</v>
      </c>
      <c r="S4958">
        <f>Data!M4974</f>
        <v>0</v>
      </c>
      <c r="T4958">
        <f>Data!N4974</f>
        <v>0</v>
      </c>
      <c r="U4958">
        <f>Data!O4974</f>
        <v>0</v>
      </c>
      <c r="V4958" s="33">
        <f>Data!P4972</f>
        <v>0</v>
      </c>
    </row>
    <row r="4959" spans="7:22" x14ac:dyDescent="0.25">
      <c r="G4959">
        <f>Data!B4971</f>
        <v>0</v>
      </c>
      <c r="H4959" s="21">
        <f>Data!B4971</f>
        <v>0</v>
      </c>
      <c r="I4959" s="21">
        <f>Data!C4971</f>
        <v>0</v>
      </c>
      <c r="J4959">
        <f>Data!D4971</f>
        <v>0</v>
      </c>
      <c r="K4959">
        <f>Data!E4971</f>
        <v>0</v>
      </c>
      <c r="L4959">
        <f>Data!F4971</f>
        <v>0</v>
      </c>
      <c r="M4959">
        <f>Data!G4971</f>
        <v>0</v>
      </c>
      <c r="N4959">
        <f>Data!H4971</f>
        <v>0</v>
      </c>
      <c r="O4959">
        <f>Data!I4971</f>
        <v>0</v>
      </c>
      <c r="P4959" s="21">
        <f>Data!J4975</f>
        <v>0</v>
      </c>
      <c r="Q4959">
        <f>Data!K4975</f>
        <v>0</v>
      </c>
      <c r="R4959">
        <f>Data!L4975</f>
        <v>0</v>
      </c>
      <c r="S4959">
        <f>Data!M4975</f>
        <v>0</v>
      </c>
      <c r="T4959">
        <f>Data!N4975</f>
        <v>0</v>
      </c>
      <c r="U4959">
        <f>Data!O4975</f>
        <v>0</v>
      </c>
      <c r="V4959" s="33">
        <f>Data!P4973</f>
        <v>0</v>
      </c>
    </row>
    <row r="4960" spans="7:22" x14ac:dyDescent="0.25">
      <c r="G4960">
        <f>Data!B4972</f>
        <v>0</v>
      </c>
      <c r="H4960" s="21">
        <f>Data!B4972</f>
        <v>0</v>
      </c>
      <c r="I4960" s="21">
        <f>Data!C4972</f>
        <v>0</v>
      </c>
      <c r="J4960">
        <f>Data!D4972</f>
        <v>0</v>
      </c>
      <c r="K4960">
        <f>Data!E4972</f>
        <v>0</v>
      </c>
      <c r="L4960">
        <f>Data!F4972</f>
        <v>0</v>
      </c>
      <c r="M4960">
        <f>Data!G4972</f>
        <v>0</v>
      </c>
      <c r="N4960">
        <f>Data!H4972</f>
        <v>0</v>
      </c>
      <c r="O4960">
        <f>Data!I4972</f>
        <v>0</v>
      </c>
      <c r="P4960" s="21">
        <f>Data!J4976</f>
        <v>0</v>
      </c>
      <c r="Q4960">
        <f>Data!K4976</f>
        <v>0</v>
      </c>
      <c r="R4960">
        <f>Data!L4976</f>
        <v>0</v>
      </c>
      <c r="S4960">
        <f>Data!M4976</f>
        <v>0</v>
      </c>
      <c r="T4960">
        <f>Data!N4976</f>
        <v>0</v>
      </c>
      <c r="U4960">
        <f>Data!O4976</f>
        <v>0</v>
      </c>
      <c r="V4960" s="33">
        <f>Data!P4974</f>
        <v>0</v>
      </c>
    </row>
    <row r="4961" spans="7:22" x14ac:dyDescent="0.25">
      <c r="G4961">
        <f>Data!B4973</f>
        <v>0</v>
      </c>
      <c r="H4961" s="21">
        <f>Data!B4973</f>
        <v>0</v>
      </c>
      <c r="I4961" s="21">
        <f>Data!C4973</f>
        <v>0</v>
      </c>
      <c r="J4961">
        <f>Data!D4973</f>
        <v>0</v>
      </c>
      <c r="K4961">
        <f>Data!E4973</f>
        <v>0</v>
      </c>
      <c r="L4961">
        <f>Data!F4973</f>
        <v>0</v>
      </c>
      <c r="M4961">
        <f>Data!G4973</f>
        <v>0</v>
      </c>
      <c r="N4961">
        <f>Data!H4973</f>
        <v>0</v>
      </c>
      <c r="O4961">
        <f>Data!I4973</f>
        <v>0</v>
      </c>
      <c r="P4961" s="21">
        <f>Data!J4977</f>
        <v>0</v>
      </c>
      <c r="Q4961">
        <f>Data!K4977</f>
        <v>0</v>
      </c>
      <c r="R4961">
        <f>Data!L4977</f>
        <v>0</v>
      </c>
      <c r="S4961">
        <f>Data!M4977</f>
        <v>0</v>
      </c>
      <c r="T4961">
        <f>Data!N4977</f>
        <v>0</v>
      </c>
      <c r="U4961">
        <f>Data!O4977</f>
        <v>0</v>
      </c>
      <c r="V4961" s="33">
        <f>Data!P4975</f>
        <v>0</v>
      </c>
    </row>
    <row r="4962" spans="7:22" x14ac:dyDescent="0.25">
      <c r="G4962">
        <f>Data!B4974</f>
        <v>0</v>
      </c>
      <c r="H4962" s="21">
        <f>Data!B4974</f>
        <v>0</v>
      </c>
      <c r="I4962" s="21">
        <f>Data!C4974</f>
        <v>0</v>
      </c>
      <c r="J4962">
        <f>Data!D4974</f>
        <v>0</v>
      </c>
      <c r="K4962">
        <f>Data!E4974</f>
        <v>0</v>
      </c>
      <c r="L4962">
        <f>Data!F4974</f>
        <v>0</v>
      </c>
      <c r="M4962">
        <f>Data!G4974</f>
        <v>0</v>
      </c>
      <c r="N4962">
        <f>Data!H4974</f>
        <v>0</v>
      </c>
      <c r="O4962">
        <f>Data!I4974</f>
        <v>0</v>
      </c>
      <c r="P4962" s="21">
        <f>Data!J4978</f>
        <v>0</v>
      </c>
      <c r="Q4962">
        <f>Data!K4978</f>
        <v>0</v>
      </c>
      <c r="R4962">
        <f>Data!L4978</f>
        <v>0</v>
      </c>
      <c r="S4962">
        <f>Data!M4978</f>
        <v>0</v>
      </c>
      <c r="T4962">
        <f>Data!N4978</f>
        <v>0</v>
      </c>
      <c r="U4962">
        <f>Data!O4978</f>
        <v>0</v>
      </c>
      <c r="V4962" s="33">
        <f>Data!P4976</f>
        <v>0</v>
      </c>
    </row>
    <row r="4963" spans="7:22" x14ac:dyDescent="0.25">
      <c r="G4963">
        <f>Data!B4975</f>
        <v>0</v>
      </c>
      <c r="H4963" s="21">
        <f>Data!B4975</f>
        <v>0</v>
      </c>
      <c r="I4963" s="21">
        <f>Data!C4975</f>
        <v>0</v>
      </c>
      <c r="J4963">
        <f>Data!D4975</f>
        <v>0</v>
      </c>
      <c r="K4963">
        <f>Data!E4975</f>
        <v>0</v>
      </c>
      <c r="L4963">
        <f>Data!F4975</f>
        <v>0</v>
      </c>
      <c r="M4963">
        <f>Data!G4975</f>
        <v>0</v>
      </c>
      <c r="N4963">
        <f>Data!H4975</f>
        <v>0</v>
      </c>
      <c r="O4963">
        <f>Data!I4975</f>
        <v>0</v>
      </c>
      <c r="P4963" s="21">
        <f>Data!J4979</f>
        <v>0</v>
      </c>
      <c r="Q4963">
        <f>Data!K4979</f>
        <v>0</v>
      </c>
      <c r="R4963">
        <f>Data!L4979</f>
        <v>0</v>
      </c>
      <c r="S4963">
        <f>Data!M4979</f>
        <v>0</v>
      </c>
      <c r="T4963">
        <f>Data!N4979</f>
        <v>0</v>
      </c>
      <c r="U4963">
        <f>Data!O4979</f>
        <v>0</v>
      </c>
      <c r="V4963" s="33">
        <f>Data!P4977</f>
        <v>0</v>
      </c>
    </row>
    <row r="4964" spans="7:22" x14ac:dyDescent="0.25">
      <c r="G4964">
        <f>Data!B4976</f>
        <v>0</v>
      </c>
      <c r="H4964" s="21">
        <f>Data!B4976</f>
        <v>0</v>
      </c>
      <c r="I4964" s="21">
        <f>Data!C4976</f>
        <v>0</v>
      </c>
      <c r="J4964">
        <f>Data!D4976</f>
        <v>0</v>
      </c>
      <c r="K4964">
        <f>Data!E4976</f>
        <v>0</v>
      </c>
      <c r="L4964">
        <f>Data!F4976</f>
        <v>0</v>
      </c>
      <c r="M4964">
        <f>Data!G4976</f>
        <v>0</v>
      </c>
      <c r="N4964">
        <f>Data!H4976</f>
        <v>0</v>
      </c>
      <c r="O4964">
        <f>Data!I4976</f>
        <v>0</v>
      </c>
      <c r="P4964" s="21">
        <f>Data!J4980</f>
        <v>0</v>
      </c>
      <c r="Q4964">
        <f>Data!K4980</f>
        <v>0</v>
      </c>
      <c r="R4964">
        <f>Data!L4980</f>
        <v>0</v>
      </c>
      <c r="S4964">
        <f>Data!M4980</f>
        <v>0</v>
      </c>
      <c r="T4964">
        <f>Data!N4980</f>
        <v>0</v>
      </c>
      <c r="U4964">
        <f>Data!O4980</f>
        <v>0</v>
      </c>
      <c r="V4964" s="33">
        <f>Data!P4978</f>
        <v>0</v>
      </c>
    </row>
    <row r="4965" spans="7:22" x14ac:dyDescent="0.25">
      <c r="G4965">
        <f>Data!B4977</f>
        <v>0</v>
      </c>
      <c r="H4965" s="21">
        <f>Data!B4977</f>
        <v>0</v>
      </c>
      <c r="I4965" s="21">
        <f>Data!C4977</f>
        <v>0</v>
      </c>
      <c r="J4965">
        <f>Data!D4977</f>
        <v>0</v>
      </c>
      <c r="K4965">
        <f>Data!E4977</f>
        <v>0</v>
      </c>
      <c r="L4965">
        <f>Data!F4977</f>
        <v>0</v>
      </c>
      <c r="M4965">
        <f>Data!G4977</f>
        <v>0</v>
      </c>
      <c r="N4965">
        <f>Data!H4977</f>
        <v>0</v>
      </c>
      <c r="O4965">
        <f>Data!I4977</f>
        <v>0</v>
      </c>
      <c r="P4965" s="21">
        <f>Data!J4981</f>
        <v>0</v>
      </c>
      <c r="Q4965">
        <f>Data!K4981</f>
        <v>0</v>
      </c>
      <c r="R4965">
        <f>Data!L4981</f>
        <v>0</v>
      </c>
      <c r="S4965">
        <f>Data!M4981</f>
        <v>0</v>
      </c>
      <c r="T4965">
        <f>Data!N4981</f>
        <v>0</v>
      </c>
      <c r="U4965">
        <f>Data!O4981</f>
        <v>0</v>
      </c>
      <c r="V4965" s="33">
        <f>Data!P4979</f>
        <v>0</v>
      </c>
    </row>
    <row r="4966" spans="7:22" x14ac:dyDescent="0.25">
      <c r="G4966">
        <f>Data!B4978</f>
        <v>0</v>
      </c>
      <c r="H4966" s="21">
        <f>Data!B4978</f>
        <v>0</v>
      </c>
      <c r="I4966" s="21">
        <f>Data!C4978</f>
        <v>0</v>
      </c>
      <c r="J4966">
        <f>Data!D4978</f>
        <v>0</v>
      </c>
      <c r="K4966">
        <f>Data!E4978</f>
        <v>0</v>
      </c>
      <c r="L4966">
        <f>Data!F4978</f>
        <v>0</v>
      </c>
      <c r="M4966">
        <f>Data!G4978</f>
        <v>0</v>
      </c>
      <c r="N4966">
        <f>Data!H4978</f>
        <v>0</v>
      </c>
      <c r="O4966">
        <f>Data!I4978</f>
        <v>0</v>
      </c>
      <c r="P4966" s="21">
        <f>Data!J4982</f>
        <v>0</v>
      </c>
      <c r="Q4966">
        <f>Data!K4982</f>
        <v>0</v>
      </c>
      <c r="R4966">
        <f>Data!L4982</f>
        <v>0</v>
      </c>
      <c r="S4966">
        <f>Data!M4982</f>
        <v>0</v>
      </c>
      <c r="T4966">
        <f>Data!N4982</f>
        <v>0</v>
      </c>
      <c r="U4966">
        <f>Data!O4982</f>
        <v>0</v>
      </c>
      <c r="V4966" s="33">
        <f>Data!P4980</f>
        <v>0</v>
      </c>
    </row>
    <row r="4967" spans="7:22" x14ac:dyDescent="0.25">
      <c r="G4967">
        <f>Data!B4979</f>
        <v>0</v>
      </c>
      <c r="H4967" s="21">
        <f>Data!B4979</f>
        <v>0</v>
      </c>
      <c r="I4967" s="21">
        <f>Data!C4979</f>
        <v>0</v>
      </c>
      <c r="J4967">
        <f>Data!D4979</f>
        <v>0</v>
      </c>
      <c r="K4967">
        <f>Data!E4979</f>
        <v>0</v>
      </c>
      <c r="L4967">
        <f>Data!F4979</f>
        <v>0</v>
      </c>
      <c r="M4967">
        <f>Data!G4979</f>
        <v>0</v>
      </c>
      <c r="N4967">
        <f>Data!H4979</f>
        <v>0</v>
      </c>
      <c r="O4967">
        <f>Data!I4979</f>
        <v>0</v>
      </c>
      <c r="P4967" s="21">
        <f>Data!J4983</f>
        <v>0</v>
      </c>
      <c r="Q4967">
        <f>Data!K4983</f>
        <v>0</v>
      </c>
      <c r="R4967">
        <f>Data!L4983</f>
        <v>0</v>
      </c>
      <c r="S4967">
        <f>Data!M4983</f>
        <v>0</v>
      </c>
      <c r="T4967">
        <f>Data!N4983</f>
        <v>0</v>
      </c>
      <c r="U4967">
        <f>Data!O4983</f>
        <v>0</v>
      </c>
      <c r="V4967" s="33">
        <f>Data!P4981</f>
        <v>0</v>
      </c>
    </row>
    <row r="4968" spans="7:22" x14ac:dyDescent="0.25">
      <c r="G4968">
        <f>Data!B4980</f>
        <v>0</v>
      </c>
      <c r="H4968" s="21">
        <f>Data!B4980</f>
        <v>0</v>
      </c>
      <c r="I4968" s="21">
        <f>Data!C4980</f>
        <v>0</v>
      </c>
      <c r="J4968">
        <f>Data!D4980</f>
        <v>0</v>
      </c>
      <c r="K4968">
        <f>Data!E4980</f>
        <v>0</v>
      </c>
      <c r="L4968">
        <f>Data!F4980</f>
        <v>0</v>
      </c>
      <c r="M4968">
        <f>Data!G4980</f>
        <v>0</v>
      </c>
      <c r="N4968">
        <f>Data!H4980</f>
        <v>0</v>
      </c>
      <c r="O4968">
        <f>Data!I4980</f>
        <v>0</v>
      </c>
      <c r="P4968" s="21">
        <f>Data!J4984</f>
        <v>0</v>
      </c>
      <c r="Q4968">
        <f>Data!K4984</f>
        <v>0</v>
      </c>
      <c r="R4968">
        <f>Data!L4984</f>
        <v>0</v>
      </c>
      <c r="S4968">
        <f>Data!M4984</f>
        <v>0</v>
      </c>
      <c r="T4968">
        <f>Data!N4984</f>
        <v>0</v>
      </c>
      <c r="U4968">
        <f>Data!O4984</f>
        <v>0</v>
      </c>
      <c r="V4968" s="33">
        <f>Data!P4982</f>
        <v>0</v>
      </c>
    </row>
    <row r="4969" spans="7:22" x14ac:dyDescent="0.25">
      <c r="G4969">
        <f>Data!B4981</f>
        <v>0</v>
      </c>
      <c r="H4969" s="21">
        <f>Data!B4981</f>
        <v>0</v>
      </c>
      <c r="I4969" s="21">
        <f>Data!C4981</f>
        <v>0</v>
      </c>
      <c r="J4969">
        <f>Data!D4981</f>
        <v>0</v>
      </c>
      <c r="K4969">
        <f>Data!E4981</f>
        <v>0</v>
      </c>
      <c r="L4969">
        <f>Data!F4981</f>
        <v>0</v>
      </c>
      <c r="M4969">
        <f>Data!G4981</f>
        <v>0</v>
      </c>
      <c r="N4969">
        <f>Data!H4981</f>
        <v>0</v>
      </c>
      <c r="O4969">
        <f>Data!I4981</f>
        <v>0</v>
      </c>
      <c r="P4969" s="21">
        <f>Data!J4985</f>
        <v>0</v>
      </c>
      <c r="Q4969">
        <f>Data!K4985</f>
        <v>0</v>
      </c>
      <c r="R4969">
        <f>Data!L4985</f>
        <v>0</v>
      </c>
      <c r="S4969">
        <f>Data!M4985</f>
        <v>0</v>
      </c>
      <c r="T4969">
        <f>Data!N4985</f>
        <v>0</v>
      </c>
      <c r="U4969">
        <f>Data!O4985</f>
        <v>0</v>
      </c>
      <c r="V4969" s="33">
        <f>Data!P4983</f>
        <v>0</v>
      </c>
    </row>
    <row r="4970" spans="7:22" x14ac:dyDescent="0.25">
      <c r="G4970">
        <f>Data!B4982</f>
        <v>0</v>
      </c>
      <c r="H4970" s="21">
        <f>Data!B4982</f>
        <v>0</v>
      </c>
      <c r="I4970" s="21">
        <f>Data!C4982</f>
        <v>0</v>
      </c>
      <c r="J4970">
        <f>Data!D4982</f>
        <v>0</v>
      </c>
      <c r="K4970">
        <f>Data!E4982</f>
        <v>0</v>
      </c>
      <c r="L4970">
        <f>Data!F4982</f>
        <v>0</v>
      </c>
      <c r="M4970">
        <f>Data!G4982</f>
        <v>0</v>
      </c>
      <c r="N4970">
        <f>Data!H4982</f>
        <v>0</v>
      </c>
      <c r="O4970">
        <f>Data!I4982</f>
        <v>0</v>
      </c>
      <c r="P4970" s="21">
        <f>Data!J4986</f>
        <v>0</v>
      </c>
      <c r="Q4970">
        <f>Data!K4986</f>
        <v>0</v>
      </c>
      <c r="R4970">
        <f>Data!L4986</f>
        <v>0</v>
      </c>
      <c r="S4970">
        <f>Data!M4986</f>
        <v>0</v>
      </c>
      <c r="T4970">
        <f>Data!N4986</f>
        <v>0</v>
      </c>
      <c r="U4970">
        <f>Data!O4986</f>
        <v>0</v>
      </c>
      <c r="V4970" s="33">
        <f>Data!P4984</f>
        <v>0</v>
      </c>
    </row>
    <row r="4971" spans="7:22" x14ac:dyDescent="0.25">
      <c r="G4971">
        <f>Data!B4983</f>
        <v>0</v>
      </c>
      <c r="H4971" s="21">
        <f>Data!B4983</f>
        <v>0</v>
      </c>
      <c r="I4971" s="21">
        <f>Data!C4983</f>
        <v>0</v>
      </c>
      <c r="J4971">
        <f>Data!D4983</f>
        <v>0</v>
      </c>
      <c r="K4971">
        <f>Data!E4983</f>
        <v>0</v>
      </c>
      <c r="L4971">
        <f>Data!F4983</f>
        <v>0</v>
      </c>
      <c r="M4971">
        <f>Data!G4983</f>
        <v>0</v>
      </c>
      <c r="N4971">
        <f>Data!H4983</f>
        <v>0</v>
      </c>
      <c r="O4971">
        <f>Data!I4983</f>
        <v>0</v>
      </c>
      <c r="P4971" s="21">
        <f>Data!J4987</f>
        <v>0</v>
      </c>
      <c r="Q4971">
        <f>Data!K4987</f>
        <v>0</v>
      </c>
      <c r="R4971">
        <f>Data!L4987</f>
        <v>0</v>
      </c>
      <c r="S4971">
        <f>Data!M4987</f>
        <v>0</v>
      </c>
      <c r="T4971">
        <f>Data!N4987</f>
        <v>0</v>
      </c>
      <c r="U4971">
        <f>Data!O4987</f>
        <v>0</v>
      </c>
      <c r="V4971" s="33">
        <f>Data!P4985</f>
        <v>0</v>
      </c>
    </row>
    <row r="4972" spans="7:22" x14ac:dyDescent="0.25">
      <c r="G4972">
        <f>Data!B4984</f>
        <v>0</v>
      </c>
      <c r="H4972" s="21">
        <f>Data!B4984</f>
        <v>0</v>
      </c>
      <c r="I4972" s="21">
        <f>Data!C4984</f>
        <v>0</v>
      </c>
      <c r="J4972">
        <f>Data!D4984</f>
        <v>0</v>
      </c>
      <c r="K4972">
        <f>Data!E4984</f>
        <v>0</v>
      </c>
      <c r="L4972">
        <f>Data!F4984</f>
        <v>0</v>
      </c>
      <c r="M4972">
        <f>Data!G4984</f>
        <v>0</v>
      </c>
      <c r="N4972">
        <f>Data!H4984</f>
        <v>0</v>
      </c>
      <c r="O4972">
        <f>Data!I4984</f>
        <v>0</v>
      </c>
      <c r="P4972" s="21">
        <f>Data!J4988</f>
        <v>0</v>
      </c>
      <c r="Q4972">
        <f>Data!K4988</f>
        <v>0</v>
      </c>
      <c r="R4972">
        <f>Data!L4988</f>
        <v>0</v>
      </c>
      <c r="S4972">
        <f>Data!M4988</f>
        <v>0</v>
      </c>
      <c r="T4972">
        <f>Data!N4988</f>
        <v>0</v>
      </c>
      <c r="U4972">
        <f>Data!O4988</f>
        <v>0</v>
      </c>
      <c r="V4972" s="33">
        <f>Data!P4986</f>
        <v>0</v>
      </c>
    </row>
    <row r="4973" spans="7:22" x14ac:dyDescent="0.25">
      <c r="G4973">
        <f>Data!B4985</f>
        <v>0</v>
      </c>
      <c r="H4973" s="21">
        <f>Data!B4985</f>
        <v>0</v>
      </c>
      <c r="I4973" s="21">
        <f>Data!C4985</f>
        <v>0</v>
      </c>
      <c r="J4973">
        <f>Data!D4985</f>
        <v>0</v>
      </c>
      <c r="K4973">
        <f>Data!E4985</f>
        <v>0</v>
      </c>
      <c r="L4973">
        <f>Data!F4985</f>
        <v>0</v>
      </c>
      <c r="M4973">
        <f>Data!G4985</f>
        <v>0</v>
      </c>
      <c r="N4973">
        <f>Data!H4985</f>
        <v>0</v>
      </c>
      <c r="O4973">
        <f>Data!I4985</f>
        <v>0</v>
      </c>
      <c r="P4973" s="21">
        <f>Data!J4989</f>
        <v>0</v>
      </c>
      <c r="Q4973">
        <f>Data!K4989</f>
        <v>0</v>
      </c>
      <c r="R4973">
        <f>Data!L4989</f>
        <v>0</v>
      </c>
      <c r="S4973">
        <f>Data!M4989</f>
        <v>0</v>
      </c>
      <c r="T4973">
        <f>Data!N4989</f>
        <v>0</v>
      </c>
      <c r="U4973">
        <f>Data!O4989</f>
        <v>0</v>
      </c>
      <c r="V4973" s="33">
        <f>Data!P4987</f>
        <v>0</v>
      </c>
    </row>
    <row r="4974" spans="7:22" x14ac:dyDescent="0.25">
      <c r="G4974">
        <f>Data!B4986</f>
        <v>0</v>
      </c>
      <c r="H4974" s="21">
        <f>Data!B4986</f>
        <v>0</v>
      </c>
      <c r="I4974" s="21">
        <f>Data!C4986</f>
        <v>0</v>
      </c>
      <c r="J4974">
        <f>Data!D4986</f>
        <v>0</v>
      </c>
      <c r="K4974">
        <f>Data!E4986</f>
        <v>0</v>
      </c>
      <c r="L4974">
        <f>Data!F4986</f>
        <v>0</v>
      </c>
      <c r="M4974">
        <f>Data!G4986</f>
        <v>0</v>
      </c>
      <c r="N4974">
        <f>Data!H4986</f>
        <v>0</v>
      </c>
      <c r="O4974">
        <f>Data!I4986</f>
        <v>0</v>
      </c>
      <c r="P4974" s="21">
        <f>Data!J4990</f>
        <v>0</v>
      </c>
      <c r="Q4974">
        <f>Data!K4990</f>
        <v>0</v>
      </c>
      <c r="R4974">
        <f>Data!L4990</f>
        <v>0</v>
      </c>
      <c r="S4974">
        <f>Data!M4990</f>
        <v>0</v>
      </c>
      <c r="T4974">
        <f>Data!N4990</f>
        <v>0</v>
      </c>
      <c r="U4974">
        <f>Data!O4990</f>
        <v>0</v>
      </c>
      <c r="V4974" s="33">
        <f>Data!P4988</f>
        <v>0</v>
      </c>
    </row>
    <row r="4975" spans="7:22" x14ac:dyDescent="0.25">
      <c r="G4975">
        <f>Data!B4987</f>
        <v>0</v>
      </c>
      <c r="H4975" s="21">
        <f>Data!B4987</f>
        <v>0</v>
      </c>
      <c r="I4975" s="21">
        <f>Data!C4987</f>
        <v>0</v>
      </c>
      <c r="J4975">
        <f>Data!D4987</f>
        <v>0</v>
      </c>
      <c r="K4975">
        <f>Data!E4987</f>
        <v>0</v>
      </c>
      <c r="L4975">
        <f>Data!F4987</f>
        <v>0</v>
      </c>
      <c r="M4975">
        <f>Data!G4987</f>
        <v>0</v>
      </c>
      <c r="N4975">
        <f>Data!H4987</f>
        <v>0</v>
      </c>
      <c r="O4975">
        <f>Data!I4987</f>
        <v>0</v>
      </c>
      <c r="P4975" s="21">
        <f>Data!J4991</f>
        <v>0</v>
      </c>
      <c r="Q4975">
        <f>Data!K4991</f>
        <v>0</v>
      </c>
      <c r="R4975">
        <f>Data!L4991</f>
        <v>0</v>
      </c>
      <c r="S4975">
        <f>Data!M4991</f>
        <v>0</v>
      </c>
      <c r="T4975">
        <f>Data!N4991</f>
        <v>0</v>
      </c>
      <c r="U4975">
        <f>Data!O4991</f>
        <v>0</v>
      </c>
      <c r="V4975" s="33">
        <f>Data!P4989</f>
        <v>0</v>
      </c>
    </row>
    <row r="4976" spans="7:22" x14ac:dyDescent="0.25">
      <c r="G4976">
        <f>Data!B4988</f>
        <v>0</v>
      </c>
      <c r="H4976" s="21">
        <f>Data!B4988</f>
        <v>0</v>
      </c>
      <c r="I4976" s="21">
        <f>Data!C4988</f>
        <v>0</v>
      </c>
      <c r="J4976">
        <f>Data!D4988</f>
        <v>0</v>
      </c>
      <c r="K4976">
        <f>Data!E4988</f>
        <v>0</v>
      </c>
      <c r="L4976">
        <f>Data!F4988</f>
        <v>0</v>
      </c>
      <c r="M4976">
        <f>Data!G4988</f>
        <v>0</v>
      </c>
      <c r="N4976">
        <f>Data!H4988</f>
        <v>0</v>
      </c>
      <c r="O4976">
        <f>Data!I4988</f>
        <v>0</v>
      </c>
      <c r="P4976" s="21">
        <f>Data!J4992</f>
        <v>0</v>
      </c>
      <c r="Q4976">
        <f>Data!K4992</f>
        <v>0</v>
      </c>
      <c r="R4976">
        <f>Data!L4992</f>
        <v>0</v>
      </c>
      <c r="S4976">
        <f>Data!M4992</f>
        <v>0</v>
      </c>
      <c r="T4976">
        <f>Data!N4992</f>
        <v>0</v>
      </c>
      <c r="U4976">
        <f>Data!O4992</f>
        <v>0</v>
      </c>
      <c r="V4976" s="33">
        <f>Data!P4990</f>
        <v>0</v>
      </c>
    </row>
    <row r="4977" spans="7:22" x14ac:dyDescent="0.25">
      <c r="G4977">
        <f>Data!B4989</f>
        <v>0</v>
      </c>
      <c r="H4977" s="21">
        <f>Data!B4989</f>
        <v>0</v>
      </c>
      <c r="I4977" s="21">
        <f>Data!C4989</f>
        <v>0</v>
      </c>
      <c r="J4977">
        <f>Data!D4989</f>
        <v>0</v>
      </c>
      <c r="K4977">
        <f>Data!E4989</f>
        <v>0</v>
      </c>
      <c r="L4977">
        <f>Data!F4989</f>
        <v>0</v>
      </c>
      <c r="M4977">
        <f>Data!G4989</f>
        <v>0</v>
      </c>
      <c r="N4977">
        <f>Data!H4989</f>
        <v>0</v>
      </c>
      <c r="O4977">
        <f>Data!I4989</f>
        <v>0</v>
      </c>
      <c r="P4977" s="21">
        <f>Data!J4993</f>
        <v>0</v>
      </c>
      <c r="Q4977">
        <f>Data!K4993</f>
        <v>0</v>
      </c>
      <c r="R4977">
        <f>Data!L4993</f>
        <v>0</v>
      </c>
      <c r="S4977">
        <f>Data!M4993</f>
        <v>0</v>
      </c>
      <c r="T4977">
        <f>Data!N4993</f>
        <v>0</v>
      </c>
      <c r="U4977">
        <f>Data!O4993</f>
        <v>0</v>
      </c>
      <c r="V4977" s="33">
        <f>Data!P4991</f>
        <v>0</v>
      </c>
    </row>
    <row r="4978" spans="7:22" x14ac:dyDescent="0.25">
      <c r="G4978">
        <f>Data!B4990</f>
        <v>0</v>
      </c>
      <c r="H4978" s="21">
        <f>Data!B4990</f>
        <v>0</v>
      </c>
      <c r="I4978" s="21">
        <f>Data!C4990</f>
        <v>0</v>
      </c>
      <c r="J4978">
        <f>Data!D4990</f>
        <v>0</v>
      </c>
      <c r="K4978">
        <f>Data!E4990</f>
        <v>0</v>
      </c>
      <c r="L4978">
        <f>Data!F4990</f>
        <v>0</v>
      </c>
      <c r="M4978">
        <f>Data!G4990</f>
        <v>0</v>
      </c>
      <c r="N4978">
        <f>Data!H4990</f>
        <v>0</v>
      </c>
      <c r="O4978">
        <f>Data!I4990</f>
        <v>0</v>
      </c>
      <c r="P4978" s="21">
        <f>Data!J4994</f>
        <v>0</v>
      </c>
      <c r="Q4978">
        <f>Data!K4994</f>
        <v>0</v>
      </c>
      <c r="R4978">
        <f>Data!L4994</f>
        <v>0</v>
      </c>
      <c r="S4978">
        <f>Data!M4994</f>
        <v>0</v>
      </c>
      <c r="T4978">
        <f>Data!N4994</f>
        <v>0</v>
      </c>
      <c r="U4978">
        <f>Data!O4994</f>
        <v>0</v>
      </c>
      <c r="V4978" s="33">
        <f>Data!P4992</f>
        <v>0</v>
      </c>
    </row>
    <row r="4979" spans="7:22" x14ac:dyDescent="0.25">
      <c r="G4979">
        <f>Data!B4991</f>
        <v>0</v>
      </c>
      <c r="H4979" s="21">
        <f>Data!B4991</f>
        <v>0</v>
      </c>
      <c r="I4979" s="21">
        <f>Data!C4991</f>
        <v>0</v>
      </c>
      <c r="J4979">
        <f>Data!D4991</f>
        <v>0</v>
      </c>
      <c r="K4979">
        <f>Data!E4991</f>
        <v>0</v>
      </c>
      <c r="L4979">
        <f>Data!F4991</f>
        <v>0</v>
      </c>
      <c r="M4979">
        <f>Data!G4991</f>
        <v>0</v>
      </c>
      <c r="N4979">
        <f>Data!H4991</f>
        <v>0</v>
      </c>
      <c r="O4979">
        <f>Data!I4991</f>
        <v>0</v>
      </c>
      <c r="P4979" s="21">
        <f>Data!J4995</f>
        <v>0</v>
      </c>
      <c r="Q4979">
        <f>Data!K4995</f>
        <v>0</v>
      </c>
      <c r="R4979">
        <f>Data!L4995</f>
        <v>0</v>
      </c>
      <c r="S4979">
        <f>Data!M4995</f>
        <v>0</v>
      </c>
      <c r="T4979">
        <f>Data!N4995</f>
        <v>0</v>
      </c>
      <c r="U4979">
        <f>Data!O4995</f>
        <v>0</v>
      </c>
      <c r="V4979" s="33">
        <f>Data!P4993</f>
        <v>0</v>
      </c>
    </row>
    <row r="4980" spans="7:22" x14ac:dyDescent="0.25">
      <c r="G4980">
        <f>Data!B4992</f>
        <v>0</v>
      </c>
      <c r="H4980" s="21">
        <f>Data!B4992</f>
        <v>0</v>
      </c>
      <c r="I4980" s="21">
        <f>Data!C4992</f>
        <v>0</v>
      </c>
      <c r="J4980">
        <f>Data!D4992</f>
        <v>0</v>
      </c>
      <c r="K4980">
        <f>Data!E4992</f>
        <v>0</v>
      </c>
      <c r="L4980">
        <f>Data!F4992</f>
        <v>0</v>
      </c>
      <c r="M4980">
        <f>Data!G4992</f>
        <v>0</v>
      </c>
      <c r="N4980">
        <f>Data!H4992</f>
        <v>0</v>
      </c>
      <c r="O4980">
        <f>Data!I4992</f>
        <v>0</v>
      </c>
      <c r="P4980" s="21">
        <f>Data!J4996</f>
        <v>0</v>
      </c>
      <c r="Q4980">
        <f>Data!K4996</f>
        <v>0</v>
      </c>
      <c r="R4980">
        <f>Data!L4996</f>
        <v>0</v>
      </c>
      <c r="S4980">
        <f>Data!M4996</f>
        <v>0</v>
      </c>
      <c r="T4980">
        <f>Data!N4996</f>
        <v>0</v>
      </c>
      <c r="U4980">
        <f>Data!O4996</f>
        <v>0</v>
      </c>
      <c r="V4980" s="33">
        <f>Data!P4994</f>
        <v>0</v>
      </c>
    </row>
    <row r="4981" spans="7:22" x14ac:dyDescent="0.25">
      <c r="G4981">
        <f>Data!B4993</f>
        <v>0</v>
      </c>
      <c r="H4981" s="21">
        <f>Data!B4993</f>
        <v>0</v>
      </c>
      <c r="I4981" s="21">
        <f>Data!C4993</f>
        <v>0</v>
      </c>
      <c r="J4981">
        <f>Data!D4993</f>
        <v>0</v>
      </c>
      <c r="K4981">
        <f>Data!E4993</f>
        <v>0</v>
      </c>
      <c r="L4981">
        <f>Data!F4993</f>
        <v>0</v>
      </c>
      <c r="M4981">
        <f>Data!G4993</f>
        <v>0</v>
      </c>
      <c r="N4981">
        <f>Data!H4993</f>
        <v>0</v>
      </c>
      <c r="O4981">
        <f>Data!I4993</f>
        <v>0</v>
      </c>
      <c r="P4981" s="21">
        <f>Data!J4997</f>
        <v>0</v>
      </c>
      <c r="Q4981">
        <f>Data!K4997</f>
        <v>0</v>
      </c>
      <c r="R4981">
        <f>Data!L4997</f>
        <v>0</v>
      </c>
      <c r="S4981">
        <f>Data!M4997</f>
        <v>0</v>
      </c>
      <c r="T4981">
        <f>Data!N4997</f>
        <v>0</v>
      </c>
      <c r="U4981">
        <f>Data!O4997</f>
        <v>0</v>
      </c>
      <c r="V4981" s="33">
        <f>Data!P4995</f>
        <v>0</v>
      </c>
    </row>
    <row r="4982" spans="7:22" x14ac:dyDescent="0.25">
      <c r="G4982">
        <f>Data!B4994</f>
        <v>0</v>
      </c>
      <c r="H4982" s="21">
        <f>Data!B4994</f>
        <v>0</v>
      </c>
      <c r="I4982" s="21">
        <f>Data!C4994</f>
        <v>0</v>
      </c>
      <c r="J4982">
        <f>Data!D4994</f>
        <v>0</v>
      </c>
      <c r="K4982">
        <f>Data!E4994</f>
        <v>0</v>
      </c>
      <c r="L4982">
        <f>Data!F4994</f>
        <v>0</v>
      </c>
      <c r="M4982">
        <f>Data!G4994</f>
        <v>0</v>
      </c>
      <c r="N4982">
        <f>Data!H4994</f>
        <v>0</v>
      </c>
      <c r="O4982">
        <f>Data!I4994</f>
        <v>0</v>
      </c>
      <c r="P4982" s="21">
        <f>Data!J4998</f>
        <v>0</v>
      </c>
      <c r="Q4982">
        <f>Data!K4998</f>
        <v>0</v>
      </c>
      <c r="R4982">
        <f>Data!L4998</f>
        <v>0</v>
      </c>
      <c r="S4982">
        <f>Data!M4998</f>
        <v>0</v>
      </c>
      <c r="T4982">
        <f>Data!N4998</f>
        <v>0</v>
      </c>
      <c r="U4982">
        <f>Data!O4998</f>
        <v>0</v>
      </c>
      <c r="V4982" s="33">
        <f>Data!P4996</f>
        <v>0</v>
      </c>
    </row>
    <row r="4983" spans="7:22" x14ac:dyDescent="0.25">
      <c r="G4983">
        <f>Data!B4995</f>
        <v>0</v>
      </c>
      <c r="H4983" s="21">
        <f>Data!B4995</f>
        <v>0</v>
      </c>
      <c r="I4983" s="21">
        <f>Data!C4995</f>
        <v>0</v>
      </c>
      <c r="J4983">
        <f>Data!D4995</f>
        <v>0</v>
      </c>
      <c r="K4983">
        <f>Data!E4995</f>
        <v>0</v>
      </c>
      <c r="L4983">
        <f>Data!F4995</f>
        <v>0</v>
      </c>
      <c r="M4983">
        <f>Data!G4995</f>
        <v>0</v>
      </c>
      <c r="N4983">
        <f>Data!H4995</f>
        <v>0</v>
      </c>
      <c r="O4983">
        <f>Data!I4995</f>
        <v>0</v>
      </c>
      <c r="P4983" s="21">
        <f>Data!J4999</f>
        <v>0</v>
      </c>
      <c r="Q4983">
        <f>Data!K4999</f>
        <v>0</v>
      </c>
      <c r="R4983">
        <f>Data!L4999</f>
        <v>0</v>
      </c>
      <c r="S4983">
        <f>Data!M4999</f>
        <v>0</v>
      </c>
      <c r="T4983">
        <f>Data!N4999</f>
        <v>0</v>
      </c>
      <c r="U4983">
        <f>Data!O4999</f>
        <v>0</v>
      </c>
      <c r="V4983" s="33">
        <f>Data!P4997</f>
        <v>0</v>
      </c>
    </row>
    <row r="4984" spans="7:22" x14ac:dyDescent="0.25">
      <c r="G4984">
        <f>Data!B4996</f>
        <v>0</v>
      </c>
      <c r="H4984" s="21">
        <f>Data!B4996</f>
        <v>0</v>
      </c>
      <c r="I4984" s="21">
        <f>Data!C4996</f>
        <v>0</v>
      </c>
      <c r="J4984">
        <f>Data!D4996</f>
        <v>0</v>
      </c>
      <c r="K4984">
        <f>Data!E4996</f>
        <v>0</v>
      </c>
      <c r="L4984">
        <f>Data!F4996</f>
        <v>0</v>
      </c>
      <c r="M4984">
        <f>Data!G4996</f>
        <v>0</v>
      </c>
      <c r="N4984">
        <f>Data!H4996</f>
        <v>0</v>
      </c>
      <c r="O4984">
        <f>Data!I4996</f>
        <v>0</v>
      </c>
      <c r="P4984" s="21">
        <f>Data!J5000</f>
        <v>0</v>
      </c>
      <c r="Q4984">
        <f>Data!K5000</f>
        <v>0</v>
      </c>
      <c r="R4984">
        <f>Data!L5000</f>
        <v>0</v>
      </c>
      <c r="S4984">
        <f>Data!M5000</f>
        <v>0</v>
      </c>
      <c r="T4984">
        <f>Data!N5000</f>
        <v>0</v>
      </c>
      <c r="U4984">
        <f>Data!O5000</f>
        <v>0</v>
      </c>
      <c r="V4984" s="33">
        <f>Data!P4998</f>
        <v>0</v>
      </c>
    </row>
    <row r="4985" spans="7:22" x14ac:dyDescent="0.25">
      <c r="G4985">
        <f>Data!B4997</f>
        <v>0</v>
      </c>
      <c r="H4985" s="21">
        <f>Data!B4997</f>
        <v>0</v>
      </c>
      <c r="I4985" s="21">
        <f>Data!C4997</f>
        <v>0</v>
      </c>
      <c r="J4985">
        <f>Data!D4997</f>
        <v>0</v>
      </c>
      <c r="K4985">
        <f>Data!E4997</f>
        <v>0</v>
      </c>
      <c r="L4985">
        <f>Data!F4997</f>
        <v>0</v>
      </c>
      <c r="M4985">
        <f>Data!G4997</f>
        <v>0</v>
      </c>
      <c r="N4985">
        <f>Data!H4997</f>
        <v>0</v>
      </c>
      <c r="O4985">
        <f>Data!I4997</f>
        <v>0</v>
      </c>
      <c r="P4985" s="21">
        <f>Data!J5001</f>
        <v>0</v>
      </c>
      <c r="Q4985">
        <f>Data!K5001</f>
        <v>0</v>
      </c>
      <c r="R4985">
        <f>Data!L5001</f>
        <v>0</v>
      </c>
      <c r="S4985">
        <f>Data!M5001</f>
        <v>0</v>
      </c>
      <c r="T4985">
        <f>Data!N5001</f>
        <v>0</v>
      </c>
      <c r="U4985">
        <f>Data!O5001</f>
        <v>0</v>
      </c>
      <c r="V4985" s="33">
        <f>Data!P4999</f>
        <v>0</v>
      </c>
    </row>
    <row r="4986" spans="7:22" x14ac:dyDescent="0.25">
      <c r="G4986">
        <f>Data!B4998</f>
        <v>0</v>
      </c>
      <c r="H4986" s="21">
        <f>Data!B4998</f>
        <v>0</v>
      </c>
      <c r="I4986" s="21">
        <f>Data!C4998</f>
        <v>0</v>
      </c>
      <c r="J4986">
        <f>Data!D4998</f>
        <v>0</v>
      </c>
      <c r="K4986">
        <f>Data!E4998</f>
        <v>0</v>
      </c>
      <c r="L4986">
        <f>Data!F4998</f>
        <v>0</v>
      </c>
      <c r="M4986">
        <f>Data!G4998</f>
        <v>0</v>
      </c>
      <c r="N4986">
        <f>Data!H4998</f>
        <v>0</v>
      </c>
      <c r="O4986">
        <f>Data!I4998</f>
        <v>0</v>
      </c>
      <c r="P4986" s="21">
        <f>Data!J5002</f>
        <v>0</v>
      </c>
      <c r="Q4986">
        <f>Data!K5002</f>
        <v>0</v>
      </c>
      <c r="R4986">
        <f>Data!L5002</f>
        <v>0</v>
      </c>
      <c r="S4986">
        <f>Data!M5002</f>
        <v>0</v>
      </c>
      <c r="T4986">
        <f>Data!N5002</f>
        <v>0</v>
      </c>
      <c r="U4986">
        <f>Data!O5002</f>
        <v>0</v>
      </c>
      <c r="V4986" s="33">
        <f>Data!P5000</f>
        <v>0</v>
      </c>
    </row>
    <row r="4987" spans="7:22" x14ac:dyDescent="0.25">
      <c r="G4987">
        <f>Data!B4999</f>
        <v>0</v>
      </c>
      <c r="H4987" s="21">
        <f>Data!B4999</f>
        <v>0</v>
      </c>
      <c r="I4987" s="21">
        <f>Data!C4999</f>
        <v>0</v>
      </c>
      <c r="J4987">
        <f>Data!D4999</f>
        <v>0</v>
      </c>
      <c r="K4987">
        <f>Data!E4999</f>
        <v>0</v>
      </c>
      <c r="L4987">
        <f>Data!F4999</f>
        <v>0</v>
      </c>
      <c r="M4987">
        <f>Data!G4999</f>
        <v>0</v>
      </c>
      <c r="N4987">
        <f>Data!H4999</f>
        <v>0</v>
      </c>
      <c r="O4987">
        <f>Data!I4999</f>
        <v>0</v>
      </c>
      <c r="P4987" s="21">
        <f>Data!J5003</f>
        <v>0</v>
      </c>
      <c r="Q4987">
        <f>Data!K5003</f>
        <v>0</v>
      </c>
      <c r="R4987">
        <f>Data!L5003</f>
        <v>0</v>
      </c>
      <c r="S4987">
        <f>Data!M5003</f>
        <v>0</v>
      </c>
      <c r="T4987">
        <f>Data!N5003</f>
        <v>0</v>
      </c>
      <c r="U4987">
        <f>Data!O5003</f>
        <v>0</v>
      </c>
      <c r="V4987" s="33">
        <f>Data!P5001</f>
        <v>0</v>
      </c>
    </row>
    <row r="4988" spans="7:22" x14ac:dyDescent="0.25">
      <c r="G4988">
        <f>Data!B5000</f>
        <v>0</v>
      </c>
      <c r="H4988" s="21">
        <f>Data!B5000</f>
        <v>0</v>
      </c>
      <c r="I4988" s="21">
        <f>Data!C5000</f>
        <v>0</v>
      </c>
      <c r="J4988">
        <f>Data!D5000</f>
        <v>0</v>
      </c>
      <c r="K4988">
        <f>Data!E5000</f>
        <v>0</v>
      </c>
      <c r="L4988">
        <f>Data!F5000</f>
        <v>0</v>
      </c>
      <c r="M4988">
        <f>Data!G5000</f>
        <v>0</v>
      </c>
      <c r="N4988">
        <f>Data!H5000</f>
        <v>0</v>
      </c>
      <c r="O4988">
        <f>Data!I5000</f>
        <v>0</v>
      </c>
      <c r="P4988" s="21">
        <f>Data!J5004</f>
        <v>0</v>
      </c>
      <c r="Q4988">
        <f>Data!K5004</f>
        <v>0</v>
      </c>
      <c r="R4988">
        <f>Data!L5004</f>
        <v>0</v>
      </c>
      <c r="S4988">
        <f>Data!M5004</f>
        <v>0</v>
      </c>
      <c r="T4988">
        <f>Data!N5004</f>
        <v>0</v>
      </c>
      <c r="U4988">
        <f>Data!O5004</f>
        <v>0</v>
      </c>
      <c r="V4988" s="33">
        <f>Data!P5002</f>
        <v>0</v>
      </c>
    </row>
    <row r="4989" spans="7:22" x14ac:dyDescent="0.25">
      <c r="G4989">
        <f>Data!B5001</f>
        <v>0</v>
      </c>
      <c r="H4989" s="21">
        <f>Data!B5001</f>
        <v>0</v>
      </c>
      <c r="I4989" s="21">
        <f>Data!C5001</f>
        <v>0</v>
      </c>
      <c r="J4989">
        <f>Data!D5001</f>
        <v>0</v>
      </c>
      <c r="K4989">
        <f>Data!E5001</f>
        <v>0</v>
      </c>
      <c r="L4989">
        <f>Data!F5001</f>
        <v>0</v>
      </c>
      <c r="M4989">
        <f>Data!G5001</f>
        <v>0</v>
      </c>
      <c r="N4989">
        <f>Data!H5001</f>
        <v>0</v>
      </c>
      <c r="O4989">
        <f>Data!I5001</f>
        <v>0</v>
      </c>
      <c r="P4989" s="21">
        <f>Data!J5005</f>
        <v>0</v>
      </c>
      <c r="Q4989">
        <f>Data!K5005</f>
        <v>0</v>
      </c>
      <c r="R4989">
        <f>Data!L5005</f>
        <v>0</v>
      </c>
      <c r="S4989">
        <f>Data!M5005</f>
        <v>0</v>
      </c>
      <c r="T4989">
        <f>Data!N5005</f>
        <v>0</v>
      </c>
      <c r="U4989">
        <f>Data!O5005</f>
        <v>0</v>
      </c>
      <c r="V4989" s="33">
        <f>Data!P5003</f>
        <v>0</v>
      </c>
    </row>
    <row r="4990" spans="7:22" x14ac:dyDescent="0.25">
      <c r="G4990">
        <f>Data!B5002</f>
        <v>0</v>
      </c>
      <c r="H4990" s="21">
        <f>Data!B5002</f>
        <v>0</v>
      </c>
      <c r="I4990" s="21">
        <f>Data!C5002</f>
        <v>0</v>
      </c>
      <c r="J4990">
        <f>Data!D5002</f>
        <v>0</v>
      </c>
      <c r="K4990">
        <f>Data!E5002</f>
        <v>0</v>
      </c>
      <c r="L4990">
        <f>Data!F5002</f>
        <v>0</v>
      </c>
      <c r="M4990">
        <f>Data!G5002</f>
        <v>0</v>
      </c>
      <c r="N4990">
        <f>Data!H5002</f>
        <v>0</v>
      </c>
      <c r="O4990">
        <f>Data!I5002</f>
        <v>0</v>
      </c>
      <c r="P4990" s="21">
        <f>Data!J5006</f>
        <v>0</v>
      </c>
      <c r="Q4990">
        <f>Data!K5006</f>
        <v>0</v>
      </c>
      <c r="R4990">
        <f>Data!L5006</f>
        <v>0</v>
      </c>
      <c r="S4990">
        <f>Data!M5006</f>
        <v>0</v>
      </c>
      <c r="T4990">
        <f>Data!N5006</f>
        <v>0</v>
      </c>
      <c r="U4990">
        <f>Data!O5006</f>
        <v>0</v>
      </c>
      <c r="V4990" s="33">
        <f>Data!P5004</f>
        <v>0</v>
      </c>
    </row>
    <row r="4991" spans="7:22" x14ac:dyDescent="0.25">
      <c r="G4991">
        <f>Data!B5003</f>
        <v>0</v>
      </c>
      <c r="H4991" s="21">
        <f>Data!B5003</f>
        <v>0</v>
      </c>
      <c r="I4991" s="21">
        <f>Data!C5003</f>
        <v>0</v>
      </c>
      <c r="J4991">
        <f>Data!D5003</f>
        <v>0</v>
      </c>
      <c r="K4991">
        <f>Data!E5003</f>
        <v>0</v>
      </c>
      <c r="L4991">
        <f>Data!F5003</f>
        <v>0</v>
      </c>
      <c r="M4991">
        <f>Data!G5003</f>
        <v>0</v>
      </c>
      <c r="N4991">
        <f>Data!H5003</f>
        <v>0</v>
      </c>
      <c r="O4991">
        <f>Data!I5003</f>
        <v>0</v>
      </c>
      <c r="P4991" s="21">
        <f>Data!J5007</f>
        <v>0</v>
      </c>
      <c r="Q4991">
        <f>Data!K5007</f>
        <v>0</v>
      </c>
      <c r="R4991">
        <f>Data!L5007</f>
        <v>0</v>
      </c>
      <c r="S4991">
        <f>Data!M5007</f>
        <v>0</v>
      </c>
      <c r="T4991">
        <f>Data!N5007</f>
        <v>0</v>
      </c>
      <c r="U4991">
        <f>Data!O5007</f>
        <v>0</v>
      </c>
      <c r="V4991" s="33">
        <f>Data!P5005</f>
        <v>0</v>
      </c>
    </row>
    <row r="4992" spans="7:22" x14ac:dyDescent="0.25">
      <c r="G4992">
        <f>Data!B5004</f>
        <v>0</v>
      </c>
      <c r="H4992" s="21">
        <f>Data!B5004</f>
        <v>0</v>
      </c>
      <c r="I4992" s="21">
        <f>Data!C5004</f>
        <v>0</v>
      </c>
      <c r="J4992">
        <f>Data!D5004</f>
        <v>0</v>
      </c>
      <c r="K4992">
        <f>Data!E5004</f>
        <v>0</v>
      </c>
      <c r="L4992">
        <f>Data!F5004</f>
        <v>0</v>
      </c>
      <c r="M4992">
        <f>Data!G5004</f>
        <v>0</v>
      </c>
      <c r="N4992">
        <f>Data!H5004</f>
        <v>0</v>
      </c>
      <c r="O4992">
        <f>Data!I5004</f>
        <v>0</v>
      </c>
      <c r="P4992" s="21">
        <f>Data!J5008</f>
        <v>0</v>
      </c>
      <c r="Q4992">
        <f>Data!K5008</f>
        <v>0</v>
      </c>
      <c r="R4992">
        <f>Data!L5008</f>
        <v>0</v>
      </c>
      <c r="S4992">
        <f>Data!M5008</f>
        <v>0</v>
      </c>
      <c r="T4992">
        <f>Data!N5008</f>
        <v>0</v>
      </c>
      <c r="U4992">
        <f>Data!O5008</f>
        <v>0</v>
      </c>
      <c r="V4992" s="33">
        <f>Data!P5006</f>
        <v>0</v>
      </c>
    </row>
    <row r="4993" spans="7:22" x14ac:dyDescent="0.25">
      <c r="G4993">
        <f>Data!B5005</f>
        <v>0</v>
      </c>
      <c r="H4993" s="21">
        <f>Data!B5005</f>
        <v>0</v>
      </c>
      <c r="I4993" s="21">
        <f>Data!C5005</f>
        <v>0</v>
      </c>
      <c r="J4993">
        <f>Data!D5005</f>
        <v>0</v>
      </c>
      <c r="K4993">
        <f>Data!E5005</f>
        <v>0</v>
      </c>
      <c r="L4993">
        <f>Data!F5005</f>
        <v>0</v>
      </c>
      <c r="M4993">
        <f>Data!G5005</f>
        <v>0</v>
      </c>
      <c r="N4993">
        <f>Data!H5005</f>
        <v>0</v>
      </c>
      <c r="O4993">
        <f>Data!I5005</f>
        <v>0</v>
      </c>
      <c r="P4993" s="21">
        <f>Data!J5009</f>
        <v>0</v>
      </c>
      <c r="Q4993">
        <f>Data!K5009</f>
        <v>0</v>
      </c>
      <c r="R4993">
        <f>Data!L5009</f>
        <v>0</v>
      </c>
      <c r="S4993">
        <f>Data!M5009</f>
        <v>0</v>
      </c>
      <c r="T4993">
        <f>Data!N5009</f>
        <v>0</v>
      </c>
      <c r="U4993">
        <f>Data!O5009</f>
        <v>0</v>
      </c>
      <c r="V4993" s="33">
        <f>Data!P5007</f>
        <v>0</v>
      </c>
    </row>
    <row r="4994" spans="7:22" x14ac:dyDescent="0.25">
      <c r="G4994">
        <f>Data!B5006</f>
        <v>0</v>
      </c>
      <c r="H4994" s="21">
        <f>Data!B5006</f>
        <v>0</v>
      </c>
      <c r="I4994" s="21">
        <f>Data!C5006</f>
        <v>0</v>
      </c>
      <c r="J4994">
        <f>Data!D5006</f>
        <v>0</v>
      </c>
      <c r="K4994">
        <f>Data!E5006</f>
        <v>0</v>
      </c>
      <c r="L4994">
        <f>Data!F5006</f>
        <v>0</v>
      </c>
      <c r="M4994">
        <f>Data!G5006</f>
        <v>0</v>
      </c>
      <c r="N4994">
        <f>Data!H5006</f>
        <v>0</v>
      </c>
      <c r="O4994">
        <f>Data!I5006</f>
        <v>0</v>
      </c>
      <c r="P4994" s="21">
        <f>Data!J5010</f>
        <v>0</v>
      </c>
      <c r="Q4994">
        <f>Data!K5010</f>
        <v>0</v>
      </c>
      <c r="R4994">
        <f>Data!L5010</f>
        <v>0</v>
      </c>
      <c r="S4994">
        <f>Data!M5010</f>
        <v>0</v>
      </c>
      <c r="T4994">
        <f>Data!N5010</f>
        <v>0</v>
      </c>
      <c r="U4994">
        <f>Data!O5010</f>
        <v>0</v>
      </c>
      <c r="V4994" s="33">
        <f>Data!P5008</f>
        <v>0</v>
      </c>
    </row>
    <row r="4995" spans="7:22" x14ac:dyDescent="0.25">
      <c r="G4995">
        <f>Data!B5007</f>
        <v>0</v>
      </c>
      <c r="H4995" s="21">
        <f>Data!B5007</f>
        <v>0</v>
      </c>
      <c r="I4995" s="21">
        <f>Data!C5007</f>
        <v>0</v>
      </c>
      <c r="J4995">
        <f>Data!D5007</f>
        <v>0</v>
      </c>
      <c r="K4995">
        <f>Data!E5007</f>
        <v>0</v>
      </c>
      <c r="L4995">
        <f>Data!F5007</f>
        <v>0</v>
      </c>
      <c r="M4995">
        <f>Data!G5007</f>
        <v>0</v>
      </c>
      <c r="N4995">
        <f>Data!H5007</f>
        <v>0</v>
      </c>
      <c r="O4995">
        <f>Data!I5007</f>
        <v>0</v>
      </c>
      <c r="P4995" s="21">
        <f>Data!J5011</f>
        <v>0</v>
      </c>
      <c r="Q4995">
        <f>Data!K5011</f>
        <v>0</v>
      </c>
      <c r="R4995">
        <f>Data!L5011</f>
        <v>0</v>
      </c>
      <c r="S4995">
        <f>Data!M5011</f>
        <v>0</v>
      </c>
      <c r="T4995">
        <f>Data!N5011</f>
        <v>0</v>
      </c>
      <c r="U4995">
        <f>Data!O5011</f>
        <v>0</v>
      </c>
      <c r="V4995" s="33">
        <f>Data!P5009</f>
        <v>0</v>
      </c>
    </row>
    <row r="4996" spans="7:22" x14ac:dyDescent="0.25">
      <c r="G4996">
        <f>Data!B5008</f>
        <v>0</v>
      </c>
      <c r="H4996" s="21">
        <f>Data!B5008</f>
        <v>0</v>
      </c>
      <c r="I4996" s="21">
        <f>Data!C5008</f>
        <v>0</v>
      </c>
      <c r="J4996">
        <f>Data!D5008</f>
        <v>0</v>
      </c>
      <c r="K4996">
        <f>Data!E5008</f>
        <v>0</v>
      </c>
      <c r="L4996">
        <f>Data!F5008</f>
        <v>0</v>
      </c>
      <c r="M4996">
        <f>Data!G5008</f>
        <v>0</v>
      </c>
      <c r="N4996">
        <f>Data!H5008</f>
        <v>0</v>
      </c>
      <c r="O4996">
        <f>Data!I5008</f>
        <v>0</v>
      </c>
      <c r="P4996" s="21">
        <f>Data!J5012</f>
        <v>0</v>
      </c>
      <c r="Q4996">
        <f>Data!K5012</f>
        <v>0</v>
      </c>
      <c r="R4996">
        <f>Data!L5012</f>
        <v>0</v>
      </c>
      <c r="S4996">
        <f>Data!M5012</f>
        <v>0</v>
      </c>
      <c r="T4996">
        <f>Data!N5012</f>
        <v>0</v>
      </c>
      <c r="U4996">
        <f>Data!O5012</f>
        <v>0</v>
      </c>
      <c r="V4996" s="33">
        <f>Data!P5010</f>
        <v>0</v>
      </c>
    </row>
    <row r="4997" spans="7:22" x14ac:dyDescent="0.25">
      <c r="G4997">
        <f>Data!B5009</f>
        <v>0</v>
      </c>
      <c r="H4997" s="21">
        <f>Data!B5009</f>
        <v>0</v>
      </c>
      <c r="I4997" s="21">
        <f>Data!C5009</f>
        <v>0</v>
      </c>
      <c r="J4997">
        <f>Data!D5009</f>
        <v>0</v>
      </c>
      <c r="K4997">
        <f>Data!E5009</f>
        <v>0</v>
      </c>
      <c r="L4997">
        <f>Data!F5009</f>
        <v>0</v>
      </c>
      <c r="M4997">
        <f>Data!G5009</f>
        <v>0</v>
      </c>
      <c r="N4997">
        <f>Data!H5009</f>
        <v>0</v>
      </c>
      <c r="O4997">
        <f>Data!I5009</f>
        <v>0</v>
      </c>
      <c r="P4997" s="21">
        <f>Data!J5013</f>
        <v>0</v>
      </c>
      <c r="Q4997">
        <f>Data!K5013</f>
        <v>0</v>
      </c>
      <c r="R4997">
        <f>Data!L5013</f>
        <v>0</v>
      </c>
      <c r="S4997">
        <f>Data!M5013</f>
        <v>0</v>
      </c>
      <c r="T4997">
        <f>Data!N5013</f>
        <v>0</v>
      </c>
      <c r="U4997">
        <f>Data!O5013</f>
        <v>0</v>
      </c>
      <c r="V4997" s="33">
        <f>Data!P5011</f>
        <v>0</v>
      </c>
    </row>
    <row r="4998" spans="7:22" x14ac:dyDescent="0.25">
      <c r="G4998">
        <f>Data!B5010</f>
        <v>0</v>
      </c>
      <c r="H4998" s="21">
        <f>Data!B5010</f>
        <v>0</v>
      </c>
      <c r="I4998" s="21">
        <f>Data!C5010</f>
        <v>0</v>
      </c>
      <c r="J4998">
        <f>Data!D5010</f>
        <v>0</v>
      </c>
      <c r="K4998">
        <f>Data!E5010</f>
        <v>0</v>
      </c>
      <c r="L4998">
        <f>Data!F5010</f>
        <v>0</v>
      </c>
      <c r="M4998">
        <f>Data!G5010</f>
        <v>0</v>
      </c>
      <c r="N4998">
        <f>Data!H5010</f>
        <v>0</v>
      </c>
      <c r="O4998">
        <f>Data!I5010</f>
        <v>0</v>
      </c>
      <c r="P4998" s="21">
        <f>Data!J5014</f>
        <v>0</v>
      </c>
      <c r="Q4998">
        <f>Data!K5014</f>
        <v>0</v>
      </c>
      <c r="R4998">
        <f>Data!L5014</f>
        <v>0</v>
      </c>
      <c r="S4998">
        <f>Data!M5014</f>
        <v>0</v>
      </c>
      <c r="T4998">
        <f>Data!N5014</f>
        <v>0</v>
      </c>
      <c r="U4998">
        <f>Data!O5014</f>
        <v>0</v>
      </c>
      <c r="V4998" s="33">
        <f>Data!P5012</f>
        <v>0</v>
      </c>
    </row>
    <row r="4999" spans="7:22" x14ac:dyDescent="0.25">
      <c r="G4999">
        <f>Data!B5011</f>
        <v>0</v>
      </c>
      <c r="H4999" s="21">
        <f>Data!B5011</f>
        <v>0</v>
      </c>
      <c r="I4999" s="21">
        <f>Data!C5011</f>
        <v>0</v>
      </c>
      <c r="J4999">
        <f>Data!D5011</f>
        <v>0</v>
      </c>
      <c r="K4999">
        <f>Data!E5011</f>
        <v>0</v>
      </c>
      <c r="L4999">
        <f>Data!F5011</f>
        <v>0</v>
      </c>
      <c r="M4999">
        <f>Data!G5011</f>
        <v>0</v>
      </c>
      <c r="N4999">
        <f>Data!H5011</f>
        <v>0</v>
      </c>
      <c r="O4999">
        <f>Data!I5011</f>
        <v>0</v>
      </c>
      <c r="P4999" s="21">
        <f>Data!J5015</f>
        <v>0</v>
      </c>
      <c r="Q4999">
        <f>Data!K5015</f>
        <v>0</v>
      </c>
      <c r="R4999">
        <f>Data!L5015</f>
        <v>0</v>
      </c>
      <c r="S4999">
        <f>Data!M5015</f>
        <v>0</v>
      </c>
      <c r="T4999">
        <f>Data!N5015</f>
        <v>0</v>
      </c>
      <c r="U4999">
        <f>Data!O5015</f>
        <v>0</v>
      </c>
      <c r="V4999" s="33">
        <f>Data!P5013</f>
        <v>0</v>
      </c>
    </row>
    <row r="5000" spans="7:22" x14ac:dyDescent="0.25">
      <c r="G5000">
        <f>Data!B5012</f>
        <v>0</v>
      </c>
      <c r="H5000" s="21">
        <f>Data!B5012</f>
        <v>0</v>
      </c>
      <c r="I5000" s="21">
        <f>Data!C5012</f>
        <v>0</v>
      </c>
      <c r="J5000">
        <f>Data!D5012</f>
        <v>0</v>
      </c>
      <c r="K5000">
        <f>Data!E5012</f>
        <v>0</v>
      </c>
      <c r="L5000">
        <f>Data!F5012</f>
        <v>0</v>
      </c>
      <c r="M5000">
        <f>Data!G5012</f>
        <v>0</v>
      </c>
      <c r="N5000">
        <f>Data!H5012</f>
        <v>0</v>
      </c>
      <c r="O5000">
        <f>Data!I5012</f>
        <v>0</v>
      </c>
      <c r="P5000" s="21">
        <f>Data!J5016</f>
        <v>0</v>
      </c>
      <c r="Q5000">
        <f>Data!K5016</f>
        <v>0</v>
      </c>
      <c r="R5000">
        <f>Data!L5016</f>
        <v>0</v>
      </c>
      <c r="S5000">
        <f>Data!M5016</f>
        <v>0</v>
      </c>
      <c r="T5000">
        <f>Data!N5016</f>
        <v>0</v>
      </c>
      <c r="U5000">
        <f>Data!O5016</f>
        <v>0</v>
      </c>
      <c r="V5000" s="33">
        <f>Data!P5014</f>
        <v>0</v>
      </c>
    </row>
    <row r="5001" spans="7:22" x14ac:dyDescent="0.25">
      <c r="G5001">
        <f>Data!B5013</f>
        <v>0</v>
      </c>
      <c r="H5001" s="21">
        <f>Data!B5013</f>
        <v>0</v>
      </c>
      <c r="I5001" s="21">
        <f>Data!C5013</f>
        <v>0</v>
      </c>
      <c r="J5001">
        <f>Data!D5013</f>
        <v>0</v>
      </c>
      <c r="K5001">
        <f>Data!E5013</f>
        <v>0</v>
      </c>
      <c r="L5001">
        <f>Data!F5013</f>
        <v>0</v>
      </c>
      <c r="M5001">
        <f>Data!G5013</f>
        <v>0</v>
      </c>
      <c r="N5001">
        <f>Data!H5013</f>
        <v>0</v>
      </c>
      <c r="O5001">
        <f>Data!I5013</f>
        <v>0</v>
      </c>
      <c r="P5001" s="21">
        <f>Data!J5017</f>
        <v>0</v>
      </c>
      <c r="Q5001">
        <f>Data!K5017</f>
        <v>0</v>
      </c>
      <c r="R5001">
        <f>Data!L5017</f>
        <v>0</v>
      </c>
      <c r="S5001">
        <f>Data!M5017</f>
        <v>0</v>
      </c>
      <c r="T5001">
        <f>Data!N5017</f>
        <v>0</v>
      </c>
      <c r="U5001">
        <f>Data!O5017</f>
        <v>0</v>
      </c>
      <c r="V5001" s="33">
        <f>Data!P5015</f>
        <v>0</v>
      </c>
    </row>
    <row r="5002" spans="7:22" x14ac:dyDescent="0.25">
      <c r="G5002">
        <f>Data!B5014</f>
        <v>0</v>
      </c>
      <c r="H5002" s="21">
        <f>Data!B5014</f>
        <v>0</v>
      </c>
      <c r="I5002" s="21">
        <f>Data!C5014</f>
        <v>0</v>
      </c>
      <c r="J5002">
        <f>Data!D5014</f>
        <v>0</v>
      </c>
      <c r="K5002">
        <f>Data!E5014</f>
        <v>0</v>
      </c>
      <c r="L5002">
        <f>Data!F5014</f>
        <v>0</v>
      </c>
      <c r="M5002">
        <f>Data!G5014</f>
        <v>0</v>
      </c>
      <c r="N5002">
        <f>Data!H5014</f>
        <v>0</v>
      </c>
      <c r="O5002">
        <f>Data!I5014</f>
        <v>0</v>
      </c>
      <c r="P5002" s="21">
        <f>Data!J5018</f>
        <v>0</v>
      </c>
      <c r="Q5002">
        <f>Data!K5018</f>
        <v>0</v>
      </c>
      <c r="R5002">
        <f>Data!L5018</f>
        <v>0</v>
      </c>
      <c r="S5002">
        <f>Data!M5018</f>
        <v>0</v>
      </c>
      <c r="T5002">
        <f>Data!N5018</f>
        <v>0</v>
      </c>
      <c r="U5002">
        <f>Data!O5018</f>
        <v>0</v>
      </c>
      <c r="V5002" s="33">
        <f>Data!P5016</f>
        <v>0</v>
      </c>
    </row>
    <row r="5003" spans="7:22" x14ac:dyDescent="0.25">
      <c r="G5003">
        <f>Data!B5015</f>
        <v>0</v>
      </c>
      <c r="H5003" s="21">
        <f>Data!B5015</f>
        <v>0</v>
      </c>
      <c r="I5003" s="21">
        <f>Data!C5015</f>
        <v>0</v>
      </c>
      <c r="J5003">
        <f>Data!D5015</f>
        <v>0</v>
      </c>
      <c r="K5003">
        <f>Data!E5015</f>
        <v>0</v>
      </c>
      <c r="L5003">
        <f>Data!F5015</f>
        <v>0</v>
      </c>
      <c r="M5003">
        <f>Data!G5015</f>
        <v>0</v>
      </c>
      <c r="N5003">
        <f>Data!H5015</f>
        <v>0</v>
      </c>
      <c r="O5003">
        <f>Data!I5015</f>
        <v>0</v>
      </c>
      <c r="P5003" s="21">
        <f>Data!J5019</f>
        <v>0</v>
      </c>
      <c r="Q5003">
        <f>Data!K5019</f>
        <v>0</v>
      </c>
      <c r="R5003">
        <f>Data!L5019</f>
        <v>0</v>
      </c>
      <c r="S5003">
        <f>Data!M5019</f>
        <v>0</v>
      </c>
      <c r="T5003">
        <f>Data!N5019</f>
        <v>0</v>
      </c>
      <c r="U5003">
        <f>Data!O5019</f>
        <v>0</v>
      </c>
      <c r="V5003" s="33">
        <f>Data!P5017</f>
        <v>0</v>
      </c>
    </row>
    <row r="5004" spans="7:22" x14ac:dyDescent="0.25">
      <c r="G5004">
        <f>Data!B5016</f>
        <v>0</v>
      </c>
      <c r="H5004" s="21">
        <f>Data!B5016</f>
        <v>0</v>
      </c>
      <c r="I5004" s="21">
        <f>Data!C5016</f>
        <v>0</v>
      </c>
      <c r="J5004">
        <f>Data!D5016</f>
        <v>0</v>
      </c>
      <c r="K5004">
        <f>Data!E5016</f>
        <v>0</v>
      </c>
      <c r="L5004">
        <f>Data!F5016</f>
        <v>0</v>
      </c>
      <c r="M5004">
        <f>Data!G5016</f>
        <v>0</v>
      </c>
      <c r="N5004">
        <f>Data!H5016</f>
        <v>0</v>
      </c>
      <c r="O5004">
        <f>Data!I5016</f>
        <v>0</v>
      </c>
      <c r="P5004" s="21">
        <f>Data!J5020</f>
        <v>0</v>
      </c>
      <c r="Q5004">
        <f>Data!K5020</f>
        <v>0</v>
      </c>
      <c r="R5004">
        <f>Data!L5020</f>
        <v>0</v>
      </c>
      <c r="S5004">
        <f>Data!M5020</f>
        <v>0</v>
      </c>
      <c r="T5004">
        <f>Data!N5020</f>
        <v>0</v>
      </c>
      <c r="U5004">
        <f>Data!O5020</f>
        <v>0</v>
      </c>
      <c r="V5004" s="33">
        <f>Data!P5018</f>
        <v>0</v>
      </c>
    </row>
    <row r="5005" spans="7:22" x14ac:dyDescent="0.25">
      <c r="G5005">
        <f>Data!B5017</f>
        <v>0</v>
      </c>
      <c r="H5005" s="21">
        <f>Data!B5017</f>
        <v>0</v>
      </c>
      <c r="I5005" s="21">
        <f>Data!C5017</f>
        <v>0</v>
      </c>
      <c r="J5005">
        <f>Data!D5017</f>
        <v>0</v>
      </c>
      <c r="K5005">
        <f>Data!E5017</f>
        <v>0</v>
      </c>
      <c r="L5005">
        <f>Data!F5017</f>
        <v>0</v>
      </c>
      <c r="M5005">
        <f>Data!G5017</f>
        <v>0</v>
      </c>
      <c r="N5005">
        <f>Data!H5017</f>
        <v>0</v>
      </c>
      <c r="O5005">
        <f>Data!I5017</f>
        <v>0</v>
      </c>
      <c r="P5005" s="21">
        <f>Data!J5021</f>
        <v>0</v>
      </c>
      <c r="Q5005">
        <f>Data!K5021</f>
        <v>0</v>
      </c>
      <c r="R5005">
        <f>Data!L5021</f>
        <v>0</v>
      </c>
      <c r="S5005">
        <f>Data!M5021</f>
        <v>0</v>
      </c>
      <c r="T5005">
        <f>Data!N5021</f>
        <v>0</v>
      </c>
      <c r="U5005">
        <f>Data!O5021</f>
        <v>0</v>
      </c>
      <c r="V5005" s="33">
        <f>Data!P5019</f>
        <v>0</v>
      </c>
    </row>
    <row r="5006" spans="7:22" x14ac:dyDescent="0.25">
      <c r="G5006">
        <f>Data!B5018</f>
        <v>0</v>
      </c>
      <c r="H5006" s="21">
        <f>Data!B5018</f>
        <v>0</v>
      </c>
      <c r="I5006" s="21">
        <f>Data!C5018</f>
        <v>0</v>
      </c>
      <c r="J5006">
        <f>Data!D5018</f>
        <v>0</v>
      </c>
      <c r="K5006">
        <f>Data!E5018</f>
        <v>0</v>
      </c>
      <c r="L5006">
        <f>Data!F5018</f>
        <v>0</v>
      </c>
      <c r="M5006">
        <f>Data!G5018</f>
        <v>0</v>
      </c>
      <c r="N5006">
        <f>Data!H5018</f>
        <v>0</v>
      </c>
      <c r="O5006">
        <f>Data!I5018</f>
        <v>0</v>
      </c>
      <c r="P5006" s="21">
        <f>Data!J5022</f>
        <v>0</v>
      </c>
      <c r="Q5006">
        <f>Data!K5022</f>
        <v>0</v>
      </c>
      <c r="R5006">
        <f>Data!L5022</f>
        <v>0</v>
      </c>
      <c r="S5006">
        <f>Data!M5022</f>
        <v>0</v>
      </c>
      <c r="T5006">
        <f>Data!N5022</f>
        <v>0</v>
      </c>
      <c r="U5006">
        <f>Data!O5022</f>
        <v>0</v>
      </c>
      <c r="V5006" s="33">
        <f>Data!P5020</f>
        <v>0</v>
      </c>
    </row>
    <row r="5007" spans="7:22" x14ac:dyDescent="0.25">
      <c r="G5007">
        <f>Data!B5019</f>
        <v>0</v>
      </c>
      <c r="H5007" s="21">
        <f>Data!B5019</f>
        <v>0</v>
      </c>
      <c r="I5007" s="21">
        <f>Data!C5019</f>
        <v>0</v>
      </c>
      <c r="J5007">
        <f>Data!D5019</f>
        <v>0</v>
      </c>
      <c r="K5007">
        <f>Data!E5019</f>
        <v>0</v>
      </c>
      <c r="L5007">
        <f>Data!F5019</f>
        <v>0</v>
      </c>
      <c r="M5007">
        <f>Data!G5019</f>
        <v>0</v>
      </c>
      <c r="N5007">
        <f>Data!H5019</f>
        <v>0</v>
      </c>
      <c r="O5007">
        <f>Data!I5019</f>
        <v>0</v>
      </c>
      <c r="P5007" s="21">
        <f>Data!J5023</f>
        <v>0</v>
      </c>
      <c r="Q5007">
        <f>Data!K5023</f>
        <v>0</v>
      </c>
      <c r="R5007">
        <f>Data!L5023</f>
        <v>0</v>
      </c>
      <c r="S5007">
        <f>Data!M5023</f>
        <v>0</v>
      </c>
      <c r="T5007">
        <f>Data!N5023</f>
        <v>0</v>
      </c>
      <c r="U5007">
        <f>Data!O5023</f>
        <v>0</v>
      </c>
      <c r="V5007" s="33">
        <f>Data!P5021</f>
        <v>0</v>
      </c>
    </row>
    <row r="5008" spans="7:22" x14ac:dyDescent="0.25">
      <c r="G5008">
        <f>Data!B5020</f>
        <v>0</v>
      </c>
      <c r="H5008" s="21">
        <f>Data!B5020</f>
        <v>0</v>
      </c>
      <c r="I5008" s="21">
        <f>Data!C5020</f>
        <v>0</v>
      </c>
      <c r="J5008">
        <f>Data!D5020</f>
        <v>0</v>
      </c>
      <c r="K5008">
        <f>Data!E5020</f>
        <v>0</v>
      </c>
      <c r="L5008">
        <f>Data!F5020</f>
        <v>0</v>
      </c>
      <c r="M5008">
        <f>Data!G5020</f>
        <v>0</v>
      </c>
      <c r="N5008">
        <f>Data!H5020</f>
        <v>0</v>
      </c>
      <c r="O5008">
        <f>Data!I5020</f>
        <v>0</v>
      </c>
      <c r="P5008" s="21">
        <f>Data!J5024</f>
        <v>0</v>
      </c>
      <c r="Q5008">
        <f>Data!K5024</f>
        <v>0</v>
      </c>
      <c r="R5008">
        <f>Data!L5024</f>
        <v>0</v>
      </c>
      <c r="S5008">
        <f>Data!M5024</f>
        <v>0</v>
      </c>
      <c r="T5008">
        <f>Data!N5024</f>
        <v>0</v>
      </c>
      <c r="U5008">
        <f>Data!O5024</f>
        <v>0</v>
      </c>
      <c r="V5008" s="33">
        <f>Data!P5022</f>
        <v>0</v>
      </c>
    </row>
    <row r="5009" spans="7:22" x14ac:dyDescent="0.25">
      <c r="G5009">
        <f>Data!B5021</f>
        <v>0</v>
      </c>
      <c r="H5009" s="21">
        <f>Data!B5021</f>
        <v>0</v>
      </c>
      <c r="I5009" s="21">
        <f>Data!C5021</f>
        <v>0</v>
      </c>
      <c r="J5009">
        <f>Data!D5021</f>
        <v>0</v>
      </c>
      <c r="K5009">
        <f>Data!E5021</f>
        <v>0</v>
      </c>
      <c r="L5009">
        <f>Data!F5021</f>
        <v>0</v>
      </c>
      <c r="M5009">
        <f>Data!G5021</f>
        <v>0</v>
      </c>
      <c r="N5009">
        <f>Data!H5021</f>
        <v>0</v>
      </c>
      <c r="O5009">
        <f>Data!I5021</f>
        <v>0</v>
      </c>
      <c r="P5009" s="21">
        <f>Data!J5025</f>
        <v>0</v>
      </c>
      <c r="Q5009">
        <f>Data!K5025</f>
        <v>0</v>
      </c>
      <c r="R5009">
        <f>Data!L5025</f>
        <v>0</v>
      </c>
      <c r="S5009">
        <f>Data!M5025</f>
        <v>0</v>
      </c>
      <c r="T5009">
        <f>Data!N5025</f>
        <v>0</v>
      </c>
      <c r="U5009">
        <f>Data!O5025</f>
        <v>0</v>
      </c>
      <c r="V5009" s="33">
        <f>Data!P5023</f>
        <v>0</v>
      </c>
    </row>
  </sheetData>
  <conditionalFormatting sqref="C1:C3">
    <cfRule type="duplicateValues" dxfId="29" priority="4"/>
  </conditionalFormatting>
  <conditionalFormatting sqref="C6">
    <cfRule type="duplicateValues" dxfId="28" priority="1"/>
    <cfRule type="duplicateValues" dxfId="27" priority="2"/>
  </conditionalFormatting>
  <conditionalFormatting sqref="G1:G3">
    <cfRule type="duplicateValues" dxfId="26" priority="3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E4D2-BB23-4E9F-9E39-D57FC25BE2BE}">
  <dimension ref="A1:P38"/>
  <sheetViews>
    <sheetView workbookViewId="0">
      <selection activeCell="A2" sqref="A2:P163"/>
    </sheetView>
  </sheetViews>
  <sheetFormatPr defaultRowHeight="15" x14ac:dyDescent="0.25"/>
  <cols>
    <col min="1" max="1" width="12" bestFit="1" customWidth="1"/>
    <col min="2" max="2" width="14.28515625" bestFit="1" customWidth="1"/>
    <col min="3" max="3" width="13.85546875" bestFit="1" customWidth="1"/>
    <col min="4" max="4" width="14.42578125" bestFit="1" customWidth="1"/>
    <col min="5" max="5" width="14.140625" bestFit="1" customWidth="1"/>
    <col min="6" max="6" width="13.140625" bestFit="1" customWidth="1"/>
    <col min="7" max="7" width="22.28515625" bestFit="1" customWidth="1"/>
    <col min="8" max="8" width="15.140625" bestFit="1" customWidth="1"/>
    <col min="9" max="9" width="11.5703125" bestFit="1" customWidth="1"/>
    <col min="10" max="10" width="14.7109375" bestFit="1" customWidth="1"/>
    <col min="11" max="11" width="24.85546875" bestFit="1" customWidth="1"/>
    <col min="12" max="12" width="23.140625" bestFit="1" customWidth="1"/>
    <col min="13" max="13" width="28.28515625" bestFit="1" customWidth="1"/>
    <col min="14" max="14" width="29.42578125" bestFit="1" customWidth="1"/>
    <col min="15" max="15" width="26.85546875" bestFit="1" customWidth="1"/>
    <col min="16" max="16" width="15.7109375" bestFit="1" customWidth="1"/>
    <col min="17" max="17" width="15.42578125" bestFit="1" customWidth="1"/>
    <col min="18" max="18" width="17.5703125" bestFit="1" customWidth="1"/>
    <col min="19" max="19" width="14.85546875" bestFit="1" customWidth="1"/>
    <col min="20" max="20" width="13.140625" bestFit="1" customWidth="1"/>
    <col min="21" max="21" width="18.7109375" bestFit="1" customWidth="1"/>
    <col min="22" max="22" width="20.7109375" bestFit="1" customWidth="1"/>
    <col min="23" max="23" width="18.28515625" bestFit="1" customWidth="1"/>
    <col min="24" max="24" width="21" bestFit="1" customWidth="1"/>
    <col min="25" max="25" width="22.85546875" bestFit="1" customWidth="1"/>
    <col min="26" max="26" width="14.85546875" bestFit="1" customWidth="1"/>
    <col min="27" max="27" width="28.42578125" bestFit="1" customWidth="1"/>
    <col min="28" max="28" width="12.5703125" bestFit="1" customWidth="1"/>
    <col min="29" max="29" width="18" bestFit="1" customWidth="1"/>
    <col min="30" max="30" width="19" bestFit="1" customWidth="1"/>
    <col min="31" max="31" width="27.140625" customWidth="1"/>
    <col min="32" max="32" width="27.85546875" bestFit="1" customWidth="1"/>
    <col min="33" max="33" width="16.28515625" bestFit="1" customWidth="1"/>
    <col min="34" max="34" width="18.28515625" bestFit="1" customWidth="1"/>
    <col min="35" max="35" width="20.7109375" bestFit="1" customWidth="1"/>
    <col min="36" max="36" width="21.42578125" bestFit="1" customWidth="1"/>
    <col min="37" max="37" width="29.28515625" bestFit="1" customWidth="1"/>
    <col min="38" max="38" width="22.85546875" bestFit="1" customWidth="1"/>
    <col min="39" max="39" width="21" bestFit="1" customWidth="1"/>
    <col min="40" max="40" width="13.140625" bestFit="1" customWidth="1"/>
  </cols>
  <sheetData>
    <row r="1" spans="1:16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407</v>
      </c>
      <c r="G1" t="s">
        <v>21</v>
      </c>
      <c r="H1" t="s">
        <v>408</v>
      </c>
      <c r="I1" t="s">
        <v>23</v>
      </c>
      <c r="J1" t="s">
        <v>409</v>
      </c>
      <c r="K1" t="s">
        <v>410</v>
      </c>
      <c r="L1" t="s">
        <v>26</v>
      </c>
      <c r="M1" t="s">
        <v>27</v>
      </c>
      <c r="N1" t="s">
        <v>28</v>
      </c>
      <c r="O1" t="s">
        <v>29</v>
      </c>
      <c r="P1" t="s">
        <v>411</v>
      </c>
    </row>
    <row r="2" spans="1:16" x14ac:dyDescent="0.25">
      <c r="A2" s="51" t="s">
        <v>421</v>
      </c>
      <c r="B2" s="20">
        <v>45328</v>
      </c>
      <c r="C2" s="20">
        <v>45343</v>
      </c>
      <c r="D2">
        <v>0</v>
      </c>
      <c r="E2" s="51" t="s">
        <v>31</v>
      </c>
      <c r="F2" s="51" t="s">
        <v>412</v>
      </c>
      <c r="G2" s="51" t="s">
        <v>422</v>
      </c>
      <c r="H2" s="51" t="s">
        <v>302</v>
      </c>
      <c r="I2" s="51" t="s">
        <v>423</v>
      </c>
      <c r="J2" s="20">
        <v>45328</v>
      </c>
      <c r="K2" s="51" t="s">
        <v>39</v>
      </c>
      <c r="L2" s="51" t="s">
        <v>44</v>
      </c>
      <c r="M2" s="51" t="s">
        <v>41</v>
      </c>
      <c r="N2" s="51" t="s">
        <v>42</v>
      </c>
      <c r="O2">
        <v>6907</v>
      </c>
      <c r="P2" s="20">
        <v>45350.444885914352</v>
      </c>
    </row>
    <row r="3" spans="1:16" x14ac:dyDescent="0.25">
      <c r="A3" s="51" t="s">
        <v>424</v>
      </c>
      <c r="B3" s="20">
        <v>45328</v>
      </c>
      <c r="C3" s="20">
        <v>45343</v>
      </c>
      <c r="D3">
        <v>0</v>
      </c>
      <c r="E3" s="51" t="s">
        <v>31</v>
      </c>
      <c r="F3" s="51" t="s">
        <v>412</v>
      </c>
      <c r="G3" s="51" t="s">
        <v>422</v>
      </c>
      <c r="H3" s="51" t="s">
        <v>302</v>
      </c>
      <c r="I3" s="51" t="s">
        <v>423</v>
      </c>
      <c r="J3" s="20">
        <v>45328</v>
      </c>
      <c r="K3" s="51" t="s">
        <v>39</v>
      </c>
      <c r="L3" s="51" t="s">
        <v>44</v>
      </c>
      <c r="M3" s="51" t="s">
        <v>41</v>
      </c>
      <c r="N3" s="51" t="s">
        <v>42</v>
      </c>
      <c r="O3">
        <v>6907</v>
      </c>
      <c r="P3" s="20">
        <v>45350.44634008102</v>
      </c>
    </row>
    <row r="4" spans="1:16" x14ac:dyDescent="0.25">
      <c r="A4" s="51" t="s">
        <v>418</v>
      </c>
      <c r="B4" s="20">
        <v>45334</v>
      </c>
      <c r="C4" s="20">
        <v>45349</v>
      </c>
      <c r="D4">
        <v>0</v>
      </c>
      <c r="E4" s="51" t="s">
        <v>31</v>
      </c>
      <c r="F4" s="51" t="s">
        <v>412</v>
      </c>
      <c r="G4" s="51" t="s">
        <v>419</v>
      </c>
      <c r="H4" s="51" t="s">
        <v>53</v>
      </c>
      <c r="I4" s="51" t="s">
        <v>420</v>
      </c>
      <c r="J4" s="20">
        <v>45334</v>
      </c>
      <c r="K4" s="51" t="s">
        <v>34</v>
      </c>
      <c r="L4" s="51" t="s">
        <v>44</v>
      </c>
      <c r="M4" s="51" t="s">
        <v>84</v>
      </c>
      <c r="N4" s="51" t="s">
        <v>46</v>
      </c>
      <c r="O4">
        <v>4975</v>
      </c>
      <c r="P4" s="20">
        <v>45350.478439317129</v>
      </c>
    </row>
    <row r="5" spans="1:16" x14ac:dyDescent="0.25">
      <c r="A5" s="51" t="s">
        <v>425</v>
      </c>
      <c r="B5" s="20">
        <v>45334</v>
      </c>
      <c r="C5" s="20">
        <v>45349</v>
      </c>
      <c r="D5">
        <v>0</v>
      </c>
      <c r="E5" s="51" t="s">
        <v>31</v>
      </c>
      <c r="F5" s="51" t="s">
        <v>412</v>
      </c>
      <c r="G5" s="51" t="s">
        <v>419</v>
      </c>
      <c r="H5" s="51" t="s">
        <v>53</v>
      </c>
      <c r="I5" s="51" t="s">
        <v>420</v>
      </c>
      <c r="J5" s="20">
        <v>45334</v>
      </c>
      <c r="K5" s="51" t="s">
        <v>34</v>
      </c>
      <c r="L5" s="51" t="s">
        <v>44</v>
      </c>
      <c r="M5" s="51" t="s">
        <v>84</v>
      </c>
      <c r="N5" s="51" t="s">
        <v>46</v>
      </c>
      <c r="O5">
        <v>4975</v>
      </c>
      <c r="P5" s="20">
        <v>45350.478486423614</v>
      </c>
    </row>
    <row r="6" spans="1:16" x14ac:dyDescent="0.25">
      <c r="A6" s="51" t="s">
        <v>415</v>
      </c>
      <c r="B6" s="20">
        <v>45308</v>
      </c>
      <c r="C6" s="20">
        <v>45323</v>
      </c>
      <c r="D6">
        <v>0</v>
      </c>
      <c r="E6" s="51" t="s">
        <v>31</v>
      </c>
      <c r="F6" s="51" t="s">
        <v>412</v>
      </c>
      <c r="G6" s="51" t="s">
        <v>416</v>
      </c>
      <c r="H6" s="51" t="s">
        <v>204</v>
      </c>
      <c r="I6" s="51" t="s">
        <v>417</v>
      </c>
      <c r="J6" s="20">
        <v>45308</v>
      </c>
      <c r="K6" s="51" t="s">
        <v>34</v>
      </c>
      <c r="L6" s="51" t="s">
        <v>44</v>
      </c>
      <c r="M6" s="51" t="s">
        <v>58</v>
      </c>
      <c r="N6" s="51" t="s">
        <v>46</v>
      </c>
      <c r="O6">
        <v>5133</v>
      </c>
      <c r="P6" s="20">
        <v>45350.480711539349</v>
      </c>
    </row>
    <row r="7" spans="1:16" x14ac:dyDescent="0.25">
      <c r="A7" s="51" t="s">
        <v>426</v>
      </c>
      <c r="B7" s="20">
        <v>45308</v>
      </c>
      <c r="C7" s="20">
        <v>45323</v>
      </c>
      <c r="D7">
        <v>0</v>
      </c>
      <c r="E7" s="51" t="s">
        <v>31</v>
      </c>
      <c r="F7" s="51" t="s">
        <v>412</v>
      </c>
      <c r="G7" s="51" t="s">
        <v>416</v>
      </c>
      <c r="H7" s="51" t="s">
        <v>204</v>
      </c>
      <c r="I7" s="51" t="s">
        <v>417</v>
      </c>
      <c r="J7" s="20">
        <v>45308</v>
      </c>
      <c r="K7" s="51" t="s">
        <v>34</v>
      </c>
      <c r="L7" s="51" t="s">
        <v>44</v>
      </c>
      <c r="M7" s="51" t="s">
        <v>58</v>
      </c>
      <c r="N7" s="51" t="s">
        <v>46</v>
      </c>
      <c r="O7">
        <v>5133</v>
      </c>
      <c r="P7" s="20">
        <v>45350.481383993058</v>
      </c>
    </row>
    <row r="8" spans="1:16" x14ac:dyDescent="0.25">
      <c r="A8" s="51" t="s">
        <v>427</v>
      </c>
      <c r="B8" s="20">
        <v>45328</v>
      </c>
      <c r="C8" s="20">
        <v>45343</v>
      </c>
      <c r="D8">
        <v>500</v>
      </c>
      <c r="E8" s="51" t="s">
        <v>31</v>
      </c>
      <c r="F8" s="51" t="s">
        <v>412</v>
      </c>
      <c r="G8" s="51" t="s">
        <v>422</v>
      </c>
      <c r="H8" s="51" t="s">
        <v>302</v>
      </c>
      <c r="I8" s="51" t="s">
        <v>423</v>
      </c>
      <c r="J8" s="20">
        <v>45328</v>
      </c>
      <c r="K8" s="51" t="s">
        <v>39</v>
      </c>
      <c r="L8" s="51" t="s">
        <v>44</v>
      </c>
      <c r="M8" s="51" t="s">
        <v>41</v>
      </c>
      <c r="N8" s="51" t="s">
        <v>42</v>
      </c>
      <c r="O8">
        <v>6907</v>
      </c>
      <c r="P8" s="20">
        <v>45350.483999687502</v>
      </c>
    </row>
    <row r="9" spans="1:16" x14ac:dyDescent="0.25">
      <c r="A9" s="51" t="s">
        <v>428</v>
      </c>
      <c r="B9" s="20">
        <v>45328</v>
      </c>
      <c r="C9" s="20">
        <v>45343</v>
      </c>
      <c r="D9">
        <v>0</v>
      </c>
      <c r="E9" s="51" t="s">
        <v>31</v>
      </c>
      <c r="F9" s="51" t="s">
        <v>412</v>
      </c>
      <c r="G9" s="51"/>
      <c r="H9" s="51" t="s">
        <v>390</v>
      </c>
      <c r="I9" s="51" t="s">
        <v>429</v>
      </c>
      <c r="J9" s="20">
        <v>45327</v>
      </c>
      <c r="K9" s="51" t="s">
        <v>34</v>
      </c>
      <c r="L9" s="51" t="s">
        <v>49</v>
      </c>
      <c r="M9" s="51" t="s">
        <v>75</v>
      </c>
      <c r="N9" s="51" t="s">
        <v>46</v>
      </c>
      <c r="O9">
        <v>86580</v>
      </c>
      <c r="P9" s="20">
        <v>45351.58401875</v>
      </c>
    </row>
    <row r="10" spans="1:16" x14ac:dyDescent="0.25">
      <c r="A10" s="51" t="s">
        <v>430</v>
      </c>
      <c r="B10" s="20">
        <v>45328</v>
      </c>
      <c r="C10" s="20">
        <v>45343</v>
      </c>
      <c r="D10">
        <v>0</v>
      </c>
      <c r="E10" s="51" t="s">
        <v>31</v>
      </c>
      <c r="F10" s="51" t="s">
        <v>412</v>
      </c>
      <c r="G10" s="51"/>
      <c r="H10" s="51" t="s">
        <v>390</v>
      </c>
      <c r="I10" s="51" t="s">
        <v>429</v>
      </c>
      <c r="J10" s="20">
        <v>45327</v>
      </c>
      <c r="K10" s="51" t="s">
        <v>34</v>
      </c>
      <c r="L10" s="51" t="s">
        <v>49</v>
      </c>
      <c r="M10" s="51" t="s">
        <v>75</v>
      </c>
      <c r="N10" s="51" t="s">
        <v>46</v>
      </c>
      <c r="O10">
        <v>86580</v>
      </c>
      <c r="P10" s="20">
        <v>45351.584329826386</v>
      </c>
    </row>
    <row r="11" spans="1:16" x14ac:dyDescent="0.25">
      <c r="A11" s="51" t="s">
        <v>431</v>
      </c>
      <c r="B11" s="20">
        <v>45334</v>
      </c>
      <c r="C11" s="20">
        <v>45349</v>
      </c>
      <c r="D11">
        <v>0</v>
      </c>
      <c r="E11" s="51" t="s">
        <v>31</v>
      </c>
      <c r="F11" s="51" t="s">
        <v>412</v>
      </c>
      <c r="G11" s="51"/>
      <c r="H11" s="51" t="s">
        <v>395</v>
      </c>
      <c r="I11" s="51" t="s">
        <v>432</v>
      </c>
      <c r="J11" s="20">
        <v>45334</v>
      </c>
      <c r="K11" s="51" t="s">
        <v>34</v>
      </c>
      <c r="L11" s="51" t="s">
        <v>49</v>
      </c>
      <c r="M11" s="51" t="s">
        <v>75</v>
      </c>
      <c r="N11" s="51" t="s">
        <v>46</v>
      </c>
      <c r="O11">
        <v>86580</v>
      </c>
      <c r="P11" s="20">
        <v>45351.584644328701</v>
      </c>
    </row>
    <row r="12" spans="1:16" x14ac:dyDescent="0.25">
      <c r="A12" s="51" t="s">
        <v>433</v>
      </c>
      <c r="B12" s="20">
        <v>45334</v>
      </c>
      <c r="C12" s="20">
        <v>45349</v>
      </c>
      <c r="D12">
        <v>0</v>
      </c>
      <c r="E12" s="51" t="s">
        <v>31</v>
      </c>
      <c r="F12" s="51" t="s">
        <v>412</v>
      </c>
      <c r="G12" s="51"/>
      <c r="H12" s="51" t="s">
        <v>395</v>
      </c>
      <c r="I12" s="51" t="s">
        <v>432</v>
      </c>
      <c r="J12" s="20">
        <v>45334</v>
      </c>
      <c r="K12" s="51" t="s">
        <v>34</v>
      </c>
      <c r="L12" s="51" t="s">
        <v>49</v>
      </c>
      <c r="M12" s="51" t="s">
        <v>75</v>
      </c>
      <c r="N12" s="51" t="s">
        <v>46</v>
      </c>
      <c r="O12">
        <v>86580</v>
      </c>
      <c r="P12" s="20">
        <v>45351.602858564816</v>
      </c>
    </row>
    <row r="13" spans="1:16" x14ac:dyDescent="0.25">
      <c r="A13" s="51" t="s">
        <v>434</v>
      </c>
      <c r="B13" s="20">
        <v>44750</v>
      </c>
      <c r="C13" s="20">
        <v>44750</v>
      </c>
      <c r="D13">
        <v>0</v>
      </c>
      <c r="E13" s="51" t="s">
        <v>31</v>
      </c>
      <c r="F13" s="51" t="s">
        <v>412</v>
      </c>
      <c r="G13" s="51"/>
      <c r="H13" s="51"/>
      <c r="I13" s="51"/>
      <c r="J13" s="20"/>
      <c r="K13" s="51"/>
      <c r="L13" s="51"/>
      <c r="M13" s="51"/>
      <c r="N13" s="51"/>
      <c r="O13">
        <v>1728.01</v>
      </c>
      <c r="P13" s="20">
        <v>45351.603099687498</v>
      </c>
    </row>
    <row r="14" spans="1:16" x14ac:dyDescent="0.25">
      <c r="A14" s="51" t="s">
        <v>435</v>
      </c>
      <c r="B14" s="20">
        <v>45337</v>
      </c>
      <c r="C14" s="20">
        <v>45352</v>
      </c>
      <c r="D14">
        <v>1100</v>
      </c>
      <c r="E14" s="51" t="s">
        <v>413</v>
      </c>
      <c r="F14" s="51" t="s">
        <v>412</v>
      </c>
      <c r="G14" s="51"/>
      <c r="H14" s="51"/>
      <c r="I14" s="51" t="s">
        <v>414</v>
      </c>
      <c r="J14" s="20"/>
      <c r="K14" s="51" t="s">
        <v>48</v>
      </c>
      <c r="L14" s="51"/>
      <c r="M14" s="51"/>
      <c r="N14" s="51"/>
      <c r="O14">
        <v>0</v>
      </c>
      <c r="P14" s="20">
        <v>45351.617604976855</v>
      </c>
    </row>
    <row r="15" spans="1:16" x14ac:dyDescent="0.25">
      <c r="A15" s="51" t="s">
        <v>436</v>
      </c>
      <c r="B15" s="20">
        <v>45337</v>
      </c>
      <c r="C15" s="20">
        <v>45352</v>
      </c>
      <c r="D15">
        <v>1100</v>
      </c>
      <c r="E15" s="51" t="s">
        <v>413</v>
      </c>
      <c r="F15" s="51" t="s">
        <v>412</v>
      </c>
      <c r="G15" s="51"/>
      <c r="H15" s="51"/>
      <c r="I15" s="51" t="s">
        <v>414</v>
      </c>
      <c r="J15" s="20"/>
      <c r="K15" s="51" t="s">
        <v>48</v>
      </c>
      <c r="L15" s="51"/>
      <c r="M15" s="51"/>
      <c r="N15" s="51"/>
      <c r="O15">
        <v>0</v>
      </c>
      <c r="P15" s="20">
        <v>45351.61766585648</v>
      </c>
    </row>
    <row r="16" spans="1:16" x14ac:dyDescent="0.25">
      <c r="A16" s="51" t="s">
        <v>437</v>
      </c>
      <c r="B16" s="20">
        <v>45351</v>
      </c>
      <c r="C16" s="20">
        <v>45366</v>
      </c>
      <c r="D16">
        <v>86580</v>
      </c>
      <c r="E16" s="51" t="s">
        <v>31</v>
      </c>
      <c r="F16" s="51" t="s">
        <v>412</v>
      </c>
      <c r="G16" s="51"/>
      <c r="H16" s="51" t="s">
        <v>290</v>
      </c>
      <c r="I16" s="51" t="s">
        <v>438</v>
      </c>
      <c r="J16" s="20">
        <v>45351</v>
      </c>
      <c r="K16" s="51" t="s">
        <v>34</v>
      </c>
      <c r="L16" s="51" t="s">
        <v>49</v>
      </c>
      <c r="M16" s="51" t="s">
        <v>75</v>
      </c>
      <c r="N16" s="51" t="s">
        <v>46</v>
      </c>
      <c r="O16">
        <v>0</v>
      </c>
      <c r="P16" s="20">
        <v>45351.748991550929</v>
      </c>
    </row>
    <row r="17" spans="1:16" x14ac:dyDescent="0.25">
      <c r="A17" s="51" t="s">
        <v>439</v>
      </c>
      <c r="B17" s="20">
        <v>45352</v>
      </c>
      <c r="C17" s="20">
        <v>45367</v>
      </c>
      <c r="D17">
        <v>7791</v>
      </c>
      <c r="E17" s="51" t="s">
        <v>31</v>
      </c>
      <c r="F17" s="51" t="s">
        <v>412</v>
      </c>
      <c r="G17" s="51" t="s">
        <v>440</v>
      </c>
      <c r="H17" s="51" t="s">
        <v>80</v>
      </c>
      <c r="I17" s="51" t="s">
        <v>441</v>
      </c>
      <c r="J17" s="20">
        <v>45349</v>
      </c>
      <c r="K17" s="51" t="s">
        <v>148</v>
      </c>
      <c r="L17" s="51" t="s">
        <v>44</v>
      </c>
      <c r="M17" s="51" t="s">
        <v>149</v>
      </c>
      <c r="N17" s="51" t="s">
        <v>150</v>
      </c>
      <c r="O17">
        <v>0</v>
      </c>
      <c r="P17" s="20">
        <v>45352.745133761571</v>
      </c>
    </row>
    <row r="18" spans="1:16" x14ac:dyDescent="0.25">
      <c r="A18" s="51" t="s">
        <v>442</v>
      </c>
      <c r="B18" s="20">
        <v>45352</v>
      </c>
      <c r="C18" s="20">
        <v>45367</v>
      </c>
      <c r="D18">
        <v>7791</v>
      </c>
      <c r="E18" s="51" t="s">
        <v>31</v>
      </c>
      <c r="F18" s="51" t="s">
        <v>412</v>
      </c>
      <c r="G18" s="51" t="s">
        <v>443</v>
      </c>
      <c r="H18" s="51" t="s">
        <v>108</v>
      </c>
      <c r="I18" s="51" t="s">
        <v>444</v>
      </c>
      <c r="J18" s="20">
        <v>45349</v>
      </c>
      <c r="K18" s="51" t="s">
        <v>148</v>
      </c>
      <c r="L18" s="51" t="s">
        <v>44</v>
      </c>
      <c r="M18" s="51" t="s">
        <v>149</v>
      </c>
      <c r="N18" s="51" t="s">
        <v>150</v>
      </c>
      <c r="O18">
        <v>0</v>
      </c>
      <c r="P18" s="20">
        <v>45352.745157060184</v>
      </c>
    </row>
    <row r="19" spans="1:16" x14ac:dyDescent="0.25">
      <c r="A19" s="51" t="s">
        <v>445</v>
      </c>
      <c r="B19" s="20">
        <v>45352</v>
      </c>
      <c r="C19" s="20">
        <v>45367</v>
      </c>
      <c r="D19">
        <v>7791</v>
      </c>
      <c r="E19" s="51" t="s">
        <v>31</v>
      </c>
      <c r="F19" s="51" t="s">
        <v>412</v>
      </c>
      <c r="G19" s="51" t="s">
        <v>446</v>
      </c>
      <c r="H19" s="51" t="s">
        <v>135</v>
      </c>
      <c r="I19" s="51" t="s">
        <v>447</v>
      </c>
      <c r="J19" s="20">
        <v>45349</v>
      </c>
      <c r="K19" s="51" t="s">
        <v>148</v>
      </c>
      <c r="L19" s="51" t="s">
        <v>44</v>
      </c>
      <c r="M19" s="51" t="s">
        <v>149</v>
      </c>
      <c r="N19" s="51" t="s">
        <v>150</v>
      </c>
      <c r="O19">
        <v>0</v>
      </c>
      <c r="P19" s="20">
        <v>45352.745188425928</v>
      </c>
    </row>
    <row r="20" spans="1:16" x14ac:dyDescent="0.25">
      <c r="A20" s="51" t="s">
        <v>448</v>
      </c>
      <c r="B20" s="20">
        <v>45352</v>
      </c>
      <c r="C20" s="20">
        <v>45367</v>
      </c>
      <c r="D20">
        <v>7791</v>
      </c>
      <c r="E20" s="51" t="s">
        <v>31</v>
      </c>
      <c r="F20" s="51" t="s">
        <v>412</v>
      </c>
      <c r="G20" s="51" t="s">
        <v>449</v>
      </c>
      <c r="H20" s="51" t="s">
        <v>63</v>
      </c>
      <c r="I20" s="51" t="s">
        <v>450</v>
      </c>
      <c r="J20" s="20">
        <v>45343</v>
      </c>
      <c r="K20" s="51" t="s">
        <v>148</v>
      </c>
      <c r="L20" s="51" t="s">
        <v>44</v>
      </c>
      <c r="M20" s="51" t="s">
        <v>149</v>
      </c>
      <c r="N20" s="51" t="s">
        <v>150</v>
      </c>
      <c r="O20">
        <v>0</v>
      </c>
      <c r="P20" s="20">
        <v>45352.745204826388</v>
      </c>
    </row>
    <row r="21" spans="1:16" x14ac:dyDescent="0.25">
      <c r="A21" s="51" t="s">
        <v>451</v>
      </c>
      <c r="B21" s="20">
        <v>45352</v>
      </c>
      <c r="C21" s="20">
        <v>45367</v>
      </c>
      <c r="D21">
        <v>7791</v>
      </c>
      <c r="E21" s="51" t="s">
        <v>31</v>
      </c>
      <c r="F21" s="51" t="s">
        <v>412</v>
      </c>
      <c r="G21" s="51" t="s">
        <v>452</v>
      </c>
      <c r="H21" s="51" t="s">
        <v>193</v>
      </c>
      <c r="I21" s="51" t="s">
        <v>453</v>
      </c>
      <c r="J21" s="20">
        <v>45343</v>
      </c>
      <c r="K21" s="51" t="s">
        <v>148</v>
      </c>
      <c r="L21" s="51" t="s">
        <v>44</v>
      </c>
      <c r="M21" s="51" t="s">
        <v>149</v>
      </c>
      <c r="N21" s="51" t="s">
        <v>150</v>
      </c>
      <c r="O21">
        <v>0</v>
      </c>
      <c r="P21" s="20">
        <v>45352.745207094908</v>
      </c>
    </row>
    <row r="22" spans="1:16" x14ac:dyDescent="0.25">
      <c r="A22" s="51" t="s">
        <v>454</v>
      </c>
      <c r="B22" s="20">
        <v>45352</v>
      </c>
      <c r="C22" s="20">
        <v>45367</v>
      </c>
      <c r="D22">
        <v>7791</v>
      </c>
      <c r="E22" s="51" t="s">
        <v>31</v>
      </c>
      <c r="F22" s="51" t="s">
        <v>412</v>
      </c>
      <c r="G22" s="51" t="s">
        <v>455</v>
      </c>
      <c r="H22" s="51" t="s">
        <v>323</v>
      </c>
      <c r="I22" s="51" t="s">
        <v>456</v>
      </c>
      <c r="J22" s="20">
        <v>45349</v>
      </c>
      <c r="K22" s="51" t="s">
        <v>148</v>
      </c>
      <c r="L22" s="51" t="s">
        <v>44</v>
      </c>
      <c r="M22" s="51" t="s">
        <v>149</v>
      </c>
      <c r="N22" s="51" t="s">
        <v>150</v>
      </c>
      <c r="O22">
        <v>0</v>
      </c>
      <c r="P22" s="20">
        <v>45352.745228784719</v>
      </c>
    </row>
    <row r="23" spans="1:16" x14ac:dyDescent="0.25">
      <c r="A23" s="51" t="s">
        <v>457</v>
      </c>
      <c r="B23" s="20">
        <v>45352</v>
      </c>
      <c r="C23" s="20">
        <v>45367</v>
      </c>
      <c r="D23">
        <v>7791</v>
      </c>
      <c r="E23" s="51" t="s">
        <v>31</v>
      </c>
      <c r="F23" s="51" t="s">
        <v>412</v>
      </c>
      <c r="G23" s="51" t="s">
        <v>458</v>
      </c>
      <c r="H23" s="51" t="s">
        <v>98</v>
      </c>
      <c r="I23" s="51" t="s">
        <v>459</v>
      </c>
      <c r="J23" s="20">
        <v>45349</v>
      </c>
      <c r="K23" s="51" t="s">
        <v>148</v>
      </c>
      <c r="L23" s="51" t="s">
        <v>44</v>
      </c>
      <c r="M23" s="51" t="s">
        <v>149</v>
      </c>
      <c r="N23" s="51" t="s">
        <v>150</v>
      </c>
      <c r="O23">
        <v>0</v>
      </c>
      <c r="P23" s="20">
        <v>45352.74531165509</v>
      </c>
    </row>
    <row r="24" spans="1:16" x14ac:dyDescent="0.25">
      <c r="A24" s="51" t="s">
        <v>460</v>
      </c>
      <c r="B24" s="20">
        <v>45352</v>
      </c>
      <c r="C24" s="20">
        <v>45367</v>
      </c>
      <c r="D24">
        <v>7791</v>
      </c>
      <c r="E24" s="51" t="s">
        <v>31</v>
      </c>
      <c r="F24" s="51" t="s">
        <v>412</v>
      </c>
      <c r="G24" s="51" t="s">
        <v>461</v>
      </c>
      <c r="H24" s="51" t="s">
        <v>152</v>
      </c>
      <c r="I24" s="51" t="s">
        <v>462</v>
      </c>
      <c r="J24" s="20">
        <v>45344</v>
      </c>
      <c r="K24" s="51" t="s">
        <v>148</v>
      </c>
      <c r="L24" s="51" t="s">
        <v>44</v>
      </c>
      <c r="M24" s="51" t="s">
        <v>149</v>
      </c>
      <c r="N24" s="51" t="s">
        <v>150</v>
      </c>
      <c r="O24">
        <v>0</v>
      </c>
      <c r="P24" s="20">
        <v>45352.745318090281</v>
      </c>
    </row>
    <row r="25" spans="1:16" x14ac:dyDescent="0.25">
      <c r="A25" s="51" t="s">
        <v>463</v>
      </c>
      <c r="B25" s="20">
        <v>45352</v>
      </c>
      <c r="C25" s="20">
        <v>45367</v>
      </c>
      <c r="D25">
        <v>7791</v>
      </c>
      <c r="E25" s="51" t="s">
        <v>31</v>
      </c>
      <c r="F25" s="51" t="s">
        <v>412</v>
      </c>
      <c r="G25" s="51" t="s">
        <v>464</v>
      </c>
      <c r="H25" s="51" t="s">
        <v>129</v>
      </c>
      <c r="I25" s="51" t="s">
        <v>465</v>
      </c>
      <c r="J25" s="20">
        <v>45349</v>
      </c>
      <c r="K25" s="51" t="s">
        <v>148</v>
      </c>
      <c r="L25" s="51" t="s">
        <v>44</v>
      </c>
      <c r="M25" s="51" t="s">
        <v>149</v>
      </c>
      <c r="N25" s="51" t="s">
        <v>150</v>
      </c>
      <c r="O25">
        <v>0</v>
      </c>
      <c r="P25" s="20">
        <v>45352.746154664354</v>
      </c>
    </row>
    <row r="26" spans="1:16" x14ac:dyDescent="0.25">
      <c r="A26" s="51" t="s">
        <v>466</v>
      </c>
      <c r="B26" s="20">
        <v>45352</v>
      </c>
      <c r="C26" s="20">
        <v>45367</v>
      </c>
      <c r="D26">
        <v>5473</v>
      </c>
      <c r="E26" s="51" t="s">
        <v>31</v>
      </c>
      <c r="F26" s="51" t="s">
        <v>412</v>
      </c>
      <c r="G26" s="51" t="s">
        <v>467</v>
      </c>
      <c r="H26" s="51" t="s">
        <v>196</v>
      </c>
      <c r="I26" s="51" t="s">
        <v>468</v>
      </c>
      <c r="J26" s="20">
        <v>45352</v>
      </c>
      <c r="K26" s="51" t="s">
        <v>34</v>
      </c>
      <c r="L26" s="51" t="s">
        <v>44</v>
      </c>
      <c r="M26" s="51" t="s">
        <v>58</v>
      </c>
      <c r="N26" s="51" t="s">
        <v>46</v>
      </c>
      <c r="O26">
        <v>0</v>
      </c>
      <c r="P26" s="20">
        <v>45352.746185682867</v>
      </c>
    </row>
    <row r="27" spans="1:16" x14ac:dyDescent="0.25">
      <c r="A27" s="51" t="s">
        <v>469</v>
      </c>
      <c r="B27" s="20">
        <v>45352</v>
      </c>
      <c r="C27" s="20">
        <v>45367</v>
      </c>
      <c r="D27">
        <v>7791</v>
      </c>
      <c r="E27" s="51" t="s">
        <v>31</v>
      </c>
      <c r="F27" s="51" t="s">
        <v>412</v>
      </c>
      <c r="G27" s="51" t="s">
        <v>470</v>
      </c>
      <c r="H27" s="51" t="s">
        <v>117</v>
      </c>
      <c r="I27" s="51" t="s">
        <v>471</v>
      </c>
      <c r="J27" s="20">
        <v>45348</v>
      </c>
      <c r="K27" s="51" t="s">
        <v>148</v>
      </c>
      <c r="L27" s="51" t="s">
        <v>44</v>
      </c>
      <c r="M27" s="51" t="s">
        <v>149</v>
      </c>
      <c r="N27" s="51" t="s">
        <v>150</v>
      </c>
      <c r="O27">
        <v>0</v>
      </c>
      <c r="P27" s="20">
        <v>45352.746198842593</v>
      </c>
    </row>
    <row r="28" spans="1:16" x14ac:dyDescent="0.25">
      <c r="A28" s="51" t="s">
        <v>472</v>
      </c>
      <c r="B28" s="20">
        <v>45352</v>
      </c>
      <c r="C28" s="20">
        <v>45367</v>
      </c>
      <c r="D28">
        <v>7791</v>
      </c>
      <c r="E28" s="51" t="s">
        <v>31</v>
      </c>
      <c r="F28" s="51" t="s">
        <v>412</v>
      </c>
      <c r="G28" s="51" t="s">
        <v>473</v>
      </c>
      <c r="H28" s="51" t="s">
        <v>67</v>
      </c>
      <c r="I28" s="51" t="s">
        <v>474</v>
      </c>
      <c r="J28" s="20">
        <v>45348</v>
      </c>
      <c r="K28" s="51" t="s">
        <v>148</v>
      </c>
      <c r="L28" s="51" t="s">
        <v>44</v>
      </c>
      <c r="M28" s="51" t="s">
        <v>149</v>
      </c>
      <c r="N28" s="51" t="s">
        <v>150</v>
      </c>
      <c r="O28">
        <v>0</v>
      </c>
      <c r="P28" s="20">
        <v>45352.746204594907</v>
      </c>
    </row>
    <row r="29" spans="1:16" x14ac:dyDescent="0.25">
      <c r="A29" s="51" t="s">
        <v>475</v>
      </c>
      <c r="B29" s="20">
        <v>45352</v>
      </c>
      <c r="C29" s="20">
        <v>45367</v>
      </c>
      <c r="D29">
        <v>5473</v>
      </c>
      <c r="E29" s="51" t="s">
        <v>31</v>
      </c>
      <c r="F29" s="51" t="s">
        <v>412</v>
      </c>
      <c r="G29" s="51" t="s">
        <v>476</v>
      </c>
      <c r="H29" s="51" t="s">
        <v>221</v>
      </c>
      <c r="I29" s="51" t="s">
        <v>477</v>
      </c>
      <c r="J29" s="20">
        <v>45352</v>
      </c>
      <c r="K29" s="51" t="s">
        <v>34</v>
      </c>
      <c r="L29" s="51" t="s">
        <v>44</v>
      </c>
      <c r="M29" s="51" t="s">
        <v>58</v>
      </c>
      <c r="N29" s="51" t="s">
        <v>46</v>
      </c>
      <c r="O29">
        <v>0</v>
      </c>
      <c r="P29" s="20">
        <v>45352.746224270835</v>
      </c>
    </row>
    <row r="30" spans="1:16" x14ac:dyDescent="0.25">
      <c r="A30" s="51" t="s">
        <v>478</v>
      </c>
      <c r="B30" s="20">
        <v>45352</v>
      </c>
      <c r="C30" s="20">
        <v>45367</v>
      </c>
      <c r="D30">
        <v>7791</v>
      </c>
      <c r="E30" s="51" t="s">
        <v>31</v>
      </c>
      <c r="F30" s="51" t="s">
        <v>412</v>
      </c>
      <c r="G30" s="51" t="s">
        <v>479</v>
      </c>
      <c r="H30" s="51" t="s">
        <v>128</v>
      </c>
      <c r="I30" s="51" t="s">
        <v>480</v>
      </c>
      <c r="J30" s="20">
        <v>45348</v>
      </c>
      <c r="K30" s="51" t="s">
        <v>148</v>
      </c>
      <c r="L30" s="51" t="s">
        <v>44</v>
      </c>
      <c r="M30" s="51" t="s">
        <v>149</v>
      </c>
      <c r="N30" s="51" t="s">
        <v>150</v>
      </c>
      <c r="O30">
        <v>0</v>
      </c>
      <c r="P30" s="20">
        <v>45352.746231400466</v>
      </c>
    </row>
    <row r="31" spans="1:16" x14ac:dyDescent="0.25">
      <c r="A31" s="51" t="s">
        <v>481</v>
      </c>
      <c r="B31" s="20">
        <v>45352</v>
      </c>
      <c r="C31" s="20">
        <v>45367</v>
      </c>
      <c r="D31">
        <v>7759</v>
      </c>
      <c r="E31" s="51" t="s">
        <v>31</v>
      </c>
      <c r="F31" s="51" t="s">
        <v>412</v>
      </c>
      <c r="G31" s="51" t="s">
        <v>482</v>
      </c>
      <c r="H31" s="51" t="s">
        <v>181</v>
      </c>
      <c r="I31" s="51" t="s">
        <v>483</v>
      </c>
      <c r="J31" s="20">
        <v>45352</v>
      </c>
      <c r="K31" s="51" t="s">
        <v>148</v>
      </c>
      <c r="L31" s="51" t="s">
        <v>44</v>
      </c>
      <c r="M31" s="51" t="s">
        <v>149</v>
      </c>
      <c r="N31" s="51" t="s">
        <v>150</v>
      </c>
      <c r="O31">
        <v>0</v>
      </c>
      <c r="P31" s="20">
        <v>45352.746237928244</v>
      </c>
    </row>
    <row r="32" spans="1:16" x14ac:dyDescent="0.25">
      <c r="A32" s="51" t="s">
        <v>484</v>
      </c>
      <c r="B32" s="20">
        <v>45352</v>
      </c>
      <c r="C32" s="20">
        <v>45367</v>
      </c>
      <c r="D32">
        <v>7759</v>
      </c>
      <c r="E32" s="51" t="s">
        <v>31</v>
      </c>
      <c r="F32" s="51" t="s">
        <v>412</v>
      </c>
      <c r="G32" s="51" t="s">
        <v>485</v>
      </c>
      <c r="H32" s="51" t="s">
        <v>77</v>
      </c>
      <c r="I32" s="51" t="s">
        <v>486</v>
      </c>
      <c r="J32" s="20">
        <v>45352</v>
      </c>
      <c r="K32" s="51" t="s">
        <v>148</v>
      </c>
      <c r="L32" s="51" t="s">
        <v>44</v>
      </c>
      <c r="M32" s="51" t="s">
        <v>149</v>
      </c>
      <c r="N32" s="51" t="s">
        <v>150</v>
      </c>
      <c r="O32">
        <v>0</v>
      </c>
      <c r="P32" s="20">
        <v>45352.746247187497</v>
      </c>
    </row>
    <row r="33" spans="1:16" x14ac:dyDescent="0.25">
      <c r="A33" s="51" t="s">
        <v>487</v>
      </c>
      <c r="B33" s="20">
        <v>45352</v>
      </c>
      <c r="C33" s="20">
        <v>45367</v>
      </c>
      <c r="D33">
        <v>7759</v>
      </c>
      <c r="E33" s="51" t="s">
        <v>31</v>
      </c>
      <c r="F33" s="51" t="s">
        <v>412</v>
      </c>
      <c r="G33" s="51" t="s">
        <v>488</v>
      </c>
      <c r="H33" s="51" t="s">
        <v>274</v>
      </c>
      <c r="I33" s="51" t="s">
        <v>489</v>
      </c>
      <c r="J33" s="20">
        <v>45352</v>
      </c>
      <c r="K33" s="51" t="s">
        <v>148</v>
      </c>
      <c r="L33" s="51" t="s">
        <v>44</v>
      </c>
      <c r="M33" s="51" t="s">
        <v>149</v>
      </c>
      <c r="N33" s="51" t="s">
        <v>150</v>
      </c>
      <c r="O33">
        <v>0</v>
      </c>
      <c r="P33" s="20">
        <v>45352.746271099539</v>
      </c>
    </row>
    <row r="34" spans="1:16" x14ac:dyDescent="0.25">
      <c r="A34" s="51" t="s">
        <v>490</v>
      </c>
      <c r="B34" s="20">
        <v>45352</v>
      </c>
      <c r="C34" s="20">
        <v>45367</v>
      </c>
      <c r="D34">
        <v>7759</v>
      </c>
      <c r="E34" s="51" t="s">
        <v>31</v>
      </c>
      <c r="F34" s="51" t="s">
        <v>412</v>
      </c>
      <c r="G34" s="51" t="s">
        <v>491</v>
      </c>
      <c r="H34" s="51" t="s">
        <v>55</v>
      </c>
      <c r="I34" s="51" t="s">
        <v>492</v>
      </c>
      <c r="J34" s="20">
        <v>45352</v>
      </c>
      <c r="K34" s="51" t="s">
        <v>148</v>
      </c>
      <c r="L34" s="51" t="s">
        <v>44</v>
      </c>
      <c r="M34" s="51" t="s">
        <v>149</v>
      </c>
      <c r="N34" s="51" t="s">
        <v>150</v>
      </c>
      <c r="O34">
        <v>0</v>
      </c>
      <c r="P34" s="20">
        <v>45352.746313773147</v>
      </c>
    </row>
    <row r="35" spans="1:16" x14ac:dyDescent="0.25">
      <c r="A35" s="51" t="s">
        <v>493</v>
      </c>
      <c r="B35" s="20">
        <v>45352</v>
      </c>
      <c r="C35" s="20">
        <v>45367</v>
      </c>
      <c r="D35">
        <v>7759</v>
      </c>
      <c r="E35" s="51" t="s">
        <v>31</v>
      </c>
      <c r="F35" s="51" t="s">
        <v>412</v>
      </c>
      <c r="G35" s="51" t="s">
        <v>494</v>
      </c>
      <c r="H35" s="51" t="s">
        <v>176</v>
      </c>
      <c r="I35" s="51" t="s">
        <v>495</v>
      </c>
      <c r="J35" s="20">
        <v>45352</v>
      </c>
      <c r="K35" s="51" t="s">
        <v>148</v>
      </c>
      <c r="L35" s="51" t="s">
        <v>44</v>
      </c>
      <c r="M35" s="51" t="s">
        <v>149</v>
      </c>
      <c r="N35" s="51" t="s">
        <v>150</v>
      </c>
      <c r="O35">
        <v>0</v>
      </c>
      <c r="P35" s="20">
        <v>45352.746329317131</v>
      </c>
    </row>
    <row r="36" spans="1:16" x14ac:dyDescent="0.25">
      <c r="A36" s="51" t="s">
        <v>496</v>
      </c>
      <c r="B36" s="20">
        <v>45352</v>
      </c>
      <c r="C36" s="20">
        <v>45367</v>
      </c>
      <c r="D36">
        <v>7759</v>
      </c>
      <c r="E36" s="51" t="s">
        <v>31</v>
      </c>
      <c r="F36" s="51" t="s">
        <v>412</v>
      </c>
      <c r="G36" s="51" t="s">
        <v>497</v>
      </c>
      <c r="H36" s="51" t="s">
        <v>332</v>
      </c>
      <c r="I36" s="51" t="s">
        <v>498</v>
      </c>
      <c r="J36" s="20">
        <v>45352</v>
      </c>
      <c r="K36" s="51" t="s">
        <v>148</v>
      </c>
      <c r="L36" s="51" t="s">
        <v>44</v>
      </c>
      <c r="M36" s="51" t="s">
        <v>149</v>
      </c>
      <c r="N36" s="51" t="s">
        <v>150</v>
      </c>
      <c r="O36">
        <v>0</v>
      </c>
      <c r="P36" s="20">
        <v>45352.746348842593</v>
      </c>
    </row>
    <row r="37" spans="1:16" x14ac:dyDescent="0.25">
      <c r="A37" s="51" t="s">
        <v>499</v>
      </c>
      <c r="B37" s="20">
        <v>45352</v>
      </c>
      <c r="C37" s="20">
        <v>45367</v>
      </c>
      <c r="D37">
        <v>5473</v>
      </c>
      <c r="E37" s="51" t="s">
        <v>31</v>
      </c>
      <c r="F37" s="51" t="s">
        <v>412</v>
      </c>
      <c r="G37" s="51" t="s">
        <v>500</v>
      </c>
      <c r="H37" s="51" t="s">
        <v>271</v>
      </c>
      <c r="I37" s="51" t="s">
        <v>501</v>
      </c>
      <c r="J37" s="20">
        <v>45352</v>
      </c>
      <c r="K37" s="51" t="s">
        <v>34</v>
      </c>
      <c r="L37" s="51" t="s">
        <v>44</v>
      </c>
      <c r="M37" s="51" t="s">
        <v>58</v>
      </c>
      <c r="N37" s="51" t="s">
        <v>46</v>
      </c>
      <c r="O37">
        <v>0</v>
      </c>
      <c r="P37" s="20">
        <v>45352.746384953702</v>
      </c>
    </row>
    <row r="38" spans="1:16" x14ac:dyDescent="0.25">
      <c r="A38" s="51" t="s">
        <v>502</v>
      </c>
      <c r="B38" s="20">
        <v>45352</v>
      </c>
      <c r="C38" s="20">
        <v>45367</v>
      </c>
      <c r="D38">
        <v>5473</v>
      </c>
      <c r="E38" s="51" t="s">
        <v>31</v>
      </c>
      <c r="F38" s="51" t="s">
        <v>412</v>
      </c>
      <c r="G38" s="51" t="s">
        <v>503</v>
      </c>
      <c r="H38" s="51" t="s">
        <v>101</v>
      </c>
      <c r="I38" s="51" t="s">
        <v>504</v>
      </c>
      <c r="J38" s="20">
        <v>45352</v>
      </c>
      <c r="K38" s="51" t="s">
        <v>34</v>
      </c>
      <c r="L38" s="51" t="s">
        <v>44</v>
      </c>
      <c r="M38" s="51" t="s">
        <v>58</v>
      </c>
      <c r="N38" s="51" t="s">
        <v>46</v>
      </c>
      <c r="O38">
        <v>0</v>
      </c>
      <c r="P38" s="20">
        <v>45352.746414699075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21241-9DB7-4119-B79B-B34BE22EADD6}">
  <dimension ref="A1:X880"/>
  <sheetViews>
    <sheetView showGridLines="0" topLeftCell="I1" workbookViewId="0">
      <pane ySplit="5" topLeftCell="A6" activePane="bottomLeft" state="frozen"/>
      <selection pane="bottomLeft" activeCell="Q1" sqref="Q1:Q1048576"/>
    </sheetView>
  </sheetViews>
  <sheetFormatPr defaultRowHeight="15" x14ac:dyDescent="0.25"/>
  <cols>
    <col min="1" max="1" width="11.28515625" customWidth="1"/>
    <col min="2" max="2" width="13.7109375" customWidth="1"/>
    <col min="3" max="3" width="22.5703125" customWidth="1"/>
    <col min="4" max="4" width="20.85546875" bestFit="1" customWidth="1"/>
    <col min="5" max="5" width="13.28515625" bestFit="1" customWidth="1"/>
    <col min="6" max="6" width="21.42578125" customWidth="1"/>
    <col min="7" max="7" width="13.140625" style="7" customWidth="1"/>
    <col min="8" max="8" width="12" bestFit="1" customWidth="1"/>
    <col min="9" max="9" width="11.42578125" bestFit="1" customWidth="1"/>
    <col min="10" max="10" width="12.140625" bestFit="1" customWidth="1"/>
    <col min="11" max="11" width="12" bestFit="1" customWidth="1"/>
    <col min="12" max="12" width="13.42578125" bestFit="1" customWidth="1"/>
    <col min="13" max="13" width="17.85546875" customWidth="1"/>
    <col min="14" max="14" width="10.85546875" bestFit="1" customWidth="1"/>
    <col min="15" max="15" width="23.5703125" style="7" customWidth="1"/>
    <col min="16" max="16" width="15" customWidth="1"/>
    <col min="17" max="17" width="9.28515625" bestFit="1" customWidth="1"/>
    <col min="18" max="18" width="12.28515625" bestFit="1" customWidth="1"/>
    <col min="19" max="19" width="25" bestFit="1" customWidth="1"/>
    <col min="20" max="20" width="20.5703125" bestFit="1" customWidth="1"/>
    <col min="21" max="21" width="25.7109375" bestFit="1" customWidth="1"/>
    <col min="22" max="22" width="26.85546875" bestFit="1" customWidth="1"/>
    <col min="23" max="23" width="28" customWidth="1"/>
    <col min="24" max="24" width="14.28515625" customWidth="1"/>
    <col min="25" max="25" width="10.7109375" customWidth="1"/>
    <col min="26" max="26" width="15" customWidth="1"/>
    <col min="27" max="27" width="10.5703125" customWidth="1"/>
    <col min="28" max="29" width="14.28515625" customWidth="1"/>
    <col min="30" max="30" width="14" customWidth="1"/>
    <col min="31" max="31" width="14.28515625" customWidth="1"/>
    <col min="32" max="32" width="13.140625" customWidth="1"/>
    <col min="33" max="33" width="13.42578125" customWidth="1"/>
  </cols>
  <sheetData>
    <row r="1" spans="1:23" s="1" customFormat="1" x14ac:dyDescent="0.25">
      <c r="A1" s="1" t="s">
        <v>0</v>
      </c>
      <c r="C1" s="1" t="s">
        <v>1</v>
      </c>
      <c r="P1" s="3"/>
    </row>
    <row r="2" spans="1:23" s="1" customFormat="1" x14ac:dyDescent="0.25">
      <c r="A2" s="1">
        <v>1</v>
      </c>
      <c r="B2" s="1" t="s">
        <v>2</v>
      </c>
      <c r="C2" s="1" t="s">
        <v>3</v>
      </c>
      <c r="P2" s="3"/>
    </row>
    <row r="3" spans="1:23" s="1" customFormat="1" x14ac:dyDescent="0.25">
      <c r="A3" s="1">
        <v>2</v>
      </c>
      <c r="B3" s="1" t="s">
        <v>4</v>
      </c>
      <c r="C3" s="1" t="s">
        <v>5</v>
      </c>
      <c r="P3" s="3"/>
    </row>
    <row r="4" spans="1:23" s="1" customFormat="1" x14ac:dyDescent="0.25">
      <c r="A4" s="1">
        <v>3</v>
      </c>
      <c r="B4" s="1" t="s">
        <v>6</v>
      </c>
      <c r="C4" s="2"/>
      <c r="P4" s="3"/>
    </row>
    <row r="5" spans="1:23" s="11" customFormat="1" x14ac:dyDescent="0.25">
      <c r="A5" s="11" t="s">
        <v>7</v>
      </c>
      <c r="B5" s="11" t="s">
        <v>8</v>
      </c>
      <c r="C5" s="11" t="s">
        <v>9</v>
      </c>
      <c r="D5" s="11" t="s">
        <v>10</v>
      </c>
      <c r="E5" s="12" t="s">
        <v>11</v>
      </c>
      <c r="F5" s="11" t="s">
        <v>12</v>
      </c>
      <c r="G5" s="11" t="s">
        <v>13</v>
      </c>
      <c r="H5" s="11" t="s">
        <v>14</v>
      </c>
      <c r="I5" s="13" t="s">
        <v>15</v>
      </c>
      <c r="J5" s="13" t="s">
        <v>16</v>
      </c>
      <c r="K5" s="12" t="s">
        <v>17</v>
      </c>
      <c r="L5" s="11" t="s">
        <v>18</v>
      </c>
      <c r="M5" s="11" t="s">
        <v>19</v>
      </c>
      <c r="N5" s="11" t="s">
        <v>20</v>
      </c>
      <c r="O5" s="11" t="s">
        <v>21</v>
      </c>
      <c r="P5" s="13" t="s">
        <v>22</v>
      </c>
      <c r="Q5" s="11" t="s">
        <v>23</v>
      </c>
      <c r="R5" s="11" t="s">
        <v>24</v>
      </c>
      <c r="S5" s="11" t="s">
        <v>25</v>
      </c>
      <c r="T5" s="11" t="s">
        <v>26</v>
      </c>
      <c r="U5" s="11" t="s">
        <v>27</v>
      </c>
      <c r="V5" s="11" t="s">
        <v>28</v>
      </c>
      <c r="W5" s="11" t="s">
        <v>29</v>
      </c>
    </row>
    <row r="6" spans="1:23" x14ac:dyDescent="0.25">
      <c r="A6" s="4">
        <v>3</v>
      </c>
      <c r="B6" s="4"/>
      <c r="C6" s="4">
        <v>876264</v>
      </c>
      <c r="D6" s="4">
        <v>6240.24</v>
      </c>
      <c r="E6" s="5">
        <f t="shared" ref="E6:E69" si="0">J6-D6</f>
        <v>-0.23999999999978172</v>
      </c>
      <c r="F6" s="6" t="s">
        <v>30</v>
      </c>
      <c r="G6" s="10">
        <v>328564443</v>
      </c>
      <c r="H6" s="9">
        <v>45180</v>
      </c>
      <c r="I6" s="9">
        <v>45195</v>
      </c>
      <c r="J6" s="8">
        <v>6240</v>
      </c>
      <c r="K6" s="8" t="s">
        <v>31</v>
      </c>
      <c r="L6" s="8" t="s">
        <v>32</v>
      </c>
      <c r="M6" s="8"/>
      <c r="N6" s="8" t="b">
        <v>1</v>
      </c>
      <c r="O6" s="10">
        <v>20875</v>
      </c>
      <c r="P6" s="8" t="s">
        <v>33</v>
      </c>
      <c r="Q6" s="8">
        <v>377014</v>
      </c>
      <c r="R6" s="9">
        <v>45179</v>
      </c>
      <c r="S6" s="8" t="s">
        <v>34</v>
      </c>
      <c r="T6" s="8" t="s">
        <v>35</v>
      </c>
      <c r="U6" s="8" t="s">
        <v>36</v>
      </c>
      <c r="V6" s="8" t="s">
        <v>37</v>
      </c>
      <c r="W6" s="8">
        <v>0</v>
      </c>
    </row>
    <row r="7" spans="1:23" x14ac:dyDescent="0.25">
      <c r="A7" s="4">
        <v>3</v>
      </c>
      <c r="B7" s="4"/>
      <c r="C7" s="4">
        <v>876819</v>
      </c>
      <c r="D7" s="4">
        <v>6911.84</v>
      </c>
      <c r="E7" s="5">
        <f t="shared" si="0"/>
        <v>-0.84000000000014552</v>
      </c>
      <c r="F7" s="6" t="s">
        <v>30</v>
      </c>
      <c r="G7" s="10">
        <v>328750804</v>
      </c>
      <c r="H7" s="9">
        <v>45189</v>
      </c>
      <c r="I7" s="9">
        <v>45204</v>
      </c>
      <c r="J7" s="8">
        <v>6911</v>
      </c>
      <c r="K7" s="8" t="s">
        <v>31</v>
      </c>
      <c r="L7" s="8" t="s">
        <v>32</v>
      </c>
      <c r="M7" s="8"/>
      <c r="N7" s="8" t="b">
        <v>0</v>
      </c>
      <c r="O7" s="10">
        <v>20894</v>
      </c>
      <c r="P7" s="8" t="s">
        <v>38</v>
      </c>
      <c r="Q7" s="8">
        <v>515097</v>
      </c>
      <c r="R7" s="9">
        <v>45189</v>
      </c>
      <c r="S7" s="8" t="s">
        <v>39</v>
      </c>
      <c r="T7" s="8" t="s">
        <v>40</v>
      </c>
      <c r="U7" s="8" t="s">
        <v>41</v>
      </c>
      <c r="V7" s="8" t="s">
        <v>42</v>
      </c>
      <c r="W7" s="8">
        <v>0</v>
      </c>
    </row>
    <row r="8" spans="1:23" x14ac:dyDescent="0.25">
      <c r="A8" s="4">
        <v>3</v>
      </c>
      <c r="B8" s="4"/>
      <c r="C8" s="4">
        <v>876827</v>
      </c>
      <c r="D8" s="4">
        <v>5085.3599999999997</v>
      </c>
      <c r="E8" s="5">
        <f t="shared" si="0"/>
        <v>-0.35999999999967258</v>
      </c>
      <c r="F8" s="6" t="s">
        <v>30</v>
      </c>
      <c r="G8" s="10">
        <v>328751479</v>
      </c>
      <c r="H8" s="9">
        <v>45189</v>
      </c>
      <c r="I8" s="9">
        <v>45204</v>
      </c>
      <c r="J8" s="8">
        <v>5085</v>
      </c>
      <c r="K8" s="8" t="s">
        <v>31</v>
      </c>
      <c r="L8" s="8" t="s">
        <v>32</v>
      </c>
      <c r="M8" s="8"/>
      <c r="N8" s="8" t="b">
        <v>0</v>
      </c>
      <c r="O8" s="10">
        <v>699214</v>
      </c>
      <c r="P8" s="8" t="s">
        <v>43</v>
      </c>
      <c r="Q8" s="8">
        <v>515340</v>
      </c>
      <c r="R8" s="9">
        <v>45189</v>
      </c>
      <c r="S8" s="8" t="s">
        <v>34</v>
      </c>
      <c r="T8" s="8" t="s">
        <v>44</v>
      </c>
      <c r="U8" s="8" t="s">
        <v>45</v>
      </c>
      <c r="V8" s="8" t="s">
        <v>46</v>
      </c>
      <c r="W8" s="8">
        <v>0</v>
      </c>
    </row>
    <row r="9" spans="1:23" x14ac:dyDescent="0.25">
      <c r="A9" s="4">
        <v>3</v>
      </c>
      <c r="B9" s="4"/>
      <c r="C9" s="4">
        <v>876926</v>
      </c>
      <c r="D9" s="4">
        <v>43349.32</v>
      </c>
      <c r="E9" s="5">
        <f t="shared" si="0"/>
        <v>1.680000000000291</v>
      </c>
      <c r="F9" s="6" t="s">
        <v>30</v>
      </c>
      <c r="G9" s="10">
        <v>328768174</v>
      </c>
      <c r="H9" s="9">
        <v>45190</v>
      </c>
      <c r="I9" s="9">
        <v>45205</v>
      </c>
      <c r="J9" s="8">
        <v>43351</v>
      </c>
      <c r="K9" s="8" t="s">
        <v>31</v>
      </c>
      <c r="L9" s="8" t="s">
        <v>32</v>
      </c>
      <c r="M9" s="8"/>
      <c r="N9" s="8" t="b">
        <v>0</v>
      </c>
      <c r="O9" s="10"/>
      <c r="P9" s="8" t="s">
        <v>47</v>
      </c>
      <c r="Q9" s="8">
        <v>526759</v>
      </c>
      <c r="R9" s="9">
        <v>45190</v>
      </c>
      <c r="S9" s="8" t="s">
        <v>48</v>
      </c>
      <c r="T9" s="8" t="s">
        <v>49</v>
      </c>
      <c r="U9" s="8" t="s">
        <v>50</v>
      </c>
      <c r="V9" s="8" t="s">
        <v>37</v>
      </c>
      <c r="W9" s="8">
        <v>0</v>
      </c>
    </row>
    <row r="10" spans="1:23" x14ac:dyDescent="0.25">
      <c r="A10" s="4">
        <v>3</v>
      </c>
      <c r="B10" s="4"/>
      <c r="C10" s="4">
        <v>876927</v>
      </c>
      <c r="D10" s="4">
        <v>6911.84</v>
      </c>
      <c r="E10" s="5">
        <f t="shared" si="0"/>
        <v>-0.84000000000014552</v>
      </c>
      <c r="F10" s="6" t="s">
        <v>30</v>
      </c>
      <c r="G10" s="10">
        <v>328776144</v>
      </c>
      <c r="H10" s="9">
        <v>45190</v>
      </c>
      <c r="I10" s="9">
        <v>45205</v>
      </c>
      <c r="J10" s="8">
        <v>6911</v>
      </c>
      <c r="K10" s="8" t="s">
        <v>31</v>
      </c>
      <c r="L10" s="8" t="s">
        <v>32</v>
      </c>
      <c r="M10" s="8"/>
      <c r="N10" s="8" t="b">
        <v>0</v>
      </c>
      <c r="O10" s="10">
        <v>20895</v>
      </c>
      <c r="P10" s="8" t="s">
        <v>51</v>
      </c>
      <c r="Q10" s="8">
        <v>535013</v>
      </c>
      <c r="R10" s="9">
        <v>45190</v>
      </c>
      <c r="S10" s="8" t="s">
        <v>39</v>
      </c>
      <c r="T10" s="8" t="s">
        <v>40</v>
      </c>
      <c r="U10" s="8" t="s">
        <v>41</v>
      </c>
      <c r="V10" s="8" t="s">
        <v>42</v>
      </c>
      <c r="W10" s="8">
        <v>0</v>
      </c>
    </row>
    <row r="11" spans="1:23" x14ac:dyDescent="0.25">
      <c r="A11" s="4">
        <v>3</v>
      </c>
      <c r="B11" s="4"/>
      <c r="C11" s="4">
        <v>876925</v>
      </c>
      <c r="D11" s="4">
        <v>6272.28</v>
      </c>
      <c r="E11" s="5">
        <f t="shared" si="0"/>
        <v>-0.27999999999974534</v>
      </c>
      <c r="F11" s="6" t="s">
        <v>30</v>
      </c>
      <c r="G11" s="10">
        <v>328776209</v>
      </c>
      <c r="H11" s="9">
        <v>45190</v>
      </c>
      <c r="I11" s="9">
        <v>45205</v>
      </c>
      <c r="J11" s="8">
        <v>6272</v>
      </c>
      <c r="K11" s="8" t="s">
        <v>31</v>
      </c>
      <c r="L11" s="8" t="s">
        <v>32</v>
      </c>
      <c r="M11" s="8"/>
      <c r="N11" s="8" t="b">
        <v>0</v>
      </c>
      <c r="O11" s="10">
        <v>700174</v>
      </c>
      <c r="P11" s="8" t="s">
        <v>52</v>
      </c>
      <c r="Q11" s="8">
        <v>535067</v>
      </c>
      <c r="R11" s="9">
        <v>45190</v>
      </c>
      <c r="S11" s="8" t="s">
        <v>48</v>
      </c>
      <c r="T11" s="8" t="s">
        <v>40</v>
      </c>
      <c r="U11" s="8" t="s">
        <v>50</v>
      </c>
      <c r="V11" s="8" t="s">
        <v>37</v>
      </c>
      <c r="W11" s="8">
        <v>0</v>
      </c>
    </row>
    <row r="12" spans="1:23" x14ac:dyDescent="0.25">
      <c r="A12" s="4">
        <v>3</v>
      </c>
      <c r="B12" s="4"/>
      <c r="C12" s="4">
        <v>876928</v>
      </c>
      <c r="D12" s="4">
        <v>6911.84</v>
      </c>
      <c r="E12" s="5">
        <f t="shared" si="0"/>
        <v>-0.84000000000014552</v>
      </c>
      <c r="F12" s="6" t="s">
        <v>30</v>
      </c>
      <c r="G12" s="10">
        <v>328776243</v>
      </c>
      <c r="H12" s="9">
        <v>45190</v>
      </c>
      <c r="I12" s="9">
        <v>45205</v>
      </c>
      <c r="J12" s="8">
        <v>6911</v>
      </c>
      <c r="K12" s="8" t="s">
        <v>31</v>
      </c>
      <c r="L12" s="8" t="s">
        <v>32</v>
      </c>
      <c r="M12" s="8"/>
      <c r="N12" s="8" t="b">
        <v>0</v>
      </c>
      <c r="O12" s="10">
        <v>20896</v>
      </c>
      <c r="P12" s="8" t="s">
        <v>53</v>
      </c>
      <c r="Q12" s="8">
        <v>535018</v>
      </c>
      <c r="R12" s="9">
        <v>45190</v>
      </c>
      <c r="S12" s="8" t="s">
        <v>39</v>
      </c>
      <c r="T12" s="8" t="s">
        <v>40</v>
      </c>
      <c r="U12" s="8" t="s">
        <v>41</v>
      </c>
      <c r="V12" s="8" t="s">
        <v>42</v>
      </c>
      <c r="W12" s="8">
        <v>0</v>
      </c>
    </row>
    <row r="13" spans="1:23" x14ac:dyDescent="0.25">
      <c r="A13" s="4">
        <v>3</v>
      </c>
      <c r="B13" s="4"/>
      <c r="C13" s="4">
        <v>877211</v>
      </c>
      <c r="D13" s="4">
        <v>5085.3599999999997</v>
      </c>
      <c r="E13" s="5">
        <f t="shared" si="0"/>
        <v>-0.35999999999967258</v>
      </c>
      <c r="F13" s="6" t="s">
        <v>30</v>
      </c>
      <c r="G13" s="10">
        <v>328789388</v>
      </c>
      <c r="H13" s="9">
        <v>45191</v>
      </c>
      <c r="I13" s="9">
        <v>45206</v>
      </c>
      <c r="J13" s="8">
        <v>5085</v>
      </c>
      <c r="K13" s="8" t="s">
        <v>31</v>
      </c>
      <c r="L13" s="8" t="s">
        <v>32</v>
      </c>
      <c r="M13" s="8"/>
      <c r="N13" s="8" t="b">
        <v>0</v>
      </c>
      <c r="O13" s="10">
        <v>699218</v>
      </c>
      <c r="P13" s="8" t="s">
        <v>54</v>
      </c>
      <c r="Q13" s="8">
        <v>544535</v>
      </c>
      <c r="R13" s="9">
        <v>45191</v>
      </c>
      <c r="S13" s="8" t="s">
        <v>34</v>
      </c>
      <c r="T13" s="8" t="s">
        <v>44</v>
      </c>
      <c r="U13" s="8" t="s">
        <v>45</v>
      </c>
      <c r="V13" s="8" t="s">
        <v>46</v>
      </c>
      <c r="W13" s="8">
        <v>0</v>
      </c>
    </row>
    <row r="14" spans="1:23" x14ac:dyDescent="0.25">
      <c r="A14" s="4">
        <v>3</v>
      </c>
      <c r="B14" s="4"/>
      <c r="C14" s="4">
        <v>877216</v>
      </c>
      <c r="D14" s="4">
        <v>6272.28</v>
      </c>
      <c r="E14" s="5">
        <f t="shared" si="0"/>
        <v>-0.27999999999974534</v>
      </c>
      <c r="F14" s="6" t="s">
        <v>30</v>
      </c>
      <c r="G14" s="10">
        <v>328792783</v>
      </c>
      <c r="H14" s="9">
        <v>45191</v>
      </c>
      <c r="I14" s="9">
        <v>45206</v>
      </c>
      <c r="J14" s="8">
        <v>6272</v>
      </c>
      <c r="K14" s="8" t="s">
        <v>31</v>
      </c>
      <c r="L14" s="8" t="s">
        <v>32</v>
      </c>
      <c r="M14" s="8"/>
      <c r="N14" s="8" t="b">
        <v>0</v>
      </c>
      <c r="O14" s="10">
        <v>700175</v>
      </c>
      <c r="P14" s="8" t="s">
        <v>55</v>
      </c>
      <c r="Q14" s="8">
        <v>548514</v>
      </c>
      <c r="R14" s="9">
        <v>45191</v>
      </c>
      <c r="S14" s="8" t="s">
        <v>48</v>
      </c>
      <c r="T14" s="8" t="s">
        <v>40</v>
      </c>
      <c r="U14" s="8" t="s">
        <v>50</v>
      </c>
      <c r="V14" s="8" t="s">
        <v>37</v>
      </c>
      <c r="W14" s="8">
        <v>0</v>
      </c>
    </row>
    <row r="15" spans="1:23" x14ac:dyDescent="0.25">
      <c r="A15" s="4">
        <v>3</v>
      </c>
      <c r="B15" s="4"/>
      <c r="C15" s="4">
        <v>877215</v>
      </c>
      <c r="D15" s="4">
        <v>5106.6000000000004</v>
      </c>
      <c r="E15" s="5">
        <f t="shared" si="0"/>
        <v>0.3999999999996362</v>
      </c>
      <c r="F15" s="6" t="s">
        <v>30</v>
      </c>
      <c r="G15" s="10">
        <v>328792797</v>
      </c>
      <c r="H15" s="9">
        <v>45191</v>
      </c>
      <c r="I15" s="9">
        <v>45206</v>
      </c>
      <c r="J15" s="8">
        <v>5107</v>
      </c>
      <c r="K15" s="8" t="s">
        <v>31</v>
      </c>
      <c r="L15" s="8" t="s">
        <v>32</v>
      </c>
      <c r="M15" s="8"/>
      <c r="N15" s="8" t="b">
        <v>0</v>
      </c>
      <c r="O15" s="10">
        <v>700677</v>
      </c>
      <c r="P15" s="8" t="s">
        <v>56</v>
      </c>
      <c r="Q15" s="8">
        <v>548553</v>
      </c>
      <c r="R15" s="9">
        <v>45191</v>
      </c>
      <c r="S15" s="8" t="s">
        <v>48</v>
      </c>
      <c r="T15" s="8" t="s">
        <v>40</v>
      </c>
      <c r="U15" s="8" t="s">
        <v>45</v>
      </c>
      <c r="V15" s="8" t="s">
        <v>46</v>
      </c>
      <c r="W15" s="8">
        <v>0</v>
      </c>
    </row>
    <row r="16" spans="1:23" x14ac:dyDescent="0.25">
      <c r="A16" s="4">
        <v>3</v>
      </c>
      <c r="B16" s="4"/>
      <c r="C16" s="4">
        <v>877213</v>
      </c>
      <c r="D16" s="4">
        <v>5105.16</v>
      </c>
      <c r="E16" s="5">
        <f t="shared" si="0"/>
        <v>-0.15999999999985448</v>
      </c>
      <c r="F16" s="6" t="s">
        <v>30</v>
      </c>
      <c r="G16" s="10">
        <v>328792851</v>
      </c>
      <c r="H16" s="9">
        <v>45191</v>
      </c>
      <c r="I16" s="9">
        <v>45206</v>
      </c>
      <c r="J16" s="8">
        <v>5105</v>
      </c>
      <c r="K16" s="8" t="s">
        <v>31</v>
      </c>
      <c r="L16" s="8" t="s">
        <v>32</v>
      </c>
      <c r="M16" s="8"/>
      <c r="N16" s="8" t="b">
        <v>0</v>
      </c>
      <c r="O16" s="10">
        <v>700683</v>
      </c>
      <c r="P16" s="8" t="s">
        <v>57</v>
      </c>
      <c r="Q16" s="8">
        <v>548561</v>
      </c>
      <c r="R16" s="9">
        <v>45191</v>
      </c>
      <c r="S16" s="8" t="s">
        <v>34</v>
      </c>
      <c r="T16" s="8" t="s">
        <v>40</v>
      </c>
      <c r="U16" s="8" t="s">
        <v>58</v>
      </c>
      <c r="V16" s="8" t="s">
        <v>46</v>
      </c>
      <c r="W16" s="8">
        <v>0</v>
      </c>
    </row>
    <row r="17" spans="1:23" x14ac:dyDescent="0.25">
      <c r="A17" s="4">
        <v>3</v>
      </c>
      <c r="B17" s="4"/>
      <c r="C17" s="4">
        <v>877212</v>
      </c>
      <c r="D17" s="4">
        <v>5105.16</v>
      </c>
      <c r="E17" s="5">
        <f t="shared" si="0"/>
        <v>-0.15999999999985448</v>
      </c>
      <c r="F17" s="6" t="s">
        <v>30</v>
      </c>
      <c r="G17" s="10">
        <v>328795302</v>
      </c>
      <c r="H17" s="9">
        <v>45191</v>
      </c>
      <c r="I17" s="9">
        <v>45206</v>
      </c>
      <c r="J17" s="8">
        <v>5105</v>
      </c>
      <c r="K17" s="8" t="s">
        <v>31</v>
      </c>
      <c r="L17" s="8" t="s">
        <v>32</v>
      </c>
      <c r="M17" s="8"/>
      <c r="N17" s="8" t="b">
        <v>0</v>
      </c>
      <c r="O17" s="10">
        <v>700684</v>
      </c>
      <c r="P17" s="8" t="s">
        <v>59</v>
      </c>
      <c r="Q17" s="8">
        <v>550993</v>
      </c>
      <c r="R17" s="9">
        <v>45191</v>
      </c>
      <c r="S17" s="8" t="s">
        <v>34</v>
      </c>
      <c r="T17" s="8" t="s">
        <v>40</v>
      </c>
      <c r="U17" s="8" t="s">
        <v>58</v>
      </c>
      <c r="V17" s="8" t="s">
        <v>46</v>
      </c>
      <c r="W17" s="8">
        <v>0</v>
      </c>
    </row>
    <row r="18" spans="1:23" x14ac:dyDescent="0.25">
      <c r="A18" s="4">
        <v>3</v>
      </c>
      <c r="B18" s="4"/>
      <c r="C18" s="4">
        <v>877218</v>
      </c>
      <c r="D18" s="4">
        <v>5105.16</v>
      </c>
      <c r="E18" s="5">
        <f t="shared" si="0"/>
        <v>-0.15999999999985448</v>
      </c>
      <c r="F18" s="6" t="s">
        <v>30</v>
      </c>
      <c r="G18" s="10">
        <v>328795331</v>
      </c>
      <c r="H18" s="9">
        <v>45191</v>
      </c>
      <c r="I18" s="9">
        <v>45206</v>
      </c>
      <c r="J18" s="8">
        <v>5105</v>
      </c>
      <c r="K18" s="8" t="s">
        <v>31</v>
      </c>
      <c r="L18" s="8" t="s">
        <v>32</v>
      </c>
      <c r="M18" s="8"/>
      <c r="N18" s="8" t="b">
        <v>0</v>
      </c>
      <c r="O18" s="10">
        <v>700685</v>
      </c>
      <c r="P18" s="8" t="s">
        <v>60</v>
      </c>
      <c r="Q18" s="8">
        <v>551006</v>
      </c>
      <c r="R18" s="9">
        <v>45191</v>
      </c>
      <c r="S18" s="8" t="s">
        <v>34</v>
      </c>
      <c r="T18" s="8" t="s">
        <v>40</v>
      </c>
      <c r="U18" s="8" t="s">
        <v>58</v>
      </c>
      <c r="V18" s="8" t="s">
        <v>46</v>
      </c>
      <c r="W18" s="8">
        <v>0</v>
      </c>
    </row>
    <row r="19" spans="1:23" x14ac:dyDescent="0.25">
      <c r="A19" s="4">
        <v>3</v>
      </c>
      <c r="B19" s="4"/>
      <c r="C19" s="4">
        <v>877214</v>
      </c>
      <c r="D19" s="4">
        <v>5105.16</v>
      </c>
      <c r="E19" s="5">
        <f t="shared" si="0"/>
        <v>-0.15999999999985448</v>
      </c>
      <c r="F19" s="6" t="s">
        <v>30</v>
      </c>
      <c r="G19" s="10">
        <v>328798492</v>
      </c>
      <c r="H19" s="9">
        <v>45191</v>
      </c>
      <c r="I19" s="9">
        <v>45206</v>
      </c>
      <c r="J19" s="8">
        <v>5105</v>
      </c>
      <c r="K19" s="8" t="s">
        <v>31</v>
      </c>
      <c r="L19" s="8" t="s">
        <v>32</v>
      </c>
      <c r="M19" s="8"/>
      <c r="N19" s="8" t="b">
        <v>0</v>
      </c>
      <c r="O19" s="10">
        <v>700686</v>
      </c>
      <c r="P19" s="8" t="s">
        <v>61</v>
      </c>
      <c r="Q19" s="8">
        <v>554292</v>
      </c>
      <c r="R19" s="9">
        <v>45191</v>
      </c>
      <c r="S19" s="8" t="s">
        <v>34</v>
      </c>
      <c r="T19" s="8" t="s">
        <v>40</v>
      </c>
      <c r="U19" s="8" t="s">
        <v>58</v>
      </c>
      <c r="V19" s="8" t="s">
        <v>46</v>
      </c>
      <c r="W19" s="8">
        <v>0</v>
      </c>
    </row>
    <row r="20" spans="1:23" x14ac:dyDescent="0.25">
      <c r="A20" s="4">
        <v>3</v>
      </c>
      <c r="B20" s="4"/>
      <c r="C20" s="4">
        <v>878056</v>
      </c>
      <c r="D20" s="4">
        <v>5085.3599999999997</v>
      </c>
      <c r="E20" s="5">
        <f t="shared" si="0"/>
        <v>-0.35999999999967258</v>
      </c>
      <c r="F20" s="6" t="s">
        <v>30</v>
      </c>
      <c r="G20" s="10">
        <v>328820988</v>
      </c>
      <c r="H20" s="9">
        <v>45194</v>
      </c>
      <c r="I20" s="9">
        <v>45209</v>
      </c>
      <c r="J20" s="8">
        <v>5085</v>
      </c>
      <c r="K20" s="8" t="s">
        <v>31</v>
      </c>
      <c r="L20" s="8" t="s">
        <v>32</v>
      </c>
      <c r="M20" s="8"/>
      <c r="N20" s="8" t="b">
        <v>0</v>
      </c>
      <c r="O20" s="10">
        <v>699216</v>
      </c>
      <c r="P20" s="8" t="s">
        <v>62</v>
      </c>
      <c r="Q20" s="8">
        <v>564313</v>
      </c>
      <c r="R20" s="9">
        <v>45193</v>
      </c>
      <c r="S20" s="8" t="s">
        <v>34</v>
      </c>
      <c r="T20" s="8" t="s">
        <v>44</v>
      </c>
      <c r="U20" s="8" t="s">
        <v>45</v>
      </c>
      <c r="V20" s="8" t="s">
        <v>46</v>
      </c>
      <c r="W20" s="8">
        <v>0</v>
      </c>
    </row>
    <row r="21" spans="1:23" x14ac:dyDescent="0.25">
      <c r="A21" s="4">
        <v>3</v>
      </c>
      <c r="B21" s="4"/>
      <c r="C21" s="4">
        <v>878051</v>
      </c>
      <c r="D21" s="4">
        <v>5106.6000000000004</v>
      </c>
      <c r="E21" s="5">
        <f t="shared" si="0"/>
        <v>0.3999999999996362</v>
      </c>
      <c r="F21" s="6" t="s">
        <v>30</v>
      </c>
      <c r="G21" s="10">
        <v>328821321</v>
      </c>
      <c r="H21" s="9">
        <v>45194</v>
      </c>
      <c r="I21" s="9">
        <v>45209</v>
      </c>
      <c r="J21" s="8">
        <v>5107</v>
      </c>
      <c r="K21" s="8" t="s">
        <v>31</v>
      </c>
      <c r="L21" s="8" t="s">
        <v>32</v>
      </c>
      <c r="M21" s="8"/>
      <c r="N21" s="8" t="b">
        <v>0</v>
      </c>
      <c r="O21" s="10">
        <v>700682</v>
      </c>
      <c r="P21" s="8" t="s">
        <v>63</v>
      </c>
      <c r="Q21" s="8">
        <v>564383</v>
      </c>
      <c r="R21" s="9">
        <v>45193</v>
      </c>
      <c r="S21" s="8" t="s">
        <v>48</v>
      </c>
      <c r="T21" s="8" t="s">
        <v>40</v>
      </c>
      <c r="U21" s="8" t="s">
        <v>45</v>
      </c>
      <c r="V21" s="8" t="s">
        <v>46</v>
      </c>
      <c r="W21" s="8">
        <v>0</v>
      </c>
    </row>
    <row r="22" spans="1:23" x14ac:dyDescent="0.25">
      <c r="A22" s="4">
        <v>3</v>
      </c>
      <c r="B22" s="4"/>
      <c r="C22" s="4">
        <v>878050</v>
      </c>
      <c r="D22" s="4">
        <v>5085.3599999999997</v>
      </c>
      <c r="E22" s="5">
        <f t="shared" si="0"/>
        <v>-0.35999999999967258</v>
      </c>
      <c r="F22" s="6" t="s">
        <v>30</v>
      </c>
      <c r="G22" s="10">
        <v>328821357</v>
      </c>
      <c r="H22" s="9">
        <v>45194</v>
      </c>
      <c r="I22" s="9">
        <v>45209</v>
      </c>
      <c r="J22" s="8">
        <v>5085</v>
      </c>
      <c r="K22" s="8" t="s">
        <v>31</v>
      </c>
      <c r="L22" s="8" t="s">
        <v>32</v>
      </c>
      <c r="M22" s="8"/>
      <c r="N22" s="8" t="b">
        <v>0</v>
      </c>
      <c r="O22" s="10">
        <v>699217</v>
      </c>
      <c r="P22" s="8" t="s">
        <v>64</v>
      </c>
      <c r="Q22" s="8">
        <v>564356</v>
      </c>
      <c r="R22" s="9">
        <v>45193</v>
      </c>
      <c r="S22" s="8" t="s">
        <v>34</v>
      </c>
      <c r="T22" s="8" t="s">
        <v>44</v>
      </c>
      <c r="U22" s="8" t="s">
        <v>45</v>
      </c>
      <c r="V22" s="8" t="s">
        <v>46</v>
      </c>
      <c r="W22" s="8">
        <v>0</v>
      </c>
    </row>
    <row r="23" spans="1:23" x14ac:dyDescent="0.25">
      <c r="A23" s="4">
        <v>3</v>
      </c>
      <c r="B23" s="4"/>
      <c r="C23" s="4">
        <v>878052</v>
      </c>
      <c r="D23" s="4">
        <v>5106.6000000000004</v>
      </c>
      <c r="E23" s="5">
        <f t="shared" si="0"/>
        <v>0.3999999999996362</v>
      </c>
      <c r="F23" s="6" t="s">
        <v>30</v>
      </c>
      <c r="G23" s="10">
        <v>328821368</v>
      </c>
      <c r="H23" s="9">
        <v>45194</v>
      </c>
      <c r="I23" s="9">
        <v>45209</v>
      </c>
      <c r="J23" s="8">
        <v>5107</v>
      </c>
      <c r="K23" s="8" t="s">
        <v>31</v>
      </c>
      <c r="L23" s="8" t="s">
        <v>32</v>
      </c>
      <c r="M23" s="8"/>
      <c r="N23" s="8" t="b">
        <v>0</v>
      </c>
      <c r="O23" s="10">
        <v>700679</v>
      </c>
      <c r="P23" s="8" t="s">
        <v>65</v>
      </c>
      <c r="Q23" s="8">
        <v>564378</v>
      </c>
      <c r="R23" s="9">
        <v>45193</v>
      </c>
      <c r="S23" s="8" t="s">
        <v>48</v>
      </c>
      <c r="T23" s="8" t="s">
        <v>40</v>
      </c>
      <c r="U23" s="8" t="s">
        <v>45</v>
      </c>
      <c r="V23" s="8" t="s">
        <v>46</v>
      </c>
      <c r="W23" s="8">
        <v>0</v>
      </c>
    </row>
    <row r="24" spans="1:23" x14ac:dyDescent="0.25">
      <c r="A24" s="4">
        <v>3</v>
      </c>
      <c r="B24" s="4"/>
      <c r="C24" s="4">
        <v>878053</v>
      </c>
      <c r="D24" s="4">
        <v>5106.6000000000004</v>
      </c>
      <c r="E24" s="5">
        <f t="shared" si="0"/>
        <v>0.3999999999996362</v>
      </c>
      <c r="F24" s="6" t="s">
        <v>30</v>
      </c>
      <c r="G24" s="10">
        <v>328821380</v>
      </c>
      <c r="H24" s="9">
        <v>45194</v>
      </c>
      <c r="I24" s="9">
        <v>45209</v>
      </c>
      <c r="J24" s="8">
        <v>5107</v>
      </c>
      <c r="K24" s="8" t="s">
        <v>31</v>
      </c>
      <c r="L24" s="8" t="s">
        <v>32</v>
      </c>
      <c r="M24" s="8"/>
      <c r="N24" s="8" t="b">
        <v>0</v>
      </c>
      <c r="O24" s="10">
        <v>700680</v>
      </c>
      <c r="P24" s="8" t="s">
        <v>66</v>
      </c>
      <c r="Q24" s="8">
        <v>564379</v>
      </c>
      <c r="R24" s="9">
        <v>45193</v>
      </c>
      <c r="S24" s="8" t="s">
        <v>48</v>
      </c>
      <c r="T24" s="8" t="s">
        <v>40</v>
      </c>
      <c r="U24" s="8" t="s">
        <v>45</v>
      </c>
      <c r="V24" s="8" t="s">
        <v>46</v>
      </c>
      <c r="W24" s="8">
        <v>0</v>
      </c>
    </row>
    <row r="25" spans="1:23" x14ac:dyDescent="0.25">
      <c r="A25" s="4">
        <v>3</v>
      </c>
      <c r="B25" s="4"/>
      <c r="C25" s="4">
        <v>878054</v>
      </c>
      <c r="D25" s="4">
        <v>5106.6000000000004</v>
      </c>
      <c r="E25" s="5">
        <f t="shared" si="0"/>
        <v>0.3999999999996362</v>
      </c>
      <c r="F25" s="6" t="s">
        <v>30</v>
      </c>
      <c r="G25" s="10">
        <v>328821381</v>
      </c>
      <c r="H25" s="9">
        <v>45194</v>
      </c>
      <c r="I25" s="9">
        <v>45209</v>
      </c>
      <c r="J25" s="8">
        <v>5107</v>
      </c>
      <c r="K25" s="8" t="s">
        <v>31</v>
      </c>
      <c r="L25" s="8" t="s">
        <v>32</v>
      </c>
      <c r="M25" s="8"/>
      <c r="N25" s="8" t="b">
        <v>0</v>
      </c>
      <c r="O25" s="10">
        <v>700681</v>
      </c>
      <c r="P25" s="8" t="s">
        <v>67</v>
      </c>
      <c r="Q25" s="8">
        <v>564380</v>
      </c>
      <c r="R25" s="9">
        <v>45193</v>
      </c>
      <c r="S25" s="8" t="s">
        <v>48</v>
      </c>
      <c r="T25" s="8" t="s">
        <v>40</v>
      </c>
      <c r="U25" s="8" t="s">
        <v>45</v>
      </c>
      <c r="V25" s="8" t="s">
        <v>46</v>
      </c>
      <c r="W25" s="8">
        <v>0</v>
      </c>
    </row>
    <row r="26" spans="1:23" x14ac:dyDescent="0.25">
      <c r="A26" s="4">
        <v>3</v>
      </c>
      <c r="B26" s="4"/>
      <c r="C26" s="4">
        <v>878055</v>
      </c>
      <c r="D26" s="4">
        <v>5106.6000000000004</v>
      </c>
      <c r="E26" s="5">
        <f t="shared" si="0"/>
        <v>0.3999999999996362</v>
      </c>
      <c r="F26" s="6" t="s">
        <v>30</v>
      </c>
      <c r="G26" s="10">
        <v>328821421</v>
      </c>
      <c r="H26" s="9">
        <v>45194</v>
      </c>
      <c r="I26" s="9">
        <v>45209</v>
      </c>
      <c r="J26" s="8">
        <v>5107</v>
      </c>
      <c r="K26" s="8" t="s">
        <v>31</v>
      </c>
      <c r="L26" s="8" t="s">
        <v>32</v>
      </c>
      <c r="M26" s="8"/>
      <c r="N26" s="8" t="b">
        <v>0</v>
      </c>
      <c r="O26" s="10">
        <v>700678</v>
      </c>
      <c r="P26" s="8" t="s">
        <v>68</v>
      </c>
      <c r="Q26" s="8">
        <v>564362</v>
      </c>
      <c r="R26" s="9">
        <v>45193</v>
      </c>
      <c r="S26" s="8" t="s">
        <v>48</v>
      </c>
      <c r="T26" s="8" t="s">
        <v>40</v>
      </c>
      <c r="U26" s="8" t="s">
        <v>45</v>
      </c>
      <c r="V26" s="8" t="s">
        <v>46</v>
      </c>
      <c r="W26" s="8">
        <v>0</v>
      </c>
    </row>
    <row r="27" spans="1:23" x14ac:dyDescent="0.25">
      <c r="A27" s="4">
        <v>3</v>
      </c>
      <c r="B27" s="4"/>
      <c r="C27" s="4">
        <v>878082</v>
      </c>
      <c r="D27" s="4">
        <v>63507.199999999997</v>
      </c>
      <c r="E27" s="5">
        <f t="shared" si="0"/>
        <v>2.8000000000029104</v>
      </c>
      <c r="F27" s="6" t="s">
        <v>30</v>
      </c>
      <c r="G27" s="10">
        <v>328829821</v>
      </c>
      <c r="H27" s="9">
        <v>45194</v>
      </c>
      <c r="I27" s="9">
        <v>45209</v>
      </c>
      <c r="J27" s="8">
        <v>63510</v>
      </c>
      <c r="K27" s="8" t="s">
        <v>31</v>
      </c>
      <c r="L27" s="8" t="s">
        <v>32</v>
      </c>
      <c r="M27" s="8"/>
      <c r="N27" s="8" t="b">
        <v>0</v>
      </c>
      <c r="O27" s="10"/>
      <c r="P27" s="8" t="s">
        <v>69</v>
      </c>
      <c r="Q27" s="8">
        <v>570211</v>
      </c>
      <c r="R27" s="9">
        <v>45194</v>
      </c>
      <c r="S27" s="8" t="s">
        <v>70</v>
      </c>
      <c r="T27" s="8" t="s">
        <v>49</v>
      </c>
      <c r="U27" s="8" t="s">
        <v>71</v>
      </c>
      <c r="V27" s="8" t="s">
        <v>72</v>
      </c>
      <c r="W27" s="8">
        <v>0</v>
      </c>
    </row>
    <row r="28" spans="1:23" x14ac:dyDescent="0.25">
      <c r="A28" s="4">
        <v>3</v>
      </c>
      <c r="B28" s="4"/>
      <c r="C28" s="4">
        <v>878081</v>
      </c>
      <c r="D28" s="4">
        <v>18578.28</v>
      </c>
      <c r="E28" s="5">
        <f t="shared" si="0"/>
        <v>0.72000000000116415</v>
      </c>
      <c r="F28" s="6" t="s">
        <v>30</v>
      </c>
      <c r="G28" s="10">
        <v>328829830</v>
      </c>
      <c r="H28" s="9">
        <v>45194</v>
      </c>
      <c r="I28" s="9">
        <v>45209</v>
      </c>
      <c r="J28" s="8">
        <v>18579</v>
      </c>
      <c r="K28" s="8" t="s">
        <v>31</v>
      </c>
      <c r="L28" s="8" t="s">
        <v>32</v>
      </c>
      <c r="M28" s="8"/>
      <c r="N28" s="8" t="b">
        <v>0</v>
      </c>
      <c r="O28" s="10"/>
      <c r="P28" s="8" t="s">
        <v>73</v>
      </c>
      <c r="Q28" s="8">
        <v>570125</v>
      </c>
      <c r="R28" s="9">
        <v>45194</v>
      </c>
      <c r="S28" s="8" t="s">
        <v>48</v>
      </c>
      <c r="T28" s="8" t="s">
        <v>49</v>
      </c>
      <c r="U28" s="8" t="s">
        <v>50</v>
      </c>
      <c r="V28" s="8" t="s">
        <v>37</v>
      </c>
      <c r="W28" s="8">
        <v>0</v>
      </c>
    </row>
    <row r="29" spans="1:23" x14ac:dyDescent="0.25">
      <c r="A29" s="4">
        <v>3</v>
      </c>
      <c r="B29" s="4"/>
      <c r="C29" s="4">
        <v>878084</v>
      </c>
      <c r="D29" s="4">
        <v>21588</v>
      </c>
      <c r="E29" s="5">
        <f t="shared" si="0"/>
        <v>2</v>
      </c>
      <c r="F29" s="6" t="s">
        <v>30</v>
      </c>
      <c r="G29" s="10">
        <v>328849218</v>
      </c>
      <c r="H29" s="9">
        <v>45195</v>
      </c>
      <c r="I29" s="9">
        <v>45210</v>
      </c>
      <c r="J29" s="8">
        <v>21590</v>
      </c>
      <c r="K29" s="8" t="s">
        <v>31</v>
      </c>
      <c r="L29" s="8" t="s">
        <v>32</v>
      </c>
      <c r="M29" s="8"/>
      <c r="N29" s="8" t="b">
        <v>0</v>
      </c>
      <c r="O29" s="10"/>
      <c r="P29" s="8" t="s">
        <v>74</v>
      </c>
      <c r="Q29" s="8">
        <v>585154</v>
      </c>
      <c r="R29" s="9">
        <v>45195</v>
      </c>
      <c r="S29" s="8" t="s">
        <v>34</v>
      </c>
      <c r="T29" s="8" t="s">
        <v>49</v>
      </c>
      <c r="U29" s="8" t="s">
        <v>75</v>
      </c>
      <c r="V29" s="8" t="s">
        <v>46</v>
      </c>
      <c r="W29" s="8">
        <v>0</v>
      </c>
    </row>
    <row r="30" spans="1:23" x14ac:dyDescent="0.25">
      <c r="A30" s="4">
        <v>3</v>
      </c>
      <c r="B30" s="4"/>
      <c r="C30" s="4">
        <v>878083</v>
      </c>
      <c r="D30" s="4">
        <v>24771.040000000001</v>
      </c>
      <c r="E30" s="5">
        <f t="shared" si="0"/>
        <v>0.95999999999912689</v>
      </c>
      <c r="F30" s="6" t="s">
        <v>30</v>
      </c>
      <c r="G30" s="10">
        <v>328849225</v>
      </c>
      <c r="H30" s="9">
        <v>45195</v>
      </c>
      <c r="I30" s="9">
        <v>45210</v>
      </c>
      <c r="J30" s="8">
        <v>24772</v>
      </c>
      <c r="K30" s="8" t="s">
        <v>31</v>
      </c>
      <c r="L30" s="8" t="s">
        <v>32</v>
      </c>
      <c r="M30" s="8"/>
      <c r="N30" s="8" t="b">
        <v>0</v>
      </c>
      <c r="O30" s="10"/>
      <c r="P30" s="8" t="s">
        <v>76</v>
      </c>
      <c r="Q30" s="8">
        <v>585121</v>
      </c>
      <c r="R30" s="9">
        <v>45195</v>
      </c>
      <c r="S30" s="8" t="s">
        <v>48</v>
      </c>
      <c r="T30" s="8" t="s">
        <v>49</v>
      </c>
      <c r="U30" s="8" t="s">
        <v>50</v>
      </c>
      <c r="V30" s="8" t="s">
        <v>37</v>
      </c>
      <c r="W30" s="8">
        <v>0</v>
      </c>
    </row>
    <row r="31" spans="1:23" x14ac:dyDescent="0.25">
      <c r="A31" s="4">
        <v>3</v>
      </c>
      <c r="B31" s="4"/>
      <c r="C31" s="4">
        <v>878061</v>
      </c>
      <c r="D31" s="4">
        <v>5106.6000000000004</v>
      </c>
      <c r="E31" s="5">
        <f t="shared" si="0"/>
        <v>0.3999999999996362</v>
      </c>
      <c r="F31" s="6" t="s">
        <v>30</v>
      </c>
      <c r="G31" s="10">
        <v>328872722</v>
      </c>
      <c r="H31" s="9">
        <v>45196</v>
      </c>
      <c r="I31" s="9">
        <v>45211</v>
      </c>
      <c r="J31" s="8">
        <v>5107</v>
      </c>
      <c r="K31" s="8" t="s">
        <v>31</v>
      </c>
      <c r="L31" s="8" t="s">
        <v>32</v>
      </c>
      <c r="M31" s="8"/>
      <c r="N31" s="8" t="b">
        <v>0</v>
      </c>
      <c r="O31" s="10">
        <v>700952</v>
      </c>
      <c r="P31" s="8" t="s">
        <v>77</v>
      </c>
      <c r="Q31" s="8">
        <v>605390</v>
      </c>
      <c r="R31" s="9">
        <v>45196</v>
      </c>
      <c r="S31" s="8" t="s">
        <v>48</v>
      </c>
      <c r="T31" s="8" t="s">
        <v>40</v>
      </c>
      <c r="U31" s="8" t="s">
        <v>45</v>
      </c>
      <c r="V31" s="8" t="s">
        <v>46</v>
      </c>
      <c r="W31" s="8">
        <v>0</v>
      </c>
    </row>
    <row r="32" spans="1:23" x14ac:dyDescent="0.25">
      <c r="A32" s="4">
        <v>3</v>
      </c>
      <c r="B32" s="4"/>
      <c r="C32" s="4">
        <v>878059</v>
      </c>
      <c r="D32" s="4">
        <v>5105.16</v>
      </c>
      <c r="E32" s="5">
        <f t="shared" si="0"/>
        <v>-0.15999999999985448</v>
      </c>
      <c r="F32" s="6" t="s">
        <v>30</v>
      </c>
      <c r="G32" s="10">
        <v>328872769</v>
      </c>
      <c r="H32" s="9">
        <v>45196</v>
      </c>
      <c r="I32" s="9">
        <v>45211</v>
      </c>
      <c r="J32" s="8">
        <v>5105</v>
      </c>
      <c r="K32" s="8" t="s">
        <v>31</v>
      </c>
      <c r="L32" s="8" t="s">
        <v>32</v>
      </c>
      <c r="M32" s="8"/>
      <c r="N32" s="8" t="b">
        <v>0</v>
      </c>
      <c r="O32" s="10">
        <v>700959</v>
      </c>
      <c r="P32" s="8" t="s">
        <v>78</v>
      </c>
      <c r="Q32" s="8">
        <v>605475</v>
      </c>
      <c r="R32" s="9">
        <v>45196</v>
      </c>
      <c r="S32" s="8" t="s">
        <v>34</v>
      </c>
      <c r="T32" s="8" t="s">
        <v>40</v>
      </c>
      <c r="U32" s="8" t="s">
        <v>58</v>
      </c>
      <c r="V32" s="8" t="s">
        <v>46</v>
      </c>
      <c r="W32" s="8">
        <v>0</v>
      </c>
    </row>
    <row r="33" spans="1:23" x14ac:dyDescent="0.25">
      <c r="A33" s="4">
        <v>3</v>
      </c>
      <c r="B33" s="4"/>
      <c r="C33" s="4">
        <v>878058</v>
      </c>
      <c r="D33" s="4">
        <v>5105.16</v>
      </c>
      <c r="E33" s="5">
        <f t="shared" si="0"/>
        <v>-0.15999999999985448</v>
      </c>
      <c r="F33" s="6" t="s">
        <v>30</v>
      </c>
      <c r="G33" s="10">
        <v>328872787</v>
      </c>
      <c r="H33" s="9">
        <v>45196</v>
      </c>
      <c r="I33" s="9">
        <v>45211</v>
      </c>
      <c r="J33" s="8">
        <v>5105</v>
      </c>
      <c r="K33" s="8" t="s">
        <v>31</v>
      </c>
      <c r="L33" s="8" t="s">
        <v>32</v>
      </c>
      <c r="M33" s="8"/>
      <c r="N33" s="8" t="b">
        <v>0</v>
      </c>
      <c r="O33" s="10">
        <v>700960</v>
      </c>
      <c r="P33" s="8" t="s">
        <v>79</v>
      </c>
      <c r="Q33" s="8">
        <v>605501</v>
      </c>
      <c r="R33" s="9">
        <v>45196</v>
      </c>
      <c r="S33" s="8" t="s">
        <v>34</v>
      </c>
      <c r="T33" s="8" t="s">
        <v>40</v>
      </c>
      <c r="U33" s="8" t="s">
        <v>58</v>
      </c>
      <c r="V33" s="8" t="s">
        <v>46</v>
      </c>
      <c r="W33" s="8">
        <v>0</v>
      </c>
    </row>
    <row r="34" spans="1:23" x14ac:dyDescent="0.25">
      <c r="A34" s="4">
        <v>3</v>
      </c>
      <c r="B34" s="4"/>
      <c r="C34" s="4">
        <v>878086</v>
      </c>
      <c r="D34" s="4">
        <v>6272.28</v>
      </c>
      <c r="E34" s="5">
        <f t="shared" si="0"/>
        <v>-0.27999999999974534</v>
      </c>
      <c r="F34" s="6" t="s">
        <v>30</v>
      </c>
      <c r="G34" s="10">
        <v>328872792</v>
      </c>
      <c r="H34" s="9">
        <v>45196</v>
      </c>
      <c r="I34" s="9">
        <v>45211</v>
      </c>
      <c r="J34" s="8">
        <v>6272</v>
      </c>
      <c r="K34" s="8" t="s">
        <v>31</v>
      </c>
      <c r="L34" s="8" t="s">
        <v>32</v>
      </c>
      <c r="M34" s="8"/>
      <c r="N34" s="8" t="b">
        <v>0</v>
      </c>
      <c r="O34" s="10">
        <v>20901</v>
      </c>
      <c r="P34" s="8" t="s">
        <v>80</v>
      </c>
      <c r="Q34" s="8">
        <v>605434</v>
      </c>
      <c r="R34" s="9">
        <v>45196</v>
      </c>
      <c r="S34" s="8" t="s">
        <v>48</v>
      </c>
      <c r="T34" s="8" t="s">
        <v>40</v>
      </c>
      <c r="U34" s="8" t="s">
        <v>50</v>
      </c>
      <c r="V34" s="8" t="s">
        <v>37</v>
      </c>
      <c r="W34" s="8">
        <v>0</v>
      </c>
    </row>
    <row r="35" spans="1:23" x14ac:dyDescent="0.25">
      <c r="A35" s="4">
        <v>3</v>
      </c>
      <c r="B35" s="4"/>
      <c r="C35" s="4">
        <v>878062</v>
      </c>
      <c r="D35" s="4">
        <v>5106.6000000000004</v>
      </c>
      <c r="E35" s="5">
        <f t="shared" si="0"/>
        <v>0.3999999999996362</v>
      </c>
      <c r="F35" s="6" t="s">
        <v>30</v>
      </c>
      <c r="G35" s="10">
        <v>328872805</v>
      </c>
      <c r="H35" s="9">
        <v>45196</v>
      </c>
      <c r="I35" s="9">
        <v>45211</v>
      </c>
      <c r="J35" s="8">
        <v>5107</v>
      </c>
      <c r="K35" s="8" t="s">
        <v>31</v>
      </c>
      <c r="L35" s="8" t="s">
        <v>32</v>
      </c>
      <c r="M35" s="8"/>
      <c r="N35" s="8" t="b">
        <v>0</v>
      </c>
      <c r="O35" s="10">
        <v>700951</v>
      </c>
      <c r="P35" s="8" t="s">
        <v>81</v>
      </c>
      <c r="Q35" s="8">
        <v>605368</v>
      </c>
      <c r="R35" s="9">
        <v>45196</v>
      </c>
      <c r="S35" s="8" t="s">
        <v>48</v>
      </c>
      <c r="T35" s="8" t="s">
        <v>40</v>
      </c>
      <c r="U35" s="8" t="s">
        <v>45</v>
      </c>
      <c r="V35" s="8" t="s">
        <v>46</v>
      </c>
      <c r="W35" s="8">
        <v>0</v>
      </c>
    </row>
    <row r="36" spans="1:23" x14ac:dyDescent="0.25">
      <c r="A36" s="4">
        <v>3</v>
      </c>
      <c r="B36" s="4"/>
      <c r="C36" s="4">
        <v>878064</v>
      </c>
      <c r="D36" s="4">
        <v>5106.6000000000004</v>
      </c>
      <c r="E36" s="5">
        <f t="shared" si="0"/>
        <v>0.3999999999996362</v>
      </c>
      <c r="F36" s="6" t="s">
        <v>30</v>
      </c>
      <c r="G36" s="10">
        <v>328872823</v>
      </c>
      <c r="H36" s="9">
        <v>45196</v>
      </c>
      <c r="I36" s="9">
        <v>45211</v>
      </c>
      <c r="J36" s="8">
        <v>5107</v>
      </c>
      <c r="K36" s="8" t="s">
        <v>31</v>
      </c>
      <c r="L36" s="8" t="s">
        <v>32</v>
      </c>
      <c r="M36" s="8"/>
      <c r="N36" s="8" t="b">
        <v>0</v>
      </c>
      <c r="O36" s="10">
        <v>700953</v>
      </c>
      <c r="P36" s="8" t="s">
        <v>82</v>
      </c>
      <c r="Q36" s="8">
        <v>605406</v>
      </c>
      <c r="R36" s="9">
        <v>45196</v>
      </c>
      <c r="S36" s="8" t="s">
        <v>48</v>
      </c>
      <c r="T36" s="8" t="s">
        <v>40</v>
      </c>
      <c r="U36" s="8" t="s">
        <v>45</v>
      </c>
      <c r="V36" s="8" t="s">
        <v>46</v>
      </c>
      <c r="W36" s="8">
        <v>0</v>
      </c>
    </row>
    <row r="37" spans="1:23" x14ac:dyDescent="0.25">
      <c r="A37" s="4">
        <v>3</v>
      </c>
      <c r="B37" s="4"/>
      <c r="C37" s="4">
        <v>878060</v>
      </c>
      <c r="D37" s="4">
        <v>4988</v>
      </c>
      <c r="E37" s="5">
        <f t="shared" si="0"/>
        <v>0</v>
      </c>
      <c r="F37" s="6" t="s">
        <v>30</v>
      </c>
      <c r="G37" s="10">
        <v>328876272</v>
      </c>
      <c r="H37" s="9">
        <v>45196</v>
      </c>
      <c r="I37" s="9">
        <v>45211</v>
      </c>
      <c r="J37" s="8">
        <v>4988</v>
      </c>
      <c r="K37" s="8" t="s">
        <v>31</v>
      </c>
      <c r="L37" s="8" t="s">
        <v>32</v>
      </c>
      <c r="M37" s="8"/>
      <c r="N37" s="8" t="b">
        <v>0</v>
      </c>
      <c r="O37" s="10">
        <v>700955</v>
      </c>
      <c r="P37" s="8" t="s">
        <v>83</v>
      </c>
      <c r="Q37" s="8">
        <v>611833</v>
      </c>
      <c r="R37" s="9">
        <v>45196</v>
      </c>
      <c r="S37" s="8" t="s">
        <v>34</v>
      </c>
      <c r="T37" s="8" t="s">
        <v>40</v>
      </c>
      <c r="U37" s="8" t="s">
        <v>84</v>
      </c>
      <c r="V37" s="8" t="s">
        <v>46</v>
      </c>
      <c r="W37" s="8">
        <v>0</v>
      </c>
    </row>
    <row r="38" spans="1:23" x14ac:dyDescent="0.25">
      <c r="A38" s="4">
        <v>3</v>
      </c>
      <c r="B38" s="4"/>
      <c r="C38" s="4">
        <v>878063</v>
      </c>
      <c r="D38" s="4">
        <v>5106.6000000000004</v>
      </c>
      <c r="E38" s="5">
        <f t="shared" si="0"/>
        <v>0.3999999999996362</v>
      </c>
      <c r="F38" s="6" t="s">
        <v>30</v>
      </c>
      <c r="G38" s="10">
        <v>328876287</v>
      </c>
      <c r="H38" s="9">
        <v>45196</v>
      </c>
      <c r="I38" s="9">
        <v>45211</v>
      </c>
      <c r="J38" s="8">
        <v>5107</v>
      </c>
      <c r="K38" s="8" t="s">
        <v>31</v>
      </c>
      <c r="L38" s="8" t="s">
        <v>32</v>
      </c>
      <c r="M38" s="8"/>
      <c r="N38" s="8" t="b">
        <v>0</v>
      </c>
      <c r="O38" s="10">
        <v>700954</v>
      </c>
      <c r="P38" s="8" t="s">
        <v>85</v>
      </c>
      <c r="Q38" s="8">
        <v>611825</v>
      </c>
      <c r="R38" s="9">
        <v>45196</v>
      </c>
      <c r="S38" s="8" t="s">
        <v>48</v>
      </c>
      <c r="T38" s="8" t="s">
        <v>40</v>
      </c>
      <c r="U38" s="8" t="s">
        <v>45</v>
      </c>
      <c r="V38" s="8" t="s">
        <v>46</v>
      </c>
      <c r="W38" s="8">
        <v>0</v>
      </c>
    </row>
    <row r="39" spans="1:23" x14ac:dyDescent="0.25">
      <c r="A39" s="4">
        <v>3</v>
      </c>
      <c r="B39" s="4"/>
      <c r="C39" s="4">
        <v>878057</v>
      </c>
      <c r="D39" s="4">
        <v>5105.16</v>
      </c>
      <c r="E39" s="5">
        <f t="shared" si="0"/>
        <v>-0.15999999999985448</v>
      </c>
      <c r="F39" s="6" t="s">
        <v>30</v>
      </c>
      <c r="G39" s="10">
        <v>328876292</v>
      </c>
      <c r="H39" s="9">
        <v>45196</v>
      </c>
      <c r="I39" s="9">
        <v>45211</v>
      </c>
      <c r="J39" s="8">
        <v>5105</v>
      </c>
      <c r="K39" s="8" t="s">
        <v>31</v>
      </c>
      <c r="L39" s="8" t="s">
        <v>32</v>
      </c>
      <c r="M39" s="8"/>
      <c r="N39" s="8" t="b">
        <v>0</v>
      </c>
      <c r="O39" s="10">
        <v>700961</v>
      </c>
      <c r="P39" s="8" t="s">
        <v>86</v>
      </c>
      <c r="Q39" s="8">
        <v>611846</v>
      </c>
      <c r="R39" s="9">
        <v>45196</v>
      </c>
      <c r="S39" s="8" t="s">
        <v>34</v>
      </c>
      <c r="T39" s="8" t="s">
        <v>40</v>
      </c>
      <c r="U39" s="8" t="s">
        <v>58</v>
      </c>
      <c r="V39" s="8" t="s">
        <v>46</v>
      </c>
      <c r="W39" s="8">
        <v>0</v>
      </c>
    </row>
    <row r="40" spans="1:23" x14ac:dyDescent="0.25">
      <c r="A40" s="4">
        <v>3</v>
      </c>
      <c r="B40" s="4"/>
      <c r="C40" s="4">
        <v>878073</v>
      </c>
      <c r="D40" s="4">
        <v>7833.08</v>
      </c>
      <c r="E40" s="5">
        <f t="shared" si="0"/>
        <v>-7.999999999992724E-2</v>
      </c>
      <c r="F40" s="6" t="s">
        <v>30</v>
      </c>
      <c r="G40" s="10">
        <v>328911591</v>
      </c>
      <c r="H40" s="9">
        <v>45198</v>
      </c>
      <c r="I40" s="9">
        <v>45213</v>
      </c>
      <c r="J40" s="8">
        <v>7833</v>
      </c>
      <c r="K40" s="8" t="s">
        <v>31</v>
      </c>
      <c r="L40" s="8" t="s">
        <v>32</v>
      </c>
      <c r="M40" s="8"/>
      <c r="N40" s="8" t="b">
        <v>0</v>
      </c>
      <c r="O40" s="10">
        <v>700942</v>
      </c>
      <c r="P40" s="8" t="s">
        <v>87</v>
      </c>
      <c r="Q40" s="8">
        <v>638834</v>
      </c>
      <c r="R40" s="9">
        <v>45197</v>
      </c>
      <c r="S40" s="8" t="s">
        <v>34</v>
      </c>
      <c r="T40" s="8" t="s">
        <v>40</v>
      </c>
      <c r="U40" s="8" t="s">
        <v>88</v>
      </c>
      <c r="V40" s="8" t="s">
        <v>72</v>
      </c>
      <c r="W40" s="8">
        <v>0</v>
      </c>
    </row>
    <row r="41" spans="1:23" x14ac:dyDescent="0.25">
      <c r="A41" s="4">
        <v>3</v>
      </c>
      <c r="B41" s="4"/>
      <c r="C41" s="4">
        <v>878077</v>
      </c>
      <c r="D41" s="4">
        <v>7833.08</v>
      </c>
      <c r="E41" s="5">
        <f t="shared" si="0"/>
        <v>-7.999999999992724E-2</v>
      </c>
      <c r="F41" s="6" t="s">
        <v>30</v>
      </c>
      <c r="G41" s="10">
        <v>328911599</v>
      </c>
      <c r="H41" s="9">
        <v>45198</v>
      </c>
      <c r="I41" s="9">
        <v>45213</v>
      </c>
      <c r="J41" s="8">
        <v>7833</v>
      </c>
      <c r="K41" s="8" t="s">
        <v>31</v>
      </c>
      <c r="L41" s="8" t="s">
        <v>32</v>
      </c>
      <c r="M41" s="8"/>
      <c r="N41" s="8" t="b">
        <v>0</v>
      </c>
      <c r="O41" s="10">
        <v>700941</v>
      </c>
      <c r="P41" s="8" t="s">
        <v>89</v>
      </c>
      <c r="Q41" s="8">
        <v>638832</v>
      </c>
      <c r="R41" s="9">
        <v>45197</v>
      </c>
      <c r="S41" s="8" t="s">
        <v>34</v>
      </c>
      <c r="T41" s="8" t="s">
        <v>40</v>
      </c>
      <c r="U41" s="8" t="s">
        <v>88</v>
      </c>
      <c r="V41" s="8" t="s">
        <v>72</v>
      </c>
      <c r="W41" s="8">
        <v>0</v>
      </c>
    </row>
    <row r="42" spans="1:23" x14ac:dyDescent="0.25">
      <c r="A42" s="4">
        <v>3</v>
      </c>
      <c r="B42" s="4"/>
      <c r="C42" s="4">
        <v>878080</v>
      </c>
      <c r="D42" s="4">
        <v>5105.16</v>
      </c>
      <c r="E42" s="5">
        <f t="shared" si="0"/>
        <v>-0.15999999999985448</v>
      </c>
      <c r="F42" s="6" t="s">
        <v>30</v>
      </c>
      <c r="G42" s="10">
        <v>328911690</v>
      </c>
      <c r="H42" s="9">
        <v>45198</v>
      </c>
      <c r="I42" s="9">
        <v>45213</v>
      </c>
      <c r="J42" s="8">
        <v>5105</v>
      </c>
      <c r="K42" s="8" t="s">
        <v>31</v>
      </c>
      <c r="L42" s="8" t="s">
        <v>32</v>
      </c>
      <c r="M42" s="8"/>
      <c r="N42" s="8" t="b">
        <v>0</v>
      </c>
      <c r="O42" s="10">
        <v>700963</v>
      </c>
      <c r="P42" s="8" t="s">
        <v>90</v>
      </c>
      <c r="Q42" s="8">
        <v>638900</v>
      </c>
      <c r="R42" s="9">
        <v>45197</v>
      </c>
      <c r="S42" s="8" t="s">
        <v>34</v>
      </c>
      <c r="T42" s="8" t="s">
        <v>40</v>
      </c>
      <c r="U42" s="8" t="s">
        <v>58</v>
      </c>
      <c r="V42" s="8" t="s">
        <v>46</v>
      </c>
      <c r="W42" s="8">
        <v>0</v>
      </c>
    </row>
    <row r="43" spans="1:23" x14ac:dyDescent="0.25">
      <c r="A43" s="4">
        <v>3</v>
      </c>
      <c r="B43" s="4"/>
      <c r="C43" s="4">
        <v>878076</v>
      </c>
      <c r="D43" s="4">
        <v>4988</v>
      </c>
      <c r="E43" s="5">
        <f t="shared" si="0"/>
        <v>0</v>
      </c>
      <c r="F43" s="6" t="s">
        <v>30</v>
      </c>
      <c r="G43" s="10">
        <v>328911692</v>
      </c>
      <c r="H43" s="9">
        <v>45198</v>
      </c>
      <c r="I43" s="9">
        <v>45213</v>
      </c>
      <c r="J43" s="8">
        <v>4988</v>
      </c>
      <c r="K43" s="8" t="s">
        <v>31</v>
      </c>
      <c r="L43" s="8" t="s">
        <v>32</v>
      </c>
      <c r="M43" s="8"/>
      <c r="N43" s="8" t="b">
        <v>0</v>
      </c>
      <c r="O43" s="10">
        <v>700956</v>
      </c>
      <c r="P43" s="8" t="s">
        <v>91</v>
      </c>
      <c r="Q43" s="8">
        <v>638888</v>
      </c>
      <c r="R43" s="9">
        <v>45197</v>
      </c>
      <c r="S43" s="8" t="s">
        <v>34</v>
      </c>
      <c r="T43" s="8" t="s">
        <v>40</v>
      </c>
      <c r="U43" s="8" t="s">
        <v>84</v>
      </c>
      <c r="V43" s="8" t="s">
        <v>46</v>
      </c>
      <c r="W43" s="8">
        <v>0</v>
      </c>
    </row>
    <row r="44" spans="1:23" x14ac:dyDescent="0.25">
      <c r="A44" s="4">
        <v>3</v>
      </c>
      <c r="B44" s="4"/>
      <c r="C44" s="4">
        <v>878066</v>
      </c>
      <c r="D44" s="4">
        <v>5105.16</v>
      </c>
      <c r="E44" s="5">
        <f t="shared" si="0"/>
        <v>-0.15999999999985448</v>
      </c>
      <c r="F44" s="6" t="s">
        <v>30</v>
      </c>
      <c r="G44" s="10">
        <v>328911694</v>
      </c>
      <c r="H44" s="9">
        <v>45198</v>
      </c>
      <c r="I44" s="9">
        <v>45213</v>
      </c>
      <c r="J44" s="8">
        <v>5105</v>
      </c>
      <c r="K44" s="8" t="s">
        <v>31</v>
      </c>
      <c r="L44" s="8" t="s">
        <v>32</v>
      </c>
      <c r="M44" s="8"/>
      <c r="N44" s="8" t="b">
        <v>0</v>
      </c>
      <c r="O44" s="10">
        <v>700962</v>
      </c>
      <c r="P44" s="8" t="s">
        <v>92</v>
      </c>
      <c r="Q44" s="8">
        <v>638893</v>
      </c>
      <c r="R44" s="9">
        <v>45197</v>
      </c>
      <c r="S44" s="8" t="s">
        <v>34</v>
      </c>
      <c r="T44" s="8" t="s">
        <v>40</v>
      </c>
      <c r="U44" s="8" t="s">
        <v>58</v>
      </c>
      <c r="V44" s="8" t="s">
        <v>46</v>
      </c>
      <c r="W44" s="8">
        <v>0</v>
      </c>
    </row>
    <row r="45" spans="1:23" x14ac:dyDescent="0.25">
      <c r="A45" s="4">
        <v>3</v>
      </c>
      <c r="B45" s="4"/>
      <c r="C45" s="4">
        <v>878072</v>
      </c>
      <c r="D45" s="4">
        <v>7833.08</v>
      </c>
      <c r="E45" s="5">
        <f t="shared" si="0"/>
        <v>-7.999999999992724E-2</v>
      </c>
      <c r="F45" s="6" t="s">
        <v>30</v>
      </c>
      <c r="G45" s="10">
        <v>328911695</v>
      </c>
      <c r="H45" s="9">
        <v>45198</v>
      </c>
      <c r="I45" s="9">
        <v>45213</v>
      </c>
      <c r="J45" s="8">
        <v>7833</v>
      </c>
      <c r="K45" s="8" t="s">
        <v>31</v>
      </c>
      <c r="L45" s="8" t="s">
        <v>32</v>
      </c>
      <c r="M45" s="8"/>
      <c r="N45" s="8" t="b">
        <v>0</v>
      </c>
      <c r="O45" s="10">
        <v>700945</v>
      </c>
      <c r="P45" s="8" t="s">
        <v>93</v>
      </c>
      <c r="Q45" s="8">
        <v>638874</v>
      </c>
      <c r="R45" s="9">
        <v>45197</v>
      </c>
      <c r="S45" s="8" t="s">
        <v>34</v>
      </c>
      <c r="T45" s="8" t="s">
        <v>40</v>
      </c>
      <c r="U45" s="8" t="s">
        <v>88</v>
      </c>
      <c r="V45" s="8" t="s">
        <v>72</v>
      </c>
      <c r="W45" s="8">
        <v>0</v>
      </c>
    </row>
    <row r="46" spans="1:23" x14ac:dyDescent="0.25">
      <c r="A46" s="4">
        <v>3</v>
      </c>
      <c r="B46" s="4"/>
      <c r="C46" s="4">
        <v>878068</v>
      </c>
      <c r="D46" s="4">
        <v>7833.08</v>
      </c>
      <c r="E46" s="5">
        <f t="shared" si="0"/>
        <v>-7.999999999992724E-2</v>
      </c>
      <c r="F46" s="6" t="s">
        <v>30</v>
      </c>
      <c r="G46" s="10">
        <v>328911699</v>
      </c>
      <c r="H46" s="9">
        <v>45198</v>
      </c>
      <c r="I46" s="9">
        <v>45213</v>
      </c>
      <c r="J46" s="8">
        <v>7833</v>
      </c>
      <c r="K46" s="8" t="s">
        <v>31</v>
      </c>
      <c r="L46" s="8" t="s">
        <v>32</v>
      </c>
      <c r="M46" s="8"/>
      <c r="N46" s="8" t="b">
        <v>0</v>
      </c>
      <c r="O46" s="10">
        <v>700944</v>
      </c>
      <c r="P46" s="8" t="s">
        <v>94</v>
      </c>
      <c r="Q46" s="8">
        <v>638867</v>
      </c>
      <c r="R46" s="9">
        <v>45197</v>
      </c>
      <c r="S46" s="8" t="s">
        <v>34</v>
      </c>
      <c r="T46" s="8" t="s">
        <v>40</v>
      </c>
      <c r="U46" s="8" t="s">
        <v>88</v>
      </c>
      <c r="V46" s="8" t="s">
        <v>72</v>
      </c>
      <c r="W46" s="8">
        <v>0</v>
      </c>
    </row>
    <row r="47" spans="1:23" x14ac:dyDescent="0.25">
      <c r="A47" s="4">
        <v>3</v>
      </c>
      <c r="B47" s="4"/>
      <c r="C47" s="4">
        <v>878071</v>
      </c>
      <c r="D47" s="4">
        <v>7833.08</v>
      </c>
      <c r="E47" s="5">
        <f t="shared" si="0"/>
        <v>-7.999999999992724E-2</v>
      </c>
      <c r="F47" s="6" t="s">
        <v>30</v>
      </c>
      <c r="G47" s="10">
        <v>328911702</v>
      </c>
      <c r="H47" s="9">
        <v>45198</v>
      </c>
      <c r="I47" s="9">
        <v>45213</v>
      </c>
      <c r="J47" s="8">
        <v>7833</v>
      </c>
      <c r="K47" s="8" t="s">
        <v>31</v>
      </c>
      <c r="L47" s="8" t="s">
        <v>32</v>
      </c>
      <c r="M47" s="8"/>
      <c r="N47" s="8" t="b">
        <v>0</v>
      </c>
      <c r="O47" s="10">
        <v>700943</v>
      </c>
      <c r="P47" s="8" t="s">
        <v>95</v>
      </c>
      <c r="Q47" s="8">
        <v>638852</v>
      </c>
      <c r="R47" s="9">
        <v>45197</v>
      </c>
      <c r="S47" s="8" t="s">
        <v>34</v>
      </c>
      <c r="T47" s="8" t="s">
        <v>40</v>
      </c>
      <c r="U47" s="8" t="s">
        <v>88</v>
      </c>
      <c r="V47" s="8" t="s">
        <v>72</v>
      </c>
      <c r="W47" s="8">
        <v>0</v>
      </c>
    </row>
    <row r="48" spans="1:23" x14ac:dyDescent="0.25">
      <c r="A48" s="4">
        <v>3</v>
      </c>
      <c r="B48" s="4"/>
      <c r="C48" s="4">
        <v>878074</v>
      </c>
      <c r="D48" s="4">
        <v>7833.08</v>
      </c>
      <c r="E48" s="5">
        <f t="shared" si="0"/>
        <v>-7.999999999992724E-2</v>
      </c>
      <c r="F48" s="6" t="s">
        <v>30</v>
      </c>
      <c r="G48" s="10">
        <v>328911704</v>
      </c>
      <c r="H48" s="9">
        <v>45198</v>
      </c>
      <c r="I48" s="9">
        <v>45213</v>
      </c>
      <c r="J48" s="8">
        <v>7833</v>
      </c>
      <c r="K48" s="8" t="s">
        <v>31</v>
      </c>
      <c r="L48" s="8" t="s">
        <v>32</v>
      </c>
      <c r="M48" s="8"/>
      <c r="N48" s="8" t="b">
        <v>0</v>
      </c>
      <c r="O48" s="10">
        <v>700946</v>
      </c>
      <c r="P48" s="8" t="s">
        <v>96</v>
      </c>
      <c r="Q48" s="8">
        <v>638883</v>
      </c>
      <c r="R48" s="9">
        <v>45197</v>
      </c>
      <c r="S48" s="8" t="s">
        <v>34</v>
      </c>
      <c r="T48" s="8" t="s">
        <v>40</v>
      </c>
      <c r="U48" s="8" t="s">
        <v>88</v>
      </c>
      <c r="V48" s="8" t="s">
        <v>72</v>
      </c>
      <c r="W48" s="8">
        <v>0</v>
      </c>
    </row>
    <row r="49" spans="1:23" x14ac:dyDescent="0.25">
      <c r="A49" s="4">
        <v>3</v>
      </c>
      <c r="B49" s="4"/>
      <c r="C49" s="4">
        <v>878079</v>
      </c>
      <c r="D49" s="4">
        <v>5105.16</v>
      </c>
      <c r="E49" s="5">
        <f t="shared" si="0"/>
        <v>-0.15999999999985448</v>
      </c>
      <c r="F49" s="6" t="s">
        <v>30</v>
      </c>
      <c r="G49" s="10">
        <v>328911783</v>
      </c>
      <c r="H49" s="9">
        <v>45198</v>
      </c>
      <c r="I49" s="9">
        <v>45213</v>
      </c>
      <c r="J49" s="8">
        <v>5105</v>
      </c>
      <c r="K49" s="8" t="s">
        <v>31</v>
      </c>
      <c r="L49" s="8" t="s">
        <v>32</v>
      </c>
      <c r="M49" s="8"/>
      <c r="N49" s="8" t="b">
        <v>0</v>
      </c>
      <c r="O49" s="10">
        <v>700964</v>
      </c>
      <c r="P49" s="8" t="s">
        <v>97</v>
      </c>
      <c r="Q49" s="8">
        <v>638946</v>
      </c>
      <c r="R49" s="9">
        <v>45197</v>
      </c>
      <c r="S49" s="8" t="s">
        <v>34</v>
      </c>
      <c r="T49" s="8" t="s">
        <v>40</v>
      </c>
      <c r="U49" s="8" t="s">
        <v>58</v>
      </c>
      <c r="V49" s="8" t="s">
        <v>46</v>
      </c>
      <c r="W49" s="8">
        <v>0</v>
      </c>
    </row>
    <row r="50" spans="1:23" x14ac:dyDescent="0.25">
      <c r="A50" s="4">
        <v>3</v>
      </c>
      <c r="B50" s="4"/>
      <c r="C50" s="4">
        <v>878089</v>
      </c>
      <c r="D50" s="4">
        <v>6911.84</v>
      </c>
      <c r="E50" s="5">
        <f t="shared" si="0"/>
        <v>-0.84000000000014552</v>
      </c>
      <c r="F50" s="6" t="s">
        <v>30</v>
      </c>
      <c r="G50" s="10">
        <v>328911786</v>
      </c>
      <c r="H50" s="9">
        <v>45198</v>
      </c>
      <c r="I50" s="9">
        <v>45213</v>
      </c>
      <c r="J50" s="8">
        <v>6911</v>
      </c>
      <c r="K50" s="8" t="s">
        <v>31</v>
      </c>
      <c r="L50" s="8" t="s">
        <v>32</v>
      </c>
      <c r="M50" s="8"/>
      <c r="N50" s="8" t="b">
        <v>0</v>
      </c>
      <c r="O50" s="10">
        <v>20903</v>
      </c>
      <c r="P50" s="8" t="s">
        <v>98</v>
      </c>
      <c r="Q50" s="8">
        <v>638966</v>
      </c>
      <c r="R50" s="9">
        <v>45197</v>
      </c>
      <c r="S50" s="8" t="s">
        <v>39</v>
      </c>
      <c r="T50" s="8" t="s">
        <v>40</v>
      </c>
      <c r="U50" s="8" t="s">
        <v>41</v>
      </c>
      <c r="V50" s="8" t="s">
        <v>42</v>
      </c>
      <c r="W50" s="8">
        <v>0</v>
      </c>
    </row>
    <row r="51" spans="1:23" x14ac:dyDescent="0.25">
      <c r="A51" s="4">
        <v>3</v>
      </c>
      <c r="B51" s="4"/>
      <c r="C51" s="4">
        <v>878070</v>
      </c>
      <c r="D51" s="4">
        <v>7833.08</v>
      </c>
      <c r="E51" s="5">
        <f t="shared" si="0"/>
        <v>-7.999999999992724E-2</v>
      </c>
      <c r="F51" s="6" t="s">
        <v>30</v>
      </c>
      <c r="G51" s="10">
        <v>328911789</v>
      </c>
      <c r="H51" s="9">
        <v>45198</v>
      </c>
      <c r="I51" s="9">
        <v>45213</v>
      </c>
      <c r="J51" s="8">
        <v>7833</v>
      </c>
      <c r="K51" s="8" t="s">
        <v>31</v>
      </c>
      <c r="L51" s="8" t="s">
        <v>32</v>
      </c>
      <c r="M51" s="8"/>
      <c r="N51" s="8" t="b">
        <v>0</v>
      </c>
      <c r="O51" s="10">
        <v>700947</v>
      </c>
      <c r="P51" s="8" t="s">
        <v>99</v>
      </c>
      <c r="Q51" s="8">
        <v>638952</v>
      </c>
      <c r="R51" s="9">
        <v>45197</v>
      </c>
      <c r="S51" s="8" t="s">
        <v>34</v>
      </c>
      <c r="T51" s="8" t="s">
        <v>40</v>
      </c>
      <c r="U51" s="8" t="s">
        <v>88</v>
      </c>
      <c r="V51" s="8" t="s">
        <v>72</v>
      </c>
      <c r="W51" s="8">
        <v>0</v>
      </c>
    </row>
    <row r="52" spans="1:23" x14ac:dyDescent="0.25">
      <c r="A52" s="4">
        <v>3</v>
      </c>
      <c r="B52" s="4"/>
      <c r="C52" s="4">
        <v>878090</v>
      </c>
      <c r="D52" s="4">
        <v>6911.84</v>
      </c>
      <c r="E52" s="5">
        <f t="shared" si="0"/>
        <v>-0.84000000000014552</v>
      </c>
      <c r="F52" s="6" t="s">
        <v>30</v>
      </c>
      <c r="G52" s="10">
        <v>328911790</v>
      </c>
      <c r="H52" s="9">
        <v>45198</v>
      </c>
      <c r="I52" s="9">
        <v>45213</v>
      </c>
      <c r="J52" s="8">
        <v>6911</v>
      </c>
      <c r="K52" s="8" t="s">
        <v>31</v>
      </c>
      <c r="L52" s="8" t="s">
        <v>32</v>
      </c>
      <c r="M52" s="8"/>
      <c r="N52" s="8" t="b">
        <v>0</v>
      </c>
      <c r="O52" s="10">
        <v>20904</v>
      </c>
      <c r="P52" s="8" t="s">
        <v>100</v>
      </c>
      <c r="Q52" s="8">
        <v>638969</v>
      </c>
      <c r="R52" s="9">
        <v>45197</v>
      </c>
      <c r="S52" s="8" t="s">
        <v>39</v>
      </c>
      <c r="T52" s="8" t="s">
        <v>40</v>
      </c>
      <c r="U52" s="8" t="s">
        <v>41</v>
      </c>
      <c r="V52" s="8" t="s">
        <v>42</v>
      </c>
      <c r="W52" s="8">
        <v>0</v>
      </c>
    </row>
    <row r="53" spans="1:23" x14ac:dyDescent="0.25">
      <c r="A53" s="4">
        <v>3</v>
      </c>
      <c r="B53" s="4"/>
      <c r="C53" s="4">
        <v>878088</v>
      </c>
      <c r="D53" s="4">
        <v>6911.84</v>
      </c>
      <c r="E53" s="5">
        <f t="shared" si="0"/>
        <v>-0.84000000000014552</v>
      </c>
      <c r="F53" s="6" t="s">
        <v>30</v>
      </c>
      <c r="G53" s="10">
        <v>328911791</v>
      </c>
      <c r="H53" s="9">
        <v>45198</v>
      </c>
      <c r="I53" s="9">
        <v>45213</v>
      </c>
      <c r="J53" s="8">
        <v>6911</v>
      </c>
      <c r="K53" s="8" t="s">
        <v>31</v>
      </c>
      <c r="L53" s="8" t="s">
        <v>32</v>
      </c>
      <c r="M53" s="8"/>
      <c r="N53" s="8" t="b">
        <v>0</v>
      </c>
      <c r="O53" s="10">
        <v>20902</v>
      </c>
      <c r="P53" s="8" t="s">
        <v>101</v>
      </c>
      <c r="Q53" s="8">
        <v>638965</v>
      </c>
      <c r="R53" s="9">
        <v>45197</v>
      </c>
      <c r="S53" s="8" t="s">
        <v>39</v>
      </c>
      <c r="T53" s="8" t="s">
        <v>40</v>
      </c>
      <c r="U53" s="8" t="s">
        <v>41</v>
      </c>
      <c r="V53" s="8" t="s">
        <v>42</v>
      </c>
      <c r="W53" s="8">
        <v>0</v>
      </c>
    </row>
    <row r="54" spans="1:23" x14ac:dyDescent="0.25">
      <c r="A54" s="4">
        <v>3</v>
      </c>
      <c r="B54" s="4"/>
      <c r="C54" s="4">
        <v>878069</v>
      </c>
      <c r="D54" s="4">
        <v>7833.08</v>
      </c>
      <c r="E54" s="5">
        <f t="shared" si="0"/>
        <v>-7.999999999992724E-2</v>
      </c>
      <c r="F54" s="6" t="s">
        <v>30</v>
      </c>
      <c r="G54" s="10">
        <v>328911793</v>
      </c>
      <c r="H54" s="9">
        <v>45198</v>
      </c>
      <c r="I54" s="9">
        <v>45213</v>
      </c>
      <c r="J54" s="8">
        <v>7833</v>
      </c>
      <c r="K54" s="8" t="s">
        <v>31</v>
      </c>
      <c r="L54" s="8" t="s">
        <v>32</v>
      </c>
      <c r="M54" s="8"/>
      <c r="N54" s="8" t="b">
        <v>0</v>
      </c>
      <c r="O54" s="10">
        <v>700949</v>
      </c>
      <c r="P54" s="8" t="s">
        <v>102</v>
      </c>
      <c r="Q54" s="8">
        <v>638960</v>
      </c>
      <c r="R54" s="9">
        <v>45197</v>
      </c>
      <c r="S54" s="8" t="s">
        <v>34</v>
      </c>
      <c r="T54" s="8" t="s">
        <v>40</v>
      </c>
      <c r="U54" s="8" t="s">
        <v>88</v>
      </c>
      <c r="V54" s="8" t="s">
        <v>72</v>
      </c>
      <c r="W54" s="8">
        <v>0</v>
      </c>
    </row>
    <row r="55" spans="1:23" x14ac:dyDescent="0.25">
      <c r="A55" s="4">
        <v>3</v>
      </c>
      <c r="B55" s="4"/>
      <c r="C55" s="4">
        <v>878078</v>
      </c>
      <c r="D55" s="4">
        <v>7833.08</v>
      </c>
      <c r="E55" s="5">
        <f t="shared" si="0"/>
        <v>-7.999999999992724E-2</v>
      </c>
      <c r="F55" s="6" t="s">
        <v>30</v>
      </c>
      <c r="G55" s="10">
        <v>328911795</v>
      </c>
      <c r="H55" s="9">
        <v>45198</v>
      </c>
      <c r="I55" s="9">
        <v>45213</v>
      </c>
      <c r="J55" s="8">
        <v>7833</v>
      </c>
      <c r="K55" s="8" t="s">
        <v>31</v>
      </c>
      <c r="L55" s="8" t="s">
        <v>32</v>
      </c>
      <c r="M55" s="8"/>
      <c r="N55" s="8" t="b">
        <v>0</v>
      </c>
      <c r="O55" s="10">
        <v>700948</v>
      </c>
      <c r="P55" s="8" t="s">
        <v>103</v>
      </c>
      <c r="Q55" s="8">
        <v>638954</v>
      </c>
      <c r="R55" s="9">
        <v>45197</v>
      </c>
      <c r="S55" s="8" t="s">
        <v>34</v>
      </c>
      <c r="T55" s="8" t="s">
        <v>40</v>
      </c>
      <c r="U55" s="8" t="s">
        <v>88</v>
      </c>
      <c r="V55" s="8" t="s">
        <v>72</v>
      </c>
      <c r="W55" s="8">
        <v>0</v>
      </c>
    </row>
    <row r="56" spans="1:23" x14ac:dyDescent="0.25">
      <c r="A56" s="4">
        <v>3</v>
      </c>
      <c r="B56" s="4"/>
      <c r="C56" s="4">
        <v>878067</v>
      </c>
      <c r="D56" s="4">
        <v>7829.84</v>
      </c>
      <c r="E56" s="5">
        <f t="shared" si="0"/>
        <v>0.15999999999985448</v>
      </c>
      <c r="F56" s="6" t="s">
        <v>30</v>
      </c>
      <c r="G56" s="10">
        <v>328911814</v>
      </c>
      <c r="H56" s="9">
        <v>45198</v>
      </c>
      <c r="I56" s="9">
        <v>45213</v>
      </c>
      <c r="J56" s="8">
        <v>7830</v>
      </c>
      <c r="K56" s="8" t="s">
        <v>31</v>
      </c>
      <c r="L56" s="8" t="s">
        <v>32</v>
      </c>
      <c r="M56" s="8"/>
      <c r="N56" s="8" t="b">
        <v>0</v>
      </c>
      <c r="O56" s="10">
        <v>877631</v>
      </c>
      <c r="P56" s="8" t="s">
        <v>104</v>
      </c>
      <c r="Q56" s="8">
        <v>638948</v>
      </c>
      <c r="R56" s="9">
        <v>45197</v>
      </c>
      <c r="S56" s="8" t="s">
        <v>105</v>
      </c>
      <c r="T56" s="8" t="s">
        <v>40</v>
      </c>
      <c r="U56" s="8" t="s">
        <v>106</v>
      </c>
      <c r="V56" s="8" t="s">
        <v>107</v>
      </c>
      <c r="W56" s="8">
        <v>0</v>
      </c>
    </row>
    <row r="57" spans="1:23" x14ac:dyDescent="0.25">
      <c r="A57" s="4">
        <v>3</v>
      </c>
      <c r="B57" s="4"/>
      <c r="C57" s="4">
        <v>878065</v>
      </c>
      <c r="D57" s="4">
        <v>5085.3599999999997</v>
      </c>
      <c r="E57" s="5">
        <f t="shared" si="0"/>
        <v>-0.35999999999967258</v>
      </c>
      <c r="F57" s="6" t="s">
        <v>30</v>
      </c>
      <c r="G57" s="10">
        <v>328920894</v>
      </c>
      <c r="H57" s="9">
        <v>45198</v>
      </c>
      <c r="I57" s="9">
        <v>45213</v>
      </c>
      <c r="J57" s="8">
        <v>5085</v>
      </c>
      <c r="K57" s="8" t="s">
        <v>31</v>
      </c>
      <c r="L57" s="8" t="s">
        <v>32</v>
      </c>
      <c r="M57" s="8"/>
      <c r="N57" s="8" t="b">
        <v>0</v>
      </c>
      <c r="O57" s="10">
        <v>699219</v>
      </c>
      <c r="P57" s="8" t="s">
        <v>108</v>
      </c>
      <c r="Q57" s="8">
        <v>644244</v>
      </c>
      <c r="R57" s="9">
        <v>45198</v>
      </c>
      <c r="S57" s="8" t="s">
        <v>34</v>
      </c>
      <c r="T57" s="8" t="s">
        <v>44</v>
      </c>
      <c r="U57" s="8" t="s">
        <v>45</v>
      </c>
      <c r="V57" s="8" t="s">
        <v>46</v>
      </c>
      <c r="W57" s="8">
        <v>0</v>
      </c>
    </row>
    <row r="58" spans="1:23" x14ac:dyDescent="0.25">
      <c r="A58" s="4">
        <v>3</v>
      </c>
      <c r="B58" s="4"/>
      <c r="C58" s="4">
        <v>878075</v>
      </c>
      <c r="D58" s="4">
        <v>5085.3599999999997</v>
      </c>
      <c r="E58" s="5">
        <f t="shared" si="0"/>
        <v>-0.35999999999967258</v>
      </c>
      <c r="F58" s="6" t="s">
        <v>30</v>
      </c>
      <c r="G58" s="10">
        <v>328921004</v>
      </c>
      <c r="H58" s="9">
        <v>45198</v>
      </c>
      <c r="I58" s="9">
        <v>45213</v>
      </c>
      <c r="J58" s="8">
        <v>5085</v>
      </c>
      <c r="K58" s="8" t="s">
        <v>31</v>
      </c>
      <c r="L58" s="8" t="s">
        <v>32</v>
      </c>
      <c r="M58" s="8"/>
      <c r="N58" s="8" t="b">
        <v>0</v>
      </c>
      <c r="O58" s="10">
        <v>699221</v>
      </c>
      <c r="P58" s="8" t="s">
        <v>109</v>
      </c>
      <c r="Q58" s="8">
        <v>644249</v>
      </c>
      <c r="R58" s="9">
        <v>45198</v>
      </c>
      <c r="S58" s="8" t="s">
        <v>34</v>
      </c>
      <c r="T58" s="8" t="s">
        <v>44</v>
      </c>
      <c r="U58" s="8" t="s">
        <v>45</v>
      </c>
      <c r="V58" s="8" t="s">
        <v>46</v>
      </c>
      <c r="W58" s="8">
        <v>0</v>
      </c>
    </row>
    <row r="59" spans="1:23" x14ac:dyDescent="0.25">
      <c r="A59" s="4">
        <v>3</v>
      </c>
      <c r="B59" s="4"/>
      <c r="C59" s="4">
        <v>878267</v>
      </c>
      <c r="D59" s="4">
        <v>5105.16</v>
      </c>
      <c r="E59" s="5">
        <f t="shared" si="0"/>
        <v>-0.15999999999985448</v>
      </c>
      <c r="F59" s="6" t="s">
        <v>30</v>
      </c>
      <c r="G59" s="10">
        <v>328946692</v>
      </c>
      <c r="H59" s="9">
        <v>45201</v>
      </c>
      <c r="I59" s="9">
        <v>45216</v>
      </c>
      <c r="J59" s="8">
        <v>5105</v>
      </c>
      <c r="K59" s="8" t="s">
        <v>31</v>
      </c>
      <c r="L59" s="8" t="s">
        <v>32</v>
      </c>
      <c r="M59" s="8"/>
      <c r="N59" s="8" t="b">
        <v>0</v>
      </c>
      <c r="O59" s="10">
        <v>701367</v>
      </c>
      <c r="P59" s="8" t="s">
        <v>110</v>
      </c>
      <c r="Q59" s="8">
        <v>663951</v>
      </c>
      <c r="R59" s="9">
        <v>45199</v>
      </c>
      <c r="S59" s="8" t="s">
        <v>34</v>
      </c>
      <c r="T59" s="8" t="s">
        <v>40</v>
      </c>
      <c r="U59" s="8" t="s">
        <v>58</v>
      </c>
      <c r="V59" s="8" t="s">
        <v>46</v>
      </c>
      <c r="W59" s="8">
        <v>0</v>
      </c>
    </row>
    <row r="60" spans="1:23" x14ac:dyDescent="0.25">
      <c r="A60" s="4">
        <v>3</v>
      </c>
      <c r="B60" s="4"/>
      <c r="C60" s="4">
        <v>878268</v>
      </c>
      <c r="D60" s="4">
        <v>5105.16</v>
      </c>
      <c r="E60" s="5">
        <f t="shared" si="0"/>
        <v>-0.15999999999985448</v>
      </c>
      <c r="F60" s="6" t="s">
        <v>30</v>
      </c>
      <c r="G60" s="10">
        <v>328946697</v>
      </c>
      <c r="H60" s="9">
        <v>45201</v>
      </c>
      <c r="I60" s="9">
        <v>45216</v>
      </c>
      <c r="J60" s="8">
        <v>5105</v>
      </c>
      <c r="K60" s="8" t="s">
        <v>31</v>
      </c>
      <c r="L60" s="8" t="s">
        <v>32</v>
      </c>
      <c r="M60" s="8"/>
      <c r="N60" s="8" t="b">
        <v>0</v>
      </c>
      <c r="O60" s="10">
        <v>701370</v>
      </c>
      <c r="P60" s="8" t="s">
        <v>111</v>
      </c>
      <c r="Q60" s="8">
        <v>663957</v>
      </c>
      <c r="R60" s="9">
        <v>45199</v>
      </c>
      <c r="S60" s="8" t="s">
        <v>34</v>
      </c>
      <c r="T60" s="8" t="s">
        <v>40</v>
      </c>
      <c r="U60" s="8" t="s">
        <v>58</v>
      </c>
      <c r="V60" s="8" t="s">
        <v>46</v>
      </c>
      <c r="W60" s="8">
        <v>0</v>
      </c>
    </row>
    <row r="61" spans="1:23" x14ac:dyDescent="0.25">
      <c r="A61" s="4">
        <v>3</v>
      </c>
      <c r="B61" s="4"/>
      <c r="C61" s="4">
        <v>878269</v>
      </c>
      <c r="D61" s="4">
        <v>5105.16</v>
      </c>
      <c r="E61" s="5">
        <f t="shared" si="0"/>
        <v>-0.15999999999985448</v>
      </c>
      <c r="F61" s="6" t="s">
        <v>30</v>
      </c>
      <c r="G61" s="10">
        <v>328946698</v>
      </c>
      <c r="H61" s="9">
        <v>45201</v>
      </c>
      <c r="I61" s="9">
        <v>45216</v>
      </c>
      <c r="J61" s="8">
        <v>5105</v>
      </c>
      <c r="K61" s="8" t="s">
        <v>31</v>
      </c>
      <c r="L61" s="8" t="s">
        <v>32</v>
      </c>
      <c r="M61" s="8"/>
      <c r="N61" s="8" t="b">
        <v>0</v>
      </c>
      <c r="O61" s="10">
        <v>701371</v>
      </c>
      <c r="P61" s="8" t="s">
        <v>112</v>
      </c>
      <c r="Q61" s="8">
        <v>663960</v>
      </c>
      <c r="R61" s="9">
        <v>45199</v>
      </c>
      <c r="S61" s="8" t="s">
        <v>34</v>
      </c>
      <c r="T61" s="8" t="s">
        <v>40</v>
      </c>
      <c r="U61" s="8" t="s">
        <v>58</v>
      </c>
      <c r="V61" s="8" t="s">
        <v>46</v>
      </c>
      <c r="W61" s="8">
        <v>0</v>
      </c>
    </row>
    <row r="62" spans="1:23" x14ac:dyDescent="0.25">
      <c r="A62" s="4">
        <v>3</v>
      </c>
      <c r="B62" s="4"/>
      <c r="C62" s="4">
        <v>878263</v>
      </c>
      <c r="D62" s="4">
        <v>4988</v>
      </c>
      <c r="E62" s="5">
        <f t="shared" si="0"/>
        <v>0</v>
      </c>
      <c r="F62" s="6" t="s">
        <v>30</v>
      </c>
      <c r="G62" s="10">
        <v>328946700</v>
      </c>
      <c r="H62" s="9">
        <v>45201</v>
      </c>
      <c r="I62" s="9">
        <v>45216</v>
      </c>
      <c r="J62" s="8">
        <v>4988</v>
      </c>
      <c r="K62" s="8" t="s">
        <v>31</v>
      </c>
      <c r="L62" s="8" t="s">
        <v>32</v>
      </c>
      <c r="M62" s="8"/>
      <c r="N62" s="8" t="b">
        <v>0</v>
      </c>
      <c r="O62" s="10">
        <v>700958</v>
      </c>
      <c r="P62" s="8" t="s">
        <v>113</v>
      </c>
      <c r="Q62" s="8">
        <v>663940</v>
      </c>
      <c r="R62" s="9">
        <v>45199</v>
      </c>
      <c r="S62" s="8" t="s">
        <v>34</v>
      </c>
      <c r="T62" s="8" t="s">
        <v>40</v>
      </c>
      <c r="U62" s="8" t="s">
        <v>84</v>
      </c>
      <c r="V62" s="8" t="s">
        <v>46</v>
      </c>
      <c r="W62" s="8">
        <v>0</v>
      </c>
    </row>
    <row r="63" spans="1:23" x14ac:dyDescent="0.25">
      <c r="A63" s="4">
        <v>3</v>
      </c>
      <c r="B63" s="4"/>
      <c r="C63" s="4">
        <v>878270</v>
      </c>
      <c r="D63" s="4">
        <v>4988</v>
      </c>
      <c r="E63" s="5">
        <f t="shared" si="0"/>
        <v>0</v>
      </c>
      <c r="F63" s="6" t="s">
        <v>30</v>
      </c>
      <c r="G63" s="10">
        <v>328946701</v>
      </c>
      <c r="H63" s="9">
        <v>45201</v>
      </c>
      <c r="I63" s="9">
        <v>45216</v>
      </c>
      <c r="J63" s="8">
        <v>4988</v>
      </c>
      <c r="K63" s="8" t="s">
        <v>31</v>
      </c>
      <c r="L63" s="8" t="s">
        <v>32</v>
      </c>
      <c r="M63" s="8"/>
      <c r="N63" s="8" t="b">
        <v>0</v>
      </c>
      <c r="O63" s="10">
        <v>700957</v>
      </c>
      <c r="P63" s="8" t="s">
        <v>114</v>
      </c>
      <c r="Q63" s="8">
        <v>663939</v>
      </c>
      <c r="R63" s="9">
        <v>45199</v>
      </c>
      <c r="S63" s="8" t="s">
        <v>34</v>
      </c>
      <c r="T63" s="8" t="s">
        <v>40</v>
      </c>
      <c r="U63" s="8" t="s">
        <v>84</v>
      </c>
      <c r="V63" s="8" t="s">
        <v>46</v>
      </c>
      <c r="W63" s="8">
        <v>0</v>
      </c>
    </row>
    <row r="64" spans="1:23" x14ac:dyDescent="0.25">
      <c r="A64" s="4">
        <v>3</v>
      </c>
      <c r="B64" s="4"/>
      <c r="C64" s="4">
        <v>878271</v>
      </c>
      <c r="D64" s="4">
        <v>5105.16</v>
      </c>
      <c r="E64" s="5">
        <f t="shared" si="0"/>
        <v>-0.15999999999985448</v>
      </c>
      <c r="F64" s="6" t="s">
        <v>30</v>
      </c>
      <c r="G64" s="10">
        <v>328946702</v>
      </c>
      <c r="H64" s="9">
        <v>45201</v>
      </c>
      <c r="I64" s="9">
        <v>45216</v>
      </c>
      <c r="J64" s="8">
        <v>5105</v>
      </c>
      <c r="K64" s="8" t="s">
        <v>31</v>
      </c>
      <c r="L64" s="8" t="s">
        <v>32</v>
      </c>
      <c r="M64" s="8"/>
      <c r="N64" s="8" t="b">
        <v>0</v>
      </c>
      <c r="O64" s="10">
        <v>701369</v>
      </c>
      <c r="P64" s="8" t="s">
        <v>115</v>
      </c>
      <c r="Q64" s="8">
        <v>663953</v>
      </c>
      <c r="R64" s="9">
        <v>45199</v>
      </c>
      <c r="S64" s="8" t="s">
        <v>34</v>
      </c>
      <c r="T64" s="8" t="s">
        <v>40</v>
      </c>
      <c r="U64" s="8" t="s">
        <v>58</v>
      </c>
      <c r="V64" s="8" t="s">
        <v>46</v>
      </c>
      <c r="W64" s="8">
        <v>0</v>
      </c>
    </row>
    <row r="65" spans="1:23" x14ac:dyDescent="0.25">
      <c r="A65" s="4">
        <v>3</v>
      </c>
      <c r="B65" s="4"/>
      <c r="C65" s="4">
        <v>878272</v>
      </c>
      <c r="D65" s="4">
        <v>5105.16</v>
      </c>
      <c r="E65" s="5">
        <f t="shared" si="0"/>
        <v>-0.15999999999985448</v>
      </c>
      <c r="F65" s="6" t="s">
        <v>30</v>
      </c>
      <c r="G65" s="10">
        <v>328946703</v>
      </c>
      <c r="H65" s="9">
        <v>45201</v>
      </c>
      <c r="I65" s="9">
        <v>45216</v>
      </c>
      <c r="J65" s="8">
        <v>5105</v>
      </c>
      <c r="K65" s="8" t="s">
        <v>31</v>
      </c>
      <c r="L65" s="8" t="s">
        <v>32</v>
      </c>
      <c r="M65" s="8"/>
      <c r="N65" s="8" t="b">
        <v>0</v>
      </c>
      <c r="O65" s="10">
        <v>701368</v>
      </c>
      <c r="P65" s="8" t="s">
        <v>116</v>
      </c>
      <c r="Q65" s="8">
        <v>663952</v>
      </c>
      <c r="R65" s="9">
        <v>45199</v>
      </c>
      <c r="S65" s="8" t="s">
        <v>34</v>
      </c>
      <c r="T65" s="8" t="s">
        <v>40</v>
      </c>
      <c r="U65" s="8" t="s">
        <v>58</v>
      </c>
      <c r="V65" s="8" t="s">
        <v>46</v>
      </c>
      <c r="W65" s="8">
        <v>0</v>
      </c>
    </row>
    <row r="66" spans="1:23" x14ac:dyDescent="0.25">
      <c r="A66" s="4">
        <v>3</v>
      </c>
      <c r="B66" s="4"/>
      <c r="C66" s="4">
        <v>878273</v>
      </c>
      <c r="D66" s="4">
        <v>5105.16</v>
      </c>
      <c r="E66" s="5">
        <f t="shared" si="0"/>
        <v>-0.15999999999985448</v>
      </c>
      <c r="F66" s="6" t="s">
        <v>30</v>
      </c>
      <c r="G66" s="10">
        <v>328946706</v>
      </c>
      <c r="H66" s="9">
        <v>45201</v>
      </c>
      <c r="I66" s="9">
        <v>45216</v>
      </c>
      <c r="J66" s="8">
        <v>5105</v>
      </c>
      <c r="K66" s="8" t="s">
        <v>31</v>
      </c>
      <c r="L66" s="8" t="s">
        <v>32</v>
      </c>
      <c r="M66" s="8"/>
      <c r="N66" s="8" t="b">
        <v>0</v>
      </c>
      <c r="O66" s="10">
        <v>700967</v>
      </c>
      <c r="P66" s="8" t="s">
        <v>117</v>
      </c>
      <c r="Q66" s="8">
        <v>663949</v>
      </c>
      <c r="R66" s="9">
        <v>45199</v>
      </c>
      <c r="S66" s="8" t="s">
        <v>34</v>
      </c>
      <c r="T66" s="8" t="s">
        <v>40</v>
      </c>
      <c r="U66" s="8" t="s">
        <v>58</v>
      </c>
      <c r="V66" s="8" t="s">
        <v>46</v>
      </c>
      <c r="W66" s="8">
        <v>0</v>
      </c>
    </row>
    <row r="67" spans="1:23" x14ac:dyDescent="0.25">
      <c r="A67" s="4">
        <v>3</v>
      </c>
      <c r="B67" s="4"/>
      <c r="C67" s="4">
        <v>878274</v>
      </c>
      <c r="D67" s="4">
        <v>5105.16</v>
      </c>
      <c r="E67" s="5">
        <f t="shared" si="0"/>
        <v>-0.15999999999985448</v>
      </c>
      <c r="F67" s="6" t="s">
        <v>30</v>
      </c>
      <c r="G67" s="10">
        <v>328946709</v>
      </c>
      <c r="H67" s="9">
        <v>45201</v>
      </c>
      <c r="I67" s="9">
        <v>45216</v>
      </c>
      <c r="J67" s="8">
        <v>5105</v>
      </c>
      <c r="K67" s="8" t="s">
        <v>31</v>
      </c>
      <c r="L67" s="8" t="s">
        <v>32</v>
      </c>
      <c r="M67" s="8"/>
      <c r="N67" s="8" t="b">
        <v>0</v>
      </c>
      <c r="O67" s="10">
        <v>700966</v>
      </c>
      <c r="P67" s="8" t="s">
        <v>118</v>
      </c>
      <c r="Q67" s="8">
        <v>663947</v>
      </c>
      <c r="R67" s="9">
        <v>45199</v>
      </c>
      <c r="S67" s="8" t="s">
        <v>34</v>
      </c>
      <c r="T67" s="8" t="s">
        <v>40</v>
      </c>
      <c r="U67" s="8" t="s">
        <v>58</v>
      </c>
      <c r="V67" s="8" t="s">
        <v>46</v>
      </c>
      <c r="W67" s="8">
        <v>0</v>
      </c>
    </row>
    <row r="68" spans="1:23" x14ac:dyDescent="0.25">
      <c r="A68" s="4">
        <v>3</v>
      </c>
      <c r="B68" s="4"/>
      <c r="C68" s="4">
        <v>878264</v>
      </c>
      <c r="D68" s="4">
        <v>5105.16</v>
      </c>
      <c r="E68" s="5">
        <f t="shared" si="0"/>
        <v>-0.15999999999985448</v>
      </c>
      <c r="F68" s="6" t="s">
        <v>30</v>
      </c>
      <c r="G68" s="10">
        <v>328946711</v>
      </c>
      <c r="H68" s="9">
        <v>45201</v>
      </c>
      <c r="I68" s="9">
        <v>45216</v>
      </c>
      <c r="J68" s="8">
        <v>5105</v>
      </c>
      <c r="K68" s="8" t="s">
        <v>31</v>
      </c>
      <c r="L68" s="8" t="s">
        <v>32</v>
      </c>
      <c r="M68" s="8"/>
      <c r="N68" s="8" t="b">
        <v>0</v>
      </c>
      <c r="O68" s="10">
        <v>700965</v>
      </c>
      <c r="P68" s="8" t="s">
        <v>119</v>
      </c>
      <c r="Q68" s="8">
        <v>663943</v>
      </c>
      <c r="R68" s="9">
        <v>45199</v>
      </c>
      <c r="S68" s="8" t="s">
        <v>34</v>
      </c>
      <c r="T68" s="8" t="s">
        <v>40</v>
      </c>
      <c r="U68" s="8" t="s">
        <v>58</v>
      </c>
      <c r="V68" s="8" t="s">
        <v>46</v>
      </c>
      <c r="W68" s="8">
        <v>0</v>
      </c>
    </row>
    <row r="69" spans="1:23" x14ac:dyDescent="0.25">
      <c r="A69" s="4">
        <v>3</v>
      </c>
      <c r="B69" s="4"/>
      <c r="C69" s="4">
        <v>878280</v>
      </c>
      <c r="D69" s="4">
        <v>6333.64</v>
      </c>
      <c r="E69" s="5">
        <f t="shared" si="0"/>
        <v>0.35999999999967258</v>
      </c>
      <c r="F69" s="6" t="s">
        <v>30</v>
      </c>
      <c r="G69" s="10">
        <v>328950169</v>
      </c>
      <c r="H69" s="9">
        <v>45201</v>
      </c>
      <c r="I69" s="9">
        <v>45216</v>
      </c>
      <c r="J69" s="8">
        <v>6334</v>
      </c>
      <c r="K69" s="8" t="s">
        <v>31</v>
      </c>
      <c r="L69" s="8" t="s">
        <v>32</v>
      </c>
      <c r="M69" s="8"/>
      <c r="N69" s="8" t="b">
        <v>0</v>
      </c>
      <c r="O69" s="10">
        <v>20920</v>
      </c>
      <c r="P69" s="8" t="s">
        <v>120</v>
      </c>
      <c r="Q69" s="8">
        <v>664878</v>
      </c>
      <c r="R69" s="9">
        <v>45200</v>
      </c>
      <c r="S69" s="8" t="s">
        <v>34</v>
      </c>
      <c r="T69" s="8" t="s">
        <v>35</v>
      </c>
      <c r="U69" s="8" t="s">
        <v>36</v>
      </c>
      <c r="V69" s="8" t="s">
        <v>37</v>
      </c>
      <c r="W69" s="8">
        <v>0</v>
      </c>
    </row>
    <row r="70" spans="1:23" x14ac:dyDescent="0.25">
      <c r="A70" s="4">
        <v>3</v>
      </c>
      <c r="B70" s="4"/>
      <c r="C70" s="4">
        <v>878279</v>
      </c>
      <c r="D70" s="4">
        <v>6333.64</v>
      </c>
      <c r="E70" s="5">
        <f t="shared" ref="E70:E133" si="1">J70-D70</f>
        <v>0.35999999999967258</v>
      </c>
      <c r="F70" s="6" t="s">
        <v>30</v>
      </c>
      <c r="G70" s="10">
        <v>328950170</v>
      </c>
      <c r="H70" s="9">
        <v>45201</v>
      </c>
      <c r="I70" s="9">
        <v>45216</v>
      </c>
      <c r="J70" s="8">
        <v>6334</v>
      </c>
      <c r="K70" s="8" t="s">
        <v>31</v>
      </c>
      <c r="L70" s="8" t="s">
        <v>32</v>
      </c>
      <c r="M70" s="8"/>
      <c r="N70" s="8" t="b">
        <v>0</v>
      </c>
      <c r="O70" s="10">
        <v>20921</v>
      </c>
      <c r="P70" s="8" t="s">
        <v>121</v>
      </c>
      <c r="Q70" s="8">
        <v>664879</v>
      </c>
      <c r="R70" s="9">
        <v>45200</v>
      </c>
      <c r="S70" s="8" t="s">
        <v>34</v>
      </c>
      <c r="T70" s="8" t="s">
        <v>35</v>
      </c>
      <c r="U70" s="8" t="s">
        <v>36</v>
      </c>
      <c r="V70" s="8" t="s">
        <v>37</v>
      </c>
      <c r="W70" s="8">
        <v>0</v>
      </c>
    </row>
    <row r="71" spans="1:23" x14ac:dyDescent="0.25">
      <c r="A71" s="4">
        <v>3</v>
      </c>
      <c r="B71" s="4"/>
      <c r="C71" s="4">
        <v>878281</v>
      </c>
      <c r="D71" s="4">
        <v>6333.64</v>
      </c>
      <c r="E71" s="5">
        <f t="shared" si="1"/>
        <v>0.35999999999967258</v>
      </c>
      <c r="F71" s="6" t="s">
        <v>30</v>
      </c>
      <c r="G71" s="10">
        <v>328950172</v>
      </c>
      <c r="H71" s="9">
        <v>45201</v>
      </c>
      <c r="I71" s="9">
        <v>45216</v>
      </c>
      <c r="J71" s="8">
        <v>6334</v>
      </c>
      <c r="K71" s="8" t="s">
        <v>31</v>
      </c>
      <c r="L71" s="8" t="s">
        <v>32</v>
      </c>
      <c r="M71" s="8"/>
      <c r="N71" s="8" t="b">
        <v>0</v>
      </c>
      <c r="O71" s="10">
        <v>20919</v>
      </c>
      <c r="P71" s="8" t="s">
        <v>122</v>
      </c>
      <c r="Q71" s="8">
        <v>664877</v>
      </c>
      <c r="R71" s="9">
        <v>45200</v>
      </c>
      <c r="S71" s="8" t="s">
        <v>34</v>
      </c>
      <c r="T71" s="8" t="s">
        <v>35</v>
      </c>
      <c r="U71" s="8" t="s">
        <v>36</v>
      </c>
      <c r="V71" s="8" t="s">
        <v>37</v>
      </c>
      <c r="W71" s="8">
        <v>0</v>
      </c>
    </row>
    <row r="72" spans="1:23" x14ac:dyDescent="0.25">
      <c r="A72" s="4">
        <v>3</v>
      </c>
      <c r="B72" s="4"/>
      <c r="C72" s="4">
        <v>878284</v>
      </c>
      <c r="D72" s="4">
        <v>25905.599999999999</v>
      </c>
      <c r="E72" s="5">
        <f t="shared" si="1"/>
        <v>2.4000000000014552</v>
      </c>
      <c r="F72" s="6" t="s">
        <v>30</v>
      </c>
      <c r="G72" s="10">
        <v>328962671</v>
      </c>
      <c r="H72" s="9">
        <v>45201</v>
      </c>
      <c r="I72" s="9">
        <v>45216</v>
      </c>
      <c r="J72" s="8">
        <v>25908</v>
      </c>
      <c r="K72" s="8" t="s">
        <v>31</v>
      </c>
      <c r="L72" s="8" t="s">
        <v>32</v>
      </c>
      <c r="M72" s="8"/>
      <c r="N72" s="8" t="b">
        <v>0</v>
      </c>
      <c r="O72" s="10"/>
      <c r="P72" s="8" t="s">
        <v>123</v>
      </c>
      <c r="Q72" s="8">
        <v>570251</v>
      </c>
      <c r="R72" s="9">
        <v>45194</v>
      </c>
      <c r="S72" s="8" t="s">
        <v>34</v>
      </c>
      <c r="T72" s="8" t="s">
        <v>49</v>
      </c>
      <c r="U72" s="8" t="s">
        <v>75</v>
      </c>
      <c r="V72" s="8" t="s">
        <v>46</v>
      </c>
      <c r="W72" s="8">
        <v>0</v>
      </c>
    </row>
    <row r="73" spans="1:23" x14ac:dyDescent="0.25">
      <c r="A73" s="4">
        <v>3</v>
      </c>
      <c r="B73" s="4"/>
      <c r="C73" s="4">
        <v>878276</v>
      </c>
      <c r="D73" s="4">
        <v>5147.96</v>
      </c>
      <c r="E73" s="5">
        <f t="shared" si="1"/>
        <v>3.999999999996362E-2</v>
      </c>
      <c r="F73" s="6" t="s">
        <v>30</v>
      </c>
      <c r="G73" s="10">
        <v>328967100</v>
      </c>
      <c r="H73" s="9">
        <v>45201</v>
      </c>
      <c r="I73" s="9">
        <v>45216</v>
      </c>
      <c r="J73" s="8">
        <v>5148</v>
      </c>
      <c r="K73" s="8" t="s">
        <v>31</v>
      </c>
      <c r="L73" s="8" t="s">
        <v>32</v>
      </c>
      <c r="M73" s="8"/>
      <c r="N73" s="8" t="b">
        <v>0</v>
      </c>
      <c r="O73" s="10">
        <v>701392</v>
      </c>
      <c r="P73" s="8" t="s">
        <v>124</v>
      </c>
      <c r="Q73" s="8">
        <v>674461</v>
      </c>
      <c r="R73" s="9">
        <v>45201</v>
      </c>
      <c r="S73" s="8" t="s">
        <v>34</v>
      </c>
      <c r="T73" s="8" t="s">
        <v>44</v>
      </c>
      <c r="U73" s="8" t="s">
        <v>45</v>
      </c>
      <c r="V73" s="8" t="s">
        <v>46</v>
      </c>
      <c r="W73" s="8">
        <v>0</v>
      </c>
    </row>
    <row r="74" spans="1:23" x14ac:dyDescent="0.25">
      <c r="A74" s="4">
        <v>3</v>
      </c>
      <c r="B74" s="4"/>
      <c r="C74" s="4">
        <v>878277</v>
      </c>
      <c r="D74" s="4">
        <v>5147.96</v>
      </c>
      <c r="E74" s="5">
        <f t="shared" si="1"/>
        <v>3.999999999996362E-2</v>
      </c>
      <c r="F74" s="6" t="s">
        <v>30</v>
      </c>
      <c r="G74" s="10">
        <v>328967160</v>
      </c>
      <c r="H74" s="9">
        <v>45201</v>
      </c>
      <c r="I74" s="9">
        <v>45216</v>
      </c>
      <c r="J74" s="8">
        <v>5148</v>
      </c>
      <c r="K74" s="8" t="s">
        <v>31</v>
      </c>
      <c r="L74" s="8" t="s">
        <v>32</v>
      </c>
      <c r="M74" s="8"/>
      <c r="N74" s="8" t="b">
        <v>0</v>
      </c>
      <c r="O74" s="10">
        <v>701393</v>
      </c>
      <c r="P74" s="8" t="s">
        <v>125</v>
      </c>
      <c r="Q74" s="8">
        <v>674465</v>
      </c>
      <c r="R74" s="9">
        <v>45201</v>
      </c>
      <c r="S74" s="8" t="s">
        <v>34</v>
      </c>
      <c r="T74" s="8" t="s">
        <v>44</v>
      </c>
      <c r="U74" s="8" t="s">
        <v>45</v>
      </c>
      <c r="V74" s="8" t="s">
        <v>46</v>
      </c>
      <c r="W74" s="8">
        <v>0</v>
      </c>
    </row>
    <row r="75" spans="1:23" x14ac:dyDescent="0.25">
      <c r="A75" s="4">
        <v>3</v>
      </c>
      <c r="B75" s="4"/>
      <c r="C75" s="4">
        <v>878286</v>
      </c>
      <c r="D75" s="4">
        <v>87472</v>
      </c>
      <c r="E75" s="5">
        <f t="shared" si="1"/>
        <v>8</v>
      </c>
      <c r="F75" s="6" t="s">
        <v>30</v>
      </c>
      <c r="G75" s="10">
        <v>328967933</v>
      </c>
      <c r="H75" s="9">
        <v>45201</v>
      </c>
      <c r="I75" s="9">
        <v>45216</v>
      </c>
      <c r="J75" s="8">
        <v>87480</v>
      </c>
      <c r="K75" s="8" t="s">
        <v>31</v>
      </c>
      <c r="L75" s="8" t="s">
        <v>32</v>
      </c>
      <c r="M75" s="8"/>
      <c r="N75" s="8" t="b">
        <v>0</v>
      </c>
      <c r="O75" s="10"/>
      <c r="P75" s="8" t="s">
        <v>126</v>
      </c>
      <c r="Q75" s="8">
        <v>675367</v>
      </c>
      <c r="R75" s="9">
        <v>45201</v>
      </c>
      <c r="S75" s="8" t="s">
        <v>34</v>
      </c>
      <c r="T75" s="8" t="s">
        <v>49</v>
      </c>
      <c r="U75" s="8" t="s">
        <v>75</v>
      </c>
      <c r="V75" s="8" t="s">
        <v>46</v>
      </c>
      <c r="W75" s="8">
        <v>0</v>
      </c>
    </row>
    <row r="76" spans="1:23" x14ac:dyDescent="0.25">
      <c r="A76" s="4">
        <v>3</v>
      </c>
      <c r="B76" s="4"/>
      <c r="C76" s="4">
        <v>878287</v>
      </c>
      <c r="D76" s="4">
        <v>6374.58</v>
      </c>
      <c r="E76" s="5">
        <f t="shared" si="1"/>
        <v>0.42000000000007276</v>
      </c>
      <c r="F76" s="6" t="s">
        <v>30</v>
      </c>
      <c r="G76" s="10">
        <v>328972112</v>
      </c>
      <c r="H76" s="9">
        <v>45201</v>
      </c>
      <c r="I76" s="9">
        <v>45216</v>
      </c>
      <c r="J76" s="8">
        <v>6375</v>
      </c>
      <c r="K76" s="8" t="s">
        <v>31</v>
      </c>
      <c r="L76" s="8" t="s">
        <v>32</v>
      </c>
      <c r="M76" s="8"/>
      <c r="N76" s="8" t="b">
        <v>0</v>
      </c>
      <c r="O76" s="10">
        <v>20927</v>
      </c>
      <c r="P76" s="8" t="s">
        <v>127</v>
      </c>
      <c r="Q76" s="8">
        <v>678825</v>
      </c>
      <c r="R76" s="9">
        <v>45201</v>
      </c>
      <c r="S76" s="8" t="s">
        <v>48</v>
      </c>
      <c r="T76" s="8" t="s">
        <v>40</v>
      </c>
      <c r="U76" s="8" t="s">
        <v>50</v>
      </c>
      <c r="V76" s="8" t="s">
        <v>37</v>
      </c>
      <c r="W76" s="8">
        <v>0</v>
      </c>
    </row>
    <row r="77" spans="1:23" x14ac:dyDescent="0.25">
      <c r="A77" s="4">
        <v>3</v>
      </c>
      <c r="B77" s="4"/>
      <c r="C77" s="4">
        <v>878288</v>
      </c>
      <c r="D77" s="4">
        <v>6374.58</v>
      </c>
      <c r="E77" s="5">
        <f t="shared" si="1"/>
        <v>0.42000000000007276</v>
      </c>
      <c r="F77" s="6" t="s">
        <v>30</v>
      </c>
      <c r="G77" s="10">
        <v>328972150</v>
      </c>
      <c r="H77" s="9">
        <v>45201</v>
      </c>
      <c r="I77" s="9">
        <v>45216</v>
      </c>
      <c r="J77" s="8">
        <v>6375</v>
      </c>
      <c r="K77" s="8" t="s">
        <v>31</v>
      </c>
      <c r="L77" s="8" t="s">
        <v>32</v>
      </c>
      <c r="M77" s="8"/>
      <c r="N77" s="8" t="b">
        <v>0</v>
      </c>
      <c r="O77" s="10">
        <v>20926</v>
      </c>
      <c r="P77" s="8" t="s">
        <v>128</v>
      </c>
      <c r="Q77" s="8">
        <v>678807</v>
      </c>
      <c r="R77" s="9">
        <v>45201</v>
      </c>
      <c r="S77" s="8" t="s">
        <v>48</v>
      </c>
      <c r="T77" s="8" t="s">
        <v>40</v>
      </c>
      <c r="U77" s="8" t="s">
        <v>50</v>
      </c>
      <c r="V77" s="8" t="s">
        <v>37</v>
      </c>
      <c r="W77" s="8">
        <v>0</v>
      </c>
    </row>
    <row r="78" spans="1:23" x14ac:dyDescent="0.25">
      <c r="A78" s="4">
        <v>3</v>
      </c>
      <c r="B78" s="4"/>
      <c r="C78" s="4">
        <v>878487</v>
      </c>
      <c r="D78" s="4">
        <v>9263.8799999999992</v>
      </c>
      <c r="E78" s="5">
        <f t="shared" si="1"/>
        <v>0.12000000000080036</v>
      </c>
      <c r="F78" s="6" t="s">
        <v>30</v>
      </c>
      <c r="G78" s="10">
        <v>328984270</v>
      </c>
      <c r="H78" s="9">
        <v>45202</v>
      </c>
      <c r="I78" s="9">
        <v>45217</v>
      </c>
      <c r="J78" s="8">
        <v>9264</v>
      </c>
      <c r="K78" s="8" t="s">
        <v>31</v>
      </c>
      <c r="L78" s="8" t="s">
        <v>32</v>
      </c>
      <c r="M78" s="8"/>
      <c r="N78" s="8" t="b">
        <v>0</v>
      </c>
      <c r="O78" s="10">
        <v>700587</v>
      </c>
      <c r="P78" s="8" t="s">
        <v>129</v>
      </c>
      <c r="Q78" s="8">
        <v>686001</v>
      </c>
      <c r="R78" s="9">
        <v>45202</v>
      </c>
      <c r="S78" s="8" t="s">
        <v>130</v>
      </c>
      <c r="T78" s="8" t="s">
        <v>40</v>
      </c>
      <c r="U78" s="8" t="s">
        <v>131</v>
      </c>
      <c r="V78" s="8" t="s">
        <v>132</v>
      </c>
      <c r="W78" s="8">
        <v>0</v>
      </c>
    </row>
    <row r="79" spans="1:23" x14ac:dyDescent="0.25">
      <c r="A79" s="4">
        <v>3</v>
      </c>
      <c r="B79" s="4"/>
      <c r="C79" s="4">
        <v>878488</v>
      </c>
      <c r="D79" s="4">
        <v>7980.88</v>
      </c>
      <c r="E79" s="5">
        <f t="shared" si="1"/>
        <v>0.11999999999989086</v>
      </c>
      <c r="F79" s="6" t="s">
        <v>30</v>
      </c>
      <c r="G79" s="10">
        <v>328984650</v>
      </c>
      <c r="H79" s="9">
        <v>45202</v>
      </c>
      <c r="I79" s="9">
        <v>45217</v>
      </c>
      <c r="J79" s="8">
        <v>7981</v>
      </c>
      <c r="K79" s="8" t="s">
        <v>31</v>
      </c>
      <c r="L79" s="8" t="s">
        <v>32</v>
      </c>
      <c r="M79" s="8"/>
      <c r="N79" s="8" t="b">
        <v>0</v>
      </c>
      <c r="O79" s="10">
        <v>701495</v>
      </c>
      <c r="P79" s="8" t="s">
        <v>133</v>
      </c>
      <c r="Q79" s="8">
        <v>686549</v>
      </c>
      <c r="R79" s="9">
        <v>45202</v>
      </c>
      <c r="S79" s="8" t="s">
        <v>34</v>
      </c>
      <c r="T79" s="8" t="s">
        <v>40</v>
      </c>
      <c r="U79" s="8" t="s">
        <v>88</v>
      </c>
      <c r="V79" s="8" t="s">
        <v>72</v>
      </c>
      <c r="W79" s="8">
        <v>0</v>
      </c>
    </row>
    <row r="80" spans="1:23" x14ac:dyDescent="0.25">
      <c r="A80" s="4">
        <v>3</v>
      </c>
      <c r="B80" s="4"/>
      <c r="C80" s="4">
        <v>878489</v>
      </c>
      <c r="D80" s="4">
        <v>7980.88</v>
      </c>
      <c r="E80" s="5">
        <f t="shared" si="1"/>
        <v>0.11999999999989086</v>
      </c>
      <c r="F80" s="6" t="s">
        <v>30</v>
      </c>
      <c r="G80" s="10">
        <v>328984681</v>
      </c>
      <c r="H80" s="9">
        <v>45202</v>
      </c>
      <c r="I80" s="9">
        <v>45217</v>
      </c>
      <c r="J80" s="8">
        <v>7981</v>
      </c>
      <c r="K80" s="8" t="s">
        <v>31</v>
      </c>
      <c r="L80" s="8" t="s">
        <v>32</v>
      </c>
      <c r="M80" s="8"/>
      <c r="N80" s="8" t="b">
        <v>0</v>
      </c>
      <c r="O80" s="10">
        <v>701496</v>
      </c>
      <c r="P80" s="8" t="s">
        <v>134</v>
      </c>
      <c r="Q80" s="8">
        <v>686551</v>
      </c>
      <c r="R80" s="9">
        <v>45202</v>
      </c>
      <c r="S80" s="8" t="s">
        <v>34</v>
      </c>
      <c r="T80" s="8" t="s">
        <v>40</v>
      </c>
      <c r="U80" s="8" t="s">
        <v>88</v>
      </c>
      <c r="V80" s="8" t="s">
        <v>72</v>
      </c>
      <c r="W80" s="8">
        <v>0</v>
      </c>
    </row>
    <row r="81" spans="1:23" x14ac:dyDescent="0.25">
      <c r="A81" s="4">
        <v>3</v>
      </c>
      <c r="B81" s="4"/>
      <c r="C81" s="4">
        <v>878493</v>
      </c>
      <c r="D81" s="4">
        <v>7001.24</v>
      </c>
      <c r="E81" s="5">
        <f t="shared" si="1"/>
        <v>-0.23999999999978172</v>
      </c>
      <c r="F81" s="6" t="s">
        <v>30</v>
      </c>
      <c r="G81" s="10">
        <v>328992752</v>
      </c>
      <c r="H81" s="9">
        <v>45202</v>
      </c>
      <c r="I81" s="9">
        <v>45217</v>
      </c>
      <c r="J81" s="8">
        <v>7001</v>
      </c>
      <c r="K81" s="8" t="s">
        <v>31</v>
      </c>
      <c r="L81" s="8" t="s">
        <v>32</v>
      </c>
      <c r="M81" s="8"/>
      <c r="N81" s="8" t="b">
        <v>0</v>
      </c>
      <c r="O81" s="10">
        <v>20907</v>
      </c>
      <c r="P81" s="8" t="s">
        <v>135</v>
      </c>
      <c r="Q81" s="8">
        <v>695368</v>
      </c>
      <c r="R81" s="9">
        <v>45202</v>
      </c>
      <c r="S81" s="8" t="s">
        <v>39</v>
      </c>
      <c r="T81" s="8" t="s">
        <v>40</v>
      </c>
      <c r="U81" s="8" t="s">
        <v>41</v>
      </c>
      <c r="V81" s="8" t="s">
        <v>42</v>
      </c>
      <c r="W81" s="8">
        <v>0</v>
      </c>
    </row>
    <row r="82" spans="1:23" x14ac:dyDescent="0.25">
      <c r="A82" s="4">
        <v>3</v>
      </c>
      <c r="B82" s="4"/>
      <c r="C82" s="4">
        <v>878494</v>
      </c>
      <c r="D82" s="4">
        <v>7001.24</v>
      </c>
      <c r="E82" s="5">
        <f t="shared" si="1"/>
        <v>-0.23999999999978172</v>
      </c>
      <c r="F82" s="6" t="s">
        <v>30</v>
      </c>
      <c r="G82" s="10">
        <v>328992839</v>
      </c>
      <c r="H82" s="9">
        <v>45202</v>
      </c>
      <c r="I82" s="9">
        <v>45217</v>
      </c>
      <c r="J82" s="8">
        <v>7001</v>
      </c>
      <c r="K82" s="8" t="s">
        <v>31</v>
      </c>
      <c r="L82" s="8" t="s">
        <v>32</v>
      </c>
      <c r="M82" s="8"/>
      <c r="N82" s="8" t="b">
        <v>0</v>
      </c>
      <c r="O82" s="10">
        <v>20906</v>
      </c>
      <c r="P82" s="8" t="s">
        <v>136</v>
      </c>
      <c r="Q82" s="8">
        <v>695354</v>
      </c>
      <c r="R82" s="9">
        <v>45202</v>
      </c>
      <c r="S82" s="8" t="s">
        <v>39</v>
      </c>
      <c r="T82" s="8" t="s">
        <v>40</v>
      </c>
      <c r="U82" s="8" t="s">
        <v>41</v>
      </c>
      <c r="V82" s="8" t="s">
        <v>42</v>
      </c>
      <c r="W82" s="8">
        <v>0</v>
      </c>
    </row>
    <row r="83" spans="1:23" x14ac:dyDescent="0.25">
      <c r="A83" s="4">
        <v>3</v>
      </c>
      <c r="B83" s="4"/>
      <c r="C83" s="4">
        <v>878495</v>
      </c>
      <c r="D83" s="4">
        <v>7001.24</v>
      </c>
      <c r="E83" s="5">
        <f t="shared" si="1"/>
        <v>-0.23999999999978172</v>
      </c>
      <c r="F83" s="6" t="s">
        <v>30</v>
      </c>
      <c r="G83" s="10">
        <v>328992890</v>
      </c>
      <c r="H83" s="9">
        <v>45202</v>
      </c>
      <c r="I83" s="9">
        <v>45217</v>
      </c>
      <c r="J83" s="8">
        <v>7001</v>
      </c>
      <c r="K83" s="8" t="s">
        <v>31</v>
      </c>
      <c r="L83" s="8" t="s">
        <v>32</v>
      </c>
      <c r="M83" s="8"/>
      <c r="N83" s="8" t="b">
        <v>0</v>
      </c>
      <c r="O83" s="10">
        <v>20905</v>
      </c>
      <c r="P83" s="8" t="s">
        <v>137</v>
      </c>
      <c r="Q83" s="8">
        <v>695331</v>
      </c>
      <c r="R83" s="9">
        <v>45202</v>
      </c>
      <c r="S83" s="8" t="s">
        <v>39</v>
      </c>
      <c r="T83" s="8" t="s">
        <v>40</v>
      </c>
      <c r="U83" s="8" t="s">
        <v>41</v>
      </c>
      <c r="V83" s="8" t="s">
        <v>42</v>
      </c>
      <c r="W83" s="8">
        <v>0</v>
      </c>
    </row>
    <row r="84" spans="1:23" x14ac:dyDescent="0.25">
      <c r="A84" s="4">
        <v>3</v>
      </c>
      <c r="B84" s="4"/>
      <c r="C84" s="4">
        <v>878490</v>
      </c>
      <c r="D84" s="4">
        <v>7980.88</v>
      </c>
      <c r="E84" s="5">
        <f t="shared" si="1"/>
        <v>0.11999999999989086</v>
      </c>
      <c r="F84" s="6" t="s">
        <v>30</v>
      </c>
      <c r="G84" s="10">
        <v>328992901</v>
      </c>
      <c r="H84" s="9">
        <v>45202</v>
      </c>
      <c r="I84" s="9">
        <v>45217</v>
      </c>
      <c r="J84" s="8">
        <v>7981</v>
      </c>
      <c r="K84" s="8" t="s">
        <v>31</v>
      </c>
      <c r="L84" s="8" t="s">
        <v>32</v>
      </c>
      <c r="M84" s="8"/>
      <c r="N84" s="8" t="b">
        <v>0</v>
      </c>
      <c r="O84" s="10">
        <v>701497</v>
      </c>
      <c r="P84" s="8" t="s">
        <v>138</v>
      </c>
      <c r="Q84" s="8">
        <v>695392</v>
      </c>
      <c r="R84" s="9">
        <v>45202</v>
      </c>
      <c r="S84" s="8" t="s">
        <v>34</v>
      </c>
      <c r="T84" s="8" t="s">
        <v>40</v>
      </c>
      <c r="U84" s="8" t="s">
        <v>88</v>
      </c>
      <c r="V84" s="8" t="s">
        <v>72</v>
      </c>
      <c r="W84" s="8">
        <v>0</v>
      </c>
    </row>
    <row r="85" spans="1:23" x14ac:dyDescent="0.25">
      <c r="A85" s="4">
        <v>3</v>
      </c>
      <c r="B85" s="4"/>
      <c r="C85" s="4">
        <v>878492</v>
      </c>
      <c r="D85" s="4">
        <v>6374.58</v>
      </c>
      <c r="E85" s="5">
        <f t="shared" si="1"/>
        <v>0.42000000000007276</v>
      </c>
      <c r="F85" s="6" t="s">
        <v>30</v>
      </c>
      <c r="G85" s="10">
        <v>328994833</v>
      </c>
      <c r="H85" s="9">
        <v>45202</v>
      </c>
      <c r="I85" s="9">
        <v>45217</v>
      </c>
      <c r="J85" s="8">
        <v>6375</v>
      </c>
      <c r="K85" s="8" t="s">
        <v>31</v>
      </c>
      <c r="L85" s="8" t="s">
        <v>32</v>
      </c>
      <c r="M85" s="8"/>
      <c r="N85" s="8" t="b">
        <v>0</v>
      </c>
      <c r="O85" s="10">
        <v>20925</v>
      </c>
      <c r="P85" s="8" t="s">
        <v>139</v>
      </c>
      <c r="Q85" s="8">
        <v>696352</v>
      </c>
      <c r="R85" s="9">
        <v>45202</v>
      </c>
      <c r="S85" s="8" t="s">
        <v>48</v>
      </c>
      <c r="T85" s="8" t="s">
        <v>40</v>
      </c>
      <c r="U85" s="8" t="s">
        <v>50</v>
      </c>
      <c r="V85" s="8" t="s">
        <v>37</v>
      </c>
      <c r="W85" s="8">
        <v>0</v>
      </c>
    </row>
    <row r="86" spans="1:23" x14ac:dyDescent="0.25">
      <c r="A86" s="4">
        <v>3</v>
      </c>
      <c r="B86" s="4"/>
      <c r="C86" s="4">
        <v>878483</v>
      </c>
      <c r="D86" s="4">
        <v>7980.88</v>
      </c>
      <c r="E86" s="5">
        <f t="shared" si="1"/>
        <v>0.11999999999989086</v>
      </c>
      <c r="F86" s="6" t="s">
        <v>30</v>
      </c>
      <c r="G86" s="10">
        <v>329008161</v>
      </c>
      <c r="H86" s="9">
        <v>45203</v>
      </c>
      <c r="I86" s="9">
        <v>45218</v>
      </c>
      <c r="J86" s="8">
        <v>7981</v>
      </c>
      <c r="K86" s="8" t="s">
        <v>31</v>
      </c>
      <c r="L86" s="8" t="s">
        <v>32</v>
      </c>
      <c r="M86" s="8"/>
      <c r="N86" s="8" t="b">
        <v>0</v>
      </c>
      <c r="O86" s="10">
        <v>701499</v>
      </c>
      <c r="P86" s="8" t="s">
        <v>140</v>
      </c>
      <c r="Q86" s="8">
        <v>105329</v>
      </c>
      <c r="R86" s="9">
        <v>45203</v>
      </c>
      <c r="S86" s="8" t="s">
        <v>34</v>
      </c>
      <c r="T86" s="8" t="s">
        <v>40</v>
      </c>
      <c r="U86" s="8" t="s">
        <v>88</v>
      </c>
      <c r="V86" s="8" t="s">
        <v>72</v>
      </c>
      <c r="W86" s="8">
        <v>0</v>
      </c>
    </row>
    <row r="87" spans="1:23" x14ac:dyDescent="0.25">
      <c r="A87" s="4">
        <v>3</v>
      </c>
      <c r="B87" s="4"/>
      <c r="C87" s="4">
        <v>878484</v>
      </c>
      <c r="D87" s="4">
        <v>7980.88</v>
      </c>
      <c r="E87" s="5">
        <f t="shared" si="1"/>
        <v>0.11999999999989086</v>
      </c>
      <c r="F87" s="6" t="s">
        <v>30</v>
      </c>
      <c r="G87" s="10">
        <v>329008190</v>
      </c>
      <c r="H87" s="9">
        <v>45203</v>
      </c>
      <c r="I87" s="9">
        <v>45218</v>
      </c>
      <c r="J87" s="8">
        <v>7981</v>
      </c>
      <c r="K87" s="8" t="s">
        <v>31</v>
      </c>
      <c r="L87" s="8" t="s">
        <v>32</v>
      </c>
      <c r="M87" s="8"/>
      <c r="N87" s="8" t="b">
        <v>0</v>
      </c>
      <c r="O87" s="10">
        <v>701500</v>
      </c>
      <c r="P87" s="8" t="s">
        <v>141</v>
      </c>
      <c r="Q87" s="8">
        <v>105336</v>
      </c>
      <c r="R87" s="9">
        <v>45203</v>
      </c>
      <c r="S87" s="8" t="s">
        <v>34</v>
      </c>
      <c r="T87" s="8" t="s">
        <v>40</v>
      </c>
      <c r="U87" s="8" t="s">
        <v>88</v>
      </c>
      <c r="V87" s="8" t="s">
        <v>72</v>
      </c>
      <c r="W87" s="8">
        <v>0</v>
      </c>
    </row>
    <row r="88" spans="1:23" x14ac:dyDescent="0.25">
      <c r="A88" s="4">
        <v>3</v>
      </c>
      <c r="B88" s="4"/>
      <c r="C88" s="4">
        <v>878486</v>
      </c>
      <c r="D88" s="4">
        <v>5173.26</v>
      </c>
      <c r="E88" s="5">
        <f t="shared" si="1"/>
        <v>-0.26000000000021828</v>
      </c>
      <c r="F88" s="6" t="s">
        <v>30</v>
      </c>
      <c r="G88" s="10">
        <v>329008196</v>
      </c>
      <c r="H88" s="9">
        <v>45203</v>
      </c>
      <c r="I88" s="9">
        <v>45218</v>
      </c>
      <c r="J88" s="8">
        <v>5173</v>
      </c>
      <c r="K88" s="8" t="s">
        <v>31</v>
      </c>
      <c r="L88" s="8" t="s">
        <v>32</v>
      </c>
      <c r="M88" s="8"/>
      <c r="N88" s="8" t="b">
        <v>0</v>
      </c>
      <c r="O88" s="10">
        <v>701816</v>
      </c>
      <c r="P88" s="8" t="s">
        <v>142</v>
      </c>
      <c r="Q88" s="8">
        <v>105380</v>
      </c>
      <c r="R88" s="9">
        <v>45203</v>
      </c>
      <c r="S88" s="8" t="s">
        <v>34</v>
      </c>
      <c r="T88" s="8" t="s">
        <v>40</v>
      </c>
      <c r="U88" s="8" t="s">
        <v>58</v>
      </c>
      <c r="V88" s="8" t="s">
        <v>46</v>
      </c>
      <c r="W88" s="8">
        <v>0</v>
      </c>
    </row>
    <row r="89" spans="1:23" x14ac:dyDescent="0.25">
      <c r="A89" s="4">
        <v>3</v>
      </c>
      <c r="B89" s="4"/>
      <c r="C89" s="4">
        <v>878482</v>
      </c>
      <c r="D89" s="4">
        <v>7980.88</v>
      </c>
      <c r="E89" s="5">
        <f t="shared" si="1"/>
        <v>0.11999999999989086</v>
      </c>
      <c r="F89" s="6" t="s">
        <v>30</v>
      </c>
      <c r="G89" s="10">
        <v>329008213</v>
      </c>
      <c r="H89" s="9">
        <v>45203</v>
      </c>
      <c r="I89" s="9">
        <v>45218</v>
      </c>
      <c r="J89" s="8">
        <v>7981</v>
      </c>
      <c r="K89" s="8" t="s">
        <v>31</v>
      </c>
      <c r="L89" s="8" t="s">
        <v>32</v>
      </c>
      <c r="M89" s="8"/>
      <c r="N89" s="8" t="b">
        <v>0</v>
      </c>
      <c r="O89" s="10">
        <v>701498</v>
      </c>
      <c r="P89" s="8" t="s">
        <v>143</v>
      </c>
      <c r="Q89" s="8">
        <v>105321</v>
      </c>
      <c r="R89" s="9">
        <v>45203</v>
      </c>
      <c r="S89" s="8" t="s">
        <v>34</v>
      </c>
      <c r="T89" s="8" t="s">
        <v>40</v>
      </c>
      <c r="U89" s="8" t="s">
        <v>88</v>
      </c>
      <c r="V89" s="8" t="s">
        <v>72</v>
      </c>
      <c r="W89" s="8">
        <v>0</v>
      </c>
    </row>
    <row r="90" spans="1:23" x14ac:dyDescent="0.25">
      <c r="A90" s="4">
        <v>3</v>
      </c>
      <c r="B90" s="4"/>
      <c r="C90" s="4">
        <v>878485</v>
      </c>
      <c r="D90" s="4">
        <v>5173.26</v>
      </c>
      <c r="E90" s="5">
        <f t="shared" si="1"/>
        <v>-0.26000000000021828</v>
      </c>
      <c r="F90" s="6" t="s">
        <v>30</v>
      </c>
      <c r="G90" s="10">
        <v>329008257</v>
      </c>
      <c r="H90" s="9">
        <v>45203</v>
      </c>
      <c r="I90" s="9">
        <v>45218</v>
      </c>
      <c r="J90" s="8">
        <v>5173</v>
      </c>
      <c r="K90" s="8" t="s">
        <v>31</v>
      </c>
      <c r="L90" s="8" t="s">
        <v>32</v>
      </c>
      <c r="M90" s="8"/>
      <c r="N90" s="8" t="b">
        <v>0</v>
      </c>
      <c r="O90" s="10">
        <v>701815</v>
      </c>
      <c r="P90" s="8" t="s">
        <v>144</v>
      </c>
      <c r="Q90" s="8">
        <v>105373</v>
      </c>
      <c r="R90" s="9">
        <v>45203</v>
      </c>
      <c r="S90" s="8" t="s">
        <v>34</v>
      </c>
      <c r="T90" s="8" t="s">
        <v>40</v>
      </c>
      <c r="U90" s="8" t="s">
        <v>58</v>
      </c>
      <c r="V90" s="8" t="s">
        <v>46</v>
      </c>
      <c r="W90" s="8">
        <v>0</v>
      </c>
    </row>
    <row r="91" spans="1:23" x14ac:dyDescent="0.25">
      <c r="A91" s="4">
        <v>1</v>
      </c>
      <c r="B91" s="4" t="s">
        <v>145</v>
      </c>
      <c r="C91" s="4" t="s">
        <v>146</v>
      </c>
      <c r="D91" s="4">
        <v>41172.800000000003</v>
      </c>
      <c r="E91" s="5">
        <f t="shared" si="1"/>
        <v>2.1999999999970896</v>
      </c>
      <c r="F91" s="6" t="s">
        <v>30</v>
      </c>
      <c r="G91" s="10">
        <v>329019704</v>
      </c>
      <c r="H91" s="9">
        <v>45203</v>
      </c>
      <c r="I91" s="9">
        <v>45218</v>
      </c>
      <c r="J91" s="8">
        <v>41175</v>
      </c>
      <c r="K91" s="8" t="s">
        <v>31</v>
      </c>
      <c r="L91" s="8" t="s">
        <v>32</v>
      </c>
      <c r="M91" s="8"/>
      <c r="N91" s="8" t="b">
        <v>0</v>
      </c>
      <c r="O91" s="10"/>
      <c r="P91" s="8" t="s">
        <v>147</v>
      </c>
      <c r="Q91" s="8">
        <v>115335</v>
      </c>
      <c r="R91" s="9">
        <v>45203</v>
      </c>
      <c r="S91" s="8" t="s">
        <v>148</v>
      </c>
      <c r="T91" s="8" t="s">
        <v>49</v>
      </c>
      <c r="U91" s="8" t="s">
        <v>149</v>
      </c>
      <c r="V91" s="8" t="s">
        <v>150</v>
      </c>
      <c r="W91" s="8">
        <v>0</v>
      </c>
    </row>
    <row r="92" spans="1:23" x14ac:dyDescent="0.25">
      <c r="A92" s="4">
        <v>3</v>
      </c>
      <c r="B92" s="4"/>
      <c r="C92" s="4">
        <v>878491</v>
      </c>
      <c r="D92" s="4">
        <v>51967.360000000001</v>
      </c>
      <c r="E92" s="5">
        <f t="shared" si="1"/>
        <v>0.63999999999941792</v>
      </c>
      <c r="F92" s="6" t="s">
        <v>30</v>
      </c>
      <c r="G92" s="10">
        <v>329019732</v>
      </c>
      <c r="H92" s="9">
        <v>45203</v>
      </c>
      <c r="I92" s="9">
        <v>45218</v>
      </c>
      <c r="J92" s="8">
        <v>51968</v>
      </c>
      <c r="K92" s="8" t="s">
        <v>31</v>
      </c>
      <c r="L92" s="8" t="s">
        <v>32</v>
      </c>
      <c r="M92" s="8"/>
      <c r="N92" s="8" t="b">
        <v>0</v>
      </c>
      <c r="O92" s="10"/>
      <c r="P92" s="8" t="s">
        <v>151</v>
      </c>
      <c r="Q92" s="8">
        <v>115289</v>
      </c>
      <c r="R92" s="9">
        <v>45203</v>
      </c>
      <c r="S92" s="8" t="s">
        <v>70</v>
      </c>
      <c r="T92" s="8" t="s">
        <v>49</v>
      </c>
      <c r="U92" s="8" t="s">
        <v>71</v>
      </c>
      <c r="V92" s="8" t="s">
        <v>72</v>
      </c>
      <c r="W92" s="8">
        <v>0</v>
      </c>
    </row>
    <row r="93" spans="1:23" x14ac:dyDescent="0.25">
      <c r="A93" s="4">
        <v>3</v>
      </c>
      <c r="B93" s="4"/>
      <c r="C93" s="4">
        <v>878645</v>
      </c>
      <c r="D93" s="4">
        <v>6330.42</v>
      </c>
      <c r="E93" s="5">
        <f t="shared" si="1"/>
        <v>-0.42000000000007276</v>
      </c>
      <c r="F93" s="6" t="s">
        <v>30</v>
      </c>
      <c r="G93" s="10">
        <v>329032986</v>
      </c>
      <c r="H93" s="9">
        <v>45204</v>
      </c>
      <c r="I93" s="9">
        <v>45219</v>
      </c>
      <c r="J93" s="8">
        <v>6330</v>
      </c>
      <c r="K93" s="8" t="s">
        <v>31</v>
      </c>
      <c r="L93" s="8" t="s">
        <v>32</v>
      </c>
      <c r="M93" s="8"/>
      <c r="N93" s="8" t="b">
        <v>0</v>
      </c>
      <c r="O93" s="10">
        <v>697222</v>
      </c>
      <c r="P93" s="8" t="s">
        <v>152</v>
      </c>
      <c r="Q93" s="8">
        <v>123833</v>
      </c>
      <c r="R93" s="9">
        <v>45204</v>
      </c>
      <c r="S93" s="8" t="s">
        <v>34</v>
      </c>
      <c r="T93" s="8" t="s">
        <v>44</v>
      </c>
      <c r="U93" s="8" t="s">
        <v>36</v>
      </c>
      <c r="V93" s="8" t="s">
        <v>37</v>
      </c>
      <c r="W93" s="8"/>
    </row>
    <row r="94" spans="1:23" x14ac:dyDescent="0.25">
      <c r="A94" s="4">
        <v>3</v>
      </c>
      <c r="B94" s="4"/>
      <c r="C94" s="4">
        <v>878644</v>
      </c>
      <c r="D94" s="4">
        <v>5173.26</v>
      </c>
      <c r="E94" s="5">
        <f t="shared" si="1"/>
        <v>-0.26000000000021828</v>
      </c>
      <c r="F94" s="6" t="s">
        <v>30</v>
      </c>
      <c r="G94" s="10">
        <v>329033036</v>
      </c>
      <c r="H94" s="9">
        <v>45204</v>
      </c>
      <c r="I94" s="9">
        <v>45219</v>
      </c>
      <c r="J94" s="8">
        <v>5173</v>
      </c>
      <c r="K94" s="8" t="s">
        <v>31</v>
      </c>
      <c r="L94" s="8" t="s">
        <v>32</v>
      </c>
      <c r="M94" s="8"/>
      <c r="N94" s="8" t="b">
        <v>0</v>
      </c>
      <c r="O94" s="10">
        <v>701817</v>
      </c>
      <c r="P94" s="8" t="s">
        <v>153</v>
      </c>
      <c r="Q94" s="8">
        <v>123915</v>
      </c>
      <c r="R94" s="9">
        <v>45204</v>
      </c>
      <c r="S94" s="8" t="s">
        <v>34</v>
      </c>
      <c r="T94" s="8" t="s">
        <v>40</v>
      </c>
      <c r="U94" s="8" t="s">
        <v>58</v>
      </c>
      <c r="V94" s="8" t="s">
        <v>46</v>
      </c>
      <c r="W94" s="8"/>
    </row>
    <row r="95" spans="1:23" x14ac:dyDescent="0.25">
      <c r="A95" s="4">
        <v>3</v>
      </c>
      <c r="B95" s="4"/>
      <c r="C95" s="4">
        <v>878642</v>
      </c>
      <c r="D95" s="4">
        <v>5173.26</v>
      </c>
      <c r="E95" s="5">
        <f t="shared" si="1"/>
        <v>-0.26000000000021828</v>
      </c>
      <c r="F95" s="6" t="s">
        <v>30</v>
      </c>
      <c r="G95" s="10">
        <v>329034185</v>
      </c>
      <c r="H95" s="9">
        <v>45204</v>
      </c>
      <c r="I95" s="9">
        <v>45219</v>
      </c>
      <c r="J95" s="8">
        <v>5173</v>
      </c>
      <c r="K95" s="8" t="s">
        <v>31</v>
      </c>
      <c r="L95" s="8" t="s">
        <v>32</v>
      </c>
      <c r="M95" s="8"/>
      <c r="N95" s="8" t="b">
        <v>0</v>
      </c>
      <c r="O95" s="10">
        <v>701818</v>
      </c>
      <c r="P95" s="8" t="s">
        <v>154</v>
      </c>
      <c r="Q95" s="8">
        <v>124964</v>
      </c>
      <c r="R95" s="9">
        <v>45204</v>
      </c>
      <c r="S95" s="8" t="s">
        <v>34</v>
      </c>
      <c r="T95" s="8" t="s">
        <v>40</v>
      </c>
      <c r="U95" s="8" t="s">
        <v>58</v>
      </c>
      <c r="V95" s="8" t="s">
        <v>46</v>
      </c>
      <c r="W95" s="8"/>
    </row>
    <row r="96" spans="1:23" x14ac:dyDescent="0.25">
      <c r="A96" s="4">
        <v>3</v>
      </c>
      <c r="B96" s="4"/>
      <c r="C96" s="4">
        <v>878646</v>
      </c>
      <c r="D96" s="4">
        <v>34988.800000000003</v>
      </c>
      <c r="E96" s="5">
        <f t="shared" si="1"/>
        <v>3.1999999999970896</v>
      </c>
      <c r="F96" s="6" t="s">
        <v>30</v>
      </c>
      <c r="G96" s="10">
        <v>329035766</v>
      </c>
      <c r="H96" s="9">
        <v>45204</v>
      </c>
      <c r="I96" s="9">
        <v>45219</v>
      </c>
      <c r="J96" s="8">
        <v>34992</v>
      </c>
      <c r="K96" s="8" t="s">
        <v>31</v>
      </c>
      <c r="L96" s="8" t="s">
        <v>32</v>
      </c>
      <c r="M96" s="8"/>
      <c r="N96" s="8" t="b">
        <v>0</v>
      </c>
      <c r="O96" s="10"/>
      <c r="P96" s="8" t="s">
        <v>155</v>
      </c>
      <c r="Q96" s="8">
        <v>115399</v>
      </c>
      <c r="R96" s="9">
        <v>45203</v>
      </c>
      <c r="S96" s="8" t="s">
        <v>34</v>
      </c>
      <c r="T96" s="8" t="s">
        <v>49</v>
      </c>
      <c r="U96" s="8" t="s">
        <v>75</v>
      </c>
      <c r="V96" s="8" t="s">
        <v>46</v>
      </c>
      <c r="W96" s="8"/>
    </row>
    <row r="97" spans="1:23" x14ac:dyDescent="0.25">
      <c r="A97" s="4">
        <v>3</v>
      </c>
      <c r="B97" s="4"/>
      <c r="C97" s="4">
        <v>878809</v>
      </c>
      <c r="D97" s="4">
        <v>8014.16</v>
      </c>
      <c r="E97" s="5">
        <f t="shared" si="1"/>
        <v>-0.15999999999985448</v>
      </c>
      <c r="F97" s="6">
        <v>45224</v>
      </c>
      <c r="G97" s="10">
        <v>329076562</v>
      </c>
      <c r="H97" s="9">
        <v>45208</v>
      </c>
      <c r="I97" s="9">
        <v>45223</v>
      </c>
      <c r="J97" s="8">
        <v>8014</v>
      </c>
      <c r="K97" s="8" t="s">
        <v>31</v>
      </c>
      <c r="L97" s="8" t="s">
        <v>32</v>
      </c>
      <c r="M97" s="8"/>
      <c r="N97" s="8" t="b">
        <v>0</v>
      </c>
      <c r="O97" s="10">
        <v>695781</v>
      </c>
      <c r="P97" s="8" t="s">
        <v>156</v>
      </c>
      <c r="Q97" s="8">
        <v>154099</v>
      </c>
      <c r="R97" s="9">
        <v>45206</v>
      </c>
      <c r="S97" s="8" t="s">
        <v>34</v>
      </c>
      <c r="T97" s="8" t="s">
        <v>44</v>
      </c>
      <c r="U97" s="8" t="s">
        <v>157</v>
      </c>
      <c r="V97" s="8" t="s">
        <v>158</v>
      </c>
      <c r="W97" s="8">
        <v>0</v>
      </c>
    </row>
    <row r="98" spans="1:23" x14ac:dyDescent="0.25">
      <c r="A98" s="4">
        <v>3</v>
      </c>
      <c r="B98" s="4"/>
      <c r="C98" s="4">
        <v>878808</v>
      </c>
      <c r="D98" s="4">
        <v>8014.16</v>
      </c>
      <c r="E98" s="5">
        <f t="shared" si="1"/>
        <v>-0.15999999999985448</v>
      </c>
      <c r="F98" s="6">
        <v>45224</v>
      </c>
      <c r="G98" s="10">
        <v>329076565</v>
      </c>
      <c r="H98" s="9">
        <v>45208</v>
      </c>
      <c r="I98" s="9">
        <v>45223</v>
      </c>
      <c r="J98" s="8">
        <v>8014</v>
      </c>
      <c r="K98" s="8" t="s">
        <v>31</v>
      </c>
      <c r="L98" s="8" t="s">
        <v>32</v>
      </c>
      <c r="M98" s="8"/>
      <c r="N98" s="8" t="b">
        <v>0</v>
      </c>
      <c r="O98" s="10">
        <v>695776</v>
      </c>
      <c r="P98" s="8" t="s">
        <v>159</v>
      </c>
      <c r="Q98" s="8">
        <v>154098</v>
      </c>
      <c r="R98" s="9">
        <v>45206</v>
      </c>
      <c r="S98" s="8" t="s">
        <v>34</v>
      </c>
      <c r="T98" s="8" t="s">
        <v>44</v>
      </c>
      <c r="U98" s="8" t="s">
        <v>157</v>
      </c>
      <c r="V98" s="8" t="s">
        <v>158</v>
      </c>
      <c r="W98" s="8">
        <v>0</v>
      </c>
    </row>
    <row r="99" spans="1:23" x14ac:dyDescent="0.25">
      <c r="A99" s="4">
        <v>3</v>
      </c>
      <c r="B99" s="4"/>
      <c r="C99" s="4">
        <v>878807</v>
      </c>
      <c r="D99" s="4">
        <v>5173.26</v>
      </c>
      <c r="E99" s="5">
        <f t="shared" si="1"/>
        <v>-0.26000000000021828</v>
      </c>
      <c r="F99" s="6">
        <v>45224</v>
      </c>
      <c r="G99" s="10">
        <v>329076691</v>
      </c>
      <c r="H99" s="9">
        <v>45208</v>
      </c>
      <c r="I99" s="9">
        <v>45223</v>
      </c>
      <c r="J99" s="8">
        <v>5173</v>
      </c>
      <c r="K99" s="8" t="s">
        <v>31</v>
      </c>
      <c r="L99" s="8" t="s">
        <v>32</v>
      </c>
      <c r="M99" s="8"/>
      <c r="N99" s="8" t="b">
        <v>0</v>
      </c>
      <c r="O99" s="10">
        <v>701820</v>
      </c>
      <c r="P99" s="8" t="s">
        <v>160</v>
      </c>
      <c r="Q99" s="8">
        <v>154135</v>
      </c>
      <c r="R99" s="9">
        <v>45206</v>
      </c>
      <c r="S99" s="8" t="s">
        <v>34</v>
      </c>
      <c r="T99" s="8" t="s">
        <v>40</v>
      </c>
      <c r="U99" s="8" t="s">
        <v>58</v>
      </c>
      <c r="V99" s="8" t="s">
        <v>46</v>
      </c>
      <c r="W99" s="8">
        <v>0</v>
      </c>
    </row>
    <row r="100" spans="1:23" x14ac:dyDescent="0.25">
      <c r="A100" s="4">
        <v>3</v>
      </c>
      <c r="B100" s="4"/>
      <c r="C100" s="4">
        <v>878806</v>
      </c>
      <c r="D100" s="4">
        <v>5173.26</v>
      </c>
      <c r="E100" s="5">
        <f t="shared" si="1"/>
        <v>-0.26000000000021828</v>
      </c>
      <c r="F100" s="6">
        <v>45224</v>
      </c>
      <c r="G100" s="10">
        <v>329076693</v>
      </c>
      <c r="H100" s="9">
        <v>45208</v>
      </c>
      <c r="I100" s="9">
        <v>45223</v>
      </c>
      <c r="J100" s="8">
        <v>5173</v>
      </c>
      <c r="K100" s="8" t="s">
        <v>31</v>
      </c>
      <c r="L100" s="8" t="s">
        <v>32</v>
      </c>
      <c r="M100" s="8"/>
      <c r="N100" s="8" t="b">
        <v>0</v>
      </c>
      <c r="O100" s="10">
        <v>701819</v>
      </c>
      <c r="P100" s="8" t="s">
        <v>161</v>
      </c>
      <c r="Q100" s="8">
        <v>154127</v>
      </c>
      <c r="R100" s="9">
        <v>45206</v>
      </c>
      <c r="S100" s="8" t="s">
        <v>34</v>
      </c>
      <c r="T100" s="8" t="s">
        <v>40</v>
      </c>
      <c r="U100" s="8" t="s">
        <v>58</v>
      </c>
      <c r="V100" s="8" t="s">
        <v>46</v>
      </c>
      <c r="W100" s="8">
        <v>0</v>
      </c>
    </row>
    <row r="101" spans="1:23" x14ac:dyDescent="0.25">
      <c r="A101" s="4">
        <v>3</v>
      </c>
      <c r="B101" s="4"/>
      <c r="C101" s="4">
        <v>878635</v>
      </c>
      <c r="D101" s="4">
        <v>5200.84</v>
      </c>
      <c r="E101" s="5">
        <f t="shared" si="1"/>
        <v>-1.8400000000001455</v>
      </c>
      <c r="F101" s="6">
        <v>45224</v>
      </c>
      <c r="G101" s="10">
        <v>329076694</v>
      </c>
      <c r="H101" s="9">
        <v>45208</v>
      </c>
      <c r="I101" s="9">
        <v>45223</v>
      </c>
      <c r="J101" s="8">
        <v>5199</v>
      </c>
      <c r="K101" s="8" t="s">
        <v>31</v>
      </c>
      <c r="L101" s="8" t="s">
        <v>32</v>
      </c>
      <c r="M101" s="8"/>
      <c r="N101" s="8" t="b">
        <v>0</v>
      </c>
      <c r="O101" s="10">
        <v>20928</v>
      </c>
      <c r="P101" s="8" t="s">
        <v>162</v>
      </c>
      <c r="Q101" s="8">
        <v>154137</v>
      </c>
      <c r="R101" s="9">
        <v>45206</v>
      </c>
      <c r="S101" s="8" t="s">
        <v>48</v>
      </c>
      <c r="T101" s="8" t="s">
        <v>40</v>
      </c>
      <c r="U101" s="8" t="s">
        <v>163</v>
      </c>
      <c r="V101" s="8" t="s">
        <v>46</v>
      </c>
      <c r="W101" s="8">
        <v>0</v>
      </c>
    </row>
    <row r="102" spans="1:23" x14ac:dyDescent="0.25">
      <c r="A102" s="4">
        <v>3</v>
      </c>
      <c r="B102" s="4"/>
      <c r="C102" s="4">
        <v>878634</v>
      </c>
      <c r="D102" s="4">
        <v>5200.84</v>
      </c>
      <c r="E102" s="5">
        <f t="shared" si="1"/>
        <v>-1.8400000000001455</v>
      </c>
      <c r="F102" s="6">
        <v>45224</v>
      </c>
      <c r="G102" s="10">
        <v>329076696</v>
      </c>
      <c r="H102" s="9">
        <v>45208</v>
      </c>
      <c r="I102" s="9">
        <v>45223</v>
      </c>
      <c r="J102" s="8">
        <v>5199</v>
      </c>
      <c r="K102" s="8" t="s">
        <v>31</v>
      </c>
      <c r="L102" s="8" t="s">
        <v>32</v>
      </c>
      <c r="M102" s="8"/>
      <c r="N102" s="8" t="b">
        <v>0</v>
      </c>
      <c r="O102" s="10">
        <v>20929</v>
      </c>
      <c r="P102" s="8" t="s">
        <v>164</v>
      </c>
      <c r="Q102" s="8">
        <v>154142</v>
      </c>
      <c r="R102" s="9">
        <v>45206</v>
      </c>
      <c r="S102" s="8" t="s">
        <v>48</v>
      </c>
      <c r="T102" s="8" t="s">
        <v>40</v>
      </c>
      <c r="U102" s="8" t="s">
        <v>163</v>
      </c>
      <c r="V102" s="8" t="s">
        <v>46</v>
      </c>
      <c r="W102" s="8">
        <v>0</v>
      </c>
    </row>
    <row r="103" spans="1:23" x14ac:dyDescent="0.25">
      <c r="A103" s="4">
        <v>3</v>
      </c>
      <c r="B103" s="4"/>
      <c r="C103" s="4">
        <v>878805</v>
      </c>
      <c r="D103" s="4">
        <v>6330.42</v>
      </c>
      <c r="E103" s="5">
        <f t="shared" si="1"/>
        <v>-0.42000000000007276</v>
      </c>
      <c r="F103" s="6">
        <v>45224</v>
      </c>
      <c r="G103" s="10">
        <v>329076697</v>
      </c>
      <c r="H103" s="9">
        <v>45208</v>
      </c>
      <c r="I103" s="9">
        <v>45223</v>
      </c>
      <c r="J103" s="8">
        <v>6330</v>
      </c>
      <c r="K103" s="8" t="s">
        <v>31</v>
      </c>
      <c r="L103" s="8" t="s">
        <v>32</v>
      </c>
      <c r="M103" s="8"/>
      <c r="N103" s="8" t="b">
        <v>0</v>
      </c>
      <c r="O103" s="10">
        <v>697217</v>
      </c>
      <c r="P103" s="8" t="s">
        <v>165</v>
      </c>
      <c r="Q103" s="8">
        <v>154103</v>
      </c>
      <c r="R103" s="9">
        <v>45206</v>
      </c>
      <c r="S103" s="8" t="s">
        <v>34</v>
      </c>
      <c r="T103" s="8" t="s">
        <v>44</v>
      </c>
      <c r="U103" s="8" t="s">
        <v>36</v>
      </c>
      <c r="V103" s="8" t="s">
        <v>37</v>
      </c>
      <c r="W103" s="8">
        <v>0</v>
      </c>
    </row>
    <row r="104" spans="1:23" x14ac:dyDescent="0.25">
      <c r="A104" s="4">
        <v>3</v>
      </c>
      <c r="B104" s="4"/>
      <c r="C104" s="4">
        <v>878804</v>
      </c>
      <c r="D104" s="4">
        <v>6330.42</v>
      </c>
      <c r="E104" s="5">
        <f t="shared" si="1"/>
        <v>-0.42000000000007276</v>
      </c>
      <c r="F104" s="6">
        <v>45224</v>
      </c>
      <c r="G104" s="10">
        <v>329076698</v>
      </c>
      <c r="H104" s="9">
        <v>45208</v>
      </c>
      <c r="I104" s="9">
        <v>45223</v>
      </c>
      <c r="J104" s="8">
        <v>6330</v>
      </c>
      <c r="K104" s="8" t="s">
        <v>31</v>
      </c>
      <c r="L104" s="8" t="s">
        <v>32</v>
      </c>
      <c r="M104" s="8"/>
      <c r="N104" s="8" t="b">
        <v>0</v>
      </c>
      <c r="O104" s="10">
        <v>697225</v>
      </c>
      <c r="P104" s="8" t="s">
        <v>166</v>
      </c>
      <c r="Q104" s="8">
        <v>154107</v>
      </c>
      <c r="R104" s="9">
        <v>45206</v>
      </c>
      <c r="S104" s="8" t="s">
        <v>34</v>
      </c>
      <c r="T104" s="8" t="s">
        <v>44</v>
      </c>
      <c r="U104" s="8" t="s">
        <v>36</v>
      </c>
      <c r="V104" s="8" t="s">
        <v>37</v>
      </c>
      <c r="W104" s="8">
        <v>0</v>
      </c>
    </row>
    <row r="105" spans="1:23" x14ac:dyDescent="0.25">
      <c r="A105" s="4">
        <v>3</v>
      </c>
      <c r="B105" s="4"/>
      <c r="C105" s="4">
        <v>878803</v>
      </c>
      <c r="D105" s="4">
        <v>8014.16</v>
      </c>
      <c r="E105" s="5">
        <f t="shared" si="1"/>
        <v>-0.15999999999985448</v>
      </c>
      <c r="F105" s="6">
        <v>45224</v>
      </c>
      <c r="G105" s="10">
        <v>329076699</v>
      </c>
      <c r="H105" s="9">
        <v>45208</v>
      </c>
      <c r="I105" s="9">
        <v>45223</v>
      </c>
      <c r="J105" s="8">
        <v>8014</v>
      </c>
      <c r="K105" s="8" t="s">
        <v>31</v>
      </c>
      <c r="L105" s="8" t="s">
        <v>32</v>
      </c>
      <c r="M105" s="8"/>
      <c r="N105" s="8" t="b">
        <v>0</v>
      </c>
      <c r="O105" s="10">
        <v>695782</v>
      </c>
      <c r="P105" s="8" t="s">
        <v>167</v>
      </c>
      <c r="Q105" s="8">
        <v>154101</v>
      </c>
      <c r="R105" s="9">
        <v>45206</v>
      </c>
      <c r="S105" s="8" t="s">
        <v>34</v>
      </c>
      <c r="T105" s="8" t="s">
        <v>44</v>
      </c>
      <c r="U105" s="8" t="s">
        <v>157</v>
      </c>
      <c r="V105" s="8" t="s">
        <v>158</v>
      </c>
      <c r="W105" s="8">
        <v>0</v>
      </c>
    </row>
    <row r="106" spans="1:23" x14ac:dyDescent="0.25">
      <c r="A106" s="4">
        <v>3</v>
      </c>
      <c r="B106" s="4"/>
      <c r="C106" s="4">
        <v>878802</v>
      </c>
      <c r="D106" s="4">
        <v>5173.26</v>
      </c>
      <c r="E106" s="5">
        <f t="shared" si="1"/>
        <v>-0.26000000000021828</v>
      </c>
      <c r="F106" s="6">
        <v>45224</v>
      </c>
      <c r="G106" s="10">
        <v>329076850</v>
      </c>
      <c r="H106" s="9">
        <v>45208</v>
      </c>
      <c r="I106" s="9">
        <v>45223</v>
      </c>
      <c r="J106" s="8">
        <v>5173</v>
      </c>
      <c r="K106" s="8" t="s">
        <v>31</v>
      </c>
      <c r="L106" s="8" t="s">
        <v>32</v>
      </c>
      <c r="M106" s="8"/>
      <c r="N106" s="8" t="b">
        <v>0</v>
      </c>
      <c r="O106" s="10">
        <v>702007</v>
      </c>
      <c r="P106" s="8" t="s">
        <v>168</v>
      </c>
      <c r="Q106" s="8">
        <v>154164</v>
      </c>
      <c r="R106" s="9">
        <v>45206</v>
      </c>
      <c r="S106" s="8" t="s">
        <v>34</v>
      </c>
      <c r="T106" s="8" t="s">
        <v>40</v>
      </c>
      <c r="U106" s="8" t="s">
        <v>58</v>
      </c>
      <c r="V106" s="8" t="s">
        <v>46</v>
      </c>
      <c r="W106" s="8">
        <v>0</v>
      </c>
    </row>
    <row r="107" spans="1:23" x14ac:dyDescent="0.25">
      <c r="A107" s="4">
        <v>3</v>
      </c>
      <c r="B107" s="4"/>
      <c r="C107" s="4">
        <v>878801</v>
      </c>
      <c r="D107" s="4">
        <v>5173.26</v>
      </c>
      <c r="E107" s="5">
        <f t="shared" si="1"/>
        <v>-0.26000000000021828</v>
      </c>
      <c r="F107" s="6">
        <v>45224</v>
      </c>
      <c r="G107" s="10">
        <v>329076853</v>
      </c>
      <c r="H107" s="9">
        <v>45208</v>
      </c>
      <c r="I107" s="9">
        <v>45223</v>
      </c>
      <c r="J107" s="8">
        <v>5173</v>
      </c>
      <c r="K107" s="8" t="s">
        <v>31</v>
      </c>
      <c r="L107" s="8" t="s">
        <v>32</v>
      </c>
      <c r="M107" s="8"/>
      <c r="N107" s="8" t="b">
        <v>0</v>
      </c>
      <c r="O107" s="10">
        <v>702010</v>
      </c>
      <c r="P107" s="8" t="s">
        <v>169</v>
      </c>
      <c r="Q107" s="8">
        <v>154186</v>
      </c>
      <c r="R107" s="9">
        <v>45206</v>
      </c>
      <c r="S107" s="8" t="s">
        <v>34</v>
      </c>
      <c r="T107" s="8" t="s">
        <v>40</v>
      </c>
      <c r="U107" s="8" t="s">
        <v>58</v>
      </c>
      <c r="V107" s="8" t="s">
        <v>46</v>
      </c>
      <c r="W107" s="8">
        <v>0</v>
      </c>
    </row>
    <row r="108" spans="1:23" x14ac:dyDescent="0.25">
      <c r="A108" s="4">
        <v>3</v>
      </c>
      <c r="B108" s="4"/>
      <c r="C108" s="4">
        <v>878800</v>
      </c>
      <c r="D108" s="4">
        <v>5173.26</v>
      </c>
      <c r="E108" s="5">
        <f t="shared" si="1"/>
        <v>-0.26000000000021828</v>
      </c>
      <c r="F108" s="6">
        <v>45224</v>
      </c>
      <c r="G108" s="10">
        <v>329076875</v>
      </c>
      <c r="H108" s="9">
        <v>45208</v>
      </c>
      <c r="I108" s="9">
        <v>45223</v>
      </c>
      <c r="J108" s="8">
        <v>5173</v>
      </c>
      <c r="K108" s="8" t="s">
        <v>31</v>
      </c>
      <c r="L108" s="8" t="s">
        <v>32</v>
      </c>
      <c r="M108" s="8"/>
      <c r="N108" s="8" t="b">
        <v>0</v>
      </c>
      <c r="O108" s="10">
        <v>702005</v>
      </c>
      <c r="P108" s="8" t="s">
        <v>170</v>
      </c>
      <c r="Q108" s="8">
        <v>154161</v>
      </c>
      <c r="R108" s="9">
        <v>45206</v>
      </c>
      <c r="S108" s="8" t="s">
        <v>34</v>
      </c>
      <c r="T108" s="8" t="s">
        <v>40</v>
      </c>
      <c r="U108" s="8" t="s">
        <v>58</v>
      </c>
      <c r="V108" s="8" t="s">
        <v>46</v>
      </c>
      <c r="W108" s="8">
        <v>0</v>
      </c>
    </row>
    <row r="109" spans="1:23" x14ac:dyDescent="0.25">
      <c r="A109" s="4">
        <v>3</v>
      </c>
      <c r="B109" s="4"/>
      <c r="C109" s="4">
        <v>878799</v>
      </c>
      <c r="D109" s="4">
        <v>7980.88</v>
      </c>
      <c r="E109" s="5">
        <f t="shared" si="1"/>
        <v>0.11999999999989086</v>
      </c>
      <c r="F109" s="6">
        <v>45224</v>
      </c>
      <c r="G109" s="10">
        <v>329076884</v>
      </c>
      <c r="H109" s="9">
        <v>45208</v>
      </c>
      <c r="I109" s="9">
        <v>45223</v>
      </c>
      <c r="J109" s="8">
        <v>7981</v>
      </c>
      <c r="K109" s="8" t="s">
        <v>31</v>
      </c>
      <c r="L109" s="8" t="s">
        <v>32</v>
      </c>
      <c r="M109" s="8"/>
      <c r="N109" s="8" t="b">
        <v>0</v>
      </c>
      <c r="O109" s="10">
        <v>702001</v>
      </c>
      <c r="P109" s="8" t="s">
        <v>171</v>
      </c>
      <c r="Q109" s="8">
        <v>154188</v>
      </c>
      <c r="R109" s="9">
        <v>45206</v>
      </c>
      <c r="S109" s="8" t="s">
        <v>34</v>
      </c>
      <c r="T109" s="8" t="s">
        <v>40</v>
      </c>
      <c r="U109" s="8" t="s">
        <v>88</v>
      </c>
      <c r="V109" s="8" t="s">
        <v>72</v>
      </c>
      <c r="W109" s="8">
        <v>0</v>
      </c>
    </row>
    <row r="110" spans="1:23" x14ac:dyDescent="0.25">
      <c r="A110" s="4">
        <v>3</v>
      </c>
      <c r="B110" s="4"/>
      <c r="C110" s="4">
        <v>878798</v>
      </c>
      <c r="D110" s="4">
        <v>7980.88</v>
      </c>
      <c r="E110" s="5">
        <f t="shared" si="1"/>
        <v>0.11999999999989086</v>
      </c>
      <c r="F110" s="6">
        <v>45224</v>
      </c>
      <c r="G110" s="10">
        <v>329076886</v>
      </c>
      <c r="H110" s="9">
        <v>45208</v>
      </c>
      <c r="I110" s="9">
        <v>45223</v>
      </c>
      <c r="J110" s="8">
        <v>7981</v>
      </c>
      <c r="K110" s="8" t="s">
        <v>31</v>
      </c>
      <c r="L110" s="8" t="s">
        <v>32</v>
      </c>
      <c r="M110" s="8"/>
      <c r="N110" s="8" t="b">
        <v>0</v>
      </c>
      <c r="O110" s="10">
        <v>702002</v>
      </c>
      <c r="P110" s="8" t="s">
        <v>172</v>
      </c>
      <c r="Q110" s="8">
        <v>154190</v>
      </c>
      <c r="R110" s="9">
        <v>45206</v>
      </c>
      <c r="S110" s="8" t="s">
        <v>34</v>
      </c>
      <c r="T110" s="8" t="s">
        <v>40</v>
      </c>
      <c r="U110" s="8" t="s">
        <v>88</v>
      </c>
      <c r="V110" s="8" t="s">
        <v>72</v>
      </c>
      <c r="W110" s="8">
        <v>0</v>
      </c>
    </row>
    <row r="111" spans="1:23" x14ac:dyDescent="0.25">
      <c r="A111" s="4">
        <v>3</v>
      </c>
      <c r="B111" s="4"/>
      <c r="C111" s="4">
        <v>878797</v>
      </c>
      <c r="D111" s="4">
        <v>7980.88</v>
      </c>
      <c r="E111" s="5">
        <f t="shared" si="1"/>
        <v>0.11999999999989086</v>
      </c>
      <c r="F111" s="6">
        <v>45224</v>
      </c>
      <c r="G111" s="10">
        <v>329076888</v>
      </c>
      <c r="H111" s="9">
        <v>45208</v>
      </c>
      <c r="I111" s="9">
        <v>45223</v>
      </c>
      <c r="J111" s="8">
        <v>7981</v>
      </c>
      <c r="K111" s="8" t="s">
        <v>31</v>
      </c>
      <c r="L111" s="8" t="s">
        <v>32</v>
      </c>
      <c r="M111" s="8"/>
      <c r="N111" s="8" t="b">
        <v>0</v>
      </c>
      <c r="O111" s="10">
        <v>702004</v>
      </c>
      <c r="P111" s="8" t="s">
        <v>173</v>
      </c>
      <c r="Q111" s="8">
        <v>154194</v>
      </c>
      <c r="R111" s="9">
        <v>45206</v>
      </c>
      <c r="S111" s="8" t="s">
        <v>34</v>
      </c>
      <c r="T111" s="8" t="s">
        <v>40</v>
      </c>
      <c r="U111" s="8" t="s">
        <v>88</v>
      </c>
      <c r="V111" s="8" t="s">
        <v>72</v>
      </c>
      <c r="W111" s="8">
        <v>0</v>
      </c>
    </row>
    <row r="112" spans="1:23" x14ac:dyDescent="0.25">
      <c r="A112" s="4">
        <v>3</v>
      </c>
      <c r="B112" s="4"/>
      <c r="C112" s="4">
        <v>878796</v>
      </c>
      <c r="D112" s="4">
        <v>5173.26</v>
      </c>
      <c r="E112" s="5">
        <f t="shared" si="1"/>
        <v>-0.26000000000021828</v>
      </c>
      <c r="F112" s="6">
        <v>45224</v>
      </c>
      <c r="G112" s="10">
        <v>329076890</v>
      </c>
      <c r="H112" s="9">
        <v>45208</v>
      </c>
      <c r="I112" s="9">
        <v>45223</v>
      </c>
      <c r="J112" s="8">
        <v>5173</v>
      </c>
      <c r="K112" s="8" t="s">
        <v>31</v>
      </c>
      <c r="L112" s="8" t="s">
        <v>32</v>
      </c>
      <c r="M112" s="8"/>
      <c r="N112" s="8" t="b">
        <v>0</v>
      </c>
      <c r="O112" s="10">
        <v>702009</v>
      </c>
      <c r="P112" s="8" t="s">
        <v>174</v>
      </c>
      <c r="Q112" s="8">
        <v>154166</v>
      </c>
      <c r="R112" s="9">
        <v>45206</v>
      </c>
      <c r="S112" s="8" t="s">
        <v>34</v>
      </c>
      <c r="T112" s="8" t="s">
        <v>40</v>
      </c>
      <c r="U112" s="8" t="s">
        <v>58</v>
      </c>
      <c r="V112" s="8" t="s">
        <v>46</v>
      </c>
      <c r="W112" s="8">
        <v>0</v>
      </c>
    </row>
    <row r="113" spans="1:23" x14ac:dyDescent="0.25">
      <c r="A113" s="4">
        <v>3</v>
      </c>
      <c r="B113" s="4"/>
      <c r="C113" s="4">
        <v>878795</v>
      </c>
      <c r="D113" s="4">
        <v>7980.88</v>
      </c>
      <c r="E113" s="5">
        <f t="shared" si="1"/>
        <v>0.11999999999989086</v>
      </c>
      <c r="F113" s="6">
        <v>45224</v>
      </c>
      <c r="G113" s="10">
        <v>329076902</v>
      </c>
      <c r="H113" s="9">
        <v>45208</v>
      </c>
      <c r="I113" s="9">
        <v>45223</v>
      </c>
      <c r="J113" s="8">
        <v>7981</v>
      </c>
      <c r="K113" s="8" t="s">
        <v>31</v>
      </c>
      <c r="L113" s="8" t="s">
        <v>32</v>
      </c>
      <c r="M113" s="8"/>
      <c r="N113" s="8" t="b">
        <v>0</v>
      </c>
      <c r="O113" s="10">
        <v>702000</v>
      </c>
      <c r="P113" s="8" t="s">
        <v>175</v>
      </c>
      <c r="Q113" s="8">
        <v>154187</v>
      </c>
      <c r="R113" s="9">
        <v>45206</v>
      </c>
      <c r="S113" s="8" t="s">
        <v>34</v>
      </c>
      <c r="T113" s="8" t="s">
        <v>40</v>
      </c>
      <c r="U113" s="8" t="s">
        <v>88</v>
      </c>
      <c r="V113" s="8" t="s">
        <v>72</v>
      </c>
      <c r="W113" s="8">
        <v>0</v>
      </c>
    </row>
    <row r="114" spans="1:23" x14ac:dyDescent="0.25">
      <c r="A114" s="4">
        <v>3</v>
      </c>
      <c r="B114" s="4"/>
      <c r="C114" s="4">
        <v>878794</v>
      </c>
      <c r="D114" s="4">
        <v>7980.88</v>
      </c>
      <c r="E114" s="5">
        <f t="shared" si="1"/>
        <v>0.11999999999989086</v>
      </c>
      <c r="F114" s="6">
        <v>45224</v>
      </c>
      <c r="G114" s="10">
        <v>329076908</v>
      </c>
      <c r="H114" s="9">
        <v>45208</v>
      </c>
      <c r="I114" s="9">
        <v>45223</v>
      </c>
      <c r="J114" s="8">
        <v>7981</v>
      </c>
      <c r="K114" s="8" t="s">
        <v>31</v>
      </c>
      <c r="L114" s="8" t="s">
        <v>32</v>
      </c>
      <c r="M114" s="8"/>
      <c r="N114" s="8" t="b">
        <v>0</v>
      </c>
      <c r="O114" s="10">
        <v>702003</v>
      </c>
      <c r="P114" s="8" t="s">
        <v>176</v>
      </c>
      <c r="Q114" s="8">
        <v>154192</v>
      </c>
      <c r="R114" s="9">
        <v>45206</v>
      </c>
      <c r="S114" s="8" t="s">
        <v>34</v>
      </c>
      <c r="T114" s="8" t="s">
        <v>40</v>
      </c>
      <c r="U114" s="8" t="s">
        <v>88</v>
      </c>
      <c r="V114" s="8" t="s">
        <v>72</v>
      </c>
      <c r="W114" s="8">
        <v>0</v>
      </c>
    </row>
    <row r="115" spans="1:23" x14ac:dyDescent="0.25">
      <c r="A115" s="4">
        <v>3</v>
      </c>
      <c r="B115" s="4"/>
      <c r="C115" s="4">
        <v>878793</v>
      </c>
      <c r="D115" s="4">
        <v>5173.26</v>
      </c>
      <c r="E115" s="5">
        <f t="shared" si="1"/>
        <v>-0.26000000000021828</v>
      </c>
      <c r="F115" s="6">
        <v>45224</v>
      </c>
      <c r="G115" s="10">
        <v>329076915</v>
      </c>
      <c r="H115" s="9">
        <v>45208</v>
      </c>
      <c r="I115" s="9">
        <v>45223</v>
      </c>
      <c r="J115" s="8">
        <v>5173</v>
      </c>
      <c r="K115" s="8" t="s">
        <v>31</v>
      </c>
      <c r="L115" s="8" t="s">
        <v>32</v>
      </c>
      <c r="M115" s="8"/>
      <c r="N115" s="8" t="b">
        <v>0</v>
      </c>
      <c r="O115" s="10">
        <v>702006</v>
      </c>
      <c r="P115" s="8" t="s">
        <v>177</v>
      </c>
      <c r="Q115" s="8">
        <v>154162</v>
      </c>
      <c r="R115" s="9">
        <v>45206</v>
      </c>
      <c r="S115" s="8" t="s">
        <v>34</v>
      </c>
      <c r="T115" s="8" t="s">
        <v>40</v>
      </c>
      <c r="U115" s="8" t="s">
        <v>58</v>
      </c>
      <c r="V115" s="8" t="s">
        <v>46</v>
      </c>
      <c r="W115" s="8">
        <v>0</v>
      </c>
    </row>
    <row r="116" spans="1:23" x14ac:dyDescent="0.25">
      <c r="A116" s="4">
        <v>3</v>
      </c>
      <c r="B116" s="4"/>
      <c r="C116" s="4">
        <v>878792</v>
      </c>
      <c r="D116" s="4">
        <v>5173.26</v>
      </c>
      <c r="E116" s="5">
        <f t="shared" si="1"/>
        <v>-0.26000000000021828</v>
      </c>
      <c r="F116" s="6">
        <v>45224</v>
      </c>
      <c r="G116" s="10">
        <v>329076921</v>
      </c>
      <c r="H116" s="9">
        <v>45208</v>
      </c>
      <c r="I116" s="9">
        <v>45223</v>
      </c>
      <c r="J116" s="8">
        <v>5173</v>
      </c>
      <c r="K116" s="8" t="s">
        <v>31</v>
      </c>
      <c r="L116" s="8" t="s">
        <v>32</v>
      </c>
      <c r="M116" s="8"/>
      <c r="N116" s="8" t="b">
        <v>0</v>
      </c>
      <c r="O116" s="10">
        <v>702008</v>
      </c>
      <c r="P116" s="8" t="s">
        <v>178</v>
      </c>
      <c r="Q116" s="8">
        <v>154165</v>
      </c>
      <c r="R116" s="9">
        <v>45206</v>
      </c>
      <c r="S116" s="8" t="s">
        <v>34</v>
      </c>
      <c r="T116" s="8" t="s">
        <v>40</v>
      </c>
      <c r="U116" s="8" t="s">
        <v>58</v>
      </c>
      <c r="V116" s="8" t="s">
        <v>46</v>
      </c>
      <c r="W116" s="8">
        <v>0</v>
      </c>
    </row>
    <row r="117" spans="1:23" x14ac:dyDescent="0.25">
      <c r="A117" s="4">
        <v>3</v>
      </c>
      <c r="B117" s="4"/>
      <c r="C117" s="4">
        <v>878791</v>
      </c>
      <c r="D117" s="4">
        <v>5147.96</v>
      </c>
      <c r="E117" s="5">
        <f t="shared" si="1"/>
        <v>3.999999999996362E-2</v>
      </c>
      <c r="F117" s="6">
        <v>45224</v>
      </c>
      <c r="G117" s="10">
        <v>329077041</v>
      </c>
      <c r="H117" s="9">
        <v>45208</v>
      </c>
      <c r="I117" s="9">
        <v>45223</v>
      </c>
      <c r="J117" s="8">
        <v>5148</v>
      </c>
      <c r="K117" s="8" t="s">
        <v>31</v>
      </c>
      <c r="L117" s="8" t="s">
        <v>32</v>
      </c>
      <c r="M117" s="8"/>
      <c r="N117" s="8" t="b">
        <v>0</v>
      </c>
      <c r="O117" s="10">
        <v>695734</v>
      </c>
      <c r="P117" s="8" t="s">
        <v>179</v>
      </c>
      <c r="Q117" s="8">
        <v>154201</v>
      </c>
      <c r="R117" s="9">
        <v>45206</v>
      </c>
      <c r="S117" s="8" t="s">
        <v>180</v>
      </c>
      <c r="T117" s="8" t="s">
        <v>44</v>
      </c>
      <c r="U117" s="8" t="s">
        <v>45</v>
      </c>
      <c r="V117" s="8" t="s">
        <v>46</v>
      </c>
      <c r="W117" s="8">
        <v>0</v>
      </c>
    </row>
    <row r="118" spans="1:23" x14ac:dyDescent="0.25">
      <c r="A118" s="4">
        <v>3</v>
      </c>
      <c r="B118" s="4"/>
      <c r="C118" s="4">
        <v>878628</v>
      </c>
      <c r="D118" s="4">
        <v>5148.42</v>
      </c>
      <c r="E118" s="5">
        <f t="shared" si="1"/>
        <v>-0.42000000000007276</v>
      </c>
      <c r="F118" s="6">
        <v>45224</v>
      </c>
      <c r="G118" s="10">
        <v>329077222</v>
      </c>
      <c r="H118" s="9">
        <v>45208</v>
      </c>
      <c r="I118" s="9">
        <v>45223</v>
      </c>
      <c r="J118" s="8">
        <v>5148</v>
      </c>
      <c r="K118" s="8" t="s">
        <v>31</v>
      </c>
      <c r="L118" s="8" t="s">
        <v>32</v>
      </c>
      <c r="M118" s="8"/>
      <c r="N118" s="8" t="b">
        <v>0</v>
      </c>
      <c r="O118" s="10">
        <v>20949</v>
      </c>
      <c r="P118" s="8" t="s">
        <v>181</v>
      </c>
      <c r="Q118" s="8">
        <v>154302</v>
      </c>
      <c r="R118" s="9">
        <v>45206</v>
      </c>
      <c r="S118" s="8" t="s">
        <v>48</v>
      </c>
      <c r="T118" s="8" t="s">
        <v>35</v>
      </c>
      <c r="U118" s="8" t="s">
        <v>58</v>
      </c>
      <c r="V118" s="8" t="s">
        <v>46</v>
      </c>
      <c r="W118" s="8">
        <v>0</v>
      </c>
    </row>
    <row r="119" spans="1:23" x14ac:dyDescent="0.25">
      <c r="A119" s="4">
        <v>3</v>
      </c>
      <c r="B119" s="4"/>
      <c r="C119" s="4">
        <v>878630</v>
      </c>
      <c r="D119" s="4">
        <v>5148.42</v>
      </c>
      <c r="E119" s="5">
        <f t="shared" si="1"/>
        <v>-0.42000000000007276</v>
      </c>
      <c r="F119" s="6">
        <v>45224</v>
      </c>
      <c r="G119" s="10">
        <v>329077234</v>
      </c>
      <c r="H119" s="9">
        <v>45208</v>
      </c>
      <c r="I119" s="9">
        <v>45223</v>
      </c>
      <c r="J119" s="8">
        <v>5148</v>
      </c>
      <c r="K119" s="8" t="s">
        <v>31</v>
      </c>
      <c r="L119" s="8" t="s">
        <v>32</v>
      </c>
      <c r="M119" s="8"/>
      <c r="N119" s="8" t="b">
        <v>0</v>
      </c>
      <c r="O119" s="10">
        <v>20947</v>
      </c>
      <c r="P119" s="8" t="s">
        <v>182</v>
      </c>
      <c r="Q119" s="8">
        <v>154300</v>
      </c>
      <c r="R119" s="9">
        <v>45206</v>
      </c>
      <c r="S119" s="8" t="s">
        <v>48</v>
      </c>
      <c r="T119" s="8" t="s">
        <v>35</v>
      </c>
      <c r="U119" s="8" t="s">
        <v>58</v>
      </c>
      <c r="V119" s="8" t="s">
        <v>46</v>
      </c>
      <c r="W119" s="8">
        <v>0</v>
      </c>
    </row>
    <row r="120" spans="1:23" x14ac:dyDescent="0.25">
      <c r="A120" s="4">
        <v>3</v>
      </c>
      <c r="B120" s="4"/>
      <c r="C120" s="4">
        <v>878629</v>
      </c>
      <c r="D120" s="4">
        <v>5148.42</v>
      </c>
      <c r="E120" s="5">
        <f t="shared" si="1"/>
        <v>-0.42000000000007276</v>
      </c>
      <c r="F120" s="6">
        <v>45224</v>
      </c>
      <c r="G120" s="10">
        <v>329077241</v>
      </c>
      <c r="H120" s="9">
        <v>45208</v>
      </c>
      <c r="I120" s="9">
        <v>45223</v>
      </c>
      <c r="J120" s="8">
        <v>5148</v>
      </c>
      <c r="K120" s="8" t="s">
        <v>31</v>
      </c>
      <c r="L120" s="8" t="s">
        <v>32</v>
      </c>
      <c r="M120" s="8"/>
      <c r="N120" s="8" t="b">
        <v>0</v>
      </c>
      <c r="O120" s="10">
        <v>20948</v>
      </c>
      <c r="P120" s="8" t="s">
        <v>183</v>
      </c>
      <c r="Q120" s="8">
        <v>154301</v>
      </c>
      <c r="R120" s="9">
        <v>45206</v>
      </c>
      <c r="S120" s="8" t="s">
        <v>48</v>
      </c>
      <c r="T120" s="8" t="s">
        <v>35</v>
      </c>
      <c r="U120" s="8" t="s">
        <v>58</v>
      </c>
      <c r="V120" s="8" t="s">
        <v>46</v>
      </c>
      <c r="W120" s="8">
        <v>0</v>
      </c>
    </row>
    <row r="121" spans="1:23" x14ac:dyDescent="0.25">
      <c r="A121" s="4">
        <v>3</v>
      </c>
      <c r="B121" s="4"/>
      <c r="C121" s="4">
        <v>878819</v>
      </c>
      <c r="D121" s="4">
        <v>44043.02</v>
      </c>
      <c r="E121" s="5">
        <f t="shared" si="1"/>
        <v>0.98000000000320142</v>
      </c>
      <c r="F121" s="6">
        <v>45224</v>
      </c>
      <c r="G121" s="10">
        <v>329095456</v>
      </c>
      <c r="H121" s="9">
        <v>45208</v>
      </c>
      <c r="I121" s="9">
        <v>45223</v>
      </c>
      <c r="J121" s="8">
        <v>44044</v>
      </c>
      <c r="K121" s="8" t="s">
        <v>31</v>
      </c>
      <c r="L121" s="8" t="s">
        <v>32</v>
      </c>
      <c r="M121" s="8"/>
      <c r="N121" s="8" t="b">
        <v>0</v>
      </c>
      <c r="O121" s="10"/>
      <c r="P121" s="8" t="s">
        <v>184</v>
      </c>
      <c r="Q121" s="8">
        <v>164275</v>
      </c>
      <c r="R121" s="9">
        <v>45208</v>
      </c>
      <c r="S121" s="8" t="s">
        <v>48</v>
      </c>
      <c r="T121" s="8" t="s">
        <v>49</v>
      </c>
      <c r="U121" s="8" t="s">
        <v>50</v>
      </c>
      <c r="V121" s="8" t="s">
        <v>37</v>
      </c>
      <c r="W121" s="8">
        <v>0</v>
      </c>
    </row>
    <row r="122" spans="1:23" x14ac:dyDescent="0.25">
      <c r="A122" s="4">
        <v>3</v>
      </c>
      <c r="B122" s="4"/>
      <c r="C122" s="4">
        <v>878790</v>
      </c>
      <c r="D122" s="4">
        <v>7913.4</v>
      </c>
      <c r="E122" s="5">
        <f t="shared" si="1"/>
        <v>-0.3999999999996362</v>
      </c>
      <c r="F122" s="6">
        <v>45224</v>
      </c>
      <c r="G122" s="10">
        <v>329100165</v>
      </c>
      <c r="H122" s="9">
        <v>45208</v>
      </c>
      <c r="I122" s="9">
        <v>45223</v>
      </c>
      <c r="J122" s="8">
        <v>7913</v>
      </c>
      <c r="K122" s="8" t="s">
        <v>31</v>
      </c>
      <c r="L122" s="8" t="s">
        <v>32</v>
      </c>
      <c r="M122" s="8"/>
      <c r="N122" s="8" t="b">
        <v>0</v>
      </c>
      <c r="O122" s="10">
        <v>702141</v>
      </c>
      <c r="P122" s="8" t="s">
        <v>185</v>
      </c>
      <c r="Q122" s="8">
        <v>169837</v>
      </c>
      <c r="R122" s="9">
        <v>45208</v>
      </c>
      <c r="S122" s="8" t="s">
        <v>186</v>
      </c>
      <c r="T122" s="8" t="s">
        <v>40</v>
      </c>
      <c r="U122" s="8" t="s">
        <v>187</v>
      </c>
      <c r="V122" s="8" t="s">
        <v>188</v>
      </c>
      <c r="W122" s="8">
        <v>0</v>
      </c>
    </row>
    <row r="123" spans="1:23" x14ac:dyDescent="0.25">
      <c r="A123" s="4">
        <v>3</v>
      </c>
      <c r="B123" s="4"/>
      <c r="C123" s="4">
        <v>878734</v>
      </c>
      <c r="D123" s="4">
        <v>7001.24</v>
      </c>
      <c r="E123" s="5">
        <f t="shared" si="1"/>
        <v>-0.23999999999978172</v>
      </c>
      <c r="F123" s="6">
        <v>45224</v>
      </c>
      <c r="G123" s="10">
        <v>329100194</v>
      </c>
      <c r="H123" s="9">
        <v>45208</v>
      </c>
      <c r="I123" s="9">
        <v>45223</v>
      </c>
      <c r="J123" s="8">
        <v>7001</v>
      </c>
      <c r="K123" s="8" t="s">
        <v>31</v>
      </c>
      <c r="L123" s="8" t="s">
        <v>32</v>
      </c>
      <c r="M123" s="8"/>
      <c r="N123" s="8" t="b">
        <v>0</v>
      </c>
      <c r="O123" s="10">
        <v>20953</v>
      </c>
      <c r="P123" s="8" t="s">
        <v>189</v>
      </c>
      <c r="Q123" s="8">
        <v>169834</v>
      </c>
      <c r="R123" s="9">
        <v>45208</v>
      </c>
      <c r="S123" s="8" t="s">
        <v>39</v>
      </c>
      <c r="T123" s="8" t="s">
        <v>40</v>
      </c>
      <c r="U123" s="8" t="s">
        <v>41</v>
      </c>
      <c r="V123" s="8" t="s">
        <v>42</v>
      </c>
      <c r="W123" s="8">
        <v>0</v>
      </c>
    </row>
    <row r="124" spans="1:23" x14ac:dyDescent="0.25">
      <c r="A124" s="4">
        <v>3</v>
      </c>
      <c r="B124" s="4"/>
      <c r="C124" s="4">
        <v>878735</v>
      </c>
      <c r="D124" s="4">
        <v>7001.24</v>
      </c>
      <c r="E124" s="5">
        <f t="shared" si="1"/>
        <v>-0.23999999999978172</v>
      </c>
      <c r="F124" s="6">
        <v>45224</v>
      </c>
      <c r="G124" s="10">
        <v>329100268</v>
      </c>
      <c r="H124" s="9">
        <v>45208</v>
      </c>
      <c r="I124" s="9">
        <v>45223</v>
      </c>
      <c r="J124" s="8">
        <v>7001</v>
      </c>
      <c r="K124" s="8" t="s">
        <v>31</v>
      </c>
      <c r="L124" s="8" t="s">
        <v>32</v>
      </c>
      <c r="M124" s="8"/>
      <c r="N124" s="8" t="b">
        <v>0</v>
      </c>
      <c r="O124" s="10">
        <v>20952</v>
      </c>
      <c r="P124" s="8" t="s">
        <v>190</v>
      </c>
      <c r="Q124" s="8">
        <v>169825</v>
      </c>
      <c r="R124" s="9">
        <v>45208</v>
      </c>
      <c r="S124" s="8" t="s">
        <v>39</v>
      </c>
      <c r="T124" s="8" t="s">
        <v>40</v>
      </c>
      <c r="U124" s="8" t="s">
        <v>41</v>
      </c>
      <c r="V124" s="8" t="s">
        <v>42</v>
      </c>
      <c r="W124" s="8">
        <v>0</v>
      </c>
    </row>
    <row r="125" spans="1:23" x14ac:dyDescent="0.25">
      <c r="A125" s="4">
        <v>3</v>
      </c>
      <c r="B125" s="4"/>
      <c r="C125" s="4">
        <v>878789</v>
      </c>
      <c r="D125" s="4">
        <v>8014.16</v>
      </c>
      <c r="E125" s="5">
        <f t="shared" si="1"/>
        <v>-0.15999999999985448</v>
      </c>
      <c r="F125" s="6">
        <v>45224</v>
      </c>
      <c r="G125" s="10">
        <v>329101221</v>
      </c>
      <c r="H125" s="9">
        <v>45208</v>
      </c>
      <c r="I125" s="9">
        <v>45223</v>
      </c>
      <c r="J125" s="8">
        <v>8014</v>
      </c>
      <c r="K125" s="8" t="s">
        <v>31</v>
      </c>
      <c r="L125" s="8" t="s">
        <v>32</v>
      </c>
      <c r="M125" s="8"/>
      <c r="N125" s="8" t="b">
        <v>0</v>
      </c>
      <c r="O125" s="10">
        <v>695778</v>
      </c>
      <c r="P125" s="8" t="s">
        <v>191</v>
      </c>
      <c r="Q125" s="8">
        <v>170704</v>
      </c>
      <c r="R125" s="9">
        <v>45208</v>
      </c>
      <c r="S125" s="8" t="s">
        <v>34</v>
      </c>
      <c r="T125" s="8" t="s">
        <v>44</v>
      </c>
      <c r="U125" s="8" t="s">
        <v>157</v>
      </c>
      <c r="V125" s="8" t="s">
        <v>158</v>
      </c>
      <c r="W125" s="8">
        <v>0</v>
      </c>
    </row>
    <row r="126" spans="1:23" x14ac:dyDescent="0.25">
      <c r="A126" s="4">
        <v>3</v>
      </c>
      <c r="B126" s="4"/>
      <c r="C126" s="4">
        <v>878788</v>
      </c>
      <c r="D126" s="4">
        <v>9263.8799999999992</v>
      </c>
      <c r="E126" s="5">
        <f t="shared" si="1"/>
        <v>0.12000000000080036</v>
      </c>
      <c r="F126" s="6">
        <v>45224</v>
      </c>
      <c r="G126" s="10">
        <v>329101272</v>
      </c>
      <c r="H126" s="9">
        <v>45208</v>
      </c>
      <c r="I126" s="9">
        <v>45223</v>
      </c>
      <c r="J126" s="8">
        <v>9264</v>
      </c>
      <c r="K126" s="8" t="s">
        <v>31</v>
      </c>
      <c r="L126" s="8" t="s">
        <v>32</v>
      </c>
      <c r="M126" s="8"/>
      <c r="N126" s="8" t="b">
        <v>0</v>
      </c>
      <c r="O126" s="10">
        <v>700588</v>
      </c>
      <c r="P126" s="8" t="s">
        <v>192</v>
      </c>
      <c r="Q126" s="8">
        <v>170677</v>
      </c>
      <c r="R126" s="9">
        <v>45208</v>
      </c>
      <c r="S126" s="8" t="s">
        <v>130</v>
      </c>
      <c r="T126" s="8" t="s">
        <v>40</v>
      </c>
      <c r="U126" s="8" t="s">
        <v>131</v>
      </c>
      <c r="V126" s="8" t="s">
        <v>132</v>
      </c>
      <c r="W126" s="8">
        <v>0</v>
      </c>
    </row>
    <row r="127" spans="1:23" x14ac:dyDescent="0.25">
      <c r="A127" s="4">
        <v>3</v>
      </c>
      <c r="B127" s="4"/>
      <c r="C127" s="4">
        <v>878787</v>
      </c>
      <c r="D127" s="4">
        <v>6330.42</v>
      </c>
      <c r="E127" s="5">
        <f t="shared" si="1"/>
        <v>-0.42000000000007276</v>
      </c>
      <c r="F127" s="6">
        <v>45224</v>
      </c>
      <c r="G127" s="10">
        <v>329101335</v>
      </c>
      <c r="H127" s="9">
        <v>45208</v>
      </c>
      <c r="I127" s="9">
        <v>45223</v>
      </c>
      <c r="J127" s="8">
        <v>6330</v>
      </c>
      <c r="K127" s="8" t="s">
        <v>31</v>
      </c>
      <c r="L127" s="8" t="s">
        <v>32</v>
      </c>
      <c r="M127" s="8"/>
      <c r="N127" s="8" t="b">
        <v>0</v>
      </c>
      <c r="O127" s="10">
        <v>697210</v>
      </c>
      <c r="P127" s="8" t="s">
        <v>193</v>
      </c>
      <c r="Q127" s="8">
        <v>170708</v>
      </c>
      <c r="R127" s="9">
        <v>45208</v>
      </c>
      <c r="S127" s="8" t="s">
        <v>34</v>
      </c>
      <c r="T127" s="8" t="s">
        <v>44</v>
      </c>
      <c r="U127" s="8" t="s">
        <v>36</v>
      </c>
      <c r="V127" s="8" t="s">
        <v>37</v>
      </c>
      <c r="W127" s="8">
        <v>0</v>
      </c>
    </row>
    <row r="128" spans="1:23" x14ac:dyDescent="0.25">
      <c r="A128" s="4">
        <v>3</v>
      </c>
      <c r="B128" s="4"/>
      <c r="C128" s="4">
        <v>878786</v>
      </c>
      <c r="D128" s="4">
        <v>6330.42</v>
      </c>
      <c r="E128" s="5">
        <f t="shared" si="1"/>
        <v>-0.42000000000007276</v>
      </c>
      <c r="F128" s="6">
        <v>45224</v>
      </c>
      <c r="G128" s="10">
        <v>329101586</v>
      </c>
      <c r="H128" s="9">
        <v>45208</v>
      </c>
      <c r="I128" s="9">
        <v>45223</v>
      </c>
      <c r="J128" s="8">
        <v>6330</v>
      </c>
      <c r="K128" s="8" t="s">
        <v>31</v>
      </c>
      <c r="L128" s="8" t="s">
        <v>32</v>
      </c>
      <c r="M128" s="8"/>
      <c r="N128" s="8" t="b">
        <v>0</v>
      </c>
      <c r="O128" s="10">
        <v>697224</v>
      </c>
      <c r="P128" s="8" t="s">
        <v>194</v>
      </c>
      <c r="Q128" s="8">
        <v>170721</v>
      </c>
      <c r="R128" s="9">
        <v>45208</v>
      </c>
      <c r="S128" s="8" t="s">
        <v>34</v>
      </c>
      <c r="T128" s="8" t="s">
        <v>44</v>
      </c>
      <c r="U128" s="8" t="s">
        <v>36</v>
      </c>
      <c r="V128" s="8" t="s">
        <v>37</v>
      </c>
      <c r="W128" s="8">
        <v>0</v>
      </c>
    </row>
    <row r="129" spans="1:23" x14ac:dyDescent="0.25">
      <c r="A129" s="4">
        <v>1</v>
      </c>
      <c r="B129" s="4"/>
      <c r="C129" s="4">
        <v>878818</v>
      </c>
      <c r="D129" s="4">
        <v>8014.16</v>
      </c>
      <c r="E129" s="5">
        <f t="shared" si="1"/>
        <v>-0.15999999999985448</v>
      </c>
      <c r="F129" s="6">
        <v>45224</v>
      </c>
      <c r="G129" s="10">
        <v>329116462</v>
      </c>
      <c r="H129" s="9">
        <v>45209</v>
      </c>
      <c r="I129" s="9">
        <v>45224</v>
      </c>
      <c r="J129" s="8">
        <v>8014</v>
      </c>
      <c r="K129" s="8" t="s">
        <v>31</v>
      </c>
      <c r="L129" s="8" t="s">
        <v>32</v>
      </c>
      <c r="M129" s="8"/>
      <c r="N129" s="8" t="b">
        <v>0</v>
      </c>
      <c r="O129" s="10">
        <v>695771</v>
      </c>
      <c r="P129" s="8" t="s">
        <v>195</v>
      </c>
      <c r="Q129" s="8">
        <v>179829</v>
      </c>
      <c r="R129" s="9">
        <v>45209</v>
      </c>
      <c r="S129" s="8" t="s">
        <v>34</v>
      </c>
      <c r="T129" s="8" t="s">
        <v>44</v>
      </c>
      <c r="U129" s="8" t="s">
        <v>157</v>
      </c>
      <c r="V129" s="8" t="s">
        <v>158</v>
      </c>
      <c r="W129" s="8">
        <v>0</v>
      </c>
    </row>
    <row r="130" spans="1:23" x14ac:dyDescent="0.25">
      <c r="A130" s="4">
        <v>1</v>
      </c>
      <c r="B130" s="4"/>
      <c r="C130" s="4">
        <v>878817</v>
      </c>
      <c r="D130" s="4">
        <v>8014.16</v>
      </c>
      <c r="E130" s="5">
        <f t="shared" si="1"/>
        <v>-0.15999999999985448</v>
      </c>
      <c r="F130" s="6">
        <v>45224</v>
      </c>
      <c r="G130" s="10">
        <v>329116739</v>
      </c>
      <c r="H130" s="9">
        <v>45209</v>
      </c>
      <c r="I130" s="9">
        <v>45224</v>
      </c>
      <c r="J130" s="8">
        <v>8014</v>
      </c>
      <c r="K130" s="8" t="s">
        <v>31</v>
      </c>
      <c r="L130" s="8" t="s">
        <v>32</v>
      </c>
      <c r="M130" s="8"/>
      <c r="N130" s="8" t="b">
        <v>0</v>
      </c>
      <c r="O130" s="10">
        <v>695775</v>
      </c>
      <c r="P130" s="8" t="s">
        <v>196</v>
      </c>
      <c r="Q130" s="8">
        <v>179854</v>
      </c>
      <c r="R130" s="9">
        <v>45209</v>
      </c>
      <c r="S130" s="8" t="s">
        <v>34</v>
      </c>
      <c r="T130" s="8" t="s">
        <v>44</v>
      </c>
      <c r="U130" s="8" t="s">
        <v>157</v>
      </c>
      <c r="V130" s="8" t="s">
        <v>158</v>
      </c>
      <c r="W130" s="8">
        <v>0</v>
      </c>
    </row>
    <row r="131" spans="1:23" x14ac:dyDescent="0.25">
      <c r="A131" s="4">
        <v>1</v>
      </c>
      <c r="B131" s="4"/>
      <c r="C131" s="4">
        <v>878816</v>
      </c>
      <c r="D131" s="4">
        <v>6374.58</v>
      </c>
      <c r="E131" s="5">
        <f t="shared" si="1"/>
        <v>0.42000000000007276</v>
      </c>
      <c r="F131" s="6">
        <v>45224</v>
      </c>
      <c r="G131" s="10">
        <v>329116743</v>
      </c>
      <c r="H131" s="9">
        <v>45209</v>
      </c>
      <c r="I131" s="9">
        <v>45224</v>
      </c>
      <c r="J131" s="8">
        <v>6375</v>
      </c>
      <c r="K131" s="8" t="s">
        <v>31</v>
      </c>
      <c r="L131" s="8" t="s">
        <v>32</v>
      </c>
      <c r="M131" s="8"/>
      <c r="N131" s="8" t="b">
        <v>0</v>
      </c>
      <c r="O131" s="10">
        <v>702142</v>
      </c>
      <c r="P131" s="8" t="s">
        <v>197</v>
      </c>
      <c r="Q131" s="8">
        <v>179879</v>
      </c>
      <c r="R131" s="9">
        <v>45209</v>
      </c>
      <c r="S131" s="8" t="s">
        <v>48</v>
      </c>
      <c r="T131" s="8" t="s">
        <v>40</v>
      </c>
      <c r="U131" s="8" t="s">
        <v>50</v>
      </c>
      <c r="V131" s="8" t="s">
        <v>37</v>
      </c>
      <c r="W131" s="8">
        <v>0</v>
      </c>
    </row>
    <row r="132" spans="1:23" x14ac:dyDescent="0.25">
      <c r="A132" s="4">
        <v>1</v>
      </c>
      <c r="B132" s="4"/>
      <c r="C132" s="4">
        <v>878815</v>
      </c>
      <c r="D132" s="4">
        <v>5145.66</v>
      </c>
      <c r="E132" s="5">
        <f t="shared" si="1"/>
        <v>0.34000000000014552</v>
      </c>
      <c r="F132" s="6">
        <v>45224</v>
      </c>
      <c r="G132" s="10">
        <v>329116757</v>
      </c>
      <c r="H132" s="9">
        <v>45209</v>
      </c>
      <c r="I132" s="9">
        <v>45224</v>
      </c>
      <c r="J132" s="8">
        <v>5146</v>
      </c>
      <c r="K132" s="8" t="s">
        <v>31</v>
      </c>
      <c r="L132" s="8" t="s">
        <v>32</v>
      </c>
      <c r="M132" s="8"/>
      <c r="N132" s="8" t="b">
        <v>0</v>
      </c>
      <c r="O132" s="10">
        <v>702159</v>
      </c>
      <c r="P132" s="8" t="s">
        <v>198</v>
      </c>
      <c r="Q132" s="8">
        <v>179866</v>
      </c>
      <c r="R132" s="9">
        <v>45209</v>
      </c>
      <c r="S132" s="8" t="s">
        <v>34</v>
      </c>
      <c r="T132" s="8" t="s">
        <v>44</v>
      </c>
      <c r="U132" s="8" t="s">
        <v>58</v>
      </c>
      <c r="V132" s="8" t="s">
        <v>46</v>
      </c>
      <c r="W132" s="8">
        <v>0</v>
      </c>
    </row>
    <row r="133" spans="1:23" x14ac:dyDescent="0.25">
      <c r="A133" s="4">
        <v>1</v>
      </c>
      <c r="B133" s="4"/>
      <c r="C133" s="4">
        <v>878822</v>
      </c>
      <c r="D133" s="4">
        <v>56856.800000000003</v>
      </c>
      <c r="E133" s="5">
        <f t="shared" si="1"/>
        <v>5.1999999999970896</v>
      </c>
      <c r="F133" s="6">
        <v>45224</v>
      </c>
      <c r="G133" s="10">
        <v>329117300</v>
      </c>
      <c r="H133" s="9">
        <v>45209</v>
      </c>
      <c r="I133" s="9">
        <v>45224</v>
      </c>
      <c r="J133" s="8">
        <v>56862</v>
      </c>
      <c r="K133" s="8" t="s">
        <v>31</v>
      </c>
      <c r="L133" s="8" t="s">
        <v>32</v>
      </c>
      <c r="M133" s="8"/>
      <c r="N133" s="8" t="b">
        <v>0</v>
      </c>
      <c r="O133" s="10"/>
      <c r="P133" s="8" t="s">
        <v>199</v>
      </c>
      <c r="Q133" s="8">
        <v>164857</v>
      </c>
      <c r="R133" s="9">
        <v>45208</v>
      </c>
      <c r="S133" s="8" t="s">
        <v>34</v>
      </c>
      <c r="T133" s="8" t="s">
        <v>49</v>
      </c>
      <c r="U133" s="8" t="s">
        <v>75</v>
      </c>
      <c r="V133" s="8" t="s">
        <v>46</v>
      </c>
      <c r="W133" s="8">
        <v>0</v>
      </c>
    </row>
    <row r="134" spans="1:23" x14ac:dyDescent="0.25">
      <c r="A134" s="4">
        <v>1</v>
      </c>
      <c r="B134" s="4" t="s">
        <v>145</v>
      </c>
      <c r="C134" s="4" t="s">
        <v>200</v>
      </c>
      <c r="D134" s="4">
        <v>16469.12</v>
      </c>
      <c r="E134" s="5">
        <f t="shared" ref="E134:E197" si="2">J134-D134</f>
        <v>0.88000000000101863</v>
      </c>
      <c r="F134" s="6">
        <v>45224</v>
      </c>
      <c r="G134" s="10">
        <v>329125822</v>
      </c>
      <c r="H134" s="9">
        <v>45209</v>
      </c>
      <c r="I134" s="9">
        <v>45224</v>
      </c>
      <c r="J134" s="8">
        <v>16470</v>
      </c>
      <c r="K134" s="8" t="s">
        <v>31</v>
      </c>
      <c r="L134" s="8" t="s">
        <v>32</v>
      </c>
      <c r="M134" s="8"/>
      <c r="N134" s="8" t="b">
        <v>0</v>
      </c>
      <c r="O134" s="10"/>
      <c r="P134" s="8" t="s">
        <v>201</v>
      </c>
      <c r="Q134" s="8">
        <v>189746</v>
      </c>
      <c r="R134" s="9">
        <v>45209</v>
      </c>
      <c r="S134" s="8" t="s">
        <v>148</v>
      </c>
      <c r="T134" s="8" t="s">
        <v>49</v>
      </c>
      <c r="U134" s="8" t="s">
        <v>149</v>
      </c>
      <c r="V134" s="8" t="s">
        <v>150</v>
      </c>
      <c r="W134" s="8">
        <v>0</v>
      </c>
    </row>
    <row r="135" spans="1:23" x14ac:dyDescent="0.25">
      <c r="A135" s="4">
        <v>1</v>
      </c>
      <c r="B135" s="4"/>
      <c r="C135" s="4">
        <v>878814</v>
      </c>
      <c r="D135" s="4">
        <v>8014.16</v>
      </c>
      <c r="E135" s="5">
        <f t="shared" si="2"/>
        <v>-0.15999999999985448</v>
      </c>
      <c r="F135" s="6">
        <v>45224</v>
      </c>
      <c r="G135" s="10">
        <v>329126491</v>
      </c>
      <c r="H135" s="9">
        <v>45209</v>
      </c>
      <c r="I135" s="9">
        <v>45224</v>
      </c>
      <c r="J135" s="8">
        <v>8014</v>
      </c>
      <c r="K135" s="8" t="s">
        <v>31</v>
      </c>
      <c r="L135" s="8" t="s">
        <v>32</v>
      </c>
      <c r="M135" s="8"/>
      <c r="N135" s="8" t="b">
        <v>0</v>
      </c>
      <c r="O135" s="10">
        <v>695774</v>
      </c>
      <c r="P135" s="8" t="s">
        <v>202</v>
      </c>
      <c r="Q135" s="8">
        <v>190504</v>
      </c>
      <c r="R135" s="9">
        <v>45209</v>
      </c>
      <c r="S135" s="8" t="s">
        <v>34</v>
      </c>
      <c r="T135" s="8" t="s">
        <v>44</v>
      </c>
      <c r="U135" s="8" t="s">
        <v>157</v>
      </c>
      <c r="V135" s="8" t="s">
        <v>158</v>
      </c>
      <c r="W135" s="8">
        <v>0</v>
      </c>
    </row>
    <row r="136" spans="1:23" x14ac:dyDescent="0.25">
      <c r="A136" s="4">
        <v>1</v>
      </c>
      <c r="B136" s="4"/>
      <c r="C136" s="4">
        <v>878813</v>
      </c>
      <c r="D136" s="4">
        <v>5147.96</v>
      </c>
      <c r="E136" s="5">
        <f t="shared" si="2"/>
        <v>3.999999999996362E-2</v>
      </c>
      <c r="F136" s="6">
        <v>45224</v>
      </c>
      <c r="G136" s="10">
        <v>329126494</v>
      </c>
      <c r="H136" s="9">
        <v>45209</v>
      </c>
      <c r="I136" s="9">
        <v>45224</v>
      </c>
      <c r="J136" s="8">
        <v>5148</v>
      </c>
      <c r="K136" s="8" t="s">
        <v>31</v>
      </c>
      <c r="L136" s="8" t="s">
        <v>32</v>
      </c>
      <c r="M136" s="8"/>
      <c r="N136" s="8" t="b">
        <v>0</v>
      </c>
      <c r="O136" s="10">
        <v>695735</v>
      </c>
      <c r="P136" s="8" t="s">
        <v>203</v>
      </c>
      <c r="Q136" s="8">
        <v>190495</v>
      </c>
      <c r="R136" s="9">
        <v>45209</v>
      </c>
      <c r="S136" s="8" t="s">
        <v>180</v>
      </c>
      <c r="T136" s="8" t="s">
        <v>44</v>
      </c>
      <c r="U136" s="8" t="s">
        <v>45</v>
      </c>
      <c r="V136" s="8" t="s">
        <v>46</v>
      </c>
      <c r="W136" s="8">
        <v>0</v>
      </c>
    </row>
    <row r="137" spans="1:23" x14ac:dyDescent="0.25">
      <c r="A137" s="4">
        <v>1</v>
      </c>
      <c r="B137" s="4"/>
      <c r="C137" s="4">
        <v>878812</v>
      </c>
      <c r="D137" s="4">
        <v>5145.66</v>
      </c>
      <c r="E137" s="5">
        <f t="shared" si="2"/>
        <v>0.34000000000014552</v>
      </c>
      <c r="F137" s="6">
        <v>45224</v>
      </c>
      <c r="G137" s="10">
        <v>329126516</v>
      </c>
      <c r="H137" s="9">
        <v>45209</v>
      </c>
      <c r="I137" s="9">
        <v>45224</v>
      </c>
      <c r="J137" s="8">
        <v>5146</v>
      </c>
      <c r="K137" s="8" t="s">
        <v>31</v>
      </c>
      <c r="L137" s="8" t="s">
        <v>32</v>
      </c>
      <c r="M137" s="8"/>
      <c r="N137" s="8" t="b">
        <v>0</v>
      </c>
      <c r="O137" s="10">
        <v>702158</v>
      </c>
      <c r="P137" s="8" t="s">
        <v>204</v>
      </c>
      <c r="Q137" s="8">
        <v>190506</v>
      </c>
      <c r="R137" s="9">
        <v>45209</v>
      </c>
      <c r="S137" s="8" t="s">
        <v>34</v>
      </c>
      <c r="T137" s="8" t="s">
        <v>44</v>
      </c>
      <c r="U137" s="8" t="s">
        <v>58</v>
      </c>
      <c r="V137" s="8" t="s">
        <v>46</v>
      </c>
      <c r="W137" s="8">
        <v>0</v>
      </c>
    </row>
    <row r="138" spans="1:23" x14ac:dyDescent="0.25">
      <c r="A138" s="4">
        <v>1</v>
      </c>
      <c r="B138" s="4"/>
      <c r="C138" s="4">
        <v>878821</v>
      </c>
      <c r="D138" s="4">
        <v>12991.84</v>
      </c>
      <c r="E138" s="5">
        <f t="shared" si="2"/>
        <v>0.15999999999985448</v>
      </c>
      <c r="F138" s="6">
        <v>45224</v>
      </c>
      <c r="G138" s="10">
        <v>329126558</v>
      </c>
      <c r="H138" s="9">
        <v>45209</v>
      </c>
      <c r="I138" s="9">
        <v>45224</v>
      </c>
      <c r="J138" s="8">
        <v>12992</v>
      </c>
      <c r="K138" s="8" t="s">
        <v>31</v>
      </c>
      <c r="L138" s="8" t="s">
        <v>32</v>
      </c>
      <c r="M138" s="8"/>
      <c r="N138" s="8" t="b">
        <v>0</v>
      </c>
      <c r="O138" s="10"/>
      <c r="P138" s="8" t="s">
        <v>205</v>
      </c>
      <c r="Q138" s="8">
        <v>190371</v>
      </c>
      <c r="R138" s="9">
        <v>45209</v>
      </c>
      <c r="S138" s="8" t="s">
        <v>70</v>
      </c>
      <c r="T138" s="8" t="s">
        <v>49</v>
      </c>
      <c r="U138" s="8" t="s">
        <v>71</v>
      </c>
      <c r="V138" s="8" t="s">
        <v>72</v>
      </c>
      <c r="W138" s="8">
        <v>0</v>
      </c>
    </row>
    <row r="139" spans="1:23" x14ac:dyDescent="0.25">
      <c r="A139" s="4">
        <v>1</v>
      </c>
      <c r="B139" s="4"/>
      <c r="C139" s="4">
        <v>878784</v>
      </c>
      <c r="D139" s="4">
        <v>5199.46</v>
      </c>
      <c r="E139" s="5">
        <f t="shared" si="2"/>
        <v>-0.46000000000003638</v>
      </c>
      <c r="F139" s="6">
        <v>45224</v>
      </c>
      <c r="G139" s="10">
        <v>329126581</v>
      </c>
      <c r="H139" s="9">
        <v>45209</v>
      </c>
      <c r="I139" s="9">
        <v>45224</v>
      </c>
      <c r="J139" s="8">
        <v>5199</v>
      </c>
      <c r="K139" s="8" t="s">
        <v>31</v>
      </c>
      <c r="L139" s="8" t="s">
        <v>32</v>
      </c>
      <c r="M139" s="8"/>
      <c r="N139" s="8" t="b">
        <v>0</v>
      </c>
      <c r="O139" s="10">
        <v>20930</v>
      </c>
      <c r="P139" s="8" t="s">
        <v>206</v>
      </c>
      <c r="Q139" s="8">
        <v>190583</v>
      </c>
      <c r="R139" s="9">
        <v>45209</v>
      </c>
      <c r="S139" s="8" t="s">
        <v>48</v>
      </c>
      <c r="T139" s="8" t="s">
        <v>40</v>
      </c>
      <c r="U139" s="8" t="s">
        <v>163</v>
      </c>
      <c r="V139" s="8" t="s">
        <v>46</v>
      </c>
      <c r="W139" s="8">
        <v>0</v>
      </c>
    </row>
    <row r="140" spans="1:23" x14ac:dyDescent="0.25">
      <c r="A140" s="4">
        <v>1</v>
      </c>
      <c r="B140" s="4"/>
      <c r="C140" s="4">
        <v>878811</v>
      </c>
      <c r="D140" s="4">
        <v>6369.52</v>
      </c>
      <c r="E140" s="5">
        <f t="shared" si="2"/>
        <v>5.4799999999995634</v>
      </c>
      <c r="F140" s="6">
        <v>45224</v>
      </c>
      <c r="G140" s="10">
        <v>329127054</v>
      </c>
      <c r="H140" s="9">
        <v>45209</v>
      </c>
      <c r="I140" s="9">
        <v>45224</v>
      </c>
      <c r="J140" s="8">
        <v>6375</v>
      </c>
      <c r="K140" s="8" t="s">
        <v>31</v>
      </c>
      <c r="L140" s="8" t="s">
        <v>32</v>
      </c>
      <c r="M140" s="8"/>
      <c r="N140" s="8" t="b">
        <v>0</v>
      </c>
      <c r="O140" s="10">
        <v>702143</v>
      </c>
      <c r="P140" s="8" t="s">
        <v>53</v>
      </c>
      <c r="Q140" s="8">
        <v>190640</v>
      </c>
      <c r="R140" s="9">
        <v>45209</v>
      </c>
      <c r="S140" s="8" t="s">
        <v>48</v>
      </c>
      <c r="T140" s="8" t="s">
        <v>40</v>
      </c>
      <c r="U140" s="8" t="s">
        <v>50</v>
      </c>
      <c r="V140" s="8" t="s">
        <v>37</v>
      </c>
      <c r="W140" s="8">
        <v>0</v>
      </c>
    </row>
    <row r="141" spans="1:23" x14ac:dyDescent="0.25">
      <c r="A141" s="4">
        <v>1</v>
      </c>
      <c r="B141" s="4"/>
      <c r="C141" s="4">
        <v>878810</v>
      </c>
      <c r="D141" s="4">
        <v>6374.58</v>
      </c>
      <c r="E141" s="5">
        <f t="shared" si="2"/>
        <v>0.42000000000007276</v>
      </c>
      <c r="F141" s="6">
        <v>45224</v>
      </c>
      <c r="G141" s="10">
        <v>329127099</v>
      </c>
      <c r="H141" s="9">
        <v>45209</v>
      </c>
      <c r="I141" s="9">
        <v>45224</v>
      </c>
      <c r="J141" s="8">
        <v>6375</v>
      </c>
      <c r="K141" s="8" t="s">
        <v>31</v>
      </c>
      <c r="L141" s="8" t="s">
        <v>32</v>
      </c>
      <c r="M141" s="8"/>
      <c r="N141" s="8" t="b">
        <v>0</v>
      </c>
      <c r="O141" s="10">
        <v>702144</v>
      </c>
      <c r="P141" s="8" t="s">
        <v>51</v>
      </c>
      <c r="Q141" s="8">
        <v>190659</v>
      </c>
      <c r="R141" s="9">
        <v>45209</v>
      </c>
      <c r="S141" s="8" t="s">
        <v>48</v>
      </c>
      <c r="T141" s="8" t="s">
        <v>40</v>
      </c>
      <c r="U141" s="8" t="s">
        <v>50</v>
      </c>
      <c r="V141" s="8" t="s">
        <v>37</v>
      </c>
      <c r="W141" s="8">
        <v>0</v>
      </c>
    </row>
    <row r="142" spans="1:23" x14ac:dyDescent="0.25">
      <c r="A142" s="4">
        <v>1</v>
      </c>
      <c r="B142" s="4"/>
      <c r="C142" s="4">
        <v>878820</v>
      </c>
      <c r="D142" s="4">
        <v>38975.519999999997</v>
      </c>
      <c r="E142" s="5">
        <f t="shared" si="2"/>
        <v>0.48000000000320142</v>
      </c>
      <c r="F142" s="6">
        <v>45224</v>
      </c>
      <c r="G142" s="10">
        <v>329127759</v>
      </c>
      <c r="H142" s="9">
        <v>45209</v>
      </c>
      <c r="I142" s="9">
        <v>45224</v>
      </c>
      <c r="J142" s="8">
        <v>38976</v>
      </c>
      <c r="K142" s="8" t="s">
        <v>31</v>
      </c>
      <c r="L142" s="8" t="s">
        <v>32</v>
      </c>
      <c r="M142" s="8"/>
      <c r="N142" s="8" t="b">
        <v>0</v>
      </c>
      <c r="O142" s="10"/>
      <c r="P142" s="8" t="s">
        <v>207</v>
      </c>
      <c r="Q142" s="8">
        <v>191490</v>
      </c>
      <c r="R142" s="9">
        <v>45209</v>
      </c>
      <c r="S142" s="8" t="s">
        <v>70</v>
      </c>
      <c r="T142" s="8" t="s">
        <v>49</v>
      </c>
      <c r="U142" s="8" t="s">
        <v>71</v>
      </c>
      <c r="V142" s="8" t="s">
        <v>72</v>
      </c>
      <c r="W142" s="8">
        <v>0</v>
      </c>
    </row>
    <row r="143" spans="1:23" x14ac:dyDescent="0.25">
      <c r="A143" s="4">
        <v>1</v>
      </c>
      <c r="B143" s="4"/>
      <c r="C143" s="4">
        <v>879051</v>
      </c>
      <c r="D143" s="4">
        <v>6300.92</v>
      </c>
      <c r="E143" s="5">
        <f t="shared" si="2"/>
        <v>7.999999999992724E-2</v>
      </c>
      <c r="F143" s="6">
        <v>45224</v>
      </c>
      <c r="G143" s="10">
        <v>329135914</v>
      </c>
      <c r="H143" s="9">
        <v>45210</v>
      </c>
      <c r="I143" s="9">
        <v>45225</v>
      </c>
      <c r="J143" s="8">
        <v>6301</v>
      </c>
      <c r="K143" s="8" t="s">
        <v>31</v>
      </c>
      <c r="L143" s="8" t="s">
        <v>32</v>
      </c>
      <c r="M143" s="8"/>
      <c r="N143" s="8" t="b">
        <v>0</v>
      </c>
      <c r="O143" s="10">
        <v>700984</v>
      </c>
      <c r="P143" s="8" t="s">
        <v>208</v>
      </c>
      <c r="Q143" s="8">
        <v>165712</v>
      </c>
      <c r="R143" s="9">
        <v>45208</v>
      </c>
      <c r="S143" s="8" t="s">
        <v>34</v>
      </c>
      <c r="T143" s="8" t="s">
        <v>209</v>
      </c>
      <c r="U143" s="8" t="s">
        <v>58</v>
      </c>
      <c r="V143" s="8" t="s">
        <v>46</v>
      </c>
      <c r="W143" s="8">
        <v>0</v>
      </c>
    </row>
    <row r="144" spans="1:23" x14ac:dyDescent="0.25">
      <c r="A144" s="4">
        <v>1</v>
      </c>
      <c r="B144" s="4"/>
      <c r="C144" s="4">
        <v>879052</v>
      </c>
      <c r="D144" s="4">
        <v>5145.66</v>
      </c>
      <c r="E144" s="5">
        <f t="shared" si="2"/>
        <v>0.34000000000014552</v>
      </c>
      <c r="F144" s="6">
        <v>45224</v>
      </c>
      <c r="G144" s="10">
        <v>329144037</v>
      </c>
      <c r="H144" s="9">
        <v>45210</v>
      </c>
      <c r="I144" s="9">
        <v>45225</v>
      </c>
      <c r="J144" s="8">
        <v>5146</v>
      </c>
      <c r="K144" s="8" t="s">
        <v>31</v>
      </c>
      <c r="L144" s="8" t="s">
        <v>32</v>
      </c>
      <c r="M144" s="8"/>
      <c r="N144" s="8" t="b">
        <v>0</v>
      </c>
      <c r="O144" s="10">
        <v>702163</v>
      </c>
      <c r="P144" s="8" t="s">
        <v>210</v>
      </c>
      <c r="Q144" s="8">
        <v>203925</v>
      </c>
      <c r="R144" s="9">
        <v>45210</v>
      </c>
      <c r="S144" s="8" t="s">
        <v>34</v>
      </c>
      <c r="T144" s="8" t="s">
        <v>44</v>
      </c>
      <c r="U144" s="8" t="s">
        <v>58</v>
      </c>
      <c r="V144" s="8" t="s">
        <v>46</v>
      </c>
      <c r="W144" s="8">
        <v>0</v>
      </c>
    </row>
    <row r="145" spans="1:23" x14ac:dyDescent="0.25">
      <c r="A145" s="4">
        <v>1</v>
      </c>
      <c r="B145" s="4"/>
      <c r="C145" s="4">
        <v>879053</v>
      </c>
      <c r="D145" s="4">
        <v>6374.58</v>
      </c>
      <c r="E145" s="5">
        <f t="shared" si="2"/>
        <v>0.42000000000007276</v>
      </c>
      <c r="F145" s="6">
        <v>45224</v>
      </c>
      <c r="G145" s="10">
        <v>329144406</v>
      </c>
      <c r="H145" s="9">
        <v>45210</v>
      </c>
      <c r="I145" s="9">
        <v>45225</v>
      </c>
      <c r="J145" s="8">
        <v>6375</v>
      </c>
      <c r="K145" s="8" t="s">
        <v>31</v>
      </c>
      <c r="L145" s="8" t="s">
        <v>32</v>
      </c>
      <c r="M145" s="8"/>
      <c r="N145" s="8" t="b">
        <v>0</v>
      </c>
      <c r="O145" s="10">
        <v>702147</v>
      </c>
      <c r="P145" s="8" t="s">
        <v>211</v>
      </c>
      <c r="Q145" s="8">
        <v>204172</v>
      </c>
      <c r="R145" s="9">
        <v>45210</v>
      </c>
      <c r="S145" s="8" t="s">
        <v>48</v>
      </c>
      <c r="T145" s="8" t="s">
        <v>40</v>
      </c>
      <c r="U145" s="8" t="s">
        <v>50</v>
      </c>
      <c r="V145" s="8" t="s">
        <v>37</v>
      </c>
      <c r="W145" s="8">
        <v>0</v>
      </c>
    </row>
    <row r="146" spans="1:23" x14ac:dyDescent="0.25">
      <c r="A146" s="4">
        <v>1</v>
      </c>
      <c r="B146" s="4"/>
      <c r="C146" s="4">
        <v>879054</v>
      </c>
      <c r="D146" s="4">
        <v>6374.58</v>
      </c>
      <c r="E146" s="5">
        <f t="shared" si="2"/>
        <v>0.42000000000007276</v>
      </c>
      <c r="F146" s="6">
        <v>45224</v>
      </c>
      <c r="G146" s="10">
        <v>329144449</v>
      </c>
      <c r="H146" s="9">
        <v>45210</v>
      </c>
      <c r="I146" s="9">
        <v>45225</v>
      </c>
      <c r="J146" s="8">
        <v>6375</v>
      </c>
      <c r="K146" s="8" t="s">
        <v>31</v>
      </c>
      <c r="L146" s="8" t="s">
        <v>32</v>
      </c>
      <c r="M146" s="8"/>
      <c r="N146" s="8" t="b">
        <v>0</v>
      </c>
      <c r="O146" s="10">
        <v>702146</v>
      </c>
      <c r="P146" s="8" t="s">
        <v>212</v>
      </c>
      <c r="Q146" s="8">
        <v>204156</v>
      </c>
      <c r="R146" s="9">
        <v>45210</v>
      </c>
      <c r="S146" s="8" t="s">
        <v>48</v>
      </c>
      <c r="T146" s="8" t="s">
        <v>40</v>
      </c>
      <c r="U146" s="8" t="s">
        <v>50</v>
      </c>
      <c r="V146" s="8" t="s">
        <v>37</v>
      </c>
      <c r="W146" s="8">
        <v>0</v>
      </c>
    </row>
    <row r="147" spans="1:23" x14ac:dyDescent="0.25">
      <c r="A147" s="4">
        <v>1</v>
      </c>
      <c r="B147" s="4"/>
      <c r="C147" s="4">
        <v>879055</v>
      </c>
      <c r="D147" s="4">
        <v>6374.58</v>
      </c>
      <c r="E147" s="5">
        <f t="shared" si="2"/>
        <v>0.42000000000007276</v>
      </c>
      <c r="F147" s="6">
        <v>45224</v>
      </c>
      <c r="G147" s="10">
        <v>329144571</v>
      </c>
      <c r="H147" s="9">
        <v>45210</v>
      </c>
      <c r="I147" s="9">
        <v>45225</v>
      </c>
      <c r="J147" s="8">
        <v>6375</v>
      </c>
      <c r="K147" s="8" t="s">
        <v>31</v>
      </c>
      <c r="L147" s="8" t="s">
        <v>32</v>
      </c>
      <c r="M147" s="8"/>
      <c r="N147" s="8" t="b">
        <v>0</v>
      </c>
      <c r="O147" s="10">
        <v>702145</v>
      </c>
      <c r="P147" s="8" t="s">
        <v>213</v>
      </c>
      <c r="Q147" s="8">
        <v>204111</v>
      </c>
      <c r="R147" s="9">
        <v>45210</v>
      </c>
      <c r="S147" s="8" t="s">
        <v>48</v>
      </c>
      <c r="T147" s="8" t="s">
        <v>40</v>
      </c>
      <c r="U147" s="8" t="s">
        <v>50</v>
      </c>
      <c r="V147" s="8" t="s">
        <v>37</v>
      </c>
      <c r="W147" s="8">
        <v>0</v>
      </c>
    </row>
    <row r="148" spans="1:23" x14ac:dyDescent="0.25">
      <c r="A148" s="4">
        <v>1</v>
      </c>
      <c r="B148" s="4"/>
      <c r="C148" s="4">
        <v>879114</v>
      </c>
      <c r="D148" s="4">
        <v>7001.24</v>
      </c>
      <c r="E148" s="5">
        <f t="shared" si="2"/>
        <v>-0.23999999999978172</v>
      </c>
      <c r="F148" s="6">
        <v>45224</v>
      </c>
      <c r="G148" s="10">
        <v>329144975</v>
      </c>
      <c r="H148" s="9">
        <v>45210</v>
      </c>
      <c r="I148" s="9">
        <v>45225</v>
      </c>
      <c r="J148" s="8">
        <v>7001</v>
      </c>
      <c r="K148" s="8" t="s">
        <v>31</v>
      </c>
      <c r="L148" s="8" t="s">
        <v>32</v>
      </c>
      <c r="M148" s="8"/>
      <c r="N148" s="8" t="b">
        <v>0</v>
      </c>
      <c r="O148" s="10">
        <v>20958</v>
      </c>
      <c r="P148" s="8" t="s">
        <v>214</v>
      </c>
      <c r="Q148" s="8">
        <v>204425</v>
      </c>
      <c r="R148" s="9">
        <v>45210</v>
      </c>
      <c r="S148" s="8" t="s">
        <v>39</v>
      </c>
      <c r="T148" s="8" t="s">
        <v>40</v>
      </c>
      <c r="U148" s="8" t="s">
        <v>41</v>
      </c>
      <c r="V148" s="8" t="s">
        <v>42</v>
      </c>
      <c r="W148" s="8">
        <v>0</v>
      </c>
    </row>
    <row r="149" spans="1:23" x14ac:dyDescent="0.25">
      <c r="A149" s="4">
        <v>1</v>
      </c>
      <c r="B149" s="4"/>
      <c r="C149" s="4">
        <v>879070</v>
      </c>
      <c r="D149" s="4">
        <v>1000</v>
      </c>
      <c r="E149" s="5">
        <f t="shared" si="2"/>
        <v>0</v>
      </c>
      <c r="F149" s="6">
        <v>45224</v>
      </c>
      <c r="G149" s="10">
        <v>329145697</v>
      </c>
      <c r="H149" s="9">
        <v>45211</v>
      </c>
      <c r="I149" s="9">
        <v>45226</v>
      </c>
      <c r="J149" s="8">
        <v>1000</v>
      </c>
      <c r="K149" s="8" t="s">
        <v>215</v>
      </c>
      <c r="L149" s="8" t="s">
        <v>32</v>
      </c>
      <c r="M149" s="8"/>
      <c r="N149" s="8" t="b">
        <v>0</v>
      </c>
      <c r="O149" s="10"/>
      <c r="P149" s="8"/>
      <c r="Q149" s="8"/>
      <c r="R149" s="9"/>
      <c r="S149" s="8" t="s">
        <v>48</v>
      </c>
      <c r="T149" s="8"/>
      <c r="U149" s="8"/>
      <c r="V149" s="8"/>
      <c r="W149" s="8">
        <v>0</v>
      </c>
    </row>
    <row r="150" spans="1:23" x14ac:dyDescent="0.25">
      <c r="A150" s="4">
        <v>1</v>
      </c>
      <c r="B150" s="4"/>
      <c r="C150" s="4">
        <v>879056</v>
      </c>
      <c r="D150" s="4">
        <v>6374.58</v>
      </c>
      <c r="E150" s="5">
        <f t="shared" si="2"/>
        <v>0.42000000000007276</v>
      </c>
      <c r="F150" s="6">
        <v>45224</v>
      </c>
      <c r="G150" s="10">
        <v>329164994</v>
      </c>
      <c r="H150" s="9">
        <v>45211</v>
      </c>
      <c r="I150" s="9">
        <v>45226</v>
      </c>
      <c r="J150" s="8">
        <v>6375</v>
      </c>
      <c r="K150" s="8" t="s">
        <v>31</v>
      </c>
      <c r="L150" s="8" t="s">
        <v>32</v>
      </c>
      <c r="M150" s="8"/>
      <c r="N150" s="8" t="b">
        <v>0</v>
      </c>
      <c r="O150" s="10">
        <v>702149</v>
      </c>
      <c r="P150" s="8" t="s">
        <v>216</v>
      </c>
      <c r="Q150" s="8">
        <v>218755</v>
      </c>
      <c r="R150" s="9">
        <v>45211</v>
      </c>
      <c r="S150" s="8" t="s">
        <v>48</v>
      </c>
      <c r="T150" s="8" t="s">
        <v>40</v>
      </c>
      <c r="U150" s="8" t="s">
        <v>50</v>
      </c>
      <c r="V150" s="8" t="s">
        <v>37</v>
      </c>
      <c r="W150" s="8">
        <v>0</v>
      </c>
    </row>
    <row r="151" spans="1:23" x14ac:dyDescent="0.25">
      <c r="A151" s="4">
        <v>1</v>
      </c>
      <c r="B151" s="4"/>
      <c r="C151" s="4">
        <v>879057</v>
      </c>
      <c r="D151" s="4">
        <v>6374.58</v>
      </c>
      <c r="E151" s="5">
        <f t="shared" si="2"/>
        <v>0.42000000000007276</v>
      </c>
      <c r="F151" s="6">
        <v>45224</v>
      </c>
      <c r="G151" s="10">
        <v>329165005</v>
      </c>
      <c r="H151" s="9">
        <v>45211</v>
      </c>
      <c r="I151" s="9">
        <v>45226</v>
      </c>
      <c r="J151" s="8">
        <v>6375</v>
      </c>
      <c r="K151" s="8" t="s">
        <v>31</v>
      </c>
      <c r="L151" s="8" t="s">
        <v>32</v>
      </c>
      <c r="M151" s="8"/>
      <c r="N151" s="8" t="b">
        <v>0</v>
      </c>
      <c r="O151" s="10">
        <v>702150</v>
      </c>
      <c r="P151" s="8" t="s">
        <v>38</v>
      </c>
      <c r="Q151" s="8">
        <v>218765</v>
      </c>
      <c r="R151" s="9">
        <v>45211</v>
      </c>
      <c r="S151" s="8" t="s">
        <v>48</v>
      </c>
      <c r="T151" s="8" t="s">
        <v>40</v>
      </c>
      <c r="U151" s="8" t="s">
        <v>50</v>
      </c>
      <c r="V151" s="8" t="s">
        <v>37</v>
      </c>
      <c r="W151" s="8">
        <v>0</v>
      </c>
    </row>
    <row r="152" spans="1:23" x14ac:dyDescent="0.25">
      <c r="A152" s="4">
        <v>1</v>
      </c>
      <c r="B152" s="4"/>
      <c r="C152" s="4">
        <v>879058</v>
      </c>
      <c r="D152" s="4">
        <v>5173.26</v>
      </c>
      <c r="E152" s="5">
        <f t="shared" si="2"/>
        <v>-0.26000000000021828</v>
      </c>
      <c r="F152" s="6">
        <v>45224</v>
      </c>
      <c r="G152" s="10">
        <v>329165046</v>
      </c>
      <c r="H152" s="9">
        <v>45211</v>
      </c>
      <c r="I152" s="9">
        <v>45226</v>
      </c>
      <c r="J152" s="8">
        <v>5173</v>
      </c>
      <c r="K152" s="8" t="s">
        <v>31</v>
      </c>
      <c r="L152" s="8" t="s">
        <v>32</v>
      </c>
      <c r="M152" s="8"/>
      <c r="N152" s="8" t="b">
        <v>0</v>
      </c>
      <c r="O152" s="10">
        <v>702430</v>
      </c>
      <c r="P152" s="8" t="s">
        <v>217</v>
      </c>
      <c r="Q152" s="8">
        <v>218792</v>
      </c>
      <c r="R152" s="9">
        <v>45211</v>
      </c>
      <c r="S152" s="8" t="s">
        <v>34</v>
      </c>
      <c r="T152" s="8" t="s">
        <v>40</v>
      </c>
      <c r="U152" s="8" t="s">
        <v>58</v>
      </c>
      <c r="V152" s="8" t="s">
        <v>46</v>
      </c>
      <c r="W152" s="8">
        <v>0</v>
      </c>
    </row>
    <row r="153" spans="1:23" x14ac:dyDescent="0.25">
      <c r="A153" s="4">
        <v>1</v>
      </c>
      <c r="B153" s="4"/>
      <c r="C153" s="4">
        <v>879059</v>
      </c>
      <c r="D153" s="4">
        <v>6374.58</v>
      </c>
      <c r="E153" s="5">
        <f t="shared" si="2"/>
        <v>0.42000000000007276</v>
      </c>
      <c r="F153" s="6">
        <v>45224</v>
      </c>
      <c r="G153" s="10">
        <v>329165056</v>
      </c>
      <c r="H153" s="9">
        <v>45211</v>
      </c>
      <c r="I153" s="9">
        <v>45226</v>
      </c>
      <c r="J153" s="8">
        <v>6375</v>
      </c>
      <c r="K153" s="8" t="s">
        <v>31</v>
      </c>
      <c r="L153" s="8" t="s">
        <v>32</v>
      </c>
      <c r="M153" s="8"/>
      <c r="N153" s="8" t="b">
        <v>0</v>
      </c>
      <c r="O153" s="10">
        <v>702148</v>
      </c>
      <c r="P153" s="8" t="s">
        <v>218</v>
      </c>
      <c r="Q153" s="8">
        <v>218742</v>
      </c>
      <c r="R153" s="9">
        <v>45211</v>
      </c>
      <c r="S153" s="8" t="s">
        <v>48</v>
      </c>
      <c r="T153" s="8" t="s">
        <v>40</v>
      </c>
      <c r="U153" s="8" t="s">
        <v>50</v>
      </c>
      <c r="V153" s="8" t="s">
        <v>37</v>
      </c>
      <c r="W153" s="8">
        <v>0</v>
      </c>
    </row>
    <row r="154" spans="1:23" x14ac:dyDescent="0.25">
      <c r="A154" s="4">
        <v>1</v>
      </c>
      <c r="B154" s="4"/>
      <c r="C154" s="4">
        <v>879060</v>
      </c>
      <c r="D154" s="4">
        <v>5173.26</v>
      </c>
      <c r="E154" s="5">
        <f t="shared" si="2"/>
        <v>-0.26000000000021828</v>
      </c>
      <c r="F154" s="6">
        <v>45224</v>
      </c>
      <c r="G154" s="10">
        <v>329165102</v>
      </c>
      <c r="H154" s="9">
        <v>45211</v>
      </c>
      <c r="I154" s="9">
        <v>45226</v>
      </c>
      <c r="J154" s="8">
        <v>5173</v>
      </c>
      <c r="K154" s="8" t="s">
        <v>31</v>
      </c>
      <c r="L154" s="8" t="s">
        <v>32</v>
      </c>
      <c r="M154" s="8"/>
      <c r="N154" s="8" t="b">
        <v>0</v>
      </c>
      <c r="O154" s="10">
        <v>702429</v>
      </c>
      <c r="P154" s="8" t="s">
        <v>219</v>
      </c>
      <c r="Q154" s="8">
        <v>218774</v>
      </c>
      <c r="R154" s="9">
        <v>45211</v>
      </c>
      <c r="S154" s="8" t="s">
        <v>34</v>
      </c>
      <c r="T154" s="8" t="s">
        <v>40</v>
      </c>
      <c r="U154" s="8" t="s">
        <v>58</v>
      </c>
      <c r="V154" s="8" t="s">
        <v>46</v>
      </c>
      <c r="W154" s="8">
        <v>0</v>
      </c>
    </row>
    <row r="155" spans="1:23" x14ac:dyDescent="0.25">
      <c r="A155" s="4">
        <v>1</v>
      </c>
      <c r="B155" s="4"/>
      <c r="C155" s="4">
        <v>879071</v>
      </c>
      <c r="D155" s="4">
        <v>43740.6</v>
      </c>
      <c r="E155" s="5">
        <f t="shared" si="2"/>
        <v>-0.59999999999854481</v>
      </c>
      <c r="F155" s="6">
        <v>45224</v>
      </c>
      <c r="G155" s="10">
        <v>329170974</v>
      </c>
      <c r="H155" s="9">
        <v>45211</v>
      </c>
      <c r="I155" s="9">
        <v>45226</v>
      </c>
      <c r="J155" s="8">
        <v>43740</v>
      </c>
      <c r="K155" s="8" t="s">
        <v>31</v>
      </c>
      <c r="L155" s="8" t="s">
        <v>32</v>
      </c>
      <c r="M155" s="8"/>
      <c r="N155" s="8" t="b">
        <v>0</v>
      </c>
      <c r="O155" s="10"/>
      <c r="P155" s="8" t="s">
        <v>220</v>
      </c>
      <c r="Q155" s="8">
        <v>205404</v>
      </c>
      <c r="R155" s="9">
        <v>45210</v>
      </c>
      <c r="S155" s="8" t="s">
        <v>34</v>
      </c>
      <c r="T155" s="8" t="s">
        <v>49</v>
      </c>
      <c r="U155" s="8" t="s">
        <v>75</v>
      </c>
      <c r="V155" s="8" t="s">
        <v>46</v>
      </c>
      <c r="W155" s="8">
        <v>0</v>
      </c>
    </row>
    <row r="156" spans="1:23" x14ac:dyDescent="0.25">
      <c r="A156" s="4">
        <v>1</v>
      </c>
      <c r="B156" s="4"/>
      <c r="C156" s="4">
        <v>879061</v>
      </c>
      <c r="D156" s="4">
        <v>5173.26</v>
      </c>
      <c r="E156" s="5">
        <f t="shared" si="2"/>
        <v>-0.26000000000021828</v>
      </c>
      <c r="F156" s="6">
        <v>45224</v>
      </c>
      <c r="G156" s="10">
        <v>329174250</v>
      </c>
      <c r="H156" s="9">
        <v>45211</v>
      </c>
      <c r="I156" s="9">
        <v>45226</v>
      </c>
      <c r="J156" s="8">
        <v>5173</v>
      </c>
      <c r="K156" s="8" t="s">
        <v>31</v>
      </c>
      <c r="L156" s="8" t="s">
        <v>32</v>
      </c>
      <c r="M156" s="8"/>
      <c r="N156" s="8" t="b">
        <v>0</v>
      </c>
      <c r="O156" s="10">
        <v>702431</v>
      </c>
      <c r="P156" s="8" t="s">
        <v>68</v>
      </c>
      <c r="Q156" s="8">
        <v>226485</v>
      </c>
      <c r="R156" s="9">
        <v>45211</v>
      </c>
      <c r="S156" s="8" t="s">
        <v>34</v>
      </c>
      <c r="T156" s="8" t="s">
        <v>40</v>
      </c>
      <c r="U156" s="8" t="s">
        <v>58</v>
      </c>
      <c r="V156" s="8" t="s">
        <v>46</v>
      </c>
      <c r="W156" s="8">
        <v>0</v>
      </c>
    </row>
    <row r="157" spans="1:23" x14ac:dyDescent="0.25">
      <c r="A157" s="4">
        <v>1</v>
      </c>
      <c r="B157" s="4"/>
      <c r="C157" s="4">
        <v>879062</v>
      </c>
      <c r="D157" s="4">
        <v>6374.58</v>
      </c>
      <c r="E157" s="5">
        <f t="shared" si="2"/>
        <v>0.42000000000007276</v>
      </c>
      <c r="F157" s="6">
        <v>45224</v>
      </c>
      <c r="G157" s="10">
        <v>329174292</v>
      </c>
      <c r="H157" s="9">
        <v>45211</v>
      </c>
      <c r="I157" s="9">
        <v>45226</v>
      </c>
      <c r="J157" s="8">
        <v>6375</v>
      </c>
      <c r="K157" s="8" t="s">
        <v>31</v>
      </c>
      <c r="L157" s="8" t="s">
        <v>32</v>
      </c>
      <c r="M157" s="8"/>
      <c r="N157" s="8" t="b">
        <v>0</v>
      </c>
      <c r="O157" s="10">
        <v>702151</v>
      </c>
      <c r="P157" s="8" t="s">
        <v>62</v>
      </c>
      <c r="Q157" s="8">
        <v>226477</v>
      </c>
      <c r="R157" s="9">
        <v>45211</v>
      </c>
      <c r="S157" s="8" t="s">
        <v>48</v>
      </c>
      <c r="T157" s="8" t="s">
        <v>40</v>
      </c>
      <c r="U157" s="8" t="s">
        <v>50</v>
      </c>
      <c r="V157" s="8" t="s">
        <v>37</v>
      </c>
      <c r="W157" s="8">
        <v>0</v>
      </c>
    </row>
    <row r="158" spans="1:23" x14ac:dyDescent="0.25">
      <c r="A158" s="4">
        <v>1</v>
      </c>
      <c r="B158" s="4"/>
      <c r="C158" s="4">
        <v>879063</v>
      </c>
      <c r="D158" s="4">
        <v>6374.58</v>
      </c>
      <c r="E158" s="5">
        <f t="shared" si="2"/>
        <v>0.42000000000007276</v>
      </c>
      <c r="F158" s="6">
        <v>45224</v>
      </c>
      <c r="G158" s="10">
        <v>329174534</v>
      </c>
      <c r="H158" s="9">
        <v>45211</v>
      </c>
      <c r="I158" s="9">
        <v>45226</v>
      </c>
      <c r="J158" s="8">
        <v>6375</v>
      </c>
      <c r="K158" s="8" t="s">
        <v>31</v>
      </c>
      <c r="L158" s="8" t="s">
        <v>32</v>
      </c>
      <c r="M158" s="8"/>
      <c r="N158" s="8" t="b">
        <v>0</v>
      </c>
      <c r="O158" s="10">
        <v>702549</v>
      </c>
      <c r="P158" s="8" t="s">
        <v>63</v>
      </c>
      <c r="Q158" s="8">
        <v>226516</v>
      </c>
      <c r="R158" s="9">
        <v>45211</v>
      </c>
      <c r="S158" s="8" t="s">
        <v>48</v>
      </c>
      <c r="T158" s="8" t="s">
        <v>40</v>
      </c>
      <c r="U158" s="8" t="s">
        <v>50</v>
      </c>
      <c r="V158" s="8" t="s">
        <v>37</v>
      </c>
      <c r="W158" s="8">
        <v>0</v>
      </c>
    </row>
    <row r="159" spans="1:23" x14ac:dyDescent="0.25">
      <c r="A159" s="4">
        <v>1</v>
      </c>
      <c r="B159" s="4"/>
      <c r="C159" s="4">
        <v>879064</v>
      </c>
      <c r="D159" s="4">
        <v>8014.16</v>
      </c>
      <c r="E159" s="5">
        <f t="shared" si="2"/>
        <v>-0.15999999999985448</v>
      </c>
      <c r="F159" s="6">
        <v>45224</v>
      </c>
      <c r="G159" s="10">
        <v>329174582</v>
      </c>
      <c r="H159" s="9">
        <v>45211</v>
      </c>
      <c r="I159" s="9">
        <v>45226</v>
      </c>
      <c r="J159" s="8">
        <v>8014</v>
      </c>
      <c r="K159" s="8" t="s">
        <v>31</v>
      </c>
      <c r="L159" s="8" t="s">
        <v>32</v>
      </c>
      <c r="M159" s="8"/>
      <c r="N159" s="8" t="b">
        <v>0</v>
      </c>
      <c r="O159" s="10">
        <v>695783</v>
      </c>
      <c r="P159" s="8" t="s">
        <v>221</v>
      </c>
      <c r="Q159" s="8">
        <v>226536</v>
      </c>
      <c r="R159" s="9">
        <v>45211</v>
      </c>
      <c r="S159" s="8" t="s">
        <v>34</v>
      </c>
      <c r="T159" s="8" t="s">
        <v>44</v>
      </c>
      <c r="U159" s="8" t="s">
        <v>157</v>
      </c>
      <c r="V159" s="8" t="s">
        <v>158</v>
      </c>
      <c r="W159" s="8">
        <v>0</v>
      </c>
    </row>
    <row r="160" spans="1:23" x14ac:dyDescent="0.25">
      <c r="A160" s="4">
        <v>1</v>
      </c>
      <c r="B160" s="4"/>
      <c r="C160" s="4">
        <v>879065</v>
      </c>
      <c r="D160" s="4">
        <v>6374.58</v>
      </c>
      <c r="E160" s="5">
        <f t="shared" si="2"/>
        <v>0.42000000000007276</v>
      </c>
      <c r="F160" s="6">
        <v>45224</v>
      </c>
      <c r="G160" s="10">
        <v>329174594</v>
      </c>
      <c r="H160" s="9">
        <v>45211</v>
      </c>
      <c r="I160" s="9">
        <v>45226</v>
      </c>
      <c r="J160" s="8">
        <v>6375</v>
      </c>
      <c r="K160" s="8" t="s">
        <v>31</v>
      </c>
      <c r="L160" s="8" t="s">
        <v>32</v>
      </c>
      <c r="M160" s="8"/>
      <c r="N160" s="8" t="b">
        <v>0</v>
      </c>
      <c r="O160" s="10">
        <v>702547</v>
      </c>
      <c r="P160" s="8" t="s">
        <v>65</v>
      </c>
      <c r="Q160" s="8">
        <v>226508</v>
      </c>
      <c r="R160" s="9">
        <v>45211</v>
      </c>
      <c r="S160" s="8" t="s">
        <v>48</v>
      </c>
      <c r="T160" s="8" t="s">
        <v>40</v>
      </c>
      <c r="U160" s="8" t="s">
        <v>50</v>
      </c>
      <c r="V160" s="8" t="s">
        <v>37</v>
      </c>
      <c r="W160" s="8">
        <v>0</v>
      </c>
    </row>
    <row r="161" spans="1:23" x14ac:dyDescent="0.25">
      <c r="A161" s="4">
        <v>1</v>
      </c>
      <c r="B161" s="4"/>
      <c r="C161" s="4">
        <v>879110</v>
      </c>
      <c r="D161" s="4">
        <v>6374.58</v>
      </c>
      <c r="E161" s="5">
        <f t="shared" si="2"/>
        <v>0.42000000000007276</v>
      </c>
      <c r="F161" s="6">
        <v>45224</v>
      </c>
      <c r="G161" s="10">
        <v>329174607</v>
      </c>
      <c r="H161" s="9">
        <v>45211</v>
      </c>
      <c r="I161" s="9">
        <v>45226</v>
      </c>
      <c r="J161" s="8">
        <v>6375</v>
      </c>
      <c r="K161" s="8" t="s">
        <v>31</v>
      </c>
      <c r="L161" s="8" t="s">
        <v>32</v>
      </c>
      <c r="M161" s="8"/>
      <c r="N161" s="8" t="b">
        <v>0</v>
      </c>
      <c r="O161" s="10">
        <v>20954</v>
      </c>
      <c r="P161" s="8" t="s">
        <v>56</v>
      </c>
      <c r="Q161" s="8">
        <v>226506</v>
      </c>
      <c r="R161" s="9">
        <v>45211</v>
      </c>
      <c r="S161" s="8" t="s">
        <v>48</v>
      </c>
      <c r="T161" s="8" t="s">
        <v>40</v>
      </c>
      <c r="U161" s="8" t="s">
        <v>50</v>
      </c>
      <c r="V161" s="8" t="s">
        <v>37</v>
      </c>
      <c r="W161" s="8">
        <v>0</v>
      </c>
    </row>
    <row r="162" spans="1:23" x14ac:dyDescent="0.25">
      <c r="A162" s="4">
        <v>1</v>
      </c>
      <c r="B162" s="4"/>
      <c r="C162" s="4">
        <v>879066</v>
      </c>
      <c r="D162" s="4">
        <v>5145.66</v>
      </c>
      <c r="E162" s="5">
        <f t="shared" si="2"/>
        <v>0.34000000000014552</v>
      </c>
      <c r="F162" s="6">
        <v>45224</v>
      </c>
      <c r="G162" s="10">
        <v>329174660</v>
      </c>
      <c r="H162" s="9">
        <v>45211</v>
      </c>
      <c r="I162" s="9">
        <v>45226</v>
      </c>
      <c r="J162" s="8">
        <v>5146</v>
      </c>
      <c r="K162" s="8" t="s">
        <v>31</v>
      </c>
      <c r="L162" s="8" t="s">
        <v>32</v>
      </c>
      <c r="M162" s="8"/>
      <c r="N162" s="8" t="b">
        <v>0</v>
      </c>
      <c r="O162" s="10">
        <v>702160</v>
      </c>
      <c r="P162" s="8" t="s">
        <v>222</v>
      </c>
      <c r="Q162" s="8">
        <v>226544</v>
      </c>
      <c r="R162" s="9">
        <v>45211</v>
      </c>
      <c r="S162" s="8" t="s">
        <v>34</v>
      </c>
      <c r="T162" s="8" t="s">
        <v>44</v>
      </c>
      <c r="U162" s="8" t="s">
        <v>58</v>
      </c>
      <c r="V162" s="8" t="s">
        <v>46</v>
      </c>
      <c r="W162" s="8">
        <v>0</v>
      </c>
    </row>
    <row r="163" spans="1:23" x14ac:dyDescent="0.25">
      <c r="A163" s="4">
        <v>1</v>
      </c>
      <c r="B163" s="4"/>
      <c r="C163" s="4">
        <v>879067</v>
      </c>
      <c r="D163" s="4">
        <v>6374.58</v>
      </c>
      <c r="E163" s="5">
        <f t="shared" si="2"/>
        <v>0.42000000000007276</v>
      </c>
      <c r="F163" s="6">
        <v>45224</v>
      </c>
      <c r="G163" s="10">
        <v>329174665</v>
      </c>
      <c r="H163" s="9">
        <v>45211</v>
      </c>
      <c r="I163" s="9">
        <v>45226</v>
      </c>
      <c r="J163" s="8">
        <v>6375</v>
      </c>
      <c r="K163" s="8" t="s">
        <v>31</v>
      </c>
      <c r="L163" s="8" t="s">
        <v>32</v>
      </c>
      <c r="M163" s="8"/>
      <c r="N163" s="8" t="b">
        <v>0</v>
      </c>
      <c r="O163" s="10">
        <v>702548</v>
      </c>
      <c r="P163" s="8" t="s">
        <v>66</v>
      </c>
      <c r="Q163" s="8">
        <v>226510</v>
      </c>
      <c r="R163" s="9">
        <v>45211</v>
      </c>
      <c r="S163" s="8" t="s">
        <v>48</v>
      </c>
      <c r="T163" s="8" t="s">
        <v>40</v>
      </c>
      <c r="U163" s="8" t="s">
        <v>50</v>
      </c>
      <c r="V163" s="8" t="s">
        <v>37</v>
      </c>
      <c r="W163" s="8">
        <v>0</v>
      </c>
    </row>
    <row r="164" spans="1:23" x14ac:dyDescent="0.25">
      <c r="A164" s="4">
        <v>1</v>
      </c>
      <c r="B164" s="4"/>
      <c r="C164" s="4">
        <v>879068</v>
      </c>
      <c r="D164" s="4">
        <v>8014.16</v>
      </c>
      <c r="E164" s="5">
        <f t="shared" si="2"/>
        <v>-0.15999999999985448</v>
      </c>
      <c r="F164" s="6">
        <v>45224</v>
      </c>
      <c r="G164" s="10">
        <v>329174708</v>
      </c>
      <c r="H164" s="9">
        <v>45211</v>
      </c>
      <c r="I164" s="9">
        <v>45226</v>
      </c>
      <c r="J164" s="8">
        <v>8014</v>
      </c>
      <c r="K164" s="8" t="s">
        <v>31</v>
      </c>
      <c r="L164" s="8" t="s">
        <v>32</v>
      </c>
      <c r="M164" s="8"/>
      <c r="N164" s="8" t="b">
        <v>0</v>
      </c>
      <c r="O164" s="10">
        <v>695784</v>
      </c>
      <c r="P164" s="8" t="s">
        <v>223</v>
      </c>
      <c r="Q164" s="8">
        <v>226540</v>
      </c>
      <c r="R164" s="9">
        <v>45211</v>
      </c>
      <c r="S164" s="8" t="s">
        <v>34</v>
      </c>
      <c r="T164" s="8" t="s">
        <v>44</v>
      </c>
      <c r="U164" s="8" t="s">
        <v>157</v>
      </c>
      <c r="V164" s="8" t="s">
        <v>158</v>
      </c>
      <c r="W164" s="8">
        <v>0</v>
      </c>
    </row>
    <row r="165" spans="1:23" x14ac:dyDescent="0.25">
      <c r="A165" s="4">
        <v>1</v>
      </c>
      <c r="B165" s="4"/>
      <c r="C165" s="4">
        <v>879069</v>
      </c>
      <c r="D165" s="4">
        <v>6374.58</v>
      </c>
      <c r="E165" s="5">
        <f t="shared" si="2"/>
        <v>0.42000000000007276</v>
      </c>
      <c r="F165" s="6">
        <v>45224</v>
      </c>
      <c r="G165" s="10">
        <v>329175820</v>
      </c>
      <c r="H165" s="9">
        <v>45212</v>
      </c>
      <c r="I165" s="9">
        <v>45227</v>
      </c>
      <c r="J165" s="8">
        <v>6375</v>
      </c>
      <c r="K165" s="8" t="s">
        <v>31</v>
      </c>
      <c r="L165" s="8" t="s">
        <v>32</v>
      </c>
      <c r="M165" s="8"/>
      <c r="N165" s="8" t="b">
        <v>0</v>
      </c>
      <c r="O165" s="10">
        <v>702550</v>
      </c>
      <c r="P165" s="8" t="s">
        <v>224</v>
      </c>
      <c r="Q165" s="8">
        <v>227119</v>
      </c>
      <c r="R165" s="9">
        <v>45211</v>
      </c>
      <c r="S165" s="8" t="s">
        <v>48</v>
      </c>
      <c r="T165" s="8" t="s">
        <v>40</v>
      </c>
      <c r="U165" s="8" t="s">
        <v>50</v>
      </c>
      <c r="V165" s="8" t="s">
        <v>37</v>
      </c>
      <c r="W165" s="8">
        <v>0</v>
      </c>
    </row>
    <row r="166" spans="1:23" x14ac:dyDescent="0.25">
      <c r="A166" s="4">
        <v>1</v>
      </c>
      <c r="B166" s="4"/>
      <c r="C166" s="4">
        <v>879138</v>
      </c>
      <c r="D166" s="4">
        <v>5173.26</v>
      </c>
      <c r="E166" s="5">
        <f t="shared" si="2"/>
        <v>-0.26000000000021828</v>
      </c>
      <c r="F166" s="14">
        <v>45226</v>
      </c>
      <c r="G166" s="10">
        <v>329219410</v>
      </c>
      <c r="H166" s="9">
        <v>45215</v>
      </c>
      <c r="I166" s="9">
        <v>45230</v>
      </c>
      <c r="J166" s="8">
        <v>5173</v>
      </c>
      <c r="K166" s="8" t="s">
        <v>31</v>
      </c>
      <c r="L166" s="8" t="s">
        <v>32</v>
      </c>
      <c r="M166" s="8"/>
      <c r="N166" s="8" t="b">
        <v>0</v>
      </c>
      <c r="O166" s="10">
        <v>702651</v>
      </c>
      <c r="P166" s="8" t="s">
        <v>225</v>
      </c>
      <c r="Q166" s="8">
        <v>253492</v>
      </c>
      <c r="R166" s="9">
        <v>45214</v>
      </c>
      <c r="S166" s="8" t="s">
        <v>34</v>
      </c>
      <c r="T166" s="8" t="s">
        <v>40</v>
      </c>
      <c r="U166" s="8" t="s">
        <v>58</v>
      </c>
      <c r="V166" s="8" t="s">
        <v>46</v>
      </c>
      <c r="W166" s="8">
        <v>0</v>
      </c>
    </row>
    <row r="167" spans="1:23" x14ac:dyDescent="0.25">
      <c r="A167" s="4">
        <v>1</v>
      </c>
      <c r="B167" s="4"/>
      <c r="C167" s="4">
        <v>879137</v>
      </c>
      <c r="D167" s="4">
        <v>5145.66</v>
      </c>
      <c r="E167" s="5">
        <f t="shared" si="2"/>
        <v>0.34000000000014552</v>
      </c>
      <c r="F167" s="14">
        <v>45226</v>
      </c>
      <c r="G167" s="10">
        <v>329219413</v>
      </c>
      <c r="H167" s="9">
        <v>45215</v>
      </c>
      <c r="I167" s="9">
        <v>45230</v>
      </c>
      <c r="J167" s="8">
        <v>5146</v>
      </c>
      <c r="K167" s="8" t="s">
        <v>31</v>
      </c>
      <c r="L167" s="8" t="s">
        <v>32</v>
      </c>
      <c r="M167" s="8"/>
      <c r="N167" s="8" t="b">
        <v>0</v>
      </c>
      <c r="O167" s="10">
        <v>702170</v>
      </c>
      <c r="P167" s="8" t="s">
        <v>54</v>
      </c>
      <c r="Q167" s="8">
        <v>253503</v>
      </c>
      <c r="R167" s="9">
        <v>45214</v>
      </c>
      <c r="S167" s="8" t="s">
        <v>34</v>
      </c>
      <c r="T167" s="8" t="s">
        <v>44</v>
      </c>
      <c r="U167" s="8" t="s">
        <v>58</v>
      </c>
      <c r="V167" s="8" t="s">
        <v>46</v>
      </c>
      <c r="W167" s="8">
        <v>0</v>
      </c>
    </row>
    <row r="168" spans="1:23" x14ac:dyDescent="0.25">
      <c r="A168" s="4">
        <v>1</v>
      </c>
      <c r="B168" s="4"/>
      <c r="C168" s="4">
        <v>879136</v>
      </c>
      <c r="D168" s="4">
        <v>5173.26</v>
      </c>
      <c r="E168" s="5">
        <f t="shared" si="2"/>
        <v>-0.26000000000021828</v>
      </c>
      <c r="F168" s="14">
        <v>45226</v>
      </c>
      <c r="G168" s="10">
        <v>329219414</v>
      </c>
      <c r="H168" s="9">
        <v>45215</v>
      </c>
      <c r="I168" s="9">
        <v>45230</v>
      </c>
      <c r="J168" s="8">
        <v>5173</v>
      </c>
      <c r="K168" s="8" t="s">
        <v>31</v>
      </c>
      <c r="L168" s="8" t="s">
        <v>32</v>
      </c>
      <c r="M168" s="8"/>
      <c r="N168" s="8" t="b">
        <v>0</v>
      </c>
      <c r="O168" s="10">
        <v>702650</v>
      </c>
      <c r="P168" s="8" t="s">
        <v>226</v>
      </c>
      <c r="Q168" s="8">
        <v>253491</v>
      </c>
      <c r="R168" s="9">
        <v>45214</v>
      </c>
      <c r="S168" s="8" t="s">
        <v>34</v>
      </c>
      <c r="T168" s="8" t="s">
        <v>40</v>
      </c>
      <c r="U168" s="8" t="s">
        <v>58</v>
      </c>
      <c r="V168" s="8" t="s">
        <v>46</v>
      </c>
      <c r="W168" s="8">
        <v>0</v>
      </c>
    </row>
    <row r="169" spans="1:23" x14ac:dyDescent="0.25">
      <c r="A169" s="4">
        <v>1</v>
      </c>
      <c r="B169" s="4"/>
      <c r="C169" s="4">
        <v>879135</v>
      </c>
      <c r="D169" s="4">
        <v>6374.58</v>
      </c>
      <c r="E169" s="5">
        <f t="shared" si="2"/>
        <v>0.42000000000007276</v>
      </c>
      <c r="F169" s="14">
        <v>45226</v>
      </c>
      <c r="G169" s="10">
        <v>329219425</v>
      </c>
      <c r="H169" s="9">
        <v>45215</v>
      </c>
      <c r="I169" s="9">
        <v>45230</v>
      </c>
      <c r="J169" s="8">
        <v>6375</v>
      </c>
      <c r="K169" s="8" t="s">
        <v>31</v>
      </c>
      <c r="L169" s="8" t="s">
        <v>32</v>
      </c>
      <c r="M169" s="8"/>
      <c r="N169" s="8" t="b">
        <v>0</v>
      </c>
      <c r="O169" s="10">
        <v>702653</v>
      </c>
      <c r="P169" s="8" t="s">
        <v>227</v>
      </c>
      <c r="Q169" s="8">
        <v>253495</v>
      </c>
      <c r="R169" s="9">
        <v>45214</v>
      </c>
      <c r="S169" s="8" t="s">
        <v>48</v>
      </c>
      <c r="T169" s="8" t="s">
        <v>40</v>
      </c>
      <c r="U169" s="8" t="s">
        <v>50</v>
      </c>
      <c r="V169" s="8" t="s">
        <v>37</v>
      </c>
      <c r="W169" s="8">
        <v>0</v>
      </c>
    </row>
    <row r="170" spans="1:23" x14ac:dyDescent="0.25">
      <c r="A170" s="4">
        <v>1</v>
      </c>
      <c r="B170" s="4"/>
      <c r="C170" s="4">
        <v>879134</v>
      </c>
      <c r="D170" s="4">
        <v>6374.58</v>
      </c>
      <c r="E170" s="5">
        <f t="shared" si="2"/>
        <v>0.42000000000007276</v>
      </c>
      <c r="F170" s="14">
        <v>45226</v>
      </c>
      <c r="G170" s="10">
        <v>329219426</v>
      </c>
      <c r="H170" s="9">
        <v>45215</v>
      </c>
      <c r="I170" s="9">
        <v>45230</v>
      </c>
      <c r="J170" s="8">
        <v>6375</v>
      </c>
      <c r="K170" s="8" t="s">
        <v>31</v>
      </c>
      <c r="L170" s="8" t="s">
        <v>32</v>
      </c>
      <c r="M170" s="8"/>
      <c r="N170" s="8" t="b">
        <v>0</v>
      </c>
      <c r="O170" s="10">
        <v>702654</v>
      </c>
      <c r="P170" s="8" t="s">
        <v>228</v>
      </c>
      <c r="Q170" s="8">
        <v>253498</v>
      </c>
      <c r="R170" s="9">
        <v>45214</v>
      </c>
      <c r="S170" s="8" t="s">
        <v>48</v>
      </c>
      <c r="T170" s="8" t="s">
        <v>40</v>
      </c>
      <c r="U170" s="8" t="s">
        <v>50</v>
      </c>
      <c r="V170" s="8" t="s">
        <v>37</v>
      </c>
      <c r="W170" s="8">
        <v>0</v>
      </c>
    </row>
    <row r="171" spans="1:23" x14ac:dyDescent="0.25">
      <c r="A171" s="4">
        <v>1</v>
      </c>
      <c r="B171" s="4"/>
      <c r="C171" s="4">
        <v>879133</v>
      </c>
      <c r="D171" s="4">
        <v>5173.26</v>
      </c>
      <c r="E171" s="5">
        <f t="shared" si="2"/>
        <v>-0.26000000000021828</v>
      </c>
      <c r="F171" s="14">
        <v>45226</v>
      </c>
      <c r="G171" s="10">
        <v>329219428</v>
      </c>
      <c r="H171" s="9">
        <v>45215</v>
      </c>
      <c r="I171" s="9">
        <v>45230</v>
      </c>
      <c r="J171" s="8">
        <v>5173</v>
      </c>
      <c r="K171" s="8" t="s">
        <v>31</v>
      </c>
      <c r="L171" s="8" t="s">
        <v>32</v>
      </c>
      <c r="M171" s="8"/>
      <c r="N171" s="8" t="b">
        <v>0</v>
      </c>
      <c r="O171" s="10">
        <v>702652</v>
      </c>
      <c r="P171" s="8" t="s">
        <v>229</v>
      </c>
      <c r="Q171" s="8">
        <v>253493</v>
      </c>
      <c r="R171" s="9">
        <v>45214</v>
      </c>
      <c r="S171" s="8" t="s">
        <v>34</v>
      </c>
      <c r="T171" s="8" t="s">
        <v>40</v>
      </c>
      <c r="U171" s="8" t="s">
        <v>58</v>
      </c>
      <c r="V171" s="8" t="s">
        <v>46</v>
      </c>
      <c r="W171" s="8">
        <v>0</v>
      </c>
    </row>
    <row r="172" spans="1:23" x14ac:dyDescent="0.25">
      <c r="A172" s="4">
        <v>1</v>
      </c>
      <c r="B172" s="4"/>
      <c r="C172" s="4">
        <v>879132</v>
      </c>
      <c r="D172" s="4">
        <v>6374.58</v>
      </c>
      <c r="E172" s="5">
        <f t="shared" si="2"/>
        <v>0.42000000000007276</v>
      </c>
      <c r="F172" s="14">
        <v>45226</v>
      </c>
      <c r="G172" s="10">
        <v>329219434</v>
      </c>
      <c r="H172" s="9">
        <v>45215</v>
      </c>
      <c r="I172" s="9">
        <v>45230</v>
      </c>
      <c r="J172" s="8">
        <v>6375</v>
      </c>
      <c r="K172" s="8" t="s">
        <v>31</v>
      </c>
      <c r="L172" s="8" t="s">
        <v>32</v>
      </c>
      <c r="M172" s="8"/>
      <c r="N172" s="8" t="b">
        <v>0</v>
      </c>
      <c r="O172" s="10">
        <v>702655</v>
      </c>
      <c r="P172" s="8" t="s">
        <v>230</v>
      </c>
      <c r="Q172" s="8">
        <v>253499</v>
      </c>
      <c r="R172" s="9">
        <v>45214</v>
      </c>
      <c r="S172" s="8" t="s">
        <v>48</v>
      </c>
      <c r="T172" s="8" t="s">
        <v>40</v>
      </c>
      <c r="U172" s="8" t="s">
        <v>50</v>
      </c>
      <c r="V172" s="8" t="s">
        <v>37</v>
      </c>
      <c r="W172" s="8">
        <v>0</v>
      </c>
    </row>
    <row r="173" spans="1:23" x14ac:dyDescent="0.25">
      <c r="A173" s="4">
        <v>1</v>
      </c>
      <c r="B173" s="4"/>
      <c r="C173" s="4">
        <v>879131</v>
      </c>
      <c r="D173" s="4">
        <v>5173.26</v>
      </c>
      <c r="E173" s="5">
        <f t="shared" si="2"/>
        <v>-0.26000000000021828</v>
      </c>
      <c r="F173" s="14">
        <v>45226</v>
      </c>
      <c r="G173" s="10">
        <v>329219437</v>
      </c>
      <c r="H173" s="9">
        <v>45215</v>
      </c>
      <c r="I173" s="9">
        <v>45230</v>
      </c>
      <c r="J173" s="8">
        <v>5173</v>
      </c>
      <c r="K173" s="8" t="s">
        <v>31</v>
      </c>
      <c r="L173" s="8" t="s">
        <v>32</v>
      </c>
      <c r="M173" s="8"/>
      <c r="N173" s="8" t="b">
        <v>0</v>
      </c>
      <c r="O173" s="10">
        <v>702649</v>
      </c>
      <c r="P173" s="8" t="s">
        <v>231</v>
      </c>
      <c r="Q173" s="8">
        <v>253486</v>
      </c>
      <c r="R173" s="9">
        <v>45214</v>
      </c>
      <c r="S173" s="8" t="s">
        <v>34</v>
      </c>
      <c r="T173" s="8" t="s">
        <v>40</v>
      </c>
      <c r="U173" s="8" t="s">
        <v>58</v>
      </c>
      <c r="V173" s="8" t="s">
        <v>46</v>
      </c>
      <c r="W173" s="8">
        <v>0</v>
      </c>
    </row>
    <row r="174" spans="1:23" x14ac:dyDescent="0.25">
      <c r="A174" s="4">
        <v>1</v>
      </c>
      <c r="B174" s="4"/>
      <c r="C174" s="4">
        <v>879139</v>
      </c>
      <c r="D174" s="4">
        <v>25983.68</v>
      </c>
      <c r="E174" s="5">
        <f t="shared" si="2"/>
        <v>0.31999999999970896</v>
      </c>
      <c r="F174" s="14">
        <v>45226</v>
      </c>
      <c r="G174" s="10">
        <v>329230240</v>
      </c>
      <c r="H174" s="9">
        <v>45215</v>
      </c>
      <c r="I174" s="9">
        <v>45230</v>
      </c>
      <c r="J174" s="8">
        <v>25984</v>
      </c>
      <c r="K174" s="8" t="s">
        <v>31</v>
      </c>
      <c r="L174" s="8" t="s">
        <v>32</v>
      </c>
      <c r="M174" s="8"/>
      <c r="N174" s="8" t="b">
        <v>0</v>
      </c>
      <c r="O174" s="10"/>
      <c r="P174" s="8" t="s">
        <v>232</v>
      </c>
      <c r="Q174" s="8">
        <v>262784</v>
      </c>
      <c r="R174" s="9">
        <v>45215</v>
      </c>
      <c r="S174" s="8" t="s">
        <v>70</v>
      </c>
      <c r="T174" s="8" t="s">
        <v>49</v>
      </c>
      <c r="U174" s="8" t="s">
        <v>71</v>
      </c>
      <c r="V174" s="8" t="s">
        <v>72</v>
      </c>
      <c r="W174" s="8">
        <v>0</v>
      </c>
    </row>
    <row r="175" spans="1:23" x14ac:dyDescent="0.25">
      <c r="A175" s="4">
        <v>1</v>
      </c>
      <c r="B175" s="4"/>
      <c r="C175" s="4">
        <v>879112</v>
      </c>
      <c r="D175" s="4">
        <v>6374.58</v>
      </c>
      <c r="E175" s="5">
        <f t="shared" si="2"/>
        <v>0.42000000000007276</v>
      </c>
      <c r="F175" s="14">
        <v>45226</v>
      </c>
      <c r="G175" s="10">
        <v>329237431</v>
      </c>
      <c r="H175" s="9">
        <v>45215</v>
      </c>
      <c r="I175" s="9">
        <v>45230</v>
      </c>
      <c r="J175" s="8">
        <v>6375</v>
      </c>
      <c r="K175" s="8" t="s">
        <v>31</v>
      </c>
      <c r="L175" s="8" t="s">
        <v>32</v>
      </c>
      <c r="M175" s="8"/>
      <c r="N175" s="8" t="b">
        <v>0</v>
      </c>
      <c r="O175" s="10">
        <v>20973</v>
      </c>
      <c r="P175" s="8" t="s">
        <v>233</v>
      </c>
      <c r="Q175" s="8">
        <v>268897</v>
      </c>
      <c r="R175" s="9">
        <v>45215</v>
      </c>
      <c r="S175" s="8" t="s">
        <v>48</v>
      </c>
      <c r="T175" s="8" t="s">
        <v>40</v>
      </c>
      <c r="U175" s="8" t="s">
        <v>50</v>
      </c>
      <c r="V175" s="8" t="s">
        <v>37</v>
      </c>
      <c r="W175" s="8">
        <v>0</v>
      </c>
    </row>
    <row r="176" spans="1:23" x14ac:dyDescent="0.25">
      <c r="A176" s="4">
        <v>1</v>
      </c>
      <c r="B176" s="4"/>
      <c r="C176" s="4">
        <v>879117</v>
      </c>
      <c r="D176" s="4">
        <v>5199.46</v>
      </c>
      <c r="E176" s="5">
        <f t="shared" si="2"/>
        <v>-0.46000000000003638</v>
      </c>
      <c r="F176" s="14">
        <v>45226</v>
      </c>
      <c r="G176" s="10">
        <v>329237472</v>
      </c>
      <c r="H176" s="9">
        <v>45215</v>
      </c>
      <c r="I176" s="9">
        <v>45230</v>
      </c>
      <c r="J176" s="8">
        <v>5199</v>
      </c>
      <c r="K176" s="8" t="s">
        <v>31</v>
      </c>
      <c r="L176" s="8" t="s">
        <v>32</v>
      </c>
      <c r="M176" s="8"/>
      <c r="N176" s="8" t="b">
        <v>0</v>
      </c>
      <c r="O176" s="10">
        <v>20931</v>
      </c>
      <c r="P176" s="8" t="s">
        <v>59</v>
      </c>
      <c r="Q176" s="8">
        <v>268781</v>
      </c>
      <c r="R176" s="9">
        <v>45215</v>
      </c>
      <c r="S176" s="8" t="s">
        <v>48</v>
      </c>
      <c r="T176" s="8" t="s">
        <v>40</v>
      </c>
      <c r="U176" s="8" t="s">
        <v>163</v>
      </c>
      <c r="V176" s="8" t="s">
        <v>46</v>
      </c>
      <c r="W176" s="8">
        <v>0</v>
      </c>
    </row>
    <row r="177" spans="1:23" x14ac:dyDescent="0.25">
      <c r="A177" s="4">
        <v>1</v>
      </c>
      <c r="B177" s="4"/>
      <c r="C177" s="4">
        <v>879130</v>
      </c>
      <c r="D177" s="4">
        <v>7980.88</v>
      </c>
      <c r="E177" s="5">
        <f t="shared" si="2"/>
        <v>0.11999999999989086</v>
      </c>
      <c r="F177" s="14">
        <v>45226</v>
      </c>
      <c r="G177" s="10">
        <v>329237514</v>
      </c>
      <c r="H177" s="9">
        <v>45215</v>
      </c>
      <c r="I177" s="9">
        <v>45230</v>
      </c>
      <c r="J177" s="8">
        <v>7981</v>
      </c>
      <c r="K177" s="8" t="s">
        <v>31</v>
      </c>
      <c r="L177" s="8" t="s">
        <v>32</v>
      </c>
      <c r="M177" s="8"/>
      <c r="N177" s="8" t="b">
        <v>0</v>
      </c>
      <c r="O177" s="10">
        <v>702775</v>
      </c>
      <c r="P177" s="8" t="s">
        <v>100</v>
      </c>
      <c r="Q177" s="8">
        <v>268930</v>
      </c>
      <c r="R177" s="9">
        <v>45215</v>
      </c>
      <c r="S177" s="8" t="s">
        <v>34</v>
      </c>
      <c r="T177" s="8" t="s">
        <v>40</v>
      </c>
      <c r="U177" s="8" t="s">
        <v>88</v>
      </c>
      <c r="V177" s="8" t="s">
        <v>72</v>
      </c>
      <c r="W177" s="8">
        <v>0</v>
      </c>
    </row>
    <row r="178" spans="1:23" x14ac:dyDescent="0.25">
      <c r="A178" s="4">
        <v>1</v>
      </c>
      <c r="B178" s="4"/>
      <c r="C178" s="4">
        <v>879129</v>
      </c>
      <c r="D178" s="4">
        <v>6374.58</v>
      </c>
      <c r="E178" s="5">
        <f t="shared" si="2"/>
        <v>0.42000000000007276</v>
      </c>
      <c r="F178" s="14">
        <v>45226</v>
      </c>
      <c r="G178" s="10">
        <v>329237515</v>
      </c>
      <c r="H178" s="9">
        <v>45215</v>
      </c>
      <c r="I178" s="9">
        <v>45230</v>
      </c>
      <c r="J178" s="8">
        <v>6375</v>
      </c>
      <c r="K178" s="8" t="s">
        <v>31</v>
      </c>
      <c r="L178" s="8" t="s">
        <v>32</v>
      </c>
      <c r="M178" s="8"/>
      <c r="N178" s="8" t="b">
        <v>0</v>
      </c>
      <c r="O178" s="10">
        <v>702778</v>
      </c>
      <c r="P178" s="8" t="s">
        <v>57</v>
      </c>
      <c r="Q178" s="8">
        <v>268958</v>
      </c>
      <c r="R178" s="9">
        <v>45215</v>
      </c>
      <c r="S178" s="8" t="s">
        <v>48</v>
      </c>
      <c r="T178" s="8" t="s">
        <v>40</v>
      </c>
      <c r="U178" s="8" t="s">
        <v>50</v>
      </c>
      <c r="V178" s="8" t="s">
        <v>37</v>
      </c>
      <c r="W178" s="8">
        <v>0</v>
      </c>
    </row>
    <row r="179" spans="1:23" x14ac:dyDescent="0.25">
      <c r="A179" s="4">
        <v>1</v>
      </c>
      <c r="B179" s="4"/>
      <c r="C179" s="4">
        <v>879126</v>
      </c>
      <c r="D179" s="4">
        <v>4927.24</v>
      </c>
      <c r="E179" s="5">
        <f t="shared" si="2"/>
        <v>-0.23999999999978172</v>
      </c>
      <c r="F179" s="14">
        <v>45226</v>
      </c>
      <c r="G179" s="10">
        <v>329237541</v>
      </c>
      <c r="H179" s="9">
        <v>45215</v>
      </c>
      <c r="I179" s="9">
        <v>45230</v>
      </c>
      <c r="J179" s="8">
        <v>4927</v>
      </c>
      <c r="K179" s="8" t="s">
        <v>31</v>
      </c>
      <c r="L179" s="8" t="s">
        <v>32</v>
      </c>
      <c r="M179" s="8"/>
      <c r="N179" s="8" t="b">
        <v>0</v>
      </c>
      <c r="O179" s="10">
        <v>702563</v>
      </c>
      <c r="P179" s="8" t="s">
        <v>60</v>
      </c>
      <c r="Q179" s="8">
        <v>268803</v>
      </c>
      <c r="R179" s="9">
        <v>45215</v>
      </c>
      <c r="S179" s="8" t="s">
        <v>234</v>
      </c>
      <c r="T179" s="8" t="s">
        <v>40</v>
      </c>
      <c r="U179" s="8" t="s">
        <v>235</v>
      </c>
      <c r="V179" s="8" t="s">
        <v>236</v>
      </c>
      <c r="W179" s="8">
        <v>0</v>
      </c>
    </row>
    <row r="180" spans="1:23" x14ac:dyDescent="0.25">
      <c r="A180" s="4">
        <v>1</v>
      </c>
      <c r="B180" s="4"/>
      <c r="C180" s="4">
        <v>879111</v>
      </c>
      <c r="D180" s="4">
        <v>6374.58</v>
      </c>
      <c r="E180" s="5">
        <f t="shared" si="2"/>
        <v>0.42000000000007276</v>
      </c>
      <c r="F180" s="14">
        <v>45226</v>
      </c>
      <c r="G180" s="10">
        <v>329237557</v>
      </c>
      <c r="H180" s="9">
        <v>45215</v>
      </c>
      <c r="I180" s="9">
        <v>45230</v>
      </c>
      <c r="J180" s="8">
        <v>6375</v>
      </c>
      <c r="K180" s="8" t="s">
        <v>31</v>
      </c>
      <c r="L180" s="8" t="s">
        <v>32</v>
      </c>
      <c r="M180" s="8"/>
      <c r="N180" s="8" t="b">
        <v>0</v>
      </c>
      <c r="O180" s="10">
        <v>20974</v>
      </c>
      <c r="P180" s="8" t="s">
        <v>237</v>
      </c>
      <c r="Q180" s="8">
        <v>268914</v>
      </c>
      <c r="R180" s="9">
        <v>45215</v>
      </c>
      <c r="S180" s="8" t="s">
        <v>48</v>
      </c>
      <c r="T180" s="8" t="s">
        <v>40</v>
      </c>
      <c r="U180" s="8" t="s">
        <v>50</v>
      </c>
      <c r="V180" s="8" t="s">
        <v>37</v>
      </c>
      <c r="W180" s="8">
        <v>0</v>
      </c>
    </row>
    <row r="181" spans="1:23" x14ac:dyDescent="0.25">
      <c r="A181" s="4">
        <v>1</v>
      </c>
      <c r="B181" s="4"/>
      <c r="C181" s="4">
        <v>879115</v>
      </c>
      <c r="D181" s="4">
        <v>7001.24</v>
      </c>
      <c r="E181" s="5">
        <f t="shared" si="2"/>
        <v>-0.23999999999978172</v>
      </c>
      <c r="F181" s="14">
        <v>45226</v>
      </c>
      <c r="G181" s="10">
        <v>329237949</v>
      </c>
      <c r="H181" s="9">
        <v>45215</v>
      </c>
      <c r="I181" s="9">
        <v>45230</v>
      </c>
      <c r="J181" s="8">
        <v>7001</v>
      </c>
      <c r="K181" s="8" t="s">
        <v>31</v>
      </c>
      <c r="L181" s="8" t="s">
        <v>32</v>
      </c>
      <c r="M181" s="8"/>
      <c r="N181" s="8" t="b">
        <v>0</v>
      </c>
      <c r="O181" s="10">
        <v>20975</v>
      </c>
      <c r="P181" s="8" t="s">
        <v>98</v>
      </c>
      <c r="Q181" s="8">
        <v>269158</v>
      </c>
      <c r="R181" s="9">
        <v>45215</v>
      </c>
      <c r="S181" s="8" t="s">
        <v>39</v>
      </c>
      <c r="T181" s="8" t="s">
        <v>40</v>
      </c>
      <c r="U181" s="8" t="s">
        <v>41</v>
      </c>
      <c r="V181" s="8" t="s">
        <v>42</v>
      </c>
      <c r="W181" s="8">
        <v>0</v>
      </c>
    </row>
    <row r="182" spans="1:23" x14ac:dyDescent="0.25">
      <c r="A182" s="4">
        <v>1</v>
      </c>
      <c r="B182" s="4"/>
      <c r="C182" s="4">
        <v>879254</v>
      </c>
      <c r="D182" s="4">
        <v>7980.88</v>
      </c>
      <c r="E182" s="5">
        <f t="shared" si="2"/>
        <v>0.11999999999989086</v>
      </c>
      <c r="F182" s="14">
        <v>45226</v>
      </c>
      <c r="G182" s="10">
        <v>329251507</v>
      </c>
      <c r="H182" s="9">
        <v>45216</v>
      </c>
      <c r="I182" s="9">
        <v>45231</v>
      </c>
      <c r="J182" s="8">
        <v>7981</v>
      </c>
      <c r="K182" s="8" t="s">
        <v>31</v>
      </c>
      <c r="L182" s="8" t="s">
        <v>32</v>
      </c>
      <c r="M182" s="8"/>
      <c r="N182" s="8" t="b">
        <v>0</v>
      </c>
      <c r="O182" s="10">
        <v>702776</v>
      </c>
      <c r="P182" s="8" t="s">
        <v>101</v>
      </c>
      <c r="Q182" s="8">
        <v>277046</v>
      </c>
      <c r="R182" s="9">
        <v>45216</v>
      </c>
      <c r="S182" s="8" t="s">
        <v>34</v>
      </c>
      <c r="T182" s="8" t="s">
        <v>40</v>
      </c>
      <c r="U182" s="8" t="s">
        <v>88</v>
      </c>
      <c r="V182" s="8" t="s">
        <v>72</v>
      </c>
      <c r="W182" s="8">
        <v>0</v>
      </c>
    </row>
    <row r="183" spans="1:23" x14ac:dyDescent="0.25">
      <c r="A183" s="4">
        <v>1</v>
      </c>
      <c r="B183" s="4"/>
      <c r="C183" s="4">
        <v>879253</v>
      </c>
      <c r="D183" s="4">
        <v>7980.88</v>
      </c>
      <c r="E183" s="5">
        <f t="shared" si="2"/>
        <v>0.11999999999989086</v>
      </c>
      <c r="F183" s="14">
        <v>45226</v>
      </c>
      <c r="G183" s="10">
        <v>329251515</v>
      </c>
      <c r="H183" s="9">
        <v>45216</v>
      </c>
      <c r="I183" s="9">
        <v>45231</v>
      </c>
      <c r="J183" s="8">
        <v>7981</v>
      </c>
      <c r="K183" s="8" t="s">
        <v>31</v>
      </c>
      <c r="L183" s="8" t="s">
        <v>32</v>
      </c>
      <c r="M183" s="8"/>
      <c r="N183" s="8" t="b">
        <v>0</v>
      </c>
      <c r="O183" s="10">
        <v>702777</v>
      </c>
      <c r="P183" s="8" t="s">
        <v>85</v>
      </c>
      <c r="Q183" s="8">
        <v>277049</v>
      </c>
      <c r="R183" s="9">
        <v>45216</v>
      </c>
      <c r="S183" s="8" t="s">
        <v>34</v>
      </c>
      <c r="T183" s="8" t="s">
        <v>40</v>
      </c>
      <c r="U183" s="8" t="s">
        <v>88</v>
      </c>
      <c r="V183" s="8" t="s">
        <v>72</v>
      </c>
      <c r="W183" s="8">
        <v>0</v>
      </c>
    </row>
    <row r="184" spans="1:23" x14ac:dyDescent="0.25">
      <c r="A184" s="4">
        <v>1</v>
      </c>
      <c r="B184" s="4"/>
      <c r="C184" s="4">
        <v>879252</v>
      </c>
      <c r="D184" s="4">
        <v>6374.58</v>
      </c>
      <c r="E184" s="5">
        <f t="shared" si="2"/>
        <v>0.42000000000007276</v>
      </c>
      <c r="F184" s="14">
        <v>45226</v>
      </c>
      <c r="G184" s="10">
        <v>329251545</v>
      </c>
      <c r="H184" s="9">
        <v>45216</v>
      </c>
      <c r="I184" s="9">
        <v>45231</v>
      </c>
      <c r="J184" s="8">
        <v>6375</v>
      </c>
      <c r="K184" s="8" t="s">
        <v>31</v>
      </c>
      <c r="L184" s="8" t="s">
        <v>32</v>
      </c>
      <c r="M184" s="8"/>
      <c r="N184" s="8" t="b">
        <v>0</v>
      </c>
      <c r="O184" s="10">
        <v>702779</v>
      </c>
      <c r="P184" s="8" t="s">
        <v>79</v>
      </c>
      <c r="Q184" s="8">
        <v>277068</v>
      </c>
      <c r="R184" s="9">
        <v>45216</v>
      </c>
      <c r="S184" s="8" t="s">
        <v>48</v>
      </c>
      <c r="T184" s="8" t="s">
        <v>40</v>
      </c>
      <c r="U184" s="8" t="s">
        <v>50</v>
      </c>
      <c r="V184" s="8" t="s">
        <v>37</v>
      </c>
      <c r="W184" s="8">
        <v>0</v>
      </c>
    </row>
    <row r="185" spans="1:23" x14ac:dyDescent="0.25">
      <c r="A185" s="4">
        <v>1</v>
      </c>
      <c r="B185" s="4"/>
      <c r="C185" s="4">
        <v>879116</v>
      </c>
      <c r="D185" s="4">
        <v>5199.46</v>
      </c>
      <c r="E185" s="5">
        <f t="shared" si="2"/>
        <v>-0.46000000000003638</v>
      </c>
      <c r="F185" s="14">
        <v>45226</v>
      </c>
      <c r="G185" s="10">
        <v>329253720</v>
      </c>
      <c r="H185" s="9">
        <v>45216</v>
      </c>
      <c r="I185" s="9">
        <v>45231</v>
      </c>
      <c r="J185" s="8">
        <v>5199</v>
      </c>
      <c r="K185" s="8" t="s">
        <v>31</v>
      </c>
      <c r="L185" s="8" t="s">
        <v>32</v>
      </c>
      <c r="M185" s="8"/>
      <c r="N185" s="8" t="b">
        <v>0</v>
      </c>
      <c r="O185" s="10">
        <v>20978</v>
      </c>
      <c r="P185" s="8" t="s">
        <v>61</v>
      </c>
      <c r="Q185" s="8">
        <v>280592</v>
      </c>
      <c r="R185" s="9">
        <v>45216</v>
      </c>
      <c r="S185" s="8" t="s">
        <v>48</v>
      </c>
      <c r="T185" s="8" t="s">
        <v>40</v>
      </c>
      <c r="U185" s="8" t="s">
        <v>163</v>
      </c>
      <c r="V185" s="8" t="s">
        <v>46</v>
      </c>
      <c r="W185" s="8">
        <v>0</v>
      </c>
    </row>
    <row r="186" spans="1:23" x14ac:dyDescent="0.25">
      <c r="A186" s="4">
        <v>1</v>
      </c>
      <c r="B186" s="4"/>
      <c r="C186" s="4">
        <v>879113</v>
      </c>
      <c r="D186" s="4">
        <v>6374.58</v>
      </c>
      <c r="E186" s="5">
        <f t="shared" si="2"/>
        <v>0.42000000000007276</v>
      </c>
      <c r="F186" s="14">
        <v>45226</v>
      </c>
      <c r="G186" s="10">
        <v>329254085</v>
      </c>
      <c r="H186" s="9">
        <v>45216</v>
      </c>
      <c r="I186" s="9">
        <v>45231</v>
      </c>
      <c r="J186" s="8">
        <v>6375</v>
      </c>
      <c r="K186" s="8" t="s">
        <v>31</v>
      </c>
      <c r="L186" s="8" t="s">
        <v>32</v>
      </c>
      <c r="M186" s="8"/>
      <c r="N186" s="8" t="b">
        <v>0</v>
      </c>
      <c r="O186" s="10">
        <v>20979</v>
      </c>
      <c r="P186" s="8" t="s">
        <v>119</v>
      </c>
      <c r="Q186" s="8">
        <v>280766</v>
      </c>
      <c r="R186" s="9">
        <v>45216</v>
      </c>
      <c r="S186" s="8" t="s">
        <v>48</v>
      </c>
      <c r="T186" s="8" t="s">
        <v>40</v>
      </c>
      <c r="U186" s="8" t="s">
        <v>50</v>
      </c>
      <c r="V186" s="8" t="s">
        <v>37</v>
      </c>
      <c r="W186" s="8">
        <v>0</v>
      </c>
    </row>
    <row r="187" spans="1:23" x14ac:dyDescent="0.25">
      <c r="A187" s="4">
        <v>1</v>
      </c>
      <c r="B187" s="4"/>
      <c r="C187" s="4">
        <v>879251</v>
      </c>
      <c r="D187" s="4">
        <v>9263.8799999999992</v>
      </c>
      <c r="E187" s="5">
        <f t="shared" si="2"/>
        <v>0.12000000000080036</v>
      </c>
      <c r="F187" s="14">
        <v>45226</v>
      </c>
      <c r="G187" s="10">
        <v>329254990</v>
      </c>
      <c r="H187" s="9">
        <v>45216</v>
      </c>
      <c r="I187" s="9">
        <v>45231</v>
      </c>
      <c r="J187" s="8">
        <v>9264</v>
      </c>
      <c r="K187" s="8" t="s">
        <v>31</v>
      </c>
      <c r="L187" s="8" t="s">
        <v>32</v>
      </c>
      <c r="M187" s="8"/>
      <c r="N187" s="8" t="b">
        <v>0</v>
      </c>
      <c r="O187" s="10">
        <v>700590</v>
      </c>
      <c r="P187" s="8" t="s">
        <v>118</v>
      </c>
      <c r="Q187" s="8">
        <v>281668</v>
      </c>
      <c r="R187" s="9">
        <v>45216</v>
      </c>
      <c r="S187" s="8" t="s">
        <v>130</v>
      </c>
      <c r="T187" s="8" t="s">
        <v>40</v>
      </c>
      <c r="U187" s="8" t="s">
        <v>131</v>
      </c>
      <c r="V187" s="8" t="s">
        <v>132</v>
      </c>
      <c r="W187" s="8">
        <v>0</v>
      </c>
    </row>
    <row r="188" spans="1:23" x14ac:dyDescent="0.25">
      <c r="A188" s="4">
        <v>1</v>
      </c>
      <c r="B188" s="4"/>
      <c r="C188" s="4">
        <v>879250</v>
      </c>
      <c r="D188" s="4">
        <v>6374.58</v>
      </c>
      <c r="E188" s="5">
        <f t="shared" si="2"/>
        <v>0.42000000000007276</v>
      </c>
      <c r="F188" s="14">
        <v>45226</v>
      </c>
      <c r="G188" s="10">
        <v>329256586</v>
      </c>
      <c r="H188" s="9">
        <v>45216</v>
      </c>
      <c r="I188" s="9">
        <v>45231</v>
      </c>
      <c r="J188" s="8">
        <v>6375</v>
      </c>
      <c r="K188" s="8" t="s">
        <v>31</v>
      </c>
      <c r="L188" s="8" t="s">
        <v>32</v>
      </c>
      <c r="M188" s="8"/>
      <c r="N188" s="8" t="b">
        <v>0</v>
      </c>
      <c r="O188" s="10">
        <v>702780</v>
      </c>
      <c r="P188" s="8" t="s">
        <v>117</v>
      </c>
      <c r="Q188" s="8">
        <v>283946</v>
      </c>
      <c r="R188" s="9">
        <v>45216</v>
      </c>
      <c r="S188" s="8" t="s">
        <v>48</v>
      </c>
      <c r="T188" s="8" t="s">
        <v>40</v>
      </c>
      <c r="U188" s="8" t="s">
        <v>50</v>
      </c>
      <c r="V188" s="8" t="s">
        <v>37</v>
      </c>
      <c r="W188" s="8">
        <v>0</v>
      </c>
    </row>
    <row r="189" spans="1:23" x14ac:dyDescent="0.25">
      <c r="A189" s="4">
        <v>1</v>
      </c>
      <c r="B189" s="4"/>
      <c r="C189" s="4">
        <v>879249</v>
      </c>
      <c r="D189" s="4">
        <v>6374.58</v>
      </c>
      <c r="E189" s="5">
        <f t="shared" si="2"/>
        <v>0.42000000000007276</v>
      </c>
      <c r="F189" s="14">
        <v>45226</v>
      </c>
      <c r="G189" s="10">
        <v>329257283</v>
      </c>
      <c r="H189" s="9">
        <v>45216</v>
      </c>
      <c r="I189" s="9">
        <v>45231</v>
      </c>
      <c r="J189" s="8">
        <v>6375</v>
      </c>
      <c r="K189" s="8" t="s">
        <v>31</v>
      </c>
      <c r="L189" s="8" t="s">
        <v>32</v>
      </c>
      <c r="M189" s="8"/>
      <c r="N189" s="8" t="b">
        <v>0</v>
      </c>
      <c r="O189" s="10">
        <v>702781</v>
      </c>
      <c r="P189" s="8" t="s">
        <v>110</v>
      </c>
      <c r="Q189" s="8">
        <v>284669</v>
      </c>
      <c r="R189" s="9">
        <v>45216</v>
      </c>
      <c r="S189" s="8" t="s">
        <v>48</v>
      </c>
      <c r="T189" s="8" t="s">
        <v>40</v>
      </c>
      <c r="U189" s="8" t="s">
        <v>50</v>
      </c>
      <c r="V189" s="8" t="s">
        <v>37</v>
      </c>
      <c r="W189" s="8">
        <v>0</v>
      </c>
    </row>
    <row r="190" spans="1:23" x14ac:dyDescent="0.25">
      <c r="A190" s="4">
        <v>1</v>
      </c>
      <c r="B190" s="4"/>
      <c r="C190" s="4">
        <v>879248</v>
      </c>
      <c r="D190" s="4">
        <v>6374.58</v>
      </c>
      <c r="E190" s="5">
        <f t="shared" si="2"/>
        <v>0.42000000000007276</v>
      </c>
      <c r="F190" s="14">
        <v>45226</v>
      </c>
      <c r="G190" s="10">
        <v>329258779</v>
      </c>
      <c r="H190" s="9">
        <v>45216</v>
      </c>
      <c r="I190" s="9">
        <v>45231</v>
      </c>
      <c r="J190" s="8">
        <v>6375</v>
      </c>
      <c r="K190" s="8" t="s">
        <v>31</v>
      </c>
      <c r="L190" s="8" t="s">
        <v>32</v>
      </c>
      <c r="M190" s="8"/>
      <c r="N190" s="8" t="b">
        <v>0</v>
      </c>
      <c r="O190" s="10">
        <v>702782</v>
      </c>
      <c r="P190" s="8" t="s">
        <v>116</v>
      </c>
      <c r="Q190" s="8">
        <v>285620</v>
      </c>
      <c r="R190" s="9">
        <v>45216</v>
      </c>
      <c r="S190" s="8" t="s">
        <v>48</v>
      </c>
      <c r="T190" s="8" t="s">
        <v>40</v>
      </c>
      <c r="U190" s="8" t="s">
        <v>50</v>
      </c>
      <c r="V190" s="8" t="s">
        <v>37</v>
      </c>
      <c r="W190" s="8">
        <v>0</v>
      </c>
    </row>
    <row r="191" spans="1:23" x14ac:dyDescent="0.25">
      <c r="A191" s="4">
        <v>1</v>
      </c>
      <c r="B191" s="4"/>
      <c r="C191" s="4">
        <v>879247</v>
      </c>
      <c r="D191" s="4">
        <v>5173.26</v>
      </c>
      <c r="E191" s="5">
        <f t="shared" si="2"/>
        <v>-0.26000000000021828</v>
      </c>
      <c r="F191" s="14">
        <v>45226</v>
      </c>
      <c r="G191" s="10">
        <v>329259683</v>
      </c>
      <c r="H191" s="9">
        <v>45216</v>
      </c>
      <c r="I191" s="9">
        <v>45231</v>
      </c>
      <c r="J191" s="8">
        <v>5173</v>
      </c>
      <c r="K191" s="8" t="s">
        <v>31</v>
      </c>
      <c r="L191" s="8" t="s">
        <v>32</v>
      </c>
      <c r="M191" s="8"/>
      <c r="N191" s="8" t="b">
        <v>0</v>
      </c>
      <c r="O191" s="10">
        <v>702842</v>
      </c>
      <c r="P191" s="8" t="s">
        <v>115</v>
      </c>
      <c r="Q191" s="8">
        <v>286738</v>
      </c>
      <c r="R191" s="9">
        <v>45216</v>
      </c>
      <c r="S191" s="8" t="s">
        <v>34</v>
      </c>
      <c r="T191" s="8" t="s">
        <v>40</v>
      </c>
      <c r="U191" s="8" t="s">
        <v>58</v>
      </c>
      <c r="V191" s="8" t="s">
        <v>46</v>
      </c>
      <c r="W191" s="8">
        <v>0</v>
      </c>
    </row>
    <row r="192" spans="1:23" x14ac:dyDescent="0.25">
      <c r="A192" s="4">
        <v>1</v>
      </c>
      <c r="B192" s="4"/>
      <c r="C192" s="4">
        <v>880814</v>
      </c>
      <c r="D192" s="4">
        <v>7464.52</v>
      </c>
      <c r="E192" s="5">
        <f t="shared" si="2"/>
        <v>0.47999999999956344</v>
      </c>
      <c r="F192" s="14">
        <v>45226</v>
      </c>
      <c r="G192" s="10">
        <v>329263434</v>
      </c>
      <c r="H192" s="9">
        <v>45217</v>
      </c>
      <c r="I192" s="9">
        <v>45232</v>
      </c>
      <c r="J192" s="8">
        <v>7465</v>
      </c>
      <c r="K192" s="8" t="s">
        <v>31</v>
      </c>
      <c r="L192" s="8" t="s">
        <v>32</v>
      </c>
      <c r="M192" s="8"/>
      <c r="N192" s="8" t="b">
        <v>0</v>
      </c>
      <c r="O192" s="10"/>
      <c r="P192" s="8" t="s">
        <v>238</v>
      </c>
      <c r="Q192" s="8">
        <v>288577</v>
      </c>
      <c r="R192" s="9">
        <v>45216</v>
      </c>
      <c r="S192" s="8" t="s">
        <v>239</v>
      </c>
      <c r="T192" s="8" t="s">
        <v>49</v>
      </c>
      <c r="U192" s="8" t="s">
        <v>240</v>
      </c>
      <c r="V192" s="8" t="s">
        <v>72</v>
      </c>
      <c r="W192" s="8">
        <v>0</v>
      </c>
    </row>
    <row r="193" spans="1:23" x14ac:dyDescent="0.25">
      <c r="A193" s="4">
        <v>1</v>
      </c>
      <c r="B193" s="4"/>
      <c r="C193" s="4">
        <v>879258</v>
      </c>
      <c r="D193" s="4">
        <v>38975.519999999997</v>
      </c>
      <c r="E193" s="5">
        <f t="shared" si="2"/>
        <v>0.48000000000320142</v>
      </c>
      <c r="F193" s="14">
        <v>45226</v>
      </c>
      <c r="G193" s="10">
        <v>329263448</v>
      </c>
      <c r="H193" s="9">
        <v>45217</v>
      </c>
      <c r="I193" s="9">
        <v>45232</v>
      </c>
      <c r="J193" s="8">
        <v>38976</v>
      </c>
      <c r="K193" s="8" t="s">
        <v>31</v>
      </c>
      <c r="L193" s="8" t="s">
        <v>32</v>
      </c>
      <c r="M193" s="8"/>
      <c r="N193" s="8" t="b">
        <v>0</v>
      </c>
      <c r="O193" s="10"/>
      <c r="P193" s="8" t="s">
        <v>241</v>
      </c>
      <c r="Q193" s="8">
        <v>288593</v>
      </c>
      <c r="R193" s="9">
        <v>45216</v>
      </c>
      <c r="S193" s="8" t="s">
        <v>70</v>
      </c>
      <c r="T193" s="8" t="s">
        <v>49</v>
      </c>
      <c r="U193" s="8" t="s">
        <v>71</v>
      </c>
      <c r="V193" s="8" t="s">
        <v>72</v>
      </c>
      <c r="W193" s="8">
        <v>0</v>
      </c>
    </row>
    <row r="194" spans="1:23" x14ac:dyDescent="0.25">
      <c r="A194" s="4">
        <v>1</v>
      </c>
      <c r="B194" s="4"/>
      <c r="C194" s="4">
        <v>879246</v>
      </c>
      <c r="D194" s="4">
        <v>5173.26</v>
      </c>
      <c r="E194" s="5">
        <f t="shared" si="2"/>
        <v>-0.26000000000021828</v>
      </c>
      <c r="F194" s="14">
        <v>45226</v>
      </c>
      <c r="G194" s="10">
        <v>329270383</v>
      </c>
      <c r="H194" s="9">
        <v>45217</v>
      </c>
      <c r="I194" s="9">
        <v>45232</v>
      </c>
      <c r="J194" s="8">
        <v>5173</v>
      </c>
      <c r="K194" s="8" t="s">
        <v>31</v>
      </c>
      <c r="L194" s="8" t="s">
        <v>32</v>
      </c>
      <c r="M194" s="8"/>
      <c r="N194" s="8" t="b">
        <v>0</v>
      </c>
      <c r="O194" s="10">
        <v>702845</v>
      </c>
      <c r="P194" s="8" t="s">
        <v>81</v>
      </c>
      <c r="Q194" s="8">
        <v>292168</v>
      </c>
      <c r="R194" s="9">
        <v>45217</v>
      </c>
      <c r="S194" s="8" t="s">
        <v>34</v>
      </c>
      <c r="T194" s="8" t="s">
        <v>40</v>
      </c>
      <c r="U194" s="8" t="s">
        <v>58</v>
      </c>
      <c r="V194" s="8" t="s">
        <v>46</v>
      </c>
      <c r="W194" s="8">
        <v>0</v>
      </c>
    </row>
    <row r="195" spans="1:23" x14ac:dyDescent="0.25">
      <c r="A195" s="4">
        <v>1</v>
      </c>
      <c r="B195" s="4"/>
      <c r="C195" s="4">
        <v>879245</v>
      </c>
      <c r="D195" s="4">
        <v>5173.26</v>
      </c>
      <c r="E195" s="5">
        <f t="shared" si="2"/>
        <v>-0.26000000000021828</v>
      </c>
      <c r="F195" s="14">
        <v>45226</v>
      </c>
      <c r="G195" s="10">
        <v>329270395</v>
      </c>
      <c r="H195" s="9">
        <v>45217</v>
      </c>
      <c r="I195" s="9">
        <v>45232</v>
      </c>
      <c r="J195" s="8">
        <v>5173</v>
      </c>
      <c r="K195" s="8" t="s">
        <v>31</v>
      </c>
      <c r="L195" s="8" t="s">
        <v>32</v>
      </c>
      <c r="M195" s="8"/>
      <c r="N195" s="8" t="b">
        <v>0</v>
      </c>
      <c r="O195" s="10">
        <v>702843</v>
      </c>
      <c r="P195" s="8" t="s">
        <v>111</v>
      </c>
      <c r="Q195" s="8">
        <v>292155</v>
      </c>
      <c r="R195" s="9">
        <v>45217</v>
      </c>
      <c r="S195" s="8" t="s">
        <v>34</v>
      </c>
      <c r="T195" s="8" t="s">
        <v>40</v>
      </c>
      <c r="U195" s="8" t="s">
        <v>58</v>
      </c>
      <c r="V195" s="8" t="s">
        <v>46</v>
      </c>
      <c r="W195" s="8">
        <v>0</v>
      </c>
    </row>
    <row r="196" spans="1:23" x14ac:dyDescent="0.25">
      <c r="A196" s="4">
        <v>1</v>
      </c>
      <c r="B196" s="4"/>
      <c r="C196" s="4">
        <v>879244</v>
      </c>
      <c r="D196" s="4">
        <v>5173.26</v>
      </c>
      <c r="E196" s="5">
        <f t="shared" si="2"/>
        <v>-0.26000000000021828</v>
      </c>
      <c r="F196" s="14">
        <v>45226</v>
      </c>
      <c r="G196" s="10">
        <v>329270408</v>
      </c>
      <c r="H196" s="9">
        <v>45217</v>
      </c>
      <c r="I196" s="9">
        <v>45232</v>
      </c>
      <c r="J196" s="8">
        <v>5173</v>
      </c>
      <c r="K196" s="8" t="s">
        <v>31</v>
      </c>
      <c r="L196" s="8" t="s">
        <v>32</v>
      </c>
      <c r="M196" s="8"/>
      <c r="N196" s="8" t="b">
        <v>0</v>
      </c>
      <c r="O196" s="10">
        <v>702844</v>
      </c>
      <c r="P196" s="8" t="s">
        <v>112</v>
      </c>
      <c r="Q196" s="8">
        <v>292161</v>
      </c>
      <c r="R196" s="9">
        <v>45217</v>
      </c>
      <c r="S196" s="8" t="s">
        <v>34</v>
      </c>
      <c r="T196" s="8" t="s">
        <v>40</v>
      </c>
      <c r="U196" s="8" t="s">
        <v>58</v>
      </c>
      <c r="V196" s="8" t="s">
        <v>46</v>
      </c>
      <c r="W196" s="8">
        <v>0</v>
      </c>
    </row>
    <row r="197" spans="1:23" x14ac:dyDescent="0.25">
      <c r="A197" s="4">
        <v>1</v>
      </c>
      <c r="B197" s="4"/>
      <c r="C197" s="4">
        <v>879243</v>
      </c>
      <c r="D197" s="4">
        <v>5173.26</v>
      </c>
      <c r="E197" s="5">
        <f t="shared" si="2"/>
        <v>-0.26000000000021828</v>
      </c>
      <c r="F197" s="14">
        <v>45226</v>
      </c>
      <c r="G197" s="10">
        <v>329270696</v>
      </c>
      <c r="H197" s="9">
        <v>45217</v>
      </c>
      <c r="I197" s="9">
        <v>45232</v>
      </c>
      <c r="J197" s="8">
        <v>5173</v>
      </c>
      <c r="K197" s="8" t="s">
        <v>31</v>
      </c>
      <c r="L197" s="8" t="s">
        <v>32</v>
      </c>
      <c r="M197" s="8"/>
      <c r="N197" s="8" t="b">
        <v>0</v>
      </c>
      <c r="O197" s="10">
        <v>702847</v>
      </c>
      <c r="P197" s="8" t="s">
        <v>82</v>
      </c>
      <c r="Q197" s="8">
        <v>292243</v>
      </c>
      <c r="R197" s="9">
        <v>45217</v>
      </c>
      <c r="S197" s="8" t="s">
        <v>34</v>
      </c>
      <c r="T197" s="8" t="s">
        <v>40</v>
      </c>
      <c r="U197" s="8" t="s">
        <v>58</v>
      </c>
      <c r="V197" s="8" t="s">
        <v>46</v>
      </c>
      <c r="W197" s="8">
        <v>0</v>
      </c>
    </row>
    <row r="198" spans="1:23" x14ac:dyDescent="0.25">
      <c r="A198" s="4">
        <v>1</v>
      </c>
      <c r="B198" s="4"/>
      <c r="C198" s="4">
        <v>879257</v>
      </c>
      <c r="D198" s="4">
        <v>5145.66</v>
      </c>
      <c r="E198" s="5">
        <f t="shared" ref="E198:E261" si="3">J198-D198</f>
        <v>0.34000000000014552</v>
      </c>
      <c r="F198" s="14">
        <v>45226</v>
      </c>
      <c r="G198" s="10">
        <v>329270718</v>
      </c>
      <c r="H198" s="9">
        <v>45217</v>
      </c>
      <c r="I198" s="9">
        <v>45232</v>
      </c>
      <c r="J198" s="8">
        <v>5146</v>
      </c>
      <c r="K198" s="8" t="s">
        <v>31</v>
      </c>
      <c r="L198" s="8" t="s">
        <v>32</v>
      </c>
      <c r="M198" s="8"/>
      <c r="N198" s="8" t="b">
        <v>0</v>
      </c>
      <c r="O198" s="10">
        <v>702164</v>
      </c>
      <c r="P198" s="8" t="s">
        <v>33</v>
      </c>
      <c r="Q198" s="8">
        <v>292279</v>
      </c>
      <c r="R198" s="9">
        <v>45217</v>
      </c>
      <c r="S198" s="8" t="s">
        <v>34</v>
      </c>
      <c r="T198" s="8" t="s">
        <v>44</v>
      </c>
      <c r="U198" s="8" t="s">
        <v>58</v>
      </c>
      <c r="V198" s="8" t="s">
        <v>46</v>
      </c>
      <c r="W198" s="8">
        <v>0</v>
      </c>
    </row>
    <row r="199" spans="1:23" x14ac:dyDescent="0.25">
      <c r="A199" s="4">
        <v>1</v>
      </c>
      <c r="B199" s="4"/>
      <c r="C199" s="4">
        <v>879242</v>
      </c>
      <c r="D199" s="4">
        <v>5173.26</v>
      </c>
      <c r="E199" s="5">
        <f t="shared" si="3"/>
        <v>-0.26000000000021828</v>
      </c>
      <c r="F199" s="14">
        <v>45226</v>
      </c>
      <c r="G199" s="10">
        <v>329270728</v>
      </c>
      <c r="H199" s="9">
        <v>45217</v>
      </c>
      <c r="I199" s="9">
        <v>45232</v>
      </c>
      <c r="J199" s="8">
        <v>5173</v>
      </c>
      <c r="K199" s="8" t="s">
        <v>31</v>
      </c>
      <c r="L199" s="8" t="s">
        <v>32</v>
      </c>
      <c r="M199" s="8"/>
      <c r="N199" s="8" t="b">
        <v>0</v>
      </c>
      <c r="O199" s="10">
        <v>702846</v>
      </c>
      <c r="P199" s="8" t="s">
        <v>77</v>
      </c>
      <c r="Q199" s="8">
        <v>292173</v>
      </c>
      <c r="R199" s="9">
        <v>45217</v>
      </c>
      <c r="S199" s="8" t="s">
        <v>34</v>
      </c>
      <c r="T199" s="8" t="s">
        <v>40</v>
      </c>
      <c r="U199" s="8" t="s">
        <v>58</v>
      </c>
      <c r="V199" s="8" t="s">
        <v>46</v>
      </c>
      <c r="W199" s="8">
        <v>0</v>
      </c>
    </row>
    <row r="200" spans="1:23" x14ac:dyDescent="0.25">
      <c r="A200" s="4">
        <v>1</v>
      </c>
      <c r="B200" s="4"/>
      <c r="C200" s="4">
        <v>879256</v>
      </c>
      <c r="D200" s="4">
        <v>61230.400000000001</v>
      </c>
      <c r="E200" s="5">
        <f t="shared" si="3"/>
        <v>5.5999999999985448</v>
      </c>
      <c r="F200" s="14">
        <v>45226</v>
      </c>
      <c r="G200" s="10">
        <v>329272611</v>
      </c>
      <c r="H200" s="9">
        <v>45217</v>
      </c>
      <c r="I200" s="9">
        <v>45232</v>
      </c>
      <c r="J200" s="8">
        <v>61236</v>
      </c>
      <c r="K200" s="8" t="s">
        <v>31</v>
      </c>
      <c r="L200" s="8" t="s">
        <v>32</v>
      </c>
      <c r="M200" s="8"/>
      <c r="N200" s="8" t="b">
        <v>0</v>
      </c>
      <c r="O200" s="10"/>
      <c r="P200" s="8" t="s">
        <v>242</v>
      </c>
      <c r="Q200" s="8">
        <v>288615</v>
      </c>
      <c r="R200" s="9">
        <v>45216</v>
      </c>
      <c r="S200" s="8" t="s">
        <v>34</v>
      </c>
      <c r="T200" s="8" t="s">
        <v>49</v>
      </c>
      <c r="U200" s="8" t="s">
        <v>75</v>
      </c>
      <c r="V200" s="8" t="s">
        <v>46</v>
      </c>
      <c r="W200" s="8">
        <v>0</v>
      </c>
    </row>
    <row r="201" spans="1:23" x14ac:dyDescent="0.25">
      <c r="A201" s="4">
        <v>1</v>
      </c>
      <c r="B201" s="4"/>
      <c r="C201" s="4">
        <v>879255</v>
      </c>
      <c r="D201" s="4">
        <v>69984.960000000006</v>
      </c>
      <c r="E201" s="5">
        <f t="shared" si="3"/>
        <v>-0.96000000000640284</v>
      </c>
      <c r="F201" s="14">
        <v>45226</v>
      </c>
      <c r="G201" s="10">
        <v>329272674</v>
      </c>
      <c r="H201" s="9">
        <v>45217</v>
      </c>
      <c r="I201" s="9">
        <v>45232</v>
      </c>
      <c r="J201" s="8">
        <v>69984</v>
      </c>
      <c r="K201" s="8" t="s">
        <v>31</v>
      </c>
      <c r="L201" s="8" t="s">
        <v>32</v>
      </c>
      <c r="M201" s="8"/>
      <c r="N201" s="8" t="b">
        <v>0</v>
      </c>
      <c r="O201" s="10"/>
      <c r="P201" s="8" t="s">
        <v>243</v>
      </c>
      <c r="Q201" s="8">
        <v>262977</v>
      </c>
      <c r="R201" s="9">
        <v>45215</v>
      </c>
      <c r="S201" s="8" t="s">
        <v>34</v>
      </c>
      <c r="T201" s="8" t="s">
        <v>49</v>
      </c>
      <c r="U201" s="8" t="s">
        <v>75</v>
      </c>
      <c r="V201" s="8" t="s">
        <v>46</v>
      </c>
      <c r="W201" s="8">
        <v>0</v>
      </c>
    </row>
    <row r="202" spans="1:23" x14ac:dyDescent="0.25">
      <c r="A202" s="4">
        <v>1</v>
      </c>
      <c r="B202" s="4"/>
      <c r="C202" s="4">
        <v>879241</v>
      </c>
      <c r="D202" s="4">
        <v>5173.26</v>
      </c>
      <c r="E202" s="5">
        <f t="shared" si="3"/>
        <v>-0.26000000000021828</v>
      </c>
      <c r="F202" s="14">
        <v>45226</v>
      </c>
      <c r="G202" s="10">
        <v>329282196</v>
      </c>
      <c r="H202" s="9">
        <v>45217</v>
      </c>
      <c r="I202" s="9">
        <v>45232</v>
      </c>
      <c r="J202" s="8">
        <v>5173</v>
      </c>
      <c r="K202" s="8" t="s">
        <v>31</v>
      </c>
      <c r="L202" s="8" t="s">
        <v>32</v>
      </c>
      <c r="M202" s="8"/>
      <c r="N202" s="8" t="b">
        <v>0</v>
      </c>
      <c r="O202" s="10">
        <v>702850</v>
      </c>
      <c r="P202" s="8" t="s">
        <v>90</v>
      </c>
      <c r="Q202" s="8">
        <v>303228</v>
      </c>
      <c r="R202" s="9">
        <v>45217</v>
      </c>
      <c r="S202" s="8" t="s">
        <v>34</v>
      </c>
      <c r="T202" s="8" t="s">
        <v>40</v>
      </c>
      <c r="U202" s="8" t="s">
        <v>58</v>
      </c>
      <c r="V202" s="8" t="s">
        <v>46</v>
      </c>
      <c r="W202" s="8">
        <v>0</v>
      </c>
    </row>
    <row r="203" spans="1:23" x14ac:dyDescent="0.25">
      <c r="A203" s="4">
        <v>1</v>
      </c>
      <c r="B203" s="4"/>
      <c r="C203" s="4">
        <v>879240</v>
      </c>
      <c r="D203" s="4">
        <v>5173.26</v>
      </c>
      <c r="E203" s="5">
        <f t="shared" si="3"/>
        <v>-0.26000000000021828</v>
      </c>
      <c r="F203" s="14">
        <v>45226</v>
      </c>
      <c r="G203" s="10">
        <v>329282203</v>
      </c>
      <c r="H203" s="9">
        <v>45217</v>
      </c>
      <c r="I203" s="9">
        <v>45232</v>
      </c>
      <c r="J203" s="8">
        <v>5173</v>
      </c>
      <c r="K203" s="8" t="s">
        <v>31</v>
      </c>
      <c r="L203" s="8" t="s">
        <v>32</v>
      </c>
      <c r="M203" s="8"/>
      <c r="N203" s="8" t="b">
        <v>0</v>
      </c>
      <c r="O203" s="10">
        <v>702848</v>
      </c>
      <c r="P203" s="8" t="s">
        <v>86</v>
      </c>
      <c r="Q203" s="8">
        <v>303209</v>
      </c>
      <c r="R203" s="9">
        <v>45217</v>
      </c>
      <c r="S203" s="8" t="s">
        <v>34</v>
      </c>
      <c r="T203" s="8" t="s">
        <v>40</v>
      </c>
      <c r="U203" s="8" t="s">
        <v>58</v>
      </c>
      <c r="V203" s="8" t="s">
        <v>46</v>
      </c>
      <c r="W203" s="8">
        <v>0</v>
      </c>
    </row>
    <row r="204" spans="1:23" x14ac:dyDescent="0.25">
      <c r="A204" s="4">
        <v>1</v>
      </c>
      <c r="B204" s="4"/>
      <c r="C204" s="4">
        <v>879239</v>
      </c>
      <c r="D204" s="4">
        <v>5173.26</v>
      </c>
      <c r="E204" s="5">
        <f t="shared" si="3"/>
        <v>-0.26000000000021828</v>
      </c>
      <c r="F204" s="14">
        <v>45226</v>
      </c>
      <c r="G204" s="10">
        <v>329282233</v>
      </c>
      <c r="H204" s="9">
        <v>45217</v>
      </c>
      <c r="I204" s="9">
        <v>45232</v>
      </c>
      <c r="J204" s="8">
        <v>5173</v>
      </c>
      <c r="K204" s="8" t="s">
        <v>31</v>
      </c>
      <c r="L204" s="8" t="s">
        <v>32</v>
      </c>
      <c r="M204" s="8"/>
      <c r="N204" s="8" t="b">
        <v>0</v>
      </c>
      <c r="O204" s="10">
        <v>702852</v>
      </c>
      <c r="P204" s="8" t="s">
        <v>78</v>
      </c>
      <c r="Q204" s="8">
        <v>303256</v>
      </c>
      <c r="R204" s="9">
        <v>45217</v>
      </c>
      <c r="S204" s="8" t="s">
        <v>34</v>
      </c>
      <c r="T204" s="8" t="s">
        <v>40</v>
      </c>
      <c r="U204" s="8" t="s">
        <v>58</v>
      </c>
      <c r="V204" s="8" t="s">
        <v>46</v>
      </c>
      <c r="W204" s="8">
        <v>0</v>
      </c>
    </row>
    <row r="205" spans="1:23" x14ac:dyDescent="0.25">
      <c r="A205" s="4">
        <v>1</v>
      </c>
      <c r="B205" s="4"/>
      <c r="C205" s="4">
        <v>879237</v>
      </c>
      <c r="D205" s="4">
        <v>5173.26</v>
      </c>
      <c r="E205" s="5">
        <f t="shared" si="3"/>
        <v>-0.26000000000021828</v>
      </c>
      <c r="F205" s="14">
        <v>45226</v>
      </c>
      <c r="G205" s="10">
        <v>329282234</v>
      </c>
      <c r="H205" s="9">
        <v>45217</v>
      </c>
      <c r="I205" s="9">
        <v>45232</v>
      </c>
      <c r="J205" s="8">
        <v>5173</v>
      </c>
      <c r="K205" s="8" t="s">
        <v>31</v>
      </c>
      <c r="L205" s="8" t="s">
        <v>32</v>
      </c>
      <c r="M205" s="8"/>
      <c r="N205" s="8" t="b">
        <v>0</v>
      </c>
      <c r="O205" s="10">
        <v>702849</v>
      </c>
      <c r="P205" s="8" t="s">
        <v>97</v>
      </c>
      <c r="Q205" s="8">
        <v>303212</v>
      </c>
      <c r="R205" s="9">
        <v>45217</v>
      </c>
      <c r="S205" s="8" t="s">
        <v>34</v>
      </c>
      <c r="T205" s="8" t="s">
        <v>40</v>
      </c>
      <c r="U205" s="8" t="s">
        <v>58</v>
      </c>
      <c r="V205" s="8" t="s">
        <v>46</v>
      </c>
      <c r="W205" s="8">
        <v>0</v>
      </c>
    </row>
    <row r="206" spans="1:23" x14ac:dyDescent="0.25">
      <c r="A206" s="4">
        <v>1</v>
      </c>
      <c r="B206" s="4"/>
      <c r="C206" s="4">
        <v>879236</v>
      </c>
      <c r="D206" s="4">
        <v>5173.26</v>
      </c>
      <c r="E206" s="5">
        <f t="shared" si="3"/>
        <v>-0.26000000000021828</v>
      </c>
      <c r="F206" s="14">
        <v>45226</v>
      </c>
      <c r="G206" s="10">
        <v>329282254</v>
      </c>
      <c r="H206" s="9">
        <v>45217</v>
      </c>
      <c r="I206" s="9">
        <v>45232</v>
      </c>
      <c r="J206" s="8">
        <v>5173</v>
      </c>
      <c r="K206" s="8" t="s">
        <v>31</v>
      </c>
      <c r="L206" s="8" t="s">
        <v>32</v>
      </c>
      <c r="M206" s="8"/>
      <c r="N206" s="8" t="b">
        <v>0</v>
      </c>
      <c r="O206" s="10">
        <v>702851</v>
      </c>
      <c r="P206" s="8" t="s">
        <v>92</v>
      </c>
      <c r="Q206" s="8">
        <v>303244</v>
      </c>
      <c r="R206" s="9">
        <v>45217</v>
      </c>
      <c r="S206" s="8" t="s">
        <v>34</v>
      </c>
      <c r="T206" s="8" t="s">
        <v>40</v>
      </c>
      <c r="U206" s="8" t="s">
        <v>58</v>
      </c>
      <c r="V206" s="8" t="s">
        <v>46</v>
      </c>
      <c r="W206" s="8">
        <v>0</v>
      </c>
    </row>
    <row r="207" spans="1:23" x14ac:dyDescent="0.25">
      <c r="A207" s="4">
        <v>1</v>
      </c>
      <c r="B207" s="4"/>
      <c r="C207" s="4">
        <v>879313</v>
      </c>
      <c r="D207" s="4">
        <v>5145.66</v>
      </c>
      <c r="E207" s="5">
        <f t="shared" si="3"/>
        <v>0.34000000000014552</v>
      </c>
      <c r="F207" s="14">
        <v>45226</v>
      </c>
      <c r="G207" s="10">
        <v>329303667</v>
      </c>
      <c r="H207" s="9">
        <v>45218</v>
      </c>
      <c r="I207" s="9">
        <v>45233</v>
      </c>
      <c r="J207" s="8">
        <v>5146</v>
      </c>
      <c r="K207" s="8" t="s">
        <v>31</v>
      </c>
      <c r="L207" s="8" t="s">
        <v>32</v>
      </c>
      <c r="M207" s="8"/>
      <c r="N207" s="8" t="b">
        <v>0</v>
      </c>
      <c r="O207" s="10">
        <v>703095</v>
      </c>
      <c r="P207" s="8" t="s">
        <v>64</v>
      </c>
      <c r="Q207" s="8">
        <v>321056</v>
      </c>
      <c r="R207" s="9">
        <v>45218</v>
      </c>
      <c r="S207" s="8" t="s">
        <v>34</v>
      </c>
      <c r="T207" s="8" t="s">
        <v>44</v>
      </c>
      <c r="U207" s="8" t="s">
        <v>58</v>
      </c>
      <c r="V207" s="8" t="s">
        <v>46</v>
      </c>
      <c r="W207" s="8">
        <v>0</v>
      </c>
    </row>
    <row r="208" spans="1:23" x14ac:dyDescent="0.25">
      <c r="A208" s="4">
        <v>1</v>
      </c>
      <c r="B208" s="4"/>
      <c r="C208" s="4">
        <v>879310</v>
      </c>
      <c r="D208" s="4">
        <v>6330.42</v>
      </c>
      <c r="E208" s="5">
        <f t="shared" si="3"/>
        <v>-0.42000000000007276</v>
      </c>
      <c r="F208" s="14">
        <v>45226</v>
      </c>
      <c r="G208" s="10">
        <v>329303696</v>
      </c>
      <c r="H208" s="9">
        <v>45218</v>
      </c>
      <c r="I208" s="9">
        <v>45233</v>
      </c>
      <c r="J208" s="8">
        <v>6330</v>
      </c>
      <c r="K208" s="8" t="s">
        <v>31</v>
      </c>
      <c r="L208" s="8" t="s">
        <v>32</v>
      </c>
      <c r="M208" s="8"/>
      <c r="N208" s="8" t="b">
        <v>0</v>
      </c>
      <c r="O208" s="10">
        <v>697227</v>
      </c>
      <c r="P208" s="8" t="s">
        <v>108</v>
      </c>
      <c r="Q208" s="8">
        <v>321007</v>
      </c>
      <c r="R208" s="9">
        <v>45218</v>
      </c>
      <c r="S208" s="8" t="s">
        <v>34</v>
      </c>
      <c r="T208" s="8" t="s">
        <v>44</v>
      </c>
      <c r="U208" s="8" t="s">
        <v>36</v>
      </c>
      <c r="V208" s="8" t="s">
        <v>37</v>
      </c>
      <c r="W208" s="8">
        <v>0</v>
      </c>
    </row>
    <row r="209" spans="1:23" x14ac:dyDescent="0.25">
      <c r="A209" s="4">
        <v>1</v>
      </c>
      <c r="B209" s="4"/>
      <c r="C209" s="4">
        <v>879304</v>
      </c>
      <c r="D209" s="4">
        <v>5145.66</v>
      </c>
      <c r="E209" s="5">
        <f t="shared" si="3"/>
        <v>0.34000000000014552</v>
      </c>
      <c r="F209" s="14">
        <v>45226</v>
      </c>
      <c r="G209" s="10">
        <v>329303697</v>
      </c>
      <c r="H209" s="9">
        <v>45218</v>
      </c>
      <c r="I209" s="9">
        <v>45233</v>
      </c>
      <c r="J209" s="8">
        <v>5146</v>
      </c>
      <c r="K209" s="8" t="s">
        <v>31</v>
      </c>
      <c r="L209" s="8" t="s">
        <v>32</v>
      </c>
      <c r="M209" s="8"/>
      <c r="N209" s="8" t="b">
        <v>0</v>
      </c>
      <c r="O209" s="10">
        <v>702171</v>
      </c>
      <c r="P209" s="8" t="s">
        <v>244</v>
      </c>
      <c r="Q209" s="8">
        <v>321032</v>
      </c>
      <c r="R209" s="9">
        <v>45218</v>
      </c>
      <c r="S209" s="8" t="s">
        <v>34</v>
      </c>
      <c r="T209" s="8" t="s">
        <v>44</v>
      </c>
      <c r="U209" s="8" t="s">
        <v>58</v>
      </c>
      <c r="V209" s="8" t="s">
        <v>46</v>
      </c>
      <c r="W209" s="8">
        <v>0</v>
      </c>
    </row>
    <row r="210" spans="1:23" x14ac:dyDescent="0.25">
      <c r="A210" s="4">
        <v>1</v>
      </c>
      <c r="B210" s="4"/>
      <c r="C210" s="4">
        <v>879303</v>
      </c>
      <c r="D210" s="4">
        <v>6330.42</v>
      </c>
      <c r="E210" s="5">
        <f t="shared" si="3"/>
        <v>-0.42000000000007276</v>
      </c>
      <c r="F210" s="14">
        <v>45226</v>
      </c>
      <c r="G210" s="10">
        <v>329303719</v>
      </c>
      <c r="H210" s="9">
        <v>45218</v>
      </c>
      <c r="I210" s="9">
        <v>45233</v>
      </c>
      <c r="J210" s="8">
        <v>6330</v>
      </c>
      <c r="K210" s="8" t="s">
        <v>31</v>
      </c>
      <c r="L210" s="8" t="s">
        <v>32</v>
      </c>
      <c r="M210" s="8"/>
      <c r="N210" s="8" t="b">
        <v>0</v>
      </c>
      <c r="O210" s="10">
        <v>697226</v>
      </c>
      <c r="P210" s="8" t="s">
        <v>109</v>
      </c>
      <c r="Q210" s="8">
        <v>321000</v>
      </c>
      <c r="R210" s="9">
        <v>45218</v>
      </c>
      <c r="S210" s="8" t="s">
        <v>34</v>
      </c>
      <c r="T210" s="8" t="s">
        <v>44</v>
      </c>
      <c r="U210" s="8" t="s">
        <v>36</v>
      </c>
      <c r="V210" s="8" t="s">
        <v>37</v>
      </c>
      <c r="W210" s="8">
        <v>0</v>
      </c>
    </row>
    <row r="211" spans="1:23" x14ac:dyDescent="0.25">
      <c r="A211" s="4">
        <v>1</v>
      </c>
      <c r="B211" s="4"/>
      <c r="C211" s="4">
        <v>879302</v>
      </c>
      <c r="D211" s="4">
        <v>6330.42</v>
      </c>
      <c r="E211" s="5">
        <f t="shared" si="3"/>
        <v>-0.42000000000007276</v>
      </c>
      <c r="F211" s="14">
        <v>45226</v>
      </c>
      <c r="G211" s="10">
        <v>329303748</v>
      </c>
      <c r="H211" s="9">
        <v>45218</v>
      </c>
      <c r="I211" s="9">
        <v>45233</v>
      </c>
      <c r="J211" s="8">
        <v>6330</v>
      </c>
      <c r="K211" s="8" t="s">
        <v>31</v>
      </c>
      <c r="L211" s="8" t="s">
        <v>32</v>
      </c>
      <c r="M211" s="8"/>
      <c r="N211" s="8" t="b">
        <v>0</v>
      </c>
      <c r="O211" s="10">
        <v>697228</v>
      </c>
      <c r="P211" s="8" t="s">
        <v>43</v>
      </c>
      <c r="Q211" s="8">
        <v>321017</v>
      </c>
      <c r="R211" s="9">
        <v>45218</v>
      </c>
      <c r="S211" s="8" t="s">
        <v>34</v>
      </c>
      <c r="T211" s="8" t="s">
        <v>44</v>
      </c>
      <c r="U211" s="8" t="s">
        <v>36</v>
      </c>
      <c r="V211" s="8" t="s">
        <v>37</v>
      </c>
      <c r="W211" s="8">
        <v>0</v>
      </c>
    </row>
    <row r="212" spans="1:23" x14ac:dyDescent="0.25">
      <c r="A212" s="4">
        <v>1</v>
      </c>
      <c r="B212" s="4"/>
      <c r="C212" s="4">
        <v>879693</v>
      </c>
      <c r="D212" s="4">
        <v>5173.26</v>
      </c>
      <c r="E212" s="5">
        <f t="shared" si="3"/>
        <v>-0.26000000000021828</v>
      </c>
      <c r="F212" s="14">
        <v>45226</v>
      </c>
      <c r="G212" s="10">
        <v>329342347</v>
      </c>
      <c r="H212" s="9">
        <v>45222</v>
      </c>
      <c r="I212" s="9">
        <v>45237</v>
      </c>
      <c r="J212" s="8">
        <v>5173</v>
      </c>
      <c r="K212" s="8" t="s">
        <v>31</v>
      </c>
      <c r="L212" s="8" t="s">
        <v>32</v>
      </c>
      <c r="M212" s="8"/>
      <c r="N212" s="8" t="b">
        <v>0</v>
      </c>
      <c r="O212" s="10">
        <v>702924</v>
      </c>
      <c r="P212" s="8" t="s">
        <v>136</v>
      </c>
      <c r="Q212" s="8">
        <v>345206</v>
      </c>
      <c r="R212" s="9">
        <v>45220</v>
      </c>
      <c r="S212" s="8" t="s">
        <v>34</v>
      </c>
      <c r="T212" s="8" t="s">
        <v>40</v>
      </c>
      <c r="U212" s="8" t="s">
        <v>58</v>
      </c>
      <c r="V212" s="8" t="s">
        <v>46</v>
      </c>
      <c r="W212" s="8">
        <v>0</v>
      </c>
    </row>
    <row r="213" spans="1:23" x14ac:dyDescent="0.25">
      <c r="A213" s="4">
        <v>1</v>
      </c>
      <c r="B213" s="4"/>
      <c r="C213" s="4">
        <v>879683</v>
      </c>
      <c r="D213" s="4">
        <v>5173.26</v>
      </c>
      <c r="E213" s="5">
        <f t="shared" si="3"/>
        <v>-0.26000000000021828</v>
      </c>
      <c r="F213" s="14">
        <v>45226</v>
      </c>
      <c r="G213" s="10">
        <v>329342352</v>
      </c>
      <c r="H213" s="9">
        <v>45222</v>
      </c>
      <c r="I213" s="9">
        <v>45237</v>
      </c>
      <c r="J213" s="8">
        <v>5173</v>
      </c>
      <c r="K213" s="8" t="s">
        <v>31</v>
      </c>
      <c r="L213" s="8" t="s">
        <v>32</v>
      </c>
      <c r="M213" s="8"/>
      <c r="N213" s="8" t="b">
        <v>0</v>
      </c>
      <c r="O213" s="10">
        <v>702923</v>
      </c>
      <c r="P213" s="8" t="s">
        <v>137</v>
      </c>
      <c r="Q213" s="8">
        <v>345203</v>
      </c>
      <c r="R213" s="9">
        <v>45220</v>
      </c>
      <c r="S213" s="8" t="s">
        <v>34</v>
      </c>
      <c r="T213" s="8" t="s">
        <v>40</v>
      </c>
      <c r="U213" s="8" t="s">
        <v>58</v>
      </c>
      <c r="V213" s="8" t="s">
        <v>46</v>
      </c>
      <c r="W213" s="8">
        <v>0</v>
      </c>
    </row>
    <row r="214" spans="1:23" x14ac:dyDescent="0.25">
      <c r="A214" s="4">
        <v>1</v>
      </c>
      <c r="B214" s="4"/>
      <c r="C214" s="4">
        <v>879692</v>
      </c>
      <c r="D214" s="4">
        <v>5173.26</v>
      </c>
      <c r="E214" s="5">
        <f t="shared" si="3"/>
        <v>-0.26000000000021828</v>
      </c>
      <c r="F214" s="14">
        <v>45226</v>
      </c>
      <c r="G214" s="10">
        <v>329342354</v>
      </c>
      <c r="H214" s="9">
        <v>45222</v>
      </c>
      <c r="I214" s="9">
        <v>45237</v>
      </c>
      <c r="J214" s="8">
        <v>5173</v>
      </c>
      <c r="K214" s="8" t="s">
        <v>31</v>
      </c>
      <c r="L214" s="8" t="s">
        <v>32</v>
      </c>
      <c r="M214" s="8"/>
      <c r="N214" s="8" t="b">
        <v>0</v>
      </c>
      <c r="O214" s="10">
        <v>702925</v>
      </c>
      <c r="P214" s="8" t="s">
        <v>135</v>
      </c>
      <c r="Q214" s="8">
        <v>345207</v>
      </c>
      <c r="R214" s="9">
        <v>45220</v>
      </c>
      <c r="S214" s="8" t="s">
        <v>34</v>
      </c>
      <c r="T214" s="8" t="s">
        <v>40</v>
      </c>
      <c r="U214" s="8" t="s">
        <v>58</v>
      </c>
      <c r="V214" s="8" t="s">
        <v>46</v>
      </c>
      <c r="W214" s="8">
        <v>0</v>
      </c>
    </row>
    <row r="215" spans="1:23" x14ac:dyDescent="0.25">
      <c r="A215" s="4">
        <v>1</v>
      </c>
      <c r="B215" s="4"/>
      <c r="C215" s="4">
        <v>879691</v>
      </c>
      <c r="D215" s="4">
        <v>5173.26</v>
      </c>
      <c r="E215" s="5">
        <f t="shared" si="3"/>
        <v>-0.26000000000021828</v>
      </c>
      <c r="F215" s="14">
        <v>45226</v>
      </c>
      <c r="G215" s="10">
        <v>329342363</v>
      </c>
      <c r="H215" s="9">
        <v>45222</v>
      </c>
      <c r="I215" s="9">
        <v>45237</v>
      </c>
      <c r="J215" s="8">
        <v>5173</v>
      </c>
      <c r="K215" s="8" t="s">
        <v>31</v>
      </c>
      <c r="L215" s="8" t="s">
        <v>32</v>
      </c>
      <c r="M215" s="8"/>
      <c r="N215" s="8" t="b">
        <v>0</v>
      </c>
      <c r="O215" s="10">
        <v>702926</v>
      </c>
      <c r="P215" s="8" t="s">
        <v>67</v>
      </c>
      <c r="Q215" s="8">
        <v>345221</v>
      </c>
      <c r="R215" s="9">
        <v>45220</v>
      </c>
      <c r="S215" s="8" t="s">
        <v>34</v>
      </c>
      <c r="T215" s="8" t="s">
        <v>40</v>
      </c>
      <c r="U215" s="8" t="s">
        <v>58</v>
      </c>
      <c r="V215" s="8" t="s">
        <v>46</v>
      </c>
      <c r="W215" s="8">
        <v>0</v>
      </c>
    </row>
    <row r="216" spans="1:23" x14ac:dyDescent="0.25">
      <c r="A216" s="4">
        <v>1</v>
      </c>
      <c r="B216" s="4"/>
      <c r="C216" s="4">
        <v>879682</v>
      </c>
      <c r="D216" s="4">
        <v>44043.02</v>
      </c>
      <c r="E216" s="5">
        <f t="shared" si="3"/>
        <v>0.98000000000320142</v>
      </c>
      <c r="F216" s="14">
        <v>45226</v>
      </c>
      <c r="G216" s="10">
        <v>329356780</v>
      </c>
      <c r="H216" s="9">
        <v>45222</v>
      </c>
      <c r="I216" s="9">
        <v>45237</v>
      </c>
      <c r="J216" s="8">
        <v>44044</v>
      </c>
      <c r="K216" s="8" t="s">
        <v>31</v>
      </c>
      <c r="L216" s="8" t="s">
        <v>32</v>
      </c>
      <c r="M216" s="8"/>
      <c r="N216" s="8" t="b">
        <v>0</v>
      </c>
      <c r="O216" s="10"/>
      <c r="P216" s="8" t="s">
        <v>245</v>
      </c>
      <c r="Q216" s="8">
        <v>262838</v>
      </c>
      <c r="R216" s="9">
        <v>45215</v>
      </c>
      <c r="S216" s="8" t="s">
        <v>48</v>
      </c>
      <c r="T216" s="8" t="s">
        <v>49</v>
      </c>
      <c r="U216" s="8" t="s">
        <v>50</v>
      </c>
      <c r="V216" s="8" t="s">
        <v>37</v>
      </c>
      <c r="W216" s="8">
        <v>0</v>
      </c>
    </row>
    <row r="217" spans="1:23" x14ac:dyDescent="0.25">
      <c r="A217" s="4">
        <v>1</v>
      </c>
      <c r="B217" s="4"/>
      <c r="C217" s="4">
        <v>879689</v>
      </c>
      <c r="D217" s="4">
        <v>45471.44</v>
      </c>
      <c r="E217" s="5">
        <f t="shared" si="3"/>
        <v>0.55999999999767169</v>
      </c>
      <c r="F217" s="14">
        <v>45226</v>
      </c>
      <c r="G217" s="10">
        <v>329361883</v>
      </c>
      <c r="H217" s="9">
        <v>45222</v>
      </c>
      <c r="I217" s="9">
        <v>45237</v>
      </c>
      <c r="J217" s="8">
        <v>45472</v>
      </c>
      <c r="K217" s="8" t="s">
        <v>31</v>
      </c>
      <c r="L217" s="8" t="s">
        <v>32</v>
      </c>
      <c r="M217" s="8"/>
      <c r="N217" s="8" t="b">
        <v>0</v>
      </c>
      <c r="O217" s="10"/>
      <c r="P217" s="8" t="s">
        <v>246</v>
      </c>
      <c r="Q217" s="8">
        <v>356108</v>
      </c>
      <c r="R217" s="9">
        <v>45222</v>
      </c>
      <c r="S217" s="8" t="s">
        <v>70</v>
      </c>
      <c r="T217" s="8" t="s">
        <v>49</v>
      </c>
      <c r="U217" s="8" t="s">
        <v>71</v>
      </c>
      <c r="V217" s="8" t="s">
        <v>72</v>
      </c>
      <c r="W217" s="8">
        <v>0</v>
      </c>
    </row>
    <row r="218" spans="1:23" x14ac:dyDescent="0.25">
      <c r="A218" s="4">
        <v>1</v>
      </c>
      <c r="B218" s="4"/>
      <c r="C218" s="4">
        <v>879688</v>
      </c>
      <c r="D218" s="4">
        <v>25167.439999999999</v>
      </c>
      <c r="E218" s="5">
        <f t="shared" si="3"/>
        <v>0.56000000000130967</v>
      </c>
      <c r="F218" s="14">
        <v>45226</v>
      </c>
      <c r="G218" s="10">
        <v>329362120</v>
      </c>
      <c r="H218" s="9">
        <v>45222</v>
      </c>
      <c r="I218" s="9">
        <v>45237</v>
      </c>
      <c r="J218" s="8">
        <v>25168</v>
      </c>
      <c r="K218" s="8" t="s">
        <v>31</v>
      </c>
      <c r="L218" s="8" t="s">
        <v>32</v>
      </c>
      <c r="M218" s="8"/>
      <c r="N218" s="8" t="b">
        <v>0</v>
      </c>
      <c r="O218" s="10"/>
      <c r="P218" s="8" t="s">
        <v>247</v>
      </c>
      <c r="Q218" s="8">
        <v>356260</v>
      </c>
      <c r="R218" s="9">
        <v>45222</v>
      </c>
      <c r="S218" s="8" t="s">
        <v>48</v>
      </c>
      <c r="T218" s="8" t="s">
        <v>49</v>
      </c>
      <c r="U218" s="8" t="s">
        <v>50</v>
      </c>
      <c r="V218" s="8" t="s">
        <v>37</v>
      </c>
      <c r="W218" s="8">
        <v>0</v>
      </c>
    </row>
    <row r="219" spans="1:23" x14ac:dyDescent="0.25">
      <c r="A219" s="4">
        <v>1</v>
      </c>
      <c r="B219" s="4"/>
      <c r="C219" s="4">
        <v>879687</v>
      </c>
      <c r="D219" s="4">
        <v>17496.240000000002</v>
      </c>
      <c r="E219" s="5">
        <f t="shared" si="3"/>
        <v>-0.24000000000160071</v>
      </c>
      <c r="F219" s="14">
        <v>45226</v>
      </c>
      <c r="G219" s="10">
        <v>329364407</v>
      </c>
      <c r="H219" s="9">
        <v>45222</v>
      </c>
      <c r="I219" s="9">
        <v>45237</v>
      </c>
      <c r="J219" s="8">
        <v>17496</v>
      </c>
      <c r="K219" s="8" t="s">
        <v>31</v>
      </c>
      <c r="L219" s="8" t="s">
        <v>32</v>
      </c>
      <c r="M219" s="8"/>
      <c r="N219" s="8" t="b">
        <v>0</v>
      </c>
      <c r="O219" s="10"/>
      <c r="P219" s="8" t="s">
        <v>248</v>
      </c>
      <c r="Q219" s="8">
        <v>296532</v>
      </c>
      <c r="R219" s="9">
        <v>45217</v>
      </c>
      <c r="S219" s="8" t="s">
        <v>34</v>
      </c>
      <c r="T219" s="8" t="s">
        <v>49</v>
      </c>
      <c r="U219" s="8" t="s">
        <v>75</v>
      </c>
      <c r="V219" s="8" t="s">
        <v>46</v>
      </c>
      <c r="W219" s="8">
        <v>0</v>
      </c>
    </row>
    <row r="220" spans="1:23" x14ac:dyDescent="0.25">
      <c r="A220" s="4">
        <v>1</v>
      </c>
      <c r="B220" s="4"/>
      <c r="C220" s="4">
        <v>879686</v>
      </c>
      <c r="D220" s="4">
        <v>48109.599999999999</v>
      </c>
      <c r="E220" s="5">
        <f t="shared" si="3"/>
        <v>4.4000000000014552</v>
      </c>
      <c r="F220" s="14">
        <v>45226</v>
      </c>
      <c r="G220" s="10">
        <v>329364408</v>
      </c>
      <c r="H220" s="9">
        <v>45222</v>
      </c>
      <c r="I220" s="9">
        <v>45237</v>
      </c>
      <c r="J220" s="8">
        <v>48114</v>
      </c>
      <c r="K220" s="8" t="s">
        <v>31</v>
      </c>
      <c r="L220" s="8" t="s">
        <v>32</v>
      </c>
      <c r="M220" s="8"/>
      <c r="N220" s="8" t="b">
        <v>0</v>
      </c>
      <c r="O220" s="10"/>
      <c r="P220" s="8" t="s">
        <v>249</v>
      </c>
      <c r="Q220" s="8">
        <v>356017</v>
      </c>
      <c r="R220" s="9">
        <v>45222</v>
      </c>
      <c r="S220" s="8" t="s">
        <v>34</v>
      </c>
      <c r="T220" s="8" t="s">
        <v>49</v>
      </c>
      <c r="U220" s="8" t="s">
        <v>75</v>
      </c>
      <c r="V220" s="8" t="s">
        <v>46</v>
      </c>
      <c r="W220" s="8">
        <v>0</v>
      </c>
    </row>
    <row r="221" spans="1:23" ht="15.75" customHeight="1" x14ac:dyDescent="0.25">
      <c r="A221" s="4">
        <v>2</v>
      </c>
      <c r="B221" s="4" t="s">
        <v>250</v>
      </c>
      <c r="C221" s="4"/>
      <c r="D221" s="4"/>
      <c r="E221" s="5">
        <f t="shared" si="3"/>
        <v>7846</v>
      </c>
      <c r="F221" s="15" t="s">
        <v>251</v>
      </c>
      <c r="G221" s="10">
        <v>329366111</v>
      </c>
      <c r="H221" s="9">
        <v>45222</v>
      </c>
      <c r="I221" s="9">
        <v>45237</v>
      </c>
      <c r="J221" s="8">
        <v>7846</v>
      </c>
      <c r="K221" s="8" t="s">
        <v>31</v>
      </c>
      <c r="L221" s="8" t="s">
        <v>32</v>
      </c>
      <c r="M221" s="8"/>
      <c r="N221" s="8" t="b">
        <v>0</v>
      </c>
      <c r="O221" s="10">
        <v>693170</v>
      </c>
      <c r="P221" s="8" t="s">
        <v>252</v>
      </c>
      <c r="Q221" s="8">
        <v>228630</v>
      </c>
      <c r="R221" s="9">
        <v>45121</v>
      </c>
      <c r="S221" s="8" t="s">
        <v>253</v>
      </c>
      <c r="T221" s="8" t="s">
        <v>40</v>
      </c>
      <c r="U221" s="8" t="s">
        <v>254</v>
      </c>
      <c r="V221" s="8" t="s">
        <v>72</v>
      </c>
      <c r="W221" s="8">
        <v>0</v>
      </c>
    </row>
    <row r="222" spans="1:23" x14ac:dyDescent="0.25">
      <c r="A222" s="4">
        <v>1</v>
      </c>
      <c r="B222" s="4"/>
      <c r="C222" s="4">
        <v>879685</v>
      </c>
      <c r="D222" s="4">
        <v>6330.42</v>
      </c>
      <c r="E222" s="5">
        <f t="shared" si="3"/>
        <v>-0.42000000000007276</v>
      </c>
      <c r="F222" s="14">
        <v>45226</v>
      </c>
      <c r="G222" s="10">
        <v>329367397</v>
      </c>
      <c r="H222" s="9">
        <v>45222</v>
      </c>
      <c r="I222" s="9">
        <v>45237</v>
      </c>
      <c r="J222" s="8">
        <v>6330</v>
      </c>
      <c r="K222" s="8" t="s">
        <v>31</v>
      </c>
      <c r="L222" s="8" t="s">
        <v>32</v>
      </c>
      <c r="M222" s="8"/>
      <c r="N222" s="8" t="b">
        <v>0</v>
      </c>
      <c r="O222" s="10">
        <v>697229</v>
      </c>
      <c r="P222" s="8" t="s">
        <v>125</v>
      </c>
      <c r="Q222" s="8">
        <v>361627</v>
      </c>
      <c r="R222" s="9">
        <v>45222</v>
      </c>
      <c r="S222" s="8" t="s">
        <v>34</v>
      </c>
      <c r="T222" s="8" t="s">
        <v>44</v>
      </c>
      <c r="U222" s="8" t="s">
        <v>36</v>
      </c>
      <c r="V222" s="8" t="s">
        <v>37</v>
      </c>
      <c r="W222" s="8">
        <v>0</v>
      </c>
    </row>
    <row r="223" spans="1:23" x14ac:dyDescent="0.25">
      <c r="A223" s="4">
        <v>1</v>
      </c>
      <c r="B223" s="4"/>
      <c r="C223" s="4">
        <v>879684</v>
      </c>
      <c r="D223" s="4">
        <v>5147.96</v>
      </c>
      <c r="E223" s="5">
        <f t="shared" si="3"/>
        <v>3.999999999996362E-2</v>
      </c>
      <c r="F223" s="14">
        <v>45226</v>
      </c>
      <c r="G223" s="10">
        <v>329367781</v>
      </c>
      <c r="H223" s="9">
        <v>45222</v>
      </c>
      <c r="I223" s="9">
        <v>45237</v>
      </c>
      <c r="J223" s="8">
        <v>5148</v>
      </c>
      <c r="K223" s="8" t="s">
        <v>31</v>
      </c>
      <c r="L223" s="8" t="s">
        <v>32</v>
      </c>
      <c r="M223" s="8"/>
      <c r="N223" s="8" t="b">
        <v>0</v>
      </c>
      <c r="O223" s="10">
        <v>695736</v>
      </c>
      <c r="P223" s="8" t="s">
        <v>255</v>
      </c>
      <c r="Q223" s="8">
        <v>362044</v>
      </c>
      <c r="R223" s="9">
        <v>45222</v>
      </c>
      <c r="S223" s="8" t="s">
        <v>180</v>
      </c>
      <c r="T223" s="8" t="s">
        <v>44</v>
      </c>
      <c r="U223" s="8" t="s">
        <v>45</v>
      </c>
      <c r="V223" s="8" t="s">
        <v>46</v>
      </c>
      <c r="W223" s="8">
        <v>0</v>
      </c>
    </row>
    <row r="224" spans="1:23" x14ac:dyDescent="0.25">
      <c r="A224" s="4">
        <v>2</v>
      </c>
      <c r="B224" s="4" t="s">
        <v>256</v>
      </c>
      <c r="C224" s="4"/>
      <c r="D224" s="4"/>
      <c r="E224" s="5">
        <f t="shared" si="3"/>
        <v>8471.92</v>
      </c>
      <c r="F224" s="15" t="s">
        <v>251</v>
      </c>
      <c r="G224" s="10">
        <v>329377512</v>
      </c>
      <c r="H224" s="9">
        <v>45223</v>
      </c>
      <c r="I224" s="9">
        <v>45238</v>
      </c>
      <c r="J224" s="8">
        <v>8471.92</v>
      </c>
      <c r="K224" s="8" t="s">
        <v>31</v>
      </c>
      <c r="L224" s="8" t="s">
        <v>32</v>
      </c>
      <c r="M224" s="8"/>
      <c r="N224" s="8" t="b">
        <v>0</v>
      </c>
      <c r="O224" s="10" t="s">
        <v>257</v>
      </c>
      <c r="P224" s="8" t="s">
        <v>258</v>
      </c>
      <c r="Q224" s="8">
        <v>294648</v>
      </c>
      <c r="R224" s="9">
        <v>45217</v>
      </c>
      <c r="S224" s="8" t="s">
        <v>259</v>
      </c>
      <c r="T224" s="8" t="s">
        <v>149</v>
      </c>
      <c r="U224" s="8" t="s">
        <v>260</v>
      </c>
      <c r="V224" s="8" t="s">
        <v>261</v>
      </c>
      <c r="W224" s="8">
        <v>0</v>
      </c>
    </row>
    <row r="225" spans="1:23" x14ac:dyDescent="0.25">
      <c r="A225" s="4">
        <v>1</v>
      </c>
      <c r="B225" s="4"/>
      <c r="C225" s="4">
        <v>880971</v>
      </c>
      <c r="D225" s="4">
        <v>5145.66</v>
      </c>
      <c r="E225" s="5">
        <f t="shared" si="3"/>
        <v>0.34000000000014552</v>
      </c>
      <c r="F225" s="15">
        <v>45287</v>
      </c>
      <c r="G225" s="10">
        <v>329379775</v>
      </c>
      <c r="H225" s="9">
        <v>45223</v>
      </c>
      <c r="I225" s="9">
        <v>45238</v>
      </c>
      <c r="J225" s="8">
        <v>5146</v>
      </c>
      <c r="K225" s="8" t="s">
        <v>31</v>
      </c>
      <c r="L225" s="8" t="s">
        <v>32</v>
      </c>
      <c r="M225" s="8"/>
      <c r="N225" s="8" t="b">
        <v>1</v>
      </c>
      <c r="O225" s="10">
        <v>702165</v>
      </c>
      <c r="P225" s="8" t="s">
        <v>262</v>
      </c>
      <c r="Q225" s="8">
        <v>369785</v>
      </c>
      <c r="R225" s="9">
        <v>45223</v>
      </c>
      <c r="S225" s="8" t="s">
        <v>34</v>
      </c>
      <c r="T225" s="8" t="s">
        <v>44</v>
      </c>
      <c r="U225" s="8" t="s">
        <v>58</v>
      </c>
      <c r="V225" s="8" t="s">
        <v>46</v>
      </c>
      <c r="W225" s="8">
        <v>0</v>
      </c>
    </row>
    <row r="226" spans="1:23" x14ac:dyDescent="0.25">
      <c r="A226" s="4">
        <v>1</v>
      </c>
      <c r="B226" s="4"/>
      <c r="C226" s="4">
        <v>880975</v>
      </c>
      <c r="D226" s="4">
        <v>5145.66</v>
      </c>
      <c r="E226" s="5">
        <f t="shared" si="3"/>
        <v>0.34000000000014552</v>
      </c>
      <c r="F226" s="15">
        <v>45287</v>
      </c>
      <c r="G226" s="10">
        <v>329387965</v>
      </c>
      <c r="H226" s="9">
        <v>45223</v>
      </c>
      <c r="I226" s="9">
        <v>45238</v>
      </c>
      <c r="J226" s="8">
        <v>5146</v>
      </c>
      <c r="K226" s="8" t="s">
        <v>31</v>
      </c>
      <c r="L226" s="8" t="s">
        <v>32</v>
      </c>
      <c r="M226" s="8"/>
      <c r="N226" s="8" t="b">
        <v>1</v>
      </c>
      <c r="O226" s="10">
        <v>702167</v>
      </c>
      <c r="P226" s="8" t="s">
        <v>263</v>
      </c>
      <c r="Q226" s="8">
        <v>378079</v>
      </c>
      <c r="R226" s="9">
        <v>45223</v>
      </c>
      <c r="S226" s="8" t="s">
        <v>34</v>
      </c>
      <c r="T226" s="8" t="s">
        <v>44</v>
      </c>
      <c r="U226" s="8" t="s">
        <v>58</v>
      </c>
      <c r="V226" s="8" t="s">
        <v>46</v>
      </c>
      <c r="W226" s="8">
        <v>0</v>
      </c>
    </row>
    <row r="227" spans="1:23" x14ac:dyDescent="0.25">
      <c r="A227" s="4">
        <v>1</v>
      </c>
      <c r="B227" s="4"/>
      <c r="C227" s="4">
        <v>880803</v>
      </c>
      <c r="D227" s="4">
        <v>18875.580000000002</v>
      </c>
      <c r="E227" s="5">
        <f t="shared" si="3"/>
        <v>0.41999999999825377</v>
      </c>
      <c r="F227" s="15">
        <v>45230</v>
      </c>
      <c r="G227" s="10">
        <v>329404647</v>
      </c>
      <c r="H227" s="9">
        <v>45224</v>
      </c>
      <c r="I227" s="9">
        <v>45239</v>
      </c>
      <c r="J227" s="8">
        <v>18876</v>
      </c>
      <c r="K227" s="8" t="s">
        <v>31</v>
      </c>
      <c r="L227" s="8" t="s">
        <v>32</v>
      </c>
      <c r="M227" s="8"/>
      <c r="N227" s="8" t="b">
        <v>0</v>
      </c>
      <c r="O227" s="10"/>
      <c r="P227" s="8" t="s">
        <v>73</v>
      </c>
      <c r="Q227" s="8">
        <v>390037</v>
      </c>
      <c r="R227" s="9">
        <v>45224</v>
      </c>
      <c r="S227" s="8" t="s">
        <v>48</v>
      </c>
      <c r="T227" s="8" t="s">
        <v>49</v>
      </c>
      <c r="U227" s="8" t="s">
        <v>50</v>
      </c>
      <c r="V227" s="8" t="s">
        <v>37</v>
      </c>
      <c r="W227" s="8">
        <v>0</v>
      </c>
    </row>
    <row r="228" spans="1:23" x14ac:dyDescent="0.25">
      <c r="A228" s="4">
        <v>1</v>
      </c>
      <c r="B228" s="4"/>
      <c r="C228" s="4">
        <v>880798</v>
      </c>
      <c r="D228" s="4">
        <v>6374.58</v>
      </c>
      <c r="E228" s="5">
        <f t="shared" si="3"/>
        <v>0.42000000000007276</v>
      </c>
      <c r="F228" s="15">
        <v>45230</v>
      </c>
      <c r="G228" s="10">
        <v>329414368</v>
      </c>
      <c r="H228" s="9">
        <v>45224</v>
      </c>
      <c r="I228" s="9">
        <v>45239</v>
      </c>
      <c r="J228" s="8">
        <v>6375</v>
      </c>
      <c r="K228" s="8" t="s">
        <v>31</v>
      </c>
      <c r="L228" s="8" t="s">
        <v>32</v>
      </c>
      <c r="M228" s="8"/>
      <c r="N228" s="8" t="b">
        <v>0</v>
      </c>
      <c r="O228" s="10">
        <v>703289</v>
      </c>
      <c r="P228" s="8" t="s">
        <v>55</v>
      </c>
      <c r="Q228" s="8">
        <v>398935</v>
      </c>
      <c r="R228" s="9">
        <v>45224</v>
      </c>
      <c r="S228" s="8" t="s">
        <v>48</v>
      </c>
      <c r="T228" s="8" t="s">
        <v>40</v>
      </c>
      <c r="U228" s="8" t="s">
        <v>50</v>
      </c>
      <c r="V228" s="8" t="s">
        <v>37</v>
      </c>
      <c r="W228" s="8">
        <v>0</v>
      </c>
    </row>
    <row r="229" spans="1:23" x14ac:dyDescent="0.25">
      <c r="A229" s="4">
        <v>1</v>
      </c>
      <c r="B229" s="4"/>
      <c r="C229" s="4">
        <v>880797</v>
      </c>
      <c r="D229" s="4">
        <v>5145.66</v>
      </c>
      <c r="E229" s="5">
        <f t="shared" si="3"/>
        <v>0.34000000000014552</v>
      </c>
      <c r="F229" s="15">
        <v>45230</v>
      </c>
      <c r="G229" s="10">
        <v>329414396</v>
      </c>
      <c r="H229" s="9">
        <v>45224</v>
      </c>
      <c r="I229" s="9">
        <v>45239</v>
      </c>
      <c r="J229" s="8">
        <v>5146</v>
      </c>
      <c r="K229" s="8" t="s">
        <v>31</v>
      </c>
      <c r="L229" s="8" t="s">
        <v>32</v>
      </c>
      <c r="M229" s="8"/>
      <c r="N229" s="8" t="b">
        <v>0</v>
      </c>
      <c r="O229" s="10">
        <v>702166</v>
      </c>
      <c r="P229" s="8" t="s">
        <v>264</v>
      </c>
      <c r="Q229" s="8">
        <v>398822</v>
      </c>
      <c r="R229" s="9">
        <v>45224</v>
      </c>
      <c r="S229" s="8" t="s">
        <v>34</v>
      </c>
      <c r="T229" s="8" t="s">
        <v>44</v>
      </c>
      <c r="U229" s="8" t="s">
        <v>58</v>
      </c>
      <c r="V229" s="8" t="s">
        <v>46</v>
      </c>
      <c r="W229" s="8">
        <v>0</v>
      </c>
    </row>
    <row r="230" spans="1:23" x14ac:dyDescent="0.25">
      <c r="A230" s="4">
        <v>1</v>
      </c>
      <c r="B230" s="4"/>
      <c r="C230" s="4">
        <v>880796</v>
      </c>
      <c r="D230" s="4">
        <v>5175.1000000000004</v>
      </c>
      <c r="E230" s="5">
        <f t="shared" si="3"/>
        <v>-0.1000000000003638</v>
      </c>
      <c r="F230" s="15">
        <v>45230</v>
      </c>
      <c r="G230" s="10">
        <v>329414404</v>
      </c>
      <c r="H230" s="9">
        <v>45224</v>
      </c>
      <c r="I230" s="9">
        <v>45239</v>
      </c>
      <c r="J230" s="8">
        <v>5175</v>
      </c>
      <c r="K230" s="8" t="s">
        <v>31</v>
      </c>
      <c r="L230" s="8" t="s">
        <v>32</v>
      </c>
      <c r="M230" s="8"/>
      <c r="N230" s="8" t="b">
        <v>0</v>
      </c>
      <c r="O230" s="10">
        <v>703287</v>
      </c>
      <c r="P230" s="8" t="s">
        <v>52</v>
      </c>
      <c r="Q230" s="8">
        <v>398912</v>
      </c>
      <c r="R230" s="9">
        <v>45224</v>
      </c>
      <c r="S230" s="8" t="s">
        <v>48</v>
      </c>
      <c r="T230" s="8" t="s">
        <v>40</v>
      </c>
      <c r="U230" s="8" t="s">
        <v>45</v>
      </c>
      <c r="V230" s="8" t="s">
        <v>46</v>
      </c>
      <c r="W230" s="8">
        <v>0</v>
      </c>
    </row>
    <row r="231" spans="1:23" x14ac:dyDescent="0.25">
      <c r="A231" s="4">
        <v>1</v>
      </c>
      <c r="B231" s="4"/>
      <c r="C231" s="4">
        <v>880744</v>
      </c>
      <c r="D231" s="4">
        <v>5038</v>
      </c>
      <c r="E231" s="5">
        <f t="shared" si="3"/>
        <v>0</v>
      </c>
      <c r="F231" s="15">
        <v>45230</v>
      </c>
      <c r="G231" s="10">
        <v>329414437</v>
      </c>
      <c r="H231" s="9">
        <v>45224</v>
      </c>
      <c r="I231" s="9">
        <v>45239</v>
      </c>
      <c r="J231" s="8">
        <v>5038</v>
      </c>
      <c r="K231" s="8" t="s">
        <v>31</v>
      </c>
      <c r="L231" s="8" t="s">
        <v>32</v>
      </c>
      <c r="M231" s="8"/>
      <c r="N231" s="8" t="b">
        <v>0</v>
      </c>
      <c r="O231" s="10">
        <v>20980</v>
      </c>
      <c r="P231" s="8" t="s">
        <v>265</v>
      </c>
      <c r="Q231" s="8">
        <v>398869</v>
      </c>
      <c r="R231" s="9">
        <v>45224</v>
      </c>
      <c r="S231" s="8" t="s">
        <v>34</v>
      </c>
      <c r="T231" s="8" t="s">
        <v>40</v>
      </c>
      <c r="U231" s="8" t="s">
        <v>84</v>
      </c>
      <c r="V231" s="8" t="s">
        <v>46</v>
      </c>
      <c r="W231" s="8">
        <v>0</v>
      </c>
    </row>
    <row r="232" spans="1:23" x14ac:dyDescent="0.25">
      <c r="A232" s="4">
        <v>1</v>
      </c>
      <c r="B232" s="4"/>
      <c r="C232" s="4">
        <v>880795</v>
      </c>
      <c r="D232" s="4">
        <v>5173.26</v>
      </c>
      <c r="E232" s="5">
        <f t="shared" si="3"/>
        <v>-0.26000000000021828</v>
      </c>
      <c r="F232" s="15">
        <v>45230</v>
      </c>
      <c r="G232" s="10">
        <v>329414454</v>
      </c>
      <c r="H232" s="9">
        <v>45224</v>
      </c>
      <c r="I232" s="9">
        <v>45239</v>
      </c>
      <c r="J232" s="8">
        <v>5173</v>
      </c>
      <c r="K232" s="8" t="s">
        <v>31</v>
      </c>
      <c r="L232" s="8" t="s">
        <v>32</v>
      </c>
      <c r="M232" s="8"/>
      <c r="N232" s="8" t="b">
        <v>0</v>
      </c>
      <c r="O232" s="10">
        <v>703285</v>
      </c>
      <c r="P232" s="8" t="s">
        <v>80</v>
      </c>
      <c r="Q232" s="8">
        <v>398888</v>
      </c>
      <c r="R232" s="9">
        <v>45224</v>
      </c>
      <c r="S232" s="8" t="s">
        <v>34</v>
      </c>
      <c r="T232" s="8" t="s">
        <v>40</v>
      </c>
      <c r="U232" s="8" t="s">
        <v>58</v>
      </c>
      <c r="V232" s="8" t="s">
        <v>46</v>
      </c>
      <c r="W232" s="8">
        <v>0</v>
      </c>
    </row>
    <row r="233" spans="1:23" x14ac:dyDescent="0.25">
      <c r="A233" s="4">
        <v>1</v>
      </c>
      <c r="B233" s="4"/>
      <c r="C233" s="4">
        <v>880794</v>
      </c>
      <c r="D233" s="4">
        <v>6374.58</v>
      </c>
      <c r="E233" s="5">
        <f t="shared" si="3"/>
        <v>0.42000000000007276</v>
      </c>
      <c r="F233" s="15">
        <v>45230</v>
      </c>
      <c r="G233" s="10">
        <v>329414456</v>
      </c>
      <c r="H233" s="9">
        <v>45224</v>
      </c>
      <c r="I233" s="9">
        <v>45239</v>
      </c>
      <c r="J233" s="8">
        <v>6375</v>
      </c>
      <c r="K233" s="8" t="s">
        <v>31</v>
      </c>
      <c r="L233" s="8" t="s">
        <v>32</v>
      </c>
      <c r="M233" s="8"/>
      <c r="N233" s="8" t="b">
        <v>0</v>
      </c>
      <c r="O233" s="10">
        <v>703290</v>
      </c>
      <c r="P233" s="8" t="s">
        <v>214</v>
      </c>
      <c r="Q233" s="8">
        <v>398951</v>
      </c>
      <c r="R233" s="9">
        <v>45224</v>
      </c>
      <c r="S233" s="8" t="s">
        <v>48</v>
      </c>
      <c r="T233" s="8" t="s">
        <v>40</v>
      </c>
      <c r="U233" s="8" t="s">
        <v>50</v>
      </c>
      <c r="V233" s="8" t="s">
        <v>37</v>
      </c>
      <c r="W233" s="8">
        <v>0</v>
      </c>
    </row>
    <row r="234" spans="1:23" x14ac:dyDescent="0.25">
      <c r="A234" s="4">
        <v>1</v>
      </c>
      <c r="B234" s="4"/>
      <c r="C234" s="4">
        <v>880793</v>
      </c>
      <c r="D234" s="4">
        <v>5175.1000000000004</v>
      </c>
      <c r="E234" s="5">
        <f t="shared" si="3"/>
        <v>-0.1000000000003638</v>
      </c>
      <c r="F234" s="15">
        <v>45230</v>
      </c>
      <c r="G234" s="10">
        <v>329414469</v>
      </c>
      <c r="H234" s="9">
        <v>45224</v>
      </c>
      <c r="I234" s="9">
        <v>45239</v>
      </c>
      <c r="J234" s="8">
        <v>5175</v>
      </c>
      <c r="K234" s="8" t="s">
        <v>31</v>
      </c>
      <c r="L234" s="8" t="s">
        <v>32</v>
      </c>
      <c r="M234" s="8"/>
      <c r="N234" s="8" t="b">
        <v>0</v>
      </c>
      <c r="O234" s="10">
        <v>703288</v>
      </c>
      <c r="P234" s="8" t="s">
        <v>91</v>
      </c>
      <c r="Q234" s="8">
        <v>398927</v>
      </c>
      <c r="R234" s="9">
        <v>45224</v>
      </c>
      <c r="S234" s="8" t="s">
        <v>48</v>
      </c>
      <c r="T234" s="8" t="s">
        <v>40</v>
      </c>
      <c r="U234" s="8" t="s">
        <v>45</v>
      </c>
      <c r="V234" s="8" t="s">
        <v>46</v>
      </c>
      <c r="W234" s="8">
        <v>0</v>
      </c>
    </row>
    <row r="235" spans="1:23" x14ac:dyDescent="0.25">
      <c r="A235" s="4">
        <v>1</v>
      </c>
      <c r="B235" s="4"/>
      <c r="C235" s="4">
        <v>880469</v>
      </c>
      <c r="D235" s="4">
        <v>9263.8799999999992</v>
      </c>
      <c r="E235" s="5">
        <f t="shared" si="3"/>
        <v>0.12000000000080036</v>
      </c>
      <c r="F235" s="15">
        <v>45230</v>
      </c>
      <c r="G235" s="10">
        <v>329414473</v>
      </c>
      <c r="H235" s="9">
        <v>45224</v>
      </c>
      <c r="I235" s="9">
        <v>45239</v>
      </c>
      <c r="J235" s="8">
        <v>9264</v>
      </c>
      <c r="K235" s="8" t="s">
        <v>31</v>
      </c>
      <c r="L235" s="8" t="s">
        <v>32</v>
      </c>
      <c r="M235" s="8"/>
      <c r="N235" s="8" t="b">
        <v>0</v>
      </c>
      <c r="O235" s="10">
        <v>700591</v>
      </c>
      <c r="P235" s="8" t="s">
        <v>266</v>
      </c>
      <c r="Q235" s="8">
        <v>398879</v>
      </c>
      <c r="R235" s="9">
        <v>45224</v>
      </c>
      <c r="S235" s="8" t="s">
        <v>130</v>
      </c>
      <c r="T235" s="8" t="s">
        <v>40</v>
      </c>
      <c r="U235" s="8" t="s">
        <v>131</v>
      </c>
      <c r="V235" s="8" t="s">
        <v>132</v>
      </c>
      <c r="W235" s="8">
        <v>0</v>
      </c>
    </row>
    <row r="236" spans="1:23" x14ac:dyDescent="0.25">
      <c r="A236" s="4">
        <v>1</v>
      </c>
      <c r="B236" s="4"/>
      <c r="C236" s="4">
        <v>880792</v>
      </c>
      <c r="D236" s="4">
        <v>5173.26</v>
      </c>
      <c r="E236" s="5">
        <f t="shared" si="3"/>
        <v>-0.26000000000021828</v>
      </c>
      <c r="F236" s="15">
        <v>45230</v>
      </c>
      <c r="G236" s="10">
        <v>329414491</v>
      </c>
      <c r="H236" s="9">
        <v>45224</v>
      </c>
      <c r="I236" s="9">
        <v>45239</v>
      </c>
      <c r="J236" s="8">
        <v>5173</v>
      </c>
      <c r="K236" s="8" t="s">
        <v>31</v>
      </c>
      <c r="L236" s="8" t="s">
        <v>32</v>
      </c>
      <c r="M236" s="8"/>
      <c r="N236" s="8" t="b">
        <v>0</v>
      </c>
      <c r="O236" s="10">
        <v>703286</v>
      </c>
      <c r="P236" s="8" t="s">
        <v>83</v>
      </c>
      <c r="Q236" s="8">
        <v>398899</v>
      </c>
      <c r="R236" s="9">
        <v>45224</v>
      </c>
      <c r="S236" s="8" t="s">
        <v>34</v>
      </c>
      <c r="T236" s="8" t="s">
        <v>40</v>
      </c>
      <c r="U236" s="8" t="s">
        <v>58</v>
      </c>
      <c r="V236" s="8" t="s">
        <v>46</v>
      </c>
      <c r="W236" s="8">
        <v>0</v>
      </c>
    </row>
    <row r="237" spans="1:23" x14ac:dyDescent="0.25">
      <c r="A237" s="4">
        <v>1</v>
      </c>
      <c r="B237" s="4"/>
      <c r="C237" s="4">
        <v>880791</v>
      </c>
      <c r="D237" s="4">
        <v>5145.66</v>
      </c>
      <c r="E237" s="5">
        <f t="shared" si="3"/>
        <v>0.34000000000014552</v>
      </c>
      <c r="F237" s="15">
        <v>45230</v>
      </c>
      <c r="G237" s="10">
        <v>329414662</v>
      </c>
      <c r="H237" s="9">
        <v>45224</v>
      </c>
      <c r="I237" s="9">
        <v>45239</v>
      </c>
      <c r="J237" s="8">
        <v>5146</v>
      </c>
      <c r="K237" s="8" t="s">
        <v>31</v>
      </c>
      <c r="L237" s="8" t="s">
        <v>32</v>
      </c>
      <c r="M237" s="8"/>
      <c r="N237" s="8" t="b">
        <v>0</v>
      </c>
      <c r="O237" s="10">
        <v>702172</v>
      </c>
      <c r="P237" s="8" t="s">
        <v>267</v>
      </c>
      <c r="Q237" s="8">
        <v>399072</v>
      </c>
      <c r="R237" s="9">
        <v>45224</v>
      </c>
      <c r="S237" s="8" t="s">
        <v>34</v>
      </c>
      <c r="T237" s="8" t="s">
        <v>44</v>
      </c>
      <c r="U237" s="8" t="s">
        <v>58</v>
      </c>
      <c r="V237" s="8" t="s">
        <v>46</v>
      </c>
      <c r="W237" s="8">
        <v>0</v>
      </c>
    </row>
    <row r="238" spans="1:23" x14ac:dyDescent="0.25">
      <c r="A238" s="4">
        <v>1</v>
      </c>
      <c r="B238" s="4"/>
      <c r="C238" s="4">
        <v>880805</v>
      </c>
      <c r="D238" s="4">
        <v>83098.399999999994</v>
      </c>
      <c r="E238" s="5">
        <f t="shared" si="3"/>
        <v>7.6000000000058208</v>
      </c>
      <c r="F238" s="15">
        <v>45230</v>
      </c>
      <c r="G238" s="10">
        <v>329423869</v>
      </c>
      <c r="H238" s="9">
        <v>45225</v>
      </c>
      <c r="I238" s="9">
        <v>45240</v>
      </c>
      <c r="J238" s="8">
        <v>83106</v>
      </c>
      <c r="K238" s="8" t="s">
        <v>31</v>
      </c>
      <c r="L238" s="8" t="s">
        <v>32</v>
      </c>
      <c r="M238" s="8"/>
      <c r="N238" s="8" t="b">
        <v>0</v>
      </c>
      <c r="O238" s="10"/>
      <c r="P238" s="8" t="s">
        <v>155</v>
      </c>
      <c r="Q238" s="8">
        <v>392359</v>
      </c>
      <c r="R238" s="9">
        <v>45224</v>
      </c>
      <c r="S238" s="8" t="s">
        <v>34</v>
      </c>
      <c r="T238" s="8" t="s">
        <v>49</v>
      </c>
      <c r="U238" s="8" t="s">
        <v>75</v>
      </c>
      <c r="V238" s="8" t="s">
        <v>46</v>
      </c>
      <c r="W238" s="8">
        <v>0</v>
      </c>
    </row>
    <row r="239" spans="1:23" x14ac:dyDescent="0.25">
      <c r="A239" s="4">
        <v>1</v>
      </c>
      <c r="B239" s="4"/>
      <c r="C239" s="4">
        <v>880804</v>
      </c>
      <c r="D239" s="4">
        <v>19487.759999999998</v>
      </c>
      <c r="E239" s="5">
        <f t="shared" si="3"/>
        <v>0.24000000000160071</v>
      </c>
      <c r="F239" s="15">
        <v>45230</v>
      </c>
      <c r="G239" s="10">
        <v>329435684</v>
      </c>
      <c r="H239" s="9">
        <v>45225</v>
      </c>
      <c r="I239" s="9">
        <v>45240</v>
      </c>
      <c r="J239" s="8">
        <v>19488</v>
      </c>
      <c r="K239" s="8" t="s">
        <v>31</v>
      </c>
      <c r="L239" s="8" t="s">
        <v>32</v>
      </c>
      <c r="M239" s="8"/>
      <c r="N239" s="8" t="b">
        <v>0</v>
      </c>
      <c r="O239" s="10"/>
      <c r="P239" s="8" t="s">
        <v>220</v>
      </c>
      <c r="Q239" s="8">
        <v>416145</v>
      </c>
      <c r="R239" s="9">
        <v>45225</v>
      </c>
      <c r="S239" s="8" t="s">
        <v>70</v>
      </c>
      <c r="T239" s="8" t="s">
        <v>49</v>
      </c>
      <c r="U239" s="8" t="s">
        <v>71</v>
      </c>
      <c r="V239" s="8" t="s">
        <v>72</v>
      </c>
      <c r="W239" s="8">
        <v>0</v>
      </c>
    </row>
    <row r="240" spans="1:23" x14ac:dyDescent="0.25">
      <c r="A240" s="4">
        <v>1</v>
      </c>
      <c r="B240" s="4"/>
      <c r="C240" s="4">
        <v>880802</v>
      </c>
      <c r="D240" s="4">
        <v>5173.26</v>
      </c>
      <c r="E240" s="5">
        <f t="shared" si="3"/>
        <v>-0.26000000000021828</v>
      </c>
      <c r="F240" s="15">
        <v>45230</v>
      </c>
      <c r="G240" s="10">
        <v>329452786</v>
      </c>
      <c r="H240" s="9">
        <v>45226</v>
      </c>
      <c r="I240" s="9">
        <v>45241</v>
      </c>
      <c r="J240" s="8">
        <v>5173</v>
      </c>
      <c r="K240" s="8" t="s">
        <v>31</v>
      </c>
      <c r="L240" s="8" t="s">
        <v>32</v>
      </c>
      <c r="M240" s="8"/>
      <c r="N240" s="8" t="b">
        <v>0</v>
      </c>
      <c r="O240" s="10">
        <v>704174</v>
      </c>
      <c r="P240" s="8" t="s">
        <v>99</v>
      </c>
      <c r="Q240" s="8">
        <v>429913</v>
      </c>
      <c r="R240" s="9">
        <v>45226</v>
      </c>
      <c r="S240" s="8" t="s">
        <v>34</v>
      </c>
      <c r="T240" s="8" t="s">
        <v>40</v>
      </c>
      <c r="U240" s="8" t="s">
        <v>58</v>
      </c>
      <c r="V240" s="8" t="s">
        <v>46</v>
      </c>
      <c r="W240" s="8">
        <v>0</v>
      </c>
    </row>
    <row r="241" spans="1:23" x14ac:dyDescent="0.25">
      <c r="A241" s="4">
        <v>1</v>
      </c>
      <c r="B241" s="4"/>
      <c r="C241" s="4">
        <v>880801</v>
      </c>
      <c r="D241" s="4">
        <v>5173.26</v>
      </c>
      <c r="E241" s="5">
        <f t="shared" si="3"/>
        <v>-0.26000000000021828</v>
      </c>
      <c r="F241" s="15">
        <v>45230</v>
      </c>
      <c r="G241" s="10">
        <v>329452792</v>
      </c>
      <c r="H241" s="9">
        <v>45226</v>
      </c>
      <c r="I241" s="9">
        <v>45241</v>
      </c>
      <c r="J241" s="8">
        <v>5173</v>
      </c>
      <c r="K241" s="8" t="s">
        <v>31</v>
      </c>
      <c r="L241" s="8" t="s">
        <v>32</v>
      </c>
      <c r="M241" s="8"/>
      <c r="N241" s="8" t="b">
        <v>0</v>
      </c>
      <c r="O241" s="10">
        <v>880800</v>
      </c>
      <c r="P241" s="8" t="s">
        <v>96</v>
      </c>
      <c r="Q241" s="8">
        <v>429926</v>
      </c>
      <c r="R241" s="9">
        <v>45226</v>
      </c>
      <c r="S241" s="8" t="s">
        <v>34</v>
      </c>
      <c r="T241" s="8" t="s">
        <v>40</v>
      </c>
      <c r="U241" s="8" t="s">
        <v>58</v>
      </c>
      <c r="V241" s="8" t="s">
        <v>46</v>
      </c>
      <c r="W241" s="8">
        <v>0</v>
      </c>
    </row>
    <row r="242" spans="1:23" x14ac:dyDescent="0.25">
      <c r="A242" s="4">
        <v>1</v>
      </c>
      <c r="B242" s="4"/>
      <c r="C242" s="4">
        <v>880800</v>
      </c>
      <c r="D242" s="4">
        <v>5173.26</v>
      </c>
      <c r="E242" s="5">
        <f t="shared" si="3"/>
        <v>-0.26000000000021828</v>
      </c>
      <c r="F242" s="15">
        <v>45230</v>
      </c>
      <c r="G242" s="10">
        <v>329453099</v>
      </c>
      <c r="H242" s="9">
        <v>45226</v>
      </c>
      <c r="I242" s="9">
        <v>45241</v>
      </c>
      <c r="J242" s="8">
        <v>5173</v>
      </c>
      <c r="K242" s="8" t="s">
        <v>31</v>
      </c>
      <c r="L242" s="8" t="s">
        <v>32</v>
      </c>
      <c r="M242" s="8"/>
      <c r="N242" s="8" t="b">
        <v>0</v>
      </c>
      <c r="O242" s="10">
        <v>704176</v>
      </c>
      <c r="P242" s="8" t="s">
        <v>93</v>
      </c>
      <c r="Q242" s="8">
        <v>429952</v>
      </c>
      <c r="R242" s="9">
        <v>45226</v>
      </c>
      <c r="S242" s="8" t="s">
        <v>34</v>
      </c>
      <c r="T242" s="8" t="s">
        <v>40</v>
      </c>
      <c r="U242" s="8" t="s">
        <v>58</v>
      </c>
      <c r="V242" s="8" t="s">
        <v>46</v>
      </c>
      <c r="W242" s="8">
        <v>0</v>
      </c>
    </row>
    <row r="243" spans="1:23" x14ac:dyDescent="0.25">
      <c r="A243" s="4">
        <v>1</v>
      </c>
      <c r="B243" s="4"/>
      <c r="C243" s="4">
        <v>880799</v>
      </c>
      <c r="D243" s="4">
        <v>5173.26</v>
      </c>
      <c r="E243" s="5">
        <f t="shared" si="3"/>
        <v>-0.26000000000021828</v>
      </c>
      <c r="F243" s="15">
        <v>45230</v>
      </c>
      <c r="G243" s="10">
        <v>329453112</v>
      </c>
      <c r="H243" s="9">
        <v>45226</v>
      </c>
      <c r="I243" s="9">
        <v>45241</v>
      </c>
      <c r="J243" s="8">
        <v>5173</v>
      </c>
      <c r="K243" s="8" t="s">
        <v>31</v>
      </c>
      <c r="L243" s="8" t="s">
        <v>32</v>
      </c>
      <c r="M243" s="8"/>
      <c r="N243" s="8" t="b">
        <v>0</v>
      </c>
      <c r="O243" s="10">
        <v>704177</v>
      </c>
      <c r="P243" s="8" t="s">
        <v>94</v>
      </c>
      <c r="Q243" s="8">
        <v>429957</v>
      </c>
      <c r="R243" s="9">
        <v>45226</v>
      </c>
      <c r="S243" s="8" t="s">
        <v>34</v>
      </c>
      <c r="T243" s="8" t="s">
        <v>40</v>
      </c>
      <c r="U243" s="8" t="s">
        <v>58</v>
      </c>
      <c r="V243" s="8" t="s">
        <v>46</v>
      </c>
      <c r="W243" s="8">
        <v>0</v>
      </c>
    </row>
    <row r="244" spans="1:23" x14ac:dyDescent="0.25">
      <c r="A244" s="4">
        <v>1</v>
      </c>
      <c r="B244" s="4"/>
      <c r="C244" s="4">
        <v>880806</v>
      </c>
      <c r="D244" s="4">
        <v>39362.400000000001</v>
      </c>
      <c r="E244" s="5">
        <f t="shared" si="3"/>
        <v>3.5999999999985448</v>
      </c>
      <c r="F244" s="15">
        <v>45230</v>
      </c>
      <c r="G244" s="10">
        <v>329455350</v>
      </c>
      <c r="H244" s="9">
        <v>45226</v>
      </c>
      <c r="I244" s="9">
        <v>45241</v>
      </c>
      <c r="J244" s="8">
        <v>39366</v>
      </c>
      <c r="K244" s="8" t="s">
        <v>31</v>
      </c>
      <c r="L244" s="8" t="s">
        <v>32</v>
      </c>
      <c r="M244" s="8"/>
      <c r="N244" s="8" t="b">
        <v>0</v>
      </c>
      <c r="O244" s="10"/>
      <c r="P244" s="8" t="s">
        <v>268</v>
      </c>
      <c r="Q244" s="8">
        <v>416184</v>
      </c>
      <c r="R244" s="9">
        <v>45225</v>
      </c>
      <c r="S244" s="8" t="s">
        <v>34</v>
      </c>
      <c r="T244" s="8" t="s">
        <v>49</v>
      </c>
      <c r="U244" s="8" t="s">
        <v>75</v>
      </c>
      <c r="V244" s="8" t="s">
        <v>46</v>
      </c>
      <c r="W244" s="8">
        <v>0</v>
      </c>
    </row>
    <row r="245" spans="1:23" x14ac:dyDescent="0.25">
      <c r="A245" s="4">
        <v>1</v>
      </c>
      <c r="B245" s="4"/>
      <c r="C245" s="4">
        <v>881024</v>
      </c>
      <c r="D245" s="4">
        <v>5173.26</v>
      </c>
      <c r="E245" s="5">
        <f t="shared" si="3"/>
        <v>-0.26000000000021828</v>
      </c>
      <c r="F245" s="15">
        <v>45230</v>
      </c>
      <c r="G245" s="10">
        <v>329472537</v>
      </c>
      <c r="H245" s="9">
        <v>45229</v>
      </c>
      <c r="I245" s="9">
        <v>45244</v>
      </c>
      <c r="J245" s="8">
        <v>5173</v>
      </c>
      <c r="K245" s="8" t="s">
        <v>31</v>
      </c>
      <c r="L245" s="8" t="s">
        <v>32</v>
      </c>
      <c r="M245" s="8"/>
      <c r="N245" s="8" t="b">
        <v>0</v>
      </c>
      <c r="O245" s="10">
        <v>704180</v>
      </c>
      <c r="P245" s="8" t="s">
        <v>95</v>
      </c>
      <c r="Q245" s="8">
        <v>441316</v>
      </c>
      <c r="R245" s="9">
        <v>45227</v>
      </c>
      <c r="S245" s="8" t="s">
        <v>34</v>
      </c>
      <c r="T245" s="8" t="s">
        <v>40</v>
      </c>
      <c r="U245" s="8" t="s">
        <v>58</v>
      </c>
      <c r="V245" s="8" t="s">
        <v>46</v>
      </c>
      <c r="W245" s="8">
        <v>0</v>
      </c>
    </row>
    <row r="246" spans="1:23" x14ac:dyDescent="0.25">
      <c r="A246" s="4">
        <v>1</v>
      </c>
      <c r="B246" s="4"/>
      <c r="C246" s="4">
        <v>881035</v>
      </c>
      <c r="D246" s="4">
        <v>5173.26</v>
      </c>
      <c r="E246" s="5">
        <f t="shared" si="3"/>
        <v>-0.26000000000021828</v>
      </c>
      <c r="F246" s="15">
        <v>45230</v>
      </c>
      <c r="G246" s="10">
        <v>329472538</v>
      </c>
      <c r="H246" s="9">
        <v>45229</v>
      </c>
      <c r="I246" s="9">
        <v>45244</v>
      </c>
      <c r="J246" s="8">
        <v>5173</v>
      </c>
      <c r="K246" s="8" t="s">
        <v>31</v>
      </c>
      <c r="L246" s="8" t="s">
        <v>32</v>
      </c>
      <c r="M246" s="8"/>
      <c r="N246" s="8" t="b">
        <v>0</v>
      </c>
      <c r="O246" s="10">
        <v>704272</v>
      </c>
      <c r="P246" s="8" t="s">
        <v>103</v>
      </c>
      <c r="Q246" s="8">
        <v>441338</v>
      </c>
      <c r="R246" s="9">
        <v>45227</v>
      </c>
      <c r="S246" s="8" t="s">
        <v>34</v>
      </c>
      <c r="T246" s="8" t="s">
        <v>40</v>
      </c>
      <c r="U246" s="8" t="s">
        <v>58</v>
      </c>
      <c r="V246" s="8" t="s">
        <v>46</v>
      </c>
      <c r="W246" s="8">
        <v>0</v>
      </c>
    </row>
    <row r="247" spans="1:23" x14ac:dyDescent="0.25">
      <c r="A247" s="4">
        <v>1</v>
      </c>
      <c r="B247" s="4"/>
      <c r="C247" s="4">
        <v>881029</v>
      </c>
      <c r="D247" s="4">
        <v>5173.26</v>
      </c>
      <c r="E247" s="5">
        <f t="shared" si="3"/>
        <v>-0.26000000000021828</v>
      </c>
      <c r="F247" s="15">
        <v>45230</v>
      </c>
      <c r="G247" s="10">
        <v>329472539</v>
      </c>
      <c r="H247" s="9">
        <v>45229</v>
      </c>
      <c r="I247" s="9">
        <v>45244</v>
      </c>
      <c r="J247" s="8">
        <v>5173</v>
      </c>
      <c r="K247" s="8" t="s">
        <v>31</v>
      </c>
      <c r="L247" s="8" t="s">
        <v>32</v>
      </c>
      <c r="M247" s="8"/>
      <c r="N247" s="8" t="b">
        <v>0</v>
      </c>
      <c r="O247" s="10">
        <v>704266</v>
      </c>
      <c r="P247" s="8" t="s">
        <v>269</v>
      </c>
      <c r="Q247" s="8">
        <v>441322</v>
      </c>
      <c r="R247" s="9">
        <v>45227</v>
      </c>
      <c r="S247" s="8" t="s">
        <v>34</v>
      </c>
      <c r="T247" s="8" t="s">
        <v>40</v>
      </c>
      <c r="U247" s="8" t="s">
        <v>58</v>
      </c>
      <c r="V247" s="8" t="s">
        <v>46</v>
      </c>
      <c r="W247" s="8">
        <v>0</v>
      </c>
    </row>
    <row r="248" spans="1:23" x14ac:dyDescent="0.25">
      <c r="A248" s="4">
        <v>1</v>
      </c>
      <c r="B248" s="4"/>
      <c r="C248" s="4">
        <v>881028</v>
      </c>
      <c r="D248" s="4">
        <v>5173.26</v>
      </c>
      <c r="E248" s="5">
        <f t="shared" si="3"/>
        <v>-0.26000000000021828</v>
      </c>
      <c r="F248" s="15">
        <v>45230</v>
      </c>
      <c r="G248" s="10">
        <v>329472540</v>
      </c>
      <c r="H248" s="9">
        <v>45229</v>
      </c>
      <c r="I248" s="9">
        <v>45244</v>
      </c>
      <c r="J248" s="8">
        <v>5173</v>
      </c>
      <c r="K248" s="8" t="s">
        <v>31</v>
      </c>
      <c r="L248" s="8" t="s">
        <v>32</v>
      </c>
      <c r="M248" s="8"/>
      <c r="N248" s="8" t="b">
        <v>0</v>
      </c>
      <c r="O248" s="10">
        <v>704183</v>
      </c>
      <c r="P248" s="8" t="s">
        <v>270</v>
      </c>
      <c r="Q248" s="8">
        <v>441321</v>
      </c>
      <c r="R248" s="9">
        <v>45227</v>
      </c>
      <c r="S248" s="8" t="s">
        <v>34</v>
      </c>
      <c r="T248" s="8" t="s">
        <v>40</v>
      </c>
      <c r="U248" s="8" t="s">
        <v>58</v>
      </c>
      <c r="V248" s="8" t="s">
        <v>46</v>
      </c>
      <c r="W248" s="8">
        <v>0</v>
      </c>
    </row>
    <row r="249" spans="1:23" x14ac:dyDescent="0.25">
      <c r="A249" s="4">
        <v>1</v>
      </c>
      <c r="B249" s="4"/>
      <c r="C249" s="4">
        <v>881026</v>
      </c>
      <c r="D249" s="4">
        <v>5173.26</v>
      </c>
      <c r="E249" s="5">
        <f t="shared" si="3"/>
        <v>-0.26000000000021828</v>
      </c>
      <c r="F249" s="15">
        <v>45230</v>
      </c>
      <c r="G249" s="10">
        <v>329472541</v>
      </c>
      <c r="H249" s="9">
        <v>45229</v>
      </c>
      <c r="I249" s="9">
        <v>45244</v>
      </c>
      <c r="J249" s="8">
        <v>5173</v>
      </c>
      <c r="K249" s="8" t="s">
        <v>31</v>
      </c>
      <c r="L249" s="8" t="s">
        <v>32</v>
      </c>
      <c r="M249" s="8"/>
      <c r="N249" s="8" t="b">
        <v>0</v>
      </c>
      <c r="O249" s="10">
        <v>704181</v>
      </c>
      <c r="P249" s="8" t="s">
        <v>271</v>
      </c>
      <c r="Q249" s="8">
        <v>441317</v>
      </c>
      <c r="R249" s="9">
        <v>45227</v>
      </c>
      <c r="S249" s="8" t="s">
        <v>34</v>
      </c>
      <c r="T249" s="8" t="s">
        <v>40</v>
      </c>
      <c r="U249" s="8" t="s">
        <v>58</v>
      </c>
      <c r="V249" s="8" t="s">
        <v>46</v>
      </c>
      <c r="W249" s="8">
        <v>0</v>
      </c>
    </row>
    <row r="250" spans="1:23" x14ac:dyDescent="0.25">
      <c r="A250" s="4">
        <v>1</v>
      </c>
      <c r="B250" s="4"/>
      <c r="C250" s="4">
        <v>881030</v>
      </c>
      <c r="D250" s="4">
        <v>5173.26</v>
      </c>
      <c r="E250" s="5">
        <f t="shared" si="3"/>
        <v>-0.26000000000021828</v>
      </c>
      <c r="F250" s="15">
        <v>45230</v>
      </c>
      <c r="G250" s="10">
        <v>329472543</v>
      </c>
      <c r="H250" s="9">
        <v>45229</v>
      </c>
      <c r="I250" s="9">
        <v>45244</v>
      </c>
      <c r="J250" s="8">
        <v>5173</v>
      </c>
      <c r="K250" s="8" t="s">
        <v>31</v>
      </c>
      <c r="L250" s="8" t="s">
        <v>32</v>
      </c>
      <c r="M250" s="8"/>
      <c r="N250" s="8" t="b">
        <v>0</v>
      </c>
      <c r="O250" s="10">
        <v>704267</v>
      </c>
      <c r="P250" s="8" t="s">
        <v>272</v>
      </c>
      <c r="Q250" s="8">
        <v>441323</v>
      </c>
      <c r="R250" s="9">
        <v>45227</v>
      </c>
      <c r="S250" s="8" t="s">
        <v>34</v>
      </c>
      <c r="T250" s="8" t="s">
        <v>40</v>
      </c>
      <c r="U250" s="8" t="s">
        <v>58</v>
      </c>
      <c r="V250" s="8" t="s">
        <v>46</v>
      </c>
      <c r="W250" s="8">
        <v>0</v>
      </c>
    </row>
    <row r="251" spans="1:23" x14ac:dyDescent="0.25">
      <c r="A251" s="4">
        <v>1</v>
      </c>
      <c r="B251" s="4"/>
      <c r="C251" s="4">
        <v>881032</v>
      </c>
      <c r="D251" s="4">
        <v>5173.26</v>
      </c>
      <c r="E251" s="5">
        <f t="shared" si="3"/>
        <v>-0.26000000000021828</v>
      </c>
      <c r="F251" s="15">
        <v>45230</v>
      </c>
      <c r="G251" s="10">
        <v>329472546</v>
      </c>
      <c r="H251" s="9">
        <v>45229</v>
      </c>
      <c r="I251" s="9">
        <v>45244</v>
      </c>
      <c r="J251" s="8">
        <v>5173</v>
      </c>
      <c r="K251" s="8" t="s">
        <v>31</v>
      </c>
      <c r="L251" s="8" t="s">
        <v>32</v>
      </c>
      <c r="M251" s="8"/>
      <c r="N251" s="8" t="b">
        <v>0</v>
      </c>
      <c r="O251" s="10">
        <v>704269</v>
      </c>
      <c r="P251" s="8" t="s">
        <v>273</v>
      </c>
      <c r="Q251" s="8">
        <v>441329</v>
      </c>
      <c r="R251" s="9">
        <v>45227</v>
      </c>
      <c r="S251" s="8" t="s">
        <v>34</v>
      </c>
      <c r="T251" s="8" t="s">
        <v>40</v>
      </c>
      <c r="U251" s="8" t="s">
        <v>58</v>
      </c>
      <c r="V251" s="8" t="s">
        <v>46</v>
      </c>
      <c r="W251" s="8">
        <v>0</v>
      </c>
    </row>
    <row r="252" spans="1:23" x14ac:dyDescent="0.25">
      <c r="A252" s="4">
        <v>1</v>
      </c>
      <c r="B252" s="4"/>
      <c r="C252" s="4">
        <v>881027</v>
      </c>
      <c r="D252" s="4">
        <v>5173.26</v>
      </c>
      <c r="E252" s="5">
        <f t="shared" si="3"/>
        <v>-0.26000000000021828</v>
      </c>
      <c r="F252" s="15">
        <v>45230</v>
      </c>
      <c r="G252" s="10">
        <v>329472549</v>
      </c>
      <c r="H252" s="9">
        <v>45229</v>
      </c>
      <c r="I252" s="9">
        <v>45244</v>
      </c>
      <c r="J252" s="8">
        <v>5173</v>
      </c>
      <c r="K252" s="8" t="s">
        <v>31</v>
      </c>
      <c r="L252" s="8" t="s">
        <v>32</v>
      </c>
      <c r="M252" s="8"/>
      <c r="N252" s="8" t="b">
        <v>0</v>
      </c>
      <c r="O252" s="10">
        <v>704182</v>
      </c>
      <c r="P252" s="8" t="s">
        <v>274</v>
      </c>
      <c r="Q252" s="8">
        <v>441320</v>
      </c>
      <c r="R252" s="9">
        <v>45227</v>
      </c>
      <c r="S252" s="8" t="s">
        <v>34</v>
      </c>
      <c r="T252" s="8" t="s">
        <v>40</v>
      </c>
      <c r="U252" s="8" t="s">
        <v>58</v>
      </c>
      <c r="V252" s="8" t="s">
        <v>46</v>
      </c>
      <c r="W252" s="8">
        <v>0</v>
      </c>
    </row>
    <row r="253" spans="1:23" x14ac:dyDescent="0.25">
      <c r="A253" s="4">
        <v>1</v>
      </c>
      <c r="B253" s="4"/>
      <c r="C253" s="4">
        <v>881031</v>
      </c>
      <c r="D253" s="4">
        <v>5173.26</v>
      </c>
      <c r="E253" s="5">
        <f t="shared" si="3"/>
        <v>-0.26000000000021828</v>
      </c>
      <c r="F253" s="15">
        <v>45230</v>
      </c>
      <c r="G253" s="10">
        <v>329472553</v>
      </c>
      <c r="H253" s="9">
        <v>45229</v>
      </c>
      <c r="I253" s="9">
        <v>45244</v>
      </c>
      <c r="J253" s="8">
        <v>5173</v>
      </c>
      <c r="K253" s="8" t="s">
        <v>31</v>
      </c>
      <c r="L253" s="8" t="s">
        <v>32</v>
      </c>
      <c r="M253" s="8"/>
      <c r="N253" s="8" t="b">
        <v>0</v>
      </c>
      <c r="O253" s="10">
        <v>704268</v>
      </c>
      <c r="P253" s="8" t="s">
        <v>275</v>
      </c>
      <c r="Q253" s="8">
        <v>441324</v>
      </c>
      <c r="R253" s="9">
        <v>45227</v>
      </c>
      <c r="S253" s="8" t="s">
        <v>34</v>
      </c>
      <c r="T253" s="8" t="s">
        <v>40</v>
      </c>
      <c r="U253" s="8" t="s">
        <v>58</v>
      </c>
      <c r="V253" s="8" t="s">
        <v>46</v>
      </c>
      <c r="W253" s="8">
        <v>0</v>
      </c>
    </row>
    <row r="254" spans="1:23" x14ac:dyDescent="0.25">
      <c r="A254" s="4">
        <v>1</v>
      </c>
      <c r="B254" s="4"/>
      <c r="C254" s="4">
        <v>881023</v>
      </c>
      <c r="D254" s="4">
        <v>5173.26</v>
      </c>
      <c r="E254" s="5">
        <f t="shared" si="3"/>
        <v>-0.26000000000021828</v>
      </c>
      <c r="F254" s="15">
        <v>45230</v>
      </c>
      <c r="G254" s="10">
        <v>329472559</v>
      </c>
      <c r="H254" s="9">
        <v>45229</v>
      </c>
      <c r="I254" s="9">
        <v>45244</v>
      </c>
      <c r="J254" s="8">
        <v>5173</v>
      </c>
      <c r="K254" s="8" t="s">
        <v>31</v>
      </c>
      <c r="L254" s="8" t="s">
        <v>32</v>
      </c>
      <c r="M254" s="8"/>
      <c r="N254" s="8" t="b">
        <v>0</v>
      </c>
      <c r="O254" s="10">
        <v>704179</v>
      </c>
      <c r="P254" s="8" t="s">
        <v>89</v>
      </c>
      <c r="Q254" s="8">
        <v>441313</v>
      </c>
      <c r="R254" s="9">
        <v>45227</v>
      </c>
      <c r="S254" s="8" t="s">
        <v>34</v>
      </c>
      <c r="T254" s="8" t="s">
        <v>40</v>
      </c>
      <c r="U254" s="8" t="s">
        <v>58</v>
      </c>
      <c r="V254" s="8" t="s">
        <v>46</v>
      </c>
      <c r="W254" s="8">
        <v>0</v>
      </c>
    </row>
    <row r="255" spans="1:23" x14ac:dyDescent="0.25">
      <c r="A255" s="4">
        <v>1</v>
      </c>
      <c r="B255" s="4"/>
      <c r="C255" s="4">
        <v>881034</v>
      </c>
      <c r="D255" s="4">
        <v>5173.26</v>
      </c>
      <c r="E255" s="5">
        <f t="shared" si="3"/>
        <v>-0.26000000000021828</v>
      </c>
      <c r="F255" s="15">
        <v>45230</v>
      </c>
      <c r="G255" s="10">
        <v>329472562</v>
      </c>
      <c r="H255" s="9">
        <v>45229</v>
      </c>
      <c r="I255" s="9">
        <v>45244</v>
      </c>
      <c r="J255" s="8">
        <v>5173</v>
      </c>
      <c r="K255" s="8" t="s">
        <v>31</v>
      </c>
      <c r="L255" s="8" t="s">
        <v>32</v>
      </c>
      <c r="M255" s="8"/>
      <c r="N255" s="8" t="b">
        <v>0</v>
      </c>
      <c r="O255" s="10">
        <v>704271</v>
      </c>
      <c r="P255" s="8" t="s">
        <v>102</v>
      </c>
      <c r="Q255" s="8">
        <v>441332</v>
      </c>
      <c r="R255" s="9">
        <v>45227</v>
      </c>
      <c r="S255" s="8" t="s">
        <v>34</v>
      </c>
      <c r="T255" s="8" t="s">
        <v>40</v>
      </c>
      <c r="U255" s="8" t="s">
        <v>58</v>
      </c>
      <c r="V255" s="8" t="s">
        <v>46</v>
      </c>
      <c r="W255" s="8">
        <v>0</v>
      </c>
    </row>
    <row r="256" spans="1:23" x14ac:dyDescent="0.25">
      <c r="A256" s="4">
        <v>1</v>
      </c>
      <c r="B256" s="4"/>
      <c r="C256" s="4">
        <v>881022</v>
      </c>
      <c r="D256" s="4">
        <v>5173.26</v>
      </c>
      <c r="E256" s="5">
        <f t="shared" si="3"/>
        <v>-0.26000000000021828</v>
      </c>
      <c r="F256" s="15">
        <v>45230</v>
      </c>
      <c r="G256" s="10">
        <v>329472565</v>
      </c>
      <c r="H256" s="9">
        <v>45229</v>
      </c>
      <c r="I256" s="9">
        <v>45244</v>
      </c>
      <c r="J256" s="8">
        <v>5173</v>
      </c>
      <c r="K256" s="8" t="s">
        <v>31</v>
      </c>
      <c r="L256" s="8" t="s">
        <v>32</v>
      </c>
      <c r="M256" s="8"/>
      <c r="N256" s="8" t="b">
        <v>0</v>
      </c>
      <c r="O256" s="10">
        <v>704178</v>
      </c>
      <c r="P256" s="8" t="s">
        <v>87</v>
      </c>
      <c r="Q256" s="8">
        <v>441300</v>
      </c>
      <c r="R256" s="9">
        <v>45227</v>
      </c>
      <c r="S256" s="8" t="s">
        <v>34</v>
      </c>
      <c r="T256" s="8" t="s">
        <v>40</v>
      </c>
      <c r="U256" s="8" t="s">
        <v>58</v>
      </c>
      <c r="V256" s="8" t="s">
        <v>46</v>
      </c>
      <c r="W256" s="8">
        <v>0</v>
      </c>
    </row>
    <row r="257" spans="1:23" x14ac:dyDescent="0.25">
      <c r="A257" s="4">
        <v>1</v>
      </c>
      <c r="B257" s="4"/>
      <c r="C257" s="4">
        <v>881033</v>
      </c>
      <c r="D257" s="4">
        <v>5173.26</v>
      </c>
      <c r="E257" s="5">
        <f t="shared" si="3"/>
        <v>-0.26000000000021828</v>
      </c>
      <c r="F257" s="15">
        <v>45230</v>
      </c>
      <c r="G257" s="10">
        <v>329472572</v>
      </c>
      <c r="H257" s="9">
        <v>45229</v>
      </c>
      <c r="I257" s="9">
        <v>45244</v>
      </c>
      <c r="J257" s="8">
        <v>5173</v>
      </c>
      <c r="K257" s="8" t="s">
        <v>31</v>
      </c>
      <c r="L257" s="8" t="s">
        <v>32</v>
      </c>
      <c r="M257" s="8"/>
      <c r="N257" s="8" t="b">
        <v>0</v>
      </c>
      <c r="O257" s="10">
        <v>704270</v>
      </c>
      <c r="P257" s="8" t="s">
        <v>276</v>
      </c>
      <c r="Q257" s="8">
        <v>441330</v>
      </c>
      <c r="R257" s="9">
        <v>45227</v>
      </c>
      <c r="S257" s="8" t="s">
        <v>34</v>
      </c>
      <c r="T257" s="8" t="s">
        <v>40</v>
      </c>
      <c r="U257" s="8" t="s">
        <v>58</v>
      </c>
      <c r="V257" s="8" t="s">
        <v>46</v>
      </c>
      <c r="W257" s="8">
        <v>0</v>
      </c>
    </row>
    <row r="258" spans="1:23" x14ac:dyDescent="0.25">
      <c r="A258" s="4">
        <v>1</v>
      </c>
      <c r="B258" s="4"/>
      <c r="C258" s="4">
        <v>881021</v>
      </c>
      <c r="D258" s="4">
        <v>7980.88</v>
      </c>
      <c r="E258" s="5">
        <f t="shared" si="3"/>
        <v>0.11999999999989086</v>
      </c>
      <c r="F258" s="15">
        <v>45230</v>
      </c>
      <c r="G258" s="10">
        <v>329498493</v>
      </c>
      <c r="H258" s="9">
        <v>45229</v>
      </c>
      <c r="I258" s="9">
        <v>45244</v>
      </c>
      <c r="J258" s="8">
        <v>7981</v>
      </c>
      <c r="K258" s="8" t="s">
        <v>31</v>
      </c>
      <c r="L258" s="8" t="s">
        <v>32</v>
      </c>
      <c r="M258" s="8"/>
      <c r="N258" s="8" t="b">
        <v>0</v>
      </c>
      <c r="O258" s="10">
        <v>703284</v>
      </c>
      <c r="P258" s="8" t="s">
        <v>161</v>
      </c>
      <c r="Q258" s="8">
        <v>457581</v>
      </c>
      <c r="R258" s="9">
        <v>45229</v>
      </c>
      <c r="S258" s="8" t="s">
        <v>34</v>
      </c>
      <c r="T258" s="8" t="s">
        <v>40</v>
      </c>
      <c r="U258" s="8" t="s">
        <v>88</v>
      </c>
      <c r="V258" s="8" t="s">
        <v>72</v>
      </c>
      <c r="W258" s="8">
        <v>0</v>
      </c>
    </row>
    <row r="259" spans="1:23" x14ac:dyDescent="0.25">
      <c r="A259" s="4">
        <v>1</v>
      </c>
      <c r="B259" s="4"/>
      <c r="C259" s="4">
        <v>881015</v>
      </c>
      <c r="D259" s="4">
        <v>4872.42</v>
      </c>
      <c r="E259" s="5">
        <f t="shared" si="3"/>
        <v>-0.42000000000007276</v>
      </c>
      <c r="F259" s="15">
        <v>45230</v>
      </c>
      <c r="G259" s="10">
        <v>329498606</v>
      </c>
      <c r="H259" s="9">
        <v>45229</v>
      </c>
      <c r="I259" s="9">
        <v>45244</v>
      </c>
      <c r="J259" s="8">
        <v>4872</v>
      </c>
      <c r="K259" s="8" t="s">
        <v>31</v>
      </c>
      <c r="L259" s="8" t="s">
        <v>32</v>
      </c>
      <c r="M259" s="8"/>
      <c r="N259" s="8" t="b">
        <v>0</v>
      </c>
      <c r="O259" s="10">
        <v>20999</v>
      </c>
      <c r="P259" s="8" t="s">
        <v>170</v>
      </c>
      <c r="Q259" s="8">
        <v>457597</v>
      </c>
      <c r="R259" s="9">
        <v>45229</v>
      </c>
      <c r="S259" s="8" t="s">
        <v>277</v>
      </c>
      <c r="T259" s="8" t="s">
        <v>40</v>
      </c>
      <c r="U259" s="8" t="s">
        <v>278</v>
      </c>
      <c r="V259" s="8" t="s">
        <v>279</v>
      </c>
      <c r="W259" s="8">
        <v>0</v>
      </c>
    </row>
    <row r="260" spans="1:23" x14ac:dyDescent="0.25">
      <c r="A260" s="4">
        <v>1</v>
      </c>
      <c r="B260" s="4"/>
      <c r="C260" s="4">
        <v>881020</v>
      </c>
      <c r="D260" s="4">
        <v>7980.88</v>
      </c>
      <c r="E260" s="5">
        <f t="shared" si="3"/>
        <v>0.11999999999989086</v>
      </c>
      <c r="F260" s="15">
        <v>45230</v>
      </c>
      <c r="G260" s="10">
        <v>329498642</v>
      </c>
      <c r="H260" s="9">
        <v>45229</v>
      </c>
      <c r="I260" s="9">
        <v>45244</v>
      </c>
      <c r="J260" s="8">
        <v>7981</v>
      </c>
      <c r="K260" s="8" t="s">
        <v>31</v>
      </c>
      <c r="L260" s="8" t="s">
        <v>32</v>
      </c>
      <c r="M260" s="8"/>
      <c r="N260" s="8" t="b">
        <v>0</v>
      </c>
      <c r="O260" s="10">
        <v>703283</v>
      </c>
      <c r="P260" s="8" t="s">
        <v>168</v>
      </c>
      <c r="Q260" s="8">
        <v>457561</v>
      </c>
      <c r="R260" s="9">
        <v>45229</v>
      </c>
      <c r="S260" s="8" t="s">
        <v>34</v>
      </c>
      <c r="T260" s="8" t="s">
        <v>40</v>
      </c>
      <c r="U260" s="8" t="s">
        <v>88</v>
      </c>
      <c r="V260" s="8" t="s">
        <v>72</v>
      </c>
      <c r="W260" s="8">
        <v>0</v>
      </c>
    </row>
    <row r="261" spans="1:23" x14ac:dyDescent="0.25">
      <c r="A261" s="4">
        <v>1</v>
      </c>
      <c r="B261" s="4"/>
      <c r="C261" s="4">
        <v>881019</v>
      </c>
      <c r="D261" s="4">
        <v>7980.88</v>
      </c>
      <c r="E261" s="5">
        <f t="shared" si="3"/>
        <v>0.11999999999989086</v>
      </c>
      <c r="F261" s="15">
        <v>45230</v>
      </c>
      <c r="G261" s="10">
        <v>329498645</v>
      </c>
      <c r="H261" s="9">
        <v>45229</v>
      </c>
      <c r="I261" s="9">
        <v>45244</v>
      </c>
      <c r="J261" s="8">
        <v>7981</v>
      </c>
      <c r="K261" s="8" t="s">
        <v>31</v>
      </c>
      <c r="L261" s="8" t="s">
        <v>32</v>
      </c>
      <c r="M261" s="8"/>
      <c r="N261" s="8" t="b">
        <v>0</v>
      </c>
      <c r="O261" s="10">
        <v>703282</v>
      </c>
      <c r="P261" s="8" t="s">
        <v>174</v>
      </c>
      <c r="Q261" s="8">
        <v>457555</v>
      </c>
      <c r="R261" s="9">
        <v>45229</v>
      </c>
      <c r="S261" s="8" t="s">
        <v>34</v>
      </c>
      <c r="T261" s="8" t="s">
        <v>40</v>
      </c>
      <c r="U261" s="8" t="s">
        <v>88</v>
      </c>
      <c r="V261" s="8" t="s">
        <v>72</v>
      </c>
      <c r="W261" s="8">
        <v>0</v>
      </c>
    </row>
    <row r="262" spans="1:23" x14ac:dyDescent="0.25">
      <c r="A262" s="4">
        <v>1</v>
      </c>
      <c r="B262" s="4"/>
      <c r="C262" s="4">
        <v>881016</v>
      </c>
      <c r="D262" s="4">
        <v>4872.42</v>
      </c>
      <c r="E262" s="5">
        <f t="shared" ref="E262:E325" si="4">J262-D262</f>
        <v>-0.42000000000007276</v>
      </c>
      <c r="F262" s="15">
        <v>45230</v>
      </c>
      <c r="G262" s="10">
        <v>329498670</v>
      </c>
      <c r="H262" s="9">
        <v>45229</v>
      </c>
      <c r="I262" s="9">
        <v>45244</v>
      </c>
      <c r="J262" s="8">
        <v>4872</v>
      </c>
      <c r="K262" s="8" t="s">
        <v>31</v>
      </c>
      <c r="L262" s="8" t="s">
        <v>32</v>
      </c>
      <c r="M262" s="8"/>
      <c r="N262" s="8" t="b">
        <v>0</v>
      </c>
      <c r="O262" s="10">
        <v>20998</v>
      </c>
      <c r="P262" s="8" t="s">
        <v>177</v>
      </c>
      <c r="Q262" s="8">
        <v>457593</v>
      </c>
      <c r="R262" s="9">
        <v>45229</v>
      </c>
      <c r="S262" s="8" t="s">
        <v>277</v>
      </c>
      <c r="T262" s="8" t="s">
        <v>40</v>
      </c>
      <c r="U262" s="8" t="s">
        <v>278</v>
      </c>
      <c r="V262" s="8" t="s">
        <v>279</v>
      </c>
      <c r="W262" s="8">
        <v>0</v>
      </c>
    </row>
    <row r="263" spans="1:23" x14ac:dyDescent="0.25">
      <c r="A263" s="4">
        <v>1</v>
      </c>
      <c r="B263" s="4" t="s">
        <v>280</v>
      </c>
      <c r="C263" s="4">
        <v>881018</v>
      </c>
      <c r="D263" s="4">
        <v>9263.8799999999992</v>
      </c>
      <c r="E263" s="5">
        <f t="shared" si="4"/>
        <v>0.12000000000080036</v>
      </c>
      <c r="F263" s="15">
        <v>45230</v>
      </c>
      <c r="G263" s="10">
        <v>329498951</v>
      </c>
      <c r="H263" s="9">
        <v>45229</v>
      </c>
      <c r="I263" s="9">
        <v>45244</v>
      </c>
      <c r="J263" s="8">
        <v>9264</v>
      </c>
      <c r="K263" s="8" t="s">
        <v>31</v>
      </c>
      <c r="L263" s="8" t="s">
        <v>32</v>
      </c>
      <c r="M263" s="8"/>
      <c r="N263" s="8" t="b">
        <v>0</v>
      </c>
      <c r="O263" s="10">
        <v>700592</v>
      </c>
      <c r="P263" s="8" t="s">
        <v>160</v>
      </c>
      <c r="Q263" s="8">
        <v>457995</v>
      </c>
      <c r="R263" s="9">
        <v>45229</v>
      </c>
      <c r="S263" s="8" t="s">
        <v>130</v>
      </c>
      <c r="T263" s="8" t="s">
        <v>40</v>
      </c>
      <c r="U263" s="8" t="s">
        <v>131</v>
      </c>
      <c r="V263" s="8" t="s">
        <v>132</v>
      </c>
      <c r="W263" s="8">
        <v>0</v>
      </c>
    </row>
    <row r="264" spans="1:23" x14ac:dyDescent="0.25">
      <c r="A264" s="4">
        <v>1</v>
      </c>
      <c r="B264" s="4"/>
      <c r="C264" s="4">
        <v>881036</v>
      </c>
      <c r="D264" s="4">
        <v>5173.26</v>
      </c>
      <c r="E264" s="5">
        <f t="shared" si="4"/>
        <v>-0.26000000000021828</v>
      </c>
      <c r="F264" s="15">
        <v>45230</v>
      </c>
      <c r="G264" s="10">
        <v>329499223</v>
      </c>
      <c r="H264" s="9">
        <v>45229</v>
      </c>
      <c r="I264" s="9">
        <v>45244</v>
      </c>
      <c r="J264" s="8">
        <v>5173</v>
      </c>
      <c r="K264" s="8" t="s">
        <v>31</v>
      </c>
      <c r="L264" s="8" t="s">
        <v>32</v>
      </c>
      <c r="M264" s="8"/>
      <c r="N264" s="8" t="b">
        <v>0</v>
      </c>
      <c r="O264" s="10">
        <v>704346</v>
      </c>
      <c r="P264" s="8" t="s">
        <v>169</v>
      </c>
      <c r="Q264" s="8">
        <v>458497</v>
      </c>
      <c r="R264" s="9">
        <v>45229</v>
      </c>
      <c r="S264" s="8" t="s">
        <v>34</v>
      </c>
      <c r="T264" s="8" t="s">
        <v>40</v>
      </c>
      <c r="U264" s="8" t="s">
        <v>58</v>
      </c>
      <c r="V264" s="8" t="s">
        <v>46</v>
      </c>
      <c r="W264" s="8">
        <v>0</v>
      </c>
    </row>
    <row r="265" spans="1:23" x14ac:dyDescent="0.25">
      <c r="A265" s="4">
        <v>1</v>
      </c>
      <c r="B265" s="4"/>
      <c r="C265" s="4">
        <v>882443</v>
      </c>
      <c r="D265" s="4">
        <v>5173.26</v>
      </c>
      <c r="E265" s="5">
        <f t="shared" si="4"/>
        <v>-0.26000000000021828</v>
      </c>
      <c r="F265" s="15">
        <v>45245</v>
      </c>
      <c r="G265" s="10">
        <v>329500836</v>
      </c>
      <c r="H265" s="9">
        <v>45230</v>
      </c>
      <c r="I265" s="9">
        <v>45245</v>
      </c>
      <c r="J265" s="8">
        <v>5173</v>
      </c>
      <c r="K265" s="8" t="s">
        <v>31</v>
      </c>
      <c r="L265" s="8" t="s">
        <v>32</v>
      </c>
      <c r="M265" s="8"/>
      <c r="N265" s="8" t="b">
        <v>0</v>
      </c>
      <c r="O265" s="10">
        <v>704347</v>
      </c>
      <c r="P265" s="8" t="s">
        <v>144</v>
      </c>
      <c r="Q265" s="8">
        <v>459670</v>
      </c>
      <c r="R265" s="9">
        <v>45229</v>
      </c>
      <c r="S265" s="8" t="s">
        <v>34</v>
      </c>
      <c r="T265" s="8" t="s">
        <v>40</v>
      </c>
      <c r="U265" s="8" t="s">
        <v>58</v>
      </c>
      <c r="V265" s="8" t="s">
        <v>46</v>
      </c>
      <c r="W265" s="8">
        <v>0</v>
      </c>
    </row>
    <row r="266" spans="1:23" x14ac:dyDescent="0.25">
      <c r="A266" s="4">
        <v>1</v>
      </c>
      <c r="B266" s="4"/>
      <c r="C266" s="4">
        <v>882441</v>
      </c>
      <c r="D266" s="4">
        <f>4860+313.26</f>
        <v>5173.26</v>
      </c>
      <c r="E266" s="5">
        <f t="shared" si="4"/>
        <v>-0.26000000000021828</v>
      </c>
      <c r="F266" s="15">
        <v>45245</v>
      </c>
      <c r="G266" s="10">
        <v>329501752</v>
      </c>
      <c r="H266" s="9">
        <v>45230</v>
      </c>
      <c r="I266" s="9">
        <v>45245</v>
      </c>
      <c r="J266" s="8">
        <v>5173</v>
      </c>
      <c r="K266" s="8" t="s">
        <v>31</v>
      </c>
      <c r="L266" s="8" t="s">
        <v>32</v>
      </c>
      <c r="M266" s="8"/>
      <c r="N266" s="8" t="b">
        <v>0</v>
      </c>
      <c r="O266" s="10">
        <v>704348</v>
      </c>
      <c r="P266" s="8" t="s">
        <v>154</v>
      </c>
      <c r="Q266" s="8">
        <v>460330</v>
      </c>
      <c r="R266" s="9">
        <v>45229</v>
      </c>
      <c r="S266" s="8" t="s">
        <v>34</v>
      </c>
      <c r="T266" s="8" t="s">
        <v>40</v>
      </c>
      <c r="U266" s="8" t="s">
        <v>58</v>
      </c>
      <c r="V266" s="8" t="s">
        <v>46</v>
      </c>
      <c r="W266" s="8">
        <v>0</v>
      </c>
    </row>
    <row r="267" spans="1:23" x14ac:dyDescent="0.25">
      <c r="A267" s="4">
        <v>1</v>
      </c>
      <c r="B267" s="4"/>
      <c r="C267" s="4">
        <v>882449</v>
      </c>
      <c r="D267" s="4">
        <f>4860+313.26</f>
        <v>5173.26</v>
      </c>
      <c r="E267" s="5">
        <f t="shared" si="4"/>
        <v>-0.26000000000021828</v>
      </c>
      <c r="F267" s="15">
        <v>45245</v>
      </c>
      <c r="G267" s="10">
        <v>329513155</v>
      </c>
      <c r="H267" s="9">
        <v>45230</v>
      </c>
      <c r="I267" s="9">
        <v>45245</v>
      </c>
      <c r="J267" s="8">
        <v>5173</v>
      </c>
      <c r="K267" s="8" t="s">
        <v>31</v>
      </c>
      <c r="L267" s="8" t="s">
        <v>32</v>
      </c>
      <c r="M267" s="8"/>
      <c r="N267" s="8" t="b">
        <v>0</v>
      </c>
      <c r="O267" s="10">
        <v>704350</v>
      </c>
      <c r="P267" s="8" t="s">
        <v>281</v>
      </c>
      <c r="Q267" s="8">
        <v>468085</v>
      </c>
      <c r="R267" s="9">
        <v>45230</v>
      </c>
      <c r="S267" s="8" t="s">
        <v>34</v>
      </c>
      <c r="T267" s="8" t="s">
        <v>40</v>
      </c>
      <c r="U267" s="8" t="s">
        <v>58</v>
      </c>
      <c r="V267" s="8" t="s">
        <v>46</v>
      </c>
      <c r="W267" s="8">
        <v>0</v>
      </c>
    </row>
    <row r="268" spans="1:23" x14ac:dyDescent="0.25">
      <c r="A268" s="4">
        <v>1</v>
      </c>
      <c r="B268" s="4"/>
      <c r="C268" s="4">
        <v>882451</v>
      </c>
      <c r="D268" s="4">
        <f>4860+313.26</f>
        <v>5173.26</v>
      </c>
      <c r="E268" s="5">
        <f t="shared" si="4"/>
        <v>-0.26000000000021828</v>
      </c>
      <c r="F268" s="15">
        <v>45245</v>
      </c>
      <c r="G268" s="10">
        <v>329513167</v>
      </c>
      <c r="H268" s="9">
        <v>45230</v>
      </c>
      <c r="I268" s="9">
        <v>45245</v>
      </c>
      <c r="J268" s="8">
        <v>5173</v>
      </c>
      <c r="K268" s="8" t="s">
        <v>31</v>
      </c>
      <c r="L268" s="8" t="s">
        <v>32</v>
      </c>
      <c r="M268" s="8"/>
      <c r="N268" s="8" t="b">
        <v>0</v>
      </c>
      <c r="O268" s="10">
        <v>704349</v>
      </c>
      <c r="P268" s="8" t="s">
        <v>282</v>
      </c>
      <c r="Q268" s="8">
        <v>468072</v>
      </c>
      <c r="R268" s="9">
        <v>45230</v>
      </c>
      <c r="S268" s="8" t="s">
        <v>34</v>
      </c>
      <c r="T268" s="8" t="s">
        <v>40</v>
      </c>
      <c r="U268" s="8" t="s">
        <v>58</v>
      </c>
      <c r="V268" s="8" t="s">
        <v>46</v>
      </c>
      <c r="W268" s="8">
        <v>0</v>
      </c>
    </row>
    <row r="269" spans="1:23" x14ac:dyDescent="0.25">
      <c r="A269" s="4">
        <v>1</v>
      </c>
      <c r="B269" s="4"/>
      <c r="C269" s="4">
        <v>882447</v>
      </c>
      <c r="D269" s="4">
        <f>4860+313.26</f>
        <v>5173.26</v>
      </c>
      <c r="E269" s="5">
        <f t="shared" si="4"/>
        <v>-0.26000000000021828</v>
      </c>
      <c r="F269" s="15">
        <v>45245</v>
      </c>
      <c r="G269" s="10">
        <v>329513836</v>
      </c>
      <c r="H269" s="9">
        <v>45230</v>
      </c>
      <c r="I269" s="9">
        <v>45245</v>
      </c>
      <c r="J269" s="8">
        <v>5173</v>
      </c>
      <c r="K269" s="8" t="s">
        <v>31</v>
      </c>
      <c r="L269" s="8" t="s">
        <v>32</v>
      </c>
      <c r="M269" s="8"/>
      <c r="N269" s="8" t="b">
        <v>0</v>
      </c>
      <c r="O269" s="10">
        <v>704351</v>
      </c>
      <c r="P269" s="8" t="s">
        <v>283</v>
      </c>
      <c r="Q269" s="8">
        <v>468559</v>
      </c>
      <c r="R269" s="9">
        <v>45230</v>
      </c>
      <c r="S269" s="8" t="s">
        <v>34</v>
      </c>
      <c r="T269" s="8" t="s">
        <v>40</v>
      </c>
      <c r="U269" s="8" t="s">
        <v>58</v>
      </c>
      <c r="V269" s="8" t="s">
        <v>46</v>
      </c>
      <c r="W269" s="8">
        <v>0</v>
      </c>
    </row>
    <row r="270" spans="1:23" x14ac:dyDescent="0.25">
      <c r="A270" s="4">
        <v>1</v>
      </c>
      <c r="B270" s="4"/>
      <c r="C270" s="4">
        <v>882892</v>
      </c>
      <c r="D270" s="4">
        <v>2298</v>
      </c>
      <c r="E270" s="5">
        <f t="shared" si="4"/>
        <v>0</v>
      </c>
      <c r="F270" s="15">
        <v>45245</v>
      </c>
      <c r="G270" s="10">
        <v>329521066</v>
      </c>
      <c r="H270" s="9">
        <v>45230</v>
      </c>
      <c r="I270" s="9">
        <v>45245</v>
      </c>
      <c r="J270" s="8">
        <v>2298</v>
      </c>
      <c r="K270" s="8" t="s">
        <v>31</v>
      </c>
      <c r="L270" s="8" t="s">
        <v>32</v>
      </c>
      <c r="M270" s="8"/>
      <c r="N270" s="8" t="b">
        <v>0</v>
      </c>
      <c r="O270" s="10" t="s">
        <v>284</v>
      </c>
      <c r="P270" s="8" t="s">
        <v>285</v>
      </c>
      <c r="Q270" s="8">
        <v>842452</v>
      </c>
      <c r="R270" s="9">
        <v>45064</v>
      </c>
      <c r="S270" s="8" t="s">
        <v>286</v>
      </c>
      <c r="T270" s="8" t="s">
        <v>58</v>
      </c>
      <c r="U270" s="8" t="s">
        <v>287</v>
      </c>
      <c r="V270" s="8" t="s">
        <v>46</v>
      </c>
      <c r="W270" s="8">
        <v>0</v>
      </c>
    </row>
    <row r="271" spans="1:23" x14ac:dyDescent="0.25">
      <c r="A271" s="4">
        <v>1</v>
      </c>
      <c r="B271" s="4"/>
      <c r="C271" s="4">
        <v>882445</v>
      </c>
      <c r="D271" s="4">
        <f>4860+313.26</f>
        <v>5173.26</v>
      </c>
      <c r="E271" s="5">
        <f t="shared" si="4"/>
        <v>27.739999999999782</v>
      </c>
      <c r="F271" s="15">
        <v>45245</v>
      </c>
      <c r="G271" s="10">
        <v>329532302</v>
      </c>
      <c r="H271" s="9">
        <v>45231</v>
      </c>
      <c r="I271" s="9">
        <v>45246</v>
      </c>
      <c r="J271" s="8">
        <v>5201</v>
      </c>
      <c r="K271" s="8" t="s">
        <v>31</v>
      </c>
      <c r="L271" s="8" t="s">
        <v>32</v>
      </c>
      <c r="M271" s="8"/>
      <c r="N271" s="8" t="b">
        <v>0</v>
      </c>
      <c r="O271" s="10">
        <v>704352</v>
      </c>
      <c r="P271" s="8" t="s">
        <v>288</v>
      </c>
      <c r="Q271" s="8">
        <v>481815</v>
      </c>
      <c r="R271" s="9">
        <v>45231</v>
      </c>
      <c r="S271" s="8" t="s">
        <v>34</v>
      </c>
      <c r="T271" s="8" t="s">
        <v>40</v>
      </c>
      <c r="U271" s="8" t="s">
        <v>58</v>
      </c>
      <c r="V271" s="8" t="s">
        <v>46</v>
      </c>
      <c r="W271" s="8">
        <v>0</v>
      </c>
    </row>
    <row r="272" spans="1:23" x14ac:dyDescent="0.25">
      <c r="A272" s="4">
        <v>1</v>
      </c>
      <c r="B272" s="4"/>
      <c r="C272" s="4">
        <v>882835</v>
      </c>
      <c r="D272" s="4">
        <v>6367.5</v>
      </c>
      <c r="E272" s="5">
        <f t="shared" si="4"/>
        <v>0.5</v>
      </c>
      <c r="F272" s="15">
        <v>45245</v>
      </c>
      <c r="G272" s="10">
        <v>329533925</v>
      </c>
      <c r="H272" s="9">
        <v>45231</v>
      </c>
      <c r="I272" s="9">
        <v>45246</v>
      </c>
      <c r="J272" s="8">
        <v>6368</v>
      </c>
      <c r="K272" s="8" t="s">
        <v>31</v>
      </c>
      <c r="L272" s="8" t="s">
        <v>32</v>
      </c>
      <c r="M272" s="8"/>
      <c r="N272" s="8" t="b">
        <v>0</v>
      </c>
      <c r="O272" s="10">
        <v>697230</v>
      </c>
      <c r="P272" s="8" t="s">
        <v>289</v>
      </c>
      <c r="Q272" s="8">
        <v>483163</v>
      </c>
      <c r="R272" s="9">
        <v>45231</v>
      </c>
      <c r="S272" s="8" t="s">
        <v>34</v>
      </c>
      <c r="T272" s="8" t="s">
        <v>44</v>
      </c>
      <c r="U272" s="8" t="s">
        <v>36</v>
      </c>
      <c r="V272" s="8" t="s">
        <v>37</v>
      </c>
      <c r="W272" s="8">
        <v>0</v>
      </c>
    </row>
    <row r="273" spans="1:23" x14ac:dyDescent="0.25">
      <c r="A273" s="4">
        <v>1</v>
      </c>
      <c r="B273" s="4"/>
      <c r="C273" s="4">
        <v>882438</v>
      </c>
      <c r="D273" s="4">
        <v>74732</v>
      </c>
      <c r="E273" s="5">
        <f t="shared" si="4"/>
        <v>0</v>
      </c>
      <c r="F273" s="15">
        <v>45245</v>
      </c>
      <c r="G273" s="10">
        <v>329540594</v>
      </c>
      <c r="H273" s="9">
        <v>45231</v>
      </c>
      <c r="I273" s="9">
        <v>45246</v>
      </c>
      <c r="J273" s="8">
        <v>74732</v>
      </c>
      <c r="K273" s="8" t="s">
        <v>31</v>
      </c>
      <c r="L273" s="8" t="s">
        <v>32</v>
      </c>
      <c r="M273" s="8"/>
      <c r="N273" s="8" t="b">
        <v>0</v>
      </c>
      <c r="O273" s="10"/>
      <c r="P273" s="8" t="s">
        <v>290</v>
      </c>
      <c r="Q273" s="8">
        <v>481133</v>
      </c>
      <c r="R273" s="9">
        <v>45231</v>
      </c>
      <c r="S273" s="8" t="s">
        <v>34</v>
      </c>
      <c r="T273" s="8" t="s">
        <v>49</v>
      </c>
      <c r="U273" s="8" t="s">
        <v>75</v>
      </c>
      <c r="V273" s="8" t="s">
        <v>46</v>
      </c>
      <c r="W273" s="8">
        <v>0</v>
      </c>
    </row>
    <row r="274" spans="1:23" x14ac:dyDescent="0.25">
      <c r="A274" s="4">
        <v>1</v>
      </c>
      <c r="B274" s="4"/>
      <c r="C274" s="4">
        <v>882530</v>
      </c>
      <c r="D274" s="4">
        <v>6415.5</v>
      </c>
      <c r="E274" s="5">
        <f t="shared" si="4"/>
        <v>0.5</v>
      </c>
      <c r="F274" s="15">
        <v>45245</v>
      </c>
      <c r="G274" s="10">
        <v>329547444</v>
      </c>
      <c r="H274" s="9">
        <v>45232</v>
      </c>
      <c r="I274" s="9">
        <v>45247</v>
      </c>
      <c r="J274" s="8">
        <v>6416</v>
      </c>
      <c r="K274" s="8" t="s">
        <v>31</v>
      </c>
      <c r="L274" s="8" t="s">
        <v>32</v>
      </c>
      <c r="M274" s="8"/>
      <c r="N274" s="8" t="b">
        <v>0</v>
      </c>
      <c r="O274" s="10">
        <v>21022</v>
      </c>
      <c r="P274" s="8" t="s">
        <v>185</v>
      </c>
      <c r="Q274" s="8">
        <v>495748</v>
      </c>
      <c r="R274" s="9">
        <v>45231</v>
      </c>
      <c r="S274" s="8" t="s">
        <v>48</v>
      </c>
      <c r="T274" s="8" t="s">
        <v>40</v>
      </c>
      <c r="U274" s="8" t="s">
        <v>50</v>
      </c>
      <c r="V274" s="8" t="s">
        <v>37</v>
      </c>
      <c r="W274" s="8">
        <v>0</v>
      </c>
    </row>
    <row r="275" spans="1:23" x14ac:dyDescent="0.25">
      <c r="A275" s="4">
        <v>1</v>
      </c>
      <c r="B275" s="4"/>
      <c r="C275" s="4">
        <v>882550</v>
      </c>
      <c r="D275" s="4">
        <f>4860+342.5</f>
        <v>5202.5</v>
      </c>
      <c r="E275" s="5">
        <f t="shared" si="4"/>
        <v>0.5</v>
      </c>
      <c r="F275" s="15">
        <v>45245</v>
      </c>
      <c r="G275" s="10">
        <v>329547452</v>
      </c>
      <c r="H275" s="9">
        <v>45232</v>
      </c>
      <c r="I275" s="9">
        <v>45247</v>
      </c>
      <c r="J275" s="8">
        <v>5203</v>
      </c>
      <c r="K275" s="8" t="s">
        <v>31</v>
      </c>
      <c r="L275" s="8" t="s">
        <v>32</v>
      </c>
      <c r="M275" s="8"/>
      <c r="N275" s="8" t="b">
        <v>0</v>
      </c>
      <c r="O275" s="10">
        <v>704336</v>
      </c>
      <c r="P275" s="8" t="s">
        <v>190</v>
      </c>
      <c r="Q275" s="8">
        <v>495741</v>
      </c>
      <c r="R275" s="9">
        <v>45231</v>
      </c>
      <c r="S275" s="8" t="s">
        <v>48</v>
      </c>
      <c r="T275" s="8" t="s">
        <v>40</v>
      </c>
      <c r="U275" s="8" t="s">
        <v>45</v>
      </c>
      <c r="V275" s="8" t="s">
        <v>46</v>
      </c>
      <c r="W275" s="8">
        <v>0</v>
      </c>
    </row>
    <row r="276" spans="1:23" x14ac:dyDescent="0.25">
      <c r="A276" s="4">
        <v>1</v>
      </c>
      <c r="B276" s="4"/>
      <c r="C276" s="4">
        <v>882586</v>
      </c>
      <c r="D276" s="4">
        <v>7525</v>
      </c>
      <c r="E276" s="5">
        <f t="shared" si="4"/>
        <v>0</v>
      </c>
      <c r="F276" s="15">
        <v>45245</v>
      </c>
      <c r="G276" s="10">
        <v>329558381</v>
      </c>
      <c r="H276" s="9">
        <v>45232</v>
      </c>
      <c r="I276" s="9">
        <v>45247</v>
      </c>
      <c r="J276" s="8">
        <v>7525</v>
      </c>
      <c r="K276" s="8" t="s">
        <v>31</v>
      </c>
      <c r="L276" s="8" t="s">
        <v>32</v>
      </c>
      <c r="M276" s="8"/>
      <c r="N276" s="8" t="b">
        <v>0</v>
      </c>
      <c r="O276" s="10"/>
      <c r="P276" s="8" t="s">
        <v>291</v>
      </c>
      <c r="Q276" s="8">
        <v>505067</v>
      </c>
      <c r="R276" s="9">
        <v>45232</v>
      </c>
      <c r="S276" s="8" t="s">
        <v>239</v>
      </c>
      <c r="T276" s="8" t="s">
        <v>49</v>
      </c>
      <c r="U276" s="8" t="s">
        <v>240</v>
      </c>
      <c r="V276" s="8" t="s">
        <v>72</v>
      </c>
      <c r="W276" s="8">
        <v>0</v>
      </c>
    </row>
    <row r="277" spans="1:23" x14ac:dyDescent="0.25">
      <c r="A277" s="4">
        <v>1</v>
      </c>
      <c r="B277" s="4"/>
      <c r="C277" s="4">
        <v>882883</v>
      </c>
      <c r="D277" s="4">
        <v>6558.5</v>
      </c>
      <c r="E277" s="5">
        <f t="shared" si="4"/>
        <v>-4.5</v>
      </c>
      <c r="F277" s="15">
        <v>45245</v>
      </c>
      <c r="G277" s="10">
        <v>329558398</v>
      </c>
      <c r="H277" s="9">
        <v>45232</v>
      </c>
      <c r="I277" s="9">
        <v>45247</v>
      </c>
      <c r="J277" s="8">
        <v>6554</v>
      </c>
      <c r="K277" s="8" t="s">
        <v>31</v>
      </c>
      <c r="L277" s="8" t="s">
        <v>32</v>
      </c>
      <c r="M277" s="8"/>
      <c r="N277" s="8" t="b">
        <v>0</v>
      </c>
      <c r="O277" s="10"/>
      <c r="P277" s="8" t="s">
        <v>292</v>
      </c>
      <c r="Q277" s="8">
        <v>504942</v>
      </c>
      <c r="R277" s="9">
        <v>45232</v>
      </c>
      <c r="S277" s="8" t="s">
        <v>70</v>
      </c>
      <c r="T277" s="8" t="s">
        <v>49</v>
      </c>
      <c r="U277" s="8" t="s">
        <v>71</v>
      </c>
      <c r="V277" s="8" t="s">
        <v>72</v>
      </c>
      <c r="W277" s="8">
        <v>0</v>
      </c>
    </row>
    <row r="278" spans="1:23" x14ac:dyDescent="0.25">
      <c r="A278" s="4">
        <v>1</v>
      </c>
      <c r="B278" s="4"/>
      <c r="C278" s="4">
        <v>882836</v>
      </c>
      <c r="D278" s="4">
        <v>6367.5</v>
      </c>
      <c r="E278" s="5">
        <f t="shared" si="4"/>
        <v>0.5</v>
      </c>
      <c r="F278" s="15">
        <v>45245</v>
      </c>
      <c r="G278" s="10">
        <v>329578368</v>
      </c>
      <c r="H278" s="9">
        <v>45233</v>
      </c>
      <c r="I278" s="9">
        <v>45248</v>
      </c>
      <c r="J278" s="8">
        <v>6368</v>
      </c>
      <c r="K278" s="8" t="s">
        <v>31</v>
      </c>
      <c r="L278" s="8" t="s">
        <v>32</v>
      </c>
      <c r="M278" s="8"/>
      <c r="N278" s="8" t="b">
        <v>0</v>
      </c>
      <c r="O278" s="10">
        <v>697234</v>
      </c>
      <c r="P278" s="8" t="s">
        <v>166</v>
      </c>
      <c r="Q278" s="8">
        <v>519549</v>
      </c>
      <c r="R278" s="9">
        <v>45233</v>
      </c>
      <c r="S278" s="8" t="s">
        <v>34</v>
      </c>
      <c r="T278" s="8" t="s">
        <v>44</v>
      </c>
      <c r="U278" s="8" t="s">
        <v>36</v>
      </c>
      <c r="V278" s="8" t="s">
        <v>37</v>
      </c>
      <c r="W278" s="8">
        <v>0</v>
      </c>
    </row>
    <row r="279" spans="1:23" x14ac:dyDescent="0.25">
      <c r="A279" s="4">
        <v>1</v>
      </c>
      <c r="B279" s="4"/>
      <c r="C279" s="4">
        <v>882837</v>
      </c>
      <c r="D279" s="4">
        <v>6367.5</v>
      </c>
      <c r="E279" s="5">
        <f t="shared" si="4"/>
        <v>0.5</v>
      </c>
      <c r="F279" s="15">
        <v>45245</v>
      </c>
      <c r="G279" s="10">
        <v>329578385</v>
      </c>
      <c r="H279" s="9">
        <v>45233</v>
      </c>
      <c r="I279" s="9">
        <v>45248</v>
      </c>
      <c r="J279" s="8">
        <v>6368</v>
      </c>
      <c r="K279" s="8" t="s">
        <v>31</v>
      </c>
      <c r="L279" s="8" t="s">
        <v>32</v>
      </c>
      <c r="M279" s="8"/>
      <c r="N279" s="8" t="b">
        <v>0</v>
      </c>
      <c r="O279" s="10">
        <v>697238</v>
      </c>
      <c r="P279" s="8" t="s">
        <v>181</v>
      </c>
      <c r="Q279" s="8">
        <v>519578</v>
      </c>
      <c r="R279" s="9">
        <v>45233</v>
      </c>
      <c r="S279" s="8" t="s">
        <v>34</v>
      </c>
      <c r="T279" s="8" t="s">
        <v>44</v>
      </c>
      <c r="U279" s="8" t="s">
        <v>36</v>
      </c>
      <c r="V279" s="8" t="s">
        <v>37</v>
      </c>
      <c r="W279" s="8">
        <v>0</v>
      </c>
    </row>
    <row r="280" spans="1:23" x14ac:dyDescent="0.25">
      <c r="A280" s="4">
        <v>1</v>
      </c>
      <c r="B280" s="4"/>
      <c r="C280" s="4">
        <v>882184</v>
      </c>
      <c r="D280" s="4">
        <v>5173</v>
      </c>
      <c r="E280" s="5">
        <f t="shared" si="4"/>
        <v>0</v>
      </c>
      <c r="F280" s="15">
        <v>45245</v>
      </c>
      <c r="G280" s="10">
        <v>329578398</v>
      </c>
      <c r="H280" s="9">
        <v>45233</v>
      </c>
      <c r="I280" s="9">
        <v>45248</v>
      </c>
      <c r="J280" s="8">
        <v>5173</v>
      </c>
      <c r="K280" s="8" t="s">
        <v>31</v>
      </c>
      <c r="L280" s="8" t="s">
        <v>32</v>
      </c>
      <c r="M280" s="8"/>
      <c r="N280" s="8" t="b">
        <v>0</v>
      </c>
      <c r="O280" s="10">
        <v>695737</v>
      </c>
      <c r="P280" s="8" t="s">
        <v>183</v>
      </c>
      <c r="Q280" s="8">
        <v>519488</v>
      </c>
      <c r="R280" s="9">
        <v>45233</v>
      </c>
      <c r="S280" s="8" t="s">
        <v>180</v>
      </c>
      <c r="T280" s="8" t="s">
        <v>44</v>
      </c>
      <c r="U280" s="8" t="s">
        <v>45</v>
      </c>
      <c r="V280" s="8" t="s">
        <v>46</v>
      </c>
      <c r="W280" s="8">
        <v>0</v>
      </c>
    </row>
    <row r="281" spans="1:23" x14ac:dyDescent="0.25">
      <c r="A281" s="4">
        <v>1</v>
      </c>
      <c r="B281" s="4"/>
      <c r="C281" s="4">
        <v>882838</v>
      </c>
      <c r="D281" s="4">
        <v>6367.5</v>
      </c>
      <c r="E281" s="5">
        <f t="shared" si="4"/>
        <v>0.5</v>
      </c>
      <c r="F281" s="15">
        <v>45245</v>
      </c>
      <c r="G281" s="10">
        <v>329578407</v>
      </c>
      <c r="H281" s="9">
        <v>45233</v>
      </c>
      <c r="I281" s="9">
        <v>45248</v>
      </c>
      <c r="J281" s="8">
        <v>6368</v>
      </c>
      <c r="K281" s="8" t="s">
        <v>31</v>
      </c>
      <c r="L281" s="8" t="s">
        <v>32</v>
      </c>
      <c r="M281" s="8"/>
      <c r="N281" s="8" t="b">
        <v>0</v>
      </c>
      <c r="O281" s="10">
        <v>697233</v>
      </c>
      <c r="P281" s="8" t="s">
        <v>152</v>
      </c>
      <c r="Q281" s="8">
        <v>519513</v>
      </c>
      <c r="R281" s="9">
        <v>45233</v>
      </c>
      <c r="S281" s="8" t="s">
        <v>34</v>
      </c>
      <c r="T281" s="8" t="s">
        <v>44</v>
      </c>
      <c r="U281" s="8" t="s">
        <v>36</v>
      </c>
      <c r="V281" s="8" t="s">
        <v>37</v>
      </c>
      <c r="W281" s="8">
        <v>0</v>
      </c>
    </row>
    <row r="282" spans="1:23" x14ac:dyDescent="0.25">
      <c r="A282" s="4">
        <v>1</v>
      </c>
      <c r="B282" s="4"/>
      <c r="C282" s="4">
        <v>882839</v>
      </c>
      <c r="D282" s="4">
        <v>6367.5</v>
      </c>
      <c r="E282" s="5">
        <f t="shared" si="4"/>
        <v>0.5</v>
      </c>
      <c r="F282" s="15">
        <v>45245</v>
      </c>
      <c r="G282" s="10">
        <v>329578439</v>
      </c>
      <c r="H282" s="9">
        <v>45233</v>
      </c>
      <c r="I282" s="9">
        <v>45248</v>
      </c>
      <c r="J282" s="8">
        <v>6368</v>
      </c>
      <c r="K282" s="8" t="s">
        <v>31</v>
      </c>
      <c r="L282" s="8" t="s">
        <v>32</v>
      </c>
      <c r="M282" s="8"/>
      <c r="N282" s="8" t="b">
        <v>0</v>
      </c>
      <c r="O282" s="10">
        <v>697237</v>
      </c>
      <c r="P282" s="8" t="s">
        <v>122</v>
      </c>
      <c r="Q282" s="8">
        <v>519565</v>
      </c>
      <c r="R282" s="9">
        <v>45233</v>
      </c>
      <c r="S282" s="8" t="s">
        <v>34</v>
      </c>
      <c r="T282" s="8" t="s">
        <v>44</v>
      </c>
      <c r="U282" s="8" t="s">
        <v>36</v>
      </c>
      <c r="V282" s="8" t="s">
        <v>37</v>
      </c>
      <c r="W282" s="8">
        <v>0</v>
      </c>
    </row>
    <row r="283" spans="1:23" x14ac:dyDescent="0.25">
      <c r="A283" s="4">
        <v>1</v>
      </c>
      <c r="B283" s="4"/>
      <c r="C283" s="4">
        <v>882840</v>
      </c>
      <c r="D283" s="4">
        <v>5200.5</v>
      </c>
      <c r="E283" s="5">
        <f t="shared" si="4"/>
        <v>0.5</v>
      </c>
      <c r="F283" s="15">
        <v>45245</v>
      </c>
      <c r="G283" s="10">
        <v>329578643</v>
      </c>
      <c r="H283" s="9">
        <v>45233</v>
      </c>
      <c r="I283" s="9">
        <v>45248</v>
      </c>
      <c r="J283" s="8">
        <v>5201</v>
      </c>
      <c r="K283" s="8" t="s">
        <v>31</v>
      </c>
      <c r="L283" s="8" t="s">
        <v>32</v>
      </c>
      <c r="M283" s="8"/>
      <c r="N283" s="8" t="b">
        <v>0</v>
      </c>
      <c r="O283" s="10">
        <v>705110</v>
      </c>
      <c r="P283" s="8" t="s">
        <v>81</v>
      </c>
      <c r="Q283" s="8">
        <v>519812</v>
      </c>
      <c r="R283" s="9">
        <v>45233</v>
      </c>
      <c r="S283" s="8" t="s">
        <v>34</v>
      </c>
      <c r="T283" s="8" t="s">
        <v>40</v>
      </c>
      <c r="U283" s="8" t="s">
        <v>58</v>
      </c>
      <c r="V283" s="8" t="s">
        <v>46</v>
      </c>
      <c r="W283" s="8">
        <v>0</v>
      </c>
    </row>
    <row r="284" spans="1:23" x14ac:dyDescent="0.25">
      <c r="A284" s="4">
        <v>1</v>
      </c>
      <c r="B284" s="4"/>
      <c r="C284" s="4">
        <v>882841</v>
      </c>
      <c r="D284" s="4">
        <v>5202.5</v>
      </c>
      <c r="E284" s="5">
        <f t="shared" si="4"/>
        <v>0.5</v>
      </c>
      <c r="F284" s="15">
        <v>45245</v>
      </c>
      <c r="G284" s="10">
        <v>329578644</v>
      </c>
      <c r="H284" s="9">
        <v>45233</v>
      </c>
      <c r="I284" s="9">
        <v>45248</v>
      </c>
      <c r="J284" s="8">
        <v>5203</v>
      </c>
      <c r="K284" s="8" t="s">
        <v>31</v>
      </c>
      <c r="L284" s="8" t="s">
        <v>32</v>
      </c>
      <c r="M284" s="8"/>
      <c r="N284" s="8" t="b">
        <v>0</v>
      </c>
      <c r="O284" s="10">
        <v>704337</v>
      </c>
      <c r="P284" s="8" t="s">
        <v>112</v>
      </c>
      <c r="Q284" s="8">
        <v>519804</v>
      </c>
      <c r="R284" s="9">
        <v>45233</v>
      </c>
      <c r="S284" s="8" t="s">
        <v>48</v>
      </c>
      <c r="T284" s="8" t="s">
        <v>40</v>
      </c>
      <c r="U284" s="8" t="s">
        <v>45</v>
      </c>
      <c r="V284" s="8" t="s">
        <v>46</v>
      </c>
      <c r="W284" s="8">
        <v>0</v>
      </c>
    </row>
    <row r="285" spans="1:23" x14ac:dyDescent="0.25">
      <c r="A285" s="4">
        <v>1</v>
      </c>
      <c r="B285" s="4"/>
      <c r="C285" s="4">
        <v>882531</v>
      </c>
      <c r="D285" s="4">
        <v>6415.5</v>
      </c>
      <c r="E285" s="5">
        <f t="shared" si="4"/>
        <v>0.5</v>
      </c>
      <c r="F285" s="15">
        <v>45245</v>
      </c>
      <c r="G285" s="10">
        <v>329578655</v>
      </c>
      <c r="H285" s="9">
        <v>45233</v>
      </c>
      <c r="I285" s="9">
        <v>45248</v>
      </c>
      <c r="J285" s="8">
        <v>6416</v>
      </c>
      <c r="K285" s="8" t="s">
        <v>31</v>
      </c>
      <c r="L285" s="8" t="s">
        <v>32</v>
      </c>
      <c r="M285" s="8"/>
      <c r="N285" s="8" t="b">
        <v>0</v>
      </c>
      <c r="O285" s="10">
        <v>21015</v>
      </c>
      <c r="P285" s="8" t="s">
        <v>98</v>
      </c>
      <c r="Q285" s="8">
        <v>519791</v>
      </c>
      <c r="R285" s="9">
        <v>45233</v>
      </c>
      <c r="S285" s="8" t="s">
        <v>48</v>
      </c>
      <c r="T285" s="8" t="s">
        <v>40</v>
      </c>
      <c r="U285" s="8" t="s">
        <v>50</v>
      </c>
      <c r="V285" s="8" t="s">
        <v>37</v>
      </c>
      <c r="W285" s="8">
        <v>0</v>
      </c>
    </row>
    <row r="286" spans="1:23" x14ac:dyDescent="0.25">
      <c r="A286" s="4">
        <v>1</v>
      </c>
      <c r="B286" s="4"/>
      <c r="C286" s="4">
        <v>882533</v>
      </c>
      <c r="D286" s="4">
        <v>6415.5</v>
      </c>
      <c r="E286" s="5">
        <f t="shared" si="4"/>
        <v>0.5</v>
      </c>
      <c r="F286" s="15">
        <v>45245</v>
      </c>
      <c r="G286" s="10">
        <v>329578689</v>
      </c>
      <c r="H286" s="9">
        <v>45233</v>
      </c>
      <c r="I286" s="9">
        <v>45248</v>
      </c>
      <c r="J286" s="8">
        <v>6416</v>
      </c>
      <c r="K286" s="8" t="s">
        <v>31</v>
      </c>
      <c r="L286" s="8" t="s">
        <v>32</v>
      </c>
      <c r="M286" s="8"/>
      <c r="N286" s="8" t="b">
        <v>0</v>
      </c>
      <c r="O286" s="10">
        <v>21013</v>
      </c>
      <c r="P286" s="8" t="s">
        <v>189</v>
      </c>
      <c r="Q286" s="8">
        <v>519756</v>
      </c>
      <c r="R286" s="9">
        <v>45233</v>
      </c>
      <c r="S286" s="8" t="s">
        <v>48</v>
      </c>
      <c r="T286" s="8" t="s">
        <v>40</v>
      </c>
      <c r="U286" s="8" t="s">
        <v>50</v>
      </c>
      <c r="V286" s="8" t="s">
        <v>37</v>
      </c>
      <c r="W286" s="8">
        <v>0</v>
      </c>
    </row>
    <row r="287" spans="1:23" x14ac:dyDescent="0.25">
      <c r="A287" s="4">
        <v>1</v>
      </c>
      <c r="B287" s="4"/>
      <c r="C287" s="4">
        <v>882532</v>
      </c>
      <c r="D287" s="4">
        <v>6415.5</v>
      </c>
      <c r="E287" s="5">
        <f t="shared" si="4"/>
        <v>0.5</v>
      </c>
      <c r="F287" s="15">
        <v>45245</v>
      </c>
      <c r="G287" s="10">
        <v>329578704</v>
      </c>
      <c r="H287" s="9">
        <v>45233</v>
      </c>
      <c r="I287" s="9">
        <v>45248</v>
      </c>
      <c r="J287" s="8">
        <v>6416</v>
      </c>
      <c r="K287" s="8" t="s">
        <v>31</v>
      </c>
      <c r="L287" s="8" t="s">
        <v>32</v>
      </c>
      <c r="M287" s="8"/>
      <c r="N287" s="8" t="b">
        <v>0</v>
      </c>
      <c r="O287" s="10">
        <v>21014</v>
      </c>
      <c r="P287" s="8" t="s">
        <v>153</v>
      </c>
      <c r="Q287" s="8">
        <v>519782</v>
      </c>
      <c r="R287" s="9">
        <v>45233</v>
      </c>
      <c r="S287" s="8" t="s">
        <v>48</v>
      </c>
      <c r="T287" s="8" t="s">
        <v>40</v>
      </c>
      <c r="U287" s="8" t="s">
        <v>50</v>
      </c>
      <c r="V287" s="8" t="s">
        <v>37</v>
      </c>
      <c r="W287" s="8">
        <v>0</v>
      </c>
    </row>
    <row r="288" spans="1:23" x14ac:dyDescent="0.25">
      <c r="A288" s="4">
        <v>1</v>
      </c>
      <c r="B288" s="4"/>
      <c r="C288" s="4">
        <v>882842</v>
      </c>
      <c r="D288" s="4">
        <v>5202.5</v>
      </c>
      <c r="E288" s="5">
        <f t="shared" si="4"/>
        <v>0.5</v>
      </c>
      <c r="F288" s="15">
        <v>45245</v>
      </c>
      <c r="G288" s="10">
        <v>329578983</v>
      </c>
      <c r="H288" s="9">
        <v>45233</v>
      </c>
      <c r="I288" s="9">
        <v>45248</v>
      </c>
      <c r="J288" s="8">
        <v>5203</v>
      </c>
      <c r="K288" s="8" t="s">
        <v>31</v>
      </c>
      <c r="L288" s="8" t="s">
        <v>32</v>
      </c>
      <c r="M288" s="8"/>
      <c r="N288" s="8" t="b">
        <v>0</v>
      </c>
      <c r="O288" s="10">
        <v>704338</v>
      </c>
      <c r="P288" s="8" t="s">
        <v>111</v>
      </c>
      <c r="Q288" s="8">
        <v>519959</v>
      </c>
      <c r="R288" s="9">
        <v>45233</v>
      </c>
      <c r="S288" s="8" t="s">
        <v>48</v>
      </c>
      <c r="T288" s="8" t="s">
        <v>40</v>
      </c>
      <c r="U288" s="8" t="s">
        <v>45</v>
      </c>
      <c r="V288" s="8" t="s">
        <v>46</v>
      </c>
      <c r="W288" s="8">
        <v>0</v>
      </c>
    </row>
    <row r="289" spans="1:23" x14ac:dyDescent="0.25">
      <c r="A289" s="4">
        <v>1</v>
      </c>
      <c r="B289" s="4"/>
      <c r="C289" s="4">
        <v>882552</v>
      </c>
      <c r="D289" s="4">
        <v>5175.1000000000004</v>
      </c>
      <c r="E289" s="5">
        <f t="shared" si="4"/>
        <v>-2.1000000000003638</v>
      </c>
      <c r="F289" s="15">
        <v>45245</v>
      </c>
      <c r="G289" s="10">
        <v>329579774</v>
      </c>
      <c r="H289" s="9">
        <v>45233</v>
      </c>
      <c r="I289" s="9">
        <v>45248</v>
      </c>
      <c r="J289" s="8">
        <v>5173</v>
      </c>
      <c r="K289" s="8" t="s">
        <v>31</v>
      </c>
      <c r="L289" s="8" t="s">
        <v>32</v>
      </c>
      <c r="M289" s="8"/>
      <c r="N289" s="8" t="b">
        <v>0</v>
      </c>
      <c r="O289" s="10">
        <v>704291</v>
      </c>
      <c r="P289" s="8" t="s">
        <v>121</v>
      </c>
      <c r="Q289" s="8">
        <v>520975</v>
      </c>
      <c r="R289" s="9">
        <v>45233</v>
      </c>
      <c r="S289" s="8" t="s">
        <v>34</v>
      </c>
      <c r="T289" s="8" t="s">
        <v>44</v>
      </c>
      <c r="U289" s="8" t="s">
        <v>45</v>
      </c>
      <c r="V289" s="8" t="s">
        <v>46</v>
      </c>
      <c r="W289" s="8">
        <v>0</v>
      </c>
    </row>
    <row r="290" spans="1:23" x14ac:dyDescent="0.25">
      <c r="A290" s="4">
        <v>1</v>
      </c>
      <c r="B290" s="4"/>
      <c r="C290" s="4">
        <v>882843</v>
      </c>
      <c r="D290" s="4">
        <v>5202.5</v>
      </c>
      <c r="E290" s="5">
        <f t="shared" si="4"/>
        <v>0.5</v>
      </c>
      <c r="F290" s="15">
        <v>45245</v>
      </c>
      <c r="G290" s="10">
        <v>329580734</v>
      </c>
      <c r="H290" s="9">
        <v>45233</v>
      </c>
      <c r="I290" s="9">
        <v>45248</v>
      </c>
      <c r="J290" s="8">
        <v>5203</v>
      </c>
      <c r="K290" s="8" t="s">
        <v>31</v>
      </c>
      <c r="L290" s="8" t="s">
        <v>32</v>
      </c>
      <c r="M290" s="8"/>
      <c r="N290" s="8" t="b">
        <v>0</v>
      </c>
      <c r="O290" s="10">
        <v>704339</v>
      </c>
      <c r="P290" s="8" t="s">
        <v>115</v>
      </c>
      <c r="Q290" s="8">
        <v>521796</v>
      </c>
      <c r="R290" s="9">
        <v>45233</v>
      </c>
      <c r="S290" s="8" t="s">
        <v>48</v>
      </c>
      <c r="T290" s="8" t="s">
        <v>40</v>
      </c>
      <c r="U290" s="8" t="s">
        <v>45</v>
      </c>
      <c r="V290" s="8" t="s">
        <v>46</v>
      </c>
      <c r="W290" s="8">
        <v>0</v>
      </c>
    </row>
    <row r="291" spans="1:23" x14ac:dyDescent="0.25">
      <c r="A291" s="4">
        <v>1</v>
      </c>
      <c r="B291" s="4"/>
      <c r="C291" s="4">
        <v>882844</v>
      </c>
      <c r="D291" s="4">
        <v>5202.5</v>
      </c>
      <c r="E291" s="5">
        <f t="shared" si="4"/>
        <v>0.5</v>
      </c>
      <c r="F291" s="15">
        <v>45245</v>
      </c>
      <c r="G291" s="10">
        <v>329581436</v>
      </c>
      <c r="H291" s="9">
        <v>45233</v>
      </c>
      <c r="I291" s="9">
        <v>45248</v>
      </c>
      <c r="J291" s="8">
        <v>5203</v>
      </c>
      <c r="K291" s="8" t="s">
        <v>31</v>
      </c>
      <c r="L291" s="8" t="s">
        <v>32</v>
      </c>
      <c r="M291" s="8"/>
      <c r="N291" s="8" t="b">
        <v>0</v>
      </c>
      <c r="O291" s="10">
        <v>704340</v>
      </c>
      <c r="P291" s="8" t="s">
        <v>82</v>
      </c>
      <c r="Q291" s="8">
        <v>522190</v>
      </c>
      <c r="R291" s="9">
        <v>45233</v>
      </c>
      <c r="S291" s="8" t="s">
        <v>48</v>
      </c>
      <c r="T291" s="8" t="s">
        <v>40</v>
      </c>
      <c r="U291" s="8" t="s">
        <v>45</v>
      </c>
      <c r="V291" s="8" t="s">
        <v>46</v>
      </c>
      <c r="W291" s="8">
        <v>0</v>
      </c>
    </row>
    <row r="292" spans="1:23" x14ac:dyDescent="0.25">
      <c r="A292" s="4">
        <v>1</v>
      </c>
      <c r="B292" s="4"/>
      <c r="C292" s="4">
        <v>882845</v>
      </c>
      <c r="D292" s="4">
        <v>5202.5</v>
      </c>
      <c r="E292" s="5">
        <f t="shared" si="4"/>
        <v>0.5</v>
      </c>
      <c r="F292" s="15">
        <v>45245</v>
      </c>
      <c r="G292" s="10">
        <v>329583699</v>
      </c>
      <c r="H292" s="9">
        <v>45233</v>
      </c>
      <c r="I292" s="9">
        <v>45248</v>
      </c>
      <c r="J292" s="8">
        <v>5203</v>
      </c>
      <c r="K292" s="8" t="s">
        <v>31</v>
      </c>
      <c r="L292" s="8" t="s">
        <v>32</v>
      </c>
      <c r="M292" s="8"/>
      <c r="N292" s="8" t="b">
        <v>0</v>
      </c>
      <c r="O292" s="10">
        <v>704342</v>
      </c>
      <c r="P292" s="8" t="s">
        <v>68</v>
      </c>
      <c r="Q292" s="8">
        <v>524226</v>
      </c>
      <c r="R292" s="9">
        <v>45233</v>
      </c>
      <c r="S292" s="8" t="s">
        <v>48</v>
      </c>
      <c r="T292" s="8" t="s">
        <v>40</v>
      </c>
      <c r="U292" s="8" t="s">
        <v>45</v>
      </c>
      <c r="V292" s="8" t="s">
        <v>46</v>
      </c>
      <c r="W292" s="8">
        <v>0</v>
      </c>
    </row>
    <row r="293" spans="1:23" x14ac:dyDescent="0.25">
      <c r="A293" s="4">
        <v>1</v>
      </c>
      <c r="B293" s="4"/>
      <c r="C293" s="4">
        <v>882846</v>
      </c>
      <c r="D293" s="4">
        <v>5202.5</v>
      </c>
      <c r="E293" s="5">
        <f t="shared" si="4"/>
        <v>0.5</v>
      </c>
      <c r="F293" s="15">
        <v>45245</v>
      </c>
      <c r="G293" s="10">
        <v>329583767</v>
      </c>
      <c r="H293" s="9">
        <v>45233</v>
      </c>
      <c r="I293" s="9">
        <v>45248</v>
      </c>
      <c r="J293" s="8">
        <v>5203</v>
      </c>
      <c r="K293" s="8" t="s">
        <v>31</v>
      </c>
      <c r="L293" s="8" t="s">
        <v>32</v>
      </c>
      <c r="M293" s="8"/>
      <c r="N293" s="8" t="b">
        <v>0</v>
      </c>
      <c r="O293" s="10">
        <v>704341</v>
      </c>
      <c r="P293" s="8" t="s">
        <v>77</v>
      </c>
      <c r="Q293" s="8">
        <v>524210</v>
      </c>
      <c r="R293" s="9">
        <v>45233</v>
      </c>
      <c r="S293" s="8" t="s">
        <v>48</v>
      </c>
      <c r="T293" s="8" t="s">
        <v>40</v>
      </c>
      <c r="U293" s="8" t="s">
        <v>45</v>
      </c>
      <c r="V293" s="8" t="s">
        <v>46</v>
      </c>
      <c r="W293" s="8">
        <v>0</v>
      </c>
    </row>
    <row r="294" spans="1:23" x14ac:dyDescent="0.25">
      <c r="A294" s="4">
        <v>1</v>
      </c>
      <c r="B294" s="4"/>
      <c r="C294" s="4">
        <v>882197</v>
      </c>
      <c r="D294" s="4">
        <v>5173</v>
      </c>
      <c r="E294" s="5">
        <f t="shared" si="4"/>
        <v>0</v>
      </c>
      <c r="F294" s="15">
        <v>45245</v>
      </c>
      <c r="G294" s="10">
        <v>329584059</v>
      </c>
      <c r="H294" s="9">
        <v>45233</v>
      </c>
      <c r="I294" s="9">
        <v>45248</v>
      </c>
      <c r="J294" s="8">
        <v>5173</v>
      </c>
      <c r="K294" s="8" t="s">
        <v>31</v>
      </c>
      <c r="L294" s="8" t="s">
        <v>32</v>
      </c>
      <c r="M294" s="8"/>
      <c r="N294" s="8" t="b">
        <v>0</v>
      </c>
      <c r="O294" s="10">
        <v>695738</v>
      </c>
      <c r="P294" s="8" t="s">
        <v>204</v>
      </c>
      <c r="Q294" s="8">
        <v>524614</v>
      </c>
      <c r="R294" s="9">
        <v>45233</v>
      </c>
      <c r="S294" s="8" t="s">
        <v>180</v>
      </c>
      <c r="T294" s="8" t="s">
        <v>44</v>
      </c>
      <c r="U294" s="8" t="s">
        <v>45</v>
      </c>
      <c r="V294" s="8" t="s">
        <v>46</v>
      </c>
      <c r="W294" s="8">
        <v>0</v>
      </c>
    </row>
    <row r="295" spans="1:23" x14ac:dyDescent="0.25">
      <c r="A295" s="4">
        <v>1</v>
      </c>
      <c r="B295" s="4"/>
      <c r="C295" s="4">
        <v>882847</v>
      </c>
      <c r="D295" s="4">
        <v>5173</v>
      </c>
      <c r="E295" s="5">
        <f t="shared" si="4"/>
        <v>-2</v>
      </c>
      <c r="F295" s="15">
        <v>45245</v>
      </c>
      <c r="G295" s="10">
        <v>329584112</v>
      </c>
      <c r="H295" s="9">
        <v>45233</v>
      </c>
      <c r="I295" s="9">
        <v>45248</v>
      </c>
      <c r="J295" s="8">
        <v>5171</v>
      </c>
      <c r="K295" s="8" t="s">
        <v>31</v>
      </c>
      <c r="L295" s="8" t="s">
        <v>32</v>
      </c>
      <c r="M295" s="8"/>
      <c r="N295" s="8" t="b">
        <v>0</v>
      </c>
      <c r="O295" s="10">
        <v>687434</v>
      </c>
      <c r="P295" s="8" t="s">
        <v>198</v>
      </c>
      <c r="Q295" s="8">
        <v>524591</v>
      </c>
      <c r="R295" s="9">
        <v>45233</v>
      </c>
      <c r="S295" s="8" t="s">
        <v>34</v>
      </c>
      <c r="T295" s="8" t="s">
        <v>44</v>
      </c>
      <c r="U295" s="8" t="s">
        <v>58</v>
      </c>
      <c r="V295" s="8" t="s">
        <v>46</v>
      </c>
      <c r="W295" s="8">
        <v>0</v>
      </c>
    </row>
    <row r="296" spans="1:23" x14ac:dyDescent="0.25">
      <c r="A296" s="4">
        <v>1</v>
      </c>
      <c r="B296" s="4"/>
      <c r="C296" s="4">
        <v>882884</v>
      </c>
      <c r="D296" s="4">
        <v>35168</v>
      </c>
      <c r="E296" s="5">
        <f t="shared" si="4"/>
        <v>0</v>
      </c>
      <c r="F296" s="15">
        <v>45245</v>
      </c>
      <c r="G296" s="10">
        <v>329584577</v>
      </c>
      <c r="H296" s="9">
        <v>45233</v>
      </c>
      <c r="I296" s="9">
        <v>45248</v>
      </c>
      <c r="J296" s="8">
        <v>35168</v>
      </c>
      <c r="K296" s="8" t="s">
        <v>31</v>
      </c>
      <c r="L296" s="8" t="s">
        <v>32</v>
      </c>
      <c r="M296" s="8"/>
      <c r="N296" s="8" t="b">
        <v>0</v>
      </c>
      <c r="O296" s="10"/>
      <c r="P296" s="8" t="s">
        <v>293</v>
      </c>
      <c r="Q296" s="8">
        <v>504129</v>
      </c>
      <c r="R296" s="9">
        <v>45232</v>
      </c>
      <c r="S296" s="8" t="s">
        <v>34</v>
      </c>
      <c r="T296" s="8" t="s">
        <v>49</v>
      </c>
      <c r="U296" s="8" t="s">
        <v>75</v>
      </c>
      <c r="V296" s="8" t="s">
        <v>46</v>
      </c>
      <c r="W296" s="8">
        <v>0</v>
      </c>
    </row>
    <row r="297" spans="1:23" x14ac:dyDescent="0.25">
      <c r="A297" s="4">
        <v>1</v>
      </c>
      <c r="B297" s="4"/>
      <c r="C297" s="4">
        <v>882848</v>
      </c>
      <c r="D297" s="4">
        <v>5202.5</v>
      </c>
      <c r="E297" s="5">
        <f t="shared" si="4"/>
        <v>-1.5</v>
      </c>
      <c r="F297" s="15">
        <v>45245</v>
      </c>
      <c r="G297" s="10">
        <v>329584628</v>
      </c>
      <c r="H297" s="9">
        <v>45233</v>
      </c>
      <c r="I297" s="9">
        <v>45248</v>
      </c>
      <c r="J297" s="8">
        <v>5201</v>
      </c>
      <c r="K297" s="8" t="s">
        <v>31</v>
      </c>
      <c r="L297" s="8" t="s">
        <v>32</v>
      </c>
      <c r="M297" s="8"/>
      <c r="N297" s="8" t="b">
        <v>0</v>
      </c>
      <c r="O297" s="10">
        <v>705111</v>
      </c>
      <c r="P297" s="8" t="s">
        <v>219</v>
      </c>
      <c r="Q297" s="8">
        <v>524766</v>
      </c>
      <c r="R297" s="9">
        <v>45233</v>
      </c>
      <c r="S297" s="8" t="s">
        <v>34</v>
      </c>
      <c r="T297" s="8" t="s">
        <v>40</v>
      </c>
      <c r="U297" s="8" t="s">
        <v>58</v>
      </c>
      <c r="V297" s="8" t="s">
        <v>46</v>
      </c>
      <c r="W297" s="8">
        <v>0</v>
      </c>
    </row>
    <row r="298" spans="1:23" x14ac:dyDescent="0.25">
      <c r="A298" s="4">
        <v>1</v>
      </c>
      <c r="B298" s="4"/>
      <c r="C298" s="4">
        <v>882891</v>
      </c>
      <c r="D298" s="4">
        <v>1600</v>
      </c>
      <c r="E298" s="5">
        <f t="shared" si="4"/>
        <v>0</v>
      </c>
      <c r="F298" s="15">
        <v>45245</v>
      </c>
      <c r="G298" s="10">
        <v>329577365</v>
      </c>
      <c r="H298" s="9">
        <v>45236</v>
      </c>
      <c r="I298" s="9">
        <v>45251</v>
      </c>
      <c r="J298" s="8">
        <v>1600</v>
      </c>
      <c r="K298" s="8" t="s">
        <v>294</v>
      </c>
      <c r="L298" s="8" t="s">
        <v>32</v>
      </c>
      <c r="M298" s="8"/>
      <c r="N298" s="8" t="b">
        <v>0</v>
      </c>
      <c r="O298" s="10"/>
      <c r="P298" s="8"/>
      <c r="Q298" s="8"/>
      <c r="R298" s="9"/>
      <c r="S298" s="8"/>
      <c r="T298" s="8"/>
      <c r="U298" s="8"/>
      <c r="V298" s="8"/>
      <c r="W298" s="8">
        <v>0</v>
      </c>
    </row>
    <row r="299" spans="1:23" x14ac:dyDescent="0.25">
      <c r="A299" s="4">
        <v>1</v>
      </c>
      <c r="B299" s="4"/>
      <c r="C299" s="4">
        <v>882849</v>
      </c>
      <c r="D299" s="4">
        <v>5200.5</v>
      </c>
      <c r="E299" s="5">
        <f t="shared" si="4"/>
        <v>0.5</v>
      </c>
      <c r="F299" s="15">
        <v>45245</v>
      </c>
      <c r="G299" s="10">
        <v>329603519</v>
      </c>
      <c r="H299" s="9">
        <v>45236</v>
      </c>
      <c r="I299" s="9">
        <v>45251</v>
      </c>
      <c r="J299" s="8">
        <v>5201</v>
      </c>
      <c r="K299" s="8" t="s">
        <v>31</v>
      </c>
      <c r="L299" s="8" t="s">
        <v>32</v>
      </c>
      <c r="M299" s="8"/>
      <c r="N299" s="8" t="b">
        <v>0</v>
      </c>
      <c r="O299" s="10">
        <v>705113</v>
      </c>
      <c r="P299" s="8" t="s">
        <v>133</v>
      </c>
      <c r="Q299" s="8">
        <v>535889</v>
      </c>
      <c r="R299" s="9">
        <v>45234</v>
      </c>
      <c r="S299" s="8" t="s">
        <v>34</v>
      </c>
      <c r="T299" s="8" t="s">
        <v>40</v>
      </c>
      <c r="U299" s="8" t="s">
        <v>58</v>
      </c>
      <c r="V299" s="8" t="s">
        <v>46</v>
      </c>
      <c r="W299" s="8">
        <v>0</v>
      </c>
    </row>
    <row r="300" spans="1:23" x14ac:dyDescent="0.25">
      <c r="A300" s="4">
        <v>1</v>
      </c>
      <c r="B300" s="4"/>
      <c r="C300" s="4">
        <v>882850</v>
      </c>
      <c r="D300" s="4">
        <v>5200.5</v>
      </c>
      <c r="E300" s="5">
        <f t="shared" si="4"/>
        <v>2.5</v>
      </c>
      <c r="F300" s="15">
        <v>45245</v>
      </c>
      <c r="G300" s="10">
        <v>329603532</v>
      </c>
      <c r="H300" s="9">
        <v>45236</v>
      </c>
      <c r="I300" s="9">
        <v>45251</v>
      </c>
      <c r="J300" s="8">
        <v>5203</v>
      </c>
      <c r="K300" s="8" t="s">
        <v>31</v>
      </c>
      <c r="L300" s="8" t="s">
        <v>32</v>
      </c>
      <c r="M300" s="8"/>
      <c r="N300" s="8" t="b">
        <v>0</v>
      </c>
      <c r="O300" s="10">
        <v>705227</v>
      </c>
      <c r="P300" s="8" t="s">
        <v>143</v>
      </c>
      <c r="Q300" s="8">
        <v>535882</v>
      </c>
      <c r="R300" s="9">
        <v>45234</v>
      </c>
      <c r="S300" s="8" t="s">
        <v>48</v>
      </c>
      <c r="T300" s="8" t="s">
        <v>40</v>
      </c>
      <c r="U300" s="8" t="s">
        <v>45</v>
      </c>
      <c r="V300" s="8" t="s">
        <v>46</v>
      </c>
      <c r="W300" s="8">
        <v>0</v>
      </c>
    </row>
    <row r="301" spans="1:23" x14ac:dyDescent="0.25">
      <c r="A301" s="4">
        <v>1</v>
      </c>
      <c r="B301" s="4"/>
      <c r="C301" s="4">
        <v>882851</v>
      </c>
      <c r="D301" s="4">
        <v>5202.5</v>
      </c>
      <c r="E301" s="5">
        <f t="shared" si="4"/>
        <v>0.5</v>
      </c>
      <c r="F301" s="15">
        <v>45245</v>
      </c>
      <c r="G301" s="10">
        <v>329603533</v>
      </c>
      <c r="H301" s="9">
        <v>45236</v>
      </c>
      <c r="I301" s="9">
        <v>45251</v>
      </c>
      <c r="J301" s="8">
        <v>5203</v>
      </c>
      <c r="K301" s="8" t="s">
        <v>31</v>
      </c>
      <c r="L301" s="8" t="s">
        <v>32</v>
      </c>
      <c r="M301" s="8"/>
      <c r="N301" s="8" t="b">
        <v>0</v>
      </c>
      <c r="O301" s="10">
        <v>705230</v>
      </c>
      <c r="P301" s="8" t="s">
        <v>229</v>
      </c>
      <c r="Q301" s="8">
        <v>535885</v>
      </c>
      <c r="R301" s="9">
        <v>45234</v>
      </c>
      <c r="S301" s="8" t="s">
        <v>48</v>
      </c>
      <c r="T301" s="8" t="s">
        <v>40</v>
      </c>
      <c r="U301" s="8" t="s">
        <v>45</v>
      </c>
      <c r="V301" s="8" t="s">
        <v>46</v>
      </c>
      <c r="W301" s="8">
        <v>0</v>
      </c>
    </row>
    <row r="302" spans="1:23" x14ac:dyDescent="0.25">
      <c r="A302" s="4">
        <v>1</v>
      </c>
      <c r="B302" s="4"/>
      <c r="C302" s="4">
        <v>882852</v>
      </c>
      <c r="D302" s="4">
        <v>5202.5</v>
      </c>
      <c r="E302" s="5">
        <f t="shared" si="4"/>
        <v>0.5</v>
      </c>
      <c r="F302" s="15">
        <v>45245</v>
      </c>
      <c r="G302" s="10">
        <v>329603534</v>
      </c>
      <c r="H302" s="9">
        <v>45236</v>
      </c>
      <c r="I302" s="9">
        <v>45251</v>
      </c>
      <c r="J302" s="8">
        <v>5203</v>
      </c>
      <c r="K302" s="8" t="s">
        <v>31</v>
      </c>
      <c r="L302" s="8" t="s">
        <v>32</v>
      </c>
      <c r="M302" s="8"/>
      <c r="N302" s="8" t="b">
        <v>0</v>
      </c>
      <c r="O302" s="10">
        <v>705226</v>
      </c>
      <c r="P302" s="8" t="s">
        <v>140</v>
      </c>
      <c r="Q302" s="8">
        <v>535880</v>
      </c>
      <c r="R302" s="9">
        <v>45234</v>
      </c>
      <c r="S302" s="8" t="s">
        <v>48</v>
      </c>
      <c r="T302" s="8" t="s">
        <v>40</v>
      </c>
      <c r="U302" s="8" t="s">
        <v>45</v>
      </c>
      <c r="V302" s="8" t="s">
        <v>46</v>
      </c>
      <c r="W302" s="8">
        <v>0</v>
      </c>
    </row>
    <row r="303" spans="1:23" x14ac:dyDescent="0.25">
      <c r="A303" s="4">
        <v>1</v>
      </c>
      <c r="B303" s="4"/>
      <c r="C303" s="4">
        <v>882853</v>
      </c>
      <c r="D303" s="4">
        <v>5202.5</v>
      </c>
      <c r="E303" s="5">
        <f t="shared" si="4"/>
        <v>-1.5</v>
      </c>
      <c r="F303" s="15">
        <v>45245</v>
      </c>
      <c r="G303" s="10">
        <v>329603536</v>
      </c>
      <c r="H303" s="9">
        <v>45236</v>
      </c>
      <c r="I303" s="9">
        <v>45251</v>
      </c>
      <c r="J303" s="8">
        <v>5201</v>
      </c>
      <c r="K303" s="8" t="s">
        <v>31</v>
      </c>
      <c r="L303" s="8" t="s">
        <v>32</v>
      </c>
      <c r="M303" s="8"/>
      <c r="N303" s="8" t="b">
        <v>0</v>
      </c>
      <c r="O303" s="10">
        <v>705112</v>
      </c>
      <c r="P303" s="8" t="s">
        <v>134</v>
      </c>
      <c r="Q303" s="8">
        <v>535888</v>
      </c>
      <c r="R303" s="9">
        <v>45234</v>
      </c>
      <c r="S303" s="8" t="s">
        <v>34</v>
      </c>
      <c r="T303" s="8" t="s">
        <v>40</v>
      </c>
      <c r="U303" s="8" t="s">
        <v>58</v>
      </c>
      <c r="V303" s="8" t="s">
        <v>46</v>
      </c>
      <c r="W303" s="8">
        <v>0</v>
      </c>
    </row>
    <row r="304" spans="1:23" x14ac:dyDescent="0.25">
      <c r="A304" s="4">
        <v>1</v>
      </c>
      <c r="B304" s="4"/>
      <c r="C304" s="4">
        <v>882854</v>
      </c>
      <c r="D304" s="4">
        <v>5202.5</v>
      </c>
      <c r="E304" s="5">
        <f t="shared" si="4"/>
        <v>0.5</v>
      </c>
      <c r="F304" s="15">
        <v>45245</v>
      </c>
      <c r="G304" s="10">
        <v>329603538</v>
      </c>
      <c r="H304" s="9">
        <v>45236</v>
      </c>
      <c r="I304" s="9">
        <v>45251</v>
      </c>
      <c r="J304" s="8">
        <v>5203</v>
      </c>
      <c r="K304" s="8" t="s">
        <v>31</v>
      </c>
      <c r="L304" s="8" t="s">
        <v>32</v>
      </c>
      <c r="M304" s="8"/>
      <c r="N304" s="8" t="b">
        <v>0</v>
      </c>
      <c r="O304" s="10">
        <v>704343</v>
      </c>
      <c r="P304" s="8" t="s">
        <v>217</v>
      </c>
      <c r="Q304" s="8">
        <v>535878</v>
      </c>
      <c r="R304" s="9">
        <v>45234</v>
      </c>
      <c r="S304" s="8" t="s">
        <v>48</v>
      </c>
      <c r="T304" s="8" t="s">
        <v>40</v>
      </c>
      <c r="U304" s="8" t="s">
        <v>45</v>
      </c>
      <c r="V304" s="8" t="s">
        <v>46</v>
      </c>
      <c r="W304" s="8">
        <v>0</v>
      </c>
    </row>
    <row r="305" spans="1:23" x14ac:dyDescent="0.25">
      <c r="A305" s="4">
        <v>1</v>
      </c>
      <c r="B305" s="4"/>
      <c r="C305" s="4">
        <v>882855</v>
      </c>
      <c r="D305" s="4">
        <v>5202.5</v>
      </c>
      <c r="E305" s="5">
        <f t="shared" si="4"/>
        <v>0.5</v>
      </c>
      <c r="F305" s="15">
        <v>45245</v>
      </c>
      <c r="G305" s="10">
        <v>329603539</v>
      </c>
      <c r="H305" s="9">
        <v>45236</v>
      </c>
      <c r="I305" s="9">
        <v>45251</v>
      </c>
      <c r="J305" s="8">
        <v>5203</v>
      </c>
      <c r="K305" s="8" t="s">
        <v>31</v>
      </c>
      <c r="L305" s="8" t="s">
        <v>32</v>
      </c>
      <c r="M305" s="8"/>
      <c r="N305" s="8" t="b">
        <v>0</v>
      </c>
      <c r="O305" s="10">
        <v>705229</v>
      </c>
      <c r="P305" s="8" t="s">
        <v>138</v>
      </c>
      <c r="Q305" s="8">
        <v>535884</v>
      </c>
      <c r="R305" s="9">
        <v>45234</v>
      </c>
      <c r="S305" s="8" t="s">
        <v>48</v>
      </c>
      <c r="T305" s="8" t="s">
        <v>40</v>
      </c>
      <c r="U305" s="8" t="s">
        <v>45</v>
      </c>
      <c r="V305" s="8" t="s">
        <v>46</v>
      </c>
      <c r="W305" s="8">
        <v>0</v>
      </c>
    </row>
    <row r="306" spans="1:23" x14ac:dyDescent="0.25">
      <c r="A306" s="4">
        <v>1</v>
      </c>
      <c r="B306" s="4"/>
      <c r="C306" s="4">
        <v>882856</v>
      </c>
      <c r="D306" s="4">
        <v>5202.5</v>
      </c>
      <c r="E306" s="5">
        <f t="shared" si="4"/>
        <v>0.5</v>
      </c>
      <c r="F306" s="15">
        <v>45245</v>
      </c>
      <c r="G306" s="10">
        <v>329603540</v>
      </c>
      <c r="H306" s="9">
        <v>45236</v>
      </c>
      <c r="I306" s="9">
        <v>45251</v>
      </c>
      <c r="J306" s="8">
        <v>5203</v>
      </c>
      <c r="K306" s="8" t="s">
        <v>31</v>
      </c>
      <c r="L306" s="8" t="s">
        <v>32</v>
      </c>
      <c r="M306" s="8"/>
      <c r="N306" s="8" t="b">
        <v>0</v>
      </c>
      <c r="O306" s="10">
        <v>705225</v>
      </c>
      <c r="P306" s="8" t="s">
        <v>141</v>
      </c>
      <c r="Q306" s="8">
        <v>535879</v>
      </c>
      <c r="R306" s="9">
        <v>45234</v>
      </c>
      <c r="S306" s="8" t="s">
        <v>48</v>
      </c>
      <c r="T306" s="8" t="s">
        <v>40</v>
      </c>
      <c r="U306" s="8" t="s">
        <v>45</v>
      </c>
      <c r="V306" s="8" t="s">
        <v>46</v>
      </c>
      <c r="W306" s="8">
        <v>0</v>
      </c>
    </row>
    <row r="307" spans="1:23" x14ac:dyDescent="0.25">
      <c r="A307" s="4">
        <v>1</v>
      </c>
      <c r="B307" s="4"/>
      <c r="C307" s="4">
        <v>882857</v>
      </c>
      <c r="D307" s="4">
        <v>5202.5</v>
      </c>
      <c r="E307" s="5">
        <f t="shared" si="4"/>
        <v>0.5</v>
      </c>
      <c r="F307" s="15">
        <v>45245</v>
      </c>
      <c r="G307" s="10">
        <v>329603541</v>
      </c>
      <c r="H307" s="9">
        <v>45236</v>
      </c>
      <c r="I307" s="9">
        <v>45251</v>
      </c>
      <c r="J307" s="8">
        <v>5203</v>
      </c>
      <c r="K307" s="8" t="s">
        <v>31</v>
      </c>
      <c r="L307" s="8" t="s">
        <v>32</v>
      </c>
      <c r="M307" s="8"/>
      <c r="N307" s="8" t="b">
        <v>0</v>
      </c>
      <c r="O307" s="10">
        <v>705228</v>
      </c>
      <c r="P307" s="8" t="s">
        <v>127</v>
      </c>
      <c r="Q307" s="8">
        <v>535883</v>
      </c>
      <c r="R307" s="9">
        <v>45234</v>
      </c>
      <c r="S307" s="8" t="s">
        <v>48</v>
      </c>
      <c r="T307" s="8" t="s">
        <v>40</v>
      </c>
      <c r="U307" s="8" t="s">
        <v>45</v>
      </c>
      <c r="V307" s="8" t="s">
        <v>46</v>
      </c>
      <c r="W307" s="8">
        <v>0</v>
      </c>
    </row>
    <row r="308" spans="1:23" x14ac:dyDescent="0.25">
      <c r="A308" s="4">
        <v>1</v>
      </c>
      <c r="B308" s="4"/>
      <c r="C308" s="4">
        <v>882858</v>
      </c>
      <c r="D308" s="4">
        <v>5202.5</v>
      </c>
      <c r="E308" s="5">
        <f t="shared" si="4"/>
        <v>0.5</v>
      </c>
      <c r="F308" s="15">
        <v>45245</v>
      </c>
      <c r="G308" s="10">
        <v>329603542</v>
      </c>
      <c r="H308" s="9">
        <v>45236</v>
      </c>
      <c r="I308" s="9">
        <v>45251</v>
      </c>
      <c r="J308" s="8">
        <v>5203</v>
      </c>
      <c r="K308" s="8" t="s">
        <v>31</v>
      </c>
      <c r="L308" s="8" t="s">
        <v>32</v>
      </c>
      <c r="M308" s="8"/>
      <c r="N308" s="8" t="b">
        <v>0</v>
      </c>
      <c r="O308" s="10">
        <v>705231</v>
      </c>
      <c r="P308" s="8" t="s">
        <v>226</v>
      </c>
      <c r="Q308" s="8">
        <v>535886</v>
      </c>
      <c r="R308" s="9">
        <v>45234</v>
      </c>
      <c r="S308" s="8" t="s">
        <v>48</v>
      </c>
      <c r="T308" s="8" t="s">
        <v>40</v>
      </c>
      <c r="U308" s="8" t="s">
        <v>45</v>
      </c>
      <c r="V308" s="8" t="s">
        <v>46</v>
      </c>
      <c r="W308" s="8">
        <v>0</v>
      </c>
    </row>
    <row r="309" spans="1:23" x14ac:dyDescent="0.25">
      <c r="A309" s="4">
        <v>1</v>
      </c>
      <c r="B309" s="4"/>
      <c r="C309" s="4">
        <v>882859</v>
      </c>
      <c r="D309" s="4">
        <v>5202.5</v>
      </c>
      <c r="E309" s="5">
        <f t="shared" si="4"/>
        <v>0.5</v>
      </c>
      <c r="F309" s="15">
        <v>45245</v>
      </c>
      <c r="G309" s="10">
        <v>329610082</v>
      </c>
      <c r="H309" s="9">
        <v>45236</v>
      </c>
      <c r="I309" s="9">
        <v>45251</v>
      </c>
      <c r="J309" s="8">
        <v>5203</v>
      </c>
      <c r="K309" s="8" t="s">
        <v>31</v>
      </c>
      <c r="L309" s="8" t="s">
        <v>32</v>
      </c>
      <c r="M309" s="8"/>
      <c r="N309" s="8" t="b">
        <v>0</v>
      </c>
      <c r="O309" s="10">
        <v>705232</v>
      </c>
      <c r="P309" s="8" t="s">
        <v>231</v>
      </c>
      <c r="Q309" s="8">
        <v>538497</v>
      </c>
      <c r="R309" s="9">
        <v>45235</v>
      </c>
      <c r="S309" s="8" t="s">
        <v>48</v>
      </c>
      <c r="T309" s="8" t="s">
        <v>40</v>
      </c>
      <c r="U309" s="8" t="s">
        <v>45</v>
      </c>
      <c r="V309" s="8" t="s">
        <v>46</v>
      </c>
      <c r="W309" s="8">
        <v>0</v>
      </c>
    </row>
    <row r="310" spans="1:23" x14ac:dyDescent="0.25">
      <c r="A310" s="4">
        <v>1</v>
      </c>
      <c r="B310" s="4"/>
      <c r="C310" s="4">
        <v>882860</v>
      </c>
      <c r="D310" s="4">
        <v>5200.5</v>
      </c>
      <c r="E310" s="5">
        <f t="shared" si="4"/>
        <v>0.5</v>
      </c>
      <c r="F310" s="15">
        <v>45245</v>
      </c>
      <c r="G310" s="10">
        <v>329610094</v>
      </c>
      <c r="H310" s="9">
        <v>45236</v>
      </c>
      <c r="I310" s="9">
        <v>45251</v>
      </c>
      <c r="J310" s="8">
        <v>5201</v>
      </c>
      <c r="K310" s="8" t="s">
        <v>31</v>
      </c>
      <c r="L310" s="8" t="s">
        <v>32</v>
      </c>
      <c r="M310" s="8"/>
      <c r="N310" s="8" t="b">
        <v>0</v>
      </c>
      <c r="O310" s="10">
        <v>705239</v>
      </c>
      <c r="P310" s="8" t="s">
        <v>225</v>
      </c>
      <c r="Q310" s="8">
        <v>538499</v>
      </c>
      <c r="R310" s="9">
        <v>45235</v>
      </c>
      <c r="S310" s="8" t="s">
        <v>34</v>
      </c>
      <c r="T310" s="8" t="s">
        <v>40</v>
      </c>
      <c r="U310" s="8" t="s">
        <v>58</v>
      </c>
      <c r="V310" s="8" t="s">
        <v>46</v>
      </c>
      <c r="W310" s="8">
        <v>0</v>
      </c>
    </row>
    <row r="311" spans="1:23" x14ac:dyDescent="0.25">
      <c r="A311" s="4">
        <v>1</v>
      </c>
      <c r="B311" s="4"/>
      <c r="C311" s="4">
        <v>882861</v>
      </c>
      <c r="D311" s="4">
        <v>5170.5</v>
      </c>
      <c r="E311" s="5">
        <f t="shared" si="4"/>
        <v>2.5</v>
      </c>
      <c r="F311" s="15">
        <v>45245</v>
      </c>
      <c r="G311" s="10">
        <v>329617522</v>
      </c>
      <c r="H311" s="9">
        <v>45236</v>
      </c>
      <c r="I311" s="9">
        <v>45251</v>
      </c>
      <c r="J311" s="8">
        <v>5173</v>
      </c>
      <c r="K311" s="8" t="s">
        <v>31</v>
      </c>
      <c r="L311" s="8" t="s">
        <v>32</v>
      </c>
      <c r="M311" s="8"/>
      <c r="N311" s="8" t="b">
        <v>0</v>
      </c>
      <c r="O311" s="10">
        <v>704292</v>
      </c>
      <c r="P311" s="8" t="s">
        <v>182</v>
      </c>
      <c r="Q311" s="8">
        <v>542402</v>
      </c>
      <c r="R311" s="9">
        <v>45236</v>
      </c>
      <c r="S311" s="8" t="s">
        <v>34</v>
      </c>
      <c r="T311" s="8" t="s">
        <v>44</v>
      </c>
      <c r="U311" s="8" t="s">
        <v>45</v>
      </c>
      <c r="V311" s="8" t="s">
        <v>46</v>
      </c>
      <c r="W311" s="8">
        <v>0</v>
      </c>
    </row>
    <row r="312" spans="1:23" x14ac:dyDescent="0.25">
      <c r="A312" s="4">
        <v>1</v>
      </c>
      <c r="B312" s="4"/>
      <c r="C312" s="4">
        <v>882862</v>
      </c>
      <c r="D312" s="4">
        <v>5170.5</v>
      </c>
      <c r="E312" s="5">
        <f t="shared" si="4"/>
        <v>2.5</v>
      </c>
      <c r="F312" s="15">
        <v>45245</v>
      </c>
      <c r="G312" s="10">
        <v>329617866</v>
      </c>
      <c r="H312" s="9">
        <v>45236</v>
      </c>
      <c r="I312" s="9">
        <v>45251</v>
      </c>
      <c r="J312" s="8">
        <v>5173</v>
      </c>
      <c r="K312" s="8" t="s">
        <v>31</v>
      </c>
      <c r="L312" s="8" t="s">
        <v>32</v>
      </c>
      <c r="M312" s="8"/>
      <c r="N312" s="8" t="b">
        <v>0</v>
      </c>
      <c r="O312" s="10">
        <v>705118</v>
      </c>
      <c r="P312" s="8" t="s">
        <v>295</v>
      </c>
      <c r="Q312" s="8">
        <v>542509</v>
      </c>
      <c r="R312" s="9">
        <v>45236</v>
      </c>
      <c r="S312" s="8" t="s">
        <v>34</v>
      </c>
      <c r="T312" s="8" t="s">
        <v>44</v>
      </c>
      <c r="U312" s="8" t="s">
        <v>45</v>
      </c>
      <c r="V312" s="8" t="s">
        <v>46</v>
      </c>
      <c r="W312" s="8">
        <v>0</v>
      </c>
    </row>
    <row r="313" spans="1:23" x14ac:dyDescent="0.25">
      <c r="A313" s="4">
        <v>1</v>
      </c>
      <c r="B313" s="4"/>
      <c r="C313" s="4">
        <v>882863</v>
      </c>
      <c r="D313" s="4">
        <v>5170.5</v>
      </c>
      <c r="E313" s="5">
        <f t="shared" si="4"/>
        <v>2.5</v>
      </c>
      <c r="F313" s="15">
        <v>45245</v>
      </c>
      <c r="G313" s="10">
        <v>329617880</v>
      </c>
      <c r="H313" s="9">
        <v>45236</v>
      </c>
      <c r="I313" s="9">
        <v>45251</v>
      </c>
      <c r="J313" s="8">
        <v>5173</v>
      </c>
      <c r="K313" s="8" t="s">
        <v>31</v>
      </c>
      <c r="L313" s="8" t="s">
        <v>32</v>
      </c>
      <c r="M313" s="8"/>
      <c r="N313" s="8" t="b">
        <v>0</v>
      </c>
      <c r="O313" s="10">
        <v>705117</v>
      </c>
      <c r="P313" s="8" t="s">
        <v>252</v>
      </c>
      <c r="Q313" s="8">
        <v>542480</v>
      </c>
      <c r="R313" s="9">
        <v>45236</v>
      </c>
      <c r="S313" s="8" t="s">
        <v>34</v>
      </c>
      <c r="T313" s="8" t="s">
        <v>44</v>
      </c>
      <c r="U313" s="8" t="s">
        <v>45</v>
      </c>
      <c r="V313" s="8" t="s">
        <v>46</v>
      </c>
      <c r="W313" s="8">
        <v>0</v>
      </c>
    </row>
    <row r="314" spans="1:23" x14ac:dyDescent="0.25">
      <c r="A314" s="4">
        <v>1</v>
      </c>
      <c r="B314" s="4"/>
      <c r="C314" s="4">
        <v>882885</v>
      </c>
      <c r="D314" s="4">
        <v>13117</v>
      </c>
      <c r="E314" s="5">
        <f t="shared" si="4"/>
        <v>-9</v>
      </c>
      <c r="F314" s="15">
        <v>45245</v>
      </c>
      <c r="G314" s="10">
        <v>329620493</v>
      </c>
      <c r="H314" s="9">
        <v>45236</v>
      </c>
      <c r="I314" s="9">
        <v>45251</v>
      </c>
      <c r="J314" s="8">
        <v>13108</v>
      </c>
      <c r="K314" s="8" t="s">
        <v>31</v>
      </c>
      <c r="L314" s="8" t="s">
        <v>32</v>
      </c>
      <c r="M314" s="8"/>
      <c r="N314" s="8" t="b">
        <v>0</v>
      </c>
      <c r="O314" s="10"/>
      <c r="P314" s="8" t="s">
        <v>296</v>
      </c>
      <c r="Q314" s="8">
        <v>545811</v>
      </c>
      <c r="R314" s="9">
        <v>45236</v>
      </c>
      <c r="S314" s="8" t="s">
        <v>70</v>
      </c>
      <c r="T314" s="8" t="s">
        <v>49</v>
      </c>
      <c r="U314" s="8" t="s">
        <v>71</v>
      </c>
      <c r="V314" s="8" t="s">
        <v>72</v>
      </c>
      <c r="W314" s="8">
        <v>0</v>
      </c>
    </row>
    <row r="315" spans="1:23" x14ac:dyDescent="0.25">
      <c r="A315" s="4">
        <v>1</v>
      </c>
      <c r="B315" s="4"/>
      <c r="C315" s="4">
        <v>882886</v>
      </c>
      <c r="D315" s="4">
        <v>52752</v>
      </c>
      <c r="E315" s="5">
        <f t="shared" si="4"/>
        <v>0</v>
      </c>
      <c r="F315" s="15">
        <v>45245</v>
      </c>
      <c r="G315" s="10">
        <v>329637007</v>
      </c>
      <c r="H315" s="9">
        <v>45237</v>
      </c>
      <c r="I315" s="9">
        <v>45252</v>
      </c>
      <c r="J315" s="8">
        <v>52752</v>
      </c>
      <c r="K315" s="8" t="s">
        <v>31</v>
      </c>
      <c r="L315" s="8" t="s">
        <v>32</v>
      </c>
      <c r="M315" s="8"/>
      <c r="N315" s="8" t="b">
        <v>0</v>
      </c>
      <c r="O315" s="10"/>
      <c r="P315" s="8" t="s">
        <v>297</v>
      </c>
      <c r="Q315" s="8">
        <v>546263</v>
      </c>
      <c r="R315" s="9">
        <v>45236</v>
      </c>
      <c r="S315" s="8" t="s">
        <v>34</v>
      </c>
      <c r="T315" s="8" t="s">
        <v>49</v>
      </c>
      <c r="U315" s="8" t="s">
        <v>75</v>
      </c>
      <c r="V315" s="8" t="s">
        <v>46</v>
      </c>
      <c r="W315" s="8">
        <v>0</v>
      </c>
    </row>
    <row r="316" spans="1:23" x14ac:dyDescent="0.25">
      <c r="A316" s="4">
        <v>1</v>
      </c>
      <c r="B316" s="4"/>
      <c r="C316" s="4">
        <v>882022</v>
      </c>
      <c r="D316" s="4">
        <v>9339</v>
      </c>
      <c r="E316" s="5">
        <f t="shared" si="4"/>
        <v>1</v>
      </c>
      <c r="F316" s="15">
        <v>45245</v>
      </c>
      <c r="G316" s="10">
        <v>329645981</v>
      </c>
      <c r="H316" s="9">
        <v>45237</v>
      </c>
      <c r="I316" s="9">
        <v>45252</v>
      </c>
      <c r="J316" s="8">
        <v>9340</v>
      </c>
      <c r="K316" s="8" t="s">
        <v>31</v>
      </c>
      <c r="L316" s="8" t="s">
        <v>32</v>
      </c>
      <c r="M316" s="8"/>
      <c r="N316" s="8" t="b">
        <v>0</v>
      </c>
      <c r="O316" s="10">
        <v>700593</v>
      </c>
      <c r="P316" s="8" t="s">
        <v>230</v>
      </c>
      <c r="Q316" s="8">
        <v>566827</v>
      </c>
      <c r="R316" s="9">
        <v>45237</v>
      </c>
      <c r="S316" s="8" t="s">
        <v>130</v>
      </c>
      <c r="T316" s="8" t="s">
        <v>40</v>
      </c>
      <c r="U316" s="8" t="s">
        <v>131</v>
      </c>
      <c r="V316" s="8" t="s">
        <v>132</v>
      </c>
      <c r="W316" s="8">
        <v>0</v>
      </c>
    </row>
    <row r="317" spans="1:23" x14ac:dyDescent="0.25">
      <c r="A317" s="4">
        <v>1</v>
      </c>
      <c r="B317" s="4"/>
      <c r="C317" s="4">
        <v>882864</v>
      </c>
      <c r="D317" s="4">
        <v>5202.5</v>
      </c>
      <c r="E317" s="5">
        <f t="shared" si="4"/>
        <v>-1.5</v>
      </c>
      <c r="F317" s="15">
        <v>45245</v>
      </c>
      <c r="G317" s="10">
        <v>329646332</v>
      </c>
      <c r="H317" s="9">
        <v>45237</v>
      </c>
      <c r="I317" s="9">
        <v>45252</v>
      </c>
      <c r="J317" s="8">
        <v>5201</v>
      </c>
      <c r="K317" s="8" t="s">
        <v>31</v>
      </c>
      <c r="L317" s="8" t="s">
        <v>32</v>
      </c>
      <c r="M317" s="8"/>
      <c r="N317" s="8" t="b">
        <v>0</v>
      </c>
      <c r="O317" s="10">
        <v>705408</v>
      </c>
      <c r="P317" s="8" t="s">
        <v>227</v>
      </c>
      <c r="Q317" s="8">
        <v>566993</v>
      </c>
      <c r="R317" s="9">
        <v>45237</v>
      </c>
      <c r="S317" s="8" t="s">
        <v>34</v>
      </c>
      <c r="T317" s="8" t="s">
        <v>40</v>
      </c>
      <c r="U317" s="8" t="s">
        <v>58</v>
      </c>
      <c r="V317" s="8" t="s">
        <v>46</v>
      </c>
      <c r="W317" s="8">
        <v>0</v>
      </c>
    </row>
    <row r="318" spans="1:23" x14ac:dyDescent="0.25">
      <c r="A318" s="4">
        <v>1</v>
      </c>
      <c r="B318" s="4"/>
      <c r="C318" s="4">
        <v>882539</v>
      </c>
      <c r="D318" s="4">
        <v>7037</v>
      </c>
      <c r="E318" s="5">
        <f t="shared" si="4"/>
        <v>0</v>
      </c>
      <c r="F318" s="15">
        <v>45245</v>
      </c>
      <c r="G318" s="10">
        <v>329646345</v>
      </c>
      <c r="H318" s="9">
        <v>45237</v>
      </c>
      <c r="I318" s="9">
        <v>45252</v>
      </c>
      <c r="J318" s="8">
        <v>7037</v>
      </c>
      <c r="K318" s="8" t="s">
        <v>31</v>
      </c>
      <c r="L318" s="8" t="s">
        <v>32</v>
      </c>
      <c r="M318" s="8"/>
      <c r="N318" s="8" t="b">
        <v>0</v>
      </c>
      <c r="O318" s="10">
        <v>21035</v>
      </c>
      <c r="P318" s="8" t="s">
        <v>218</v>
      </c>
      <c r="Q318" s="8">
        <v>566931</v>
      </c>
      <c r="R318" s="9">
        <v>45237</v>
      </c>
      <c r="S318" s="8" t="s">
        <v>39</v>
      </c>
      <c r="T318" s="8" t="s">
        <v>40</v>
      </c>
      <c r="U318" s="8" t="s">
        <v>41</v>
      </c>
      <c r="V318" s="8" t="s">
        <v>42</v>
      </c>
      <c r="W318" s="8">
        <v>0</v>
      </c>
    </row>
    <row r="319" spans="1:23" x14ac:dyDescent="0.25">
      <c r="A319" s="4">
        <v>1</v>
      </c>
      <c r="B319" s="4"/>
      <c r="C319" s="4">
        <v>882536</v>
      </c>
      <c r="D319" s="4">
        <v>6415.5</v>
      </c>
      <c r="E319" s="5">
        <f t="shared" si="4"/>
        <v>0.5</v>
      </c>
      <c r="F319" s="15">
        <v>45245</v>
      </c>
      <c r="G319" s="10">
        <v>329646352</v>
      </c>
      <c r="H319" s="9">
        <v>45237</v>
      </c>
      <c r="I319" s="9">
        <v>45252</v>
      </c>
      <c r="J319" s="8">
        <v>6416</v>
      </c>
      <c r="K319" s="8" t="s">
        <v>31</v>
      </c>
      <c r="L319" s="8" t="s">
        <v>32</v>
      </c>
      <c r="M319" s="8"/>
      <c r="N319" s="8" t="b">
        <v>0</v>
      </c>
      <c r="O319" s="10">
        <v>21032</v>
      </c>
      <c r="P319" s="8" t="s">
        <v>62</v>
      </c>
      <c r="Q319" s="8">
        <v>566877</v>
      </c>
      <c r="R319" s="9">
        <v>45237</v>
      </c>
      <c r="S319" s="8" t="s">
        <v>48</v>
      </c>
      <c r="T319" s="8" t="s">
        <v>40</v>
      </c>
      <c r="U319" s="8" t="s">
        <v>50</v>
      </c>
      <c r="V319" s="8" t="s">
        <v>37</v>
      </c>
      <c r="W319" s="8">
        <v>0</v>
      </c>
    </row>
    <row r="320" spans="1:23" x14ac:dyDescent="0.25">
      <c r="A320" s="4">
        <v>1</v>
      </c>
      <c r="B320" s="4"/>
      <c r="C320" s="4">
        <v>882865</v>
      </c>
      <c r="D320" s="4">
        <v>5202.5</v>
      </c>
      <c r="E320" s="5">
        <f t="shared" si="4"/>
        <v>-1.5</v>
      </c>
      <c r="F320" s="15">
        <v>45245</v>
      </c>
      <c r="G320" s="10">
        <v>329646361</v>
      </c>
      <c r="H320" s="9">
        <v>45237</v>
      </c>
      <c r="I320" s="9">
        <v>45252</v>
      </c>
      <c r="J320" s="8">
        <v>5201</v>
      </c>
      <c r="K320" s="8" t="s">
        <v>31</v>
      </c>
      <c r="L320" s="8" t="s">
        <v>32</v>
      </c>
      <c r="M320" s="8"/>
      <c r="N320" s="8" t="b">
        <v>0</v>
      </c>
      <c r="O320" s="10">
        <v>705409</v>
      </c>
      <c r="P320" s="8" t="s">
        <v>211</v>
      </c>
      <c r="Q320" s="8">
        <v>567007</v>
      </c>
      <c r="R320" s="9">
        <v>45237</v>
      </c>
      <c r="S320" s="8" t="s">
        <v>34</v>
      </c>
      <c r="T320" s="8" t="s">
        <v>40</v>
      </c>
      <c r="U320" s="8" t="s">
        <v>58</v>
      </c>
      <c r="V320" s="8" t="s">
        <v>46</v>
      </c>
      <c r="W320" s="8">
        <v>0</v>
      </c>
    </row>
    <row r="321" spans="1:23" x14ac:dyDescent="0.25">
      <c r="A321" s="4">
        <v>1</v>
      </c>
      <c r="B321" s="4"/>
      <c r="C321" s="4">
        <v>882534</v>
      </c>
      <c r="D321" s="4">
        <v>6415.5</v>
      </c>
      <c r="E321" s="5">
        <f t="shared" si="4"/>
        <v>0.5</v>
      </c>
      <c r="F321" s="15">
        <v>45245</v>
      </c>
      <c r="G321" s="10">
        <v>329646396</v>
      </c>
      <c r="H321" s="9">
        <v>45237</v>
      </c>
      <c r="I321" s="9">
        <v>45252</v>
      </c>
      <c r="J321" s="8">
        <v>6416</v>
      </c>
      <c r="K321" s="8" t="s">
        <v>31</v>
      </c>
      <c r="L321" s="8" t="s">
        <v>32</v>
      </c>
      <c r="M321" s="8"/>
      <c r="N321" s="8" t="b">
        <v>0</v>
      </c>
      <c r="O321" s="10">
        <v>21034</v>
      </c>
      <c r="P321" s="8" t="s">
        <v>216</v>
      </c>
      <c r="Q321" s="8">
        <v>566912</v>
      </c>
      <c r="R321" s="9">
        <v>45237</v>
      </c>
      <c r="S321" s="8" t="s">
        <v>48</v>
      </c>
      <c r="T321" s="8" t="s">
        <v>40</v>
      </c>
      <c r="U321" s="8" t="s">
        <v>50</v>
      </c>
      <c r="V321" s="8" t="s">
        <v>37</v>
      </c>
      <c r="W321" s="8">
        <v>0</v>
      </c>
    </row>
    <row r="322" spans="1:23" x14ac:dyDescent="0.25">
      <c r="A322" s="4">
        <v>1</v>
      </c>
      <c r="B322" s="4"/>
      <c r="C322" s="4">
        <v>882535</v>
      </c>
      <c r="D322" s="4">
        <v>6415.5</v>
      </c>
      <c r="E322" s="5">
        <f t="shared" si="4"/>
        <v>0.5</v>
      </c>
      <c r="F322" s="15">
        <v>45245</v>
      </c>
      <c r="G322" s="10">
        <v>329646402</v>
      </c>
      <c r="H322" s="9">
        <v>45237</v>
      </c>
      <c r="I322" s="9">
        <v>45252</v>
      </c>
      <c r="J322" s="8">
        <v>6416</v>
      </c>
      <c r="K322" s="8" t="s">
        <v>31</v>
      </c>
      <c r="L322" s="8" t="s">
        <v>32</v>
      </c>
      <c r="M322" s="8"/>
      <c r="N322" s="8" t="b">
        <v>0</v>
      </c>
      <c r="O322" s="10">
        <v>21033</v>
      </c>
      <c r="P322" s="8" t="s">
        <v>38</v>
      </c>
      <c r="Q322" s="8">
        <v>566886</v>
      </c>
      <c r="R322" s="9">
        <v>45237</v>
      </c>
      <c r="S322" s="8" t="s">
        <v>48</v>
      </c>
      <c r="T322" s="8" t="s">
        <v>40</v>
      </c>
      <c r="U322" s="8" t="s">
        <v>50</v>
      </c>
      <c r="V322" s="8" t="s">
        <v>37</v>
      </c>
      <c r="W322" s="8">
        <v>0</v>
      </c>
    </row>
    <row r="323" spans="1:23" x14ac:dyDescent="0.25">
      <c r="A323" s="4">
        <v>1</v>
      </c>
      <c r="B323" s="4"/>
      <c r="C323" s="4">
        <v>882538</v>
      </c>
      <c r="D323" s="4">
        <v>7037</v>
      </c>
      <c r="E323" s="5">
        <f t="shared" si="4"/>
        <v>0</v>
      </c>
      <c r="F323" s="15">
        <v>45245</v>
      </c>
      <c r="G323" s="10">
        <v>329646412</v>
      </c>
      <c r="H323" s="9">
        <v>45237</v>
      </c>
      <c r="I323" s="9">
        <v>45252</v>
      </c>
      <c r="J323" s="8">
        <v>7037</v>
      </c>
      <c r="K323" s="8" t="s">
        <v>31</v>
      </c>
      <c r="L323" s="8" t="s">
        <v>32</v>
      </c>
      <c r="M323" s="8"/>
      <c r="N323" s="8" t="b">
        <v>0</v>
      </c>
      <c r="O323" s="10">
        <v>21036</v>
      </c>
      <c r="P323" s="8" t="s">
        <v>128</v>
      </c>
      <c r="Q323" s="8">
        <v>566951</v>
      </c>
      <c r="R323" s="9">
        <v>45237</v>
      </c>
      <c r="S323" s="8" t="s">
        <v>39</v>
      </c>
      <c r="T323" s="8" t="s">
        <v>40</v>
      </c>
      <c r="U323" s="8" t="s">
        <v>41</v>
      </c>
      <c r="V323" s="8" t="s">
        <v>42</v>
      </c>
      <c r="W323" s="8">
        <v>0</v>
      </c>
    </row>
    <row r="324" spans="1:23" x14ac:dyDescent="0.25">
      <c r="A324" s="4">
        <v>1</v>
      </c>
      <c r="B324" s="4"/>
      <c r="C324" s="4">
        <v>882866</v>
      </c>
      <c r="D324" s="4">
        <v>5202.5</v>
      </c>
      <c r="E324" s="5">
        <f t="shared" si="4"/>
        <v>-1.5</v>
      </c>
      <c r="F324" s="15">
        <v>45245</v>
      </c>
      <c r="G324" s="10">
        <v>329646618</v>
      </c>
      <c r="H324" s="9">
        <v>45237</v>
      </c>
      <c r="I324" s="9">
        <v>45252</v>
      </c>
      <c r="J324" s="8">
        <v>5201</v>
      </c>
      <c r="K324" s="8" t="s">
        <v>31</v>
      </c>
      <c r="L324" s="8" t="s">
        <v>32</v>
      </c>
      <c r="M324" s="8"/>
      <c r="N324" s="8" t="b">
        <v>0</v>
      </c>
      <c r="O324" s="10">
        <v>705243</v>
      </c>
      <c r="P324" s="8" t="s">
        <v>63</v>
      </c>
      <c r="Q324" s="8">
        <v>567225</v>
      </c>
      <c r="R324" s="9">
        <v>45237</v>
      </c>
      <c r="S324" s="8" t="s">
        <v>34</v>
      </c>
      <c r="T324" s="8" t="s">
        <v>40</v>
      </c>
      <c r="U324" s="8" t="s">
        <v>58</v>
      </c>
      <c r="V324" s="8" t="s">
        <v>46</v>
      </c>
      <c r="W324" s="8">
        <v>0</v>
      </c>
    </row>
    <row r="325" spans="1:23" x14ac:dyDescent="0.25">
      <c r="A325" s="4">
        <v>1</v>
      </c>
      <c r="B325" s="4"/>
      <c r="C325" s="4">
        <v>882867</v>
      </c>
      <c r="D325" s="4">
        <v>5202.5</v>
      </c>
      <c r="E325" s="5">
        <f t="shared" si="4"/>
        <v>-1.5</v>
      </c>
      <c r="F325" s="15">
        <v>45245</v>
      </c>
      <c r="G325" s="10">
        <v>329646622</v>
      </c>
      <c r="H325" s="9">
        <v>45237</v>
      </c>
      <c r="I325" s="9">
        <v>45252</v>
      </c>
      <c r="J325" s="8">
        <v>5201</v>
      </c>
      <c r="K325" s="8" t="s">
        <v>31</v>
      </c>
      <c r="L325" s="8" t="s">
        <v>32</v>
      </c>
      <c r="M325" s="8"/>
      <c r="N325" s="8" t="b">
        <v>0</v>
      </c>
      <c r="O325" s="10">
        <v>705244</v>
      </c>
      <c r="P325" s="8" t="s">
        <v>228</v>
      </c>
      <c r="Q325" s="8">
        <v>567263</v>
      </c>
      <c r="R325" s="9">
        <v>45237</v>
      </c>
      <c r="S325" s="8" t="s">
        <v>34</v>
      </c>
      <c r="T325" s="8" t="s">
        <v>40</v>
      </c>
      <c r="U325" s="8" t="s">
        <v>58</v>
      </c>
      <c r="V325" s="8" t="s">
        <v>46</v>
      </c>
      <c r="W325" s="8">
        <v>0</v>
      </c>
    </row>
    <row r="326" spans="1:23" x14ac:dyDescent="0.25">
      <c r="A326" s="4">
        <v>1</v>
      </c>
      <c r="B326" s="4"/>
      <c r="C326" s="4">
        <v>882868</v>
      </c>
      <c r="D326" s="4">
        <v>5202.5</v>
      </c>
      <c r="E326" s="5">
        <f t="shared" ref="E326:E389" si="5">J326-D326</f>
        <v>-1.5</v>
      </c>
      <c r="F326" s="15">
        <v>45245</v>
      </c>
      <c r="G326" s="10">
        <v>329646630</v>
      </c>
      <c r="H326" s="9">
        <v>45237</v>
      </c>
      <c r="I326" s="9">
        <v>45252</v>
      </c>
      <c r="J326" s="8">
        <v>5201</v>
      </c>
      <c r="K326" s="8" t="s">
        <v>31</v>
      </c>
      <c r="L326" s="8" t="s">
        <v>32</v>
      </c>
      <c r="M326" s="8"/>
      <c r="N326" s="8" t="b">
        <v>0</v>
      </c>
      <c r="O326" s="10">
        <v>705242</v>
      </c>
      <c r="P326" s="8" t="s">
        <v>224</v>
      </c>
      <c r="Q326" s="8">
        <v>567193</v>
      </c>
      <c r="R326" s="9">
        <v>45237</v>
      </c>
      <c r="S326" s="8" t="s">
        <v>34</v>
      </c>
      <c r="T326" s="8" t="s">
        <v>40</v>
      </c>
      <c r="U326" s="8" t="s">
        <v>58</v>
      </c>
      <c r="V326" s="8" t="s">
        <v>46</v>
      </c>
      <c r="W326" s="8">
        <v>0</v>
      </c>
    </row>
    <row r="327" spans="1:23" x14ac:dyDescent="0.25">
      <c r="A327" s="4">
        <v>1</v>
      </c>
      <c r="B327" s="4"/>
      <c r="C327" s="4">
        <v>882869</v>
      </c>
      <c r="D327" s="4">
        <v>5202.5</v>
      </c>
      <c r="E327" s="5">
        <f t="shared" si="5"/>
        <v>-1.5</v>
      </c>
      <c r="F327" s="15">
        <v>45245</v>
      </c>
      <c r="G327" s="10">
        <v>329646641</v>
      </c>
      <c r="H327" s="9">
        <v>45237</v>
      </c>
      <c r="I327" s="9">
        <v>45252</v>
      </c>
      <c r="J327" s="8">
        <v>5201</v>
      </c>
      <c r="K327" s="8" t="s">
        <v>31</v>
      </c>
      <c r="L327" s="8" t="s">
        <v>32</v>
      </c>
      <c r="M327" s="8"/>
      <c r="N327" s="8" t="b">
        <v>0</v>
      </c>
      <c r="O327" s="10">
        <v>705240</v>
      </c>
      <c r="P327" s="8" t="s">
        <v>212</v>
      </c>
      <c r="Q327" s="8">
        <v>567137</v>
      </c>
      <c r="R327" s="9">
        <v>45237</v>
      </c>
      <c r="S327" s="8" t="s">
        <v>34</v>
      </c>
      <c r="T327" s="8" t="s">
        <v>40</v>
      </c>
      <c r="U327" s="8" t="s">
        <v>58</v>
      </c>
      <c r="V327" s="8" t="s">
        <v>46</v>
      </c>
      <c r="W327" s="8">
        <v>0</v>
      </c>
    </row>
    <row r="328" spans="1:23" x14ac:dyDescent="0.25">
      <c r="A328" s="4">
        <v>1</v>
      </c>
      <c r="B328" s="4"/>
      <c r="C328" s="4">
        <v>882870</v>
      </c>
      <c r="D328" s="4">
        <v>5202.5</v>
      </c>
      <c r="E328" s="5">
        <f t="shared" si="5"/>
        <v>-1.5</v>
      </c>
      <c r="F328" s="15">
        <v>45245</v>
      </c>
      <c r="G328" s="10">
        <v>329646649</v>
      </c>
      <c r="H328" s="9">
        <v>45237</v>
      </c>
      <c r="I328" s="9">
        <v>45252</v>
      </c>
      <c r="J328" s="8">
        <v>5201</v>
      </c>
      <c r="K328" s="8" t="s">
        <v>31</v>
      </c>
      <c r="L328" s="8" t="s">
        <v>32</v>
      </c>
      <c r="M328" s="8"/>
      <c r="N328" s="8" t="b">
        <v>0</v>
      </c>
      <c r="O328" s="10">
        <v>705241</v>
      </c>
      <c r="P328" s="8" t="s">
        <v>213</v>
      </c>
      <c r="Q328" s="8">
        <v>567165</v>
      </c>
      <c r="R328" s="9">
        <v>45237</v>
      </c>
      <c r="S328" s="8" t="s">
        <v>34</v>
      </c>
      <c r="T328" s="8" t="s">
        <v>40</v>
      </c>
      <c r="U328" s="8" t="s">
        <v>58</v>
      </c>
      <c r="V328" s="8" t="s">
        <v>46</v>
      </c>
      <c r="W328" s="8">
        <v>0</v>
      </c>
    </row>
    <row r="329" spans="1:23" x14ac:dyDescent="0.25">
      <c r="A329" s="4">
        <v>1</v>
      </c>
      <c r="B329" s="4"/>
      <c r="C329" s="4">
        <v>882871</v>
      </c>
      <c r="D329" s="4">
        <v>5170.5</v>
      </c>
      <c r="E329" s="5">
        <f t="shared" si="5"/>
        <v>0.5</v>
      </c>
      <c r="F329" s="15">
        <v>45245</v>
      </c>
      <c r="G329" s="10">
        <v>329646962</v>
      </c>
      <c r="H329" s="9">
        <v>45237</v>
      </c>
      <c r="I329" s="9">
        <v>45252</v>
      </c>
      <c r="J329" s="8">
        <v>5171</v>
      </c>
      <c r="K329" s="8" t="s">
        <v>31</v>
      </c>
      <c r="L329" s="8" t="s">
        <v>32</v>
      </c>
      <c r="M329" s="8"/>
      <c r="N329" s="8" t="b">
        <v>0</v>
      </c>
      <c r="O329" s="10">
        <v>702168</v>
      </c>
      <c r="P329" s="8" t="s">
        <v>159</v>
      </c>
      <c r="Q329" s="8">
        <v>567434</v>
      </c>
      <c r="R329" s="9">
        <v>45237</v>
      </c>
      <c r="S329" s="8" t="s">
        <v>34</v>
      </c>
      <c r="T329" s="8" t="s">
        <v>44</v>
      </c>
      <c r="U329" s="8" t="s">
        <v>58</v>
      </c>
      <c r="V329" s="8" t="s">
        <v>46</v>
      </c>
      <c r="W329" s="8">
        <v>0</v>
      </c>
    </row>
    <row r="330" spans="1:23" x14ac:dyDescent="0.25">
      <c r="A330" s="4">
        <v>1</v>
      </c>
      <c r="B330" s="4"/>
      <c r="C330" s="4">
        <v>882872</v>
      </c>
      <c r="D330" s="4">
        <v>5170.5</v>
      </c>
      <c r="E330" s="5">
        <f t="shared" si="5"/>
        <v>0.5</v>
      </c>
      <c r="F330" s="15">
        <v>45245</v>
      </c>
      <c r="G330" s="10">
        <v>329646993</v>
      </c>
      <c r="H330" s="9">
        <v>45237</v>
      </c>
      <c r="I330" s="9">
        <v>45252</v>
      </c>
      <c r="J330" s="8">
        <v>5171</v>
      </c>
      <c r="K330" s="8" t="s">
        <v>31</v>
      </c>
      <c r="L330" s="8" t="s">
        <v>32</v>
      </c>
      <c r="M330" s="8"/>
      <c r="N330" s="8" t="b">
        <v>0</v>
      </c>
      <c r="O330" s="10">
        <v>702169</v>
      </c>
      <c r="P330" s="8" t="s">
        <v>210</v>
      </c>
      <c r="Q330" s="8">
        <v>567445</v>
      </c>
      <c r="R330" s="9">
        <v>45237</v>
      </c>
      <c r="S330" s="8" t="s">
        <v>34</v>
      </c>
      <c r="T330" s="8" t="s">
        <v>44</v>
      </c>
      <c r="U330" s="8" t="s">
        <v>58</v>
      </c>
      <c r="V330" s="8" t="s">
        <v>46</v>
      </c>
      <c r="W330" s="8">
        <v>0</v>
      </c>
    </row>
    <row r="331" spans="1:23" x14ac:dyDescent="0.25">
      <c r="A331" s="4">
        <v>1</v>
      </c>
      <c r="B331" s="4"/>
      <c r="C331" s="4">
        <v>882873</v>
      </c>
      <c r="D331" s="4">
        <v>5170.5</v>
      </c>
      <c r="E331" s="5">
        <f t="shared" si="5"/>
        <v>0.5</v>
      </c>
      <c r="F331" s="15">
        <v>45245</v>
      </c>
      <c r="G331" s="10">
        <v>329646997</v>
      </c>
      <c r="H331" s="9">
        <v>45237</v>
      </c>
      <c r="I331" s="9">
        <v>45252</v>
      </c>
      <c r="J331" s="8">
        <v>5171</v>
      </c>
      <c r="K331" s="8" t="s">
        <v>31</v>
      </c>
      <c r="L331" s="8" t="s">
        <v>32</v>
      </c>
      <c r="M331" s="8"/>
      <c r="N331" s="8" t="b">
        <v>0</v>
      </c>
      <c r="O331" s="10">
        <v>705137</v>
      </c>
      <c r="P331" s="8" t="s">
        <v>298</v>
      </c>
      <c r="Q331" s="8">
        <v>567658</v>
      </c>
      <c r="R331" s="9">
        <v>45237</v>
      </c>
      <c r="S331" s="8" t="s">
        <v>34</v>
      </c>
      <c r="T331" s="8" t="s">
        <v>44</v>
      </c>
      <c r="U331" s="8" t="s">
        <v>58</v>
      </c>
      <c r="V331" s="8" t="s">
        <v>46</v>
      </c>
      <c r="W331" s="8">
        <v>0</v>
      </c>
    </row>
    <row r="332" spans="1:23" x14ac:dyDescent="0.25">
      <c r="A332" s="4">
        <v>1</v>
      </c>
      <c r="B332" s="4"/>
      <c r="C332" s="4">
        <v>882874</v>
      </c>
      <c r="D332" s="4">
        <v>5170.5</v>
      </c>
      <c r="E332" s="5">
        <f t="shared" si="5"/>
        <v>0.5</v>
      </c>
      <c r="F332" s="15">
        <v>45245</v>
      </c>
      <c r="G332" s="10">
        <v>329647007</v>
      </c>
      <c r="H332" s="9">
        <v>45237</v>
      </c>
      <c r="I332" s="9">
        <v>45252</v>
      </c>
      <c r="J332" s="8">
        <v>5171</v>
      </c>
      <c r="K332" s="8" t="s">
        <v>31</v>
      </c>
      <c r="L332" s="8" t="s">
        <v>32</v>
      </c>
      <c r="M332" s="8"/>
      <c r="N332" s="8" t="b">
        <v>0</v>
      </c>
      <c r="O332" s="10">
        <v>705131</v>
      </c>
      <c r="P332" s="8" t="s">
        <v>299</v>
      </c>
      <c r="Q332" s="8">
        <v>567624</v>
      </c>
      <c r="R332" s="9">
        <v>45237</v>
      </c>
      <c r="S332" s="8" t="s">
        <v>34</v>
      </c>
      <c r="T332" s="8" t="s">
        <v>44</v>
      </c>
      <c r="U332" s="8" t="s">
        <v>58</v>
      </c>
      <c r="V332" s="8" t="s">
        <v>46</v>
      </c>
      <c r="W332" s="8">
        <v>0</v>
      </c>
    </row>
    <row r="333" spans="1:23" x14ac:dyDescent="0.25">
      <c r="A333" s="4">
        <v>1</v>
      </c>
      <c r="B333" s="4"/>
      <c r="C333" s="4">
        <v>882875</v>
      </c>
      <c r="D333" s="4">
        <v>5170.5</v>
      </c>
      <c r="E333" s="5">
        <f t="shared" si="5"/>
        <v>0.5</v>
      </c>
      <c r="F333" s="15">
        <v>45245</v>
      </c>
      <c r="G333" s="10">
        <v>329647014</v>
      </c>
      <c r="H333" s="9">
        <v>45237</v>
      </c>
      <c r="I333" s="9">
        <v>45252</v>
      </c>
      <c r="J333" s="8">
        <v>5171</v>
      </c>
      <c r="K333" s="8" t="s">
        <v>31</v>
      </c>
      <c r="L333" s="8" t="s">
        <v>32</v>
      </c>
      <c r="M333" s="8"/>
      <c r="N333" s="8" t="b">
        <v>0</v>
      </c>
      <c r="O333" s="10">
        <v>702161</v>
      </c>
      <c r="P333" s="8" t="s">
        <v>222</v>
      </c>
      <c r="Q333" s="8">
        <v>567395</v>
      </c>
      <c r="R333" s="9">
        <v>45237</v>
      </c>
      <c r="S333" s="8" t="s">
        <v>34</v>
      </c>
      <c r="T333" s="8" t="s">
        <v>44</v>
      </c>
      <c r="U333" s="8" t="s">
        <v>58</v>
      </c>
      <c r="V333" s="8" t="s">
        <v>46</v>
      </c>
      <c r="W333" s="8">
        <v>0</v>
      </c>
    </row>
    <row r="334" spans="1:23" x14ac:dyDescent="0.25">
      <c r="A334" s="4">
        <v>1</v>
      </c>
      <c r="B334" s="4"/>
      <c r="C334" s="4">
        <v>882876</v>
      </c>
      <c r="D334" s="4">
        <v>5170.5</v>
      </c>
      <c r="E334" s="5">
        <f t="shared" si="5"/>
        <v>0.5</v>
      </c>
      <c r="F334" s="15">
        <v>45245</v>
      </c>
      <c r="G334" s="10">
        <v>329647037</v>
      </c>
      <c r="H334" s="9">
        <v>45237</v>
      </c>
      <c r="I334" s="9">
        <v>45252</v>
      </c>
      <c r="J334" s="8">
        <v>5171</v>
      </c>
      <c r="K334" s="8" t="s">
        <v>31</v>
      </c>
      <c r="L334" s="8" t="s">
        <v>32</v>
      </c>
      <c r="M334" s="8"/>
      <c r="N334" s="8" t="b">
        <v>0</v>
      </c>
      <c r="O334" s="10">
        <v>705130</v>
      </c>
      <c r="P334" s="8" t="s">
        <v>179</v>
      </c>
      <c r="Q334" s="8">
        <v>567462</v>
      </c>
      <c r="R334" s="9">
        <v>45237</v>
      </c>
      <c r="S334" s="8" t="s">
        <v>34</v>
      </c>
      <c r="T334" s="8" t="s">
        <v>44</v>
      </c>
      <c r="U334" s="8" t="s">
        <v>58</v>
      </c>
      <c r="V334" s="8" t="s">
        <v>46</v>
      </c>
      <c r="W334" s="8">
        <v>0</v>
      </c>
    </row>
    <row r="335" spans="1:23" x14ac:dyDescent="0.25">
      <c r="A335" s="4">
        <v>1</v>
      </c>
      <c r="B335" s="4"/>
      <c r="C335" s="4">
        <v>882877</v>
      </c>
      <c r="D335" s="4">
        <v>5170.5</v>
      </c>
      <c r="E335" s="5">
        <f t="shared" si="5"/>
        <v>0.5</v>
      </c>
      <c r="F335" s="15">
        <v>45245</v>
      </c>
      <c r="G335" s="10">
        <v>329647048</v>
      </c>
      <c r="H335" s="9">
        <v>45237</v>
      </c>
      <c r="I335" s="9">
        <v>45252</v>
      </c>
      <c r="J335" s="8">
        <v>5171</v>
      </c>
      <c r="K335" s="8" t="s">
        <v>31</v>
      </c>
      <c r="L335" s="8" t="s">
        <v>32</v>
      </c>
      <c r="M335" s="8"/>
      <c r="N335" s="8" t="b">
        <v>0</v>
      </c>
      <c r="O335" s="10">
        <v>702162</v>
      </c>
      <c r="P335" s="8" t="s">
        <v>120</v>
      </c>
      <c r="Q335" s="8">
        <v>567414</v>
      </c>
      <c r="R335" s="9">
        <v>45237</v>
      </c>
      <c r="S335" s="8" t="s">
        <v>34</v>
      </c>
      <c r="T335" s="8" t="s">
        <v>44</v>
      </c>
      <c r="U335" s="8" t="s">
        <v>58</v>
      </c>
      <c r="V335" s="8" t="s">
        <v>46</v>
      </c>
      <c r="W335" s="8">
        <v>0</v>
      </c>
    </row>
    <row r="336" spans="1:23" x14ac:dyDescent="0.25">
      <c r="A336" s="4">
        <v>1</v>
      </c>
      <c r="B336" s="4"/>
      <c r="C336" s="4">
        <v>882878</v>
      </c>
      <c r="D336" s="4">
        <v>5170.5</v>
      </c>
      <c r="E336" s="5">
        <f t="shared" si="5"/>
        <v>0.5</v>
      </c>
      <c r="F336" s="15">
        <v>45245</v>
      </c>
      <c r="G336" s="10">
        <v>329647049</v>
      </c>
      <c r="H336" s="9">
        <v>45237</v>
      </c>
      <c r="I336" s="9">
        <v>45252</v>
      </c>
      <c r="J336" s="8">
        <v>5171</v>
      </c>
      <c r="K336" s="8" t="s">
        <v>31</v>
      </c>
      <c r="L336" s="8" t="s">
        <v>32</v>
      </c>
      <c r="M336" s="8"/>
      <c r="N336" s="8" t="b">
        <v>0</v>
      </c>
      <c r="O336" s="10">
        <v>705129</v>
      </c>
      <c r="P336" s="8" t="s">
        <v>203</v>
      </c>
      <c r="Q336" s="8">
        <v>567449</v>
      </c>
      <c r="R336" s="9">
        <v>45237</v>
      </c>
      <c r="S336" s="8" t="s">
        <v>34</v>
      </c>
      <c r="T336" s="8" t="s">
        <v>44</v>
      </c>
      <c r="U336" s="8" t="s">
        <v>58</v>
      </c>
      <c r="V336" s="8" t="s">
        <v>46</v>
      </c>
      <c r="W336" s="8">
        <v>0</v>
      </c>
    </row>
    <row r="337" spans="1:23" x14ac:dyDescent="0.25">
      <c r="A337" s="4">
        <v>1</v>
      </c>
      <c r="B337" s="4"/>
      <c r="C337" s="4">
        <v>882879</v>
      </c>
      <c r="D337" s="4">
        <v>5170.5</v>
      </c>
      <c r="E337" s="5">
        <f t="shared" si="5"/>
        <v>0.5</v>
      </c>
      <c r="F337" s="15">
        <v>45245</v>
      </c>
      <c r="G337" s="10">
        <v>329647075</v>
      </c>
      <c r="H337" s="9">
        <v>45237</v>
      </c>
      <c r="I337" s="9">
        <v>45252</v>
      </c>
      <c r="J337" s="8">
        <v>5171</v>
      </c>
      <c r="K337" s="8" t="s">
        <v>31</v>
      </c>
      <c r="L337" s="8" t="s">
        <v>32</v>
      </c>
      <c r="M337" s="8"/>
      <c r="N337" s="8" t="b">
        <v>0</v>
      </c>
      <c r="O337" s="10">
        <v>705132</v>
      </c>
      <c r="P337" s="8" t="s">
        <v>54</v>
      </c>
      <c r="Q337" s="8">
        <v>567644</v>
      </c>
      <c r="R337" s="9">
        <v>45237</v>
      </c>
      <c r="S337" s="8" t="s">
        <v>34</v>
      </c>
      <c r="T337" s="8" t="s">
        <v>44</v>
      </c>
      <c r="U337" s="8" t="s">
        <v>58</v>
      </c>
      <c r="V337" s="8" t="s">
        <v>46</v>
      </c>
      <c r="W337" s="8">
        <v>0</v>
      </c>
    </row>
    <row r="338" spans="1:23" x14ac:dyDescent="0.25">
      <c r="A338" s="4">
        <v>1</v>
      </c>
      <c r="B338" s="4"/>
      <c r="C338" s="4">
        <v>882887</v>
      </c>
      <c r="D338" s="4">
        <v>50652</v>
      </c>
      <c r="E338" s="5">
        <f t="shared" si="5"/>
        <v>4</v>
      </c>
      <c r="F338" s="15">
        <v>45245</v>
      </c>
      <c r="G338" s="10">
        <v>329666150</v>
      </c>
      <c r="H338" s="9">
        <v>45238</v>
      </c>
      <c r="I338" s="9">
        <v>45253</v>
      </c>
      <c r="J338" s="8">
        <v>50656</v>
      </c>
      <c r="K338" s="8" t="s">
        <v>31</v>
      </c>
      <c r="L338" s="8" t="s">
        <v>32</v>
      </c>
      <c r="M338" s="8"/>
      <c r="N338" s="8" t="b">
        <v>0</v>
      </c>
      <c r="O338" s="10"/>
      <c r="P338" s="8" t="s">
        <v>300</v>
      </c>
      <c r="Q338" s="8">
        <v>582370</v>
      </c>
      <c r="R338" s="9">
        <v>45238</v>
      </c>
      <c r="S338" s="8" t="s">
        <v>48</v>
      </c>
      <c r="T338" s="8" t="s">
        <v>49</v>
      </c>
      <c r="U338" s="8" t="s">
        <v>50</v>
      </c>
      <c r="V338" s="8" t="s">
        <v>37</v>
      </c>
      <c r="W338" s="8">
        <v>0</v>
      </c>
    </row>
    <row r="339" spans="1:23" x14ac:dyDescent="0.25">
      <c r="A339" s="4">
        <v>1</v>
      </c>
      <c r="B339" s="4"/>
      <c r="C339" s="4">
        <v>882888</v>
      </c>
      <c r="D339" s="4">
        <v>48356</v>
      </c>
      <c r="E339" s="5">
        <f t="shared" si="5"/>
        <v>0</v>
      </c>
      <c r="F339" s="15">
        <v>45245</v>
      </c>
      <c r="G339" s="10">
        <v>329666468</v>
      </c>
      <c r="H339" s="9">
        <v>45238</v>
      </c>
      <c r="I339" s="9">
        <v>45253</v>
      </c>
      <c r="J339" s="8">
        <v>48356</v>
      </c>
      <c r="K339" s="8" t="s">
        <v>31</v>
      </c>
      <c r="L339" s="8" t="s">
        <v>32</v>
      </c>
      <c r="M339" s="8"/>
      <c r="N339" s="8" t="b">
        <v>0</v>
      </c>
      <c r="O339" s="10"/>
      <c r="P339" s="8" t="s">
        <v>301</v>
      </c>
      <c r="Q339" s="8">
        <v>582498</v>
      </c>
      <c r="R339" s="9">
        <v>45238</v>
      </c>
      <c r="S339" s="8" t="s">
        <v>34</v>
      </c>
      <c r="T339" s="8" t="s">
        <v>49</v>
      </c>
      <c r="U339" s="8" t="s">
        <v>75</v>
      </c>
      <c r="V339" s="8" t="s">
        <v>46</v>
      </c>
      <c r="W339" s="8">
        <v>0</v>
      </c>
    </row>
    <row r="340" spans="1:23" x14ac:dyDescent="0.25">
      <c r="A340" s="4">
        <v>1</v>
      </c>
      <c r="B340" s="4"/>
      <c r="C340" s="4">
        <v>882889</v>
      </c>
      <c r="D340" s="4">
        <v>6558.5</v>
      </c>
      <c r="E340" s="5">
        <f t="shared" si="5"/>
        <v>-4.5</v>
      </c>
      <c r="F340" s="15">
        <v>45245</v>
      </c>
      <c r="G340" s="10">
        <v>329666534</v>
      </c>
      <c r="H340" s="9">
        <v>45238</v>
      </c>
      <c r="I340" s="9">
        <v>45253</v>
      </c>
      <c r="J340" s="8">
        <v>6554</v>
      </c>
      <c r="K340" s="8" t="s">
        <v>31</v>
      </c>
      <c r="L340" s="8" t="s">
        <v>32</v>
      </c>
      <c r="M340" s="8"/>
      <c r="N340" s="8" t="b">
        <v>0</v>
      </c>
      <c r="O340" s="10"/>
      <c r="P340" s="8" t="s">
        <v>74</v>
      </c>
      <c r="Q340" s="8">
        <v>582427</v>
      </c>
      <c r="R340" s="9">
        <v>45238</v>
      </c>
      <c r="S340" s="8" t="s">
        <v>70</v>
      </c>
      <c r="T340" s="8" t="s">
        <v>49</v>
      </c>
      <c r="U340" s="8" t="s">
        <v>71</v>
      </c>
      <c r="V340" s="8" t="s">
        <v>72</v>
      </c>
      <c r="W340" s="8">
        <v>0</v>
      </c>
    </row>
    <row r="341" spans="1:23" x14ac:dyDescent="0.25">
      <c r="A341" s="4">
        <v>1</v>
      </c>
      <c r="B341" s="4"/>
      <c r="C341" s="4">
        <v>882880</v>
      </c>
      <c r="D341" s="4">
        <v>5200.5</v>
      </c>
      <c r="E341" s="5">
        <f t="shared" si="5"/>
        <v>0.5</v>
      </c>
      <c r="F341" s="15">
        <v>45245</v>
      </c>
      <c r="G341" s="10">
        <v>329684635</v>
      </c>
      <c r="H341" s="9">
        <v>45239</v>
      </c>
      <c r="I341" s="9">
        <v>45254</v>
      </c>
      <c r="J341" s="8">
        <v>5201</v>
      </c>
      <c r="K341" s="8" t="s">
        <v>31</v>
      </c>
      <c r="L341" s="8" t="s">
        <v>32</v>
      </c>
      <c r="M341" s="8"/>
      <c r="N341" s="8" t="b">
        <v>0</v>
      </c>
      <c r="O341" s="10">
        <v>705245</v>
      </c>
      <c r="P341" s="8" t="s">
        <v>139</v>
      </c>
      <c r="Q341" s="8">
        <v>597663</v>
      </c>
      <c r="R341" s="9">
        <v>45239</v>
      </c>
      <c r="S341" s="8" t="s">
        <v>34</v>
      </c>
      <c r="T341" s="8" t="s">
        <v>40</v>
      </c>
      <c r="U341" s="8" t="s">
        <v>58</v>
      </c>
      <c r="V341" s="8" t="s">
        <v>46</v>
      </c>
      <c r="W341" s="8">
        <v>0</v>
      </c>
    </row>
    <row r="342" spans="1:23" x14ac:dyDescent="0.25">
      <c r="A342" s="4">
        <v>1</v>
      </c>
      <c r="B342" s="4"/>
      <c r="C342" s="4">
        <v>882544</v>
      </c>
      <c r="D342" s="4">
        <v>5170.5</v>
      </c>
      <c r="E342" s="5">
        <f t="shared" si="5"/>
        <v>0.5</v>
      </c>
      <c r="F342" s="15">
        <v>45245</v>
      </c>
      <c r="G342" s="10">
        <v>329686515</v>
      </c>
      <c r="H342" s="9">
        <v>45239</v>
      </c>
      <c r="I342" s="9">
        <v>45254</v>
      </c>
      <c r="J342" s="8">
        <v>5171</v>
      </c>
      <c r="K342" s="8" t="s">
        <v>31</v>
      </c>
      <c r="L342" s="8" t="s">
        <v>32</v>
      </c>
      <c r="M342" s="8"/>
      <c r="N342" s="8" t="b">
        <v>0</v>
      </c>
      <c r="O342" s="10">
        <v>21027</v>
      </c>
      <c r="P342" s="8" t="s">
        <v>302</v>
      </c>
      <c r="Q342" s="8">
        <v>600442</v>
      </c>
      <c r="R342" s="9">
        <v>45239</v>
      </c>
      <c r="S342" s="8" t="s">
        <v>34</v>
      </c>
      <c r="T342" s="8" t="s">
        <v>44</v>
      </c>
      <c r="U342" s="8" t="s">
        <v>58</v>
      </c>
      <c r="V342" s="8" t="s">
        <v>46</v>
      </c>
      <c r="W342" s="8">
        <v>0</v>
      </c>
    </row>
    <row r="343" spans="1:23" x14ac:dyDescent="0.25">
      <c r="A343" s="4">
        <v>1</v>
      </c>
      <c r="B343" s="4"/>
      <c r="C343" s="4">
        <v>882543</v>
      </c>
      <c r="D343" s="4">
        <v>5170.5</v>
      </c>
      <c r="E343" s="5">
        <f t="shared" si="5"/>
        <v>0.5</v>
      </c>
      <c r="F343" s="15">
        <v>45245</v>
      </c>
      <c r="G343" s="10">
        <v>329686516</v>
      </c>
      <c r="H343" s="9">
        <v>45239</v>
      </c>
      <c r="I343" s="9">
        <v>45254</v>
      </c>
      <c r="J343" s="8">
        <v>5171</v>
      </c>
      <c r="K343" s="8" t="s">
        <v>31</v>
      </c>
      <c r="L343" s="8" t="s">
        <v>32</v>
      </c>
      <c r="M343" s="8"/>
      <c r="N343" s="8" t="b">
        <v>0</v>
      </c>
      <c r="O343" s="10">
        <v>21026</v>
      </c>
      <c r="P343" s="8" t="s">
        <v>303</v>
      </c>
      <c r="Q343" s="8">
        <v>600430</v>
      </c>
      <c r="R343" s="9">
        <v>45239</v>
      </c>
      <c r="S343" s="8" t="s">
        <v>34</v>
      </c>
      <c r="T343" s="8" t="s">
        <v>44</v>
      </c>
      <c r="U343" s="8" t="s">
        <v>58</v>
      </c>
      <c r="V343" s="8" t="s">
        <v>46</v>
      </c>
      <c r="W343" s="8">
        <v>0</v>
      </c>
    </row>
    <row r="344" spans="1:23" x14ac:dyDescent="0.25">
      <c r="A344" s="4">
        <v>1</v>
      </c>
      <c r="B344" s="4"/>
      <c r="C344" s="4">
        <v>882542</v>
      </c>
      <c r="D344" s="4">
        <v>5170.5</v>
      </c>
      <c r="E344" s="5">
        <f t="shared" si="5"/>
        <v>0.5</v>
      </c>
      <c r="F344" s="15">
        <v>45245</v>
      </c>
      <c r="G344" s="10">
        <v>329686558</v>
      </c>
      <c r="H344" s="9">
        <v>45239</v>
      </c>
      <c r="I344" s="9">
        <v>45254</v>
      </c>
      <c r="J344" s="8">
        <v>5171</v>
      </c>
      <c r="K344" s="8" t="s">
        <v>31</v>
      </c>
      <c r="L344" s="8" t="s">
        <v>32</v>
      </c>
      <c r="M344" s="8"/>
      <c r="N344" s="8" t="b">
        <v>0</v>
      </c>
      <c r="O344" s="10">
        <v>21025</v>
      </c>
      <c r="P344" s="8" t="s">
        <v>304</v>
      </c>
      <c r="Q344" s="8">
        <v>600424</v>
      </c>
      <c r="R344" s="9">
        <v>45239</v>
      </c>
      <c r="S344" s="8" t="s">
        <v>34</v>
      </c>
      <c r="T344" s="8" t="s">
        <v>44</v>
      </c>
      <c r="U344" s="8" t="s">
        <v>58</v>
      </c>
      <c r="V344" s="8" t="s">
        <v>46</v>
      </c>
      <c r="W344" s="8">
        <v>0</v>
      </c>
    </row>
    <row r="345" spans="1:23" x14ac:dyDescent="0.25">
      <c r="A345" s="4">
        <v>2</v>
      </c>
      <c r="B345" s="4" t="s">
        <v>305</v>
      </c>
      <c r="C345" s="4"/>
      <c r="D345" s="4"/>
      <c r="E345" s="5">
        <f t="shared" si="5"/>
        <v>12664</v>
      </c>
      <c r="F345" s="15">
        <v>45245</v>
      </c>
      <c r="G345" s="10">
        <v>329690419</v>
      </c>
      <c r="H345" s="9">
        <v>45239</v>
      </c>
      <c r="I345" s="9">
        <v>45254</v>
      </c>
      <c r="J345" s="8">
        <v>12664</v>
      </c>
      <c r="K345" s="8" t="s">
        <v>31</v>
      </c>
      <c r="L345" s="8" t="s">
        <v>32</v>
      </c>
      <c r="M345" s="8"/>
      <c r="N345" s="8" t="b">
        <v>0</v>
      </c>
      <c r="O345" s="10"/>
      <c r="P345" s="8" t="s">
        <v>306</v>
      </c>
      <c r="Q345" s="8">
        <v>545982</v>
      </c>
      <c r="R345" s="9">
        <v>45236</v>
      </c>
      <c r="S345" s="8" t="s">
        <v>48</v>
      </c>
      <c r="T345" s="8" t="s">
        <v>49</v>
      </c>
      <c r="U345" s="8" t="s">
        <v>50</v>
      </c>
      <c r="V345" s="8" t="s">
        <v>37</v>
      </c>
      <c r="W345" s="8">
        <v>0</v>
      </c>
    </row>
    <row r="346" spans="1:23" x14ac:dyDescent="0.25">
      <c r="A346" s="4">
        <v>1</v>
      </c>
      <c r="B346" s="4"/>
      <c r="C346" s="4">
        <v>882537</v>
      </c>
      <c r="D346" s="4">
        <v>6415.5</v>
      </c>
      <c r="E346" s="5">
        <f t="shared" si="5"/>
        <v>0.5</v>
      </c>
      <c r="F346" s="15">
        <v>45245</v>
      </c>
      <c r="G346" s="10">
        <v>329691947</v>
      </c>
      <c r="H346" s="9">
        <v>45239</v>
      </c>
      <c r="I346" s="9">
        <v>45254</v>
      </c>
      <c r="J346" s="8">
        <v>6416</v>
      </c>
      <c r="K346" s="8" t="s">
        <v>31</v>
      </c>
      <c r="L346" s="8" t="s">
        <v>32</v>
      </c>
      <c r="M346" s="8"/>
      <c r="N346" s="8" t="b">
        <v>0</v>
      </c>
      <c r="O346" s="10">
        <v>21043</v>
      </c>
      <c r="P346" s="8" t="s">
        <v>97</v>
      </c>
      <c r="Q346" s="8">
        <v>604548</v>
      </c>
      <c r="R346" s="9">
        <v>45239</v>
      </c>
      <c r="S346" s="8" t="s">
        <v>48</v>
      </c>
      <c r="T346" s="8" t="s">
        <v>40</v>
      </c>
      <c r="U346" s="8" t="s">
        <v>50</v>
      </c>
      <c r="V346" s="8" t="s">
        <v>37</v>
      </c>
      <c r="W346" s="8">
        <v>0</v>
      </c>
    </row>
    <row r="347" spans="1:23" x14ac:dyDescent="0.25">
      <c r="A347" s="4">
        <v>1</v>
      </c>
      <c r="B347" s="4"/>
      <c r="C347" s="4">
        <v>882881</v>
      </c>
      <c r="D347" s="4">
        <v>8094.5</v>
      </c>
      <c r="E347" s="5">
        <f t="shared" si="5"/>
        <v>0.5</v>
      </c>
      <c r="F347" s="15">
        <v>45245</v>
      </c>
      <c r="G347" s="10">
        <v>329691981</v>
      </c>
      <c r="H347" s="9">
        <v>45239</v>
      </c>
      <c r="I347" s="9">
        <v>45254</v>
      </c>
      <c r="J347" s="8">
        <v>8095</v>
      </c>
      <c r="K347" s="8" t="s">
        <v>31</v>
      </c>
      <c r="L347" s="8" t="s">
        <v>32</v>
      </c>
      <c r="M347" s="8"/>
      <c r="N347" s="8" t="b">
        <v>0</v>
      </c>
      <c r="O347" s="10">
        <v>705691</v>
      </c>
      <c r="P347" s="8" t="s">
        <v>92</v>
      </c>
      <c r="Q347" s="8">
        <v>604570</v>
      </c>
      <c r="R347" s="9">
        <v>45239</v>
      </c>
      <c r="S347" s="8" t="s">
        <v>34</v>
      </c>
      <c r="T347" s="8" t="s">
        <v>40</v>
      </c>
      <c r="U347" s="8" t="s">
        <v>157</v>
      </c>
      <c r="V347" s="8" t="s">
        <v>158</v>
      </c>
      <c r="W347" s="8">
        <v>0</v>
      </c>
    </row>
    <row r="348" spans="1:23" x14ac:dyDescent="0.25">
      <c r="A348" s="4">
        <v>1</v>
      </c>
      <c r="B348" s="4"/>
      <c r="C348" s="4">
        <v>882540</v>
      </c>
      <c r="D348" s="4">
        <v>5231.5</v>
      </c>
      <c r="E348" s="5">
        <f t="shared" si="5"/>
        <v>0.5</v>
      </c>
      <c r="F348" s="15">
        <v>45245</v>
      </c>
      <c r="G348" s="10">
        <v>329692012</v>
      </c>
      <c r="H348" s="9">
        <v>45239</v>
      </c>
      <c r="I348" s="9">
        <v>45254</v>
      </c>
      <c r="J348" s="8">
        <v>5232</v>
      </c>
      <c r="K348" s="8" t="s">
        <v>31</v>
      </c>
      <c r="L348" s="8" t="s">
        <v>32</v>
      </c>
      <c r="M348" s="8"/>
      <c r="N348" s="8" t="b">
        <v>0</v>
      </c>
      <c r="O348" s="10">
        <v>21044</v>
      </c>
      <c r="P348" s="8" t="s">
        <v>90</v>
      </c>
      <c r="Q348" s="8">
        <v>604560</v>
      </c>
      <c r="R348" s="9">
        <v>45239</v>
      </c>
      <c r="S348" s="8" t="s">
        <v>48</v>
      </c>
      <c r="T348" s="8" t="s">
        <v>40</v>
      </c>
      <c r="U348" s="8" t="s">
        <v>163</v>
      </c>
      <c r="V348" s="8" t="s">
        <v>46</v>
      </c>
      <c r="W348" s="8">
        <v>0</v>
      </c>
    </row>
    <row r="349" spans="1:23" x14ac:dyDescent="0.25">
      <c r="A349" s="4">
        <v>1</v>
      </c>
      <c r="B349" s="4"/>
      <c r="C349" s="4">
        <v>882541</v>
      </c>
      <c r="D349" s="4">
        <v>5231.5</v>
      </c>
      <c r="E349" s="5">
        <f t="shared" si="5"/>
        <v>0.5</v>
      </c>
      <c r="F349" s="15">
        <v>45245</v>
      </c>
      <c r="G349" s="10">
        <v>329692019</v>
      </c>
      <c r="H349" s="9">
        <v>45239</v>
      </c>
      <c r="I349" s="9">
        <v>45254</v>
      </c>
      <c r="J349" s="8">
        <v>5232</v>
      </c>
      <c r="K349" s="8" t="s">
        <v>31</v>
      </c>
      <c r="L349" s="8" t="s">
        <v>32</v>
      </c>
      <c r="M349" s="8"/>
      <c r="N349" s="8" t="b">
        <v>0</v>
      </c>
      <c r="O349" s="10">
        <v>21042</v>
      </c>
      <c r="P349" s="8" t="s">
        <v>86</v>
      </c>
      <c r="Q349" s="8">
        <v>604534</v>
      </c>
      <c r="R349" s="9">
        <v>45239</v>
      </c>
      <c r="S349" s="8" t="s">
        <v>48</v>
      </c>
      <c r="T349" s="8" t="s">
        <v>40</v>
      </c>
      <c r="U349" s="8" t="s">
        <v>163</v>
      </c>
      <c r="V349" s="8" t="s">
        <v>46</v>
      </c>
      <c r="W349" s="8">
        <v>0</v>
      </c>
    </row>
    <row r="350" spans="1:23" x14ac:dyDescent="0.25">
      <c r="A350" s="4">
        <v>1</v>
      </c>
      <c r="B350" s="4"/>
      <c r="C350" s="4">
        <v>882882</v>
      </c>
      <c r="D350" s="4">
        <v>8094.5</v>
      </c>
      <c r="E350" s="5">
        <f t="shared" si="5"/>
        <v>0.5</v>
      </c>
      <c r="F350" s="15">
        <v>45245</v>
      </c>
      <c r="G350" s="10">
        <v>329692983</v>
      </c>
      <c r="H350" s="9">
        <v>45239</v>
      </c>
      <c r="I350" s="9">
        <v>45254</v>
      </c>
      <c r="J350" s="8">
        <v>8095</v>
      </c>
      <c r="K350" s="8" t="s">
        <v>31</v>
      </c>
      <c r="L350" s="8" t="s">
        <v>32</v>
      </c>
      <c r="M350" s="8"/>
      <c r="N350" s="8" t="b">
        <v>0</v>
      </c>
      <c r="O350" s="10">
        <v>705692</v>
      </c>
      <c r="P350" s="8" t="s">
        <v>78</v>
      </c>
      <c r="Q350" s="8">
        <v>605217</v>
      </c>
      <c r="R350" s="9">
        <v>45239</v>
      </c>
      <c r="S350" s="8" t="s">
        <v>34</v>
      </c>
      <c r="T350" s="8" t="s">
        <v>40</v>
      </c>
      <c r="U350" s="8" t="s">
        <v>157</v>
      </c>
      <c r="V350" s="8" t="s">
        <v>158</v>
      </c>
      <c r="W350" s="8">
        <v>0</v>
      </c>
    </row>
    <row r="351" spans="1:23" x14ac:dyDescent="0.25">
      <c r="A351" s="4">
        <v>1</v>
      </c>
      <c r="B351" s="4"/>
      <c r="C351" s="4">
        <v>882890</v>
      </c>
      <c r="D351" s="4">
        <v>6331.5</v>
      </c>
      <c r="E351" s="5">
        <f t="shared" si="5"/>
        <v>0.5</v>
      </c>
      <c r="F351" s="15">
        <v>45245</v>
      </c>
      <c r="G351" s="10">
        <v>329695256</v>
      </c>
      <c r="H351" s="9">
        <v>45239</v>
      </c>
      <c r="I351" s="9">
        <v>45254</v>
      </c>
      <c r="J351" s="8">
        <v>6332</v>
      </c>
      <c r="K351" s="8" t="s">
        <v>31</v>
      </c>
      <c r="L351" s="8" t="s">
        <v>32</v>
      </c>
      <c r="M351" s="8"/>
      <c r="N351" s="8" t="b">
        <v>0</v>
      </c>
      <c r="O351" s="10"/>
      <c r="P351" s="8" t="s">
        <v>307</v>
      </c>
      <c r="Q351" s="8">
        <v>608512</v>
      </c>
      <c r="R351" s="9">
        <v>45239</v>
      </c>
      <c r="S351" s="8" t="s">
        <v>48</v>
      </c>
      <c r="T351" s="8" t="s">
        <v>49</v>
      </c>
      <c r="U351" s="8" t="s">
        <v>50</v>
      </c>
      <c r="V351" s="8" t="s">
        <v>37</v>
      </c>
      <c r="W351" s="8">
        <v>0</v>
      </c>
    </row>
    <row r="352" spans="1:23" x14ac:dyDescent="0.25">
      <c r="A352" s="4">
        <v>1</v>
      </c>
      <c r="B352" s="4"/>
      <c r="C352" s="4">
        <v>883028</v>
      </c>
      <c r="D352" s="4">
        <v>5183</v>
      </c>
      <c r="E352" s="5">
        <f t="shared" si="5"/>
        <v>1</v>
      </c>
      <c r="F352" s="15">
        <v>45245</v>
      </c>
      <c r="G352" s="10">
        <v>329697030</v>
      </c>
      <c r="H352" s="9">
        <v>45240</v>
      </c>
      <c r="I352" s="9">
        <v>45255</v>
      </c>
      <c r="J352" s="8">
        <v>5184</v>
      </c>
      <c r="K352" s="8" t="s">
        <v>31</v>
      </c>
      <c r="L352" s="8" t="s">
        <v>32</v>
      </c>
      <c r="M352" s="8"/>
      <c r="N352" s="8" t="b">
        <v>0</v>
      </c>
      <c r="O352" s="10">
        <v>704415</v>
      </c>
      <c r="P352" s="8" t="s">
        <v>255</v>
      </c>
      <c r="Q352" s="8">
        <v>609780</v>
      </c>
      <c r="R352" s="9">
        <v>45239</v>
      </c>
      <c r="S352" s="8" t="s">
        <v>308</v>
      </c>
      <c r="T352" s="8" t="s">
        <v>44</v>
      </c>
      <c r="U352" s="8" t="s">
        <v>309</v>
      </c>
      <c r="V352" s="8" t="s">
        <v>46</v>
      </c>
      <c r="W352" s="8">
        <v>0</v>
      </c>
    </row>
    <row r="353" spans="1:23" x14ac:dyDescent="0.25">
      <c r="A353" s="4">
        <v>1</v>
      </c>
      <c r="B353" s="4"/>
      <c r="C353" s="4">
        <v>883041</v>
      </c>
      <c r="D353" s="4">
        <v>5173</v>
      </c>
      <c r="E353" s="5">
        <f t="shared" si="5"/>
        <v>0</v>
      </c>
      <c r="F353" s="15">
        <v>45245</v>
      </c>
      <c r="G353" s="10">
        <v>329715729</v>
      </c>
      <c r="H353" s="9">
        <v>45240</v>
      </c>
      <c r="I353" s="9">
        <v>45255</v>
      </c>
      <c r="J353" s="8">
        <v>5173</v>
      </c>
      <c r="K353" s="8" t="s">
        <v>31</v>
      </c>
      <c r="L353" s="8" t="s">
        <v>32</v>
      </c>
      <c r="M353" s="8"/>
      <c r="N353" s="8" t="b">
        <v>0</v>
      </c>
      <c r="O353" s="10">
        <v>702409</v>
      </c>
      <c r="P353" s="8" t="s">
        <v>33</v>
      </c>
      <c r="Q353" s="8">
        <v>623570</v>
      </c>
      <c r="R353" s="9">
        <v>45240</v>
      </c>
      <c r="S353" s="8" t="s">
        <v>180</v>
      </c>
      <c r="T353" s="8" t="s">
        <v>44</v>
      </c>
      <c r="U353" s="8" t="s">
        <v>45</v>
      </c>
      <c r="V353" s="8" t="s">
        <v>46</v>
      </c>
      <c r="W353" s="8">
        <v>0</v>
      </c>
    </row>
    <row r="354" spans="1:23" x14ac:dyDescent="0.25">
      <c r="A354" s="4">
        <v>1</v>
      </c>
      <c r="B354" s="4"/>
      <c r="C354" s="4">
        <v>883231</v>
      </c>
      <c r="D354" s="4">
        <v>5170.5</v>
      </c>
      <c r="E354" s="5">
        <f t="shared" si="5"/>
        <v>0.5</v>
      </c>
      <c r="F354" s="15">
        <v>45257</v>
      </c>
      <c r="G354" s="10">
        <v>329769212</v>
      </c>
      <c r="H354" s="9">
        <v>45244</v>
      </c>
      <c r="I354" s="9">
        <v>45259</v>
      </c>
      <c r="J354" s="8">
        <v>5171</v>
      </c>
      <c r="K354" s="8" t="s">
        <v>31</v>
      </c>
      <c r="L354" s="8" t="s">
        <v>32</v>
      </c>
      <c r="M354" s="8"/>
      <c r="N354" s="8" t="b">
        <v>0</v>
      </c>
      <c r="O354" s="10">
        <v>705140</v>
      </c>
      <c r="P354" s="8" t="s">
        <v>244</v>
      </c>
      <c r="Q354" s="8">
        <v>659134</v>
      </c>
      <c r="R354" s="9">
        <v>45244</v>
      </c>
      <c r="S354" s="8" t="s">
        <v>34</v>
      </c>
      <c r="T354" s="8" t="s">
        <v>44</v>
      </c>
      <c r="U354" s="8" t="s">
        <v>58</v>
      </c>
      <c r="V354" s="8" t="s">
        <v>46</v>
      </c>
      <c r="W354" s="8">
        <v>0</v>
      </c>
    </row>
    <row r="355" spans="1:23" x14ac:dyDescent="0.25">
      <c r="A355" s="4">
        <v>1</v>
      </c>
      <c r="B355" s="4"/>
      <c r="C355" s="4">
        <v>883169</v>
      </c>
      <c r="D355" s="4">
        <v>5183</v>
      </c>
      <c r="E355" s="5">
        <f t="shared" si="5"/>
        <v>1</v>
      </c>
      <c r="F355" s="15">
        <v>45257</v>
      </c>
      <c r="G355" s="10">
        <v>329769650</v>
      </c>
      <c r="H355" s="9">
        <v>45244</v>
      </c>
      <c r="I355" s="9">
        <v>45259</v>
      </c>
      <c r="J355" s="8">
        <v>5184</v>
      </c>
      <c r="K355" s="8" t="s">
        <v>31</v>
      </c>
      <c r="L355" s="8" t="s">
        <v>32</v>
      </c>
      <c r="M355" s="8"/>
      <c r="N355" s="8" t="b">
        <v>0</v>
      </c>
      <c r="O355" s="10">
        <v>704418</v>
      </c>
      <c r="P355" s="8" t="s">
        <v>167</v>
      </c>
      <c r="Q355" s="8">
        <v>659506</v>
      </c>
      <c r="R355" s="9">
        <v>45244</v>
      </c>
      <c r="S355" s="8" t="s">
        <v>308</v>
      </c>
      <c r="T355" s="8" t="s">
        <v>44</v>
      </c>
      <c r="U355" s="8" t="s">
        <v>309</v>
      </c>
      <c r="V355" s="8" t="s">
        <v>46</v>
      </c>
      <c r="W355" s="8">
        <v>0</v>
      </c>
    </row>
    <row r="356" spans="1:23" x14ac:dyDescent="0.25">
      <c r="A356" s="4">
        <v>1</v>
      </c>
      <c r="B356" s="4"/>
      <c r="C356" s="4">
        <v>883233</v>
      </c>
      <c r="D356" s="4">
        <v>5183</v>
      </c>
      <c r="E356" s="5">
        <f t="shared" si="5"/>
        <v>1</v>
      </c>
      <c r="F356" s="15">
        <v>45257</v>
      </c>
      <c r="G356" s="10">
        <v>329770093</v>
      </c>
      <c r="H356" s="9">
        <v>45244</v>
      </c>
      <c r="I356" s="9">
        <v>45259</v>
      </c>
      <c r="J356" s="8">
        <v>5184</v>
      </c>
      <c r="K356" s="8" t="s">
        <v>31</v>
      </c>
      <c r="L356" s="8" t="s">
        <v>32</v>
      </c>
      <c r="M356" s="8"/>
      <c r="N356" s="8" t="b">
        <v>0</v>
      </c>
      <c r="O356" s="10">
        <v>704416</v>
      </c>
      <c r="P356" s="8" t="s">
        <v>156</v>
      </c>
      <c r="Q356" s="8">
        <v>659794</v>
      </c>
      <c r="R356" s="9">
        <v>45244</v>
      </c>
      <c r="S356" s="8" t="s">
        <v>308</v>
      </c>
      <c r="T356" s="8" t="s">
        <v>44</v>
      </c>
      <c r="U356" s="8" t="s">
        <v>309</v>
      </c>
      <c r="V356" s="8" t="s">
        <v>46</v>
      </c>
      <c r="W356" s="8">
        <v>0</v>
      </c>
    </row>
    <row r="357" spans="1:23" x14ac:dyDescent="0.25">
      <c r="A357" s="4">
        <v>1</v>
      </c>
      <c r="B357" s="4"/>
      <c r="C357" s="4">
        <v>883235</v>
      </c>
      <c r="D357" s="4">
        <v>5183</v>
      </c>
      <c r="E357" s="5">
        <f t="shared" si="5"/>
        <v>1</v>
      </c>
      <c r="F357" s="15">
        <v>45257</v>
      </c>
      <c r="G357" s="10">
        <v>329771602</v>
      </c>
      <c r="H357" s="9">
        <v>45244</v>
      </c>
      <c r="I357" s="9">
        <v>45259</v>
      </c>
      <c r="J357" s="8">
        <v>5184</v>
      </c>
      <c r="K357" s="8" t="s">
        <v>31</v>
      </c>
      <c r="L357" s="8" t="s">
        <v>32</v>
      </c>
      <c r="M357" s="8"/>
      <c r="N357" s="8" t="b">
        <v>0</v>
      </c>
      <c r="O357" s="10">
        <v>704419</v>
      </c>
      <c r="P357" s="8" t="s">
        <v>191</v>
      </c>
      <c r="Q357" s="8">
        <v>663023</v>
      </c>
      <c r="R357" s="9">
        <v>45244</v>
      </c>
      <c r="S357" s="8" t="s">
        <v>308</v>
      </c>
      <c r="T357" s="8" t="s">
        <v>44</v>
      </c>
      <c r="U357" s="8" t="s">
        <v>309</v>
      </c>
      <c r="V357" s="8" t="s">
        <v>46</v>
      </c>
      <c r="W357" s="8">
        <v>0</v>
      </c>
    </row>
    <row r="358" spans="1:23" x14ac:dyDescent="0.25">
      <c r="A358" s="4">
        <v>1</v>
      </c>
      <c r="B358" s="4"/>
      <c r="C358" s="4" t="s">
        <v>310</v>
      </c>
      <c r="D358" s="4">
        <v>2298</v>
      </c>
      <c r="E358" s="5">
        <f t="shared" si="5"/>
        <v>0</v>
      </c>
      <c r="F358" s="15">
        <v>45257</v>
      </c>
      <c r="G358" s="10">
        <v>329774193</v>
      </c>
      <c r="H358" s="9">
        <v>45244</v>
      </c>
      <c r="I358" s="9">
        <v>45259</v>
      </c>
      <c r="J358" s="8">
        <v>2298</v>
      </c>
      <c r="K358" s="8" t="s">
        <v>31</v>
      </c>
      <c r="L358" s="8" t="s">
        <v>32</v>
      </c>
      <c r="M358" s="8"/>
      <c r="N358" s="8" t="b">
        <v>0</v>
      </c>
      <c r="O358" s="10" t="s">
        <v>284</v>
      </c>
      <c r="P358" s="8" t="s">
        <v>311</v>
      </c>
      <c r="Q358" s="8">
        <v>857658</v>
      </c>
      <c r="R358" s="9">
        <v>45048</v>
      </c>
      <c r="S358" s="8" t="s">
        <v>286</v>
      </c>
      <c r="T358" s="8" t="s">
        <v>58</v>
      </c>
      <c r="U358" s="8" t="s">
        <v>287</v>
      </c>
      <c r="V358" s="8" t="s">
        <v>46</v>
      </c>
      <c r="W358" s="8">
        <v>0</v>
      </c>
    </row>
    <row r="359" spans="1:23" x14ac:dyDescent="0.25">
      <c r="A359" s="4">
        <v>1</v>
      </c>
      <c r="B359" s="4"/>
      <c r="C359" s="4" t="s">
        <v>312</v>
      </c>
      <c r="D359" s="4">
        <v>2298</v>
      </c>
      <c r="E359" s="5">
        <f t="shared" si="5"/>
        <v>0</v>
      </c>
      <c r="F359" s="15">
        <v>45257</v>
      </c>
      <c r="G359" s="10">
        <v>329774260</v>
      </c>
      <c r="H359" s="9">
        <v>45244</v>
      </c>
      <c r="I359" s="9">
        <v>45259</v>
      </c>
      <c r="J359" s="8">
        <v>2298</v>
      </c>
      <c r="K359" s="8" t="s">
        <v>31</v>
      </c>
      <c r="L359" s="8" t="s">
        <v>32</v>
      </c>
      <c r="M359" s="8"/>
      <c r="N359" s="8" t="b">
        <v>0</v>
      </c>
      <c r="O359" s="10" t="s">
        <v>284</v>
      </c>
      <c r="P359" s="8" t="s">
        <v>313</v>
      </c>
      <c r="Q359" s="8">
        <v>868914</v>
      </c>
      <c r="R359" s="9">
        <v>45049</v>
      </c>
      <c r="S359" s="8" t="s">
        <v>286</v>
      </c>
      <c r="T359" s="8" t="s">
        <v>58</v>
      </c>
      <c r="U359" s="8" t="s">
        <v>287</v>
      </c>
      <c r="V359" s="8" t="s">
        <v>46</v>
      </c>
      <c r="W359" s="8">
        <v>0</v>
      </c>
    </row>
    <row r="360" spans="1:23" x14ac:dyDescent="0.25">
      <c r="A360" s="4">
        <v>1</v>
      </c>
      <c r="B360" s="4"/>
      <c r="C360" s="4" t="s">
        <v>314</v>
      </c>
      <c r="D360" s="4">
        <v>2298</v>
      </c>
      <c r="E360" s="5">
        <f t="shared" si="5"/>
        <v>0</v>
      </c>
      <c r="F360" s="15">
        <v>45257</v>
      </c>
      <c r="G360" s="10">
        <v>329774326</v>
      </c>
      <c r="H360" s="9">
        <v>45244</v>
      </c>
      <c r="I360" s="9">
        <v>45259</v>
      </c>
      <c r="J360" s="8">
        <v>2298</v>
      </c>
      <c r="K360" s="8" t="s">
        <v>31</v>
      </c>
      <c r="L360" s="8" t="s">
        <v>32</v>
      </c>
      <c r="M360" s="8"/>
      <c r="N360" s="8" t="b">
        <v>0</v>
      </c>
      <c r="O360" s="10" t="s">
        <v>284</v>
      </c>
      <c r="P360" s="8" t="s">
        <v>315</v>
      </c>
      <c r="Q360" s="8">
        <v>857659</v>
      </c>
      <c r="R360" s="9">
        <v>45048</v>
      </c>
      <c r="S360" s="8" t="s">
        <v>286</v>
      </c>
      <c r="T360" s="8" t="s">
        <v>58</v>
      </c>
      <c r="U360" s="8" t="s">
        <v>287</v>
      </c>
      <c r="V360" s="8" t="s">
        <v>46</v>
      </c>
      <c r="W360" s="8">
        <v>0</v>
      </c>
    </row>
    <row r="361" spans="1:23" x14ac:dyDescent="0.25">
      <c r="A361" s="4">
        <v>1</v>
      </c>
      <c r="B361" s="4"/>
      <c r="C361" s="4">
        <v>883765</v>
      </c>
      <c r="D361" s="4">
        <v>6351</v>
      </c>
      <c r="E361" s="5">
        <f t="shared" si="5"/>
        <v>0</v>
      </c>
      <c r="F361" s="15">
        <v>45257</v>
      </c>
      <c r="G361" s="10">
        <v>329779069</v>
      </c>
      <c r="H361" s="9">
        <v>45245</v>
      </c>
      <c r="I361" s="9">
        <v>45260</v>
      </c>
      <c r="J361" s="8">
        <v>6351</v>
      </c>
      <c r="K361" s="8" t="s">
        <v>31</v>
      </c>
      <c r="L361" s="8" t="s">
        <v>32</v>
      </c>
      <c r="M361" s="8"/>
      <c r="N361" s="8" t="b">
        <v>0</v>
      </c>
      <c r="O361" s="10">
        <v>703551</v>
      </c>
      <c r="P361" s="8" t="s">
        <v>208</v>
      </c>
      <c r="Q361" s="8">
        <v>640450</v>
      </c>
      <c r="R361" s="9">
        <v>45243</v>
      </c>
      <c r="S361" s="8" t="s">
        <v>34</v>
      </c>
      <c r="T361" s="8" t="s">
        <v>209</v>
      </c>
      <c r="U361" s="8" t="s">
        <v>58</v>
      </c>
      <c r="V361" s="8" t="s">
        <v>46</v>
      </c>
      <c r="W361" s="8">
        <v>0</v>
      </c>
    </row>
    <row r="362" spans="1:23" x14ac:dyDescent="0.25">
      <c r="A362" s="4">
        <v>1</v>
      </c>
      <c r="B362" s="4"/>
      <c r="C362" s="4">
        <v>883785</v>
      </c>
      <c r="D362" s="4">
        <v>6331.5</v>
      </c>
      <c r="E362" s="5">
        <f t="shared" si="5"/>
        <v>0.5</v>
      </c>
      <c r="F362" s="15">
        <v>45257</v>
      </c>
      <c r="G362" s="10">
        <v>329788085</v>
      </c>
      <c r="H362" s="9">
        <v>45245</v>
      </c>
      <c r="I362" s="9">
        <v>45260</v>
      </c>
      <c r="J362" s="8">
        <v>6332</v>
      </c>
      <c r="K362" s="8" t="s">
        <v>31</v>
      </c>
      <c r="L362" s="8" t="s">
        <v>32</v>
      </c>
      <c r="M362" s="8"/>
      <c r="N362" s="8" t="b">
        <v>0</v>
      </c>
      <c r="O362" s="10"/>
      <c r="P362" s="8" t="s">
        <v>258</v>
      </c>
      <c r="Q362" s="8">
        <v>674868</v>
      </c>
      <c r="R362" s="9">
        <v>45245</v>
      </c>
      <c r="S362" s="8" t="s">
        <v>48</v>
      </c>
      <c r="T362" s="8" t="s">
        <v>49</v>
      </c>
      <c r="U362" s="8" t="s">
        <v>50</v>
      </c>
      <c r="V362" s="8" t="s">
        <v>37</v>
      </c>
      <c r="W362" s="8">
        <v>0</v>
      </c>
    </row>
    <row r="363" spans="1:23" x14ac:dyDescent="0.25">
      <c r="A363" s="4">
        <v>1</v>
      </c>
      <c r="B363" s="4"/>
      <c r="C363" s="4">
        <v>883786</v>
      </c>
      <c r="D363" s="4">
        <v>35168</v>
      </c>
      <c r="E363" s="5">
        <f t="shared" si="5"/>
        <v>0</v>
      </c>
      <c r="F363" s="15">
        <v>45257</v>
      </c>
      <c r="G363" s="10">
        <v>329788737</v>
      </c>
      <c r="H363" s="9">
        <v>45245</v>
      </c>
      <c r="I363" s="9">
        <v>45260</v>
      </c>
      <c r="J363" s="8">
        <v>35168</v>
      </c>
      <c r="K363" s="8" t="s">
        <v>31</v>
      </c>
      <c r="L363" s="8" t="s">
        <v>32</v>
      </c>
      <c r="M363" s="8"/>
      <c r="N363" s="8" t="b">
        <v>0</v>
      </c>
      <c r="O363" s="10"/>
      <c r="P363" s="8" t="s">
        <v>316</v>
      </c>
      <c r="Q363" s="8">
        <v>675593</v>
      </c>
      <c r="R363" s="9">
        <v>45245</v>
      </c>
      <c r="S363" s="8" t="s">
        <v>34</v>
      </c>
      <c r="T363" s="8" t="s">
        <v>49</v>
      </c>
      <c r="U363" s="8" t="s">
        <v>75</v>
      </c>
      <c r="V363" s="8" t="s">
        <v>46</v>
      </c>
      <c r="W363" s="8">
        <v>0</v>
      </c>
    </row>
    <row r="364" spans="1:23" x14ac:dyDescent="0.25">
      <c r="A364" s="4">
        <v>1</v>
      </c>
      <c r="B364" s="4"/>
      <c r="C364" s="4">
        <v>883787</v>
      </c>
      <c r="D364" s="4">
        <v>63315</v>
      </c>
      <c r="E364" s="5">
        <f t="shared" si="5"/>
        <v>5</v>
      </c>
      <c r="F364" s="15">
        <v>45257</v>
      </c>
      <c r="G364" s="10">
        <v>329788796</v>
      </c>
      <c r="H364" s="9">
        <v>45245</v>
      </c>
      <c r="I364" s="9">
        <v>45260</v>
      </c>
      <c r="J364" s="8">
        <v>63320</v>
      </c>
      <c r="K364" s="8" t="s">
        <v>31</v>
      </c>
      <c r="L364" s="8" t="s">
        <v>32</v>
      </c>
      <c r="M364" s="8"/>
      <c r="N364" s="8" t="b">
        <v>0</v>
      </c>
      <c r="O364" s="10"/>
      <c r="P364" s="8" t="s">
        <v>317</v>
      </c>
      <c r="Q364" s="8">
        <v>675534</v>
      </c>
      <c r="R364" s="9">
        <v>45245</v>
      </c>
      <c r="S364" s="8" t="s">
        <v>48</v>
      </c>
      <c r="T364" s="8" t="s">
        <v>49</v>
      </c>
      <c r="U364" s="8" t="s">
        <v>50</v>
      </c>
      <c r="V364" s="8" t="s">
        <v>37</v>
      </c>
      <c r="W364" s="8">
        <v>0</v>
      </c>
    </row>
    <row r="365" spans="1:23" x14ac:dyDescent="0.25">
      <c r="A365" s="4">
        <v>1</v>
      </c>
      <c r="B365" s="4"/>
      <c r="C365" s="4">
        <v>883744</v>
      </c>
      <c r="D365" s="4">
        <v>7850</v>
      </c>
      <c r="E365" s="5">
        <f t="shared" si="5"/>
        <v>0</v>
      </c>
      <c r="F365" s="15">
        <v>45257</v>
      </c>
      <c r="G365" s="10">
        <v>329795464</v>
      </c>
      <c r="H365" s="9">
        <v>45245</v>
      </c>
      <c r="I365" s="9">
        <v>45260</v>
      </c>
      <c r="J365" s="8">
        <v>7850</v>
      </c>
      <c r="K365" s="8" t="s">
        <v>31</v>
      </c>
      <c r="L365" s="8" t="s">
        <v>32</v>
      </c>
      <c r="M365" s="8"/>
      <c r="N365" s="8" t="b">
        <v>0</v>
      </c>
      <c r="O365" s="10">
        <v>21066</v>
      </c>
      <c r="P365" s="8" t="s">
        <v>135</v>
      </c>
      <c r="Q365" s="8">
        <v>682008</v>
      </c>
      <c r="R365" s="9">
        <v>45245</v>
      </c>
      <c r="S365" s="8" t="s">
        <v>318</v>
      </c>
      <c r="T365" s="8" t="s">
        <v>40</v>
      </c>
      <c r="U365" s="8" t="s">
        <v>319</v>
      </c>
      <c r="V365" s="8" t="s">
        <v>320</v>
      </c>
      <c r="W365" s="8">
        <v>0</v>
      </c>
    </row>
    <row r="366" spans="1:23" x14ac:dyDescent="0.25">
      <c r="A366" s="4">
        <v>1</v>
      </c>
      <c r="B366" s="4"/>
      <c r="C366" s="4">
        <v>883745</v>
      </c>
      <c r="D366" s="4">
        <v>4901.5</v>
      </c>
      <c r="E366" s="5">
        <f t="shared" si="5"/>
        <v>0.5</v>
      </c>
      <c r="F366" s="15">
        <v>45257</v>
      </c>
      <c r="G366" s="10">
        <v>329795465</v>
      </c>
      <c r="H366" s="9">
        <v>45245</v>
      </c>
      <c r="I366" s="9">
        <v>45260</v>
      </c>
      <c r="J366" s="8">
        <v>4902</v>
      </c>
      <c r="K366" s="8" t="s">
        <v>31</v>
      </c>
      <c r="L366" s="8" t="s">
        <v>32</v>
      </c>
      <c r="M366" s="8"/>
      <c r="N366" s="8" t="b">
        <v>0</v>
      </c>
      <c r="O366" s="10">
        <v>21065</v>
      </c>
      <c r="P366" s="8" t="s">
        <v>136</v>
      </c>
      <c r="Q366" s="8">
        <v>682057</v>
      </c>
      <c r="R366" s="9">
        <v>45245</v>
      </c>
      <c r="S366" s="8" t="s">
        <v>277</v>
      </c>
      <c r="T366" s="8" t="s">
        <v>40</v>
      </c>
      <c r="U366" s="8" t="s">
        <v>278</v>
      </c>
      <c r="V366" s="8" t="s">
        <v>279</v>
      </c>
      <c r="W366" s="8">
        <v>0</v>
      </c>
    </row>
    <row r="367" spans="1:23" x14ac:dyDescent="0.25">
      <c r="A367" s="4">
        <v>1</v>
      </c>
      <c r="B367" s="4"/>
      <c r="C367" s="4">
        <v>883747</v>
      </c>
      <c r="D367" s="4">
        <v>4901.5</v>
      </c>
      <c r="E367" s="5">
        <f t="shared" si="5"/>
        <v>0.5</v>
      </c>
      <c r="F367" s="15">
        <v>45257</v>
      </c>
      <c r="G367" s="10">
        <v>329795466</v>
      </c>
      <c r="H367" s="9">
        <v>45245</v>
      </c>
      <c r="I367" s="9">
        <v>45260</v>
      </c>
      <c r="J367" s="8">
        <v>4902</v>
      </c>
      <c r="K367" s="8" t="s">
        <v>31</v>
      </c>
      <c r="L367" s="8" t="s">
        <v>32</v>
      </c>
      <c r="M367" s="8"/>
      <c r="N367" s="8" t="b">
        <v>0</v>
      </c>
      <c r="O367" s="10">
        <v>21063</v>
      </c>
      <c r="P367" s="8" t="s">
        <v>270</v>
      </c>
      <c r="Q367" s="8">
        <v>681984</v>
      </c>
      <c r="R367" s="9">
        <v>45245</v>
      </c>
      <c r="S367" s="8" t="s">
        <v>277</v>
      </c>
      <c r="T367" s="8" t="s">
        <v>40</v>
      </c>
      <c r="U367" s="8" t="s">
        <v>278</v>
      </c>
      <c r="V367" s="8" t="s">
        <v>279</v>
      </c>
      <c r="W367" s="8">
        <v>0</v>
      </c>
    </row>
    <row r="368" spans="1:23" x14ac:dyDescent="0.25">
      <c r="A368" s="4">
        <v>1</v>
      </c>
      <c r="B368" s="4"/>
      <c r="C368" s="4">
        <v>883736</v>
      </c>
      <c r="D368" s="4">
        <v>7037</v>
      </c>
      <c r="E368" s="5">
        <f t="shared" si="5"/>
        <v>0</v>
      </c>
      <c r="F368" s="15">
        <v>45257</v>
      </c>
      <c r="G368" s="10">
        <v>329795468</v>
      </c>
      <c r="H368" s="9">
        <v>45245</v>
      </c>
      <c r="I368" s="9">
        <v>45260</v>
      </c>
      <c r="J368" s="8">
        <v>7037</v>
      </c>
      <c r="K368" s="8" t="s">
        <v>31</v>
      </c>
      <c r="L368" s="8" t="s">
        <v>32</v>
      </c>
      <c r="M368" s="8"/>
      <c r="N368" s="8" t="b">
        <v>0</v>
      </c>
      <c r="O368" s="10">
        <v>21069</v>
      </c>
      <c r="P368" s="8" t="s">
        <v>57</v>
      </c>
      <c r="Q368" s="8">
        <v>682038</v>
      </c>
      <c r="R368" s="9">
        <v>45245</v>
      </c>
      <c r="S368" s="8" t="s">
        <v>39</v>
      </c>
      <c r="T368" s="8" t="s">
        <v>40</v>
      </c>
      <c r="U368" s="8" t="s">
        <v>41</v>
      </c>
      <c r="V368" s="8" t="s">
        <v>42</v>
      </c>
      <c r="W368" s="8">
        <v>0</v>
      </c>
    </row>
    <row r="369" spans="1:23" x14ac:dyDescent="0.25">
      <c r="A369" s="4">
        <v>1</v>
      </c>
      <c r="B369" s="4"/>
      <c r="C369" s="4">
        <v>883735</v>
      </c>
      <c r="D369" s="4">
        <v>7037</v>
      </c>
      <c r="E369" s="5">
        <f t="shared" si="5"/>
        <v>0</v>
      </c>
      <c r="F369" s="15">
        <v>45257</v>
      </c>
      <c r="G369" s="10">
        <v>329795481</v>
      </c>
      <c r="H369" s="9">
        <v>45245</v>
      </c>
      <c r="I369" s="9">
        <v>45260</v>
      </c>
      <c r="J369" s="8">
        <v>7037</v>
      </c>
      <c r="K369" s="8" t="s">
        <v>31</v>
      </c>
      <c r="L369" s="8" t="s">
        <v>32</v>
      </c>
      <c r="M369" s="8"/>
      <c r="N369" s="8" t="b">
        <v>0</v>
      </c>
      <c r="O369" s="10">
        <v>21070</v>
      </c>
      <c r="P369" s="8" t="s">
        <v>237</v>
      </c>
      <c r="Q369" s="8">
        <v>682044</v>
      </c>
      <c r="R369" s="9">
        <v>45245</v>
      </c>
      <c r="S369" s="8" t="s">
        <v>39</v>
      </c>
      <c r="T369" s="8" t="s">
        <v>40</v>
      </c>
      <c r="U369" s="8" t="s">
        <v>41</v>
      </c>
      <c r="V369" s="8" t="s">
        <v>42</v>
      </c>
      <c r="W369" s="8">
        <v>0</v>
      </c>
    </row>
    <row r="370" spans="1:23" x14ac:dyDescent="0.25">
      <c r="A370" s="4">
        <v>1</v>
      </c>
      <c r="B370" s="4"/>
      <c r="C370" s="4">
        <v>883768</v>
      </c>
      <c r="D370" s="4">
        <v>5170.5</v>
      </c>
      <c r="E370" s="5">
        <f t="shared" si="5"/>
        <v>0.5</v>
      </c>
      <c r="F370" s="15">
        <v>45257</v>
      </c>
      <c r="G370" s="10">
        <v>329795504</v>
      </c>
      <c r="H370" s="9">
        <v>45245</v>
      </c>
      <c r="I370" s="9">
        <v>45260</v>
      </c>
      <c r="J370" s="8">
        <v>5171</v>
      </c>
      <c r="K370" s="8" t="s">
        <v>31</v>
      </c>
      <c r="L370" s="8" t="s">
        <v>32</v>
      </c>
      <c r="M370" s="8"/>
      <c r="N370" s="8" t="b">
        <v>0</v>
      </c>
      <c r="O370" s="10">
        <v>705139</v>
      </c>
      <c r="P370" s="8" t="s">
        <v>269</v>
      </c>
      <c r="Q370" s="8">
        <v>681930</v>
      </c>
      <c r="R370" s="9">
        <v>45245</v>
      </c>
      <c r="S370" s="8" t="s">
        <v>34</v>
      </c>
      <c r="T370" s="8" t="s">
        <v>44</v>
      </c>
      <c r="U370" s="8" t="s">
        <v>58</v>
      </c>
      <c r="V370" s="8" t="s">
        <v>46</v>
      </c>
      <c r="W370" s="8">
        <v>0</v>
      </c>
    </row>
    <row r="371" spans="1:23" x14ac:dyDescent="0.25">
      <c r="A371" s="4">
        <v>1</v>
      </c>
      <c r="B371" s="4"/>
      <c r="C371" s="4">
        <v>883743</v>
      </c>
      <c r="D371" s="4">
        <v>7850</v>
      </c>
      <c r="E371" s="5">
        <f t="shared" si="5"/>
        <v>0</v>
      </c>
      <c r="F371" s="15">
        <v>45257</v>
      </c>
      <c r="G371" s="10">
        <v>329795510</v>
      </c>
      <c r="H371" s="9">
        <v>45245</v>
      </c>
      <c r="I371" s="9">
        <v>45260</v>
      </c>
      <c r="J371" s="8">
        <v>7850</v>
      </c>
      <c r="K371" s="8" t="s">
        <v>31</v>
      </c>
      <c r="L371" s="8" t="s">
        <v>32</v>
      </c>
      <c r="M371" s="8"/>
      <c r="N371" s="8" t="b">
        <v>0</v>
      </c>
      <c r="O371" s="10">
        <v>21067</v>
      </c>
      <c r="P371" s="8" t="s">
        <v>67</v>
      </c>
      <c r="Q371" s="8">
        <v>682027</v>
      </c>
      <c r="R371" s="9">
        <v>45245</v>
      </c>
      <c r="S371" s="8" t="s">
        <v>318</v>
      </c>
      <c r="T371" s="8" t="s">
        <v>40</v>
      </c>
      <c r="U371" s="8" t="s">
        <v>319</v>
      </c>
      <c r="V371" s="8" t="s">
        <v>320</v>
      </c>
      <c r="W371" s="8">
        <v>0</v>
      </c>
    </row>
    <row r="372" spans="1:23" x14ac:dyDescent="0.25">
      <c r="A372" s="4">
        <v>1</v>
      </c>
      <c r="B372" s="4"/>
      <c r="C372" s="4">
        <v>883742</v>
      </c>
      <c r="D372" s="4">
        <v>7850</v>
      </c>
      <c r="E372" s="5">
        <f t="shared" si="5"/>
        <v>0</v>
      </c>
      <c r="F372" s="15">
        <v>45257</v>
      </c>
      <c r="G372" s="10">
        <v>329795512</v>
      </c>
      <c r="H372" s="9">
        <v>45245</v>
      </c>
      <c r="I372" s="9">
        <v>45260</v>
      </c>
      <c r="J372" s="8">
        <v>7850</v>
      </c>
      <c r="K372" s="8" t="s">
        <v>31</v>
      </c>
      <c r="L372" s="8" t="s">
        <v>32</v>
      </c>
      <c r="M372" s="8"/>
      <c r="N372" s="8" t="b">
        <v>0</v>
      </c>
      <c r="O372" s="10">
        <v>21068</v>
      </c>
      <c r="P372" s="8" t="s">
        <v>66</v>
      </c>
      <c r="Q372" s="8">
        <v>682030</v>
      </c>
      <c r="R372" s="9">
        <v>45245</v>
      </c>
      <c r="S372" s="8" t="s">
        <v>318</v>
      </c>
      <c r="T372" s="8" t="s">
        <v>40</v>
      </c>
      <c r="U372" s="8" t="s">
        <v>319</v>
      </c>
      <c r="V372" s="8" t="s">
        <v>320</v>
      </c>
      <c r="W372" s="8">
        <v>0</v>
      </c>
    </row>
    <row r="373" spans="1:23" x14ac:dyDescent="0.25">
      <c r="A373" s="4">
        <v>1</v>
      </c>
      <c r="B373" s="4"/>
      <c r="C373" s="4">
        <v>883748</v>
      </c>
      <c r="D373" s="4">
        <v>4901.5</v>
      </c>
      <c r="E373" s="5">
        <f t="shared" si="5"/>
        <v>0.5</v>
      </c>
      <c r="F373" s="15">
        <v>45257</v>
      </c>
      <c r="G373" s="10">
        <v>329795525</v>
      </c>
      <c r="H373" s="9">
        <v>45245</v>
      </c>
      <c r="I373" s="9">
        <v>45260</v>
      </c>
      <c r="J373" s="8">
        <v>4902</v>
      </c>
      <c r="K373" s="8" t="s">
        <v>31</v>
      </c>
      <c r="L373" s="8" t="s">
        <v>32</v>
      </c>
      <c r="M373" s="8"/>
      <c r="N373" s="8" t="b">
        <v>0</v>
      </c>
      <c r="O373" s="10">
        <v>21062</v>
      </c>
      <c r="P373" s="8" t="s">
        <v>272</v>
      </c>
      <c r="Q373" s="8">
        <v>681981</v>
      </c>
      <c r="R373" s="9">
        <v>45245</v>
      </c>
      <c r="S373" s="8" t="s">
        <v>277</v>
      </c>
      <c r="T373" s="8" t="s">
        <v>40</v>
      </c>
      <c r="U373" s="8" t="s">
        <v>278</v>
      </c>
      <c r="V373" s="8" t="s">
        <v>279</v>
      </c>
      <c r="W373" s="8">
        <v>0</v>
      </c>
    </row>
    <row r="374" spans="1:23" x14ac:dyDescent="0.25">
      <c r="A374" s="4">
        <v>1</v>
      </c>
      <c r="B374" s="4"/>
      <c r="C374" s="4">
        <v>883769</v>
      </c>
      <c r="D374" s="4">
        <v>5172.5</v>
      </c>
      <c r="E374" s="5">
        <f t="shared" si="5"/>
        <v>-1.5</v>
      </c>
      <c r="F374" s="15">
        <v>45257</v>
      </c>
      <c r="G374" s="10">
        <v>329795526</v>
      </c>
      <c r="H374" s="9">
        <v>45245</v>
      </c>
      <c r="I374" s="9">
        <v>45260</v>
      </c>
      <c r="J374" s="8">
        <v>5171</v>
      </c>
      <c r="K374" s="8" t="s">
        <v>31</v>
      </c>
      <c r="L374" s="8" t="s">
        <v>32</v>
      </c>
      <c r="M374" s="8"/>
      <c r="N374" s="8" t="b">
        <v>0</v>
      </c>
      <c r="O374" s="10">
        <v>705138</v>
      </c>
      <c r="P374" s="8" t="s">
        <v>274</v>
      </c>
      <c r="Q374" s="8">
        <v>681917</v>
      </c>
      <c r="R374" s="9">
        <v>45245</v>
      </c>
      <c r="S374" s="8" t="s">
        <v>34</v>
      </c>
      <c r="T374" s="8" t="s">
        <v>44</v>
      </c>
      <c r="U374" s="8" t="s">
        <v>58</v>
      </c>
      <c r="V374" s="8" t="s">
        <v>46</v>
      </c>
      <c r="W374" s="8">
        <v>0</v>
      </c>
    </row>
    <row r="375" spans="1:23" x14ac:dyDescent="0.25">
      <c r="A375" s="4">
        <v>1</v>
      </c>
      <c r="B375" s="4"/>
      <c r="C375" s="4">
        <v>883746</v>
      </c>
      <c r="D375" s="4">
        <v>4901.5</v>
      </c>
      <c r="E375" s="5">
        <f t="shared" si="5"/>
        <v>0.5</v>
      </c>
      <c r="F375" s="15">
        <v>45257</v>
      </c>
      <c r="G375" s="10">
        <v>329795571</v>
      </c>
      <c r="H375" s="9">
        <v>45245</v>
      </c>
      <c r="I375" s="9">
        <v>45260</v>
      </c>
      <c r="J375" s="8">
        <v>4902</v>
      </c>
      <c r="K375" s="8" t="s">
        <v>31</v>
      </c>
      <c r="L375" s="8" t="s">
        <v>32</v>
      </c>
      <c r="M375" s="8"/>
      <c r="N375" s="8" t="b">
        <v>0</v>
      </c>
      <c r="O375" s="10">
        <v>21064</v>
      </c>
      <c r="P375" s="8" t="s">
        <v>137</v>
      </c>
      <c r="Q375" s="8">
        <v>682001</v>
      </c>
      <c r="R375" s="9">
        <v>45245</v>
      </c>
      <c r="S375" s="8" t="s">
        <v>277</v>
      </c>
      <c r="T375" s="8" t="s">
        <v>40</v>
      </c>
      <c r="U375" s="8" t="s">
        <v>278</v>
      </c>
      <c r="V375" s="8" t="s">
        <v>279</v>
      </c>
      <c r="W375" s="8">
        <v>0</v>
      </c>
    </row>
    <row r="376" spans="1:23" x14ac:dyDescent="0.25">
      <c r="A376" s="4">
        <v>1</v>
      </c>
      <c r="B376" s="4"/>
      <c r="C376" s="4">
        <v>883770</v>
      </c>
      <c r="D376" s="4">
        <v>8094.5</v>
      </c>
      <c r="E376" s="5">
        <f t="shared" si="5"/>
        <v>0.5</v>
      </c>
      <c r="F376" s="15">
        <v>45257</v>
      </c>
      <c r="G376" s="10">
        <v>329796683</v>
      </c>
      <c r="H376" s="9">
        <v>45245</v>
      </c>
      <c r="I376" s="9">
        <v>45260</v>
      </c>
      <c r="J376" s="8">
        <v>8095</v>
      </c>
      <c r="K376" s="8" t="s">
        <v>31</v>
      </c>
      <c r="L376" s="8" t="s">
        <v>32</v>
      </c>
      <c r="M376" s="8"/>
      <c r="N376" s="8" t="b">
        <v>0</v>
      </c>
      <c r="O376" s="10">
        <v>705878</v>
      </c>
      <c r="P376" s="8" t="s">
        <v>233</v>
      </c>
      <c r="Q376" s="8">
        <v>683177</v>
      </c>
      <c r="R376" s="9">
        <v>45245</v>
      </c>
      <c r="S376" s="8" t="s">
        <v>34</v>
      </c>
      <c r="T376" s="8" t="s">
        <v>40</v>
      </c>
      <c r="U376" s="8" t="s">
        <v>157</v>
      </c>
      <c r="V376" s="8" t="s">
        <v>158</v>
      </c>
      <c r="W376" s="8">
        <v>0</v>
      </c>
    </row>
    <row r="377" spans="1:23" x14ac:dyDescent="0.25">
      <c r="A377" s="4">
        <v>1</v>
      </c>
      <c r="B377" s="4"/>
      <c r="C377" s="4">
        <v>883771</v>
      </c>
      <c r="D377" s="4">
        <v>8094.5</v>
      </c>
      <c r="E377" s="5">
        <f t="shared" si="5"/>
        <v>0.5</v>
      </c>
      <c r="F377" s="15">
        <v>45257</v>
      </c>
      <c r="G377" s="10">
        <v>329797756</v>
      </c>
      <c r="H377" s="9">
        <v>45245</v>
      </c>
      <c r="I377" s="9">
        <v>45260</v>
      </c>
      <c r="J377" s="8">
        <v>8095</v>
      </c>
      <c r="K377" s="8" t="s">
        <v>31</v>
      </c>
      <c r="L377" s="8" t="s">
        <v>32</v>
      </c>
      <c r="M377" s="8"/>
      <c r="N377" s="8" t="b">
        <v>0</v>
      </c>
      <c r="O377" s="10">
        <v>705879</v>
      </c>
      <c r="P377" s="8" t="s">
        <v>116</v>
      </c>
      <c r="Q377" s="8">
        <v>684809</v>
      </c>
      <c r="R377" s="9">
        <v>45245</v>
      </c>
      <c r="S377" s="8" t="s">
        <v>34</v>
      </c>
      <c r="T377" s="8" t="s">
        <v>40</v>
      </c>
      <c r="U377" s="8" t="s">
        <v>157</v>
      </c>
      <c r="V377" s="8" t="s">
        <v>158</v>
      </c>
      <c r="W377" s="8">
        <v>0</v>
      </c>
    </row>
    <row r="378" spans="1:23" x14ac:dyDescent="0.25">
      <c r="A378" s="4">
        <v>1</v>
      </c>
      <c r="B378" s="4"/>
      <c r="C378" s="4">
        <v>883772</v>
      </c>
      <c r="D378" s="4">
        <v>8094.5</v>
      </c>
      <c r="E378" s="5">
        <f t="shared" si="5"/>
        <v>0.5</v>
      </c>
      <c r="F378" s="15">
        <v>45257</v>
      </c>
      <c r="G378" s="10">
        <v>329798498</v>
      </c>
      <c r="H378" s="9">
        <v>45245</v>
      </c>
      <c r="I378" s="9">
        <v>45260</v>
      </c>
      <c r="J378" s="8">
        <v>8095</v>
      </c>
      <c r="K378" s="8" t="s">
        <v>31</v>
      </c>
      <c r="L378" s="8" t="s">
        <v>32</v>
      </c>
      <c r="M378" s="8"/>
      <c r="N378" s="8" t="b">
        <v>0</v>
      </c>
      <c r="O378" s="10">
        <v>705880</v>
      </c>
      <c r="P378" s="8" t="s">
        <v>129</v>
      </c>
      <c r="Q378" s="8">
        <v>686040</v>
      </c>
      <c r="R378" s="9">
        <v>45245</v>
      </c>
      <c r="S378" s="8" t="s">
        <v>34</v>
      </c>
      <c r="T378" s="8" t="s">
        <v>40</v>
      </c>
      <c r="U378" s="8" t="s">
        <v>157</v>
      </c>
      <c r="V378" s="8" t="s">
        <v>158</v>
      </c>
      <c r="W378" s="8">
        <v>0</v>
      </c>
    </row>
    <row r="379" spans="1:23" x14ac:dyDescent="0.25">
      <c r="A379" s="4">
        <v>1</v>
      </c>
      <c r="B379" s="4"/>
      <c r="C379" s="4">
        <v>884020</v>
      </c>
      <c r="D379" s="4">
        <v>6331.5</v>
      </c>
      <c r="E379" s="5">
        <f t="shared" si="5"/>
        <v>0.5</v>
      </c>
      <c r="F379" s="15">
        <v>45257</v>
      </c>
      <c r="G379" s="10">
        <v>329811611</v>
      </c>
      <c r="H379" s="9">
        <v>45246</v>
      </c>
      <c r="I379" s="9">
        <v>45261</v>
      </c>
      <c r="J379" s="8">
        <v>6332</v>
      </c>
      <c r="K379" s="8" t="s">
        <v>31</v>
      </c>
      <c r="L379" s="8" t="s">
        <v>32</v>
      </c>
      <c r="M379" s="8"/>
      <c r="N379" s="8" t="b">
        <v>0</v>
      </c>
      <c r="O379" s="10"/>
      <c r="P379" s="8" t="s">
        <v>306</v>
      </c>
      <c r="Q379" s="8">
        <v>608507</v>
      </c>
      <c r="R379" s="9">
        <v>45239</v>
      </c>
      <c r="S379" s="8" t="s">
        <v>48</v>
      </c>
      <c r="T379" s="8" t="s">
        <v>49</v>
      </c>
      <c r="U379" s="8" t="s">
        <v>50</v>
      </c>
      <c r="V379" s="8" t="s">
        <v>37</v>
      </c>
      <c r="W379" s="8">
        <v>0</v>
      </c>
    </row>
    <row r="380" spans="1:23" x14ac:dyDescent="0.25">
      <c r="A380" s="4">
        <v>1</v>
      </c>
      <c r="B380" s="4"/>
      <c r="C380" s="4">
        <v>883773</v>
      </c>
      <c r="D380" s="4">
        <v>8094.5</v>
      </c>
      <c r="E380" s="5">
        <f t="shared" si="5"/>
        <v>0.5</v>
      </c>
      <c r="F380" s="15">
        <v>45257</v>
      </c>
      <c r="G380" s="10">
        <v>329812300</v>
      </c>
      <c r="H380" s="9">
        <v>45246</v>
      </c>
      <c r="I380" s="9">
        <v>45261</v>
      </c>
      <c r="J380" s="8">
        <v>8095</v>
      </c>
      <c r="K380" s="8" t="s">
        <v>31</v>
      </c>
      <c r="L380" s="8" t="s">
        <v>32</v>
      </c>
      <c r="M380" s="8"/>
      <c r="N380" s="8" t="b">
        <v>0</v>
      </c>
      <c r="O380" s="10">
        <v>705885</v>
      </c>
      <c r="P380" s="8" t="s">
        <v>271</v>
      </c>
      <c r="Q380" s="8">
        <v>695755</v>
      </c>
      <c r="R380" s="9">
        <v>45246</v>
      </c>
      <c r="S380" s="8" t="s">
        <v>34</v>
      </c>
      <c r="T380" s="8" t="s">
        <v>40</v>
      </c>
      <c r="U380" s="8" t="s">
        <v>157</v>
      </c>
      <c r="V380" s="8" t="s">
        <v>158</v>
      </c>
      <c r="W380" s="8">
        <v>0</v>
      </c>
    </row>
    <row r="381" spans="1:23" x14ac:dyDescent="0.25">
      <c r="A381" s="4">
        <v>1</v>
      </c>
      <c r="B381" s="4"/>
      <c r="C381" s="4">
        <v>883774</v>
      </c>
      <c r="D381" s="4">
        <v>8094.5</v>
      </c>
      <c r="E381" s="5">
        <f t="shared" si="5"/>
        <v>0.5</v>
      </c>
      <c r="F381" s="15">
        <v>45257</v>
      </c>
      <c r="G381" s="10">
        <v>329812330</v>
      </c>
      <c r="H381" s="9">
        <v>45246</v>
      </c>
      <c r="I381" s="9">
        <v>45261</v>
      </c>
      <c r="J381" s="8">
        <v>8095</v>
      </c>
      <c r="K381" s="8" t="s">
        <v>31</v>
      </c>
      <c r="L381" s="8" t="s">
        <v>32</v>
      </c>
      <c r="M381" s="8"/>
      <c r="N381" s="8" t="b">
        <v>0</v>
      </c>
      <c r="O381" s="10">
        <v>705883</v>
      </c>
      <c r="P381" s="8" t="s">
        <v>89</v>
      </c>
      <c r="Q381" s="8">
        <v>695619</v>
      </c>
      <c r="R381" s="9">
        <v>45246</v>
      </c>
      <c r="S381" s="8" t="s">
        <v>34</v>
      </c>
      <c r="T381" s="8" t="s">
        <v>40</v>
      </c>
      <c r="U381" s="8" t="s">
        <v>157</v>
      </c>
      <c r="V381" s="8" t="s">
        <v>158</v>
      </c>
      <c r="W381" s="8">
        <v>0</v>
      </c>
    </row>
    <row r="382" spans="1:23" x14ac:dyDescent="0.25">
      <c r="A382" s="4">
        <v>1</v>
      </c>
      <c r="B382" s="4"/>
      <c r="C382" s="4">
        <v>883775</v>
      </c>
      <c r="D382" s="4">
        <v>8094.5</v>
      </c>
      <c r="E382" s="5">
        <f t="shared" si="5"/>
        <v>0.5</v>
      </c>
      <c r="F382" s="15">
        <v>45257</v>
      </c>
      <c r="G382" s="10">
        <v>329812361</v>
      </c>
      <c r="H382" s="9">
        <v>45246</v>
      </c>
      <c r="I382" s="9">
        <v>45261</v>
      </c>
      <c r="J382" s="8">
        <v>8095</v>
      </c>
      <c r="K382" s="8" t="s">
        <v>31</v>
      </c>
      <c r="L382" s="8" t="s">
        <v>32</v>
      </c>
      <c r="M382" s="8"/>
      <c r="N382" s="8" t="b">
        <v>0</v>
      </c>
      <c r="O382" s="10">
        <v>705882</v>
      </c>
      <c r="P382" s="8" t="s">
        <v>87</v>
      </c>
      <c r="Q382" s="8">
        <v>695613</v>
      </c>
      <c r="R382" s="9">
        <v>45246</v>
      </c>
      <c r="S382" s="8" t="s">
        <v>34</v>
      </c>
      <c r="T382" s="8" t="s">
        <v>40</v>
      </c>
      <c r="U382" s="8" t="s">
        <v>157</v>
      </c>
      <c r="V382" s="8" t="s">
        <v>158</v>
      </c>
      <c r="W382" s="8">
        <v>0</v>
      </c>
    </row>
    <row r="383" spans="1:23" x14ac:dyDescent="0.25">
      <c r="A383" s="4">
        <v>1</v>
      </c>
      <c r="B383" s="4"/>
      <c r="C383" s="4">
        <v>883776</v>
      </c>
      <c r="D383" s="4">
        <v>8094.5</v>
      </c>
      <c r="E383" s="5">
        <f t="shared" si="5"/>
        <v>0.5</v>
      </c>
      <c r="F383" s="15">
        <v>45257</v>
      </c>
      <c r="G383" s="10">
        <v>329812364</v>
      </c>
      <c r="H383" s="9">
        <v>45246</v>
      </c>
      <c r="I383" s="9">
        <v>45261</v>
      </c>
      <c r="J383" s="8">
        <v>8095</v>
      </c>
      <c r="K383" s="8" t="s">
        <v>31</v>
      </c>
      <c r="L383" s="8" t="s">
        <v>32</v>
      </c>
      <c r="M383" s="8"/>
      <c r="N383" s="8" t="b">
        <v>0</v>
      </c>
      <c r="O383" s="10">
        <v>705884</v>
      </c>
      <c r="P383" s="8" t="s">
        <v>95</v>
      </c>
      <c r="Q383" s="8">
        <v>695738</v>
      </c>
      <c r="R383" s="9">
        <v>45246</v>
      </c>
      <c r="S383" s="8" t="s">
        <v>34</v>
      </c>
      <c r="T383" s="8" t="s">
        <v>40</v>
      </c>
      <c r="U383" s="8" t="s">
        <v>157</v>
      </c>
      <c r="V383" s="8" t="s">
        <v>158</v>
      </c>
      <c r="W383" s="8">
        <v>0</v>
      </c>
    </row>
    <row r="384" spans="1:23" x14ac:dyDescent="0.25">
      <c r="A384" s="4">
        <v>1</v>
      </c>
      <c r="B384" s="4"/>
      <c r="C384" s="4">
        <v>883777</v>
      </c>
      <c r="D384" s="4">
        <v>8094.5</v>
      </c>
      <c r="E384" s="5">
        <f t="shared" si="5"/>
        <v>0.5</v>
      </c>
      <c r="F384" s="15">
        <v>45257</v>
      </c>
      <c r="G384" s="10">
        <v>329812371</v>
      </c>
      <c r="H384" s="9">
        <v>45246</v>
      </c>
      <c r="I384" s="9">
        <v>45261</v>
      </c>
      <c r="J384" s="8">
        <v>8095</v>
      </c>
      <c r="K384" s="8" t="s">
        <v>31</v>
      </c>
      <c r="L384" s="8" t="s">
        <v>32</v>
      </c>
      <c r="M384" s="8"/>
      <c r="N384" s="8" t="b">
        <v>0</v>
      </c>
      <c r="O384" s="10">
        <v>705886</v>
      </c>
      <c r="P384" s="8" t="s">
        <v>176</v>
      </c>
      <c r="Q384" s="8">
        <v>695760</v>
      </c>
      <c r="R384" s="9">
        <v>45246</v>
      </c>
      <c r="S384" s="8" t="s">
        <v>34</v>
      </c>
      <c r="T384" s="8" t="s">
        <v>40</v>
      </c>
      <c r="U384" s="8" t="s">
        <v>157</v>
      </c>
      <c r="V384" s="8" t="s">
        <v>158</v>
      </c>
      <c r="W384" s="8">
        <v>0</v>
      </c>
    </row>
    <row r="385" spans="1:23" x14ac:dyDescent="0.25">
      <c r="A385" s="4">
        <v>1</v>
      </c>
      <c r="B385" s="4"/>
      <c r="C385" s="4">
        <v>883778</v>
      </c>
      <c r="D385" s="4">
        <v>8094.5</v>
      </c>
      <c r="E385" s="5">
        <f t="shared" si="5"/>
        <v>0.5</v>
      </c>
      <c r="F385" s="15">
        <v>45257</v>
      </c>
      <c r="G385" s="10">
        <v>329812414</v>
      </c>
      <c r="H385" s="9">
        <v>45246</v>
      </c>
      <c r="I385" s="9">
        <v>45261</v>
      </c>
      <c r="J385" s="8">
        <v>8095</v>
      </c>
      <c r="K385" s="8" t="s">
        <v>31</v>
      </c>
      <c r="L385" s="8" t="s">
        <v>32</v>
      </c>
      <c r="M385" s="8"/>
      <c r="N385" s="8" t="b">
        <v>0</v>
      </c>
      <c r="O385" s="10">
        <v>705881</v>
      </c>
      <c r="P385" s="8" t="s">
        <v>94</v>
      </c>
      <c r="Q385" s="8">
        <v>695599</v>
      </c>
      <c r="R385" s="9">
        <v>45246</v>
      </c>
      <c r="S385" s="8" t="s">
        <v>34</v>
      </c>
      <c r="T385" s="8" t="s">
        <v>40</v>
      </c>
      <c r="U385" s="8" t="s">
        <v>157</v>
      </c>
      <c r="V385" s="8" t="s">
        <v>158</v>
      </c>
      <c r="W385" s="8">
        <v>0</v>
      </c>
    </row>
    <row r="386" spans="1:23" x14ac:dyDescent="0.25">
      <c r="A386" s="4">
        <v>1</v>
      </c>
      <c r="B386" s="4"/>
      <c r="C386" s="4">
        <v>883779</v>
      </c>
      <c r="D386" s="4">
        <v>8094.5</v>
      </c>
      <c r="E386" s="5">
        <f t="shared" si="5"/>
        <v>0.5</v>
      </c>
      <c r="F386" s="15">
        <v>45257</v>
      </c>
      <c r="G386" s="10">
        <v>329831562</v>
      </c>
      <c r="H386" s="9">
        <v>45247</v>
      </c>
      <c r="I386" s="9">
        <v>45262</v>
      </c>
      <c r="J386" s="8">
        <v>8095</v>
      </c>
      <c r="K386" s="8" t="s">
        <v>31</v>
      </c>
      <c r="L386" s="8" t="s">
        <v>32</v>
      </c>
      <c r="M386" s="8"/>
      <c r="N386" s="8" t="b">
        <v>0</v>
      </c>
      <c r="O386" s="10">
        <v>705887</v>
      </c>
      <c r="P386" s="8" t="s">
        <v>173</v>
      </c>
      <c r="Q386" s="8">
        <v>111333</v>
      </c>
      <c r="R386" s="9">
        <v>45247</v>
      </c>
      <c r="S386" s="8" t="s">
        <v>34</v>
      </c>
      <c r="T386" s="8" t="s">
        <v>40</v>
      </c>
      <c r="U386" s="8" t="s">
        <v>157</v>
      </c>
      <c r="V386" s="8" t="s">
        <v>158</v>
      </c>
      <c r="W386" s="8">
        <v>0</v>
      </c>
    </row>
    <row r="387" spans="1:23" x14ac:dyDescent="0.25">
      <c r="A387" s="4">
        <v>1</v>
      </c>
      <c r="B387" s="4"/>
      <c r="C387" s="4">
        <v>883780</v>
      </c>
      <c r="D387" s="4">
        <v>8094.5</v>
      </c>
      <c r="E387" s="5">
        <f t="shared" si="5"/>
        <v>0.5</v>
      </c>
      <c r="F387" s="15">
        <v>45257</v>
      </c>
      <c r="G387" s="10">
        <v>329831752</v>
      </c>
      <c r="H387" s="9">
        <v>45247</v>
      </c>
      <c r="I387" s="9">
        <v>45262</v>
      </c>
      <c r="J387" s="8">
        <v>8095</v>
      </c>
      <c r="K387" s="8" t="s">
        <v>31</v>
      </c>
      <c r="L387" s="8" t="s">
        <v>32</v>
      </c>
      <c r="M387" s="8"/>
      <c r="N387" s="8" t="b">
        <v>0</v>
      </c>
      <c r="O387" s="10">
        <v>705892</v>
      </c>
      <c r="P387" s="8" t="s">
        <v>197</v>
      </c>
      <c r="Q387" s="8">
        <v>111362</v>
      </c>
      <c r="R387" s="9">
        <v>45247</v>
      </c>
      <c r="S387" s="8" t="s">
        <v>34</v>
      </c>
      <c r="T387" s="8" t="s">
        <v>40</v>
      </c>
      <c r="U387" s="8" t="s">
        <v>157</v>
      </c>
      <c r="V387" s="8" t="s">
        <v>158</v>
      </c>
      <c r="W387" s="8">
        <v>0</v>
      </c>
    </row>
    <row r="388" spans="1:23" x14ac:dyDescent="0.25">
      <c r="A388" s="4">
        <v>1</v>
      </c>
      <c r="B388" s="4"/>
      <c r="C388" s="4">
        <v>883737</v>
      </c>
      <c r="D388" s="4">
        <v>7007</v>
      </c>
      <c r="E388" s="5">
        <f t="shared" si="5"/>
        <v>0</v>
      </c>
      <c r="F388" s="15">
        <v>45257</v>
      </c>
      <c r="G388" s="10">
        <v>329831756</v>
      </c>
      <c r="H388" s="9">
        <v>45247</v>
      </c>
      <c r="I388" s="9">
        <v>45262</v>
      </c>
      <c r="J388" s="8">
        <v>7007</v>
      </c>
      <c r="K388" s="8" t="s">
        <v>31</v>
      </c>
      <c r="L388" s="8" t="s">
        <v>32</v>
      </c>
      <c r="M388" s="8"/>
      <c r="N388" s="8" t="b">
        <v>0</v>
      </c>
      <c r="O388" s="10">
        <v>21061</v>
      </c>
      <c r="P388" s="8" t="s">
        <v>264</v>
      </c>
      <c r="Q388" s="8">
        <v>111468</v>
      </c>
      <c r="R388" s="9">
        <v>45247</v>
      </c>
      <c r="S388" s="8" t="s">
        <v>39</v>
      </c>
      <c r="T388" s="8" t="s">
        <v>44</v>
      </c>
      <c r="U388" s="8" t="s">
        <v>41</v>
      </c>
      <c r="V388" s="8" t="s">
        <v>42</v>
      </c>
      <c r="W388" s="8">
        <v>0</v>
      </c>
    </row>
    <row r="389" spans="1:23" x14ac:dyDescent="0.25">
      <c r="A389" s="4">
        <v>1</v>
      </c>
      <c r="B389" s="4"/>
      <c r="C389" s="4">
        <v>883734</v>
      </c>
      <c r="D389" s="4">
        <v>5170.5</v>
      </c>
      <c r="E389" s="5">
        <f t="shared" si="5"/>
        <v>0.5</v>
      </c>
      <c r="F389" s="15">
        <v>45257</v>
      </c>
      <c r="G389" s="10">
        <v>329831759</v>
      </c>
      <c r="H389" s="9">
        <v>45247</v>
      </c>
      <c r="I389" s="9">
        <v>45262</v>
      </c>
      <c r="J389" s="8">
        <v>5171</v>
      </c>
      <c r="K389" s="8" t="s">
        <v>31</v>
      </c>
      <c r="L389" s="8" t="s">
        <v>32</v>
      </c>
      <c r="M389" s="8"/>
      <c r="N389" s="8" t="b">
        <v>0</v>
      </c>
      <c r="O389" s="10">
        <v>21078</v>
      </c>
      <c r="P389" s="8" t="s">
        <v>263</v>
      </c>
      <c r="Q389" s="8">
        <v>111471</v>
      </c>
      <c r="R389" s="9">
        <v>45247</v>
      </c>
      <c r="S389" s="8" t="s">
        <v>34</v>
      </c>
      <c r="T389" s="8" t="s">
        <v>44</v>
      </c>
      <c r="U389" s="8" t="s">
        <v>58</v>
      </c>
      <c r="V389" s="8" t="s">
        <v>46</v>
      </c>
      <c r="W389" s="8">
        <v>0</v>
      </c>
    </row>
    <row r="390" spans="1:23" x14ac:dyDescent="0.25">
      <c r="A390" s="4">
        <v>1</v>
      </c>
      <c r="B390" s="4"/>
      <c r="C390" s="4">
        <v>883781</v>
      </c>
      <c r="D390" s="4">
        <v>5200.5</v>
      </c>
      <c r="E390" s="5">
        <f t="shared" ref="E390:E453" si="6">J390-D390</f>
        <v>0.5</v>
      </c>
      <c r="F390" s="15">
        <v>45257</v>
      </c>
      <c r="G390" s="10">
        <v>329831774</v>
      </c>
      <c r="H390" s="9">
        <v>45247</v>
      </c>
      <c r="I390" s="9">
        <v>45262</v>
      </c>
      <c r="J390" s="8">
        <v>5201</v>
      </c>
      <c r="K390" s="8" t="s">
        <v>31</v>
      </c>
      <c r="L390" s="8" t="s">
        <v>32</v>
      </c>
      <c r="M390" s="8"/>
      <c r="N390" s="8" t="b">
        <v>0</v>
      </c>
      <c r="O390" s="10">
        <v>705893</v>
      </c>
      <c r="P390" s="8" t="s">
        <v>80</v>
      </c>
      <c r="Q390" s="8">
        <v>111387</v>
      </c>
      <c r="R390" s="9">
        <v>45247</v>
      </c>
      <c r="S390" s="8" t="s">
        <v>34</v>
      </c>
      <c r="T390" s="8" t="s">
        <v>40</v>
      </c>
      <c r="U390" s="8" t="s">
        <v>58</v>
      </c>
      <c r="V390" s="8" t="s">
        <v>46</v>
      </c>
      <c r="W390" s="8">
        <v>0</v>
      </c>
    </row>
    <row r="391" spans="1:23" x14ac:dyDescent="0.25">
      <c r="A391" s="4">
        <v>1</v>
      </c>
      <c r="B391" s="4"/>
      <c r="C391" s="4">
        <v>883782</v>
      </c>
      <c r="D391" s="4">
        <v>8094.5</v>
      </c>
      <c r="E391" s="5">
        <f t="shared" si="6"/>
        <v>0.5</v>
      </c>
      <c r="F391" s="15">
        <v>45257</v>
      </c>
      <c r="G391" s="10">
        <v>329831776</v>
      </c>
      <c r="H391" s="9">
        <v>45247</v>
      </c>
      <c r="I391" s="9">
        <v>45262</v>
      </c>
      <c r="J391" s="8">
        <v>8095</v>
      </c>
      <c r="K391" s="8" t="s">
        <v>31</v>
      </c>
      <c r="L391" s="8" t="s">
        <v>32</v>
      </c>
      <c r="M391" s="8"/>
      <c r="N391" s="8" t="b">
        <v>0</v>
      </c>
      <c r="O391" s="10">
        <v>705889</v>
      </c>
      <c r="P391" s="8" t="s">
        <v>321</v>
      </c>
      <c r="Q391" s="8">
        <v>111342</v>
      </c>
      <c r="R391" s="9">
        <v>45247</v>
      </c>
      <c r="S391" s="8" t="s">
        <v>34</v>
      </c>
      <c r="T391" s="8" t="s">
        <v>40</v>
      </c>
      <c r="U391" s="8" t="s">
        <v>157</v>
      </c>
      <c r="V391" s="8" t="s">
        <v>158</v>
      </c>
      <c r="W391" s="8">
        <v>0</v>
      </c>
    </row>
    <row r="392" spans="1:23" x14ac:dyDescent="0.25">
      <c r="A392" s="4">
        <v>1</v>
      </c>
      <c r="B392" s="4"/>
      <c r="C392" s="4">
        <v>883738</v>
      </c>
      <c r="D392" s="4">
        <v>7007</v>
      </c>
      <c r="E392" s="5">
        <f t="shared" si="6"/>
        <v>0</v>
      </c>
      <c r="F392" s="15">
        <v>45257</v>
      </c>
      <c r="G392" s="10">
        <v>329831800</v>
      </c>
      <c r="H392" s="9">
        <v>45247</v>
      </c>
      <c r="I392" s="9">
        <v>45262</v>
      </c>
      <c r="J392" s="8">
        <v>7007</v>
      </c>
      <c r="K392" s="8" t="s">
        <v>31</v>
      </c>
      <c r="L392" s="8" t="s">
        <v>32</v>
      </c>
      <c r="M392" s="8"/>
      <c r="N392" s="8" t="b">
        <v>0</v>
      </c>
      <c r="O392" s="10">
        <v>21060</v>
      </c>
      <c r="P392" s="8" t="s">
        <v>267</v>
      </c>
      <c r="Q392" s="8">
        <v>111465</v>
      </c>
      <c r="R392" s="9">
        <v>45247</v>
      </c>
      <c r="S392" s="8" t="s">
        <v>39</v>
      </c>
      <c r="T392" s="8" t="s">
        <v>44</v>
      </c>
      <c r="U392" s="8" t="s">
        <v>41</v>
      </c>
      <c r="V392" s="8" t="s">
        <v>42</v>
      </c>
      <c r="W392" s="8">
        <v>0</v>
      </c>
    </row>
    <row r="393" spans="1:23" x14ac:dyDescent="0.25">
      <c r="A393" s="4">
        <v>1</v>
      </c>
      <c r="B393" s="4"/>
      <c r="C393" s="4">
        <v>883783</v>
      </c>
      <c r="D393" s="4">
        <v>8094.5</v>
      </c>
      <c r="E393" s="5">
        <f t="shared" si="6"/>
        <v>0.5</v>
      </c>
      <c r="F393" s="15">
        <v>45257</v>
      </c>
      <c r="G393" s="10">
        <v>329831802</v>
      </c>
      <c r="H393" s="9">
        <v>45247</v>
      </c>
      <c r="I393" s="9">
        <v>45262</v>
      </c>
      <c r="J393" s="8">
        <v>8095</v>
      </c>
      <c r="K393" s="8" t="s">
        <v>31</v>
      </c>
      <c r="L393" s="8" t="s">
        <v>32</v>
      </c>
      <c r="M393" s="8"/>
      <c r="N393" s="8" t="b">
        <v>0</v>
      </c>
      <c r="O393" s="10">
        <v>705891</v>
      </c>
      <c r="P393" s="8" t="s">
        <v>322</v>
      </c>
      <c r="Q393" s="8">
        <v>111357</v>
      </c>
      <c r="R393" s="9">
        <v>45247</v>
      </c>
      <c r="S393" s="8" t="s">
        <v>34</v>
      </c>
      <c r="T393" s="8" t="s">
        <v>40</v>
      </c>
      <c r="U393" s="8" t="s">
        <v>157</v>
      </c>
      <c r="V393" s="8" t="s">
        <v>158</v>
      </c>
      <c r="W393" s="8">
        <v>0</v>
      </c>
    </row>
    <row r="394" spans="1:23" x14ac:dyDescent="0.25">
      <c r="A394" s="4">
        <v>1</v>
      </c>
      <c r="B394" s="4"/>
      <c r="C394" s="4">
        <v>883784</v>
      </c>
      <c r="D394" s="4">
        <v>8094.5</v>
      </c>
      <c r="E394" s="5">
        <f t="shared" si="6"/>
        <v>0.5</v>
      </c>
      <c r="F394" s="15">
        <v>45257</v>
      </c>
      <c r="G394" s="10">
        <v>329831812</v>
      </c>
      <c r="H394" s="9">
        <v>45247</v>
      </c>
      <c r="I394" s="9">
        <v>45262</v>
      </c>
      <c r="J394" s="8">
        <v>8095</v>
      </c>
      <c r="K394" s="8" t="s">
        <v>31</v>
      </c>
      <c r="L394" s="8" t="s">
        <v>32</v>
      </c>
      <c r="M394" s="8"/>
      <c r="N394" s="8" t="b">
        <v>0</v>
      </c>
      <c r="O394" s="10">
        <v>705890</v>
      </c>
      <c r="P394" s="8" t="s">
        <v>51</v>
      </c>
      <c r="Q394" s="8">
        <v>111348</v>
      </c>
      <c r="R394" s="9">
        <v>45247</v>
      </c>
      <c r="S394" s="8" t="s">
        <v>34</v>
      </c>
      <c r="T394" s="8" t="s">
        <v>40</v>
      </c>
      <c r="U394" s="8" t="s">
        <v>157</v>
      </c>
      <c r="V394" s="8" t="s">
        <v>158</v>
      </c>
      <c r="W394" s="8">
        <v>0</v>
      </c>
    </row>
    <row r="395" spans="1:23" x14ac:dyDescent="0.25">
      <c r="A395" s="4">
        <v>1</v>
      </c>
      <c r="B395" s="4"/>
      <c r="C395" s="4">
        <v>883546</v>
      </c>
      <c r="D395" s="4">
        <v>9339</v>
      </c>
      <c r="E395" s="5">
        <f t="shared" si="6"/>
        <v>1</v>
      </c>
      <c r="F395" s="15">
        <v>45257</v>
      </c>
      <c r="G395" s="10">
        <v>329832391</v>
      </c>
      <c r="H395" s="9">
        <v>45247</v>
      </c>
      <c r="I395" s="9">
        <v>45262</v>
      </c>
      <c r="J395" s="8">
        <v>9340</v>
      </c>
      <c r="K395" s="8" t="s">
        <v>31</v>
      </c>
      <c r="L395" s="8" t="s">
        <v>32</v>
      </c>
      <c r="M395" s="8"/>
      <c r="N395" s="8" t="b">
        <v>0</v>
      </c>
      <c r="O395" s="10">
        <v>705913</v>
      </c>
      <c r="P395" s="8" t="s">
        <v>171</v>
      </c>
      <c r="Q395" s="8">
        <v>112079</v>
      </c>
      <c r="R395" s="9">
        <v>45247</v>
      </c>
      <c r="S395" s="8" t="s">
        <v>130</v>
      </c>
      <c r="T395" s="8" t="s">
        <v>40</v>
      </c>
      <c r="U395" s="8" t="s">
        <v>131</v>
      </c>
      <c r="V395" s="8" t="s">
        <v>132</v>
      </c>
      <c r="W395" s="8">
        <v>0</v>
      </c>
    </row>
    <row r="396" spans="1:23" x14ac:dyDescent="0.25">
      <c r="A396" s="4">
        <v>1</v>
      </c>
      <c r="B396" s="4"/>
      <c r="C396" s="4">
        <v>882545</v>
      </c>
      <c r="D396" s="4">
        <v>5200.5</v>
      </c>
      <c r="E396" s="5">
        <f t="shared" si="6"/>
        <v>0.5</v>
      </c>
      <c r="F396" s="15">
        <v>45257</v>
      </c>
      <c r="G396" s="10">
        <v>329832401</v>
      </c>
      <c r="H396" s="9">
        <v>45247</v>
      </c>
      <c r="I396" s="9">
        <v>45262</v>
      </c>
      <c r="J396" s="8">
        <v>5201</v>
      </c>
      <c r="K396" s="8" t="s">
        <v>31</v>
      </c>
      <c r="L396" s="8" t="s">
        <v>32</v>
      </c>
      <c r="M396" s="8"/>
      <c r="N396" s="8" t="b">
        <v>0</v>
      </c>
      <c r="O396" s="10">
        <v>21028</v>
      </c>
      <c r="P396" s="8" t="s">
        <v>323</v>
      </c>
      <c r="Q396" s="8">
        <v>112085</v>
      </c>
      <c r="R396" s="9">
        <v>45247</v>
      </c>
      <c r="S396" s="8" t="s">
        <v>34</v>
      </c>
      <c r="T396" s="8" t="s">
        <v>40</v>
      </c>
      <c r="U396" s="8" t="s">
        <v>58</v>
      </c>
      <c r="V396" s="8" t="s">
        <v>46</v>
      </c>
      <c r="W396" s="8">
        <v>0</v>
      </c>
    </row>
    <row r="397" spans="1:23" x14ac:dyDescent="0.25">
      <c r="A397" s="4">
        <v>1</v>
      </c>
      <c r="B397" s="4"/>
      <c r="C397" s="4">
        <v>883739</v>
      </c>
      <c r="D397" s="4">
        <v>7037</v>
      </c>
      <c r="E397" s="5">
        <f t="shared" si="6"/>
        <v>0</v>
      </c>
      <c r="F397" s="15">
        <v>45257</v>
      </c>
      <c r="G397" s="10">
        <v>329852140</v>
      </c>
      <c r="H397" s="9">
        <v>45250</v>
      </c>
      <c r="I397" s="9">
        <v>45265</v>
      </c>
      <c r="J397" s="8">
        <v>7037</v>
      </c>
      <c r="K397" s="8" t="s">
        <v>31</v>
      </c>
      <c r="L397" s="8" t="s">
        <v>32</v>
      </c>
      <c r="M397" s="8"/>
      <c r="N397" s="8" t="b">
        <v>0</v>
      </c>
      <c r="O397" s="10">
        <v>21073</v>
      </c>
      <c r="P397" s="8" t="s">
        <v>93</v>
      </c>
      <c r="Q397" s="8">
        <v>126065</v>
      </c>
      <c r="R397" s="9">
        <v>45248</v>
      </c>
      <c r="S397" s="8" t="s">
        <v>39</v>
      </c>
      <c r="T397" s="8" t="s">
        <v>40</v>
      </c>
      <c r="U397" s="8" t="s">
        <v>41</v>
      </c>
      <c r="V397" s="8" t="s">
        <v>42</v>
      </c>
      <c r="W397" s="8">
        <v>0</v>
      </c>
    </row>
    <row r="398" spans="1:23" x14ac:dyDescent="0.25">
      <c r="A398" s="4">
        <v>1</v>
      </c>
      <c r="B398" s="4"/>
      <c r="C398" s="4">
        <v>883994</v>
      </c>
      <c r="D398" s="4">
        <v>5200.5</v>
      </c>
      <c r="E398" s="5">
        <f t="shared" si="6"/>
        <v>0.5</v>
      </c>
      <c r="F398" s="15">
        <v>45257</v>
      </c>
      <c r="G398" s="10">
        <v>329852141</v>
      </c>
      <c r="H398" s="9">
        <v>45250</v>
      </c>
      <c r="I398" s="9">
        <v>45265</v>
      </c>
      <c r="J398" s="8">
        <v>5201</v>
      </c>
      <c r="K398" s="8" t="s">
        <v>31</v>
      </c>
      <c r="L398" s="8" t="s">
        <v>32</v>
      </c>
      <c r="M398" s="8"/>
      <c r="N398" s="8" t="b">
        <v>0</v>
      </c>
      <c r="O398" s="10">
        <v>705898</v>
      </c>
      <c r="P398" s="8" t="s">
        <v>61</v>
      </c>
      <c r="Q398" s="8">
        <v>126080</v>
      </c>
      <c r="R398" s="9">
        <v>45248</v>
      </c>
      <c r="S398" s="8" t="s">
        <v>34</v>
      </c>
      <c r="T398" s="8" t="s">
        <v>40</v>
      </c>
      <c r="U398" s="8" t="s">
        <v>58</v>
      </c>
      <c r="V398" s="8" t="s">
        <v>46</v>
      </c>
      <c r="W398" s="8">
        <v>0</v>
      </c>
    </row>
    <row r="399" spans="1:23" x14ac:dyDescent="0.25">
      <c r="A399" s="4">
        <v>1</v>
      </c>
      <c r="B399" s="4"/>
      <c r="C399" s="4">
        <v>883741</v>
      </c>
      <c r="D399" s="4">
        <v>7037</v>
      </c>
      <c r="E399" s="5">
        <f t="shared" si="6"/>
        <v>0</v>
      </c>
      <c r="F399" s="15">
        <v>45257</v>
      </c>
      <c r="G399" s="10">
        <v>329852143</v>
      </c>
      <c r="H399" s="9">
        <v>45250</v>
      </c>
      <c r="I399" s="9">
        <v>45265</v>
      </c>
      <c r="J399" s="8">
        <v>7037</v>
      </c>
      <c r="K399" s="8" t="s">
        <v>31</v>
      </c>
      <c r="L399" s="8" t="s">
        <v>32</v>
      </c>
      <c r="M399" s="8"/>
      <c r="N399" s="8" t="b">
        <v>0</v>
      </c>
      <c r="O399" s="10">
        <v>21071</v>
      </c>
      <c r="P399" s="8" t="s">
        <v>99</v>
      </c>
      <c r="Q399" s="8">
        <v>126059</v>
      </c>
      <c r="R399" s="9">
        <v>45248</v>
      </c>
      <c r="S399" s="8" t="s">
        <v>39</v>
      </c>
      <c r="T399" s="8" t="s">
        <v>40</v>
      </c>
      <c r="U399" s="8" t="s">
        <v>41</v>
      </c>
      <c r="V399" s="8" t="s">
        <v>42</v>
      </c>
      <c r="W399" s="8">
        <v>0</v>
      </c>
    </row>
    <row r="400" spans="1:23" x14ac:dyDescent="0.25">
      <c r="A400" s="4">
        <v>1</v>
      </c>
      <c r="B400" s="4"/>
      <c r="C400" s="4">
        <v>883995</v>
      </c>
      <c r="D400" s="4">
        <v>5200.5</v>
      </c>
      <c r="E400" s="5">
        <f t="shared" si="6"/>
        <v>0.5</v>
      </c>
      <c r="F400" s="15">
        <v>45257</v>
      </c>
      <c r="G400" s="10">
        <v>329852149</v>
      </c>
      <c r="H400" s="9">
        <v>45250</v>
      </c>
      <c r="I400" s="9">
        <v>45265</v>
      </c>
      <c r="J400" s="8">
        <v>5201</v>
      </c>
      <c r="K400" s="8" t="s">
        <v>31</v>
      </c>
      <c r="L400" s="8" t="s">
        <v>32</v>
      </c>
      <c r="M400" s="8"/>
      <c r="N400" s="8" t="b">
        <v>0</v>
      </c>
      <c r="O400" s="10">
        <v>705895</v>
      </c>
      <c r="P400" s="8" t="s">
        <v>164</v>
      </c>
      <c r="Q400" s="8">
        <v>126073</v>
      </c>
      <c r="R400" s="9">
        <v>45248</v>
      </c>
      <c r="S400" s="8" t="s">
        <v>34</v>
      </c>
      <c r="T400" s="8" t="s">
        <v>40</v>
      </c>
      <c r="U400" s="8" t="s">
        <v>58</v>
      </c>
      <c r="V400" s="8" t="s">
        <v>46</v>
      </c>
      <c r="W400" s="8">
        <v>0</v>
      </c>
    </row>
    <row r="401" spans="1:23" x14ac:dyDescent="0.25">
      <c r="A401" s="4">
        <v>1</v>
      </c>
      <c r="B401" s="4"/>
      <c r="C401" s="4">
        <v>883996</v>
      </c>
      <c r="D401" s="4">
        <v>5200.5</v>
      </c>
      <c r="E401" s="5">
        <f t="shared" si="6"/>
        <v>0.5</v>
      </c>
      <c r="F401" s="15">
        <v>45257</v>
      </c>
      <c r="G401" s="10">
        <v>329852152</v>
      </c>
      <c r="H401" s="9">
        <v>45250</v>
      </c>
      <c r="I401" s="9">
        <v>45265</v>
      </c>
      <c r="J401" s="8">
        <v>5201</v>
      </c>
      <c r="K401" s="8" t="s">
        <v>31</v>
      </c>
      <c r="L401" s="8" t="s">
        <v>32</v>
      </c>
      <c r="M401" s="8"/>
      <c r="N401" s="8" t="b">
        <v>0</v>
      </c>
      <c r="O401" s="10">
        <v>705896</v>
      </c>
      <c r="P401" s="8" t="s">
        <v>206</v>
      </c>
      <c r="Q401" s="8">
        <v>126076</v>
      </c>
      <c r="R401" s="9">
        <v>45248</v>
      </c>
      <c r="S401" s="8" t="s">
        <v>34</v>
      </c>
      <c r="T401" s="8" t="s">
        <v>40</v>
      </c>
      <c r="U401" s="8" t="s">
        <v>58</v>
      </c>
      <c r="V401" s="8" t="s">
        <v>46</v>
      </c>
      <c r="W401" s="8">
        <v>0</v>
      </c>
    </row>
    <row r="402" spans="1:23" x14ac:dyDescent="0.25">
      <c r="A402" s="4">
        <v>1</v>
      </c>
      <c r="B402" s="4"/>
      <c r="C402" s="4">
        <v>883997</v>
      </c>
      <c r="D402" s="4">
        <v>5200.5</v>
      </c>
      <c r="E402" s="5">
        <f t="shared" si="6"/>
        <v>0.5</v>
      </c>
      <c r="F402" s="15">
        <v>45257</v>
      </c>
      <c r="G402" s="10">
        <v>329852155</v>
      </c>
      <c r="H402" s="9">
        <v>45250</v>
      </c>
      <c r="I402" s="9">
        <v>45265</v>
      </c>
      <c r="J402" s="8">
        <v>5201</v>
      </c>
      <c r="K402" s="8" t="s">
        <v>31</v>
      </c>
      <c r="L402" s="8" t="s">
        <v>32</v>
      </c>
      <c r="M402" s="8"/>
      <c r="N402" s="8" t="b">
        <v>0</v>
      </c>
      <c r="O402" s="10">
        <v>705894</v>
      </c>
      <c r="P402" s="8" t="s">
        <v>83</v>
      </c>
      <c r="Q402" s="8">
        <v>126068</v>
      </c>
      <c r="R402" s="9">
        <v>45248</v>
      </c>
      <c r="S402" s="8" t="s">
        <v>34</v>
      </c>
      <c r="T402" s="8" t="s">
        <v>40</v>
      </c>
      <c r="U402" s="8" t="s">
        <v>58</v>
      </c>
      <c r="V402" s="8" t="s">
        <v>46</v>
      </c>
      <c r="W402" s="8">
        <v>0</v>
      </c>
    </row>
    <row r="403" spans="1:23" x14ac:dyDescent="0.25">
      <c r="A403" s="4">
        <v>1</v>
      </c>
      <c r="B403" s="4"/>
      <c r="C403" s="4">
        <v>883998</v>
      </c>
      <c r="D403" s="4">
        <v>5200.5</v>
      </c>
      <c r="E403" s="5">
        <f t="shared" si="6"/>
        <v>0.5</v>
      </c>
      <c r="F403" s="15">
        <v>45257</v>
      </c>
      <c r="G403" s="10">
        <v>329852157</v>
      </c>
      <c r="H403" s="9">
        <v>45250</v>
      </c>
      <c r="I403" s="9">
        <v>45265</v>
      </c>
      <c r="J403" s="8">
        <v>5201</v>
      </c>
      <c r="K403" s="8" t="s">
        <v>31</v>
      </c>
      <c r="L403" s="8" t="s">
        <v>32</v>
      </c>
      <c r="M403" s="8"/>
      <c r="N403" s="8" t="b">
        <v>0</v>
      </c>
      <c r="O403" s="10">
        <v>705897</v>
      </c>
      <c r="P403" s="8" t="s">
        <v>59</v>
      </c>
      <c r="Q403" s="8">
        <v>126079</v>
      </c>
      <c r="R403" s="9">
        <v>45248</v>
      </c>
      <c r="S403" s="8" t="s">
        <v>34</v>
      </c>
      <c r="T403" s="8" t="s">
        <v>40</v>
      </c>
      <c r="U403" s="8" t="s">
        <v>58</v>
      </c>
      <c r="V403" s="8" t="s">
        <v>46</v>
      </c>
      <c r="W403" s="8">
        <v>0</v>
      </c>
    </row>
    <row r="404" spans="1:23" x14ac:dyDescent="0.25">
      <c r="A404" s="4">
        <v>1</v>
      </c>
      <c r="B404" s="4"/>
      <c r="C404" s="4">
        <v>883740</v>
      </c>
      <c r="D404" s="4">
        <v>7037</v>
      </c>
      <c r="E404" s="5">
        <f t="shared" si="6"/>
        <v>0</v>
      </c>
      <c r="F404" s="15">
        <v>45257</v>
      </c>
      <c r="G404" s="10">
        <v>329852160</v>
      </c>
      <c r="H404" s="9">
        <v>45250</v>
      </c>
      <c r="I404" s="9">
        <v>45265</v>
      </c>
      <c r="J404" s="8">
        <v>7037</v>
      </c>
      <c r="K404" s="8" t="s">
        <v>31</v>
      </c>
      <c r="L404" s="8" t="s">
        <v>32</v>
      </c>
      <c r="M404" s="8"/>
      <c r="N404" s="8" t="b">
        <v>0</v>
      </c>
      <c r="O404" s="10">
        <v>21072</v>
      </c>
      <c r="P404" s="8" t="s">
        <v>96</v>
      </c>
      <c r="Q404" s="8">
        <v>126063</v>
      </c>
      <c r="R404" s="9">
        <v>45248</v>
      </c>
      <c r="S404" s="8" t="s">
        <v>39</v>
      </c>
      <c r="T404" s="8" t="s">
        <v>40</v>
      </c>
      <c r="U404" s="8" t="s">
        <v>41</v>
      </c>
      <c r="V404" s="8" t="s">
        <v>42</v>
      </c>
      <c r="W404" s="8">
        <v>0</v>
      </c>
    </row>
    <row r="405" spans="1:23" x14ac:dyDescent="0.25">
      <c r="A405" s="4">
        <v>1</v>
      </c>
      <c r="B405" s="4"/>
      <c r="C405" s="4">
        <v>883999</v>
      </c>
      <c r="D405" s="4">
        <v>5200.5</v>
      </c>
      <c r="E405" s="5">
        <f t="shared" si="6"/>
        <v>0.5</v>
      </c>
      <c r="F405" s="15">
        <v>45257</v>
      </c>
      <c r="G405" s="10">
        <v>329852164</v>
      </c>
      <c r="H405" s="9">
        <v>45250</v>
      </c>
      <c r="I405" s="9">
        <v>45265</v>
      </c>
      <c r="J405" s="8">
        <v>5201</v>
      </c>
      <c r="K405" s="8" t="s">
        <v>31</v>
      </c>
      <c r="L405" s="8" t="s">
        <v>32</v>
      </c>
      <c r="M405" s="8"/>
      <c r="N405" s="8" t="b">
        <v>0</v>
      </c>
      <c r="O405" s="10">
        <v>705899</v>
      </c>
      <c r="P405" s="8" t="s">
        <v>79</v>
      </c>
      <c r="Q405" s="8">
        <v>126086</v>
      </c>
      <c r="R405" s="9">
        <v>45248</v>
      </c>
      <c r="S405" s="8" t="s">
        <v>34</v>
      </c>
      <c r="T405" s="8" t="s">
        <v>40</v>
      </c>
      <c r="U405" s="8" t="s">
        <v>58</v>
      </c>
      <c r="V405" s="8" t="s">
        <v>46</v>
      </c>
      <c r="W405" s="8">
        <v>0</v>
      </c>
    </row>
    <row r="406" spans="1:23" x14ac:dyDescent="0.25">
      <c r="A406" s="4">
        <v>1</v>
      </c>
      <c r="B406" s="4"/>
      <c r="C406" s="4">
        <v>884000</v>
      </c>
      <c r="D406" s="4">
        <v>5200.5</v>
      </c>
      <c r="E406" s="5">
        <f t="shared" si="6"/>
        <v>0.5</v>
      </c>
      <c r="F406" s="15">
        <v>45257</v>
      </c>
      <c r="G406" s="10">
        <v>329881721</v>
      </c>
      <c r="H406" s="9">
        <v>45250</v>
      </c>
      <c r="I406" s="9">
        <v>45265</v>
      </c>
      <c r="J406" s="8">
        <v>5201</v>
      </c>
      <c r="K406" s="8" t="s">
        <v>31</v>
      </c>
      <c r="L406" s="8" t="s">
        <v>32</v>
      </c>
      <c r="M406" s="8"/>
      <c r="N406" s="8" t="b">
        <v>0</v>
      </c>
      <c r="O406" s="10">
        <v>706375</v>
      </c>
      <c r="P406" s="8" t="s">
        <v>177</v>
      </c>
      <c r="Q406" s="8">
        <v>146441</v>
      </c>
      <c r="R406" s="9">
        <v>45250</v>
      </c>
      <c r="S406" s="8" t="s">
        <v>34</v>
      </c>
      <c r="T406" s="8" t="s">
        <v>40</v>
      </c>
      <c r="U406" s="8" t="s">
        <v>58</v>
      </c>
      <c r="V406" s="8" t="s">
        <v>46</v>
      </c>
      <c r="W406" s="8">
        <v>0</v>
      </c>
    </row>
    <row r="407" spans="1:23" x14ac:dyDescent="0.25">
      <c r="A407" s="4">
        <v>1</v>
      </c>
      <c r="B407" s="4"/>
      <c r="C407" s="4">
        <v>884001</v>
      </c>
      <c r="D407" s="4">
        <v>5200.5</v>
      </c>
      <c r="E407" s="5">
        <f t="shared" si="6"/>
        <v>0.5</v>
      </c>
      <c r="F407" s="15">
        <v>45257</v>
      </c>
      <c r="G407" s="10">
        <v>329881759</v>
      </c>
      <c r="H407" s="9">
        <v>45250</v>
      </c>
      <c r="I407" s="9">
        <v>45265</v>
      </c>
      <c r="J407" s="8">
        <v>5201</v>
      </c>
      <c r="K407" s="8" t="s">
        <v>31</v>
      </c>
      <c r="L407" s="8" t="s">
        <v>32</v>
      </c>
      <c r="M407" s="8"/>
      <c r="N407" s="8" t="b">
        <v>0</v>
      </c>
      <c r="O407" s="10">
        <v>706374</v>
      </c>
      <c r="P407" s="8" t="s">
        <v>170</v>
      </c>
      <c r="Q407" s="8">
        <v>146434</v>
      </c>
      <c r="R407" s="9">
        <v>45250</v>
      </c>
      <c r="S407" s="8" t="s">
        <v>34</v>
      </c>
      <c r="T407" s="8" t="s">
        <v>40</v>
      </c>
      <c r="U407" s="8" t="s">
        <v>58</v>
      </c>
      <c r="V407" s="8" t="s">
        <v>46</v>
      </c>
      <c r="W407" s="8">
        <v>0</v>
      </c>
    </row>
    <row r="408" spans="1:23" x14ac:dyDescent="0.25">
      <c r="A408" s="4">
        <v>1</v>
      </c>
      <c r="B408" s="4"/>
      <c r="C408" s="4">
        <v>884008</v>
      </c>
      <c r="D408" s="4">
        <v>7037</v>
      </c>
      <c r="E408" s="5">
        <f t="shared" si="6"/>
        <v>0</v>
      </c>
      <c r="F408" s="15">
        <v>45257</v>
      </c>
      <c r="G408" s="10">
        <v>329881782</v>
      </c>
      <c r="H408" s="9">
        <v>45250</v>
      </c>
      <c r="I408" s="9">
        <v>45265</v>
      </c>
      <c r="J408" s="8">
        <v>7037</v>
      </c>
      <c r="K408" s="8" t="s">
        <v>31</v>
      </c>
      <c r="L408" s="8" t="s">
        <v>32</v>
      </c>
      <c r="M408" s="8"/>
      <c r="N408" s="8" t="b">
        <v>0</v>
      </c>
      <c r="O408" s="10">
        <v>21083</v>
      </c>
      <c r="P408" s="8" t="s">
        <v>190</v>
      </c>
      <c r="Q408" s="8">
        <v>146418</v>
      </c>
      <c r="R408" s="9">
        <v>45250</v>
      </c>
      <c r="S408" s="8" t="s">
        <v>39</v>
      </c>
      <c r="T408" s="8" t="s">
        <v>40</v>
      </c>
      <c r="U408" s="8" t="s">
        <v>41</v>
      </c>
      <c r="V408" s="8" t="s">
        <v>42</v>
      </c>
      <c r="W408" s="8">
        <v>0</v>
      </c>
    </row>
    <row r="409" spans="1:23" x14ac:dyDescent="0.25">
      <c r="A409" s="4">
        <v>1</v>
      </c>
      <c r="B409" s="4"/>
      <c r="C409" s="4">
        <v>884002</v>
      </c>
      <c r="D409" s="4">
        <v>5170.5</v>
      </c>
      <c r="E409" s="5">
        <f t="shared" si="6"/>
        <v>0.5</v>
      </c>
      <c r="F409" s="15">
        <v>45257</v>
      </c>
      <c r="G409" s="10">
        <v>329881794</v>
      </c>
      <c r="H409" s="9">
        <v>45250</v>
      </c>
      <c r="I409" s="9">
        <v>45265</v>
      </c>
      <c r="J409" s="8">
        <v>5171</v>
      </c>
      <c r="K409" s="8" t="s">
        <v>31</v>
      </c>
      <c r="L409" s="8" t="s">
        <v>32</v>
      </c>
      <c r="M409" s="8"/>
      <c r="N409" s="8" t="b">
        <v>0</v>
      </c>
      <c r="O409" s="10">
        <v>705135</v>
      </c>
      <c r="P409" s="8" t="s">
        <v>273</v>
      </c>
      <c r="Q409" s="8">
        <v>146522</v>
      </c>
      <c r="R409" s="9">
        <v>45250</v>
      </c>
      <c r="S409" s="8" t="s">
        <v>34</v>
      </c>
      <c r="T409" s="8" t="s">
        <v>44</v>
      </c>
      <c r="U409" s="8" t="s">
        <v>58</v>
      </c>
      <c r="V409" s="8" t="s">
        <v>46</v>
      </c>
      <c r="W409" s="8">
        <v>0</v>
      </c>
    </row>
    <row r="410" spans="1:23" x14ac:dyDescent="0.25">
      <c r="A410" s="4">
        <v>1</v>
      </c>
      <c r="B410" s="4"/>
      <c r="C410" s="4">
        <v>884010</v>
      </c>
      <c r="D410" s="4">
        <v>7037</v>
      </c>
      <c r="E410" s="5">
        <f t="shared" si="6"/>
        <v>0</v>
      </c>
      <c r="F410" s="15">
        <v>45257</v>
      </c>
      <c r="G410" s="10">
        <v>329881804</v>
      </c>
      <c r="H410" s="9">
        <v>45250</v>
      </c>
      <c r="I410" s="9">
        <v>45265</v>
      </c>
      <c r="J410" s="8">
        <v>7037</v>
      </c>
      <c r="K410" s="8" t="s">
        <v>31</v>
      </c>
      <c r="L410" s="8" t="s">
        <v>32</v>
      </c>
      <c r="M410" s="8"/>
      <c r="N410" s="8" t="b">
        <v>0</v>
      </c>
      <c r="O410" s="10">
        <v>21082</v>
      </c>
      <c r="P410" s="8" t="s">
        <v>52</v>
      </c>
      <c r="Q410" s="8">
        <v>146405</v>
      </c>
      <c r="R410" s="9">
        <v>45250</v>
      </c>
      <c r="S410" s="8" t="s">
        <v>39</v>
      </c>
      <c r="T410" s="8" t="s">
        <v>40</v>
      </c>
      <c r="U410" s="8" t="s">
        <v>41</v>
      </c>
      <c r="V410" s="8" t="s">
        <v>42</v>
      </c>
      <c r="W410" s="8">
        <v>0</v>
      </c>
    </row>
    <row r="411" spans="1:23" x14ac:dyDescent="0.25">
      <c r="A411" s="4">
        <v>1</v>
      </c>
      <c r="B411" s="4"/>
      <c r="C411" s="4">
        <v>884011</v>
      </c>
      <c r="D411" s="4">
        <v>7037</v>
      </c>
      <c r="E411" s="5">
        <f t="shared" si="6"/>
        <v>0</v>
      </c>
      <c r="F411" s="15">
        <v>45257</v>
      </c>
      <c r="G411" s="10">
        <v>329881822</v>
      </c>
      <c r="H411" s="9">
        <v>45250</v>
      </c>
      <c r="I411" s="9">
        <v>45265</v>
      </c>
      <c r="J411" s="8">
        <v>7037</v>
      </c>
      <c r="K411" s="8" t="s">
        <v>31</v>
      </c>
      <c r="L411" s="8" t="s">
        <v>32</v>
      </c>
      <c r="M411" s="8"/>
      <c r="N411" s="8" t="b">
        <v>0</v>
      </c>
      <c r="O411" s="10">
        <v>21081</v>
      </c>
      <c r="P411" s="8" t="s">
        <v>91</v>
      </c>
      <c r="Q411" s="8">
        <v>146375</v>
      </c>
      <c r="R411" s="9">
        <v>45250</v>
      </c>
      <c r="S411" s="8" t="s">
        <v>39</v>
      </c>
      <c r="T411" s="8" t="s">
        <v>40</v>
      </c>
      <c r="U411" s="8" t="s">
        <v>41</v>
      </c>
      <c r="V411" s="8" t="s">
        <v>42</v>
      </c>
      <c r="W411" s="8">
        <v>0</v>
      </c>
    </row>
    <row r="412" spans="1:23" x14ac:dyDescent="0.25">
      <c r="A412" s="4">
        <v>1</v>
      </c>
      <c r="B412" s="4"/>
      <c r="C412" s="4">
        <v>884004</v>
      </c>
      <c r="D412" s="4">
        <v>5170.5</v>
      </c>
      <c r="E412" s="5">
        <f t="shared" si="6"/>
        <v>0.5</v>
      </c>
      <c r="F412" s="15">
        <v>45257</v>
      </c>
      <c r="G412" s="10">
        <v>329881823</v>
      </c>
      <c r="H412" s="9">
        <v>45250</v>
      </c>
      <c r="I412" s="9">
        <v>45265</v>
      </c>
      <c r="J412" s="8">
        <v>5171</v>
      </c>
      <c r="K412" s="8" t="s">
        <v>31</v>
      </c>
      <c r="L412" s="8" t="s">
        <v>32</v>
      </c>
      <c r="M412" s="8"/>
      <c r="N412" s="8" t="b">
        <v>0</v>
      </c>
      <c r="O412" s="10">
        <v>705133</v>
      </c>
      <c r="P412" s="8" t="s">
        <v>275</v>
      </c>
      <c r="Q412" s="8">
        <v>146502</v>
      </c>
      <c r="R412" s="9">
        <v>45250</v>
      </c>
      <c r="S412" s="8" t="s">
        <v>34</v>
      </c>
      <c r="T412" s="8" t="s">
        <v>44</v>
      </c>
      <c r="U412" s="8" t="s">
        <v>58</v>
      </c>
      <c r="V412" s="8" t="s">
        <v>46</v>
      </c>
      <c r="W412" s="8">
        <v>0</v>
      </c>
    </row>
    <row r="413" spans="1:23" x14ac:dyDescent="0.25">
      <c r="A413" s="4">
        <v>1</v>
      </c>
      <c r="B413" s="4"/>
      <c r="C413" s="4">
        <v>884005</v>
      </c>
      <c r="D413" s="4">
        <v>5183</v>
      </c>
      <c r="E413" s="5">
        <f t="shared" si="6"/>
        <v>1</v>
      </c>
      <c r="F413" s="15">
        <v>45257</v>
      </c>
      <c r="G413" s="10">
        <v>329881824</v>
      </c>
      <c r="H413" s="9">
        <v>45250</v>
      </c>
      <c r="I413" s="9">
        <v>45265</v>
      </c>
      <c r="J413" s="8">
        <v>5184</v>
      </c>
      <c r="K413" s="8" t="s">
        <v>31</v>
      </c>
      <c r="L413" s="8" t="s">
        <v>32</v>
      </c>
      <c r="M413" s="8"/>
      <c r="N413" s="8" t="b">
        <v>0</v>
      </c>
      <c r="O413" s="10">
        <v>704417</v>
      </c>
      <c r="P413" s="8" t="s">
        <v>276</v>
      </c>
      <c r="Q413" s="8">
        <v>146493</v>
      </c>
      <c r="R413" s="9">
        <v>45250</v>
      </c>
      <c r="S413" s="8" t="s">
        <v>308</v>
      </c>
      <c r="T413" s="8" t="s">
        <v>44</v>
      </c>
      <c r="U413" s="8" t="s">
        <v>309</v>
      </c>
      <c r="V413" s="8" t="s">
        <v>46</v>
      </c>
      <c r="W413" s="8">
        <v>0</v>
      </c>
    </row>
    <row r="414" spans="1:23" x14ac:dyDescent="0.25">
      <c r="A414" s="4">
        <v>1</v>
      </c>
      <c r="B414" s="4"/>
      <c r="C414" s="4">
        <v>884007</v>
      </c>
      <c r="D414" s="4">
        <v>7037</v>
      </c>
      <c r="E414" s="5">
        <f t="shared" si="6"/>
        <v>0</v>
      </c>
      <c r="F414" s="15">
        <v>45257</v>
      </c>
      <c r="G414" s="10">
        <v>329882240</v>
      </c>
      <c r="H414" s="9">
        <v>45250</v>
      </c>
      <c r="I414" s="9">
        <v>45265</v>
      </c>
      <c r="J414" s="8">
        <v>7037</v>
      </c>
      <c r="K414" s="8" t="s">
        <v>31</v>
      </c>
      <c r="L414" s="8" t="s">
        <v>32</v>
      </c>
      <c r="M414" s="8"/>
      <c r="N414" s="8" t="b">
        <v>0</v>
      </c>
      <c r="O414" s="10">
        <v>21084</v>
      </c>
      <c r="P414" s="8" t="s">
        <v>53</v>
      </c>
      <c r="Q414" s="8">
        <v>146742</v>
      </c>
      <c r="R414" s="9">
        <v>45250</v>
      </c>
      <c r="S414" s="8" t="s">
        <v>39</v>
      </c>
      <c r="T414" s="8" t="s">
        <v>40</v>
      </c>
      <c r="U414" s="8" t="s">
        <v>41</v>
      </c>
      <c r="V414" s="8" t="s">
        <v>42</v>
      </c>
      <c r="W414" s="8">
        <v>0</v>
      </c>
    </row>
    <row r="415" spans="1:23" x14ac:dyDescent="0.25">
      <c r="A415" s="4">
        <v>1</v>
      </c>
      <c r="B415" s="4"/>
      <c r="C415" s="4">
        <v>884138</v>
      </c>
      <c r="D415" s="4">
        <v>65940</v>
      </c>
      <c r="E415" s="5">
        <f t="shared" si="6"/>
        <v>0</v>
      </c>
      <c r="F415" s="15">
        <v>45257</v>
      </c>
      <c r="G415" s="10">
        <v>329893068</v>
      </c>
      <c r="H415" s="9">
        <v>45251</v>
      </c>
      <c r="I415" s="9">
        <v>45266</v>
      </c>
      <c r="J415" s="8">
        <v>65940</v>
      </c>
      <c r="K415" s="8" t="s">
        <v>31</v>
      </c>
      <c r="L415" s="8" t="s">
        <v>32</v>
      </c>
      <c r="M415" s="8"/>
      <c r="N415" s="8" t="b">
        <v>0</v>
      </c>
      <c r="O415" s="10"/>
      <c r="P415" s="8" t="s">
        <v>324</v>
      </c>
      <c r="Q415" s="8">
        <v>140958</v>
      </c>
      <c r="R415" s="9">
        <v>45250</v>
      </c>
      <c r="S415" s="8" t="s">
        <v>34</v>
      </c>
      <c r="T415" s="8" t="s">
        <v>49</v>
      </c>
      <c r="U415" s="8" t="s">
        <v>75</v>
      </c>
      <c r="V415" s="8" t="s">
        <v>46</v>
      </c>
      <c r="W415" s="8">
        <v>0</v>
      </c>
    </row>
    <row r="416" spans="1:23" x14ac:dyDescent="0.25">
      <c r="A416" s="4">
        <v>1</v>
      </c>
      <c r="B416" s="4"/>
      <c r="C416" s="4">
        <v>884139</v>
      </c>
      <c r="D416" s="4">
        <v>5200.5</v>
      </c>
      <c r="E416" s="5">
        <f t="shared" si="6"/>
        <v>0.5</v>
      </c>
      <c r="F416" s="15">
        <v>45257</v>
      </c>
      <c r="G416" s="10">
        <v>329894355</v>
      </c>
      <c r="H416" s="9">
        <v>45251</v>
      </c>
      <c r="I416" s="9">
        <v>45266</v>
      </c>
      <c r="J416" s="8">
        <v>5201</v>
      </c>
      <c r="K416" s="8" t="s">
        <v>31</v>
      </c>
      <c r="L416" s="8" t="s">
        <v>32</v>
      </c>
      <c r="M416" s="8"/>
      <c r="N416" s="8" t="b">
        <v>0</v>
      </c>
      <c r="O416" s="10">
        <v>706378</v>
      </c>
      <c r="P416" s="8" t="s">
        <v>56</v>
      </c>
      <c r="Q416" s="8">
        <v>156241</v>
      </c>
      <c r="R416" s="9">
        <v>45251</v>
      </c>
      <c r="S416" s="8" t="s">
        <v>34</v>
      </c>
      <c r="T416" s="8" t="s">
        <v>40</v>
      </c>
      <c r="U416" s="8" t="s">
        <v>58</v>
      </c>
      <c r="V416" s="8" t="s">
        <v>46</v>
      </c>
      <c r="W416" s="8">
        <v>0</v>
      </c>
    </row>
    <row r="417" spans="1:23" x14ac:dyDescent="0.25">
      <c r="A417" s="4">
        <v>1</v>
      </c>
      <c r="B417" s="4"/>
      <c r="C417" s="4">
        <v>884140</v>
      </c>
      <c r="D417" s="4">
        <v>5200.5</v>
      </c>
      <c r="E417" s="5">
        <f t="shared" si="6"/>
        <v>0.5</v>
      </c>
      <c r="F417" s="15">
        <v>45257</v>
      </c>
      <c r="G417" s="10">
        <v>329894393</v>
      </c>
      <c r="H417" s="9">
        <v>45251</v>
      </c>
      <c r="I417" s="9">
        <v>45266</v>
      </c>
      <c r="J417" s="8">
        <v>5201</v>
      </c>
      <c r="K417" s="8" t="s">
        <v>31</v>
      </c>
      <c r="L417" s="8" t="s">
        <v>32</v>
      </c>
      <c r="M417" s="8"/>
      <c r="N417" s="8" t="b">
        <v>0</v>
      </c>
      <c r="O417" s="10">
        <v>706377</v>
      </c>
      <c r="P417" s="8" t="s">
        <v>65</v>
      </c>
      <c r="Q417" s="8">
        <v>156224</v>
      </c>
      <c r="R417" s="9">
        <v>45251</v>
      </c>
      <c r="S417" s="8" t="s">
        <v>34</v>
      </c>
      <c r="T417" s="8" t="s">
        <v>40</v>
      </c>
      <c r="U417" s="8" t="s">
        <v>58</v>
      </c>
      <c r="V417" s="8" t="s">
        <v>46</v>
      </c>
      <c r="W417" s="8">
        <v>0</v>
      </c>
    </row>
    <row r="418" spans="1:23" x14ac:dyDescent="0.25">
      <c r="A418" s="4">
        <v>1</v>
      </c>
      <c r="B418" s="4"/>
      <c r="C418" s="4">
        <v>884141</v>
      </c>
      <c r="D418" s="4">
        <v>5200.5</v>
      </c>
      <c r="E418" s="5">
        <f t="shared" si="6"/>
        <v>0.5</v>
      </c>
      <c r="F418" s="15">
        <v>45257</v>
      </c>
      <c r="G418" s="10">
        <v>329894411</v>
      </c>
      <c r="H418" s="9">
        <v>45251</v>
      </c>
      <c r="I418" s="9">
        <v>45266</v>
      </c>
      <c r="J418" s="8">
        <v>5201</v>
      </c>
      <c r="K418" s="8" t="s">
        <v>31</v>
      </c>
      <c r="L418" s="8" t="s">
        <v>32</v>
      </c>
      <c r="M418" s="8"/>
      <c r="N418" s="8" t="b">
        <v>0</v>
      </c>
      <c r="O418" s="10">
        <v>706376</v>
      </c>
      <c r="P418" s="8" t="s">
        <v>110</v>
      </c>
      <c r="Q418" s="8">
        <v>156179</v>
      </c>
      <c r="R418" s="9">
        <v>45251</v>
      </c>
      <c r="S418" s="8" t="s">
        <v>34</v>
      </c>
      <c r="T418" s="8" t="s">
        <v>40</v>
      </c>
      <c r="U418" s="8" t="s">
        <v>58</v>
      </c>
      <c r="V418" s="8" t="s">
        <v>46</v>
      </c>
      <c r="W418" s="8">
        <v>0</v>
      </c>
    </row>
    <row r="419" spans="1:23" x14ac:dyDescent="0.25">
      <c r="A419" s="4">
        <v>1</v>
      </c>
      <c r="B419" s="4"/>
      <c r="C419" s="4">
        <v>884142</v>
      </c>
      <c r="D419" s="4">
        <v>8094.5</v>
      </c>
      <c r="E419" s="5">
        <f t="shared" si="6"/>
        <v>0.5</v>
      </c>
      <c r="F419" s="15">
        <v>45257</v>
      </c>
      <c r="G419" s="10">
        <v>329894599</v>
      </c>
      <c r="H419" s="9">
        <v>45251</v>
      </c>
      <c r="I419" s="9">
        <v>45266</v>
      </c>
      <c r="J419" s="8">
        <v>8095</v>
      </c>
      <c r="K419" s="8" t="s">
        <v>31</v>
      </c>
      <c r="L419" s="8" t="s">
        <v>32</v>
      </c>
      <c r="M419" s="8"/>
      <c r="N419" s="8" t="b">
        <v>0</v>
      </c>
      <c r="O419" s="10">
        <v>705888</v>
      </c>
      <c r="P419" s="8" t="s">
        <v>172</v>
      </c>
      <c r="Q419" s="8">
        <v>156612</v>
      </c>
      <c r="R419" s="9">
        <v>45251</v>
      </c>
      <c r="S419" s="8" t="s">
        <v>34</v>
      </c>
      <c r="T419" s="8" t="s">
        <v>40</v>
      </c>
      <c r="U419" s="8" t="s">
        <v>157</v>
      </c>
      <c r="V419" s="8" t="s">
        <v>158</v>
      </c>
      <c r="W419" s="8">
        <v>0</v>
      </c>
    </row>
    <row r="420" spans="1:23" x14ac:dyDescent="0.25">
      <c r="A420" s="4">
        <v>1</v>
      </c>
      <c r="B420" s="4"/>
      <c r="C420" s="4">
        <v>884143</v>
      </c>
      <c r="D420" s="4">
        <v>5200.5</v>
      </c>
      <c r="E420" s="5">
        <f t="shared" si="6"/>
        <v>0.5</v>
      </c>
      <c r="F420" s="15">
        <v>45257</v>
      </c>
      <c r="G420" s="10">
        <v>329903342</v>
      </c>
      <c r="H420" s="9">
        <v>45251</v>
      </c>
      <c r="I420" s="9">
        <v>45266</v>
      </c>
      <c r="J420" s="8">
        <v>5201</v>
      </c>
      <c r="K420" s="8" t="s">
        <v>31</v>
      </c>
      <c r="L420" s="8" t="s">
        <v>32</v>
      </c>
      <c r="M420" s="8"/>
      <c r="N420" s="8" t="b">
        <v>0</v>
      </c>
      <c r="O420" s="10">
        <v>706379</v>
      </c>
      <c r="P420" s="8" t="s">
        <v>117</v>
      </c>
      <c r="Q420" s="8">
        <v>169269</v>
      </c>
      <c r="R420" s="9">
        <v>45251</v>
      </c>
      <c r="S420" s="8" t="s">
        <v>34</v>
      </c>
      <c r="T420" s="8" t="s">
        <v>40</v>
      </c>
      <c r="U420" s="8" t="s">
        <v>58</v>
      </c>
      <c r="V420" s="8" t="s">
        <v>46</v>
      </c>
      <c r="W420" s="8">
        <v>0</v>
      </c>
    </row>
    <row r="421" spans="1:23" x14ac:dyDescent="0.25">
      <c r="A421" s="4">
        <v>1</v>
      </c>
      <c r="B421" s="4"/>
      <c r="C421" s="4">
        <v>884117</v>
      </c>
      <c r="D421" s="4">
        <v>7006</v>
      </c>
      <c r="E421" s="5">
        <f t="shared" si="6"/>
        <v>1</v>
      </c>
      <c r="F421" s="15">
        <v>45257</v>
      </c>
      <c r="G421" s="10">
        <v>329903351</v>
      </c>
      <c r="H421" s="9">
        <v>45251</v>
      </c>
      <c r="I421" s="9">
        <v>45266</v>
      </c>
      <c r="J421" s="8">
        <v>7007</v>
      </c>
      <c r="K421" s="8" t="s">
        <v>31</v>
      </c>
      <c r="L421" s="8" t="s">
        <v>32</v>
      </c>
      <c r="M421" s="8"/>
      <c r="N421" s="8" t="b">
        <v>0</v>
      </c>
      <c r="O421" s="10">
        <v>21059</v>
      </c>
      <c r="P421" s="8" t="s">
        <v>283</v>
      </c>
      <c r="Q421" s="8">
        <v>169244</v>
      </c>
      <c r="R421" s="9">
        <v>45251</v>
      </c>
      <c r="S421" s="8" t="s">
        <v>39</v>
      </c>
      <c r="T421" s="8" t="s">
        <v>44</v>
      </c>
      <c r="U421" s="8" t="s">
        <v>41</v>
      </c>
      <c r="V421" s="8" t="s">
        <v>42</v>
      </c>
      <c r="W421" s="8">
        <v>0</v>
      </c>
    </row>
    <row r="422" spans="1:23" x14ac:dyDescent="0.25">
      <c r="A422" s="4">
        <v>1</v>
      </c>
      <c r="B422" s="4"/>
      <c r="C422" s="4">
        <v>884144</v>
      </c>
      <c r="D422" s="4">
        <v>5200.5</v>
      </c>
      <c r="E422" s="5">
        <f t="shared" si="6"/>
        <v>0.5</v>
      </c>
      <c r="F422" s="15">
        <v>45257</v>
      </c>
      <c r="G422" s="10">
        <v>329903461</v>
      </c>
      <c r="H422" s="9">
        <v>45251</v>
      </c>
      <c r="I422" s="9">
        <v>45266</v>
      </c>
      <c r="J422" s="8">
        <v>5201</v>
      </c>
      <c r="K422" s="8" t="s">
        <v>31</v>
      </c>
      <c r="L422" s="8" t="s">
        <v>32</v>
      </c>
      <c r="M422" s="8"/>
      <c r="N422" s="8" t="b">
        <v>0</v>
      </c>
      <c r="O422" s="10">
        <v>706380</v>
      </c>
      <c r="P422" s="8" t="s">
        <v>162</v>
      </c>
      <c r="Q422" s="8">
        <v>169279</v>
      </c>
      <c r="R422" s="9">
        <v>45251</v>
      </c>
      <c r="S422" s="8" t="s">
        <v>34</v>
      </c>
      <c r="T422" s="8" t="s">
        <v>40</v>
      </c>
      <c r="U422" s="8" t="s">
        <v>58</v>
      </c>
      <c r="V422" s="8" t="s">
        <v>46</v>
      </c>
      <c r="W422" s="8">
        <v>0</v>
      </c>
    </row>
    <row r="423" spans="1:23" x14ac:dyDescent="0.25">
      <c r="A423" s="4">
        <v>1</v>
      </c>
      <c r="B423" s="4"/>
      <c r="C423" s="4">
        <v>884145</v>
      </c>
      <c r="D423" s="4">
        <v>5173</v>
      </c>
      <c r="E423" s="5">
        <f t="shared" si="6"/>
        <v>0</v>
      </c>
      <c r="F423" s="15">
        <v>45257</v>
      </c>
      <c r="G423" s="10">
        <v>329903482</v>
      </c>
      <c r="H423" s="9">
        <v>45251</v>
      </c>
      <c r="I423" s="9">
        <v>45266</v>
      </c>
      <c r="J423" s="8">
        <v>5173</v>
      </c>
      <c r="K423" s="8" t="s">
        <v>31</v>
      </c>
      <c r="L423" s="8" t="s">
        <v>32</v>
      </c>
      <c r="M423" s="8"/>
      <c r="N423" s="8" t="b">
        <v>0</v>
      </c>
      <c r="O423" s="10">
        <v>702410</v>
      </c>
      <c r="P423" s="8" t="s">
        <v>103</v>
      </c>
      <c r="Q423" s="8">
        <v>169232</v>
      </c>
      <c r="R423" s="9">
        <v>45251</v>
      </c>
      <c r="S423" s="8" t="s">
        <v>180</v>
      </c>
      <c r="T423" s="8" t="s">
        <v>44</v>
      </c>
      <c r="U423" s="8" t="s">
        <v>45</v>
      </c>
      <c r="V423" s="8" t="s">
        <v>46</v>
      </c>
      <c r="W423" s="8">
        <v>0</v>
      </c>
    </row>
    <row r="424" spans="1:23" x14ac:dyDescent="0.25">
      <c r="A424" s="4">
        <v>1</v>
      </c>
      <c r="B424" s="4"/>
      <c r="C424" s="4">
        <v>884116</v>
      </c>
      <c r="D424" s="4">
        <v>7006</v>
      </c>
      <c r="E424" s="5">
        <f t="shared" si="6"/>
        <v>1</v>
      </c>
      <c r="F424" s="15">
        <v>45257</v>
      </c>
      <c r="G424" s="10">
        <v>329903517</v>
      </c>
      <c r="H424" s="9">
        <v>45251</v>
      </c>
      <c r="I424" s="9">
        <v>45266</v>
      </c>
      <c r="J424" s="8">
        <v>7007</v>
      </c>
      <c r="K424" s="8" t="s">
        <v>31</v>
      </c>
      <c r="L424" s="8" t="s">
        <v>32</v>
      </c>
      <c r="M424" s="8"/>
      <c r="N424" s="8" t="b">
        <v>0</v>
      </c>
      <c r="O424" s="10">
        <v>21085</v>
      </c>
      <c r="P424" s="8" t="s">
        <v>102</v>
      </c>
      <c r="Q424" s="8">
        <v>169257</v>
      </c>
      <c r="R424" s="9">
        <v>45251</v>
      </c>
      <c r="S424" s="8" t="s">
        <v>39</v>
      </c>
      <c r="T424" s="8" t="s">
        <v>44</v>
      </c>
      <c r="U424" s="8" t="s">
        <v>41</v>
      </c>
      <c r="V424" s="8" t="s">
        <v>42</v>
      </c>
      <c r="W424" s="8">
        <v>0</v>
      </c>
    </row>
    <row r="425" spans="1:23" x14ac:dyDescent="0.25">
      <c r="A425" s="4">
        <v>1</v>
      </c>
      <c r="B425" s="4"/>
      <c r="C425" s="4">
        <v>884147</v>
      </c>
      <c r="D425" s="4">
        <v>5200.5</v>
      </c>
      <c r="E425" s="5">
        <f t="shared" si="6"/>
        <v>0.5</v>
      </c>
      <c r="F425" s="15">
        <v>45257</v>
      </c>
      <c r="G425" s="10">
        <v>329903536</v>
      </c>
      <c r="H425" s="9">
        <v>45251</v>
      </c>
      <c r="I425" s="9">
        <v>45266</v>
      </c>
      <c r="J425" s="8">
        <v>5201</v>
      </c>
      <c r="K425" s="8" t="s">
        <v>31</v>
      </c>
      <c r="L425" s="8" t="s">
        <v>32</v>
      </c>
      <c r="M425" s="8"/>
      <c r="N425" s="8" t="b">
        <v>0</v>
      </c>
      <c r="O425" s="10">
        <v>706381</v>
      </c>
      <c r="P425" s="8" t="s">
        <v>202</v>
      </c>
      <c r="Q425" s="8">
        <v>169283</v>
      </c>
      <c r="R425" s="9">
        <v>45251</v>
      </c>
      <c r="S425" s="8" t="s">
        <v>34</v>
      </c>
      <c r="T425" s="8" t="s">
        <v>40</v>
      </c>
      <c r="U425" s="8" t="s">
        <v>58</v>
      </c>
      <c r="V425" s="8" t="s">
        <v>46</v>
      </c>
      <c r="W425" s="8">
        <v>0</v>
      </c>
    </row>
    <row r="426" spans="1:23" x14ac:dyDescent="0.25">
      <c r="A426" s="4">
        <v>1</v>
      </c>
      <c r="B426" s="4"/>
      <c r="C426" s="4">
        <v>884148</v>
      </c>
      <c r="D426" s="4">
        <v>17584</v>
      </c>
      <c r="E426" s="5">
        <f t="shared" si="6"/>
        <v>0</v>
      </c>
      <c r="F426" s="15">
        <v>45257</v>
      </c>
      <c r="G426" s="10">
        <v>329905195</v>
      </c>
      <c r="H426" s="9">
        <v>45251</v>
      </c>
      <c r="I426" s="9">
        <v>45266</v>
      </c>
      <c r="J426" s="8">
        <v>17584</v>
      </c>
      <c r="K426" s="8" t="s">
        <v>31</v>
      </c>
      <c r="L426" s="8" t="s">
        <v>32</v>
      </c>
      <c r="M426" s="8"/>
      <c r="N426" s="8" t="b">
        <v>0</v>
      </c>
      <c r="O426" s="10"/>
      <c r="P426" s="8" t="s">
        <v>325</v>
      </c>
      <c r="Q426" s="8">
        <v>170556</v>
      </c>
      <c r="R426" s="9">
        <v>45251</v>
      </c>
      <c r="S426" s="8" t="s">
        <v>34</v>
      </c>
      <c r="T426" s="8" t="s">
        <v>49</v>
      </c>
      <c r="U426" s="8" t="s">
        <v>75</v>
      </c>
      <c r="V426" s="8" t="s">
        <v>46</v>
      </c>
      <c r="W426" s="8">
        <v>0</v>
      </c>
    </row>
    <row r="427" spans="1:23" x14ac:dyDescent="0.25">
      <c r="A427" s="4">
        <v>1</v>
      </c>
      <c r="B427" s="4"/>
      <c r="C427" s="4">
        <v>884111</v>
      </c>
      <c r="D427" s="4">
        <v>7525</v>
      </c>
      <c r="E427" s="5">
        <f t="shared" si="6"/>
        <v>0</v>
      </c>
      <c r="F427" s="15">
        <v>45257</v>
      </c>
      <c r="G427" s="10">
        <v>329905562</v>
      </c>
      <c r="H427" s="9">
        <v>45251</v>
      </c>
      <c r="I427" s="9">
        <v>45266</v>
      </c>
      <c r="J427" s="8">
        <v>7525</v>
      </c>
      <c r="K427" s="8" t="s">
        <v>31</v>
      </c>
      <c r="L427" s="8" t="s">
        <v>32</v>
      </c>
      <c r="M427" s="8"/>
      <c r="N427" s="8" t="b">
        <v>0</v>
      </c>
      <c r="O427" s="10"/>
      <c r="P427" s="8" t="s">
        <v>297</v>
      </c>
      <c r="Q427" s="8">
        <v>170744</v>
      </c>
      <c r="R427" s="9">
        <v>45251</v>
      </c>
      <c r="S427" s="8" t="s">
        <v>239</v>
      </c>
      <c r="T427" s="8" t="s">
        <v>49</v>
      </c>
      <c r="U427" s="8" t="s">
        <v>240</v>
      </c>
      <c r="V427" s="8" t="s">
        <v>72</v>
      </c>
      <c r="W427" s="8">
        <v>0</v>
      </c>
    </row>
    <row r="428" spans="1:23" x14ac:dyDescent="0.25">
      <c r="A428" s="4">
        <v>1</v>
      </c>
      <c r="B428" s="4"/>
      <c r="C428" s="4" t="s">
        <v>326</v>
      </c>
      <c r="D428" s="4">
        <v>24888</v>
      </c>
      <c r="E428" s="5">
        <f t="shared" si="6"/>
        <v>0</v>
      </c>
      <c r="F428" s="15">
        <v>45257</v>
      </c>
      <c r="G428" s="10">
        <v>329905824</v>
      </c>
      <c r="H428" s="9">
        <v>45251</v>
      </c>
      <c r="I428" s="9">
        <v>45266</v>
      </c>
      <c r="J428" s="8">
        <v>24888</v>
      </c>
      <c r="K428" s="8" t="s">
        <v>31</v>
      </c>
      <c r="L428" s="8" t="s">
        <v>32</v>
      </c>
      <c r="M428" s="8"/>
      <c r="N428" s="8" t="b">
        <v>0</v>
      </c>
      <c r="O428" s="10"/>
      <c r="P428" s="8" t="s">
        <v>243</v>
      </c>
      <c r="Q428" s="8">
        <v>170783</v>
      </c>
      <c r="R428" s="9">
        <v>45251</v>
      </c>
      <c r="S428" s="8" t="s">
        <v>148</v>
      </c>
      <c r="T428" s="8" t="s">
        <v>49</v>
      </c>
      <c r="U428" s="8" t="s">
        <v>149</v>
      </c>
      <c r="V428" s="8" t="s">
        <v>150</v>
      </c>
      <c r="W428" s="8">
        <v>0</v>
      </c>
    </row>
    <row r="429" spans="1:23" x14ac:dyDescent="0.25">
      <c r="A429" s="4">
        <v>1</v>
      </c>
      <c r="B429" s="4"/>
      <c r="C429" s="4">
        <v>884159</v>
      </c>
      <c r="D429" s="4">
        <v>63315</v>
      </c>
      <c r="E429" s="5">
        <f t="shared" si="6"/>
        <v>5</v>
      </c>
      <c r="F429" s="15">
        <v>45257</v>
      </c>
      <c r="G429" s="10">
        <v>329905827</v>
      </c>
      <c r="H429" s="9">
        <v>45251</v>
      </c>
      <c r="I429" s="9">
        <v>45266</v>
      </c>
      <c r="J429" s="8">
        <v>63320</v>
      </c>
      <c r="K429" s="8" t="s">
        <v>31</v>
      </c>
      <c r="L429" s="8" t="s">
        <v>32</v>
      </c>
      <c r="M429" s="8"/>
      <c r="N429" s="8" t="b">
        <v>0</v>
      </c>
      <c r="O429" s="10"/>
      <c r="P429" s="8" t="s">
        <v>327</v>
      </c>
      <c r="Q429" s="8">
        <v>170832</v>
      </c>
      <c r="R429" s="9">
        <v>45251</v>
      </c>
      <c r="S429" s="8" t="s">
        <v>48</v>
      </c>
      <c r="T429" s="8" t="s">
        <v>49</v>
      </c>
      <c r="U429" s="8" t="s">
        <v>50</v>
      </c>
      <c r="V429" s="8" t="s">
        <v>37</v>
      </c>
      <c r="W429" s="8">
        <v>0</v>
      </c>
    </row>
    <row r="430" spans="1:23" x14ac:dyDescent="0.25">
      <c r="A430" s="4">
        <v>1</v>
      </c>
      <c r="B430" s="4"/>
      <c r="C430" s="4">
        <v>884452</v>
      </c>
      <c r="D430" s="4">
        <v>5200.5</v>
      </c>
      <c r="E430" s="5">
        <f t="shared" si="6"/>
        <v>0.5</v>
      </c>
      <c r="F430" s="15">
        <v>45260</v>
      </c>
      <c r="G430" s="10">
        <v>329916908</v>
      </c>
      <c r="H430" s="9">
        <v>45252</v>
      </c>
      <c r="I430" s="9">
        <v>45267</v>
      </c>
      <c r="J430" s="8">
        <v>5201</v>
      </c>
      <c r="K430" s="8" t="s">
        <v>31</v>
      </c>
      <c r="L430" s="8" t="s">
        <v>32</v>
      </c>
      <c r="M430" s="8"/>
      <c r="N430" s="8" t="b">
        <v>0</v>
      </c>
      <c r="O430" s="10">
        <v>706384</v>
      </c>
      <c r="P430" s="8" t="s">
        <v>223</v>
      </c>
      <c r="Q430" s="8">
        <v>177011</v>
      </c>
      <c r="R430" s="9">
        <v>45252</v>
      </c>
      <c r="S430" s="8" t="s">
        <v>34</v>
      </c>
      <c r="T430" s="8" t="s">
        <v>40</v>
      </c>
      <c r="U430" s="8" t="s">
        <v>58</v>
      </c>
      <c r="V430" s="8" t="s">
        <v>46</v>
      </c>
      <c r="W430" s="8">
        <v>0</v>
      </c>
    </row>
    <row r="431" spans="1:23" x14ac:dyDescent="0.25">
      <c r="A431" s="4">
        <v>1</v>
      </c>
      <c r="B431" s="4"/>
      <c r="C431" s="4">
        <v>884453</v>
      </c>
      <c r="D431" s="4">
        <v>5200.5</v>
      </c>
      <c r="E431" s="5">
        <f t="shared" si="6"/>
        <v>0.5</v>
      </c>
      <c r="F431" s="15">
        <v>45260</v>
      </c>
      <c r="G431" s="10">
        <v>329916944</v>
      </c>
      <c r="H431" s="9">
        <v>45252</v>
      </c>
      <c r="I431" s="9">
        <v>45267</v>
      </c>
      <c r="J431" s="8">
        <v>5201</v>
      </c>
      <c r="K431" s="8" t="s">
        <v>31</v>
      </c>
      <c r="L431" s="8" t="s">
        <v>32</v>
      </c>
      <c r="M431" s="8"/>
      <c r="N431" s="8" t="b">
        <v>0</v>
      </c>
      <c r="O431" s="10">
        <v>706382</v>
      </c>
      <c r="P431" s="8" t="s">
        <v>196</v>
      </c>
      <c r="Q431" s="8">
        <v>176953</v>
      </c>
      <c r="R431" s="9">
        <v>45252</v>
      </c>
      <c r="S431" s="8" t="s">
        <v>34</v>
      </c>
      <c r="T431" s="8" t="s">
        <v>40</v>
      </c>
      <c r="U431" s="8" t="s">
        <v>58</v>
      </c>
      <c r="V431" s="8" t="s">
        <v>46</v>
      </c>
      <c r="W431" s="8">
        <v>0</v>
      </c>
    </row>
    <row r="432" spans="1:23" x14ac:dyDescent="0.25">
      <c r="A432" s="4">
        <v>1</v>
      </c>
      <c r="B432" s="4"/>
      <c r="C432" s="4">
        <v>884454</v>
      </c>
      <c r="D432" s="4">
        <v>5200.5</v>
      </c>
      <c r="E432" s="5">
        <f t="shared" si="6"/>
        <v>0.5</v>
      </c>
      <c r="F432" s="15">
        <v>45260</v>
      </c>
      <c r="G432" s="10">
        <v>329916974</v>
      </c>
      <c r="H432" s="9">
        <v>45252</v>
      </c>
      <c r="I432" s="9">
        <v>45267</v>
      </c>
      <c r="J432" s="8">
        <v>5201</v>
      </c>
      <c r="K432" s="8" t="s">
        <v>31</v>
      </c>
      <c r="L432" s="8" t="s">
        <v>32</v>
      </c>
      <c r="M432" s="8"/>
      <c r="N432" s="8" t="b">
        <v>0</v>
      </c>
      <c r="O432" s="10">
        <v>706383</v>
      </c>
      <c r="P432" s="8" t="s">
        <v>221</v>
      </c>
      <c r="Q432" s="8">
        <v>176990</v>
      </c>
      <c r="R432" s="9">
        <v>45252</v>
      </c>
      <c r="S432" s="8" t="s">
        <v>34</v>
      </c>
      <c r="T432" s="8" t="s">
        <v>40</v>
      </c>
      <c r="U432" s="8" t="s">
        <v>58</v>
      </c>
      <c r="V432" s="8" t="s">
        <v>46</v>
      </c>
      <c r="W432" s="8">
        <v>0</v>
      </c>
    </row>
    <row r="433" spans="1:23" x14ac:dyDescent="0.25">
      <c r="A433" s="4">
        <v>1</v>
      </c>
      <c r="B433" s="4"/>
      <c r="C433" s="4">
        <v>884740</v>
      </c>
      <c r="D433" s="4">
        <v>5200.5</v>
      </c>
      <c r="E433" s="5">
        <f t="shared" si="6"/>
        <v>0.5</v>
      </c>
      <c r="F433" s="15">
        <v>45260</v>
      </c>
      <c r="G433" s="10">
        <v>329962391</v>
      </c>
      <c r="H433" s="9">
        <v>45257</v>
      </c>
      <c r="I433" s="9">
        <v>45272</v>
      </c>
      <c r="J433" s="8">
        <v>5201</v>
      </c>
      <c r="K433" s="8" t="s">
        <v>31</v>
      </c>
      <c r="L433" s="8" t="s">
        <v>32</v>
      </c>
      <c r="M433" s="8"/>
      <c r="N433" s="8" t="b">
        <v>0</v>
      </c>
      <c r="O433" s="10">
        <v>706386</v>
      </c>
      <c r="P433" s="8" t="s">
        <v>134</v>
      </c>
      <c r="Q433" s="8">
        <v>208004</v>
      </c>
      <c r="R433" s="9">
        <v>45255</v>
      </c>
      <c r="S433" s="8" t="s">
        <v>34</v>
      </c>
      <c r="T433" s="8" t="s">
        <v>40</v>
      </c>
      <c r="U433" s="8" t="s">
        <v>58</v>
      </c>
      <c r="V433" s="8" t="s">
        <v>46</v>
      </c>
      <c r="W433" s="8">
        <v>0</v>
      </c>
    </row>
    <row r="434" spans="1:23" x14ac:dyDescent="0.25">
      <c r="A434" s="4">
        <v>1</v>
      </c>
      <c r="B434" s="4"/>
      <c r="C434" s="4">
        <v>884746</v>
      </c>
      <c r="D434" s="4">
        <v>5200.5</v>
      </c>
      <c r="E434" s="5">
        <f t="shared" si="6"/>
        <v>0.5</v>
      </c>
      <c r="F434" s="15">
        <v>45260</v>
      </c>
      <c r="G434" s="10">
        <v>329962392</v>
      </c>
      <c r="H434" s="9">
        <v>45257</v>
      </c>
      <c r="I434" s="9">
        <v>45272</v>
      </c>
      <c r="J434" s="8">
        <v>5201</v>
      </c>
      <c r="K434" s="8" t="s">
        <v>31</v>
      </c>
      <c r="L434" s="8" t="s">
        <v>32</v>
      </c>
      <c r="M434" s="8"/>
      <c r="N434" s="8" t="b">
        <v>0</v>
      </c>
      <c r="O434" s="10">
        <v>706385</v>
      </c>
      <c r="P434" s="8" t="s">
        <v>133</v>
      </c>
      <c r="Q434" s="8">
        <v>208002</v>
      </c>
      <c r="R434" s="9">
        <v>45255</v>
      </c>
      <c r="S434" s="8" t="s">
        <v>34</v>
      </c>
      <c r="T434" s="8" t="s">
        <v>40</v>
      </c>
      <c r="U434" s="8" t="s">
        <v>58</v>
      </c>
      <c r="V434" s="8" t="s">
        <v>46</v>
      </c>
      <c r="W434" s="8">
        <v>0</v>
      </c>
    </row>
    <row r="435" spans="1:23" x14ac:dyDescent="0.25">
      <c r="A435" s="4">
        <v>1</v>
      </c>
      <c r="B435" s="4"/>
      <c r="C435" s="4">
        <v>884747</v>
      </c>
      <c r="D435" s="4">
        <v>5200.5</v>
      </c>
      <c r="E435" s="5">
        <f t="shared" si="6"/>
        <v>0.5</v>
      </c>
      <c r="F435" s="15">
        <v>45260</v>
      </c>
      <c r="G435" s="10">
        <v>329962393</v>
      </c>
      <c r="H435" s="9">
        <v>45257</v>
      </c>
      <c r="I435" s="9">
        <v>45272</v>
      </c>
      <c r="J435" s="8">
        <v>5201</v>
      </c>
      <c r="K435" s="8" t="s">
        <v>31</v>
      </c>
      <c r="L435" s="8" t="s">
        <v>32</v>
      </c>
      <c r="M435" s="8"/>
      <c r="N435" s="8" t="b">
        <v>0</v>
      </c>
      <c r="O435" s="10">
        <v>706387</v>
      </c>
      <c r="P435" s="8" t="s">
        <v>81</v>
      </c>
      <c r="Q435" s="8">
        <v>208005</v>
      </c>
      <c r="R435" s="9">
        <v>45255</v>
      </c>
      <c r="S435" s="8" t="s">
        <v>34</v>
      </c>
      <c r="T435" s="8" t="s">
        <v>40</v>
      </c>
      <c r="U435" s="8" t="s">
        <v>58</v>
      </c>
      <c r="V435" s="8" t="s">
        <v>46</v>
      </c>
      <c r="W435" s="8">
        <v>0</v>
      </c>
    </row>
    <row r="436" spans="1:23" x14ac:dyDescent="0.25">
      <c r="A436" s="4">
        <v>1</v>
      </c>
      <c r="B436" s="4"/>
      <c r="C436" s="4">
        <v>884748</v>
      </c>
      <c r="D436" s="4">
        <v>5200.5</v>
      </c>
      <c r="E436" s="5">
        <f t="shared" si="6"/>
        <v>0.5</v>
      </c>
      <c r="F436" s="15">
        <v>45260</v>
      </c>
      <c r="G436" s="10">
        <v>329962395</v>
      </c>
      <c r="H436" s="9">
        <v>45257</v>
      </c>
      <c r="I436" s="9">
        <v>45272</v>
      </c>
      <c r="J436" s="8">
        <v>5201</v>
      </c>
      <c r="K436" s="8" t="s">
        <v>31</v>
      </c>
      <c r="L436" s="8" t="s">
        <v>32</v>
      </c>
      <c r="M436" s="8"/>
      <c r="N436" s="8" t="b">
        <v>0</v>
      </c>
      <c r="O436" s="10">
        <v>706388</v>
      </c>
      <c r="P436" s="8" t="s">
        <v>115</v>
      </c>
      <c r="Q436" s="8">
        <v>208008</v>
      </c>
      <c r="R436" s="9">
        <v>45255</v>
      </c>
      <c r="S436" s="8" t="s">
        <v>34</v>
      </c>
      <c r="T436" s="8" t="s">
        <v>40</v>
      </c>
      <c r="U436" s="8" t="s">
        <v>58</v>
      </c>
      <c r="V436" s="8" t="s">
        <v>46</v>
      </c>
      <c r="W436" s="8">
        <v>0</v>
      </c>
    </row>
    <row r="437" spans="1:23" x14ac:dyDescent="0.25">
      <c r="A437" s="4">
        <v>1</v>
      </c>
      <c r="B437" s="4"/>
      <c r="C437" s="4">
        <v>884749</v>
      </c>
      <c r="D437" s="4">
        <v>5200.5</v>
      </c>
      <c r="E437" s="5">
        <f t="shared" si="6"/>
        <v>0.5</v>
      </c>
      <c r="F437" s="15">
        <v>45260</v>
      </c>
      <c r="G437" s="10">
        <v>329962397</v>
      </c>
      <c r="H437" s="9">
        <v>45257</v>
      </c>
      <c r="I437" s="9">
        <v>45272</v>
      </c>
      <c r="J437" s="8">
        <v>5201</v>
      </c>
      <c r="K437" s="8" t="s">
        <v>31</v>
      </c>
      <c r="L437" s="8" t="s">
        <v>32</v>
      </c>
      <c r="M437" s="8"/>
      <c r="N437" s="8" t="b">
        <v>0</v>
      </c>
      <c r="O437" s="10">
        <v>706391</v>
      </c>
      <c r="P437" s="8" t="s">
        <v>118</v>
      </c>
      <c r="Q437" s="8">
        <v>208011</v>
      </c>
      <c r="R437" s="9">
        <v>45255</v>
      </c>
      <c r="S437" s="8" t="s">
        <v>34</v>
      </c>
      <c r="T437" s="8" t="s">
        <v>40</v>
      </c>
      <c r="U437" s="8" t="s">
        <v>58</v>
      </c>
      <c r="V437" s="8" t="s">
        <v>46</v>
      </c>
      <c r="W437" s="8">
        <v>0</v>
      </c>
    </row>
    <row r="438" spans="1:23" x14ac:dyDescent="0.25">
      <c r="A438" s="4">
        <v>1</v>
      </c>
      <c r="B438" s="4"/>
      <c r="C438" s="4">
        <v>884750</v>
      </c>
      <c r="D438" s="4">
        <v>5200.5</v>
      </c>
      <c r="E438" s="5">
        <f t="shared" si="6"/>
        <v>0.5</v>
      </c>
      <c r="F438" s="15">
        <v>45260</v>
      </c>
      <c r="G438" s="10">
        <v>329962398</v>
      </c>
      <c r="H438" s="9">
        <v>45257</v>
      </c>
      <c r="I438" s="9">
        <v>45272</v>
      </c>
      <c r="J438" s="8">
        <v>5201</v>
      </c>
      <c r="K438" s="8" t="s">
        <v>31</v>
      </c>
      <c r="L438" s="8" t="s">
        <v>32</v>
      </c>
      <c r="M438" s="8"/>
      <c r="N438" s="8" t="b">
        <v>0</v>
      </c>
      <c r="O438" s="10">
        <v>706392</v>
      </c>
      <c r="P438" s="8" t="s">
        <v>192</v>
      </c>
      <c r="Q438" s="8">
        <v>208012</v>
      </c>
      <c r="R438" s="9">
        <v>45255</v>
      </c>
      <c r="S438" s="8" t="s">
        <v>34</v>
      </c>
      <c r="T438" s="8" t="s">
        <v>40</v>
      </c>
      <c r="U438" s="8" t="s">
        <v>58</v>
      </c>
      <c r="V438" s="8" t="s">
        <v>46</v>
      </c>
      <c r="W438" s="8">
        <v>0</v>
      </c>
    </row>
    <row r="439" spans="1:23" x14ac:dyDescent="0.25">
      <c r="A439" s="4">
        <v>1</v>
      </c>
      <c r="B439" s="4"/>
      <c r="C439" s="4">
        <v>884751</v>
      </c>
      <c r="D439" s="4">
        <v>5200.5</v>
      </c>
      <c r="E439" s="5">
        <f t="shared" si="6"/>
        <v>0.5</v>
      </c>
      <c r="F439" s="15">
        <v>45260</v>
      </c>
      <c r="G439" s="10">
        <v>329962399</v>
      </c>
      <c r="H439" s="9">
        <v>45257</v>
      </c>
      <c r="I439" s="9">
        <v>45272</v>
      </c>
      <c r="J439" s="8">
        <v>5201</v>
      </c>
      <c r="K439" s="8" t="s">
        <v>31</v>
      </c>
      <c r="L439" s="8" t="s">
        <v>32</v>
      </c>
      <c r="M439" s="8"/>
      <c r="N439" s="8" t="b">
        <v>0</v>
      </c>
      <c r="O439" s="10">
        <v>706390</v>
      </c>
      <c r="P439" s="8" t="s">
        <v>112</v>
      </c>
      <c r="Q439" s="8">
        <v>208010</v>
      </c>
      <c r="R439" s="9">
        <v>45255</v>
      </c>
      <c r="S439" s="8" t="s">
        <v>34</v>
      </c>
      <c r="T439" s="8" t="s">
        <v>40</v>
      </c>
      <c r="U439" s="8" t="s">
        <v>58</v>
      </c>
      <c r="V439" s="8" t="s">
        <v>46</v>
      </c>
      <c r="W439" s="8">
        <v>0</v>
      </c>
    </row>
    <row r="440" spans="1:23" x14ac:dyDescent="0.25">
      <c r="A440" s="4">
        <v>1</v>
      </c>
      <c r="B440" s="4"/>
      <c r="C440" s="4">
        <v>884752</v>
      </c>
      <c r="D440" s="4">
        <v>5200.5</v>
      </c>
      <c r="E440" s="5">
        <f t="shared" si="6"/>
        <v>0.5</v>
      </c>
      <c r="F440" s="15">
        <v>45260</v>
      </c>
      <c r="G440" s="10">
        <v>329962400</v>
      </c>
      <c r="H440" s="9">
        <v>45257</v>
      </c>
      <c r="I440" s="9">
        <v>45272</v>
      </c>
      <c r="J440" s="8">
        <v>5201</v>
      </c>
      <c r="K440" s="8" t="s">
        <v>31</v>
      </c>
      <c r="L440" s="8" t="s">
        <v>32</v>
      </c>
      <c r="M440" s="8"/>
      <c r="N440" s="8" t="b">
        <v>0</v>
      </c>
      <c r="O440" s="10">
        <v>706389</v>
      </c>
      <c r="P440" s="8" t="s">
        <v>111</v>
      </c>
      <c r="Q440" s="8">
        <v>208009</v>
      </c>
      <c r="R440" s="9">
        <v>45255</v>
      </c>
      <c r="S440" s="8" t="s">
        <v>34</v>
      </c>
      <c r="T440" s="8" t="s">
        <v>40</v>
      </c>
      <c r="U440" s="8" t="s">
        <v>58</v>
      </c>
      <c r="V440" s="8" t="s">
        <v>46</v>
      </c>
      <c r="W440" s="8">
        <v>0</v>
      </c>
    </row>
    <row r="441" spans="1:23" x14ac:dyDescent="0.25">
      <c r="A441" s="4">
        <v>1</v>
      </c>
      <c r="B441" s="4"/>
      <c r="C441" s="4">
        <v>884753</v>
      </c>
      <c r="D441" s="4">
        <v>5200.5</v>
      </c>
      <c r="E441" s="5">
        <f t="shared" si="6"/>
        <v>0.5</v>
      </c>
      <c r="F441" s="15">
        <v>45260</v>
      </c>
      <c r="G441" s="10">
        <v>329962401</v>
      </c>
      <c r="H441" s="9">
        <v>45257</v>
      </c>
      <c r="I441" s="9">
        <v>45272</v>
      </c>
      <c r="J441" s="8">
        <v>5201</v>
      </c>
      <c r="K441" s="8" t="s">
        <v>31</v>
      </c>
      <c r="L441" s="8" t="s">
        <v>32</v>
      </c>
      <c r="M441" s="8"/>
      <c r="N441" s="8" t="b">
        <v>0</v>
      </c>
      <c r="O441" s="10">
        <v>706393</v>
      </c>
      <c r="P441" s="8" t="s">
        <v>288</v>
      </c>
      <c r="Q441" s="8">
        <v>208013</v>
      </c>
      <c r="R441" s="9">
        <v>45255</v>
      </c>
      <c r="S441" s="8" t="s">
        <v>34</v>
      </c>
      <c r="T441" s="8" t="s">
        <v>40</v>
      </c>
      <c r="U441" s="8" t="s">
        <v>58</v>
      </c>
      <c r="V441" s="8" t="s">
        <v>46</v>
      </c>
      <c r="W441" s="8">
        <v>0</v>
      </c>
    </row>
    <row r="442" spans="1:23" x14ac:dyDescent="0.25">
      <c r="A442" s="4">
        <v>1</v>
      </c>
      <c r="B442" s="4"/>
      <c r="C442" s="4">
        <v>884754</v>
      </c>
      <c r="D442" s="4">
        <v>5200.5</v>
      </c>
      <c r="E442" s="5">
        <f t="shared" si="6"/>
        <v>0.5</v>
      </c>
      <c r="F442" s="15">
        <v>45260</v>
      </c>
      <c r="G442" s="10">
        <v>329975384</v>
      </c>
      <c r="H442" s="9">
        <v>45257</v>
      </c>
      <c r="I442" s="9">
        <v>45272</v>
      </c>
      <c r="J442" s="8">
        <v>5201</v>
      </c>
      <c r="K442" s="8" t="s">
        <v>31</v>
      </c>
      <c r="L442" s="8" t="s">
        <v>32</v>
      </c>
      <c r="M442" s="8"/>
      <c r="N442" s="8" t="b">
        <v>0</v>
      </c>
      <c r="O442" s="10">
        <v>706396</v>
      </c>
      <c r="P442" s="8" t="s">
        <v>154</v>
      </c>
      <c r="Q442" s="8">
        <v>214768</v>
      </c>
      <c r="R442" s="9">
        <v>45257</v>
      </c>
      <c r="S442" s="8" t="s">
        <v>34</v>
      </c>
      <c r="T442" s="8" t="s">
        <v>40</v>
      </c>
      <c r="U442" s="8" t="s">
        <v>58</v>
      </c>
      <c r="V442" s="8" t="s">
        <v>46</v>
      </c>
      <c r="W442" s="8">
        <v>0</v>
      </c>
    </row>
    <row r="443" spans="1:23" x14ac:dyDescent="0.25">
      <c r="A443" s="4">
        <v>1</v>
      </c>
      <c r="B443" s="4"/>
      <c r="C443" s="4">
        <v>884755</v>
      </c>
      <c r="D443" s="4">
        <v>5200.5</v>
      </c>
      <c r="E443" s="5">
        <f t="shared" si="6"/>
        <v>0.5</v>
      </c>
      <c r="F443" s="15">
        <v>45260</v>
      </c>
      <c r="G443" s="10">
        <v>329975411</v>
      </c>
      <c r="H443" s="9">
        <v>45257</v>
      </c>
      <c r="I443" s="9">
        <v>45272</v>
      </c>
      <c r="J443" s="8">
        <v>5201</v>
      </c>
      <c r="K443" s="8" t="s">
        <v>31</v>
      </c>
      <c r="L443" s="8" t="s">
        <v>32</v>
      </c>
      <c r="M443" s="8"/>
      <c r="N443" s="8" t="b">
        <v>0</v>
      </c>
      <c r="O443" s="10">
        <v>706395</v>
      </c>
      <c r="P443" s="8" t="s">
        <v>144</v>
      </c>
      <c r="Q443" s="8">
        <v>214751</v>
      </c>
      <c r="R443" s="9">
        <v>45257</v>
      </c>
      <c r="S443" s="8" t="s">
        <v>34</v>
      </c>
      <c r="T443" s="8" t="s">
        <v>40</v>
      </c>
      <c r="U443" s="8" t="s">
        <v>58</v>
      </c>
      <c r="V443" s="8" t="s">
        <v>46</v>
      </c>
      <c r="W443" s="8">
        <v>0</v>
      </c>
    </row>
    <row r="444" spans="1:23" x14ac:dyDescent="0.25">
      <c r="A444" s="4">
        <v>1</v>
      </c>
      <c r="B444" s="4"/>
      <c r="C444" s="4">
        <v>884756</v>
      </c>
      <c r="D444" s="4">
        <v>5200.5</v>
      </c>
      <c r="E444" s="5">
        <f t="shared" si="6"/>
        <v>0.5</v>
      </c>
      <c r="F444" s="15">
        <v>45260</v>
      </c>
      <c r="G444" s="10">
        <v>329975424</v>
      </c>
      <c r="H444" s="9">
        <v>45257</v>
      </c>
      <c r="I444" s="9">
        <v>45272</v>
      </c>
      <c r="J444" s="8">
        <v>5201</v>
      </c>
      <c r="K444" s="8" t="s">
        <v>31</v>
      </c>
      <c r="L444" s="8" t="s">
        <v>32</v>
      </c>
      <c r="M444" s="8"/>
      <c r="N444" s="8" t="b">
        <v>0</v>
      </c>
      <c r="O444" s="10">
        <v>706397</v>
      </c>
      <c r="P444" s="8" t="s">
        <v>175</v>
      </c>
      <c r="Q444" s="8">
        <v>214779</v>
      </c>
      <c r="R444" s="9">
        <v>45257</v>
      </c>
      <c r="S444" s="8" t="s">
        <v>34</v>
      </c>
      <c r="T444" s="8" t="s">
        <v>40</v>
      </c>
      <c r="U444" s="8" t="s">
        <v>58</v>
      </c>
      <c r="V444" s="8" t="s">
        <v>46</v>
      </c>
      <c r="W444" s="8">
        <v>0</v>
      </c>
    </row>
    <row r="445" spans="1:23" x14ac:dyDescent="0.25">
      <c r="A445" s="4">
        <v>1</v>
      </c>
      <c r="B445" s="4"/>
      <c r="C445" s="4">
        <v>884530</v>
      </c>
      <c r="D445" s="4">
        <v>9339</v>
      </c>
      <c r="E445" s="5">
        <f t="shared" si="6"/>
        <v>1</v>
      </c>
      <c r="F445" s="15">
        <v>45260</v>
      </c>
      <c r="G445" s="10">
        <v>329975433</v>
      </c>
      <c r="H445" s="9">
        <v>45257</v>
      </c>
      <c r="I445" s="9">
        <v>45272</v>
      </c>
      <c r="J445" s="8">
        <v>9340</v>
      </c>
      <c r="K445" s="8" t="s">
        <v>31</v>
      </c>
      <c r="L445" s="8" t="s">
        <v>32</v>
      </c>
      <c r="M445" s="8"/>
      <c r="N445" s="8" t="b">
        <v>0</v>
      </c>
      <c r="O445" s="10">
        <v>705915</v>
      </c>
      <c r="P445" s="8" t="s">
        <v>225</v>
      </c>
      <c r="Q445" s="8">
        <v>214735</v>
      </c>
      <c r="R445" s="9">
        <v>45257</v>
      </c>
      <c r="S445" s="8" t="s">
        <v>130</v>
      </c>
      <c r="T445" s="8" t="s">
        <v>40</v>
      </c>
      <c r="U445" s="8" t="s">
        <v>131</v>
      </c>
      <c r="V445" s="8" t="s">
        <v>132</v>
      </c>
      <c r="W445" s="8">
        <v>0</v>
      </c>
    </row>
    <row r="446" spans="1:23" x14ac:dyDescent="0.25">
      <c r="A446" s="4">
        <v>1</v>
      </c>
      <c r="B446" s="4"/>
      <c r="C446" s="4">
        <v>884757</v>
      </c>
      <c r="D446" s="4">
        <v>5200.5</v>
      </c>
      <c r="E446" s="5">
        <f t="shared" si="6"/>
        <v>0.5</v>
      </c>
      <c r="F446" s="15">
        <v>45260</v>
      </c>
      <c r="G446" s="10">
        <v>329975441</v>
      </c>
      <c r="H446" s="9">
        <v>45257</v>
      </c>
      <c r="I446" s="9">
        <v>45272</v>
      </c>
      <c r="J446" s="8">
        <v>5201</v>
      </c>
      <c r="K446" s="8" t="s">
        <v>31</v>
      </c>
      <c r="L446" s="8" t="s">
        <v>32</v>
      </c>
      <c r="M446" s="8"/>
      <c r="N446" s="8" t="b">
        <v>0</v>
      </c>
      <c r="O446" s="10">
        <v>706394</v>
      </c>
      <c r="P446" s="8" t="s">
        <v>169</v>
      </c>
      <c r="Q446" s="8">
        <v>214745</v>
      </c>
      <c r="R446" s="9">
        <v>45257</v>
      </c>
      <c r="S446" s="8" t="s">
        <v>34</v>
      </c>
      <c r="T446" s="8" t="s">
        <v>40</v>
      </c>
      <c r="U446" s="8" t="s">
        <v>58</v>
      </c>
      <c r="V446" s="8" t="s">
        <v>46</v>
      </c>
      <c r="W446" s="8">
        <v>0</v>
      </c>
    </row>
    <row r="447" spans="1:23" x14ac:dyDescent="0.25">
      <c r="A447" s="4">
        <v>1</v>
      </c>
      <c r="B447" s="4"/>
      <c r="C447" s="4">
        <v>884758</v>
      </c>
      <c r="D447" s="4">
        <v>5200.5</v>
      </c>
      <c r="E447" s="5">
        <f t="shared" si="6"/>
        <v>0.5</v>
      </c>
      <c r="F447" s="15">
        <v>45260</v>
      </c>
      <c r="G447" s="10">
        <v>329979442</v>
      </c>
      <c r="H447" s="9">
        <v>45257</v>
      </c>
      <c r="I447" s="9">
        <v>45272</v>
      </c>
      <c r="J447" s="8">
        <v>5201</v>
      </c>
      <c r="K447" s="8" t="s">
        <v>31</v>
      </c>
      <c r="L447" s="8" t="s">
        <v>32</v>
      </c>
      <c r="M447" s="8"/>
      <c r="N447" s="8" t="b">
        <v>0</v>
      </c>
      <c r="O447" s="10">
        <v>707145</v>
      </c>
      <c r="P447" s="8" t="s">
        <v>101</v>
      </c>
      <c r="Q447" s="8">
        <v>219489</v>
      </c>
      <c r="R447" s="9">
        <v>45257</v>
      </c>
      <c r="S447" s="8" t="s">
        <v>34</v>
      </c>
      <c r="T447" s="8" t="s">
        <v>40</v>
      </c>
      <c r="U447" s="8" t="s">
        <v>58</v>
      </c>
      <c r="V447" s="8" t="s">
        <v>46</v>
      </c>
      <c r="W447" s="8">
        <v>0</v>
      </c>
    </row>
    <row r="448" spans="1:23" x14ac:dyDescent="0.25">
      <c r="A448" s="4">
        <v>1</v>
      </c>
      <c r="B448" s="4"/>
      <c r="C448" s="4">
        <v>884759</v>
      </c>
      <c r="D448" s="4">
        <v>5200.5</v>
      </c>
      <c r="E448" s="5">
        <f t="shared" si="6"/>
        <v>0.5</v>
      </c>
      <c r="F448" s="15">
        <v>45260</v>
      </c>
      <c r="G448" s="10">
        <v>329979597</v>
      </c>
      <c r="H448" s="9">
        <v>45257</v>
      </c>
      <c r="I448" s="9">
        <v>45272</v>
      </c>
      <c r="J448" s="8">
        <v>5201</v>
      </c>
      <c r="K448" s="8" t="s">
        <v>31</v>
      </c>
      <c r="L448" s="8" t="s">
        <v>32</v>
      </c>
      <c r="M448" s="8"/>
      <c r="N448" s="8" t="b">
        <v>0</v>
      </c>
      <c r="O448" s="10">
        <v>707144</v>
      </c>
      <c r="P448" s="8" t="s">
        <v>85</v>
      </c>
      <c r="Q448" s="8">
        <v>219460</v>
      </c>
      <c r="R448" s="9">
        <v>45257</v>
      </c>
      <c r="S448" s="8" t="s">
        <v>34</v>
      </c>
      <c r="T448" s="8" t="s">
        <v>40</v>
      </c>
      <c r="U448" s="8" t="s">
        <v>58</v>
      </c>
      <c r="V448" s="8" t="s">
        <v>46</v>
      </c>
      <c r="W448" s="8">
        <v>0</v>
      </c>
    </row>
    <row r="449" spans="1:23" x14ac:dyDescent="0.25">
      <c r="A449" s="4">
        <v>1</v>
      </c>
      <c r="B449" s="4"/>
      <c r="C449" s="4">
        <v>884744</v>
      </c>
      <c r="D449" s="4">
        <v>43960</v>
      </c>
      <c r="E449" s="5">
        <f t="shared" si="6"/>
        <v>0</v>
      </c>
      <c r="F449" s="15">
        <v>45260</v>
      </c>
      <c r="G449" s="10">
        <v>329979796</v>
      </c>
      <c r="H449" s="9">
        <v>45257</v>
      </c>
      <c r="I449" s="9">
        <v>45272</v>
      </c>
      <c r="J449" s="8">
        <v>43960</v>
      </c>
      <c r="K449" s="8" t="s">
        <v>31</v>
      </c>
      <c r="L449" s="8" t="s">
        <v>32</v>
      </c>
      <c r="M449" s="8"/>
      <c r="N449" s="8" t="b">
        <v>0</v>
      </c>
      <c r="O449" s="10"/>
      <c r="P449" s="8" t="s">
        <v>328</v>
      </c>
      <c r="Q449" s="8">
        <v>219919</v>
      </c>
      <c r="R449" s="9">
        <v>45257</v>
      </c>
      <c r="S449" s="8" t="s">
        <v>34</v>
      </c>
      <c r="T449" s="8" t="s">
        <v>49</v>
      </c>
      <c r="U449" s="8" t="s">
        <v>75</v>
      </c>
      <c r="V449" s="8" t="s">
        <v>46</v>
      </c>
      <c r="W449" s="8">
        <v>0</v>
      </c>
    </row>
    <row r="450" spans="1:23" x14ac:dyDescent="0.25">
      <c r="A450" s="4">
        <v>1</v>
      </c>
      <c r="B450" s="4"/>
      <c r="C450" s="4">
        <v>884764</v>
      </c>
      <c r="D450" s="4">
        <v>63315</v>
      </c>
      <c r="E450" s="5">
        <f t="shared" si="6"/>
        <v>5</v>
      </c>
      <c r="F450" s="15">
        <v>45260</v>
      </c>
      <c r="G450" s="10">
        <v>329979813</v>
      </c>
      <c r="H450" s="9">
        <v>45257</v>
      </c>
      <c r="I450" s="9">
        <v>45272</v>
      </c>
      <c r="J450" s="8">
        <v>63320</v>
      </c>
      <c r="K450" s="8" t="s">
        <v>31</v>
      </c>
      <c r="L450" s="8" t="s">
        <v>32</v>
      </c>
      <c r="M450" s="8"/>
      <c r="N450" s="8" t="b">
        <v>0</v>
      </c>
      <c r="O450" s="10"/>
      <c r="P450" s="8" t="s">
        <v>329</v>
      </c>
      <c r="Q450" s="8">
        <v>219887</v>
      </c>
      <c r="R450" s="9">
        <v>45257</v>
      </c>
      <c r="S450" s="8" t="s">
        <v>48</v>
      </c>
      <c r="T450" s="8" t="s">
        <v>49</v>
      </c>
      <c r="U450" s="8" t="s">
        <v>50</v>
      </c>
      <c r="V450" s="8" t="s">
        <v>37</v>
      </c>
      <c r="W450" s="8">
        <v>0</v>
      </c>
    </row>
    <row r="451" spans="1:23" x14ac:dyDescent="0.25">
      <c r="A451" s="4">
        <v>1</v>
      </c>
      <c r="B451" s="4"/>
      <c r="C451" s="4">
        <v>884760</v>
      </c>
      <c r="D451" s="4">
        <v>5170.5</v>
      </c>
      <c r="E451" s="5">
        <f t="shared" si="6"/>
        <v>0.5</v>
      </c>
      <c r="F451" s="15">
        <v>45260</v>
      </c>
      <c r="G451" s="10">
        <v>329980157</v>
      </c>
      <c r="H451" s="9">
        <v>45257</v>
      </c>
      <c r="I451" s="9">
        <v>45272</v>
      </c>
      <c r="J451" s="8">
        <v>5171</v>
      </c>
      <c r="K451" s="8" t="s">
        <v>31</v>
      </c>
      <c r="L451" s="8" t="s">
        <v>32</v>
      </c>
      <c r="M451" s="8"/>
      <c r="N451" s="8" t="b">
        <v>0</v>
      </c>
      <c r="O451" s="10">
        <v>706725</v>
      </c>
      <c r="P451" s="8" t="s">
        <v>113</v>
      </c>
      <c r="Q451" s="8">
        <v>220616</v>
      </c>
      <c r="R451" s="9">
        <v>45257</v>
      </c>
      <c r="S451" s="8" t="s">
        <v>34</v>
      </c>
      <c r="T451" s="8" t="s">
        <v>44</v>
      </c>
      <c r="U451" s="8" t="s">
        <v>58</v>
      </c>
      <c r="V451" s="8" t="s">
        <v>46</v>
      </c>
      <c r="W451" s="8">
        <v>0</v>
      </c>
    </row>
    <row r="452" spans="1:23" x14ac:dyDescent="0.25">
      <c r="A452" s="4">
        <v>1</v>
      </c>
      <c r="B452" s="4"/>
      <c r="C452" s="4">
        <v>884469</v>
      </c>
      <c r="D452" s="4">
        <v>5200.5</v>
      </c>
      <c r="E452" s="5">
        <f t="shared" si="6"/>
        <v>0.5</v>
      </c>
      <c r="F452" s="15">
        <v>45260</v>
      </c>
      <c r="G452" s="10">
        <v>329980470</v>
      </c>
      <c r="H452" s="9">
        <v>45257</v>
      </c>
      <c r="I452" s="9">
        <v>45272</v>
      </c>
      <c r="J452" s="8">
        <v>5201</v>
      </c>
      <c r="K452" s="8" t="s">
        <v>31</v>
      </c>
      <c r="L452" s="8" t="s">
        <v>32</v>
      </c>
      <c r="M452" s="8"/>
      <c r="N452" s="8" t="b">
        <v>0</v>
      </c>
      <c r="O452" s="10">
        <v>21097</v>
      </c>
      <c r="P452" s="8" t="s">
        <v>104</v>
      </c>
      <c r="Q452" s="8">
        <v>220783</v>
      </c>
      <c r="R452" s="9">
        <v>45257</v>
      </c>
      <c r="S452" s="8" t="s">
        <v>34</v>
      </c>
      <c r="T452" s="8" t="s">
        <v>40</v>
      </c>
      <c r="U452" s="8" t="s">
        <v>58</v>
      </c>
      <c r="V452" s="8" t="s">
        <v>46</v>
      </c>
      <c r="W452" s="8">
        <v>0</v>
      </c>
    </row>
    <row r="453" spans="1:23" x14ac:dyDescent="0.25">
      <c r="A453" s="4">
        <v>1</v>
      </c>
      <c r="B453" s="4"/>
      <c r="C453" s="4">
        <v>884761</v>
      </c>
      <c r="D453" s="4">
        <v>5200.5</v>
      </c>
      <c r="E453" s="5">
        <f t="shared" si="6"/>
        <v>0.5</v>
      </c>
      <c r="F453" s="15">
        <v>45260</v>
      </c>
      <c r="G453" s="10">
        <v>329980673</v>
      </c>
      <c r="H453" s="9">
        <v>45257</v>
      </c>
      <c r="I453" s="9">
        <v>45272</v>
      </c>
      <c r="J453" s="8">
        <v>5201</v>
      </c>
      <c r="K453" s="8" t="s">
        <v>31</v>
      </c>
      <c r="L453" s="8" t="s">
        <v>32</v>
      </c>
      <c r="M453" s="8"/>
      <c r="N453" s="8" t="b">
        <v>0</v>
      </c>
      <c r="O453" s="10">
        <v>707146</v>
      </c>
      <c r="P453" s="8" t="s">
        <v>100</v>
      </c>
      <c r="Q453" s="8">
        <v>220881</v>
      </c>
      <c r="R453" s="9">
        <v>45257</v>
      </c>
      <c r="S453" s="8" t="s">
        <v>34</v>
      </c>
      <c r="T453" s="8" t="s">
        <v>40</v>
      </c>
      <c r="U453" s="8" t="s">
        <v>58</v>
      </c>
      <c r="V453" s="8" t="s">
        <v>46</v>
      </c>
      <c r="W453" s="8">
        <v>0</v>
      </c>
    </row>
    <row r="454" spans="1:23" x14ac:dyDescent="0.25">
      <c r="A454" s="4">
        <v>1</v>
      </c>
      <c r="B454" s="4"/>
      <c r="C454" s="4">
        <v>884762</v>
      </c>
      <c r="D454" s="4">
        <v>5173</v>
      </c>
      <c r="E454" s="5">
        <f t="shared" ref="E454:E517" si="7">J454-D454</f>
        <v>0</v>
      </c>
      <c r="F454" s="15">
        <v>45260</v>
      </c>
      <c r="G454" s="10">
        <v>329981866</v>
      </c>
      <c r="H454" s="9">
        <v>45257</v>
      </c>
      <c r="I454" s="9">
        <v>45272</v>
      </c>
      <c r="J454" s="8">
        <v>5173</v>
      </c>
      <c r="K454" s="8" t="s">
        <v>31</v>
      </c>
      <c r="L454" s="8" t="s">
        <v>32</v>
      </c>
      <c r="M454" s="8"/>
      <c r="N454" s="8" t="b">
        <v>0</v>
      </c>
      <c r="O454" s="10">
        <v>702411</v>
      </c>
      <c r="P454" s="8" t="s">
        <v>114</v>
      </c>
      <c r="Q454" s="8">
        <v>221648</v>
      </c>
      <c r="R454" s="9">
        <v>45257</v>
      </c>
      <c r="S454" s="8" t="s">
        <v>180</v>
      </c>
      <c r="T454" s="8" t="s">
        <v>44</v>
      </c>
      <c r="U454" s="8" t="s">
        <v>45</v>
      </c>
      <c r="V454" s="8" t="s">
        <v>46</v>
      </c>
      <c r="W454" s="8">
        <v>0</v>
      </c>
    </row>
    <row r="455" spans="1:23" x14ac:dyDescent="0.25">
      <c r="A455" s="4">
        <v>1</v>
      </c>
      <c r="B455" s="4"/>
      <c r="C455" s="4">
        <v>884763</v>
      </c>
      <c r="D455" s="4">
        <v>5170.5</v>
      </c>
      <c r="E455" s="5">
        <f t="shared" si="7"/>
        <v>0.5</v>
      </c>
      <c r="F455" s="15">
        <v>45260</v>
      </c>
      <c r="G455" s="10">
        <v>329988016</v>
      </c>
      <c r="H455" s="9">
        <v>45257</v>
      </c>
      <c r="I455" s="9">
        <v>45272</v>
      </c>
      <c r="J455" s="8">
        <v>5171</v>
      </c>
      <c r="K455" s="8" t="s">
        <v>31</v>
      </c>
      <c r="L455" s="8" t="s">
        <v>32</v>
      </c>
      <c r="M455" s="8"/>
      <c r="N455" s="8" t="b">
        <v>0</v>
      </c>
      <c r="O455" s="10">
        <v>705136</v>
      </c>
      <c r="P455" s="8" t="s">
        <v>282</v>
      </c>
      <c r="Q455" s="8">
        <v>226808</v>
      </c>
      <c r="R455" s="9">
        <v>45257</v>
      </c>
      <c r="S455" s="8" t="s">
        <v>34</v>
      </c>
      <c r="T455" s="8" t="s">
        <v>44</v>
      </c>
      <c r="U455" s="8" t="s">
        <v>58</v>
      </c>
      <c r="V455" s="8" t="s">
        <v>46</v>
      </c>
      <c r="W455" s="8">
        <v>0</v>
      </c>
    </row>
    <row r="456" spans="1:23" x14ac:dyDescent="0.25">
      <c r="A456" s="4">
        <v>1</v>
      </c>
      <c r="B456" s="4"/>
      <c r="C456" s="4">
        <v>884900</v>
      </c>
      <c r="D456" s="4">
        <v>5170.5</v>
      </c>
      <c r="E456" s="5">
        <f t="shared" si="7"/>
        <v>0.5</v>
      </c>
      <c r="F456" s="15">
        <v>45260</v>
      </c>
      <c r="G456" s="10">
        <v>329988767</v>
      </c>
      <c r="H456" s="9">
        <v>45258</v>
      </c>
      <c r="I456" s="9">
        <v>45273</v>
      </c>
      <c r="J456" s="8">
        <v>5171</v>
      </c>
      <c r="K456" s="8" t="s">
        <v>31</v>
      </c>
      <c r="L456" s="8" t="s">
        <v>32</v>
      </c>
      <c r="M456" s="8"/>
      <c r="N456" s="8" t="b">
        <v>0</v>
      </c>
      <c r="O456" s="10">
        <v>705134</v>
      </c>
      <c r="P456" s="8" t="s">
        <v>281</v>
      </c>
      <c r="Q456" s="8">
        <v>227204</v>
      </c>
      <c r="R456" s="9">
        <v>45257</v>
      </c>
      <c r="S456" s="8" t="s">
        <v>34</v>
      </c>
      <c r="T456" s="8" t="s">
        <v>44</v>
      </c>
      <c r="U456" s="8" t="s">
        <v>58</v>
      </c>
      <c r="V456" s="8" t="s">
        <v>46</v>
      </c>
      <c r="W456" s="8">
        <v>0</v>
      </c>
    </row>
    <row r="457" spans="1:23" x14ac:dyDescent="0.25">
      <c r="A457" s="4">
        <v>1</v>
      </c>
      <c r="B457" s="4"/>
      <c r="C457" s="4">
        <v>884909</v>
      </c>
      <c r="D457" s="4">
        <v>4901.5</v>
      </c>
      <c r="E457" s="5">
        <f t="shared" si="7"/>
        <v>0.5</v>
      </c>
      <c r="F457" s="15">
        <v>45260</v>
      </c>
      <c r="G457" s="10">
        <v>330000838</v>
      </c>
      <c r="H457" s="9">
        <v>45258</v>
      </c>
      <c r="I457" s="9">
        <v>45273</v>
      </c>
      <c r="J457" s="8">
        <v>4902</v>
      </c>
      <c r="K457" s="8" t="s">
        <v>31</v>
      </c>
      <c r="L457" s="8" t="s">
        <v>32</v>
      </c>
      <c r="M457" s="8"/>
      <c r="N457" s="8" t="b">
        <v>0</v>
      </c>
      <c r="O457" s="10">
        <v>21100</v>
      </c>
      <c r="P457" s="8" t="s">
        <v>128</v>
      </c>
      <c r="Q457" s="8">
        <v>237855</v>
      </c>
      <c r="R457" s="9">
        <v>45258</v>
      </c>
      <c r="S457" s="8" t="s">
        <v>277</v>
      </c>
      <c r="T457" s="8" t="s">
        <v>40</v>
      </c>
      <c r="U457" s="8" t="s">
        <v>278</v>
      </c>
      <c r="V457" s="8" t="s">
        <v>279</v>
      </c>
      <c r="W457" s="8">
        <v>0</v>
      </c>
    </row>
    <row r="458" spans="1:23" x14ac:dyDescent="0.25">
      <c r="A458" s="4">
        <v>1</v>
      </c>
      <c r="B458" s="4"/>
      <c r="C458" s="4">
        <v>884905</v>
      </c>
      <c r="D458" s="4">
        <v>4901.5</v>
      </c>
      <c r="E458" s="5">
        <f t="shared" si="7"/>
        <v>0.5</v>
      </c>
      <c r="F458" s="15">
        <v>45260</v>
      </c>
      <c r="G458" s="10">
        <v>330000857</v>
      </c>
      <c r="H458" s="9">
        <v>45258</v>
      </c>
      <c r="I458" s="9">
        <v>45273</v>
      </c>
      <c r="J458" s="8">
        <v>4902</v>
      </c>
      <c r="K458" s="8" t="s">
        <v>31</v>
      </c>
      <c r="L458" s="8" t="s">
        <v>32</v>
      </c>
      <c r="M458" s="8"/>
      <c r="N458" s="8" t="b">
        <v>0</v>
      </c>
      <c r="O458" s="10">
        <v>21101</v>
      </c>
      <c r="P458" s="8" t="s">
        <v>218</v>
      </c>
      <c r="Q458" s="8">
        <v>237861</v>
      </c>
      <c r="R458" s="9">
        <v>45258</v>
      </c>
      <c r="S458" s="8" t="s">
        <v>277</v>
      </c>
      <c r="T458" s="8" t="s">
        <v>40</v>
      </c>
      <c r="U458" s="8" t="s">
        <v>278</v>
      </c>
      <c r="V458" s="8" t="s">
        <v>279</v>
      </c>
      <c r="W458" s="8">
        <v>0</v>
      </c>
    </row>
    <row r="459" spans="1:23" x14ac:dyDescent="0.25">
      <c r="A459" s="4">
        <v>1</v>
      </c>
      <c r="B459" s="4"/>
      <c r="C459" s="4" t="s">
        <v>330</v>
      </c>
      <c r="D459" s="4">
        <v>41480</v>
      </c>
      <c r="E459" s="5">
        <f t="shared" si="7"/>
        <v>0</v>
      </c>
      <c r="F459" s="15">
        <v>45260</v>
      </c>
      <c r="G459" s="10">
        <v>330003909</v>
      </c>
      <c r="H459" s="9">
        <v>45258</v>
      </c>
      <c r="I459" s="9">
        <v>45273</v>
      </c>
      <c r="J459" s="8">
        <v>41480</v>
      </c>
      <c r="K459" s="8" t="s">
        <v>31</v>
      </c>
      <c r="L459" s="8" t="s">
        <v>32</v>
      </c>
      <c r="M459" s="8"/>
      <c r="N459" s="8" t="b">
        <v>0</v>
      </c>
      <c r="O459" s="10"/>
      <c r="P459" s="8" t="s">
        <v>232</v>
      </c>
      <c r="Q459" s="8">
        <v>240104</v>
      </c>
      <c r="R459" s="9">
        <v>45258</v>
      </c>
      <c r="S459" s="8" t="s">
        <v>148</v>
      </c>
      <c r="T459" s="8" t="s">
        <v>49</v>
      </c>
      <c r="U459" s="8" t="s">
        <v>149</v>
      </c>
      <c r="V459" s="8" t="s">
        <v>150</v>
      </c>
      <c r="W459" s="8">
        <v>0</v>
      </c>
    </row>
    <row r="460" spans="1:23" x14ac:dyDescent="0.25">
      <c r="A460" s="4">
        <v>1</v>
      </c>
      <c r="B460" s="4"/>
      <c r="C460" s="4">
        <v>884901</v>
      </c>
      <c r="D460" s="4">
        <v>65940</v>
      </c>
      <c r="E460" s="5">
        <f t="shared" si="7"/>
        <v>0</v>
      </c>
      <c r="F460" s="15">
        <v>45260</v>
      </c>
      <c r="G460" s="10">
        <v>330010177</v>
      </c>
      <c r="H460" s="9">
        <v>45258</v>
      </c>
      <c r="I460" s="9">
        <v>45273</v>
      </c>
      <c r="J460" s="8">
        <v>65940</v>
      </c>
      <c r="K460" s="8" t="s">
        <v>31</v>
      </c>
      <c r="L460" s="8" t="s">
        <v>32</v>
      </c>
      <c r="M460" s="8"/>
      <c r="N460" s="8" t="b">
        <v>0</v>
      </c>
      <c r="O460" s="10"/>
      <c r="P460" s="8" t="s">
        <v>155</v>
      </c>
      <c r="Q460" s="8">
        <v>245134</v>
      </c>
      <c r="R460" s="9">
        <v>45258</v>
      </c>
      <c r="S460" s="8" t="s">
        <v>34</v>
      </c>
      <c r="T460" s="8" t="s">
        <v>49</v>
      </c>
      <c r="U460" s="8" t="s">
        <v>75</v>
      </c>
      <c r="V460" s="8" t="s">
        <v>46</v>
      </c>
      <c r="W460" s="8">
        <v>0</v>
      </c>
    </row>
    <row r="461" spans="1:23" x14ac:dyDescent="0.25">
      <c r="A461" s="4">
        <v>1</v>
      </c>
      <c r="B461" s="4"/>
      <c r="C461" s="4">
        <v>885274</v>
      </c>
      <c r="D461" s="4">
        <v>5200.5</v>
      </c>
      <c r="E461" s="5">
        <f t="shared" si="7"/>
        <v>0.5</v>
      </c>
      <c r="F461" s="15">
        <v>45268</v>
      </c>
      <c r="G461" s="10">
        <v>330030965</v>
      </c>
      <c r="H461" s="9">
        <v>45259</v>
      </c>
      <c r="I461" s="9">
        <v>45274</v>
      </c>
      <c r="J461" s="8">
        <v>5201</v>
      </c>
      <c r="K461" s="8" t="s">
        <v>31</v>
      </c>
      <c r="L461" s="8" t="s">
        <v>32</v>
      </c>
      <c r="M461" s="8"/>
      <c r="N461" s="8" t="b">
        <v>0</v>
      </c>
      <c r="O461" s="10">
        <v>707148</v>
      </c>
      <c r="P461" s="8" t="s">
        <v>237</v>
      </c>
      <c r="Q461" s="8">
        <v>261754</v>
      </c>
      <c r="R461" s="9">
        <v>45259</v>
      </c>
      <c r="S461" s="8" t="s">
        <v>34</v>
      </c>
      <c r="T461" s="8" t="s">
        <v>40</v>
      </c>
      <c r="U461" s="8" t="s">
        <v>58</v>
      </c>
      <c r="V461" s="8" t="s">
        <v>46</v>
      </c>
      <c r="W461" s="8">
        <v>0</v>
      </c>
    </row>
    <row r="462" spans="1:23" x14ac:dyDescent="0.25">
      <c r="A462" s="4">
        <v>1</v>
      </c>
      <c r="B462" s="4"/>
      <c r="C462" s="4">
        <v>885275</v>
      </c>
      <c r="D462" s="4">
        <v>5200.5</v>
      </c>
      <c r="E462" s="5">
        <f t="shared" si="7"/>
        <v>0.5</v>
      </c>
      <c r="F462" s="15">
        <v>45268</v>
      </c>
      <c r="G462" s="10">
        <v>330030966</v>
      </c>
      <c r="H462" s="9">
        <v>45259</v>
      </c>
      <c r="I462" s="9">
        <v>45274</v>
      </c>
      <c r="J462" s="8">
        <v>5201</v>
      </c>
      <c r="K462" s="8" t="s">
        <v>31</v>
      </c>
      <c r="L462" s="8" t="s">
        <v>32</v>
      </c>
      <c r="M462" s="8"/>
      <c r="N462" s="8" t="b">
        <v>0</v>
      </c>
      <c r="O462" s="10">
        <v>707147</v>
      </c>
      <c r="P462" s="8" t="s">
        <v>189</v>
      </c>
      <c r="Q462" s="8">
        <v>261747</v>
      </c>
      <c r="R462" s="9">
        <v>45259</v>
      </c>
      <c r="S462" s="8" t="s">
        <v>34</v>
      </c>
      <c r="T462" s="8" t="s">
        <v>40</v>
      </c>
      <c r="U462" s="8" t="s">
        <v>58</v>
      </c>
      <c r="V462" s="8" t="s">
        <v>46</v>
      </c>
      <c r="W462" s="8">
        <v>0</v>
      </c>
    </row>
    <row r="463" spans="1:23" x14ac:dyDescent="0.25">
      <c r="A463" s="4">
        <v>1</v>
      </c>
      <c r="B463" s="4"/>
      <c r="C463" s="4">
        <v>885276</v>
      </c>
      <c r="D463" s="4">
        <v>5170.5</v>
      </c>
      <c r="E463" s="5">
        <f t="shared" si="7"/>
        <v>0.5</v>
      </c>
      <c r="F463" s="15">
        <v>45268</v>
      </c>
      <c r="G463" s="10">
        <v>330030969</v>
      </c>
      <c r="H463" s="9">
        <v>45259</v>
      </c>
      <c r="I463" s="9">
        <v>45274</v>
      </c>
      <c r="J463" s="8">
        <v>5171</v>
      </c>
      <c r="K463" s="8" t="s">
        <v>31</v>
      </c>
      <c r="L463" s="8" t="s">
        <v>32</v>
      </c>
      <c r="M463" s="8"/>
      <c r="N463" s="8" t="b">
        <v>0</v>
      </c>
      <c r="O463" s="10">
        <v>706728</v>
      </c>
      <c r="P463" s="8" t="s">
        <v>182</v>
      </c>
      <c r="Q463" s="8">
        <v>261799</v>
      </c>
      <c r="R463" s="9">
        <v>45259</v>
      </c>
      <c r="S463" s="8" t="s">
        <v>34</v>
      </c>
      <c r="T463" s="8" t="s">
        <v>44</v>
      </c>
      <c r="U463" s="8" t="s">
        <v>58</v>
      </c>
      <c r="V463" s="8" t="s">
        <v>46</v>
      </c>
      <c r="W463" s="8">
        <v>0</v>
      </c>
    </row>
    <row r="464" spans="1:23" x14ac:dyDescent="0.25">
      <c r="A464" s="4">
        <v>1</v>
      </c>
      <c r="B464" s="4"/>
      <c r="C464" s="4">
        <v>885277</v>
      </c>
      <c r="D464" s="4">
        <v>5200.5</v>
      </c>
      <c r="E464" s="5">
        <f t="shared" si="7"/>
        <v>0.5</v>
      </c>
      <c r="F464" s="15">
        <v>45268</v>
      </c>
      <c r="G464" s="10">
        <v>330032597</v>
      </c>
      <c r="H464" s="9">
        <v>45259</v>
      </c>
      <c r="I464" s="9">
        <v>45274</v>
      </c>
      <c r="J464" s="8">
        <v>5201</v>
      </c>
      <c r="K464" s="8" t="s">
        <v>31</v>
      </c>
      <c r="L464" s="8" t="s">
        <v>32</v>
      </c>
      <c r="M464" s="8"/>
      <c r="N464" s="8" t="b">
        <v>0</v>
      </c>
      <c r="O464" s="10">
        <v>707149</v>
      </c>
      <c r="P464" s="8" t="s">
        <v>57</v>
      </c>
      <c r="Q464" s="8">
        <v>262777</v>
      </c>
      <c r="R464" s="9">
        <v>45259</v>
      </c>
      <c r="S464" s="8" t="s">
        <v>34</v>
      </c>
      <c r="T464" s="8" t="s">
        <v>40</v>
      </c>
      <c r="U464" s="8" t="s">
        <v>58</v>
      </c>
      <c r="V464" s="8" t="s">
        <v>46</v>
      </c>
      <c r="W464" s="8">
        <v>0</v>
      </c>
    </row>
    <row r="465" spans="1:23" x14ac:dyDescent="0.25">
      <c r="A465" s="4">
        <v>1</v>
      </c>
      <c r="B465" s="4"/>
      <c r="C465" s="4">
        <v>885582</v>
      </c>
      <c r="D465" s="4">
        <v>5200.5</v>
      </c>
      <c r="E465" s="5">
        <f t="shared" si="7"/>
        <v>0.5</v>
      </c>
      <c r="F465" s="15">
        <v>45268</v>
      </c>
      <c r="G465" s="10">
        <v>330045603</v>
      </c>
      <c r="H465" s="9">
        <v>45260</v>
      </c>
      <c r="I465" s="9">
        <v>45275</v>
      </c>
      <c r="J465" s="8">
        <v>5201</v>
      </c>
      <c r="K465" s="8" t="s">
        <v>31</v>
      </c>
      <c r="L465" s="8" t="s">
        <v>32</v>
      </c>
      <c r="M465" s="8"/>
      <c r="N465" s="8" t="b">
        <v>0</v>
      </c>
      <c r="O465" s="10">
        <v>707150</v>
      </c>
      <c r="P465" s="8" t="s">
        <v>119</v>
      </c>
      <c r="Q465" s="8">
        <v>270342</v>
      </c>
      <c r="R465" s="9">
        <v>45260</v>
      </c>
      <c r="S465" s="8" t="s">
        <v>34</v>
      </c>
      <c r="T465" s="8" t="s">
        <v>40</v>
      </c>
      <c r="U465" s="8" t="s">
        <v>58</v>
      </c>
      <c r="V465" s="8" t="s">
        <v>46</v>
      </c>
      <c r="W465" s="8">
        <v>0</v>
      </c>
    </row>
    <row r="466" spans="1:23" x14ac:dyDescent="0.25">
      <c r="A466" s="4">
        <v>1</v>
      </c>
      <c r="B466" s="4"/>
      <c r="C466" s="4">
        <v>885589</v>
      </c>
      <c r="D466" s="4">
        <v>101108</v>
      </c>
      <c r="E466" s="5">
        <f t="shared" si="7"/>
        <v>0</v>
      </c>
      <c r="F466" s="15">
        <v>45268</v>
      </c>
      <c r="G466" s="10">
        <v>330047033</v>
      </c>
      <c r="H466" s="9">
        <v>45260</v>
      </c>
      <c r="I466" s="9">
        <v>45275</v>
      </c>
      <c r="J466" s="8">
        <v>101108</v>
      </c>
      <c r="K466" s="8" t="s">
        <v>31</v>
      </c>
      <c r="L466" s="8" t="s">
        <v>32</v>
      </c>
      <c r="M466" s="8"/>
      <c r="N466" s="8" t="b">
        <v>0</v>
      </c>
      <c r="O466" s="10"/>
      <c r="P466" s="8" t="s">
        <v>331</v>
      </c>
      <c r="Q466" s="8">
        <v>271787</v>
      </c>
      <c r="R466" s="9">
        <v>45260</v>
      </c>
      <c r="S466" s="8" t="s">
        <v>34</v>
      </c>
      <c r="T466" s="8" t="s">
        <v>49</v>
      </c>
      <c r="U466" s="8" t="s">
        <v>75</v>
      </c>
      <c r="V466" s="8" t="s">
        <v>46</v>
      </c>
      <c r="W466" s="8">
        <v>0</v>
      </c>
    </row>
    <row r="467" spans="1:23" x14ac:dyDescent="0.25">
      <c r="A467" s="4">
        <v>1</v>
      </c>
      <c r="B467" s="4"/>
      <c r="C467" s="4">
        <v>885262</v>
      </c>
      <c r="D467" s="4">
        <v>5200.5</v>
      </c>
      <c r="E467" s="5">
        <f t="shared" si="7"/>
        <v>0.5</v>
      </c>
      <c r="F467" s="15">
        <v>45271</v>
      </c>
      <c r="G467" s="10">
        <v>330049183</v>
      </c>
      <c r="H467" s="9">
        <v>45260</v>
      </c>
      <c r="I467" s="9">
        <v>45275</v>
      </c>
      <c r="J467" s="8">
        <v>5201</v>
      </c>
      <c r="K467" s="8" t="s">
        <v>31</v>
      </c>
      <c r="L467" s="8" t="s">
        <v>32</v>
      </c>
      <c r="M467" s="8"/>
      <c r="N467" s="8" t="b">
        <v>0</v>
      </c>
      <c r="O467" s="10">
        <v>21111</v>
      </c>
      <c r="P467" s="8" t="s">
        <v>219</v>
      </c>
      <c r="Q467" s="8">
        <v>274653</v>
      </c>
      <c r="R467" s="9">
        <v>45260</v>
      </c>
      <c r="S467" s="8" t="s">
        <v>34</v>
      </c>
      <c r="T467" s="8" t="s">
        <v>40</v>
      </c>
      <c r="U467" s="8" t="s">
        <v>58</v>
      </c>
      <c r="V467" s="8" t="s">
        <v>46</v>
      </c>
      <c r="W467" s="8">
        <v>0</v>
      </c>
    </row>
    <row r="468" spans="1:23" x14ac:dyDescent="0.25">
      <c r="A468" s="4">
        <v>1</v>
      </c>
      <c r="B468" s="4"/>
      <c r="C468" s="4">
        <v>885583</v>
      </c>
      <c r="D468" s="4">
        <v>5200.5</v>
      </c>
      <c r="E468" s="5">
        <f t="shared" si="7"/>
        <v>0.5</v>
      </c>
      <c r="F468" s="15">
        <v>45271</v>
      </c>
      <c r="G468" s="10">
        <v>330049217</v>
      </c>
      <c r="H468" s="9">
        <v>45260</v>
      </c>
      <c r="I468" s="9">
        <v>45275</v>
      </c>
      <c r="J468" s="8">
        <v>5201</v>
      </c>
      <c r="K468" s="8" t="s">
        <v>31</v>
      </c>
      <c r="L468" s="8" t="s">
        <v>32</v>
      </c>
      <c r="M468" s="8"/>
      <c r="N468" s="8" t="b">
        <v>0</v>
      </c>
      <c r="O468" s="10">
        <v>707151</v>
      </c>
      <c r="P468" s="8" t="s">
        <v>60</v>
      </c>
      <c r="Q468" s="8">
        <v>274643</v>
      </c>
      <c r="R468" s="9">
        <v>45260</v>
      </c>
      <c r="S468" s="8" t="s">
        <v>34</v>
      </c>
      <c r="T468" s="8" t="s">
        <v>40</v>
      </c>
      <c r="U468" s="8" t="s">
        <v>58</v>
      </c>
      <c r="V468" s="8" t="s">
        <v>46</v>
      </c>
      <c r="W468" s="8">
        <v>0</v>
      </c>
    </row>
    <row r="469" spans="1:23" x14ac:dyDescent="0.25">
      <c r="A469" s="4">
        <v>1</v>
      </c>
      <c r="B469" s="4"/>
      <c r="C469" s="4">
        <v>885584</v>
      </c>
      <c r="D469" s="4">
        <v>5170.5</v>
      </c>
      <c r="E469" s="5">
        <f t="shared" si="7"/>
        <v>0.5</v>
      </c>
      <c r="F469" s="15">
        <v>45271</v>
      </c>
      <c r="G469" s="10">
        <v>330056858</v>
      </c>
      <c r="H469" s="9">
        <v>45260</v>
      </c>
      <c r="I469" s="9">
        <v>45275</v>
      </c>
      <c r="J469" s="8">
        <v>5171</v>
      </c>
      <c r="K469" s="8" t="s">
        <v>31</v>
      </c>
      <c r="L469" s="8" t="s">
        <v>32</v>
      </c>
      <c r="M469" s="8"/>
      <c r="N469" s="8" t="b">
        <v>0</v>
      </c>
      <c r="O469" s="10">
        <v>706723</v>
      </c>
      <c r="P469" s="8" t="s">
        <v>332</v>
      </c>
      <c r="Q469" s="8">
        <v>281294</v>
      </c>
      <c r="R469" s="9">
        <v>45260</v>
      </c>
      <c r="S469" s="8" t="s">
        <v>34</v>
      </c>
      <c r="T469" s="8" t="s">
        <v>44</v>
      </c>
      <c r="U469" s="8" t="s">
        <v>58</v>
      </c>
      <c r="V469" s="8" t="s">
        <v>46</v>
      </c>
      <c r="W469" s="8">
        <v>0</v>
      </c>
    </row>
    <row r="470" spans="1:23" x14ac:dyDescent="0.25">
      <c r="A470" s="4">
        <v>1</v>
      </c>
      <c r="B470" s="4"/>
      <c r="C470" s="4">
        <v>885585</v>
      </c>
      <c r="D470" s="4">
        <v>5170.5</v>
      </c>
      <c r="E470" s="5">
        <f t="shared" si="7"/>
        <v>0.5</v>
      </c>
      <c r="F470" s="15">
        <v>45271</v>
      </c>
      <c r="G470" s="10">
        <v>330058820</v>
      </c>
      <c r="H470" s="9">
        <v>45260</v>
      </c>
      <c r="I470" s="9">
        <v>45275</v>
      </c>
      <c r="J470" s="8">
        <v>5171</v>
      </c>
      <c r="K470" s="8" t="s">
        <v>31</v>
      </c>
      <c r="L470" s="8" t="s">
        <v>32</v>
      </c>
      <c r="M470" s="8"/>
      <c r="N470" s="8" t="b">
        <v>0</v>
      </c>
      <c r="O470" s="10">
        <v>706726</v>
      </c>
      <c r="P470" s="8" t="s">
        <v>333</v>
      </c>
      <c r="Q470" s="8">
        <v>283512</v>
      </c>
      <c r="R470" s="9">
        <v>45260</v>
      </c>
      <c r="S470" s="8" t="s">
        <v>34</v>
      </c>
      <c r="T470" s="8" t="s">
        <v>44</v>
      </c>
      <c r="U470" s="8" t="s">
        <v>58</v>
      </c>
      <c r="V470" s="8" t="s">
        <v>46</v>
      </c>
      <c r="W470" s="8">
        <v>0</v>
      </c>
    </row>
    <row r="471" spans="1:23" x14ac:dyDescent="0.25">
      <c r="A471" s="4">
        <v>1</v>
      </c>
      <c r="B471" s="4"/>
      <c r="C471" s="4">
        <v>885587</v>
      </c>
      <c r="D471" s="4">
        <v>5170.5</v>
      </c>
      <c r="E471" s="5">
        <f t="shared" si="7"/>
        <v>0.5</v>
      </c>
      <c r="F471" s="15">
        <v>45271</v>
      </c>
      <c r="G471" s="10">
        <v>330058851</v>
      </c>
      <c r="H471" s="9">
        <v>45260</v>
      </c>
      <c r="I471" s="9">
        <v>45275</v>
      </c>
      <c r="J471" s="8">
        <v>5171</v>
      </c>
      <c r="K471" s="8" t="s">
        <v>31</v>
      </c>
      <c r="L471" s="8" t="s">
        <v>32</v>
      </c>
      <c r="M471" s="8"/>
      <c r="N471" s="8" t="b">
        <v>0</v>
      </c>
      <c r="O471" s="10">
        <v>706724</v>
      </c>
      <c r="P471" s="8" t="s">
        <v>265</v>
      </c>
      <c r="Q471" s="8">
        <v>283509</v>
      </c>
      <c r="R471" s="9">
        <v>45260</v>
      </c>
      <c r="S471" s="8" t="s">
        <v>34</v>
      </c>
      <c r="T471" s="8" t="s">
        <v>44</v>
      </c>
      <c r="U471" s="8" t="s">
        <v>58</v>
      </c>
      <c r="V471" s="8" t="s">
        <v>46</v>
      </c>
      <c r="W471" s="8">
        <v>0</v>
      </c>
    </row>
    <row r="472" spans="1:23" x14ac:dyDescent="0.25">
      <c r="A472" s="4">
        <v>1</v>
      </c>
      <c r="B472" s="4"/>
      <c r="C472" s="4">
        <v>885588</v>
      </c>
      <c r="D472" s="4">
        <v>5170.5</v>
      </c>
      <c r="E472" s="5">
        <f t="shared" si="7"/>
        <v>0.5</v>
      </c>
      <c r="F472" s="15">
        <v>45271</v>
      </c>
      <c r="G472" s="10">
        <v>330058866</v>
      </c>
      <c r="H472" s="9">
        <v>45260</v>
      </c>
      <c r="I472" s="9">
        <v>45275</v>
      </c>
      <c r="J472" s="8">
        <v>5171</v>
      </c>
      <c r="K472" s="8" t="s">
        <v>31</v>
      </c>
      <c r="L472" s="8" t="s">
        <v>32</v>
      </c>
      <c r="M472" s="8"/>
      <c r="N472" s="8" t="b">
        <v>0</v>
      </c>
      <c r="O472" s="10">
        <v>706730</v>
      </c>
      <c r="P472" s="8" t="s">
        <v>295</v>
      </c>
      <c r="Q472" s="8">
        <v>283513</v>
      </c>
      <c r="R472" s="9">
        <v>45260</v>
      </c>
      <c r="S472" s="8" t="s">
        <v>34</v>
      </c>
      <c r="T472" s="8" t="s">
        <v>44</v>
      </c>
      <c r="U472" s="8" t="s">
        <v>58</v>
      </c>
      <c r="V472" s="8" t="s">
        <v>46</v>
      </c>
      <c r="W472" s="8">
        <v>0</v>
      </c>
    </row>
    <row r="473" spans="1:23" x14ac:dyDescent="0.25">
      <c r="A473" s="4">
        <v>1</v>
      </c>
      <c r="B473" s="4"/>
      <c r="C473" s="4">
        <v>885820</v>
      </c>
      <c r="D473" s="4">
        <v>5053</v>
      </c>
      <c r="E473" s="5">
        <f t="shared" si="7"/>
        <v>0</v>
      </c>
      <c r="F473" s="15">
        <v>45268</v>
      </c>
      <c r="G473" s="10">
        <v>330106003</v>
      </c>
      <c r="H473" s="9">
        <v>45264</v>
      </c>
      <c r="I473" s="9">
        <v>45279</v>
      </c>
      <c r="J473" s="8">
        <v>5053</v>
      </c>
      <c r="K473" s="8" t="s">
        <v>31</v>
      </c>
      <c r="L473" s="8" t="s">
        <v>32</v>
      </c>
      <c r="M473" s="8"/>
      <c r="N473" s="8" t="b">
        <v>0</v>
      </c>
      <c r="O473" s="10">
        <v>708122</v>
      </c>
      <c r="P473" s="8" t="s">
        <v>168</v>
      </c>
      <c r="Q473" s="8">
        <v>315032</v>
      </c>
      <c r="R473" s="9">
        <v>45263</v>
      </c>
      <c r="S473" s="8" t="s">
        <v>34</v>
      </c>
      <c r="T473" s="8" t="s">
        <v>40</v>
      </c>
      <c r="U473" s="8" t="s">
        <v>84</v>
      </c>
      <c r="V473" s="8" t="s">
        <v>46</v>
      </c>
      <c r="W473" s="8">
        <v>0</v>
      </c>
    </row>
    <row r="474" spans="1:23" x14ac:dyDescent="0.25">
      <c r="A474" s="4">
        <v>1</v>
      </c>
      <c r="B474" s="4"/>
      <c r="C474" s="4">
        <v>885821</v>
      </c>
      <c r="D474" s="4">
        <v>5053</v>
      </c>
      <c r="E474" s="5">
        <f t="shared" si="7"/>
        <v>0</v>
      </c>
      <c r="F474" s="15">
        <v>45268</v>
      </c>
      <c r="G474" s="10">
        <v>330106019</v>
      </c>
      <c r="H474" s="9">
        <v>45264</v>
      </c>
      <c r="I474" s="9">
        <v>45279</v>
      </c>
      <c r="J474" s="8">
        <v>5053</v>
      </c>
      <c r="K474" s="8" t="s">
        <v>31</v>
      </c>
      <c r="L474" s="8" t="s">
        <v>32</v>
      </c>
      <c r="M474" s="8"/>
      <c r="N474" s="8" t="b">
        <v>0</v>
      </c>
      <c r="O474" s="10">
        <v>708121</v>
      </c>
      <c r="P474" s="8" t="s">
        <v>161</v>
      </c>
      <c r="Q474" s="8">
        <v>315031</v>
      </c>
      <c r="R474" s="9">
        <v>45263</v>
      </c>
      <c r="S474" s="8" t="s">
        <v>34</v>
      </c>
      <c r="T474" s="8" t="s">
        <v>40</v>
      </c>
      <c r="U474" s="8" t="s">
        <v>84</v>
      </c>
      <c r="V474" s="8" t="s">
        <v>46</v>
      </c>
      <c r="W474" s="8">
        <v>0</v>
      </c>
    </row>
    <row r="475" spans="1:23" x14ac:dyDescent="0.25">
      <c r="A475" s="4">
        <v>1</v>
      </c>
      <c r="B475" s="4"/>
      <c r="C475" s="4">
        <v>885590</v>
      </c>
      <c r="D475" s="4">
        <v>4894.2299999999996</v>
      </c>
      <c r="E475" s="5">
        <f t="shared" si="7"/>
        <v>-0.22999999999956344</v>
      </c>
      <c r="F475" s="15">
        <v>45271</v>
      </c>
      <c r="G475" s="10">
        <v>330106026</v>
      </c>
      <c r="H475" s="9">
        <v>45264</v>
      </c>
      <c r="I475" s="9">
        <v>45279</v>
      </c>
      <c r="J475" s="8">
        <v>4894</v>
      </c>
      <c r="K475" s="8" t="s">
        <v>31</v>
      </c>
      <c r="L475" s="8" t="s">
        <v>32</v>
      </c>
      <c r="M475" s="8"/>
      <c r="N475" s="8" t="b">
        <v>0</v>
      </c>
      <c r="O475" s="10">
        <v>21102</v>
      </c>
      <c r="P475" s="8" t="s">
        <v>174</v>
      </c>
      <c r="Q475" s="8">
        <v>315028</v>
      </c>
      <c r="R475" s="9">
        <v>45263</v>
      </c>
      <c r="S475" s="8" t="s">
        <v>277</v>
      </c>
      <c r="T475" s="8" t="s">
        <v>40</v>
      </c>
      <c r="U475" s="8" t="s">
        <v>278</v>
      </c>
      <c r="V475" s="8" t="s">
        <v>279</v>
      </c>
      <c r="W475" s="8">
        <v>0</v>
      </c>
    </row>
    <row r="476" spans="1:23" x14ac:dyDescent="0.25">
      <c r="A476" s="4">
        <v>1</v>
      </c>
      <c r="B476" s="4"/>
      <c r="C476" s="4">
        <v>885822</v>
      </c>
      <c r="D476" s="4">
        <v>5164.29</v>
      </c>
      <c r="E476" s="5">
        <f t="shared" si="7"/>
        <v>-0.28999999999996362</v>
      </c>
      <c r="F476" s="15">
        <v>45271</v>
      </c>
      <c r="G476" s="10">
        <v>330106105</v>
      </c>
      <c r="H476" s="9">
        <v>45264</v>
      </c>
      <c r="I476" s="9">
        <v>45279</v>
      </c>
      <c r="J476" s="8">
        <v>5164</v>
      </c>
      <c r="K476" s="8" t="s">
        <v>31</v>
      </c>
      <c r="L476" s="8" t="s">
        <v>32</v>
      </c>
      <c r="M476" s="8"/>
      <c r="N476" s="8" t="b">
        <v>0</v>
      </c>
      <c r="O476" s="10">
        <v>706746</v>
      </c>
      <c r="P476" s="8" t="s">
        <v>204</v>
      </c>
      <c r="Q476" s="8">
        <v>315051</v>
      </c>
      <c r="R476" s="9">
        <v>45263</v>
      </c>
      <c r="S476" s="8" t="s">
        <v>34</v>
      </c>
      <c r="T476" s="8" t="s">
        <v>44</v>
      </c>
      <c r="U476" s="8" t="s">
        <v>58</v>
      </c>
      <c r="V476" s="8" t="s">
        <v>46</v>
      </c>
      <c r="W476" s="8">
        <v>0</v>
      </c>
    </row>
    <row r="477" spans="1:23" x14ac:dyDescent="0.25">
      <c r="A477" s="4">
        <v>1</v>
      </c>
      <c r="B477" s="4" t="s">
        <v>305</v>
      </c>
      <c r="C477" s="4">
        <v>885823</v>
      </c>
      <c r="D477" s="4">
        <v>5164.29</v>
      </c>
      <c r="E477" s="5">
        <f t="shared" si="7"/>
        <v>-0.28999999999996362</v>
      </c>
      <c r="F477" s="15" t="s">
        <v>334</v>
      </c>
      <c r="G477" s="10">
        <v>330106109</v>
      </c>
      <c r="H477" s="9">
        <v>45264</v>
      </c>
      <c r="I477" s="9">
        <v>45279</v>
      </c>
      <c r="J477" s="8">
        <v>5164</v>
      </c>
      <c r="K477" s="8" t="s">
        <v>31</v>
      </c>
      <c r="L477" s="8" t="s">
        <v>32</v>
      </c>
      <c r="M477" s="8"/>
      <c r="N477" s="8" t="b">
        <v>0</v>
      </c>
      <c r="O477" s="10">
        <v>706745</v>
      </c>
      <c r="P477" s="8" t="s">
        <v>264</v>
      </c>
      <c r="Q477" s="8">
        <v>315049</v>
      </c>
      <c r="R477" s="9">
        <v>45263</v>
      </c>
      <c r="S477" s="8" t="s">
        <v>34</v>
      </c>
      <c r="T477" s="8" t="s">
        <v>44</v>
      </c>
      <c r="U477" s="8" t="s">
        <v>58</v>
      </c>
      <c r="V477" s="8" t="s">
        <v>46</v>
      </c>
      <c r="W477" s="8">
        <v>0</v>
      </c>
    </row>
    <row r="478" spans="1:23" x14ac:dyDescent="0.25">
      <c r="A478" s="4">
        <v>1</v>
      </c>
      <c r="B478" s="4"/>
      <c r="C478" s="4">
        <v>885824</v>
      </c>
      <c r="D478" s="4">
        <v>5164.29</v>
      </c>
      <c r="E478" s="5">
        <f t="shared" si="7"/>
        <v>-0.28999999999996362</v>
      </c>
      <c r="F478" s="9">
        <v>45271</v>
      </c>
      <c r="G478" s="10">
        <v>330106110</v>
      </c>
      <c r="H478" s="9">
        <v>45264</v>
      </c>
      <c r="I478" s="9">
        <v>45279</v>
      </c>
      <c r="J478" s="8">
        <v>5164</v>
      </c>
      <c r="K478" s="8" t="s">
        <v>31</v>
      </c>
      <c r="L478" s="8" t="s">
        <v>32</v>
      </c>
      <c r="M478" s="8"/>
      <c r="N478" s="8" t="b">
        <v>0</v>
      </c>
      <c r="O478" s="10">
        <v>706735</v>
      </c>
      <c r="P478" s="8" t="s">
        <v>179</v>
      </c>
      <c r="Q478" s="8">
        <v>315048</v>
      </c>
      <c r="R478" s="9">
        <v>45263</v>
      </c>
      <c r="S478" s="8" t="s">
        <v>34</v>
      </c>
      <c r="T478" s="8" t="s">
        <v>44</v>
      </c>
      <c r="U478" s="8" t="s">
        <v>58</v>
      </c>
      <c r="V478" s="8" t="s">
        <v>46</v>
      </c>
      <c r="W478" s="8">
        <v>0</v>
      </c>
    </row>
    <row r="479" spans="1:23" x14ac:dyDescent="0.25">
      <c r="A479" s="4">
        <v>1</v>
      </c>
      <c r="B479" s="4"/>
      <c r="C479" s="4">
        <v>885825</v>
      </c>
      <c r="D479" s="4">
        <v>5164.29</v>
      </c>
      <c r="E479" s="5">
        <f t="shared" si="7"/>
        <v>-0.28999999999996362</v>
      </c>
      <c r="F479" s="9">
        <v>45271</v>
      </c>
      <c r="G479" s="10">
        <v>330106111</v>
      </c>
      <c r="H479" s="9">
        <v>45264</v>
      </c>
      <c r="I479" s="9">
        <v>45279</v>
      </c>
      <c r="J479" s="8">
        <v>5164</v>
      </c>
      <c r="K479" s="8" t="s">
        <v>31</v>
      </c>
      <c r="L479" s="8" t="s">
        <v>32</v>
      </c>
      <c r="M479" s="8"/>
      <c r="N479" s="8" t="b">
        <v>0</v>
      </c>
      <c r="O479" s="10">
        <v>706747</v>
      </c>
      <c r="P479" s="8" t="s">
        <v>267</v>
      </c>
      <c r="Q479" s="8">
        <v>315052</v>
      </c>
      <c r="R479" s="9">
        <v>45263</v>
      </c>
      <c r="S479" s="8" t="s">
        <v>34</v>
      </c>
      <c r="T479" s="8" t="s">
        <v>44</v>
      </c>
      <c r="U479" s="8" t="s">
        <v>58</v>
      </c>
      <c r="V479" s="8" t="s">
        <v>46</v>
      </c>
      <c r="W479" s="8">
        <v>0</v>
      </c>
    </row>
    <row r="480" spans="1:23" x14ac:dyDescent="0.25">
      <c r="A480" s="4">
        <v>1</v>
      </c>
      <c r="B480" s="4"/>
      <c r="C480" s="4">
        <v>885826</v>
      </c>
      <c r="D480" s="4">
        <v>5164.29</v>
      </c>
      <c r="E480" s="5">
        <f t="shared" si="7"/>
        <v>-0.28999999999996362</v>
      </c>
      <c r="F480" s="9">
        <v>45271</v>
      </c>
      <c r="G480" s="10">
        <v>330106112</v>
      </c>
      <c r="H480" s="9">
        <v>45264</v>
      </c>
      <c r="I480" s="9">
        <v>45279</v>
      </c>
      <c r="J480" s="8">
        <v>5164</v>
      </c>
      <c r="K480" s="8" t="s">
        <v>31</v>
      </c>
      <c r="L480" s="8" t="s">
        <v>32</v>
      </c>
      <c r="M480" s="8"/>
      <c r="N480" s="8" t="b">
        <v>0</v>
      </c>
      <c r="O480" s="10">
        <v>705141</v>
      </c>
      <c r="P480" s="8" t="s">
        <v>255</v>
      </c>
      <c r="Q480" s="8">
        <v>315043</v>
      </c>
      <c r="R480" s="9">
        <v>45263</v>
      </c>
      <c r="S480" s="8" t="s">
        <v>34</v>
      </c>
      <c r="T480" s="8" t="s">
        <v>44</v>
      </c>
      <c r="U480" s="8" t="s">
        <v>58</v>
      </c>
      <c r="V480" s="8" t="s">
        <v>46</v>
      </c>
      <c r="W480" s="8">
        <v>0</v>
      </c>
    </row>
    <row r="481" spans="1:23" x14ac:dyDescent="0.25">
      <c r="A481" s="4">
        <v>1</v>
      </c>
      <c r="B481" s="4"/>
      <c r="C481" s="4">
        <v>885827</v>
      </c>
      <c r="D481" s="4">
        <v>5164.29</v>
      </c>
      <c r="E481" s="5">
        <f t="shared" si="7"/>
        <v>-0.28999999999996362</v>
      </c>
      <c r="F481" s="9">
        <v>45271</v>
      </c>
      <c r="G481" s="10">
        <v>330106117</v>
      </c>
      <c r="H481" s="9">
        <v>45264</v>
      </c>
      <c r="I481" s="9">
        <v>45279</v>
      </c>
      <c r="J481" s="8">
        <v>5164</v>
      </c>
      <c r="K481" s="8" t="s">
        <v>31</v>
      </c>
      <c r="L481" s="8" t="s">
        <v>32</v>
      </c>
      <c r="M481" s="8"/>
      <c r="N481" s="8" t="b">
        <v>0</v>
      </c>
      <c r="O481" s="10">
        <v>706729</v>
      </c>
      <c r="P481" s="8" t="s">
        <v>183</v>
      </c>
      <c r="Q481" s="8">
        <v>315047</v>
      </c>
      <c r="R481" s="9">
        <v>45263</v>
      </c>
      <c r="S481" s="8" t="s">
        <v>34</v>
      </c>
      <c r="T481" s="8" t="s">
        <v>44</v>
      </c>
      <c r="U481" s="8" t="s">
        <v>58</v>
      </c>
      <c r="V481" s="8" t="s">
        <v>46</v>
      </c>
      <c r="W481" s="8">
        <v>0</v>
      </c>
    </row>
    <row r="482" spans="1:23" x14ac:dyDescent="0.25">
      <c r="A482" s="4">
        <v>1</v>
      </c>
      <c r="B482" s="4"/>
      <c r="C482" s="4">
        <v>885828</v>
      </c>
      <c r="D482" s="4">
        <v>5176.54</v>
      </c>
      <c r="E482" s="5">
        <f t="shared" si="7"/>
        <v>0.46000000000003638</v>
      </c>
      <c r="F482" s="9">
        <v>45271</v>
      </c>
      <c r="G482" s="10">
        <v>330114033</v>
      </c>
      <c r="H482" s="9">
        <v>45264</v>
      </c>
      <c r="I482" s="9">
        <v>45279</v>
      </c>
      <c r="J482" s="8">
        <v>5177</v>
      </c>
      <c r="K482" s="8" t="s">
        <v>31</v>
      </c>
      <c r="L482" s="8" t="s">
        <v>32</v>
      </c>
      <c r="M482" s="8"/>
      <c r="N482" s="8" t="b">
        <v>0</v>
      </c>
      <c r="O482" s="10">
        <v>708144</v>
      </c>
      <c r="P482" s="8" t="s">
        <v>264</v>
      </c>
      <c r="Q482" s="8">
        <v>320148</v>
      </c>
      <c r="R482" s="9">
        <v>45264</v>
      </c>
      <c r="S482" s="8" t="s">
        <v>308</v>
      </c>
      <c r="T482" s="8" t="s">
        <v>44</v>
      </c>
      <c r="U482" s="8" t="s">
        <v>309</v>
      </c>
      <c r="V482" s="8" t="s">
        <v>46</v>
      </c>
      <c r="W482" s="8">
        <v>0</v>
      </c>
    </row>
    <row r="483" spans="1:23" x14ac:dyDescent="0.25">
      <c r="A483" s="4">
        <v>1</v>
      </c>
      <c r="B483" s="4"/>
      <c r="C483" s="4">
        <v>885829</v>
      </c>
      <c r="D483" s="4">
        <v>5053</v>
      </c>
      <c r="E483" s="5">
        <f t="shared" si="7"/>
        <v>0</v>
      </c>
      <c r="F483" s="15">
        <v>45268</v>
      </c>
      <c r="G483" s="10">
        <v>330121047</v>
      </c>
      <c r="H483" s="9">
        <v>45264</v>
      </c>
      <c r="I483" s="9">
        <v>45279</v>
      </c>
      <c r="J483" s="8">
        <v>5053</v>
      </c>
      <c r="K483" s="8" t="s">
        <v>31</v>
      </c>
      <c r="L483" s="8" t="s">
        <v>32</v>
      </c>
      <c r="M483" s="8"/>
      <c r="N483" s="8" t="b">
        <v>0</v>
      </c>
      <c r="O483" s="10">
        <v>708129</v>
      </c>
      <c r="P483" s="8" t="s">
        <v>227</v>
      </c>
      <c r="Q483" s="8">
        <v>326116</v>
      </c>
      <c r="R483" s="9">
        <v>45264</v>
      </c>
      <c r="S483" s="8" t="s">
        <v>34</v>
      </c>
      <c r="T483" s="8" t="s">
        <v>40</v>
      </c>
      <c r="U483" s="8" t="s">
        <v>84</v>
      </c>
      <c r="V483" s="8" t="s">
        <v>46</v>
      </c>
      <c r="W483" s="8">
        <v>0</v>
      </c>
    </row>
    <row r="484" spans="1:23" x14ac:dyDescent="0.25">
      <c r="A484" s="4">
        <v>1</v>
      </c>
      <c r="B484" s="4"/>
      <c r="C484" s="4">
        <v>885830</v>
      </c>
      <c r="D484" s="4">
        <v>5053</v>
      </c>
      <c r="E484" s="5">
        <f t="shared" si="7"/>
        <v>0</v>
      </c>
      <c r="F484" s="15">
        <v>45268</v>
      </c>
      <c r="G484" s="10">
        <v>330121050</v>
      </c>
      <c r="H484" s="9">
        <v>45264</v>
      </c>
      <c r="I484" s="9">
        <v>45279</v>
      </c>
      <c r="J484" s="8">
        <v>5053</v>
      </c>
      <c r="K484" s="8" t="s">
        <v>31</v>
      </c>
      <c r="L484" s="8" t="s">
        <v>32</v>
      </c>
      <c r="M484" s="8"/>
      <c r="N484" s="8" t="b">
        <v>0</v>
      </c>
      <c r="O484" s="10">
        <v>708130</v>
      </c>
      <c r="P484" s="8" t="s">
        <v>228</v>
      </c>
      <c r="Q484" s="8">
        <v>326133</v>
      </c>
      <c r="R484" s="9">
        <v>45264</v>
      </c>
      <c r="S484" s="8" t="s">
        <v>34</v>
      </c>
      <c r="T484" s="8" t="s">
        <v>40</v>
      </c>
      <c r="U484" s="8" t="s">
        <v>84</v>
      </c>
      <c r="V484" s="8" t="s">
        <v>46</v>
      </c>
      <c r="W484" s="8">
        <v>0</v>
      </c>
    </row>
    <row r="485" spans="1:23" x14ac:dyDescent="0.25">
      <c r="A485" s="4">
        <v>1</v>
      </c>
      <c r="B485" s="4"/>
      <c r="C485" s="4">
        <v>885699</v>
      </c>
      <c r="D485" s="4">
        <v>7028.06</v>
      </c>
      <c r="E485" s="5">
        <f t="shared" si="7"/>
        <v>-6.0000000000400178E-2</v>
      </c>
      <c r="F485" s="9">
        <v>45271</v>
      </c>
      <c r="G485" s="10">
        <v>330121086</v>
      </c>
      <c r="H485" s="9">
        <v>45264</v>
      </c>
      <c r="I485" s="9">
        <v>45279</v>
      </c>
      <c r="J485" s="8">
        <v>7028</v>
      </c>
      <c r="K485" s="8" t="s">
        <v>31</v>
      </c>
      <c r="L485" s="8" t="s">
        <v>32</v>
      </c>
      <c r="M485" s="8"/>
      <c r="N485" s="8" t="b">
        <v>0</v>
      </c>
      <c r="O485" s="10">
        <v>21105</v>
      </c>
      <c r="P485" s="8" t="s">
        <v>63</v>
      </c>
      <c r="Q485" s="8">
        <v>326107</v>
      </c>
      <c r="R485" s="9">
        <v>45264</v>
      </c>
      <c r="S485" s="8" t="s">
        <v>39</v>
      </c>
      <c r="T485" s="8" t="s">
        <v>40</v>
      </c>
      <c r="U485" s="8" t="s">
        <v>41</v>
      </c>
      <c r="V485" s="8" t="s">
        <v>42</v>
      </c>
      <c r="W485" s="8">
        <v>0</v>
      </c>
    </row>
    <row r="486" spans="1:23" x14ac:dyDescent="0.25">
      <c r="A486" s="4">
        <v>1</v>
      </c>
      <c r="B486" s="4"/>
      <c r="C486" s="4">
        <v>885698</v>
      </c>
      <c r="D486" s="4">
        <v>7028.06</v>
      </c>
      <c r="E486" s="5">
        <f t="shared" si="7"/>
        <v>-6.0000000000400178E-2</v>
      </c>
      <c r="F486" s="9">
        <v>45271</v>
      </c>
      <c r="G486" s="10">
        <v>330121100</v>
      </c>
      <c r="H486" s="9">
        <v>45264</v>
      </c>
      <c r="I486" s="9">
        <v>45279</v>
      </c>
      <c r="J486" s="8">
        <v>7028</v>
      </c>
      <c r="K486" s="8" t="s">
        <v>31</v>
      </c>
      <c r="L486" s="8" t="s">
        <v>32</v>
      </c>
      <c r="M486" s="8"/>
      <c r="N486" s="8" t="b">
        <v>0</v>
      </c>
      <c r="O486" s="10">
        <v>21106</v>
      </c>
      <c r="P486" s="8" t="s">
        <v>335</v>
      </c>
      <c r="Q486" s="8">
        <v>326109</v>
      </c>
      <c r="R486" s="9">
        <v>45264</v>
      </c>
      <c r="S486" s="8" t="s">
        <v>39</v>
      </c>
      <c r="T486" s="8" t="s">
        <v>40</v>
      </c>
      <c r="U486" s="8" t="s">
        <v>41</v>
      </c>
      <c r="V486" s="8" t="s">
        <v>42</v>
      </c>
      <c r="W486" s="8">
        <v>0</v>
      </c>
    </row>
    <row r="487" spans="1:23" x14ac:dyDescent="0.25">
      <c r="A487" s="4">
        <v>1</v>
      </c>
      <c r="B487" s="4"/>
      <c r="C487" s="4">
        <v>885700</v>
      </c>
      <c r="D487" s="4">
        <v>7028.06</v>
      </c>
      <c r="E487" s="5">
        <f t="shared" si="7"/>
        <v>-6.0000000000400178E-2</v>
      </c>
      <c r="F487" s="9">
        <v>45271</v>
      </c>
      <c r="G487" s="10">
        <v>330121159</v>
      </c>
      <c r="H487" s="9">
        <v>45264</v>
      </c>
      <c r="I487" s="9">
        <v>45279</v>
      </c>
      <c r="J487" s="8">
        <v>7028</v>
      </c>
      <c r="K487" s="8" t="s">
        <v>31</v>
      </c>
      <c r="L487" s="8" t="s">
        <v>32</v>
      </c>
      <c r="M487" s="8"/>
      <c r="N487" s="8" t="b">
        <v>0</v>
      </c>
      <c r="O487" s="10">
        <v>21104</v>
      </c>
      <c r="P487" s="8" t="s">
        <v>336</v>
      </c>
      <c r="Q487" s="8">
        <v>326096</v>
      </c>
      <c r="R487" s="9">
        <v>45264</v>
      </c>
      <c r="S487" s="8" t="s">
        <v>39</v>
      </c>
      <c r="T487" s="8" t="s">
        <v>40</v>
      </c>
      <c r="U487" s="8" t="s">
        <v>41</v>
      </c>
      <c r="V487" s="8" t="s">
        <v>42</v>
      </c>
      <c r="W487" s="8">
        <v>0</v>
      </c>
    </row>
    <row r="488" spans="1:23" x14ac:dyDescent="0.25">
      <c r="A488" s="4">
        <v>1</v>
      </c>
      <c r="B488" s="4"/>
      <c r="C488" s="4">
        <v>885831</v>
      </c>
      <c r="D488" s="4">
        <v>5193.6899999999996</v>
      </c>
      <c r="E488" s="5">
        <f t="shared" si="7"/>
        <v>0.31000000000040018</v>
      </c>
      <c r="F488" s="9">
        <v>45271</v>
      </c>
      <c r="G488" s="10">
        <v>330123029</v>
      </c>
      <c r="H488" s="9">
        <v>45264</v>
      </c>
      <c r="I488" s="9">
        <v>45279</v>
      </c>
      <c r="J488" s="8">
        <v>5194</v>
      </c>
      <c r="K488" s="8" t="s">
        <v>31</v>
      </c>
      <c r="L488" s="8" t="s">
        <v>32</v>
      </c>
      <c r="M488" s="8"/>
      <c r="N488" s="8" t="b">
        <v>0</v>
      </c>
      <c r="O488" s="10">
        <v>708248</v>
      </c>
      <c r="P488" s="8" t="s">
        <v>206</v>
      </c>
      <c r="Q488" s="8">
        <v>328055</v>
      </c>
      <c r="R488" s="9">
        <v>45264</v>
      </c>
      <c r="S488" s="8" t="s">
        <v>34</v>
      </c>
      <c r="T488" s="8" t="s">
        <v>40</v>
      </c>
      <c r="U488" s="8" t="s">
        <v>58</v>
      </c>
      <c r="V488" s="8" t="s">
        <v>46</v>
      </c>
      <c r="W488" s="8">
        <v>0</v>
      </c>
    </row>
    <row r="489" spans="1:23" x14ac:dyDescent="0.25">
      <c r="A489" s="4">
        <v>1</v>
      </c>
      <c r="B489" s="4"/>
      <c r="C489" s="4">
        <v>885697</v>
      </c>
      <c r="D489" s="4">
        <v>7028.06</v>
      </c>
      <c r="E489" s="5">
        <f t="shared" si="7"/>
        <v>-6.0000000000400178E-2</v>
      </c>
      <c r="F489" s="9">
        <v>45271</v>
      </c>
      <c r="G489" s="10">
        <v>330124754</v>
      </c>
      <c r="H489" s="9">
        <v>45264</v>
      </c>
      <c r="I489" s="9">
        <v>45279</v>
      </c>
      <c r="J489" s="8">
        <v>7028</v>
      </c>
      <c r="K489" s="8" t="s">
        <v>31</v>
      </c>
      <c r="L489" s="8" t="s">
        <v>32</v>
      </c>
      <c r="M489" s="8"/>
      <c r="N489" s="8" t="b">
        <v>0</v>
      </c>
      <c r="O489" s="10">
        <v>21107</v>
      </c>
      <c r="P489" s="8" t="s">
        <v>59</v>
      </c>
      <c r="Q489" s="8">
        <v>329590</v>
      </c>
      <c r="R489" s="9">
        <v>45264</v>
      </c>
      <c r="S489" s="8" t="s">
        <v>39</v>
      </c>
      <c r="T489" s="8" t="s">
        <v>40</v>
      </c>
      <c r="U489" s="8" t="s">
        <v>41</v>
      </c>
      <c r="V489" s="8" t="s">
        <v>42</v>
      </c>
      <c r="W489" s="8">
        <v>0</v>
      </c>
    </row>
    <row r="490" spans="1:23" x14ac:dyDescent="0.25">
      <c r="A490" s="4">
        <v>1</v>
      </c>
      <c r="B490" s="4"/>
      <c r="C490" s="4">
        <v>885694</v>
      </c>
      <c r="D490" s="4">
        <v>7837.52</v>
      </c>
      <c r="E490" s="5">
        <f t="shared" si="7"/>
        <v>0.47999999999956344</v>
      </c>
      <c r="F490" s="9">
        <v>45271</v>
      </c>
      <c r="G490" s="10">
        <v>330135062</v>
      </c>
      <c r="H490" s="9">
        <v>45265</v>
      </c>
      <c r="I490" s="9">
        <v>45280</v>
      </c>
      <c r="J490" s="8">
        <v>7838</v>
      </c>
      <c r="K490" s="8" t="s">
        <v>31</v>
      </c>
      <c r="L490" s="8" t="s">
        <v>32</v>
      </c>
      <c r="M490" s="8"/>
      <c r="N490" s="8" t="b">
        <v>0</v>
      </c>
      <c r="O490" s="10">
        <v>21115</v>
      </c>
      <c r="P490" s="8" t="s">
        <v>136</v>
      </c>
      <c r="Q490" s="8">
        <v>336181</v>
      </c>
      <c r="R490" s="9">
        <v>45265</v>
      </c>
      <c r="S490" s="8" t="s">
        <v>318</v>
      </c>
      <c r="T490" s="8" t="s">
        <v>40</v>
      </c>
      <c r="U490" s="8" t="s">
        <v>319</v>
      </c>
      <c r="V490" s="8" t="s">
        <v>320</v>
      </c>
      <c r="W490" s="8">
        <v>0</v>
      </c>
    </row>
    <row r="491" spans="1:23" x14ac:dyDescent="0.25">
      <c r="A491" s="4">
        <v>1</v>
      </c>
      <c r="B491" s="4"/>
      <c r="C491" s="28">
        <v>885696</v>
      </c>
      <c r="D491" s="4">
        <v>5223.49</v>
      </c>
      <c r="E491" s="5">
        <f t="shared" si="7"/>
        <v>-0.48999999999978172</v>
      </c>
      <c r="F491" s="9">
        <v>45271</v>
      </c>
      <c r="G491" s="29">
        <v>330135077</v>
      </c>
      <c r="H491" s="9">
        <v>45265</v>
      </c>
      <c r="I491" s="9">
        <v>45280</v>
      </c>
      <c r="J491" s="8">
        <v>5223</v>
      </c>
      <c r="K491" s="8" t="s">
        <v>31</v>
      </c>
      <c r="L491" s="8" t="s">
        <v>32</v>
      </c>
      <c r="M491" s="8"/>
      <c r="N491" s="8" t="b">
        <v>0</v>
      </c>
      <c r="O491" s="29">
        <v>21098</v>
      </c>
      <c r="P491" s="30" t="s">
        <v>61</v>
      </c>
      <c r="Q491" s="8">
        <v>336153</v>
      </c>
      <c r="R491" s="9">
        <v>45265</v>
      </c>
      <c r="S491" s="8" t="s">
        <v>48</v>
      </c>
      <c r="T491" s="8" t="s">
        <v>40</v>
      </c>
      <c r="U491" s="8" t="s">
        <v>163</v>
      </c>
      <c r="V491" s="8" t="s">
        <v>46</v>
      </c>
      <c r="W491" s="8">
        <v>0</v>
      </c>
    </row>
    <row r="492" spans="1:23" x14ac:dyDescent="0.25">
      <c r="A492" s="4">
        <v>1</v>
      </c>
      <c r="B492" s="4"/>
      <c r="C492" s="4">
        <v>885695</v>
      </c>
      <c r="D492" s="4">
        <v>7837.52</v>
      </c>
      <c r="E492" s="5">
        <f t="shared" si="7"/>
        <v>0.47999999999956344</v>
      </c>
      <c r="F492" s="9">
        <v>45271</v>
      </c>
      <c r="G492" s="10">
        <v>330135146</v>
      </c>
      <c r="H492" s="9">
        <v>45265</v>
      </c>
      <c r="I492" s="9">
        <v>45280</v>
      </c>
      <c r="J492" s="8">
        <v>7838</v>
      </c>
      <c r="K492" s="8" t="s">
        <v>31</v>
      </c>
      <c r="L492" s="8" t="s">
        <v>32</v>
      </c>
      <c r="M492" s="8"/>
      <c r="N492" s="8" t="b">
        <v>0</v>
      </c>
      <c r="O492" s="10">
        <v>21114</v>
      </c>
      <c r="P492" s="8" t="s">
        <v>137</v>
      </c>
      <c r="Q492" s="8">
        <v>336161</v>
      </c>
      <c r="R492" s="9">
        <v>45265</v>
      </c>
      <c r="S492" s="8" t="s">
        <v>318</v>
      </c>
      <c r="T492" s="8" t="s">
        <v>40</v>
      </c>
      <c r="U492" s="8" t="s">
        <v>319</v>
      </c>
      <c r="V492" s="8" t="s">
        <v>320</v>
      </c>
      <c r="W492" s="8">
        <v>0</v>
      </c>
    </row>
    <row r="493" spans="1:23" x14ac:dyDescent="0.25">
      <c r="A493" s="4">
        <v>1</v>
      </c>
      <c r="B493" s="4"/>
      <c r="C493" s="4">
        <v>886056</v>
      </c>
      <c r="D493" s="4">
        <v>5166.74</v>
      </c>
      <c r="E493" s="5">
        <f t="shared" si="7"/>
        <v>0.26000000000021828</v>
      </c>
      <c r="F493" s="9">
        <v>45271</v>
      </c>
      <c r="G493" s="10">
        <v>330138624</v>
      </c>
      <c r="H493" s="9">
        <v>45265</v>
      </c>
      <c r="I493" s="9">
        <v>45280</v>
      </c>
      <c r="J493" s="8">
        <v>5167</v>
      </c>
      <c r="K493" s="8" t="s">
        <v>31</v>
      </c>
      <c r="L493" s="8" t="s">
        <v>32</v>
      </c>
      <c r="M493" s="8"/>
      <c r="N493" s="8" t="b">
        <v>0</v>
      </c>
      <c r="O493" s="10">
        <v>702412</v>
      </c>
      <c r="P493" s="8" t="s">
        <v>299</v>
      </c>
      <c r="Q493" s="8">
        <v>340152</v>
      </c>
      <c r="R493" s="9">
        <v>45265</v>
      </c>
      <c r="S493" s="8" t="s">
        <v>180</v>
      </c>
      <c r="T493" s="8" t="s">
        <v>44</v>
      </c>
      <c r="U493" s="8" t="s">
        <v>45</v>
      </c>
      <c r="V493" s="8" t="s">
        <v>46</v>
      </c>
      <c r="W493" s="8">
        <v>0</v>
      </c>
    </row>
    <row r="494" spans="1:23" x14ac:dyDescent="0.25">
      <c r="A494" s="4">
        <v>1</v>
      </c>
      <c r="B494" s="4"/>
      <c r="C494" s="4">
        <v>886060</v>
      </c>
      <c r="D494" s="4">
        <v>5053</v>
      </c>
      <c r="E494" s="5">
        <f t="shared" si="7"/>
        <v>0</v>
      </c>
      <c r="F494" s="9">
        <v>45271</v>
      </c>
      <c r="G494" s="10">
        <v>330138630</v>
      </c>
      <c r="H494" s="9">
        <v>45265</v>
      </c>
      <c r="I494" s="9">
        <v>45280</v>
      </c>
      <c r="J494" s="8">
        <v>5053</v>
      </c>
      <c r="K494" s="8" t="s">
        <v>31</v>
      </c>
      <c r="L494" s="8" t="s">
        <v>32</v>
      </c>
      <c r="M494" s="8"/>
      <c r="N494" s="8" t="b">
        <v>0</v>
      </c>
      <c r="O494" s="10">
        <v>708131</v>
      </c>
      <c r="P494" s="8" t="s">
        <v>272</v>
      </c>
      <c r="Q494" s="8">
        <v>340226</v>
      </c>
      <c r="R494" s="9">
        <v>45265</v>
      </c>
      <c r="S494" s="8" t="s">
        <v>34</v>
      </c>
      <c r="T494" s="8" t="s">
        <v>40</v>
      </c>
      <c r="U494" s="8" t="s">
        <v>84</v>
      </c>
      <c r="V494" s="8" t="s">
        <v>46</v>
      </c>
      <c r="W494" s="8">
        <v>0</v>
      </c>
    </row>
    <row r="495" spans="1:23" x14ac:dyDescent="0.25">
      <c r="A495" s="4">
        <v>1</v>
      </c>
      <c r="B495" s="4"/>
      <c r="C495" s="4">
        <v>886070</v>
      </c>
      <c r="D495" s="4">
        <v>5164.29</v>
      </c>
      <c r="E495" s="5">
        <f t="shared" si="7"/>
        <v>-0.28999999999996362</v>
      </c>
      <c r="F495" s="9">
        <v>45271</v>
      </c>
      <c r="G495" s="10">
        <v>330138645</v>
      </c>
      <c r="H495" s="9">
        <v>45265</v>
      </c>
      <c r="I495" s="9">
        <v>45280</v>
      </c>
      <c r="J495" s="8">
        <v>5164</v>
      </c>
      <c r="K495" s="8" t="s">
        <v>31</v>
      </c>
      <c r="L495" s="8" t="s">
        <v>32</v>
      </c>
      <c r="M495" s="8"/>
      <c r="N495" s="8" t="b">
        <v>0</v>
      </c>
      <c r="O495" s="10">
        <v>706740</v>
      </c>
      <c r="P495" s="8" t="s">
        <v>298</v>
      </c>
      <c r="Q495" s="8">
        <v>340186</v>
      </c>
      <c r="R495" s="9">
        <v>45265</v>
      </c>
      <c r="S495" s="8" t="s">
        <v>34</v>
      </c>
      <c r="T495" s="8" t="s">
        <v>44</v>
      </c>
      <c r="U495" s="8" t="s">
        <v>58</v>
      </c>
      <c r="V495" s="8" t="s">
        <v>46</v>
      </c>
      <c r="W495" s="8">
        <v>0</v>
      </c>
    </row>
    <row r="496" spans="1:23" x14ac:dyDescent="0.25">
      <c r="A496" s="4">
        <v>1</v>
      </c>
      <c r="B496" s="4"/>
      <c r="C496" s="4">
        <v>886071</v>
      </c>
      <c r="D496" s="4">
        <v>5164.29</v>
      </c>
      <c r="E496" s="5">
        <f t="shared" si="7"/>
        <v>-0.28999999999996362</v>
      </c>
      <c r="F496" s="9">
        <v>45271</v>
      </c>
      <c r="G496" s="10">
        <v>330138655</v>
      </c>
      <c r="H496" s="9">
        <v>45265</v>
      </c>
      <c r="I496" s="9">
        <v>45280</v>
      </c>
      <c r="J496" s="8">
        <v>5164</v>
      </c>
      <c r="K496" s="8" t="s">
        <v>31</v>
      </c>
      <c r="L496" s="8" t="s">
        <v>32</v>
      </c>
      <c r="M496" s="8"/>
      <c r="N496" s="8" t="b">
        <v>0</v>
      </c>
      <c r="O496" s="10">
        <v>706737</v>
      </c>
      <c r="P496" s="8" t="s">
        <v>222</v>
      </c>
      <c r="Q496" s="8">
        <v>340165</v>
      </c>
      <c r="R496" s="9">
        <v>45265</v>
      </c>
      <c r="S496" s="8" t="s">
        <v>34</v>
      </c>
      <c r="T496" s="8" t="s">
        <v>44</v>
      </c>
      <c r="U496" s="8" t="s">
        <v>58</v>
      </c>
      <c r="V496" s="8" t="s">
        <v>46</v>
      </c>
      <c r="W496" s="8">
        <v>0</v>
      </c>
    </row>
    <row r="497" spans="1:23" x14ac:dyDescent="0.25">
      <c r="A497" s="4">
        <v>1</v>
      </c>
      <c r="B497" s="4"/>
      <c r="C497" s="4">
        <v>886073</v>
      </c>
      <c r="D497" s="4">
        <v>5164.29</v>
      </c>
      <c r="E497" s="5">
        <f t="shared" si="7"/>
        <v>-0.28999999999996362</v>
      </c>
      <c r="F497" s="9">
        <v>45271</v>
      </c>
      <c r="G497" s="10">
        <v>330138684</v>
      </c>
      <c r="H497" s="9">
        <v>45265</v>
      </c>
      <c r="I497" s="9">
        <v>45280</v>
      </c>
      <c r="J497" s="8">
        <v>5164</v>
      </c>
      <c r="K497" s="8" t="s">
        <v>31</v>
      </c>
      <c r="L497" s="8" t="s">
        <v>32</v>
      </c>
      <c r="M497" s="8"/>
      <c r="N497" s="8" t="b">
        <v>0</v>
      </c>
      <c r="O497" s="10">
        <v>706736</v>
      </c>
      <c r="P497" s="8" t="s">
        <v>210</v>
      </c>
      <c r="Q497" s="8">
        <v>340157</v>
      </c>
      <c r="R497" s="9">
        <v>45265</v>
      </c>
      <c r="S497" s="8" t="s">
        <v>34</v>
      </c>
      <c r="T497" s="8" t="s">
        <v>44</v>
      </c>
      <c r="U497" s="8" t="s">
        <v>58</v>
      </c>
      <c r="V497" s="8" t="s">
        <v>46</v>
      </c>
      <c r="W497" s="8">
        <v>0</v>
      </c>
    </row>
    <row r="498" spans="1:23" x14ac:dyDescent="0.25">
      <c r="A498" s="4">
        <v>1</v>
      </c>
      <c r="B498" s="4"/>
      <c r="C498" s="4">
        <v>886076</v>
      </c>
      <c r="D498" s="4">
        <v>5164.29</v>
      </c>
      <c r="E498" s="5">
        <f t="shared" si="7"/>
        <v>-0.28999999999996362</v>
      </c>
      <c r="F498" s="9">
        <v>45271</v>
      </c>
      <c r="G498" s="10">
        <v>330138726</v>
      </c>
      <c r="H498" s="9">
        <v>45265</v>
      </c>
      <c r="I498" s="9">
        <v>45280</v>
      </c>
      <c r="J498" s="8">
        <v>5164</v>
      </c>
      <c r="K498" s="8" t="s">
        <v>31</v>
      </c>
      <c r="L498" s="8" t="s">
        <v>32</v>
      </c>
      <c r="M498" s="8"/>
      <c r="N498" s="8" t="b">
        <v>0</v>
      </c>
      <c r="O498" s="10">
        <v>706739</v>
      </c>
      <c r="P498" s="8" t="s">
        <v>54</v>
      </c>
      <c r="Q498" s="8">
        <v>340175</v>
      </c>
      <c r="R498" s="9">
        <v>45265</v>
      </c>
      <c r="S498" s="8" t="s">
        <v>34</v>
      </c>
      <c r="T498" s="8" t="s">
        <v>44</v>
      </c>
      <c r="U498" s="8" t="s">
        <v>58</v>
      </c>
      <c r="V498" s="8" t="s">
        <v>46</v>
      </c>
      <c r="W498" s="8">
        <v>0</v>
      </c>
    </row>
    <row r="499" spans="1:23" x14ac:dyDescent="0.25">
      <c r="A499" s="4">
        <v>1</v>
      </c>
      <c r="B499" s="4"/>
      <c r="C499" s="4" t="s">
        <v>337</v>
      </c>
      <c r="D499" s="4">
        <f>6559+573.5</f>
        <v>7132.5</v>
      </c>
      <c r="E499" s="5">
        <f t="shared" si="7"/>
        <v>0.5</v>
      </c>
      <c r="F499" s="9">
        <v>45271</v>
      </c>
      <c r="G499" s="10">
        <v>330140682</v>
      </c>
      <c r="H499" s="9">
        <v>45265</v>
      </c>
      <c r="I499" s="9">
        <v>45280</v>
      </c>
      <c r="J499" s="8">
        <v>7133</v>
      </c>
      <c r="K499" s="8" t="s">
        <v>31</v>
      </c>
      <c r="L499" s="8" t="s">
        <v>32</v>
      </c>
      <c r="M499" s="8"/>
      <c r="N499" s="8" t="b">
        <v>0</v>
      </c>
      <c r="O499" s="10"/>
      <c r="P499" s="8" t="s">
        <v>338</v>
      </c>
      <c r="Q499" s="8">
        <v>189051</v>
      </c>
      <c r="R499" s="9">
        <v>45252</v>
      </c>
      <c r="S499" s="8" t="s">
        <v>339</v>
      </c>
      <c r="T499" s="8" t="s">
        <v>49</v>
      </c>
      <c r="U499" s="8" t="s">
        <v>340</v>
      </c>
      <c r="V499" s="8" t="s">
        <v>341</v>
      </c>
      <c r="W499" s="8">
        <v>0</v>
      </c>
    </row>
    <row r="500" spans="1:23" x14ac:dyDescent="0.25">
      <c r="A500" s="4">
        <v>1</v>
      </c>
      <c r="B500" s="4"/>
      <c r="C500" s="4">
        <v>886029</v>
      </c>
      <c r="D500" s="4">
        <v>6997.68</v>
      </c>
      <c r="E500" s="5">
        <f t="shared" si="7"/>
        <v>1.319999999999709</v>
      </c>
      <c r="F500" s="9">
        <v>45271</v>
      </c>
      <c r="G500" s="10">
        <v>330147104</v>
      </c>
      <c r="H500" s="9">
        <v>45265</v>
      </c>
      <c r="I500" s="9">
        <v>45280</v>
      </c>
      <c r="J500" s="8">
        <v>6999</v>
      </c>
      <c r="K500" s="8" t="s">
        <v>31</v>
      </c>
      <c r="L500" s="8" t="s">
        <v>32</v>
      </c>
      <c r="M500" s="8"/>
      <c r="N500" s="8" t="b">
        <v>0</v>
      </c>
      <c r="O500" s="10">
        <v>21119</v>
      </c>
      <c r="P500" s="8" t="s">
        <v>159</v>
      </c>
      <c r="Q500" s="8">
        <v>347336</v>
      </c>
      <c r="R500" s="9">
        <v>45265</v>
      </c>
      <c r="S500" s="8" t="s">
        <v>39</v>
      </c>
      <c r="T500" s="8" t="s">
        <v>44</v>
      </c>
      <c r="U500" s="8" t="s">
        <v>41</v>
      </c>
      <c r="V500" s="8" t="s">
        <v>42</v>
      </c>
      <c r="W500" s="8">
        <v>0</v>
      </c>
    </row>
    <row r="501" spans="1:23" x14ac:dyDescent="0.25">
      <c r="A501" s="4"/>
      <c r="B501" s="4"/>
      <c r="C501" s="4">
        <v>886067</v>
      </c>
      <c r="D501" s="4">
        <v>92198.399999999994</v>
      </c>
      <c r="E501" s="5">
        <f t="shared" si="7"/>
        <v>-8.3999999999941792</v>
      </c>
      <c r="F501" s="9">
        <v>45279</v>
      </c>
      <c r="G501" s="10">
        <v>330159973</v>
      </c>
      <c r="H501" s="9">
        <v>45266</v>
      </c>
      <c r="I501" s="9">
        <v>45281</v>
      </c>
      <c r="J501" s="8">
        <v>92190</v>
      </c>
      <c r="K501" s="8" t="s">
        <v>31</v>
      </c>
      <c r="L501" s="8" t="s">
        <v>32</v>
      </c>
      <c r="M501" s="8"/>
      <c r="N501" s="8" t="b">
        <v>0</v>
      </c>
      <c r="O501" s="10">
        <v>708622</v>
      </c>
      <c r="P501" s="8" t="s">
        <v>342</v>
      </c>
      <c r="Q501" s="8">
        <v>356900</v>
      </c>
      <c r="R501" s="9">
        <v>45266</v>
      </c>
      <c r="S501" s="8" t="s">
        <v>34</v>
      </c>
      <c r="T501" s="8" t="s">
        <v>49</v>
      </c>
      <c r="U501" s="8" t="s">
        <v>75</v>
      </c>
      <c r="V501" s="8" t="s">
        <v>46</v>
      </c>
      <c r="W501" s="8">
        <v>0</v>
      </c>
    </row>
    <row r="502" spans="1:23" x14ac:dyDescent="0.25">
      <c r="A502" s="4">
        <v>2</v>
      </c>
      <c r="B502" s="4" t="s">
        <v>343</v>
      </c>
      <c r="C502" s="4"/>
      <c r="D502" s="4"/>
      <c r="E502" s="5">
        <f t="shared" si="7"/>
        <v>6322</v>
      </c>
      <c r="F502" s="9">
        <v>45279</v>
      </c>
      <c r="G502" s="10">
        <v>330200788</v>
      </c>
      <c r="H502" s="9">
        <v>45268</v>
      </c>
      <c r="I502" s="9">
        <v>45283</v>
      </c>
      <c r="J502" s="8">
        <v>6322</v>
      </c>
      <c r="K502" s="8" t="s">
        <v>31</v>
      </c>
      <c r="L502" s="8" t="s">
        <v>32</v>
      </c>
      <c r="M502" s="8"/>
      <c r="N502" s="8" t="b">
        <v>0</v>
      </c>
      <c r="O502" s="10"/>
      <c r="P502" s="8" t="s">
        <v>344</v>
      </c>
      <c r="Q502" s="8">
        <v>386768</v>
      </c>
      <c r="R502" s="9">
        <v>45267</v>
      </c>
      <c r="S502" s="8" t="s">
        <v>48</v>
      </c>
      <c r="T502" s="8" t="s">
        <v>49</v>
      </c>
      <c r="U502" s="8" t="s">
        <v>50</v>
      </c>
      <c r="V502" s="8" t="s">
        <v>37</v>
      </c>
      <c r="W502" s="8">
        <v>0</v>
      </c>
    </row>
    <row r="503" spans="1:23" x14ac:dyDescent="0.25">
      <c r="A503" s="4"/>
      <c r="B503" s="4"/>
      <c r="C503" s="4">
        <v>886670</v>
      </c>
      <c r="D503" s="4">
        <v>5053</v>
      </c>
      <c r="E503" s="5">
        <f t="shared" si="7"/>
        <v>0</v>
      </c>
      <c r="F503" s="9">
        <v>45279</v>
      </c>
      <c r="G503" s="10">
        <v>330202004</v>
      </c>
      <c r="H503" s="9">
        <v>45268</v>
      </c>
      <c r="I503" s="9">
        <v>45283</v>
      </c>
      <c r="J503" s="8">
        <v>5053</v>
      </c>
      <c r="K503" s="8" t="s">
        <v>31</v>
      </c>
      <c r="L503" s="8" t="s">
        <v>32</v>
      </c>
      <c r="M503" s="8"/>
      <c r="N503" s="8" t="b">
        <v>0</v>
      </c>
      <c r="O503" s="10">
        <v>708132</v>
      </c>
      <c r="P503" s="8" t="s">
        <v>99</v>
      </c>
      <c r="Q503" s="8">
        <v>389343</v>
      </c>
      <c r="R503" s="9">
        <v>45268</v>
      </c>
      <c r="S503" s="8" t="s">
        <v>34</v>
      </c>
      <c r="T503" s="8" t="s">
        <v>40</v>
      </c>
      <c r="U503" s="8" t="s">
        <v>84</v>
      </c>
      <c r="V503" s="8" t="s">
        <v>46</v>
      </c>
      <c r="W503" s="8">
        <v>0</v>
      </c>
    </row>
    <row r="504" spans="1:23" x14ac:dyDescent="0.25">
      <c r="A504" s="4"/>
      <c r="B504" s="4"/>
      <c r="C504" s="4">
        <v>886350</v>
      </c>
      <c r="D504" s="4">
        <v>9320.2199999999993</v>
      </c>
      <c r="E504" s="5">
        <f t="shared" si="7"/>
        <v>0.78000000000065484</v>
      </c>
      <c r="F504" s="9">
        <v>45279</v>
      </c>
      <c r="G504" s="10">
        <v>330202037</v>
      </c>
      <c r="H504" s="9">
        <v>45268</v>
      </c>
      <c r="I504" s="9">
        <v>45283</v>
      </c>
      <c r="J504" s="8">
        <v>9321</v>
      </c>
      <c r="K504" s="8" t="s">
        <v>31</v>
      </c>
      <c r="L504" s="8" t="s">
        <v>32</v>
      </c>
      <c r="M504" s="8"/>
      <c r="N504" s="8" t="b">
        <v>0</v>
      </c>
      <c r="O504" s="10">
        <v>705916</v>
      </c>
      <c r="P504" s="8" t="s">
        <v>195</v>
      </c>
      <c r="Q504" s="8">
        <v>389336</v>
      </c>
      <c r="R504" s="9">
        <v>45268</v>
      </c>
      <c r="S504" s="8" t="s">
        <v>130</v>
      </c>
      <c r="T504" s="8" t="s">
        <v>40</v>
      </c>
      <c r="U504" s="8" t="s">
        <v>131</v>
      </c>
      <c r="V504" s="8" t="s">
        <v>132</v>
      </c>
      <c r="W504" s="8">
        <v>0</v>
      </c>
    </row>
    <row r="505" spans="1:23" x14ac:dyDescent="0.25">
      <c r="A505" s="4"/>
      <c r="B505" s="4"/>
      <c r="C505" s="4">
        <v>886668</v>
      </c>
      <c r="D505" s="4">
        <v>5053</v>
      </c>
      <c r="E505" s="5">
        <f t="shared" si="7"/>
        <v>0</v>
      </c>
      <c r="F505" s="9">
        <v>45279</v>
      </c>
      <c r="G505" s="10">
        <v>330202138</v>
      </c>
      <c r="H505" s="9">
        <v>45268</v>
      </c>
      <c r="I505" s="9">
        <v>45283</v>
      </c>
      <c r="J505" s="8">
        <v>5053</v>
      </c>
      <c r="K505" s="8" t="s">
        <v>31</v>
      </c>
      <c r="L505" s="8" t="s">
        <v>32</v>
      </c>
      <c r="M505" s="8"/>
      <c r="N505" s="8" t="b">
        <v>0</v>
      </c>
      <c r="O505" s="10">
        <v>708133</v>
      </c>
      <c r="P505" s="8" t="s">
        <v>213</v>
      </c>
      <c r="Q505" s="8">
        <v>389361</v>
      </c>
      <c r="R505" s="9">
        <v>45268</v>
      </c>
      <c r="S505" s="8" t="s">
        <v>34</v>
      </c>
      <c r="T505" s="8" t="s">
        <v>40</v>
      </c>
      <c r="U505" s="8" t="s">
        <v>84</v>
      </c>
      <c r="V505" s="8" t="s">
        <v>46</v>
      </c>
      <c r="W505" s="8">
        <v>0</v>
      </c>
    </row>
    <row r="506" spans="1:23" x14ac:dyDescent="0.25">
      <c r="A506" s="4"/>
      <c r="B506" s="4"/>
      <c r="C506" s="4">
        <v>886662</v>
      </c>
      <c r="D506" s="4">
        <v>5164.29</v>
      </c>
      <c r="E506" s="5">
        <f t="shared" si="7"/>
        <v>-0.28999999999996362</v>
      </c>
      <c r="F506" s="9">
        <v>45279</v>
      </c>
      <c r="G506" s="10">
        <v>330209853</v>
      </c>
      <c r="H506" s="9">
        <v>45268</v>
      </c>
      <c r="I506" s="9">
        <v>45283</v>
      </c>
      <c r="J506" s="8">
        <v>5164</v>
      </c>
      <c r="K506" s="8" t="s">
        <v>31</v>
      </c>
      <c r="L506" s="8" t="s">
        <v>32</v>
      </c>
      <c r="M506" s="8"/>
      <c r="N506" s="8" t="b">
        <v>0</v>
      </c>
      <c r="O506" s="10">
        <v>708408</v>
      </c>
      <c r="P506" s="8" t="s">
        <v>303</v>
      </c>
      <c r="Q506" s="8">
        <v>396661</v>
      </c>
      <c r="R506" s="9">
        <v>45268</v>
      </c>
      <c r="S506" s="8" t="s">
        <v>34</v>
      </c>
      <c r="T506" s="8" t="s">
        <v>44</v>
      </c>
      <c r="U506" s="8" t="s">
        <v>58</v>
      </c>
      <c r="V506" s="8" t="s">
        <v>46</v>
      </c>
      <c r="W506" s="8">
        <v>0</v>
      </c>
    </row>
    <row r="507" spans="1:23" x14ac:dyDescent="0.25">
      <c r="A507" s="4"/>
      <c r="B507" s="4"/>
      <c r="C507" s="4">
        <v>886664</v>
      </c>
      <c r="D507" s="4">
        <v>5164.29</v>
      </c>
      <c r="E507" s="5">
        <f t="shared" si="7"/>
        <v>-0.28999999999996362</v>
      </c>
      <c r="F507" s="9">
        <v>45279</v>
      </c>
      <c r="G507" s="10">
        <v>330209880</v>
      </c>
      <c r="H507" s="9">
        <v>45268</v>
      </c>
      <c r="I507" s="9">
        <v>45283</v>
      </c>
      <c r="J507" s="8">
        <v>5164</v>
      </c>
      <c r="K507" s="8" t="s">
        <v>31</v>
      </c>
      <c r="L507" s="8" t="s">
        <v>32</v>
      </c>
      <c r="M507" s="8"/>
      <c r="N507" s="8" t="b">
        <v>0</v>
      </c>
      <c r="O507" s="10">
        <v>706738</v>
      </c>
      <c r="P507" s="8" t="s">
        <v>198</v>
      </c>
      <c r="Q507" s="8">
        <v>396514</v>
      </c>
      <c r="R507" s="9">
        <v>45268</v>
      </c>
      <c r="S507" s="8" t="s">
        <v>34</v>
      </c>
      <c r="T507" s="8" t="s">
        <v>44</v>
      </c>
      <c r="U507" s="8" t="s">
        <v>58</v>
      </c>
      <c r="V507" s="8" t="s">
        <v>46</v>
      </c>
      <c r="W507" s="8">
        <v>0</v>
      </c>
    </row>
    <row r="508" spans="1:23" x14ac:dyDescent="0.25">
      <c r="A508" s="4"/>
      <c r="B508" s="4"/>
      <c r="C508" s="4">
        <v>886666</v>
      </c>
      <c r="D508" s="4">
        <v>5164.29</v>
      </c>
      <c r="E508" s="5">
        <f t="shared" si="7"/>
        <v>-0.28999999999996362</v>
      </c>
      <c r="F508" s="9">
        <v>45279</v>
      </c>
      <c r="G508" s="10">
        <v>330209890</v>
      </c>
      <c r="H508" s="9">
        <v>45268</v>
      </c>
      <c r="I508" s="9">
        <v>45283</v>
      </c>
      <c r="J508" s="8">
        <v>5164</v>
      </c>
      <c r="K508" s="8" t="s">
        <v>31</v>
      </c>
      <c r="L508" s="8" t="s">
        <v>32</v>
      </c>
      <c r="M508" s="8"/>
      <c r="N508" s="8" t="b">
        <v>0</v>
      </c>
      <c r="O508" s="10">
        <v>706731</v>
      </c>
      <c r="P508" s="8" t="s">
        <v>120</v>
      </c>
      <c r="Q508" s="8">
        <v>396470</v>
      </c>
      <c r="R508" s="9">
        <v>45268</v>
      </c>
      <c r="S508" s="8" t="s">
        <v>34</v>
      </c>
      <c r="T508" s="8" t="s">
        <v>44</v>
      </c>
      <c r="U508" s="8" t="s">
        <v>58</v>
      </c>
      <c r="V508" s="8" t="s">
        <v>46</v>
      </c>
      <c r="W508" s="8">
        <v>0</v>
      </c>
    </row>
    <row r="509" spans="1:23" x14ac:dyDescent="0.25">
      <c r="A509" s="4"/>
      <c r="B509" s="4"/>
      <c r="C509" s="4">
        <v>886654</v>
      </c>
      <c r="D509" s="4">
        <v>5164.29</v>
      </c>
      <c r="E509" s="5">
        <f t="shared" si="7"/>
        <v>-0.28999999999996362</v>
      </c>
      <c r="F509" s="9">
        <v>45279</v>
      </c>
      <c r="G509" s="10">
        <v>330216288</v>
      </c>
      <c r="H509" s="9">
        <v>45271</v>
      </c>
      <c r="I509" s="9">
        <v>45286</v>
      </c>
      <c r="J509" s="8">
        <v>5164</v>
      </c>
      <c r="K509" s="8" t="s">
        <v>31</v>
      </c>
      <c r="L509" s="8" t="s">
        <v>32</v>
      </c>
      <c r="M509" s="8"/>
      <c r="N509" s="8" t="b">
        <v>0</v>
      </c>
      <c r="O509" s="10">
        <v>708413</v>
      </c>
      <c r="P509" s="8" t="s">
        <v>244</v>
      </c>
      <c r="Q509" s="8">
        <v>402662</v>
      </c>
      <c r="R509" s="9">
        <v>45268</v>
      </c>
      <c r="S509" s="8" t="s">
        <v>34</v>
      </c>
      <c r="T509" s="8" t="s">
        <v>44</v>
      </c>
      <c r="U509" s="8" t="s">
        <v>58</v>
      </c>
      <c r="V509" s="8" t="s">
        <v>46</v>
      </c>
      <c r="W509" s="8">
        <v>0</v>
      </c>
    </row>
    <row r="510" spans="1:23" x14ac:dyDescent="0.25">
      <c r="A510" s="4"/>
      <c r="B510" s="4"/>
      <c r="C510" s="4">
        <v>886658</v>
      </c>
      <c r="D510" s="4">
        <v>5164.29</v>
      </c>
      <c r="E510" s="5">
        <f t="shared" si="7"/>
        <v>-0.28999999999996362</v>
      </c>
      <c r="F510" s="9">
        <v>45279</v>
      </c>
      <c r="G510" s="10">
        <v>330216291</v>
      </c>
      <c r="H510" s="9">
        <v>45271</v>
      </c>
      <c r="I510" s="9">
        <v>45286</v>
      </c>
      <c r="J510" s="8">
        <v>5164</v>
      </c>
      <c r="K510" s="8" t="s">
        <v>31</v>
      </c>
      <c r="L510" s="8" t="s">
        <v>32</v>
      </c>
      <c r="M510" s="8"/>
      <c r="N510" s="8" t="b">
        <v>0</v>
      </c>
      <c r="O510" s="10">
        <v>708410</v>
      </c>
      <c r="P510" s="8" t="s">
        <v>274</v>
      </c>
      <c r="Q510" s="8">
        <v>402651</v>
      </c>
      <c r="R510" s="9">
        <v>45268</v>
      </c>
      <c r="S510" s="8" t="s">
        <v>34</v>
      </c>
      <c r="T510" s="8" t="s">
        <v>44</v>
      </c>
      <c r="U510" s="8" t="s">
        <v>58</v>
      </c>
      <c r="V510" s="8" t="s">
        <v>46</v>
      </c>
      <c r="W510" s="8">
        <v>0</v>
      </c>
    </row>
    <row r="511" spans="1:23" x14ac:dyDescent="0.25">
      <c r="A511" s="4"/>
      <c r="B511" s="4"/>
      <c r="C511" s="4">
        <v>886660</v>
      </c>
      <c r="D511" s="4">
        <v>5053</v>
      </c>
      <c r="E511" s="5">
        <f t="shared" si="7"/>
        <v>0</v>
      </c>
      <c r="F511" s="9">
        <v>45279</v>
      </c>
      <c r="G511" s="10">
        <v>330216294</v>
      </c>
      <c r="H511" s="9">
        <v>45271</v>
      </c>
      <c r="I511" s="9">
        <v>45286</v>
      </c>
      <c r="J511" s="8">
        <v>5053</v>
      </c>
      <c r="K511" s="8" t="s">
        <v>31</v>
      </c>
      <c r="L511" s="8" t="s">
        <v>32</v>
      </c>
      <c r="M511" s="8"/>
      <c r="N511" s="8" t="b">
        <v>0</v>
      </c>
      <c r="O511" s="10">
        <v>708134</v>
      </c>
      <c r="P511" s="8" t="s">
        <v>212</v>
      </c>
      <c r="Q511" s="8">
        <v>402621</v>
      </c>
      <c r="R511" s="9">
        <v>45268</v>
      </c>
      <c r="S511" s="8" t="s">
        <v>34</v>
      </c>
      <c r="T511" s="8" t="s">
        <v>40</v>
      </c>
      <c r="U511" s="8" t="s">
        <v>84</v>
      </c>
      <c r="V511" s="8" t="s">
        <v>46</v>
      </c>
      <c r="W511" s="8">
        <v>0</v>
      </c>
    </row>
    <row r="512" spans="1:23" x14ac:dyDescent="0.25">
      <c r="A512" s="4"/>
      <c r="B512" s="4"/>
      <c r="C512" s="4">
        <v>886656</v>
      </c>
      <c r="D512" s="4">
        <v>5164.29</v>
      </c>
      <c r="E512" s="5">
        <f t="shared" si="7"/>
        <v>-0.28999999999996362</v>
      </c>
      <c r="F512" s="9">
        <v>45279</v>
      </c>
      <c r="G512" s="10">
        <v>330216298</v>
      </c>
      <c r="H512" s="9">
        <v>45271</v>
      </c>
      <c r="I512" s="9">
        <v>45286</v>
      </c>
      <c r="J512" s="8">
        <v>5164</v>
      </c>
      <c r="K512" s="8" t="s">
        <v>31</v>
      </c>
      <c r="L512" s="8" t="s">
        <v>32</v>
      </c>
      <c r="M512" s="8"/>
      <c r="N512" s="8" t="b">
        <v>0</v>
      </c>
      <c r="O512" s="10">
        <v>708411</v>
      </c>
      <c r="P512" s="8" t="s">
        <v>263</v>
      </c>
      <c r="Q512" s="8">
        <v>402659</v>
      </c>
      <c r="R512" s="9">
        <v>45268</v>
      </c>
      <c r="S512" s="8" t="s">
        <v>34</v>
      </c>
      <c r="T512" s="8" t="s">
        <v>44</v>
      </c>
      <c r="U512" s="8" t="s">
        <v>58</v>
      </c>
      <c r="V512" s="8" t="s">
        <v>46</v>
      </c>
      <c r="W512" s="8">
        <v>0</v>
      </c>
    </row>
    <row r="513" spans="1:23" x14ac:dyDescent="0.25">
      <c r="A513" s="4"/>
      <c r="B513" s="4"/>
      <c r="C513" s="4">
        <v>886973</v>
      </c>
      <c r="D513" s="4">
        <v>5224.96</v>
      </c>
      <c r="E513" s="5">
        <f t="shared" si="7"/>
        <v>-1.9600000000000364</v>
      </c>
      <c r="F513" s="9">
        <v>45279</v>
      </c>
      <c r="G513" s="10">
        <v>330216452</v>
      </c>
      <c r="H513" s="9">
        <v>45271</v>
      </c>
      <c r="I513" s="9">
        <v>45286</v>
      </c>
      <c r="J513" s="8">
        <v>5223</v>
      </c>
      <c r="K513" s="8" t="s">
        <v>31</v>
      </c>
      <c r="L513" s="8" t="s">
        <v>32</v>
      </c>
      <c r="M513" s="8"/>
      <c r="N513" s="8" t="b">
        <v>0</v>
      </c>
      <c r="O513" s="16">
        <v>21099</v>
      </c>
      <c r="P513" s="8" t="s">
        <v>139</v>
      </c>
      <c r="Q513" s="8">
        <v>402807</v>
      </c>
      <c r="R513" s="9">
        <v>45268</v>
      </c>
      <c r="S513" s="8" t="s">
        <v>48</v>
      </c>
      <c r="T513" s="8" t="s">
        <v>40</v>
      </c>
      <c r="U513" s="8" t="s">
        <v>163</v>
      </c>
      <c r="V513" s="8" t="s">
        <v>46</v>
      </c>
      <c r="W513" s="8">
        <v>0</v>
      </c>
    </row>
    <row r="514" spans="1:23" x14ac:dyDescent="0.25">
      <c r="A514" s="4"/>
      <c r="B514" s="4"/>
      <c r="C514" s="4">
        <v>886652</v>
      </c>
      <c r="D514" s="4">
        <v>5053</v>
      </c>
      <c r="E514" s="5">
        <f t="shared" si="7"/>
        <v>0</v>
      </c>
      <c r="F514" s="9">
        <v>45279</v>
      </c>
      <c r="G514" s="10">
        <v>330216458</v>
      </c>
      <c r="H514" s="9">
        <v>45271</v>
      </c>
      <c r="I514" s="9">
        <v>45286</v>
      </c>
      <c r="J514" s="8">
        <v>5053</v>
      </c>
      <c r="K514" s="8" t="s">
        <v>31</v>
      </c>
      <c r="L514" s="8" t="s">
        <v>32</v>
      </c>
      <c r="M514" s="8"/>
      <c r="N514" s="8" t="b">
        <v>0</v>
      </c>
      <c r="O514" s="10">
        <v>708135</v>
      </c>
      <c r="P514" s="8" t="s">
        <v>211</v>
      </c>
      <c r="Q514" s="8">
        <v>402819</v>
      </c>
      <c r="R514" s="9">
        <v>45268</v>
      </c>
      <c r="S514" s="8" t="s">
        <v>34</v>
      </c>
      <c r="T514" s="8" t="s">
        <v>40</v>
      </c>
      <c r="U514" s="8" t="s">
        <v>84</v>
      </c>
      <c r="V514" s="8" t="s">
        <v>46</v>
      </c>
      <c r="W514" s="8">
        <v>0</v>
      </c>
    </row>
    <row r="515" spans="1:23" x14ac:dyDescent="0.25">
      <c r="A515" s="4"/>
      <c r="B515" s="4"/>
      <c r="C515" s="4">
        <v>886975</v>
      </c>
      <c r="D515" s="4">
        <v>4894.2299999999996</v>
      </c>
      <c r="E515" s="5">
        <f t="shared" si="7"/>
        <v>-0.22999999999956344</v>
      </c>
      <c r="F515" s="9">
        <v>45279</v>
      </c>
      <c r="G515" s="10">
        <v>330216474</v>
      </c>
      <c r="H515" s="9">
        <v>45271</v>
      </c>
      <c r="I515" s="9">
        <v>45286</v>
      </c>
      <c r="J515" s="8">
        <v>4894</v>
      </c>
      <c r="K515" s="8" t="s">
        <v>31</v>
      </c>
      <c r="L515" s="8" t="s">
        <v>32</v>
      </c>
      <c r="M515" s="8"/>
      <c r="N515" s="8" t="b">
        <v>0</v>
      </c>
      <c r="O515" s="16">
        <v>21103</v>
      </c>
      <c r="P515" s="8" t="s">
        <v>164</v>
      </c>
      <c r="Q515" s="8">
        <v>402812</v>
      </c>
      <c r="R515" s="9">
        <v>45268</v>
      </c>
      <c r="S515" s="8" t="s">
        <v>277</v>
      </c>
      <c r="T515" s="8" t="s">
        <v>40</v>
      </c>
      <c r="U515" s="8" t="s">
        <v>278</v>
      </c>
      <c r="V515" s="8" t="s">
        <v>279</v>
      </c>
      <c r="W515" s="8">
        <v>0</v>
      </c>
    </row>
    <row r="516" spans="1:23" x14ac:dyDescent="0.25">
      <c r="A516" s="4"/>
      <c r="B516" s="4"/>
      <c r="C516" s="4">
        <v>886648</v>
      </c>
      <c r="D516" s="4">
        <v>5193.6899999999996</v>
      </c>
      <c r="E516" s="5">
        <f t="shared" si="7"/>
        <v>0.31000000000040018</v>
      </c>
      <c r="F516" s="9">
        <v>45279</v>
      </c>
      <c r="G516" s="10">
        <v>330216870</v>
      </c>
      <c r="H516" s="9">
        <v>45271</v>
      </c>
      <c r="I516" s="9">
        <v>45286</v>
      </c>
      <c r="J516" s="8">
        <v>5194</v>
      </c>
      <c r="K516" s="8" t="s">
        <v>31</v>
      </c>
      <c r="L516" s="8" t="s">
        <v>32</v>
      </c>
      <c r="M516" s="8"/>
      <c r="N516" s="8" t="b">
        <v>0</v>
      </c>
      <c r="O516" s="10">
        <v>708250</v>
      </c>
      <c r="P516" s="8" t="s">
        <v>67</v>
      </c>
      <c r="Q516" s="8">
        <v>402903</v>
      </c>
      <c r="R516" s="9">
        <v>45268</v>
      </c>
      <c r="S516" s="8" t="s">
        <v>34</v>
      </c>
      <c r="T516" s="8" t="s">
        <v>40</v>
      </c>
      <c r="U516" s="8" t="s">
        <v>58</v>
      </c>
      <c r="V516" s="8" t="s">
        <v>46</v>
      </c>
      <c r="W516" s="8">
        <v>0</v>
      </c>
    </row>
    <row r="517" spans="1:23" x14ac:dyDescent="0.25">
      <c r="A517" s="4"/>
      <c r="B517" s="4"/>
      <c r="C517" s="4">
        <v>886650</v>
      </c>
      <c r="D517" s="4">
        <v>5193.6899999999996</v>
      </c>
      <c r="E517" s="5">
        <f t="shared" si="7"/>
        <v>0.31000000000040018</v>
      </c>
      <c r="F517" s="9">
        <v>45279</v>
      </c>
      <c r="G517" s="10">
        <v>330216872</v>
      </c>
      <c r="H517" s="9">
        <v>45271</v>
      </c>
      <c r="I517" s="9">
        <v>45286</v>
      </c>
      <c r="J517" s="8">
        <v>5194</v>
      </c>
      <c r="K517" s="8" t="s">
        <v>31</v>
      </c>
      <c r="L517" s="8" t="s">
        <v>32</v>
      </c>
      <c r="M517" s="8"/>
      <c r="N517" s="8" t="b">
        <v>0</v>
      </c>
      <c r="O517" s="10">
        <v>708249</v>
      </c>
      <c r="P517" s="8" t="s">
        <v>224</v>
      </c>
      <c r="Q517" s="8">
        <v>402863</v>
      </c>
      <c r="R517" s="9">
        <v>45268</v>
      </c>
      <c r="S517" s="8" t="s">
        <v>34</v>
      </c>
      <c r="T517" s="8" t="s">
        <v>40</v>
      </c>
      <c r="U517" s="8" t="s">
        <v>58</v>
      </c>
      <c r="V517" s="8" t="s">
        <v>46</v>
      </c>
      <c r="W517" s="8">
        <v>0</v>
      </c>
    </row>
    <row r="518" spans="1:23" x14ac:dyDescent="0.25">
      <c r="A518" s="4"/>
      <c r="B518" s="4"/>
      <c r="C518" s="4">
        <v>886644</v>
      </c>
      <c r="D518" s="4">
        <v>5193.6899999999996</v>
      </c>
      <c r="E518" s="5">
        <f t="shared" ref="E518:E581" si="8">J518-D518</f>
        <v>0.31000000000040018</v>
      </c>
      <c r="F518" s="9">
        <v>45279</v>
      </c>
      <c r="G518" s="10">
        <v>330216873</v>
      </c>
      <c r="H518" s="9">
        <v>45271</v>
      </c>
      <c r="I518" s="9">
        <v>45286</v>
      </c>
      <c r="J518" s="8">
        <v>5194</v>
      </c>
      <c r="K518" s="8" t="s">
        <v>31</v>
      </c>
      <c r="L518" s="8" t="s">
        <v>32</v>
      </c>
      <c r="M518" s="8"/>
      <c r="N518" s="8" t="b">
        <v>0</v>
      </c>
      <c r="O518" s="10">
        <v>708252</v>
      </c>
      <c r="P518" s="8" t="s">
        <v>102</v>
      </c>
      <c r="Q518" s="8">
        <v>403029</v>
      </c>
      <c r="R518" s="9">
        <v>45268</v>
      </c>
      <c r="S518" s="8" t="s">
        <v>34</v>
      </c>
      <c r="T518" s="8" t="s">
        <v>40</v>
      </c>
      <c r="U518" s="8" t="s">
        <v>58</v>
      </c>
      <c r="V518" s="8" t="s">
        <v>46</v>
      </c>
      <c r="W518" s="8">
        <v>0</v>
      </c>
    </row>
    <row r="519" spans="1:23" x14ac:dyDescent="0.25">
      <c r="A519" s="4"/>
      <c r="B519" s="4"/>
      <c r="C519" s="4">
        <v>886642</v>
      </c>
      <c r="D519" s="4">
        <v>5193.6899999999996</v>
      </c>
      <c r="E519" s="5">
        <f t="shared" si="8"/>
        <v>0.31000000000040018</v>
      </c>
      <c r="F519" s="9">
        <v>45279</v>
      </c>
      <c r="G519" s="10">
        <v>330216877</v>
      </c>
      <c r="H519" s="9">
        <v>45271</v>
      </c>
      <c r="I519" s="9">
        <v>45286</v>
      </c>
      <c r="J519" s="8">
        <v>5194</v>
      </c>
      <c r="K519" s="8" t="s">
        <v>31</v>
      </c>
      <c r="L519" s="8" t="s">
        <v>32</v>
      </c>
      <c r="M519" s="8"/>
      <c r="N519" s="8" t="b">
        <v>0</v>
      </c>
      <c r="O519" s="10">
        <v>708913</v>
      </c>
      <c r="P519" s="8" t="s">
        <v>283</v>
      </c>
      <c r="Q519" s="8">
        <v>403068</v>
      </c>
      <c r="R519" s="9">
        <v>45268</v>
      </c>
      <c r="S519" s="8" t="s">
        <v>34</v>
      </c>
      <c r="T519" s="8" t="s">
        <v>40</v>
      </c>
      <c r="U519" s="8" t="s">
        <v>58</v>
      </c>
      <c r="V519" s="8" t="s">
        <v>46</v>
      </c>
      <c r="W519" s="8">
        <v>0</v>
      </c>
    </row>
    <row r="520" spans="1:23" x14ac:dyDescent="0.25">
      <c r="A520" s="4"/>
      <c r="B520" s="4"/>
      <c r="C520" s="4">
        <v>886646</v>
      </c>
      <c r="D520" s="4">
        <v>5193.6899999999996</v>
      </c>
      <c r="E520" s="5">
        <f t="shared" si="8"/>
        <v>0.31000000000040018</v>
      </c>
      <c r="F520" s="9">
        <v>45279</v>
      </c>
      <c r="G520" s="10">
        <v>330216890</v>
      </c>
      <c r="H520" s="9">
        <v>45271</v>
      </c>
      <c r="I520" s="9">
        <v>45286</v>
      </c>
      <c r="J520" s="8">
        <v>5194</v>
      </c>
      <c r="K520" s="8" t="s">
        <v>31</v>
      </c>
      <c r="L520" s="8" t="s">
        <v>32</v>
      </c>
      <c r="M520" s="8"/>
      <c r="N520" s="8" t="b">
        <v>0</v>
      </c>
      <c r="O520" s="10">
        <v>708251</v>
      </c>
      <c r="P520" s="8" t="s">
        <v>66</v>
      </c>
      <c r="Q520" s="8">
        <v>402971</v>
      </c>
      <c r="R520" s="9">
        <v>45268</v>
      </c>
      <c r="S520" s="8" t="s">
        <v>34</v>
      </c>
      <c r="T520" s="8" t="s">
        <v>40</v>
      </c>
      <c r="U520" s="8" t="s">
        <v>58</v>
      </c>
      <c r="V520" s="8" t="s">
        <v>46</v>
      </c>
      <c r="W520" s="8">
        <v>0</v>
      </c>
    </row>
    <row r="521" spans="1:23" x14ac:dyDescent="0.25">
      <c r="A521" s="4"/>
      <c r="B521" s="4"/>
      <c r="C521" s="4">
        <v>886640</v>
      </c>
      <c r="D521" s="4">
        <v>5193.6899999999996</v>
      </c>
      <c r="E521" s="5">
        <f t="shared" si="8"/>
        <v>0.31000000000040018</v>
      </c>
      <c r="F521" s="9">
        <v>45279</v>
      </c>
      <c r="G521" s="10">
        <v>330216897</v>
      </c>
      <c r="H521" s="9">
        <v>45271</v>
      </c>
      <c r="I521" s="9">
        <v>45286</v>
      </c>
      <c r="J521" s="8">
        <v>5194</v>
      </c>
      <c r="K521" s="8" t="s">
        <v>31</v>
      </c>
      <c r="L521" s="8" t="s">
        <v>32</v>
      </c>
      <c r="M521" s="8"/>
      <c r="N521" s="8" t="b">
        <v>0</v>
      </c>
      <c r="O521" s="10">
        <v>708914</v>
      </c>
      <c r="P521" s="8" t="s">
        <v>96</v>
      </c>
      <c r="Q521" s="8">
        <v>403099</v>
      </c>
      <c r="R521" s="9">
        <v>45268</v>
      </c>
      <c r="S521" s="8" t="s">
        <v>34</v>
      </c>
      <c r="T521" s="8" t="s">
        <v>40</v>
      </c>
      <c r="U521" s="8" t="s">
        <v>58</v>
      </c>
      <c r="V521" s="8" t="s">
        <v>46</v>
      </c>
      <c r="W521" s="8">
        <v>0</v>
      </c>
    </row>
    <row r="522" spans="1:23" x14ac:dyDescent="0.25">
      <c r="A522" s="4"/>
      <c r="B522" s="4"/>
      <c r="C522" s="4">
        <v>886636</v>
      </c>
      <c r="D522" s="4">
        <v>5053</v>
      </c>
      <c r="E522" s="5">
        <f t="shared" si="8"/>
        <v>0</v>
      </c>
      <c r="F522" s="9">
        <v>45279</v>
      </c>
      <c r="G522" s="10">
        <v>330247499</v>
      </c>
      <c r="H522" s="9">
        <v>45271</v>
      </c>
      <c r="I522" s="9">
        <v>45286</v>
      </c>
      <c r="J522" s="8">
        <v>5053</v>
      </c>
      <c r="K522" s="8" t="s">
        <v>31</v>
      </c>
      <c r="L522" s="8" t="s">
        <v>32</v>
      </c>
      <c r="M522" s="8"/>
      <c r="N522" s="8" t="b">
        <v>0</v>
      </c>
      <c r="O522" s="10">
        <v>708137</v>
      </c>
      <c r="P522" s="8" t="s">
        <v>167</v>
      </c>
      <c r="Q522" s="8">
        <v>417332</v>
      </c>
      <c r="R522" s="9">
        <v>45271</v>
      </c>
      <c r="S522" s="8" t="s">
        <v>34</v>
      </c>
      <c r="T522" s="8" t="s">
        <v>40</v>
      </c>
      <c r="U522" s="8" t="s">
        <v>84</v>
      </c>
      <c r="V522" s="8" t="s">
        <v>46</v>
      </c>
      <c r="W522" s="8">
        <v>0</v>
      </c>
    </row>
    <row r="523" spans="1:23" x14ac:dyDescent="0.25">
      <c r="A523" s="4"/>
      <c r="B523" s="4"/>
      <c r="C523" s="4">
        <v>886628</v>
      </c>
      <c r="D523" s="4">
        <v>5053</v>
      </c>
      <c r="E523" s="5">
        <f t="shared" si="8"/>
        <v>0</v>
      </c>
      <c r="F523" s="9">
        <v>45279</v>
      </c>
      <c r="G523" s="10">
        <v>330247523</v>
      </c>
      <c r="H523" s="9">
        <v>45271</v>
      </c>
      <c r="I523" s="9">
        <v>45286</v>
      </c>
      <c r="J523" s="8">
        <v>5053</v>
      </c>
      <c r="K523" s="8" t="s">
        <v>31</v>
      </c>
      <c r="L523" s="8" t="s">
        <v>32</v>
      </c>
      <c r="M523" s="8"/>
      <c r="N523" s="8" t="b">
        <v>0</v>
      </c>
      <c r="O523" s="10">
        <v>708141</v>
      </c>
      <c r="P523" s="8" t="s">
        <v>33</v>
      </c>
      <c r="Q523" s="8">
        <v>417364</v>
      </c>
      <c r="R523" s="9">
        <v>45271</v>
      </c>
      <c r="S523" s="8" t="s">
        <v>34</v>
      </c>
      <c r="T523" s="8" t="s">
        <v>40</v>
      </c>
      <c r="U523" s="8" t="s">
        <v>84</v>
      </c>
      <c r="V523" s="8" t="s">
        <v>46</v>
      </c>
      <c r="W523" s="8">
        <v>0</v>
      </c>
    </row>
    <row r="524" spans="1:23" x14ac:dyDescent="0.25">
      <c r="A524" s="4"/>
      <c r="B524" s="4"/>
      <c r="C524" s="4">
        <v>886632</v>
      </c>
      <c r="D524" s="4">
        <v>5053</v>
      </c>
      <c r="E524" s="5">
        <f t="shared" si="8"/>
        <v>0</v>
      </c>
      <c r="F524" s="9">
        <v>45279</v>
      </c>
      <c r="G524" s="10">
        <v>330247531</v>
      </c>
      <c r="H524" s="9">
        <v>45271</v>
      </c>
      <c r="I524" s="9">
        <v>45286</v>
      </c>
      <c r="J524" s="8">
        <v>5053</v>
      </c>
      <c r="K524" s="8" t="s">
        <v>31</v>
      </c>
      <c r="L524" s="8" t="s">
        <v>32</v>
      </c>
      <c r="M524" s="8"/>
      <c r="N524" s="8" t="b">
        <v>0</v>
      </c>
      <c r="O524" s="10">
        <v>708139</v>
      </c>
      <c r="P524" s="8" t="s">
        <v>80</v>
      </c>
      <c r="Q524" s="8">
        <v>417342</v>
      </c>
      <c r="R524" s="9">
        <v>45271</v>
      </c>
      <c r="S524" s="8" t="s">
        <v>34</v>
      </c>
      <c r="T524" s="8" t="s">
        <v>40</v>
      </c>
      <c r="U524" s="8" t="s">
        <v>84</v>
      </c>
      <c r="V524" s="8" t="s">
        <v>46</v>
      </c>
      <c r="W524" s="8">
        <v>0</v>
      </c>
    </row>
    <row r="525" spans="1:23" x14ac:dyDescent="0.25">
      <c r="A525" s="4"/>
      <c r="B525" s="4"/>
      <c r="C525" s="4">
        <v>886634</v>
      </c>
      <c r="D525" s="4">
        <v>5053</v>
      </c>
      <c r="E525" s="5">
        <f t="shared" si="8"/>
        <v>0</v>
      </c>
      <c r="F525" s="9">
        <v>45279</v>
      </c>
      <c r="G525" s="10">
        <v>330247553</v>
      </c>
      <c r="H525" s="9">
        <v>45271</v>
      </c>
      <c r="I525" s="9">
        <v>45286</v>
      </c>
      <c r="J525" s="8">
        <v>5053</v>
      </c>
      <c r="K525" s="8" t="s">
        <v>31</v>
      </c>
      <c r="L525" s="8" t="s">
        <v>32</v>
      </c>
      <c r="M525" s="8"/>
      <c r="N525" s="8" t="b">
        <v>0</v>
      </c>
      <c r="O525" s="10">
        <v>708138</v>
      </c>
      <c r="P525" s="8" t="s">
        <v>135</v>
      </c>
      <c r="Q525" s="8">
        <v>417339</v>
      </c>
      <c r="R525" s="9">
        <v>45271</v>
      </c>
      <c r="S525" s="8" t="s">
        <v>34</v>
      </c>
      <c r="T525" s="8" t="s">
        <v>40</v>
      </c>
      <c r="U525" s="8" t="s">
        <v>84</v>
      </c>
      <c r="V525" s="8" t="s">
        <v>46</v>
      </c>
      <c r="W525" s="8">
        <v>0</v>
      </c>
    </row>
    <row r="526" spans="1:23" x14ac:dyDescent="0.25">
      <c r="A526" s="4"/>
      <c r="B526" s="4"/>
      <c r="C526" s="4">
        <v>886638</v>
      </c>
      <c r="D526" s="4">
        <v>5053</v>
      </c>
      <c r="E526" s="5">
        <f t="shared" si="8"/>
        <v>0</v>
      </c>
      <c r="F526" s="9">
        <v>45279</v>
      </c>
      <c r="G526" s="10">
        <v>330247555</v>
      </c>
      <c r="H526" s="9">
        <v>45271</v>
      </c>
      <c r="I526" s="9">
        <v>45286</v>
      </c>
      <c r="J526" s="8">
        <v>5053</v>
      </c>
      <c r="K526" s="8" t="s">
        <v>31</v>
      </c>
      <c r="L526" s="8" t="s">
        <v>32</v>
      </c>
      <c r="M526" s="8"/>
      <c r="N526" s="8" t="b">
        <v>0</v>
      </c>
      <c r="O526" s="10">
        <v>708136</v>
      </c>
      <c r="P526" s="8" t="s">
        <v>156</v>
      </c>
      <c r="Q526" s="8">
        <v>417322</v>
      </c>
      <c r="R526" s="9">
        <v>45271</v>
      </c>
      <c r="S526" s="8" t="s">
        <v>34</v>
      </c>
      <c r="T526" s="8" t="s">
        <v>40</v>
      </c>
      <c r="U526" s="8" t="s">
        <v>84</v>
      </c>
      <c r="V526" s="8" t="s">
        <v>46</v>
      </c>
      <c r="W526" s="8">
        <v>0</v>
      </c>
    </row>
    <row r="527" spans="1:23" x14ac:dyDescent="0.25">
      <c r="A527" s="4"/>
      <c r="B527" s="4"/>
      <c r="C527" s="4">
        <v>886626</v>
      </c>
      <c r="D527" s="4">
        <v>5193.6899999999996</v>
      </c>
      <c r="E527" s="5">
        <f t="shared" si="8"/>
        <v>0.31000000000040018</v>
      </c>
      <c r="F527" s="9">
        <v>45279</v>
      </c>
      <c r="G527" s="10">
        <v>330247577</v>
      </c>
      <c r="H527" s="9">
        <v>45271</v>
      </c>
      <c r="I527" s="9">
        <v>45286</v>
      </c>
      <c r="J527" s="8">
        <v>5194</v>
      </c>
      <c r="K527" s="8" t="s">
        <v>31</v>
      </c>
      <c r="L527" s="8" t="s">
        <v>32</v>
      </c>
      <c r="M527" s="8"/>
      <c r="N527" s="8" t="b">
        <v>0</v>
      </c>
      <c r="O527" s="10">
        <v>708936</v>
      </c>
      <c r="P527" s="8" t="s">
        <v>276</v>
      </c>
      <c r="Q527" s="8">
        <v>417382</v>
      </c>
      <c r="R527" s="9">
        <v>45271</v>
      </c>
      <c r="S527" s="8" t="s">
        <v>34</v>
      </c>
      <c r="T527" s="8" t="s">
        <v>40</v>
      </c>
      <c r="U527" s="8" t="s">
        <v>58</v>
      </c>
      <c r="V527" s="8" t="s">
        <v>46</v>
      </c>
      <c r="W527" s="8">
        <v>0</v>
      </c>
    </row>
    <row r="528" spans="1:23" x14ac:dyDescent="0.25">
      <c r="A528" s="4"/>
      <c r="B528" s="4"/>
      <c r="C528" s="4">
        <v>886620</v>
      </c>
      <c r="D528" s="4">
        <v>5193.6899999999996</v>
      </c>
      <c r="E528" s="5">
        <f t="shared" si="8"/>
        <v>0.31000000000040018</v>
      </c>
      <c r="F528" s="9">
        <v>45279</v>
      </c>
      <c r="G528" s="10">
        <v>330247578</v>
      </c>
      <c r="H528" s="9">
        <v>45271</v>
      </c>
      <c r="I528" s="9">
        <v>45286</v>
      </c>
      <c r="J528" s="8">
        <v>5194</v>
      </c>
      <c r="K528" s="8" t="s">
        <v>31</v>
      </c>
      <c r="L528" s="8" t="s">
        <v>32</v>
      </c>
      <c r="M528" s="8"/>
      <c r="N528" s="8" t="b">
        <v>0</v>
      </c>
      <c r="O528" s="10">
        <v>708938</v>
      </c>
      <c r="P528" s="8" t="s">
        <v>79</v>
      </c>
      <c r="Q528" s="8">
        <v>417393</v>
      </c>
      <c r="R528" s="9">
        <v>45271</v>
      </c>
      <c r="S528" s="8" t="s">
        <v>34</v>
      </c>
      <c r="T528" s="8" t="s">
        <v>40</v>
      </c>
      <c r="U528" s="8" t="s">
        <v>58</v>
      </c>
      <c r="V528" s="8" t="s">
        <v>46</v>
      </c>
      <c r="W528" s="8">
        <v>0</v>
      </c>
    </row>
    <row r="529" spans="1:23" x14ac:dyDescent="0.25">
      <c r="A529" s="4"/>
      <c r="B529" s="4"/>
      <c r="C529" s="4">
        <v>886520</v>
      </c>
      <c r="D529" s="4">
        <v>43904</v>
      </c>
      <c r="E529" s="5">
        <f t="shared" si="8"/>
        <v>-4</v>
      </c>
      <c r="F529" s="9">
        <v>45279</v>
      </c>
      <c r="G529" s="10">
        <v>330247581</v>
      </c>
      <c r="H529" s="9">
        <v>45271</v>
      </c>
      <c r="I529" s="9">
        <v>45286</v>
      </c>
      <c r="J529" s="8">
        <v>43900</v>
      </c>
      <c r="K529" s="8" t="s">
        <v>31</v>
      </c>
      <c r="L529" s="8" t="s">
        <v>32</v>
      </c>
      <c r="M529" s="8"/>
      <c r="N529" s="8" t="b">
        <v>0</v>
      </c>
      <c r="O529" s="10"/>
      <c r="P529" s="8" t="s">
        <v>345</v>
      </c>
      <c r="Q529" s="8">
        <v>417405</v>
      </c>
      <c r="R529" s="9">
        <v>45271</v>
      </c>
      <c r="S529" s="8" t="s">
        <v>34</v>
      </c>
      <c r="T529" s="8" t="s">
        <v>49</v>
      </c>
      <c r="U529" s="8" t="s">
        <v>75</v>
      </c>
      <c r="V529" s="8" t="s">
        <v>46</v>
      </c>
      <c r="W529" s="8">
        <v>0</v>
      </c>
    </row>
    <row r="530" spans="1:23" x14ac:dyDescent="0.25">
      <c r="A530" s="4"/>
      <c r="B530" s="4"/>
      <c r="C530" s="4">
        <v>886623</v>
      </c>
      <c r="D530" s="4">
        <v>5193.6899999999996</v>
      </c>
      <c r="E530" s="5">
        <f t="shared" si="8"/>
        <v>0.31000000000040018</v>
      </c>
      <c r="F530" s="9">
        <v>45279</v>
      </c>
      <c r="G530" s="10">
        <v>330247600</v>
      </c>
      <c r="H530" s="9">
        <v>45271</v>
      </c>
      <c r="I530" s="9">
        <v>45286</v>
      </c>
      <c r="J530" s="8">
        <v>5194</v>
      </c>
      <c r="K530" s="8" t="s">
        <v>31</v>
      </c>
      <c r="L530" s="8" t="s">
        <v>32</v>
      </c>
      <c r="M530" s="8"/>
      <c r="N530" s="8" t="b">
        <v>0</v>
      </c>
      <c r="O530" s="10">
        <v>708937</v>
      </c>
      <c r="P530" s="8" t="s">
        <v>191</v>
      </c>
      <c r="Q530" s="8">
        <v>417386</v>
      </c>
      <c r="R530" s="9">
        <v>45271</v>
      </c>
      <c r="S530" s="8" t="s">
        <v>34</v>
      </c>
      <c r="T530" s="8" t="s">
        <v>40</v>
      </c>
      <c r="U530" s="8" t="s">
        <v>58</v>
      </c>
      <c r="V530" s="8" t="s">
        <v>46</v>
      </c>
      <c r="W530" s="8">
        <v>0</v>
      </c>
    </row>
    <row r="531" spans="1:23" x14ac:dyDescent="0.25">
      <c r="A531" s="4"/>
      <c r="B531" s="4"/>
      <c r="C531" s="4">
        <v>886630</v>
      </c>
      <c r="D531" s="4">
        <v>5053</v>
      </c>
      <c r="E531" s="5">
        <f t="shared" si="8"/>
        <v>0</v>
      </c>
      <c r="F531" s="9">
        <v>45279</v>
      </c>
      <c r="G531" s="10">
        <v>330247621</v>
      </c>
      <c r="H531" s="9">
        <v>45271</v>
      </c>
      <c r="I531" s="9">
        <v>45286</v>
      </c>
      <c r="J531" s="8">
        <v>5053</v>
      </c>
      <c r="K531" s="8" t="s">
        <v>31</v>
      </c>
      <c r="L531" s="8" t="s">
        <v>32</v>
      </c>
      <c r="M531" s="8"/>
      <c r="N531" s="8" t="b">
        <v>0</v>
      </c>
      <c r="O531" s="10">
        <v>708140</v>
      </c>
      <c r="P531" s="8" t="s">
        <v>323</v>
      </c>
      <c r="Q531" s="8">
        <v>417360</v>
      </c>
      <c r="R531" s="9">
        <v>45271</v>
      </c>
      <c r="S531" s="8" t="s">
        <v>34</v>
      </c>
      <c r="T531" s="8" t="s">
        <v>40</v>
      </c>
      <c r="U531" s="8" t="s">
        <v>84</v>
      </c>
      <c r="V531" s="8" t="s">
        <v>46</v>
      </c>
      <c r="W531" s="8">
        <v>0</v>
      </c>
    </row>
    <row r="532" spans="1:23" x14ac:dyDescent="0.25">
      <c r="A532" s="4"/>
      <c r="B532" s="4"/>
      <c r="C532" s="4">
        <v>887084</v>
      </c>
      <c r="D532" s="4">
        <v>5164.29</v>
      </c>
      <c r="E532" s="5">
        <f t="shared" si="8"/>
        <v>-0.28999999999996362</v>
      </c>
      <c r="F532" s="9">
        <v>45279</v>
      </c>
      <c r="G532" s="10">
        <v>330248102</v>
      </c>
      <c r="H532" s="9">
        <v>45271</v>
      </c>
      <c r="I532" s="9">
        <v>45286</v>
      </c>
      <c r="J532" s="8">
        <v>5164</v>
      </c>
      <c r="K532" s="8" t="s">
        <v>31</v>
      </c>
      <c r="L532" s="8" t="s">
        <v>32</v>
      </c>
      <c r="M532" s="8"/>
      <c r="N532" s="8" t="b">
        <v>0</v>
      </c>
      <c r="O532" s="10">
        <v>705143</v>
      </c>
      <c r="P532" s="8" t="s">
        <v>121</v>
      </c>
      <c r="Q532" s="8">
        <v>417914</v>
      </c>
      <c r="R532" s="9">
        <v>45271</v>
      </c>
      <c r="S532" s="8" t="s">
        <v>34</v>
      </c>
      <c r="T532" s="8" t="s">
        <v>44</v>
      </c>
      <c r="U532" s="8" t="s">
        <v>58</v>
      </c>
      <c r="V532" s="8" t="s">
        <v>46</v>
      </c>
      <c r="W532" s="8">
        <v>0</v>
      </c>
    </row>
    <row r="533" spans="1:23" x14ac:dyDescent="0.25">
      <c r="A533" s="4"/>
      <c r="B533" s="4"/>
      <c r="C533" s="4">
        <v>887086</v>
      </c>
      <c r="D533" s="4">
        <v>5164.29</v>
      </c>
      <c r="E533" s="5">
        <f t="shared" si="8"/>
        <v>-0.28999999999996362</v>
      </c>
      <c r="F533" s="9">
        <v>45279</v>
      </c>
      <c r="G533" s="10">
        <v>330248128</v>
      </c>
      <c r="H533" s="9">
        <v>45271</v>
      </c>
      <c r="I533" s="9">
        <v>45286</v>
      </c>
      <c r="J533" s="8">
        <v>5164</v>
      </c>
      <c r="K533" s="8" t="s">
        <v>31</v>
      </c>
      <c r="L533" s="8" t="s">
        <v>32</v>
      </c>
      <c r="M533" s="8"/>
      <c r="N533" s="8" t="b">
        <v>0</v>
      </c>
      <c r="O533" s="10">
        <v>705144</v>
      </c>
      <c r="P533" s="8" t="s">
        <v>194</v>
      </c>
      <c r="Q533" s="8">
        <v>417917</v>
      </c>
      <c r="R533" s="9">
        <v>45271</v>
      </c>
      <c r="S533" s="8" t="s">
        <v>34</v>
      </c>
      <c r="T533" s="8" t="s">
        <v>44</v>
      </c>
      <c r="U533" s="8" t="s">
        <v>58</v>
      </c>
      <c r="V533" s="8" t="s">
        <v>46</v>
      </c>
      <c r="W533" s="8">
        <v>0</v>
      </c>
    </row>
    <row r="534" spans="1:23" x14ac:dyDescent="0.25">
      <c r="A534" s="4"/>
      <c r="B534" s="4"/>
      <c r="C534" s="4">
        <v>887088</v>
      </c>
      <c r="D534" s="4">
        <v>5164.29</v>
      </c>
      <c r="E534" s="5">
        <f t="shared" si="8"/>
        <v>-0.28999999999996362</v>
      </c>
      <c r="F534" s="9">
        <v>45279</v>
      </c>
      <c r="G534" s="10">
        <v>330248147</v>
      </c>
      <c r="H534" s="9">
        <v>45271</v>
      </c>
      <c r="I534" s="9">
        <v>45286</v>
      </c>
      <c r="J534" s="8">
        <v>5164</v>
      </c>
      <c r="K534" s="8" t="s">
        <v>31</v>
      </c>
      <c r="L534" s="8" t="s">
        <v>32</v>
      </c>
      <c r="M534" s="8"/>
      <c r="N534" s="8" t="b">
        <v>0</v>
      </c>
      <c r="O534" s="10">
        <v>706722</v>
      </c>
      <c r="P534" s="8" t="s">
        <v>124</v>
      </c>
      <c r="Q534" s="8">
        <v>417955</v>
      </c>
      <c r="R534" s="9">
        <v>45271</v>
      </c>
      <c r="S534" s="8" t="s">
        <v>34</v>
      </c>
      <c r="T534" s="8" t="s">
        <v>44</v>
      </c>
      <c r="U534" s="8" t="s">
        <v>58</v>
      </c>
      <c r="V534" s="8" t="s">
        <v>46</v>
      </c>
      <c r="W534" s="8">
        <v>0</v>
      </c>
    </row>
    <row r="535" spans="1:23" x14ac:dyDescent="0.25">
      <c r="A535" s="4"/>
      <c r="B535" s="4"/>
      <c r="C535" s="4">
        <v>887090</v>
      </c>
      <c r="D535" s="4">
        <v>5164.29</v>
      </c>
      <c r="E535" s="5">
        <f t="shared" si="8"/>
        <v>-0.28999999999996362</v>
      </c>
      <c r="F535" s="9">
        <v>45279</v>
      </c>
      <c r="G535" s="10">
        <v>330248173</v>
      </c>
      <c r="H535" s="9">
        <v>45271</v>
      </c>
      <c r="I535" s="9">
        <v>45286</v>
      </c>
      <c r="J535" s="8">
        <v>5164</v>
      </c>
      <c r="K535" s="8" t="s">
        <v>31</v>
      </c>
      <c r="L535" s="8" t="s">
        <v>32</v>
      </c>
      <c r="M535" s="8"/>
      <c r="N535" s="8" t="b">
        <v>0</v>
      </c>
      <c r="O535" s="10">
        <v>708409</v>
      </c>
      <c r="P535" s="8" t="s">
        <v>302</v>
      </c>
      <c r="Q535" s="8">
        <v>418062</v>
      </c>
      <c r="R535" s="9">
        <v>45271</v>
      </c>
      <c r="S535" s="8" t="s">
        <v>34</v>
      </c>
      <c r="T535" s="8" t="s">
        <v>44</v>
      </c>
      <c r="U535" s="8" t="s">
        <v>58</v>
      </c>
      <c r="V535" s="8" t="s">
        <v>46</v>
      </c>
      <c r="W535" s="8">
        <v>0</v>
      </c>
    </row>
    <row r="536" spans="1:23" x14ac:dyDescent="0.25">
      <c r="A536" s="4"/>
      <c r="B536" s="4"/>
      <c r="C536" s="4">
        <v>887092</v>
      </c>
      <c r="D536" s="4">
        <v>5164.29</v>
      </c>
      <c r="E536" s="5">
        <f t="shared" si="8"/>
        <v>-0.28999999999996362</v>
      </c>
      <c r="F536" s="9">
        <v>45279</v>
      </c>
      <c r="G536" s="10">
        <v>330248175</v>
      </c>
      <c r="H536" s="9">
        <v>45271</v>
      </c>
      <c r="I536" s="9">
        <v>45286</v>
      </c>
      <c r="J536" s="8">
        <v>5164</v>
      </c>
      <c r="K536" s="8" t="s">
        <v>31</v>
      </c>
      <c r="L536" s="8" t="s">
        <v>32</v>
      </c>
      <c r="M536" s="8"/>
      <c r="N536" s="8" t="b">
        <v>0</v>
      </c>
      <c r="O536" s="10">
        <v>708412</v>
      </c>
      <c r="P536" s="8" t="s">
        <v>304</v>
      </c>
      <c r="Q536" s="8">
        <v>418085</v>
      </c>
      <c r="R536" s="9">
        <v>45271</v>
      </c>
      <c r="S536" s="8" t="s">
        <v>34</v>
      </c>
      <c r="T536" s="8" t="s">
        <v>44</v>
      </c>
      <c r="U536" s="8" t="s">
        <v>58</v>
      </c>
      <c r="V536" s="8" t="s">
        <v>46</v>
      </c>
      <c r="W536" s="8">
        <v>0</v>
      </c>
    </row>
    <row r="537" spans="1:23" x14ac:dyDescent="0.25">
      <c r="A537" s="4"/>
      <c r="B537" s="4"/>
      <c r="C537" s="4">
        <v>886672</v>
      </c>
      <c r="D537" s="4">
        <v>5193.6899999999996</v>
      </c>
      <c r="E537" s="5">
        <f t="shared" si="8"/>
        <v>0.31000000000040018</v>
      </c>
      <c r="F537" s="9">
        <v>45279</v>
      </c>
      <c r="G537" s="10">
        <v>330254401</v>
      </c>
      <c r="H537" s="9">
        <v>45271</v>
      </c>
      <c r="I537" s="9">
        <v>45286</v>
      </c>
      <c r="J537" s="8">
        <v>5194</v>
      </c>
      <c r="K537" s="8" t="s">
        <v>31</v>
      </c>
      <c r="L537" s="8" t="s">
        <v>32</v>
      </c>
      <c r="M537" s="8"/>
      <c r="N537" s="8" t="b">
        <v>0</v>
      </c>
      <c r="O537" s="10">
        <v>709037</v>
      </c>
      <c r="P537" s="8" t="s">
        <v>221</v>
      </c>
      <c r="Q537" s="8">
        <v>423297</v>
      </c>
      <c r="R537" s="9">
        <v>45271</v>
      </c>
      <c r="S537" s="8" t="s">
        <v>34</v>
      </c>
      <c r="T537" s="8" t="s">
        <v>40</v>
      </c>
      <c r="U537" s="8" t="s">
        <v>58</v>
      </c>
      <c r="V537" s="8" t="s">
        <v>46</v>
      </c>
      <c r="W537" s="8">
        <v>0</v>
      </c>
    </row>
    <row r="538" spans="1:23" x14ac:dyDescent="0.25">
      <c r="A538" s="4"/>
      <c r="B538" s="4"/>
      <c r="C538" s="4">
        <v>886836</v>
      </c>
      <c r="D538" s="4">
        <v>7028.06</v>
      </c>
      <c r="E538" s="5">
        <f t="shared" si="8"/>
        <v>-6.0000000000400178E-2</v>
      </c>
      <c r="F538" s="9">
        <v>45279</v>
      </c>
      <c r="G538" s="10">
        <v>330254454</v>
      </c>
      <c r="H538" s="9">
        <v>45271</v>
      </c>
      <c r="I538" s="9">
        <v>45286</v>
      </c>
      <c r="J538" s="8">
        <v>7028</v>
      </c>
      <c r="K538" s="8" t="s">
        <v>31</v>
      </c>
      <c r="L538" s="8" t="s">
        <v>32</v>
      </c>
      <c r="M538" s="8"/>
      <c r="N538" s="8" t="b">
        <v>0</v>
      </c>
      <c r="O538" s="10">
        <v>21148</v>
      </c>
      <c r="P538" s="8" t="s">
        <v>83</v>
      </c>
      <c r="Q538" s="8">
        <v>423290</v>
      </c>
      <c r="R538" s="9">
        <v>45271</v>
      </c>
      <c r="S538" s="8" t="s">
        <v>39</v>
      </c>
      <c r="T538" s="8" t="s">
        <v>40</v>
      </c>
      <c r="U538" s="8" t="s">
        <v>41</v>
      </c>
      <c r="V538" s="8" t="s">
        <v>42</v>
      </c>
      <c r="W538" s="8">
        <v>0</v>
      </c>
    </row>
    <row r="539" spans="1:23" x14ac:dyDescent="0.25">
      <c r="A539" s="4"/>
      <c r="B539" s="4"/>
      <c r="C539" s="4">
        <v>886735</v>
      </c>
      <c r="D539" s="4">
        <v>9320.2199999999993</v>
      </c>
      <c r="E539" s="5">
        <f t="shared" si="8"/>
        <v>0.78000000000065484</v>
      </c>
      <c r="F539" s="9">
        <v>45279</v>
      </c>
      <c r="G539" s="10">
        <v>330254463</v>
      </c>
      <c r="H539" s="9">
        <v>45271</v>
      </c>
      <c r="I539" s="9">
        <v>45286</v>
      </c>
      <c r="J539" s="8">
        <v>9321</v>
      </c>
      <c r="K539" s="8" t="s">
        <v>31</v>
      </c>
      <c r="L539" s="8" t="s">
        <v>32</v>
      </c>
      <c r="M539" s="8"/>
      <c r="N539" s="8" t="b">
        <v>0</v>
      </c>
      <c r="O539" s="10">
        <v>705917</v>
      </c>
      <c r="P539" s="8" t="s">
        <v>223</v>
      </c>
      <c r="Q539" s="8">
        <v>423287</v>
      </c>
      <c r="R539" s="9">
        <v>45271</v>
      </c>
      <c r="S539" s="8" t="s">
        <v>130</v>
      </c>
      <c r="T539" s="8" t="s">
        <v>40</v>
      </c>
      <c r="U539" s="8" t="s">
        <v>131</v>
      </c>
      <c r="V539" s="8" t="s">
        <v>132</v>
      </c>
      <c r="W539" s="8">
        <v>0</v>
      </c>
    </row>
    <row r="540" spans="1:23" x14ac:dyDescent="0.25">
      <c r="A540" s="4"/>
      <c r="B540" s="4"/>
      <c r="C540" s="4">
        <v>887094</v>
      </c>
      <c r="D540" s="4">
        <v>5193.6899999999996</v>
      </c>
      <c r="E540" s="5">
        <f t="shared" si="8"/>
        <v>0.31000000000040018</v>
      </c>
      <c r="F540" s="9">
        <v>45279</v>
      </c>
      <c r="G540" s="10">
        <v>330254773</v>
      </c>
      <c r="H540" s="9">
        <v>45271</v>
      </c>
      <c r="I540" s="9">
        <v>45286</v>
      </c>
      <c r="J540" s="8">
        <v>5194</v>
      </c>
      <c r="K540" s="8" t="s">
        <v>31</v>
      </c>
      <c r="L540" s="8" t="s">
        <v>32</v>
      </c>
      <c r="M540" s="8"/>
      <c r="N540" s="8" t="b">
        <v>0</v>
      </c>
      <c r="O540" s="10">
        <v>709038</v>
      </c>
      <c r="P540" s="8" t="s">
        <v>196</v>
      </c>
      <c r="Q540" s="8">
        <v>423645</v>
      </c>
      <c r="R540" s="9">
        <v>45271</v>
      </c>
      <c r="S540" s="8" t="s">
        <v>34</v>
      </c>
      <c r="T540" s="8" t="s">
        <v>40</v>
      </c>
      <c r="U540" s="8" t="s">
        <v>58</v>
      </c>
      <c r="V540" s="8" t="s">
        <v>46</v>
      </c>
      <c r="W540" s="8">
        <v>0</v>
      </c>
    </row>
    <row r="541" spans="1:23" x14ac:dyDescent="0.25">
      <c r="A541" s="4"/>
      <c r="B541" s="4"/>
      <c r="C541" s="4">
        <v>886674</v>
      </c>
      <c r="D541" s="4">
        <v>5164.29</v>
      </c>
      <c r="E541" s="5">
        <f t="shared" si="8"/>
        <v>-0.28999999999996362</v>
      </c>
      <c r="F541" s="9">
        <v>45279</v>
      </c>
      <c r="G541" s="10">
        <v>330255346</v>
      </c>
      <c r="H541" s="9">
        <v>45271</v>
      </c>
      <c r="I541" s="9">
        <v>45286</v>
      </c>
      <c r="J541" s="8">
        <v>5164</v>
      </c>
      <c r="K541" s="8" t="s">
        <v>31</v>
      </c>
      <c r="L541" s="8" t="s">
        <v>32</v>
      </c>
      <c r="M541" s="8"/>
      <c r="N541" s="8" t="b">
        <v>0</v>
      </c>
      <c r="O541" s="10">
        <v>705145</v>
      </c>
      <c r="P541" s="8" t="s">
        <v>166</v>
      </c>
      <c r="Q541" s="8">
        <v>423839</v>
      </c>
      <c r="R541" s="9">
        <v>45271</v>
      </c>
      <c r="S541" s="8" t="s">
        <v>34</v>
      </c>
      <c r="T541" s="8" t="s">
        <v>44</v>
      </c>
      <c r="U541" s="8" t="s">
        <v>58</v>
      </c>
      <c r="V541" s="8" t="s">
        <v>46</v>
      </c>
      <c r="W541" s="8">
        <v>0</v>
      </c>
    </row>
    <row r="542" spans="1:23" x14ac:dyDescent="0.25">
      <c r="A542" s="4"/>
      <c r="B542" s="4"/>
      <c r="C542" s="4">
        <v>886618</v>
      </c>
      <c r="D542" s="4">
        <v>5164.29</v>
      </c>
      <c r="E542" s="5">
        <f t="shared" si="8"/>
        <v>-0.28999999999996362</v>
      </c>
      <c r="F542" s="9">
        <v>45279</v>
      </c>
      <c r="G542" s="10">
        <v>330255394</v>
      </c>
      <c r="H542" s="9">
        <v>45271</v>
      </c>
      <c r="I542" s="9">
        <v>45286</v>
      </c>
      <c r="J542" s="8">
        <v>5164</v>
      </c>
      <c r="K542" s="8" t="s">
        <v>31</v>
      </c>
      <c r="L542" s="8" t="s">
        <v>32</v>
      </c>
      <c r="M542" s="8"/>
      <c r="N542" s="8" t="b">
        <v>0</v>
      </c>
      <c r="O542" s="10">
        <v>705147</v>
      </c>
      <c r="P542" s="8" t="s">
        <v>289</v>
      </c>
      <c r="Q542" s="8">
        <v>423861</v>
      </c>
      <c r="R542" s="9">
        <v>45271</v>
      </c>
      <c r="S542" s="8" t="s">
        <v>34</v>
      </c>
      <c r="T542" s="8" t="s">
        <v>44</v>
      </c>
      <c r="U542" s="8" t="s">
        <v>58</v>
      </c>
      <c r="V542" s="8" t="s">
        <v>46</v>
      </c>
      <c r="W542" s="8">
        <v>0</v>
      </c>
    </row>
    <row r="543" spans="1:23" x14ac:dyDescent="0.25">
      <c r="A543" s="4"/>
      <c r="B543" s="4"/>
      <c r="C543" s="4">
        <v>887595</v>
      </c>
      <c r="D543" s="4">
        <v>5166.74</v>
      </c>
      <c r="E543" s="5">
        <f t="shared" si="8"/>
        <v>0.26000000000021828</v>
      </c>
      <c r="F543" s="9">
        <v>45279</v>
      </c>
      <c r="G543" s="10">
        <v>330255428</v>
      </c>
      <c r="H543" s="9">
        <v>45271</v>
      </c>
      <c r="I543" s="9">
        <v>45286</v>
      </c>
      <c r="J543" s="8">
        <v>5167</v>
      </c>
      <c r="K543" s="8" t="s">
        <v>31</v>
      </c>
      <c r="L543" s="8" t="s">
        <v>32</v>
      </c>
      <c r="M543" s="8"/>
      <c r="N543" s="8" t="b">
        <v>0</v>
      </c>
      <c r="O543" s="10">
        <v>702413</v>
      </c>
      <c r="P543" s="8" t="s">
        <v>152</v>
      </c>
      <c r="Q543" s="8">
        <v>423827</v>
      </c>
      <c r="R543" s="9">
        <v>45271</v>
      </c>
      <c r="S543" s="8" t="s">
        <v>180</v>
      </c>
      <c r="T543" s="8" t="s">
        <v>44</v>
      </c>
      <c r="U543" s="8" t="s">
        <v>45</v>
      </c>
      <c r="V543" s="8" t="s">
        <v>46</v>
      </c>
      <c r="W543" s="8">
        <v>0</v>
      </c>
    </row>
    <row r="544" spans="1:23" x14ac:dyDescent="0.25">
      <c r="A544" s="4"/>
      <c r="B544" s="4"/>
      <c r="C544" s="4">
        <v>886676</v>
      </c>
      <c r="D544" s="4">
        <v>5164.29</v>
      </c>
      <c r="E544" s="5">
        <f t="shared" si="8"/>
        <v>-0.28999999999996362</v>
      </c>
      <c r="F544" s="9">
        <v>45279</v>
      </c>
      <c r="G544" s="10">
        <v>330255430</v>
      </c>
      <c r="H544" s="9">
        <v>45271</v>
      </c>
      <c r="I544" s="9">
        <v>45286</v>
      </c>
      <c r="J544" s="8">
        <v>5164</v>
      </c>
      <c r="K544" s="8" t="s">
        <v>31</v>
      </c>
      <c r="L544" s="8" t="s">
        <v>32</v>
      </c>
      <c r="M544" s="8"/>
      <c r="N544" s="8" t="b">
        <v>0</v>
      </c>
      <c r="O544" s="16">
        <v>705146</v>
      </c>
      <c r="P544" s="8" t="s">
        <v>122</v>
      </c>
      <c r="Q544" s="8">
        <v>423845</v>
      </c>
      <c r="R544" s="9">
        <v>45271</v>
      </c>
      <c r="S544" s="8" t="s">
        <v>34</v>
      </c>
      <c r="T544" s="8" t="s">
        <v>44</v>
      </c>
      <c r="U544" s="8" t="s">
        <v>58</v>
      </c>
      <c r="V544" s="8" t="s">
        <v>46</v>
      </c>
      <c r="W544" s="8">
        <v>0</v>
      </c>
    </row>
    <row r="545" spans="1:23" x14ac:dyDescent="0.25">
      <c r="A545" s="4"/>
      <c r="B545" s="4"/>
      <c r="C545" s="4">
        <v>886837</v>
      </c>
      <c r="D545" s="4">
        <v>7028.06</v>
      </c>
      <c r="E545" s="5">
        <f t="shared" si="8"/>
        <v>-6.0000000000400178E-2</v>
      </c>
      <c r="F545" s="9">
        <v>45279</v>
      </c>
      <c r="G545" s="10">
        <v>330255993</v>
      </c>
      <c r="H545" s="9">
        <v>45271</v>
      </c>
      <c r="I545" s="9">
        <v>45286</v>
      </c>
      <c r="J545" s="8">
        <v>7028</v>
      </c>
      <c r="K545" s="8" t="s">
        <v>31</v>
      </c>
      <c r="L545" s="8" t="s">
        <v>32</v>
      </c>
      <c r="M545" s="8"/>
      <c r="N545" s="8" t="b">
        <v>0</v>
      </c>
      <c r="O545" s="16">
        <v>21149</v>
      </c>
      <c r="P545" s="8" t="s">
        <v>202</v>
      </c>
      <c r="Q545" s="8">
        <v>424325</v>
      </c>
      <c r="R545" s="9">
        <v>45271</v>
      </c>
      <c r="S545" s="8" t="s">
        <v>39</v>
      </c>
      <c r="T545" s="8" t="s">
        <v>40</v>
      </c>
      <c r="U545" s="8" t="s">
        <v>41</v>
      </c>
      <c r="V545" s="8" t="s">
        <v>42</v>
      </c>
      <c r="W545" s="8">
        <v>0</v>
      </c>
    </row>
    <row r="546" spans="1:23" x14ac:dyDescent="0.25">
      <c r="A546" s="4"/>
      <c r="B546" s="4"/>
      <c r="C546" s="4">
        <v>886841</v>
      </c>
      <c r="D546" s="4">
        <v>4894.2299999999996</v>
      </c>
      <c r="E546" s="5">
        <f t="shared" si="8"/>
        <v>-0.22999999999956344</v>
      </c>
      <c r="F546" s="9">
        <v>45279</v>
      </c>
      <c r="G546" s="10">
        <v>330259345</v>
      </c>
      <c r="H546" s="9">
        <v>45271</v>
      </c>
      <c r="I546" s="9">
        <v>45286</v>
      </c>
      <c r="J546" s="8">
        <v>4894</v>
      </c>
      <c r="K546" s="8" t="s">
        <v>31</v>
      </c>
      <c r="L546" s="8" t="s">
        <v>32</v>
      </c>
      <c r="M546" s="8"/>
      <c r="N546" s="8" t="b">
        <v>0</v>
      </c>
      <c r="O546" s="16">
        <v>21150</v>
      </c>
      <c r="P546" s="8" t="s">
        <v>162</v>
      </c>
      <c r="Q546" s="8">
        <v>427551</v>
      </c>
      <c r="R546" s="9">
        <v>45271</v>
      </c>
      <c r="S546" s="8" t="s">
        <v>277</v>
      </c>
      <c r="T546" s="8" t="s">
        <v>40</v>
      </c>
      <c r="U546" s="8" t="s">
        <v>278</v>
      </c>
      <c r="V546" s="8" t="s">
        <v>279</v>
      </c>
      <c r="W546" s="8">
        <v>0</v>
      </c>
    </row>
    <row r="547" spans="1:23" x14ac:dyDescent="0.25">
      <c r="A547" s="4"/>
      <c r="B547" s="4"/>
      <c r="C547" s="4">
        <v>886839</v>
      </c>
      <c r="D547" s="4">
        <v>5053</v>
      </c>
      <c r="E547" s="5">
        <f t="shared" si="8"/>
        <v>0</v>
      </c>
      <c r="F547" s="9">
        <v>45279</v>
      </c>
      <c r="G547" s="10">
        <v>330259388</v>
      </c>
      <c r="H547" s="9">
        <v>45271</v>
      </c>
      <c r="I547" s="9">
        <v>45286</v>
      </c>
      <c r="J547" s="8">
        <v>5053</v>
      </c>
      <c r="K547" s="8" t="s">
        <v>31</v>
      </c>
      <c r="L547" s="8" t="s">
        <v>32</v>
      </c>
      <c r="M547" s="8"/>
      <c r="N547" s="8" t="b">
        <v>0</v>
      </c>
      <c r="O547" s="16">
        <v>21147</v>
      </c>
      <c r="P547" s="8" t="s">
        <v>117</v>
      </c>
      <c r="Q547" s="8">
        <v>427542</v>
      </c>
      <c r="R547" s="9">
        <v>45271</v>
      </c>
      <c r="S547" s="8" t="s">
        <v>34</v>
      </c>
      <c r="T547" s="8" t="s">
        <v>40</v>
      </c>
      <c r="U547" s="8" t="s">
        <v>84</v>
      </c>
      <c r="V547" s="8" t="s">
        <v>46</v>
      </c>
      <c r="W547" s="8">
        <v>0</v>
      </c>
    </row>
    <row r="548" spans="1:23" x14ac:dyDescent="0.25">
      <c r="A548" s="4"/>
      <c r="B548" s="4"/>
      <c r="C548" s="4">
        <v>886758</v>
      </c>
      <c r="D548" s="4">
        <v>83417.600000000006</v>
      </c>
      <c r="E548" s="5">
        <f t="shared" si="8"/>
        <v>-7.6000000000058208</v>
      </c>
      <c r="F548" s="9">
        <v>45279</v>
      </c>
      <c r="G548" s="10">
        <v>330269459</v>
      </c>
      <c r="H548" s="9">
        <v>45272</v>
      </c>
      <c r="I548" s="9">
        <v>45287</v>
      </c>
      <c r="J548" s="8">
        <v>83410</v>
      </c>
      <c r="K548" s="8" t="s">
        <v>31</v>
      </c>
      <c r="L548" s="8" t="s">
        <v>32</v>
      </c>
      <c r="M548" s="8"/>
      <c r="N548" s="8" t="b">
        <v>0</v>
      </c>
      <c r="O548" s="10">
        <v>709185</v>
      </c>
      <c r="P548" s="8" t="s">
        <v>151</v>
      </c>
      <c r="Q548" s="8">
        <v>432671</v>
      </c>
      <c r="R548" s="9">
        <v>45272</v>
      </c>
      <c r="S548" s="8" t="s">
        <v>34</v>
      </c>
      <c r="T548" s="8" t="s">
        <v>49</v>
      </c>
      <c r="U548" s="8" t="s">
        <v>75</v>
      </c>
      <c r="V548" s="8" t="s">
        <v>46</v>
      </c>
      <c r="W548" s="8">
        <v>0</v>
      </c>
    </row>
    <row r="549" spans="1:23" x14ac:dyDescent="0.25">
      <c r="A549" s="4"/>
      <c r="B549" s="4"/>
      <c r="C549" s="4">
        <v>887096</v>
      </c>
      <c r="D549" s="4">
        <v>5193.6899999999996</v>
      </c>
      <c r="E549" s="5">
        <f t="shared" si="8"/>
        <v>0.31000000000040018</v>
      </c>
      <c r="F549" s="9">
        <v>45279</v>
      </c>
      <c r="G549" s="10">
        <v>330269922</v>
      </c>
      <c r="H549" s="9">
        <v>45272</v>
      </c>
      <c r="I549" s="9">
        <v>45287</v>
      </c>
      <c r="J549" s="8">
        <v>5194</v>
      </c>
      <c r="K549" s="8" t="s">
        <v>31</v>
      </c>
      <c r="L549" s="8" t="s">
        <v>32</v>
      </c>
      <c r="M549" s="8"/>
      <c r="N549" s="8" t="b">
        <v>0</v>
      </c>
      <c r="O549" s="10">
        <v>709039</v>
      </c>
      <c r="P549" s="8" t="s">
        <v>185</v>
      </c>
      <c r="Q549" s="8">
        <v>433070</v>
      </c>
      <c r="R549" s="9">
        <v>45272</v>
      </c>
      <c r="S549" s="8" t="s">
        <v>34</v>
      </c>
      <c r="T549" s="8" t="s">
        <v>40</v>
      </c>
      <c r="U549" s="8" t="s">
        <v>58</v>
      </c>
      <c r="V549" s="8" t="s">
        <v>46</v>
      </c>
      <c r="W549" s="8">
        <v>0</v>
      </c>
    </row>
    <row r="550" spans="1:23" x14ac:dyDescent="0.25">
      <c r="A550" s="4"/>
      <c r="B550" s="4"/>
      <c r="C550" s="4">
        <v>887098</v>
      </c>
      <c r="D550" s="4">
        <v>5193.6899999999996</v>
      </c>
      <c r="E550" s="5">
        <f t="shared" si="8"/>
        <v>0.31000000000040018</v>
      </c>
      <c r="F550" s="9">
        <v>45279</v>
      </c>
      <c r="G550" s="10">
        <v>330269928</v>
      </c>
      <c r="H550" s="9">
        <v>45272</v>
      </c>
      <c r="I550" s="9">
        <v>45287</v>
      </c>
      <c r="J550" s="8">
        <v>5194</v>
      </c>
      <c r="K550" s="8" t="s">
        <v>31</v>
      </c>
      <c r="L550" s="8" t="s">
        <v>32</v>
      </c>
      <c r="M550" s="8"/>
      <c r="N550" s="8" t="b">
        <v>0</v>
      </c>
      <c r="O550" s="10">
        <v>709040</v>
      </c>
      <c r="P550" s="8" t="s">
        <v>266</v>
      </c>
      <c r="Q550" s="8">
        <v>433105</v>
      </c>
      <c r="R550" s="9">
        <v>45272</v>
      </c>
      <c r="S550" s="8" t="s">
        <v>34</v>
      </c>
      <c r="T550" s="8" t="s">
        <v>40</v>
      </c>
      <c r="U550" s="8" t="s">
        <v>58</v>
      </c>
      <c r="V550" s="8" t="s">
        <v>46</v>
      </c>
      <c r="W550" s="8">
        <v>0</v>
      </c>
    </row>
    <row r="551" spans="1:23" x14ac:dyDescent="0.25">
      <c r="A551" s="4"/>
      <c r="B551" s="4"/>
      <c r="C551" s="4">
        <v>887101</v>
      </c>
      <c r="D551" s="4">
        <v>5193.6899999999996</v>
      </c>
      <c r="E551" s="5">
        <f t="shared" si="8"/>
        <v>0.31000000000040018</v>
      </c>
      <c r="F551" s="9">
        <v>45279</v>
      </c>
      <c r="G551" s="10">
        <v>330270311</v>
      </c>
      <c r="H551" s="9">
        <v>45272</v>
      </c>
      <c r="I551" s="9">
        <v>45287</v>
      </c>
      <c r="J551" s="8">
        <v>5194</v>
      </c>
      <c r="K551" s="8" t="s">
        <v>31</v>
      </c>
      <c r="L551" s="8" t="s">
        <v>32</v>
      </c>
      <c r="M551" s="8"/>
      <c r="N551" s="8" t="b">
        <v>0</v>
      </c>
      <c r="O551" s="10">
        <v>709041</v>
      </c>
      <c r="P551" s="8" t="s">
        <v>93</v>
      </c>
      <c r="Q551" s="8">
        <v>433427</v>
      </c>
      <c r="R551" s="9">
        <v>45272</v>
      </c>
      <c r="S551" s="8" t="s">
        <v>34</v>
      </c>
      <c r="T551" s="8" t="s">
        <v>40</v>
      </c>
      <c r="U551" s="8" t="s">
        <v>58</v>
      </c>
      <c r="V551" s="8" t="s">
        <v>46</v>
      </c>
      <c r="W551" s="8">
        <v>0</v>
      </c>
    </row>
    <row r="552" spans="1:23" x14ac:dyDescent="0.25">
      <c r="A552" s="4"/>
      <c r="B552" s="4"/>
      <c r="C552" s="4">
        <v>887103</v>
      </c>
      <c r="D552" s="4">
        <v>5193.6899999999996</v>
      </c>
      <c r="E552" s="5">
        <f t="shared" si="8"/>
        <v>0.31000000000040018</v>
      </c>
      <c r="F552" s="9">
        <v>45279</v>
      </c>
      <c r="G552" s="10">
        <v>330272105</v>
      </c>
      <c r="H552" s="9">
        <v>45272</v>
      </c>
      <c r="I552" s="9">
        <v>45287</v>
      </c>
      <c r="J552" s="8">
        <v>5194</v>
      </c>
      <c r="K552" s="8" t="s">
        <v>31</v>
      </c>
      <c r="L552" s="8" t="s">
        <v>32</v>
      </c>
      <c r="M552" s="8"/>
      <c r="N552" s="8" t="b">
        <v>0</v>
      </c>
      <c r="O552" s="10">
        <v>709042</v>
      </c>
      <c r="P552" s="8" t="s">
        <v>68</v>
      </c>
      <c r="Q552" s="8">
        <v>436373</v>
      </c>
      <c r="R552" s="9">
        <v>45272</v>
      </c>
      <c r="S552" s="8" t="s">
        <v>34</v>
      </c>
      <c r="T552" s="8" t="s">
        <v>40</v>
      </c>
      <c r="U552" s="8" t="s">
        <v>58</v>
      </c>
      <c r="V552" s="8" t="s">
        <v>46</v>
      </c>
      <c r="W552" s="8">
        <v>0</v>
      </c>
    </row>
    <row r="553" spans="1:23" x14ac:dyDescent="0.25">
      <c r="A553" s="4"/>
      <c r="B553" s="4"/>
      <c r="C553" s="4">
        <v>887105</v>
      </c>
      <c r="D553" s="4">
        <v>5193.6899999999996</v>
      </c>
      <c r="E553" s="5">
        <f t="shared" si="8"/>
        <v>0.31000000000040018</v>
      </c>
      <c r="F553" s="9">
        <v>45279</v>
      </c>
      <c r="G553" s="10">
        <v>330273916</v>
      </c>
      <c r="H553" s="9">
        <v>45272</v>
      </c>
      <c r="I553" s="9">
        <v>45287</v>
      </c>
      <c r="J553" s="8">
        <v>5194</v>
      </c>
      <c r="K553" s="8" t="s">
        <v>31</v>
      </c>
      <c r="L553" s="8" t="s">
        <v>32</v>
      </c>
      <c r="M553" s="8"/>
      <c r="N553" s="8" t="b">
        <v>0</v>
      </c>
      <c r="O553" s="10">
        <v>709043</v>
      </c>
      <c r="P553" s="8" t="s">
        <v>170</v>
      </c>
      <c r="Q553" s="8">
        <v>438151</v>
      </c>
      <c r="R553" s="9">
        <v>45272</v>
      </c>
      <c r="S553" s="8" t="s">
        <v>34</v>
      </c>
      <c r="T553" s="8" t="s">
        <v>40</v>
      </c>
      <c r="U553" s="8" t="s">
        <v>58</v>
      </c>
      <c r="V553" s="8" t="s">
        <v>46</v>
      </c>
      <c r="W553" s="8">
        <v>0</v>
      </c>
    </row>
    <row r="554" spans="1:23" x14ac:dyDescent="0.25">
      <c r="A554" s="4"/>
      <c r="B554" s="4"/>
      <c r="C554" s="4">
        <v>887107</v>
      </c>
      <c r="D554" s="4">
        <v>5193.6899999999996</v>
      </c>
      <c r="E554" s="5">
        <f t="shared" si="8"/>
        <v>0.31000000000040018</v>
      </c>
      <c r="F554" s="9">
        <v>45279</v>
      </c>
      <c r="G554" s="10">
        <v>330274231</v>
      </c>
      <c r="H554" s="9">
        <v>45272</v>
      </c>
      <c r="I554" s="9">
        <v>45287</v>
      </c>
      <c r="J554" s="8">
        <v>5194</v>
      </c>
      <c r="K554" s="8" t="s">
        <v>31</v>
      </c>
      <c r="L554" s="8" t="s">
        <v>32</v>
      </c>
      <c r="M554" s="8"/>
      <c r="N554" s="8" t="b">
        <v>0</v>
      </c>
      <c r="O554" s="10">
        <v>709044</v>
      </c>
      <c r="P554" s="8" t="s">
        <v>177</v>
      </c>
      <c r="Q554" s="8">
        <v>438304</v>
      </c>
      <c r="R554" s="9">
        <v>45272</v>
      </c>
      <c r="S554" s="8" t="s">
        <v>34</v>
      </c>
      <c r="T554" s="8" t="s">
        <v>40</v>
      </c>
      <c r="U554" s="8" t="s">
        <v>58</v>
      </c>
      <c r="V554" s="8" t="s">
        <v>46</v>
      </c>
      <c r="W554" s="8">
        <v>0</v>
      </c>
    </row>
    <row r="555" spans="1:23" x14ac:dyDescent="0.25">
      <c r="A555" s="4"/>
      <c r="B555" s="4"/>
      <c r="C555" s="4">
        <v>887109</v>
      </c>
      <c r="D555" s="4">
        <v>5053</v>
      </c>
      <c r="E555" s="5">
        <f t="shared" si="8"/>
        <v>0</v>
      </c>
      <c r="F555" s="9">
        <v>45279</v>
      </c>
      <c r="G555" s="10">
        <v>330277545</v>
      </c>
      <c r="H555" s="9">
        <v>45272</v>
      </c>
      <c r="I555" s="9">
        <v>45287</v>
      </c>
      <c r="J555" s="8">
        <v>5053</v>
      </c>
      <c r="K555" s="8" t="s">
        <v>31</v>
      </c>
      <c r="L555" s="8" t="s">
        <v>32</v>
      </c>
      <c r="M555" s="8"/>
      <c r="N555" s="8" t="b">
        <v>0</v>
      </c>
      <c r="O555" s="10">
        <v>708971</v>
      </c>
      <c r="P555" s="8" t="s">
        <v>65</v>
      </c>
      <c r="Q555" s="8">
        <v>441892</v>
      </c>
      <c r="R555" s="9">
        <v>45272</v>
      </c>
      <c r="S555" s="8" t="s">
        <v>34</v>
      </c>
      <c r="T555" s="8" t="s">
        <v>40</v>
      </c>
      <c r="U555" s="8" t="s">
        <v>84</v>
      </c>
      <c r="V555" s="8" t="s">
        <v>46</v>
      </c>
      <c r="W555" s="8">
        <v>0</v>
      </c>
    </row>
    <row r="556" spans="1:23" x14ac:dyDescent="0.25">
      <c r="A556" s="4"/>
      <c r="B556" s="4"/>
      <c r="C556" s="4">
        <v>887111</v>
      </c>
      <c r="D556" s="4">
        <v>5053</v>
      </c>
      <c r="E556" s="5">
        <f t="shared" si="8"/>
        <v>0</v>
      </c>
      <c r="F556" s="9">
        <v>45279</v>
      </c>
      <c r="G556" s="10">
        <v>330277553</v>
      </c>
      <c r="H556" s="9">
        <v>45272</v>
      </c>
      <c r="I556" s="9">
        <v>45287</v>
      </c>
      <c r="J556" s="8">
        <v>5053</v>
      </c>
      <c r="K556" s="8" t="s">
        <v>31</v>
      </c>
      <c r="L556" s="8" t="s">
        <v>32</v>
      </c>
      <c r="M556" s="8"/>
      <c r="N556" s="8" t="b">
        <v>0</v>
      </c>
      <c r="O556" s="10">
        <v>708970</v>
      </c>
      <c r="P556" s="8" t="s">
        <v>110</v>
      </c>
      <c r="Q556" s="8">
        <v>441887</v>
      </c>
      <c r="R556" s="9">
        <v>45272</v>
      </c>
      <c r="S556" s="8" t="s">
        <v>34</v>
      </c>
      <c r="T556" s="8" t="s">
        <v>40</v>
      </c>
      <c r="U556" s="8" t="s">
        <v>84</v>
      </c>
      <c r="V556" s="8" t="s">
        <v>46</v>
      </c>
      <c r="W556" s="8">
        <v>0</v>
      </c>
    </row>
    <row r="557" spans="1:23" x14ac:dyDescent="0.25">
      <c r="A557" s="4"/>
      <c r="B557" s="4"/>
      <c r="C557" s="4">
        <v>887113</v>
      </c>
      <c r="D557" s="4">
        <v>5053</v>
      </c>
      <c r="E557" s="5">
        <f t="shared" si="8"/>
        <v>0</v>
      </c>
      <c r="F557" s="9">
        <v>45279</v>
      </c>
      <c r="G557" s="10">
        <v>330278335</v>
      </c>
      <c r="H557" s="9">
        <v>45272</v>
      </c>
      <c r="I557" s="9">
        <v>45287</v>
      </c>
      <c r="J557" s="8">
        <v>5053</v>
      </c>
      <c r="K557" s="8" t="s">
        <v>31</v>
      </c>
      <c r="L557" s="8" t="s">
        <v>32</v>
      </c>
      <c r="M557" s="8"/>
      <c r="N557" s="8" t="b">
        <v>0</v>
      </c>
      <c r="O557" s="10">
        <v>708972</v>
      </c>
      <c r="P557" s="8" t="s">
        <v>56</v>
      </c>
      <c r="Q557" s="8">
        <v>442562</v>
      </c>
      <c r="R557" s="9">
        <v>45272</v>
      </c>
      <c r="S557" s="8" t="s">
        <v>34</v>
      </c>
      <c r="T557" s="8" t="s">
        <v>40</v>
      </c>
      <c r="U557" s="8" t="s">
        <v>84</v>
      </c>
      <c r="V557" s="8" t="s">
        <v>46</v>
      </c>
      <c r="W557" s="8">
        <v>0</v>
      </c>
    </row>
    <row r="558" spans="1:23" x14ac:dyDescent="0.25">
      <c r="A558" s="4"/>
      <c r="B558" s="4"/>
      <c r="C558" s="4">
        <v>887115</v>
      </c>
      <c r="D558" s="4">
        <v>5164.29</v>
      </c>
      <c r="E558" s="5">
        <f t="shared" si="8"/>
        <v>-0.28999999999996362</v>
      </c>
      <c r="F558" s="9">
        <v>45279</v>
      </c>
      <c r="G558" s="10">
        <v>330281375</v>
      </c>
      <c r="H558" s="9">
        <v>45272</v>
      </c>
      <c r="I558" s="9">
        <v>45287</v>
      </c>
      <c r="J558" s="8">
        <v>5164</v>
      </c>
      <c r="K558" s="8" t="s">
        <v>31</v>
      </c>
      <c r="L558" s="8" t="s">
        <v>32</v>
      </c>
      <c r="M558" s="8"/>
      <c r="N558" s="8" t="b">
        <v>0</v>
      </c>
      <c r="O558" s="10">
        <v>706733</v>
      </c>
      <c r="P558" s="8" t="s">
        <v>273</v>
      </c>
      <c r="Q558" s="8">
        <v>444791</v>
      </c>
      <c r="R558" s="9">
        <v>45272</v>
      </c>
      <c r="S558" s="8" t="s">
        <v>34</v>
      </c>
      <c r="T558" s="8" t="s">
        <v>44</v>
      </c>
      <c r="U558" s="8" t="s">
        <v>58</v>
      </c>
      <c r="V558" s="8" t="s">
        <v>46</v>
      </c>
      <c r="W558" s="8">
        <v>0</v>
      </c>
    </row>
    <row r="559" spans="1:23" x14ac:dyDescent="0.25">
      <c r="A559" s="4"/>
      <c r="B559" s="4"/>
      <c r="C559" s="4">
        <v>887117</v>
      </c>
      <c r="D559" s="4">
        <v>5164.29</v>
      </c>
      <c r="E559" s="5">
        <f t="shared" si="8"/>
        <v>-0.28999999999996362</v>
      </c>
      <c r="F559" s="9">
        <v>45279</v>
      </c>
      <c r="G559" s="10">
        <v>330281401</v>
      </c>
      <c r="H559" s="9">
        <v>45272</v>
      </c>
      <c r="I559" s="9">
        <v>45287</v>
      </c>
      <c r="J559" s="8">
        <v>5164</v>
      </c>
      <c r="K559" s="8" t="s">
        <v>31</v>
      </c>
      <c r="L559" s="8" t="s">
        <v>32</v>
      </c>
      <c r="M559" s="8"/>
      <c r="N559" s="8" t="b">
        <v>0</v>
      </c>
      <c r="O559" s="10">
        <v>705148</v>
      </c>
      <c r="P559" s="8" t="s">
        <v>43</v>
      </c>
      <c r="Q559" s="8">
        <v>444775</v>
      </c>
      <c r="R559" s="9">
        <v>45272</v>
      </c>
      <c r="S559" s="8" t="s">
        <v>34</v>
      </c>
      <c r="T559" s="8" t="s">
        <v>44</v>
      </c>
      <c r="U559" s="8" t="s">
        <v>58</v>
      </c>
      <c r="V559" s="8" t="s">
        <v>46</v>
      </c>
      <c r="W559" s="8">
        <v>0</v>
      </c>
    </row>
    <row r="560" spans="1:23" x14ac:dyDescent="0.25">
      <c r="A560" s="4"/>
      <c r="B560" s="4"/>
      <c r="C560" s="4">
        <v>887119</v>
      </c>
      <c r="D560" s="4">
        <v>5164.29</v>
      </c>
      <c r="E560" s="23">
        <f t="shared" si="8"/>
        <v>-0.28999999999996362</v>
      </c>
      <c r="F560" s="9">
        <v>45279</v>
      </c>
      <c r="G560" s="10">
        <v>330281431</v>
      </c>
      <c r="H560" s="9">
        <v>45272</v>
      </c>
      <c r="I560" s="9">
        <v>45287</v>
      </c>
      <c r="J560" s="8">
        <v>5164</v>
      </c>
      <c r="K560" s="8" t="s">
        <v>31</v>
      </c>
      <c r="L560" s="8" t="s">
        <v>32</v>
      </c>
      <c r="M560" s="8"/>
      <c r="N560" s="8" t="b">
        <v>0</v>
      </c>
      <c r="O560" s="10">
        <v>706732</v>
      </c>
      <c r="P560" s="8" t="s">
        <v>109</v>
      </c>
      <c r="Q560" s="8">
        <v>444788</v>
      </c>
      <c r="R560" s="9">
        <v>45272</v>
      </c>
      <c r="S560" s="8" t="s">
        <v>34</v>
      </c>
      <c r="T560" s="8" t="s">
        <v>44</v>
      </c>
      <c r="U560" s="8" t="s">
        <v>58</v>
      </c>
      <c r="V560" s="8" t="s">
        <v>46</v>
      </c>
      <c r="W560" s="8">
        <v>0</v>
      </c>
    </row>
    <row r="561" spans="1:23" x14ac:dyDescent="0.25">
      <c r="A561" s="4"/>
      <c r="B561" s="4"/>
      <c r="C561" s="4">
        <v>887121</v>
      </c>
      <c r="D561" s="22">
        <v>5164.29</v>
      </c>
      <c r="E561" s="5">
        <f t="shared" si="8"/>
        <v>-0.28999999999996362</v>
      </c>
      <c r="F561" s="9">
        <v>45279</v>
      </c>
      <c r="G561" s="10">
        <v>330281470</v>
      </c>
      <c r="H561" s="9">
        <v>45272</v>
      </c>
      <c r="I561" s="9">
        <v>45287</v>
      </c>
      <c r="J561" s="8">
        <v>5164</v>
      </c>
      <c r="K561" s="8" t="s">
        <v>31</v>
      </c>
      <c r="L561" s="8" t="s">
        <v>32</v>
      </c>
      <c r="M561" s="8"/>
      <c r="N561" s="8" t="b">
        <v>0</v>
      </c>
      <c r="O561" s="10">
        <v>706734</v>
      </c>
      <c r="P561" s="8" t="s">
        <v>275</v>
      </c>
      <c r="Q561" s="8">
        <v>444802</v>
      </c>
      <c r="R561" s="9">
        <v>45272</v>
      </c>
      <c r="S561" s="8" t="s">
        <v>34</v>
      </c>
      <c r="T561" s="8" t="s">
        <v>44</v>
      </c>
      <c r="U561" s="8" t="s">
        <v>58</v>
      </c>
      <c r="V561" s="8" t="s">
        <v>46</v>
      </c>
      <c r="W561" s="8">
        <v>0</v>
      </c>
    </row>
    <row r="562" spans="1:23" x14ac:dyDescent="0.25">
      <c r="A562" s="4"/>
      <c r="B562" s="4"/>
      <c r="C562" s="4">
        <v>887123</v>
      </c>
      <c r="D562" s="22">
        <v>5164.29</v>
      </c>
      <c r="E562" s="5">
        <f t="shared" si="8"/>
        <v>-0.28999999999996362</v>
      </c>
      <c r="F562" s="9">
        <v>45279</v>
      </c>
      <c r="G562" s="10">
        <v>330281482</v>
      </c>
      <c r="H562" s="9">
        <v>45272</v>
      </c>
      <c r="I562" s="9">
        <v>45287</v>
      </c>
      <c r="J562" s="8">
        <v>5164</v>
      </c>
      <c r="K562" s="8" t="s">
        <v>31</v>
      </c>
      <c r="L562" s="8" t="s">
        <v>32</v>
      </c>
      <c r="M562" s="8"/>
      <c r="N562" s="8" t="b">
        <v>0</v>
      </c>
      <c r="O562" s="10">
        <v>706727</v>
      </c>
      <c r="P562" s="8" t="s">
        <v>108</v>
      </c>
      <c r="Q562" s="8">
        <v>444786</v>
      </c>
      <c r="R562" s="9">
        <v>45272</v>
      </c>
      <c r="S562" s="8" t="s">
        <v>34</v>
      </c>
      <c r="T562" s="8" t="s">
        <v>44</v>
      </c>
      <c r="U562" s="8" t="s">
        <v>58</v>
      </c>
      <c r="V562" s="8" t="s">
        <v>46</v>
      </c>
      <c r="W562" s="8">
        <v>0</v>
      </c>
    </row>
    <row r="563" spans="1:23" x14ac:dyDescent="0.25">
      <c r="A563" s="4"/>
      <c r="B563" s="4"/>
      <c r="C563" s="4">
        <v>887609</v>
      </c>
      <c r="D563" s="22">
        <v>6405.27</v>
      </c>
      <c r="E563" s="5">
        <f t="shared" si="8"/>
        <v>-0.27000000000043656</v>
      </c>
      <c r="F563" s="9">
        <v>45279</v>
      </c>
      <c r="G563" s="10">
        <v>330298961</v>
      </c>
      <c r="H563" s="9">
        <v>45273</v>
      </c>
      <c r="I563" s="9">
        <v>45288</v>
      </c>
      <c r="J563" s="8">
        <v>6405</v>
      </c>
      <c r="K563" s="8" t="s">
        <v>31</v>
      </c>
      <c r="L563" s="8" t="s">
        <v>32</v>
      </c>
      <c r="M563" s="8"/>
      <c r="N563" s="8" t="b">
        <v>0</v>
      </c>
      <c r="O563" s="10">
        <v>709300</v>
      </c>
      <c r="P563" s="8" t="s">
        <v>100</v>
      </c>
      <c r="Q563" s="8">
        <v>457432</v>
      </c>
      <c r="R563" s="9">
        <v>45273</v>
      </c>
      <c r="S563" s="8" t="s">
        <v>48</v>
      </c>
      <c r="T563" s="8" t="s">
        <v>40</v>
      </c>
      <c r="U563" s="8" t="s">
        <v>50</v>
      </c>
      <c r="V563" s="8" t="s">
        <v>37</v>
      </c>
      <c r="W563" s="8">
        <v>0</v>
      </c>
    </row>
    <row r="564" spans="1:23" x14ac:dyDescent="0.25">
      <c r="A564" s="4"/>
      <c r="B564" s="4"/>
      <c r="C564" s="4">
        <v>887610</v>
      </c>
      <c r="D564" s="22">
        <v>5053</v>
      </c>
      <c r="E564" s="5">
        <f t="shared" si="8"/>
        <v>0</v>
      </c>
      <c r="F564" s="9">
        <v>45279</v>
      </c>
      <c r="G564" s="10">
        <v>330298990</v>
      </c>
      <c r="H564" s="9">
        <v>45273</v>
      </c>
      <c r="I564" s="9">
        <v>45288</v>
      </c>
      <c r="J564" s="8">
        <v>5053</v>
      </c>
      <c r="K564" s="8" t="s">
        <v>31</v>
      </c>
      <c r="L564" s="8" t="s">
        <v>32</v>
      </c>
      <c r="M564" s="8"/>
      <c r="N564" s="8" t="b">
        <v>0</v>
      </c>
      <c r="O564" s="10">
        <v>708975</v>
      </c>
      <c r="P564" s="8" t="s">
        <v>169</v>
      </c>
      <c r="Q564" s="8">
        <v>457426</v>
      </c>
      <c r="R564" s="9">
        <v>45273</v>
      </c>
      <c r="S564" s="8" t="s">
        <v>34</v>
      </c>
      <c r="T564" s="8" t="s">
        <v>40</v>
      </c>
      <c r="U564" s="8" t="s">
        <v>84</v>
      </c>
      <c r="V564" s="8" t="s">
        <v>46</v>
      </c>
      <c r="W564" s="8">
        <v>0</v>
      </c>
    </row>
    <row r="565" spans="1:23" x14ac:dyDescent="0.25">
      <c r="A565" s="4"/>
      <c r="B565" s="4"/>
      <c r="C565" s="4">
        <v>887611</v>
      </c>
      <c r="D565" s="22">
        <v>5053</v>
      </c>
      <c r="E565" s="5">
        <f t="shared" si="8"/>
        <v>0</v>
      </c>
      <c r="F565" s="9">
        <v>45279</v>
      </c>
      <c r="G565" s="10">
        <v>330299063</v>
      </c>
      <c r="H565" s="9">
        <v>45273</v>
      </c>
      <c r="I565" s="9">
        <v>45288</v>
      </c>
      <c r="J565" s="8">
        <v>5053</v>
      </c>
      <c r="K565" s="8" t="s">
        <v>31</v>
      </c>
      <c r="L565" s="8" t="s">
        <v>32</v>
      </c>
      <c r="M565" s="8"/>
      <c r="N565" s="8" t="b">
        <v>0</v>
      </c>
      <c r="O565" s="10">
        <v>708973</v>
      </c>
      <c r="P565" s="8" t="s">
        <v>104</v>
      </c>
      <c r="Q565" s="8">
        <v>457380</v>
      </c>
      <c r="R565" s="9">
        <v>45273</v>
      </c>
      <c r="S565" s="8" t="s">
        <v>34</v>
      </c>
      <c r="T565" s="8" t="s">
        <v>40</v>
      </c>
      <c r="U565" s="8" t="s">
        <v>84</v>
      </c>
      <c r="V565" s="8" t="s">
        <v>46</v>
      </c>
      <c r="W565" s="8">
        <v>0</v>
      </c>
    </row>
    <row r="566" spans="1:23" x14ac:dyDescent="0.25">
      <c r="A566" s="4"/>
      <c r="B566" s="4"/>
      <c r="C566" s="4">
        <v>887612</v>
      </c>
      <c r="D566" s="22">
        <v>5053</v>
      </c>
      <c r="E566" s="5">
        <f t="shared" si="8"/>
        <v>0</v>
      </c>
      <c r="F566" s="9">
        <v>45279</v>
      </c>
      <c r="G566" s="10">
        <v>330299068</v>
      </c>
      <c r="H566" s="9">
        <v>45273</v>
      </c>
      <c r="I566" s="9">
        <v>45288</v>
      </c>
      <c r="J566" s="8">
        <v>5053</v>
      </c>
      <c r="K566" s="8" t="s">
        <v>31</v>
      </c>
      <c r="L566" s="8" t="s">
        <v>32</v>
      </c>
      <c r="M566" s="8"/>
      <c r="N566" s="8" t="b">
        <v>0</v>
      </c>
      <c r="O566" s="10">
        <v>708974</v>
      </c>
      <c r="P566" s="8" t="s">
        <v>288</v>
      </c>
      <c r="Q566" s="8">
        <v>457418</v>
      </c>
      <c r="R566" s="9">
        <v>45273</v>
      </c>
      <c r="S566" s="8" t="s">
        <v>34</v>
      </c>
      <c r="T566" s="8" t="s">
        <v>40</v>
      </c>
      <c r="U566" s="8" t="s">
        <v>84</v>
      </c>
      <c r="V566" s="8" t="s">
        <v>46</v>
      </c>
      <c r="W566" s="8">
        <v>0</v>
      </c>
    </row>
    <row r="567" spans="1:23" x14ac:dyDescent="0.25">
      <c r="A567" s="4"/>
      <c r="B567" s="4"/>
      <c r="C567" s="4">
        <v>887613</v>
      </c>
      <c r="D567" s="22">
        <v>5053</v>
      </c>
      <c r="E567" s="5">
        <f t="shared" si="8"/>
        <v>0</v>
      </c>
      <c r="F567" s="9">
        <v>45279</v>
      </c>
      <c r="G567" s="10">
        <v>330299728</v>
      </c>
      <c r="H567" s="9">
        <v>45273</v>
      </c>
      <c r="I567" s="9">
        <v>45288</v>
      </c>
      <c r="J567" s="8">
        <v>5053</v>
      </c>
      <c r="K567" s="8" t="s">
        <v>31</v>
      </c>
      <c r="L567" s="8" t="s">
        <v>32</v>
      </c>
      <c r="M567" s="8"/>
      <c r="N567" s="8" t="b">
        <v>0</v>
      </c>
      <c r="O567" s="10">
        <v>708976</v>
      </c>
      <c r="P567" s="8" t="s">
        <v>192</v>
      </c>
      <c r="Q567" s="8">
        <v>457766</v>
      </c>
      <c r="R567" s="9">
        <v>45273</v>
      </c>
      <c r="S567" s="8" t="s">
        <v>34</v>
      </c>
      <c r="T567" s="8" t="s">
        <v>40</v>
      </c>
      <c r="U567" s="8" t="s">
        <v>84</v>
      </c>
      <c r="V567" s="8" t="s">
        <v>46</v>
      </c>
      <c r="W567" s="8">
        <v>0</v>
      </c>
    </row>
    <row r="568" spans="1:23" x14ac:dyDescent="0.25">
      <c r="A568" s="4"/>
      <c r="B568" s="4"/>
      <c r="C568" s="4">
        <v>887614</v>
      </c>
      <c r="D568" s="22">
        <v>5053</v>
      </c>
      <c r="E568" s="5">
        <f t="shared" si="8"/>
        <v>0</v>
      </c>
      <c r="F568" s="9">
        <v>45279</v>
      </c>
      <c r="G568" s="10">
        <v>330301156</v>
      </c>
      <c r="H568" s="9">
        <v>45273</v>
      </c>
      <c r="I568" s="9">
        <v>45288</v>
      </c>
      <c r="J568" s="8">
        <v>5053</v>
      </c>
      <c r="K568" s="8" t="s">
        <v>31</v>
      </c>
      <c r="L568" s="8" t="s">
        <v>32</v>
      </c>
      <c r="M568" s="8"/>
      <c r="N568" s="8" t="b">
        <v>0</v>
      </c>
      <c r="O568" s="10">
        <v>708977</v>
      </c>
      <c r="P568" s="8" t="s">
        <v>85</v>
      </c>
      <c r="Q568" s="8">
        <v>458979</v>
      </c>
      <c r="R568" s="9">
        <v>45273</v>
      </c>
      <c r="S568" s="8" t="s">
        <v>34</v>
      </c>
      <c r="T568" s="8" t="s">
        <v>40</v>
      </c>
      <c r="U568" s="8" t="s">
        <v>84</v>
      </c>
      <c r="V568" s="8" t="s">
        <v>46</v>
      </c>
      <c r="W568" s="8">
        <v>0</v>
      </c>
    </row>
    <row r="569" spans="1:23" x14ac:dyDescent="0.25">
      <c r="A569" s="4"/>
      <c r="B569" s="4"/>
      <c r="C569" s="4">
        <v>887646</v>
      </c>
      <c r="D569" s="22">
        <v>7028.06</v>
      </c>
      <c r="E569" s="5">
        <f t="shared" si="8"/>
        <v>-6.0000000000400178E-2</v>
      </c>
      <c r="F569" s="9">
        <v>45279</v>
      </c>
      <c r="G569" s="10">
        <v>330302960</v>
      </c>
      <c r="H569" s="9">
        <v>45273</v>
      </c>
      <c r="I569" s="9">
        <v>45288</v>
      </c>
      <c r="J569" s="8">
        <v>7028</v>
      </c>
      <c r="K569" s="8" t="s">
        <v>31</v>
      </c>
      <c r="L569" s="8" t="s">
        <v>32</v>
      </c>
      <c r="M569" s="8"/>
      <c r="N569" s="8" t="b">
        <v>0</v>
      </c>
      <c r="O569" s="16">
        <v>21160</v>
      </c>
      <c r="P569" s="8" t="s">
        <v>101</v>
      </c>
      <c r="Q569" s="8">
        <v>461512</v>
      </c>
      <c r="R569" s="9">
        <v>45273</v>
      </c>
      <c r="S569" s="8" t="s">
        <v>39</v>
      </c>
      <c r="T569" s="8" t="s">
        <v>40</v>
      </c>
      <c r="U569" s="8" t="s">
        <v>41</v>
      </c>
      <c r="V569" s="8" t="s">
        <v>42</v>
      </c>
      <c r="W569" s="8">
        <v>0</v>
      </c>
    </row>
    <row r="570" spans="1:23" x14ac:dyDescent="0.25">
      <c r="A570" s="4"/>
      <c r="B570" s="4"/>
      <c r="C570" s="4">
        <v>887615</v>
      </c>
      <c r="D570" s="22">
        <v>6405.27</v>
      </c>
      <c r="E570" s="5">
        <f t="shared" si="8"/>
        <v>-0.27000000000043656</v>
      </c>
      <c r="F570" s="9">
        <v>45279</v>
      </c>
      <c r="G570" s="10">
        <v>330303421</v>
      </c>
      <c r="H570" s="9">
        <v>45273</v>
      </c>
      <c r="I570" s="9">
        <v>45288</v>
      </c>
      <c r="J570" s="8">
        <v>6405</v>
      </c>
      <c r="K570" s="8" t="s">
        <v>31</v>
      </c>
      <c r="L570" s="8" t="s">
        <v>32</v>
      </c>
      <c r="M570" s="8"/>
      <c r="N570" s="8" t="b">
        <v>0</v>
      </c>
      <c r="O570" s="10">
        <v>709301</v>
      </c>
      <c r="P570" s="8" t="s">
        <v>144</v>
      </c>
      <c r="Q570" s="8">
        <v>461883</v>
      </c>
      <c r="R570" s="9">
        <v>45273</v>
      </c>
      <c r="S570" s="8" t="s">
        <v>48</v>
      </c>
      <c r="T570" s="8" t="s">
        <v>40</v>
      </c>
      <c r="U570" s="8" t="s">
        <v>50</v>
      </c>
      <c r="V570" s="8" t="s">
        <v>37</v>
      </c>
      <c r="W570" s="8">
        <v>0</v>
      </c>
    </row>
    <row r="571" spans="1:23" x14ac:dyDescent="0.25">
      <c r="A571" s="4"/>
      <c r="B571" s="4"/>
      <c r="C571" s="4">
        <v>887192</v>
      </c>
      <c r="D571" s="22">
        <v>79027.199999999997</v>
      </c>
      <c r="E571" s="5">
        <f t="shared" si="8"/>
        <v>-7.1999999999970896</v>
      </c>
      <c r="F571" s="9">
        <v>45279</v>
      </c>
      <c r="G571" s="10">
        <v>330318279</v>
      </c>
      <c r="H571" s="9">
        <v>45274</v>
      </c>
      <c r="I571" s="9">
        <v>45289</v>
      </c>
      <c r="J571" s="8">
        <v>79020</v>
      </c>
      <c r="K571" s="8" t="s">
        <v>31</v>
      </c>
      <c r="L571" s="8" t="s">
        <v>32</v>
      </c>
      <c r="M571" s="8"/>
      <c r="N571" s="8" t="b">
        <v>0</v>
      </c>
      <c r="O571" s="16">
        <v>709534</v>
      </c>
      <c r="P571" s="8" t="s">
        <v>248</v>
      </c>
      <c r="Q571" s="8">
        <v>472456</v>
      </c>
      <c r="R571" s="9">
        <v>45274</v>
      </c>
      <c r="S571" s="8" t="s">
        <v>34</v>
      </c>
      <c r="T571" s="8" t="s">
        <v>49</v>
      </c>
      <c r="U571" s="8" t="s">
        <v>75</v>
      </c>
      <c r="V571" s="8" t="s">
        <v>46</v>
      </c>
      <c r="W571" s="8">
        <v>0</v>
      </c>
    </row>
    <row r="572" spans="1:23" x14ac:dyDescent="0.25">
      <c r="A572" s="4"/>
      <c r="B572" s="4"/>
      <c r="C572" s="4">
        <v>887628</v>
      </c>
      <c r="D572" s="22">
        <v>5195.6499999999996</v>
      </c>
      <c r="E572" s="5">
        <f t="shared" si="8"/>
        <v>0.3500000000003638</v>
      </c>
      <c r="F572" s="9">
        <v>45279</v>
      </c>
      <c r="G572" s="10">
        <v>330323571</v>
      </c>
      <c r="H572" s="9">
        <v>45274</v>
      </c>
      <c r="I572" s="9">
        <v>45289</v>
      </c>
      <c r="J572" s="8">
        <v>5196</v>
      </c>
      <c r="K572" s="8" t="s">
        <v>31</v>
      </c>
      <c r="L572" s="8" t="s">
        <v>32</v>
      </c>
      <c r="M572" s="8"/>
      <c r="N572" s="8" t="b">
        <v>0</v>
      </c>
      <c r="O572" s="10">
        <v>708962</v>
      </c>
      <c r="P572" s="8" t="s">
        <v>118</v>
      </c>
      <c r="Q572" s="8">
        <v>476377</v>
      </c>
      <c r="R572" s="9">
        <v>45274</v>
      </c>
      <c r="S572" s="8" t="s">
        <v>48</v>
      </c>
      <c r="T572" s="8" t="s">
        <v>40</v>
      </c>
      <c r="U572" s="8" t="s">
        <v>45</v>
      </c>
      <c r="V572" s="8" t="s">
        <v>46</v>
      </c>
      <c r="W572" s="8">
        <v>0</v>
      </c>
    </row>
    <row r="573" spans="1:23" x14ac:dyDescent="0.25">
      <c r="A573" s="4"/>
      <c r="B573" s="4"/>
      <c r="C573" s="4">
        <v>887631</v>
      </c>
      <c r="D573" s="22">
        <v>5053</v>
      </c>
      <c r="E573" s="5">
        <f t="shared" si="8"/>
        <v>0</v>
      </c>
      <c r="F573" s="9">
        <v>45279</v>
      </c>
      <c r="G573" s="10">
        <v>330323572</v>
      </c>
      <c r="H573" s="9">
        <v>45274</v>
      </c>
      <c r="I573" s="9">
        <v>45289</v>
      </c>
      <c r="J573" s="8">
        <v>5053</v>
      </c>
      <c r="K573" s="8" t="s">
        <v>31</v>
      </c>
      <c r="L573" s="8" t="s">
        <v>32</v>
      </c>
      <c r="M573" s="8"/>
      <c r="N573" s="8" t="b">
        <v>0</v>
      </c>
      <c r="O573" s="10">
        <v>708978</v>
      </c>
      <c r="P573" s="8" t="s">
        <v>154</v>
      </c>
      <c r="Q573" s="8">
        <v>476268</v>
      </c>
      <c r="R573" s="9">
        <v>45274</v>
      </c>
      <c r="S573" s="8" t="s">
        <v>34</v>
      </c>
      <c r="T573" s="8" t="s">
        <v>40</v>
      </c>
      <c r="U573" s="8" t="s">
        <v>84</v>
      </c>
      <c r="V573" s="8" t="s">
        <v>46</v>
      </c>
      <c r="W573" s="8">
        <v>0</v>
      </c>
    </row>
    <row r="574" spans="1:23" x14ac:dyDescent="0.25">
      <c r="A574" s="4"/>
      <c r="B574" s="4"/>
      <c r="C574" s="4">
        <v>887632</v>
      </c>
      <c r="D574" s="22">
        <v>5053</v>
      </c>
      <c r="E574" s="5">
        <f t="shared" si="8"/>
        <v>0</v>
      </c>
      <c r="F574" s="9">
        <v>45279</v>
      </c>
      <c r="G574" s="10">
        <v>330323583</v>
      </c>
      <c r="H574" s="9">
        <v>45274</v>
      </c>
      <c r="I574" s="9">
        <v>45289</v>
      </c>
      <c r="J574" s="8">
        <v>5053</v>
      </c>
      <c r="K574" s="8" t="s">
        <v>31</v>
      </c>
      <c r="L574" s="8" t="s">
        <v>32</v>
      </c>
      <c r="M574" s="8"/>
      <c r="N574" s="8" t="b">
        <v>0</v>
      </c>
      <c r="O574" s="10">
        <v>708979</v>
      </c>
      <c r="P574" s="8" t="s">
        <v>175</v>
      </c>
      <c r="Q574" s="8">
        <v>476286</v>
      </c>
      <c r="R574" s="9">
        <v>45274</v>
      </c>
      <c r="S574" s="8" t="s">
        <v>34</v>
      </c>
      <c r="T574" s="8" t="s">
        <v>40</v>
      </c>
      <c r="U574" s="8" t="s">
        <v>84</v>
      </c>
      <c r="V574" s="8" t="s">
        <v>46</v>
      </c>
      <c r="W574" s="8">
        <v>0</v>
      </c>
    </row>
    <row r="575" spans="1:23" x14ac:dyDescent="0.25">
      <c r="A575" s="4"/>
      <c r="B575" s="4"/>
      <c r="C575" s="4">
        <v>886719</v>
      </c>
      <c r="D575" s="22">
        <v>5195.6499999999996</v>
      </c>
      <c r="E575" s="5">
        <f t="shared" si="8"/>
        <v>0.3500000000003638</v>
      </c>
      <c r="F575" s="9">
        <v>45279</v>
      </c>
      <c r="G575" s="10">
        <v>330323587</v>
      </c>
      <c r="H575" s="9">
        <v>45274</v>
      </c>
      <c r="I575" s="9">
        <v>45289</v>
      </c>
      <c r="J575" s="8">
        <v>5196</v>
      </c>
      <c r="K575" s="8" t="s">
        <v>31</v>
      </c>
      <c r="L575" s="8" t="s">
        <v>32</v>
      </c>
      <c r="M575" s="8"/>
      <c r="N575" s="8" t="b">
        <v>0</v>
      </c>
      <c r="O575" s="10">
        <v>708959</v>
      </c>
      <c r="P575" s="8" t="s">
        <v>115</v>
      </c>
      <c r="Q575" s="8">
        <v>476347</v>
      </c>
      <c r="R575" s="9">
        <v>45274</v>
      </c>
      <c r="S575" s="8" t="s">
        <v>48</v>
      </c>
      <c r="T575" s="8" t="s">
        <v>40</v>
      </c>
      <c r="U575" s="8" t="s">
        <v>45</v>
      </c>
      <c r="V575" s="8" t="s">
        <v>46</v>
      </c>
      <c r="W575" s="8">
        <v>0</v>
      </c>
    </row>
    <row r="576" spans="1:23" x14ac:dyDescent="0.25">
      <c r="A576" s="4"/>
      <c r="B576" s="4"/>
      <c r="C576" s="4">
        <v>887633</v>
      </c>
      <c r="D576" s="22">
        <v>5053</v>
      </c>
      <c r="E576" s="5">
        <f t="shared" si="8"/>
        <v>0</v>
      </c>
      <c r="F576" s="9">
        <v>45279</v>
      </c>
      <c r="G576" s="10">
        <v>330323591</v>
      </c>
      <c r="H576" s="9">
        <v>45274</v>
      </c>
      <c r="I576" s="9">
        <v>45289</v>
      </c>
      <c r="J576" s="8">
        <v>5053</v>
      </c>
      <c r="K576" s="8" t="s">
        <v>31</v>
      </c>
      <c r="L576" s="8" t="s">
        <v>32</v>
      </c>
      <c r="M576" s="8"/>
      <c r="N576" s="8" t="b">
        <v>0</v>
      </c>
      <c r="O576" s="10">
        <v>709003</v>
      </c>
      <c r="P576" s="8" t="s">
        <v>134</v>
      </c>
      <c r="Q576" s="8">
        <v>476315</v>
      </c>
      <c r="R576" s="9">
        <v>45274</v>
      </c>
      <c r="S576" s="8" t="s">
        <v>34</v>
      </c>
      <c r="T576" s="8" t="s">
        <v>40</v>
      </c>
      <c r="U576" s="8" t="s">
        <v>84</v>
      </c>
      <c r="V576" s="8" t="s">
        <v>46</v>
      </c>
      <c r="W576" s="8">
        <v>0</v>
      </c>
    </row>
    <row r="577" spans="1:23" x14ac:dyDescent="0.25">
      <c r="A577" s="4"/>
      <c r="B577" s="4"/>
      <c r="C577" s="4">
        <v>887634</v>
      </c>
      <c r="D577" s="22">
        <v>5195.6499999999996</v>
      </c>
      <c r="E577" s="5">
        <f t="shared" si="8"/>
        <v>0.3500000000003638</v>
      </c>
      <c r="F577" s="9">
        <v>45279</v>
      </c>
      <c r="G577" s="10">
        <v>330323597</v>
      </c>
      <c r="H577" s="9">
        <v>45274</v>
      </c>
      <c r="I577" s="9">
        <v>45289</v>
      </c>
      <c r="J577" s="8">
        <v>5196</v>
      </c>
      <c r="K577" s="8" t="s">
        <v>31</v>
      </c>
      <c r="L577" s="8" t="s">
        <v>32</v>
      </c>
      <c r="M577" s="8"/>
      <c r="N577" s="8" t="b">
        <v>0</v>
      </c>
      <c r="O577" s="10">
        <v>708960</v>
      </c>
      <c r="P577" s="8" t="s">
        <v>111</v>
      </c>
      <c r="Q577" s="8">
        <v>476354</v>
      </c>
      <c r="R577" s="9">
        <v>45274</v>
      </c>
      <c r="S577" s="8" t="s">
        <v>48</v>
      </c>
      <c r="T577" s="8" t="s">
        <v>40</v>
      </c>
      <c r="U577" s="8" t="s">
        <v>45</v>
      </c>
      <c r="V577" s="8" t="s">
        <v>46</v>
      </c>
      <c r="W577" s="8">
        <v>0</v>
      </c>
    </row>
    <row r="578" spans="1:23" x14ac:dyDescent="0.25">
      <c r="A578" s="4"/>
      <c r="B578" s="4"/>
      <c r="C578" s="4">
        <v>887635</v>
      </c>
      <c r="D578" s="22">
        <v>5195.6499999999996</v>
      </c>
      <c r="E578" s="5">
        <f t="shared" si="8"/>
        <v>0.3500000000003638</v>
      </c>
      <c r="F578" s="9">
        <v>45279</v>
      </c>
      <c r="G578" s="10">
        <v>330323600</v>
      </c>
      <c r="H578" s="9">
        <v>45274</v>
      </c>
      <c r="I578" s="9">
        <v>45289</v>
      </c>
      <c r="J578" s="8">
        <v>5196</v>
      </c>
      <c r="K578" s="8" t="s">
        <v>31</v>
      </c>
      <c r="L578" s="8" t="s">
        <v>32</v>
      </c>
      <c r="M578" s="8"/>
      <c r="N578" s="8" t="b">
        <v>0</v>
      </c>
      <c r="O578" s="10">
        <v>708963</v>
      </c>
      <c r="P578" s="8" t="s">
        <v>53</v>
      </c>
      <c r="Q578" s="8">
        <v>476424</v>
      </c>
      <c r="R578" s="9">
        <v>45274</v>
      </c>
      <c r="S578" s="8" t="s">
        <v>48</v>
      </c>
      <c r="T578" s="8" t="s">
        <v>40</v>
      </c>
      <c r="U578" s="8" t="s">
        <v>45</v>
      </c>
      <c r="V578" s="8" t="s">
        <v>46</v>
      </c>
      <c r="W578" s="8">
        <v>0</v>
      </c>
    </row>
    <row r="579" spans="1:23" x14ac:dyDescent="0.25">
      <c r="A579" s="4"/>
      <c r="B579" s="4"/>
      <c r="C579" s="4">
        <v>887636</v>
      </c>
      <c r="D579" s="22">
        <v>5053</v>
      </c>
      <c r="E579" s="5">
        <f t="shared" si="8"/>
        <v>0</v>
      </c>
      <c r="F579" s="9">
        <v>45279</v>
      </c>
      <c r="G579" s="10">
        <v>330323621</v>
      </c>
      <c r="H579" s="9">
        <v>45274</v>
      </c>
      <c r="I579" s="9">
        <v>45289</v>
      </c>
      <c r="J579" s="8">
        <v>5053</v>
      </c>
      <c r="K579" s="8" t="s">
        <v>31</v>
      </c>
      <c r="L579" s="8" t="s">
        <v>32</v>
      </c>
      <c r="M579" s="8"/>
      <c r="N579" s="8" t="b">
        <v>0</v>
      </c>
      <c r="O579" s="10">
        <v>709004</v>
      </c>
      <c r="P579" s="8" t="s">
        <v>81</v>
      </c>
      <c r="Q579" s="8">
        <v>476325</v>
      </c>
      <c r="R579" s="9">
        <v>45274</v>
      </c>
      <c r="S579" s="8" t="s">
        <v>34</v>
      </c>
      <c r="T579" s="8" t="s">
        <v>40</v>
      </c>
      <c r="U579" s="8" t="s">
        <v>84</v>
      </c>
      <c r="V579" s="8" t="s">
        <v>46</v>
      </c>
      <c r="W579" s="8">
        <v>0</v>
      </c>
    </row>
    <row r="580" spans="1:23" x14ac:dyDescent="0.25">
      <c r="A580" s="4"/>
      <c r="B580" s="4"/>
      <c r="C580" s="4">
        <v>887637</v>
      </c>
      <c r="D580" s="22">
        <v>5195.6499999999996</v>
      </c>
      <c r="E580" s="5">
        <f t="shared" si="8"/>
        <v>0.3500000000003638</v>
      </c>
      <c r="F580" s="9">
        <v>45279</v>
      </c>
      <c r="G580" s="10">
        <v>330323632</v>
      </c>
      <c r="H580" s="9">
        <v>45274</v>
      </c>
      <c r="I580" s="9">
        <v>45289</v>
      </c>
      <c r="J580" s="8">
        <v>5196</v>
      </c>
      <c r="K580" s="8" t="s">
        <v>31</v>
      </c>
      <c r="L580" s="8" t="s">
        <v>32</v>
      </c>
      <c r="M580" s="8"/>
      <c r="N580" s="8" t="b">
        <v>0</v>
      </c>
      <c r="O580" s="10">
        <v>708961</v>
      </c>
      <c r="P580" s="8" t="s">
        <v>112</v>
      </c>
      <c r="Q580" s="8">
        <v>476365</v>
      </c>
      <c r="R580" s="9">
        <v>45274</v>
      </c>
      <c r="S580" s="8" t="s">
        <v>48</v>
      </c>
      <c r="T580" s="8" t="s">
        <v>40</v>
      </c>
      <c r="U580" s="8" t="s">
        <v>45</v>
      </c>
      <c r="V580" s="8" t="s">
        <v>46</v>
      </c>
      <c r="W580" s="8">
        <v>0</v>
      </c>
    </row>
    <row r="581" spans="1:23" x14ac:dyDescent="0.25">
      <c r="A581" s="4"/>
      <c r="B581" s="4"/>
      <c r="C581" s="4">
        <v>887638</v>
      </c>
      <c r="D581" s="22">
        <v>5164.29</v>
      </c>
      <c r="E581" s="5">
        <f t="shared" si="8"/>
        <v>-0.28999999999996362</v>
      </c>
      <c r="F581" s="9">
        <v>45279</v>
      </c>
      <c r="G581" s="10">
        <v>330323950</v>
      </c>
      <c r="H581" s="9">
        <v>45274</v>
      </c>
      <c r="I581" s="9">
        <v>45289</v>
      </c>
      <c r="J581" s="8">
        <v>5164</v>
      </c>
      <c r="K581" s="8" t="s">
        <v>31</v>
      </c>
      <c r="L581" s="8" t="s">
        <v>32</v>
      </c>
      <c r="M581" s="8"/>
      <c r="N581" s="8" t="b">
        <v>0</v>
      </c>
      <c r="O581" s="10">
        <v>705142</v>
      </c>
      <c r="P581" s="8" t="s">
        <v>346</v>
      </c>
      <c r="Q581" s="8">
        <v>476600</v>
      </c>
      <c r="R581" s="9">
        <v>45274</v>
      </c>
      <c r="S581" s="8" t="s">
        <v>34</v>
      </c>
      <c r="T581" s="8" t="s">
        <v>44</v>
      </c>
      <c r="U581" s="8" t="s">
        <v>58</v>
      </c>
      <c r="V581" s="8" t="s">
        <v>46</v>
      </c>
      <c r="W581" s="8">
        <v>0</v>
      </c>
    </row>
    <row r="582" spans="1:23" x14ac:dyDescent="0.25">
      <c r="A582" s="4"/>
      <c r="B582" s="4"/>
      <c r="C582" s="4">
        <v>887347</v>
      </c>
      <c r="D582" s="22">
        <v>5166.74</v>
      </c>
      <c r="E582" s="17">
        <f t="shared" ref="E582:E645" si="9">J582-D582</f>
        <v>0.26000000000021828</v>
      </c>
      <c r="F582" s="9">
        <v>45279</v>
      </c>
      <c r="G582" s="10">
        <v>330323997</v>
      </c>
      <c r="H582" s="9">
        <v>45274</v>
      </c>
      <c r="I582" s="9">
        <v>45289</v>
      </c>
      <c r="J582" s="8">
        <v>5167</v>
      </c>
      <c r="K582" s="8" t="s">
        <v>31</v>
      </c>
      <c r="L582" s="8" t="s">
        <v>32</v>
      </c>
      <c r="M582" s="8"/>
      <c r="N582" s="8" t="b">
        <v>0</v>
      </c>
      <c r="O582" s="10">
        <v>702414</v>
      </c>
      <c r="P582" s="8" t="s">
        <v>347</v>
      </c>
      <c r="Q582" s="8">
        <v>476581</v>
      </c>
      <c r="R582" s="9">
        <v>45274</v>
      </c>
      <c r="S582" s="8" t="s">
        <v>180</v>
      </c>
      <c r="T582" s="8" t="s">
        <v>44</v>
      </c>
      <c r="U582" s="8" t="s">
        <v>45</v>
      </c>
      <c r="V582" s="8" t="s">
        <v>46</v>
      </c>
      <c r="W582" s="8">
        <v>0</v>
      </c>
    </row>
    <row r="583" spans="1:23" x14ac:dyDescent="0.25">
      <c r="A583" s="4"/>
      <c r="B583" s="4"/>
      <c r="C583" s="4">
        <v>887640</v>
      </c>
      <c r="D583" s="22">
        <v>5164.29</v>
      </c>
      <c r="E583" s="5">
        <f t="shared" si="9"/>
        <v>-0.28999999999996362</v>
      </c>
      <c r="F583" s="9">
        <v>45279</v>
      </c>
      <c r="G583" s="10">
        <v>330324228</v>
      </c>
      <c r="H583" s="9">
        <v>45274</v>
      </c>
      <c r="I583" s="9">
        <v>45289</v>
      </c>
      <c r="J583" s="8">
        <v>5164</v>
      </c>
      <c r="K583" s="8" t="s">
        <v>31</v>
      </c>
      <c r="L583" s="8" t="s">
        <v>32</v>
      </c>
      <c r="M583" s="8"/>
      <c r="N583" s="8" t="b">
        <v>0</v>
      </c>
      <c r="O583" s="10">
        <v>706743</v>
      </c>
      <c r="P583" s="8" t="s">
        <v>348</v>
      </c>
      <c r="Q583" s="8">
        <v>476628</v>
      </c>
      <c r="R583" s="9">
        <v>45274</v>
      </c>
      <c r="S583" s="8" t="s">
        <v>34</v>
      </c>
      <c r="T583" s="8" t="s">
        <v>44</v>
      </c>
      <c r="U583" s="8" t="s">
        <v>58</v>
      </c>
      <c r="V583" s="8" t="s">
        <v>46</v>
      </c>
      <c r="W583" s="8">
        <v>0</v>
      </c>
    </row>
    <row r="584" spans="1:23" x14ac:dyDescent="0.25">
      <c r="A584" s="4"/>
      <c r="B584" s="4"/>
      <c r="C584" s="4">
        <v>887641</v>
      </c>
      <c r="D584" s="22">
        <v>5164.29</v>
      </c>
      <c r="E584" s="5">
        <f t="shared" si="9"/>
        <v>-0.28999999999996362</v>
      </c>
      <c r="F584" s="9">
        <v>45279</v>
      </c>
      <c r="G584" s="10">
        <v>330324262</v>
      </c>
      <c r="H584" s="9">
        <v>45274</v>
      </c>
      <c r="I584" s="9">
        <v>45289</v>
      </c>
      <c r="J584" s="8">
        <v>5164</v>
      </c>
      <c r="K584" s="8" t="s">
        <v>31</v>
      </c>
      <c r="L584" s="8" t="s">
        <v>32</v>
      </c>
      <c r="M584" s="8"/>
      <c r="N584" s="8" t="b">
        <v>0</v>
      </c>
      <c r="O584" s="10">
        <v>706744</v>
      </c>
      <c r="P584" s="8" t="s">
        <v>349</v>
      </c>
      <c r="Q584" s="8">
        <v>476633</v>
      </c>
      <c r="R584" s="9">
        <v>45274</v>
      </c>
      <c r="S584" s="8" t="s">
        <v>34</v>
      </c>
      <c r="T584" s="8" t="s">
        <v>44</v>
      </c>
      <c r="U584" s="8" t="s">
        <v>58</v>
      </c>
      <c r="V584" s="8" t="s">
        <v>46</v>
      </c>
      <c r="W584" s="8">
        <v>0</v>
      </c>
    </row>
    <row r="585" spans="1:23" x14ac:dyDescent="0.25">
      <c r="A585" s="4"/>
      <c r="B585" s="4"/>
      <c r="C585" s="4">
        <v>887642</v>
      </c>
      <c r="D585" s="22">
        <v>6405.27</v>
      </c>
      <c r="E585" s="5">
        <f t="shared" si="9"/>
        <v>-0.27000000000043656</v>
      </c>
      <c r="F585" s="9">
        <v>45279</v>
      </c>
      <c r="G585" s="10">
        <v>330324997</v>
      </c>
      <c r="H585" s="9">
        <v>45275</v>
      </c>
      <c r="I585" s="9">
        <v>45290</v>
      </c>
      <c r="J585" s="8">
        <v>6405</v>
      </c>
      <c r="K585" s="8" t="s">
        <v>31</v>
      </c>
      <c r="L585" s="8" t="s">
        <v>32</v>
      </c>
      <c r="M585" s="8"/>
      <c r="N585" s="8" t="b">
        <v>0</v>
      </c>
      <c r="O585" s="10">
        <v>709302</v>
      </c>
      <c r="P585" s="8" t="s">
        <v>190</v>
      </c>
      <c r="Q585" s="8">
        <v>477116</v>
      </c>
      <c r="R585" s="9">
        <v>45274</v>
      </c>
      <c r="S585" s="8" t="s">
        <v>48</v>
      </c>
      <c r="T585" s="8" t="s">
        <v>40</v>
      </c>
      <c r="U585" s="8" t="s">
        <v>50</v>
      </c>
      <c r="V585" s="8" t="s">
        <v>37</v>
      </c>
      <c r="W585" s="8">
        <v>0</v>
      </c>
    </row>
    <row r="586" spans="1:23" x14ac:dyDescent="0.25">
      <c r="A586" s="4"/>
      <c r="B586" s="4"/>
      <c r="C586" s="4">
        <v>887643</v>
      </c>
      <c r="D586" s="22">
        <v>6405.27</v>
      </c>
      <c r="E586" s="5">
        <f t="shared" si="9"/>
        <v>-0.27000000000043656</v>
      </c>
      <c r="F586" s="9">
        <v>45279</v>
      </c>
      <c r="G586" s="10">
        <v>330325381</v>
      </c>
      <c r="H586" s="9">
        <v>45275</v>
      </c>
      <c r="I586" s="9">
        <v>45290</v>
      </c>
      <c r="J586" s="8">
        <v>6405</v>
      </c>
      <c r="K586" s="8" t="s">
        <v>31</v>
      </c>
      <c r="L586" s="8" t="s">
        <v>32</v>
      </c>
      <c r="M586" s="8"/>
      <c r="N586" s="8" t="b">
        <v>0</v>
      </c>
      <c r="O586" s="10">
        <v>709303</v>
      </c>
      <c r="P586" s="8" t="s">
        <v>52</v>
      </c>
      <c r="Q586" s="8">
        <v>477446</v>
      </c>
      <c r="R586" s="9">
        <v>45274</v>
      </c>
      <c r="S586" s="8" t="s">
        <v>48</v>
      </c>
      <c r="T586" s="8" t="s">
        <v>40</v>
      </c>
      <c r="U586" s="8" t="s">
        <v>50</v>
      </c>
      <c r="V586" s="8" t="s">
        <v>37</v>
      </c>
      <c r="W586" s="8">
        <v>0</v>
      </c>
    </row>
    <row r="587" spans="1:23" x14ac:dyDescent="0.25">
      <c r="A587" s="4"/>
      <c r="B587" s="4"/>
      <c r="C587" s="4">
        <v>887644</v>
      </c>
      <c r="D587" s="22">
        <v>6405.27</v>
      </c>
      <c r="E587" s="5">
        <f t="shared" si="9"/>
        <v>-0.27000000000043656</v>
      </c>
      <c r="F587" s="9">
        <v>45279</v>
      </c>
      <c r="G587" s="10">
        <v>330326377</v>
      </c>
      <c r="H587" s="9">
        <v>45275</v>
      </c>
      <c r="I587" s="9">
        <v>45290</v>
      </c>
      <c r="J587" s="8">
        <v>6405</v>
      </c>
      <c r="K587" s="8" t="s">
        <v>31</v>
      </c>
      <c r="L587" s="8" t="s">
        <v>32</v>
      </c>
      <c r="M587" s="8"/>
      <c r="N587" s="8" t="b">
        <v>0</v>
      </c>
      <c r="O587" s="10">
        <v>709304</v>
      </c>
      <c r="P587" s="8" t="s">
        <v>91</v>
      </c>
      <c r="Q587" s="8">
        <v>478151</v>
      </c>
      <c r="R587" s="9">
        <v>45274</v>
      </c>
      <c r="S587" s="8" t="s">
        <v>48</v>
      </c>
      <c r="T587" s="8" t="s">
        <v>40</v>
      </c>
      <c r="U587" s="8" t="s">
        <v>50</v>
      </c>
      <c r="V587" s="8" t="s">
        <v>37</v>
      </c>
      <c r="W587" s="8">
        <v>0</v>
      </c>
    </row>
    <row r="588" spans="1:23" x14ac:dyDescent="0.25">
      <c r="A588" s="4"/>
      <c r="B588" s="4"/>
      <c r="C588" s="4">
        <v>885581</v>
      </c>
      <c r="D588" s="22">
        <v>6338.48</v>
      </c>
      <c r="E588" s="5">
        <f t="shared" si="9"/>
        <v>-0.47999999999956344</v>
      </c>
      <c r="F588" s="9">
        <v>45279</v>
      </c>
      <c r="G588" s="10">
        <v>330331159</v>
      </c>
      <c r="H588" s="9">
        <v>45275</v>
      </c>
      <c r="I588" s="9">
        <v>45290</v>
      </c>
      <c r="J588" s="8">
        <v>6338</v>
      </c>
      <c r="K588" s="8" t="s">
        <v>31</v>
      </c>
      <c r="L588" s="8" t="s">
        <v>32</v>
      </c>
      <c r="M588" s="8"/>
      <c r="N588" s="8" t="b">
        <v>0</v>
      </c>
      <c r="O588" s="10">
        <v>708242</v>
      </c>
      <c r="P588" s="8" t="s">
        <v>208</v>
      </c>
      <c r="Q588" s="8">
        <v>456920</v>
      </c>
      <c r="R588" s="9">
        <v>45273</v>
      </c>
      <c r="S588" s="8" t="s">
        <v>34</v>
      </c>
      <c r="T588" s="8" t="s">
        <v>209</v>
      </c>
      <c r="U588" s="8" t="s">
        <v>58</v>
      </c>
      <c r="V588" s="8" t="s">
        <v>46</v>
      </c>
      <c r="W588" s="8">
        <v>0</v>
      </c>
    </row>
    <row r="589" spans="1:23" x14ac:dyDescent="0.25">
      <c r="A589" s="4"/>
      <c r="B589" s="4"/>
      <c r="C589" s="18" t="s">
        <v>350</v>
      </c>
      <c r="D589" s="22">
        <f>7911.37+7911.37+7911.37</f>
        <v>23734.11</v>
      </c>
      <c r="E589" s="19">
        <f t="shared" si="9"/>
        <v>-1.1100000000005821</v>
      </c>
      <c r="F589" s="9">
        <v>45288</v>
      </c>
      <c r="G589" s="10">
        <v>330361280</v>
      </c>
      <c r="H589" s="9">
        <v>45278</v>
      </c>
      <c r="I589" s="9">
        <v>45293</v>
      </c>
      <c r="J589" s="8">
        <v>23733</v>
      </c>
      <c r="K589" s="8" t="s">
        <v>31</v>
      </c>
      <c r="L589" s="8" t="s">
        <v>32</v>
      </c>
      <c r="M589" s="8"/>
      <c r="N589" s="8" t="b">
        <v>0</v>
      </c>
      <c r="O589" s="10"/>
      <c r="P589" s="8" t="s">
        <v>290</v>
      </c>
      <c r="Q589" s="8">
        <v>472504</v>
      </c>
      <c r="R589" s="9">
        <v>45274</v>
      </c>
      <c r="S589" s="8" t="s">
        <v>148</v>
      </c>
      <c r="T589" s="8" t="s">
        <v>49</v>
      </c>
      <c r="U589" s="8" t="s">
        <v>351</v>
      </c>
      <c r="V589" s="8" t="s">
        <v>150</v>
      </c>
      <c r="W589" s="8">
        <v>0</v>
      </c>
    </row>
    <row r="590" spans="1:23" x14ac:dyDescent="0.25">
      <c r="A590" s="4"/>
      <c r="B590" s="4"/>
      <c r="C590" s="4">
        <v>887739</v>
      </c>
      <c r="D590" s="22">
        <v>5193.6899999999996</v>
      </c>
      <c r="E590" s="5">
        <f t="shared" si="9"/>
        <v>0.31000000000040018</v>
      </c>
      <c r="F590" s="9">
        <v>45288</v>
      </c>
      <c r="G590" s="10">
        <v>330364880</v>
      </c>
      <c r="H590" s="9">
        <v>45278</v>
      </c>
      <c r="I590" s="9">
        <v>45293</v>
      </c>
      <c r="J590" s="8">
        <v>5194</v>
      </c>
      <c r="K590" s="8" t="s">
        <v>31</v>
      </c>
      <c r="L590" s="8" t="s">
        <v>32</v>
      </c>
      <c r="M590" s="8"/>
      <c r="N590" s="8" t="b">
        <v>0</v>
      </c>
      <c r="O590" s="10">
        <v>709047</v>
      </c>
      <c r="P590" s="8" t="s">
        <v>86</v>
      </c>
      <c r="Q590" s="8">
        <v>502147</v>
      </c>
      <c r="R590" s="9">
        <v>45277</v>
      </c>
      <c r="S590" s="8" t="s">
        <v>34</v>
      </c>
      <c r="T590" s="8" t="s">
        <v>40</v>
      </c>
      <c r="U590" s="8" t="s">
        <v>58</v>
      </c>
      <c r="V590" s="8" t="s">
        <v>46</v>
      </c>
      <c r="W590" s="8">
        <v>0</v>
      </c>
    </row>
    <row r="591" spans="1:23" x14ac:dyDescent="0.25">
      <c r="A591" s="4"/>
      <c r="B591" s="4"/>
      <c r="C591" s="4">
        <v>887740</v>
      </c>
      <c r="D591" s="22">
        <v>5193.6899999999996</v>
      </c>
      <c r="E591" s="5">
        <f t="shared" si="9"/>
        <v>0.31000000000040018</v>
      </c>
      <c r="F591" s="9">
        <v>45288</v>
      </c>
      <c r="G591" s="10">
        <v>330364881</v>
      </c>
      <c r="H591" s="9">
        <v>45278</v>
      </c>
      <c r="I591" s="9">
        <v>45293</v>
      </c>
      <c r="J591" s="8">
        <v>5194</v>
      </c>
      <c r="K591" s="8" t="s">
        <v>31</v>
      </c>
      <c r="L591" s="8" t="s">
        <v>32</v>
      </c>
      <c r="M591" s="8"/>
      <c r="N591" s="8" t="b">
        <v>0</v>
      </c>
      <c r="O591" s="10">
        <v>709045</v>
      </c>
      <c r="P591" s="8" t="s">
        <v>270</v>
      </c>
      <c r="Q591" s="8">
        <v>502130</v>
      </c>
      <c r="R591" s="9">
        <v>45277</v>
      </c>
      <c r="S591" s="8" t="s">
        <v>34</v>
      </c>
      <c r="T591" s="8" t="s">
        <v>40</v>
      </c>
      <c r="U591" s="8" t="s">
        <v>58</v>
      </c>
      <c r="V591" s="8" t="s">
        <v>46</v>
      </c>
      <c r="W591" s="8">
        <v>0</v>
      </c>
    </row>
    <row r="592" spans="1:23" x14ac:dyDescent="0.25">
      <c r="A592" s="4"/>
      <c r="B592" s="4"/>
      <c r="C592" s="4">
        <v>887741</v>
      </c>
      <c r="D592" s="22">
        <v>6405.27</v>
      </c>
      <c r="E592" s="5">
        <f t="shared" si="9"/>
        <v>-0.27000000000043656</v>
      </c>
      <c r="F592" s="9">
        <v>45288</v>
      </c>
      <c r="G592" s="10">
        <v>330364883</v>
      </c>
      <c r="H592" s="9">
        <v>45278</v>
      </c>
      <c r="I592" s="9">
        <v>45293</v>
      </c>
      <c r="J592" s="8">
        <v>6405</v>
      </c>
      <c r="K592" s="8" t="s">
        <v>31</v>
      </c>
      <c r="L592" s="8" t="s">
        <v>32</v>
      </c>
      <c r="M592" s="8"/>
      <c r="N592" s="8" t="b">
        <v>0</v>
      </c>
      <c r="O592" s="10">
        <v>709306</v>
      </c>
      <c r="P592" s="8" t="s">
        <v>62</v>
      </c>
      <c r="Q592" s="8">
        <v>502157</v>
      </c>
      <c r="R592" s="9">
        <v>45277</v>
      </c>
      <c r="S592" s="8" t="s">
        <v>48</v>
      </c>
      <c r="T592" s="8" t="s">
        <v>40</v>
      </c>
      <c r="U592" s="8" t="s">
        <v>50</v>
      </c>
      <c r="V592" s="8" t="s">
        <v>37</v>
      </c>
      <c r="W592" s="8">
        <v>0</v>
      </c>
    </row>
    <row r="593" spans="1:23" x14ac:dyDescent="0.25">
      <c r="A593" s="4"/>
      <c r="B593" s="4"/>
      <c r="C593" s="4">
        <v>887742</v>
      </c>
      <c r="D593" s="22">
        <v>5193.6899999999996</v>
      </c>
      <c r="E593" s="5">
        <f t="shared" si="9"/>
        <v>0.31000000000040018</v>
      </c>
      <c r="F593" s="9">
        <v>45288</v>
      </c>
      <c r="G593" s="10">
        <v>330364885</v>
      </c>
      <c r="H593" s="9">
        <v>45278</v>
      </c>
      <c r="I593" s="9">
        <v>45293</v>
      </c>
      <c r="J593" s="8">
        <v>5194</v>
      </c>
      <c r="K593" s="8" t="s">
        <v>31</v>
      </c>
      <c r="L593" s="8" t="s">
        <v>32</v>
      </c>
      <c r="M593" s="8"/>
      <c r="N593" s="8" t="b">
        <v>0</v>
      </c>
      <c r="O593" s="10">
        <v>709809</v>
      </c>
      <c r="P593" s="8" t="s">
        <v>231</v>
      </c>
      <c r="Q593" s="8">
        <v>502164</v>
      </c>
      <c r="R593" s="9">
        <v>45277</v>
      </c>
      <c r="S593" s="8" t="s">
        <v>34</v>
      </c>
      <c r="T593" s="8" t="s">
        <v>40</v>
      </c>
      <c r="U593" s="8" t="s">
        <v>58</v>
      </c>
      <c r="V593" s="8" t="s">
        <v>46</v>
      </c>
      <c r="W593" s="8">
        <v>0</v>
      </c>
    </row>
    <row r="594" spans="1:23" x14ac:dyDescent="0.25">
      <c r="A594" s="4"/>
      <c r="B594" s="4"/>
      <c r="C594" s="4">
        <v>887743</v>
      </c>
      <c r="D594" s="22">
        <v>5193.6899999999996</v>
      </c>
      <c r="E594" s="5">
        <f t="shared" si="9"/>
        <v>0.31000000000040018</v>
      </c>
      <c r="F594" s="9">
        <v>45288</v>
      </c>
      <c r="G594" s="10">
        <v>330364891</v>
      </c>
      <c r="H594" s="9">
        <v>45278</v>
      </c>
      <c r="I594" s="9">
        <v>45293</v>
      </c>
      <c r="J594" s="8">
        <v>5194</v>
      </c>
      <c r="K594" s="8" t="s">
        <v>31</v>
      </c>
      <c r="L594" s="8" t="s">
        <v>32</v>
      </c>
      <c r="M594" s="8"/>
      <c r="N594" s="8" t="b">
        <v>0</v>
      </c>
      <c r="O594" s="10">
        <v>709046</v>
      </c>
      <c r="P594" s="8" t="s">
        <v>114</v>
      </c>
      <c r="Q594" s="8">
        <v>502146</v>
      </c>
      <c r="R594" s="9">
        <v>45277</v>
      </c>
      <c r="S594" s="8" t="s">
        <v>34</v>
      </c>
      <c r="T594" s="8" t="s">
        <v>40</v>
      </c>
      <c r="U594" s="8" t="s">
        <v>58</v>
      </c>
      <c r="V594" s="8" t="s">
        <v>46</v>
      </c>
      <c r="W594" s="8">
        <v>0</v>
      </c>
    </row>
    <row r="595" spans="1:23" x14ac:dyDescent="0.25">
      <c r="A595" s="4"/>
      <c r="B595" s="4"/>
      <c r="C595" s="4">
        <v>887744</v>
      </c>
      <c r="D595" s="22">
        <v>5193.6899999999996</v>
      </c>
      <c r="E595" s="5">
        <f t="shared" si="9"/>
        <v>0.31000000000040018</v>
      </c>
      <c r="F595" s="9">
        <v>45288</v>
      </c>
      <c r="G595" s="10">
        <v>330364892</v>
      </c>
      <c r="H595" s="9">
        <v>45278</v>
      </c>
      <c r="I595" s="9">
        <v>45293</v>
      </c>
      <c r="J595" s="8">
        <v>5194</v>
      </c>
      <c r="K595" s="8" t="s">
        <v>31</v>
      </c>
      <c r="L595" s="8" t="s">
        <v>32</v>
      </c>
      <c r="M595" s="8"/>
      <c r="N595" s="8" t="b">
        <v>0</v>
      </c>
      <c r="O595" s="10">
        <v>709808</v>
      </c>
      <c r="P595" s="8" t="s">
        <v>103</v>
      </c>
      <c r="Q595" s="8">
        <v>502161</v>
      </c>
      <c r="R595" s="9">
        <v>45277</v>
      </c>
      <c r="S595" s="8" t="s">
        <v>34</v>
      </c>
      <c r="T595" s="8" t="s">
        <v>40</v>
      </c>
      <c r="U595" s="8" t="s">
        <v>58</v>
      </c>
      <c r="V595" s="8" t="s">
        <v>46</v>
      </c>
      <c r="W595" s="8">
        <v>0</v>
      </c>
    </row>
    <row r="596" spans="1:23" x14ac:dyDescent="0.25">
      <c r="A596" s="4"/>
      <c r="B596" s="4"/>
      <c r="C596" s="4">
        <v>887745</v>
      </c>
      <c r="D596" s="22">
        <v>6405.27</v>
      </c>
      <c r="E596" s="5">
        <f t="shared" si="9"/>
        <v>-0.27000000000043656</v>
      </c>
      <c r="F596" s="9">
        <v>45288</v>
      </c>
      <c r="G596" s="10">
        <v>330364905</v>
      </c>
      <c r="H596" s="9">
        <v>45278</v>
      </c>
      <c r="I596" s="9">
        <v>45293</v>
      </c>
      <c r="J596" s="8">
        <v>6405</v>
      </c>
      <c r="K596" s="8" t="s">
        <v>31</v>
      </c>
      <c r="L596" s="8" t="s">
        <v>32</v>
      </c>
      <c r="M596" s="8"/>
      <c r="N596" s="8" t="b">
        <v>0</v>
      </c>
      <c r="O596" s="10">
        <v>709305</v>
      </c>
      <c r="P596" s="8" t="s">
        <v>133</v>
      </c>
      <c r="Q596" s="8">
        <v>502152</v>
      </c>
      <c r="R596" s="9">
        <v>45277</v>
      </c>
      <c r="S596" s="8" t="s">
        <v>48</v>
      </c>
      <c r="T596" s="8" t="s">
        <v>40</v>
      </c>
      <c r="U596" s="8" t="s">
        <v>50</v>
      </c>
      <c r="V596" s="8" t="s">
        <v>37</v>
      </c>
      <c r="W596" s="8">
        <v>0</v>
      </c>
    </row>
    <row r="597" spans="1:23" x14ac:dyDescent="0.25">
      <c r="A597" s="4"/>
      <c r="B597" s="4"/>
      <c r="C597" s="4">
        <v>887746</v>
      </c>
      <c r="D597" s="22">
        <v>5164.29</v>
      </c>
      <c r="E597" s="5">
        <f t="shared" si="9"/>
        <v>-0.28999999999996362</v>
      </c>
      <c r="F597" s="9">
        <v>45288</v>
      </c>
      <c r="G597" s="10">
        <v>330365086</v>
      </c>
      <c r="H597" s="9">
        <v>45278</v>
      </c>
      <c r="I597" s="9">
        <v>45293</v>
      </c>
      <c r="J597" s="8">
        <v>5164</v>
      </c>
      <c r="K597" s="8" t="s">
        <v>31</v>
      </c>
      <c r="L597" s="8" t="s">
        <v>32</v>
      </c>
      <c r="M597" s="8"/>
      <c r="N597" s="8" t="b">
        <v>0</v>
      </c>
      <c r="O597" s="10">
        <v>708415</v>
      </c>
      <c r="P597" s="8" t="s">
        <v>281</v>
      </c>
      <c r="Q597" s="8">
        <v>502184</v>
      </c>
      <c r="R597" s="9">
        <v>45277</v>
      </c>
      <c r="S597" s="8" t="s">
        <v>34</v>
      </c>
      <c r="T597" s="8" t="s">
        <v>44</v>
      </c>
      <c r="U597" s="8" t="s">
        <v>58</v>
      </c>
      <c r="V597" s="8" t="s">
        <v>46</v>
      </c>
      <c r="W597" s="8">
        <v>0</v>
      </c>
    </row>
    <row r="598" spans="1:23" x14ac:dyDescent="0.25">
      <c r="A598" s="4"/>
      <c r="B598" s="4"/>
      <c r="C598" s="4">
        <v>887747</v>
      </c>
      <c r="D598" s="22">
        <v>5164.29</v>
      </c>
      <c r="E598" s="5">
        <f t="shared" si="9"/>
        <v>-0.28999999999996362</v>
      </c>
      <c r="F598" s="9">
        <v>45288</v>
      </c>
      <c r="G598" s="10">
        <v>330365094</v>
      </c>
      <c r="H598" s="9">
        <v>45278</v>
      </c>
      <c r="I598" s="9">
        <v>45293</v>
      </c>
      <c r="J598" s="8">
        <v>5164</v>
      </c>
      <c r="K598" s="8" t="s">
        <v>31</v>
      </c>
      <c r="L598" s="8" t="s">
        <v>32</v>
      </c>
      <c r="M598" s="8"/>
      <c r="N598" s="8" t="b">
        <v>0</v>
      </c>
      <c r="O598" s="10">
        <v>708416</v>
      </c>
      <c r="P598" s="8" t="s">
        <v>282</v>
      </c>
      <c r="Q598" s="8">
        <v>502188</v>
      </c>
      <c r="R598" s="9">
        <v>45277</v>
      </c>
      <c r="S598" s="8" t="s">
        <v>34</v>
      </c>
      <c r="T598" s="8" t="s">
        <v>44</v>
      </c>
      <c r="U598" s="8" t="s">
        <v>58</v>
      </c>
      <c r="V598" s="8" t="s">
        <v>46</v>
      </c>
      <c r="W598" s="8">
        <v>0</v>
      </c>
    </row>
    <row r="599" spans="1:23" x14ac:dyDescent="0.25">
      <c r="A599" s="4"/>
      <c r="B599" s="4"/>
      <c r="C599" s="4">
        <v>887748</v>
      </c>
      <c r="D599" s="22">
        <v>5193.6899999999996</v>
      </c>
      <c r="E599" s="5">
        <f t="shared" si="9"/>
        <v>0.31000000000040018</v>
      </c>
      <c r="F599" s="9">
        <v>45288</v>
      </c>
      <c r="G599" s="10">
        <v>330365101</v>
      </c>
      <c r="H599" s="9">
        <v>45278</v>
      </c>
      <c r="I599" s="9">
        <v>45293</v>
      </c>
      <c r="J599" s="8">
        <v>5194</v>
      </c>
      <c r="K599" s="8" t="s">
        <v>31</v>
      </c>
      <c r="L599" s="8" t="s">
        <v>32</v>
      </c>
      <c r="M599" s="8"/>
      <c r="N599" s="8" t="b">
        <v>0</v>
      </c>
      <c r="O599" s="10">
        <v>708414</v>
      </c>
      <c r="P599" s="8" t="s">
        <v>113</v>
      </c>
      <c r="Q599" s="8">
        <v>502181</v>
      </c>
      <c r="R599" s="9">
        <v>45277</v>
      </c>
      <c r="S599" s="8" t="s">
        <v>34</v>
      </c>
      <c r="T599" s="8" t="s">
        <v>40</v>
      </c>
      <c r="U599" s="8" t="s">
        <v>58</v>
      </c>
      <c r="V599" s="8" t="s">
        <v>46</v>
      </c>
      <c r="W599" s="8">
        <v>0</v>
      </c>
    </row>
    <row r="600" spans="1:23" x14ac:dyDescent="0.25">
      <c r="A600" s="4"/>
      <c r="B600" s="4"/>
      <c r="C600" s="4">
        <v>887598</v>
      </c>
      <c r="D600" s="22">
        <v>61465.599999999999</v>
      </c>
      <c r="E600" s="5">
        <f t="shared" si="9"/>
        <v>-5.5999999999985448</v>
      </c>
      <c r="F600" s="9">
        <v>45288</v>
      </c>
      <c r="G600" s="10">
        <v>330375133</v>
      </c>
      <c r="H600" s="9">
        <v>45278</v>
      </c>
      <c r="I600" s="9">
        <v>45293</v>
      </c>
      <c r="J600" s="8">
        <v>61460</v>
      </c>
      <c r="K600" s="8" t="s">
        <v>31</v>
      </c>
      <c r="L600" s="8" t="s">
        <v>32</v>
      </c>
      <c r="M600" s="8"/>
      <c r="N600" s="8" t="b">
        <v>0</v>
      </c>
      <c r="O600" s="10"/>
      <c r="P600" s="8" t="s">
        <v>352</v>
      </c>
      <c r="Q600" s="8">
        <v>508367</v>
      </c>
      <c r="R600" s="9">
        <v>45278</v>
      </c>
      <c r="S600" s="8" t="s">
        <v>34</v>
      </c>
      <c r="T600" s="8" t="s">
        <v>49</v>
      </c>
      <c r="U600" s="8" t="s">
        <v>75</v>
      </c>
      <c r="V600" s="8" t="s">
        <v>46</v>
      </c>
      <c r="W600" s="8">
        <v>0</v>
      </c>
    </row>
    <row r="601" spans="1:23" x14ac:dyDescent="0.25">
      <c r="A601" s="4"/>
      <c r="B601" s="4"/>
      <c r="C601" s="4">
        <v>887731</v>
      </c>
      <c r="D601" s="22">
        <v>7028</v>
      </c>
      <c r="E601" s="5">
        <f t="shared" si="9"/>
        <v>0</v>
      </c>
      <c r="F601" s="9">
        <v>45288</v>
      </c>
      <c r="G601" s="10">
        <v>330402157</v>
      </c>
      <c r="H601" s="9">
        <v>45279</v>
      </c>
      <c r="I601" s="9">
        <v>45294</v>
      </c>
      <c r="J601" s="8">
        <v>7028</v>
      </c>
      <c r="K601" s="8" t="s">
        <v>31</v>
      </c>
      <c r="L601" s="8" t="s">
        <v>32</v>
      </c>
      <c r="M601" s="8"/>
      <c r="N601" s="8" t="b">
        <v>0</v>
      </c>
      <c r="O601" s="10">
        <v>21162</v>
      </c>
      <c r="P601" s="8" t="s">
        <v>140</v>
      </c>
      <c r="Q601" s="8">
        <v>530809</v>
      </c>
      <c r="R601" s="9">
        <v>45279</v>
      </c>
      <c r="S601" s="8" t="s">
        <v>39</v>
      </c>
      <c r="T601" s="8" t="s">
        <v>40</v>
      </c>
      <c r="U601" s="8" t="s">
        <v>41</v>
      </c>
      <c r="V601" s="8" t="s">
        <v>42</v>
      </c>
      <c r="W601" s="8">
        <v>0</v>
      </c>
    </row>
    <row r="602" spans="1:23" x14ac:dyDescent="0.25">
      <c r="A602" s="4"/>
      <c r="B602" s="4"/>
      <c r="C602" s="4">
        <v>887732</v>
      </c>
      <c r="D602" s="22">
        <v>7028</v>
      </c>
      <c r="E602" s="5">
        <f t="shared" si="9"/>
        <v>0</v>
      </c>
      <c r="F602" s="9">
        <v>45288</v>
      </c>
      <c r="G602" s="10">
        <v>330402166</v>
      </c>
      <c r="H602" s="9">
        <v>45279</v>
      </c>
      <c r="I602" s="9">
        <v>45294</v>
      </c>
      <c r="J602" s="8">
        <v>7028</v>
      </c>
      <c r="K602" s="8" t="s">
        <v>31</v>
      </c>
      <c r="L602" s="8" t="s">
        <v>32</v>
      </c>
      <c r="M602" s="8"/>
      <c r="N602" s="8" t="b">
        <v>0</v>
      </c>
      <c r="O602" s="10">
        <v>21163</v>
      </c>
      <c r="P602" s="8" t="s">
        <v>217</v>
      </c>
      <c r="Q602" s="8">
        <v>530815</v>
      </c>
      <c r="R602" s="9">
        <v>45279</v>
      </c>
      <c r="S602" s="8" t="s">
        <v>39</v>
      </c>
      <c r="T602" s="8" t="s">
        <v>40</v>
      </c>
      <c r="U602" s="8" t="s">
        <v>41</v>
      </c>
      <c r="V602" s="8" t="s">
        <v>42</v>
      </c>
      <c r="W602" s="8">
        <v>0</v>
      </c>
    </row>
    <row r="603" spans="1:23" x14ac:dyDescent="0.25">
      <c r="A603" s="4"/>
      <c r="B603" s="4"/>
      <c r="C603" s="4">
        <v>887808</v>
      </c>
      <c r="D603" s="22">
        <v>5193.6899999999996</v>
      </c>
      <c r="E603" s="5">
        <f t="shared" si="9"/>
        <v>0.31000000000040018</v>
      </c>
      <c r="F603" s="9">
        <v>45288</v>
      </c>
      <c r="G603" s="10">
        <v>330402174</v>
      </c>
      <c r="H603" s="9">
        <v>45279</v>
      </c>
      <c r="I603" s="9">
        <v>45294</v>
      </c>
      <c r="J603" s="8">
        <v>5194</v>
      </c>
      <c r="K603" s="8" t="s">
        <v>31</v>
      </c>
      <c r="L603" s="8" t="s">
        <v>32</v>
      </c>
      <c r="M603" s="8"/>
      <c r="N603" s="8" t="b">
        <v>0</v>
      </c>
      <c r="O603" s="10">
        <v>709925</v>
      </c>
      <c r="P603" s="8" t="s">
        <v>77</v>
      </c>
      <c r="Q603" s="8">
        <v>530826</v>
      </c>
      <c r="R603" s="9">
        <v>45279</v>
      </c>
      <c r="S603" s="8" t="s">
        <v>34</v>
      </c>
      <c r="T603" s="8" t="s">
        <v>40</v>
      </c>
      <c r="U603" s="8" t="s">
        <v>58</v>
      </c>
      <c r="V603" s="8" t="s">
        <v>46</v>
      </c>
      <c r="W603" s="8">
        <v>0</v>
      </c>
    </row>
    <row r="604" spans="1:23" x14ac:dyDescent="0.25">
      <c r="A604" s="4"/>
      <c r="B604" s="4"/>
      <c r="C604" s="4">
        <v>887733</v>
      </c>
      <c r="D604" s="22">
        <v>7028</v>
      </c>
      <c r="E604" s="5">
        <f t="shared" si="9"/>
        <v>0</v>
      </c>
      <c r="F604" s="9">
        <v>45288</v>
      </c>
      <c r="G604" s="10">
        <v>330402856</v>
      </c>
      <c r="H604" s="9">
        <v>45279</v>
      </c>
      <c r="I604" s="9">
        <v>45294</v>
      </c>
      <c r="J604" s="8">
        <v>7028</v>
      </c>
      <c r="K604" s="8" t="s">
        <v>31</v>
      </c>
      <c r="L604" s="8" t="s">
        <v>32</v>
      </c>
      <c r="M604" s="8"/>
      <c r="N604" s="8" t="b">
        <v>0</v>
      </c>
      <c r="O604" s="10">
        <v>21164</v>
      </c>
      <c r="P604" s="8" t="s">
        <v>230</v>
      </c>
      <c r="Q604" s="8">
        <v>531393</v>
      </c>
      <c r="R604" s="9">
        <v>45279</v>
      </c>
      <c r="S604" s="8" t="s">
        <v>39</v>
      </c>
      <c r="T604" s="8" t="s">
        <v>40</v>
      </c>
      <c r="U604" s="8" t="s">
        <v>41</v>
      </c>
      <c r="V604" s="8" t="s">
        <v>42</v>
      </c>
      <c r="W604" s="8">
        <v>0</v>
      </c>
    </row>
    <row r="605" spans="1:23" x14ac:dyDescent="0.25">
      <c r="A605" s="4"/>
      <c r="B605" s="4"/>
      <c r="C605" s="4">
        <v>887758</v>
      </c>
      <c r="D605" s="22">
        <v>7028</v>
      </c>
      <c r="E605" s="5">
        <f t="shared" si="9"/>
        <v>0</v>
      </c>
      <c r="F605" s="9">
        <v>45288</v>
      </c>
      <c r="G605" s="10">
        <v>330406711</v>
      </c>
      <c r="H605" s="9">
        <v>45279</v>
      </c>
      <c r="I605" s="9">
        <v>45294</v>
      </c>
      <c r="J605" s="8">
        <v>7028</v>
      </c>
      <c r="K605" s="8" t="s">
        <v>31</v>
      </c>
      <c r="L605" s="8" t="s">
        <v>32</v>
      </c>
      <c r="M605" s="8"/>
      <c r="N605" s="8" t="b">
        <v>0</v>
      </c>
      <c r="O605" s="10">
        <v>21171</v>
      </c>
      <c r="P605" s="8" t="s">
        <v>173</v>
      </c>
      <c r="Q605" s="8">
        <v>534336</v>
      </c>
      <c r="R605" s="9">
        <v>45279</v>
      </c>
      <c r="S605" s="8" t="s">
        <v>39</v>
      </c>
      <c r="T605" s="8" t="s">
        <v>40</v>
      </c>
      <c r="U605" s="8" t="s">
        <v>41</v>
      </c>
      <c r="V605" s="8" t="s">
        <v>42</v>
      </c>
      <c r="W605" s="8">
        <v>0</v>
      </c>
    </row>
    <row r="606" spans="1:23" x14ac:dyDescent="0.25">
      <c r="A606" s="4"/>
      <c r="B606" s="4"/>
      <c r="C606" s="4">
        <v>887826</v>
      </c>
      <c r="D606" s="22">
        <v>5195.6499999999996</v>
      </c>
      <c r="E606" s="5">
        <f t="shared" si="9"/>
        <v>0.3500000000003638</v>
      </c>
      <c r="F606" s="9">
        <v>45288</v>
      </c>
      <c r="G606" s="10">
        <v>330406991</v>
      </c>
      <c r="H606" s="9">
        <v>45279</v>
      </c>
      <c r="I606" s="9">
        <v>45294</v>
      </c>
      <c r="J606" s="8">
        <v>5196</v>
      </c>
      <c r="K606" s="8" t="s">
        <v>31</v>
      </c>
      <c r="L606" s="8" t="s">
        <v>32</v>
      </c>
      <c r="M606" s="8"/>
      <c r="N606" s="8" t="b">
        <v>0</v>
      </c>
      <c r="O606" s="10">
        <v>709916</v>
      </c>
      <c r="P606" s="8" t="s">
        <v>321</v>
      </c>
      <c r="Q606" s="8">
        <v>534401</v>
      </c>
      <c r="R606" s="9">
        <v>45279</v>
      </c>
      <c r="S606" s="8" t="s">
        <v>48</v>
      </c>
      <c r="T606" s="8" t="s">
        <v>40</v>
      </c>
      <c r="U606" s="8" t="s">
        <v>45</v>
      </c>
      <c r="V606" s="8" t="s">
        <v>46</v>
      </c>
      <c r="W606" s="8">
        <v>0</v>
      </c>
    </row>
    <row r="607" spans="1:23" x14ac:dyDescent="0.25">
      <c r="A607" s="4"/>
      <c r="B607" s="4"/>
      <c r="C607" s="4">
        <v>887798</v>
      </c>
      <c r="D607" s="22">
        <v>65856</v>
      </c>
      <c r="E607" s="5">
        <f t="shared" si="9"/>
        <v>-6</v>
      </c>
      <c r="F607" s="9">
        <v>45288</v>
      </c>
      <c r="G607" s="10">
        <v>330418114</v>
      </c>
      <c r="H607" s="9">
        <v>45280</v>
      </c>
      <c r="I607" s="9">
        <v>45295</v>
      </c>
      <c r="J607" s="8">
        <v>65850</v>
      </c>
      <c r="K607" s="8" t="s">
        <v>31</v>
      </c>
      <c r="L607" s="8" t="s">
        <v>32</v>
      </c>
      <c r="M607" s="8"/>
      <c r="N607" s="8" t="b">
        <v>0</v>
      </c>
      <c r="O607" s="10"/>
      <c r="P607" s="8" t="s">
        <v>324</v>
      </c>
      <c r="Q607" s="8">
        <v>542602</v>
      </c>
      <c r="R607" s="9">
        <v>45280</v>
      </c>
      <c r="S607" s="8" t="s">
        <v>34</v>
      </c>
      <c r="T607" s="8" t="s">
        <v>49</v>
      </c>
      <c r="U607" s="8" t="s">
        <v>75</v>
      </c>
      <c r="V607" s="8" t="s">
        <v>46</v>
      </c>
      <c r="W607" s="8">
        <v>0</v>
      </c>
    </row>
    <row r="608" spans="1:23" x14ac:dyDescent="0.25">
      <c r="A608" s="4"/>
      <c r="B608" s="4"/>
      <c r="C608" s="4">
        <v>888143</v>
      </c>
      <c r="D608" s="22">
        <v>31607.95</v>
      </c>
      <c r="E608" s="5">
        <f t="shared" si="9"/>
        <v>2.0499999999992724</v>
      </c>
      <c r="F608" s="9">
        <v>45288</v>
      </c>
      <c r="G608" s="10">
        <v>330418126</v>
      </c>
      <c r="H608" s="9">
        <v>45280</v>
      </c>
      <c r="I608" s="9">
        <v>45295</v>
      </c>
      <c r="J608" s="8">
        <v>31610</v>
      </c>
      <c r="K608" s="8" t="s">
        <v>31</v>
      </c>
      <c r="L608" s="8" t="s">
        <v>32</v>
      </c>
      <c r="M608" s="8"/>
      <c r="N608" s="8" t="b">
        <v>0</v>
      </c>
      <c r="O608" s="10">
        <v>710295</v>
      </c>
      <c r="P608" s="8" t="s">
        <v>353</v>
      </c>
      <c r="Q608" s="8">
        <v>542532</v>
      </c>
      <c r="R608" s="9">
        <v>45280</v>
      </c>
      <c r="S608" s="8" t="s">
        <v>48</v>
      </c>
      <c r="T608" s="8" t="s">
        <v>49</v>
      </c>
      <c r="U608" s="8" t="s">
        <v>50</v>
      </c>
      <c r="V608" s="8" t="s">
        <v>37</v>
      </c>
      <c r="W608" s="8">
        <v>0</v>
      </c>
    </row>
    <row r="609" spans="1:23" x14ac:dyDescent="0.25">
      <c r="A609" s="4"/>
      <c r="B609" s="4"/>
      <c r="C609" s="4">
        <v>888097</v>
      </c>
      <c r="D609" s="22">
        <v>5195.6499999999996</v>
      </c>
      <c r="E609" s="5">
        <f t="shared" si="9"/>
        <v>0.3500000000003638</v>
      </c>
      <c r="F609" s="9">
        <v>45288</v>
      </c>
      <c r="G609" s="10">
        <v>330418971</v>
      </c>
      <c r="H609" s="9">
        <v>45280</v>
      </c>
      <c r="I609" s="9">
        <v>45295</v>
      </c>
      <c r="J609" s="8">
        <v>5196</v>
      </c>
      <c r="K609" s="8" t="s">
        <v>31</v>
      </c>
      <c r="L609" s="8" t="s">
        <v>32</v>
      </c>
      <c r="M609" s="8"/>
      <c r="N609" s="8" t="b">
        <v>0</v>
      </c>
      <c r="O609" s="10">
        <v>709917</v>
      </c>
      <c r="P609" s="8" t="s">
        <v>51</v>
      </c>
      <c r="Q609" s="8">
        <v>543705</v>
      </c>
      <c r="R609" s="9">
        <v>45280</v>
      </c>
      <c r="S609" s="8" t="s">
        <v>48</v>
      </c>
      <c r="T609" s="8" t="s">
        <v>40</v>
      </c>
      <c r="U609" s="8" t="s">
        <v>45</v>
      </c>
      <c r="V609" s="8" t="s">
        <v>46</v>
      </c>
      <c r="W609" s="8">
        <v>0</v>
      </c>
    </row>
    <row r="610" spans="1:23" x14ac:dyDescent="0.25">
      <c r="A610" s="4"/>
      <c r="B610" s="4"/>
      <c r="C610" s="4">
        <v>888098</v>
      </c>
      <c r="D610" s="22">
        <v>5195.6499999999996</v>
      </c>
      <c r="E610" s="5">
        <f t="shared" si="9"/>
        <v>0.3500000000003638</v>
      </c>
      <c r="F610" s="9">
        <v>45288</v>
      </c>
      <c r="G610" s="10">
        <v>330420109</v>
      </c>
      <c r="H610" s="9">
        <v>45280</v>
      </c>
      <c r="I610" s="9">
        <v>45295</v>
      </c>
      <c r="J610" s="8">
        <v>5196</v>
      </c>
      <c r="K610" s="8" t="s">
        <v>31</v>
      </c>
      <c r="L610" s="8" t="s">
        <v>32</v>
      </c>
      <c r="M610" s="8"/>
      <c r="N610" s="8" t="b">
        <v>0</v>
      </c>
      <c r="O610" s="10">
        <v>709918</v>
      </c>
      <c r="P610" s="8" t="s">
        <v>322</v>
      </c>
      <c r="Q610" s="8">
        <v>544800</v>
      </c>
      <c r="R610" s="9">
        <v>45280</v>
      </c>
      <c r="S610" s="8" t="s">
        <v>48</v>
      </c>
      <c r="T610" s="8" t="s">
        <v>40</v>
      </c>
      <c r="U610" s="8" t="s">
        <v>45</v>
      </c>
      <c r="V610" s="8" t="s">
        <v>46</v>
      </c>
      <c r="W610" s="8">
        <v>0</v>
      </c>
    </row>
    <row r="611" spans="1:23" x14ac:dyDescent="0.25">
      <c r="A611" s="4"/>
      <c r="B611" s="4"/>
      <c r="C611" s="4">
        <v>887847</v>
      </c>
      <c r="D611" s="22">
        <v>5224.96</v>
      </c>
      <c r="E611" s="5">
        <f t="shared" si="9"/>
        <v>-1.9600000000000364</v>
      </c>
      <c r="F611" s="9">
        <v>45288</v>
      </c>
      <c r="G611" s="10">
        <v>330422265</v>
      </c>
      <c r="H611" s="9">
        <v>45280</v>
      </c>
      <c r="I611" s="9">
        <v>45295</v>
      </c>
      <c r="J611" s="8">
        <v>5223</v>
      </c>
      <c r="K611" s="8" t="s">
        <v>31</v>
      </c>
      <c r="L611" s="8" t="s">
        <v>32</v>
      </c>
      <c r="M611" s="8"/>
      <c r="N611" s="8" t="b">
        <v>0</v>
      </c>
      <c r="O611" s="10">
        <v>21165</v>
      </c>
      <c r="P611" s="8" t="s">
        <v>92</v>
      </c>
      <c r="Q611" s="8">
        <v>546638</v>
      </c>
      <c r="R611" s="9">
        <v>45280</v>
      </c>
      <c r="S611" s="8" t="s">
        <v>48</v>
      </c>
      <c r="T611" s="8" t="s">
        <v>40</v>
      </c>
      <c r="U611" s="8" t="s">
        <v>163</v>
      </c>
      <c r="V611" s="8" t="s">
        <v>46</v>
      </c>
      <c r="W611" s="8">
        <v>0</v>
      </c>
    </row>
    <row r="612" spans="1:23" x14ac:dyDescent="0.25">
      <c r="A612" s="4"/>
      <c r="B612" s="4"/>
      <c r="C612" s="4">
        <v>888111</v>
      </c>
      <c r="D612" s="22">
        <v>5195.6499999999996</v>
      </c>
      <c r="E612" s="5">
        <f t="shared" si="9"/>
        <v>0.3500000000003638</v>
      </c>
      <c r="F612" s="9">
        <v>45288</v>
      </c>
      <c r="G612" s="10">
        <v>330423803</v>
      </c>
      <c r="H612" s="9">
        <v>45280</v>
      </c>
      <c r="I612" s="9">
        <v>45295</v>
      </c>
      <c r="J612" s="8">
        <v>5196</v>
      </c>
      <c r="K612" s="8" t="s">
        <v>31</v>
      </c>
      <c r="L612" s="8" t="s">
        <v>32</v>
      </c>
      <c r="M612" s="8"/>
      <c r="N612" s="8" t="b">
        <v>0</v>
      </c>
      <c r="O612" s="10">
        <v>709919</v>
      </c>
      <c r="P612" s="8" t="s">
        <v>252</v>
      </c>
      <c r="Q612" s="8">
        <v>547791</v>
      </c>
      <c r="R612" s="9">
        <v>45280</v>
      </c>
      <c r="S612" s="8" t="s">
        <v>48</v>
      </c>
      <c r="T612" s="8" t="s">
        <v>40</v>
      </c>
      <c r="U612" s="8" t="s">
        <v>45</v>
      </c>
      <c r="V612" s="8" t="s">
        <v>46</v>
      </c>
      <c r="W612" s="8">
        <v>0</v>
      </c>
    </row>
    <row r="613" spans="1:23" x14ac:dyDescent="0.25">
      <c r="A613" s="4"/>
      <c r="B613" s="4"/>
      <c r="C613" s="4">
        <v>888114</v>
      </c>
      <c r="D613" s="22">
        <v>5195.6499999999996</v>
      </c>
      <c r="E613" s="5">
        <f t="shared" si="9"/>
        <v>0.3500000000003638</v>
      </c>
      <c r="F613" s="9">
        <v>45288</v>
      </c>
      <c r="G613" s="10">
        <v>330424793</v>
      </c>
      <c r="H613" s="9">
        <v>45280</v>
      </c>
      <c r="I613" s="9">
        <v>45295</v>
      </c>
      <c r="J613" s="8">
        <v>5196</v>
      </c>
      <c r="K613" s="8" t="s">
        <v>31</v>
      </c>
      <c r="L613" s="8" t="s">
        <v>32</v>
      </c>
      <c r="M613" s="8"/>
      <c r="N613" s="8" t="b">
        <v>0</v>
      </c>
      <c r="O613" s="10">
        <v>709920</v>
      </c>
      <c r="P613" s="8" t="s">
        <v>116</v>
      </c>
      <c r="Q613" s="8">
        <v>548643</v>
      </c>
      <c r="R613" s="9">
        <v>45280</v>
      </c>
      <c r="S613" s="8" t="s">
        <v>48</v>
      </c>
      <c r="T613" s="8" t="s">
        <v>40</v>
      </c>
      <c r="U613" s="8" t="s">
        <v>45</v>
      </c>
      <c r="V613" s="8" t="s">
        <v>46</v>
      </c>
      <c r="W613" s="8">
        <v>0</v>
      </c>
    </row>
    <row r="614" spans="1:23" x14ac:dyDescent="0.25">
      <c r="A614" s="4"/>
      <c r="B614" s="4"/>
      <c r="C614" s="4">
        <v>888115</v>
      </c>
      <c r="D614" s="22">
        <v>5193.6899999999996</v>
      </c>
      <c r="E614" s="5">
        <f t="shared" si="9"/>
        <v>0.31000000000040018</v>
      </c>
      <c r="F614" s="9">
        <v>45288</v>
      </c>
      <c r="G614" s="10">
        <v>330428071</v>
      </c>
      <c r="H614" s="9">
        <v>45280</v>
      </c>
      <c r="I614" s="9">
        <v>45295</v>
      </c>
      <c r="J614" s="8">
        <v>5194</v>
      </c>
      <c r="K614" s="8" t="s">
        <v>31</v>
      </c>
      <c r="L614" s="8" t="s">
        <v>32</v>
      </c>
      <c r="M614" s="8"/>
      <c r="N614" s="8" t="b">
        <v>0</v>
      </c>
      <c r="O614" s="10">
        <v>709926</v>
      </c>
      <c r="P614" s="8" t="s">
        <v>176</v>
      </c>
      <c r="Q614" s="8">
        <v>552208</v>
      </c>
      <c r="R614" s="9">
        <v>45280</v>
      </c>
      <c r="S614" s="8" t="s">
        <v>34</v>
      </c>
      <c r="T614" s="8" t="s">
        <v>40</v>
      </c>
      <c r="U614" s="8" t="s">
        <v>58</v>
      </c>
      <c r="V614" s="8" t="s">
        <v>46</v>
      </c>
      <c r="W614" s="8">
        <v>0</v>
      </c>
    </row>
    <row r="615" spans="1:23" x14ac:dyDescent="0.25">
      <c r="A615" s="4"/>
      <c r="B615" s="4"/>
      <c r="C615" s="4">
        <v>888116</v>
      </c>
      <c r="D615" s="22">
        <v>5193.6899999999996</v>
      </c>
      <c r="E615" s="5">
        <f t="shared" si="9"/>
        <v>0.31000000000040018</v>
      </c>
      <c r="F615" s="9">
        <v>45288</v>
      </c>
      <c r="G615" s="10">
        <v>330428435</v>
      </c>
      <c r="H615" s="9">
        <v>45280</v>
      </c>
      <c r="I615" s="9">
        <v>45295</v>
      </c>
      <c r="J615" s="8">
        <v>5194</v>
      </c>
      <c r="K615" s="8" t="s">
        <v>31</v>
      </c>
      <c r="L615" s="8" t="s">
        <v>32</v>
      </c>
      <c r="M615" s="8"/>
      <c r="N615" s="8" t="b">
        <v>0</v>
      </c>
      <c r="O615" s="10">
        <v>709927</v>
      </c>
      <c r="P615" s="8" t="s">
        <v>271</v>
      </c>
      <c r="Q615" s="8">
        <v>552605</v>
      </c>
      <c r="R615" s="9">
        <v>45280</v>
      </c>
      <c r="S615" s="8" t="s">
        <v>34</v>
      </c>
      <c r="T615" s="8" t="s">
        <v>40</v>
      </c>
      <c r="U615" s="8" t="s">
        <v>58</v>
      </c>
      <c r="V615" s="8" t="s">
        <v>46</v>
      </c>
      <c r="W615" s="8">
        <v>0</v>
      </c>
    </row>
    <row r="616" spans="1:23" x14ac:dyDescent="0.25">
      <c r="A616" s="4"/>
      <c r="B616" s="4"/>
      <c r="C616" s="4">
        <v>888117</v>
      </c>
      <c r="D616" s="22">
        <v>5193.6899999999996</v>
      </c>
      <c r="E616" s="5">
        <f t="shared" si="9"/>
        <v>0.31000000000040018</v>
      </c>
      <c r="F616" s="9">
        <v>45288</v>
      </c>
      <c r="G616" s="10">
        <v>330429842</v>
      </c>
      <c r="H616" s="9">
        <v>45280</v>
      </c>
      <c r="I616" s="9">
        <v>45295</v>
      </c>
      <c r="J616" s="8">
        <v>5194</v>
      </c>
      <c r="K616" s="8" t="s">
        <v>31</v>
      </c>
      <c r="L616" s="8" t="s">
        <v>32</v>
      </c>
      <c r="M616" s="8"/>
      <c r="N616" s="8" t="b">
        <v>0</v>
      </c>
      <c r="O616" s="10">
        <v>709928</v>
      </c>
      <c r="P616" s="8" t="s">
        <v>172</v>
      </c>
      <c r="Q616" s="8">
        <v>553376</v>
      </c>
      <c r="R616" s="9">
        <v>45280</v>
      </c>
      <c r="S616" s="8" t="s">
        <v>34</v>
      </c>
      <c r="T616" s="8" t="s">
        <v>40</v>
      </c>
      <c r="U616" s="8" t="s">
        <v>58</v>
      </c>
      <c r="V616" s="8" t="s">
        <v>46</v>
      </c>
      <c r="W616" s="8">
        <v>0</v>
      </c>
    </row>
    <row r="617" spans="1:23" x14ac:dyDescent="0.25">
      <c r="A617" s="4"/>
      <c r="B617" s="4"/>
      <c r="C617" s="4">
        <v>888085</v>
      </c>
      <c r="D617" s="22">
        <v>5200.5</v>
      </c>
      <c r="E617" s="5">
        <f t="shared" si="9"/>
        <v>-6.5</v>
      </c>
      <c r="F617" s="9">
        <v>45288</v>
      </c>
      <c r="G617" s="10">
        <v>330440021</v>
      </c>
      <c r="H617" s="9">
        <v>45281</v>
      </c>
      <c r="I617" s="9">
        <v>45296</v>
      </c>
      <c r="J617" s="8">
        <v>5194</v>
      </c>
      <c r="K617" s="8" t="s">
        <v>31</v>
      </c>
      <c r="L617" s="8" t="s">
        <v>32</v>
      </c>
      <c r="M617" s="8"/>
      <c r="N617" s="8" t="b">
        <v>0</v>
      </c>
      <c r="O617" s="16">
        <v>21174</v>
      </c>
      <c r="P617" s="8" t="s">
        <v>82</v>
      </c>
      <c r="Q617" s="8">
        <v>559447</v>
      </c>
      <c r="R617" s="9">
        <v>45281</v>
      </c>
      <c r="S617" s="8" t="s">
        <v>34</v>
      </c>
      <c r="T617" s="8" t="s">
        <v>40</v>
      </c>
      <c r="U617" s="8" t="s">
        <v>58</v>
      </c>
      <c r="V617" s="8" t="s">
        <v>46</v>
      </c>
      <c r="W617" s="8">
        <v>0</v>
      </c>
    </row>
    <row r="618" spans="1:23" x14ac:dyDescent="0.25">
      <c r="A618" s="4"/>
      <c r="B618" s="4"/>
      <c r="C618" s="4">
        <v>888344</v>
      </c>
      <c r="D618" s="22">
        <v>5193.6899999999996</v>
      </c>
      <c r="E618" s="5">
        <f t="shared" si="9"/>
        <v>0.31000000000040018</v>
      </c>
      <c r="F618" s="9">
        <v>45288</v>
      </c>
      <c r="G618" s="10">
        <v>330440313</v>
      </c>
      <c r="H618" s="9">
        <v>45281</v>
      </c>
      <c r="I618" s="9">
        <v>45296</v>
      </c>
      <c r="J618" s="8">
        <v>5194</v>
      </c>
      <c r="K618" s="8" t="s">
        <v>31</v>
      </c>
      <c r="L618" s="8" t="s">
        <v>32</v>
      </c>
      <c r="M618" s="8"/>
      <c r="N618" s="8" t="b">
        <v>0</v>
      </c>
      <c r="O618" s="10">
        <v>709930</v>
      </c>
      <c r="P618" s="8" t="s">
        <v>95</v>
      </c>
      <c r="Q618" s="8">
        <v>559480</v>
      </c>
      <c r="R618" s="9">
        <v>45281</v>
      </c>
      <c r="S618" s="8" t="s">
        <v>34</v>
      </c>
      <c r="T618" s="8" t="s">
        <v>40</v>
      </c>
      <c r="U618" s="8" t="s">
        <v>58</v>
      </c>
      <c r="V618" s="8" t="s">
        <v>46</v>
      </c>
      <c r="W618" s="8">
        <v>0</v>
      </c>
    </row>
    <row r="619" spans="1:23" x14ac:dyDescent="0.25">
      <c r="A619" s="4"/>
      <c r="B619" s="4"/>
      <c r="C619" s="4">
        <v>888346</v>
      </c>
      <c r="D619" s="22">
        <v>5193.6899999999996</v>
      </c>
      <c r="E619" s="5">
        <f t="shared" si="9"/>
        <v>0.31000000000040018</v>
      </c>
      <c r="F619" s="9">
        <v>45288</v>
      </c>
      <c r="G619" s="10">
        <v>330441488</v>
      </c>
      <c r="H619" s="9">
        <v>45281</v>
      </c>
      <c r="I619" s="9">
        <v>45296</v>
      </c>
      <c r="J619" s="8">
        <v>5194</v>
      </c>
      <c r="K619" s="8" t="s">
        <v>31</v>
      </c>
      <c r="L619" s="8" t="s">
        <v>32</v>
      </c>
      <c r="M619" s="8"/>
      <c r="N619" s="8" t="b">
        <v>0</v>
      </c>
      <c r="O619" s="10">
        <v>709931</v>
      </c>
      <c r="P619" s="8" t="s">
        <v>89</v>
      </c>
      <c r="Q619" s="8">
        <v>560441</v>
      </c>
      <c r="R619" s="9">
        <v>45281</v>
      </c>
      <c r="S619" s="8" t="s">
        <v>34</v>
      </c>
      <c r="T619" s="8" t="s">
        <v>40</v>
      </c>
      <c r="U619" s="8" t="s">
        <v>58</v>
      </c>
      <c r="V619" s="8" t="s">
        <v>46</v>
      </c>
      <c r="W619" s="8">
        <v>0</v>
      </c>
    </row>
    <row r="620" spans="1:23" x14ac:dyDescent="0.25">
      <c r="A620" s="4"/>
      <c r="B620" s="4"/>
      <c r="C620" s="4">
        <v>888348</v>
      </c>
      <c r="D620" s="22">
        <v>5193.6899999999996</v>
      </c>
      <c r="E620" s="5">
        <f t="shared" si="9"/>
        <v>0.31000000000040018</v>
      </c>
      <c r="F620" s="9">
        <v>45288</v>
      </c>
      <c r="G620" s="10">
        <v>330441632</v>
      </c>
      <c r="H620" s="9">
        <v>45281</v>
      </c>
      <c r="I620" s="9">
        <v>45296</v>
      </c>
      <c r="J620" s="8">
        <v>5194</v>
      </c>
      <c r="K620" s="8" t="s">
        <v>31</v>
      </c>
      <c r="L620" s="8" t="s">
        <v>32</v>
      </c>
      <c r="M620" s="8"/>
      <c r="N620" s="8" t="b">
        <v>0</v>
      </c>
      <c r="O620" s="10">
        <v>709929</v>
      </c>
      <c r="P620" s="8" t="s">
        <v>197</v>
      </c>
      <c r="Q620" s="8">
        <v>560248</v>
      </c>
      <c r="R620" s="9">
        <v>45281</v>
      </c>
      <c r="S620" s="8" t="s">
        <v>34</v>
      </c>
      <c r="T620" s="8" t="s">
        <v>40</v>
      </c>
      <c r="U620" s="8" t="s">
        <v>58</v>
      </c>
      <c r="V620" s="8" t="s">
        <v>46</v>
      </c>
      <c r="W620" s="8">
        <v>0</v>
      </c>
    </row>
    <row r="621" spans="1:23" x14ac:dyDescent="0.25">
      <c r="A621" s="4"/>
      <c r="B621" s="4"/>
      <c r="C621" s="4">
        <v>888351</v>
      </c>
      <c r="D621" s="22">
        <v>9320.2199999999993</v>
      </c>
      <c r="E621" s="5">
        <f t="shared" si="9"/>
        <v>0.78000000000065484</v>
      </c>
      <c r="F621" s="9">
        <v>45288</v>
      </c>
      <c r="G621" s="10">
        <v>330443102</v>
      </c>
      <c r="H621" s="9">
        <v>45281</v>
      </c>
      <c r="I621" s="9">
        <v>45296</v>
      </c>
      <c r="J621" s="8">
        <v>9321</v>
      </c>
      <c r="K621" s="8" t="s">
        <v>31</v>
      </c>
      <c r="L621" s="8" t="s">
        <v>32</v>
      </c>
      <c r="M621" s="8"/>
      <c r="N621" s="8" t="b">
        <v>0</v>
      </c>
      <c r="O621" s="10">
        <v>705918</v>
      </c>
      <c r="P621" s="8" t="s">
        <v>189</v>
      </c>
      <c r="Q621" s="8">
        <v>561428</v>
      </c>
      <c r="R621" s="9">
        <v>45281</v>
      </c>
      <c r="S621" s="8" t="s">
        <v>130</v>
      </c>
      <c r="T621" s="8" t="s">
        <v>40</v>
      </c>
      <c r="U621" s="8" t="s">
        <v>131</v>
      </c>
      <c r="V621" s="8" t="s">
        <v>132</v>
      </c>
      <c r="W621" s="8">
        <v>0</v>
      </c>
    </row>
    <row r="622" spans="1:23" x14ac:dyDescent="0.25">
      <c r="A622" s="4"/>
      <c r="B622" s="4"/>
      <c r="C622" s="4">
        <v>888352</v>
      </c>
      <c r="D622" s="22">
        <v>5193.6899999999996</v>
      </c>
      <c r="E622" s="5">
        <f t="shared" si="9"/>
        <v>0.31000000000040018</v>
      </c>
      <c r="F622" s="9">
        <v>45288</v>
      </c>
      <c r="G622" s="10">
        <v>330450733</v>
      </c>
      <c r="H622" s="9">
        <v>45281</v>
      </c>
      <c r="I622" s="9">
        <v>45296</v>
      </c>
      <c r="J622" s="8">
        <v>5194</v>
      </c>
      <c r="K622" s="8" t="s">
        <v>31</v>
      </c>
      <c r="L622" s="8" t="s">
        <v>32</v>
      </c>
      <c r="M622" s="8"/>
      <c r="N622" s="8" t="b">
        <v>0</v>
      </c>
      <c r="O622" s="10">
        <v>709932</v>
      </c>
      <c r="P622" s="8" t="s">
        <v>237</v>
      </c>
      <c r="Q622" s="8">
        <v>569301</v>
      </c>
      <c r="R622" s="9">
        <v>45281</v>
      </c>
      <c r="S622" s="8" t="s">
        <v>34</v>
      </c>
      <c r="T622" s="8" t="s">
        <v>40</v>
      </c>
      <c r="U622" s="8" t="s">
        <v>58</v>
      </c>
      <c r="V622" s="8" t="s">
        <v>46</v>
      </c>
      <c r="W622" s="8">
        <v>0</v>
      </c>
    </row>
    <row r="623" spans="1:23" x14ac:dyDescent="0.25">
      <c r="A623" s="4"/>
      <c r="B623" s="4"/>
      <c r="C623" s="4">
        <v>888355</v>
      </c>
      <c r="D623" s="22">
        <v>5193.6899999999996</v>
      </c>
      <c r="E623" s="5">
        <f t="shared" si="9"/>
        <v>0.31000000000040018</v>
      </c>
      <c r="F623" s="9">
        <v>45288</v>
      </c>
      <c r="G623" s="10">
        <v>330450748</v>
      </c>
      <c r="H623" s="9">
        <v>45281</v>
      </c>
      <c r="I623" s="9">
        <v>45296</v>
      </c>
      <c r="J623" s="8">
        <v>5194</v>
      </c>
      <c r="K623" s="8" t="s">
        <v>31</v>
      </c>
      <c r="L623" s="8" t="s">
        <v>32</v>
      </c>
      <c r="M623" s="8"/>
      <c r="N623" s="8" t="b">
        <v>0</v>
      </c>
      <c r="O623" s="10">
        <v>709934</v>
      </c>
      <c r="P623" s="8" t="s">
        <v>233</v>
      </c>
      <c r="Q623" s="8">
        <v>569331</v>
      </c>
      <c r="R623" s="9">
        <v>45281</v>
      </c>
      <c r="S623" s="8" t="s">
        <v>34</v>
      </c>
      <c r="T623" s="8" t="s">
        <v>40</v>
      </c>
      <c r="U623" s="8" t="s">
        <v>58</v>
      </c>
      <c r="V623" s="8" t="s">
        <v>46</v>
      </c>
      <c r="W623" s="8">
        <v>0</v>
      </c>
    </row>
    <row r="624" spans="1:23" x14ac:dyDescent="0.25">
      <c r="A624" s="4"/>
      <c r="B624" s="4"/>
      <c r="C624" s="4">
        <v>888357</v>
      </c>
      <c r="D624" s="22">
        <v>5193.6899999999996</v>
      </c>
      <c r="E624" s="5">
        <f t="shared" si="9"/>
        <v>0.31000000000040018</v>
      </c>
      <c r="F624" s="9">
        <v>45288</v>
      </c>
      <c r="G624" s="10">
        <v>330450776</v>
      </c>
      <c r="H624" s="9">
        <v>45281</v>
      </c>
      <c r="I624" s="9">
        <v>45296</v>
      </c>
      <c r="J624" s="8">
        <v>5194</v>
      </c>
      <c r="K624" s="8" t="s">
        <v>31</v>
      </c>
      <c r="L624" s="8" t="s">
        <v>32</v>
      </c>
      <c r="M624" s="8"/>
      <c r="N624" s="8" t="b">
        <v>0</v>
      </c>
      <c r="O624" s="10">
        <v>709933</v>
      </c>
      <c r="P624" s="8" t="s">
        <v>119</v>
      </c>
      <c r="Q624" s="8">
        <v>569310</v>
      </c>
      <c r="R624" s="9">
        <v>45281</v>
      </c>
      <c r="S624" s="8" t="s">
        <v>34</v>
      </c>
      <c r="T624" s="8" t="s">
        <v>40</v>
      </c>
      <c r="U624" s="8" t="s">
        <v>58</v>
      </c>
      <c r="V624" s="8" t="s">
        <v>46</v>
      </c>
      <c r="W624" s="8">
        <v>0</v>
      </c>
    </row>
    <row r="625" spans="1:23" x14ac:dyDescent="0.25">
      <c r="A625" s="4"/>
      <c r="B625" s="4"/>
      <c r="C625" s="4">
        <v>888360</v>
      </c>
      <c r="D625" s="22">
        <v>5193.6899999999996</v>
      </c>
      <c r="E625" s="5">
        <f t="shared" si="9"/>
        <v>0.31000000000040018</v>
      </c>
      <c r="F625" s="9">
        <v>45288</v>
      </c>
      <c r="G625" s="10">
        <v>330450801</v>
      </c>
      <c r="H625" s="9">
        <v>45281</v>
      </c>
      <c r="I625" s="9">
        <v>45296</v>
      </c>
      <c r="J625" s="8">
        <v>5194</v>
      </c>
      <c r="K625" s="8" t="s">
        <v>31</v>
      </c>
      <c r="L625" s="8" t="s">
        <v>32</v>
      </c>
      <c r="M625" s="8"/>
      <c r="N625" s="8" t="b">
        <v>0</v>
      </c>
      <c r="O625" s="10">
        <v>709935</v>
      </c>
      <c r="P625" s="8" t="s">
        <v>216</v>
      </c>
      <c r="Q625" s="8">
        <v>569386</v>
      </c>
      <c r="R625" s="9">
        <v>45281</v>
      </c>
      <c r="S625" s="8" t="s">
        <v>34</v>
      </c>
      <c r="T625" s="8" t="s">
        <v>40</v>
      </c>
      <c r="U625" s="8" t="s">
        <v>58</v>
      </c>
      <c r="V625" s="8" t="s">
        <v>46</v>
      </c>
      <c r="W625" s="8">
        <v>0</v>
      </c>
    </row>
    <row r="626" spans="1:23" x14ac:dyDescent="0.25">
      <c r="A626" s="4"/>
      <c r="B626" s="4"/>
      <c r="C626" s="4">
        <v>888189</v>
      </c>
      <c r="D626" s="22">
        <v>5224.96</v>
      </c>
      <c r="E626" s="5">
        <f t="shared" si="9"/>
        <v>-1.9600000000000364</v>
      </c>
      <c r="F626" s="9">
        <v>45288</v>
      </c>
      <c r="G626" s="10">
        <v>330450813</v>
      </c>
      <c r="H626" s="9">
        <v>45281</v>
      </c>
      <c r="I626" s="9">
        <v>45296</v>
      </c>
      <c r="J626" s="8">
        <v>5223</v>
      </c>
      <c r="K626" s="8" t="s">
        <v>31</v>
      </c>
      <c r="L626" s="8" t="s">
        <v>32</v>
      </c>
      <c r="M626" s="8"/>
      <c r="N626" s="8" t="b">
        <v>0</v>
      </c>
      <c r="O626" s="10">
        <v>21166</v>
      </c>
      <c r="P626" s="8" t="s">
        <v>57</v>
      </c>
      <c r="Q626" s="8">
        <v>569295</v>
      </c>
      <c r="R626" s="9">
        <v>45281</v>
      </c>
      <c r="S626" s="8" t="s">
        <v>48</v>
      </c>
      <c r="T626" s="8" t="s">
        <v>40</v>
      </c>
      <c r="U626" s="8" t="s">
        <v>163</v>
      </c>
      <c r="V626" s="8" t="s">
        <v>46</v>
      </c>
      <c r="W626" s="8">
        <v>0</v>
      </c>
    </row>
    <row r="627" spans="1:23" x14ac:dyDescent="0.25">
      <c r="A627" s="4"/>
      <c r="B627" s="4"/>
      <c r="C627" s="4">
        <v>888362</v>
      </c>
      <c r="D627" s="22">
        <v>5193.6899999999996</v>
      </c>
      <c r="E627" s="5">
        <f t="shared" si="9"/>
        <v>0.31000000000040018</v>
      </c>
      <c r="F627" s="9">
        <v>45288</v>
      </c>
      <c r="G627" s="10">
        <v>330452502</v>
      </c>
      <c r="H627" s="9">
        <v>45281</v>
      </c>
      <c r="I627" s="9">
        <v>45296</v>
      </c>
      <c r="J627" s="8">
        <v>5194</v>
      </c>
      <c r="K627" s="8" t="s">
        <v>31</v>
      </c>
      <c r="L627" s="8" t="s">
        <v>32</v>
      </c>
      <c r="M627" s="8"/>
      <c r="N627" s="8" t="b">
        <v>0</v>
      </c>
      <c r="O627" s="10">
        <v>709936</v>
      </c>
      <c r="P627" s="8" t="s">
        <v>38</v>
      </c>
      <c r="Q627" s="8">
        <v>571202</v>
      </c>
      <c r="R627" s="9">
        <v>45281</v>
      </c>
      <c r="S627" s="8" t="s">
        <v>34</v>
      </c>
      <c r="T627" s="8" t="s">
        <v>40</v>
      </c>
      <c r="U627" s="8" t="s">
        <v>58</v>
      </c>
      <c r="V627" s="8" t="s">
        <v>46</v>
      </c>
      <c r="W627" s="8">
        <v>0</v>
      </c>
    </row>
    <row r="628" spans="1:23" x14ac:dyDescent="0.25">
      <c r="A628" s="4"/>
      <c r="B628" s="4"/>
      <c r="C628" s="4">
        <v>888402</v>
      </c>
      <c r="D628" s="22">
        <v>6997.68</v>
      </c>
      <c r="E628" s="5">
        <f t="shared" si="9"/>
        <v>1.319999999999709</v>
      </c>
      <c r="F628" s="9">
        <v>45288</v>
      </c>
      <c r="G628" s="10">
        <v>330462187</v>
      </c>
      <c r="H628" s="9">
        <v>45282</v>
      </c>
      <c r="I628" s="9">
        <v>45297</v>
      </c>
      <c r="J628" s="8">
        <v>6999</v>
      </c>
      <c r="K628" s="8" t="s">
        <v>31</v>
      </c>
      <c r="L628" s="8" t="s">
        <v>32</v>
      </c>
      <c r="M628" s="8"/>
      <c r="N628" s="8" t="b">
        <v>0</v>
      </c>
      <c r="O628" s="16">
        <v>21159</v>
      </c>
      <c r="P628" s="8" t="s">
        <v>295</v>
      </c>
      <c r="Q628" s="8">
        <v>576876</v>
      </c>
      <c r="R628" s="9">
        <v>45282</v>
      </c>
      <c r="S628" s="8" t="s">
        <v>39</v>
      </c>
      <c r="T628" s="8" t="s">
        <v>44</v>
      </c>
      <c r="U628" s="8" t="s">
        <v>41</v>
      </c>
      <c r="V628" s="8" t="s">
        <v>42</v>
      </c>
      <c r="W628" s="8">
        <v>0</v>
      </c>
    </row>
    <row r="629" spans="1:23" x14ac:dyDescent="0.25">
      <c r="A629" s="4"/>
      <c r="B629" s="4"/>
      <c r="C629" s="4">
        <v>888364</v>
      </c>
      <c r="D629" s="22">
        <v>5193.6899999999996</v>
      </c>
      <c r="E629" s="5">
        <f t="shared" si="9"/>
        <v>0.31000000000040018</v>
      </c>
      <c r="F629" s="9">
        <v>45288</v>
      </c>
      <c r="G629" s="10">
        <v>330462195</v>
      </c>
      <c r="H629" s="9">
        <v>45282</v>
      </c>
      <c r="I629" s="9">
        <v>45297</v>
      </c>
      <c r="J629" s="8">
        <v>5194</v>
      </c>
      <c r="K629" s="8" t="s">
        <v>31</v>
      </c>
      <c r="L629" s="8" t="s">
        <v>32</v>
      </c>
      <c r="M629" s="8"/>
      <c r="N629" s="8" t="b">
        <v>0</v>
      </c>
      <c r="O629" s="10">
        <v>709937</v>
      </c>
      <c r="P629" s="8" t="s">
        <v>219</v>
      </c>
      <c r="Q629" s="8">
        <v>576663</v>
      </c>
      <c r="R629" s="9">
        <v>45282</v>
      </c>
      <c r="S629" s="8" t="s">
        <v>34</v>
      </c>
      <c r="T629" s="8" t="s">
        <v>40</v>
      </c>
      <c r="U629" s="8" t="s">
        <v>58</v>
      </c>
      <c r="V629" s="8" t="s">
        <v>46</v>
      </c>
      <c r="W629" s="8">
        <v>0</v>
      </c>
    </row>
    <row r="630" spans="1:23" x14ac:dyDescent="0.25">
      <c r="A630" s="4"/>
      <c r="B630" s="4"/>
      <c r="C630" s="4">
        <v>888403</v>
      </c>
      <c r="D630" s="22">
        <v>6997.68</v>
      </c>
      <c r="E630" s="5">
        <f t="shared" si="9"/>
        <v>1.319999999999709</v>
      </c>
      <c r="F630" s="9">
        <v>45288</v>
      </c>
      <c r="G630" s="10">
        <v>330462197</v>
      </c>
      <c r="H630" s="9">
        <v>45282</v>
      </c>
      <c r="I630" s="9">
        <v>45297</v>
      </c>
      <c r="J630" s="8">
        <v>6999</v>
      </c>
      <c r="K630" s="8" t="s">
        <v>31</v>
      </c>
      <c r="L630" s="8" t="s">
        <v>32</v>
      </c>
      <c r="M630" s="8"/>
      <c r="N630" s="8" t="b">
        <v>0</v>
      </c>
      <c r="O630" s="16">
        <v>21158</v>
      </c>
      <c r="P630" s="8" t="s">
        <v>265</v>
      </c>
      <c r="Q630" s="8">
        <v>576861</v>
      </c>
      <c r="R630" s="9">
        <v>45282</v>
      </c>
      <c r="S630" s="8" t="s">
        <v>39</v>
      </c>
      <c r="T630" s="8" t="s">
        <v>44</v>
      </c>
      <c r="U630" s="8" t="s">
        <v>41</v>
      </c>
      <c r="V630" s="8" t="s">
        <v>42</v>
      </c>
      <c r="W630" s="8">
        <v>0</v>
      </c>
    </row>
    <row r="631" spans="1:23" x14ac:dyDescent="0.25">
      <c r="A631" s="4"/>
      <c r="B631" s="4"/>
      <c r="C631" s="4">
        <v>888367</v>
      </c>
      <c r="D631" s="22">
        <v>5164.29</v>
      </c>
      <c r="E631" s="5">
        <f t="shared" si="9"/>
        <v>-0.28999999999996362</v>
      </c>
      <c r="F631" s="9">
        <v>45288</v>
      </c>
      <c r="G631" s="10">
        <v>330462211</v>
      </c>
      <c r="H631" s="9">
        <v>45282</v>
      </c>
      <c r="I631" s="9">
        <v>45297</v>
      </c>
      <c r="J631" s="8">
        <v>5164</v>
      </c>
      <c r="K631" s="8" t="s">
        <v>31</v>
      </c>
      <c r="L631" s="8" t="s">
        <v>32</v>
      </c>
      <c r="M631" s="8"/>
      <c r="N631" s="8" t="b">
        <v>0</v>
      </c>
      <c r="O631" s="10">
        <v>709316</v>
      </c>
      <c r="P631" s="8" t="s">
        <v>332</v>
      </c>
      <c r="Q631" s="8">
        <v>576835</v>
      </c>
      <c r="R631" s="9">
        <v>45282</v>
      </c>
      <c r="S631" s="8" t="s">
        <v>34</v>
      </c>
      <c r="T631" s="8" t="s">
        <v>44</v>
      </c>
      <c r="U631" s="8" t="s">
        <v>58</v>
      </c>
      <c r="V631" s="8" t="s">
        <v>46</v>
      </c>
      <c r="W631" s="8">
        <v>0</v>
      </c>
    </row>
    <row r="632" spans="1:23" x14ac:dyDescent="0.25">
      <c r="A632" s="4"/>
      <c r="B632" s="4"/>
      <c r="C632" s="4">
        <v>888369</v>
      </c>
      <c r="D632" s="22">
        <v>5164.29</v>
      </c>
      <c r="E632" s="5">
        <f t="shared" si="9"/>
        <v>-0.28999999999996362</v>
      </c>
      <c r="F632" s="9">
        <v>45288</v>
      </c>
      <c r="G632" s="10">
        <v>330462219</v>
      </c>
      <c r="H632" s="9">
        <v>45282</v>
      </c>
      <c r="I632" s="9">
        <v>45297</v>
      </c>
      <c r="J632" s="8">
        <v>5164</v>
      </c>
      <c r="K632" s="8" t="s">
        <v>31</v>
      </c>
      <c r="L632" s="8" t="s">
        <v>32</v>
      </c>
      <c r="M632" s="8"/>
      <c r="N632" s="8" t="b">
        <v>0</v>
      </c>
      <c r="O632" s="10">
        <v>709317</v>
      </c>
      <c r="P632" s="8" t="s">
        <v>333</v>
      </c>
      <c r="Q632" s="8">
        <v>576850</v>
      </c>
      <c r="R632" s="9">
        <v>45282</v>
      </c>
      <c r="S632" s="8" t="s">
        <v>34</v>
      </c>
      <c r="T632" s="8" t="s">
        <v>44</v>
      </c>
      <c r="U632" s="8" t="s">
        <v>58</v>
      </c>
      <c r="V632" s="8" t="s">
        <v>46</v>
      </c>
      <c r="W632" s="8">
        <v>0</v>
      </c>
    </row>
    <row r="633" spans="1:23" x14ac:dyDescent="0.25">
      <c r="A633" s="4"/>
      <c r="B633" s="4"/>
      <c r="C633" s="4">
        <v>888405</v>
      </c>
      <c r="D633" s="22">
        <v>5224.96</v>
      </c>
      <c r="E633" s="5">
        <f t="shared" si="9"/>
        <v>-1.9600000000000364</v>
      </c>
      <c r="F633" s="9">
        <v>45288</v>
      </c>
      <c r="G633" s="10">
        <v>330462228</v>
      </c>
      <c r="H633" s="9">
        <v>45282</v>
      </c>
      <c r="I633" s="9">
        <v>45297</v>
      </c>
      <c r="J633" s="8">
        <v>5223</v>
      </c>
      <c r="K633" s="8" t="s">
        <v>31</v>
      </c>
      <c r="L633" s="8" t="s">
        <v>32</v>
      </c>
      <c r="M633" s="8"/>
      <c r="N633" s="8" t="b">
        <v>0</v>
      </c>
      <c r="O633" s="16">
        <v>21167</v>
      </c>
      <c r="P633" s="8" t="s">
        <v>97</v>
      </c>
      <c r="Q633" s="8">
        <v>576657</v>
      </c>
      <c r="R633" s="9">
        <v>45282</v>
      </c>
      <c r="S633" s="8" t="s">
        <v>48</v>
      </c>
      <c r="T633" s="8" t="s">
        <v>40</v>
      </c>
      <c r="U633" s="8" t="s">
        <v>163</v>
      </c>
      <c r="V633" s="8" t="s">
        <v>46</v>
      </c>
      <c r="W633" s="8">
        <v>0</v>
      </c>
    </row>
    <row r="634" spans="1:23" x14ac:dyDescent="0.25">
      <c r="A634" s="4"/>
      <c r="B634" s="4"/>
      <c r="C634" s="4">
        <v>888371</v>
      </c>
      <c r="D634" s="22">
        <v>5164.29</v>
      </c>
      <c r="E634" s="5">
        <f t="shared" si="9"/>
        <v>-0.28999999999996362</v>
      </c>
      <c r="F634" s="9">
        <v>45288</v>
      </c>
      <c r="G634" s="10">
        <v>330462249</v>
      </c>
      <c r="H634" s="9">
        <v>45282</v>
      </c>
      <c r="I634" s="9">
        <v>45297</v>
      </c>
      <c r="J634" s="8">
        <v>5164</v>
      </c>
      <c r="K634" s="8" t="s">
        <v>31</v>
      </c>
      <c r="L634" s="8" t="s">
        <v>32</v>
      </c>
      <c r="M634" s="8"/>
      <c r="N634" s="8" t="b">
        <v>0</v>
      </c>
      <c r="O634" s="10">
        <v>709315</v>
      </c>
      <c r="P634" s="8" t="s">
        <v>255</v>
      </c>
      <c r="Q634" s="8">
        <v>576820</v>
      </c>
      <c r="R634" s="9">
        <v>45282</v>
      </c>
      <c r="S634" s="8" t="s">
        <v>34</v>
      </c>
      <c r="T634" s="8" t="s">
        <v>44</v>
      </c>
      <c r="U634" s="8" t="s">
        <v>58</v>
      </c>
      <c r="V634" s="8" t="s">
        <v>46</v>
      </c>
      <c r="W634" s="8">
        <v>0</v>
      </c>
    </row>
    <row r="635" spans="1:23" x14ac:dyDescent="0.25">
      <c r="A635" s="4"/>
      <c r="B635" s="4"/>
      <c r="C635" s="4">
        <v>888751</v>
      </c>
      <c r="D635" s="22">
        <v>5053</v>
      </c>
      <c r="E635" s="5">
        <f t="shared" si="9"/>
        <v>0</v>
      </c>
      <c r="F635" s="9">
        <v>45288</v>
      </c>
      <c r="G635" s="10">
        <v>330486782</v>
      </c>
      <c r="H635" s="9">
        <v>45287</v>
      </c>
      <c r="I635" s="9">
        <v>45302</v>
      </c>
      <c r="J635" s="8">
        <v>5053</v>
      </c>
      <c r="K635" s="8" t="s">
        <v>31</v>
      </c>
      <c r="L635" s="8" t="s">
        <v>32</v>
      </c>
      <c r="M635" s="8"/>
      <c r="N635" s="8" t="b">
        <v>0</v>
      </c>
      <c r="O635" s="10">
        <v>709922</v>
      </c>
      <c r="P635" s="8" t="s">
        <v>153</v>
      </c>
      <c r="Q635" s="8">
        <v>592521</v>
      </c>
      <c r="R635" s="9">
        <v>45283</v>
      </c>
      <c r="S635" s="8" t="s">
        <v>34</v>
      </c>
      <c r="T635" s="8" t="s">
        <v>40</v>
      </c>
      <c r="U635" s="8" t="s">
        <v>84</v>
      </c>
      <c r="V635" s="8" t="s">
        <v>46</v>
      </c>
      <c r="W635" s="8">
        <v>0</v>
      </c>
    </row>
    <row r="636" spans="1:23" x14ac:dyDescent="0.25">
      <c r="A636" s="4"/>
      <c r="B636" s="4"/>
      <c r="C636" s="4">
        <v>888757</v>
      </c>
      <c r="D636" s="22">
        <v>5193.6899999999996</v>
      </c>
      <c r="E636" s="5">
        <f t="shared" si="9"/>
        <v>0.31000000000040018</v>
      </c>
      <c r="F636" s="9">
        <v>45288</v>
      </c>
      <c r="G636" s="10">
        <v>330486784</v>
      </c>
      <c r="H636" s="9">
        <v>45287</v>
      </c>
      <c r="I636" s="9">
        <v>45302</v>
      </c>
      <c r="J636" s="8">
        <v>5194</v>
      </c>
      <c r="K636" s="8" t="s">
        <v>31</v>
      </c>
      <c r="L636" s="8" t="s">
        <v>32</v>
      </c>
      <c r="M636" s="8"/>
      <c r="N636" s="8" t="b">
        <v>0</v>
      </c>
      <c r="O636" s="10">
        <v>709941</v>
      </c>
      <c r="P636" s="8" t="s">
        <v>218</v>
      </c>
      <c r="Q636" s="8">
        <v>592529</v>
      </c>
      <c r="R636" s="9">
        <v>45283</v>
      </c>
      <c r="S636" s="8" t="s">
        <v>34</v>
      </c>
      <c r="T636" s="8" t="s">
        <v>40</v>
      </c>
      <c r="U636" s="8" t="s">
        <v>58</v>
      </c>
      <c r="V636" s="8" t="s">
        <v>46</v>
      </c>
      <c r="W636" s="8">
        <v>0</v>
      </c>
    </row>
    <row r="637" spans="1:23" x14ac:dyDescent="0.25">
      <c r="A637" s="4"/>
      <c r="B637" s="4"/>
      <c r="C637" s="4">
        <v>888760</v>
      </c>
      <c r="D637" s="22">
        <v>5193.6899999999996</v>
      </c>
      <c r="E637" s="5">
        <f t="shared" si="9"/>
        <v>0.31000000000040018</v>
      </c>
      <c r="F637" s="9">
        <v>45288</v>
      </c>
      <c r="G637" s="10">
        <v>330486785</v>
      </c>
      <c r="H637" s="9">
        <v>45287</v>
      </c>
      <c r="I637" s="9">
        <v>45302</v>
      </c>
      <c r="J637" s="8">
        <v>5194</v>
      </c>
      <c r="K637" s="8" t="s">
        <v>31</v>
      </c>
      <c r="L637" s="8" t="s">
        <v>32</v>
      </c>
      <c r="M637" s="8"/>
      <c r="N637" s="8" t="b">
        <v>0</v>
      </c>
      <c r="O637" s="10">
        <v>709940</v>
      </c>
      <c r="P637" s="8" t="s">
        <v>128</v>
      </c>
      <c r="Q637" s="8">
        <v>592528</v>
      </c>
      <c r="R637" s="9">
        <v>45283</v>
      </c>
      <c r="S637" s="8" t="s">
        <v>34</v>
      </c>
      <c r="T637" s="8" t="s">
        <v>40</v>
      </c>
      <c r="U637" s="8" t="s">
        <v>58</v>
      </c>
      <c r="V637" s="8" t="s">
        <v>46</v>
      </c>
      <c r="W637" s="8">
        <v>0</v>
      </c>
    </row>
    <row r="638" spans="1:23" x14ac:dyDescent="0.25">
      <c r="A638" s="4"/>
      <c r="B638" s="4"/>
      <c r="C638" s="4">
        <v>888764</v>
      </c>
      <c r="D638" s="22">
        <v>5193.6899999999996</v>
      </c>
      <c r="E638" s="5">
        <f t="shared" si="9"/>
        <v>0.31000000000040018</v>
      </c>
      <c r="F638" s="9">
        <v>45288</v>
      </c>
      <c r="G638" s="10">
        <v>330486788</v>
      </c>
      <c r="H638" s="9">
        <v>45287</v>
      </c>
      <c r="I638" s="9">
        <v>45302</v>
      </c>
      <c r="J638" s="8">
        <v>5194</v>
      </c>
      <c r="K638" s="8" t="s">
        <v>31</v>
      </c>
      <c r="L638" s="8" t="s">
        <v>32</v>
      </c>
      <c r="M638" s="8"/>
      <c r="N638" s="8" t="b">
        <v>0</v>
      </c>
      <c r="O638" s="10">
        <v>709943</v>
      </c>
      <c r="P638" s="8" t="s">
        <v>55</v>
      </c>
      <c r="Q638" s="8">
        <v>592531</v>
      </c>
      <c r="R638" s="9">
        <v>45283</v>
      </c>
      <c r="S638" s="8" t="s">
        <v>34</v>
      </c>
      <c r="T638" s="8" t="s">
        <v>40</v>
      </c>
      <c r="U638" s="8" t="s">
        <v>58</v>
      </c>
      <c r="V638" s="8" t="s">
        <v>46</v>
      </c>
      <c r="W638" s="8">
        <v>0</v>
      </c>
    </row>
    <row r="639" spans="1:23" x14ac:dyDescent="0.25">
      <c r="A639" s="4"/>
      <c r="B639" s="4"/>
      <c r="C639" s="4">
        <v>888817</v>
      </c>
      <c r="D639" s="22">
        <v>5193.6899999999996</v>
      </c>
      <c r="E639" s="5">
        <f t="shared" si="9"/>
        <v>0.31000000000040018</v>
      </c>
      <c r="F639" s="9">
        <v>45288</v>
      </c>
      <c r="G639" s="10">
        <v>330486792</v>
      </c>
      <c r="H639" s="9">
        <v>45287</v>
      </c>
      <c r="I639" s="9">
        <v>45302</v>
      </c>
      <c r="J639" s="8">
        <v>5194</v>
      </c>
      <c r="K639" s="8" t="s">
        <v>31</v>
      </c>
      <c r="L639" s="8" t="s">
        <v>32</v>
      </c>
      <c r="M639" s="8"/>
      <c r="N639" s="8" t="b">
        <v>0</v>
      </c>
      <c r="O639" s="10">
        <v>709938</v>
      </c>
      <c r="P639" s="8" t="s">
        <v>63</v>
      </c>
      <c r="Q639" s="8">
        <v>592526</v>
      </c>
      <c r="R639" s="9">
        <v>45283</v>
      </c>
      <c r="S639" s="8" t="s">
        <v>34</v>
      </c>
      <c r="T639" s="8" t="s">
        <v>40</v>
      </c>
      <c r="U639" s="8" t="s">
        <v>58</v>
      </c>
      <c r="V639" s="8" t="s">
        <v>46</v>
      </c>
      <c r="W639" s="8">
        <v>0</v>
      </c>
    </row>
    <row r="640" spans="1:23" x14ac:dyDescent="0.25">
      <c r="A640" s="4"/>
      <c r="B640" s="4"/>
      <c r="C640" s="4">
        <v>888825</v>
      </c>
      <c r="D640" s="22">
        <v>5053</v>
      </c>
      <c r="E640" s="5">
        <f t="shared" si="9"/>
        <v>0</v>
      </c>
      <c r="F640" s="9">
        <v>45288</v>
      </c>
      <c r="G640" s="10">
        <v>330486793</v>
      </c>
      <c r="H640" s="9">
        <v>45287</v>
      </c>
      <c r="I640" s="9">
        <v>45302</v>
      </c>
      <c r="J640" s="8">
        <v>5053</v>
      </c>
      <c r="K640" s="8" t="s">
        <v>31</v>
      </c>
      <c r="L640" s="8" t="s">
        <v>32</v>
      </c>
      <c r="M640" s="8"/>
      <c r="N640" s="8" t="b">
        <v>0</v>
      </c>
      <c r="O640" s="10">
        <v>709924</v>
      </c>
      <c r="P640" s="8" t="s">
        <v>336</v>
      </c>
      <c r="Q640" s="8">
        <v>592525</v>
      </c>
      <c r="R640" s="9">
        <v>45283</v>
      </c>
      <c r="S640" s="8" t="s">
        <v>34</v>
      </c>
      <c r="T640" s="8" t="s">
        <v>40</v>
      </c>
      <c r="U640" s="8" t="s">
        <v>84</v>
      </c>
      <c r="V640" s="8" t="s">
        <v>46</v>
      </c>
      <c r="W640" s="8">
        <v>0</v>
      </c>
    </row>
    <row r="641" spans="1:23" x14ac:dyDescent="0.25">
      <c r="A641" s="4"/>
      <c r="B641" s="4"/>
      <c r="C641" s="4">
        <v>888826</v>
      </c>
      <c r="D641" s="22">
        <v>5053</v>
      </c>
      <c r="E641" s="5">
        <f t="shared" si="9"/>
        <v>0</v>
      </c>
      <c r="F641" s="9">
        <v>45288</v>
      </c>
      <c r="G641" s="10">
        <v>330486794</v>
      </c>
      <c r="H641" s="9">
        <v>45287</v>
      </c>
      <c r="I641" s="9">
        <v>45302</v>
      </c>
      <c r="J641" s="8">
        <v>5053</v>
      </c>
      <c r="K641" s="8" t="s">
        <v>31</v>
      </c>
      <c r="L641" s="8" t="s">
        <v>32</v>
      </c>
      <c r="M641" s="8"/>
      <c r="N641" s="8" t="b">
        <v>0</v>
      </c>
      <c r="O641" s="10">
        <v>709921</v>
      </c>
      <c r="P641" s="8" t="s">
        <v>141</v>
      </c>
      <c r="Q641" s="8">
        <v>592519</v>
      </c>
      <c r="R641" s="9">
        <v>45283</v>
      </c>
      <c r="S641" s="8" t="s">
        <v>34</v>
      </c>
      <c r="T641" s="8" t="s">
        <v>40</v>
      </c>
      <c r="U641" s="8" t="s">
        <v>84</v>
      </c>
      <c r="V641" s="8" t="s">
        <v>46</v>
      </c>
      <c r="W641" s="8">
        <v>0</v>
      </c>
    </row>
    <row r="642" spans="1:23" x14ac:dyDescent="0.25">
      <c r="A642" s="4"/>
      <c r="B642" s="4"/>
      <c r="C642" s="4">
        <v>888827</v>
      </c>
      <c r="D642" s="22">
        <v>5193.6899999999996</v>
      </c>
      <c r="E642" s="5">
        <f t="shared" si="9"/>
        <v>0.31000000000040018</v>
      </c>
      <c r="F642" s="9">
        <v>45288</v>
      </c>
      <c r="G642" s="10">
        <v>330486796</v>
      </c>
      <c r="H642" s="9">
        <v>45287</v>
      </c>
      <c r="I642" s="9">
        <v>45302</v>
      </c>
      <c r="J642" s="8">
        <v>5194</v>
      </c>
      <c r="K642" s="8" t="s">
        <v>31</v>
      </c>
      <c r="L642" s="8" t="s">
        <v>32</v>
      </c>
      <c r="M642" s="8"/>
      <c r="N642" s="8" t="b">
        <v>0</v>
      </c>
      <c r="O642" s="10">
        <v>709939</v>
      </c>
      <c r="P642" s="8" t="s">
        <v>59</v>
      </c>
      <c r="Q642" s="8">
        <v>592527</v>
      </c>
      <c r="R642" s="9">
        <v>45283</v>
      </c>
      <c r="S642" s="8" t="s">
        <v>34</v>
      </c>
      <c r="T642" s="8" t="s">
        <v>40</v>
      </c>
      <c r="U642" s="8" t="s">
        <v>58</v>
      </c>
      <c r="V642" s="8" t="s">
        <v>46</v>
      </c>
      <c r="W642" s="8">
        <v>0</v>
      </c>
    </row>
    <row r="643" spans="1:23" x14ac:dyDescent="0.25">
      <c r="A643" s="4"/>
      <c r="B643" s="4"/>
      <c r="C643" s="4">
        <v>888829</v>
      </c>
      <c r="D643" s="22">
        <v>5193.6899999999996</v>
      </c>
      <c r="E643" s="5">
        <f t="shared" si="9"/>
        <v>0.31000000000040018</v>
      </c>
      <c r="F643" s="9">
        <v>45288</v>
      </c>
      <c r="G643" s="10">
        <v>330486799</v>
      </c>
      <c r="H643" s="9">
        <v>45287</v>
      </c>
      <c r="I643" s="9">
        <v>45302</v>
      </c>
      <c r="J643" s="8">
        <v>5194</v>
      </c>
      <c r="K643" s="8" t="s">
        <v>31</v>
      </c>
      <c r="L643" s="8" t="s">
        <v>32</v>
      </c>
      <c r="M643" s="8"/>
      <c r="N643" s="8" t="b">
        <v>0</v>
      </c>
      <c r="O643" s="10">
        <v>709942</v>
      </c>
      <c r="P643" s="8" t="s">
        <v>78</v>
      </c>
      <c r="Q643" s="8">
        <v>592530</v>
      </c>
      <c r="R643" s="9">
        <v>45283</v>
      </c>
      <c r="S643" s="8" t="s">
        <v>34</v>
      </c>
      <c r="T643" s="8" t="s">
        <v>40</v>
      </c>
      <c r="U643" s="8" t="s">
        <v>58</v>
      </c>
      <c r="V643" s="8" t="s">
        <v>46</v>
      </c>
      <c r="W643" s="8">
        <v>0</v>
      </c>
    </row>
    <row r="644" spans="1:23" x14ac:dyDescent="0.25">
      <c r="A644" s="4"/>
      <c r="B644" s="4"/>
      <c r="C644" s="4">
        <v>888833</v>
      </c>
      <c r="D644" s="22">
        <v>5053</v>
      </c>
      <c r="E644" s="5">
        <f t="shared" si="9"/>
        <v>0</v>
      </c>
      <c r="F644" s="9">
        <v>45288</v>
      </c>
      <c r="G644" s="10">
        <v>330486803</v>
      </c>
      <c r="H644" s="9">
        <v>45287</v>
      </c>
      <c r="I644" s="9">
        <v>45302</v>
      </c>
      <c r="J644" s="8">
        <v>5053</v>
      </c>
      <c r="K644" s="8" t="s">
        <v>31</v>
      </c>
      <c r="L644" s="8" t="s">
        <v>32</v>
      </c>
      <c r="M644" s="8"/>
      <c r="N644" s="8" t="b">
        <v>0</v>
      </c>
      <c r="O644" s="10">
        <v>709923</v>
      </c>
      <c r="P644" s="8" t="s">
        <v>335</v>
      </c>
      <c r="Q644" s="8">
        <v>592523</v>
      </c>
      <c r="R644" s="9">
        <v>45283</v>
      </c>
      <c r="S644" s="8" t="s">
        <v>34</v>
      </c>
      <c r="T644" s="8" t="s">
        <v>40</v>
      </c>
      <c r="U644" s="8" t="s">
        <v>84</v>
      </c>
      <c r="V644" s="8" t="s">
        <v>46</v>
      </c>
      <c r="W644" s="8">
        <v>0</v>
      </c>
    </row>
    <row r="645" spans="1:23" x14ac:dyDescent="0.25">
      <c r="A645" s="4">
        <v>1</v>
      </c>
      <c r="B645" s="4"/>
      <c r="C645" s="4">
        <v>888718</v>
      </c>
      <c r="D645" s="22">
        <v>8573.1200000000008</v>
      </c>
      <c r="E645" s="5">
        <f t="shared" si="9"/>
        <v>0</v>
      </c>
      <c r="F645" s="9">
        <v>45288</v>
      </c>
      <c r="G645" s="10">
        <v>330489387</v>
      </c>
      <c r="H645" s="9">
        <v>45287</v>
      </c>
      <c r="I645" s="9">
        <v>45302</v>
      </c>
      <c r="J645" s="8">
        <v>8573.1200000000008</v>
      </c>
      <c r="K645" s="8" t="s">
        <v>31</v>
      </c>
      <c r="L645" s="8" t="s">
        <v>32</v>
      </c>
      <c r="M645" s="8"/>
      <c r="N645" s="8" t="b">
        <v>0</v>
      </c>
      <c r="O645" s="10" t="s">
        <v>284</v>
      </c>
      <c r="P645" s="8" t="s">
        <v>354</v>
      </c>
      <c r="Q645" s="8">
        <v>592871</v>
      </c>
      <c r="R645" s="9">
        <v>45284</v>
      </c>
      <c r="S645" s="8" t="s">
        <v>286</v>
      </c>
      <c r="T645" s="8" t="s">
        <v>355</v>
      </c>
      <c r="U645" s="8" t="s">
        <v>287</v>
      </c>
      <c r="V645" s="8" t="s">
        <v>46</v>
      </c>
      <c r="W645" s="8">
        <v>0</v>
      </c>
    </row>
    <row r="646" spans="1:23" x14ac:dyDescent="0.25">
      <c r="A646" s="4"/>
      <c r="B646" s="4"/>
      <c r="C646" s="4">
        <v>888834</v>
      </c>
      <c r="D646" s="22">
        <v>5164.29</v>
      </c>
      <c r="E646" s="5">
        <f t="shared" ref="E646:E709" si="10">J646-D646</f>
        <v>-0.28999999999996362</v>
      </c>
      <c r="F646" s="9">
        <v>45288</v>
      </c>
      <c r="G646" s="10">
        <v>330503784</v>
      </c>
      <c r="H646" s="9">
        <v>45287</v>
      </c>
      <c r="I646" s="9">
        <v>45302</v>
      </c>
      <c r="J646" s="8">
        <v>5164</v>
      </c>
      <c r="K646" s="8" t="s">
        <v>31</v>
      </c>
      <c r="L646" s="8" t="s">
        <v>32</v>
      </c>
      <c r="M646" s="8"/>
      <c r="N646" s="8" t="b">
        <v>0</v>
      </c>
      <c r="O646" s="10">
        <v>708417</v>
      </c>
      <c r="P646" s="8" t="s">
        <v>267</v>
      </c>
      <c r="Q646" s="8">
        <v>601635</v>
      </c>
      <c r="R646" s="9">
        <v>45286</v>
      </c>
      <c r="S646" s="8" t="s">
        <v>34</v>
      </c>
      <c r="T646" s="8" t="s">
        <v>44</v>
      </c>
      <c r="U646" s="8" t="s">
        <v>58</v>
      </c>
      <c r="V646" s="8" t="s">
        <v>46</v>
      </c>
      <c r="W646" s="8">
        <v>0</v>
      </c>
    </row>
    <row r="647" spans="1:23" x14ac:dyDescent="0.25">
      <c r="A647" s="4"/>
      <c r="B647" s="4"/>
      <c r="C647" s="4">
        <v>888424</v>
      </c>
      <c r="D647" s="22">
        <v>5166.74</v>
      </c>
      <c r="E647" s="17">
        <f t="shared" si="10"/>
        <v>0.26000000000021828</v>
      </c>
      <c r="F647" s="9">
        <v>45288</v>
      </c>
      <c r="G647" s="10">
        <v>330503788</v>
      </c>
      <c r="H647" s="9">
        <v>45287</v>
      </c>
      <c r="I647" s="9">
        <v>45302</v>
      </c>
      <c r="J647" s="8">
        <v>5167</v>
      </c>
      <c r="K647" s="8" t="s">
        <v>31</v>
      </c>
      <c r="L647" s="8" t="s">
        <v>32</v>
      </c>
      <c r="M647" s="8"/>
      <c r="N647" s="8" t="b">
        <v>0</v>
      </c>
      <c r="O647" s="10">
        <v>702415</v>
      </c>
      <c r="P647" s="8" t="s">
        <v>183</v>
      </c>
      <c r="Q647" s="8">
        <v>601620</v>
      </c>
      <c r="R647" s="9">
        <v>45286</v>
      </c>
      <c r="S647" s="8" t="s">
        <v>180</v>
      </c>
      <c r="T647" s="8" t="s">
        <v>44</v>
      </c>
      <c r="U647" s="8" t="s">
        <v>45</v>
      </c>
      <c r="V647" s="8" t="s">
        <v>46</v>
      </c>
      <c r="W647" s="8">
        <v>0</v>
      </c>
    </row>
    <row r="648" spans="1:23" x14ac:dyDescent="0.25">
      <c r="A648" s="4"/>
      <c r="B648" s="4"/>
      <c r="C648" s="4">
        <v>888843</v>
      </c>
      <c r="D648" s="22">
        <v>5164.29</v>
      </c>
      <c r="E648" s="5">
        <f t="shared" si="10"/>
        <v>-0.28999999999996362</v>
      </c>
      <c r="F648" s="9">
        <v>45288</v>
      </c>
      <c r="G648" s="10">
        <v>330503835</v>
      </c>
      <c r="H648" s="9">
        <v>45287</v>
      </c>
      <c r="I648" s="9">
        <v>45302</v>
      </c>
      <c r="J648" s="8">
        <v>5164</v>
      </c>
      <c r="K648" s="8" t="s">
        <v>31</v>
      </c>
      <c r="L648" s="8" t="s">
        <v>32</v>
      </c>
      <c r="M648" s="8"/>
      <c r="N648" s="8" t="b">
        <v>0</v>
      </c>
      <c r="O648" s="10">
        <v>709319</v>
      </c>
      <c r="P648" s="8" t="s">
        <v>179</v>
      </c>
      <c r="Q648" s="8">
        <v>601602</v>
      </c>
      <c r="R648" s="9">
        <v>45286</v>
      </c>
      <c r="S648" s="8" t="s">
        <v>34</v>
      </c>
      <c r="T648" s="8" t="s">
        <v>44</v>
      </c>
      <c r="U648" s="8" t="s">
        <v>58</v>
      </c>
      <c r="V648" s="8" t="s">
        <v>46</v>
      </c>
      <c r="W648" s="8">
        <v>0</v>
      </c>
    </row>
    <row r="649" spans="1:23" x14ac:dyDescent="0.25">
      <c r="A649" s="4"/>
      <c r="B649" s="4"/>
      <c r="C649" s="4">
        <v>888845</v>
      </c>
      <c r="D649" s="22">
        <v>5164.29</v>
      </c>
      <c r="E649" s="5">
        <f t="shared" si="10"/>
        <v>-0.28999999999996362</v>
      </c>
      <c r="F649" s="9">
        <v>45288</v>
      </c>
      <c r="G649" s="10">
        <v>330503904</v>
      </c>
      <c r="H649" s="9">
        <v>45287</v>
      </c>
      <c r="I649" s="9">
        <v>45302</v>
      </c>
      <c r="J649" s="8">
        <v>5164</v>
      </c>
      <c r="K649" s="8" t="s">
        <v>31</v>
      </c>
      <c r="L649" s="8" t="s">
        <v>32</v>
      </c>
      <c r="M649" s="8"/>
      <c r="N649" s="8" t="b">
        <v>0</v>
      </c>
      <c r="O649" s="10">
        <v>709320</v>
      </c>
      <c r="P649" s="8" t="s">
        <v>182</v>
      </c>
      <c r="Q649" s="8">
        <v>601613</v>
      </c>
      <c r="R649" s="9">
        <v>45286</v>
      </c>
      <c r="S649" s="8" t="s">
        <v>34</v>
      </c>
      <c r="T649" s="8" t="s">
        <v>44</v>
      </c>
      <c r="U649" s="8" t="s">
        <v>58</v>
      </c>
      <c r="V649" s="8" t="s">
        <v>46</v>
      </c>
      <c r="W649" s="8">
        <v>0</v>
      </c>
    </row>
    <row r="650" spans="1:23" x14ac:dyDescent="0.25">
      <c r="A650" s="4"/>
      <c r="B650" s="4"/>
      <c r="C650" s="4">
        <v>888846</v>
      </c>
      <c r="D650" s="22">
        <v>5164.29</v>
      </c>
      <c r="E650" s="5">
        <f t="shared" si="10"/>
        <v>-0.28999999999996362</v>
      </c>
      <c r="F650" s="9">
        <v>45288</v>
      </c>
      <c r="G650" s="10">
        <v>330503918</v>
      </c>
      <c r="H650" s="9">
        <v>45287</v>
      </c>
      <c r="I650" s="9">
        <v>45302</v>
      </c>
      <c r="J650" s="8">
        <v>5164</v>
      </c>
      <c r="K650" s="8" t="s">
        <v>31</v>
      </c>
      <c r="L650" s="8" t="s">
        <v>32</v>
      </c>
      <c r="M650" s="8"/>
      <c r="N650" s="8" t="b">
        <v>0</v>
      </c>
      <c r="O650" s="10">
        <v>706741</v>
      </c>
      <c r="P650" s="8" t="s">
        <v>204</v>
      </c>
      <c r="Q650" s="8">
        <v>601630</v>
      </c>
      <c r="R650" s="9">
        <v>45286</v>
      </c>
      <c r="S650" s="8" t="s">
        <v>34</v>
      </c>
      <c r="T650" s="8" t="s">
        <v>44</v>
      </c>
      <c r="U650" s="8" t="s">
        <v>58</v>
      </c>
      <c r="V650" s="8" t="s">
        <v>46</v>
      </c>
      <c r="W650" s="8">
        <v>0</v>
      </c>
    </row>
    <row r="651" spans="1:23" x14ac:dyDescent="0.25">
      <c r="A651" s="4"/>
      <c r="B651" s="4"/>
      <c r="C651" s="4">
        <v>888583</v>
      </c>
      <c r="D651" s="22">
        <v>87808</v>
      </c>
      <c r="E651" s="5">
        <f t="shared" si="10"/>
        <v>-8</v>
      </c>
      <c r="F651" s="9">
        <v>45288</v>
      </c>
      <c r="G651" s="10">
        <v>330519649</v>
      </c>
      <c r="H651" s="9">
        <v>45287</v>
      </c>
      <c r="I651" s="9">
        <v>45302</v>
      </c>
      <c r="J651" s="8">
        <v>87800</v>
      </c>
      <c r="K651" s="8" t="s">
        <v>31</v>
      </c>
      <c r="L651" s="8" t="s">
        <v>32</v>
      </c>
      <c r="M651" s="8"/>
      <c r="N651" s="8" t="b">
        <v>0</v>
      </c>
      <c r="O651" s="10"/>
      <c r="P651" s="8" t="s">
        <v>356</v>
      </c>
      <c r="Q651" s="8">
        <v>615679</v>
      </c>
      <c r="R651" s="9">
        <v>45287</v>
      </c>
      <c r="S651" s="8" t="s">
        <v>34</v>
      </c>
      <c r="T651" s="8" t="s">
        <v>49</v>
      </c>
      <c r="U651" s="8" t="s">
        <v>75</v>
      </c>
      <c r="V651" s="8" t="s">
        <v>46</v>
      </c>
      <c r="W651" s="8">
        <v>0</v>
      </c>
    </row>
    <row r="652" spans="1:23" x14ac:dyDescent="0.25">
      <c r="A652" s="4"/>
      <c r="B652" s="4"/>
      <c r="C652" s="4">
        <v>888740</v>
      </c>
      <c r="D652" s="22">
        <v>7837.52</v>
      </c>
      <c r="E652" s="5">
        <f t="shared" si="10"/>
        <v>0.47999999999956344</v>
      </c>
      <c r="F652" s="9">
        <v>45288</v>
      </c>
      <c r="G652" s="10">
        <v>330523507</v>
      </c>
      <c r="H652" s="9">
        <v>45287</v>
      </c>
      <c r="I652" s="9">
        <v>45302</v>
      </c>
      <c r="J652" s="8">
        <v>7838</v>
      </c>
      <c r="K652" s="8" t="s">
        <v>31</v>
      </c>
      <c r="L652" s="8" t="s">
        <v>32</v>
      </c>
      <c r="M652" s="8"/>
      <c r="N652" s="8" t="b">
        <v>0</v>
      </c>
      <c r="O652" s="10">
        <v>21179</v>
      </c>
      <c r="P652" s="8" t="s">
        <v>283</v>
      </c>
      <c r="Q652" s="8">
        <v>619981</v>
      </c>
      <c r="R652" s="9">
        <v>45287</v>
      </c>
      <c r="S652" s="8" t="s">
        <v>318</v>
      </c>
      <c r="T652" s="8" t="s">
        <v>40</v>
      </c>
      <c r="U652" s="8" t="s">
        <v>319</v>
      </c>
      <c r="V652" s="8" t="s">
        <v>320</v>
      </c>
      <c r="W652" s="8">
        <v>0</v>
      </c>
    </row>
    <row r="653" spans="1:23" x14ac:dyDescent="0.25">
      <c r="A653" s="4"/>
      <c r="B653" s="4"/>
      <c r="C653" s="4">
        <v>888858</v>
      </c>
      <c r="D653" s="22">
        <v>5193.6899999999996</v>
      </c>
      <c r="E653" s="5">
        <f t="shared" si="10"/>
        <v>0.31000000000040018</v>
      </c>
      <c r="F653" s="9">
        <v>45288</v>
      </c>
      <c r="G653" s="10">
        <v>330523553</v>
      </c>
      <c r="H653" s="9">
        <v>45287</v>
      </c>
      <c r="I653" s="9">
        <v>45302</v>
      </c>
      <c r="J653" s="8">
        <v>5194</v>
      </c>
      <c r="K653" s="8" t="s">
        <v>31</v>
      </c>
      <c r="L653" s="8" t="s">
        <v>32</v>
      </c>
      <c r="M653" s="8"/>
      <c r="N653" s="8" t="b">
        <v>0</v>
      </c>
      <c r="O653" s="10">
        <v>710642</v>
      </c>
      <c r="P653" s="8" t="s">
        <v>102</v>
      </c>
      <c r="Q653" s="8">
        <v>619985</v>
      </c>
      <c r="R653" s="9">
        <v>45287</v>
      </c>
      <c r="S653" s="8" t="s">
        <v>34</v>
      </c>
      <c r="T653" s="8" t="s">
        <v>40</v>
      </c>
      <c r="U653" s="8" t="s">
        <v>58</v>
      </c>
      <c r="V653" s="8" t="s">
        <v>46</v>
      </c>
      <c r="W653" s="8">
        <v>0</v>
      </c>
    </row>
    <row r="654" spans="1:23" x14ac:dyDescent="0.25">
      <c r="A654" s="4"/>
      <c r="B654" s="4"/>
      <c r="C654" s="4">
        <v>888859</v>
      </c>
      <c r="D654" s="22">
        <v>5193.6899999999996</v>
      </c>
      <c r="E654" s="5">
        <f t="shared" si="10"/>
        <v>0.31000000000040018</v>
      </c>
      <c r="F654" s="9">
        <v>45288</v>
      </c>
      <c r="G654" s="10">
        <v>330525705</v>
      </c>
      <c r="H654" s="9">
        <v>45287</v>
      </c>
      <c r="I654" s="9">
        <v>45302</v>
      </c>
      <c r="J654" s="8">
        <v>5194</v>
      </c>
      <c r="K654" s="8" t="s">
        <v>31</v>
      </c>
      <c r="L654" s="8" t="s">
        <v>32</v>
      </c>
      <c r="M654" s="8"/>
      <c r="N654" s="8" t="b">
        <v>0</v>
      </c>
      <c r="O654" s="10">
        <v>710643</v>
      </c>
      <c r="P654" s="8" t="s">
        <v>96</v>
      </c>
      <c r="Q654" s="8">
        <v>621908</v>
      </c>
      <c r="R654" s="9">
        <v>45287</v>
      </c>
      <c r="S654" s="8" t="s">
        <v>34</v>
      </c>
      <c r="T654" s="8" t="s">
        <v>40</v>
      </c>
      <c r="U654" s="8" t="s">
        <v>58</v>
      </c>
      <c r="V654" s="8" t="s">
        <v>46</v>
      </c>
      <c r="W654" s="8">
        <v>0</v>
      </c>
    </row>
    <row r="655" spans="1:23" x14ac:dyDescent="0.25">
      <c r="A655" s="4"/>
      <c r="B655" s="4"/>
      <c r="C655" s="4">
        <v>888860</v>
      </c>
      <c r="D655" s="22">
        <v>5193.6899999999996</v>
      </c>
      <c r="E655" s="5">
        <f t="shared" si="10"/>
        <v>0.31000000000040018</v>
      </c>
      <c r="F655" s="9">
        <v>45288</v>
      </c>
      <c r="G655" s="10">
        <v>330526287</v>
      </c>
      <c r="H655" s="9">
        <v>45287</v>
      </c>
      <c r="I655" s="9">
        <v>45302</v>
      </c>
      <c r="J655" s="8">
        <v>5194</v>
      </c>
      <c r="K655" s="8" t="s">
        <v>31</v>
      </c>
      <c r="L655" s="8" t="s">
        <v>32</v>
      </c>
      <c r="M655" s="8"/>
      <c r="N655" s="8" t="b">
        <v>0</v>
      </c>
      <c r="O655" s="10">
        <v>710644</v>
      </c>
      <c r="P655" s="8" t="s">
        <v>266</v>
      </c>
      <c r="Q655" s="8">
        <v>622572</v>
      </c>
      <c r="R655" s="9">
        <v>45287</v>
      </c>
      <c r="S655" s="8" t="s">
        <v>34</v>
      </c>
      <c r="T655" s="8" t="s">
        <v>40</v>
      </c>
      <c r="U655" s="8" t="s">
        <v>58</v>
      </c>
      <c r="V655" s="8" t="s">
        <v>46</v>
      </c>
      <c r="W655" s="8">
        <v>0</v>
      </c>
    </row>
    <row r="656" spans="1:23" x14ac:dyDescent="0.25">
      <c r="A656" s="4"/>
      <c r="B656" s="4"/>
      <c r="C656" s="4">
        <v>888868</v>
      </c>
      <c r="D656" s="22">
        <v>9320.2199999999993</v>
      </c>
      <c r="E656" s="5">
        <f t="shared" si="10"/>
        <v>0.78000000000065484</v>
      </c>
      <c r="F656" s="9">
        <v>45288</v>
      </c>
      <c r="G656" s="10">
        <v>330527926</v>
      </c>
      <c r="H656" s="9">
        <v>45287</v>
      </c>
      <c r="I656" s="9">
        <v>45302</v>
      </c>
      <c r="J656" s="8">
        <v>9321</v>
      </c>
      <c r="K656" s="8" t="s">
        <v>31</v>
      </c>
      <c r="L656" s="8" t="s">
        <v>32</v>
      </c>
      <c r="M656" s="8"/>
      <c r="N656" s="8" t="b">
        <v>0</v>
      </c>
      <c r="O656" s="10">
        <v>705919</v>
      </c>
      <c r="P656" s="8" t="s">
        <v>93</v>
      </c>
      <c r="Q656" s="8">
        <v>623351</v>
      </c>
      <c r="R656" s="9">
        <v>45287</v>
      </c>
      <c r="S656" s="8" t="s">
        <v>130</v>
      </c>
      <c r="T656" s="8" t="s">
        <v>40</v>
      </c>
      <c r="U656" s="8" t="s">
        <v>131</v>
      </c>
      <c r="V656" s="8" t="s">
        <v>132</v>
      </c>
      <c r="W656" s="8">
        <v>0</v>
      </c>
    </row>
    <row r="657" spans="1:23" x14ac:dyDescent="0.25">
      <c r="A657" s="4"/>
      <c r="B657" s="4"/>
      <c r="C657" s="4">
        <v>888738</v>
      </c>
      <c r="D657" s="22">
        <v>5224.96</v>
      </c>
      <c r="E657" s="5">
        <f t="shared" si="10"/>
        <v>-1.9600000000000364</v>
      </c>
      <c r="F657" s="9">
        <v>45296</v>
      </c>
      <c r="G657" s="10">
        <v>330539711</v>
      </c>
      <c r="H657" s="9">
        <v>45288</v>
      </c>
      <c r="I657" s="9">
        <v>45303</v>
      </c>
      <c r="J657" s="8">
        <v>5223</v>
      </c>
      <c r="K657" s="8" t="s">
        <v>31</v>
      </c>
      <c r="L657" s="8" t="s">
        <v>32</v>
      </c>
      <c r="M657" s="8"/>
      <c r="N657" s="8" t="b">
        <v>0</v>
      </c>
      <c r="O657" s="10">
        <v>21168</v>
      </c>
      <c r="P657" s="8" t="s">
        <v>206</v>
      </c>
      <c r="Q657" s="8">
        <v>631303</v>
      </c>
      <c r="R657" s="9">
        <v>45288</v>
      </c>
      <c r="S657" s="8" t="s">
        <v>48</v>
      </c>
      <c r="T657" s="8" t="s">
        <v>40</v>
      </c>
      <c r="U657" s="8" t="s">
        <v>163</v>
      </c>
      <c r="V657" s="8" t="s">
        <v>46</v>
      </c>
      <c r="W657" s="8">
        <v>0</v>
      </c>
    </row>
    <row r="658" spans="1:23" x14ac:dyDescent="0.25">
      <c r="A658" s="4"/>
      <c r="B658" s="4"/>
      <c r="C658" s="4">
        <v>889072</v>
      </c>
      <c r="D658" s="22">
        <v>5193.6899999999996</v>
      </c>
      <c r="E658" s="5">
        <f t="shared" si="10"/>
        <v>0.31000000000040018</v>
      </c>
      <c r="F658" s="9">
        <v>45296</v>
      </c>
      <c r="G658" s="10">
        <v>330539844</v>
      </c>
      <c r="H658" s="9">
        <v>45288</v>
      </c>
      <c r="I658" s="9">
        <v>45303</v>
      </c>
      <c r="J658" s="8">
        <v>5194</v>
      </c>
      <c r="K658" s="8" t="s">
        <v>31</v>
      </c>
      <c r="L658" s="8" t="s">
        <v>32</v>
      </c>
      <c r="M658" s="8"/>
      <c r="N658" s="8" t="b">
        <v>0</v>
      </c>
      <c r="O658" s="10">
        <v>710645</v>
      </c>
      <c r="P658" s="8" t="s">
        <v>98</v>
      </c>
      <c r="Q658" s="8">
        <v>631328</v>
      </c>
      <c r="R658" s="9">
        <v>45288</v>
      </c>
      <c r="S658" s="8" t="s">
        <v>34</v>
      </c>
      <c r="T658" s="8" t="s">
        <v>40</v>
      </c>
      <c r="U658" s="8" t="s">
        <v>58</v>
      </c>
      <c r="V658" s="8" t="s">
        <v>46</v>
      </c>
      <c r="W658" s="8">
        <v>0</v>
      </c>
    </row>
    <row r="659" spans="1:23" x14ac:dyDescent="0.25">
      <c r="A659" s="4"/>
      <c r="B659" s="4"/>
      <c r="C659" s="4">
        <v>888737</v>
      </c>
      <c r="D659" s="22">
        <v>5224.96</v>
      </c>
      <c r="E659" s="5">
        <f t="shared" si="10"/>
        <v>-1.9600000000000364</v>
      </c>
      <c r="F659" s="9">
        <v>45296</v>
      </c>
      <c r="G659" s="10">
        <v>330539868</v>
      </c>
      <c r="H659" s="9">
        <v>45288</v>
      </c>
      <c r="I659" s="9">
        <v>45303</v>
      </c>
      <c r="J659" s="8">
        <v>5223</v>
      </c>
      <c r="K659" s="8" t="s">
        <v>31</v>
      </c>
      <c r="L659" s="8" t="s">
        <v>32</v>
      </c>
      <c r="M659" s="8"/>
      <c r="N659" s="8" t="b">
        <v>0</v>
      </c>
      <c r="O659" s="10">
        <v>21169</v>
      </c>
      <c r="P659" s="8" t="s">
        <v>60</v>
      </c>
      <c r="Q659" s="8">
        <v>631305</v>
      </c>
      <c r="R659" s="9">
        <v>45288</v>
      </c>
      <c r="S659" s="8" t="s">
        <v>48</v>
      </c>
      <c r="T659" s="8" t="s">
        <v>40</v>
      </c>
      <c r="U659" s="8" t="s">
        <v>163</v>
      </c>
      <c r="V659" s="8" t="s">
        <v>46</v>
      </c>
      <c r="W659" s="8">
        <v>0</v>
      </c>
    </row>
    <row r="660" spans="1:23" x14ac:dyDescent="0.25">
      <c r="A660" s="4"/>
      <c r="B660" s="4"/>
      <c r="C660" s="4">
        <v>889077</v>
      </c>
      <c r="D660" s="22">
        <v>5193.6899999999996</v>
      </c>
      <c r="E660" s="5">
        <f t="shared" si="10"/>
        <v>0.31000000000040018</v>
      </c>
      <c r="F660" s="9">
        <v>45296</v>
      </c>
      <c r="G660" s="10">
        <v>330540219</v>
      </c>
      <c r="H660" s="9">
        <v>45288</v>
      </c>
      <c r="I660" s="9">
        <v>45303</v>
      </c>
      <c r="J660" s="8">
        <v>5194</v>
      </c>
      <c r="K660" s="8" t="s">
        <v>31</v>
      </c>
      <c r="L660" s="8" t="s">
        <v>32</v>
      </c>
      <c r="M660" s="8"/>
      <c r="N660" s="8" t="b">
        <v>0</v>
      </c>
      <c r="O660" s="10">
        <v>710646</v>
      </c>
      <c r="P660" s="8" t="s">
        <v>129</v>
      </c>
      <c r="Q660" s="8">
        <v>631710</v>
      </c>
      <c r="R660" s="9">
        <v>45288</v>
      </c>
      <c r="S660" s="8" t="s">
        <v>34</v>
      </c>
      <c r="T660" s="8" t="s">
        <v>40</v>
      </c>
      <c r="U660" s="8" t="s">
        <v>58</v>
      </c>
      <c r="V660" s="8" t="s">
        <v>46</v>
      </c>
      <c r="W660" s="8">
        <v>0</v>
      </c>
    </row>
    <row r="661" spans="1:23" x14ac:dyDescent="0.25">
      <c r="A661" s="4"/>
      <c r="B661" s="4"/>
      <c r="C661" s="4">
        <v>889078</v>
      </c>
      <c r="D661" s="22">
        <v>5193.6899999999996</v>
      </c>
      <c r="E661" s="5">
        <f t="shared" si="10"/>
        <v>0.31000000000040018</v>
      </c>
      <c r="F661" s="9">
        <v>45296</v>
      </c>
      <c r="G661" s="10">
        <v>330541707</v>
      </c>
      <c r="H661" s="9">
        <v>45288</v>
      </c>
      <c r="I661" s="9">
        <v>45303</v>
      </c>
      <c r="J661" s="8">
        <v>5194</v>
      </c>
      <c r="K661" s="8" t="s">
        <v>31</v>
      </c>
      <c r="L661" s="8" t="s">
        <v>32</v>
      </c>
      <c r="M661" s="8"/>
      <c r="N661" s="8" t="b">
        <v>0</v>
      </c>
      <c r="O661" s="10">
        <v>710647</v>
      </c>
      <c r="P661" s="8" t="s">
        <v>79</v>
      </c>
      <c r="Q661" s="8">
        <v>633380</v>
      </c>
      <c r="R661" s="9">
        <v>45288</v>
      </c>
      <c r="S661" s="8" t="s">
        <v>34</v>
      </c>
      <c r="T661" s="8" t="s">
        <v>40</v>
      </c>
      <c r="U661" s="8" t="s">
        <v>58</v>
      </c>
      <c r="V661" s="8" t="s">
        <v>46</v>
      </c>
      <c r="W661" s="8">
        <v>0</v>
      </c>
    </row>
    <row r="662" spans="1:23" x14ac:dyDescent="0.25">
      <c r="A662" s="4"/>
      <c r="B662" s="4"/>
      <c r="C662" s="4">
        <v>889082</v>
      </c>
      <c r="D662" s="22">
        <v>5193.6899999999996</v>
      </c>
      <c r="E662" s="5">
        <f t="shared" si="10"/>
        <v>0.31000000000040018</v>
      </c>
      <c r="F662" s="9">
        <v>45296</v>
      </c>
      <c r="G662" s="10">
        <v>330543187</v>
      </c>
      <c r="H662" s="9">
        <v>45288</v>
      </c>
      <c r="I662" s="9">
        <v>45303</v>
      </c>
      <c r="J662" s="8">
        <v>5194</v>
      </c>
      <c r="K662" s="8" t="s">
        <v>31</v>
      </c>
      <c r="L662" s="8" t="s">
        <v>32</v>
      </c>
      <c r="M662" s="8"/>
      <c r="N662" s="8" t="b">
        <v>0</v>
      </c>
      <c r="O662" s="10">
        <v>710648</v>
      </c>
      <c r="P662" s="8" t="s">
        <v>224</v>
      </c>
      <c r="Q662" s="8">
        <v>635041</v>
      </c>
      <c r="R662" s="9">
        <v>45288</v>
      </c>
      <c r="S662" s="8" t="s">
        <v>34</v>
      </c>
      <c r="T662" s="8" t="s">
        <v>40</v>
      </c>
      <c r="U662" s="8" t="s">
        <v>58</v>
      </c>
      <c r="V662" s="8" t="s">
        <v>46</v>
      </c>
      <c r="W662" s="8">
        <v>0</v>
      </c>
    </row>
    <row r="663" spans="1:23" x14ac:dyDescent="0.25">
      <c r="A663" s="4"/>
      <c r="B663" s="4"/>
      <c r="C663" s="4">
        <v>889083</v>
      </c>
      <c r="D663" s="22">
        <v>5193.6899999999996</v>
      </c>
      <c r="E663" s="5">
        <f t="shared" si="10"/>
        <v>0.31000000000040018</v>
      </c>
      <c r="F663" s="9">
        <v>45296</v>
      </c>
      <c r="G663" s="10">
        <v>330544515</v>
      </c>
      <c r="H663" s="9">
        <v>45288</v>
      </c>
      <c r="I663" s="9">
        <v>45303</v>
      </c>
      <c r="J663" s="8">
        <v>5194</v>
      </c>
      <c r="K663" s="8" t="s">
        <v>31</v>
      </c>
      <c r="L663" s="8" t="s">
        <v>32</v>
      </c>
      <c r="M663" s="8"/>
      <c r="N663" s="8" t="b">
        <v>0</v>
      </c>
      <c r="O663" s="10">
        <v>710649</v>
      </c>
      <c r="P663" s="8" t="s">
        <v>67</v>
      </c>
      <c r="Q663" s="8">
        <v>637021</v>
      </c>
      <c r="R663" s="9">
        <v>45288</v>
      </c>
      <c r="S663" s="8" t="s">
        <v>34</v>
      </c>
      <c r="T663" s="8" t="s">
        <v>40</v>
      </c>
      <c r="U663" s="8" t="s">
        <v>58</v>
      </c>
      <c r="V663" s="8" t="s">
        <v>46</v>
      </c>
      <c r="W663" s="8">
        <v>0</v>
      </c>
    </row>
    <row r="664" spans="1:23" x14ac:dyDescent="0.25">
      <c r="A664" s="4"/>
      <c r="B664" s="4"/>
      <c r="C664" s="4">
        <v>889131</v>
      </c>
      <c r="D664" s="22">
        <v>65856</v>
      </c>
      <c r="E664" s="5">
        <f t="shared" si="10"/>
        <v>-6</v>
      </c>
      <c r="F664" s="9">
        <v>45296</v>
      </c>
      <c r="G664" s="10">
        <v>330544787</v>
      </c>
      <c r="H664" s="9">
        <v>45288</v>
      </c>
      <c r="I664" s="9">
        <v>45303</v>
      </c>
      <c r="J664" s="8">
        <v>65850</v>
      </c>
      <c r="K664" s="8" t="s">
        <v>31</v>
      </c>
      <c r="L664" s="8" t="s">
        <v>32</v>
      </c>
      <c r="M664" s="8"/>
      <c r="N664" s="8" t="b">
        <v>0</v>
      </c>
      <c r="O664" s="10"/>
      <c r="P664" s="8" t="s">
        <v>357</v>
      </c>
      <c r="Q664" s="8">
        <v>637396</v>
      </c>
      <c r="R664" s="9">
        <v>45288</v>
      </c>
      <c r="S664" s="8" t="s">
        <v>34</v>
      </c>
      <c r="T664" s="8" t="s">
        <v>49</v>
      </c>
      <c r="U664" s="8" t="s">
        <v>75</v>
      </c>
      <c r="V664" s="8" t="s">
        <v>46</v>
      </c>
      <c r="W664" s="8">
        <v>0</v>
      </c>
    </row>
    <row r="665" spans="1:23" x14ac:dyDescent="0.25">
      <c r="A665" s="4"/>
      <c r="B665" s="4"/>
      <c r="C665" s="4">
        <v>889094</v>
      </c>
      <c r="D665" s="22">
        <v>5193.6899999999996</v>
      </c>
      <c r="E665" s="5">
        <f t="shared" si="10"/>
        <v>0.31000000000040018</v>
      </c>
      <c r="F665" s="9">
        <v>45296</v>
      </c>
      <c r="G665" s="10">
        <v>330545504</v>
      </c>
      <c r="H665" s="9">
        <v>45288</v>
      </c>
      <c r="I665" s="9">
        <v>45303</v>
      </c>
      <c r="J665" s="8">
        <v>5194</v>
      </c>
      <c r="K665" s="8" t="s">
        <v>31</v>
      </c>
      <c r="L665" s="8" t="s">
        <v>32</v>
      </c>
      <c r="M665" s="8"/>
      <c r="N665" s="8" t="b">
        <v>0</v>
      </c>
      <c r="O665" s="10">
        <v>710650</v>
      </c>
      <c r="P665" s="8" t="s">
        <v>66</v>
      </c>
      <c r="Q665" s="8">
        <v>638196</v>
      </c>
      <c r="R665" s="9">
        <v>45288</v>
      </c>
      <c r="S665" s="8" t="s">
        <v>34</v>
      </c>
      <c r="T665" s="8" t="s">
        <v>40</v>
      </c>
      <c r="U665" s="8" t="s">
        <v>58</v>
      </c>
      <c r="V665" s="8" t="s">
        <v>46</v>
      </c>
      <c r="W665" s="8">
        <v>0</v>
      </c>
    </row>
    <row r="666" spans="1:23" x14ac:dyDescent="0.25">
      <c r="A666" s="4"/>
      <c r="B666" s="4"/>
      <c r="C666" s="4">
        <v>889381</v>
      </c>
      <c r="D666" s="22">
        <v>5164.29</v>
      </c>
      <c r="E666" s="5">
        <f t="shared" si="10"/>
        <v>-0.28999999999996362</v>
      </c>
      <c r="F666" s="9">
        <v>45296</v>
      </c>
      <c r="G666" s="10">
        <v>330557399</v>
      </c>
      <c r="H666" s="9">
        <v>45289</v>
      </c>
      <c r="I666" s="9">
        <v>45304</v>
      </c>
      <c r="J666" s="8">
        <v>5164</v>
      </c>
      <c r="K666" s="8" t="s">
        <v>31</v>
      </c>
      <c r="L666" s="8" t="s">
        <v>32</v>
      </c>
      <c r="M666" s="8"/>
      <c r="N666" s="8" t="b">
        <v>0</v>
      </c>
      <c r="O666" s="10">
        <v>709323</v>
      </c>
      <c r="P666" s="8" t="s">
        <v>159</v>
      </c>
      <c r="Q666" s="8">
        <v>645876</v>
      </c>
      <c r="R666" s="9">
        <v>45289</v>
      </c>
      <c r="S666" s="8" t="s">
        <v>34</v>
      </c>
      <c r="T666" s="8" t="s">
        <v>44</v>
      </c>
      <c r="U666" s="8" t="s">
        <v>58</v>
      </c>
      <c r="V666" s="8" t="s">
        <v>46</v>
      </c>
      <c r="W666" s="8">
        <v>0</v>
      </c>
    </row>
    <row r="667" spans="1:23" x14ac:dyDescent="0.25">
      <c r="A667" s="4"/>
      <c r="B667" s="4"/>
      <c r="C667" s="4">
        <v>889382</v>
      </c>
      <c r="D667" s="22">
        <v>5164.29</v>
      </c>
      <c r="E667" s="5">
        <f t="shared" si="10"/>
        <v>-0.28999999999996362</v>
      </c>
      <c r="F667" s="9">
        <v>45296</v>
      </c>
      <c r="G667" s="10">
        <v>330557395</v>
      </c>
      <c r="H667" s="9">
        <v>45289</v>
      </c>
      <c r="I667" s="9">
        <v>45304</v>
      </c>
      <c r="J667" s="8">
        <v>5164</v>
      </c>
      <c r="K667" s="8" t="s">
        <v>31</v>
      </c>
      <c r="L667" s="8" t="s">
        <v>32</v>
      </c>
      <c r="M667" s="8"/>
      <c r="N667" s="8" t="b">
        <v>0</v>
      </c>
      <c r="O667" s="10">
        <v>709321</v>
      </c>
      <c r="P667" s="8" t="s">
        <v>303</v>
      </c>
      <c r="Q667" s="8">
        <v>645869</v>
      </c>
      <c r="R667" s="9">
        <v>45289</v>
      </c>
      <c r="S667" s="8" t="s">
        <v>34</v>
      </c>
      <c r="T667" s="8" t="s">
        <v>44</v>
      </c>
      <c r="U667" s="8" t="s">
        <v>58</v>
      </c>
      <c r="V667" s="8" t="s">
        <v>46</v>
      </c>
      <c r="W667" s="8">
        <v>0</v>
      </c>
    </row>
    <row r="668" spans="1:23" x14ac:dyDescent="0.25">
      <c r="A668" s="4"/>
      <c r="B668" s="4"/>
      <c r="C668" s="4">
        <v>889383</v>
      </c>
      <c r="D668" s="22">
        <v>5164.29</v>
      </c>
      <c r="E668" s="5">
        <f t="shared" si="10"/>
        <v>-0.28999999999996362</v>
      </c>
      <c r="F668" s="9">
        <v>45296</v>
      </c>
      <c r="G668" s="10">
        <v>330557394</v>
      </c>
      <c r="H668" s="9">
        <v>45289</v>
      </c>
      <c r="I668" s="9">
        <v>45304</v>
      </c>
      <c r="J668" s="8">
        <v>5164</v>
      </c>
      <c r="K668" s="8" t="s">
        <v>31</v>
      </c>
      <c r="L668" s="8" t="s">
        <v>32</v>
      </c>
      <c r="M668" s="8"/>
      <c r="N668" s="8" t="b">
        <v>0</v>
      </c>
      <c r="O668" s="10">
        <v>709322</v>
      </c>
      <c r="P668" s="8" t="s">
        <v>120</v>
      </c>
      <c r="Q668" s="8">
        <v>645872</v>
      </c>
      <c r="R668" s="9">
        <v>45289</v>
      </c>
      <c r="S668" s="8" t="s">
        <v>34</v>
      </c>
      <c r="T668" s="8" t="s">
        <v>44</v>
      </c>
      <c r="U668" s="8" t="s">
        <v>58</v>
      </c>
      <c r="V668" s="8" t="s">
        <v>46</v>
      </c>
      <c r="W668" s="8">
        <v>0</v>
      </c>
    </row>
    <row r="669" spans="1:23" x14ac:dyDescent="0.25">
      <c r="A669" s="4"/>
      <c r="B669" s="4"/>
      <c r="C669" s="4">
        <v>889384</v>
      </c>
      <c r="D669" s="22">
        <v>5164.29</v>
      </c>
      <c r="E669" s="5">
        <f t="shared" si="10"/>
        <v>-0.28999999999996362</v>
      </c>
      <c r="F669" s="9">
        <v>45296</v>
      </c>
      <c r="G669" s="10">
        <v>330557393</v>
      </c>
      <c r="H669" s="9">
        <v>45289</v>
      </c>
      <c r="I669" s="9">
        <v>45304</v>
      </c>
      <c r="J669" s="8">
        <v>5164</v>
      </c>
      <c r="K669" s="8" t="s">
        <v>31</v>
      </c>
      <c r="L669" s="8" t="s">
        <v>32</v>
      </c>
      <c r="M669" s="8"/>
      <c r="N669" s="8" t="b">
        <v>0</v>
      </c>
      <c r="O669" s="10">
        <v>709325</v>
      </c>
      <c r="P669" s="8" t="s">
        <v>222</v>
      </c>
      <c r="Q669" s="8">
        <v>645880</v>
      </c>
      <c r="R669" s="9">
        <v>45289</v>
      </c>
      <c r="S669" s="8" t="s">
        <v>34</v>
      </c>
      <c r="T669" s="8" t="s">
        <v>44</v>
      </c>
      <c r="U669" s="8" t="s">
        <v>58</v>
      </c>
      <c r="V669" s="8" t="s">
        <v>46</v>
      </c>
      <c r="W669" s="8">
        <v>0</v>
      </c>
    </row>
    <row r="670" spans="1:23" x14ac:dyDescent="0.25">
      <c r="A670" s="4"/>
      <c r="B670" s="4"/>
      <c r="C670" s="4">
        <v>889385</v>
      </c>
      <c r="D670" s="22">
        <v>5164.29</v>
      </c>
      <c r="E670" s="5">
        <f t="shared" si="10"/>
        <v>-0.28999999999996362</v>
      </c>
      <c r="F670" s="9">
        <v>45296</v>
      </c>
      <c r="G670" s="10">
        <v>330557392</v>
      </c>
      <c r="H670" s="9">
        <v>45289</v>
      </c>
      <c r="I670" s="9">
        <v>45304</v>
      </c>
      <c r="J670" s="8">
        <v>5164</v>
      </c>
      <c r="K670" s="8" t="s">
        <v>31</v>
      </c>
      <c r="L670" s="8" t="s">
        <v>32</v>
      </c>
      <c r="M670" s="8"/>
      <c r="N670" s="8" t="b">
        <v>0</v>
      </c>
      <c r="O670" s="10">
        <v>709327</v>
      </c>
      <c r="P670" s="8" t="s">
        <v>298</v>
      </c>
      <c r="Q670" s="8">
        <v>645884</v>
      </c>
      <c r="R670" s="9">
        <v>45289</v>
      </c>
      <c r="S670" s="8" t="s">
        <v>34</v>
      </c>
      <c r="T670" s="8" t="s">
        <v>44</v>
      </c>
      <c r="U670" s="8" t="s">
        <v>58</v>
      </c>
      <c r="V670" s="8" t="s">
        <v>46</v>
      </c>
      <c r="W670" s="8">
        <v>0</v>
      </c>
    </row>
    <row r="671" spans="1:23" x14ac:dyDescent="0.25">
      <c r="A671" s="4"/>
      <c r="B671" s="4"/>
      <c r="C671" s="4">
        <v>889386</v>
      </c>
      <c r="D671" s="22">
        <v>5164.29</v>
      </c>
      <c r="E671" s="5">
        <f t="shared" si="10"/>
        <v>-0.28999999999996362</v>
      </c>
      <c r="F671" s="9">
        <v>45296</v>
      </c>
      <c r="G671" s="10">
        <v>330557389</v>
      </c>
      <c r="H671" s="9">
        <v>45289</v>
      </c>
      <c r="I671" s="9">
        <v>45304</v>
      </c>
      <c r="J671" s="8">
        <v>5164</v>
      </c>
      <c r="K671" s="8" t="s">
        <v>31</v>
      </c>
      <c r="L671" s="8" t="s">
        <v>32</v>
      </c>
      <c r="M671" s="8"/>
      <c r="N671" s="8" t="b">
        <v>0</v>
      </c>
      <c r="O671" s="10">
        <v>709326</v>
      </c>
      <c r="P671" s="8" t="s">
        <v>54</v>
      </c>
      <c r="Q671" s="8">
        <v>645882</v>
      </c>
      <c r="R671" s="9">
        <v>45289</v>
      </c>
      <c r="S671" s="8" t="s">
        <v>34</v>
      </c>
      <c r="T671" s="8" t="s">
        <v>44</v>
      </c>
      <c r="U671" s="8" t="s">
        <v>58</v>
      </c>
      <c r="V671" s="8" t="s">
        <v>46</v>
      </c>
      <c r="W671" s="8">
        <v>0</v>
      </c>
    </row>
    <row r="672" spans="1:23" x14ac:dyDescent="0.25">
      <c r="A672" s="4"/>
      <c r="B672" s="4"/>
      <c r="C672" s="4">
        <v>889493</v>
      </c>
      <c r="D672" s="22">
        <v>6190.56</v>
      </c>
      <c r="E672" s="5">
        <f t="shared" si="10"/>
        <v>0</v>
      </c>
      <c r="F672" s="9">
        <v>45296</v>
      </c>
      <c r="G672" s="10">
        <v>330603360</v>
      </c>
      <c r="H672" s="9">
        <v>45294</v>
      </c>
      <c r="I672" s="9">
        <v>45309</v>
      </c>
      <c r="J672" s="8">
        <v>6190.56</v>
      </c>
      <c r="K672" s="8" t="s">
        <v>31</v>
      </c>
      <c r="L672" s="8" t="s">
        <v>32</v>
      </c>
      <c r="M672" s="8"/>
      <c r="N672" s="8" t="b">
        <v>0</v>
      </c>
      <c r="O672" s="10" t="s">
        <v>358</v>
      </c>
      <c r="P672" s="8" t="s">
        <v>161</v>
      </c>
      <c r="Q672" s="8">
        <v>200081</v>
      </c>
      <c r="R672" s="9">
        <v>45112</v>
      </c>
      <c r="S672" s="8" t="s">
        <v>359</v>
      </c>
      <c r="T672" s="8" t="s">
        <v>360</v>
      </c>
      <c r="U672" s="8" t="s">
        <v>40</v>
      </c>
      <c r="V672" s="8" t="s">
        <v>261</v>
      </c>
      <c r="W672" s="8">
        <v>0</v>
      </c>
    </row>
    <row r="673" spans="1:23" x14ac:dyDescent="0.25">
      <c r="A673" s="4"/>
      <c r="B673" s="4"/>
      <c r="C673" s="4">
        <v>889556</v>
      </c>
      <c r="D673" s="22">
        <v>6890.12</v>
      </c>
      <c r="E673" s="5">
        <f t="shared" si="10"/>
        <v>0</v>
      </c>
      <c r="F673" s="9">
        <v>45296</v>
      </c>
      <c r="G673" s="10">
        <v>330628480</v>
      </c>
      <c r="H673" s="9">
        <v>45294</v>
      </c>
      <c r="I673" s="9">
        <v>45309</v>
      </c>
      <c r="J673" s="8">
        <v>6890.12</v>
      </c>
      <c r="K673" s="8" t="s">
        <v>31</v>
      </c>
      <c r="L673" s="8" t="s">
        <v>32</v>
      </c>
      <c r="M673" s="8"/>
      <c r="N673" s="8" t="b">
        <v>0</v>
      </c>
      <c r="O673" s="10" t="s">
        <v>361</v>
      </c>
      <c r="P673" s="8" t="s">
        <v>338</v>
      </c>
      <c r="Q673" s="8">
        <v>699791</v>
      </c>
      <c r="R673" s="9">
        <v>45294</v>
      </c>
      <c r="S673" s="8" t="s">
        <v>362</v>
      </c>
      <c r="T673" s="8" t="s">
        <v>340</v>
      </c>
      <c r="U673" s="8" t="s">
        <v>260</v>
      </c>
      <c r="V673" s="8" t="s">
        <v>261</v>
      </c>
      <c r="W673" s="8">
        <v>0</v>
      </c>
    </row>
    <row r="674" spans="1:23" x14ac:dyDescent="0.25">
      <c r="A674" s="4"/>
      <c r="B674" s="4"/>
      <c r="C674" s="4">
        <v>889707</v>
      </c>
      <c r="D674" s="22">
        <v>5159.6400000000003</v>
      </c>
      <c r="E674" s="17">
        <f t="shared" si="10"/>
        <v>0.35999999999967258</v>
      </c>
      <c r="F674" s="9">
        <v>45296</v>
      </c>
      <c r="G674" s="10">
        <v>330628436</v>
      </c>
      <c r="H674" s="9">
        <v>45294</v>
      </c>
      <c r="I674" s="9">
        <v>45309</v>
      </c>
      <c r="J674" s="8">
        <v>5160</v>
      </c>
      <c r="K674" s="8" t="s">
        <v>31</v>
      </c>
      <c r="L674" s="8" t="s">
        <v>32</v>
      </c>
      <c r="M674" s="8"/>
      <c r="N674" s="8" t="b">
        <v>0</v>
      </c>
      <c r="O674" s="10">
        <v>710986</v>
      </c>
      <c r="P674" s="8" t="s">
        <v>233</v>
      </c>
      <c r="Q674" s="8">
        <v>699799</v>
      </c>
      <c r="R674" s="9">
        <v>45294</v>
      </c>
      <c r="S674" s="8" t="s">
        <v>34</v>
      </c>
      <c r="T674" s="8" t="s">
        <v>40</v>
      </c>
      <c r="U674" s="8" t="s">
        <v>58</v>
      </c>
      <c r="V674" s="8" t="s">
        <v>46</v>
      </c>
      <c r="W674" s="8">
        <v>0</v>
      </c>
    </row>
    <row r="675" spans="1:23" x14ac:dyDescent="0.25">
      <c r="A675" s="4"/>
      <c r="B675" s="4"/>
      <c r="C675" s="28">
        <v>889504</v>
      </c>
      <c r="D675" s="22">
        <v>5183.4399999999996</v>
      </c>
      <c r="E675" s="17">
        <f t="shared" si="10"/>
        <v>-0.43999999999959982</v>
      </c>
      <c r="F675" s="9">
        <v>45301</v>
      </c>
      <c r="G675" s="29">
        <v>330628103</v>
      </c>
      <c r="H675" s="9">
        <v>45294</v>
      </c>
      <c r="I675" s="9">
        <v>45309</v>
      </c>
      <c r="J675" s="8">
        <v>5183</v>
      </c>
      <c r="K675" s="8" t="s">
        <v>31</v>
      </c>
      <c r="L675" s="8" t="s">
        <v>32</v>
      </c>
      <c r="M675" s="8"/>
      <c r="N675" s="8" t="b">
        <v>0</v>
      </c>
      <c r="O675" s="29">
        <v>21098</v>
      </c>
      <c r="P675" s="30" t="s">
        <v>61</v>
      </c>
      <c r="Q675" s="8">
        <v>699498</v>
      </c>
      <c r="R675" s="9">
        <v>45294</v>
      </c>
      <c r="S675" s="8" t="s">
        <v>48</v>
      </c>
      <c r="T675" s="8" t="s">
        <v>40</v>
      </c>
      <c r="U675" s="8" t="s">
        <v>163</v>
      </c>
      <c r="V675" s="8" t="s">
        <v>46</v>
      </c>
      <c r="W675" s="8">
        <v>0</v>
      </c>
    </row>
    <row r="676" spans="1:23" x14ac:dyDescent="0.25">
      <c r="A676" s="4"/>
      <c r="B676" s="4"/>
      <c r="C676" s="4">
        <v>889708</v>
      </c>
      <c r="D676" s="22">
        <v>5159.6400000000003</v>
      </c>
      <c r="E676" s="17">
        <f t="shared" si="10"/>
        <v>0.35999999999967258</v>
      </c>
      <c r="F676" s="9">
        <v>45296</v>
      </c>
      <c r="G676" s="10">
        <v>330627564</v>
      </c>
      <c r="H676" s="9">
        <v>45294</v>
      </c>
      <c r="I676" s="9">
        <v>45309</v>
      </c>
      <c r="J676" s="8">
        <v>5160</v>
      </c>
      <c r="K676" s="8" t="s">
        <v>31</v>
      </c>
      <c r="L676" s="8" t="s">
        <v>32</v>
      </c>
      <c r="M676" s="8"/>
      <c r="N676" s="8" t="b">
        <v>0</v>
      </c>
      <c r="O676" s="10">
        <v>710985</v>
      </c>
      <c r="P676" s="8" t="s">
        <v>119</v>
      </c>
      <c r="Q676" s="8">
        <v>698161</v>
      </c>
      <c r="R676" s="9">
        <v>45294</v>
      </c>
      <c r="S676" s="8" t="s">
        <v>34</v>
      </c>
      <c r="T676" s="8" t="s">
        <v>40</v>
      </c>
      <c r="U676" s="8" t="s">
        <v>58</v>
      </c>
      <c r="V676" s="8" t="s">
        <v>46</v>
      </c>
      <c r="W676" s="8">
        <v>0</v>
      </c>
    </row>
    <row r="677" spans="1:23" x14ac:dyDescent="0.25">
      <c r="A677" s="4"/>
      <c r="B677" s="4"/>
      <c r="C677" s="4">
        <v>889711</v>
      </c>
      <c r="D677" s="22">
        <v>5159.6400000000003</v>
      </c>
      <c r="E677" s="5">
        <f t="shared" si="10"/>
        <v>0.35999999999967258</v>
      </c>
      <c r="F677" s="9">
        <v>45296</v>
      </c>
      <c r="G677" s="10">
        <v>330626932</v>
      </c>
      <c r="H677" s="9">
        <v>45294</v>
      </c>
      <c r="I677" s="9">
        <v>45309</v>
      </c>
      <c r="J677" s="8">
        <v>5160</v>
      </c>
      <c r="K677" s="8" t="s">
        <v>31</v>
      </c>
      <c r="L677" s="8" t="s">
        <v>32</v>
      </c>
      <c r="M677" s="8"/>
      <c r="N677" s="8" t="b">
        <v>0</v>
      </c>
      <c r="O677" s="10">
        <v>710984</v>
      </c>
      <c r="P677" s="8" t="s">
        <v>237</v>
      </c>
      <c r="Q677" s="8">
        <v>697764</v>
      </c>
      <c r="R677" s="9">
        <v>45294</v>
      </c>
      <c r="S677" s="8" t="s">
        <v>34</v>
      </c>
      <c r="T677" s="8" t="s">
        <v>40</v>
      </c>
      <c r="U677" s="8" t="s">
        <v>58</v>
      </c>
      <c r="V677" s="8" t="s">
        <v>46</v>
      </c>
      <c r="W677" s="8">
        <v>0</v>
      </c>
    </row>
    <row r="678" spans="1:23" x14ac:dyDescent="0.25">
      <c r="A678" s="4"/>
      <c r="B678" s="4"/>
      <c r="C678" s="4">
        <v>889712</v>
      </c>
      <c r="D678" s="22">
        <v>5159.6400000000003</v>
      </c>
      <c r="E678" s="5">
        <f t="shared" si="10"/>
        <v>0.35999999999967258</v>
      </c>
      <c r="F678" s="9">
        <v>45296</v>
      </c>
      <c r="G678" s="10">
        <v>330625083</v>
      </c>
      <c r="H678" s="9">
        <v>45294</v>
      </c>
      <c r="I678" s="9">
        <v>45309</v>
      </c>
      <c r="J678" s="8">
        <v>5160</v>
      </c>
      <c r="K678" s="8" t="s">
        <v>31</v>
      </c>
      <c r="L678" s="8" t="s">
        <v>32</v>
      </c>
      <c r="M678" s="8"/>
      <c r="N678" s="8" t="b">
        <v>0</v>
      </c>
      <c r="O678" s="10">
        <v>710983</v>
      </c>
      <c r="P678" s="8" t="s">
        <v>89</v>
      </c>
      <c r="Q678" s="8">
        <v>694911</v>
      </c>
      <c r="R678" s="9">
        <v>45294</v>
      </c>
      <c r="S678" s="8" t="s">
        <v>34</v>
      </c>
      <c r="T678" s="8" t="s">
        <v>40</v>
      </c>
      <c r="U678" s="8" t="s">
        <v>58</v>
      </c>
      <c r="V678" s="8" t="s">
        <v>46</v>
      </c>
      <c r="W678" s="8">
        <v>0</v>
      </c>
    </row>
    <row r="679" spans="1:23" x14ac:dyDescent="0.25">
      <c r="A679" s="4"/>
      <c r="B679" s="4"/>
      <c r="C679" s="4">
        <v>889715</v>
      </c>
      <c r="D679" s="22">
        <v>5159.6400000000003</v>
      </c>
      <c r="E679" s="5">
        <f t="shared" si="10"/>
        <v>0.35999999999967258</v>
      </c>
      <c r="F679" s="9">
        <v>45296</v>
      </c>
      <c r="G679" s="10">
        <v>330624103</v>
      </c>
      <c r="H679" s="9">
        <v>45294</v>
      </c>
      <c r="I679" s="9">
        <v>45309</v>
      </c>
      <c r="J679" s="8">
        <v>5160</v>
      </c>
      <c r="K679" s="8" t="s">
        <v>31</v>
      </c>
      <c r="L679" s="8" t="s">
        <v>32</v>
      </c>
      <c r="M679" s="8"/>
      <c r="N679" s="8" t="b">
        <v>0</v>
      </c>
      <c r="O679" s="10">
        <v>710982</v>
      </c>
      <c r="P679" s="8" t="s">
        <v>95</v>
      </c>
      <c r="Q679" s="8">
        <v>693990</v>
      </c>
      <c r="R679" s="9">
        <v>45294</v>
      </c>
      <c r="S679" s="8" t="s">
        <v>34</v>
      </c>
      <c r="T679" s="8" t="s">
        <v>40</v>
      </c>
      <c r="U679" s="8" t="s">
        <v>58</v>
      </c>
      <c r="V679" s="8" t="s">
        <v>46</v>
      </c>
      <c r="W679" s="8">
        <v>0</v>
      </c>
    </row>
    <row r="680" spans="1:23" x14ac:dyDescent="0.25">
      <c r="A680" s="4"/>
      <c r="B680" s="4"/>
      <c r="C680" s="4">
        <v>889726</v>
      </c>
      <c r="D680" s="22">
        <v>5159.6400000000003</v>
      </c>
      <c r="E680" s="5">
        <f t="shared" si="10"/>
        <v>0.35999999999967258</v>
      </c>
      <c r="F680" s="9">
        <v>45296</v>
      </c>
      <c r="G680" s="10">
        <v>330623308</v>
      </c>
      <c r="H680" s="9">
        <v>45294</v>
      </c>
      <c r="I680" s="9">
        <v>45309</v>
      </c>
      <c r="J680" s="8">
        <v>5160</v>
      </c>
      <c r="K680" s="8" t="s">
        <v>31</v>
      </c>
      <c r="L680" s="8" t="s">
        <v>32</v>
      </c>
      <c r="M680" s="8"/>
      <c r="N680" s="8" t="b">
        <v>0</v>
      </c>
      <c r="O680" s="10">
        <v>710981</v>
      </c>
      <c r="P680" s="8" t="s">
        <v>197</v>
      </c>
      <c r="Q680" s="8">
        <v>693058</v>
      </c>
      <c r="R680" s="9">
        <v>45294</v>
      </c>
      <c r="S680" s="8" t="s">
        <v>34</v>
      </c>
      <c r="T680" s="8" t="s">
        <v>40</v>
      </c>
      <c r="U680" s="8" t="s">
        <v>58</v>
      </c>
      <c r="V680" s="8" t="s">
        <v>46</v>
      </c>
      <c r="W680" s="8">
        <v>0</v>
      </c>
    </row>
    <row r="681" spans="1:23" x14ac:dyDescent="0.25">
      <c r="A681" s="4"/>
      <c r="B681" s="4"/>
      <c r="C681" s="4">
        <v>889727</v>
      </c>
      <c r="D681" s="22">
        <v>5133.24</v>
      </c>
      <c r="E681" s="17">
        <f t="shared" si="10"/>
        <v>-0.23999999999978172</v>
      </c>
      <c r="F681" s="9">
        <v>45296</v>
      </c>
      <c r="G681" s="10">
        <v>330622663</v>
      </c>
      <c r="H681" s="9">
        <v>45294</v>
      </c>
      <c r="I681" s="9">
        <v>45309</v>
      </c>
      <c r="J681" s="8">
        <v>5133</v>
      </c>
      <c r="K681" s="8" t="s">
        <v>31</v>
      </c>
      <c r="L681" s="8" t="s">
        <v>32</v>
      </c>
      <c r="M681" s="8"/>
      <c r="N681" s="8" t="b">
        <v>0</v>
      </c>
      <c r="O681" s="10">
        <v>710527</v>
      </c>
      <c r="P681" s="8" t="s">
        <v>181</v>
      </c>
      <c r="Q681" s="8">
        <v>692688</v>
      </c>
      <c r="R681" s="9">
        <v>45294</v>
      </c>
      <c r="S681" s="8" t="s">
        <v>34</v>
      </c>
      <c r="T681" s="8" t="s">
        <v>44</v>
      </c>
      <c r="U681" s="8" t="s">
        <v>58</v>
      </c>
      <c r="V681" s="8" t="s">
        <v>46</v>
      </c>
      <c r="W681" s="8">
        <v>0</v>
      </c>
    </row>
    <row r="682" spans="1:23" x14ac:dyDescent="0.25">
      <c r="A682" s="4"/>
      <c r="B682" s="4"/>
      <c r="C682" s="4">
        <v>889728</v>
      </c>
      <c r="D682" s="22">
        <v>5133.24</v>
      </c>
      <c r="E682" s="17">
        <f t="shared" si="10"/>
        <v>-0.23999999999978172</v>
      </c>
      <c r="F682" s="9">
        <v>45296</v>
      </c>
      <c r="G682" s="10">
        <v>330622661</v>
      </c>
      <c r="H682" s="9">
        <v>45294</v>
      </c>
      <c r="I682" s="9">
        <v>45309</v>
      </c>
      <c r="J682" s="8">
        <v>5133</v>
      </c>
      <c r="K682" s="8" t="s">
        <v>31</v>
      </c>
      <c r="L682" s="8" t="s">
        <v>32</v>
      </c>
      <c r="M682" s="8"/>
      <c r="N682" s="8" t="b">
        <v>0</v>
      </c>
      <c r="O682" s="10">
        <v>710528</v>
      </c>
      <c r="P682" s="8" t="s">
        <v>165</v>
      </c>
      <c r="Q682" s="8">
        <v>692699</v>
      </c>
      <c r="R682" s="9">
        <v>45294</v>
      </c>
      <c r="S682" s="8" t="s">
        <v>34</v>
      </c>
      <c r="T682" s="8" t="s">
        <v>44</v>
      </c>
      <c r="U682" s="8" t="s">
        <v>58</v>
      </c>
      <c r="V682" s="8" t="s">
        <v>46</v>
      </c>
      <c r="W682" s="8">
        <v>0</v>
      </c>
    </row>
    <row r="683" spans="1:23" x14ac:dyDescent="0.25">
      <c r="A683" s="4"/>
      <c r="B683" s="4"/>
      <c r="C683" s="4">
        <v>889729</v>
      </c>
      <c r="D683" s="22">
        <v>5133.24</v>
      </c>
      <c r="E683" s="5">
        <f t="shared" si="10"/>
        <v>-0.23999999999978172</v>
      </c>
      <c r="F683" s="9">
        <v>45296</v>
      </c>
      <c r="G683" s="10">
        <v>330622542</v>
      </c>
      <c r="H683" s="9">
        <v>45294</v>
      </c>
      <c r="I683" s="9">
        <v>45309</v>
      </c>
      <c r="J683" s="8">
        <v>5133</v>
      </c>
      <c r="K683" s="8" t="s">
        <v>31</v>
      </c>
      <c r="L683" s="8" t="s">
        <v>32</v>
      </c>
      <c r="M683" s="8"/>
      <c r="N683" s="8" t="b">
        <v>0</v>
      </c>
      <c r="O683" s="10">
        <v>710522</v>
      </c>
      <c r="P683" s="8" t="s">
        <v>108</v>
      </c>
      <c r="Q683" s="8">
        <v>692677</v>
      </c>
      <c r="R683" s="9">
        <v>45294</v>
      </c>
      <c r="S683" s="8" t="s">
        <v>34</v>
      </c>
      <c r="T683" s="8" t="s">
        <v>44</v>
      </c>
      <c r="U683" s="8" t="s">
        <v>58</v>
      </c>
      <c r="V683" s="8" t="s">
        <v>46</v>
      </c>
      <c r="W683" s="8">
        <v>0</v>
      </c>
    </row>
    <row r="684" spans="1:23" x14ac:dyDescent="0.25">
      <c r="A684" s="4"/>
      <c r="B684" s="4"/>
      <c r="C684" s="4">
        <v>889730</v>
      </c>
      <c r="D684" s="22">
        <v>7951.32</v>
      </c>
      <c r="E684" s="17">
        <f t="shared" si="10"/>
        <v>-0.31999999999970896</v>
      </c>
      <c r="F684" s="9">
        <v>45296</v>
      </c>
      <c r="G684" s="10">
        <v>330622282</v>
      </c>
      <c r="H684" s="9">
        <v>45294</v>
      </c>
      <c r="I684" s="9">
        <v>45309</v>
      </c>
      <c r="J684" s="8">
        <v>7951</v>
      </c>
      <c r="K684" s="8" t="s">
        <v>31</v>
      </c>
      <c r="L684" s="8" t="s">
        <v>32</v>
      </c>
      <c r="M684" s="8"/>
      <c r="N684" s="8" t="b">
        <v>0</v>
      </c>
      <c r="O684" s="10">
        <v>710969</v>
      </c>
      <c r="P684" s="8" t="s">
        <v>168</v>
      </c>
      <c r="Q684" s="8">
        <v>692375</v>
      </c>
      <c r="R684" s="9">
        <v>45294</v>
      </c>
      <c r="S684" s="8" t="s">
        <v>34</v>
      </c>
      <c r="T684" s="8" t="s">
        <v>40</v>
      </c>
      <c r="U684" s="8" t="s">
        <v>88</v>
      </c>
      <c r="V684" s="8" t="s">
        <v>72</v>
      </c>
      <c r="W684" s="8">
        <v>0</v>
      </c>
    </row>
    <row r="685" spans="1:23" x14ac:dyDescent="0.25">
      <c r="A685" s="4"/>
      <c r="B685" s="4"/>
      <c r="C685" s="26">
        <v>889731</v>
      </c>
      <c r="D685" s="22">
        <v>5159.6400000000003</v>
      </c>
      <c r="E685" s="5">
        <f t="shared" si="10"/>
        <v>0.35999999999967258</v>
      </c>
      <c r="F685" s="9">
        <v>45301</v>
      </c>
      <c r="G685" s="42">
        <v>330621241</v>
      </c>
      <c r="H685" s="9">
        <v>45294</v>
      </c>
      <c r="I685" s="9">
        <v>45309</v>
      </c>
      <c r="J685" s="8">
        <v>5160</v>
      </c>
      <c r="K685" s="8" t="s">
        <v>31</v>
      </c>
      <c r="L685" s="8" t="s">
        <v>32</v>
      </c>
      <c r="M685" s="8"/>
      <c r="N685" s="8" t="b">
        <v>0</v>
      </c>
      <c r="O685" s="10">
        <v>710980</v>
      </c>
      <c r="P685" s="8" t="s">
        <v>90</v>
      </c>
      <c r="Q685" s="8">
        <v>691264</v>
      </c>
      <c r="R685" s="9">
        <v>45294</v>
      </c>
      <c r="S685" s="8" t="s">
        <v>34</v>
      </c>
      <c r="T685" s="8" t="s">
        <v>40</v>
      </c>
      <c r="U685" s="8" t="s">
        <v>58</v>
      </c>
      <c r="V685" s="8" t="s">
        <v>46</v>
      </c>
      <c r="W685" s="8">
        <v>0</v>
      </c>
    </row>
    <row r="686" spans="1:23" x14ac:dyDescent="0.25">
      <c r="A686" s="4"/>
      <c r="B686" s="4"/>
      <c r="C686" s="4">
        <v>889752</v>
      </c>
      <c r="D686" s="22">
        <v>7951.32</v>
      </c>
      <c r="E686" s="5">
        <f t="shared" si="10"/>
        <v>-0.31999999999970896</v>
      </c>
      <c r="F686" s="9">
        <v>45296</v>
      </c>
      <c r="G686" s="10">
        <v>330621183</v>
      </c>
      <c r="H686" s="9">
        <v>45294</v>
      </c>
      <c r="I686" s="9">
        <v>45309</v>
      </c>
      <c r="J686" s="8">
        <v>7951</v>
      </c>
      <c r="K686" s="8" t="s">
        <v>31</v>
      </c>
      <c r="L686" s="8" t="s">
        <v>32</v>
      </c>
      <c r="M686" s="8"/>
      <c r="N686" s="8" t="b">
        <v>0</v>
      </c>
      <c r="O686" s="10">
        <v>710968</v>
      </c>
      <c r="P686" s="8" t="s">
        <v>177</v>
      </c>
      <c r="Q686" s="8">
        <v>691280</v>
      </c>
      <c r="R686" s="9">
        <v>45294</v>
      </c>
      <c r="S686" s="8" t="s">
        <v>34</v>
      </c>
      <c r="T686" s="8" t="s">
        <v>40</v>
      </c>
      <c r="U686" s="8" t="s">
        <v>88</v>
      </c>
      <c r="V686" s="8" t="s">
        <v>72</v>
      </c>
      <c r="W686" s="8">
        <v>0</v>
      </c>
    </row>
    <row r="687" spans="1:23" x14ac:dyDescent="0.25">
      <c r="A687" s="4"/>
      <c r="B687" s="4"/>
      <c r="C687" s="4">
        <v>889753</v>
      </c>
      <c r="D687" s="22">
        <v>7951.32</v>
      </c>
      <c r="E687" s="5">
        <f t="shared" si="10"/>
        <v>-0.31999999999970896</v>
      </c>
      <c r="F687" s="9">
        <v>45296</v>
      </c>
      <c r="G687" s="10">
        <v>330621150</v>
      </c>
      <c r="H687" s="9">
        <v>45294</v>
      </c>
      <c r="I687" s="9">
        <v>45309</v>
      </c>
      <c r="J687" s="8">
        <v>7951</v>
      </c>
      <c r="K687" s="8" t="s">
        <v>31</v>
      </c>
      <c r="L687" s="8" t="s">
        <v>32</v>
      </c>
      <c r="M687" s="8"/>
      <c r="N687" s="8" t="b">
        <v>0</v>
      </c>
      <c r="O687" s="10">
        <v>710967</v>
      </c>
      <c r="P687" s="8" t="s">
        <v>170</v>
      </c>
      <c r="Q687" s="8">
        <v>691275</v>
      </c>
      <c r="R687" s="9">
        <v>45294</v>
      </c>
      <c r="S687" s="8" t="s">
        <v>34</v>
      </c>
      <c r="T687" s="8" t="s">
        <v>40</v>
      </c>
      <c r="U687" s="8" t="s">
        <v>88</v>
      </c>
      <c r="V687" s="8" t="s">
        <v>72</v>
      </c>
      <c r="W687" s="8">
        <v>0</v>
      </c>
    </row>
    <row r="688" spans="1:23" x14ac:dyDescent="0.25">
      <c r="A688" s="4"/>
      <c r="B688" s="4"/>
      <c r="C688" s="4">
        <v>889764</v>
      </c>
      <c r="D688" s="22">
        <v>7951.32</v>
      </c>
      <c r="E688" s="5">
        <f t="shared" si="10"/>
        <v>-0.31999999999970896</v>
      </c>
      <c r="F688" s="9">
        <v>45296</v>
      </c>
      <c r="G688" s="10">
        <v>330620891</v>
      </c>
      <c r="H688" s="9">
        <v>45294</v>
      </c>
      <c r="I688" s="9">
        <v>45309</v>
      </c>
      <c r="J688" s="8">
        <v>7951</v>
      </c>
      <c r="K688" s="8" t="s">
        <v>31</v>
      </c>
      <c r="L688" s="8" t="s">
        <v>32</v>
      </c>
      <c r="M688" s="8"/>
      <c r="N688" s="8" t="b">
        <v>0</v>
      </c>
      <c r="O688" s="10">
        <v>710964</v>
      </c>
      <c r="P688" s="8" t="s">
        <v>99</v>
      </c>
      <c r="Q688" s="8">
        <v>690977</v>
      </c>
      <c r="R688" s="9">
        <v>45294</v>
      </c>
      <c r="S688" s="8" t="s">
        <v>34</v>
      </c>
      <c r="T688" s="8" t="s">
        <v>40</v>
      </c>
      <c r="U688" s="8" t="s">
        <v>88</v>
      </c>
      <c r="V688" s="8" t="s">
        <v>72</v>
      </c>
      <c r="W688" s="8">
        <v>0</v>
      </c>
    </row>
    <row r="689" spans="1:23" x14ac:dyDescent="0.25">
      <c r="A689" s="4"/>
      <c r="B689" s="4"/>
      <c r="C689" s="4">
        <v>889755</v>
      </c>
      <c r="D689" s="22">
        <v>7951.32</v>
      </c>
      <c r="E689" s="5">
        <f t="shared" si="10"/>
        <v>-0.31999999999970896</v>
      </c>
      <c r="F689" s="9">
        <v>45296</v>
      </c>
      <c r="G689" s="10">
        <v>330620877</v>
      </c>
      <c r="H689" s="9">
        <v>45294</v>
      </c>
      <c r="I689" s="9">
        <v>45309</v>
      </c>
      <c r="J689" s="8">
        <v>7951</v>
      </c>
      <c r="K689" s="8" t="s">
        <v>31</v>
      </c>
      <c r="L689" s="8" t="s">
        <v>32</v>
      </c>
      <c r="M689" s="8"/>
      <c r="N689" s="8" t="b">
        <v>0</v>
      </c>
      <c r="O689" s="10">
        <v>710966</v>
      </c>
      <c r="P689" s="8" t="s">
        <v>68</v>
      </c>
      <c r="Q689" s="8">
        <v>691002</v>
      </c>
      <c r="R689" s="9">
        <v>45294</v>
      </c>
      <c r="S689" s="8" t="s">
        <v>34</v>
      </c>
      <c r="T689" s="8" t="s">
        <v>40</v>
      </c>
      <c r="U689" s="8" t="s">
        <v>88</v>
      </c>
      <c r="V689" s="8" t="s">
        <v>72</v>
      </c>
      <c r="W689" s="8">
        <v>0</v>
      </c>
    </row>
    <row r="690" spans="1:23" x14ac:dyDescent="0.25">
      <c r="A690" s="4"/>
      <c r="B690" s="4"/>
      <c r="C690" s="4">
        <v>889756</v>
      </c>
      <c r="D690" s="22">
        <v>7951.32</v>
      </c>
      <c r="E690" s="5">
        <f t="shared" si="10"/>
        <v>-0.31999999999970896</v>
      </c>
      <c r="F690" s="9">
        <v>45296</v>
      </c>
      <c r="G690" s="10">
        <v>330620854</v>
      </c>
      <c r="H690" s="9">
        <v>45294</v>
      </c>
      <c r="I690" s="9">
        <v>45309</v>
      </c>
      <c r="J690" s="8">
        <v>7951</v>
      </c>
      <c r="K690" s="8" t="s">
        <v>31</v>
      </c>
      <c r="L690" s="8" t="s">
        <v>32</v>
      </c>
      <c r="M690" s="8"/>
      <c r="N690" s="8" t="b">
        <v>0</v>
      </c>
      <c r="O690" s="10">
        <v>710963</v>
      </c>
      <c r="P690" s="8" t="s">
        <v>213</v>
      </c>
      <c r="Q690" s="8">
        <v>690968</v>
      </c>
      <c r="R690" s="9">
        <v>45294</v>
      </c>
      <c r="S690" s="8" t="s">
        <v>34</v>
      </c>
      <c r="T690" s="8" t="s">
        <v>40</v>
      </c>
      <c r="U690" s="8" t="s">
        <v>88</v>
      </c>
      <c r="V690" s="8" t="s">
        <v>72</v>
      </c>
      <c r="W690" s="8">
        <v>0</v>
      </c>
    </row>
    <row r="691" spans="1:23" x14ac:dyDescent="0.25">
      <c r="A691" s="4"/>
      <c r="B691" s="4"/>
      <c r="C691" s="4">
        <v>889757</v>
      </c>
      <c r="D691" s="22">
        <v>7951.32</v>
      </c>
      <c r="E691" s="5">
        <f t="shared" si="10"/>
        <v>-0.31999999999970896</v>
      </c>
      <c r="F691" s="9">
        <v>45296</v>
      </c>
      <c r="G691" s="10">
        <v>330620815</v>
      </c>
      <c r="H691" s="9">
        <v>45294</v>
      </c>
      <c r="I691" s="9">
        <v>45309</v>
      </c>
      <c r="J691" s="8">
        <v>7951</v>
      </c>
      <c r="K691" s="8" t="s">
        <v>31</v>
      </c>
      <c r="L691" s="8" t="s">
        <v>32</v>
      </c>
      <c r="M691" s="8"/>
      <c r="N691" s="8" t="b">
        <v>0</v>
      </c>
      <c r="O691" s="10">
        <v>710965</v>
      </c>
      <c r="P691" s="8" t="s">
        <v>185</v>
      </c>
      <c r="Q691" s="8">
        <v>690988</v>
      </c>
      <c r="R691" s="9">
        <v>45294</v>
      </c>
      <c r="S691" s="8" t="s">
        <v>34</v>
      </c>
      <c r="T691" s="8" t="s">
        <v>40</v>
      </c>
      <c r="U691" s="8" t="s">
        <v>88</v>
      </c>
      <c r="V691" s="8" t="s">
        <v>72</v>
      </c>
      <c r="W691" s="8">
        <v>0</v>
      </c>
    </row>
    <row r="692" spans="1:23" x14ac:dyDescent="0.25">
      <c r="A692" s="4"/>
      <c r="B692" s="4"/>
      <c r="C692" s="4">
        <v>889402</v>
      </c>
      <c r="D692" s="22">
        <v>91610.4</v>
      </c>
      <c r="E692" s="5">
        <f t="shared" si="10"/>
        <v>-8.3999999999941792</v>
      </c>
      <c r="F692" s="9">
        <v>45296</v>
      </c>
      <c r="G692" s="10">
        <v>330620252</v>
      </c>
      <c r="H692" s="9">
        <v>45294</v>
      </c>
      <c r="I692" s="9">
        <v>45309</v>
      </c>
      <c r="J692" s="8">
        <v>91602</v>
      </c>
      <c r="K692" s="8" t="s">
        <v>31</v>
      </c>
      <c r="L692" s="8" t="s">
        <v>32</v>
      </c>
      <c r="M692" s="8"/>
      <c r="N692" s="8" t="b">
        <v>0</v>
      </c>
      <c r="O692" s="10">
        <v>711161</v>
      </c>
      <c r="P692" s="8" t="s">
        <v>47</v>
      </c>
      <c r="Q692" s="8">
        <v>690319</v>
      </c>
      <c r="R692" s="9">
        <v>45294</v>
      </c>
      <c r="S692" s="8" t="s">
        <v>34</v>
      </c>
      <c r="T692" s="8" t="s">
        <v>49</v>
      </c>
      <c r="U692" s="8" t="s">
        <v>75</v>
      </c>
      <c r="V692" s="8" t="s">
        <v>46</v>
      </c>
      <c r="W692" s="8">
        <v>0</v>
      </c>
    </row>
    <row r="693" spans="1:23" x14ac:dyDescent="0.25">
      <c r="A693" s="4"/>
      <c r="B693" s="4"/>
      <c r="C693" s="4">
        <v>889758</v>
      </c>
      <c r="D693" s="22">
        <v>7951.32</v>
      </c>
      <c r="E693" s="5">
        <f t="shared" si="10"/>
        <v>-0.31999999999970896</v>
      </c>
      <c r="F693" s="9">
        <v>45296</v>
      </c>
      <c r="G693" s="10">
        <v>330610761</v>
      </c>
      <c r="H693" s="9">
        <v>45294</v>
      </c>
      <c r="I693" s="9">
        <v>45309</v>
      </c>
      <c r="J693" s="8">
        <v>7951</v>
      </c>
      <c r="K693" s="8" t="s">
        <v>31</v>
      </c>
      <c r="L693" s="8" t="s">
        <v>32</v>
      </c>
      <c r="M693" s="8"/>
      <c r="N693" s="8" t="b">
        <v>0</v>
      </c>
      <c r="O693" s="10">
        <v>710962</v>
      </c>
      <c r="P693" s="8" t="s">
        <v>228</v>
      </c>
      <c r="Q693" s="8">
        <v>681085</v>
      </c>
      <c r="R693" s="9">
        <v>45293</v>
      </c>
      <c r="S693" s="8" t="s">
        <v>34</v>
      </c>
      <c r="T693" s="8" t="s">
        <v>40</v>
      </c>
      <c r="U693" s="8" t="s">
        <v>88</v>
      </c>
      <c r="V693" s="8" t="s">
        <v>72</v>
      </c>
      <c r="W693" s="8">
        <v>0</v>
      </c>
    </row>
    <row r="694" spans="1:23" x14ac:dyDescent="0.25">
      <c r="A694" s="4"/>
      <c r="B694" s="4"/>
      <c r="C694" s="4">
        <v>889759</v>
      </c>
      <c r="D694" s="22">
        <v>7951.32</v>
      </c>
      <c r="E694" s="5">
        <f t="shared" si="10"/>
        <v>-0.31999999999970896</v>
      </c>
      <c r="F694" s="9">
        <v>45296</v>
      </c>
      <c r="G694" s="10">
        <v>330609754</v>
      </c>
      <c r="H694" s="9">
        <v>45294</v>
      </c>
      <c r="I694" s="9">
        <v>45309</v>
      </c>
      <c r="J694" s="8">
        <v>7951</v>
      </c>
      <c r="K694" s="8" t="s">
        <v>31</v>
      </c>
      <c r="L694" s="8" t="s">
        <v>32</v>
      </c>
      <c r="M694" s="8"/>
      <c r="N694" s="8" t="b">
        <v>0</v>
      </c>
      <c r="O694" s="10">
        <v>710961</v>
      </c>
      <c r="P694" s="8" t="s">
        <v>272</v>
      </c>
      <c r="Q694" s="8">
        <v>679860</v>
      </c>
      <c r="R694" s="9">
        <v>45293</v>
      </c>
      <c r="S694" s="8" t="s">
        <v>34</v>
      </c>
      <c r="T694" s="8" t="s">
        <v>40</v>
      </c>
      <c r="U694" s="8" t="s">
        <v>88</v>
      </c>
      <c r="V694" s="8" t="s">
        <v>72</v>
      </c>
      <c r="W694" s="8">
        <v>0</v>
      </c>
    </row>
    <row r="695" spans="1:23" x14ac:dyDescent="0.25">
      <c r="A695" s="4"/>
      <c r="B695" s="4"/>
      <c r="C695" s="4">
        <v>889761</v>
      </c>
      <c r="D695" s="22">
        <v>7951.32</v>
      </c>
      <c r="E695" s="5">
        <f t="shared" si="10"/>
        <v>-0.31999999999970896</v>
      </c>
      <c r="F695" s="9">
        <v>45296</v>
      </c>
      <c r="G695" s="10">
        <v>330609701</v>
      </c>
      <c r="H695" s="9">
        <v>45294</v>
      </c>
      <c r="I695" s="9">
        <v>45309</v>
      </c>
      <c r="J695" s="8">
        <v>7951</v>
      </c>
      <c r="K695" s="8" t="s">
        <v>31</v>
      </c>
      <c r="L695" s="8" t="s">
        <v>32</v>
      </c>
      <c r="M695" s="8"/>
      <c r="N695" s="8" t="b">
        <v>0</v>
      </c>
      <c r="O695" s="10">
        <v>710960</v>
      </c>
      <c r="P695" s="8" t="s">
        <v>161</v>
      </c>
      <c r="Q695" s="8">
        <v>679855</v>
      </c>
      <c r="R695" s="9">
        <v>45293</v>
      </c>
      <c r="S695" s="8" t="s">
        <v>34</v>
      </c>
      <c r="T695" s="8" t="s">
        <v>40</v>
      </c>
      <c r="U695" s="8" t="s">
        <v>88</v>
      </c>
      <c r="V695" s="8" t="s">
        <v>72</v>
      </c>
      <c r="W695" s="8">
        <v>0</v>
      </c>
    </row>
    <row r="696" spans="1:23" x14ac:dyDescent="0.25">
      <c r="A696" s="4"/>
      <c r="B696" s="4"/>
      <c r="C696" s="4">
        <v>889762</v>
      </c>
      <c r="D696" s="22">
        <v>5133.24</v>
      </c>
      <c r="E696" s="5">
        <f t="shared" si="10"/>
        <v>-0.23999999999978172</v>
      </c>
      <c r="F696" s="9">
        <v>45296</v>
      </c>
      <c r="G696" s="10">
        <v>330608405</v>
      </c>
      <c r="H696" s="9">
        <v>45294</v>
      </c>
      <c r="I696" s="9">
        <v>45309</v>
      </c>
      <c r="J696" s="8">
        <v>5133</v>
      </c>
      <c r="K696" s="8" t="s">
        <v>31</v>
      </c>
      <c r="L696" s="8" t="s">
        <v>32</v>
      </c>
      <c r="M696" s="8"/>
      <c r="N696" s="8" t="b">
        <v>0</v>
      </c>
      <c r="O696" s="10">
        <v>710525</v>
      </c>
      <c r="P696" s="8" t="s">
        <v>193</v>
      </c>
      <c r="Q696" s="8">
        <v>678088</v>
      </c>
      <c r="R696" s="9">
        <v>45293</v>
      </c>
      <c r="S696" s="8" t="s">
        <v>34</v>
      </c>
      <c r="T696" s="8" t="s">
        <v>44</v>
      </c>
      <c r="U696" s="8" t="s">
        <v>58</v>
      </c>
      <c r="V696" s="8" t="s">
        <v>46</v>
      </c>
      <c r="W696" s="8">
        <v>0</v>
      </c>
    </row>
    <row r="697" spans="1:23" x14ac:dyDescent="0.25">
      <c r="A697" s="4"/>
      <c r="B697" s="4"/>
      <c r="C697" s="4">
        <v>889410</v>
      </c>
      <c r="D697" s="22">
        <v>9226.32</v>
      </c>
      <c r="E697" s="5">
        <f t="shared" si="10"/>
        <v>0.68000000000029104</v>
      </c>
      <c r="F697" s="9">
        <v>45296</v>
      </c>
      <c r="G697" s="10">
        <v>330602109</v>
      </c>
      <c r="H697" s="9">
        <v>45294</v>
      </c>
      <c r="I697" s="9">
        <v>45309</v>
      </c>
      <c r="J697" s="8">
        <v>9227</v>
      </c>
      <c r="K697" s="8" t="s">
        <v>31</v>
      </c>
      <c r="L697" s="8" t="s">
        <v>32</v>
      </c>
      <c r="M697" s="8"/>
      <c r="N697" s="8" t="b">
        <v>0</v>
      </c>
      <c r="O697" s="10">
        <v>705920</v>
      </c>
      <c r="P697" s="8" t="s">
        <v>94</v>
      </c>
      <c r="Q697" s="8">
        <v>671272</v>
      </c>
      <c r="R697" s="9">
        <v>45293</v>
      </c>
      <c r="S697" s="8" t="s">
        <v>130</v>
      </c>
      <c r="T697" s="8" t="s">
        <v>40</v>
      </c>
      <c r="U697" s="8" t="s">
        <v>131</v>
      </c>
      <c r="V697" s="8" t="s">
        <v>132</v>
      </c>
      <c r="W697" s="8">
        <v>0</v>
      </c>
    </row>
    <row r="698" spans="1:23" x14ac:dyDescent="0.25">
      <c r="A698" s="4"/>
      <c r="B698" s="4"/>
      <c r="C698" s="4">
        <v>889768</v>
      </c>
      <c r="D698" s="22">
        <v>5133.24</v>
      </c>
      <c r="E698" s="17">
        <f t="shared" si="10"/>
        <v>-0.23999999999978172</v>
      </c>
      <c r="F698" s="9">
        <v>45296</v>
      </c>
      <c r="G698" s="10">
        <v>330601184</v>
      </c>
      <c r="H698" s="9">
        <v>45294</v>
      </c>
      <c r="I698" s="9">
        <v>45309</v>
      </c>
      <c r="J698" s="8">
        <v>5133</v>
      </c>
      <c r="K698" s="8" t="s">
        <v>31</v>
      </c>
      <c r="L698" s="8" t="s">
        <v>32</v>
      </c>
      <c r="M698" s="8"/>
      <c r="N698" s="8" t="b">
        <v>0</v>
      </c>
      <c r="O698" s="10">
        <v>710523</v>
      </c>
      <c r="P698" s="8" t="s">
        <v>244</v>
      </c>
      <c r="Q698" s="8">
        <v>669790</v>
      </c>
      <c r="R698" s="9">
        <v>45293</v>
      </c>
      <c r="S698" s="8" t="s">
        <v>34</v>
      </c>
      <c r="T698" s="8" t="s">
        <v>44</v>
      </c>
      <c r="U698" s="8" t="s">
        <v>58</v>
      </c>
      <c r="V698" s="8" t="s">
        <v>46</v>
      </c>
      <c r="W698" s="8">
        <v>0</v>
      </c>
    </row>
    <row r="699" spans="1:23" x14ac:dyDescent="0.25">
      <c r="A699" s="4"/>
      <c r="B699" s="4"/>
      <c r="C699" s="4">
        <v>889769</v>
      </c>
      <c r="D699" s="22">
        <v>5135.4399999999996</v>
      </c>
      <c r="E699" s="5">
        <f t="shared" si="10"/>
        <v>-0.43999999999959982</v>
      </c>
      <c r="F699" s="9">
        <v>45296</v>
      </c>
      <c r="G699" s="10">
        <v>330601183</v>
      </c>
      <c r="H699" s="9">
        <v>45294</v>
      </c>
      <c r="I699" s="9">
        <v>45309</v>
      </c>
      <c r="J699" s="8">
        <v>5135</v>
      </c>
      <c r="K699" s="8" t="s">
        <v>31</v>
      </c>
      <c r="L699" s="8" t="s">
        <v>32</v>
      </c>
      <c r="M699" s="8"/>
      <c r="N699" s="8" t="b">
        <v>0</v>
      </c>
      <c r="O699" s="10">
        <v>702416</v>
      </c>
      <c r="P699" s="8" t="s">
        <v>274</v>
      </c>
      <c r="Q699" s="8">
        <v>669834</v>
      </c>
      <c r="R699" s="9">
        <v>45293</v>
      </c>
      <c r="S699" s="8" t="s">
        <v>180</v>
      </c>
      <c r="T699" s="8" t="s">
        <v>44</v>
      </c>
      <c r="U699" s="8" t="s">
        <v>45</v>
      </c>
      <c r="V699" s="8" t="s">
        <v>46</v>
      </c>
      <c r="W699" s="8">
        <v>0</v>
      </c>
    </row>
    <row r="700" spans="1:23" x14ac:dyDescent="0.25">
      <c r="A700" s="4"/>
      <c r="B700" s="4"/>
      <c r="C700" s="4">
        <v>889770</v>
      </c>
      <c r="D700" s="22">
        <v>5133.24</v>
      </c>
      <c r="E700" s="5">
        <f t="shared" si="10"/>
        <v>-0.23999999999978172</v>
      </c>
      <c r="F700" s="9">
        <v>45296</v>
      </c>
      <c r="G700" s="10">
        <v>330601135</v>
      </c>
      <c r="H700" s="9">
        <v>45294</v>
      </c>
      <c r="I700" s="9">
        <v>45309</v>
      </c>
      <c r="J700" s="8">
        <v>5133</v>
      </c>
      <c r="K700" s="8" t="s">
        <v>31</v>
      </c>
      <c r="L700" s="8" t="s">
        <v>32</v>
      </c>
      <c r="M700" s="8"/>
      <c r="N700" s="8" t="b">
        <v>0</v>
      </c>
      <c r="O700" s="10">
        <v>709333</v>
      </c>
      <c r="P700" s="8" t="s">
        <v>263</v>
      </c>
      <c r="Q700" s="8">
        <v>669799</v>
      </c>
      <c r="R700" s="9">
        <v>45293</v>
      </c>
      <c r="S700" s="8" t="s">
        <v>34</v>
      </c>
      <c r="T700" s="8" t="s">
        <v>44</v>
      </c>
      <c r="U700" s="8" t="s">
        <v>58</v>
      </c>
      <c r="V700" s="8" t="s">
        <v>46</v>
      </c>
      <c r="W700" s="8">
        <v>0</v>
      </c>
    </row>
    <row r="701" spans="1:23" x14ac:dyDescent="0.25">
      <c r="A701" s="4"/>
      <c r="B701" s="4"/>
      <c r="C701" s="4">
        <v>889379</v>
      </c>
      <c r="D701" s="22">
        <v>87248</v>
      </c>
      <c r="E701" s="5">
        <f t="shared" si="10"/>
        <v>-8</v>
      </c>
      <c r="F701" s="9">
        <v>45296</v>
      </c>
      <c r="G701" s="10">
        <v>330601114</v>
      </c>
      <c r="H701" s="9">
        <v>45294</v>
      </c>
      <c r="I701" s="9">
        <v>45309</v>
      </c>
      <c r="J701" s="8">
        <v>87240</v>
      </c>
      <c r="K701" s="8" t="s">
        <v>31</v>
      </c>
      <c r="L701" s="8" t="s">
        <v>32</v>
      </c>
      <c r="M701" s="8"/>
      <c r="N701" s="8" t="b">
        <v>0</v>
      </c>
      <c r="O701" s="10">
        <v>711123</v>
      </c>
      <c r="P701" s="8" t="s">
        <v>363</v>
      </c>
      <c r="Q701" s="8">
        <v>669888</v>
      </c>
      <c r="R701" s="9">
        <v>45293</v>
      </c>
      <c r="S701" s="8" t="s">
        <v>34</v>
      </c>
      <c r="T701" s="8" t="s">
        <v>49</v>
      </c>
      <c r="U701" s="8" t="s">
        <v>75</v>
      </c>
      <c r="V701" s="8" t="s">
        <v>46</v>
      </c>
      <c r="W701" s="8">
        <v>0</v>
      </c>
    </row>
    <row r="702" spans="1:23" x14ac:dyDescent="0.25">
      <c r="A702" s="4"/>
      <c r="B702" s="4"/>
      <c r="C702" s="4">
        <v>889706</v>
      </c>
      <c r="D702" s="22">
        <v>5133.24</v>
      </c>
      <c r="E702" s="5">
        <f t="shared" si="10"/>
        <v>-0.23999999999978172</v>
      </c>
      <c r="F702" s="9">
        <v>45296</v>
      </c>
      <c r="G702" s="10">
        <v>330601043</v>
      </c>
      <c r="H702" s="9">
        <v>45294</v>
      </c>
      <c r="I702" s="9">
        <v>45309</v>
      </c>
      <c r="J702" s="8">
        <v>5133</v>
      </c>
      <c r="K702" s="8" t="s">
        <v>31</v>
      </c>
      <c r="L702" s="8" t="s">
        <v>32</v>
      </c>
      <c r="M702" s="8"/>
      <c r="N702" s="8" t="b">
        <v>0</v>
      </c>
      <c r="O702" s="10">
        <v>709328</v>
      </c>
      <c r="P702" s="8" t="s">
        <v>299</v>
      </c>
      <c r="Q702" s="8">
        <v>669793</v>
      </c>
      <c r="R702" s="9">
        <v>45293</v>
      </c>
      <c r="S702" s="8" t="s">
        <v>34</v>
      </c>
      <c r="T702" s="8" t="s">
        <v>44</v>
      </c>
      <c r="U702" s="8" t="s">
        <v>58</v>
      </c>
      <c r="V702" s="8" t="s">
        <v>46</v>
      </c>
      <c r="W702" s="8">
        <v>0</v>
      </c>
    </row>
    <row r="703" spans="1:23" ht="30" x14ac:dyDescent="0.25">
      <c r="A703" s="4"/>
      <c r="B703" s="4"/>
      <c r="C703" s="18" t="s">
        <v>364</v>
      </c>
      <c r="D703" s="27">
        <v>41408.199999999997</v>
      </c>
      <c r="E703" s="5">
        <f t="shared" si="10"/>
        <v>-3.1999999999970896</v>
      </c>
      <c r="F703" s="9">
        <v>45296</v>
      </c>
      <c r="G703" s="10">
        <v>330593493</v>
      </c>
      <c r="H703" s="9">
        <v>45294</v>
      </c>
      <c r="I703" s="9">
        <v>45309</v>
      </c>
      <c r="J703" s="8">
        <v>41405</v>
      </c>
      <c r="K703" s="8" t="s">
        <v>31</v>
      </c>
      <c r="L703" s="8" t="s">
        <v>32</v>
      </c>
      <c r="M703" s="8"/>
      <c r="N703" s="8" t="b">
        <v>0</v>
      </c>
      <c r="O703" s="43" t="s">
        <v>365</v>
      </c>
      <c r="P703" s="8" t="s">
        <v>366</v>
      </c>
      <c r="Q703" s="8">
        <v>637474</v>
      </c>
      <c r="R703" s="9">
        <v>45288</v>
      </c>
      <c r="S703" s="8" t="s">
        <v>148</v>
      </c>
      <c r="T703" s="8" t="s">
        <v>49</v>
      </c>
      <c r="U703" s="8" t="s">
        <v>149</v>
      </c>
      <c r="V703" s="8" t="s">
        <v>150</v>
      </c>
      <c r="W703" s="8">
        <v>0</v>
      </c>
    </row>
    <row r="704" spans="1:23" x14ac:dyDescent="0.25">
      <c r="A704" s="4"/>
      <c r="B704" s="4"/>
      <c r="C704" s="4">
        <v>889698</v>
      </c>
      <c r="D704" s="22">
        <v>5193.6899999999996</v>
      </c>
      <c r="E704" s="5">
        <f t="shared" si="10"/>
        <v>0.31000000000040018</v>
      </c>
      <c r="F704" s="9">
        <v>45296</v>
      </c>
      <c r="G704" s="10">
        <v>330587153</v>
      </c>
      <c r="H704" s="9">
        <v>45294</v>
      </c>
      <c r="I704" s="9">
        <v>45309</v>
      </c>
      <c r="J704" s="8">
        <v>5194</v>
      </c>
      <c r="K704" s="8" t="s">
        <v>31</v>
      </c>
      <c r="L704" s="8" t="s">
        <v>32</v>
      </c>
      <c r="M704" s="8"/>
      <c r="N704" s="8" t="b">
        <v>0</v>
      </c>
      <c r="O704" s="10">
        <v>710651</v>
      </c>
      <c r="P704" s="8" t="s">
        <v>87</v>
      </c>
      <c r="Q704" s="8">
        <v>663595</v>
      </c>
      <c r="R704" s="9">
        <v>45291</v>
      </c>
      <c r="S704" s="8" t="s">
        <v>34</v>
      </c>
      <c r="T704" s="8" t="s">
        <v>40</v>
      </c>
      <c r="U704" s="8" t="s">
        <v>58</v>
      </c>
      <c r="V704" s="8" t="s">
        <v>46</v>
      </c>
      <c r="W704" s="8">
        <v>0</v>
      </c>
    </row>
    <row r="705" spans="1:23" x14ac:dyDescent="0.25">
      <c r="A705" s="4"/>
      <c r="B705" s="4"/>
      <c r="C705" s="4">
        <v>889699</v>
      </c>
      <c r="D705" s="22">
        <v>5193.6899999999996</v>
      </c>
      <c r="E705" s="5">
        <f t="shared" si="10"/>
        <v>0.31000000000040018</v>
      </c>
      <c r="F705" s="9">
        <v>45296</v>
      </c>
      <c r="G705" s="10">
        <v>330587152</v>
      </c>
      <c r="H705" s="9">
        <v>45294</v>
      </c>
      <c r="I705" s="9">
        <v>45309</v>
      </c>
      <c r="J705" s="8">
        <v>5194</v>
      </c>
      <c r="K705" s="8" t="s">
        <v>31</v>
      </c>
      <c r="L705" s="8" t="s">
        <v>32</v>
      </c>
      <c r="M705" s="8"/>
      <c r="N705" s="8" t="b">
        <v>0</v>
      </c>
      <c r="O705" s="10">
        <v>710794</v>
      </c>
      <c r="P705" s="8" t="s">
        <v>164</v>
      </c>
      <c r="Q705" s="8">
        <v>663599</v>
      </c>
      <c r="R705" s="9">
        <v>45291</v>
      </c>
      <c r="S705" s="8" t="s">
        <v>34</v>
      </c>
      <c r="T705" s="8" t="s">
        <v>40</v>
      </c>
      <c r="U705" s="8" t="s">
        <v>58</v>
      </c>
      <c r="V705" s="8" t="s">
        <v>46</v>
      </c>
      <c r="W705" s="8">
        <v>0</v>
      </c>
    </row>
    <row r="706" spans="1:23" x14ac:dyDescent="0.25">
      <c r="A706" s="4"/>
      <c r="B706" s="4"/>
      <c r="C706" s="4">
        <v>889700</v>
      </c>
      <c r="D706" s="22">
        <v>5193.6899999999996</v>
      </c>
      <c r="E706" s="5">
        <f t="shared" si="10"/>
        <v>0.31000000000040018</v>
      </c>
      <c r="F706" s="9">
        <v>45296</v>
      </c>
      <c r="G706" s="10">
        <v>330587151</v>
      </c>
      <c r="H706" s="9">
        <v>45294</v>
      </c>
      <c r="I706" s="9">
        <v>45309</v>
      </c>
      <c r="J706" s="8">
        <v>5194</v>
      </c>
      <c r="K706" s="8" t="s">
        <v>31</v>
      </c>
      <c r="L706" s="8" t="s">
        <v>32</v>
      </c>
      <c r="M706" s="8"/>
      <c r="N706" s="8" t="b">
        <v>0</v>
      </c>
      <c r="O706" s="10">
        <v>710795</v>
      </c>
      <c r="P706" s="8" t="s">
        <v>171</v>
      </c>
      <c r="Q706" s="8">
        <v>663600</v>
      </c>
      <c r="R706" s="9">
        <v>45291</v>
      </c>
      <c r="S706" s="8" t="s">
        <v>34</v>
      </c>
      <c r="T706" s="8" t="s">
        <v>40</v>
      </c>
      <c r="U706" s="8" t="s">
        <v>58</v>
      </c>
      <c r="V706" s="8" t="s">
        <v>46</v>
      </c>
      <c r="W706" s="8">
        <v>0</v>
      </c>
    </row>
    <row r="707" spans="1:23" x14ac:dyDescent="0.25">
      <c r="A707" s="4"/>
      <c r="B707" s="4"/>
      <c r="C707" s="4">
        <v>889701</v>
      </c>
      <c r="D707" s="22">
        <v>5193.6899999999996</v>
      </c>
      <c r="E707" s="5">
        <f t="shared" si="10"/>
        <v>0.31000000000040018</v>
      </c>
      <c r="F707" s="9">
        <v>45296</v>
      </c>
      <c r="G707" s="10">
        <v>330587148</v>
      </c>
      <c r="H707" s="9">
        <v>45294</v>
      </c>
      <c r="I707" s="9">
        <v>45309</v>
      </c>
      <c r="J707" s="8">
        <v>5194</v>
      </c>
      <c r="K707" s="8" t="s">
        <v>31</v>
      </c>
      <c r="L707" s="8" t="s">
        <v>32</v>
      </c>
      <c r="M707" s="8"/>
      <c r="N707" s="8" t="b">
        <v>0</v>
      </c>
      <c r="O707" s="10">
        <v>710797</v>
      </c>
      <c r="P707" s="8" t="s">
        <v>136</v>
      </c>
      <c r="Q707" s="8">
        <v>663602</v>
      </c>
      <c r="R707" s="9">
        <v>45291</v>
      </c>
      <c r="S707" s="8" t="s">
        <v>34</v>
      </c>
      <c r="T707" s="8" t="s">
        <v>40</v>
      </c>
      <c r="U707" s="8" t="s">
        <v>58</v>
      </c>
      <c r="V707" s="8" t="s">
        <v>46</v>
      </c>
      <c r="W707" s="8">
        <v>0</v>
      </c>
    </row>
    <row r="708" spans="1:23" x14ac:dyDescent="0.25">
      <c r="A708" s="4"/>
      <c r="B708" s="4"/>
      <c r="C708" s="4">
        <v>889702</v>
      </c>
      <c r="D708" s="22">
        <v>5193.6899999999996</v>
      </c>
      <c r="E708" s="5">
        <f t="shared" si="10"/>
        <v>0.31000000000040018</v>
      </c>
      <c r="F708" s="9">
        <v>45296</v>
      </c>
      <c r="G708" s="10">
        <v>330587147</v>
      </c>
      <c r="H708" s="9">
        <v>45294</v>
      </c>
      <c r="I708" s="9">
        <v>45309</v>
      </c>
      <c r="J708" s="8">
        <v>5194</v>
      </c>
      <c r="K708" s="8" t="s">
        <v>31</v>
      </c>
      <c r="L708" s="8" t="s">
        <v>32</v>
      </c>
      <c r="M708" s="8"/>
      <c r="N708" s="8" t="b">
        <v>0</v>
      </c>
      <c r="O708" s="10">
        <v>710796</v>
      </c>
      <c r="P708" s="8" t="s">
        <v>137</v>
      </c>
      <c r="Q708" s="8">
        <v>663601</v>
      </c>
      <c r="R708" s="9">
        <v>45291</v>
      </c>
      <c r="S708" s="8" t="s">
        <v>34</v>
      </c>
      <c r="T708" s="8" t="s">
        <v>40</v>
      </c>
      <c r="U708" s="8" t="s">
        <v>58</v>
      </c>
      <c r="V708" s="8" t="s">
        <v>46</v>
      </c>
      <c r="W708" s="8">
        <v>0</v>
      </c>
    </row>
    <row r="709" spans="1:23" x14ac:dyDescent="0.25">
      <c r="A709" s="4"/>
      <c r="B709" s="4"/>
      <c r="C709" s="4">
        <v>889704</v>
      </c>
      <c r="D709" s="22">
        <v>5193.6899999999996</v>
      </c>
      <c r="E709" s="5">
        <f t="shared" si="10"/>
        <v>0.31000000000040018</v>
      </c>
      <c r="F709" s="9">
        <v>45296</v>
      </c>
      <c r="G709" s="10">
        <v>330587140</v>
      </c>
      <c r="H709" s="9">
        <v>45294</v>
      </c>
      <c r="I709" s="9">
        <v>45309</v>
      </c>
      <c r="J709" s="8">
        <v>5194</v>
      </c>
      <c r="K709" s="8" t="s">
        <v>31</v>
      </c>
      <c r="L709" s="8" t="s">
        <v>32</v>
      </c>
      <c r="M709" s="8"/>
      <c r="N709" s="8" t="b">
        <v>0</v>
      </c>
      <c r="O709" s="10">
        <v>710792</v>
      </c>
      <c r="P709" s="8" t="s">
        <v>202</v>
      </c>
      <c r="Q709" s="8">
        <v>663596</v>
      </c>
      <c r="R709" s="9">
        <v>45291</v>
      </c>
      <c r="S709" s="8" t="s">
        <v>34</v>
      </c>
      <c r="T709" s="8" t="s">
        <v>40</v>
      </c>
      <c r="U709" s="8" t="s">
        <v>58</v>
      </c>
      <c r="V709" s="8" t="s">
        <v>46</v>
      </c>
      <c r="W709" s="8">
        <v>0</v>
      </c>
    </row>
    <row r="710" spans="1:23" x14ac:dyDescent="0.25">
      <c r="A710" s="4"/>
      <c r="B710" s="4"/>
      <c r="C710" s="4">
        <v>889705</v>
      </c>
      <c r="D710" s="22">
        <v>5193.6899999999996</v>
      </c>
      <c r="E710" s="5">
        <f t="shared" ref="E710:E773" si="11">J710-D710</f>
        <v>0.31000000000040018</v>
      </c>
      <c r="F710" s="9">
        <v>45296</v>
      </c>
      <c r="G710" s="10">
        <v>330587139</v>
      </c>
      <c r="H710" s="9">
        <v>45294</v>
      </c>
      <c r="I710" s="9">
        <v>45309</v>
      </c>
      <c r="J710" s="8">
        <v>5194</v>
      </c>
      <c r="K710" s="8" t="s">
        <v>31</v>
      </c>
      <c r="L710" s="8" t="s">
        <v>32</v>
      </c>
      <c r="M710" s="8"/>
      <c r="N710" s="8" t="b">
        <v>0</v>
      </c>
      <c r="O710" s="10">
        <v>710793</v>
      </c>
      <c r="P710" s="8" t="s">
        <v>83</v>
      </c>
      <c r="Q710" s="8">
        <v>663597</v>
      </c>
      <c r="R710" s="9">
        <v>45291</v>
      </c>
      <c r="S710" s="8" t="s">
        <v>34</v>
      </c>
      <c r="T710" s="8" t="s">
        <v>40</v>
      </c>
      <c r="U710" s="8" t="s">
        <v>58</v>
      </c>
      <c r="V710" s="8" t="s">
        <v>46</v>
      </c>
      <c r="W710" s="8">
        <v>0</v>
      </c>
    </row>
    <row r="711" spans="1:23" x14ac:dyDescent="0.25">
      <c r="A711" s="4"/>
      <c r="B711" s="4"/>
      <c r="C711" s="4">
        <v>889693</v>
      </c>
      <c r="D711" s="22">
        <v>56711.199999999997</v>
      </c>
      <c r="E711" s="5">
        <f t="shared" si="11"/>
        <v>-5.1999999999970896</v>
      </c>
      <c r="F711" s="9">
        <v>45296</v>
      </c>
      <c r="G711" s="10">
        <v>330647861</v>
      </c>
      <c r="H711" s="9">
        <v>45295</v>
      </c>
      <c r="I711" s="9">
        <v>45310</v>
      </c>
      <c r="J711" s="8">
        <v>56706</v>
      </c>
      <c r="K711" s="8" t="s">
        <v>31</v>
      </c>
      <c r="L711" s="8" t="s">
        <v>32</v>
      </c>
      <c r="M711" s="8"/>
      <c r="N711" s="8" t="b">
        <v>0</v>
      </c>
      <c r="O711" s="10">
        <v>711485</v>
      </c>
      <c r="P711" s="8" t="s">
        <v>367</v>
      </c>
      <c r="Q711" s="8">
        <v>116698</v>
      </c>
      <c r="R711" s="9">
        <v>45295</v>
      </c>
      <c r="S711" s="8" t="s">
        <v>34</v>
      </c>
      <c r="T711" s="8" t="s">
        <v>49</v>
      </c>
      <c r="U711" s="8" t="s">
        <v>75</v>
      </c>
      <c r="V711" s="8" t="s">
        <v>46</v>
      </c>
      <c r="W711" s="8">
        <v>0</v>
      </c>
    </row>
    <row r="712" spans="1:23" x14ac:dyDescent="0.25">
      <c r="A712" s="4"/>
      <c r="B712" s="4"/>
      <c r="C712" s="4">
        <v>889678</v>
      </c>
      <c r="D712" s="22">
        <v>9226.32</v>
      </c>
      <c r="E712" s="5">
        <f t="shared" si="11"/>
        <v>0.68000000000029104</v>
      </c>
      <c r="F712" s="9">
        <v>45296</v>
      </c>
      <c r="G712" s="10">
        <v>330642746</v>
      </c>
      <c r="H712" s="9">
        <v>45295</v>
      </c>
      <c r="I712" s="9">
        <v>45310</v>
      </c>
      <c r="J712" s="8">
        <v>9227</v>
      </c>
      <c r="K712" s="8" t="s">
        <v>31</v>
      </c>
      <c r="L712" s="8" t="s">
        <v>32</v>
      </c>
      <c r="M712" s="8"/>
      <c r="N712" s="8" t="b">
        <v>0</v>
      </c>
      <c r="O712" s="10">
        <v>709988</v>
      </c>
      <c r="P712" s="8" t="s">
        <v>82</v>
      </c>
      <c r="Q712" s="8">
        <v>112188</v>
      </c>
      <c r="R712" s="9">
        <v>45295</v>
      </c>
      <c r="S712" s="8" t="s">
        <v>130</v>
      </c>
      <c r="T712" s="8" t="s">
        <v>40</v>
      </c>
      <c r="U712" s="8" t="s">
        <v>131</v>
      </c>
      <c r="V712" s="8" t="s">
        <v>132</v>
      </c>
      <c r="W712" s="8">
        <v>0</v>
      </c>
    </row>
    <row r="713" spans="1:23" x14ac:dyDescent="0.25">
      <c r="A713" s="4"/>
      <c r="B713" s="4"/>
      <c r="C713" s="4">
        <v>889771</v>
      </c>
      <c r="D713" s="22">
        <v>5159.6400000000003</v>
      </c>
      <c r="E713" s="5">
        <f t="shared" si="11"/>
        <v>0.35999999999967258</v>
      </c>
      <c r="F713" s="9">
        <v>45296</v>
      </c>
      <c r="G713" s="10">
        <v>330642705</v>
      </c>
      <c r="H713" s="9">
        <v>45295</v>
      </c>
      <c r="I713" s="9">
        <v>45310</v>
      </c>
      <c r="J713" s="8">
        <v>5160</v>
      </c>
      <c r="K713" s="8" t="s">
        <v>31</v>
      </c>
      <c r="L713" s="8" t="s">
        <v>32</v>
      </c>
      <c r="M713" s="8"/>
      <c r="N713" s="8" t="b">
        <v>0</v>
      </c>
      <c r="O713" s="10">
        <v>710992</v>
      </c>
      <c r="P713" s="8" t="s">
        <v>270</v>
      </c>
      <c r="Q713" s="8">
        <v>112195</v>
      </c>
      <c r="R713" s="9">
        <v>45295</v>
      </c>
      <c r="S713" s="8" t="s">
        <v>34</v>
      </c>
      <c r="T713" s="8" t="s">
        <v>40</v>
      </c>
      <c r="U713" s="8" t="s">
        <v>58</v>
      </c>
      <c r="V713" s="8" t="s">
        <v>46</v>
      </c>
      <c r="W713" s="8">
        <v>0</v>
      </c>
    </row>
    <row r="714" spans="1:23" x14ac:dyDescent="0.25">
      <c r="A714" s="4"/>
      <c r="B714" s="4"/>
      <c r="C714" s="4">
        <v>889772</v>
      </c>
      <c r="D714" s="22">
        <v>5133.24</v>
      </c>
      <c r="E714" s="5">
        <f t="shared" si="11"/>
        <v>-0.23999999999978172</v>
      </c>
      <c r="F714" s="9">
        <v>45296</v>
      </c>
      <c r="G714" s="10">
        <v>330640376</v>
      </c>
      <c r="H714" s="9">
        <v>45295</v>
      </c>
      <c r="I714" s="9">
        <v>45310</v>
      </c>
      <c r="J714" s="8">
        <v>5133</v>
      </c>
      <c r="K714" s="8" t="s">
        <v>31</v>
      </c>
      <c r="L714" s="8" t="s">
        <v>32</v>
      </c>
      <c r="M714" s="8"/>
      <c r="N714" s="8" t="b">
        <v>0</v>
      </c>
      <c r="O714" s="10">
        <v>709329</v>
      </c>
      <c r="P714" s="8" t="s">
        <v>273</v>
      </c>
      <c r="Q714" s="8">
        <v>109543</v>
      </c>
      <c r="R714" s="9">
        <v>45295</v>
      </c>
      <c r="S714" s="8" t="s">
        <v>34</v>
      </c>
      <c r="T714" s="8" t="s">
        <v>44</v>
      </c>
      <c r="U714" s="8" t="s">
        <v>58</v>
      </c>
      <c r="V714" s="8" t="s">
        <v>46</v>
      </c>
      <c r="W714" s="8">
        <v>0</v>
      </c>
    </row>
    <row r="715" spans="1:23" x14ac:dyDescent="0.25">
      <c r="A715" s="4">
        <v>2</v>
      </c>
      <c r="B715" s="4" t="s">
        <v>343</v>
      </c>
      <c r="C715" s="4"/>
      <c r="D715" s="22"/>
      <c r="E715" s="5">
        <f t="shared" si="11"/>
        <v>5133</v>
      </c>
      <c r="F715" s="44" t="s">
        <v>251</v>
      </c>
      <c r="G715" s="10">
        <v>330640197</v>
      </c>
      <c r="H715" s="9">
        <v>45295</v>
      </c>
      <c r="I715" s="9">
        <v>45310</v>
      </c>
      <c r="J715" s="8">
        <v>5133</v>
      </c>
      <c r="K715" s="8" t="s">
        <v>31</v>
      </c>
      <c r="L715" s="8" t="s">
        <v>32</v>
      </c>
      <c r="M715" s="8"/>
      <c r="N715" s="8" t="b">
        <v>0</v>
      </c>
      <c r="O715" s="10">
        <v>709329</v>
      </c>
      <c r="P715" s="8" t="s">
        <v>303</v>
      </c>
      <c r="Q715" s="8">
        <v>109203</v>
      </c>
      <c r="R715" s="9">
        <v>45295</v>
      </c>
      <c r="S715" s="8" t="s">
        <v>34</v>
      </c>
      <c r="T715" s="8" t="s">
        <v>44</v>
      </c>
      <c r="U715" s="8" t="s">
        <v>58</v>
      </c>
      <c r="V715" s="8" t="s">
        <v>46</v>
      </c>
      <c r="W715" s="8">
        <v>0</v>
      </c>
    </row>
    <row r="716" spans="1:23" x14ac:dyDescent="0.25">
      <c r="A716" s="4"/>
      <c r="B716" s="4"/>
      <c r="C716" s="4">
        <v>889774</v>
      </c>
      <c r="D716" s="22">
        <v>5159.6400000000003</v>
      </c>
      <c r="E716" s="5">
        <f t="shared" si="11"/>
        <v>0.35999999999967258</v>
      </c>
      <c r="F716" s="9">
        <v>45296</v>
      </c>
      <c r="G716" s="10">
        <v>330640156</v>
      </c>
      <c r="H716" s="9">
        <v>45295</v>
      </c>
      <c r="I716" s="9">
        <v>45310</v>
      </c>
      <c r="J716" s="8">
        <v>5160</v>
      </c>
      <c r="K716" s="8" t="s">
        <v>31</v>
      </c>
      <c r="L716" s="8" t="s">
        <v>32</v>
      </c>
      <c r="M716" s="8"/>
      <c r="N716" s="8" t="b">
        <v>0</v>
      </c>
      <c r="O716" s="10">
        <v>710991</v>
      </c>
      <c r="P716" s="8" t="s">
        <v>114</v>
      </c>
      <c r="Q716" s="8">
        <v>109187</v>
      </c>
      <c r="R716" s="9">
        <v>45295</v>
      </c>
      <c r="S716" s="8" t="s">
        <v>34</v>
      </c>
      <c r="T716" s="8" t="s">
        <v>40</v>
      </c>
      <c r="U716" s="8" t="s">
        <v>58</v>
      </c>
      <c r="V716" s="8" t="s">
        <v>46</v>
      </c>
      <c r="W716" s="8">
        <v>0</v>
      </c>
    </row>
    <row r="717" spans="1:23" x14ac:dyDescent="0.25">
      <c r="A717" s="4"/>
      <c r="B717" s="4"/>
      <c r="C717" s="4">
        <v>889775</v>
      </c>
      <c r="D717" s="22">
        <v>5133.24</v>
      </c>
      <c r="E717" s="5">
        <f t="shared" si="11"/>
        <v>-0.23999999999978172</v>
      </c>
      <c r="F717" s="9">
        <v>45296</v>
      </c>
      <c r="G717" s="10">
        <v>330639935</v>
      </c>
      <c r="H717" s="9">
        <v>45295</v>
      </c>
      <c r="I717" s="9">
        <v>45310</v>
      </c>
      <c r="J717" s="8">
        <v>5133</v>
      </c>
      <c r="K717" s="8" t="s">
        <v>31</v>
      </c>
      <c r="L717" s="8" t="s">
        <v>32</v>
      </c>
      <c r="M717" s="8"/>
      <c r="N717" s="8" t="b">
        <v>0</v>
      </c>
      <c r="O717" s="10">
        <v>711333</v>
      </c>
      <c r="P717" s="8" t="s">
        <v>264</v>
      </c>
      <c r="Q717" s="8">
        <v>108603</v>
      </c>
      <c r="R717" s="9">
        <v>45295</v>
      </c>
      <c r="S717" s="8" t="s">
        <v>34</v>
      </c>
      <c r="T717" s="8" t="s">
        <v>44</v>
      </c>
      <c r="U717" s="8" t="s">
        <v>58</v>
      </c>
      <c r="V717" s="8" t="s">
        <v>46</v>
      </c>
      <c r="W717" s="8">
        <v>0</v>
      </c>
    </row>
    <row r="718" spans="1:23" x14ac:dyDescent="0.25">
      <c r="A718" s="4"/>
      <c r="B718" s="4"/>
      <c r="C718" s="4">
        <v>889566</v>
      </c>
      <c r="D718" s="22">
        <v>5135.4399999999996</v>
      </c>
      <c r="E718" s="5">
        <f t="shared" si="11"/>
        <v>-0.43999999999959982</v>
      </c>
      <c r="F718" s="9">
        <v>45296</v>
      </c>
      <c r="G718" s="10">
        <v>330639911</v>
      </c>
      <c r="H718" s="9">
        <v>45295</v>
      </c>
      <c r="I718" s="9">
        <v>45310</v>
      </c>
      <c r="J718" s="8">
        <v>5135</v>
      </c>
      <c r="K718" s="8" t="s">
        <v>31</v>
      </c>
      <c r="L718" s="8" t="s">
        <v>32</v>
      </c>
      <c r="M718" s="8"/>
      <c r="N718" s="8" t="b">
        <v>0</v>
      </c>
      <c r="O718" s="10">
        <v>702417</v>
      </c>
      <c r="P718" s="8" t="s">
        <v>275</v>
      </c>
      <c r="Q718" s="8">
        <v>108527</v>
      </c>
      <c r="R718" s="9">
        <v>45295</v>
      </c>
      <c r="S718" s="8" t="s">
        <v>180</v>
      </c>
      <c r="T718" s="8" t="s">
        <v>44</v>
      </c>
      <c r="U718" s="8" t="s">
        <v>45</v>
      </c>
      <c r="V718" s="8" t="s">
        <v>46</v>
      </c>
      <c r="W718" s="8">
        <v>0</v>
      </c>
    </row>
    <row r="719" spans="1:23" x14ac:dyDescent="0.25">
      <c r="A719" s="4"/>
      <c r="B719" s="4"/>
      <c r="C719" s="4">
        <v>889776</v>
      </c>
      <c r="D719" s="22">
        <v>5133.24</v>
      </c>
      <c r="E719" s="5">
        <f t="shared" si="11"/>
        <v>-0.23999999999978172</v>
      </c>
      <c r="F719" s="9">
        <v>45296</v>
      </c>
      <c r="G719" s="10">
        <v>330639910</v>
      </c>
      <c r="H719" s="9">
        <v>45295</v>
      </c>
      <c r="I719" s="9">
        <v>45310</v>
      </c>
      <c r="J719" s="8">
        <v>5133</v>
      </c>
      <c r="K719" s="8" t="s">
        <v>31</v>
      </c>
      <c r="L719" s="8" t="s">
        <v>32</v>
      </c>
      <c r="M719" s="8"/>
      <c r="N719" s="8" t="b">
        <v>0</v>
      </c>
      <c r="O719" s="10">
        <v>710524</v>
      </c>
      <c r="P719" s="8" t="s">
        <v>43</v>
      </c>
      <c r="Q719" s="8">
        <v>108496</v>
      </c>
      <c r="R719" s="9">
        <v>45295</v>
      </c>
      <c r="S719" s="8" t="s">
        <v>34</v>
      </c>
      <c r="T719" s="8" t="s">
        <v>44</v>
      </c>
      <c r="U719" s="8" t="s">
        <v>58</v>
      </c>
      <c r="V719" s="8" t="s">
        <v>46</v>
      </c>
      <c r="W719" s="8">
        <v>0</v>
      </c>
    </row>
    <row r="720" spans="1:23" x14ac:dyDescent="0.25">
      <c r="A720" s="4"/>
      <c r="B720" s="4"/>
      <c r="C720" s="4">
        <v>889563</v>
      </c>
      <c r="D720" s="22">
        <v>65436</v>
      </c>
      <c r="E720" s="5">
        <f t="shared" si="11"/>
        <v>-6</v>
      </c>
      <c r="F720" s="9">
        <v>45296</v>
      </c>
      <c r="G720" s="10">
        <v>330639665</v>
      </c>
      <c r="H720" s="9">
        <v>45295</v>
      </c>
      <c r="I720" s="9">
        <v>45310</v>
      </c>
      <c r="J720" s="8">
        <v>65430</v>
      </c>
      <c r="K720" s="8" t="s">
        <v>31</v>
      </c>
      <c r="L720" s="8" t="s">
        <v>32</v>
      </c>
      <c r="M720" s="8"/>
      <c r="N720" s="8" t="b">
        <v>0</v>
      </c>
      <c r="O720" s="10">
        <v>711316</v>
      </c>
      <c r="P720" s="8" t="s">
        <v>205</v>
      </c>
      <c r="Q720" s="8">
        <v>107398</v>
      </c>
      <c r="R720" s="9">
        <v>45295</v>
      </c>
      <c r="S720" s="8" t="s">
        <v>34</v>
      </c>
      <c r="T720" s="8" t="s">
        <v>49</v>
      </c>
      <c r="U720" s="8" t="s">
        <v>75</v>
      </c>
      <c r="V720" s="8" t="s">
        <v>46</v>
      </c>
      <c r="W720" s="8">
        <v>0</v>
      </c>
    </row>
    <row r="721" spans="1:23" x14ac:dyDescent="0.25">
      <c r="A721" s="4"/>
      <c r="B721" s="4"/>
      <c r="C721" s="4">
        <v>889777</v>
      </c>
      <c r="D721" s="22">
        <v>5159.6400000000003</v>
      </c>
      <c r="E721" s="5">
        <f t="shared" si="11"/>
        <v>0.35999999999967258</v>
      </c>
      <c r="F721" s="9">
        <v>45296</v>
      </c>
      <c r="G721" s="10">
        <v>330639110</v>
      </c>
      <c r="H721" s="9">
        <v>45295</v>
      </c>
      <c r="I721" s="9">
        <v>45310</v>
      </c>
      <c r="J721" s="8">
        <v>5160</v>
      </c>
      <c r="K721" s="8" t="s">
        <v>31</v>
      </c>
      <c r="L721" s="8" t="s">
        <v>32</v>
      </c>
      <c r="M721" s="8"/>
      <c r="N721" s="8" t="b">
        <v>0</v>
      </c>
      <c r="O721" s="10">
        <v>710988</v>
      </c>
      <c r="P721" s="8" t="s">
        <v>38</v>
      </c>
      <c r="Q721" s="8">
        <v>106837</v>
      </c>
      <c r="R721" s="9">
        <v>45295</v>
      </c>
      <c r="S721" s="8" t="s">
        <v>34</v>
      </c>
      <c r="T721" s="8" t="s">
        <v>40</v>
      </c>
      <c r="U721" s="8" t="s">
        <v>58</v>
      </c>
      <c r="V721" s="8" t="s">
        <v>46</v>
      </c>
      <c r="W721" s="8">
        <v>0</v>
      </c>
    </row>
    <row r="722" spans="1:23" x14ac:dyDescent="0.25">
      <c r="A722" s="4"/>
      <c r="B722" s="4"/>
      <c r="C722" s="4">
        <v>889778</v>
      </c>
      <c r="D722" s="22">
        <v>5159.6400000000003</v>
      </c>
      <c r="E722" s="5">
        <f t="shared" si="11"/>
        <v>0.35999999999967258</v>
      </c>
      <c r="F722" s="9">
        <v>45296</v>
      </c>
      <c r="G722" s="10">
        <v>330639088</v>
      </c>
      <c r="H722" s="9">
        <v>45295</v>
      </c>
      <c r="I722" s="9">
        <v>45310</v>
      </c>
      <c r="J722" s="8">
        <v>5160</v>
      </c>
      <c r="K722" s="8" t="s">
        <v>31</v>
      </c>
      <c r="L722" s="8" t="s">
        <v>32</v>
      </c>
      <c r="M722" s="8"/>
      <c r="N722" s="8" t="b">
        <v>0</v>
      </c>
      <c r="O722" s="10">
        <v>710989</v>
      </c>
      <c r="P722" s="8" t="s">
        <v>219</v>
      </c>
      <c r="Q722" s="8">
        <v>106846</v>
      </c>
      <c r="R722" s="9">
        <v>45295</v>
      </c>
      <c r="S722" s="8" t="s">
        <v>34</v>
      </c>
      <c r="T722" s="8" t="s">
        <v>40</v>
      </c>
      <c r="U722" s="8" t="s">
        <v>58</v>
      </c>
      <c r="V722" s="8" t="s">
        <v>46</v>
      </c>
      <c r="W722" s="8">
        <v>0</v>
      </c>
    </row>
    <row r="723" spans="1:23" x14ac:dyDescent="0.25">
      <c r="A723" s="4"/>
      <c r="B723" s="4"/>
      <c r="C723" s="4">
        <v>889779</v>
      </c>
      <c r="D723" s="22">
        <v>5159.6400000000003</v>
      </c>
      <c r="E723" s="5">
        <f t="shared" si="11"/>
        <v>0.35999999999967258</v>
      </c>
      <c r="F723" s="9">
        <v>45296</v>
      </c>
      <c r="G723" s="10">
        <v>330639065</v>
      </c>
      <c r="H723" s="9">
        <v>45295</v>
      </c>
      <c r="I723" s="9">
        <v>45310</v>
      </c>
      <c r="J723" s="8">
        <v>5160</v>
      </c>
      <c r="K723" s="8" t="s">
        <v>31</v>
      </c>
      <c r="L723" s="8" t="s">
        <v>32</v>
      </c>
      <c r="M723" s="8"/>
      <c r="N723" s="8" t="b">
        <v>0</v>
      </c>
      <c r="O723" s="10">
        <v>710987</v>
      </c>
      <c r="P723" s="8" t="s">
        <v>216</v>
      </c>
      <c r="Q723" s="8">
        <v>106829</v>
      </c>
      <c r="R723" s="9">
        <v>45295</v>
      </c>
      <c r="S723" s="8" t="s">
        <v>34</v>
      </c>
      <c r="T723" s="8" t="s">
        <v>40</v>
      </c>
      <c r="U723" s="8" t="s">
        <v>58</v>
      </c>
      <c r="V723" s="8" t="s">
        <v>46</v>
      </c>
      <c r="W723" s="8">
        <v>0</v>
      </c>
    </row>
    <row r="724" spans="1:23" x14ac:dyDescent="0.25">
      <c r="A724" s="4"/>
      <c r="B724" s="4"/>
      <c r="C724" s="4">
        <v>889780</v>
      </c>
      <c r="D724" s="22">
        <v>5159.6400000000003</v>
      </c>
      <c r="E724" s="5">
        <f t="shared" si="11"/>
        <v>0.35999999999967258</v>
      </c>
      <c r="F724" s="9">
        <v>45296</v>
      </c>
      <c r="G724" s="10">
        <v>330639062</v>
      </c>
      <c r="H724" s="9">
        <v>45295</v>
      </c>
      <c r="I724" s="9">
        <v>45310</v>
      </c>
      <c r="J724" s="8">
        <v>5160</v>
      </c>
      <c r="K724" s="8" t="s">
        <v>31</v>
      </c>
      <c r="L724" s="8" t="s">
        <v>32</v>
      </c>
      <c r="M724" s="8"/>
      <c r="N724" s="8" t="b">
        <v>0</v>
      </c>
      <c r="O724" s="10">
        <v>710990</v>
      </c>
      <c r="P724" s="8" t="s">
        <v>86</v>
      </c>
      <c r="Q724" s="8">
        <v>106852</v>
      </c>
      <c r="R724" s="9">
        <v>45295</v>
      </c>
      <c r="S724" s="8" t="s">
        <v>34</v>
      </c>
      <c r="T724" s="8" t="s">
        <v>40</v>
      </c>
      <c r="U724" s="8" t="s">
        <v>58</v>
      </c>
      <c r="V724" s="8" t="s">
        <v>46</v>
      </c>
      <c r="W724" s="8">
        <v>0</v>
      </c>
    </row>
    <row r="725" spans="1:23" x14ac:dyDescent="0.25">
      <c r="A725" s="4"/>
      <c r="B725" s="4"/>
      <c r="C725" s="4">
        <v>890430</v>
      </c>
      <c r="D725" s="22">
        <v>7951.32</v>
      </c>
      <c r="E725" s="5">
        <f t="shared" si="11"/>
        <v>-0.31999999999970896</v>
      </c>
      <c r="F725" s="9">
        <v>45308</v>
      </c>
      <c r="G725" s="10">
        <v>330665357</v>
      </c>
      <c r="H725" s="9">
        <v>45296</v>
      </c>
      <c r="I725" s="9">
        <v>45311</v>
      </c>
      <c r="J725" s="8">
        <v>7951</v>
      </c>
      <c r="K725" s="8" t="s">
        <v>31</v>
      </c>
      <c r="L725" s="8" t="s">
        <v>32</v>
      </c>
      <c r="M725" s="8"/>
      <c r="N725" s="8" t="b">
        <v>0</v>
      </c>
      <c r="O725" s="10">
        <v>710975</v>
      </c>
      <c r="P725" s="8" t="s">
        <v>221</v>
      </c>
      <c r="Q725" s="8">
        <v>128422</v>
      </c>
      <c r="R725" s="9">
        <v>45296</v>
      </c>
      <c r="S725" s="8" t="s">
        <v>34</v>
      </c>
      <c r="T725" s="8" t="s">
        <v>40</v>
      </c>
      <c r="U725" s="8" t="s">
        <v>88</v>
      </c>
      <c r="V725" s="8" t="s">
        <v>72</v>
      </c>
      <c r="W725" s="8">
        <v>0</v>
      </c>
    </row>
    <row r="726" spans="1:23" x14ac:dyDescent="0.25">
      <c r="A726" s="4"/>
      <c r="B726" s="4"/>
      <c r="C726" s="4">
        <v>890433</v>
      </c>
      <c r="D726" s="22">
        <v>7951.32</v>
      </c>
      <c r="E726" s="5">
        <f t="shared" si="11"/>
        <v>-0.31999999999970896</v>
      </c>
      <c r="F726" s="9">
        <v>45308</v>
      </c>
      <c r="G726" s="10">
        <v>330665307</v>
      </c>
      <c r="H726" s="9">
        <v>45296</v>
      </c>
      <c r="I726" s="9">
        <v>45311</v>
      </c>
      <c r="J726" s="8">
        <v>7951</v>
      </c>
      <c r="K726" s="8" t="s">
        <v>31</v>
      </c>
      <c r="L726" s="8" t="s">
        <v>32</v>
      </c>
      <c r="M726" s="8"/>
      <c r="N726" s="8" t="b">
        <v>0</v>
      </c>
      <c r="O726" s="10">
        <v>710976</v>
      </c>
      <c r="P726" s="8" t="s">
        <v>196</v>
      </c>
      <c r="Q726" s="8">
        <v>128428</v>
      </c>
      <c r="R726" s="9">
        <v>45296</v>
      </c>
      <c r="S726" s="8" t="s">
        <v>34</v>
      </c>
      <c r="T726" s="8" t="s">
        <v>40</v>
      </c>
      <c r="U726" s="8" t="s">
        <v>88</v>
      </c>
      <c r="V726" s="8" t="s">
        <v>72</v>
      </c>
      <c r="W726" s="8">
        <v>0</v>
      </c>
    </row>
    <row r="727" spans="1:23" x14ac:dyDescent="0.25">
      <c r="A727" s="4"/>
      <c r="B727" s="4"/>
      <c r="C727" s="4">
        <v>890436</v>
      </c>
      <c r="D727" s="22">
        <v>7951.32</v>
      </c>
      <c r="E727" s="5">
        <f t="shared" si="11"/>
        <v>-0.31999999999970896</v>
      </c>
      <c r="F727" s="9">
        <v>45308</v>
      </c>
      <c r="G727" s="10">
        <v>330665287</v>
      </c>
      <c r="H727" s="9">
        <v>45296</v>
      </c>
      <c r="I727" s="9">
        <v>45311</v>
      </c>
      <c r="J727" s="8">
        <v>7951</v>
      </c>
      <c r="K727" s="8" t="s">
        <v>31</v>
      </c>
      <c r="L727" s="8" t="s">
        <v>32</v>
      </c>
      <c r="M727" s="8"/>
      <c r="N727" s="8" t="b">
        <v>0</v>
      </c>
      <c r="O727" s="10">
        <v>710977</v>
      </c>
      <c r="P727" s="8" t="s">
        <v>211</v>
      </c>
      <c r="Q727" s="8">
        <v>128435</v>
      </c>
      <c r="R727" s="9">
        <v>45296</v>
      </c>
      <c r="S727" s="8" t="s">
        <v>34</v>
      </c>
      <c r="T727" s="8" t="s">
        <v>40</v>
      </c>
      <c r="U727" s="8" t="s">
        <v>88</v>
      </c>
      <c r="V727" s="8" t="s">
        <v>72</v>
      </c>
      <c r="W727" s="8">
        <v>0</v>
      </c>
    </row>
    <row r="728" spans="1:23" x14ac:dyDescent="0.25">
      <c r="A728" s="4"/>
      <c r="B728" s="4"/>
      <c r="C728" s="4">
        <v>890438</v>
      </c>
      <c r="D728" s="22">
        <v>7951.32</v>
      </c>
      <c r="E728" s="5">
        <f t="shared" si="11"/>
        <v>-0.31999999999970896</v>
      </c>
      <c r="F728" s="9">
        <v>45308</v>
      </c>
      <c r="G728" s="10">
        <v>330662032</v>
      </c>
      <c r="H728" s="9">
        <v>45296</v>
      </c>
      <c r="I728" s="9">
        <v>45311</v>
      </c>
      <c r="J728" s="8">
        <v>7951</v>
      </c>
      <c r="K728" s="8" t="s">
        <v>31</v>
      </c>
      <c r="L728" s="8" t="s">
        <v>32</v>
      </c>
      <c r="M728" s="8"/>
      <c r="N728" s="8" t="b">
        <v>0</v>
      </c>
      <c r="O728" s="10">
        <v>710974</v>
      </c>
      <c r="P728" s="8" t="s">
        <v>101</v>
      </c>
      <c r="Q728" s="8">
        <v>125763</v>
      </c>
      <c r="R728" s="9">
        <v>45296</v>
      </c>
      <c r="S728" s="8" t="s">
        <v>34</v>
      </c>
      <c r="T728" s="8" t="s">
        <v>40</v>
      </c>
      <c r="U728" s="8" t="s">
        <v>88</v>
      </c>
      <c r="V728" s="8" t="s">
        <v>72</v>
      </c>
      <c r="W728" s="8">
        <v>0</v>
      </c>
    </row>
    <row r="729" spans="1:23" x14ac:dyDescent="0.25">
      <c r="A729" s="4"/>
      <c r="B729" s="4"/>
      <c r="C729" s="4">
        <v>890440</v>
      </c>
      <c r="D729" s="22">
        <v>5133.24</v>
      </c>
      <c r="E729" s="5">
        <f t="shared" si="11"/>
        <v>-0.23999999999978172</v>
      </c>
      <c r="F729" s="9">
        <v>45308</v>
      </c>
      <c r="G729" s="10">
        <v>330662017</v>
      </c>
      <c r="H729" s="9">
        <v>45296</v>
      </c>
      <c r="I729" s="9">
        <v>45311</v>
      </c>
      <c r="J729" s="8">
        <v>5133</v>
      </c>
      <c r="K729" s="8" t="s">
        <v>31</v>
      </c>
      <c r="L729" s="8" t="s">
        <v>32</v>
      </c>
      <c r="M729" s="8"/>
      <c r="N729" s="8" t="b">
        <v>0</v>
      </c>
      <c r="O729" s="10">
        <v>709330</v>
      </c>
      <c r="P729" s="8" t="s">
        <v>166</v>
      </c>
      <c r="Q729" s="8">
        <v>125743</v>
      </c>
      <c r="R729" s="9">
        <v>45296</v>
      </c>
      <c r="S729" s="8" t="s">
        <v>34</v>
      </c>
      <c r="T729" s="8" t="s">
        <v>44</v>
      </c>
      <c r="U729" s="8" t="s">
        <v>58</v>
      </c>
      <c r="V729" s="8" t="s">
        <v>46</v>
      </c>
      <c r="W729" s="8">
        <v>0</v>
      </c>
    </row>
    <row r="730" spans="1:23" x14ac:dyDescent="0.25">
      <c r="A730" s="4"/>
      <c r="B730" s="4"/>
      <c r="C730" s="4">
        <v>890442</v>
      </c>
      <c r="D730" s="22">
        <v>7951.32</v>
      </c>
      <c r="E730" s="5">
        <f t="shared" si="11"/>
        <v>-0.31999999999970896</v>
      </c>
      <c r="F730" s="9">
        <v>45308</v>
      </c>
      <c r="G730" s="10">
        <v>330651055</v>
      </c>
      <c r="H730" s="9">
        <v>45296</v>
      </c>
      <c r="I730" s="9">
        <v>45311</v>
      </c>
      <c r="J730" s="8">
        <v>7951</v>
      </c>
      <c r="K730" s="8" t="s">
        <v>31</v>
      </c>
      <c r="L730" s="8" t="s">
        <v>32</v>
      </c>
      <c r="M730" s="8"/>
      <c r="N730" s="8" t="b">
        <v>0</v>
      </c>
      <c r="O730" s="10">
        <v>710970</v>
      </c>
      <c r="P730" s="8" t="s">
        <v>77</v>
      </c>
      <c r="Q730" s="8">
        <v>118795</v>
      </c>
      <c r="R730" s="9">
        <v>45295</v>
      </c>
      <c r="S730" s="8" t="s">
        <v>34</v>
      </c>
      <c r="T730" s="8" t="s">
        <v>40</v>
      </c>
      <c r="U730" s="8" t="s">
        <v>88</v>
      </c>
      <c r="V730" s="8" t="s">
        <v>72</v>
      </c>
      <c r="W730" s="8">
        <v>0</v>
      </c>
    </row>
    <row r="731" spans="1:23" x14ac:dyDescent="0.25">
      <c r="A731" s="4"/>
      <c r="B731" s="4"/>
      <c r="C731" s="4">
        <v>890445</v>
      </c>
      <c r="D731" s="22">
        <v>7951.32</v>
      </c>
      <c r="E731" s="5">
        <f t="shared" si="11"/>
        <v>-0.31999999999970896</v>
      </c>
      <c r="F731" s="9">
        <v>45308</v>
      </c>
      <c r="G731" s="10">
        <v>330651054</v>
      </c>
      <c r="H731" s="9">
        <v>45296</v>
      </c>
      <c r="I731" s="9">
        <v>45311</v>
      </c>
      <c r="J731" s="8">
        <v>7951</v>
      </c>
      <c r="K731" s="8" t="s">
        <v>31</v>
      </c>
      <c r="L731" s="8" t="s">
        <v>32</v>
      </c>
      <c r="M731" s="8"/>
      <c r="N731" s="8" t="b">
        <v>0</v>
      </c>
      <c r="O731" s="10">
        <v>710972</v>
      </c>
      <c r="P731" s="8" t="s">
        <v>271</v>
      </c>
      <c r="Q731" s="8">
        <v>118809</v>
      </c>
      <c r="R731" s="9">
        <v>45295</v>
      </c>
      <c r="S731" s="8" t="s">
        <v>34</v>
      </c>
      <c r="T731" s="8" t="s">
        <v>40</v>
      </c>
      <c r="U731" s="8" t="s">
        <v>88</v>
      </c>
      <c r="V731" s="8" t="s">
        <v>72</v>
      </c>
      <c r="W731" s="8">
        <v>0</v>
      </c>
    </row>
    <row r="732" spans="1:23" x14ac:dyDescent="0.25">
      <c r="A732" s="4"/>
      <c r="B732" s="4"/>
      <c r="C732" s="4">
        <v>890447</v>
      </c>
      <c r="D732" s="22">
        <v>7951.32</v>
      </c>
      <c r="E732" s="5">
        <f t="shared" si="11"/>
        <v>-0.31999999999970896</v>
      </c>
      <c r="F732" s="9">
        <v>45308</v>
      </c>
      <c r="G732" s="10">
        <v>330651029</v>
      </c>
      <c r="H732" s="9">
        <v>45296</v>
      </c>
      <c r="I732" s="9">
        <v>45311</v>
      </c>
      <c r="J732" s="8">
        <v>7951</v>
      </c>
      <c r="K732" s="8" t="s">
        <v>31</v>
      </c>
      <c r="L732" s="8" t="s">
        <v>32</v>
      </c>
      <c r="M732" s="8"/>
      <c r="N732" s="8" t="b">
        <v>0</v>
      </c>
      <c r="O732" s="10">
        <v>710973</v>
      </c>
      <c r="P732" s="8" t="s">
        <v>172</v>
      </c>
      <c r="Q732" s="8">
        <v>118822</v>
      </c>
      <c r="R732" s="9">
        <v>45295</v>
      </c>
      <c r="S732" s="8" t="s">
        <v>34</v>
      </c>
      <c r="T732" s="8" t="s">
        <v>40</v>
      </c>
      <c r="U732" s="8" t="s">
        <v>88</v>
      </c>
      <c r="V732" s="8" t="s">
        <v>72</v>
      </c>
      <c r="W732" s="8">
        <v>0</v>
      </c>
    </row>
    <row r="733" spans="1:23" x14ac:dyDescent="0.25">
      <c r="A733" s="4"/>
      <c r="B733" s="4"/>
      <c r="C733" s="4">
        <v>890449</v>
      </c>
      <c r="D733" s="22">
        <v>7951.32</v>
      </c>
      <c r="E733" s="5">
        <f t="shared" si="11"/>
        <v>-0.31999999999970896</v>
      </c>
      <c r="F733" s="9">
        <v>45308</v>
      </c>
      <c r="G733" s="10">
        <v>330651028</v>
      </c>
      <c r="H733" s="9">
        <v>45296</v>
      </c>
      <c r="I733" s="9">
        <v>45311</v>
      </c>
      <c r="J733" s="8">
        <v>7951</v>
      </c>
      <c r="K733" s="8" t="s">
        <v>31</v>
      </c>
      <c r="L733" s="8" t="s">
        <v>32</v>
      </c>
      <c r="M733" s="8"/>
      <c r="N733" s="8" t="b">
        <v>0</v>
      </c>
      <c r="O733" s="10">
        <v>710971</v>
      </c>
      <c r="P733" s="8" t="s">
        <v>176</v>
      </c>
      <c r="Q733" s="8">
        <v>118797</v>
      </c>
      <c r="R733" s="9">
        <v>45295</v>
      </c>
      <c r="S733" s="8" t="s">
        <v>34</v>
      </c>
      <c r="T733" s="8" t="s">
        <v>40</v>
      </c>
      <c r="U733" s="8" t="s">
        <v>88</v>
      </c>
      <c r="V733" s="8" t="s">
        <v>72</v>
      </c>
      <c r="W733" s="8">
        <v>0</v>
      </c>
    </row>
    <row r="734" spans="1:23" x14ac:dyDescent="0.25">
      <c r="A734" s="4"/>
      <c r="B734" s="4"/>
      <c r="C734" s="4">
        <v>889978</v>
      </c>
      <c r="D734" s="22">
        <v>7951.32</v>
      </c>
      <c r="E734" s="5">
        <f t="shared" si="11"/>
        <v>-0.31999999999970896</v>
      </c>
      <c r="F734" s="9">
        <v>45308</v>
      </c>
      <c r="G734" s="10">
        <v>330706719</v>
      </c>
      <c r="H734" s="9">
        <v>45299</v>
      </c>
      <c r="I734" s="9">
        <v>45314</v>
      </c>
      <c r="J734" s="8">
        <v>7951</v>
      </c>
      <c r="K734" s="8" t="s">
        <v>31</v>
      </c>
      <c r="L734" s="8" t="s">
        <v>32</v>
      </c>
      <c r="M734" s="8"/>
      <c r="N734" s="8" t="b">
        <v>0</v>
      </c>
      <c r="O734" s="10">
        <v>711889</v>
      </c>
      <c r="P734" s="8" t="s">
        <v>217</v>
      </c>
      <c r="Q734" s="8">
        <v>132598</v>
      </c>
      <c r="R734" s="9">
        <v>45299</v>
      </c>
      <c r="S734" s="8" t="s">
        <v>34</v>
      </c>
      <c r="T734" s="8" t="s">
        <v>40</v>
      </c>
      <c r="U734" s="8" t="s">
        <v>88</v>
      </c>
      <c r="V734" s="8" t="s">
        <v>72</v>
      </c>
      <c r="W734" s="8">
        <v>0</v>
      </c>
    </row>
    <row r="735" spans="1:23" x14ac:dyDescent="0.25">
      <c r="A735" s="4"/>
      <c r="B735" s="4"/>
      <c r="C735" s="4">
        <v>889976</v>
      </c>
      <c r="D735" s="22">
        <v>5028</v>
      </c>
      <c r="E735" s="5">
        <f t="shared" si="11"/>
        <v>0</v>
      </c>
      <c r="F735" s="9">
        <v>45308</v>
      </c>
      <c r="G735" s="10">
        <v>330704568</v>
      </c>
      <c r="H735" s="9">
        <v>45299</v>
      </c>
      <c r="I735" s="9">
        <v>45314</v>
      </c>
      <c r="J735" s="8">
        <v>5028</v>
      </c>
      <c r="K735" s="8" t="s">
        <v>31</v>
      </c>
      <c r="L735" s="8" t="s">
        <v>32</v>
      </c>
      <c r="M735" s="8"/>
      <c r="N735" s="8" t="b">
        <v>0</v>
      </c>
      <c r="O735" s="10">
        <v>711888</v>
      </c>
      <c r="P735" s="8" t="s">
        <v>230</v>
      </c>
      <c r="Q735" s="8">
        <v>129859</v>
      </c>
      <c r="R735" s="9">
        <v>45299</v>
      </c>
      <c r="S735" s="8" t="s">
        <v>34</v>
      </c>
      <c r="T735" s="8" t="s">
        <v>40</v>
      </c>
      <c r="U735" s="8" t="s">
        <v>84</v>
      </c>
      <c r="V735" s="8" t="s">
        <v>46</v>
      </c>
      <c r="W735" s="8">
        <v>0</v>
      </c>
    </row>
    <row r="736" spans="1:23" x14ac:dyDescent="0.25">
      <c r="A736" s="4"/>
      <c r="B736" s="4"/>
      <c r="C736" s="4">
        <v>889972</v>
      </c>
      <c r="D736" s="22">
        <v>5028</v>
      </c>
      <c r="E736" s="5">
        <f t="shared" si="11"/>
        <v>0</v>
      </c>
      <c r="F736" s="9">
        <v>45308</v>
      </c>
      <c r="G736" s="10">
        <v>330703277</v>
      </c>
      <c r="H736" s="9">
        <v>45299</v>
      </c>
      <c r="I736" s="9">
        <v>45314</v>
      </c>
      <c r="J736" s="8">
        <v>5028</v>
      </c>
      <c r="K736" s="8" t="s">
        <v>31</v>
      </c>
      <c r="L736" s="8" t="s">
        <v>32</v>
      </c>
      <c r="M736" s="8"/>
      <c r="N736" s="8" t="b">
        <v>0</v>
      </c>
      <c r="O736" s="10">
        <v>711886</v>
      </c>
      <c r="P736" s="8" t="s">
        <v>140</v>
      </c>
      <c r="Q736" s="8">
        <v>128707</v>
      </c>
      <c r="R736" s="9">
        <v>45299</v>
      </c>
      <c r="S736" s="8" t="s">
        <v>34</v>
      </c>
      <c r="T736" s="8" t="s">
        <v>40</v>
      </c>
      <c r="U736" s="8" t="s">
        <v>84</v>
      </c>
      <c r="V736" s="8" t="s">
        <v>46</v>
      </c>
      <c r="W736" s="8">
        <v>0</v>
      </c>
    </row>
    <row r="737" spans="1:24" x14ac:dyDescent="0.25">
      <c r="A737" s="4"/>
      <c r="B737" s="4"/>
      <c r="C737" s="4">
        <v>889974</v>
      </c>
      <c r="D737" s="22">
        <v>5028</v>
      </c>
      <c r="E737" s="5">
        <f t="shared" si="11"/>
        <v>0</v>
      </c>
      <c r="F737" s="9">
        <v>45308</v>
      </c>
      <c r="G737" s="10">
        <v>330703218</v>
      </c>
      <c r="H737" s="9">
        <v>45299</v>
      </c>
      <c r="I737" s="9">
        <v>45314</v>
      </c>
      <c r="J737" s="8">
        <v>5028</v>
      </c>
      <c r="K737" s="8" t="s">
        <v>31</v>
      </c>
      <c r="L737" s="8" t="s">
        <v>32</v>
      </c>
      <c r="M737" s="8"/>
      <c r="N737" s="8" t="b">
        <v>0</v>
      </c>
      <c r="O737" s="10">
        <v>711887</v>
      </c>
      <c r="P737" s="8" t="s">
        <v>173</v>
      </c>
      <c r="Q737" s="8">
        <v>128712</v>
      </c>
      <c r="R737" s="9">
        <v>45299</v>
      </c>
      <c r="S737" s="8" t="s">
        <v>34</v>
      </c>
      <c r="T737" s="8" t="s">
        <v>40</v>
      </c>
      <c r="U737" s="8" t="s">
        <v>84</v>
      </c>
      <c r="V737" s="8" t="s">
        <v>46</v>
      </c>
      <c r="W737" s="8">
        <v>0</v>
      </c>
    </row>
    <row r="738" spans="1:24" x14ac:dyDescent="0.25">
      <c r="A738" s="4"/>
      <c r="B738" s="4"/>
      <c r="C738" s="4">
        <v>889969</v>
      </c>
      <c r="D738" s="22">
        <v>5133.24</v>
      </c>
      <c r="E738" s="5">
        <f t="shared" si="11"/>
        <v>-0.23999999999978172</v>
      </c>
      <c r="F738" s="9">
        <v>45308</v>
      </c>
      <c r="G738" s="10">
        <v>330699724</v>
      </c>
      <c r="H738" s="9">
        <v>45299</v>
      </c>
      <c r="I738" s="9">
        <v>45314</v>
      </c>
      <c r="J738" s="8">
        <v>5133</v>
      </c>
      <c r="K738" s="8" t="s">
        <v>31</v>
      </c>
      <c r="L738" s="8" t="s">
        <v>32</v>
      </c>
      <c r="M738" s="8"/>
      <c r="N738" s="8" t="b">
        <v>0</v>
      </c>
      <c r="O738" s="10">
        <v>710535</v>
      </c>
      <c r="P738" s="8" t="s">
        <v>109</v>
      </c>
      <c r="Q738" s="8">
        <v>123595</v>
      </c>
      <c r="R738" s="9">
        <v>45299</v>
      </c>
      <c r="S738" s="8" t="s">
        <v>34</v>
      </c>
      <c r="T738" s="8" t="s">
        <v>44</v>
      </c>
      <c r="U738" s="8" t="s">
        <v>58</v>
      </c>
      <c r="V738" s="8" t="s">
        <v>46</v>
      </c>
      <c r="W738" s="8">
        <v>0</v>
      </c>
    </row>
    <row r="739" spans="1:24" x14ac:dyDescent="0.25">
      <c r="A739" s="4"/>
      <c r="B739" s="4"/>
      <c r="C739" s="4">
        <v>889967</v>
      </c>
      <c r="D739" s="22">
        <v>5133.24</v>
      </c>
      <c r="E739" s="5">
        <f t="shared" si="11"/>
        <v>-0.23999999999978172</v>
      </c>
      <c r="F739" s="9">
        <v>45308</v>
      </c>
      <c r="G739" s="10">
        <v>330699509</v>
      </c>
      <c r="H739" s="9">
        <v>45299</v>
      </c>
      <c r="I739" s="9">
        <v>45314</v>
      </c>
      <c r="J739" s="8">
        <v>5133</v>
      </c>
      <c r="K739" s="8" t="s">
        <v>31</v>
      </c>
      <c r="L739" s="8" t="s">
        <v>32</v>
      </c>
      <c r="M739" s="8"/>
      <c r="N739" s="8" t="b">
        <v>0</v>
      </c>
      <c r="O739" s="10">
        <v>710534</v>
      </c>
      <c r="P739" s="8" t="s">
        <v>346</v>
      </c>
      <c r="Q739" s="8">
        <v>123567</v>
      </c>
      <c r="R739" s="9">
        <v>45299</v>
      </c>
      <c r="S739" s="8" t="s">
        <v>34</v>
      </c>
      <c r="T739" s="8" t="s">
        <v>44</v>
      </c>
      <c r="U739" s="8" t="s">
        <v>58</v>
      </c>
      <c r="V739" s="8" t="s">
        <v>46</v>
      </c>
      <c r="W739" s="8">
        <v>0</v>
      </c>
    </row>
    <row r="740" spans="1:24" x14ac:dyDescent="0.25">
      <c r="A740" s="4"/>
      <c r="B740" s="4"/>
      <c r="C740" s="4">
        <v>890454</v>
      </c>
      <c r="D740" s="22">
        <v>7951.32</v>
      </c>
      <c r="E740" s="5">
        <f t="shared" si="11"/>
        <v>-0.31999999999970896</v>
      </c>
      <c r="F740" s="9">
        <v>45308</v>
      </c>
      <c r="G740" s="10">
        <v>330724544</v>
      </c>
      <c r="H740" s="9">
        <v>45300</v>
      </c>
      <c r="I740" s="9">
        <v>45315</v>
      </c>
      <c r="J740" s="8">
        <v>7951</v>
      </c>
      <c r="K740" s="8" t="s">
        <v>31</v>
      </c>
      <c r="L740" s="8" t="s">
        <v>32</v>
      </c>
      <c r="M740" s="8"/>
      <c r="N740" s="8" t="b">
        <v>0</v>
      </c>
      <c r="O740" s="10">
        <v>711892</v>
      </c>
      <c r="P740" s="8" t="s">
        <v>128</v>
      </c>
      <c r="Q740" s="8">
        <v>158756</v>
      </c>
      <c r="R740" s="9">
        <v>45300</v>
      </c>
      <c r="S740" s="8" t="s">
        <v>34</v>
      </c>
      <c r="T740" s="8" t="s">
        <v>40</v>
      </c>
      <c r="U740" s="8" t="s">
        <v>88</v>
      </c>
      <c r="V740" s="8" t="s">
        <v>72</v>
      </c>
      <c r="W740" s="8">
        <v>0</v>
      </c>
    </row>
    <row r="741" spans="1:24" x14ac:dyDescent="0.25">
      <c r="A741" s="4"/>
      <c r="B741" s="4"/>
      <c r="C741" s="4">
        <v>890523</v>
      </c>
      <c r="D741" s="22">
        <v>6983.36</v>
      </c>
      <c r="E741" s="17">
        <f t="shared" si="11"/>
        <v>-0.35999999999967258</v>
      </c>
      <c r="F741" s="9">
        <v>45308</v>
      </c>
      <c r="G741" s="10">
        <v>330724424</v>
      </c>
      <c r="H741" s="9">
        <v>45300</v>
      </c>
      <c r="I741" s="9">
        <v>45315</v>
      </c>
      <c r="J741" s="8">
        <v>6983</v>
      </c>
      <c r="K741" s="8" t="s">
        <v>31</v>
      </c>
      <c r="L741" s="8" t="s">
        <v>32</v>
      </c>
      <c r="M741" s="8"/>
      <c r="N741" s="8" t="b">
        <v>0</v>
      </c>
      <c r="O741" s="10">
        <v>21197</v>
      </c>
      <c r="P741" s="8" t="s">
        <v>276</v>
      </c>
      <c r="Q741" s="8">
        <v>158780</v>
      </c>
      <c r="R741" s="9">
        <v>45300</v>
      </c>
      <c r="S741" s="8" t="s">
        <v>39</v>
      </c>
      <c r="T741" s="8" t="s">
        <v>40</v>
      </c>
      <c r="U741" s="8" t="s">
        <v>41</v>
      </c>
      <c r="V741" s="8" t="s">
        <v>42</v>
      </c>
      <c r="W741" s="8">
        <v>0</v>
      </c>
      <c r="X741" t="s">
        <v>368</v>
      </c>
    </row>
    <row r="742" spans="1:24" x14ac:dyDescent="0.25">
      <c r="A742" s="4"/>
      <c r="B742" s="4"/>
      <c r="C742" s="4">
        <v>890456</v>
      </c>
      <c r="D742" s="22">
        <v>7951.32</v>
      </c>
      <c r="E742" s="5">
        <f t="shared" si="11"/>
        <v>-0.31999999999970896</v>
      </c>
      <c r="F742" s="9">
        <v>45308</v>
      </c>
      <c r="G742" s="10">
        <v>330724396</v>
      </c>
      <c r="H742" s="9">
        <v>45300</v>
      </c>
      <c r="I742" s="9">
        <v>45315</v>
      </c>
      <c r="J742" s="8">
        <v>7951</v>
      </c>
      <c r="K742" s="8" t="s">
        <v>31</v>
      </c>
      <c r="L742" s="8" t="s">
        <v>32</v>
      </c>
      <c r="M742" s="8"/>
      <c r="N742" s="8" t="b">
        <v>0</v>
      </c>
      <c r="O742" s="10">
        <v>711891</v>
      </c>
      <c r="P742" s="8" t="s">
        <v>103</v>
      </c>
      <c r="Q742" s="8">
        <v>158743</v>
      </c>
      <c r="R742" s="9">
        <v>45300</v>
      </c>
      <c r="S742" s="8" t="s">
        <v>34</v>
      </c>
      <c r="T742" s="8" t="s">
        <v>40</v>
      </c>
      <c r="U742" s="8" t="s">
        <v>88</v>
      </c>
      <c r="V742" s="8" t="s">
        <v>72</v>
      </c>
      <c r="W742" s="8">
        <v>0</v>
      </c>
    </row>
    <row r="743" spans="1:24" x14ac:dyDescent="0.25">
      <c r="A743" s="4"/>
      <c r="B743" s="4"/>
      <c r="C743" s="4">
        <v>890458</v>
      </c>
      <c r="D743" s="22">
        <v>7951.32</v>
      </c>
      <c r="E743" s="5">
        <f t="shared" si="11"/>
        <v>-0.31999999999970896</v>
      </c>
      <c r="F743" s="9">
        <v>45308</v>
      </c>
      <c r="G743" s="10">
        <v>330720313</v>
      </c>
      <c r="H743" s="9">
        <v>45300</v>
      </c>
      <c r="I743" s="9">
        <v>45315</v>
      </c>
      <c r="J743" s="8">
        <v>7951</v>
      </c>
      <c r="K743" s="8" t="s">
        <v>31</v>
      </c>
      <c r="L743" s="8" t="s">
        <v>32</v>
      </c>
      <c r="M743" s="8"/>
      <c r="N743" s="8" t="b">
        <v>0</v>
      </c>
      <c r="O743" s="10">
        <v>711890</v>
      </c>
      <c r="P743" s="8" t="s">
        <v>231</v>
      </c>
      <c r="Q743" s="8">
        <v>151984</v>
      </c>
      <c r="R743" s="9">
        <v>45300</v>
      </c>
      <c r="S743" s="8" t="s">
        <v>34</v>
      </c>
      <c r="T743" s="8" t="s">
        <v>40</v>
      </c>
      <c r="U743" s="8" t="s">
        <v>88</v>
      </c>
      <c r="V743" s="8" t="s">
        <v>72</v>
      </c>
      <c r="W743" s="8">
        <v>0</v>
      </c>
    </row>
    <row r="744" spans="1:24" x14ac:dyDescent="0.25">
      <c r="A744" s="4"/>
      <c r="B744" s="4"/>
      <c r="C744" s="4">
        <v>891221</v>
      </c>
      <c r="D744" s="22">
        <v>7951.32</v>
      </c>
      <c r="E744" s="5">
        <f t="shared" si="11"/>
        <v>-0.31999999999970896</v>
      </c>
      <c r="F744" s="9">
        <v>45308</v>
      </c>
      <c r="G744" s="10">
        <v>330768400</v>
      </c>
      <c r="H744" s="9">
        <v>45302</v>
      </c>
      <c r="I744" s="9">
        <v>45317</v>
      </c>
      <c r="J744" s="8">
        <v>7951</v>
      </c>
      <c r="K744" s="8" t="s">
        <v>31</v>
      </c>
      <c r="L744" s="8" t="s">
        <v>32</v>
      </c>
      <c r="M744" s="8"/>
      <c r="N744" s="8" t="b">
        <v>0</v>
      </c>
      <c r="O744" s="10">
        <v>711894</v>
      </c>
      <c r="P744" s="8" t="s">
        <v>129</v>
      </c>
      <c r="Q744" s="8">
        <v>224272</v>
      </c>
      <c r="R744" s="9">
        <v>45302</v>
      </c>
      <c r="S744" s="8" t="s">
        <v>34</v>
      </c>
      <c r="T744" s="8" t="s">
        <v>40</v>
      </c>
      <c r="U744" s="8" t="s">
        <v>88</v>
      </c>
      <c r="V744" s="8" t="s">
        <v>72</v>
      </c>
      <c r="W744" s="8">
        <v>0</v>
      </c>
      <c r="X744" t="s">
        <v>368</v>
      </c>
    </row>
    <row r="745" spans="1:24" x14ac:dyDescent="0.25">
      <c r="A745" s="4"/>
      <c r="B745" s="4"/>
      <c r="C745" s="4">
        <v>891223</v>
      </c>
      <c r="D745" s="22">
        <v>7951.32</v>
      </c>
      <c r="E745" s="5">
        <f t="shared" si="11"/>
        <v>-0.31999999999970896</v>
      </c>
      <c r="F745" s="9">
        <v>45308</v>
      </c>
      <c r="G745" s="10">
        <v>330768403</v>
      </c>
      <c r="H745" s="9">
        <v>45302</v>
      </c>
      <c r="I745" s="9">
        <v>45317</v>
      </c>
      <c r="J745" s="8">
        <v>7951</v>
      </c>
      <c r="K745" s="8" t="s">
        <v>31</v>
      </c>
      <c r="L745" s="8" t="s">
        <v>32</v>
      </c>
      <c r="M745" s="8"/>
      <c r="N745" s="8" t="b">
        <v>0</v>
      </c>
      <c r="O745" s="10">
        <v>711896</v>
      </c>
      <c r="P745" s="8" t="s">
        <v>67</v>
      </c>
      <c r="Q745" s="8">
        <v>224393</v>
      </c>
      <c r="R745" s="9">
        <v>45302</v>
      </c>
      <c r="S745" s="8" t="s">
        <v>34</v>
      </c>
      <c r="T745" s="8" t="s">
        <v>40</v>
      </c>
      <c r="U745" s="8" t="s">
        <v>88</v>
      </c>
      <c r="V745" s="8" t="s">
        <v>72</v>
      </c>
      <c r="W745" s="8">
        <v>0</v>
      </c>
      <c r="X745" t="s">
        <v>368</v>
      </c>
    </row>
    <row r="746" spans="1:24" x14ac:dyDescent="0.25">
      <c r="A746" s="4"/>
      <c r="B746" s="4"/>
      <c r="C746" s="4">
        <v>891224</v>
      </c>
      <c r="D746" s="22">
        <v>7951.32</v>
      </c>
      <c r="E746" s="5">
        <f t="shared" si="11"/>
        <v>-0.31999999999970896</v>
      </c>
      <c r="F746" s="9">
        <v>45308</v>
      </c>
      <c r="G746" s="10">
        <v>330768454</v>
      </c>
      <c r="H746" s="9">
        <v>45302</v>
      </c>
      <c r="I746" s="9">
        <v>45317</v>
      </c>
      <c r="J746" s="8">
        <v>7951</v>
      </c>
      <c r="K746" s="8" t="s">
        <v>31</v>
      </c>
      <c r="L746" s="8" t="s">
        <v>32</v>
      </c>
      <c r="M746" s="8"/>
      <c r="N746" s="8" t="b">
        <v>0</v>
      </c>
      <c r="O746" s="10">
        <v>711895</v>
      </c>
      <c r="P746" s="8" t="s">
        <v>224</v>
      </c>
      <c r="Q746" s="8">
        <v>224307</v>
      </c>
      <c r="R746" s="9">
        <v>45302</v>
      </c>
      <c r="S746" s="8" t="s">
        <v>34</v>
      </c>
      <c r="T746" s="8" t="s">
        <v>40</v>
      </c>
      <c r="U746" s="8" t="s">
        <v>88</v>
      </c>
      <c r="V746" s="8" t="s">
        <v>72</v>
      </c>
      <c r="W746" s="8">
        <v>0</v>
      </c>
      <c r="X746" t="s">
        <v>368</v>
      </c>
    </row>
    <row r="747" spans="1:24" x14ac:dyDescent="0.25">
      <c r="A747" s="4"/>
      <c r="B747" s="4"/>
      <c r="C747" s="4">
        <v>891225</v>
      </c>
      <c r="D747" s="22">
        <v>7951.32</v>
      </c>
      <c r="E747" s="5">
        <f t="shared" si="11"/>
        <v>-0.31999999999970896</v>
      </c>
      <c r="F747" s="9">
        <v>45308</v>
      </c>
      <c r="G747" s="10">
        <v>330768464</v>
      </c>
      <c r="H747" s="9">
        <v>45302</v>
      </c>
      <c r="I747" s="9">
        <v>45317</v>
      </c>
      <c r="J747" s="8">
        <v>7951</v>
      </c>
      <c r="K747" s="8" t="s">
        <v>31</v>
      </c>
      <c r="L747" s="8" t="s">
        <v>32</v>
      </c>
      <c r="M747" s="8"/>
      <c r="N747" s="8" t="b">
        <v>0</v>
      </c>
      <c r="O747" s="10">
        <v>711893</v>
      </c>
      <c r="P747" s="8" t="s">
        <v>113</v>
      </c>
      <c r="Q747" s="8">
        <v>224251</v>
      </c>
      <c r="R747" s="9">
        <v>45302</v>
      </c>
      <c r="S747" s="8" t="s">
        <v>34</v>
      </c>
      <c r="T747" s="8" t="s">
        <v>40</v>
      </c>
      <c r="U747" s="8" t="s">
        <v>88</v>
      </c>
      <c r="V747" s="8" t="s">
        <v>72</v>
      </c>
      <c r="W747" s="8">
        <v>0</v>
      </c>
      <c r="X747" t="s">
        <v>368</v>
      </c>
    </row>
    <row r="748" spans="1:24" x14ac:dyDescent="0.25">
      <c r="A748" s="4"/>
      <c r="B748" s="4"/>
      <c r="C748" s="4">
        <v>891226</v>
      </c>
      <c r="D748" s="22">
        <v>7951.32</v>
      </c>
      <c r="E748" s="5">
        <f t="shared" si="11"/>
        <v>-0.31999999999970896</v>
      </c>
      <c r="F748" s="9">
        <v>45308</v>
      </c>
      <c r="G748" s="10">
        <v>330770303</v>
      </c>
      <c r="H748" s="9">
        <v>45302</v>
      </c>
      <c r="I748" s="9">
        <v>45317</v>
      </c>
      <c r="J748" s="8">
        <v>7951</v>
      </c>
      <c r="K748" s="8" t="s">
        <v>31</v>
      </c>
      <c r="L748" s="8" t="s">
        <v>32</v>
      </c>
      <c r="M748" s="8"/>
      <c r="N748" s="8" t="b">
        <v>0</v>
      </c>
      <c r="O748" s="10">
        <v>711897</v>
      </c>
      <c r="P748" s="8" t="s">
        <v>66</v>
      </c>
      <c r="Q748" s="8">
        <v>227489</v>
      </c>
      <c r="R748" s="9">
        <v>45302</v>
      </c>
      <c r="S748" s="8" t="s">
        <v>34</v>
      </c>
      <c r="T748" s="8" t="s">
        <v>40</v>
      </c>
      <c r="U748" s="8" t="s">
        <v>88</v>
      </c>
      <c r="V748" s="8" t="s">
        <v>72</v>
      </c>
      <c r="W748" s="8">
        <v>0</v>
      </c>
      <c r="X748" t="s">
        <v>368</v>
      </c>
    </row>
    <row r="749" spans="1:24" x14ac:dyDescent="0.25">
      <c r="A749" s="4"/>
      <c r="B749" s="4"/>
      <c r="C749" s="4">
        <v>891227</v>
      </c>
      <c r="D749" s="22">
        <v>7951.32</v>
      </c>
      <c r="E749" s="5">
        <f t="shared" si="11"/>
        <v>-0.31999999999970896</v>
      </c>
      <c r="F749" s="9">
        <v>45308</v>
      </c>
      <c r="G749" s="10">
        <v>330771102</v>
      </c>
      <c r="H749" s="9">
        <v>45302</v>
      </c>
      <c r="I749" s="9">
        <v>45317</v>
      </c>
      <c r="J749" s="8">
        <v>7951</v>
      </c>
      <c r="K749" s="8" t="s">
        <v>31</v>
      </c>
      <c r="L749" s="8" t="s">
        <v>32</v>
      </c>
      <c r="M749" s="8"/>
      <c r="N749" s="8" t="b">
        <v>0</v>
      </c>
      <c r="O749" s="10">
        <v>711898</v>
      </c>
      <c r="P749" s="8" t="s">
        <v>102</v>
      </c>
      <c r="Q749" s="8">
        <v>227951</v>
      </c>
      <c r="R749" s="9">
        <v>45302</v>
      </c>
      <c r="S749" s="8" t="s">
        <v>34</v>
      </c>
      <c r="T749" s="8" t="s">
        <v>40</v>
      </c>
      <c r="U749" s="8" t="s">
        <v>88</v>
      </c>
      <c r="V749" s="8" t="s">
        <v>72</v>
      </c>
      <c r="W749" s="8">
        <v>0</v>
      </c>
      <c r="X749" t="s">
        <v>368</v>
      </c>
    </row>
    <row r="750" spans="1:24" x14ac:dyDescent="0.25">
      <c r="A750" s="4"/>
      <c r="B750" s="4"/>
      <c r="C750" s="4">
        <v>891229</v>
      </c>
      <c r="D750" s="22">
        <v>7951.32</v>
      </c>
      <c r="E750" s="5">
        <f t="shared" si="11"/>
        <v>-0.31999999999970896</v>
      </c>
      <c r="F750" s="9">
        <v>45308</v>
      </c>
      <c r="G750" s="10">
        <v>330773078</v>
      </c>
      <c r="H750" s="9">
        <v>45302</v>
      </c>
      <c r="I750" s="9">
        <v>45317</v>
      </c>
      <c r="J750" s="8">
        <v>7951</v>
      </c>
      <c r="K750" s="8" t="s">
        <v>31</v>
      </c>
      <c r="L750" s="8" t="s">
        <v>32</v>
      </c>
      <c r="M750" s="8"/>
      <c r="N750" s="8" t="b">
        <v>0</v>
      </c>
      <c r="O750" s="10">
        <v>711899</v>
      </c>
      <c r="P750" s="8" t="s">
        <v>96</v>
      </c>
      <c r="Q750" s="8">
        <v>231135</v>
      </c>
      <c r="R750" s="9">
        <v>45302</v>
      </c>
      <c r="S750" s="8" t="s">
        <v>34</v>
      </c>
      <c r="T750" s="8" t="s">
        <v>40</v>
      </c>
      <c r="U750" s="8" t="s">
        <v>88</v>
      </c>
      <c r="V750" s="8" t="s">
        <v>72</v>
      </c>
      <c r="W750" s="8">
        <v>0</v>
      </c>
      <c r="X750" t="s">
        <v>368</v>
      </c>
    </row>
    <row r="751" spans="1:24" x14ac:dyDescent="0.25">
      <c r="A751" s="4"/>
      <c r="B751" s="4"/>
      <c r="C751" s="4">
        <v>891231</v>
      </c>
      <c r="D751" s="22">
        <v>7951.32</v>
      </c>
      <c r="E751" s="5">
        <f t="shared" si="11"/>
        <v>-0.31999999999970896</v>
      </c>
      <c r="F751" s="9">
        <v>45308</v>
      </c>
      <c r="G751" s="10">
        <v>330773635</v>
      </c>
      <c r="H751" s="9">
        <v>45302</v>
      </c>
      <c r="I751" s="9">
        <v>45317</v>
      </c>
      <c r="J751" s="8">
        <v>7951</v>
      </c>
      <c r="K751" s="8" t="s">
        <v>31</v>
      </c>
      <c r="L751" s="8" t="s">
        <v>32</v>
      </c>
      <c r="M751" s="8"/>
      <c r="N751" s="8" t="b">
        <v>0</v>
      </c>
      <c r="O751" s="10">
        <v>711900</v>
      </c>
      <c r="P751" s="8" t="s">
        <v>98</v>
      </c>
      <c r="Q751" s="8">
        <v>233299</v>
      </c>
      <c r="R751" s="9">
        <v>45302</v>
      </c>
      <c r="S751" s="8" t="s">
        <v>34</v>
      </c>
      <c r="T751" s="8" t="s">
        <v>40</v>
      </c>
      <c r="U751" s="8" t="s">
        <v>88</v>
      </c>
      <c r="V751" s="8" t="s">
        <v>72</v>
      </c>
      <c r="W751" s="8">
        <v>0</v>
      </c>
      <c r="X751" t="s">
        <v>368</v>
      </c>
    </row>
    <row r="752" spans="1:24" x14ac:dyDescent="0.25">
      <c r="A752" s="4"/>
      <c r="B752" s="4"/>
      <c r="C752" s="4">
        <v>890879</v>
      </c>
      <c r="D752" s="22">
        <v>87248</v>
      </c>
      <c r="E752" s="5">
        <f t="shared" si="11"/>
        <v>-8</v>
      </c>
      <c r="F752" s="9">
        <v>45308</v>
      </c>
      <c r="G752" s="10">
        <v>330774092</v>
      </c>
      <c r="H752" s="9">
        <v>45302</v>
      </c>
      <c r="I752" s="9">
        <v>45317</v>
      </c>
      <c r="J752" s="8">
        <v>87240</v>
      </c>
      <c r="K752" s="8" t="s">
        <v>31</v>
      </c>
      <c r="L752" s="8" t="s">
        <v>32</v>
      </c>
      <c r="M752" s="8"/>
      <c r="N752" s="8" t="b">
        <v>0</v>
      </c>
      <c r="O752" s="10">
        <v>712715</v>
      </c>
      <c r="P752" s="8" t="s">
        <v>201</v>
      </c>
      <c r="Q752" s="8">
        <v>234295</v>
      </c>
      <c r="R752" s="9">
        <v>45302</v>
      </c>
      <c r="S752" s="8" t="s">
        <v>34</v>
      </c>
      <c r="T752" s="8" t="s">
        <v>49</v>
      </c>
      <c r="U752" s="8" t="s">
        <v>75</v>
      </c>
      <c r="V752" s="8" t="s">
        <v>46</v>
      </c>
      <c r="W752" s="8">
        <v>0</v>
      </c>
      <c r="X752" t="s">
        <v>368</v>
      </c>
    </row>
    <row r="753" spans="1:24" x14ac:dyDescent="0.25">
      <c r="A753" s="4"/>
      <c r="B753" s="4"/>
      <c r="C753" s="4">
        <v>890977</v>
      </c>
      <c r="D753" s="22">
        <v>6956.08</v>
      </c>
      <c r="E753" s="5">
        <f t="shared" si="11"/>
        <v>0.92000000000007276</v>
      </c>
      <c r="F753" s="9">
        <v>45308</v>
      </c>
      <c r="G753" s="10">
        <v>330789836</v>
      </c>
      <c r="H753" s="9">
        <v>45303</v>
      </c>
      <c r="I753" s="9">
        <v>45318</v>
      </c>
      <c r="J753" s="8">
        <v>6957</v>
      </c>
      <c r="K753" s="8" t="s">
        <v>31</v>
      </c>
      <c r="L753" s="8" t="s">
        <v>32</v>
      </c>
      <c r="M753" s="8"/>
      <c r="N753" s="8" t="b">
        <v>0</v>
      </c>
      <c r="O753" s="10">
        <v>21206</v>
      </c>
      <c r="P753" s="8" t="s">
        <v>63</v>
      </c>
      <c r="Q753" s="8">
        <v>259469</v>
      </c>
      <c r="R753" s="9">
        <v>45303</v>
      </c>
      <c r="S753" s="8" t="s">
        <v>39</v>
      </c>
      <c r="T753" s="8" t="s">
        <v>44</v>
      </c>
      <c r="U753" s="8" t="s">
        <v>41</v>
      </c>
      <c r="V753" s="8" t="s">
        <v>42</v>
      </c>
      <c r="W753" s="8">
        <v>0</v>
      </c>
      <c r="X753" t="s">
        <v>368</v>
      </c>
    </row>
    <row r="754" spans="1:24" x14ac:dyDescent="0.25">
      <c r="A754" s="4"/>
      <c r="B754" s="4"/>
      <c r="C754" s="4">
        <v>891233</v>
      </c>
      <c r="D754" s="22">
        <v>5133.24</v>
      </c>
      <c r="E754" s="5">
        <f t="shared" si="11"/>
        <v>-0.23999999999978172</v>
      </c>
      <c r="F754" s="9">
        <v>45308</v>
      </c>
      <c r="G754" s="10">
        <v>330789833</v>
      </c>
      <c r="H754" s="9">
        <v>45303</v>
      </c>
      <c r="I754" s="9">
        <v>45318</v>
      </c>
      <c r="J754" s="8">
        <v>5133</v>
      </c>
      <c r="K754" s="8" t="s">
        <v>31</v>
      </c>
      <c r="L754" s="8" t="s">
        <v>32</v>
      </c>
      <c r="M754" s="8"/>
      <c r="N754" s="8" t="b">
        <v>0</v>
      </c>
      <c r="O754" s="10">
        <v>709318</v>
      </c>
      <c r="P754" s="8" t="s">
        <v>78</v>
      </c>
      <c r="Q754" s="8">
        <v>259389</v>
      </c>
      <c r="R754" s="9">
        <v>45303</v>
      </c>
      <c r="S754" s="8" t="s">
        <v>34</v>
      </c>
      <c r="T754" s="8" t="s">
        <v>44</v>
      </c>
      <c r="U754" s="8" t="s">
        <v>58</v>
      </c>
      <c r="V754" s="8" t="s">
        <v>46</v>
      </c>
      <c r="W754" s="8">
        <v>0</v>
      </c>
      <c r="X754" t="s">
        <v>368</v>
      </c>
    </row>
    <row r="755" spans="1:24" x14ac:dyDescent="0.25">
      <c r="A755" s="4"/>
      <c r="B755" s="4"/>
      <c r="C755" s="4">
        <v>891234</v>
      </c>
      <c r="D755" s="22">
        <v>5133.24</v>
      </c>
      <c r="E755" s="5">
        <f t="shared" si="11"/>
        <v>-0.23999999999978172</v>
      </c>
      <c r="F755" s="9">
        <v>45308</v>
      </c>
      <c r="G755" s="10">
        <v>330789796</v>
      </c>
      <c r="H755" s="9">
        <v>45303</v>
      </c>
      <c r="I755" s="9">
        <v>45318</v>
      </c>
      <c r="J755" s="8">
        <v>5133</v>
      </c>
      <c r="K755" s="8" t="s">
        <v>31</v>
      </c>
      <c r="L755" s="8" t="s">
        <v>32</v>
      </c>
      <c r="M755" s="8"/>
      <c r="N755" s="8" t="b">
        <v>0</v>
      </c>
      <c r="O755" s="10">
        <v>710526</v>
      </c>
      <c r="P755" s="8" t="s">
        <v>59</v>
      </c>
      <c r="Q755" s="8">
        <v>259340</v>
      </c>
      <c r="R755" s="9">
        <v>45303</v>
      </c>
      <c r="S755" s="8" t="s">
        <v>34</v>
      </c>
      <c r="T755" s="8" t="s">
        <v>44</v>
      </c>
      <c r="U755" s="8" t="s">
        <v>58</v>
      </c>
      <c r="V755" s="8" t="s">
        <v>46</v>
      </c>
      <c r="W755" s="8">
        <v>0</v>
      </c>
      <c r="X755" t="s">
        <v>368</v>
      </c>
    </row>
    <row r="756" spans="1:24" x14ac:dyDescent="0.25">
      <c r="A756" s="4"/>
      <c r="B756" s="4"/>
      <c r="C756" s="4">
        <v>890982</v>
      </c>
      <c r="D756" s="22">
        <v>7749.16</v>
      </c>
      <c r="E756" s="5">
        <f t="shared" si="11"/>
        <v>-0.15999999999985448</v>
      </c>
      <c r="F756" s="9">
        <v>45308</v>
      </c>
      <c r="G756" s="10">
        <v>330789787</v>
      </c>
      <c r="H756" s="9">
        <v>45303</v>
      </c>
      <c r="I756" s="9">
        <v>45318</v>
      </c>
      <c r="J756" s="8">
        <v>7749</v>
      </c>
      <c r="K756" s="8" t="s">
        <v>31</v>
      </c>
      <c r="L756" s="8" t="s">
        <v>32</v>
      </c>
      <c r="M756" s="8"/>
      <c r="N756" s="8" t="b">
        <v>0</v>
      </c>
      <c r="O756" s="10">
        <v>21207</v>
      </c>
      <c r="P756" s="8" t="s">
        <v>55</v>
      </c>
      <c r="Q756" s="8">
        <v>259545</v>
      </c>
      <c r="R756" s="9">
        <v>45303</v>
      </c>
      <c r="S756" s="8" t="s">
        <v>318</v>
      </c>
      <c r="T756" s="8" t="s">
        <v>44</v>
      </c>
      <c r="U756" s="8" t="s">
        <v>319</v>
      </c>
      <c r="V756" s="8" t="s">
        <v>320</v>
      </c>
      <c r="W756" s="8">
        <v>0</v>
      </c>
      <c r="X756" t="s">
        <v>368</v>
      </c>
    </row>
    <row r="757" spans="1:24" x14ac:dyDescent="0.25">
      <c r="A757" s="4"/>
      <c r="B757" s="4"/>
      <c r="C757" s="4">
        <v>891235</v>
      </c>
      <c r="D757" s="22">
        <v>5133.24</v>
      </c>
      <c r="E757" s="5">
        <f t="shared" si="11"/>
        <v>-0.23999999999978172</v>
      </c>
      <c r="F757" s="9">
        <v>45308</v>
      </c>
      <c r="G757" s="10">
        <v>330789786</v>
      </c>
      <c r="H757" s="9">
        <v>45303</v>
      </c>
      <c r="I757" s="9">
        <v>45318</v>
      </c>
      <c r="J757" s="8">
        <v>5133</v>
      </c>
      <c r="K757" s="8" t="s">
        <v>31</v>
      </c>
      <c r="L757" s="8" t="s">
        <v>32</v>
      </c>
      <c r="M757" s="8"/>
      <c r="N757" s="8" t="b">
        <v>0</v>
      </c>
      <c r="O757" s="10">
        <v>710533</v>
      </c>
      <c r="P757" s="8" t="s">
        <v>282</v>
      </c>
      <c r="Q757" s="8">
        <v>259365</v>
      </c>
      <c r="R757" s="9">
        <v>45303</v>
      </c>
      <c r="S757" s="8" t="s">
        <v>34</v>
      </c>
      <c r="T757" s="8" t="s">
        <v>44</v>
      </c>
      <c r="U757" s="8" t="s">
        <v>58</v>
      </c>
      <c r="V757" s="8" t="s">
        <v>46</v>
      </c>
      <c r="W757" s="8">
        <v>0</v>
      </c>
      <c r="X757" t="s">
        <v>368</v>
      </c>
    </row>
    <row r="758" spans="1:24" x14ac:dyDescent="0.25">
      <c r="A758" s="4"/>
      <c r="B758" s="4"/>
      <c r="C758" s="4">
        <v>891236</v>
      </c>
      <c r="D758" s="22">
        <v>5133.24</v>
      </c>
      <c r="E758" s="5">
        <f t="shared" si="11"/>
        <v>-0.23999999999978172</v>
      </c>
      <c r="F758" s="9">
        <v>45308</v>
      </c>
      <c r="G758" s="10">
        <v>330789747</v>
      </c>
      <c r="H758" s="9">
        <v>45303</v>
      </c>
      <c r="I758" s="9">
        <v>45318</v>
      </c>
      <c r="J758" s="8">
        <v>5133</v>
      </c>
      <c r="K758" s="8" t="s">
        <v>31</v>
      </c>
      <c r="L758" s="8" t="s">
        <v>32</v>
      </c>
      <c r="M758" s="8"/>
      <c r="N758" s="8" t="b">
        <v>0</v>
      </c>
      <c r="O758" s="10">
        <v>709334</v>
      </c>
      <c r="P758" s="8" t="s">
        <v>302</v>
      </c>
      <c r="Q758" s="8">
        <v>259422</v>
      </c>
      <c r="R758" s="9">
        <v>45303</v>
      </c>
      <c r="S758" s="8" t="s">
        <v>34</v>
      </c>
      <c r="T758" s="8" t="s">
        <v>44</v>
      </c>
      <c r="U758" s="8" t="s">
        <v>58</v>
      </c>
      <c r="V758" s="8" t="s">
        <v>46</v>
      </c>
      <c r="W758" s="8">
        <v>0</v>
      </c>
      <c r="X758" t="s">
        <v>368</v>
      </c>
    </row>
    <row r="759" spans="1:24" x14ac:dyDescent="0.25">
      <c r="A759" s="4"/>
      <c r="B759" s="4"/>
      <c r="C759" s="4">
        <v>891237</v>
      </c>
      <c r="D759" s="22">
        <v>5133.24</v>
      </c>
      <c r="E759" s="5">
        <f t="shared" si="11"/>
        <v>-0.23999999999978172</v>
      </c>
      <c r="F759" s="9">
        <v>45308</v>
      </c>
      <c r="G759" s="10">
        <v>330789437</v>
      </c>
      <c r="H759" s="9">
        <v>45303</v>
      </c>
      <c r="I759" s="9">
        <v>45318</v>
      </c>
      <c r="J759" s="8">
        <v>5133</v>
      </c>
      <c r="K759" s="8" t="s">
        <v>31</v>
      </c>
      <c r="L759" s="8" t="s">
        <v>32</v>
      </c>
      <c r="M759" s="8"/>
      <c r="N759" s="8" t="b">
        <v>0</v>
      </c>
      <c r="O759" s="10">
        <v>710531</v>
      </c>
      <c r="P759" s="8" t="s">
        <v>348</v>
      </c>
      <c r="Q759" s="8">
        <v>258929</v>
      </c>
      <c r="R759" s="9">
        <v>45303</v>
      </c>
      <c r="S759" s="8" t="s">
        <v>34</v>
      </c>
      <c r="T759" s="8" t="s">
        <v>44</v>
      </c>
      <c r="U759" s="8" t="s">
        <v>58</v>
      </c>
      <c r="V759" s="8" t="s">
        <v>46</v>
      </c>
      <c r="W759" s="8">
        <v>0</v>
      </c>
      <c r="X759" t="s">
        <v>368</v>
      </c>
    </row>
    <row r="760" spans="1:24" x14ac:dyDescent="0.25">
      <c r="A760" s="4"/>
      <c r="B760" s="4"/>
      <c r="C760" s="4">
        <v>891238</v>
      </c>
      <c r="D760" s="22">
        <v>5133.24</v>
      </c>
      <c r="E760" s="5">
        <f t="shared" si="11"/>
        <v>-0.23999999999978172</v>
      </c>
      <c r="F760" s="9">
        <v>45308</v>
      </c>
      <c r="G760" s="10">
        <v>330789431</v>
      </c>
      <c r="H760" s="9">
        <v>45303</v>
      </c>
      <c r="I760" s="9">
        <v>45318</v>
      </c>
      <c r="J760" s="8">
        <v>5133</v>
      </c>
      <c r="K760" s="8" t="s">
        <v>31</v>
      </c>
      <c r="L760" s="8" t="s">
        <v>32</v>
      </c>
      <c r="M760" s="8"/>
      <c r="N760" s="8" t="b">
        <v>0</v>
      </c>
      <c r="O760" s="10">
        <v>710530</v>
      </c>
      <c r="P760" s="8" t="s">
        <v>349</v>
      </c>
      <c r="Q760" s="8">
        <v>258916</v>
      </c>
      <c r="R760" s="9">
        <v>45303</v>
      </c>
      <c r="S760" s="8" t="s">
        <v>34</v>
      </c>
      <c r="T760" s="8" t="s">
        <v>44</v>
      </c>
      <c r="U760" s="8" t="s">
        <v>58</v>
      </c>
      <c r="V760" s="8" t="s">
        <v>46</v>
      </c>
      <c r="W760" s="8">
        <v>0</v>
      </c>
      <c r="X760" t="s">
        <v>368</v>
      </c>
    </row>
    <row r="761" spans="1:24" x14ac:dyDescent="0.25">
      <c r="A761" s="4"/>
      <c r="B761" s="4"/>
      <c r="C761" s="4">
        <v>891056</v>
      </c>
      <c r="D761" s="22">
        <v>5135.4399999999996</v>
      </c>
      <c r="E761" s="5">
        <f t="shared" si="11"/>
        <v>-0.43999999999959982</v>
      </c>
      <c r="F761" s="9">
        <v>45308</v>
      </c>
      <c r="G761" s="10">
        <v>330789399</v>
      </c>
      <c r="H761" s="9">
        <v>45303</v>
      </c>
      <c r="I761" s="9">
        <v>45318</v>
      </c>
      <c r="J761" s="8">
        <v>5135</v>
      </c>
      <c r="K761" s="8" t="s">
        <v>31</v>
      </c>
      <c r="L761" s="8" t="s">
        <v>32</v>
      </c>
      <c r="M761" s="8"/>
      <c r="N761" s="8" t="b">
        <v>0</v>
      </c>
      <c r="O761" s="10">
        <v>702418</v>
      </c>
      <c r="P761" s="8" t="s">
        <v>152</v>
      </c>
      <c r="Q761" s="8">
        <v>258934</v>
      </c>
      <c r="R761" s="9">
        <v>45303</v>
      </c>
      <c r="S761" s="8" t="s">
        <v>180</v>
      </c>
      <c r="T761" s="8" t="s">
        <v>44</v>
      </c>
      <c r="U761" s="8" t="s">
        <v>45</v>
      </c>
      <c r="V761" s="8" t="s">
        <v>46</v>
      </c>
      <c r="W761" s="8">
        <v>0</v>
      </c>
      <c r="X761" t="s">
        <v>368</v>
      </c>
    </row>
    <row r="762" spans="1:24" x14ac:dyDescent="0.25">
      <c r="A762" s="4"/>
      <c r="B762" s="4"/>
      <c r="C762" s="4">
        <v>891517</v>
      </c>
      <c r="D762" s="22">
        <v>39261</v>
      </c>
      <c r="E762" s="5">
        <f t="shared" si="11"/>
        <v>-3</v>
      </c>
      <c r="F762" s="9">
        <v>45308</v>
      </c>
      <c r="G762" s="10">
        <v>330842372</v>
      </c>
      <c r="H762" s="9">
        <v>45307</v>
      </c>
      <c r="I762" s="9">
        <v>45322</v>
      </c>
      <c r="J762" s="8">
        <v>39258</v>
      </c>
      <c r="K762" s="8" t="s">
        <v>31</v>
      </c>
      <c r="L762" s="8" t="s">
        <v>32</v>
      </c>
      <c r="M762" s="8"/>
      <c r="N762" s="8" t="b">
        <v>0</v>
      </c>
      <c r="O762" s="10">
        <v>713697</v>
      </c>
      <c r="P762" s="8" t="s">
        <v>232</v>
      </c>
      <c r="Q762" s="8">
        <v>346665</v>
      </c>
      <c r="R762" s="9">
        <v>45307</v>
      </c>
      <c r="S762" s="8" t="s">
        <v>34</v>
      </c>
      <c r="T762" s="8" t="s">
        <v>49</v>
      </c>
      <c r="U762" s="8" t="s">
        <v>75</v>
      </c>
      <c r="V762" s="8" t="s">
        <v>46</v>
      </c>
      <c r="W762" s="8">
        <v>0</v>
      </c>
    </row>
    <row r="763" spans="1:24" ht="30" x14ac:dyDescent="0.25">
      <c r="A763" s="4"/>
      <c r="B763" s="18" t="s">
        <v>369</v>
      </c>
      <c r="C763" s="18" t="s">
        <v>370</v>
      </c>
      <c r="D763" s="45">
        <f>8204.84+8204.84+8204.84+8204.84+8204.84</f>
        <v>41024.199999999997</v>
      </c>
      <c r="E763" s="5">
        <f t="shared" si="11"/>
        <v>-4.1999999999970896</v>
      </c>
      <c r="F763" s="9">
        <v>45308</v>
      </c>
      <c r="G763" s="10">
        <v>330842186</v>
      </c>
      <c r="H763" s="9">
        <v>45307</v>
      </c>
      <c r="I763" s="9">
        <v>45322</v>
      </c>
      <c r="J763" s="8">
        <v>41020</v>
      </c>
      <c r="K763" s="8" t="s">
        <v>31</v>
      </c>
      <c r="L763" s="8" t="s">
        <v>32</v>
      </c>
      <c r="M763" s="8"/>
      <c r="N763" s="8" t="b">
        <v>0</v>
      </c>
      <c r="O763" s="43" t="s">
        <v>371</v>
      </c>
      <c r="P763" s="8" t="s">
        <v>74</v>
      </c>
      <c r="Q763" s="8">
        <v>346580</v>
      </c>
      <c r="R763" s="9">
        <v>45307</v>
      </c>
      <c r="S763" s="8" t="s">
        <v>148</v>
      </c>
      <c r="T763" s="8" t="s">
        <v>49</v>
      </c>
      <c r="U763" s="8" t="s">
        <v>149</v>
      </c>
      <c r="V763" s="8" t="s">
        <v>150</v>
      </c>
      <c r="W763" s="8">
        <v>0</v>
      </c>
    </row>
    <row r="764" spans="1:24" x14ac:dyDescent="0.25">
      <c r="A764" s="4"/>
      <c r="B764" s="4"/>
      <c r="C764" s="4">
        <v>891561</v>
      </c>
      <c r="D764" s="22">
        <v>5144.24</v>
      </c>
      <c r="E764" s="5">
        <f t="shared" si="11"/>
        <v>0.76000000000021828</v>
      </c>
      <c r="F764" s="9">
        <v>45308</v>
      </c>
      <c r="G764" s="10">
        <v>330832906</v>
      </c>
      <c r="H764" s="9">
        <v>45307</v>
      </c>
      <c r="I764" s="9">
        <v>45322</v>
      </c>
      <c r="J764" s="8">
        <v>5145</v>
      </c>
      <c r="K764" s="8" t="s">
        <v>31</v>
      </c>
      <c r="L764" s="8" t="s">
        <v>32</v>
      </c>
      <c r="M764" s="8"/>
      <c r="N764" s="8" t="b">
        <v>0</v>
      </c>
      <c r="O764" s="10">
        <v>712535</v>
      </c>
      <c r="P764" s="8" t="s">
        <v>124</v>
      </c>
      <c r="Q764" s="8">
        <v>332756</v>
      </c>
      <c r="R764" s="9">
        <v>45307</v>
      </c>
      <c r="S764" s="8" t="s">
        <v>308</v>
      </c>
      <c r="T764" s="8" t="s">
        <v>44</v>
      </c>
      <c r="U764" s="8" t="s">
        <v>309</v>
      </c>
      <c r="V764" s="8" t="s">
        <v>46</v>
      </c>
      <c r="W764" s="8">
        <v>0</v>
      </c>
    </row>
    <row r="765" spans="1:24" x14ac:dyDescent="0.25">
      <c r="A765" s="4"/>
      <c r="B765" s="4"/>
      <c r="C765" s="4">
        <v>891369</v>
      </c>
      <c r="D765" s="22">
        <v>5144.24</v>
      </c>
      <c r="E765" s="5">
        <f t="shared" si="11"/>
        <v>0.76000000000021828</v>
      </c>
      <c r="F765" s="9">
        <v>45308</v>
      </c>
      <c r="G765" s="10">
        <v>330832895</v>
      </c>
      <c r="H765" s="9">
        <v>45307</v>
      </c>
      <c r="I765" s="9">
        <v>45322</v>
      </c>
      <c r="J765" s="8">
        <v>5145</v>
      </c>
      <c r="K765" s="8" t="s">
        <v>31</v>
      </c>
      <c r="L765" s="8" t="s">
        <v>32</v>
      </c>
      <c r="M765" s="8"/>
      <c r="N765" s="8" t="b">
        <v>0</v>
      </c>
      <c r="O765" s="10">
        <v>712532</v>
      </c>
      <c r="P765" s="8" t="s">
        <v>121</v>
      </c>
      <c r="Q765" s="8">
        <v>332722</v>
      </c>
      <c r="R765" s="9">
        <v>45307</v>
      </c>
      <c r="S765" s="8" t="s">
        <v>308</v>
      </c>
      <c r="T765" s="8" t="s">
        <v>44</v>
      </c>
      <c r="U765" s="8" t="s">
        <v>309</v>
      </c>
      <c r="V765" s="8" t="s">
        <v>46</v>
      </c>
      <c r="W765" s="8">
        <v>0</v>
      </c>
    </row>
    <row r="766" spans="1:24" x14ac:dyDescent="0.25">
      <c r="A766" s="4"/>
      <c r="B766" s="4"/>
      <c r="C766" s="4">
        <v>891562</v>
      </c>
      <c r="D766" s="22">
        <v>5144.24</v>
      </c>
      <c r="E766" s="5">
        <f t="shared" si="11"/>
        <v>0.76000000000021828</v>
      </c>
      <c r="F766" s="9">
        <v>45308</v>
      </c>
      <c r="G766" s="10">
        <v>330832883</v>
      </c>
      <c r="H766" s="9">
        <v>45307</v>
      </c>
      <c r="I766" s="9">
        <v>45322</v>
      </c>
      <c r="J766" s="8">
        <v>5145</v>
      </c>
      <c r="K766" s="8" t="s">
        <v>31</v>
      </c>
      <c r="L766" s="8" t="s">
        <v>32</v>
      </c>
      <c r="M766" s="8"/>
      <c r="N766" s="8" t="b">
        <v>0</v>
      </c>
      <c r="O766" s="10">
        <v>712534</v>
      </c>
      <c r="P766" s="8" t="s">
        <v>191</v>
      </c>
      <c r="Q766" s="8">
        <v>332747</v>
      </c>
      <c r="R766" s="9">
        <v>45307</v>
      </c>
      <c r="S766" s="8" t="s">
        <v>308</v>
      </c>
      <c r="T766" s="8" t="s">
        <v>44</v>
      </c>
      <c r="U766" s="8" t="s">
        <v>309</v>
      </c>
      <c r="V766" s="8" t="s">
        <v>46</v>
      </c>
      <c r="W766" s="8">
        <v>0</v>
      </c>
    </row>
    <row r="767" spans="1:24" x14ac:dyDescent="0.25">
      <c r="A767" s="4"/>
      <c r="B767" s="4"/>
      <c r="C767" s="4">
        <v>891563</v>
      </c>
      <c r="D767" s="22">
        <v>5144.24</v>
      </c>
      <c r="E767" s="5">
        <f t="shared" si="11"/>
        <v>0.76000000000021828</v>
      </c>
      <c r="F767" s="9">
        <v>45308</v>
      </c>
      <c r="G767" s="10">
        <v>330832874</v>
      </c>
      <c r="H767" s="9">
        <v>45307</v>
      </c>
      <c r="I767" s="9">
        <v>45322</v>
      </c>
      <c r="J767" s="8">
        <v>5145</v>
      </c>
      <c r="K767" s="8" t="s">
        <v>31</v>
      </c>
      <c r="L767" s="8" t="s">
        <v>32</v>
      </c>
      <c r="M767" s="8"/>
      <c r="N767" s="8" t="b">
        <v>0</v>
      </c>
      <c r="O767" s="10">
        <v>712533</v>
      </c>
      <c r="P767" s="8" t="s">
        <v>194</v>
      </c>
      <c r="Q767" s="8">
        <v>332731</v>
      </c>
      <c r="R767" s="9">
        <v>45307</v>
      </c>
      <c r="S767" s="8" t="s">
        <v>308</v>
      </c>
      <c r="T767" s="8" t="s">
        <v>44</v>
      </c>
      <c r="U767" s="8" t="s">
        <v>309</v>
      </c>
      <c r="V767" s="8" t="s">
        <v>46</v>
      </c>
      <c r="W767" s="8">
        <v>0</v>
      </c>
    </row>
    <row r="768" spans="1:24" x14ac:dyDescent="0.25">
      <c r="A768" s="4"/>
      <c r="B768" s="4"/>
      <c r="C768" s="4">
        <v>891365</v>
      </c>
      <c r="D768" s="22">
        <v>5135.4399999999996</v>
      </c>
      <c r="E768" s="5">
        <f t="shared" si="11"/>
        <v>-0.43999999999959982</v>
      </c>
      <c r="F768" s="9">
        <v>45308</v>
      </c>
      <c r="G768" s="10">
        <v>330832745</v>
      </c>
      <c r="H768" s="9">
        <v>45307</v>
      </c>
      <c r="I768" s="9">
        <v>45322</v>
      </c>
      <c r="J768" s="8">
        <v>5135</v>
      </c>
      <c r="K768" s="8" t="s">
        <v>31</v>
      </c>
      <c r="L768" s="8" t="s">
        <v>32</v>
      </c>
      <c r="M768" s="8"/>
      <c r="N768" s="8" t="b">
        <v>0</v>
      </c>
      <c r="O768" s="10">
        <v>710350</v>
      </c>
      <c r="P768" s="8" t="s">
        <v>212</v>
      </c>
      <c r="Q768" s="8">
        <v>332717</v>
      </c>
      <c r="R768" s="9">
        <v>45307</v>
      </c>
      <c r="S768" s="8" t="s">
        <v>180</v>
      </c>
      <c r="T768" s="8" t="s">
        <v>44</v>
      </c>
      <c r="U768" s="8" t="s">
        <v>45</v>
      </c>
      <c r="V768" s="8" t="s">
        <v>46</v>
      </c>
      <c r="W768" s="8">
        <v>0</v>
      </c>
    </row>
    <row r="769" spans="1:23" x14ac:dyDescent="0.25">
      <c r="A769" s="4"/>
      <c r="B769" s="4"/>
      <c r="C769" s="4">
        <v>891564</v>
      </c>
      <c r="D769" s="22">
        <v>5133.24</v>
      </c>
      <c r="E769" s="5">
        <f t="shared" si="11"/>
        <v>-0.23999999999978172</v>
      </c>
      <c r="F769" s="9">
        <v>45308</v>
      </c>
      <c r="G769" s="10">
        <v>330832681</v>
      </c>
      <c r="H769" s="9">
        <v>45307</v>
      </c>
      <c r="I769" s="9">
        <v>45322</v>
      </c>
      <c r="J769" s="8">
        <v>5133</v>
      </c>
      <c r="K769" s="8" t="s">
        <v>31</v>
      </c>
      <c r="L769" s="8" t="s">
        <v>32</v>
      </c>
      <c r="M769" s="8"/>
      <c r="N769" s="8" t="b">
        <v>0</v>
      </c>
      <c r="O769" s="10">
        <v>709324</v>
      </c>
      <c r="P769" s="8" t="s">
        <v>321</v>
      </c>
      <c r="Q769" s="8">
        <v>332712</v>
      </c>
      <c r="R769" s="9">
        <v>45307</v>
      </c>
      <c r="S769" s="8" t="s">
        <v>34</v>
      </c>
      <c r="T769" s="8" t="s">
        <v>44</v>
      </c>
      <c r="U769" s="8" t="s">
        <v>58</v>
      </c>
      <c r="V769" s="8" t="s">
        <v>46</v>
      </c>
      <c r="W769" s="8">
        <v>0</v>
      </c>
    </row>
    <row r="770" spans="1:23" x14ac:dyDescent="0.25">
      <c r="A770" s="4">
        <v>2</v>
      </c>
      <c r="B770" s="4" t="s">
        <v>343</v>
      </c>
      <c r="C770" s="4"/>
      <c r="D770" s="4"/>
      <c r="E770" s="5">
        <f t="shared" si="11"/>
        <v>4362</v>
      </c>
      <c r="F770" s="44" t="s">
        <v>251</v>
      </c>
      <c r="G770" s="10">
        <v>330830841</v>
      </c>
      <c r="H770" s="9">
        <v>45307</v>
      </c>
      <c r="I770" s="9">
        <v>45322</v>
      </c>
      <c r="J770" s="8">
        <v>4362</v>
      </c>
      <c r="K770" s="8" t="s">
        <v>31</v>
      </c>
      <c r="L770" s="8" t="s">
        <v>32</v>
      </c>
      <c r="M770" s="8"/>
      <c r="N770" s="8" t="b">
        <v>0</v>
      </c>
      <c r="O770" s="10"/>
      <c r="P770" s="8" t="s">
        <v>372</v>
      </c>
      <c r="Q770" s="8">
        <v>327925</v>
      </c>
      <c r="R770" s="9">
        <v>45307</v>
      </c>
      <c r="S770" s="8" t="s">
        <v>34</v>
      </c>
      <c r="T770" s="8" t="s">
        <v>49</v>
      </c>
      <c r="U770" s="8" t="s">
        <v>75</v>
      </c>
      <c r="V770" s="8" t="s">
        <v>46</v>
      </c>
      <c r="W770" s="8">
        <v>0</v>
      </c>
    </row>
    <row r="771" spans="1:23" x14ac:dyDescent="0.25">
      <c r="A771" s="4"/>
      <c r="B771" s="4"/>
      <c r="C771" s="4">
        <v>891305</v>
      </c>
      <c r="D771" s="22">
        <v>9226.32</v>
      </c>
      <c r="E771" s="5">
        <f t="shared" si="11"/>
        <v>0.68000000000029104</v>
      </c>
      <c r="F771" s="9">
        <v>45308</v>
      </c>
      <c r="G771" s="10">
        <v>330821438</v>
      </c>
      <c r="H771" s="9">
        <v>45307</v>
      </c>
      <c r="I771" s="9">
        <v>45322</v>
      </c>
      <c r="J771" s="8">
        <v>9227</v>
      </c>
      <c r="K771" s="8" t="s">
        <v>31</v>
      </c>
      <c r="L771" s="8" t="s">
        <v>32</v>
      </c>
      <c r="M771" s="8"/>
      <c r="N771" s="8" t="b">
        <v>0</v>
      </c>
      <c r="O771" s="10">
        <v>709990</v>
      </c>
      <c r="P771" s="8" t="s">
        <v>202</v>
      </c>
      <c r="Q771" s="8">
        <v>312384</v>
      </c>
      <c r="R771" s="9">
        <v>45306</v>
      </c>
      <c r="S771" s="8" t="s">
        <v>130</v>
      </c>
      <c r="T771" s="8" t="s">
        <v>40</v>
      </c>
      <c r="U771" s="8" t="s">
        <v>131</v>
      </c>
      <c r="V771" s="8" t="s">
        <v>132</v>
      </c>
      <c r="W771" s="8">
        <v>0</v>
      </c>
    </row>
    <row r="772" spans="1:23" x14ac:dyDescent="0.25">
      <c r="A772" s="4"/>
      <c r="B772" s="4"/>
      <c r="C772" s="4">
        <v>891290</v>
      </c>
      <c r="D772" s="22">
        <v>7775.12</v>
      </c>
      <c r="E772" s="5">
        <f t="shared" si="11"/>
        <v>-0.11999999999989086</v>
      </c>
      <c r="F772" s="9">
        <v>45308</v>
      </c>
      <c r="G772" s="10">
        <v>330821166</v>
      </c>
      <c r="H772" s="9">
        <v>45307</v>
      </c>
      <c r="I772" s="9">
        <v>45322</v>
      </c>
      <c r="J772" s="8">
        <v>7775</v>
      </c>
      <c r="K772" s="8" t="s">
        <v>31</v>
      </c>
      <c r="L772" s="8" t="s">
        <v>32</v>
      </c>
      <c r="M772" s="8"/>
      <c r="N772" s="8" t="b">
        <v>0</v>
      </c>
      <c r="O772" s="10">
        <v>21211</v>
      </c>
      <c r="P772" s="8" t="s">
        <v>83</v>
      </c>
      <c r="Q772" s="8">
        <v>312279</v>
      </c>
      <c r="R772" s="9">
        <v>45306</v>
      </c>
      <c r="S772" s="8" t="s">
        <v>318</v>
      </c>
      <c r="T772" s="8" t="s">
        <v>40</v>
      </c>
      <c r="U772" s="8" t="s">
        <v>319</v>
      </c>
      <c r="V772" s="8" t="s">
        <v>320</v>
      </c>
      <c r="W772" s="8">
        <v>0</v>
      </c>
    </row>
    <row r="773" spans="1:23" x14ac:dyDescent="0.25">
      <c r="A773" s="4"/>
      <c r="B773" s="4"/>
      <c r="C773" s="4">
        <v>891565</v>
      </c>
      <c r="D773" s="22">
        <v>8029.88</v>
      </c>
      <c r="E773" s="5">
        <f t="shared" si="11"/>
        <v>0.11999999999989086</v>
      </c>
      <c r="F773" s="9">
        <v>45308</v>
      </c>
      <c r="G773" s="10">
        <v>330819664</v>
      </c>
      <c r="H773" s="9">
        <v>45307</v>
      </c>
      <c r="I773" s="9">
        <v>45322</v>
      </c>
      <c r="J773" s="8">
        <v>8030</v>
      </c>
      <c r="K773" s="8" t="s">
        <v>31</v>
      </c>
      <c r="L773" s="8" t="s">
        <v>32</v>
      </c>
      <c r="M773" s="8"/>
      <c r="N773" s="8" t="b">
        <v>0</v>
      </c>
      <c r="O773" s="10">
        <v>713110</v>
      </c>
      <c r="P773" s="8" t="s">
        <v>164</v>
      </c>
      <c r="Q773" s="8">
        <v>310019</v>
      </c>
      <c r="R773" s="9">
        <v>45306</v>
      </c>
      <c r="S773" s="8" t="s">
        <v>34</v>
      </c>
      <c r="T773" s="8" t="s">
        <v>40</v>
      </c>
      <c r="U773" s="8" t="s">
        <v>157</v>
      </c>
      <c r="V773" s="8" t="s">
        <v>158</v>
      </c>
      <c r="W773" s="8">
        <v>0</v>
      </c>
    </row>
    <row r="774" spans="1:23" x14ac:dyDescent="0.25">
      <c r="A774" s="4"/>
      <c r="B774" s="4"/>
      <c r="C774" s="4">
        <v>891241</v>
      </c>
      <c r="D774" s="22">
        <v>9226.32</v>
      </c>
      <c r="E774" s="5">
        <f t="shared" ref="E774:E826" si="12">J774-D774</f>
        <v>0.68000000000029104</v>
      </c>
      <c r="F774" s="9">
        <v>45308</v>
      </c>
      <c r="G774" s="10">
        <v>330818834</v>
      </c>
      <c r="H774" s="9">
        <v>45307</v>
      </c>
      <c r="I774" s="9">
        <v>45322</v>
      </c>
      <c r="J774" s="8">
        <v>9227</v>
      </c>
      <c r="K774" s="8" t="s">
        <v>31</v>
      </c>
      <c r="L774" s="8" t="s">
        <v>32</v>
      </c>
      <c r="M774" s="8"/>
      <c r="N774" s="8" t="b">
        <v>0</v>
      </c>
      <c r="O774" s="10">
        <v>709989</v>
      </c>
      <c r="P774" s="8" t="s">
        <v>218</v>
      </c>
      <c r="Q774" s="8">
        <v>308211</v>
      </c>
      <c r="R774" s="9">
        <v>45306</v>
      </c>
      <c r="S774" s="8" t="s">
        <v>130</v>
      </c>
      <c r="T774" s="8" t="s">
        <v>40</v>
      </c>
      <c r="U774" s="8" t="s">
        <v>131</v>
      </c>
      <c r="V774" s="8" t="s">
        <v>132</v>
      </c>
      <c r="W774" s="8">
        <v>0</v>
      </c>
    </row>
    <row r="775" spans="1:23" x14ac:dyDescent="0.25">
      <c r="A775" s="4"/>
      <c r="B775" s="4"/>
      <c r="C775" s="4">
        <v>891566</v>
      </c>
      <c r="D775" s="22">
        <v>7951.32</v>
      </c>
      <c r="E775" s="5">
        <f t="shared" si="12"/>
        <v>-0.31999999999970896</v>
      </c>
      <c r="F775" s="9">
        <v>45308</v>
      </c>
      <c r="G775" s="10">
        <v>330808363</v>
      </c>
      <c r="H775" s="9">
        <v>45307</v>
      </c>
      <c r="I775" s="9">
        <v>45322</v>
      </c>
      <c r="J775" s="8">
        <v>7951</v>
      </c>
      <c r="K775" s="8" t="s">
        <v>31</v>
      </c>
      <c r="L775" s="8" t="s">
        <v>32</v>
      </c>
      <c r="M775" s="8"/>
      <c r="N775" s="8" t="b">
        <v>0</v>
      </c>
      <c r="O775" s="10">
        <v>711906</v>
      </c>
      <c r="P775" s="8" t="s">
        <v>117</v>
      </c>
      <c r="Q775" s="8">
        <v>288466</v>
      </c>
      <c r="R775" s="9">
        <v>45305</v>
      </c>
      <c r="S775" s="8" t="s">
        <v>34</v>
      </c>
      <c r="T775" s="8" t="s">
        <v>40</v>
      </c>
      <c r="U775" s="8" t="s">
        <v>88</v>
      </c>
      <c r="V775" s="8" t="s">
        <v>72</v>
      </c>
      <c r="W775" s="8">
        <v>0</v>
      </c>
    </row>
    <row r="776" spans="1:23" x14ac:dyDescent="0.25">
      <c r="A776" s="4"/>
      <c r="B776" s="4"/>
      <c r="C776" s="4">
        <v>891567</v>
      </c>
      <c r="D776" s="22">
        <v>7951.32</v>
      </c>
      <c r="E776" s="5">
        <f t="shared" si="12"/>
        <v>-0.31999999999970896</v>
      </c>
      <c r="F776" s="9">
        <v>45308</v>
      </c>
      <c r="G776" s="10">
        <v>330808360</v>
      </c>
      <c r="H776" s="9">
        <v>45307</v>
      </c>
      <c r="I776" s="9">
        <v>45322</v>
      </c>
      <c r="J776" s="8">
        <v>7951</v>
      </c>
      <c r="K776" s="8" t="s">
        <v>31</v>
      </c>
      <c r="L776" s="8" t="s">
        <v>32</v>
      </c>
      <c r="M776" s="8"/>
      <c r="N776" s="8" t="b">
        <v>0</v>
      </c>
      <c r="O776" s="10">
        <v>711904</v>
      </c>
      <c r="P776" s="8" t="s">
        <v>167</v>
      </c>
      <c r="Q776" s="8">
        <v>288463</v>
      </c>
      <c r="R776" s="9">
        <v>45305</v>
      </c>
      <c r="S776" s="8" t="s">
        <v>34</v>
      </c>
      <c r="T776" s="8" t="s">
        <v>40</v>
      </c>
      <c r="U776" s="8" t="s">
        <v>88</v>
      </c>
      <c r="V776" s="8" t="s">
        <v>72</v>
      </c>
      <c r="W776" s="8">
        <v>0</v>
      </c>
    </row>
    <row r="777" spans="1:23" x14ac:dyDescent="0.25">
      <c r="A777" s="4"/>
      <c r="B777" s="4"/>
      <c r="C777" s="4">
        <v>891568</v>
      </c>
      <c r="D777" s="22">
        <v>7951.32</v>
      </c>
      <c r="E777" s="5">
        <f t="shared" si="12"/>
        <v>-0.31999999999970896</v>
      </c>
      <c r="F777" s="9">
        <v>45308</v>
      </c>
      <c r="G777" s="10">
        <v>330808356</v>
      </c>
      <c r="H777" s="9">
        <v>45307</v>
      </c>
      <c r="I777" s="9">
        <v>45322</v>
      </c>
      <c r="J777" s="8">
        <v>7951</v>
      </c>
      <c r="K777" s="8" t="s">
        <v>31</v>
      </c>
      <c r="L777" s="8" t="s">
        <v>32</v>
      </c>
      <c r="M777" s="8"/>
      <c r="N777" s="8" t="b">
        <v>0</v>
      </c>
      <c r="O777" s="10">
        <v>711902</v>
      </c>
      <c r="P777" s="8" t="s">
        <v>80</v>
      </c>
      <c r="Q777" s="8">
        <v>288424</v>
      </c>
      <c r="R777" s="9">
        <v>45304</v>
      </c>
      <c r="S777" s="8" t="s">
        <v>34</v>
      </c>
      <c r="T777" s="8" t="s">
        <v>40</v>
      </c>
      <c r="U777" s="8" t="s">
        <v>88</v>
      </c>
      <c r="V777" s="8" t="s">
        <v>72</v>
      </c>
      <c r="W777" s="8">
        <v>0</v>
      </c>
    </row>
    <row r="778" spans="1:23" x14ac:dyDescent="0.25">
      <c r="A778" s="4"/>
      <c r="B778" s="4"/>
      <c r="C778" s="4">
        <v>891569</v>
      </c>
      <c r="D778" s="22">
        <v>7951.32</v>
      </c>
      <c r="E778" s="5">
        <f t="shared" si="12"/>
        <v>-0.31999999999970896</v>
      </c>
      <c r="F778" s="9">
        <v>45308</v>
      </c>
      <c r="G778" s="10">
        <v>330808353</v>
      </c>
      <c r="H778" s="9">
        <v>45307</v>
      </c>
      <c r="I778" s="9">
        <v>45322</v>
      </c>
      <c r="J778" s="8">
        <v>7951</v>
      </c>
      <c r="K778" s="8" t="s">
        <v>31</v>
      </c>
      <c r="L778" s="8" t="s">
        <v>32</v>
      </c>
      <c r="M778" s="8"/>
      <c r="N778" s="8" t="b">
        <v>0</v>
      </c>
      <c r="O778" s="10">
        <v>711903</v>
      </c>
      <c r="P778" s="8" t="s">
        <v>135</v>
      </c>
      <c r="Q778" s="8">
        <v>288427</v>
      </c>
      <c r="R778" s="9">
        <v>45304</v>
      </c>
      <c r="S778" s="8" t="s">
        <v>34</v>
      </c>
      <c r="T778" s="8" t="s">
        <v>40</v>
      </c>
      <c r="U778" s="8" t="s">
        <v>88</v>
      </c>
      <c r="V778" s="8" t="s">
        <v>72</v>
      </c>
      <c r="W778" s="8">
        <v>0</v>
      </c>
    </row>
    <row r="779" spans="1:23" x14ac:dyDescent="0.25">
      <c r="A779" s="4"/>
      <c r="B779" s="4"/>
      <c r="C779" s="4">
        <v>891570</v>
      </c>
      <c r="D779" s="22">
        <v>7951.32</v>
      </c>
      <c r="E779" s="5">
        <f t="shared" si="12"/>
        <v>-0.31999999999970896</v>
      </c>
      <c r="F779" s="9">
        <v>45308</v>
      </c>
      <c r="G779" s="10">
        <v>330808349</v>
      </c>
      <c r="H779" s="9">
        <v>45307</v>
      </c>
      <c r="I779" s="9">
        <v>45322</v>
      </c>
      <c r="J779" s="8">
        <v>7951</v>
      </c>
      <c r="K779" s="8" t="s">
        <v>31</v>
      </c>
      <c r="L779" s="8" t="s">
        <v>32</v>
      </c>
      <c r="M779" s="8"/>
      <c r="N779" s="8" t="b">
        <v>0</v>
      </c>
      <c r="O779" s="10">
        <v>711901</v>
      </c>
      <c r="P779" s="8" t="s">
        <v>323</v>
      </c>
      <c r="Q779" s="8">
        <v>288422</v>
      </c>
      <c r="R779" s="9">
        <v>45304</v>
      </c>
      <c r="S779" s="8" t="s">
        <v>34</v>
      </c>
      <c r="T779" s="8" t="s">
        <v>40</v>
      </c>
      <c r="U779" s="8" t="s">
        <v>88</v>
      </c>
      <c r="V779" s="8" t="s">
        <v>72</v>
      </c>
      <c r="W779" s="8">
        <v>0</v>
      </c>
    </row>
    <row r="780" spans="1:23" x14ac:dyDescent="0.25">
      <c r="A780" s="4"/>
      <c r="B780" s="4"/>
      <c r="C780" s="4">
        <v>891571</v>
      </c>
      <c r="D780" s="22">
        <v>7951.32</v>
      </c>
      <c r="E780" s="5">
        <f t="shared" si="12"/>
        <v>-0.31999999999970896</v>
      </c>
      <c r="F780" s="9">
        <v>45308</v>
      </c>
      <c r="G780" s="10">
        <v>330808331</v>
      </c>
      <c r="H780" s="9">
        <v>45307</v>
      </c>
      <c r="I780" s="9">
        <v>45322</v>
      </c>
      <c r="J780" s="8">
        <v>7951</v>
      </c>
      <c r="K780" s="8" t="s">
        <v>31</v>
      </c>
      <c r="L780" s="8" t="s">
        <v>32</v>
      </c>
      <c r="M780" s="8"/>
      <c r="N780" s="8" t="b">
        <v>0</v>
      </c>
      <c r="O780" s="10">
        <v>711905</v>
      </c>
      <c r="P780" s="8" t="s">
        <v>156</v>
      </c>
      <c r="Q780" s="8">
        <v>288464</v>
      </c>
      <c r="R780" s="9">
        <v>45305</v>
      </c>
      <c r="S780" s="8" t="s">
        <v>34</v>
      </c>
      <c r="T780" s="8" t="s">
        <v>40</v>
      </c>
      <c r="U780" s="8" t="s">
        <v>88</v>
      </c>
      <c r="V780" s="8" t="s">
        <v>72</v>
      </c>
      <c r="W780" s="8">
        <v>0</v>
      </c>
    </row>
    <row r="781" spans="1:23" x14ac:dyDescent="0.25">
      <c r="A781" s="4"/>
      <c r="B781" s="4"/>
      <c r="C781" s="4">
        <v>891927</v>
      </c>
      <c r="D781" s="22">
        <v>5133.24</v>
      </c>
      <c r="E781" s="5">
        <f t="shared" si="12"/>
        <v>-0.23999999999978172</v>
      </c>
      <c r="F781" s="9">
        <v>45321</v>
      </c>
      <c r="G781" s="10">
        <v>330851169</v>
      </c>
      <c r="H781" s="9">
        <v>45308</v>
      </c>
      <c r="I781" s="9">
        <v>45323</v>
      </c>
      <c r="J781" s="8">
        <v>5133</v>
      </c>
      <c r="K781" s="8" t="s">
        <v>31</v>
      </c>
      <c r="L781" s="8" t="s">
        <v>32</v>
      </c>
      <c r="M781" s="8"/>
      <c r="N781" s="8" t="b">
        <v>0</v>
      </c>
      <c r="O781" s="10">
        <v>712598</v>
      </c>
      <c r="P781" s="8" t="s">
        <v>54</v>
      </c>
      <c r="Q781" s="8">
        <v>359872</v>
      </c>
      <c r="R781" s="9">
        <v>45308</v>
      </c>
      <c r="S781" s="8" t="s">
        <v>34</v>
      </c>
      <c r="T781" s="8" t="s">
        <v>44</v>
      </c>
      <c r="U781" s="8" t="s">
        <v>58</v>
      </c>
      <c r="V781" s="8" t="s">
        <v>46</v>
      </c>
      <c r="W781" s="8">
        <v>0</v>
      </c>
    </row>
    <row r="782" spans="1:23" x14ac:dyDescent="0.25">
      <c r="A782" s="4"/>
      <c r="B782" s="4"/>
      <c r="C782" s="4">
        <v>891928</v>
      </c>
      <c r="D782" s="22">
        <v>5133.24</v>
      </c>
      <c r="E782" s="5">
        <f t="shared" si="12"/>
        <v>-0.23999999999978172</v>
      </c>
      <c r="F782" s="9">
        <v>45321</v>
      </c>
      <c r="G782" s="10">
        <v>330851108</v>
      </c>
      <c r="H782" s="9">
        <v>45308</v>
      </c>
      <c r="I782" s="9">
        <v>45323</v>
      </c>
      <c r="J782" s="8">
        <v>5133</v>
      </c>
      <c r="K782" s="8" t="s">
        <v>31</v>
      </c>
      <c r="L782" s="8" t="s">
        <v>32</v>
      </c>
      <c r="M782" s="8"/>
      <c r="N782" s="8" t="b">
        <v>0</v>
      </c>
      <c r="O782" s="10">
        <v>710536</v>
      </c>
      <c r="P782" s="8" t="s">
        <v>298</v>
      </c>
      <c r="Q782" s="8">
        <v>359842</v>
      </c>
      <c r="R782" s="9">
        <v>45308</v>
      </c>
      <c r="S782" s="8" t="s">
        <v>34</v>
      </c>
      <c r="T782" s="8" t="s">
        <v>44</v>
      </c>
      <c r="U782" s="8" t="s">
        <v>58</v>
      </c>
      <c r="V782" s="8" t="s">
        <v>46</v>
      </c>
      <c r="W782" s="8">
        <v>0</v>
      </c>
    </row>
    <row r="783" spans="1:23" x14ac:dyDescent="0.25">
      <c r="A783" s="4"/>
      <c r="B783" s="4"/>
      <c r="C783" s="4">
        <v>891930</v>
      </c>
      <c r="D783" s="22">
        <v>5133.24</v>
      </c>
      <c r="E783" s="5">
        <f t="shared" si="12"/>
        <v>-0.23999999999978172</v>
      </c>
      <c r="F783" s="9">
        <v>45321</v>
      </c>
      <c r="G783" s="10">
        <v>330851105</v>
      </c>
      <c r="H783" s="9">
        <v>45308</v>
      </c>
      <c r="I783" s="9">
        <v>45323</v>
      </c>
      <c r="J783" s="8">
        <v>5133</v>
      </c>
      <c r="K783" s="8" t="s">
        <v>31</v>
      </c>
      <c r="L783" s="8" t="s">
        <v>32</v>
      </c>
      <c r="M783" s="8"/>
      <c r="N783" s="8" t="b">
        <v>0</v>
      </c>
      <c r="O783" s="10">
        <v>709332</v>
      </c>
      <c r="P783" s="8" t="s">
        <v>179</v>
      </c>
      <c r="Q783" s="8">
        <v>359863</v>
      </c>
      <c r="R783" s="9">
        <v>45308</v>
      </c>
      <c r="S783" s="8" t="s">
        <v>34</v>
      </c>
      <c r="T783" s="8" t="s">
        <v>44</v>
      </c>
      <c r="U783" s="8" t="s">
        <v>58</v>
      </c>
      <c r="V783" s="8" t="s">
        <v>46</v>
      </c>
      <c r="W783" s="8">
        <v>0</v>
      </c>
    </row>
    <row r="784" spans="1:23" x14ac:dyDescent="0.25">
      <c r="A784" s="4"/>
      <c r="B784" s="4"/>
      <c r="C784" s="4">
        <v>891931</v>
      </c>
      <c r="D784" s="22">
        <v>5133.24</v>
      </c>
      <c r="E784" s="5">
        <f t="shared" si="12"/>
        <v>-0.23999999999978172</v>
      </c>
      <c r="F784" s="9">
        <v>45321</v>
      </c>
      <c r="G784" s="10">
        <v>330851098</v>
      </c>
      <c r="H784" s="9">
        <v>45308</v>
      </c>
      <c r="I784" s="9">
        <v>45323</v>
      </c>
      <c r="J784" s="8">
        <v>5133</v>
      </c>
      <c r="K784" s="8" t="s">
        <v>31</v>
      </c>
      <c r="L784" s="8" t="s">
        <v>32</v>
      </c>
      <c r="M784" s="8"/>
      <c r="N784" s="8" t="b">
        <v>0</v>
      </c>
      <c r="O784" s="10">
        <v>709331</v>
      </c>
      <c r="P784" s="8" t="s">
        <v>222</v>
      </c>
      <c r="Q784" s="8">
        <v>359846</v>
      </c>
      <c r="R784" s="9">
        <v>45308</v>
      </c>
      <c r="S784" s="8" t="s">
        <v>34</v>
      </c>
      <c r="T784" s="8" t="s">
        <v>44</v>
      </c>
      <c r="U784" s="8" t="s">
        <v>58</v>
      </c>
      <c r="V784" s="8" t="s">
        <v>46</v>
      </c>
      <c r="W784" s="8">
        <v>0</v>
      </c>
    </row>
    <row r="785" spans="1:23" x14ac:dyDescent="0.25">
      <c r="A785" s="4"/>
      <c r="B785" s="4"/>
      <c r="C785" s="4">
        <v>891933</v>
      </c>
      <c r="D785" s="22">
        <v>5133.24</v>
      </c>
      <c r="E785" s="5">
        <f t="shared" si="12"/>
        <v>-0.23999999999978172</v>
      </c>
      <c r="F785" s="9">
        <v>45321</v>
      </c>
      <c r="G785" s="10">
        <v>330851082</v>
      </c>
      <c r="H785" s="9">
        <v>45308</v>
      </c>
      <c r="I785" s="9">
        <v>45323</v>
      </c>
      <c r="J785" s="8">
        <v>5133</v>
      </c>
      <c r="K785" s="8" t="s">
        <v>31</v>
      </c>
      <c r="L785" s="8" t="s">
        <v>32</v>
      </c>
      <c r="M785" s="8"/>
      <c r="N785" s="8" t="b">
        <v>0</v>
      </c>
      <c r="O785" s="10">
        <v>710532</v>
      </c>
      <c r="P785" s="8" t="s">
        <v>204</v>
      </c>
      <c r="Q785" s="8">
        <v>359832</v>
      </c>
      <c r="R785" s="9">
        <v>45308</v>
      </c>
      <c r="S785" s="8" t="s">
        <v>34</v>
      </c>
      <c r="T785" s="8" t="s">
        <v>44</v>
      </c>
      <c r="U785" s="8" t="s">
        <v>58</v>
      </c>
      <c r="V785" s="8" t="s">
        <v>46</v>
      </c>
      <c r="W785" s="8">
        <v>0</v>
      </c>
    </row>
    <row r="786" spans="1:23" x14ac:dyDescent="0.25">
      <c r="A786" s="4"/>
      <c r="B786" s="4"/>
      <c r="C786" s="4">
        <v>891934</v>
      </c>
      <c r="D786" s="22">
        <v>5133.24</v>
      </c>
      <c r="E786" s="5">
        <f t="shared" si="12"/>
        <v>-0.23999999999978172</v>
      </c>
      <c r="F786" s="9">
        <v>45321</v>
      </c>
      <c r="G786" s="10">
        <v>330851074</v>
      </c>
      <c r="H786" s="9">
        <v>45308</v>
      </c>
      <c r="I786" s="9">
        <v>45323</v>
      </c>
      <c r="J786" s="8">
        <v>5133</v>
      </c>
      <c r="K786" s="8" t="s">
        <v>31</v>
      </c>
      <c r="L786" s="8" t="s">
        <v>32</v>
      </c>
      <c r="M786" s="8"/>
      <c r="N786" s="8" t="b">
        <v>0</v>
      </c>
      <c r="O786" s="10">
        <v>712599</v>
      </c>
      <c r="P786" s="8" t="s">
        <v>267</v>
      </c>
      <c r="Q786" s="8">
        <v>359901</v>
      </c>
      <c r="R786" s="9">
        <v>45308</v>
      </c>
      <c r="S786" s="8" t="s">
        <v>34</v>
      </c>
      <c r="T786" s="8" t="s">
        <v>44</v>
      </c>
      <c r="U786" s="8" t="s">
        <v>58</v>
      </c>
      <c r="V786" s="8" t="s">
        <v>46</v>
      </c>
      <c r="W786" s="8">
        <v>0</v>
      </c>
    </row>
    <row r="787" spans="1:23" x14ac:dyDescent="0.25">
      <c r="A787" s="4"/>
      <c r="B787" s="4"/>
      <c r="C787" s="4">
        <v>891869</v>
      </c>
      <c r="D787" s="22">
        <v>91610.4</v>
      </c>
      <c r="E787" s="5">
        <f t="shared" si="12"/>
        <v>-8.3999999999941792</v>
      </c>
      <c r="F787" s="9">
        <v>45321</v>
      </c>
      <c r="G787" s="10">
        <v>330870794</v>
      </c>
      <c r="H787" s="9">
        <v>45309</v>
      </c>
      <c r="I787" s="9">
        <v>45324</v>
      </c>
      <c r="J787" s="8">
        <v>91602</v>
      </c>
      <c r="K787" s="8" t="s">
        <v>31</v>
      </c>
      <c r="L787" s="8" t="s">
        <v>32</v>
      </c>
      <c r="M787" s="8"/>
      <c r="N787" s="8" t="b">
        <v>0</v>
      </c>
      <c r="O787" s="10"/>
      <c r="P787" s="8" t="s">
        <v>373</v>
      </c>
      <c r="Q787" s="8">
        <v>387428</v>
      </c>
      <c r="R787" s="9">
        <v>45309</v>
      </c>
      <c r="S787" s="8" t="s">
        <v>34</v>
      </c>
      <c r="T787" s="8" t="s">
        <v>49</v>
      </c>
      <c r="U787" s="8" t="s">
        <v>75</v>
      </c>
      <c r="V787" s="8" t="s">
        <v>46</v>
      </c>
      <c r="W787" s="8">
        <v>0</v>
      </c>
    </row>
    <row r="788" spans="1:23" x14ac:dyDescent="0.25">
      <c r="A788" s="4"/>
      <c r="B788" s="4"/>
      <c r="C788" s="4">
        <v>892092</v>
      </c>
      <c r="D788" s="22">
        <v>5133.24</v>
      </c>
      <c r="E788" s="5">
        <f t="shared" si="12"/>
        <v>-0.23999999999978172</v>
      </c>
      <c r="F788" s="9">
        <v>45321</v>
      </c>
      <c r="G788" s="10">
        <v>330870171</v>
      </c>
      <c r="H788" s="9">
        <v>45309</v>
      </c>
      <c r="I788" s="9">
        <v>45324</v>
      </c>
      <c r="J788" s="8">
        <v>5133</v>
      </c>
      <c r="K788" s="8" t="s">
        <v>31</v>
      </c>
      <c r="L788" s="8" t="s">
        <v>32</v>
      </c>
      <c r="M788" s="8"/>
      <c r="N788" s="8" t="b">
        <v>0</v>
      </c>
      <c r="O788" s="10">
        <v>712601</v>
      </c>
      <c r="P788" s="8" t="s">
        <v>79</v>
      </c>
      <c r="Q788" s="8">
        <v>386048</v>
      </c>
      <c r="R788" s="9">
        <v>45309</v>
      </c>
      <c r="S788" s="8" t="s">
        <v>34</v>
      </c>
      <c r="T788" s="8" t="s">
        <v>44</v>
      </c>
      <c r="U788" s="8" t="s">
        <v>58</v>
      </c>
      <c r="V788" s="8" t="s">
        <v>46</v>
      </c>
      <c r="W788" s="8">
        <v>0</v>
      </c>
    </row>
    <row r="789" spans="1:23" x14ac:dyDescent="0.25">
      <c r="A789" s="4"/>
      <c r="B789" s="4"/>
      <c r="C789" s="4">
        <v>891863</v>
      </c>
      <c r="D789" s="22">
        <v>5144.24</v>
      </c>
      <c r="E789" s="5">
        <f t="shared" si="12"/>
        <v>0.76000000000021828</v>
      </c>
      <c r="F789" s="9">
        <v>45321</v>
      </c>
      <c r="G789" s="10">
        <v>330870137</v>
      </c>
      <c r="H789" s="9">
        <v>45309</v>
      </c>
      <c r="I789" s="9">
        <v>45324</v>
      </c>
      <c r="J789" s="8">
        <v>5145</v>
      </c>
      <c r="K789" s="8" t="s">
        <v>31</v>
      </c>
      <c r="L789" s="8" t="s">
        <v>32</v>
      </c>
      <c r="M789" s="8"/>
      <c r="N789" s="8" t="b">
        <v>0</v>
      </c>
      <c r="O789" s="10">
        <v>713506</v>
      </c>
      <c r="P789" s="8" t="s">
        <v>159</v>
      </c>
      <c r="Q789" s="8">
        <v>386063</v>
      </c>
      <c r="R789" s="9">
        <v>45309</v>
      </c>
      <c r="S789" s="8" t="s">
        <v>308</v>
      </c>
      <c r="T789" s="8" t="s">
        <v>44</v>
      </c>
      <c r="U789" s="8" t="s">
        <v>309</v>
      </c>
      <c r="V789" s="8" t="s">
        <v>46</v>
      </c>
      <c r="W789" s="8">
        <v>0</v>
      </c>
    </row>
    <row r="790" spans="1:23" x14ac:dyDescent="0.25">
      <c r="A790" s="4"/>
      <c r="B790" s="4"/>
      <c r="C790" s="4">
        <v>891865</v>
      </c>
      <c r="D790" s="22">
        <v>5144.24</v>
      </c>
      <c r="E790" s="5">
        <f t="shared" si="12"/>
        <v>0.76000000000021828</v>
      </c>
      <c r="F790" s="9">
        <v>45321</v>
      </c>
      <c r="G790" s="10">
        <v>330870135</v>
      </c>
      <c r="H790" s="9">
        <v>45309</v>
      </c>
      <c r="I790" s="9">
        <v>45324</v>
      </c>
      <c r="J790" s="8">
        <v>5145</v>
      </c>
      <c r="K790" s="8" t="s">
        <v>31</v>
      </c>
      <c r="L790" s="8" t="s">
        <v>32</v>
      </c>
      <c r="M790" s="8"/>
      <c r="N790" s="8" t="b">
        <v>0</v>
      </c>
      <c r="O790" s="10">
        <v>713507</v>
      </c>
      <c r="P790" s="8" t="s">
        <v>303</v>
      </c>
      <c r="Q790" s="8">
        <v>386085</v>
      </c>
      <c r="R790" s="9">
        <v>45309</v>
      </c>
      <c r="S790" s="8" t="s">
        <v>308</v>
      </c>
      <c r="T790" s="8" t="s">
        <v>44</v>
      </c>
      <c r="U790" s="8" t="s">
        <v>309</v>
      </c>
      <c r="V790" s="8" t="s">
        <v>46</v>
      </c>
      <c r="W790" s="8">
        <v>0</v>
      </c>
    </row>
    <row r="791" spans="1:23" x14ac:dyDescent="0.25">
      <c r="A791" s="4"/>
      <c r="B791" s="4"/>
      <c r="C791" s="4">
        <v>892106</v>
      </c>
      <c r="D791" s="22">
        <v>5133.24</v>
      </c>
      <c r="E791" s="5">
        <f t="shared" si="12"/>
        <v>-0.23999999999978172</v>
      </c>
      <c r="F791" s="9">
        <v>45321</v>
      </c>
      <c r="G791" s="10">
        <v>330870134</v>
      </c>
      <c r="H791" s="9">
        <v>45309</v>
      </c>
      <c r="I791" s="9">
        <v>45324</v>
      </c>
      <c r="J791" s="8">
        <v>5133</v>
      </c>
      <c r="K791" s="8" t="s">
        <v>31</v>
      </c>
      <c r="L791" s="8" t="s">
        <v>32</v>
      </c>
      <c r="M791" s="8"/>
      <c r="N791" s="8" t="b">
        <v>0</v>
      </c>
      <c r="O791" s="10">
        <v>712600</v>
      </c>
      <c r="P791" s="8" t="s">
        <v>281</v>
      </c>
      <c r="Q791" s="8">
        <v>386028</v>
      </c>
      <c r="R791" s="9">
        <v>45309</v>
      </c>
      <c r="S791" s="8" t="s">
        <v>34</v>
      </c>
      <c r="T791" s="8" t="s">
        <v>44</v>
      </c>
      <c r="U791" s="8" t="s">
        <v>58</v>
      </c>
      <c r="V791" s="8" t="s">
        <v>46</v>
      </c>
      <c r="W791" s="8">
        <v>0</v>
      </c>
    </row>
    <row r="792" spans="1:23" x14ac:dyDescent="0.25">
      <c r="A792" s="4"/>
      <c r="B792" s="4"/>
      <c r="C792" s="4">
        <v>892626</v>
      </c>
      <c r="D792" s="22">
        <v>5133.24</v>
      </c>
      <c r="E792" s="5">
        <f t="shared" si="12"/>
        <v>-0.23999999999978172</v>
      </c>
      <c r="F792" s="9">
        <v>45321</v>
      </c>
      <c r="G792" s="10">
        <v>330892387</v>
      </c>
      <c r="H792" s="9">
        <v>45310</v>
      </c>
      <c r="I792" s="9">
        <v>45325</v>
      </c>
      <c r="J792" s="8">
        <v>5133</v>
      </c>
      <c r="K792" s="8" t="s">
        <v>31</v>
      </c>
      <c r="L792" s="8" t="s">
        <v>32</v>
      </c>
      <c r="M792" s="8"/>
      <c r="N792" s="8" t="b">
        <v>0</v>
      </c>
      <c r="O792" s="10">
        <v>712604</v>
      </c>
      <c r="P792" s="8" t="s">
        <v>182</v>
      </c>
      <c r="Q792" s="8">
        <v>419136</v>
      </c>
      <c r="R792" s="9">
        <v>45310</v>
      </c>
      <c r="S792" s="8" t="s">
        <v>34</v>
      </c>
      <c r="T792" s="8" t="s">
        <v>44</v>
      </c>
      <c r="U792" s="8" t="s">
        <v>58</v>
      </c>
      <c r="V792" s="8" t="s">
        <v>46</v>
      </c>
      <c r="W792" s="8">
        <v>0</v>
      </c>
    </row>
    <row r="793" spans="1:23" x14ac:dyDescent="0.25">
      <c r="A793" s="4"/>
      <c r="B793" s="4"/>
      <c r="C793" s="4">
        <v>892627</v>
      </c>
      <c r="D793" s="22">
        <v>5133.24</v>
      </c>
      <c r="E793" s="5">
        <f t="shared" si="12"/>
        <v>-0.23999999999978172</v>
      </c>
      <c r="F793" s="9">
        <v>45321</v>
      </c>
      <c r="G793" s="10">
        <v>330892365</v>
      </c>
      <c r="H793" s="9">
        <v>45310</v>
      </c>
      <c r="I793" s="9">
        <v>45325</v>
      </c>
      <c r="J793" s="8">
        <v>5133</v>
      </c>
      <c r="K793" s="8" t="s">
        <v>31</v>
      </c>
      <c r="L793" s="8" t="s">
        <v>32</v>
      </c>
      <c r="M793" s="8"/>
      <c r="N793" s="8" t="b">
        <v>0</v>
      </c>
      <c r="O793" s="10">
        <v>712605</v>
      </c>
      <c r="P793" s="8" t="s">
        <v>263</v>
      </c>
      <c r="Q793" s="8">
        <v>419146</v>
      </c>
      <c r="R793" s="9">
        <v>45310</v>
      </c>
      <c r="S793" s="8" t="s">
        <v>34</v>
      </c>
      <c r="T793" s="8" t="s">
        <v>44</v>
      </c>
      <c r="U793" s="8" t="s">
        <v>58</v>
      </c>
      <c r="V793" s="8" t="s">
        <v>46</v>
      </c>
      <c r="W793" s="8">
        <v>0</v>
      </c>
    </row>
    <row r="794" spans="1:23" x14ac:dyDescent="0.25">
      <c r="A794" s="4"/>
      <c r="B794" s="4"/>
      <c r="C794" s="4">
        <v>892629</v>
      </c>
      <c r="D794" s="22">
        <v>5133.24</v>
      </c>
      <c r="E794" s="5">
        <f t="shared" si="12"/>
        <v>-0.23999999999978172</v>
      </c>
      <c r="F794" s="9">
        <v>45321</v>
      </c>
      <c r="G794" s="10">
        <v>330892345</v>
      </c>
      <c r="H794" s="9">
        <v>45310</v>
      </c>
      <c r="I794" s="9">
        <v>45325</v>
      </c>
      <c r="J794" s="8">
        <v>5133</v>
      </c>
      <c r="K794" s="8" t="s">
        <v>31</v>
      </c>
      <c r="L794" s="8" t="s">
        <v>32</v>
      </c>
      <c r="M794" s="8"/>
      <c r="N794" s="8" t="b">
        <v>0</v>
      </c>
      <c r="O794" s="10">
        <v>712603</v>
      </c>
      <c r="P794" s="8" t="s">
        <v>244</v>
      </c>
      <c r="Q794" s="8">
        <v>419116</v>
      </c>
      <c r="R794" s="9">
        <v>45310</v>
      </c>
      <c r="S794" s="8" t="s">
        <v>34</v>
      </c>
      <c r="T794" s="8" t="s">
        <v>44</v>
      </c>
      <c r="U794" s="8" t="s">
        <v>58</v>
      </c>
      <c r="V794" s="8" t="s">
        <v>46</v>
      </c>
      <c r="W794" s="8">
        <v>0</v>
      </c>
    </row>
    <row r="795" spans="1:23" x14ac:dyDescent="0.25">
      <c r="A795" s="4"/>
      <c r="B795" s="4"/>
      <c r="C795" s="4">
        <v>892009</v>
      </c>
      <c r="D795" s="22">
        <v>7884.68</v>
      </c>
      <c r="E795" s="5">
        <f>J795-D795</f>
        <v>0.31999999999970896</v>
      </c>
      <c r="F795" s="9">
        <v>45321</v>
      </c>
      <c r="G795" s="10">
        <v>330891079</v>
      </c>
      <c r="H795" s="9">
        <v>45310</v>
      </c>
      <c r="I795" s="9">
        <v>45325</v>
      </c>
      <c r="J795" s="8">
        <v>7885</v>
      </c>
      <c r="K795" s="8" t="s">
        <v>31</v>
      </c>
      <c r="L795" s="8" t="s">
        <v>32</v>
      </c>
      <c r="M795" s="8"/>
      <c r="N795" s="8" t="b">
        <v>0</v>
      </c>
      <c r="O795" s="16">
        <v>21198</v>
      </c>
      <c r="P795" s="8" t="s">
        <v>136</v>
      </c>
      <c r="Q795" s="8">
        <v>416382</v>
      </c>
      <c r="R795" s="9">
        <v>45310</v>
      </c>
      <c r="S795" s="8" t="s">
        <v>374</v>
      </c>
      <c r="T795" s="8" t="s">
        <v>40</v>
      </c>
      <c r="U795" s="8" t="s">
        <v>375</v>
      </c>
      <c r="V795" s="8" t="s">
        <v>376</v>
      </c>
      <c r="W795" s="8">
        <v>0</v>
      </c>
    </row>
    <row r="796" spans="1:23" x14ac:dyDescent="0.25">
      <c r="A796" s="4"/>
      <c r="B796" s="4"/>
      <c r="C796" s="4">
        <v>892631</v>
      </c>
      <c r="D796" s="22">
        <v>7951.32</v>
      </c>
      <c r="E796" s="5">
        <f t="shared" si="12"/>
        <v>-0.31999999999970896</v>
      </c>
      <c r="F796" s="9">
        <v>45321</v>
      </c>
      <c r="G796" s="10">
        <v>330890899</v>
      </c>
      <c r="H796" s="9">
        <v>45310</v>
      </c>
      <c r="I796" s="9">
        <v>45325</v>
      </c>
      <c r="J796" s="8">
        <v>7951</v>
      </c>
      <c r="K796" s="8" t="s">
        <v>31</v>
      </c>
      <c r="L796" s="8" t="s">
        <v>32</v>
      </c>
      <c r="M796" s="8"/>
      <c r="N796" s="8" t="b">
        <v>0</v>
      </c>
      <c r="O796" s="10">
        <v>714184</v>
      </c>
      <c r="P796" s="8" t="s">
        <v>87</v>
      </c>
      <c r="Q796" s="8">
        <v>416290</v>
      </c>
      <c r="R796" s="9">
        <v>45310</v>
      </c>
      <c r="S796" s="8" t="s">
        <v>34</v>
      </c>
      <c r="T796" s="8" t="s">
        <v>40</v>
      </c>
      <c r="U796" s="8" t="s">
        <v>88</v>
      </c>
      <c r="V796" s="8" t="s">
        <v>72</v>
      </c>
      <c r="W796" s="8">
        <v>0</v>
      </c>
    </row>
    <row r="797" spans="1:23" x14ac:dyDescent="0.25">
      <c r="A797" s="4"/>
      <c r="B797" s="4"/>
      <c r="C797" s="4">
        <v>892633</v>
      </c>
      <c r="D797" s="22">
        <v>7951.32</v>
      </c>
      <c r="E797" s="5">
        <f t="shared" si="12"/>
        <v>-0.31999999999970896</v>
      </c>
      <c r="F797" s="9">
        <v>45321</v>
      </c>
      <c r="G797" s="10">
        <v>330890874</v>
      </c>
      <c r="H797" s="9">
        <v>45310</v>
      </c>
      <c r="I797" s="9">
        <v>45325</v>
      </c>
      <c r="J797" s="8">
        <v>7951</v>
      </c>
      <c r="K797" s="8" t="s">
        <v>31</v>
      </c>
      <c r="L797" s="8" t="s">
        <v>32</v>
      </c>
      <c r="M797" s="8"/>
      <c r="N797" s="8" t="b">
        <v>0</v>
      </c>
      <c r="O797" s="10">
        <v>714182</v>
      </c>
      <c r="P797" s="8" t="s">
        <v>137</v>
      </c>
      <c r="Q797" s="8">
        <v>416270</v>
      </c>
      <c r="R797" s="9">
        <v>45310</v>
      </c>
      <c r="S797" s="8" t="s">
        <v>34</v>
      </c>
      <c r="T797" s="8" t="s">
        <v>40</v>
      </c>
      <c r="U797" s="8" t="s">
        <v>88</v>
      </c>
      <c r="V797" s="8" t="s">
        <v>72</v>
      </c>
      <c r="W797" s="8">
        <v>0</v>
      </c>
    </row>
    <row r="798" spans="1:23" x14ac:dyDescent="0.25">
      <c r="A798" s="4"/>
      <c r="B798" s="4"/>
      <c r="C798" s="4">
        <v>892635</v>
      </c>
      <c r="D798" s="22">
        <v>7951.32</v>
      </c>
      <c r="E798" s="5">
        <f t="shared" si="12"/>
        <v>-0.31999999999970896</v>
      </c>
      <c r="F798" s="9">
        <v>45321</v>
      </c>
      <c r="G798" s="10">
        <v>330890865</v>
      </c>
      <c r="H798" s="9">
        <v>45310</v>
      </c>
      <c r="I798" s="9">
        <v>45325</v>
      </c>
      <c r="J798" s="8">
        <v>7951</v>
      </c>
      <c r="K798" s="8" t="s">
        <v>31</v>
      </c>
      <c r="L798" s="8" t="s">
        <v>32</v>
      </c>
      <c r="M798" s="8"/>
      <c r="N798" s="8" t="b">
        <v>0</v>
      </c>
      <c r="O798" s="10">
        <v>714185</v>
      </c>
      <c r="P798" s="8" t="s">
        <v>266</v>
      </c>
      <c r="Q798" s="8">
        <v>416294</v>
      </c>
      <c r="R798" s="9">
        <v>45310</v>
      </c>
      <c r="S798" s="8" t="s">
        <v>34</v>
      </c>
      <c r="T798" s="8" t="s">
        <v>40</v>
      </c>
      <c r="U798" s="8" t="s">
        <v>88</v>
      </c>
      <c r="V798" s="8" t="s">
        <v>72</v>
      </c>
      <c r="W798" s="8">
        <v>0</v>
      </c>
    </row>
    <row r="799" spans="1:23" x14ac:dyDescent="0.25">
      <c r="A799" s="4"/>
      <c r="B799" s="4"/>
      <c r="C799" s="4">
        <v>892637</v>
      </c>
      <c r="D799" s="22">
        <v>7951.32</v>
      </c>
      <c r="E799" s="5">
        <f t="shared" si="12"/>
        <v>-0.31999999999970896</v>
      </c>
      <c r="F799" s="9">
        <v>45321</v>
      </c>
      <c r="G799" s="10">
        <v>330890860</v>
      </c>
      <c r="H799" s="9">
        <v>45310</v>
      </c>
      <c r="I799" s="9">
        <v>45325</v>
      </c>
      <c r="J799" s="8">
        <v>7951</v>
      </c>
      <c r="K799" s="8" t="s">
        <v>31</v>
      </c>
      <c r="L799" s="8" t="s">
        <v>32</v>
      </c>
      <c r="M799" s="8"/>
      <c r="N799" s="8" t="b">
        <v>0</v>
      </c>
      <c r="O799" s="10">
        <v>714183</v>
      </c>
      <c r="P799" s="8" t="s">
        <v>171</v>
      </c>
      <c r="Q799" s="8">
        <v>416281</v>
      </c>
      <c r="R799" s="9">
        <v>45310</v>
      </c>
      <c r="S799" s="8" t="s">
        <v>34</v>
      </c>
      <c r="T799" s="8" t="s">
        <v>40</v>
      </c>
      <c r="U799" s="8" t="s">
        <v>88</v>
      </c>
      <c r="V799" s="8" t="s">
        <v>72</v>
      </c>
      <c r="W799" s="8">
        <v>0</v>
      </c>
    </row>
    <row r="800" spans="1:23" x14ac:dyDescent="0.25">
      <c r="A800" s="4"/>
      <c r="B800" s="4"/>
      <c r="C800" s="4">
        <v>892623</v>
      </c>
      <c r="D800" s="22">
        <v>87248</v>
      </c>
      <c r="E800" s="5">
        <f t="shared" si="12"/>
        <v>-8</v>
      </c>
      <c r="F800" s="9">
        <v>45321</v>
      </c>
      <c r="G800" s="10">
        <v>330930799</v>
      </c>
      <c r="H800" s="9">
        <v>45313</v>
      </c>
      <c r="I800" s="9">
        <v>45328</v>
      </c>
      <c r="J800" s="8">
        <v>87240</v>
      </c>
      <c r="K800" s="8" t="s">
        <v>31</v>
      </c>
      <c r="L800" s="8" t="s">
        <v>32</v>
      </c>
      <c r="M800" s="8"/>
      <c r="N800" s="8" t="b">
        <v>0</v>
      </c>
      <c r="O800" s="10"/>
      <c r="P800" s="8" t="s">
        <v>377</v>
      </c>
      <c r="Q800" s="8">
        <v>466272</v>
      </c>
      <c r="R800" s="9">
        <v>45313</v>
      </c>
      <c r="S800" s="8" t="s">
        <v>34</v>
      </c>
      <c r="T800" s="8" t="s">
        <v>49</v>
      </c>
      <c r="U800" s="8" t="s">
        <v>75</v>
      </c>
      <c r="V800" s="8" t="s">
        <v>46</v>
      </c>
      <c r="W800" s="8">
        <v>0</v>
      </c>
    </row>
    <row r="801" spans="1:23" x14ac:dyDescent="0.25">
      <c r="A801" s="4"/>
      <c r="B801" s="4"/>
      <c r="C801" s="4">
        <v>892993</v>
      </c>
      <c r="D801" s="22">
        <v>5133.24</v>
      </c>
      <c r="E801" s="5">
        <f t="shared" si="12"/>
        <v>-0.23999999999978172</v>
      </c>
      <c r="F801" s="9">
        <v>45321</v>
      </c>
      <c r="G801" s="10">
        <v>330958953</v>
      </c>
      <c r="H801" s="9">
        <v>45314</v>
      </c>
      <c r="I801" s="9">
        <v>45329</v>
      </c>
      <c r="J801" s="8">
        <v>5133</v>
      </c>
      <c r="K801" s="8" t="s">
        <v>31</v>
      </c>
      <c r="L801" s="8" t="s">
        <v>32</v>
      </c>
      <c r="M801" s="8"/>
      <c r="N801" s="8" t="b">
        <v>0</v>
      </c>
      <c r="O801" s="10">
        <v>710538</v>
      </c>
      <c r="P801" s="8" t="s">
        <v>181</v>
      </c>
      <c r="Q801" s="8">
        <v>503440</v>
      </c>
      <c r="R801" s="9">
        <v>45314</v>
      </c>
      <c r="S801" s="8" t="s">
        <v>34</v>
      </c>
      <c r="T801" s="8" t="s">
        <v>44</v>
      </c>
      <c r="U801" s="8" t="s">
        <v>58</v>
      </c>
      <c r="V801" s="8" t="s">
        <v>46</v>
      </c>
      <c r="W801" s="8">
        <v>0</v>
      </c>
    </row>
    <row r="802" spans="1:23" x14ac:dyDescent="0.25">
      <c r="A802" s="4"/>
      <c r="B802" s="4"/>
      <c r="C802" s="4">
        <v>892995</v>
      </c>
      <c r="D802" s="22">
        <v>5133.24</v>
      </c>
      <c r="E802" s="5">
        <f t="shared" si="12"/>
        <v>-0.23999999999978172</v>
      </c>
      <c r="F802" s="9">
        <v>45321</v>
      </c>
      <c r="G802" s="10">
        <v>330958946</v>
      </c>
      <c r="H802" s="9">
        <v>45314</v>
      </c>
      <c r="I802" s="9">
        <v>45329</v>
      </c>
      <c r="J802" s="8">
        <v>5133</v>
      </c>
      <c r="K802" s="8" t="s">
        <v>31</v>
      </c>
      <c r="L802" s="8" t="s">
        <v>32</v>
      </c>
      <c r="M802" s="8"/>
      <c r="N802" s="8" t="b">
        <v>0</v>
      </c>
      <c r="O802" s="10">
        <v>712597</v>
      </c>
      <c r="P802" s="8" t="s">
        <v>108</v>
      </c>
      <c r="Q802" s="8">
        <v>503523</v>
      </c>
      <c r="R802" s="9">
        <v>45314</v>
      </c>
      <c r="S802" s="8" t="s">
        <v>34</v>
      </c>
      <c r="T802" s="8" t="s">
        <v>44</v>
      </c>
      <c r="U802" s="8" t="s">
        <v>58</v>
      </c>
      <c r="V802" s="8" t="s">
        <v>46</v>
      </c>
      <c r="W802" s="8">
        <v>0</v>
      </c>
    </row>
    <row r="803" spans="1:23" x14ac:dyDescent="0.25">
      <c r="A803" s="4"/>
      <c r="B803" s="4"/>
      <c r="C803" s="4">
        <v>892951</v>
      </c>
      <c r="D803" s="22">
        <v>5135.4399999999996</v>
      </c>
      <c r="E803" s="5">
        <f t="shared" si="12"/>
        <v>-0.43999999999959982</v>
      </c>
      <c r="F803" s="9">
        <v>45321</v>
      </c>
      <c r="G803" s="10">
        <v>330958913</v>
      </c>
      <c r="H803" s="9">
        <v>45314</v>
      </c>
      <c r="I803" s="9">
        <v>45329</v>
      </c>
      <c r="J803" s="8">
        <v>5135</v>
      </c>
      <c r="K803" s="8" t="s">
        <v>31</v>
      </c>
      <c r="L803" s="8" t="s">
        <v>32</v>
      </c>
      <c r="M803" s="8"/>
      <c r="N803" s="8" t="b">
        <v>0</v>
      </c>
      <c r="O803" s="10">
        <v>710351</v>
      </c>
      <c r="P803" s="8" t="s">
        <v>56</v>
      </c>
      <c r="Q803" s="8">
        <v>503489</v>
      </c>
      <c r="R803" s="9">
        <v>45314</v>
      </c>
      <c r="S803" s="8" t="s">
        <v>180</v>
      </c>
      <c r="T803" s="8" t="s">
        <v>44</v>
      </c>
      <c r="U803" s="8" t="s">
        <v>45</v>
      </c>
      <c r="V803" s="8" t="s">
        <v>46</v>
      </c>
      <c r="W803" s="8">
        <v>0</v>
      </c>
    </row>
    <row r="804" spans="1:23" x14ac:dyDescent="0.25">
      <c r="A804" s="4"/>
      <c r="B804" s="4"/>
      <c r="C804" s="4">
        <v>892982</v>
      </c>
      <c r="D804" s="22">
        <v>9226.32</v>
      </c>
      <c r="E804" s="5">
        <f t="shared" si="12"/>
        <v>0.68000000000029104</v>
      </c>
      <c r="F804" s="9">
        <v>45321</v>
      </c>
      <c r="G804" s="10">
        <v>330957524</v>
      </c>
      <c r="H804" s="9">
        <v>45314</v>
      </c>
      <c r="I804" s="9">
        <v>45329</v>
      </c>
      <c r="J804" s="8">
        <v>9227</v>
      </c>
      <c r="K804" s="8" t="s">
        <v>31</v>
      </c>
      <c r="L804" s="8" t="s">
        <v>32</v>
      </c>
      <c r="M804" s="8"/>
      <c r="N804" s="8" t="b">
        <v>0</v>
      </c>
      <c r="O804" s="10">
        <v>709991</v>
      </c>
      <c r="P804" s="8" t="s">
        <v>223</v>
      </c>
      <c r="Q804" s="8">
        <v>501145</v>
      </c>
      <c r="R804" s="9">
        <v>45314</v>
      </c>
      <c r="S804" s="8" t="s">
        <v>130</v>
      </c>
      <c r="T804" s="8" t="s">
        <v>40</v>
      </c>
      <c r="U804" s="8" t="s">
        <v>131</v>
      </c>
      <c r="V804" s="8" t="s">
        <v>132</v>
      </c>
      <c r="W804" s="8">
        <v>0</v>
      </c>
    </row>
    <row r="805" spans="1:23" x14ac:dyDescent="0.25">
      <c r="A805" s="4"/>
      <c r="B805" s="4"/>
      <c r="C805" s="4">
        <v>893327</v>
      </c>
      <c r="D805" s="22">
        <v>5133.24</v>
      </c>
      <c r="E805" s="5">
        <f t="shared" si="12"/>
        <v>-0.23999999999978172</v>
      </c>
      <c r="F805" s="9">
        <v>45321</v>
      </c>
      <c r="G805" s="10">
        <v>330969228</v>
      </c>
      <c r="H805" s="9">
        <v>45315</v>
      </c>
      <c r="I805" s="9">
        <v>45330</v>
      </c>
      <c r="J805" s="8">
        <v>5133</v>
      </c>
      <c r="K805" s="8" t="s">
        <v>31</v>
      </c>
      <c r="L805" s="8" t="s">
        <v>32</v>
      </c>
      <c r="M805" s="8"/>
      <c r="N805" s="8" t="b">
        <v>0</v>
      </c>
      <c r="O805" s="10">
        <v>710529</v>
      </c>
      <c r="P805" s="8" t="s">
        <v>165</v>
      </c>
      <c r="Q805" s="8">
        <v>516283</v>
      </c>
      <c r="R805" s="9">
        <v>45315</v>
      </c>
      <c r="S805" s="8" t="s">
        <v>34</v>
      </c>
      <c r="T805" s="8" t="s">
        <v>44</v>
      </c>
      <c r="U805" s="8" t="s">
        <v>58</v>
      </c>
      <c r="V805" s="8" t="s">
        <v>46</v>
      </c>
      <c r="W805" s="8">
        <v>0</v>
      </c>
    </row>
    <row r="806" spans="1:23" x14ac:dyDescent="0.25">
      <c r="A806" s="4"/>
      <c r="B806" s="4"/>
      <c r="C806" s="4">
        <v>893330</v>
      </c>
      <c r="D806" s="22">
        <v>5133.24</v>
      </c>
      <c r="E806" s="5">
        <f t="shared" si="12"/>
        <v>-0.23999999999978172</v>
      </c>
      <c r="F806" s="9">
        <v>45321</v>
      </c>
      <c r="G806" s="10">
        <v>330969224</v>
      </c>
      <c r="H806" s="9">
        <v>45315</v>
      </c>
      <c r="I806" s="9">
        <v>45330</v>
      </c>
      <c r="J806" s="8">
        <v>5133</v>
      </c>
      <c r="K806" s="8" t="s">
        <v>31</v>
      </c>
      <c r="L806" s="8" t="s">
        <v>32</v>
      </c>
      <c r="M806" s="8"/>
      <c r="N806" s="8" t="b">
        <v>0</v>
      </c>
      <c r="O806" s="10">
        <v>710537</v>
      </c>
      <c r="P806" s="8" t="s">
        <v>193</v>
      </c>
      <c r="Q806" s="8">
        <v>516322</v>
      </c>
      <c r="R806" s="9">
        <v>45315</v>
      </c>
      <c r="S806" s="8" t="s">
        <v>34</v>
      </c>
      <c r="T806" s="8" t="s">
        <v>44</v>
      </c>
      <c r="U806" s="8" t="s">
        <v>58</v>
      </c>
      <c r="V806" s="8" t="s">
        <v>46</v>
      </c>
      <c r="W806" s="8">
        <v>0</v>
      </c>
    </row>
    <row r="807" spans="1:23" x14ac:dyDescent="0.25">
      <c r="A807" s="4"/>
      <c r="B807" s="4"/>
      <c r="C807" s="4">
        <v>893339</v>
      </c>
      <c r="D807" s="22">
        <v>5164.29</v>
      </c>
      <c r="E807" s="5">
        <f t="shared" si="12"/>
        <v>-0.28999999999996362</v>
      </c>
      <c r="F807" s="9">
        <v>45321</v>
      </c>
      <c r="G807" s="10">
        <v>330281468</v>
      </c>
      <c r="H807" s="9">
        <v>45272</v>
      </c>
      <c r="I807" s="9">
        <v>45287</v>
      </c>
      <c r="J807" s="8">
        <v>5164</v>
      </c>
      <c r="K807" s="8" t="s">
        <v>31</v>
      </c>
      <c r="L807" s="8" t="s">
        <v>32</v>
      </c>
      <c r="M807" s="8"/>
      <c r="N807" s="8" t="b">
        <v>0</v>
      </c>
      <c r="O807" s="10">
        <v>706745</v>
      </c>
      <c r="P807" s="8" t="s">
        <v>125</v>
      </c>
      <c r="Q807" s="8">
        <v>444763</v>
      </c>
      <c r="R807" s="9">
        <v>45272</v>
      </c>
      <c r="S807" s="8" t="s">
        <v>34</v>
      </c>
      <c r="T807" s="8" t="s">
        <v>44</v>
      </c>
      <c r="U807" s="8" t="s">
        <v>58</v>
      </c>
      <c r="V807" s="8" t="s">
        <v>46</v>
      </c>
      <c r="W807" s="8">
        <v>0</v>
      </c>
    </row>
    <row r="808" spans="1:23" x14ac:dyDescent="0.25">
      <c r="A808" s="4"/>
      <c r="B808" s="4"/>
      <c r="C808" s="4">
        <v>893766</v>
      </c>
      <c r="D808" s="22">
        <v>5133.24</v>
      </c>
      <c r="E808" s="5">
        <f t="shared" si="12"/>
        <v>-0.23999999999978172</v>
      </c>
      <c r="F808" s="9">
        <v>45321</v>
      </c>
      <c r="G808" s="10">
        <v>331000402</v>
      </c>
      <c r="H808" s="9">
        <v>45316</v>
      </c>
      <c r="I808" s="9">
        <v>45331</v>
      </c>
      <c r="J808" s="8">
        <v>5133</v>
      </c>
      <c r="K808" s="8" t="s">
        <v>31</v>
      </c>
      <c r="L808" s="8" t="s">
        <v>32</v>
      </c>
      <c r="M808" s="8"/>
      <c r="N808" s="8" t="b">
        <v>0</v>
      </c>
      <c r="O808" s="10">
        <v>715172</v>
      </c>
      <c r="P808" s="8" t="s">
        <v>33</v>
      </c>
      <c r="Q808" s="8">
        <v>557851</v>
      </c>
      <c r="R808" s="9">
        <v>45316</v>
      </c>
      <c r="S808" s="8" t="s">
        <v>34</v>
      </c>
      <c r="T808" s="8" t="s">
        <v>44</v>
      </c>
      <c r="U808" s="8" t="s">
        <v>58</v>
      </c>
      <c r="V808" s="8" t="s">
        <v>46</v>
      </c>
      <c r="W808" s="8">
        <v>0</v>
      </c>
    </row>
    <row r="809" spans="1:23" x14ac:dyDescent="0.25">
      <c r="A809" s="4"/>
      <c r="B809" s="4"/>
      <c r="C809" s="4">
        <v>893417</v>
      </c>
      <c r="D809" s="22">
        <v>5133.24</v>
      </c>
      <c r="E809" s="5">
        <f t="shared" si="12"/>
        <v>-0.23999999999978172</v>
      </c>
      <c r="F809" s="9">
        <v>45321</v>
      </c>
      <c r="G809" s="10">
        <v>331000401</v>
      </c>
      <c r="H809" s="9">
        <v>45316</v>
      </c>
      <c r="I809" s="9">
        <v>45331</v>
      </c>
      <c r="J809" s="8">
        <v>5133</v>
      </c>
      <c r="K809" s="8" t="s">
        <v>31</v>
      </c>
      <c r="L809" s="8" t="s">
        <v>32</v>
      </c>
      <c r="M809" s="8"/>
      <c r="N809" s="8" t="b">
        <v>0</v>
      </c>
      <c r="O809" s="10">
        <v>710540</v>
      </c>
      <c r="P809" s="8" t="s">
        <v>65</v>
      </c>
      <c r="Q809" s="8">
        <v>557744</v>
      </c>
      <c r="R809" s="9">
        <v>45316</v>
      </c>
      <c r="S809" s="8" t="s">
        <v>34</v>
      </c>
      <c r="T809" s="8" t="s">
        <v>44</v>
      </c>
      <c r="U809" s="8" t="s">
        <v>58</v>
      </c>
      <c r="V809" s="8" t="s">
        <v>46</v>
      </c>
      <c r="W809" s="8">
        <v>0</v>
      </c>
    </row>
    <row r="810" spans="1:23" x14ac:dyDescent="0.25">
      <c r="A810" s="4"/>
      <c r="B810" s="4"/>
      <c r="C810" s="4">
        <v>893432</v>
      </c>
      <c r="D810" s="22">
        <v>5133.24</v>
      </c>
      <c r="E810" s="5">
        <f t="shared" si="12"/>
        <v>-0.23999999999978172</v>
      </c>
      <c r="F810" s="9">
        <v>45321</v>
      </c>
      <c r="G810" s="10">
        <v>331000399</v>
      </c>
      <c r="H810" s="9">
        <v>45316</v>
      </c>
      <c r="I810" s="9">
        <v>45331</v>
      </c>
      <c r="J810" s="8">
        <v>5133</v>
      </c>
      <c r="K810" s="8" t="s">
        <v>31</v>
      </c>
      <c r="L810" s="8" t="s">
        <v>32</v>
      </c>
      <c r="M810" s="8"/>
      <c r="N810" s="8" t="b">
        <v>0</v>
      </c>
      <c r="O810" s="10">
        <v>712602</v>
      </c>
      <c r="P810" s="8" t="s">
        <v>214</v>
      </c>
      <c r="Q810" s="8">
        <v>557777</v>
      </c>
      <c r="R810" s="9">
        <v>45316</v>
      </c>
      <c r="S810" s="8" t="s">
        <v>34</v>
      </c>
      <c r="T810" s="8" t="s">
        <v>44</v>
      </c>
      <c r="U810" s="8" t="s">
        <v>58</v>
      </c>
      <c r="V810" s="8" t="s">
        <v>46</v>
      </c>
      <c r="W810" s="8">
        <v>0</v>
      </c>
    </row>
    <row r="811" spans="1:23" x14ac:dyDescent="0.25">
      <c r="A811" s="4"/>
      <c r="B811" s="4"/>
      <c r="C811" s="4">
        <v>893441</v>
      </c>
      <c r="D811" s="22">
        <v>5133.24</v>
      </c>
      <c r="E811" s="5">
        <f t="shared" si="12"/>
        <v>-0.23999999999978172</v>
      </c>
      <c r="F811" s="9">
        <v>45321</v>
      </c>
      <c r="G811" s="10">
        <v>331000389</v>
      </c>
      <c r="H811" s="9">
        <v>45316</v>
      </c>
      <c r="I811" s="9">
        <v>45331</v>
      </c>
      <c r="J811" s="8">
        <v>5133</v>
      </c>
      <c r="K811" s="8" t="s">
        <v>31</v>
      </c>
      <c r="L811" s="8" t="s">
        <v>32</v>
      </c>
      <c r="M811" s="8"/>
      <c r="N811" s="8" t="b">
        <v>0</v>
      </c>
      <c r="O811" s="10">
        <v>712606</v>
      </c>
      <c r="P811" s="8" t="s">
        <v>62</v>
      </c>
      <c r="Q811" s="8">
        <v>557832</v>
      </c>
      <c r="R811" s="9">
        <v>45316</v>
      </c>
      <c r="S811" s="8" t="s">
        <v>34</v>
      </c>
      <c r="T811" s="8" t="s">
        <v>44</v>
      </c>
      <c r="U811" s="8" t="s">
        <v>58</v>
      </c>
      <c r="V811" s="8" t="s">
        <v>46</v>
      </c>
      <c r="W811" s="8">
        <v>0</v>
      </c>
    </row>
    <row r="812" spans="1:23" x14ac:dyDescent="0.25">
      <c r="A812" s="4"/>
      <c r="B812" s="4"/>
      <c r="C812" s="4">
        <v>893414</v>
      </c>
      <c r="D812" s="22">
        <v>5133.24</v>
      </c>
      <c r="E812" s="5">
        <f t="shared" si="12"/>
        <v>-0.23999999999978172</v>
      </c>
      <c r="F812" s="9">
        <v>45321</v>
      </c>
      <c r="G812" s="10">
        <v>331000383</v>
      </c>
      <c r="H812" s="9">
        <v>45316</v>
      </c>
      <c r="I812" s="9">
        <v>45331</v>
      </c>
      <c r="J812" s="8">
        <v>5133</v>
      </c>
      <c r="K812" s="8" t="s">
        <v>31</v>
      </c>
      <c r="L812" s="8" t="s">
        <v>32</v>
      </c>
      <c r="M812" s="8"/>
      <c r="N812" s="8" t="b">
        <v>0</v>
      </c>
      <c r="O812" s="10">
        <v>710539</v>
      </c>
      <c r="P812" s="8" t="s">
        <v>110</v>
      </c>
      <c r="Q812" s="8">
        <v>557721</v>
      </c>
      <c r="R812" s="9">
        <v>45316</v>
      </c>
      <c r="S812" s="8" t="s">
        <v>34</v>
      </c>
      <c r="T812" s="8" t="s">
        <v>44</v>
      </c>
      <c r="U812" s="8" t="s">
        <v>58</v>
      </c>
      <c r="V812" s="8" t="s">
        <v>46</v>
      </c>
      <c r="W812" s="8">
        <v>0</v>
      </c>
    </row>
    <row r="813" spans="1:23" x14ac:dyDescent="0.25">
      <c r="A813" s="4"/>
      <c r="B813" s="4"/>
      <c r="C813" s="4">
        <v>893423</v>
      </c>
      <c r="D813" s="22">
        <v>5133.24</v>
      </c>
      <c r="E813" s="5">
        <f t="shared" si="12"/>
        <v>-0.23999999999978172</v>
      </c>
      <c r="F813" s="9">
        <v>45321</v>
      </c>
      <c r="G813" s="10">
        <v>331000381</v>
      </c>
      <c r="H813" s="9">
        <v>45316</v>
      </c>
      <c r="I813" s="9">
        <v>45331</v>
      </c>
      <c r="J813" s="8">
        <v>5133</v>
      </c>
      <c r="K813" s="8" t="s">
        <v>31</v>
      </c>
      <c r="L813" s="8" t="s">
        <v>32</v>
      </c>
      <c r="M813" s="8"/>
      <c r="N813" s="8" t="b">
        <v>0</v>
      </c>
      <c r="O813" s="10">
        <v>710541</v>
      </c>
      <c r="P813" s="8" t="s">
        <v>190</v>
      </c>
      <c r="Q813" s="8">
        <v>557749</v>
      </c>
      <c r="R813" s="9">
        <v>45316</v>
      </c>
      <c r="S813" s="8" t="s">
        <v>34</v>
      </c>
      <c r="T813" s="8" t="s">
        <v>44</v>
      </c>
      <c r="U813" s="8" t="s">
        <v>58</v>
      </c>
      <c r="V813" s="8" t="s">
        <v>46</v>
      </c>
      <c r="W813" s="8">
        <v>0</v>
      </c>
    </row>
    <row r="814" spans="1:23" x14ac:dyDescent="0.25">
      <c r="A814" s="4"/>
      <c r="B814" s="4"/>
      <c r="C814" s="4">
        <v>893333</v>
      </c>
      <c r="D814" s="22">
        <v>87248</v>
      </c>
      <c r="E814" s="5">
        <f t="shared" si="12"/>
        <v>-8</v>
      </c>
      <c r="F814" s="9">
        <v>45321</v>
      </c>
      <c r="G814" s="10">
        <v>330989951</v>
      </c>
      <c r="H814" s="9">
        <v>45316</v>
      </c>
      <c r="I814" s="9">
        <v>45331</v>
      </c>
      <c r="J814" s="8">
        <v>87240</v>
      </c>
      <c r="K814" s="8" t="s">
        <v>31</v>
      </c>
      <c r="L814" s="8" t="s">
        <v>32</v>
      </c>
      <c r="M814" s="8"/>
      <c r="N814" s="8" t="b">
        <v>0</v>
      </c>
      <c r="O814" s="10"/>
      <c r="P814" s="8" t="s">
        <v>378</v>
      </c>
      <c r="Q814" s="8">
        <v>543615</v>
      </c>
      <c r="R814" s="9">
        <v>45316</v>
      </c>
      <c r="S814" s="8" t="s">
        <v>34</v>
      </c>
      <c r="T814" s="8" t="s">
        <v>49</v>
      </c>
      <c r="U814" s="8" t="s">
        <v>75</v>
      </c>
      <c r="V814" s="8" t="s">
        <v>46</v>
      </c>
      <c r="W814" s="8">
        <v>0</v>
      </c>
    </row>
    <row r="815" spans="1:23" x14ac:dyDescent="0.25">
      <c r="A815" s="4"/>
      <c r="B815" s="4"/>
      <c r="C815" s="4">
        <v>893951</v>
      </c>
      <c r="D815" s="22">
        <v>100335.2</v>
      </c>
      <c r="E815" s="5">
        <f t="shared" si="12"/>
        <v>-9.1999999999970896</v>
      </c>
      <c r="F815" s="9">
        <v>45321</v>
      </c>
      <c r="G815" s="10">
        <v>331058122</v>
      </c>
      <c r="H815" s="9">
        <v>45320</v>
      </c>
      <c r="I815" s="9">
        <v>45335</v>
      </c>
      <c r="J815" s="8">
        <v>100326</v>
      </c>
      <c r="K815" s="8" t="s">
        <v>31</v>
      </c>
      <c r="L815" s="8" t="s">
        <v>32</v>
      </c>
      <c r="M815" s="8"/>
      <c r="N815" s="8" t="b">
        <v>0</v>
      </c>
      <c r="O815" s="10"/>
      <c r="P815" s="8" t="s">
        <v>379</v>
      </c>
      <c r="Q815" s="8">
        <v>635144</v>
      </c>
      <c r="R815" s="9">
        <v>45320</v>
      </c>
      <c r="S815" s="8" t="s">
        <v>34</v>
      </c>
      <c r="T815" s="8" t="s">
        <v>49</v>
      </c>
      <c r="U815" s="8" t="s">
        <v>75</v>
      </c>
      <c r="V815" s="8" t="s">
        <v>46</v>
      </c>
      <c r="W815" s="8">
        <v>0</v>
      </c>
    </row>
    <row r="816" spans="1:23" x14ac:dyDescent="0.25">
      <c r="A816" s="4"/>
      <c r="B816" s="4"/>
      <c r="C816" s="4">
        <v>894299</v>
      </c>
      <c r="D816" s="22">
        <v>12544.08</v>
      </c>
      <c r="E816" s="5">
        <f t="shared" si="12"/>
        <v>-7.999999999992724E-2</v>
      </c>
      <c r="F816" s="9">
        <v>45328</v>
      </c>
      <c r="G816" s="10">
        <v>331058118</v>
      </c>
      <c r="H816" s="9">
        <v>45320</v>
      </c>
      <c r="I816" s="9">
        <v>45335</v>
      </c>
      <c r="J816" s="8">
        <v>12544</v>
      </c>
      <c r="K816" s="8" t="s">
        <v>31</v>
      </c>
      <c r="L816" s="8" t="s">
        <v>32</v>
      </c>
      <c r="M816" s="8"/>
      <c r="N816" s="8" t="b">
        <v>0</v>
      </c>
      <c r="O816" s="10">
        <v>715958</v>
      </c>
      <c r="P816" s="8" t="s">
        <v>329</v>
      </c>
      <c r="Q816" s="8">
        <v>635078</v>
      </c>
      <c r="R816" s="9">
        <v>45320</v>
      </c>
      <c r="S816" s="8" t="s">
        <v>48</v>
      </c>
      <c r="T816" s="8" t="s">
        <v>49</v>
      </c>
      <c r="U816" s="8" t="s">
        <v>50</v>
      </c>
      <c r="V816" s="8" t="s">
        <v>37</v>
      </c>
      <c r="W816" s="8">
        <v>0</v>
      </c>
    </row>
    <row r="817" spans="1:23" x14ac:dyDescent="0.25">
      <c r="A817" s="4"/>
      <c r="B817" s="4"/>
      <c r="C817" s="4">
        <v>894493</v>
      </c>
      <c r="D817" s="22">
        <v>52348.800000000003</v>
      </c>
      <c r="E817" s="5">
        <f t="shared" si="12"/>
        <v>-4.8000000000029104</v>
      </c>
      <c r="F817" s="9">
        <v>45328</v>
      </c>
      <c r="G817" s="10">
        <v>331089552</v>
      </c>
      <c r="H817" s="9">
        <v>45321</v>
      </c>
      <c r="I817" s="9">
        <v>45336</v>
      </c>
      <c r="J817" s="8">
        <v>52344</v>
      </c>
      <c r="K817" s="8" t="s">
        <v>31</v>
      </c>
      <c r="L817" s="8" t="s">
        <v>32</v>
      </c>
      <c r="M817" s="8"/>
      <c r="N817" s="8" t="b">
        <v>0</v>
      </c>
      <c r="O817" s="10">
        <v>716020</v>
      </c>
      <c r="P817" s="8" t="s">
        <v>380</v>
      </c>
      <c r="Q817" s="8">
        <v>676024</v>
      </c>
      <c r="R817" s="9">
        <v>45321</v>
      </c>
      <c r="S817" s="8" t="s">
        <v>34</v>
      </c>
      <c r="T817" s="8" t="s">
        <v>49</v>
      </c>
      <c r="U817" s="8" t="s">
        <v>75</v>
      </c>
      <c r="V817" s="8" t="s">
        <v>46</v>
      </c>
      <c r="W817" s="8">
        <v>0</v>
      </c>
    </row>
    <row r="818" spans="1:23" x14ac:dyDescent="0.25">
      <c r="A818" s="4"/>
      <c r="B818" s="4"/>
      <c r="C818" s="34">
        <v>894643</v>
      </c>
      <c r="D818" s="35">
        <v>8204.84</v>
      </c>
      <c r="E818" s="5">
        <f t="shared" si="12"/>
        <v>-0.84000000000014552</v>
      </c>
      <c r="F818" s="9">
        <v>45328</v>
      </c>
      <c r="G818" s="10">
        <v>331088901</v>
      </c>
      <c r="H818" s="9">
        <v>45321</v>
      </c>
      <c r="I818" s="9">
        <v>45336</v>
      </c>
      <c r="J818" s="8">
        <v>8204</v>
      </c>
      <c r="K818" s="8" t="s">
        <v>31</v>
      </c>
      <c r="L818" s="8" t="s">
        <v>32</v>
      </c>
      <c r="M818" s="8"/>
      <c r="N818" s="8" t="b">
        <v>0</v>
      </c>
      <c r="O818" s="10">
        <v>715097</v>
      </c>
      <c r="P818" s="8" t="s">
        <v>258</v>
      </c>
      <c r="Q818" s="8">
        <v>674947</v>
      </c>
      <c r="R818" s="9">
        <v>45321</v>
      </c>
      <c r="S818" s="8" t="s">
        <v>148</v>
      </c>
      <c r="T818" s="8" t="s">
        <v>49</v>
      </c>
      <c r="U818" s="8" t="s">
        <v>149</v>
      </c>
      <c r="V818" s="8" t="s">
        <v>150</v>
      </c>
      <c r="W818" s="8">
        <v>0</v>
      </c>
    </row>
    <row r="819" spans="1:23" ht="30" x14ac:dyDescent="0.25">
      <c r="A819" s="4"/>
      <c r="B819" s="4"/>
      <c r="C819" s="36" t="s">
        <v>381</v>
      </c>
      <c r="D819" s="35">
        <f>8204.84+8204.84+8204.84+8204.84+8204.84</f>
        <v>41024.199999999997</v>
      </c>
      <c r="E819" s="5">
        <f t="shared" si="12"/>
        <v>-4.1999999999970896</v>
      </c>
      <c r="F819" s="9">
        <v>45328</v>
      </c>
      <c r="G819" s="10">
        <v>331081741</v>
      </c>
      <c r="H819" s="9">
        <v>45321</v>
      </c>
      <c r="I819" s="9">
        <v>45336</v>
      </c>
      <c r="J819" s="8">
        <v>41020</v>
      </c>
      <c r="K819" s="8" t="s">
        <v>31</v>
      </c>
      <c r="L819" s="8" t="s">
        <v>32</v>
      </c>
      <c r="M819" s="8"/>
      <c r="N819" s="8" t="b">
        <v>0</v>
      </c>
      <c r="O819" s="10"/>
      <c r="P819" s="8" t="s">
        <v>382</v>
      </c>
      <c r="Q819" s="8">
        <v>665764</v>
      </c>
      <c r="R819" s="9">
        <v>45321</v>
      </c>
      <c r="S819" s="8" t="s">
        <v>148</v>
      </c>
      <c r="T819" s="8" t="s">
        <v>49</v>
      </c>
      <c r="U819" s="8" t="s">
        <v>149</v>
      </c>
      <c r="V819" s="8" t="s">
        <v>150</v>
      </c>
      <c r="W819" s="8">
        <v>0</v>
      </c>
    </row>
    <row r="820" spans="1:23" x14ac:dyDescent="0.25">
      <c r="A820" s="4"/>
      <c r="B820" s="4"/>
      <c r="C820" s="4">
        <v>894301</v>
      </c>
      <c r="D820" s="22">
        <v>56711.199999999997</v>
      </c>
      <c r="E820" s="5">
        <f t="shared" si="12"/>
        <v>-5.1999999999970896</v>
      </c>
      <c r="F820" s="9">
        <v>45328</v>
      </c>
      <c r="G820" s="10">
        <v>331081065</v>
      </c>
      <c r="H820" s="9">
        <v>45321</v>
      </c>
      <c r="I820" s="9">
        <v>45336</v>
      </c>
      <c r="J820" s="8">
        <v>56706</v>
      </c>
      <c r="K820" s="8" t="s">
        <v>31</v>
      </c>
      <c r="L820" s="8" t="s">
        <v>32</v>
      </c>
      <c r="M820" s="8"/>
      <c r="N820" s="8" t="b">
        <v>0</v>
      </c>
      <c r="O820" s="10"/>
      <c r="P820" s="8" t="s">
        <v>383</v>
      </c>
      <c r="Q820" s="8">
        <v>664551</v>
      </c>
      <c r="R820" s="9">
        <v>45321</v>
      </c>
      <c r="S820" s="8" t="s">
        <v>34</v>
      </c>
      <c r="T820" s="8" t="s">
        <v>49</v>
      </c>
      <c r="U820" s="8" t="s">
        <v>75</v>
      </c>
      <c r="V820" s="8" t="s">
        <v>46</v>
      </c>
      <c r="W820" s="8">
        <v>0</v>
      </c>
    </row>
    <row r="821" spans="1:23" x14ac:dyDescent="0.25">
      <c r="A821" s="4"/>
      <c r="B821" s="4"/>
      <c r="C821" s="4">
        <v>894789</v>
      </c>
      <c r="D821" s="22">
        <v>8029.88</v>
      </c>
      <c r="E821" s="5">
        <f t="shared" si="12"/>
        <v>0.11999999999989086</v>
      </c>
      <c r="F821" s="9">
        <v>45328</v>
      </c>
      <c r="G821" s="10">
        <v>331110493</v>
      </c>
      <c r="H821" s="9">
        <v>45322</v>
      </c>
      <c r="I821" s="9">
        <v>45337</v>
      </c>
      <c r="J821" s="8">
        <v>8030</v>
      </c>
      <c r="K821" s="8" t="s">
        <v>31</v>
      </c>
      <c r="L821" s="8" t="s">
        <v>32</v>
      </c>
      <c r="M821" s="8"/>
      <c r="N821" s="8" t="b">
        <v>0</v>
      </c>
      <c r="O821" s="10">
        <v>716119</v>
      </c>
      <c r="P821" s="8" t="s">
        <v>321</v>
      </c>
      <c r="Q821" s="8">
        <v>704341</v>
      </c>
      <c r="R821" s="9">
        <v>45322</v>
      </c>
      <c r="S821" s="8" t="s">
        <v>34</v>
      </c>
      <c r="T821" s="8" t="s">
        <v>40</v>
      </c>
      <c r="U821" s="8" t="s">
        <v>157</v>
      </c>
      <c r="V821" s="8" t="s">
        <v>158</v>
      </c>
      <c r="W821" s="8">
        <v>0</v>
      </c>
    </row>
    <row r="822" spans="1:23" x14ac:dyDescent="0.25">
      <c r="A822" s="4"/>
      <c r="B822" s="4"/>
      <c r="C822" s="4">
        <v>894790</v>
      </c>
      <c r="D822" s="22">
        <v>8029.88</v>
      </c>
      <c r="E822" s="5">
        <f t="shared" si="12"/>
        <v>0.11999999999989086</v>
      </c>
      <c r="F822" s="9">
        <v>45328</v>
      </c>
      <c r="G822" s="10">
        <v>331110474</v>
      </c>
      <c r="H822" s="9">
        <v>45322</v>
      </c>
      <c r="I822" s="9">
        <v>45337</v>
      </c>
      <c r="J822" s="8">
        <v>8030</v>
      </c>
      <c r="K822" s="8" t="s">
        <v>31</v>
      </c>
      <c r="L822" s="8" t="s">
        <v>32</v>
      </c>
      <c r="M822" s="8"/>
      <c r="N822" s="8" t="b">
        <v>0</v>
      </c>
      <c r="O822" s="10">
        <v>716118</v>
      </c>
      <c r="P822" s="8" t="s">
        <v>222</v>
      </c>
      <c r="Q822" s="8">
        <v>704250</v>
      </c>
      <c r="R822" s="9">
        <v>45322</v>
      </c>
      <c r="S822" s="8" t="s">
        <v>34</v>
      </c>
      <c r="T822" s="8" t="s">
        <v>40</v>
      </c>
      <c r="U822" s="8" t="s">
        <v>157</v>
      </c>
      <c r="V822" s="8" t="s">
        <v>158</v>
      </c>
      <c r="W822" s="8">
        <v>0</v>
      </c>
    </row>
    <row r="823" spans="1:23" x14ac:dyDescent="0.25">
      <c r="A823" s="4"/>
      <c r="B823" s="34"/>
      <c r="C823" s="4">
        <v>894905</v>
      </c>
      <c r="D823" s="22">
        <v>5028</v>
      </c>
      <c r="E823" s="5">
        <f t="shared" si="12"/>
        <v>0</v>
      </c>
      <c r="F823" s="9">
        <v>45328</v>
      </c>
      <c r="G823" s="10">
        <v>331110444</v>
      </c>
      <c r="H823" s="9">
        <v>45322</v>
      </c>
      <c r="I823" s="9">
        <v>45337</v>
      </c>
      <c r="J823" s="8">
        <v>5028</v>
      </c>
      <c r="K823" s="8" t="s">
        <v>31</v>
      </c>
      <c r="L823" s="8" t="s">
        <v>32</v>
      </c>
      <c r="M823" s="8"/>
      <c r="N823" s="8" t="b">
        <v>0</v>
      </c>
      <c r="O823" s="10">
        <v>21253</v>
      </c>
      <c r="P823" s="8" t="s">
        <v>179</v>
      </c>
      <c r="Q823" s="8">
        <v>704416</v>
      </c>
      <c r="R823" s="9">
        <v>45322</v>
      </c>
      <c r="S823" s="8" t="s">
        <v>34</v>
      </c>
      <c r="T823" s="8" t="s">
        <v>40</v>
      </c>
      <c r="U823" s="8" t="s">
        <v>84</v>
      </c>
      <c r="V823" s="8" t="s">
        <v>46</v>
      </c>
      <c r="W823" s="8">
        <v>0</v>
      </c>
    </row>
    <row r="824" spans="1:23" x14ac:dyDescent="0.25">
      <c r="A824" s="4"/>
      <c r="B824" s="4"/>
      <c r="C824" s="4">
        <v>894791</v>
      </c>
      <c r="D824" s="22">
        <v>9226.32</v>
      </c>
      <c r="E824" s="5">
        <f t="shared" si="12"/>
        <v>0.68000000000029104</v>
      </c>
      <c r="F824" s="9">
        <v>45328</v>
      </c>
      <c r="G824" s="10">
        <v>331110427</v>
      </c>
      <c r="H824" s="9">
        <v>45322</v>
      </c>
      <c r="I824" s="9">
        <v>45337</v>
      </c>
      <c r="J824" s="8">
        <v>9227</v>
      </c>
      <c r="K824" s="8" t="s">
        <v>31</v>
      </c>
      <c r="L824" s="8" t="s">
        <v>32</v>
      </c>
      <c r="M824" s="8"/>
      <c r="N824" s="8" t="b">
        <v>0</v>
      </c>
      <c r="O824" s="10">
        <v>709992</v>
      </c>
      <c r="P824" s="8" t="s">
        <v>275</v>
      </c>
      <c r="Q824" s="8">
        <v>704500</v>
      </c>
      <c r="R824" s="9">
        <v>45322</v>
      </c>
      <c r="S824" s="8" t="s">
        <v>130</v>
      </c>
      <c r="T824" s="8" t="s">
        <v>40</v>
      </c>
      <c r="U824" s="8" t="s">
        <v>131</v>
      </c>
      <c r="V824" s="8" t="s">
        <v>132</v>
      </c>
      <c r="W824" s="8">
        <v>0</v>
      </c>
    </row>
    <row r="825" spans="1:23" ht="19.5" customHeight="1" x14ac:dyDescent="0.25">
      <c r="A825" s="4"/>
      <c r="B825" s="4"/>
      <c r="C825" s="4">
        <v>894792</v>
      </c>
      <c r="D825" s="22">
        <v>8029.88</v>
      </c>
      <c r="E825" s="5">
        <f t="shared" si="12"/>
        <v>0.11999999999989086</v>
      </c>
      <c r="F825" s="9">
        <v>45328</v>
      </c>
      <c r="G825" s="10">
        <v>331110203</v>
      </c>
      <c r="H825" s="9">
        <v>45322</v>
      </c>
      <c r="I825" s="9">
        <v>45337</v>
      </c>
      <c r="J825" s="8">
        <v>8030</v>
      </c>
      <c r="K825" s="8" t="s">
        <v>31</v>
      </c>
      <c r="L825" s="8" t="s">
        <v>32</v>
      </c>
      <c r="M825" s="8"/>
      <c r="N825" s="8" t="b">
        <v>0</v>
      </c>
      <c r="O825" s="10">
        <v>716116</v>
      </c>
      <c r="P825" s="8" t="s">
        <v>204</v>
      </c>
      <c r="Q825" s="8">
        <v>703929</v>
      </c>
      <c r="R825" s="9">
        <v>45322</v>
      </c>
      <c r="S825" s="8" t="s">
        <v>34</v>
      </c>
      <c r="T825" s="8" t="s">
        <v>40</v>
      </c>
      <c r="U825" s="8" t="s">
        <v>157</v>
      </c>
      <c r="V825" s="8" t="s">
        <v>158</v>
      </c>
      <c r="W825" s="8">
        <v>0</v>
      </c>
    </row>
    <row r="826" spans="1:23" x14ac:dyDescent="0.25">
      <c r="A826" s="4"/>
      <c r="B826" s="4"/>
      <c r="C826" s="4">
        <v>894793</v>
      </c>
      <c r="D826" s="22">
        <v>8029.88</v>
      </c>
      <c r="E826" s="5">
        <f t="shared" si="12"/>
        <v>0.11999999999989086</v>
      </c>
      <c r="F826" s="9">
        <v>45328</v>
      </c>
      <c r="G826" s="10">
        <v>331110175</v>
      </c>
      <c r="H826" s="9">
        <v>45322</v>
      </c>
      <c r="I826" s="9">
        <v>45337</v>
      </c>
      <c r="J826" s="8">
        <v>8030</v>
      </c>
      <c r="K826" s="8" t="s">
        <v>31</v>
      </c>
      <c r="L826" s="8" t="s">
        <v>32</v>
      </c>
      <c r="M826" s="8"/>
      <c r="N826" s="8" t="b">
        <v>0</v>
      </c>
      <c r="O826" s="10">
        <v>716117</v>
      </c>
      <c r="P826" s="8" t="s">
        <v>267</v>
      </c>
      <c r="Q826" s="8">
        <v>704208</v>
      </c>
      <c r="R826" s="9">
        <v>45322</v>
      </c>
      <c r="S826" s="8" t="s">
        <v>34</v>
      </c>
      <c r="T826" s="8" t="s">
        <v>40</v>
      </c>
      <c r="U826" s="8" t="s">
        <v>157</v>
      </c>
      <c r="V826" s="8" t="s">
        <v>158</v>
      </c>
      <c r="W826" s="8">
        <v>0</v>
      </c>
    </row>
    <row r="827" spans="1:23" x14ac:dyDescent="0.25">
      <c r="A827" s="4"/>
      <c r="B827" s="4"/>
      <c r="C827" s="4">
        <v>894554</v>
      </c>
      <c r="D827" s="22">
        <v>7775.12</v>
      </c>
      <c r="E827" s="17">
        <v>-0.12</v>
      </c>
      <c r="F827" s="9">
        <v>45328</v>
      </c>
      <c r="G827" s="10">
        <v>331100229</v>
      </c>
      <c r="H827" s="9">
        <v>45322</v>
      </c>
      <c r="I827" s="9">
        <v>45337</v>
      </c>
      <c r="J827" s="8">
        <v>7775</v>
      </c>
      <c r="K827" s="8" t="s">
        <v>31</v>
      </c>
      <c r="L827" s="8" t="s">
        <v>32</v>
      </c>
      <c r="M827" s="8"/>
      <c r="N827" s="8" t="b">
        <v>0</v>
      </c>
      <c r="O827" s="10">
        <v>21251</v>
      </c>
      <c r="P827" s="8" t="s">
        <v>213</v>
      </c>
      <c r="Q827" s="8">
        <v>689217</v>
      </c>
      <c r="R827" s="9">
        <v>45322</v>
      </c>
      <c r="S827" s="8" t="s">
        <v>318</v>
      </c>
      <c r="T827" s="8" t="s">
        <v>40</v>
      </c>
      <c r="U827" s="8" t="s">
        <v>319</v>
      </c>
      <c r="V827" s="8" t="s">
        <v>320</v>
      </c>
      <c r="W827" s="8">
        <v>0</v>
      </c>
    </row>
    <row r="828" spans="1:23" x14ac:dyDescent="0.25">
      <c r="A828" s="4"/>
      <c r="B828" s="4"/>
      <c r="C828" s="4">
        <v>894556</v>
      </c>
      <c r="D828" s="22">
        <v>7775.12</v>
      </c>
      <c r="E828" s="17">
        <f t="shared" ref="E828:E848" si="13">J828-D828</f>
        <v>-0.11999999999989086</v>
      </c>
      <c r="F828" s="9">
        <v>45328</v>
      </c>
      <c r="G828" s="10">
        <v>331100199</v>
      </c>
      <c r="H828" s="9">
        <v>45322</v>
      </c>
      <c r="I828" s="9">
        <v>45337</v>
      </c>
      <c r="J828" s="8">
        <v>7775</v>
      </c>
      <c r="K828" s="8" t="s">
        <v>31</v>
      </c>
      <c r="L828" s="8" t="s">
        <v>32</v>
      </c>
      <c r="M828" s="8"/>
      <c r="N828" s="8" t="b">
        <v>0</v>
      </c>
      <c r="O828" s="10">
        <v>21252</v>
      </c>
      <c r="P828" s="8" t="s">
        <v>211</v>
      </c>
      <c r="Q828" s="8">
        <v>689220</v>
      </c>
      <c r="R828" s="9">
        <v>45322</v>
      </c>
      <c r="S828" s="8" t="s">
        <v>318</v>
      </c>
      <c r="T828" s="8" t="s">
        <v>40</v>
      </c>
      <c r="U828" s="8" t="s">
        <v>319</v>
      </c>
      <c r="V828" s="8" t="s">
        <v>320</v>
      </c>
      <c r="W828" s="8">
        <v>0</v>
      </c>
    </row>
    <row r="829" spans="1:23" x14ac:dyDescent="0.25">
      <c r="A829" s="4"/>
      <c r="B829" s="4"/>
      <c r="C829" s="4">
        <v>895468</v>
      </c>
      <c r="D829" s="35">
        <v>7965.26</v>
      </c>
      <c r="E829" s="17">
        <f t="shared" si="13"/>
        <v>-0.26000000000021828</v>
      </c>
      <c r="F829" s="9">
        <v>45328</v>
      </c>
      <c r="G829" s="10">
        <v>331126917</v>
      </c>
      <c r="H829" s="9">
        <v>45323</v>
      </c>
      <c r="I829" s="9">
        <v>45338</v>
      </c>
      <c r="J829" s="8">
        <v>7965</v>
      </c>
      <c r="K829" s="8" t="s">
        <v>31</v>
      </c>
      <c r="L829" s="8" t="s">
        <v>32</v>
      </c>
      <c r="M829" s="8"/>
      <c r="N829" s="8" t="b">
        <v>0</v>
      </c>
      <c r="O829" s="10">
        <v>716177</v>
      </c>
      <c r="P829" s="8" t="s">
        <v>140</v>
      </c>
      <c r="Q829" s="8">
        <v>725588</v>
      </c>
      <c r="R829" s="9">
        <v>45323</v>
      </c>
      <c r="S829" s="8" t="s">
        <v>34</v>
      </c>
      <c r="T829" s="8" t="s">
        <v>40</v>
      </c>
      <c r="U829" s="8" t="s">
        <v>157</v>
      </c>
      <c r="V829" s="8" t="s">
        <v>158</v>
      </c>
      <c r="W829" s="8">
        <v>0</v>
      </c>
    </row>
    <row r="830" spans="1:23" x14ac:dyDescent="0.25">
      <c r="A830" s="4"/>
      <c r="B830" s="4"/>
      <c r="C830" s="4">
        <v>895438</v>
      </c>
      <c r="D830" s="22">
        <v>7965.26</v>
      </c>
      <c r="E830" s="17">
        <f t="shared" si="13"/>
        <v>-0.26000000000021828</v>
      </c>
      <c r="F830" s="9">
        <v>45328</v>
      </c>
      <c r="G830" s="10">
        <v>331126589</v>
      </c>
      <c r="H830" s="9">
        <v>45323</v>
      </c>
      <c r="I830" s="9">
        <v>45338</v>
      </c>
      <c r="J830" s="8">
        <v>7965</v>
      </c>
      <c r="K830" s="8" t="s">
        <v>31</v>
      </c>
      <c r="L830" s="8" t="s">
        <v>32</v>
      </c>
      <c r="M830" s="8"/>
      <c r="N830" s="8" t="b">
        <v>0</v>
      </c>
      <c r="O830" s="10">
        <v>716176</v>
      </c>
      <c r="P830" s="8" t="s">
        <v>99</v>
      </c>
      <c r="Q830" s="8">
        <v>725046</v>
      </c>
      <c r="R830" s="9">
        <v>45323</v>
      </c>
      <c r="S830" s="8" t="s">
        <v>34</v>
      </c>
      <c r="T830" s="8" t="s">
        <v>40</v>
      </c>
      <c r="U830" s="8" t="s">
        <v>157</v>
      </c>
      <c r="V830" s="8" t="s">
        <v>158</v>
      </c>
      <c r="W830" s="8">
        <v>0</v>
      </c>
    </row>
    <row r="831" spans="1:23" x14ac:dyDescent="0.25">
      <c r="A831" s="4"/>
      <c r="B831" s="4"/>
      <c r="C831" s="4">
        <v>895445</v>
      </c>
      <c r="D831" s="22">
        <v>7965.26</v>
      </c>
      <c r="E831" s="17">
        <f t="shared" si="13"/>
        <v>-0.26000000000021828</v>
      </c>
      <c r="F831" s="9">
        <v>45328</v>
      </c>
      <c r="G831" s="10">
        <v>331124671</v>
      </c>
      <c r="H831" s="9">
        <v>45323</v>
      </c>
      <c r="I831" s="9">
        <v>45338</v>
      </c>
      <c r="J831" s="8">
        <v>7965</v>
      </c>
      <c r="K831" s="8" t="s">
        <v>31</v>
      </c>
      <c r="L831" s="8" t="s">
        <v>32</v>
      </c>
      <c r="M831" s="8"/>
      <c r="N831" s="8" t="b">
        <v>0</v>
      </c>
      <c r="O831" s="10">
        <v>716175</v>
      </c>
      <c r="P831" s="8" t="s">
        <v>185</v>
      </c>
      <c r="Q831" s="8">
        <v>721963</v>
      </c>
      <c r="R831" s="9">
        <v>45323</v>
      </c>
      <c r="S831" s="8" t="s">
        <v>34</v>
      </c>
      <c r="T831" s="8" t="s">
        <v>40</v>
      </c>
      <c r="U831" s="8" t="s">
        <v>157</v>
      </c>
      <c r="V831" s="8" t="s">
        <v>158</v>
      </c>
      <c r="W831" s="8">
        <v>0</v>
      </c>
    </row>
    <row r="832" spans="1:23" x14ac:dyDescent="0.25">
      <c r="A832" s="4"/>
      <c r="B832" s="4"/>
      <c r="C832" s="4">
        <v>895447</v>
      </c>
      <c r="D832" s="22">
        <v>7965.26</v>
      </c>
      <c r="E832" s="17">
        <f t="shared" si="13"/>
        <v>-0.26000000000021828</v>
      </c>
      <c r="F832" s="9">
        <v>45328</v>
      </c>
      <c r="G832" s="10">
        <v>331124167</v>
      </c>
      <c r="H832" s="9">
        <v>45323</v>
      </c>
      <c r="I832" s="9">
        <v>45338</v>
      </c>
      <c r="J832" s="8">
        <v>7965</v>
      </c>
      <c r="K832" s="8" t="s">
        <v>31</v>
      </c>
      <c r="L832" s="8" t="s">
        <v>32</v>
      </c>
      <c r="M832" s="8"/>
      <c r="N832" s="8" t="b">
        <v>0</v>
      </c>
      <c r="O832" s="10">
        <v>716174</v>
      </c>
      <c r="P832" s="8" t="s">
        <v>68</v>
      </c>
      <c r="Q832" s="8">
        <v>720878</v>
      </c>
      <c r="R832" s="9">
        <v>45323</v>
      </c>
      <c r="S832" s="8" t="s">
        <v>34</v>
      </c>
      <c r="T832" s="8" t="s">
        <v>40</v>
      </c>
      <c r="U832" s="8" t="s">
        <v>157</v>
      </c>
      <c r="V832" s="8" t="s">
        <v>158</v>
      </c>
      <c r="W832" s="8">
        <v>0</v>
      </c>
    </row>
    <row r="833" spans="1:23" x14ac:dyDescent="0.25">
      <c r="A833" s="4"/>
      <c r="B833" s="4"/>
      <c r="C833" s="4">
        <v>895455</v>
      </c>
      <c r="D833" s="22">
        <v>7965.26</v>
      </c>
      <c r="E833" s="17">
        <f t="shared" si="13"/>
        <v>-0.26000000000021828</v>
      </c>
      <c r="F833" s="9">
        <v>45328</v>
      </c>
      <c r="G833" s="10">
        <v>331123841</v>
      </c>
      <c r="H833" s="9">
        <v>45323</v>
      </c>
      <c r="I833" s="9">
        <v>45338</v>
      </c>
      <c r="J833" s="8">
        <v>7965</v>
      </c>
      <c r="K833" s="8" t="s">
        <v>31</v>
      </c>
      <c r="L833" s="8" t="s">
        <v>32</v>
      </c>
      <c r="M833" s="8"/>
      <c r="N833" s="8" t="b">
        <v>0</v>
      </c>
      <c r="O833" s="10">
        <v>716173</v>
      </c>
      <c r="P833" s="8" t="s">
        <v>177</v>
      </c>
      <c r="Q833" s="8">
        <v>720303</v>
      </c>
      <c r="R833" s="9">
        <v>45323</v>
      </c>
      <c r="S833" s="8" t="s">
        <v>34</v>
      </c>
      <c r="T833" s="8" t="s">
        <v>40</v>
      </c>
      <c r="U833" s="8" t="s">
        <v>157</v>
      </c>
      <c r="V833" s="8" t="s">
        <v>158</v>
      </c>
      <c r="W833" s="8">
        <v>0</v>
      </c>
    </row>
    <row r="834" spans="1:23" x14ac:dyDescent="0.25">
      <c r="A834" s="4"/>
      <c r="B834" s="4"/>
      <c r="C834" s="4">
        <v>895458</v>
      </c>
      <c r="D834" s="22">
        <v>7965.26</v>
      </c>
      <c r="E834" s="17">
        <f t="shared" si="13"/>
        <v>-0.26000000000021828</v>
      </c>
      <c r="F834" s="9">
        <v>45328</v>
      </c>
      <c r="G834" s="10">
        <v>331123460</v>
      </c>
      <c r="H834" s="9">
        <v>45323</v>
      </c>
      <c r="I834" s="9">
        <v>45338</v>
      </c>
      <c r="J834" s="8">
        <v>7965</v>
      </c>
      <c r="K834" s="8" t="s">
        <v>31</v>
      </c>
      <c r="L834" s="8" t="s">
        <v>32</v>
      </c>
      <c r="M834" s="8"/>
      <c r="N834" s="8" t="b">
        <v>0</v>
      </c>
      <c r="O834" s="10">
        <v>716171</v>
      </c>
      <c r="P834" s="8" t="s">
        <v>161</v>
      </c>
      <c r="Q834" s="8">
        <v>719932</v>
      </c>
      <c r="R834" s="9">
        <v>45323</v>
      </c>
      <c r="S834" s="8" t="s">
        <v>34</v>
      </c>
      <c r="T834" s="8" t="s">
        <v>40</v>
      </c>
      <c r="U834" s="8" t="s">
        <v>157</v>
      </c>
      <c r="V834" s="8" t="s">
        <v>158</v>
      </c>
      <c r="W834" s="8">
        <v>0</v>
      </c>
    </row>
    <row r="835" spans="1:23" x14ac:dyDescent="0.25">
      <c r="A835" s="4"/>
      <c r="B835" s="4"/>
      <c r="C835" s="4">
        <v>895461</v>
      </c>
      <c r="D835" s="22">
        <v>7965.26</v>
      </c>
      <c r="E835" s="17">
        <f t="shared" si="13"/>
        <v>-0.26000000000021828</v>
      </c>
      <c r="F835" s="9">
        <v>45328</v>
      </c>
      <c r="G835" s="10">
        <v>331123451</v>
      </c>
      <c r="H835" s="9">
        <v>45323</v>
      </c>
      <c r="I835" s="9">
        <v>45338</v>
      </c>
      <c r="J835" s="8">
        <v>7965</v>
      </c>
      <c r="K835" s="8" t="s">
        <v>31</v>
      </c>
      <c r="L835" s="8" t="s">
        <v>32</v>
      </c>
      <c r="M835" s="8"/>
      <c r="N835" s="8" t="b">
        <v>0</v>
      </c>
      <c r="O835" s="10">
        <v>716170</v>
      </c>
      <c r="P835" s="8" t="s">
        <v>272</v>
      </c>
      <c r="Q835" s="8">
        <v>719780</v>
      </c>
      <c r="R835" s="9">
        <v>45323</v>
      </c>
      <c r="S835" s="8" t="s">
        <v>34</v>
      </c>
      <c r="T835" s="8" t="s">
        <v>40</v>
      </c>
      <c r="U835" s="8" t="s">
        <v>157</v>
      </c>
      <c r="V835" s="8" t="s">
        <v>158</v>
      </c>
      <c r="W835" s="8">
        <v>0</v>
      </c>
    </row>
    <row r="836" spans="1:23" x14ac:dyDescent="0.25">
      <c r="A836" s="4"/>
      <c r="B836" s="4"/>
      <c r="C836" s="4">
        <v>895465</v>
      </c>
      <c r="D836" s="22">
        <v>7965.26</v>
      </c>
      <c r="E836" s="17">
        <f t="shared" si="13"/>
        <v>-0.26000000000021828</v>
      </c>
      <c r="F836" s="9">
        <v>45328</v>
      </c>
      <c r="G836" s="10">
        <v>331123437</v>
      </c>
      <c r="H836" s="9">
        <v>45323</v>
      </c>
      <c r="I836" s="9">
        <v>45338</v>
      </c>
      <c r="J836" s="8">
        <v>7965</v>
      </c>
      <c r="K836" s="8" t="s">
        <v>31</v>
      </c>
      <c r="L836" s="8" t="s">
        <v>32</v>
      </c>
      <c r="M836" s="8"/>
      <c r="N836" s="8" t="b">
        <v>0</v>
      </c>
      <c r="O836" s="10">
        <v>716172</v>
      </c>
      <c r="P836" s="8" t="s">
        <v>168</v>
      </c>
      <c r="Q836" s="8">
        <v>720037</v>
      </c>
      <c r="R836" s="9">
        <v>45323</v>
      </c>
      <c r="S836" s="8" t="s">
        <v>34</v>
      </c>
      <c r="T836" s="8" t="s">
        <v>40</v>
      </c>
      <c r="U836" s="8" t="s">
        <v>157</v>
      </c>
      <c r="V836" s="8" t="s">
        <v>158</v>
      </c>
      <c r="W836" s="8">
        <v>0</v>
      </c>
    </row>
    <row r="837" spans="1:23" x14ac:dyDescent="0.25">
      <c r="A837" s="4"/>
      <c r="B837" s="4"/>
      <c r="C837" s="4">
        <v>895466</v>
      </c>
      <c r="D837" s="22">
        <v>7965.26</v>
      </c>
      <c r="E837" s="17">
        <f t="shared" si="13"/>
        <v>-0.26000000000021828</v>
      </c>
      <c r="F837" s="9">
        <v>45328</v>
      </c>
      <c r="G837" s="10">
        <v>331122871</v>
      </c>
      <c r="H837" s="9">
        <v>45323</v>
      </c>
      <c r="I837" s="9">
        <v>45338</v>
      </c>
      <c r="J837" s="8">
        <v>7965</v>
      </c>
      <c r="K837" s="8" t="s">
        <v>31</v>
      </c>
      <c r="L837" s="8" t="s">
        <v>32</v>
      </c>
      <c r="M837" s="8"/>
      <c r="N837" s="8" t="b">
        <v>0</v>
      </c>
      <c r="O837" s="10">
        <v>716169</v>
      </c>
      <c r="P837" s="8" t="s">
        <v>228</v>
      </c>
      <c r="Q837" s="8">
        <v>719156</v>
      </c>
      <c r="R837" s="9">
        <v>45323</v>
      </c>
      <c r="S837" s="8" t="s">
        <v>34</v>
      </c>
      <c r="T837" s="8" t="s">
        <v>40</v>
      </c>
      <c r="U837" s="8" t="s">
        <v>157</v>
      </c>
      <c r="V837" s="8" t="s">
        <v>158</v>
      </c>
      <c r="W837" s="8">
        <v>0</v>
      </c>
    </row>
    <row r="838" spans="1:23" x14ac:dyDescent="0.25">
      <c r="A838" s="4"/>
      <c r="B838" s="4"/>
      <c r="C838" s="4">
        <v>894991</v>
      </c>
      <c r="D838" s="22">
        <v>69260.800000000003</v>
      </c>
      <c r="E838" s="17">
        <f t="shared" si="13"/>
        <v>3.1999999999970896</v>
      </c>
      <c r="F838" s="9">
        <v>45328</v>
      </c>
      <c r="G838" s="10">
        <v>331146100</v>
      </c>
      <c r="H838" s="9">
        <v>45324</v>
      </c>
      <c r="I838" s="9">
        <v>45339</v>
      </c>
      <c r="J838" s="8">
        <v>69264</v>
      </c>
      <c r="K838" s="8" t="s">
        <v>31</v>
      </c>
      <c r="L838" s="8" t="s">
        <v>32</v>
      </c>
      <c r="M838" s="8"/>
      <c r="N838" s="8" t="b">
        <v>0</v>
      </c>
      <c r="O838" s="10">
        <v>716402</v>
      </c>
      <c r="P838" s="8" t="s">
        <v>316</v>
      </c>
      <c r="Q838" s="8">
        <v>753168</v>
      </c>
      <c r="R838" s="9">
        <v>45324</v>
      </c>
      <c r="S838" s="8" t="s">
        <v>34</v>
      </c>
      <c r="T838" s="8" t="s">
        <v>49</v>
      </c>
      <c r="U838" s="8" t="s">
        <v>75</v>
      </c>
      <c r="V838" s="8" t="s">
        <v>46</v>
      </c>
      <c r="W838" s="8">
        <v>0</v>
      </c>
    </row>
    <row r="839" spans="1:23" x14ac:dyDescent="0.25">
      <c r="A839" s="4"/>
      <c r="B839" s="4"/>
      <c r="C839" s="4" t="s">
        <v>384</v>
      </c>
      <c r="D839" s="22">
        <v>4993</v>
      </c>
      <c r="E839" s="17">
        <f>J839-D839</f>
        <v>0</v>
      </c>
      <c r="F839" s="9"/>
      <c r="G839" s="10">
        <v>331206386</v>
      </c>
      <c r="H839" s="9">
        <v>45328</v>
      </c>
      <c r="I839" s="9">
        <v>45343</v>
      </c>
      <c r="J839" s="8">
        <v>4993</v>
      </c>
      <c r="K839" s="8" t="s">
        <v>31</v>
      </c>
      <c r="L839" s="8" t="s">
        <v>32</v>
      </c>
      <c r="M839" s="8"/>
      <c r="N839" s="8" t="b">
        <v>0</v>
      </c>
      <c r="O839" s="10" t="s">
        <v>385</v>
      </c>
      <c r="P839" s="8" t="s">
        <v>386</v>
      </c>
      <c r="Q839" s="8">
        <v>142452</v>
      </c>
      <c r="R839" s="9">
        <v>45321</v>
      </c>
      <c r="S839" s="8" t="s">
        <v>362</v>
      </c>
      <c r="T839" s="8" t="s">
        <v>387</v>
      </c>
      <c r="U839" s="8" t="s">
        <v>260</v>
      </c>
      <c r="V839" s="8" t="s">
        <v>261</v>
      </c>
      <c r="W839" s="8">
        <v>0</v>
      </c>
    </row>
    <row r="840" spans="1:23" x14ac:dyDescent="0.25">
      <c r="A840" s="4"/>
      <c r="B840" s="4"/>
      <c r="C840" s="4" t="s">
        <v>388</v>
      </c>
      <c r="D840" s="22">
        <v>4993</v>
      </c>
      <c r="E840" s="17">
        <f>J840-D840</f>
        <v>0</v>
      </c>
      <c r="F840" s="9"/>
      <c r="G840" s="10">
        <v>331206385</v>
      </c>
      <c r="H840" s="9">
        <v>45328</v>
      </c>
      <c r="I840" s="9">
        <v>45343</v>
      </c>
      <c r="J840" s="8">
        <v>4993</v>
      </c>
      <c r="K840" s="8" t="s">
        <v>31</v>
      </c>
      <c r="L840" s="8" t="s">
        <v>32</v>
      </c>
      <c r="M840" s="8"/>
      <c r="N840" s="8" t="b">
        <v>0</v>
      </c>
      <c r="O840" s="10" t="s">
        <v>385</v>
      </c>
      <c r="P840" s="8" t="s">
        <v>389</v>
      </c>
      <c r="Q840" s="8">
        <v>142454</v>
      </c>
      <c r="R840" s="9">
        <v>45321</v>
      </c>
      <c r="S840" s="8" t="s">
        <v>362</v>
      </c>
      <c r="T840" s="8" t="s">
        <v>387</v>
      </c>
      <c r="U840" s="8" t="s">
        <v>260</v>
      </c>
      <c r="V840" s="8" t="s">
        <v>261</v>
      </c>
      <c r="W840" s="8">
        <v>0</v>
      </c>
    </row>
    <row r="841" spans="1:23" x14ac:dyDescent="0.25">
      <c r="A841" s="4"/>
      <c r="B841" s="4"/>
      <c r="C841" s="4">
        <v>895531</v>
      </c>
      <c r="D841" s="22">
        <v>6929.72</v>
      </c>
      <c r="E841" s="17">
        <f t="shared" si="13"/>
        <v>-0.72000000000025466</v>
      </c>
      <c r="F841" s="9"/>
      <c r="G841" s="10">
        <v>331217550</v>
      </c>
      <c r="H841" s="9">
        <v>45328</v>
      </c>
      <c r="I841" s="9">
        <v>45343</v>
      </c>
      <c r="J841" s="8">
        <v>6929</v>
      </c>
      <c r="K841" s="8" t="s">
        <v>31</v>
      </c>
      <c r="L841" s="8" t="s">
        <v>32</v>
      </c>
      <c r="M841" s="8"/>
      <c r="N841" s="8" t="b">
        <v>0</v>
      </c>
      <c r="O841" s="10">
        <v>21271</v>
      </c>
      <c r="P841" s="8" t="s">
        <v>173</v>
      </c>
      <c r="Q841" s="8">
        <v>850531</v>
      </c>
      <c r="R841" s="9">
        <v>45328</v>
      </c>
      <c r="S841" s="8" t="s">
        <v>39</v>
      </c>
      <c r="T841" s="8" t="s">
        <v>40</v>
      </c>
      <c r="U841" s="8" t="s">
        <v>41</v>
      </c>
      <c r="V841" s="8" t="s">
        <v>42</v>
      </c>
      <c r="W841" s="8">
        <v>0</v>
      </c>
    </row>
    <row r="842" spans="1:23" x14ac:dyDescent="0.25">
      <c r="A842" s="4"/>
      <c r="B842" s="4"/>
      <c r="C842" s="4">
        <v>896469</v>
      </c>
      <c r="D842" s="22">
        <v>6906.92</v>
      </c>
      <c r="E842" s="17">
        <f>J842-D842</f>
        <v>7.999999999992724E-2</v>
      </c>
      <c r="F842" s="9"/>
      <c r="G842" s="10">
        <v>331206880</v>
      </c>
      <c r="H842" s="9">
        <v>45328</v>
      </c>
      <c r="I842" s="9">
        <v>45343</v>
      </c>
      <c r="J842" s="8">
        <v>6907</v>
      </c>
      <c r="K842" s="8" t="s">
        <v>31</v>
      </c>
      <c r="L842" s="8" t="s">
        <v>32</v>
      </c>
      <c r="M842" s="8"/>
      <c r="N842" s="8" t="b">
        <v>0</v>
      </c>
      <c r="O842" s="10">
        <v>21264</v>
      </c>
      <c r="P842" s="8" t="s">
        <v>302</v>
      </c>
      <c r="Q842" s="8">
        <v>836926</v>
      </c>
      <c r="R842" s="9">
        <v>45328</v>
      </c>
      <c r="S842" s="8" t="s">
        <v>39</v>
      </c>
      <c r="T842" s="8" t="s">
        <v>44</v>
      </c>
      <c r="U842" s="8" t="s">
        <v>41</v>
      </c>
      <c r="V842" s="8" t="s">
        <v>42</v>
      </c>
      <c r="W842" s="8">
        <v>0</v>
      </c>
    </row>
    <row r="843" spans="1:23" x14ac:dyDescent="0.25">
      <c r="A843" s="4"/>
      <c r="B843" s="4"/>
      <c r="C843" s="4">
        <v>896470</v>
      </c>
      <c r="D843" s="22">
        <v>6906.92</v>
      </c>
      <c r="E843" s="17">
        <f>J843-D843</f>
        <v>7.999999999992724E-2</v>
      </c>
      <c r="F843" s="9"/>
      <c r="G843" s="10">
        <v>331206879</v>
      </c>
      <c r="H843" s="9">
        <v>45328</v>
      </c>
      <c r="I843" s="9">
        <v>45343</v>
      </c>
      <c r="J843" s="8">
        <v>6907</v>
      </c>
      <c r="K843" s="8" t="s">
        <v>31</v>
      </c>
      <c r="L843" s="8" t="s">
        <v>32</v>
      </c>
      <c r="M843" s="8"/>
      <c r="N843" s="8" t="b">
        <v>0</v>
      </c>
      <c r="O843" s="10">
        <v>21265</v>
      </c>
      <c r="P843" s="8" t="s">
        <v>282</v>
      </c>
      <c r="Q843" s="8">
        <v>836902</v>
      </c>
      <c r="R843" s="9">
        <v>45328</v>
      </c>
      <c r="S843" s="8" t="s">
        <v>39</v>
      </c>
      <c r="T843" s="8" t="s">
        <v>44</v>
      </c>
      <c r="U843" s="8" t="s">
        <v>41</v>
      </c>
      <c r="V843" s="8" t="s">
        <v>42</v>
      </c>
      <c r="W843" s="8">
        <v>0</v>
      </c>
    </row>
    <row r="844" spans="1:23" s="38" customFormat="1" x14ac:dyDescent="0.25">
      <c r="A844" s="34"/>
      <c r="B844" s="34"/>
      <c r="C844" s="34">
        <v>895494</v>
      </c>
      <c r="D844" s="35">
        <v>6929.72</v>
      </c>
      <c r="E844" s="37">
        <f t="shared" si="13"/>
        <v>-0.72000000000025466</v>
      </c>
      <c r="F844" s="46"/>
      <c r="G844" s="16">
        <v>331217939</v>
      </c>
      <c r="H844" s="46">
        <v>45328</v>
      </c>
      <c r="I844" s="46">
        <v>45343</v>
      </c>
      <c r="J844" s="47">
        <v>6929</v>
      </c>
      <c r="K844" s="47" t="s">
        <v>31</v>
      </c>
      <c r="L844" s="47" t="s">
        <v>32</v>
      </c>
      <c r="M844" s="47"/>
      <c r="N844" s="47" t="b">
        <v>0</v>
      </c>
      <c r="O844" s="16">
        <v>21269</v>
      </c>
      <c r="P844" s="47" t="s">
        <v>141</v>
      </c>
      <c r="Q844" s="47">
        <v>850744</v>
      </c>
      <c r="R844" s="46">
        <v>45328</v>
      </c>
      <c r="S844" s="47" t="s">
        <v>39</v>
      </c>
      <c r="T844" s="47" t="s">
        <v>40</v>
      </c>
      <c r="U844" s="47" t="s">
        <v>41</v>
      </c>
      <c r="V844" s="47" t="s">
        <v>42</v>
      </c>
      <c r="W844" s="47">
        <v>0</v>
      </c>
    </row>
    <row r="845" spans="1:23" x14ac:dyDescent="0.25">
      <c r="A845" s="4"/>
      <c r="B845" s="4"/>
      <c r="C845" s="4">
        <v>895526</v>
      </c>
      <c r="D845" s="22">
        <v>6929.72</v>
      </c>
      <c r="E845" s="17">
        <f t="shared" si="13"/>
        <v>-0.72000000000025466</v>
      </c>
      <c r="F845" s="9"/>
      <c r="G845" s="10">
        <v>331217525</v>
      </c>
      <c r="H845" s="9">
        <v>45328</v>
      </c>
      <c r="I845" s="9">
        <v>45343</v>
      </c>
      <c r="J845" s="8">
        <v>6929</v>
      </c>
      <c r="K845" s="8" t="s">
        <v>31</v>
      </c>
      <c r="L845" s="8" t="s">
        <v>32</v>
      </c>
      <c r="M845" s="8"/>
      <c r="N845" s="8" t="b">
        <v>0</v>
      </c>
      <c r="O845" s="10">
        <v>21270</v>
      </c>
      <c r="P845" s="8" t="s">
        <v>230</v>
      </c>
      <c r="Q845" s="8">
        <v>850593</v>
      </c>
      <c r="R845" s="9">
        <v>45328</v>
      </c>
      <c r="S845" s="8" t="s">
        <v>39</v>
      </c>
      <c r="T845" s="8" t="s">
        <v>40</v>
      </c>
      <c r="U845" s="8" t="s">
        <v>41</v>
      </c>
      <c r="V845" s="8" t="s">
        <v>42</v>
      </c>
      <c r="W845" s="8">
        <v>0</v>
      </c>
    </row>
    <row r="846" spans="1:23" x14ac:dyDescent="0.25">
      <c r="A846" s="4"/>
      <c r="B846" s="4"/>
      <c r="C846" s="4">
        <v>895651</v>
      </c>
      <c r="D846" s="22">
        <v>9113.64</v>
      </c>
      <c r="E846" s="17">
        <f t="shared" si="13"/>
        <v>0.36000000000058208</v>
      </c>
      <c r="F846" s="9"/>
      <c r="G846" s="10">
        <v>331217492</v>
      </c>
      <c r="H846" s="9">
        <v>45328</v>
      </c>
      <c r="I846" s="9">
        <v>45343</v>
      </c>
      <c r="J846" s="8">
        <v>9114</v>
      </c>
      <c r="K846" s="8" t="s">
        <v>31</v>
      </c>
      <c r="L846" s="8" t="s">
        <v>32</v>
      </c>
      <c r="M846" s="8"/>
      <c r="N846" s="8" t="b">
        <v>0</v>
      </c>
      <c r="O846" s="10">
        <v>709993</v>
      </c>
      <c r="P846" s="8" t="s">
        <v>170</v>
      </c>
      <c r="Q846" s="8">
        <v>850439</v>
      </c>
      <c r="R846" s="9">
        <v>45328</v>
      </c>
      <c r="S846" s="8" t="s">
        <v>130</v>
      </c>
      <c r="T846" s="8" t="s">
        <v>40</v>
      </c>
      <c r="U846" s="8" t="s">
        <v>131</v>
      </c>
      <c r="V846" s="8" t="s">
        <v>132</v>
      </c>
      <c r="W846" s="8">
        <v>0</v>
      </c>
    </row>
    <row r="847" spans="1:23" x14ac:dyDescent="0.25">
      <c r="A847" s="4"/>
      <c r="B847" s="4"/>
      <c r="C847" s="4">
        <v>895304</v>
      </c>
      <c r="D847" s="22">
        <v>86576</v>
      </c>
      <c r="E847" s="17">
        <f t="shared" si="13"/>
        <v>4</v>
      </c>
      <c r="F847" s="9"/>
      <c r="G847" s="10">
        <v>331200540</v>
      </c>
      <c r="H847" s="9">
        <v>45328</v>
      </c>
      <c r="I847" s="9">
        <v>45343</v>
      </c>
      <c r="J847" s="8">
        <v>86580</v>
      </c>
      <c r="K847" s="8" t="s">
        <v>31</v>
      </c>
      <c r="L847" s="8" t="s">
        <v>32</v>
      </c>
      <c r="M847" s="8"/>
      <c r="N847" s="8" t="b">
        <v>0</v>
      </c>
      <c r="O847" s="10"/>
      <c r="P847" s="8" t="s">
        <v>390</v>
      </c>
      <c r="Q847" s="8">
        <v>827392</v>
      </c>
      <c r="R847" s="9">
        <v>45327</v>
      </c>
      <c r="S847" s="8" t="s">
        <v>34</v>
      </c>
      <c r="T847" s="8" t="s">
        <v>49</v>
      </c>
      <c r="U847" s="8" t="s">
        <v>75</v>
      </c>
      <c r="V847" s="8" t="s">
        <v>46</v>
      </c>
      <c r="W847" s="8">
        <v>0</v>
      </c>
    </row>
    <row r="848" spans="1:23" x14ac:dyDescent="0.25">
      <c r="A848" s="4"/>
      <c r="B848" s="4"/>
      <c r="C848" s="4" t="s">
        <v>391</v>
      </c>
      <c r="D848" s="22">
        <v>2870</v>
      </c>
      <c r="E848" s="17">
        <f t="shared" si="13"/>
        <v>0</v>
      </c>
      <c r="F848" s="9"/>
      <c r="G848" s="10">
        <v>331238760</v>
      </c>
      <c r="H848" s="9">
        <v>45329</v>
      </c>
      <c r="I848" s="9">
        <v>45344</v>
      </c>
      <c r="J848" s="8">
        <v>2870</v>
      </c>
      <c r="K848" s="8" t="s">
        <v>31</v>
      </c>
      <c r="L848" s="8" t="s">
        <v>32</v>
      </c>
      <c r="M848" s="8"/>
      <c r="N848" s="8" t="b">
        <v>0</v>
      </c>
      <c r="O848" s="10" t="s">
        <v>392</v>
      </c>
      <c r="P848" s="8" t="s">
        <v>393</v>
      </c>
      <c r="Q848" s="8">
        <v>878441</v>
      </c>
      <c r="R848" s="9">
        <v>45329</v>
      </c>
      <c r="S848" s="8" t="s">
        <v>362</v>
      </c>
      <c r="T848" s="8" t="s">
        <v>394</v>
      </c>
      <c r="U848" s="8" t="s">
        <v>260</v>
      </c>
      <c r="V848" s="8" t="s">
        <v>261</v>
      </c>
      <c r="W848" s="8">
        <v>0</v>
      </c>
    </row>
    <row r="849" spans="1:23" x14ac:dyDescent="0.25">
      <c r="A849" s="4"/>
      <c r="B849" s="4"/>
      <c r="C849" s="4">
        <v>895683</v>
      </c>
      <c r="D849" s="22">
        <v>5097.88</v>
      </c>
      <c r="E849" s="17">
        <f t="shared" ref="E849:E880" si="14">J849-D849</f>
        <v>0.11999999999989086</v>
      </c>
      <c r="F849" s="9"/>
      <c r="G849" s="10">
        <v>331230498</v>
      </c>
      <c r="H849" s="9">
        <v>45329</v>
      </c>
      <c r="I849" s="9">
        <v>45344</v>
      </c>
      <c r="J849" s="8">
        <v>5098</v>
      </c>
      <c r="K849" s="8" t="s">
        <v>31</v>
      </c>
      <c r="L849" s="8" t="s">
        <v>32</v>
      </c>
      <c r="M849" s="8"/>
      <c r="N849" s="8" t="b">
        <v>0</v>
      </c>
      <c r="O849" s="10">
        <v>710352</v>
      </c>
      <c r="P849" s="8" t="s">
        <v>100</v>
      </c>
      <c r="Q849" s="8">
        <v>865482</v>
      </c>
      <c r="R849" s="9">
        <v>45329</v>
      </c>
      <c r="S849" s="8" t="s">
        <v>180</v>
      </c>
      <c r="T849" s="8" t="s">
        <v>44</v>
      </c>
      <c r="U849" s="8" t="s">
        <v>45</v>
      </c>
      <c r="V849" s="8" t="s">
        <v>46</v>
      </c>
      <c r="W849" s="8">
        <v>0</v>
      </c>
    </row>
    <row r="850" spans="1:23" x14ac:dyDescent="0.25">
      <c r="A850" s="4"/>
      <c r="B850" s="4"/>
      <c r="C850" s="4">
        <v>895667</v>
      </c>
      <c r="D850" s="22">
        <v>6906.92</v>
      </c>
      <c r="E850" s="17">
        <f t="shared" si="14"/>
        <v>7.999999999992724E-2</v>
      </c>
      <c r="F850" s="9"/>
      <c r="G850" s="10">
        <v>331230462</v>
      </c>
      <c r="H850" s="9">
        <v>45329</v>
      </c>
      <c r="I850" s="9">
        <v>45344</v>
      </c>
      <c r="J850" s="8">
        <v>6907</v>
      </c>
      <c r="K850" s="8" t="s">
        <v>31</v>
      </c>
      <c r="L850" s="8" t="s">
        <v>32</v>
      </c>
      <c r="M850" s="8"/>
      <c r="N850" s="8" t="b">
        <v>0</v>
      </c>
      <c r="O850" s="10">
        <v>21266</v>
      </c>
      <c r="P850" s="8" t="s">
        <v>144</v>
      </c>
      <c r="Q850" s="8">
        <v>865391</v>
      </c>
      <c r="R850" s="9">
        <v>45329</v>
      </c>
      <c r="S850" s="8" t="s">
        <v>39</v>
      </c>
      <c r="T850" s="8" t="s">
        <v>44</v>
      </c>
      <c r="U850" s="8" t="s">
        <v>41</v>
      </c>
      <c r="V850" s="8" t="s">
        <v>42</v>
      </c>
      <c r="W850" s="8">
        <v>0</v>
      </c>
    </row>
    <row r="851" spans="1:23" x14ac:dyDescent="0.25">
      <c r="A851" s="4"/>
      <c r="B851" s="4"/>
      <c r="C851" s="4">
        <v>895914</v>
      </c>
      <c r="D851" s="22">
        <v>5095.9799999999996</v>
      </c>
      <c r="E851" s="17">
        <f t="shared" si="14"/>
        <v>2.0000000000436557E-2</v>
      </c>
      <c r="F851" s="9"/>
      <c r="G851" s="10">
        <v>331230403</v>
      </c>
      <c r="H851" s="9">
        <v>45329</v>
      </c>
      <c r="I851" s="9">
        <v>45344</v>
      </c>
      <c r="J851" s="8">
        <v>5096</v>
      </c>
      <c r="K851" s="8" t="s">
        <v>31</v>
      </c>
      <c r="L851" s="8" t="s">
        <v>32</v>
      </c>
      <c r="M851" s="8"/>
      <c r="N851" s="8" t="b">
        <v>0</v>
      </c>
      <c r="O851" s="10">
        <v>715181</v>
      </c>
      <c r="P851" s="8" t="s">
        <v>349</v>
      </c>
      <c r="Q851" s="8">
        <v>865591</v>
      </c>
      <c r="R851" s="9">
        <v>45329</v>
      </c>
      <c r="S851" s="8" t="s">
        <v>34</v>
      </c>
      <c r="T851" s="8" t="s">
        <v>44</v>
      </c>
      <c r="U851" s="8" t="s">
        <v>58</v>
      </c>
      <c r="V851" s="8" t="s">
        <v>46</v>
      </c>
      <c r="W851" s="8">
        <v>0</v>
      </c>
    </row>
    <row r="852" spans="1:23" x14ac:dyDescent="0.25">
      <c r="A852" s="4"/>
      <c r="B852" s="4"/>
      <c r="C852" s="4">
        <v>895655</v>
      </c>
      <c r="D852" s="22">
        <v>7677.82</v>
      </c>
      <c r="E852" s="17">
        <f t="shared" si="14"/>
        <v>0.18000000000029104</v>
      </c>
      <c r="F852" s="9"/>
      <c r="G852" s="10">
        <v>331230170</v>
      </c>
      <c r="H852" s="9">
        <v>45329</v>
      </c>
      <c r="I852" s="9">
        <v>45344</v>
      </c>
      <c r="J852" s="8">
        <v>7678</v>
      </c>
      <c r="K852" s="8" t="s">
        <v>31</v>
      </c>
      <c r="L852" s="8" t="s">
        <v>32</v>
      </c>
      <c r="M852" s="8"/>
      <c r="N852" s="8" t="b">
        <v>0</v>
      </c>
      <c r="O852" s="10">
        <v>21268</v>
      </c>
      <c r="P852" s="8" t="s">
        <v>78</v>
      </c>
      <c r="Q852" s="8">
        <v>865223</v>
      </c>
      <c r="R852" s="9">
        <v>45329</v>
      </c>
      <c r="S852" s="8" t="s">
        <v>318</v>
      </c>
      <c r="T852" s="8" t="s">
        <v>44</v>
      </c>
      <c r="U852" s="8" t="s">
        <v>319</v>
      </c>
      <c r="V852" s="8" t="s">
        <v>320</v>
      </c>
      <c r="W852" s="8">
        <v>0</v>
      </c>
    </row>
    <row r="853" spans="1:23" x14ac:dyDescent="0.25">
      <c r="A853" s="4"/>
      <c r="B853" s="4"/>
      <c r="C853" s="4">
        <v>895663</v>
      </c>
      <c r="D853" s="22">
        <v>7677.82</v>
      </c>
      <c r="E853" s="17">
        <f t="shared" si="14"/>
        <v>0.18000000000029104</v>
      </c>
      <c r="F853" s="9"/>
      <c r="G853" s="10">
        <v>331230148</v>
      </c>
      <c r="H853" s="9">
        <v>45329</v>
      </c>
      <c r="I853" s="9">
        <v>45344</v>
      </c>
      <c r="J853" s="8">
        <v>7678</v>
      </c>
      <c r="K853" s="8" t="s">
        <v>31</v>
      </c>
      <c r="L853" s="8" t="s">
        <v>32</v>
      </c>
      <c r="M853" s="8"/>
      <c r="N853" s="8" t="b">
        <v>0</v>
      </c>
      <c r="O853" s="10">
        <v>21267</v>
      </c>
      <c r="P853" s="8" t="s">
        <v>59</v>
      </c>
      <c r="Q853" s="8">
        <v>865294</v>
      </c>
      <c r="R853" s="9">
        <v>45329</v>
      </c>
      <c r="S853" s="8" t="s">
        <v>318</v>
      </c>
      <c r="T853" s="8" t="s">
        <v>44</v>
      </c>
      <c r="U853" s="8" t="s">
        <v>319</v>
      </c>
      <c r="V853" s="8" t="s">
        <v>320</v>
      </c>
      <c r="W853" s="8">
        <v>0</v>
      </c>
    </row>
    <row r="854" spans="1:23" x14ac:dyDescent="0.25">
      <c r="A854" s="4"/>
      <c r="B854" s="4"/>
      <c r="C854" s="4">
        <v>896240</v>
      </c>
      <c r="D854" s="22">
        <v>5120.3</v>
      </c>
      <c r="E854" s="17">
        <f t="shared" si="14"/>
        <v>-0.3000000000001819</v>
      </c>
      <c r="F854" s="9"/>
      <c r="G854" s="10">
        <v>331255897</v>
      </c>
      <c r="H854" s="9">
        <v>45330</v>
      </c>
      <c r="I854" s="9">
        <v>45345</v>
      </c>
      <c r="J854" s="8">
        <v>5120</v>
      </c>
      <c r="K854" s="8" t="s">
        <v>31</v>
      </c>
      <c r="L854" s="8" t="s">
        <v>32</v>
      </c>
      <c r="M854" s="8"/>
      <c r="N854" s="8" t="b">
        <v>0</v>
      </c>
      <c r="O854" s="10">
        <v>717051</v>
      </c>
      <c r="P854" s="8" t="s">
        <v>94</v>
      </c>
      <c r="Q854" s="8">
        <v>100353</v>
      </c>
      <c r="R854" s="9">
        <v>45330</v>
      </c>
      <c r="S854" s="8" t="s">
        <v>48</v>
      </c>
      <c r="T854" s="8" t="s">
        <v>40</v>
      </c>
      <c r="U854" s="8" t="s">
        <v>45</v>
      </c>
      <c r="V854" s="8" t="s">
        <v>46</v>
      </c>
      <c r="W854" s="8">
        <v>0</v>
      </c>
    </row>
    <row r="855" spans="1:23" x14ac:dyDescent="0.25">
      <c r="A855" s="4"/>
      <c r="B855" s="4"/>
      <c r="C855" s="4">
        <v>896243</v>
      </c>
      <c r="D855" s="22">
        <v>7934.48</v>
      </c>
      <c r="E855" s="17">
        <f t="shared" si="14"/>
        <v>-0.47999999999956344</v>
      </c>
      <c r="F855" s="9"/>
      <c r="G855" s="10">
        <v>331253212</v>
      </c>
      <c r="H855" s="9">
        <v>45330</v>
      </c>
      <c r="I855" s="9">
        <v>45345</v>
      </c>
      <c r="J855" s="8">
        <v>7934</v>
      </c>
      <c r="K855" s="8" t="s">
        <v>31</v>
      </c>
      <c r="L855" s="8" t="s">
        <v>32</v>
      </c>
      <c r="M855" s="8"/>
      <c r="N855" s="8" t="b">
        <v>0</v>
      </c>
      <c r="O855" s="10">
        <v>716994</v>
      </c>
      <c r="P855" s="8" t="s">
        <v>91</v>
      </c>
      <c r="Q855" s="8">
        <v>896969</v>
      </c>
      <c r="R855" s="9">
        <v>45330</v>
      </c>
      <c r="S855" s="8" t="s">
        <v>34</v>
      </c>
      <c r="T855" s="8" t="s">
        <v>44</v>
      </c>
      <c r="U855" s="8" t="s">
        <v>157</v>
      </c>
      <c r="V855" s="8" t="s">
        <v>158</v>
      </c>
      <c r="W855" s="8">
        <v>0</v>
      </c>
    </row>
    <row r="856" spans="1:23" x14ac:dyDescent="0.25">
      <c r="A856" s="4"/>
      <c r="B856" s="4"/>
      <c r="C856" s="4"/>
      <c r="D856" s="22"/>
      <c r="E856" s="17">
        <f t="shared" si="14"/>
        <v>4975</v>
      </c>
      <c r="F856" s="9"/>
      <c r="G856" s="10">
        <v>331275491</v>
      </c>
      <c r="H856" s="9">
        <v>45331</v>
      </c>
      <c r="I856" s="9">
        <v>45346</v>
      </c>
      <c r="J856" s="8">
        <v>4975</v>
      </c>
      <c r="K856" s="8" t="s">
        <v>31</v>
      </c>
      <c r="L856" s="8" t="s">
        <v>32</v>
      </c>
      <c r="M856" s="8"/>
      <c r="N856" s="8" t="b">
        <v>0</v>
      </c>
      <c r="O856" s="10">
        <v>717094</v>
      </c>
      <c r="P856" s="8" t="s">
        <v>183</v>
      </c>
      <c r="Q856" s="8">
        <v>126260</v>
      </c>
      <c r="R856" s="9">
        <v>45331</v>
      </c>
      <c r="S856" s="8" t="s">
        <v>34</v>
      </c>
      <c r="T856" s="8" t="s">
        <v>44</v>
      </c>
      <c r="U856" s="8" t="s">
        <v>84</v>
      </c>
      <c r="V856" s="8" t="s">
        <v>46</v>
      </c>
      <c r="W856" s="8">
        <v>0</v>
      </c>
    </row>
    <row r="857" spans="1:23" x14ac:dyDescent="0.25">
      <c r="A857" s="4"/>
      <c r="B857" s="4"/>
      <c r="C857" s="4"/>
      <c r="D857" s="22"/>
      <c r="E857" s="17">
        <f t="shared" si="14"/>
        <v>4975</v>
      </c>
      <c r="F857" s="9"/>
      <c r="G857" s="10">
        <v>331275245</v>
      </c>
      <c r="H857" s="9">
        <v>45331</v>
      </c>
      <c r="I857" s="9">
        <v>45346</v>
      </c>
      <c r="J857" s="8">
        <v>4975</v>
      </c>
      <c r="K857" s="8" t="s">
        <v>31</v>
      </c>
      <c r="L857" s="8" t="s">
        <v>32</v>
      </c>
      <c r="M857" s="8"/>
      <c r="N857" s="8" t="b">
        <v>0</v>
      </c>
      <c r="O857" s="10">
        <v>717093</v>
      </c>
      <c r="P857" s="8" t="s">
        <v>203</v>
      </c>
      <c r="Q857" s="8">
        <v>126202</v>
      </c>
      <c r="R857" s="9">
        <v>45331</v>
      </c>
      <c r="S857" s="8" t="s">
        <v>34</v>
      </c>
      <c r="T857" s="8" t="s">
        <v>44</v>
      </c>
      <c r="U857" s="8" t="s">
        <v>84</v>
      </c>
      <c r="V857" s="8" t="s">
        <v>46</v>
      </c>
      <c r="W857" s="8">
        <v>0</v>
      </c>
    </row>
    <row r="858" spans="1:23" x14ac:dyDescent="0.25">
      <c r="A858" s="4"/>
      <c r="B858" s="4"/>
      <c r="C858" s="4"/>
      <c r="D858" s="22"/>
      <c r="E858" s="17">
        <f t="shared" si="14"/>
        <v>4975</v>
      </c>
      <c r="F858" s="9"/>
      <c r="G858" s="10">
        <v>331275218</v>
      </c>
      <c r="H858" s="9">
        <v>45331</v>
      </c>
      <c r="I858" s="9">
        <v>45346</v>
      </c>
      <c r="J858" s="8">
        <v>4975</v>
      </c>
      <c r="K858" s="8" t="s">
        <v>31</v>
      </c>
      <c r="L858" s="8" t="s">
        <v>32</v>
      </c>
      <c r="M858" s="8"/>
      <c r="N858" s="8" t="b">
        <v>0</v>
      </c>
      <c r="O858" s="10">
        <v>717095</v>
      </c>
      <c r="P858" s="8" t="s">
        <v>133</v>
      </c>
      <c r="Q858" s="8">
        <v>126091</v>
      </c>
      <c r="R858" s="9">
        <v>45331</v>
      </c>
      <c r="S858" s="8" t="s">
        <v>34</v>
      </c>
      <c r="T858" s="8" t="s">
        <v>44</v>
      </c>
      <c r="U858" s="8" t="s">
        <v>84</v>
      </c>
      <c r="V858" s="8" t="s">
        <v>46</v>
      </c>
      <c r="W858" s="8">
        <v>0</v>
      </c>
    </row>
    <row r="859" spans="1:23" x14ac:dyDescent="0.25">
      <c r="A859" s="4"/>
      <c r="B859" s="4"/>
      <c r="C859" s="4"/>
      <c r="D859" s="22"/>
      <c r="E859" s="17">
        <f t="shared" si="14"/>
        <v>7934</v>
      </c>
      <c r="F859" s="9"/>
      <c r="G859" s="10">
        <v>331275203</v>
      </c>
      <c r="H859" s="9">
        <v>45331</v>
      </c>
      <c r="I859" s="9">
        <v>45346</v>
      </c>
      <c r="J859" s="8">
        <v>7934</v>
      </c>
      <c r="K859" s="8" t="s">
        <v>31</v>
      </c>
      <c r="L859" s="8" t="s">
        <v>32</v>
      </c>
      <c r="M859" s="8"/>
      <c r="N859" s="8" t="b">
        <v>0</v>
      </c>
      <c r="O859" s="10">
        <v>716995</v>
      </c>
      <c r="P859" s="8" t="s">
        <v>52</v>
      </c>
      <c r="Q859" s="8">
        <v>126015</v>
      </c>
      <c r="R859" s="9">
        <v>45331</v>
      </c>
      <c r="S859" s="8" t="s">
        <v>34</v>
      </c>
      <c r="T859" s="8" t="s">
        <v>44</v>
      </c>
      <c r="U859" s="8" t="s">
        <v>157</v>
      </c>
      <c r="V859" s="8" t="s">
        <v>158</v>
      </c>
      <c r="W859" s="8">
        <v>0</v>
      </c>
    </row>
    <row r="860" spans="1:23" x14ac:dyDescent="0.25">
      <c r="A860" s="4"/>
      <c r="B860" s="4"/>
      <c r="C860" s="4"/>
      <c r="D860" s="22"/>
      <c r="E860" s="17">
        <f t="shared" si="14"/>
        <v>86580</v>
      </c>
      <c r="F860" s="9"/>
      <c r="G860" s="10">
        <v>331315740</v>
      </c>
      <c r="H860" s="9">
        <v>45334</v>
      </c>
      <c r="I860" s="9">
        <v>45349</v>
      </c>
      <c r="J860" s="8">
        <v>86580</v>
      </c>
      <c r="K860" s="8" t="s">
        <v>31</v>
      </c>
      <c r="L860" s="8" t="s">
        <v>32</v>
      </c>
      <c r="M860" s="8"/>
      <c r="N860" s="8" t="b">
        <v>0</v>
      </c>
      <c r="O860" s="10"/>
      <c r="P860" s="8" t="s">
        <v>395</v>
      </c>
      <c r="Q860" s="8">
        <v>177083</v>
      </c>
      <c r="R860" s="9">
        <v>45334</v>
      </c>
      <c r="S860" s="8" t="s">
        <v>34</v>
      </c>
      <c r="T860" s="8" t="s">
        <v>49</v>
      </c>
      <c r="U860" s="8" t="s">
        <v>75</v>
      </c>
      <c r="V860" s="8" t="s">
        <v>46</v>
      </c>
      <c r="W860" s="8">
        <v>0</v>
      </c>
    </row>
    <row r="861" spans="1:23" x14ac:dyDescent="0.25">
      <c r="A861" s="4"/>
      <c r="B861" s="4"/>
      <c r="C861" s="4"/>
      <c r="D861" s="22"/>
      <c r="E861" s="17">
        <f t="shared" si="14"/>
        <v>4975</v>
      </c>
      <c r="F861" s="9"/>
      <c r="G861" s="10">
        <v>331315270</v>
      </c>
      <c r="H861" s="9">
        <v>45334</v>
      </c>
      <c r="I861" s="9">
        <v>45349</v>
      </c>
      <c r="J861" s="8">
        <v>4975</v>
      </c>
      <c r="K861" s="8" t="s">
        <v>31</v>
      </c>
      <c r="L861" s="8" t="s">
        <v>32</v>
      </c>
      <c r="M861" s="8"/>
      <c r="N861" s="8" t="b">
        <v>0</v>
      </c>
      <c r="O861" s="10">
        <v>717096</v>
      </c>
      <c r="P861" s="8" t="s">
        <v>322</v>
      </c>
      <c r="Q861" s="8">
        <v>175890</v>
      </c>
      <c r="R861" s="9">
        <v>45334</v>
      </c>
      <c r="S861" s="8" t="s">
        <v>34</v>
      </c>
      <c r="T861" s="8" t="s">
        <v>44</v>
      </c>
      <c r="U861" s="8" t="s">
        <v>84</v>
      </c>
      <c r="V861" s="8" t="s">
        <v>46</v>
      </c>
      <c r="W861" s="8">
        <v>0</v>
      </c>
    </row>
    <row r="862" spans="1:23" x14ac:dyDescent="0.25">
      <c r="A862" s="4"/>
      <c r="B862" s="4"/>
      <c r="C862" s="4"/>
      <c r="D862" s="22"/>
      <c r="E862" s="17">
        <f t="shared" si="14"/>
        <v>5096</v>
      </c>
      <c r="F862" s="9"/>
      <c r="G862" s="10">
        <v>331315244</v>
      </c>
      <c r="H862" s="9">
        <v>45334</v>
      </c>
      <c r="I862" s="9">
        <v>45349</v>
      </c>
      <c r="J862" s="8">
        <v>5096</v>
      </c>
      <c r="K862" s="8" t="s">
        <v>31</v>
      </c>
      <c r="L862" s="8" t="s">
        <v>32</v>
      </c>
      <c r="M862" s="8"/>
      <c r="N862" s="8" t="b">
        <v>0</v>
      </c>
      <c r="O862" s="10">
        <v>715180</v>
      </c>
      <c r="P862" s="8" t="s">
        <v>336</v>
      </c>
      <c r="Q862" s="8">
        <v>176088</v>
      </c>
      <c r="R862" s="9">
        <v>45334</v>
      </c>
      <c r="S862" s="8" t="s">
        <v>34</v>
      </c>
      <c r="T862" s="8" t="s">
        <v>44</v>
      </c>
      <c r="U862" s="8" t="s">
        <v>58</v>
      </c>
      <c r="V862" s="8" t="s">
        <v>46</v>
      </c>
      <c r="W862" s="8">
        <v>0</v>
      </c>
    </row>
    <row r="863" spans="1:23" x14ac:dyDescent="0.25">
      <c r="A863" s="4"/>
      <c r="B863" s="4"/>
      <c r="C863" s="4"/>
      <c r="D863" s="22"/>
      <c r="E863" s="17">
        <f t="shared" si="14"/>
        <v>4975</v>
      </c>
      <c r="F863" s="9"/>
      <c r="G863" s="10">
        <v>331314917</v>
      </c>
      <c r="H863" s="9">
        <v>45334</v>
      </c>
      <c r="I863" s="9">
        <v>45349</v>
      </c>
      <c r="J863" s="8">
        <v>4975</v>
      </c>
      <c r="K863" s="8" t="s">
        <v>31</v>
      </c>
      <c r="L863" s="8" t="s">
        <v>32</v>
      </c>
      <c r="M863" s="8"/>
      <c r="N863" s="8" t="b">
        <v>0</v>
      </c>
      <c r="O863" s="10">
        <v>717098</v>
      </c>
      <c r="P863" s="8" t="s">
        <v>53</v>
      </c>
      <c r="Q863" s="8">
        <v>175715</v>
      </c>
      <c r="R863" s="9">
        <v>45334</v>
      </c>
      <c r="S863" s="8" t="s">
        <v>34</v>
      </c>
      <c r="T863" s="8" t="s">
        <v>44</v>
      </c>
      <c r="U863" s="8" t="s">
        <v>84</v>
      </c>
      <c r="V863" s="8" t="s">
        <v>46</v>
      </c>
      <c r="W863" s="8">
        <v>0</v>
      </c>
    </row>
    <row r="864" spans="1:23" x14ac:dyDescent="0.25">
      <c r="A864" s="4"/>
      <c r="B864" s="4"/>
      <c r="C864" s="4" t="s">
        <v>396</v>
      </c>
      <c r="D864" s="22">
        <v>2499</v>
      </c>
      <c r="E864" s="17">
        <f t="shared" si="14"/>
        <v>0</v>
      </c>
      <c r="F864" s="9"/>
      <c r="G864" s="10">
        <v>331342446</v>
      </c>
      <c r="H864" s="9">
        <v>45335</v>
      </c>
      <c r="I864" s="9">
        <v>45350</v>
      </c>
      <c r="J864" s="8">
        <v>2499</v>
      </c>
      <c r="K864" s="8" t="s">
        <v>31</v>
      </c>
      <c r="L864" s="8" t="s">
        <v>32</v>
      </c>
      <c r="M864" s="8"/>
      <c r="N864" s="8" t="b">
        <v>0</v>
      </c>
      <c r="O864" s="10" t="s">
        <v>397</v>
      </c>
      <c r="P864" s="8" t="s">
        <v>246</v>
      </c>
      <c r="Q864" s="8">
        <v>213879</v>
      </c>
      <c r="R864" s="9">
        <v>45335</v>
      </c>
      <c r="S864" s="8" t="s">
        <v>286</v>
      </c>
      <c r="T864" s="8" t="s">
        <v>75</v>
      </c>
      <c r="U864" s="8" t="s">
        <v>287</v>
      </c>
      <c r="V864" s="8" t="s">
        <v>46</v>
      </c>
      <c r="W864" s="8">
        <v>0</v>
      </c>
    </row>
    <row r="865" spans="1:23" x14ac:dyDescent="0.25">
      <c r="A865" s="4"/>
      <c r="B865" s="4"/>
      <c r="C865" s="4" t="s">
        <v>398</v>
      </c>
      <c r="D865" s="22">
        <v>2499</v>
      </c>
      <c r="E865" s="17">
        <f t="shared" si="14"/>
        <v>0</v>
      </c>
      <c r="F865" s="9"/>
      <c r="G865" s="10">
        <v>331342376</v>
      </c>
      <c r="H865" s="9">
        <v>45335</v>
      </c>
      <c r="I865" s="9">
        <v>45350</v>
      </c>
      <c r="J865" s="8">
        <v>2499</v>
      </c>
      <c r="K865" s="8" t="s">
        <v>31</v>
      </c>
      <c r="L865" s="8" t="s">
        <v>32</v>
      </c>
      <c r="M865" s="8"/>
      <c r="N865" s="8" t="b">
        <v>0</v>
      </c>
      <c r="O865" s="10" t="s">
        <v>397</v>
      </c>
      <c r="P865" s="8" t="s">
        <v>352</v>
      </c>
      <c r="Q865" s="8">
        <v>213881</v>
      </c>
      <c r="R865" s="9">
        <v>45335</v>
      </c>
      <c r="S865" s="8" t="s">
        <v>286</v>
      </c>
      <c r="T865" s="8" t="s">
        <v>75</v>
      </c>
      <c r="U865" s="8" t="s">
        <v>287</v>
      </c>
      <c r="V865" s="8" t="s">
        <v>46</v>
      </c>
      <c r="W865" s="8">
        <v>0</v>
      </c>
    </row>
    <row r="866" spans="1:23" x14ac:dyDescent="0.25">
      <c r="A866" s="4"/>
      <c r="B866" s="4"/>
      <c r="C866" s="4"/>
      <c r="D866" s="22"/>
      <c r="E866" s="17">
        <f t="shared" si="14"/>
        <v>9114</v>
      </c>
      <c r="F866" s="9"/>
      <c r="G866" s="10">
        <v>331341682</v>
      </c>
      <c r="H866" s="9">
        <v>45335</v>
      </c>
      <c r="I866" s="9">
        <v>45350</v>
      </c>
      <c r="J866" s="8">
        <v>9114</v>
      </c>
      <c r="K866" s="8" t="s">
        <v>31</v>
      </c>
      <c r="L866" s="8" t="s">
        <v>32</v>
      </c>
      <c r="M866" s="8"/>
      <c r="N866" s="8" t="b">
        <v>0</v>
      </c>
      <c r="O866" s="10">
        <v>709994</v>
      </c>
      <c r="P866" s="8" t="s">
        <v>172</v>
      </c>
      <c r="Q866" s="8">
        <v>212692</v>
      </c>
      <c r="R866" s="9">
        <v>45335</v>
      </c>
      <c r="S866" s="8" t="s">
        <v>130</v>
      </c>
      <c r="T866" s="8" t="s">
        <v>40</v>
      </c>
      <c r="U866" s="8" t="s">
        <v>131</v>
      </c>
      <c r="V866" s="8" t="s">
        <v>132</v>
      </c>
      <c r="W866" s="8">
        <v>0</v>
      </c>
    </row>
    <row r="867" spans="1:23" x14ac:dyDescent="0.25">
      <c r="A867" s="4"/>
      <c r="B867" s="4"/>
      <c r="C867" s="4"/>
      <c r="D867" s="22"/>
      <c r="E867" s="17">
        <f t="shared" si="14"/>
        <v>73593</v>
      </c>
      <c r="F867" s="9"/>
      <c r="G867" s="10">
        <v>331336332</v>
      </c>
      <c r="H867" s="9">
        <v>45335</v>
      </c>
      <c r="I867" s="9">
        <v>45350</v>
      </c>
      <c r="J867" s="8">
        <v>73593</v>
      </c>
      <c r="K867" s="8" t="s">
        <v>31</v>
      </c>
      <c r="L867" s="8" t="s">
        <v>32</v>
      </c>
      <c r="M867" s="8"/>
      <c r="N867" s="8" t="b">
        <v>0</v>
      </c>
      <c r="O867" s="10"/>
      <c r="P867" s="8" t="s">
        <v>47</v>
      </c>
      <c r="Q867" s="8">
        <v>205838</v>
      </c>
      <c r="R867" s="9">
        <v>45335</v>
      </c>
      <c r="S867" s="8" t="s">
        <v>34</v>
      </c>
      <c r="T867" s="8" t="s">
        <v>49</v>
      </c>
      <c r="U867" s="8" t="s">
        <v>75</v>
      </c>
      <c r="V867" s="8" t="s">
        <v>46</v>
      </c>
      <c r="W867" s="8">
        <v>0</v>
      </c>
    </row>
    <row r="868" spans="1:23" x14ac:dyDescent="0.25">
      <c r="A868" s="4"/>
      <c r="B868" s="4"/>
      <c r="C868" s="4"/>
      <c r="D868" s="22"/>
      <c r="E868" s="17">
        <f t="shared" si="14"/>
        <v>5096</v>
      </c>
      <c r="F868" s="9"/>
      <c r="G868" s="10">
        <v>331335637</v>
      </c>
      <c r="H868" s="9">
        <v>45335</v>
      </c>
      <c r="I868" s="9">
        <v>45350</v>
      </c>
      <c r="J868" s="8">
        <v>5096</v>
      </c>
      <c r="K868" s="8" t="s">
        <v>31</v>
      </c>
      <c r="L868" s="8" t="s">
        <v>32</v>
      </c>
      <c r="M868" s="8"/>
      <c r="N868" s="8" t="b">
        <v>0</v>
      </c>
      <c r="O868" s="10">
        <v>715179</v>
      </c>
      <c r="P868" s="8" t="s">
        <v>276</v>
      </c>
      <c r="Q868" s="8">
        <v>204502</v>
      </c>
      <c r="R868" s="9">
        <v>45335</v>
      </c>
      <c r="S868" s="8" t="s">
        <v>34</v>
      </c>
      <c r="T868" s="8" t="s">
        <v>44</v>
      </c>
      <c r="U868" s="8" t="s">
        <v>58</v>
      </c>
      <c r="V868" s="8" t="s">
        <v>46</v>
      </c>
      <c r="W868" s="8">
        <v>0</v>
      </c>
    </row>
    <row r="869" spans="1:23" x14ac:dyDescent="0.25">
      <c r="A869" s="4"/>
      <c r="B869" s="4"/>
      <c r="C869" s="4"/>
      <c r="D869" s="22"/>
      <c r="E869" s="17">
        <f t="shared" si="14"/>
        <v>4975</v>
      </c>
      <c r="F869" s="9"/>
      <c r="G869" s="10">
        <v>331335615</v>
      </c>
      <c r="H869" s="9">
        <v>45335</v>
      </c>
      <c r="I869" s="9">
        <v>45350</v>
      </c>
      <c r="J869" s="8">
        <v>4975</v>
      </c>
      <c r="K869" s="8" t="s">
        <v>31</v>
      </c>
      <c r="L869" s="8" t="s">
        <v>32</v>
      </c>
      <c r="M869" s="8"/>
      <c r="N869" s="8" t="b">
        <v>0</v>
      </c>
      <c r="O869" s="10">
        <v>717097</v>
      </c>
      <c r="P869" s="8" t="s">
        <v>51</v>
      </c>
      <c r="Q869" s="8">
        <v>204607</v>
      </c>
      <c r="R869" s="9">
        <v>45335</v>
      </c>
      <c r="S869" s="8" t="s">
        <v>34</v>
      </c>
      <c r="T869" s="8" t="s">
        <v>44</v>
      </c>
      <c r="U869" s="8" t="s">
        <v>84</v>
      </c>
      <c r="V869" s="8" t="s">
        <v>46</v>
      </c>
      <c r="W869" s="8">
        <v>0</v>
      </c>
    </row>
    <row r="870" spans="1:23" x14ac:dyDescent="0.25">
      <c r="A870" s="4"/>
      <c r="B870" s="4"/>
      <c r="C870" s="4">
        <v>897086</v>
      </c>
      <c r="D870" s="22">
        <v>2870</v>
      </c>
      <c r="E870" s="17">
        <f t="shared" si="14"/>
        <v>0</v>
      </c>
      <c r="F870" s="9"/>
      <c r="G870" s="10">
        <v>331366173</v>
      </c>
      <c r="H870" s="9">
        <v>45336</v>
      </c>
      <c r="I870" s="9">
        <v>45351</v>
      </c>
      <c r="J870" s="8">
        <v>2870</v>
      </c>
      <c r="K870" s="8" t="s">
        <v>31</v>
      </c>
      <c r="L870" s="8" t="s">
        <v>32</v>
      </c>
      <c r="M870" s="8"/>
      <c r="N870" s="8" t="b">
        <v>0</v>
      </c>
      <c r="O870" s="10" t="s">
        <v>392</v>
      </c>
      <c r="P870" s="8" t="s">
        <v>399</v>
      </c>
      <c r="Q870" s="8">
        <v>248207</v>
      </c>
      <c r="R870" s="9">
        <v>45336</v>
      </c>
      <c r="S870" s="8" t="s">
        <v>362</v>
      </c>
      <c r="T870" s="8" t="s">
        <v>394</v>
      </c>
      <c r="U870" s="8" t="s">
        <v>260</v>
      </c>
      <c r="V870" s="8" t="s">
        <v>261</v>
      </c>
      <c r="W870" s="8">
        <v>0</v>
      </c>
    </row>
    <row r="871" spans="1:23" x14ac:dyDescent="0.25">
      <c r="A871" s="4"/>
      <c r="B871" s="4"/>
      <c r="C871" s="4"/>
      <c r="D871" s="22"/>
      <c r="E871" s="17">
        <f t="shared" si="14"/>
        <v>4975</v>
      </c>
      <c r="F871" s="9"/>
      <c r="G871" s="10">
        <v>331358702</v>
      </c>
      <c r="H871" s="9">
        <v>45336</v>
      </c>
      <c r="I871" s="9">
        <v>45351</v>
      </c>
      <c r="J871" s="8">
        <v>4975</v>
      </c>
      <c r="K871" s="8" t="s">
        <v>31</v>
      </c>
      <c r="L871" s="8" t="s">
        <v>32</v>
      </c>
      <c r="M871" s="8"/>
      <c r="N871" s="8" t="b">
        <v>0</v>
      </c>
      <c r="O871" s="10">
        <v>717100</v>
      </c>
      <c r="P871" s="8" t="s">
        <v>304</v>
      </c>
      <c r="Q871" s="8">
        <v>238173</v>
      </c>
      <c r="R871" s="9">
        <v>45336</v>
      </c>
      <c r="S871" s="8" t="s">
        <v>34</v>
      </c>
      <c r="T871" s="8" t="s">
        <v>44</v>
      </c>
      <c r="U871" s="8" t="s">
        <v>84</v>
      </c>
      <c r="V871" s="8" t="s">
        <v>46</v>
      </c>
      <c r="W871" s="8">
        <v>0</v>
      </c>
    </row>
    <row r="872" spans="1:23" x14ac:dyDescent="0.25">
      <c r="A872" s="4"/>
      <c r="B872" s="4"/>
      <c r="C872" s="4"/>
      <c r="D872" s="22"/>
      <c r="E872" s="17">
        <f t="shared" si="14"/>
        <v>5098</v>
      </c>
      <c r="F872" s="9"/>
      <c r="G872" s="10">
        <v>331358699</v>
      </c>
      <c r="H872" s="9">
        <v>45336</v>
      </c>
      <c r="I872" s="9">
        <v>45351</v>
      </c>
      <c r="J872" s="8">
        <v>5098</v>
      </c>
      <c r="K872" s="8" t="s">
        <v>31</v>
      </c>
      <c r="L872" s="8" t="s">
        <v>32</v>
      </c>
      <c r="M872" s="8"/>
      <c r="N872" s="8" t="b">
        <v>0</v>
      </c>
      <c r="O872" s="10">
        <v>710353</v>
      </c>
      <c r="P872" s="8" t="s">
        <v>125</v>
      </c>
      <c r="Q872" s="8">
        <v>238124</v>
      </c>
      <c r="R872" s="9">
        <v>45336</v>
      </c>
      <c r="S872" s="8" t="s">
        <v>180</v>
      </c>
      <c r="T872" s="8" t="s">
        <v>44</v>
      </c>
      <c r="U872" s="8" t="s">
        <v>45</v>
      </c>
      <c r="V872" s="8" t="s">
        <v>46</v>
      </c>
      <c r="W872" s="8">
        <v>0</v>
      </c>
    </row>
    <row r="873" spans="1:23" x14ac:dyDescent="0.25">
      <c r="A873" s="4"/>
      <c r="B873" s="4"/>
      <c r="C873" s="4"/>
      <c r="D873" s="22"/>
      <c r="E873" s="17">
        <f t="shared" si="14"/>
        <v>5096</v>
      </c>
      <c r="F873" s="9"/>
      <c r="G873" s="10">
        <v>331358432</v>
      </c>
      <c r="H873" s="9">
        <v>45336</v>
      </c>
      <c r="I873" s="9">
        <v>45351</v>
      </c>
      <c r="J873" s="8">
        <v>5096</v>
      </c>
      <c r="K873" s="8" t="s">
        <v>31</v>
      </c>
      <c r="L873" s="8" t="s">
        <v>32</v>
      </c>
      <c r="M873" s="8"/>
      <c r="N873" s="8" t="b">
        <v>0</v>
      </c>
      <c r="O873" s="10">
        <v>715190</v>
      </c>
      <c r="P873" s="8" t="s">
        <v>255</v>
      </c>
      <c r="Q873" s="8">
        <v>237928</v>
      </c>
      <c r="R873" s="9">
        <v>45336</v>
      </c>
      <c r="S873" s="8" t="s">
        <v>34</v>
      </c>
      <c r="T873" s="8" t="s">
        <v>44</v>
      </c>
      <c r="U873" s="8" t="s">
        <v>58</v>
      </c>
      <c r="V873" s="8" t="s">
        <v>46</v>
      </c>
      <c r="W873" s="8">
        <v>0</v>
      </c>
    </row>
    <row r="874" spans="1:23" x14ac:dyDescent="0.25">
      <c r="A874" s="4"/>
      <c r="B874" s="4"/>
      <c r="C874" s="4">
        <v>897087</v>
      </c>
      <c r="D874" s="22">
        <v>1100</v>
      </c>
      <c r="E874" s="17">
        <f t="shared" si="14"/>
        <v>0</v>
      </c>
      <c r="F874" s="9"/>
      <c r="G874" s="10">
        <v>331364846</v>
      </c>
      <c r="H874" s="9">
        <v>45337</v>
      </c>
      <c r="I874" s="9">
        <v>45352</v>
      </c>
      <c r="J874" s="8">
        <v>1100</v>
      </c>
      <c r="K874" s="8" t="s">
        <v>215</v>
      </c>
      <c r="L874" s="8" t="s">
        <v>32</v>
      </c>
      <c r="M874" s="8"/>
      <c r="N874" s="8" t="b">
        <v>0</v>
      </c>
      <c r="O874" s="10"/>
      <c r="P874" s="8"/>
      <c r="Q874" s="8"/>
      <c r="R874" s="9"/>
      <c r="S874" s="8" t="s">
        <v>48</v>
      </c>
      <c r="T874" s="8"/>
      <c r="U874" s="8"/>
      <c r="V874" s="8"/>
      <c r="W874" s="8">
        <v>0</v>
      </c>
    </row>
    <row r="875" spans="1:23" x14ac:dyDescent="0.25">
      <c r="A875" s="4"/>
      <c r="B875" s="4"/>
      <c r="C875" s="4" t="s">
        <v>400</v>
      </c>
      <c r="D875" s="22">
        <v>2310</v>
      </c>
      <c r="E875" s="17">
        <f t="shared" si="14"/>
        <v>0</v>
      </c>
      <c r="F875" s="9"/>
      <c r="G875" s="10">
        <v>331391287</v>
      </c>
      <c r="H875" s="9">
        <v>45337</v>
      </c>
      <c r="I875" s="9">
        <v>45352</v>
      </c>
      <c r="J875" s="8">
        <v>2310</v>
      </c>
      <c r="K875" s="8" t="s">
        <v>31</v>
      </c>
      <c r="L875" s="8" t="s">
        <v>32</v>
      </c>
      <c r="M875" s="8"/>
      <c r="N875" s="8" t="b">
        <v>0</v>
      </c>
      <c r="O875" s="10" t="s">
        <v>284</v>
      </c>
      <c r="P875" s="8" t="s">
        <v>262</v>
      </c>
      <c r="Q875" s="8">
        <v>896356</v>
      </c>
      <c r="R875" s="9">
        <v>45240</v>
      </c>
      <c r="S875" s="8" t="s">
        <v>286</v>
      </c>
      <c r="T875" s="8" t="s">
        <v>58</v>
      </c>
      <c r="U875" s="8" t="s">
        <v>287</v>
      </c>
      <c r="V875" s="8" t="s">
        <v>46</v>
      </c>
      <c r="W875" s="8">
        <v>0</v>
      </c>
    </row>
    <row r="876" spans="1:23" x14ac:dyDescent="0.25">
      <c r="A876" s="4"/>
      <c r="B876" s="4"/>
      <c r="C876" s="4"/>
      <c r="D876" s="22"/>
      <c r="E876" s="17">
        <f t="shared" si="14"/>
        <v>86580</v>
      </c>
      <c r="F876" s="9"/>
      <c r="G876" s="10">
        <v>331384046</v>
      </c>
      <c r="H876" s="9">
        <v>45337</v>
      </c>
      <c r="I876" s="9">
        <v>45352</v>
      </c>
      <c r="J876" s="8">
        <v>86580</v>
      </c>
      <c r="K876" s="8" t="s">
        <v>31</v>
      </c>
      <c r="L876" s="8" t="s">
        <v>32</v>
      </c>
      <c r="M876" s="8"/>
      <c r="N876" s="8" t="b">
        <v>0</v>
      </c>
      <c r="O876" s="10"/>
      <c r="P876" s="8" t="s">
        <v>300</v>
      </c>
      <c r="Q876" s="8">
        <v>269935</v>
      </c>
      <c r="R876" s="9">
        <v>45337</v>
      </c>
      <c r="S876" s="8" t="s">
        <v>34</v>
      </c>
      <c r="T876" s="8" t="s">
        <v>49</v>
      </c>
      <c r="U876" s="8" t="s">
        <v>75</v>
      </c>
      <c r="V876" s="8" t="s">
        <v>46</v>
      </c>
      <c r="W876" s="8">
        <v>0</v>
      </c>
    </row>
    <row r="877" spans="1:23" x14ac:dyDescent="0.25">
      <c r="A877" s="4"/>
      <c r="B877" s="4"/>
      <c r="C877" s="4"/>
      <c r="D877" s="22"/>
      <c r="E877" s="17">
        <f t="shared" si="14"/>
        <v>4975</v>
      </c>
      <c r="F877" s="9"/>
      <c r="G877" s="10">
        <v>331380600</v>
      </c>
      <c r="H877" s="9">
        <v>45337</v>
      </c>
      <c r="I877" s="9">
        <v>45352</v>
      </c>
      <c r="J877" s="8">
        <v>4975</v>
      </c>
      <c r="K877" s="8" t="s">
        <v>31</v>
      </c>
      <c r="L877" s="8" t="s">
        <v>32</v>
      </c>
      <c r="M877" s="8"/>
      <c r="N877" s="8" t="b">
        <v>0</v>
      </c>
      <c r="O877" s="10">
        <v>717102</v>
      </c>
      <c r="P877" s="8" t="s">
        <v>298</v>
      </c>
      <c r="Q877" s="8">
        <v>266142</v>
      </c>
      <c r="R877" s="9">
        <v>45337</v>
      </c>
      <c r="S877" s="8" t="s">
        <v>34</v>
      </c>
      <c r="T877" s="8" t="s">
        <v>44</v>
      </c>
      <c r="U877" s="8" t="s">
        <v>84</v>
      </c>
      <c r="V877" s="8" t="s">
        <v>46</v>
      </c>
      <c r="W877" s="8">
        <v>0</v>
      </c>
    </row>
    <row r="878" spans="1:23" x14ac:dyDescent="0.25">
      <c r="A878" s="4"/>
      <c r="B878" s="4"/>
      <c r="C878" s="4" t="s">
        <v>401</v>
      </c>
      <c r="D878" s="22">
        <v>2310</v>
      </c>
      <c r="E878" s="17">
        <f t="shared" si="14"/>
        <v>0</v>
      </c>
      <c r="F878" s="9"/>
      <c r="G878" s="10">
        <v>331390756</v>
      </c>
      <c r="H878" s="9">
        <v>45337</v>
      </c>
      <c r="I878" s="9">
        <v>45352</v>
      </c>
      <c r="J878" s="8">
        <v>2310</v>
      </c>
      <c r="K878" s="8" t="s">
        <v>31</v>
      </c>
      <c r="L878" s="8" t="s">
        <v>32</v>
      </c>
      <c r="M878" s="8"/>
      <c r="N878" s="8" t="b">
        <v>0</v>
      </c>
      <c r="O878" s="10" t="s">
        <v>284</v>
      </c>
      <c r="P878" s="8" t="s">
        <v>64</v>
      </c>
      <c r="Q878" s="8">
        <v>896355</v>
      </c>
      <c r="R878" s="9">
        <v>45240</v>
      </c>
      <c r="S878" s="8" t="s">
        <v>286</v>
      </c>
      <c r="T878" s="8" t="s">
        <v>58</v>
      </c>
      <c r="U878" s="8" t="s">
        <v>287</v>
      </c>
      <c r="V878" s="8" t="s">
        <v>46</v>
      </c>
      <c r="W878" s="8">
        <v>0</v>
      </c>
    </row>
    <row r="879" spans="1:23" x14ac:dyDescent="0.25">
      <c r="A879" s="4"/>
      <c r="B879" s="4"/>
      <c r="C879" s="4"/>
      <c r="D879" s="22"/>
      <c r="E879" s="17">
        <f t="shared" si="14"/>
        <v>4975</v>
      </c>
      <c r="F879" s="9"/>
      <c r="G879" s="10">
        <v>331380641</v>
      </c>
      <c r="H879" s="9">
        <v>45337</v>
      </c>
      <c r="I879" s="9">
        <v>45352</v>
      </c>
      <c r="J879" s="8">
        <v>4975</v>
      </c>
      <c r="K879" s="8" t="s">
        <v>31</v>
      </c>
      <c r="L879" s="8" t="s">
        <v>32</v>
      </c>
      <c r="M879" s="8"/>
      <c r="N879" s="8" t="b">
        <v>0</v>
      </c>
      <c r="O879" s="10">
        <v>717101</v>
      </c>
      <c r="P879" s="8" t="s">
        <v>54</v>
      </c>
      <c r="Q879" s="8">
        <v>266056</v>
      </c>
      <c r="R879" s="9">
        <v>45337</v>
      </c>
      <c r="S879" s="8" t="s">
        <v>34</v>
      </c>
      <c r="T879" s="8" t="s">
        <v>44</v>
      </c>
      <c r="U879" s="8" t="s">
        <v>84</v>
      </c>
      <c r="V879" s="8" t="s">
        <v>46</v>
      </c>
      <c r="W879" s="8">
        <v>0</v>
      </c>
    </row>
    <row r="880" spans="1:23" x14ac:dyDescent="0.25">
      <c r="A880" s="4"/>
      <c r="B880" s="4"/>
      <c r="C880" s="4"/>
      <c r="D880" s="22"/>
      <c r="E880" s="17">
        <f t="shared" si="14"/>
        <v>4975</v>
      </c>
      <c r="F880" s="9"/>
      <c r="G880" s="10">
        <v>331380605</v>
      </c>
      <c r="H880" s="9">
        <v>45337</v>
      </c>
      <c r="I880" s="9">
        <v>45352</v>
      </c>
      <c r="J880" s="8">
        <v>4975</v>
      </c>
      <c r="K880" s="8" t="s">
        <v>31</v>
      </c>
      <c r="L880" s="8" t="s">
        <v>32</v>
      </c>
      <c r="M880" s="8"/>
      <c r="N880" s="8" t="b">
        <v>0</v>
      </c>
      <c r="O880" s="10">
        <v>717099</v>
      </c>
      <c r="P880" s="8" t="s">
        <v>283</v>
      </c>
      <c r="Q880" s="8">
        <v>266168</v>
      </c>
      <c r="R880" s="9">
        <v>45337</v>
      </c>
      <c r="S880" s="8" t="s">
        <v>34</v>
      </c>
      <c r="T880" s="8" t="s">
        <v>44</v>
      </c>
      <c r="U880" s="8" t="s">
        <v>84</v>
      </c>
      <c r="V880" s="8" t="s">
        <v>46</v>
      </c>
      <c r="W880" s="8">
        <v>0</v>
      </c>
    </row>
  </sheetData>
  <autoFilter ref="A5:W880" xr:uid="{EF2E558C-96E6-4AB3-BD99-858E3BE0AC95}">
    <sortState xmlns:xlrd2="http://schemas.microsoft.com/office/spreadsheetml/2017/richdata2" ref="A6:W673">
      <sortCondition ref="H5:H206"/>
    </sortState>
  </autoFilter>
  <conditionalFormatting sqref="C1:C674 C676:C1048576">
    <cfRule type="duplicateValues" dxfId="25" priority="6"/>
  </conditionalFormatting>
  <conditionalFormatting sqref="C5">
    <cfRule type="duplicateValues" dxfId="24" priority="7"/>
  </conditionalFormatting>
  <conditionalFormatting sqref="G1:G1048576">
    <cfRule type="duplicateValues" dxfId="23" priority="3"/>
    <cfRule type="duplicateValues" dxfId="22" priority="4"/>
    <cfRule type="duplicateValues" dxfId="21" priority="5"/>
  </conditionalFormatting>
  <conditionalFormatting sqref="O1:O1048576">
    <cfRule type="duplicateValues" dxfId="20" priority="2"/>
  </conditionalFormatting>
  <conditionalFormatting sqref="Q1:Q1048576">
    <cfRule type="duplicateValues" dxfId="19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66915-407D-40A4-BF7B-5206BF479950}">
  <dimension ref="A1:A901"/>
  <sheetViews>
    <sheetView tabSelected="1" workbookViewId="0">
      <selection activeCell="B3" sqref="B3"/>
    </sheetView>
  </sheetViews>
  <sheetFormatPr defaultRowHeight="15" x14ac:dyDescent="0.25"/>
  <cols>
    <col min="1" max="1" width="13.140625" customWidth="1"/>
  </cols>
  <sheetData>
    <row r="1" spans="1:1" x14ac:dyDescent="0.25">
      <c r="A1" t="s">
        <v>505</v>
      </c>
    </row>
    <row r="2" spans="1:1" x14ac:dyDescent="0.25">
      <c r="A2" s="10">
        <v>328564443</v>
      </c>
    </row>
    <row r="3" spans="1:1" x14ac:dyDescent="0.25">
      <c r="A3" s="10">
        <v>328750804</v>
      </c>
    </row>
    <row r="4" spans="1:1" x14ac:dyDescent="0.25">
      <c r="A4" s="10">
        <v>328751479</v>
      </c>
    </row>
    <row r="5" spans="1:1" x14ac:dyDescent="0.25">
      <c r="A5" s="10">
        <v>328768174</v>
      </c>
    </row>
    <row r="6" spans="1:1" x14ac:dyDescent="0.25">
      <c r="A6" s="10">
        <v>328776144</v>
      </c>
    </row>
    <row r="7" spans="1:1" x14ac:dyDescent="0.25">
      <c r="A7" s="10">
        <v>328776209</v>
      </c>
    </row>
    <row r="8" spans="1:1" x14ac:dyDescent="0.25">
      <c r="A8" s="10">
        <v>328776243</v>
      </c>
    </row>
    <row r="9" spans="1:1" x14ac:dyDescent="0.25">
      <c r="A9" s="10">
        <v>328789388</v>
      </c>
    </row>
    <row r="10" spans="1:1" x14ac:dyDescent="0.25">
      <c r="A10" s="10">
        <v>328792783</v>
      </c>
    </row>
    <row r="11" spans="1:1" x14ac:dyDescent="0.25">
      <c r="A11" s="10">
        <v>328792797</v>
      </c>
    </row>
    <row r="12" spans="1:1" x14ac:dyDescent="0.25">
      <c r="A12" s="10">
        <v>328792851</v>
      </c>
    </row>
    <row r="13" spans="1:1" x14ac:dyDescent="0.25">
      <c r="A13" s="10">
        <v>328795302</v>
      </c>
    </row>
    <row r="14" spans="1:1" x14ac:dyDescent="0.25">
      <c r="A14" s="10">
        <v>328795331</v>
      </c>
    </row>
    <row r="15" spans="1:1" x14ac:dyDescent="0.25">
      <c r="A15" s="10">
        <v>328798492</v>
      </c>
    </row>
    <row r="16" spans="1:1" x14ac:dyDescent="0.25">
      <c r="A16" s="10">
        <v>328820988</v>
      </c>
    </row>
    <row r="17" spans="1:1" x14ac:dyDescent="0.25">
      <c r="A17" s="10">
        <v>328821321</v>
      </c>
    </row>
    <row r="18" spans="1:1" x14ac:dyDescent="0.25">
      <c r="A18" s="10">
        <v>328821357</v>
      </c>
    </row>
    <row r="19" spans="1:1" x14ac:dyDescent="0.25">
      <c r="A19" s="10">
        <v>328821368</v>
      </c>
    </row>
    <row r="20" spans="1:1" x14ac:dyDescent="0.25">
      <c r="A20" s="10">
        <v>328821380</v>
      </c>
    </row>
    <row r="21" spans="1:1" x14ac:dyDescent="0.25">
      <c r="A21" s="10">
        <v>328821381</v>
      </c>
    </row>
    <row r="22" spans="1:1" x14ac:dyDescent="0.25">
      <c r="A22" s="10">
        <v>328821421</v>
      </c>
    </row>
    <row r="23" spans="1:1" x14ac:dyDescent="0.25">
      <c r="A23" s="10">
        <v>328829821</v>
      </c>
    </row>
    <row r="24" spans="1:1" x14ac:dyDescent="0.25">
      <c r="A24" s="10">
        <v>328829830</v>
      </c>
    </row>
    <row r="25" spans="1:1" x14ac:dyDescent="0.25">
      <c r="A25" s="10">
        <v>328849218</v>
      </c>
    </row>
    <row r="26" spans="1:1" x14ac:dyDescent="0.25">
      <c r="A26" s="10">
        <v>328849225</v>
      </c>
    </row>
    <row r="27" spans="1:1" x14ac:dyDescent="0.25">
      <c r="A27" s="10">
        <v>328872722</v>
      </c>
    </row>
    <row r="28" spans="1:1" x14ac:dyDescent="0.25">
      <c r="A28" s="10">
        <v>328872769</v>
      </c>
    </row>
    <row r="29" spans="1:1" x14ac:dyDescent="0.25">
      <c r="A29" s="10">
        <v>328872787</v>
      </c>
    </row>
    <row r="30" spans="1:1" x14ac:dyDescent="0.25">
      <c r="A30" s="10">
        <v>328872792</v>
      </c>
    </row>
    <row r="31" spans="1:1" x14ac:dyDescent="0.25">
      <c r="A31" s="10">
        <v>328872805</v>
      </c>
    </row>
    <row r="32" spans="1:1" x14ac:dyDescent="0.25">
      <c r="A32" s="10">
        <v>328872823</v>
      </c>
    </row>
    <row r="33" spans="1:1" x14ac:dyDescent="0.25">
      <c r="A33" s="10">
        <v>328876272</v>
      </c>
    </row>
    <row r="34" spans="1:1" x14ac:dyDescent="0.25">
      <c r="A34" s="10">
        <v>328876287</v>
      </c>
    </row>
    <row r="35" spans="1:1" x14ac:dyDescent="0.25">
      <c r="A35" s="10">
        <v>328876292</v>
      </c>
    </row>
    <row r="36" spans="1:1" x14ac:dyDescent="0.25">
      <c r="A36" s="10">
        <v>328911591</v>
      </c>
    </row>
    <row r="37" spans="1:1" x14ac:dyDescent="0.25">
      <c r="A37" s="10">
        <v>328911599</v>
      </c>
    </row>
    <row r="38" spans="1:1" x14ac:dyDescent="0.25">
      <c r="A38" s="10">
        <v>328911690</v>
      </c>
    </row>
    <row r="39" spans="1:1" x14ac:dyDescent="0.25">
      <c r="A39" s="10">
        <v>328911692</v>
      </c>
    </row>
    <row r="40" spans="1:1" x14ac:dyDescent="0.25">
      <c r="A40" s="10">
        <v>328911694</v>
      </c>
    </row>
    <row r="41" spans="1:1" x14ac:dyDescent="0.25">
      <c r="A41" s="10">
        <v>328911695</v>
      </c>
    </row>
    <row r="42" spans="1:1" x14ac:dyDescent="0.25">
      <c r="A42" s="10">
        <v>328911699</v>
      </c>
    </row>
    <row r="43" spans="1:1" x14ac:dyDescent="0.25">
      <c r="A43" s="10">
        <v>328911702</v>
      </c>
    </row>
    <row r="44" spans="1:1" x14ac:dyDescent="0.25">
      <c r="A44" s="10">
        <v>328911704</v>
      </c>
    </row>
    <row r="45" spans="1:1" x14ac:dyDescent="0.25">
      <c r="A45" s="10">
        <v>328911783</v>
      </c>
    </row>
    <row r="46" spans="1:1" x14ac:dyDescent="0.25">
      <c r="A46" s="10">
        <v>328911786</v>
      </c>
    </row>
    <row r="47" spans="1:1" x14ac:dyDescent="0.25">
      <c r="A47" s="10">
        <v>328911789</v>
      </c>
    </row>
    <row r="48" spans="1:1" x14ac:dyDescent="0.25">
      <c r="A48" s="10">
        <v>328911790</v>
      </c>
    </row>
    <row r="49" spans="1:1" x14ac:dyDescent="0.25">
      <c r="A49" s="10">
        <v>328911791</v>
      </c>
    </row>
    <row r="50" spans="1:1" x14ac:dyDescent="0.25">
      <c r="A50" s="10">
        <v>328911793</v>
      </c>
    </row>
    <row r="51" spans="1:1" x14ac:dyDescent="0.25">
      <c r="A51" s="10">
        <v>328911795</v>
      </c>
    </row>
    <row r="52" spans="1:1" x14ac:dyDescent="0.25">
      <c r="A52" s="10">
        <v>328911814</v>
      </c>
    </row>
    <row r="53" spans="1:1" x14ac:dyDescent="0.25">
      <c r="A53" s="10">
        <v>328920894</v>
      </c>
    </row>
    <row r="54" spans="1:1" x14ac:dyDescent="0.25">
      <c r="A54" s="10">
        <v>328921004</v>
      </c>
    </row>
    <row r="55" spans="1:1" x14ac:dyDescent="0.25">
      <c r="A55" s="10">
        <v>328946692</v>
      </c>
    </row>
    <row r="56" spans="1:1" x14ac:dyDescent="0.25">
      <c r="A56" s="10">
        <v>328946697</v>
      </c>
    </row>
    <row r="57" spans="1:1" x14ac:dyDescent="0.25">
      <c r="A57" s="10">
        <v>328946698</v>
      </c>
    </row>
    <row r="58" spans="1:1" x14ac:dyDescent="0.25">
      <c r="A58" s="10">
        <v>328946700</v>
      </c>
    </row>
    <row r="59" spans="1:1" x14ac:dyDescent="0.25">
      <c r="A59" s="10">
        <v>328946701</v>
      </c>
    </row>
    <row r="60" spans="1:1" x14ac:dyDescent="0.25">
      <c r="A60" s="10">
        <v>328946702</v>
      </c>
    </row>
    <row r="61" spans="1:1" x14ac:dyDescent="0.25">
      <c r="A61" s="10">
        <v>328946703</v>
      </c>
    </row>
    <row r="62" spans="1:1" x14ac:dyDescent="0.25">
      <c r="A62" s="10">
        <v>328946706</v>
      </c>
    </row>
    <row r="63" spans="1:1" x14ac:dyDescent="0.25">
      <c r="A63" s="10">
        <v>328946709</v>
      </c>
    </row>
    <row r="64" spans="1:1" x14ac:dyDescent="0.25">
      <c r="A64" s="10">
        <v>328946711</v>
      </c>
    </row>
    <row r="65" spans="1:1" x14ac:dyDescent="0.25">
      <c r="A65" s="10">
        <v>328950169</v>
      </c>
    </row>
    <row r="66" spans="1:1" x14ac:dyDescent="0.25">
      <c r="A66" s="10">
        <v>328950170</v>
      </c>
    </row>
    <row r="67" spans="1:1" x14ac:dyDescent="0.25">
      <c r="A67" s="10">
        <v>328950172</v>
      </c>
    </row>
    <row r="68" spans="1:1" x14ac:dyDescent="0.25">
      <c r="A68" s="10">
        <v>328962671</v>
      </c>
    </row>
    <row r="69" spans="1:1" x14ac:dyDescent="0.25">
      <c r="A69" s="10">
        <v>328967100</v>
      </c>
    </row>
    <row r="70" spans="1:1" x14ac:dyDescent="0.25">
      <c r="A70" s="10">
        <v>328967160</v>
      </c>
    </row>
    <row r="71" spans="1:1" x14ac:dyDescent="0.25">
      <c r="A71" s="10">
        <v>328967933</v>
      </c>
    </row>
    <row r="72" spans="1:1" x14ac:dyDescent="0.25">
      <c r="A72" s="10">
        <v>328972112</v>
      </c>
    </row>
    <row r="73" spans="1:1" x14ac:dyDescent="0.25">
      <c r="A73" s="10">
        <v>328972150</v>
      </c>
    </row>
    <row r="74" spans="1:1" x14ac:dyDescent="0.25">
      <c r="A74" s="10">
        <v>328984270</v>
      </c>
    </row>
    <row r="75" spans="1:1" x14ac:dyDescent="0.25">
      <c r="A75" s="10">
        <v>328984650</v>
      </c>
    </row>
    <row r="76" spans="1:1" x14ac:dyDescent="0.25">
      <c r="A76" s="10">
        <v>328984681</v>
      </c>
    </row>
    <row r="77" spans="1:1" x14ac:dyDescent="0.25">
      <c r="A77" s="10">
        <v>328992752</v>
      </c>
    </row>
    <row r="78" spans="1:1" x14ac:dyDescent="0.25">
      <c r="A78" s="10">
        <v>328992839</v>
      </c>
    </row>
    <row r="79" spans="1:1" x14ac:dyDescent="0.25">
      <c r="A79" s="10">
        <v>328992890</v>
      </c>
    </row>
    <row r="80" spans="1:1" x14ac:dyDescent="0.25">
      <c r="A80" s="10">
        <v>328992901</v>
      </c>
    </row>
    <row r="81" spans="1:1" x14ac:dyDescent="0.25">
      <c r="A81" s="10">
        <v>328994833</v>
      </c>
    </row>
    <row r="82" spans="1:1" x14ac:dyDescent="0.25">
      <c r="A82" s="10">
        <v>329008161</v>
      </c>
    </row>
    <row r="83" spans="1:1" x14ac:dyDescent="0.25">
      <c r="A83" s="10">
        <v>329008190</v>
      </c>
    </row>
    <row r="84" spans="1:1" x14ac:dyDescent="0.25">
      <c r="A84" s="10">
        <v>329008196</v>
      </c>
    </row>
    <row r="85" spans="1:1" x14ac:dyDescent="0.25">
      <c r="A85" s="10">
        <v>329008213</v>
      </c>
    </row>
    <row r="86" spans="1:1" x14ac:dyDescent="0.25">
      <c r="A86" s="10">
        <v>329008257</v>
      </c>
    </row>
    <row r="87" spans="1:1" x14ac:dyDescent="0.25">
      <c r="A87" s="10">
        <v>329019704</v>
      </c>
    </row>
    <row r="88" spans="1:1" x14ac:dyDescent="0.25">
      <c r="A88" s="10">
        <v>329019732</v>
      </c>
    </row>
    <row r="89" spans="1:1" x14ac:dyDescent="0.25">
      <c r="A89" s="10">
        <v>329032986</v>
      </c>
    </row>
    <row r="90" spans="1:1" x14ac:dyDescent="0.25">
      <c r="A90" s="10">
        <v>329033036</v>
      </c>
    </row>
    <row r="91" spans="1:1" x14ac:dyDescent="0.25">
      <c r="A91" s="10">
        <v>329034185</v>
      </c>
    </row>
    <row r="92" spans="1:1" x14ac:dyDescent="0.25">
      <c r="A92" s="10">
        <v>329035766</v>
      </c>
    </row>
    <row r="93" spans="1:1" x14ac:dyDescent="0.25">
      <c r="A93" s="10">
        <v>329076562</v>
      </c>
    </row>
    <row r="94" spans="1:1" x14ac:dyDescent="0.25">
      <c r="A94" s="10">
        <v>329076565</v>
      </c>
    </row>
    <row r="95" spans="1:1" x14ac:dyDescent="0.25">
      <c r="A95" s="10">
        <v>329076691</v>
      </c>
    </row>
    <row r="96" spans="1:1" x14ac:dyDescent="0.25">
      <c r="A96" s="10">
        <v>329076693</v>
      </c>
    </row>
    <row r="97" spans="1:1" x14ac:dyDescent="0.25">
      <c r="A97" s="10">
        <v>329076694</v>
      </c>
    </row>
    <row r="98" spans="1:1" x14ac:dyDescent="0.25">
      <c r="A98" s="10">
        <v>329076696</v>
      </c>
    </row>
    <row r="99" spans="1:1" x14ac:dyDescent="0.25">
      <c r="A99" s="10">
        <v>329076697</v>
      </c>
    </row>
    <row r="100" spans="1:1" x14ac:dyDescent="0.25">
      <c r="A100" s="10">
        <v>329076698</v>
      </c>
    </row>
    <row r="101" spans="1:1" x14ac:dyDescent="0.25">
      <c r="A101" s="10">
        <v>329076699</v>
      </c>
    </row>
    <row r="102" spans="1:1" x14ac:dyDescent="0.25">
      <c r="A102" s="10">
        <v>329076850</v>
      </c>
    </row>
    <row r="103" spans="1:1" x14ac:dyDescent="0.25">
      <c r="A103" s="10">
        <v>329076853</v>
      </c>
    </row>
    <row r="104" spans="1:1" x14ac:dyDescent="0.25">
      <c r="A104" s="10">
        <v>329076875</v>
      </c>
    </row>
    <row r="105" spans="1:1" x14ac:dyDescent="0.25">
      <c r="A105" s="10">
        <v>329076884</v>
      </c>
    </row>
    <row r="106" spans="1:1" x14ac:dyDescent="0.25">
      <c r="A106" s="10">
        <v>329076886</v>
      </c>
    </row>
    <row r="107" spans="1:1" x14ac:dyDescent="0.25">
      <c r="A107" s="10">
        <v>329076888</v>
      </c>
    </row>
    <row r="108" spans="1:1" x14ac:dyDescent="0.25">
      <c r="A108" s="10">
        <v>329076890</v>
      </c>
    </row>
    <row r="109" spans="1:1" x14ac:dyDescent="0.25">
      <c r="A109" s="10">
        <v>329076902</v>
      </c>
    </row>
    <row r="110" spans="1:1" x14ac:dyDescent="0.25">
      <c r="A110" s="10">
        <v>329076908</v>
      </c>
    </row>
    <row r="111" spans="1:1" x14ac:dyDescent="0.25">
      <c r="A111" s="10">
        <v>329076915</v>
      </c>
    </row>
    <row r="112" spans="1:1" x14ac:dyDescent="0.25">
      <c r="A112" s="10">
        <v>329076921</v>
      </c>
    </row>
    <row r="113" spans="1:1" x14ac:dyDescent="0.25">
      <c r="A113" s="10">
        <v>329077041</v>
      </c>
    </row>
    <row r="114" spans="1:1" x14ac:dyDescent="0.25">
      <c r="A114" s="10">
        <v>329077222</v>
      </c>
    </row>
    <row r="115" spans="1:1" x14ac:dyDescent="0.25">
      <c r="A115" s="10">
        <v>329077234</v>
      </c>
    </row>
    <row r="116" spans="1:1" x14ac:dyDescent="0.25">
      <c r="A116" s="10">
        <v>329077241</v>
      </c>
    </row>
    <row r="117" spans="1:1" x14ac:dyDescent="0.25">
      <c r="A117" s="10">
        <v>329095456</v>
      </c>
    </row>
    <row r="118" spans="1:1" x14ac:dyDescent="0.25">
      <c r="A118" s="10">
        <v>329100165</v>
      </c>
    </row>
    <row r="119" spans="1:1" x14ac:dyDescent="0.25">
      <c r="A119" s="10">
        <v>329100194</v>
      </c>
    </row>
    <row r="120" spans="1:1" x14ac:dyDescent="0.25">
      <c r="A120" s="10">
        <v>329100268</v>
      </c>
    </row>
    <row r="121" spans="1:1" x14ac:dyDescent="0.25">
      <c r="A121" s="10">
        <v>329101221</v>
      </c>
    </row>
    <row r="122" spans="1:1" x14ac:dyDescent="0.25">
      <c r="A122" s="10">
        <v>329101272</v>
      </c>
    </row>
    <row r="123" spans="1:1" x14ac:dyDescent="0.25">
      <c r="A123" s="10">
        <v>329101335</v>
      </c>
    </row>
    <row r="124" spans="1:1" x14ac:dyDescent="0.25">
      <c r="A124" s="10">
        <v>329101586</v>
      </c>
    </row>
    <row r="125" spans="1:1" x14ac:dyDescent="0.25">
      <c r="A125" s="10">
        <v>329116462</v>
      </c>
    </row>
    <row r="126" spans="1:1" x14ac:dyDescent="0.25">
      <c r="A126" s="10">
        <v>329116739</v>
      </c>
    </row>
    <row r="127" spans="1:1" x14ac:dyDescent="0.25">
      <c r="A127" s="10">
        <v>329116743</v>
      </c>
    </row>
    <row r="128" spans="1:1" x14ac:dyDescent="0.25">
      <c r="A128" s="10">
        <v>329116757</v>
      </c>
    </row>
    <row r="129" spans="1:1" x14ac:dyDescent="0.25">
      <c r="A129" s="10">
        <v>329117300</v>
      </c>
    </row>
    <row r="130" spans="1:1" x14ac:dyDescent="0.25">
      <c r="A130" s="10">
        <v>329125822</v>
      </c>
    </row>
    <row r="131" spans="1:1" x14ac:dyDescent="0.25">
      <c r="A131" s="10">
        <v>329126491</v>
      </c>
    </row>
    <row r="132" spans="1:1" x14ac:dyDescent="0.25">
      <c r="A132" s="10">
        <v>329126494</v>
      </c>
    </row>
    <row r="133" spans="1:1" x14ac:dyDescent="0.25">
      <c r="A133" s="10">
        <v>329126516</v>
      </c>
    </row>
    <row r="134" spans="1:1" x14ac:dyDescent="0.25">
      <c r="A134" s="10">
        <v>329126558</v>
      </c>
    </row>
    <row r="135" spans="1:1" x14ac:dyDescent="0.25">
      <c r="A135" s="10">
        <v>329126581</v>
      </c>
    </row>
    <row r="136" spans="1:1" x14ac:dyDescent="0.25">
      <c r="A136" s="10">
        <v>329127054</v>
      </c>
    </row>
    <row r="137" spans="1:1" x14ac:dyDescent="0.25">
      <c r="A137" s="10">
        <v>329127099</v>
      </c>
    </row>
    <row r="138" spans="1:1" x14ac:dyDescent="0.25">
      <c r="A138" s="10">
        <v>329127759</v>
      </c>
    </row>
    <row r="139" spans="1:1" x14ac:dyDescent="0.25">
      <c r="A139" s="10">
        <v>329135914</v>
      </c>
    </row>
    <row r="140" spans="1:1" x14ac:dyDescent="0.25">
      <c r="A140" s="10">
        <v>329144037</v>
      </c>
    </row>
    <row r="141" spans="1:1" x14ac:dyDescent="0.25">
      <c r="A141" s="10">
        <v>329144406</v>
      </c>
    </row>
    <row r="142" spans="1:1" x14ac:dyDescent="0.25">
      <c r="A142" s="10">
        <v>329144449</v>
      </c>
    </row>
    <row r="143" spans="1:1" x14ac:dyDescent="0.25">
      <c r="A143" s="10">
        <v>329144571</v>
      </c>
    </row>
    <row r="144" spans="1:1" x14ac:dyDescent="0.25">
      <c r="A144" s="10">
        <v>329144975</v>
      </c>
    </row>
    <row r="145" spans="1:1" x14ac:dyDescent="0.25">
      <c r="A145" s="10">
        <v>329145697</v>
      </c>
    </row>
    <row r="146" spans="1:1" x14ac:dyDescent="0.25">
      <c r="A146" s="10">
        <v>329164994</v>
      </c>
    </row>
    <row r="147" spans="1:1" x14ac:dyDescent="0.25">
      <c r="A147" s="10">
        <v>329165005</v>
      </c>
    </row>
    <row r="148" spans="1:1" x14ac:dyDescent="0.25">
      <c r="A148" s="10">
        <v>329165046</v>
      </c>
    </row>
    <row r="149" spans="1:1" x14ac:dyDescent="0.25">
      <c r="A149" s="10">
        <v>329165056</v>
      </c>
    </row>
    <row r="150" spans="1:1" x14ac:dyDescent="0.25">
      <c r="A150" s="10">
        <v>329165102</v>
      </c>
    </row>
    <row r="151" spans="1:1" x14ac:dyDescent="0.25">
      <c r="A151" s="10">
        <v>329170974</v>
      </c>
    </row>
    <row r="152" spans="1:1" x14ac:dyDescent="0.25">
      <c r="A152" s="10">
        <v>329174250</v>
      </c>
    </row>
    <row r="153" spans="1:1" x14ac:dyDescent="0.25">
      <c r="A153" s="10">
        <v>329174292</v>
      </c>
    </row>
    <row r="154" spans="1:1" x14ac:dyDescent="0.25">
      <c r="A154" s="10">
        <v>329174534</v>
      </c>
    </row>
    <row r="155" spans="1:1" x14ac:dyDescent="0.25">
      <c r="A155" s="10">
        <v>329174582</v>
      </c>
    </row>
    <row r="156" spans="1:1" x14ac:dyDescent="0.25">
      <c r="A156" s="10">
        <v>329174594</v>
      </c>
    </row>
    <row r="157" spans="1:1" x14ac:dyDescent="0.25">
      <c r="A157" s="10">
        <v>329174607</v>
      </c>
    </row>
    <row r="158" spans="1:1" x14ac:dyDescent="0.25">
      <c r="A158" s="10">
        <v>329174660</v>
      </c>
    </row>
    <row r="159" spans="1:1" x14ac:dyDescent="0.25">
      <c r="A159" s="10">
        <v>329174665</v>
      </c>
    </row>
    <row r="160" spans="1:1" x14ac:dyDescent="0.25">
      <c r="A160" s="10">
        <v>329174708</v>
      </c>
    </row>
    <row r="161" spans="1:1" x14ac:dyDescent="0.25">
      <c r="A161" s="10">
        <v>329175820</v>
      </c>
    </row>
    <row r="162" spans="1:1" x14ac:dyDescent="0.25">
      <c r="A162" s="10">
        <v>329219410</v>
      </c>
    </row>
    <row r="163" spans="1:1" x14ac:dyDescent="0.25">
      <c r="A163" s="10">
        <v>329219413</v>
      </c>
    </row>
    <row r="164" spans="1:1" x14ac:dyDescent="0.25">
      <c r="A164" s="10">
        <v>329219414</v>
      </c>
    </row>
    <row r="165" spans="1:1" x14ac:dyDescent="0.25">
      <c r="A165" s="10">
        <v>329219425</v>
      </c>
    </row>
    <row r="166" spans="1:1" x14ac:dyDescent="0.25">
      <c r="A166" s="10">
        <v>329219426</v>
      </c>
    </row>
    <row r="167" spans="1:1" x14ac:dyDescent="0.25">
      <c r="A167" s="10">
        <v>329219428</v>
      </c>
    </row>
    <row r="168" spans="1:1" x14ac:dyDescent="0.25">
      <c r="A168" s="10">
        <v>329219434</v>
      </c>
    </row>
    <row r="169" spans="1:1" x14ac:dyDescent="0.25">
      <c r="A169" s="10">
        <v>329219437</v>
      </c>
    </row>
    <row r="170" spans="1:1" x14ac:dyDescent="0.25">
      <c r="A170" s="10">
        <v>329230240</v>
      </c>
    </row>
    <row r="171" spans="1:1" x14ac:dyDescent="0.25">
      <c r="A171" s="10">
        <v>329237431</v>
      </c>
    </row>
    <row r="172" spans="1:1" x14ac:dyDescent="0.25">
      <c r="A172" s="10">
        <v>329237472</v>
      </c>
    </row>
    <row r="173" spans="1:1" x14ac:dyDescent="0.25">
      <c r="A173" s="10">
        <v>329237514</v>
      </c>
    </row>
    <row r="174" spans="1:1" x14ac:dyDescent="0.25">
      <c r="A174" s="10">
        <v>329237515</v>
      </c>
    </row>
    <row r="175" spans="1:1" x14ac:dyDescent="0.25">
      <c r="A175" s="10">
        <v>329237541</v>
      </c>
    </row>
    <row r="176" spans="1:1" x14ac:dyDescent="0.25">
      <c r="A176" s="10">
        <v>329237557</v>
      </c>
    </row>
    <row r="177" spans="1:1" x14ac:dyDescent="0.25">
      <c r="A177" s="10">
        <v>329237949</v>
      </c>
    </row>
    <row r="178" spans="1:1" x14ac:dyDescent="0.25">
      <c r="A178" s="10">
        <v>329251507</v>
      </c>
    </row>
    <row r="179" spans="1:1" x14ac:dyDescent="0.25">
      <c r="A179" s="10">
        <v>329251515</v>
      </c>
    </row>
    <row r="180" spans="1:1" x14ac:dyDescent="0.25">
      <c r="A180" s="10">
        <v>329251545</v>
      </c>
    </row>
    <row r="181" spans="1:1" x14ac:dyDescent="0.25">
      <c r="A181" s="10">
        <v>329253720</v>
      </c>
    </row>
    <row r="182" spans="1:1" x14ac:dyDescent="0.25">
      <c r="A182" s="10">
        <v>329254085</v>
      </c>
    </row>
    <row r="183" spans="1:1" x14ac:dyDescent="0.25">
      <c r="A183" s="10">
        <v>329254990</v>
      </c>
    </row>
    <row r="184" spans="1:1" x14ac:dyDescent="0.25">
      <c r="A184" s="10">
        <v>329256586</v>
      </c>
    </row>
    <row r="185" spans="1:1" x14ac:dyDescent="0.25">
      <c r="A185" s="10">
        <v>329257283</v>
      </c>
    </row>
    <row r="186" spans="1:1" x14ac:dyDescent="0.25">
      <c r="A186" s="10">
        <v>329258779</v>
      </c>
    </row>
    <row r="187" spans="1:1" x14ac:dyDescent="0.25">
      <c r="A187" s="10">
        <v>329259683</v>
      </c>
    </row>
    <row r="188" spans="1:1" x14ac:dyDescent="0.25">
      <c r="A188" s="10">
        <v>329263434</v>
      </c>
    </row>
    <row r="189" spans="1:1" x14ac:dyDescent="0.25">
      <c r="A189" s="10">
        <v>329263448</v>
      </c>
    </row>
    <row r="190" spans="1:1" x14ac:dyDescent="0.25">
      <c r="A190" s="10">
        <v>329270383</v>
      </c>
    </row>
    <row r="191" spans="1:1" x14ac:dyDescent="0.25">
      <c r="A191" s="10">
        <v>329270395</v>
      </c>
    </row>
    <row r="192" spans="1:1" x14ac:dyDescent="0.25">
      <c r="A192" s="10">
        <v>329270408</v>
      </c>
    </row>
    <row r="193" spans="1:1" x14ac:dyDescent="0.25">
      <c r="A193" s="10">
        <v>329270696</v>
      </c>
    </row>
    <row r="194" spans="1:1" x14ac:dyDescent="0.25">
      <c r="A194" s="10">
        <v>329270718</v>
      </c>
    </row>
    <row r="195" spans="1:1" x14ac:dyDescent="0.25">
      <c r="A195" s="10">
        <v>329270728</v>
      </c>
    </row>
    <row r="196" spans="1:1" x14ac:dyDescent="0.25">
      <c r="A196" s="10">
        <v>329272611</v>
      </c>
    </row>
    <row r="197" spans="1:1" x14ac:dyDescent="0.25">
      <c r="A197" s="10">
        <v>329272674</v>
      </c>
    </row>
    <row r="198" spans="1:1" x14ac:dyDescent="0.25">
      <c r="A198" s="10">
        <v>329282196</v>
      </c>
    </row>
    <row r="199" spans="1:1" x14ac:dyDescent="0.25">
      <c r="A199" s="10">
        <v>329282203</v>
      </c>
    </row>
    <row r="200" spans="1:1" x14ac:dyDescent="0.25">
      <c r="A200" s="10">
        <v>329282233</v>
      </c>
    </row>
    <row r="201" spans="1:1" x14ac:dyDescent="0.25">
      <c r="A201" s="10">
        <v>329282234</v>
      </c>
    </row>
    <row r="202" spans="1:1" x14ac:dyDescent="0.25">
      <c r="A202" s="10">
        <v>329282254</v>
      </c>
    </row>
    <row r="203" spans="1:1" x14ac:dyDescent="0.25">
      <c r="A203" s="10">
        <v>329303667</v>
      </c>
    </row>
    <row r="204" spans="1:1" x14ac:dyDescent="0.25">
      <c r="A204" s="10">
        <v>329303696</v>
      </c>
    </row>
    <row r="205" spans="1:1" x14ac:dyDescent="0.25">
      <c r="A205" s="10">
        <v>329303697</v>
      </c>
    </row>
    <row r="206" spans="1:1" x14ac:dyDescent="0.25">
      <c r="A206" s="10">
        <v>329303719</v>
      </c>
    </row>
    <row r="207" spans="1:1" x14ac:dyDescent="0.25">
      <c r="A207" s="10">
        <v>329303748</v>
      </c>
    </row>
    <row r="208" spans="1:1" x14ac:dyDescent="0.25">
      <c r="A208" s="10">
        <v>329342347</v>
      </c>
    </row>
    <row r="209" spans="1:1" x14ac:dyDescent="0.25">
      <c r="A209" s="10">
        <v>329342352</v>
      </c>
    </row>
    <row r="210" spans="1:1" x14ac:dyDescent="0.25">
      <c r="A210" s="10">
        <v>329342354</v>
      </c>
    </row>
    <row r="211" spans="1:1" x14ac:dyDescent="0.25">
      <c r="A211" s="10">
        <v>329342363</v>
      </c>
    </row>
    <row r="212" spans="1:1" x14ac:dyDescent="0.25">
      <c r="A212" s="10">
        <v>329356780</v>
      </c>
    </row>
    <row r="213" spans="1:1" x14ac:dyDescent="0.25">
      <c r="A213" s="10">
        <v>329361883</v>
      </c>
    </row>
    <row r="214" spans="1:1" x14ac:dyDescent="0.25">
      <c r="A214" s="10">
        <v>329362120</v>
      </c>
    </row>
    <row r="215" spans="1:1" x14ac:dyDescent="0.25">
      <c r="A215" s="10">
        <v>329364407</v>
      </c>
    </row>
    <row r="216" spans="1:1" x14ac:dyDescent="0.25">
      <c r="A216" s="10">
        <v>329364408</v>
      </c>
    </row>
    <row r="217" spans="1:1" x14ac:dyDescent="0.25">
      <c r="A217" s="10">
        <v>329366111</v>
      </c>
    </row>
    <row r="218" spans="1:1" x14ac:dyDescent="0.25">
      <c r="A218" s="10">
        <v>329367397</v>
      </c>
    </row>
    <row r="219" spans="1:1" x14ac:dyDescent="0.25">
      <c r="A219" s="10">
        <v>329367781</v>
      </c>
    </row>
    <row r="220" spans="1:1" x14ac:dyDescent="0.25">
      <c r="A220" s="10">
        <v>329377512</v>
      </c>
    </row>
    <row r="221" spans="1:1" x14ac:dyDescent="0.25">
      <c r="A221" s="10">
        <v>329379775</v>
      </c>
    </row>
    <row r="222" spans="1:1" x14ac:dyDescent="0.25">
      <c r="A222" s="10">
        <v>329387965</v>
      </c>
    </row>
    <row r="223" spans="1:1" x14ac:dyDescent="0.25">
      <c r="A223" s="10">
        <v>329404647</v>
      </c>
    </row>
    <row r="224" spans="1:1" x14ac:dyDescent="0.25">
      <c r="A224" s="10">
        <v>329414368</v>
      </c>
    </row>
    <row r="225" spans="1:1" x14ac:dyDescent="0.25">
      <c r="A225" s="10">
        <v>329414396</v>
      </c>
    </row>
    <row r="226" spans="1:1" x14ac:dyDescent="0.25">
      <c r="A226" s="10">
        <v>329414404</v>
      </c>
    </row>
    <row r="227" spans="1:1" x14ac:dyDescent="0.25">
      <c r="A227" s="10">
        <v>329414437</v>
      </c>
    </row>
    <row r="228" spans="1:1" x14ac:dyDescent="0.25">
      <c r="A228" s="10">
        <v>329414454</v>
      </c>
    </row>
    <row r="229" spans="1:1" x14ac:dyDescent="0.25">
      <c r="A229" s="10">
        <v>329414456</v>
      </c>
    </row>
    <row r="230" spans="1:1" x14ac:dyDescent="0.25">
      <c r="A230" s="10">
        <v>329414469</v>
      </c>
    </row>
    <row r="231" spans="1:1" x14ac:dyDescent="0.25">
      <c r="A231" s="10">
        <v>329414473</v>
      </c>
    </row>
    <row r="232" spans="1:1" x14ac:dyDescent="0.25">
      <c r="A232" s="10">
        <v>329414491</v>
      </c>
    </row>
    <row r="233" spans="1:1" x14ac:dyDescent="0.25">
      <c r="A233" s="10">
        <v>329414662</v>
      </c>
    </row>
    <row r="234" spans="1:1" x14ac:dyDescent="0.25">
      <c r="A234" s="10">
        <v>329423869</v>
      </c>
    </row>
    <row r="235" spans="1:1" x14ac:dyDescent="0.25">
      <c r="A235" s="10">
        <v>329435684</v>
      </c>
    </row>
    <row r="236" spans="1:1" x14ac:dyDescent="0.25">
      <c r="A236" s="10">
        <v>329452786</v>
      </c>
    </row>
    <row r="237" spans="1:1" x14ac:dyDescent="0.25">
      <c r="A237" s="10">
        <v>329452792</v>
      </c>
    </row>
    <row r="238" spans="1:1" x14ac:dyDescent="0.25">
      <c r="A238" s="10">
        <v>329453099</v>
      </c>
    </row>
    <row r="239" spans="1:1" x14ac:dyDescent="0.25">
      <c r="A239" s="10">
        <v>329453112</v>
      </c>
    </row>
    <row r="240" spans="1:1" x14ac:dyDescent="0.25">
      <c r="A240" s="10">
        <v>329455350</v>
      </c>
    </row>
    <row r="241" spans="1:1" x14ac:dyDescent="0.25">
      <c r="A241" s="10">
        <v>329472537</v>
      </c>
    </row>
    <row r="242" spans="1:1" x14ac:dyDescent="0.25">
      <c r="A242" s="10">
        <v>329472538</v>
      </c>
    </row>
    <row r="243" spans="1:1" x14ac:dyDescent="0.25">
      <c r="A243" s="10">
        <v>329472539</v>
      </c>
    </row>
    <row r="244" spans="1:1" x14ac:dyDescent="0.25">
      <c r="A244" s="10">
        <v>329472540</v>
      </c>
    </row>
    <row r="245" spans="1:1" x14ac:dyDescent="0.25">
      <c r="A245" s="10">
        <v>329472541</v>
      </c>
    </row>
    <row r="246" spans="1:1" x14ac:dyDescent="0.25">
      <c r="A246" s="10">
        <v>329472543</v>
      </c>
    </row>
    <row r="247" spans="1:1" x14ac:dyDescent="0.25">
      <c r="A247" s="10">
        <v>329472546</v>
      </c>
    </row>
    <row r="248" spans="1:1" x14ac:dyDescent="0.25">
      <c r="A248" s="10">
        <v>329472549</v>
      </c>
    </row>
    <row r="249" spans="1:1" x14ac:dyDescent="0.25">
      <c r="A249" s="10">
        <v>329472553</v>
      </c>
    </row>
    <row r="250" spans="1:1" x14ac:dyDescent="0.25">
      <c r="A250" s="10">
        <v>329472559</v>
      </c>
    </row>
    <row r="251" spans="1:1" x14ac:dyDescent="0.25">
      <c r="A251" s="10">
        <v>329472562</v>
      </c>
    </row>
    <row r="252" spans="1:1" x14ac:dyDescent="0.25">
      <c r="A252" s="10">
        <v>329472565</v>
      </c>
    </row>
    <row r="253" spans="1:1" x14ac:dyDescent="0.25">
      <c r="A253" s="10">
        <v>329472572</v>
      </c>
    </row>
    <row r="254" spans="1:1" x14ac:dyDescent="0.25">
      <c r="A254" s="10">
        <v>329498493</v>
      </c>
    </row>
    <row r="255" spans="1:1" x14ac:dyDescent="0.25">
      <c r="A255" s="10">
        <v>329498606</v>
      </c>
    </row>
    <row r="256" spans="1:1" x14ac:dyDescent="0.25">
      <c r="A256" s="10">
        <v>329498642</v>
      </c>
    </row>
    <row r="257" spans="1:1" x14ac:dyDescent="0.25">
      <c r="A257" s="10">
        <v>329498645</v>
      </c>
    </row>
    <row r="258" spans="1:1" x14ac:dyDescent="0.25">
      <c r="A258" s="10">
        <v>329498670</v>
      </c>
    </row>
    <row r="259" spans="1:1" x14ac:dyDescent="0.25">
      <c r="A259" s="10">
        <v>329498951</v>
      </c>
    </row>
    <row r="260" spans="1:1" x14ac:dyDescent="0.25">
      <c r="A260" s="10">
        <v>329499223</v>
      </c>
    </row>
    <row r="261" spans="1:1" x14ac:dyDescent="0.25">
      <c r="A261" s="10">
        <v>329500836</v>
      </c>
    </row>
    <row r="262" spans="1:1" x14ac:dyDescent="0.25">
      <c r="A262" s="10">
        <v>329501752</v>
      </c>
    </row>
    <row r="263" spans="1:1" x14ac:dyDescent="0.25">
      <c r="A263" s="10">
        <v>329513155</v>
      </c>
    </row>
    <row r="264" spans="1:1" x14ac:dyDescent="0.25">
      <c r="A264" s="10">
        <v>329513167</v>
      </c>
    </row>
    <row r="265" spans="1:1" x14ac:dyDescent="0.25">
      <c r="A265" s="10">
        <v>329513836</v>
      </c>
    </row>
    <row r="266" spans="1:1" x14ac:dyDescent="0.25">
      <c r="A266" s="10">
        <v>329521066</v>
      </c>
    </row>
    <row r="267" spans="1:1" x14ac:dyDescent="0.25">
      <c r="A267" s="10">
        <v>329532302</v>
      </c>
    </row>
    <row r="268" spans="1:1" x14ac:dyDescent="0.25">
      <c r="A268" s="10">
        <v>329533925</v>
      </c>
    </row>
    <row r="269" spans="1:1" x14ac:dyDescent="0.25">
      <c r="A269" s="10">
        <v>329540594</v>
      </c>
    </row>
    <row r="270" spans="1:1" x14ac:dyDescent="0.25">
      <c r="A270" s="10">
        <v>329547444</v>
      </c>
    </row>
    <row r="271" spans="1:1" x14ac:dyDescent="0.25">
      <c r="A271" s="10">
        <v>329547452</v>
      </c>
    </row>
    <row r="272" spans="1:1" x14ac:dyDescent="0.25">
      <c r="A272" s="10">
        <v>329558381</v>
      </c>
    </row>
    <row r="273" spans="1:1" x14ac:dyDescent="0.25">
      <c r="A273" s="10">
        <v>329558398</v>
      </c>
    </row>
    <row r="274" spans="1:1" x14ac:dyDescent="0.25">
      <c r="A274" s="10">
        <v>329578368</v>
      </c>
    </row>
    <row r="275" spans="1:1" x14ac:dyDescent="0.25">
      <c r="A275" s="10">
        <v>329578385</v>
      </c>
    </row>
    <row r="276" spans="1:1" x14ac:dyDescent="0.25">
      <c r="A276" s="10">
        <v>329578398</v>
      </c>
    </row>
    <row r="277" spans="1:1" x14ac:dyDescent="0.25">
      <c r="A277" s="10">
        <v>329578407</v>
      </c>
    </row>
    <row r="278" spans="1:1" x14ac:dyDescent="0.25">
      <c r="A278" s="10">
        <v>329578439</v>
      </c>
    </row>
    <row r="279" spans="1:1" x14ac:dyDescent="0.25">
      <c r="A279" s="10">
        <v>329578643</v>
      </c>
    </row>
    <row r="280" spans="1:1" x14ac:dyDescent="0.25">
      <c r="A280" s="10">
        <v>329578644</v>
      </c>
    </row>
    <row r="281" spans="1:1" x14ac:dyDescent="0.25">
      <c r="A281" s="10">
        <v>329578655</v>
      </c>
    </row>
    <row r="282" spans="1:1" x14ac:dyDescent="0.25">
      <c r="A282" s="10">
        <v>329578689</v>
      </c>
    </row>
    <row r="283" spans="1:1" x14ac:dyDescent="0.25">
      <c r="A283" s="10">
        <v>329578704</v>
      </c>
    </row>
    <row r="284" spans="1:1" x14ac:dyDescent="0.25">
      <c r="A284" s="10">
        <v>329578983</v>
      </c>
    </row>
    <row r="285" spans="1:1" x14ac:dyDescent="0.25">
      <c r="A285" s="10">
        <v>329579774</v>
      </c>
    </row>
    <row r="286" spans="1:1" x14ac:dyDescent="0.25">
      <c r="A286" s="10">
        <v>329580734</v>
      </c>
    </row>
    <row r="287" spans="1:1" x14ac:dyDescent="0.25">
      <c r="A287" s="10">
        <v>329581436</v>
      </c>
    </row>
    <row r="288" spans="1:1" x14ac:dyDescent="0.25">
      <c r="A288" s="10">
        <v>329583699</v>
      </c>
    </row>
    <row r="289" spans="1:1" x14ac:dyDescent="0.25">
      <c r="A289" s="10">
        <v>329583767</v>
      </c>
    </row>
    <row r="290" spans="1:1" x14ac:dyDescent="0.25">
      <c r="A290" s="10">
        <v>329584059</v>
      </c>
    </row>
    <row r="291" spans="1:1" x14ac:dyDescent="0.25">
      <c r="A291" s="10">
        <v>329584112</v>
      </c>
    </row>
    <row r="292" spans="1:1" x14ac:dyDescent="0.25">
      <c r="A292" s="10">
        <v>329584577</v>
      </c>
    </row>
    <row r="293" spans="1:1" x14ac:dyDescent="0.25">
      <c r="A293" s="10">
        <v>329584628</v>
      </c>
    </row>
    <row r="294" spans="1:1" x14ac:dyDescent="0.25">
      <c r="A294" s="10">
        <v>329577365</v>
      </c>
    </row>
    <row r="295" spans="1:1" x14ac:dyDescent="0.25">
      <c r="A295" s="10">
        <v>329603519</v>
      </c>
    </row>
    <row r="296" spans="1:1" x14ac:dyDescent="0.25">
      <c r="A296" s="10">
        <v>329603532</v>
      </c>
    </row>
    <row r="297" spans="1:1" x14ac:dyDescent="0.25">
      <c r="A297" s="10">
        <v>329603533</v>
      </c>
    </row>
    <row r="298" spans="1:1" x14ac:dyDescent="0.25">
      <c r="A298" s="10">
        <v>329603534</v>
      </c>
    </row>
    <row r="299" spans="1:1" x14ac:dyDescent="0.25">
      <c r="A299" s="10">
        <v>329603536</v>
      </c>
    </row>
    <row r="300" spans="1:1" x14ac:dyDescent="0.25">
      <c r="A300" s="10">
        <v>329603538</v>
      </c>
    </row>
    <row r="301" spans="1:1" x14ac:dyDescent="0.25">
      <c r="A301" s="10">
        <v>329603539</v>
      </c>
    </row>
    <row r="302" spans="1:1" x14ac:dyDescent="0.25">
      <c r="A302" s="10">
        <v>329603540</v>
      </c>
    </row>
    <row r="303" spans="1:1" x14ac:dyDescent="0.25">
      <c r="A303" s="10">
        <v>329603541</v>
      </c>
    </row>
    <row r="304" spans="1:1" x14ac:dyDescent="0.25">
      <c r="A304" s="10">
        <v>329603542</v>
      </c>
    </row>
    <row r="305" spans="1:1" x14ac:dyDescent="0.25">
      <c r="A305" s="10">
        <v>329610082</v>
      </c>
    </row>
    <row r="306" spans="1:1" x14ac:dyDescent="0.25">
      <c r="A306" s="10">
        <v>329610094</v>
      </c>
    </row>
    <row r="307" spans="1:1" x14ac:dyDescent="0.25">
      <c r="A307" s="10">
        <v>329617522</v>
      </c>
    </row>
    <row r="308" spans="1:1" x14ac:dyDescent="0.25">
      <c r="A308" s="10">
        <v>329617866</v>
      </c>
    </row>
    <row r="309" spans="1:1" x14ac:dyDescent="0.25">
      <c r="A309" s="10">
        <v>329617880</v>
      </c>
    </row>
    <row r="310" spans="1:1" x14ac:dyDescent="0.25">
      <c r="A310" s="10">
        <v>329620493</v>
      </c>
    </row>
    <row r="311" spans="1:1" x14ac:dyDescent="0.25">
      <c r="A311" s="10">
        <v>329637007</v>
      </c>
    </row>
    <row r="312" spans="1:1" x14ac:dyDescent="0.25">
      <c r="A312" s="10">
        <v>329645981</v>
      </c>
    </row>
    <row r="313" spans="1:1" x14ac:dyDescent="0.25">
      <c r="A313" s="10">
        <v>329646332</v>
      </c>
    </row>
    <row r="314" spans="1:1" x14ac:dyDescent="0.25">
      <c r="A314" s="10">
        <v>329646345</v>
      </c>
    </row>
    <row r="315" spans="1:1" x14ac:dyDescent="0.25">
      <c r="A315" s="10">
        <v>329646352</v>
      </c>
    </row>
    <row r="316" spans="1:1" x14ac:dyDescent="0.25">
      <c r="A316" s="10">
        <v>329646361</v>
      </c>
    </row>
    <row r="317" spans="1:1" x14ac:dyDescent="0.25">
      <c r="A317" s="10">
        <v>329646396</v>
      </c>
    </row>
    <row r="318" spans="1:1" x14ac:dyDescent="0.25">
      <c r="A318" s="10">
        <v>329646402</v>
      </c>
    </row>
    <row r="319" spans="1:1" x14ac:dyDescent="0.25">
      <c r="A319" s="10">
        <v>329646412</v>
      </c>
    </row>
    <row r="320" spans="1:1" x14ac:dyDescent="0.25">
      <c r="A320" s="10">
        <v>329646618</v>
      </c>
    </row>
    <row r="321" spans="1:1" x14ac:dyDescent="0.25">
      <c r="A321" s="10">
        <v>329646622</v>
      </c>
    </row>
    <row r="322" spans="1:1" x14ac:dyDescent="0.25">
      <c r="A322" s="10">
        <v>329646630</v>
      </c>
    </row>
    <row r="323" spans="1:1" x14ac:dyDescent="0.25">
      <c r="A323" s="10">
        <v>329646641</v>
      </c>
    </row>
    <row r="324" spans="1:1" x14ac:dyDescent="0.25">
      <c r="A324" s="10">
        <v>329646649</v>
      </c>
    </row>
    <row r="325" spans="1:1" x14ac:dyDescent="0.25">
      <c r="A325" s="10">
        <v>329646962</v>
      </c>
    </row>
    <row r="326" spans="1:1" x14ac:dyDescent="0.25">
      <c r="A326" s="10">
        <v>329646993</v>
      </c>
    </row>
    <row r="327" spans="1:1" x14ac:dyDescent="0.25">
      <c r="A327" s="10">
        <v>329646997</v>
      </c>
    </row>
    <row r="328" spans="1:1" x14ac:dyDescent="0.25">
      <c r="A328" s="10">
        <v>329647007</v>
      </c>
    </row>
    <row r="329" spans="1:1" x14ac:dyDescent="0.25">
      <c r="A329" s="10">
        <v>329647014</v>
      </c>
    </row>
    <row r="330" spans="1:1" x14ac:dyDescent="0.25">
      <c r="A330" s="10">
        <v>329647037</v>
      </c>
    </row>
    <row r="331" spans="1:1" x14ac:dyDescent="0.25">
      <c r="A331" s="10">
        <v>329647048</v>
      </c>
    </row>
    <row r="332" spans="1:1" x14ac:dyDescent="0.25">
      <c r="A332" s="10">
        <v>329647049</v>
      </c>
    </row>
    <row r="333" spans="1:1" x14ac:dyDescent="0.25">
      <c r="A333" s="10">
        <v>329647075</v>
      </c>
    </row>
    <row r="334" spans="1:1" x14ac:dyDescent="0.25">
      <c r="A334" s="10">
        <v>329666150</v>
      </c>
    </row>
    <row r="335" spans="1:1" x14ac:dyDescent="0.25">
      <c r="A335" s="10">
        <v>329666468</v>
      </c>
    </row>
    <row r="336" spans="1:1" x14ac:dyDescent="0.25">
      <c r="A336" s="10">
        <v>329666534</v>
      </c>
    </row>
    <row r="337" spans="1:1" x14ac:dyDescent="0.25">
      <c r="A337" s="10">
        <v>329684635</v>
      </c>
    </row>
    <row r="338" spans="1:1" x14ac:dyDescent="0.25">
      <c r="A338" s="10">
        <v>329686515</v>
      </c>
    </row>
    <row r="339" spans="1:1" x14ac:dyDescent="0.25">
      <c r="A339" s="10">
        <v>329686516</v>
      </c>
    </row>
    <row r="340" spans="1:1" x14ac:dyDescent="0.25">
      <c r="A340" s="10">
        <v>329686558</v>
      </c>
    </row>
    <row r="341" spans="1:1" x14ac:dyDescent="0.25">
      <c r="A341" s="10">
        <v>329690419</v>
      </c>
    </row>
    <row r="342" spans="1:1" x14ac:dyDescent="0.25">
      <c r="A342" s="10">
        <v>329691947</v>
      </c>
    </row>
    <row r="343" spans="1:1" x14ac:dyDescent="0.25">
      <c r="A343" s="10">
        <v>329691981</v>
      </c>
    </row>
    <row r="344" spans="1:1" x14ac:dyDescent="0.25">
      <c r="A344" s="10">
        <v>329692012</v>
      </c>
    </row>
    <row r="345" spans="1:1" x14ac:dyDescent="0.25">
      <c r="A345" s="10">
        <v>329692019</v>
      </c>
    </row>
    <row r="346" spans="1:1" x14ac:dyDescent="0.25">
      <c r="A346" s="10">
        <v>329692983</v>
      </c>
    </row>
    <row r="347" spans="1:1" x14ac:dyDescent="0.25">
      <c r="A347" s="10">
        <v>329695256</v>
      </c>
    </row>
    <row r="348" spans="1:1" x14ac:dyDescent="0.25">
      <c r="A348" s="10">
        <v>329697030</v>
      </c>
    </row>
    <row r="349" spans="1:1" x14ac:dyDescent="0.25">
      <c r="A349" s="10">
        <v>329715729</v>
      </c>
    </row>
    <row r="350" spans="1:1" x14ac:dyDescent="0.25">
      <c r="A350" s="10">
        <v>329769212</v>
      </c>
    </row>
    <row r="351" spans="1:1" x14ac:dyDescent="0.25">
      <c r="A351" s="10">
        <v>329769650</v>
      </c>
    </row>
    <row r="352" spans="1:1" x14ac:dyDescent="0.25">
      <c r="A352" s="10">
        <v>329770093</v>
      </c>
    </row>
    <row r="353" spans="1:1" x14ac:dyDescent="0.25">
      <c r="A353" s="10">
        <v>329771602</v>
      </c>
    </row>
    <row r="354" spans="1:1" x14ac:dyDescent="0.25">
      <c r="A354" s="10">
        <v>329774193</v>
      </c>
    </row>
    <row r="355" spans="1:1" x14ac:dyDescent="0.25">
      <c r="A355" s="10">
        <v>329774260</v>
      </c>
    </row>
    <row r="356" spans="1:1" x14ac:dyDescent="0.25">
      <c r="A356" s="10">
        <v>329774326</v>
      </c>
    </row>
    <row r="357" spans="1:1" x14ac:dyDescent="0.25">
      <c r="A357" s="10">
        <v>329779069</v>
      </c>
    </row>
    <row r="358" spans="1:1" x14ac:dyDescent="0.25">
      <c r="A358" s="10">
        <v>329788085</v>
      </c>
    </row>
    <row r="359" spans="1:1" x14ac:dyDescent="0.25">
      <c r="A359" s="10">
        <v>329788737</v>
      </c>
    </row>
    <row r="360" spans="1:1" x14ac:dyDescent="0.25">
      <c r="A360" s="10">
        <v>329788796</v>
      </c>
    </row>
    <row r="361" spans="1:1" x14ac:dyDescent="0.25">
      <c r="A361" s="10">
        <v>329795464</v>
      </c>
    </row>
    <row r="362" spans="1:1" x14ac:dyDescent="0.25">
      <c r="A362" s="10">
        <v>329795465</v>
      </c>
    </row>
    <row r="363" spans="1:1" x14ac:dyDescent="0.25">
      <c r="A363" s="10">
        <v>329795466</v>
      </c>
    </row>
    <row r="364" spans="1:1" x14ac:dyDescent="0.25">
      <c r="A364" s="10">
        <v>329795468</v>
      </c>
    </row>
    <row r="365" spans="1:1" x14ac:dyDescent="0.25">
      <c r="A365" s="10">
        <v>329795481</v>
      </c>
    </row>
    <row r="366" spans="1:1" x14ac:dyDescent="0.25">
      <c r="A366" s="10">
        <v>329795504</v>
      </c>
    </row>
    <row r="367" spans="1:1" x14ac:dyDescent="0.25">
      <c r="A367" s="10">
        <v>329795510</v>
      </c>
    </row>
    <row r="368" spans="1:1" x14ac:dyDescent="0.25">
      <c r="A368" s="10">
        <v>329795512</v>
      </c>
    </row>
    <row r="369" spans="1:1" x14ac:dyDescent="0.25">
      <c r="A369" s="10">
        <v>329795525</v>
      </c>
    </row>
    <row r="370" spans="1:1" x14ac:dyDescent="0.25">
      <c r="A370" s="10">
        <v>329795526</v>
      </c>
    </row>
    <row r="371" spans="1:1" x14ac:dyDescent="0.25">
      <c r="A371" s="10">
        <v>329795571</v>
      </c>
    </row>
    <row r="372" spans="1:1" x14ac:dyDescent="0.25">
      <c r="A372" s="10">
        <v>329796683</v>
      </c>
    </row>
    <row r="373" spans="1:1" x14ac:dyDescent="0.25">
      <c r="A373" s="10">
        <v>329797756</v>
      </c>
    </row>
    <row r="374" spans="1:1" x14ac:dyDescent="0.25">
      <c r="A374" s="10">
        <v>329798498</v>
      </c>
    </row>
    <row r="375" spans="1:1" x14ac:dyDescent="0.25">
      <c r="A375" s="10">
        <v>329811611</v>
      </c>
    </row>
    <row r="376" spans="1:1" x14ac:dyDescent="0.25">
      <c r="A376" s="10">
        <v>329812300</v>
      </c>
    </row>
    <row r="377" spans="1:1" x14ac:dyDescent="0.25">
      <c r="A377" s="10">
        <v>329812330</v>
      </c>
    </row>
    <row r="378" spans="1:1" x14ac:dyDescent="0.25">
      <c r="A378" s="10">
        <v>329812361</v>
      </c>
    </row>
    <row r="379" spans="1:1" x14ac:dyDescent="0.25">
      <c r="A379" s="10">
        <v>329812364</v>
      </c>
    </row>
    <row r="380" spans="1:1" x14ac:dyDescent="0.25">
      <c r="A380" s="10">
        <v>329812371</v>
      </c>
    </row>
    <row r="381" spans="1:1" x14ac:dyDescent="0.25">
      <c r="A381" s="10">
        <v>329812414</v>
      </c>
    </row>
    <row r="382" spans="1:1" x14ac:dyDescent="0.25">
      <c r="A382" s="10">
        <v>329831562</v>
      </c>
    </row>
    <row r="383" spans="1:1" x14ac:dyDescent="0.25">
      <c r="A383" s="10">
        <v>329831752</v>
      </c>
    </row>
    <row r="384" spans="1:1" x14ac:dyDescent="0.25">
      <c r="A384" s="10">
        <v>329831756</v>
      </c>
    </row>
    <row r="385" spans="1:1" x14ac:dyDescent="0.25">
      <c r="A385" s="10">
        <v>329831759</v>
      </c>
    </row>
    <row r="386" spans="1:1" x14ac:dyDescent="0.25">
      <c r="A386" s="10">
        <v>329831774</v>
      </c>
    </row>
    <row r="387" spans="1:1" x14ac:dyDescent="0.25">
      <c r="A387" s="10">
        <v>329831776</v>
      </c>
    </row>
    <row r="388" spans="1:1" x14ac:dyDescent="0.25">
      <c r="A388" s="10">
        <v>329831800</v>
      </c>
    </row>
    <row r="389" spans="1:1" x14ac:dyDescent="0.25">
      <c r="A389" s="10">
        <v>329831802</v>
      </c>
    </row>
    <row r="390" spans="1:1" x14ac:dyDescent="0.25">
      <c r="A390" s="10">
        <v>329831812</v>
      </c>
    </row>
    <row r="391" spans="1:1" x14ac:dyDescent="0.25">
      <c r="A391" s="10">
        <v>329832391</v>
      </c>
    </row>
    <row r="392" spans="1:1" x14ac:dyDescent="0.25">
      <c r="A392" s="10">
        <v>329832401</v>
      </c>
    </row>
    <row r="393" spans="1:1" x14ac:dyDescent="0.25">
      <c r="A393" s="10">
        <v>329852140</v>
      </c>
    </row>
    <row r="394" spans="1:1" x14ac:dyDescent="0.25">
      <c r="A394" s="10">
        <v>329852141</v>
      </c>
    </row>
    <row r="395" spans="1:1" x14ac:dyDescent="0.25">
      <c r="A395" s="10">
        <v>329852143</v>
      </c>
    </row>
    <row r="396" spans="1:1" x14ac:dyDescent="0.25">
      <c r="A396" s="10">
        <v>329852149</v>
      </c>
    </row>
    <row r="397" spans="1:1" x14ac:dyDescent="0.25">
      <c r="A397" s="10">
        <v>329852152</v>
      </c>
    </row>
    <row r="398" spans="1:1" x14ac:dyDescent="0.25">
      <c r="A398" s="10">
        <v>329852155</v>
      </c>
    </row>
    <row r="399" spans="1:1" x14ac:dyDescent="0.25">
      <c r="A399" s="10">
        <v>329852157</v>
      </c>
    </row>
    <row r="400" spans="1:1" x14ac:dyDescent="0.25">
      <c r="A400" s="10">
        <v>329852160</v>
      </c>
    </row>
    <row r="401" spans="1:1" x14ac:dyDescent="0.25">
      <c r="A401" s="10">
        <v>329852164</v>
      </c>
    </row>
    <row r="402" spans="1:1" x14ac:dyDescent="0.25">
      <c r="A402" s="10">
        <v>329881721</v>
      </c>
    </row>
    <row r="403" spans="1:1" x14ac:dyDescent="0.25">
      <c r="A403" s="10">
        <v>329881759</v>
      </c>
    </row>
    <row r="404" spans="1:1" x14ac:dyDescent="0.25">
      <c r="A404" s="10">
        <v>329881782</v>
      </c>
    </row>
    <row r="405" spans="1:1" x14ac:dyDescent="0.25">
      <c r="A405" s="10">
        <v>329881794</v>
      </c>
    </row>
    <row r="406" spans="1:1" x14ac:dyDescent="0.25">
      <c r="A406" s="10">
        <v>329881804</v>
      </c>
    </row>
    <row r="407" spans="1:1" x14ac:dyDescent="0.25">
      <c r="A407" s="10">
        <v>329881822</v>
      </c>
    </row>
    <row r="408" spans="1:1" x14ac:dyDescent="0.25">
      <c r="A408" s="10">
        <v>329881823</v>
      </c>
    </row>
    <row r="409" spans="1:1" x14ac:dyDescent="0.25">
      <c r="A409" s="10">
        <v>329881824</v>
      </c>
    </row>
    <row r="410" spans="1:1" x14ac:dyDescent="0.25">
      <c r="A410" s="10">
        <v>329882240</v>
      </c>
    </row>
    <row r="411" spans="1:1" x14ac:dyDescent="0.25">
      <c r="A411" s="10">
        <v>329893068</v>
      </c>
    </row>
    <row r="412" spans="1:1" x14ac:dyDescent="0.25">
      <c r="A412" s="10">
        <v>329894355</v>
      </c>
    </row>
    <row r="413" spans="1:1" x14ac:dyDescent="0.25">
      <c r="A413" s="10">
        <v>329894393</v>
      </c>
    </row>
    <row r="414" spans="1:1" x14ac:dyDescent="0.25">
      <c r="A414" s="10">
        <v>329894411</v>
      </c>
    </row>
    <row r="415" spans="1:1" x14ac:dyDescent="0.25">
      <c r="A415" s="10">
        <v>329894599</v>
      </c>
    </row>
    <row r="416" spans="1:1" x14ac:dyDescent="0.25">
      <c r="A416" s="10">
        <v>329903342</v>
      </c>
    </row>
    <row r="417" spans="1:1" x14ac:dyDescent="0.25">
      <c r="A417" s="10">
        <v>329903351</v>
      </c>
    </row>
    <row r="418" spans="1:1" x14ac:dyDescent="0.25">
      <c r="A418" s="10">
        <v>329903461</v>
      </c>
    </row>
    <row r="419" spans="1:1" x14ac:dyDescent="0.25">
      <c r="A419" s="10">
        <v>329903482</v>
      </c>
    </row>
    <row r="420" spans="1:1" x14ac:dyDescent="0.25">
      <c r="A420" s="10">
        <v>329903517</v>
      </c>
    </row>
    <row r="421" spans="1:1" x14ac:dyDescent="0.25">
      <c r="A421" s="10">
        <v>329903536</v>
      </c>
    </row>
    <row r="422" spans="1:1" x14ac:dyDescent="0.25">
      <c r="A422" s="10">
        <v>329905195</v>
      </c>
    </row>
    <row r="423" spans="1:1" x14ac:dyDescent="0.25">
      <c r="A423" s="10">
        <v>329905562</v>
      </c>
    </row>
    <row r="424" spans="1:1" x14ac:dyDescent="0.25">
      <c r="A424" s="10">
        <v>329905824</v>
      </c>
    </row>
    <row r="425" spans="1:1" x14ac:dyDescent="0.25">
      <c r="A425" s="10">
        <v>329905827</v>
      </c>
    </row>
    <row r="426" spans="1:1" x14ac:dyDescent="0.25">
      <c r="A426" s="10">
        <v>329916908</v>
      </c>
    </row>
    <row r="427" spans="1:1" x14ac:dyDescent="0.25">
      <c r="A427" s="10">
        <v>329916944</v>
      </c>
    </row>
    <row r="428" spans="1:1" x14ac:dyDescent="0.25">
      <c r="A428" s="10">
        <v>329916974</v>
      </c>
    </row>
    <row r="429" spans="1:1" x14ac:dyDescent="0.25">
      <c r="A429" s="10">
        <v>329962391</v>
      </c>
    </row>
    <row r="430" spans="1:1" x14ac:dyDescent="0.25">
      <c r="A430" s="10">
        <v>329962392</v>
      </c>
    </row>
    <row r="431" spans="1:1" x14ac:dyDescent="0.25">
      <c r="A431" s="10">
        <v>329962393</v>
      </c>
    </row>
    <row r="432" spans="1:1" x14ac:dyDescent="0.25">
      <c r="A432" s="10">
        <v>329962395</v>
      </c>
    </row>
    <row r="433" spans="1:1" x14ac:dyDescent="0.25">
      <c r="A433" s="10">
        <v>329962397</v>
      </c>
    </row>
    <row r="434" spans="1:1" x14ac:dyDescent="0.25">
      <c r="A434" s="10">
        <v>329962398</v>
      </c>
    </row>
    <row r="435" spans="1:1" x14ac:dyDescent="0.25">
      <c r="A435" s="10">
        <v>329962399</v>
      </c>
    </row>
    <row r="436" spans="1:1" x14ac:dyDescent="0.25">
      <c r="A436" s="10">
        <v>329962400</v>
      </c>
    </row>
    <row r="437" spans="1:1" x14ac:dyDescent="0.25">
      <c r="A437" s="10">
        <v>329962401</v>
      </c>
    </row>
    <row r="438" spans="1:1" x14ac:dyDescent="0.25">
      <c r="A438" s="10">
        <v>329975384</v>
      </c>
    </row>
    <row r="439" spans="1:1" x14ac:dyDescent="0.25">
      <c r="A439" s="10">
        <v>329975411</v>
      </c>
    </row>
    <row r="440" spans="1:1" x14ac:dyDescent="0.25">
      <c r="A440" s="10">
        <v>329975424</v>
      </c>
    </row>
    <row r="441" spans="1:1" x14ac:dyDescent="0.25">
      <c r="A441" s="10">
        <v>329975433</v>
      </c>
    </row>
    <row r="442" spans="1:1" x14ac:dyDescent="0.25">
      <c r="A442" s="10">
        <v>329975441</v>
      </c>
    </row>
    <row r="443" spans="1:1" x14ac:dyDescent="0.25">
      <c r="A443" s="10">
        <v>329979442</v>
      </c>
    </row>
    <row r="444" spans="1:1" x14ac:dyDescent="0.25">
      <c r="A444" s="10">
        <v>329979597</v>
      </c>
    </row>
    <row r="445" spans="1:1" x14ac:dyDescent="0.25">
      <c r="A445" s="10">
        <v>329979796</v>
      </c>
    </row>
    <row r="446" spans="1:1" x14ac:dyDescent="0.25">
      <c r="A446" s="10">
        <v>329979813</v>
      </c>
    </row>
    <row r="447" spans="1:1" x14ac:dyDescent="0.25">
      <c r="A447" s="10">
        <v>329980157</v>
      </c>
    </row>
    <row r="448" spans="1:1" x14ac:dyDescent="0.25">
      <c r="A448" s="10">
        <v>329980470</v>
      </c>
    </row>
    <row r="449" spans="1:1" x14ac:dyDescent="0.25">
      <c r="A449" s="10">
        <v>329980673</v>
      </c>
    </row>
    <row r="450" spans="1:1" x14ac:dyDescent="0.25">
      <c r="A450" s="10">
        <v>329981866</v>
      </c>
    </row>
    <row r="451" spans="1:1" x14ac:dyDescent="0.25">
      <c r="A451" s="10">
        <v>329988016</v>
      </c>
    </row>
    <row r="452" spans="1:1" x14ac:dyDescent="0.25">
      <c r="A452" s="10">
        <v>329988767</v>
      </c>
    </row>
    <row r="453" spans="1:1" x14ac:dyDescent="0.25">
      <c r="A453" s="10">
        <v>330000838</v>
      </c>
    </row>
    <row r="454" spans="1:1" x14ac:dyDescent="0.25">
      <c r="A454" s="10">
        <v>330000857</v>
      </c>
    </row>
    <row r="455" spans="1:1" x14ac:dyDescent="0.25">
      <c r="A455" s="10">
        <v>330003909</v>
      </c>
    </row>
    <row r="456" spans="1:1" x14ac:dyDescent="0.25">
      <c r="A456" s="10">
        <v>330010177</v>
      </c>
    </row>
    <row r="457" spans="1:1" x14ac:dyDescent="0.25">
      <c r="A457" s="10">
        <v>330030965</v>
      </c>
    </row>
    <row r="458" spans="1:1" x14ac:dyDescent="0.25">
      <c r="A458" s="10">
        <v>330030966</v>
      </c>
    </row>
    <row r="459" spans="1:1" x14ac:dyDescent="0.25">
      <c r="A459" s="10">
        <v>330030969</v>
      </c>
    </row>
    <row r="460" spans="1:1" x14ac:dyDescent="0.25">
      <c r="A460" s="10">
        <v>330032597</v>
      </c>
    </row>
    <row r="461" spans="1:1" x14ac:dyDescent="0.25">
      <c r="A461" s="10">
        <v>330045603</v>
      </c>
    </row>
    <row r="462" spans="1:1" x14ac:dyDescent="0.25">
      <c r="A462" s="10">
        <v>330047033</v>
      </c>
    </row>
    <row r="463" spans="1:1" x14ac:dyDescent="0.25">
      <c r="A463" s="10">
        <v>330049183</v>
      </c>
    </row>
    <row r="464" spans="1:1" x14ac:dyDescent="0.25">
      <c r="A464" s="10">
        <v>330049217</v>
      </c>
    </row>
    <row r="465" spans="1:1" x14ac:dyDescent="0.25">
      <c r="A465" s="10">
        <v>330056858</v>
      </c>
    </row>
    <row r="466" spans="1:1" x14ac:dyDescent="0.25">
      <c r="A466" s="10">
        <v>330058820</v>
      </c>
    </row>
    <row r="467" spans="1:1" x14ac:dyDescent="0.25">
      <c r="A467" s="10">
        <v>330058851</v>
      </c>
    </row>
    <row r="468" spans="1:1" x14ac:dyDescent="0.25">
      <c r="A468" s="10">
        <v>330058866</v>
      </c>
    </row>
    <row r="469" spans="1:1" x14ac:dyDescent="0.25">
      <c r="A469" s="10">
        <v>330106003</v>
      </c>
    </row>
    <row r="470" spans="1:1" x14ac:dyDescent="0.25">
      <c r="A470" s="10">
        <v>330106019</v>
      </c>
    </row>
    <row r="471" spans="1:1" x14ac:dyDescent="0.25">
      <c r="A471" s="10">
        <v>330106026</v>
      </c>
    </row>
    <row r="472" spans="1:1" x14ac:dyDescent="0.25">
      <c r="A472" s="10">
        <v>330106105</v>
      </c>
    </row>
    <row r="473" spans="1:1" x14ac:dyDescent="0.25">
      <c r="A473" s="10">
        <v>330106109</v>
      </c>
    </row>
    <row r="474" spans="1:1" x14ac:dyDescent="0.25">
      <c r="A474" s="10">
        <v>330106110</v>
      </c>
    </row>
    <row r="475" spans="1:1" x14ac:dyDescent="0.25">
      <c r="A475" s="10">
        <v>330106111</v>
      </c>
    </row>
    <row r="476" spans="1:1" x14ac:dyDescent="0.25">
      <c r="A476" s="10">
        <v>330106112</v>
      </c>
    </row>
    <row r="477" spans="1:1" x14ac:dyDescent="0.25">
      <c r="A477" s="10">
        <v>330106117</v>
      </c>
    </row>
    <row r="478" spans="1:1" x14ac:dyDescent="0.25">
      <c r="A478" s="10">
        <v>330114033</v>
      </c>
    </row>
    <row r="479" spans="1:1" x14ac:dyDescent="0.25">
      <c r="A479" s="10">
        <v>330121047</v>
      </c>
    </row>
    <row r="480" spans="1:1" x14ac:dyDescent="0.25">
      <c r="A480" s="10">
        <v>330121050</v>
      </c>
    </row>
    <row r="481" spans="1:1" x14ac:dyDescent="0.25">
      <c r="A481" s="10">
        <v>330121086</v>
      </c>
    </row>
    <row r="482" spans="1:1" x14ac:dyDescent="0.25">
      <c r="A482" s="10">
        <v>330121100</v>
      </c>
    </row>
    <row r="483" spans="1:1" x14ac:dyDescent="0.25">
      <c r="A483" s="10">
        <v>330121159</v>
      </c>
    </row>
    <row r="484" spans="1:1" x14ac:dyDescent="0.25">
      <c r="A484" s="10">
        <v>330123029</v>
      </c>
    </row>
    <row r="485" spans="1:1" x14ac:dyDescent="0.25">
      <c r="A485" s="10">
        <v>330124754</v>
      </c>
    </row>
    <row r="486" spans="1:1" x14ac:dyDescent="0.25">
      <c r="A486" s="10">
        <v>330135062</v>
      </c>
    </row>
    <row r="487" spans="1:1" x14ac:dyDescent="0.25">
      <c r="A487" s="29">
        <v>330135077</v>
      </c>
    </row>
    <row r="488" spans="1:1" x14ac:dyDescent="0.25">
      <c r="A488" s="10">
        <v>330135146</v>
      </c>
    </row>
    <row r="489" spans="1:1" x14ac:dyDescent="0.25">
      <c r="A489" s="10">
        <v>330138624</v>
      </c>
    </row>
    <row r="490" spans="1:1" x14ac:dyDescent="0.25">
      <c r="A490" s="10">
        <v>330138630</v>
      </c>
    </row>
    <row r="491" spans="1:1" x14ac:dyDescent="0.25">
      <c r="A491" s="10">
        <v>330138645</v>
      </c>
    </row>
    <row r="492" spans="1:1" x14ac:dyDescent="0.25">
      <c r="A492" s="10">
        <v>330138655</v>
      </c>
    </row>
    <row r="493" spans="1:1" x14ac:dyDescent="0.25">
      <c r="A493" s="10">
        <v>330138684</v>
      </c>
    </row>
    <row r="494" spans="1:1" x14ac:dyDescent="0.25">
      <c r="A494" s="10">
        <v>330138726</v>
      </c>
    </row>
    <row r="495" spans="1:1" x14ac:dyDescent="0.25">
      <c r="A495" s="10">
        <v>330140682</v>
      </c>
    </row>
    <row r="496" spans="1:1" x14ac:dyDescent="0.25">
      <c r="A496" s="10">
        <v>330147104</v>
      </c>
    </row>
    <row r="497" spans="1:1" x14ac:dyDescent="0.25">
      <c r="A497" s="10">
        <v>330159973</v>
      </c>
    </row>
    <row r="498" spans="1:1" x14ac:dyDescent="0.25">
      <c r="A498" s="10">
        <v>330200788</v>
      </c>
    </row>
    <row r="499" spans="1:1" x14ac:dyDescent="0.25">
      <c r="A499" s="10">
        <v>330202004</v>
      </c>
    </row>
    <row r="500" spans="1:1" x14ac:dyDescent="0.25">
      <c r="A500" s="10">
        <v>330202037</v>
      </c>
    </row>
    <row r="501" spans="1:1" x14ac:dyDescent="0.25">
      <c r="A501" s="10">
        <v>330202138</v>
      </c>
    </row>
    <row r="502" spans="1:1" x14ac:dyDescent="0.25">
      <c r="A502" s="10">
        <v>330209853</v>
      </c>
    </row>
    <row r="503" spans="1:1" x14ac:dyDescent="0.25">
      <c r="A503" s="10">
        <v>330209880</v>
      </c>
    </row>
    <row r="504" spans="1:1" x14ac:dyDescent="0.25">
      <c r="A504" s="10">
        <v>330209890</v>
      </c>
    </row>
    <row r="505" spans="1:1" x14ac:dyDescent="0.25">
      <c r="A505" s="10">
        <v>330216288</v>
      </c>
    </row>
    <row r="506" spans="1:1" x14ac:dyDescent="0.25">
      <c r="A506" s="10">
        <v>330216291</v>
      </c>
    </row>
    <row r="507" spans="1:1" x14ac:dyDescent="0.25">
      <c r="A507" s="10">
        <v>330216294</v>
      </c>
    </row>
    <row r="508" spans="1:1" x14ac:dyDescent="0.25">
      <c r="A508" s="10">
        <v>330216298</v>
      </c>
    </row>
    <row r="509" spans="1:1" x14ac:dyDescent="0.25">
      <c r="A509" s="10">
        <v>330216452</v>
      </c>
    </row>
    <row r="510" spans="1:1" x14ac:dyDescent="0.25">
      <c r="A510" s="10">
        <v>330216458</v>
      </c>
    </row>
    <row r="511" spans="1:1" x14ac:dyDescent="0.25">
      <c r="A511" s="10">
        <v>330216474</v>
      </c>
    </row>
    <row r="512" spans="1:1" x14ac:dyDescent="0.25">
      <c r="A512" s="10">
        <v>330216870</v>
      </c>
    </row>
    <row r="513" spans="1:1" x14ac:dyDescent="0.25">
      <c r="A513" s="10">
        <v>330216872</v>
      </c>
    </row>
    <row r="514" spans="1:1" x14ac:dyDescent="0.25">
      <c r="A514" s="10">
        <v>330216873</v>
      </c>
    </row>
    <row r="515" spans="1:1" x14ac:dyDescent="0.25">
      <c r="A515" s="10">
        <v>330216877</v>
      </c>
    </row>
    <row r="516" spans="1:1" x14ac:dyDescent="0.25">
      <c r="A516" s="10">
        <v>330216890</v>
      </c>
    </row>
    <row r="517" spans="1:1" x14ac:dyDescent="0.25">
      <c r="A517" s="10">
        <v>330216897</v>
      </c>
    </row>
    <row r="518" spans="1:1" x14ac:dyDescent="0.25">
      <c r="A518" s="10">
        <v>330247499</v>
      </c>
    </row>
    <row r="519" spans="1:1" x14ac:dyDescent="0.25">
      <c r="A519" s="10">
        <v>330247523</v>
      </c>
    </row>
    <row r="520" spans="1:1" x14ac:dyDescent="0.25">
      <c r="A520" s="10">
        <v>330247531</v>
      </c>
    </row>
    <row r="521" spans="1:1" x14ac:dyDescent="0.25">
      <c r="A521" s="10">
        <v>330247553</v>
      </c>
    </row>
    <row r="522" spans="1:1" x14ac:dyDescent="0.25">
      <c r="A522" s="10">
        <v>330247555</v>
      </c>
    </row>
    <row r="523" spans="1:1" x14ac:dyDescent="0.25">
      <c r="A523" s="10">
        <v>330247577</v>
      </c>
    </row>
    <row r="524" spans="1:1" x14ac:dyDescent="0.25">
      <c r="A524" s="10">
        <v>330247578</v>
      </c>
    </row>
    <row r="525" spans="1:1" x14ac:dyDescent="0.25">
      <c r="A525" s="10">
        <v>330247581</v>
      </c>
    </row>
    <row r="526" spans="1:1" x14ac:dyDescent="0.25">
      <c r="A526" s="10">
        <v>330247600</v>
      </c>
    </row>
    <row r="527" spans="1:1" x14ac:dyDescent="0.25">
      <c r="A527" s="10">
        <v>330247621</v>
      </c>
    </row>
    <row r="528" spans="1:1" x14ac:dyDescent="0.25">
      <c r="A528" s="10">
        <v>330248102</v>
      </c>
    </row>
    <row r="529" spans="1:1" x14ac:dyDescent="0.25">
      <c r="A529" s="10">
        <v>330248128</v>
      </c>
    </row>
    <row r="530" spans="1:1" x14ac:dyDescent="0.25">
      <c r="A530" s="10">
        <v>330248147</v>
      </c>
    </row>
    <row r="531" spans="1:1" x14ac:dyDescent="0.25">
      <c r="A531" s="10">
        <v>330248173</v>
      </c>
    </row>
    <row r="532" spans="1:1" x14ac:dyDescent="0.25">
      <c r="A532" s="10">
        <v>330248175</v>
      </c>
    </row>
    <row r="533" spans="1:1" x14ac:dyDescent="0.25">
      <c r="A533" s="10">
        <v>330254401</v>
      </c>
    </row>
    <row r="534" spans="1:1" x14ac:dyDescent="0.25">
      <c r="A534" s="10">
        <v>330254454</v>
      </c>
    </row>
    <row r="535" spans="1:1" x14ac:dyDescent="0.25">
      <c r="A535" s="10">
        <v>330254463</v>
      </c>
    </row>
    <row r="536" spans="1:1" x14ac:dyDescent="0.25">
      <c r="A536" s="10">
        <v>330254773</v>
      </c>
    </row>
    <row r="537" spans="1:1" x14ac:dyDescent="0.25">
      <c r="A537" s="10">
        <v>330255346</v>
      </c>
    </row>
    <row r="538" spans="1:1" x14ac:dyDescent="0.25">
      <c r="A538" s="10">
        <v>330255394</v>
      </c>
    </row>
    <row r="539" spans="1:1" x14ac:dyDescent="0.25">
      <c r="A539" s="10">
        <v>330255428</v>
      </c>
    </row>
    <row r="540" spans="1:1" x14ac:dyDescent="0.25">
      <c r="A540" s="10">
        <v>330255430</v>
      </c>
    </row>
    <row r="541" spans="1:1" x14ac:dyDescent="0.25">
      <c r="A541" s="10">
        <v>330255993</v>
      </c>
    </row>
    <row r="542" spans="1:1" x14ac:dyDescent="0.25">
      <c r="A542" s="10">
        <v>330259345</v>
      </c>
    </row>
    <row r="543" spans="1:1" x14ac:dyDescent="0.25">
      <c r="A543" s="10">
        <v>330259388</v>
      </c>
    </row>
    <row r="544" spans="1:1" x14ac:dyDescent="0.25">
      <c r="A544" s="10">
        <v>330269459</v>
      </c>
    </row>
    <row r="545" spans="1:1" x14ac:dyDescent="0.25">
      <c r="A545" s="10">
        <v>330269922</v>
      </c>
    </row>
    <row r="546" spans="1:1" x14ac:dyDescent="0.25">
      <c r="A546" s="10">
        <v>330269928</v>
      </c>
    </row>
    <row r="547" spans="1:1" x14ac:dyDescent="0.25">
      <c r="A547" s="10">
        <v>330270311</v>
      </c>
    </row>
    <row r="548" spans="1:1" x14ac:dyDescent="0.25">
      <c r="A548" s="10">
        <v>330272105</v>
      </c>
    </row>
    <row r="549" spans="1:1" x14ac:dyDescent="0.25">
      <c r="A549" s="10">
        <v>330273916</v>
      </c>
    </row>
    <row r="550" spans="1:1" x14ac:dyDescent="0.25">
      <c r="A550" s="10">
        <v>330274231</v>
      </c>
    </row>
    <row r="551" spans="1:1" x14ac:dyDescent="0.25">
      <c r="A551" s="10">
        <v>330277545</v>
      </c>
    </row>
    <row r="552" spans="1:1" x14ac:dyDescent="0.25">
      <c r="A552" s="10">
        <v>330277553</v>
      </c>
    </row>
    <row r="553" spans="1:1" x14ac:dyDescent="0.25">
      <c r="A553" s="10">
        <v>330278335</v>
      </c>
    </row>
    <row r="554" spans="1:1" x14ac:dyDescent="0.25">
      <c r="A554" s="10">
        <v>330281375</v>
      </c>
    </row>
    <row r="555" spans="1:1" x14ac:dyDescent="0.25">
      <c r="A555" s="10">
        <v>330281401</v>
      </c>
    </row>
    <row r="556" spans="1:1" x14ac:dyDescent="0.25">
      <c r="A556" s="10">
        <v>330281431</v>
      </c>
    </row>
    <row r="557" spans="1:1" x14ac:dyDescent="0.25">
      <c r="A557" s="10">
        <v>330281470</v>
      </c>
    </row>
    <row r="558" spans="1:1" x14ac:dyDescent="0.25">
      <c r="A558" s="10">
        <v>330281482</v>
      </c>
    </row>
    <row r="559" spans="1:1" x14ac:dyDescent="0.25">
      <c r="A559" s="10">
        <v>330298961</v>
      </c>
    </row>
    <row r="560" spans="1:1" x14ac:dyDescent="0.25">
      <c r="A560" s="10">
        <v>330298990</v>
      </c>
    </row>
    <row r="561" spans="1:1" x14ac:dyDescent="0.25">
      <c r="A561" s="10">
        <v>330299063</v>
      </c>
    </row>
    <row r="562" spans="1:1" x14ac:dyDescent="0.25">
      <c r="A562" s="10">
        <v>330299068</v>
      </c>
    </row>
    <row r="563" spans="1:1" x14ac:dyDescent="0.25">
      <c r="A563" s="10">
        <v>330299728</v>
      </c>
    </row>
    <row r="564" spans="1:1" x14ac:dyDescent="0.25">
      <c r="A564" s="10">
        <v>330301156</v>
      </c>
    </row>
    <row r="565" spans="1:1" x14ac:dyDescent="0.25">
      <c r="A565" s="10">
        <v>330302960</v>
      </c>
    </row>
    <row r="566" spans="1:1" x14ac:dyDescent="0.25">
      <c r="A566" s="10">
        <v>330303421</v>
      </c>
    </row>
    <row r="567" spans="1:1" x14ac:dyDescent="0.25">
      <c r="A567" s="10">
        <v>330318279</v>
      </c>
    </row>
    <row r="568" spans="1:1" x14ac:dyDescent="0.25">
      <c r="A568" s="10">
        <v>330323571</v>
      </c>
    </row>
    <row r="569" spans="1:1" x14ac:dyDescent="0.25">
      <c r="A569" s="10">
        <v>330323572</v>
      </c>
    </row>
    <row r="570" spans="1:1" x14ac:dyDescent="0.25">
      <c r="A570" s="10">
        <v>330323583</v>
      </c>
    </row>
    <row r="571" spans="1:1" x14ac:dyDescent="0.25">
      <c r="A571" s="10">
        <v>330323587</v>
      </c>
    </row>
    <row r="572" spans="1:1" x14ac:dyDescent="0.25">
      <c r="A572" s="10">
        <v>330323591</v>
      </c>
    </row>
    <row r="573" spans="1:1" x14ac:dyDescent="0.25">
      <c r="A573" s="10">
        <v>330323597</v>
      </c>
    </row>
    <row r="574" spans="1:1" x14ac:dyDescent="0.25">
      <c r="A574" s="10">
        <v>330323600</v>
      </c>
    </row>
    <row r="575" spans="1:1" x14ac:dyDescent="0.25">
      <c r="A575" s="10">
        <v>330323621</v>
      </c>
    </row>
    <row r="576" spans="1:1" x14ac:dyDescent="0.25">
      <c r="A576" s="10">
        <v>330323632</v>
      </c>
    </row>
    <row r="577" spans="1:1" x14ac:dyDescent="0.25">
      <c r="A577" s="10">
        <v>330323950</v>
      </c>
    </row>
    <row r="578" spans="1:1" x14ac:dyDescent="0.25">
      <c r="A578" s="10">
        <v>330323997</v>
      </c>
    </row>
    <row r="579" spans="1:1" x14ac:dyDescent="0.25">
      <c r="A579" s="10">
        <v>330324228</v>
      </c>
    </row>
    <row r="580" spans="1:1" x14ac:dyDescent="0.25">
      <c r="A580" s="10">
        <v>330324262</v>
      </c>
    </row>
    <row r="581" spans="1:1" x14ac:dyDescent="0.25">
      <c r="A581" s="10">
        <v>330324997</v>
      </c>
    </row>
    <row r="582" spans="1:1" x14ac:dyDescent="0.25">
      <c r="A582" s="10">
        <v>330325381</v>
      </c>
    </row>
    <row r="583" spans="1:1" x14ac:dyDescent="0.25">
      <c r="A583" s="10">
        <v>330326377</v>
      </c>
    </row>
    <row r="584" spans="1:1" x14ac:dyDescent="0.25">
      <c r="A584" s="10">
        <v>330331159</v>
      </c>
    </row>
    <row r="585" spans="1:1" x14ac:dyDescent="0.25">
      <c r="A585" s="10">
        <v>330361280</v>
      </c>
    </row>
    <row r="586" spans="1:1" x14ac:dyDescent="0.25">
      <c r="A586" s="10">
        <v>330364880</v>
      </c>
    </row>
    <row r="587" spans="1:1" x14ac:dyDescent="0.25">
      <c r="A587" s="10">
        <v>330364881</v>
      </c>
    </row>
    <row r="588" spans="1:1" x14ac:dyDescent="0.25">
      <c r="A588" s="10">
        <v>330364883</v>
      </c>
    </row>
    <row r="589" spans="1:1" x14ac:dyDescent="0.25">
      <c r="A589" s="10">
        <v>330364885</v>
      </c>
    </row>
    <row r="590" spans="1:1" x14ac:dyDescent="0.25">
      <c r="A590" s="10">
        <v>330364891</v>
      </c>
    </row>
    <row r="591" spans="1:1" x14ac:dyDescent="0.25">
      <c r="A591" s="10">
        <v>330364892</v>
      </c>
    </row>
    <row r="592" spans="1:1" x14ac:dyDescent="0.25">
      <c r="A592" s="10">
        <v>330364905</v>
      </c>
    </row>
    <row r="593" spans="1:1" x14ac:dyDescent="0.25">
      <c r="A593" s="10">
        <v>330365086</v>
      </c>
    </row>
    <row r="594" spans="1:1" x14ac:dyDescent="0.25">
      <c r="A594" s="10">
        <v>330365094</v>
      </c>
    </row>
    <row r="595" spans="1:1" x14ac:dyDescent="0.25">
      <c r="A595" s="10">
        <v>330365101</v>
      </c>
    </row>
    <row r="596" spans="1:1" x14ac:dyDescent="0.25">
      <c r="A596" s="10">
        <v>330375133</v>
      </c>
    </row>
    <row r="597" spans="1:1" x14ac:dyDescent="0.25">
      <c r="A597" s="10">
        <v>330402157</v>
      </c>
    </row>
    <row r="598" spans="1:1" x14ac:dyDescent="0.25">
      <c r="A598" s="10">
        <v>330402166</v>
      </c>
    </row>
    <row r="599" spans="1:1" x14ac:dyDescent="0.25">
      <c r="A599" s="10">
        <v>330402174</v>
      </c>
    </row>
    <row r="600" spans="1:1" x14ac:dyDescent="0.25">
      <c r="A600" s="10">
        <v>330402856</v>
      </c>
    </row>
    <row r="601" spans="1:1" x14ac:dyDescent="0.25">
      <c r="A601" s="10">
        <v>330406711</v>
      </c>
    </row>
    <row r="602" spans="1:1" x14ac:dyDescent="0.25">
      <c r="A602" s="10">
        <v>330406991</v>
      </c>
    </row>
    <row r="603" spans="1:1" x14ac:dyDescent="0.25">
      <c r="A603" s="10">
        <v>330418114</v>
      </c>
    </row>
    <row r="604" spans="1:1" x14ac:dyDescent="0.25">
      <c r="A604" s="10">
        <v>330418126</v>
      </c>
    </row>
    <row r="605" spans="1:1" x14ac:dyDescent="0.25">
      <c r="A605" s="10">
        <v>330418971</v>
      </c>
    </row>
    <row r="606" spans="1:1" x14ac:dyDescent="0.25">
      <c r="A606" s="10">
        <v>330420109</v>
      </c>
    </row>
    <row r="607" spans="1:1" x14ac:dyDescent="0.25">
      <c r="A607" s="10">
        <v>330422265</v>
      </c>
    </row>
    <row r="608" spans="1:1" x14ac:dyDescent="0.25">
      <c r="A608" s="10">
        <v>330423803</v>
      </c>
    </row>
    <row r="609" spans="1:1" x14ac:dyDescent="0.25">
      <c r="A609" s="10">
        <v>330424793</v>
      </c>
    </row>
    <row r="610" spans="1:1" x14ac:dyDescent="0.25">
      <c r="A610" s="10">
        <v>330428071</v>
      </c>
    </row>
    <row r="611" spans="1:1" x14ac:dyDescent="0.25">
      <c r="A611" s="10">
        <v>330428435</v>
      </c>
    </row>
    <row r="612" spans="1:1" x14ac:dyDescent="0.25">
      <c r="A612" s="10">
        <v>330429842</v>
      </c>
    </row>
    <row r="613" spans="1:1" x14ac:dyDescent="0.25">
      <c r="A613" s="10">
        <v>330440021</v>
      </c>
    </row>
    <row r="614" spans="1:1" x14ac:dyDescent="0.25">
      <c r="A614" s="10">
        <v>330440313</v>
      </c>
    </row>
    <row r="615" spans="1:1" x14ac:dyDescent="0.25">
      <c r="A615" s="10">
        <v>330441488</v>
      </c>
    </row>
    <row r="616" spans="1:1" x14ac:dyDescent="0.25">
      <c r="A616" s="10">
        <v>330441632</v>
      </c>
    </row>
    <row r="617" spans="1:1" x14ac:dyDescent="0.25">
      <c r="A617" s="10">
        <v>330443102</v>
      </c>
    </row>
    <row r="618" spans="1:1" x14ac:dyDescent="0.25">
      <c r="A618" s="10">
        <v>330450733</v>
      </c>
    </row>
    <row r="619" spans="1:1" x14ac:dyDescent="0.25">
      <c r="A619" s="10">
        <v>330450748</v>
      </c>
    </row>
    <row r="620" spans="1:1" x14ac:dyDescent="0.25">
      <c r="A620" s="10">
        <v>330450776</v>
      </c>
    </row>
    <row r="621" spans="1:1" x14ac:dyDescent="0.25">
      <c r="A621" s="10">
        <v>330450801</v>
      </c>
    </row>
    <row r="622" spans="1:1" x14ac:dyDescent="0.25">
      <c r="A622" s="10">
        <v>330450813</v>
      </c>
    </row>
    <row r="623" spans="1:1" x14ac:dyDescent="0.25">
      <c r="A623" s="10">
        <v>330452502</v>
      </c>
    </row>
    <row r="624" spans="1:1" x14ac:dyDescent="0.25">
      <c r="A624" s="10">
        <v>330462187</v>
      </c>
    </row>
    <row r="625" spans="1:1" x14ac:dyDescent="0.25">
      <c r="A625" s="10">
        <v>330462195</v>
      </c>
    </row>
    <row r="626" spans="1:1" x14ac:dyDescent="0.25">
      <c r="A626" s="10">
        <v>330462197</v>
      </c>
    </row>
    <row r="627" spans="1:1" x14ac:dyDescent="0.25">
      <c r="A627" s="10">
        <v>330462211</v>
      </c>
    </row>
    <row r="628" spans="1:1" x14ac:dyDescent="0.25">
      <c r="A628" s="10">
        <v>330462219</v>
      </c>
    </row>
    <row r="629" spans="1:1" x14ac:dyDescent="0.25">
      <c r="A629" s="10">
        <v>330462228</v>
      </c>
    </row>
    <row r="630" spans="1:1" x14ac:dyDescent="0.25">
      <c r="A630" s="10">
        <v>330462249</v>
      </c>
    </row>
    <row r="631" spans="1:1" x14ac:dyDescent="0.25">
      <c r="A631" s="10">
        <v>330486782</v>
      </c>
    </row>
    <row r="632" spans="1:1" x14ac:dyDescent="0.25">
      <c r="A632" s="10">
        <v>330486784</v>
      </c>
    </row>
    <row r="633" spans="1:1" x14ac:dyDescent="0.25">
      <c r="A633" s="10">
        <v>330486785</v>
      </c>
    </row>
    <row r="634" spans="1:1" x14ac:dyDescent="0.25">
      <c r="A634" s="10">
        <v>330486788</v>
      </c>
    </row>
    <row r="635" spans="1:1" x14ac:dyDescent="0.25">
      <c r="A635" s="10">
        <v>330486792</v>
      </c>
    </row>
    <row r="636" spans="1:1" x14ac:dyDescent="0.25">
      <c r="A636" s="10">
        <v>330486793</v>
      </c>
    </row>
    <row r="637" spans="1:1" x14ac:dyDescent="0.25">
      <c r="A637" s="10">
        <v>330486794</v>
      </c>
    </row>
    <row r="638" spans="1:1" x14ac:dyDescent="0.25">
      <c r="A638" s="10">
        <v>330486796</v>
      </c>
    </row>
    <row r="639" spans="1:1" x14ac:dyDescent="0.25">
      <c r="A639" s="10">
        <v>330486799</v>
      </c>
    </row>
    <row r="640" spans="1:1" x14ac:dyDescent="0.25">
      <c r="A640" s="10">
        <v>330486803</v>
      </c>
    </row>
    <row r="641" spans="1:1" x14ac:dyDescent="0.25">
      <c r="A641" s="10">
        <v>330489387</v>
      </c>
    </row>
    <row r="642" spans="1:1" x14ac:dyDescent="0.25">
      <c r="A642" s="10">
        <v>330503784</v>
      </c>
    </row>
    <row r="643" spans="1:1" x14ac:dyDescent="0.25">
      <c r="A643" s="10">
        <v>330503788</v>
      </c>
    </row>
    <row r="644" spans="1:1" x14ac:dyDescent="0.25">
      <c r="A644" s="10">
        <v>330503835</v>
      </c>
    </row>
    <row r="645" spans="1:1" x14ac:dyDescent="0.25">
      <c r="A645" s="10">
        <v>330503904</v>
      </c>
    </row>
    <row r="646" spans="1:1" x14ac:dyDescent="0.25">
      <c r="A646" s="10">
        <v>330503918</v>
      </c>
    </row>
    <row r="647" spans="1:1" x14ac:dyDescent="0.25">
      <c r="A647" s="10">
        <v>330519649</v>
      </c>
    </row>
    <row r="648" spans="1:1" x14ac:dyDescent="0.25">
      <c r="A648" s="10">
        <v>330523507</v>
      </c>
    </row>
    <row r="649" spans="1:1" x14ac:dyDescent="0.25">
      <c r="A649" s="10">
        <v>330523553</v>
      </c>
    </row>
    <row r="650" spans="1:1" x14ac:dyDescent="0.25">
      <c r="A650" s="10">
        <v>330525705</v>
      </c>
    </row>
    <row r="651" spans="1:1" x14ac:dyDescent="0.25">
      <c r="A651" s="10">
        <v>330526287</v>
      </c>
    </row>
    <row r="652" spans="1:1" x14ac:dyDescent="0.25">
      <c r="A652" s="10">
        <v>330527926</v>
      </c>
    </row>
    <row r="653" spans="1:1" x14ac:dyDescent="0.25">
      <c r="A653" s="10">
        <v>330539711</v>
      </c>
    </row>
    <row r="654" spans="1:1" x14ac:dyDescent="0.25">
      <c r="A654" s="10">
        <v>330539844</v>
      </c>
    </row>
    <row r="655" spans="1:1" x14ac:dyDescent="0.25">
      <c r="A655" s="10">
        <v>330539868</v>
      </c>
    </row>
    <row r="656" spans="1:1" x14ac:dyDescent="0.25">
      <c r="A656" s="10">
        <v>330540219</v>
      </c>
    </row>
    <row r="657" spans="1:1" x14ac:dyDescent="0.25">
      <c r="A657" s="10">
        <v>330541707</v>
      </c>
    </row>
    <row r="658" spans="1:1" x14ac:dyDescent="0.25">
      <c r="A658" s="10">
        <v>330543187</v>
      </c>
    </row>
    <row r="659" spans="1:1" x14ac:dyDescent="0.25">
      <c r="A659" s="10">
        <v>330544515</v>
      </c>
    </row>
    <row r="660" spans="1:1" x14ac:dyDescent="0.25">
      <c r="A660" s="10">
        <v>330544787</v>
      </c>
    </row>
    <row r="661" spans="1:1" x14ac:dyDescent="0.25">
      <c r="A661" s="10">
        <v>330545504</v>
      </c>
    </row>
    <row r="662" spans="1:1" x14ac:dyDescent="0.25">
      <c r="A662" s="10">
        <v>330557399</v>
      </c>
    </row>
    <row r="663" spans="1:1" x14ac:dyDescent="0.25">
      <c r="A663" s="10">
        <v>330557395</v>
      </c>
    </row>
    <row r="664" spans="1:1" x14ac:dyDescent="0.25">
      <c r="A664" s="10">
        <v>330557394</v>
      </c>
    </row>
    <row r="665" spans="1:1" x14ac:dyDescent="0.25">
      <c r="A665" s="10">
        <v>330557393</v>
      </c>
    </row>
    <row r="666" spans="1:1" x14ac:dyDescent="0.25">
      <c r="A666" s="10">
        <v>330557392</v>
      </c>
    </row>
    <row r="667" spans="1:1" x14ac:dyDescent="0.25">
      <c r="A667" s="10">
        <v>330557389</v>
      </c>
    </row>
    <row r="668" spans="1:1" x14ac:dyDescent="0.25">
      <c r="A668" s="10">
        <v>330603360</v>
      </c>
    </row>
    <row r="669" spans="1:1" x14ac:dyDescent="0.25">
      <c r="A669" s="10">
        <v>330628480</v>
      </c>
    </row>
    <row r="670" spans="1:1" x14ac:dyDescent="0.25">
      <c r="A670" s="10">
        <v>330628436</v>
      </c>
    </row>
    <row r="671" spans="1:1" x14ac:dyDescent="0.25">
      <c r="A671" s="29">
        <v>330628103</v>
      </c>
    </row>
    <row r="672" spans="1:1" x14ac:dyDescent="0.25">
      <c r="A672" s="10">
        <v>330627564</v>
      </c>
    </row>
    <row r="673" spans="1:1" x14ac:dyDescent="0.25">
      <c r="A673" s="10">
        <v>330626932</v>
      </c>
    </row>
    <row r="674" spans="1:1" x14ac:dyDescent="0.25">
      <c r="A674" s="10">
        <v>330625083</v>
      </c>
    </row>
    <row r="675" spans="1:1" x14ac:dyDescent="0.25">
      <c r="A675" s="10">
        <v>330624103</v>
      </c>
    </row>
    <row r="676" spans="1:1" x14ac:dyDescent="0.25">
      <c r="A676" s="10">
        <v>330623308</v>
      </c>
    </row>
    <row r="677" spans="1:1" x14ac:dyDescent="0.25">
      <c r="A677" s="10">
        <v>330622663</v>
      </c>
    </row>
    <row r="678" spans="1:1" x14ac:dyDescent="0.25">
      <c r="A678" s="10">
        <v>330622661</v>
      </c>
    </row>
    <row r="679" spans="1:1" x14ac:dyDescent="0.25">
      <c r="A679" s="10">
        <v>330622542</v>
      </c>
    </row>
    <row r="680" spans="1:1" x14ac:dyDescent="0.25">
      <c r="A680" s="10">
        <v>330622282</v>
      </c>
    </row>
    <row r="681" spans="1:1" x14ac:dyDescent="0.25">
      <c r="A681" s="42">
        <v>330621241</v>
      </c>
    </row>
    <row r="682" spans="1:1" x14ac:dyDescent="0.25">
      <c r="A682" s="10">
        <v>330621183</v>
      </c>
    </row>
    <row r="683" spans="1:1" x14ac:dyDescent="0.25">
      <c r="A683" s="10">
        <v>330621150</v>
      </c>
    </row>
    <row r="684" spans="1:1" x14ac:dyDescent="0.25">
      <c r="A684" s="10">
        <v>330620891</v>
      </c>
    </row>
    <row r="685" spans="1:1" x14ac:dyDescent="0.25">
      <c r="A685" s="10">
        <v>330620877</v>
      </c>
    </row>
    <row r="686" spans="1:1" x14ac:dyDescent="0.25">
      <c r="A686" s="10">
        <v>330620854</v>
      </c>
    </row>
    <row r="687" spans="1:1" x14ac:dyDescent="0.25">
      <c r="A687" s="10">
        <v>330620815</v>
      </c>
    </row>
    <row r="688" spans="1:1" x14ac:dyDescent="0.25">
      <c r="A688" s="10">
        <v>330620252</v>
      </c>
    </row>
    <row r="689" spans="1:1" x14ac:dyDescent="0.25">
      <c r="A689" s="10">
        <v>330610761</v>
      </c>
    </row>
    <row r="690" spans="1:1" x14ac:dyDescent="0.25">
      <c r="A690" s="10">
        <v>330609754</v>
      </c>
    </row>
    <row r="691" spans="1:1" x14ac:dyDescent="0.25">
      <c r="A691" s="10">
        <v>330609701</v>
      </c>
    </row>
    <row r="692" spans="1:1" x14ac:dyDescent="0.25">
      <c r="A692" s="10">
        <v>330608405</v>
      </c>
    </row>
    <row r="693" spans="1:1" x14ac:dyDescent="0.25">
      <c r="A693" s="10">
        <v>330602109</v>
      </c>
    </row>
    <row r="694" spans="1:1" x14ac:dyDescent="0.25">
      <c r="A694" s="10">
        <v>330601184</v>
      </c>
    </row>
    <row r="695" spans="1:1" x14ac:dyDescent="0.25">
      <c r="A695" s="10">
        <v>330601183</v>
      </c>
    </row>
    <row r="696" spans="1:1" x14ac:dyDescent="0.25">
      <c r="A696" s="10">
        <v>330601135</v>
      </c>
    </row>
    <row r="697" spans="1:1" x14ac:dyDescent="0.25">
      <c r="A697" s="10">
        <v>330601114</v>
      </c>
    </row>
    <row r="698" spans="1:1" x14ac:dyDescent="0.25">
      <c r="A698" s="10">
        <v>330601043</v>
      </c>
    </row>
    <row r="699" spans="1:1" x14ac:dyDescent="0.25">
      <c r="A699" s="10">
        <v>330593493</v>
      </c>
    </row>
    <row r="700" spans="1:1" x14ac:dyDescent="0.25">
      <c r="A700" s="10">
        <v>330587153</v>
      </c>
    </row>
    <row r="701" spans="1:1" x14ac:dyDescent="0.25">
      <c r="A701" s="10">
        <v>330587152</v>
      </c>
    </row>
    <row r="702" spans="1:1" x14ac:dyDescent="0.25">
      <c r="A702" s="10">
        <v>330587151</v>
      </c>
    </row>
    <row r="703" spans="1:1" x14ac:dyDescent="0.25">
      <c r="A703" s="10">
        <v>330587148</v>
      </c>
    </row>
    <row r="704" spans="1:1" x14ac:dyDescent="0.25">
      <c r="A704" s="10">
        <v>330587147</v>
      </c>
    </row>
    <row r="705" spans="1:1" x14ac:dyDescent="0.25">
      <c r="A705" s="10">
        <v>330587140</v>
      </c>
    </row>
    <row r="706" spans="1:1" x14ac:dyDescent="0.25">
      <c r="A706" s="10">
        <v>330587139</v>
      </c>
    </row>
    <row r="707" spans="1:1" x14ac:dyDescent="0.25">
      <c r="A707" s="10">
        <v>330647861</v>
      </c>
    </row>
    <row r="708" spans="1:1" x14ac:dyDescent="0.25">
      <c r="A708" s="10">
        <v>330642746</v>
      </c>
    </row>
    <row r="709" spans="1:1" x14ac:dyDescent="0.25">
      <c r="A709" s="10">
        <v>330642705</v>
      </c>
    </row>
    <row r="710" spans="1:1" x14ac:dyDescent="0.25">
      <c r="A710" s="10">
        <v>330640376</v>
      </c>
    </row>
    <row r="711" spans="1:1" x14ac:dyDescent="0.25">
      <c r="A711" s="10">
        <v>330640197</v>
      </c>
    </row>
    <row r="712" spans="1:1" x14ac:dyDescent="0.25">
      <c r="A712" s="10">
        <v>330640156</v>
      </c>
    </row>
    <row r="713" spans="1:1" x14ac:dyDescent="0.25">
      <c r="A713" s="10">
        <v>330639935</v>
      </c>
    </row>
    <row r="714" spans="1:1" x14ac:dyDescent="0.25">
      <c r="A714" s="10">
        <v>330639911</v>
      </c>
    </row>
    <row r="715" spans="1:1" x14ac:dyDescent="0.25">
      <c r="A715" s="10">
        <v>330639910</v>
      </c>
    </row>
    <row r="716" spans="1:1" x14ac:dyDescent="0.25">
      <c r="A716" s="10">
        <v>330639665</v>
      </c>
    </row>
    <row r="717" spans="1:1" x14ac:dyDescent="0.25">
      <c r="A717" s="10">
        <v>330639110</v>
      </c>
    </row>
    <row r="718" spans="1:1" x14ac:dyDescent="0.25">
      <c r="A718" s="10">
        <v>330639088</v>
      </c>
    </row>
    <row r="719" spans="1:1" x14ac:dyDescent="0.25">
      <c r="A719" s="10">
        <v>330639065</v>
      </c>
    </row>
    <row r="720" spans="1:1" x14ac:dyDescent="0.25">
      <c r="A720" s="10">
        <v>330639062</v>
      </c>
    </row>
    <row r="721" spans="1:1" x14ac:dyDescent="0.25">
      <c r="A721" s="10">
        <v>330665357</v>
      </c>
    </row>
    <row r="722" spans="1:1" x14ac:dyDescent="0.25">
      <c r="A722" s="10">
        <v>330665307</v>
      </c>
    </row>
    <row r="723" spans="1:1" x14ac:dyDescent="0.25">
      <c r="A723" s="10">
        <v>330665287</v>
      </c>
    </row>
    <row r="724" spans="1:1" x14ac:dyDescent="0.25">
      <c r="A724" s="10">
        <v>330662032</v>
      </c>
    </row>
    <row r="725" spans="1:1" x14ac:dyDescent="0.25">
      <c r="A725" s="10">
        <v>330662017</v>
      </c>
    </row>
    <row r="726" spans="1:1" x14ac:dyDescent="0.25">
      <c r="A726" s="10">
        <v>330651055</v>
      </c>
    </row>
    <row r="727" spans="1:1" x14ac:dyDescent="0.25">
      <c r="A727" s="10">
        <v>330651054</v>
      </c>
    </row>
    <row r="728" spans="1:1" x14ac:dyDescent="0.25">
      <c r="A728" s="10">
        <v>330651029</v>
      </c>
    </row>
    <row r="729" spans="1:1" x14ac:dyDescent="0.25">
      <c r="A729" s="10">
        <v>330651028</v>
      </c>
    </row>
    <row r="730" spans="1:1" x14ac:dyDescent="0.25">
      <c r="A730" s="10">
        <v>330706719</v>
      </c>
    </row>
    <row r="731" spans="1:1" x14ac:dyDescent="0.25">
      <c r="A731" s="10">
        <v>330704568</v>
      </c>
    </row>
    <row r="732" spans="1:1" x14ac:dyDescent="0.25">
      <c r="A732" s="10">
        <v>330703277</v>
      </c>
    </row>
    <row r="733" spans="1:1" x14ac:dyDescent="0.25">
      <c r="A733" s="10">
        <v>330703218</v>
      </c>
    </row>
    <row r="734" spans="1:1" x14ac:dyDescent="0.25">
      <c r="A734" s="10">
        <v>330699724</v>
      </c>
    </row>
    <row r="735" spans="1:1" x14ac:dyDescent="0.25">
      <c r="A735" s="10">
        <v>330699509</v>
      </c>
    </row>
    <row r="736" spans="1:1" x14ac:dyDescent="0.25">
      <c r="A736" s="10">
        <v>330724544</v>
      </c>
    </row>
    <row r="737" spans="1:1" x14ac:dyDescent="0.25">
      <c r="A737" s="10">
        <v>330724424</v>
      </c>
    </row>
    <row r="738" spans="1:1" x14ac:dyDescent="0.25">
      <c r="A738" s="10">
        <v>330724396</v>
      </c>
    </row>
    <row r="739" spans="1:1" x14ac:dyDescent="0.25">
      <c r="A739" s="10">
        <v>330720313</v>
      </c>
    </row>
    <row r="740" spans="1:1" x14ac:dyDescent="0.25">
      <c r="A740" s="10">
        <v>330768400</v>
      </c>
    </row>
    <row r="741" spans="1:1" x14ac:dyDescent="0.25">
      <c r="A741" s="10">
        <v>330768403</v>
      </c>
    </row>
    <row r="742" spans="1:1" x14ac:dyDescent="0.25">
      <c r="A742" s="10">
        <v>330768454</v>
      </c>
    </row>
    <row r="743" spans="1:1" x14ac:dyDescent="0.25">
      <c r="A743" s="10">
        <v>330768464</v>
      </c>
    </row>
    <row r="744" spans="1:1" x14ac:dyDescent="0.25">
      <c r="A744" s="10">
        <v>330770303</v>
      </c>
    </row>
    <row r="745" spans="1:1" x14ac:dyDescent="0.25">
      <c r="A745" s="10">
        <v>330771102</v>
      </c>
    </row>
    <row r="746" spans="1:1" x14ac:dyDescent="0.25">
      <c r="A746" s="10">
        <v>330773078</v>
      </c>
    </row>
    <row r="747" spans="1:1" x14ac:dyDescent="0.25">
      <c r="A747" s="10">
        <v>330773635</v>
      </c>
    </row>
    <row r="748" spans="1:1" x14ac:dyDescent="0.25">
      <c r="A748" s="10">
        <v>330774092</v>
      </c>
    </row>
    <row r="749" spans="1:1" x14ac:dyDescent="0.25">
      <c r="A749" s="10">
        <v>330789836</v>
      </c>
    </row>
    <row r="750" spans="1:1" x14ac:dyDescent="0.25">
      <c r="A750" s="10">
        <v>330789833</v>
      </c>
    </row>
    <row r="751" spans="1:1" x14ac:dyDescent="0.25">
      <c r="A751" s="10">
        <v>330789796</v>
      </c>
    </row>
    <row r="752" spans="1:1" x14ac:dyDescent="0.25">
      <c r="A752" s="10">
        <v>330789787</v>
      </c>
    </row>
    <row r="753" spans="1:1" x14ac:dyDescent="0.25">
      <c r="A753" s="10">
        <v>330789786</v>
      </c>
    </row>
    <row r="754" spans="1:1" x14ac:dyDescent="0.25">
      <c r="A754" s="10">
        <v>330789747</v>
      </c>
    </row>
    <row r="755" spans="1:1" x14ac:dyDescent="0.25">
      <c r="A755" s="10">
        <v>330789437</v>
      </c>
    </row>
    <row r="756" spans="1:1" x14ac:dyDescent="0.25">
      <c r="A756" s="10">
        <v>330789431</v>
      </c>
    </row>
    <row r="757" spans="1:1" x14ac:dyDescent="0.25">
      <c r="A757" s="10">
        <v>330789399</v>
      </c>
    </row>
    <row r="758" spans="1:1" x14ac:dyDescent="0.25">
      <c r="A758" s="10">
        <v>330842372</v>
      </c>
    </row>
    <row r="759" spans="1:1" x14ac:dyDescent="0.25">
      <c r="A759" s="10">
        <v>330842186</v>
      </c>
    </row>
    <row r="760" spans="1:1" x14ac:dyDescent="0.25">
      <c r="A760" s="10">
        <v>330832906</v>
      </c>
    </row>
    <row r="761" spans="1:1" x14ac:dyDescent="0.25">
      <c r="A761" s="10">
        <v>330832895</v>
      </c>
    </row>
    <row r="762" spans="1:1" x14ac:dyDescent="0.25">
      <c r="A762" s="10">
        <v>330832883</v>
      </c>
    </row>
    <row r="763" spans="1:1" x14ac:dyDescent="0.25">
      <c r="A763" s="10">
        <v>330832874</v>
      </c>
    </row>
    <row r="764" spans="1:1" x14ac:dyDescent="0.25">
      <c r="A764" s="10">
        <v>330832745</v>
      </c>
    </row>
    <row r="765" spans="1:1" x14ac:dyDescent="0.25">
      <c r="A765" s="10">
        <v>330832681</v>
      </c>
    </row>
    <row r="766" spans="1:1" x14ac:dyDescent="0.25">
      <c r="A766" s="10">
        <v>330830841</v>
      </c>
    </row>
    <row r="767" spans="1:1" x14ac:dyDescent="0.25">
      <c r="A767" s="10">
        <v>330821438</v>
      </c>
    </row>
    <row r="768" spans="1:1" x14ac:dyDescent="0.25">
      <c r="A768" s="10">
        <v>330821166</v>
      </c>
    </row>
    <row r="769" spans="1:1" x14ac:dyDescent="0.25">
      <c r="A769" s="10">
        <v>330819664</v>
      </c>
    </row>
    <row r="770" spans="1:1" x14ac:dyDescent="0.25">
      <c r="A770" s="10">
        <v>330818834</v>
      </c>
    </row>
    <row r="771" spans="1:1" x14ac:dyDescent="0.25">
      <c r="A771" s="10">
        <v>330808363</v>
      </c>
    </row>
    <row r="772" spans="1:1" x14ac:dyDescent="0.25">
      <c r="A772" s="10">
        <v>330808360</v>
      </c>
    </row>
    <row r="773" spans="1:1" x14ac:dyDescent="0.25">
      <c r="A773" s="10">
        <v>330808356</v>
      </c>
    </row>
    <row r="774" spans="1:1" x14ac:dyDescent="0.25">
      <c r="A774" s="10">
        <v>330808353</v>
      </c>
    </row>
    <row r="775" spans="1:1" x14ac:dyDescent="0.25">
      <c r="A775" s="10">
        <v>330808349</v>
      </c>
    </row>
    <row r="776" spans="1:1" x14ac:dyDescent="0.25">
      <c r="A776" s="10">
        <v>330808331</v>
      </c>
    </row>
    <row r="777" spans="1:1" x14ac:dyDescent="0.25">
      <c r="A777" s="10">
        <v>330851169</v>
      </c>
    </row>
    <row r="778" spans="1:1" x14ac:dyDescent="0.25">
      <c r="A778" s="10">
        <v>330851108</v>
      </c>
    </row>
    <row r="779" spans="1:1" x14ac:dyDescent="0.25">
      <c r="A779" s="10">
        <v>330851105</v>
      </c>
    </row>
    <row r="780" spans="1:1" x14ac:dyDescent="0.25">
      <c r="A780" s="10">
        <v>330851098</v>
      </c>
    </row>
    <row r="781" spans="1:1" x14ac:dyDescent="0.25">
      <c r="A781" s="10">
        <v>330851082</v>
      </c>
    </row>
    <row r="782" spans="1:1" x14ac:dyDescent="0.25">
      <c r="A782" s="10">
        <v>330851074</v>
      </c>
    </row>
    <row r="783" spans="1:1" x14ac:dyDescent="0.25">
      <c r="A783" s="10">
        <v>330870794</v>
      </c>
    </row>
    <row r="784" spans="1:1" x14ac:dyDescent="0.25">
      <c r="A784" s="10">
        <v>330870171</v>
      </c>
    </row>
    <row r="785" spans="1:1" x14ac:dyDescent="0.25">
      <c r="A785" s="10">
        <v>330870137</v>
      </c>
    </row>
    <row r="786" spans="1:1" x14ac:dyDescent="0.25">
      <c r="A786" s="10">
        <v>330870135</v>
      </c>
    </row>
    <row r="787" spans="1:1" x14ac:dyDescent="0.25">
      <c r="A787" s="10">
        <v>330870134</v>
      </c>
    </row>
    <row r="788" spans="1:1" x14ac:dyDescent="0.25">
      <c r="A788" s="10">
        <v>330892387</v>
      </c>
    </row>
    <row r="789" spans="1:1" x14ac:dyDescent="0.25">
      <c r="A789" s="10">
        <v>330892365</v>
      </c>
    </row>
    <row r="790" spans="1:1" x14ac:dyDescent="0.25">
      <c r="A790" s="10">
        <v>330892345</v>
      </c>
    </row>
    <row r="791" spans="1:1" x14ac:dyDescent="0.25">
      <c r="A791" s="10">
        <v>330891079</v>
      </c>
    </row>
    <row r="792" spans="1:1" x14ac:dyDescent="0.25">
      <c r="A792" s="10">
        <v>330890899</v>
      </c>
    </row>
    <row r="793" spans="1:1" x14ac:dyDescent="0.25">
      <c r="A793" s="10">
        <v>330890874</v>
      </c>
    </row>
    <row r="794" spans="1:1" x14ac:dyDescent="0.25">
      <c r="A794" s="10">
        <v>330890865</v>
      </c>
    </row>
    <row r="795" spans="1:1" x14ac:dyDescent="0.25">
      <c r="A795" s="10">
        <v>330890860</v>
      </c>
    </row>
    <row r="796" spans="1:1" x14ac:dyDescent="0.25">
      <c r="A796" s="10">
        <v>330930799</v>
      </c>
    </row>
    <row r="797" spans="1:1" x14ac:dyDescent="0.25">
      <c r="A797" s="10">
        <v>330958953</v>
      </c>
    </row>
    <row r="798" spans="1:1" x14ac:dyDescent="0.25">
      <c r="A798" s="10">
        <v>330958946</v>
      </c>
    </row>
    <row r="799" spans="1:1" x14ac:dyDescent="0.25">
      <c r="A799" s="10">
        <v>330958913</v>
      </c>
    </row>
    <row r="800" spans="1:1" x14ac:dyDescent="0.25">
      <c r="A800" s="10">
        <v>330957524</v>
      </c>
    </row>
    <row r="801" spans="1:1" x14ac:dyDescent="0.25">
      <c r="A801" s="10">
        <v>330969228</v>
      </c>
    </row>
    <row r="802" spans="1:1" x14ac:dyDescent="0.25">
      <c r="A802" s="10">
        <v>330969224</v>
      </c>
    </row>
    <row r="803" spans="1:1" x14ac:dyDescent="0.25">
      <c r="A803" s="10">
        <v>330281468</v>
      </c>
    </row>
    <row r="804" spans="1:1" x14ac:dyDescent="0.25">
      <c r="A804" s="10">
        <v>331000402</v>
      </c>
    </row>
    <row r="805" spans="1:1" x14ac:dyDescent="0.25">
      <c r="A805" s="10">
        <v>331000401</v>
      </c>
    </row>
    <row r="806" spans="1:1" x14ac:dyDescent="0.25">
      <c r="A806" s="10">
        <v>331000399</v>
      </c>
    </row>
    <row r="807" spans="1:1" x14ac:dyDescent="0.25">
      <c r="A807" s="10">
        <v>331000389</v>
      </c>
    </row>
    <row r="808" spans="1:1" x14ac:dyDescent="0.25">
      <c r="A808" s="10">
        <v>331000383</v>
      </c>
    </row>
    <row r="809" spans="1:1" x14ac:dyDescent="0.25">
      <c r="A809" s="10">
        <v>331000381</v>
      </c>
    </row>
    <row r="810" spans="1:1" x14ac:dyDescent="0.25">
      <c r="A810" s="10">
        <v>330989951</v>
      </c>
    </row>
    <row r="811" spans="1:1" x14ac:dyDescent="0.25">
      <c r="A811" s="10">
        <v>331058122</v>
      </c>
    </row>
    <row r="812" spans="1:1" x14ac:dyDescent="0.25">
      <c r="A812" s="10">
        <v>331058118</v>
      </c>
    </row>
    <row r="813" spans="1:1" x14ac:dyDescent="0.25">
      <c r="A813" s="10">
        <v>331089552</v>
      </c>
    </row>
    <row r="814" spans="1:1" x14ac:dyDescent="0.25">
      <c r="A814" s="10">
        <v>331088901</v>
      </c>
    </row>
    <row r="815" spans="1:1" x14ac:dyDescent="0.25">
      <c r="A815" s="10">
        <v>331081741</v>
      </c>
    </row>
    <row r="816" spans="1:1" x14ac:dyDescent="0.25">
      <c r="A816" s="10">
        <v>331081065</v>
      </c>
    </row>
    <row r="817" spans="1:1" x14ac:dyDescent="0.25">
      <c r="A817" s="10">
        <v>331110493</v>
      </c>
    </row>
    <row r="818" spans="1:1" x14ac:dyDescent="0.25">
      <c r="A818" s="10">
        <v>331110474</v>
      </c>
    </row>
    <row r="819" spans="1:1" x14ac:dyDescent="0.25">
      <c r="A819" s="10">
        <v>331110444</v>
      </c>
    </row>
    <row r="820" spans="1:1" x14ac:dyDescent="0.25">
      <c r="A820" s="10">
        <v>331110427</v>
      </c>
    </row>
    <row r="821" spans="1:1" x14ac:dyDescent="0.25">
      <c r="A821" s="10">
        <v>331110203</v>
      </c>
    </row>
    <row r="822" spans="1:1" x14ac:dyDescent="0.25">
      <c r="A822" s="10">
        <v>331110175</v>
      </c>
    </row>
    <row r="823" spans="1:1" x14ac:dyDescent="0.25">
      <c r="A823" s="10">
        <v>331100229</v>
      </c>
    </row>
    <row r="824" spans="1:1" x14ac:dyDescent="0.25">
      <c r="A824" s="10">
        <v>331100199</v>
      </c>
    </row>
    <row r="825" spans="1:1" x14ac:dyDescent="0.25">
      <c r="A825" s="10">
        <v>331126917</v>
      </c>
    </row>
    <row r="826" spans="1:1" x14ac:dyDescent="0.25">
      <c r="A826" s="10">
        <v>331126589</v>
      </c>
    </row>
    <row r="827" spans="1:1" x14ac:dyDescent="0.25">
      <c r="A827" s="10">
        <v>331124671</v>
      </c>
    </row>
    <row r="828" spans="1:1" x14ac:dyDescent="0.25">
      <c r="A828" s="10">
        <v>331124167</v>
      </c>
    </row>
    <row r="829" spans="1:1" x14ac:dyDescent="0.25">
      <c r="A829" s="10">
        <v>331123841</v>
      </c>
    </row>
    <row r="830" spans="1:1" x14ac:dyDescent="0.25">
      <c r="A830" s="10">
        <v>331123460</v>
      </c>
    </row>
    <row r="831" spans="1:1" x14ac:dyDescent="0.25">
      <c r="A831" s="10">
        <v>331123451</v>
      </c>
    </row>
    <row r="832" spans="1:1" x14ac:dyDescent="0.25">
      <c r="A832" s="10">
        <v>331123437</v>
      </c>
    </row>
    <row r="833" spans="1:1" x14ac:dyDescent="0.25">
      <c r="A833" s="10">
        <v>331122871</v>
      </c>
    </row>
    <row r="834" spans="1:1" x14ac:dyDescent="0.25">
      <c r="A834" s="10">
        <v>331146100</v>
      </c>
    </row>
    <row r="835" spans="1:1" x14ac:dyDescent="0.25">
      <c r="A835" s="10">
        <v>331206386</v>
      </c>
    </row>
    <row r="836" spans="1:1" x14ac:dyDescent="0.25">
      <c r="A836" s="10">
        <v>331206385</v>
      </c>
    </row>
    <row r="837" spans="1:1" x14ac:dyDescent="0.25">
      <c r="A837" s="10">
        <v>331217550</v>
      </c>
    </row>
    <row r="838" spans="1:1" x14ac:dyDescent="0.25">
      <c r="A838" s="10">
        <v>331206880</v>
      </c>
    </row>
    <row r="839" spans="1:1" x14ac:dyDescent="0.25">
      <c r="A839" s="10">
        <v>331206879</v>
      </c>
    </row>
    <row r="840" spans="1:1" x14ac:dyDescent="0.25">
      <c r="A840" s="16">
        <v>331217939</v>
      </c>
    </row>
    <row r="841" spans="1:1" x14ac:dyDescent="0.25">
      <c r="A841" s="10">
        <v>331217525</v>
      </c>
    </row>
    <row r="842" spans="1:1" x14ac:dyDescent="0.25">
      <c r="A842" s="10">
        <v>331217492</v>
      </c>
    </row>
    <row r="843" spans="1:1" x14ac:dyDescent="0.25">
      <c r="A843" s="10">
        <v>331200540</v>
      </c>
    </row>
    <row r="844" spans="1:1" x14ac:dyDescent="0.25">
      <c r="A844" s="10">
        <v>331238760</v>
      </c>
    </row>
    <row r="845" spans="1:1" x14ac:dyDescent="0.25">
      <c r="A845" s="10">
        <v>331230498</v>
      </c>
    </row>
    <row r="846" spans="1:1" x14ac:dyDescent="0.25">
      <c r="A846" s="10">
        <v>331230462</v>
      </c>
    </row>
    <row r="847" spans="1:1" x14ac:dyDescent="0.25">
      <c r="A847" s="10">
        <v>331230403</v>
      </c>
    </row>
    <row r="848" spans="1:1" x14ac:dyDescent="0.25">
      <c r="A848" s="10">
        <v>331230170</v>
      </c>
    </row>
    <row r="849" spans="1:1" x14ac:dyDescent="0.25">
      <c r="A849" s="10">
        <v>331230148</v>
      </c>
    </row>
    <row r="850" spans="1:1" x14ac:dyDescent="0.25">
      <c r="A850" s="10">
        <v>331255897</v>
      </c>
    </row>
    <row r="851" spans="1:1" x14ac:dyDescent="0.25">
      <c r="A851" s="10">
        <v>331253212</v>
      </c>
    </row>
    <row r="852" spans="1:1" x14ac:dyDescent="0.25">
      <c r="A852" s="10">
        <v>331275491</v>
      </c>
    </row>
    <row r="853" spans="1:1" x14ac:dyDescent="0.25">
      <c r="A853" s="10">
        <v>331275245</v>
      </c>
    </row>
    <row r="854" spans="1:1" x14ac:dyDescent="0.25">
      <c r="A854" s="10">
        <v>331275218</v>
      </c>
    </row>
    <row r="855" spans="1:1" x14ac:dyDescent="0.25">
      <c r="A855" s="10">
        <v>331275203</v>
      </c>
    </row>
    <row r="856" spans="1:1" x14ac:dyDescent="0.25">
      <c r="A856" s="10">
        <v>331315740</v>
      </c>
    </row>
    <row r="857" spans="1:1" x14ac:dyDescent="0.25">
      <c r="A857" s="10">
        <v>331315270</v>
      </c>
    </row>
    <row r="858" spans="1:1" x14ac:dyDescent="0.25">
      <c r="A858" s="10">
        <v>331315244</v>
      </c>
    </row>
    <row r="859" spans="1:1" x14ac:dyDescent="0.25">
      <c r="A859" s="10">
        <v>331314917</v>
      </c>
    </row>
    <row r="860" spans="1:1" x14ac:dyDescent="0.25">
      <c r="A860" s="10">
        <v>331342446</v>
      </c>
    </row>
    <row r="861" spans="1:1" x14ac:dyDescent="0.25">
      <c r="A861" s="10">
        <v>331342376</v>
      </c>
    </row>
    <row r="862" spans="1:1" x14ac:dyDescent="0.25">
      <c r="A862" s="10">
        <v>331341682</v>
      </c>
    </row>
    <row r="863" spans="1:1" x14ac:dyDescent="0.25">
      <c r="A863" s="10">
        <v>331336332</v>
      </c>
    </row>
    <row r="864" spans="1:1" x14ac:dyDescent="0.25">
      <c r="A864" s="10">
        <v>331335637</v>
      </c>
    </row>
    <row r="865" spans="1:1" x14ac:dyDescent="0.25">
      <c r="A865" s="10">
        <v>331335615</v>
      </c>
    </row>
    <row r="866" spans="1:1" x14ac:dyDescent="0.25">
      <c r="A866" s="10">
        <v>331366173</v>
      </c>
    </row>
    <row r="867" spans="1:1" x14ac:dyDescent="0.25">
      <c r="A867" s="10">
        <v>331358702</v>
      </c>
    </row>
    <row r="868" spans="1:1" x14ac:dyDescent="0.25">
      <c r="A868" s="10">
        <v>331358699</v>
      </c>
    </row>
    <row r="869" spans="1:1" x14ac:dyDescent="0.25">
      <c r="A869" s="10">
        <v>331358432</v>
      </c>
    </row>
    <row r="870" spans="1:1" x14ac:dyDescent="0.25">
      <c r="A870" s="10">
        <v>331364846</v>
      </c>
    </row>
    <row r="871" spans="1:1" x14ac:dyDescent="0.25">
      <c r="A871" s="10">
        <v>331391287</v>
      </c>
    </row>
    <row r="872" spans="1:1" x14ac:dyDescent="0.25">
      <c r="A872" s="10">
        <v>331384046</v>
      </c>
    </row>
    <row r="873" spans="1:1" x14ac:dyDescent="0.25">
      <c r="A873" s="10">
        <v>331380600</v>
      </c>
    </row>
    <row r="874" spans="1:1" x14ac:dyDescent="0.25">
      <c r="A874" s="10">
        <v>331390756</v>
      </c>
    </row>
    <row r="875" spans="1:1" x14ac:dyDescent="0.25">
      <c r="A875" s="10">
        <v>331380641</v>
      </c>
    </row>
    <row r="876" spans="1:1" x14ac:dyDescent="0.25">
      <c r="A876" s="10">
        <v>331380605</v>
      </c>
    </row>
    <row r="877" spans="1:1" x14ac:dyDescent="0.25">
      <c r="A877" s="10">
        <v>331446786</v>
      </c>
    </row>
    <row r="878" spans="1:1" x14ac:dyDescent="0.25">
      <c r="A878" s="10">
        <v>331446762</v>
      </c>
    </row>
    <row r="879" spans="1:1" x14ac:dyDescent="0.25">
      <c r="A879" s="10">
        <v>331447848</v>
      </c>
    </row>
    <row r="880" spans="1:1" x14ac:dyDescent="0.25">
      <c r="A880" s="10">
        <v>331446718</v>
      </c>
    </row>
    <row r="881" spans="1:1" x14ac:dyDescent="0.25">
      <c r="A881" s="10">
        <v>331445522</v>
      </c>
    </row>
    <row r="882" spans="1:1" x14ac:dyDescent="0.25">
      <c r="A882" s="10">
        <v>331422176</v>
      </c>
    </row>
    <row r="883" spans="1:1" x14ac:dyDescent="0.25">
      <c r="A883" s="10">
        <v>331473522</v>
      </c>
    </row>
    <row r="884" spans="1:1" x14ac:dyDescent="0.25">
      <c r="A884" s="10">
        <v>331463468</v>
      </c>
    </row>
    <row r="885" spans="1:1" x14ac:dyDescent="0.25">
      <c r="A885" s="40">
        <v>331512197</v>
      </c>
    </row>
    <row r="886" spans="1:1" x14ac:dyDescent="0.25">
      <c r="A886" s="40">
        <v>331512114</v>
      </c>
    </row>
    <row r="887" spans="1:1" x14ac:dyDescent="0.25">
      <c r="A887" s="40">
        <v>331510602</v>
      </c>
    </row>
    <row r="888" spans="1:1" x14ac:dyDescent="0.25">
      <c r="A888" s="40">
        <v>331585363</v>
      </c>
    </row>
    <row r="889" spans="1:1" x14ac:dyDescent="0.25">
      <c r="A889" s="40">
        <v>331585358</v>
      </c>
    </row>
    <row r="890" spans="1:1" x14ac:dyDescent="0.25">
      <c r="A890" s="40">
        <v>331580292</v>
      </c>
    </row>
    <row r="891" spans="1:1" x14ac:dyDescent="0.25">
      <c r="A891" s="40">
        <v>331574446</v>
      </c>
    </row>
    <row r="892" spans="1:1" x14ac:dyDescent="0.25">
      <c r="A892" s="40">
        <v>331573792</v>
      </c>
    </row>
    <row r="893" spans="1:1" x14ac:dyDescent="0.25">
      <c r="A893" s="40">
        <v>331573750</v>
      </c>
    </row>
    <row r="894" spans="1:1" x14ac:dyDescent="0.25">
      <c r="A894" s="40">
        <v>331573734</v>
      </c>
    </row>
    <row r="895" spans="1:1" x14ac:dyDescent="0.25">
      <c r="A895" s="40">
        <v>331573254</v>
      </c>
    </row>
    <row r="896" spans="1:1" x14ac:dyDescent="0.25">
      <c r="A896" s="40">
        <v>331551265</v>
      </c>
    </row>
    <row r="897" spans="1:1" x14ac:dyDescent="0.25">
      <c r="A897" s="7">
        <v>331606168</v>
      </c>
    </row>
    <row r="898" spans="1:1" x14ac:dyDescent="0.25">
      <c r="A898" s="7">
        <v>331599561</v>
      </c>
    </row>
    <row r="899" spans="1:1" x14ac:dyDescent="0.25">
      <c r="A899" s="7">
        <v>331593343</v>
      </c>
    </row>
    <row r="900" spans="1:1" x14ac:dyDescent="0.25">
      <c r="A900" s="7">
        <v>331593340</v>
      </c>
    </row>
    <row r="901" spans="1:1" x14ac:dyDescent="0.25">
      <c r="A901" s="7">
        <v>331593250</v>
      </c>
    </row>
  </sheetData>
  <conditionalFormatting sqref="A2:A901">
    <cfRule type="duplicateValues" dxfId="14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85DA7-B608-4651-A252-5AA60EEC294D}">
  <dimension ref="A1:V5008"/>
  <sheetViews>
    <sheetView topLeftCell="A41" workbookViewId="0">
      <selection activeCell="G68" sqref="G68"/>
    </sheetView>
  </sheetViews>
  <sheetFormatPr defaultRowHeight="15" x14ac:dyDescent="0.25"/>
  <cols>
    <col min="1" max="1" width="16.28515625" bestFit="1" customWidth="1"/>
    <col min="2" max="2" width="17.5703125" bestFit="1" customWidth="1"/>
    <col min="3" max="3" width="20.85546875" bestFit="1" customWidth="1"/>
    <col min="4" max="4" width="11.7109375" bestFit="1" customWidth="1"/>
    <col min="5" max="5" width="8.7109375" bestFit="1" customWidth="1"/>
    <col min="6" max="6" width="15.85546875" bestFit="1" customWidth="1"/>
    <col min="7" max="7" width="10" bestFit="1" customWidth="1"/>
    <col min="8" max="8" width="12.140625" style="21" bestFit="1" customWidth="1"/>
    <col min="9" max="9" width="10.7109375" style="21" bestFit="1" customWidth="1"/>
    <col min="10" max="10" width="12.140625" style="21" bestFit="1" customWidth="1"/>
    <col min="11" max="11" width="12.85546875" style="21" bestFit="1" customWidth="1"/>
    <col min="12" max="12" width="10.85546875" bestFit="1" customWidth="1"/>
    <col min="13" max="13" width="20" bestFit="1" customWidth="1"/>
    <col min="14" max="14" width="12.85546875" bestFit="1" customWidth="1"/>
    <col min="15" max="15" width="9.28515625" bestFit="1" customWidth="1"/>
    <col min="16" max="16" width="12.42578125" style="21" bestFit="1" customWidth="1"/>
    <col min="17" max="17" width="28.42578125" bestFit="1" customWidth="1"/>
    <col min="18" max="18" width="20.85546875" bestFit="1" customWidth="1"/>
    <col min="19" max="19" width="26" bestFit="1" customWidth="1"/>
    <col min="20" max="20" width="27.140625" style="21" bestFit="1" customWidth="1"/>
    <col min="21" max="21" width="24.5703125" bestFit="1" customWidth="1"/>
    <col min="22" max="22" width="20" style="33" customWidth="1"/>
  </cols>
  <sheetData>
    <row r="1" spans="1:22" s="1" customFormat="1" x14ac:dyDescent="0.25">
      <c r="A1" s="1" t="s">
        <v>0</v>
      </c>
      <c r="C1" s="1" t="s">
        <v>1</v>
      </c>
      <c r="H1" s="24"/>
      <c r="I1" s="24"/>
      <c r="P1" s="21"/>
      <c r="V1" s="31"/>
    </row>
    <row r="2" spans="1:22" s="1" customFormat="1" x14ac:dyDescent="0.25">
      <c r="A2" s="1">
        <v>1</v>
      </c>
      <c r="B2" s="1" t="s">
        <v>2</v>
      </c>
      <c r="C2" s="1" t="s">
        <v>3</v>
      </c>
      <c r="H2" s="24"/>
      <c r="I2" s="24"/>
      <c r="P2" s="21"/>
      <c r="V2" s="31"/>
    </row>
    <row r="3" spans="1:22" s="1" customFormat="1" x14ac:dyDescent="0.25">
      <c r="A3" s="1">
        <v>2</v>
      </c>
      <c r="B3" s="1" t="s">
        <v>4</v>
      </c>
      <c r="C3" s="1" t="s">
        <v>5</v>
      </c>
      <c r="H3" s="24"/>
      <c r="I3" s="24"/>
      <c r="P3" s="21"/>
      <c r="V3" s="31"/>
    </row>
    <row r="6" spans="1:22" x14ac:dyDescent="0.25">
      <c r="A6" s="11" t="s">
        <v>7</v>
      </c>
      <c r="B6" s="11" t="s">
        <v>8</v>
      </c>
      <c r="C6" s="11" t="s">
        <v>9</v>
      </c>
      <c r="D6" s="11" t="s">
        <v>10</v>
      </c>
      <c r="E6" s="12" t="s">
        <v>11</v>
      </c>
      <c r="F6" s="11" t="s">
        <v>12</v>
      </c>
      <c r="G6" s="7" t="str">
        <f>UP_Invoice_Data[[#Headers],[Invoice '#]]</f>
        <v>Invoice #</v>
      </c>
      <c r="H6" s="25" t="str">
        <f>UP_Invoice_Data[[#Headers],[Invoice Date]]</f>
        <v>Invoice Date</v>
      </c>
      <c r="I6" s="25" t="str">
        <f>UP_Invoice_Data[[#Headers],[Due Date]]</f>
        <v>Due Date</v>
      </c>
      <c r="J6" s="7" t="str">
        <f>UP_Invoice_Data[[#Headers],[Amount Due]]</f>
        <v>Amount Due</v>
      </c>
      <c r="K6" s="7" t="str">
        <f>UP_Invoice_Data[[#Headers],[Charge Type]]</f>
        <v>Charge Type</v>
      </c>
      <c r="L6" s="7" t="str">
        <f>UP_Invoice_Data[[#Headers],[delinquent]]</f>
        <v>delinquent</v>
      </c>
      <c r="M6" s="7" t="str">
        <f>UP_Invoice_Data[[#Headers],[Customer Ref '# (BOL)]]</f>
        <v>Customer Ref # (BOL)</v>
      </c>
      <c r="N6" s="7" t="str">
        <f>UP_Invoice_Data[[#Headers],[Equipment Id]]</f>
        <v>Equipment Id</v>
      </c>
      <c r="O6" s="7" t="str">
        <f>UP_Invoice_Data[[#Headers],[WayBill '#]]</f>
        <v>WayBill #</v>
      </c>
      <c r="P6" s="25" t="str">
        <f>UP_Invoice_Data[[#Headers],[WayBill Date]]</f>
        <v>WayBill Date</v>
      </c>
      <c r="Q6" s="7" t="str">
        <f>UP_Invoice_Data[[#Headers],[Consignee]]</f>
        <v>Consignee</v>
      </c>
      <c r="R6" s="7" t="str">
        <f>UP_Invoice_Data[[#Headers],[Movement Origin City]]</f>
        <v>Movement Origin City</v>
      </c>
      <c r="S6" s="7" t="str">
        <f>UP_Invoice_Data[[#Headers],[Movement Destination City]]</f>
        <v>Movement Destination City</v>
      </c>
      <c r="T6" s="7" t="str">
        <f>UP_Invoice_Data[[#Headers],[Movement Destination State]]</f>
        <v>Movement Destination State</v>
      </c>
      <c r="U6" s="7" t="str">
        <f>UP_Invoice_Data[[#Headers],[Total Amount Paid to Date]]</f>
        <v>Total Amount Paid to Date</v>
      </c>
      <c r="V6" s="32" t="str">
        <f>UP_Invoice_Data[[#Headers],[creation_date]]</f>
        <v>creation_date</v>
      </c>
    </row>
    <row r="7" spans="1:22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 t="str">
        <f>Data!A2</f>
        <v>331206880</v>
      </c>
      <c r="H7" s="21">
        <f>Data!B2</f>
        <v>45328</v>
      </c>
      <c r="I7" s="21">
        <f>Data!C2</f>
        <v>45343</v>
      </c>
      <c r="J7">
        <f>Data!D2</f>
        <v>0</v>
      </c>
      <c r="K7" t="str">
        <f>Data!E2</f>
        <v>FREIGHT</v>
      </c>
      <c r="L7" t="str">
        <f>Data!F2</f>
        <v>FALSE</v>
      </c>
      <c r="M7" t="str">
        <f>Data!G2</f>
        <v>21264</v>
      </c>
      <c r="N7" t="str">
        <f>Data!H2</f>
        <v>CRDX200750</v>
      </c>
      <c r="O7" t="str">
        <f>Data!I2</f>
        <v>836926</v>
      </c>
      <c r="P7" s="21">
        <f>Data!J2</f>
        <v>45328</v>
      </c>
      <c r="Q7" t="str">
        <f>Data!K2</f>
        <v>NEBRASKA SALT GRAIN</v>
      </c>
      <c r="R7" t="str">
        <f>Data!L2</f>
        <v>ROWLEY</v>
      </c>
      <c r="S7" t="str">
        <f>Data!M2</f>
        <v>GOTHENBURG</v>
      </c>
      <c r="T7" t="str">
        <f>Data!N2</f>
        <v>NE</v>
      </c>
      <c r="U7">
        <f>Data!O2</f>
        <v>6907</v>
      </c>
      <c r="V7" s="33">
        <f>Data!P2</f>
        <v>45350.444885914352</v>
      </c>
    </row>
    <row r="8" spans="1:22" x14ac:dyDescent="0.25">
      <c r="A8">
        <v>2</v>
      </c>
      <c r="B8">
        <v>2</v>
      </c>
      <c r="C8">
        <v>2</v>
      </c>
      <c r="D8">
        <v>2</v>
      </c>
      <c r="E8">
        <v>2</v>
      </c>
      <c r="F8">
        <v>2</v>
      </c>
      <c r="G8" t="str">
        <f>Data!A3</f>
        <v>331206880v2</v>
      </c>
      <c r="H8" s="21">
        <f>Data!B3</f>
        <v>45328</v>
      </c>
      <c r="I8" s="21">
        <f>Data!C3</f>
        <v>45343</v>
      </c>
      <c r="J8">
        <f>Data!D3</f>
        <v>0</v>
      </c>
      <c r="K8" t="str">
        <f>Data!E3</f>
        <v>FREIGHT</v>
      </c>
      <c r="L8" t="str">
        <f>Data!F3</f>
        <v>FALSE</v>
      </c>
      <c r="M8" t="str">
        <f>Data!G3</f>
        <v>21264</v>
      </c>
      <c r="N8" t="str">
        <f>Data!H3</f>
        <v>CRDX200750</v>
      </c>
      <c r="O8" t="str">
        <f>Data!I3</f>
        <v>836926</v>
      </c>
      <c r="P8" s="21">
        <f>Data!J3</f>
        <v>45328</v>
      </c>
      <c r="Q8" t="str">
        <f>Data!K3</f>
        <v>NEBRASKA SALT GRAIN</v>
      </c>
      <c r="R8" t="str">
        <f>Data!L3</f>
        <v>ROWLEY</v>
      </c>
      <c r="S8" t="str">
        <f>Data!M3</f>
        <v>GOTHENBURG</v>
      </c>
      <c r="T8" t="str">
        <f>Data!N3</f>
        <v>NE</v>
      </c>
      <c r="U8">
        <f>Data!O3</f>
        <v>6907</v>
      </c>
      <c r="V8" s="33">
        <f>Data!P3</f>
        <v>45350.44634008102</v>
      </c>
    </row>
    <row r="9" spans="1:22" x14ac:dyDescent="0.25">
      <c r="A9">
        <v>3</v>
      </c>
      <c r="B9">
        <v>3</v>
      </c>
      <c r="C9">
        <v>3</v>
      </c>
      <c r="D9">
        <v>3</v>
      </c>
      <c r="E9">
        <v>3</v>
      </c>
      <c r="F9">
        <v>3</v>
      </c>
      <c r="G9" t="str">
        <f>Data!A4</f>
        <v>331314917</v>
      </c>
      <c r="H9" s="21">
        <f>Data!B4</f>
        <v>45334</v>
      </c>
      <c r="I9" s="21">
        <f>Data!C4</f>
        <v>45349</v>
      </c>
      <c r="J9">
        <f>Data!D4</f>
        <v>0</v>
      </c>
      <c r="K9" t="str">
        <f>Data!E4</f>
        <v>FREIGHT</v>
      </c>
      <c r="L9" t="str">
        <f>Data!F4</f>
        <v>FALSE</v>
      </c>
      <c r="M9" t="str">
        <f>Data!G4</f>
        <v>717098</v>
      </c>
      <c r="N9" t="str">
        <f>Data!H4</f>
        <v>GBRX711537</v>
      </c>
      <c r="O9" t="str">
        <f>Data!I4</f>
        <v>175715</v>
      </c>
      <c r="P9" s="21">
        <f>Data!J4</f>
        <v>45334</v>
      </c>
      <c r="Q9" t="str">
        <f>Data!K4</f>
        <v>ENVIROTECH SERVICES</v>
      </c>
      <c r="R9" t="str">
        <f>Data!L4</f>
        <v>ROWLEY</v>
      </c>
      <c r="S9" t="str">
        <f>Data!M4</f>
        <v>GLENWOOD SPRINGS</v>
      </c>
      <c r="T9" t="str">
        <f>Data!N4</f>
        <v>CO</v>
      </c>
      <c r="U9">
        <f>Data!O4</f>
        <v>4975</v>
      </c>
      <c r="V9" s="33">
        <f>Data!P4</f>
        <v>45350.478439317129</v>
      </c>
    </row>
    <row r="10" spans="1:22" x14ac:dyDescent="0.25">
      <c r="A10">
        <v>4</v>
      </c>
      <c r="B10">
        <v>4</v>
      </c>
      <c r="C10">
        <v>4</v>
      </c>
      <c r="D10">
        <v>4</v>
      </c>
      <c r="E10">
        <v>4</v>
      </c>
      <c r="F10">
        <v>4</v>
      </c>
      <c r="G10" t="str">
        <f>Data!A5</f>
        <v>331314917v2</v>
      </c>
      <c r="H10" s="21">
        <f>Data!B5</f>
        <v>45334</v>
      </c>
      <c r="I10" s="21">
        <f>Data!C5</f>
        <v>45349</v>
      </c>
      <c r="J10">
        <f>Data!D5</f>
        <v>0</v>
      </c>
      <c r="K10" t="str">
        <f>Data!E5</f>
        <v>FREIGHT</v>
      </c>
      <c r="L10" t="str">
        <f>Data!F5</f>
        <v>FALSE</v>
      </c>
      <c r="M10" t="str">
        <f>Data!G5</f>
        <v>717098</v>
      </c>
      <c r="N10" t="str">
        <f>Data!H5</f>
        <v>GBRX711537</v>
      </c>
      <c r="O10" t="str">
        <f>Data!I5</f>
        <v>175715</v>
      </c>
      <c r="P10" s="21">
        <f>Data!J5</f>
        <v>45334</v>
      </c>
      <c r="Q10" t="str">
        <f>Data!K5</f>
        <v>ENVIROTECH SERVICES</v>
      </c>
      <c r="R10" t="str">
        <f>Data!L5</f>
        <v>ROWLEY</v>
      </c>
      <c r="S10" t="str">
        <f>Data!M5</f>
        <v>GLENWOOD SPRINGS</v>
      </c>
      <c r="T10" t="str">
        <f>Data!N5</f>
        <v>CO</v>
      </c>
      <c r="U10">
        <f>Data!O5</f>
        <v>4975</v>
      </c>
      <c r="V10" s="33">
        <f>Data!P5</f>
        <v>45350.478486423614</v>
      </c>
    </row>
    <row r="11" spans="1:22" x14ac:dyDescent="0.25">
      <c r="A11">
        <v>5</v>
      </c>
      <c r="B11">
        <v>5</v>
      </c>
      <c r="C11">
        <v>5</v>
      </c>
      <c r="D11">
        <v>5</v>
      </c>
      <c r="E11">
        <v>5</v>
      </c>
      <c r="F11">
        <v>5</v>
      </c>
      <c r="G11" t="str">
        <f>Data!A6</f>
        <v>330851082</v>
      </c>
      <c r="H11" s="21">
        <f>Data!B6</f>
        <v>45308</v>
      </c>
      <c r="I11" s="21">
        <f>Data!C6</f>
        <v>45323</v>
      </c>
      <c r="J11">
        <f>Data!D6</f>
        <v>0</v>
      </c>
      <c r="K11" t="str">
        <f>Data!E6</f>
        <v>FREIGHT</v>
      </c>
      <c r="L11" t="str">
        <f>Data!F6</f>
        <v>FALSE</v>
      </c>
      <c r="M11" t="str">
        <f>Data!G6</f>
        <v>710532</v>
      </c>
      <c r="N11" t="str">
        <f>Data!H6</f>
        <v>CRDX200180</v>
      </c>
      <c r="O11" t="str">
        <f>Data!I6</f>
        <v>359832</v>
      </c>
      <c r="P11" s="21">
        <f>Data!J6</f>
        <v>45308</v>
      </c>
      <c r="Q11" t="str">
        <f>Data!K6</f>
        <v>ENVIROTECH SERVICES</v>
      </c>
      <c r="R11" t="str">
        <f>Data!L6</f>
        <v>ROWLEY</v>
      </c>
      <c r="S11" t="str">
        <f>Data!M6</f>
        <v>LA SALLE</v>
      </c>
      <c r="T11" t="str">
        <f>Data!N6</f>
        <v>CO</v>
      </c>
      <c r="U11">
        <f>Data!O6</f>
        <v>5133</v>
      </c>
      <c r="V11" s="33">
        <f>Data!P6</f>
        <v>45350.480711539349</v>
      </c>
    </row>
    <row r="12" spans="1:22" x14ac:dyDescent="0.25">
      <c r="A12">
        <v>6</v>
      </c>
      <c r="B12">
        <v>6</v>
      </c>
      <c r="C12">
        <v>6</v>
      </c>
      <c r="D12">
        <v>6</v>
      </c>
      <c r="E12">
        <v>6</v>
      </c>
      <c r="F12">
        <v>6</v>
      </c>
      <c r="G12" t="e">
        <f>Data!#REF!</f>
        <v>#REF!</v>
      </c>
      <c r="H12" s="21" t="e">
        <f>Data!#REF!</f>
        <v>#REF!</v>
      </c>
      <c r="I12" s="21" t="e">
        <f>Data!#REF!</f>
        <v>#REF!</v>
      </c>
      <c r="J12" t="e">
        <f>Data!#REF!</f>
        <v>#REF!</v>
      </c>
      <c r="K12" t="e">
        <f>Data!#REF!</f>
        <v>#REF!</v>
      </c>
      <c r="L12" t="e">
        <f>Data!#REF!</f>
        <v>#REF!</v>
      </c>
      <c r="M12" t="e">
        <f>Data!#REF!</f>
        <v>#REF!</v>
      </c>
      <c r="N12" t="e">
        <f>Data!#REF!</f>
        <v>#REF!</v>
      </c>
      <c r="O12" t="e">
        <f>Data!#REF!</f>
        <v>#REF!</v>
      </c>
      <c r="P12" s="21" t="e">
        <f>Data!#REF!</f>
        <v>#REF!</v>
      </c>
      <c r="Q12" t="e">
        <f>Data!#REF!</f>
        <v>#REF!</v>
      </c>
      <c r="R12" t="e">
        <f>Data!#REF!</f>
        <v>#REF!</v>
      </c>
      <c r="S12" t="e">
        <f>Data!#REF!</f>
        <v>#REF!</v>
      </c>
      <c r="T12" t="e">
        <f>Data!#REF!</f>
        <v>#REF!</v>
      </c>
      <c r="U12" t="e">
        <f>Data!#REF!</f>
        <v>#REF!</v>
      </c>
      <c r="V12" s="33" t="e">
        <f>Data!#REF!</f>
        <v>#REF!</v>
      </c>
    </row>
    <row r="13" spans="1:22" x14ac:dyDescent="0.25">
      <c r="A13">
        <v>7</v>
      </c>
      <c r="B13">
        <v>7</v>
      </c>
      <c r="C13">
        <v>7</v>
      </c>
      <c r="D13">
        <v>7</v>
      </c>
      <c r="E13">
        <v>7</v>
      </c>
      <c r="F13">
        <v>7</v>
      </c>
      <c r="G13" t="e">
        <f>Data!#REF!</f>
        <v>#REF!</v>
      </c>
      <c r="H13" s="21" t="e">
        <f>Data!#REF!</f>
        <v>#REF!</v>
      </c>
      <c r="I13" s="21" t="e">
        <f>Data!#REF!</f>
        <v>#REF!</v>
      </c>
      <c r="J13" t="e">
        <f>Data!#REF!</f>
        <v>#REF!</v>
      </c>
      <c r="K13" t="e">
        <f>Data!#REF!</f>
        <v>#REF!</v>
      </c>
      <c r="L13" t="e">
        <f>Data!#REF!</f>
        <v>#REF!</v>
      </c>
      <c r="M13" t="e">
        <f>Data!#REF!</f>
        <v>#REF!</v>
      </c>
      <c r="N13" t="e">
        <f>Data!#REF!</f>
        <v>#REF!</v>
      </c>
      <c r="O13" t="e">
        <f>Data!#REF!</f>
        <v>#REF!</v>
      </c>
      <c r="P13" s="21" t="e">
        <f>Data!#REF!</f>
        <v>#REF!</v>
      </c>
      <c r="Q13" t="e">
        <f>Data!#REF!</f>
        <v>#REF!</v>
      </c>
      <c r="R13" t="e">
        <f>Data!#REF!</f>
        <v>#REF!</v>
      </c>
      <c r="S13" t="e">
        <f>Data!#REF!</f>
        <v>#REF!</v>
      </c>
      <c r="T13" t="e">
        <f>Data!#REF!</f>
        <v>#REF!</v>
      </c>
      <c r="U13" t="e">
        <f>Data!#REF!</f>
        <v>#REF!</v>
      </c>
      <c r="V13" s="33" t="e">
        <f>Data!#REF!</f>
        <v>#REF!</v>
      </c>
    </row>
    <row r="14" spans="1:22" x14ac:dyDescent="0.25">
      <c r="A14">
        <v>8</v>
      </c>
      <c r="B14">
        <v>8</v>
      </c>
      <c r="C14">
        <v>8</v>
      </c>
      <c r="D14">
        <v>8</v>
      </c>
      <c r="E14">
        <v>8</v>
      </c>
      <c r="F14">
        <v>8</v>
      </c>
      <c r="G14" t="e">
        <f>Data!#REF!</f>
        <v>#REF!</v>
      </c>
      <c r="H14" s="21" t="e">
        <f>Data!#REF!</f>
        <v>#REF!</v>
      </c>
      <c r="I14" s="21" t="e">
        <f>Data!#REF!</f>
        <v>#REF!</v>
      </c>
      <c r="J14" t="e">
        <f>Data!#REF!</f>
        <v>#REF!</v>
      </c>
      <c r="K14" t="e">
        <f>Data!#REF!</f>
        <v>#REF!</v>
      </c>
      <c r="L14" t="e">
        <f>Data!#REF!</f>
        <v>#REF!</v>
      </c>
      <c r="M14" t="e">
        <f>Data!#REF!</f>
        <v>#REF!</v>
      </c>
      <c r="N14" t="e">
        <f>Data!#REF!</f>
        <v>#REF!</v>
      </c>
      <c r="O14" t="e">
        <f>Data!#REF!</f>
        <v>#REF!</v>
      </c>
      <c r="P14" s="21" t="e">
        <f>Data!#REF!</f>
        <v>#REF!</v>
      </c>
      <c r="Q14" t="e">
        <f>Data!#REF!</f>
        <v>#REF!</v>
      </c>
      <c r="R14" t="e">
        <f>Data!#REF!</f>
        <v>#REF!</v>
      </c>
      <c r="S14" t="e">
        <f>Data!#REF!</f>
        <v>#REF!</v>
      </c>
      <c r="T14" t="e">
        <f>Data!#REF!</f>
        <v>#REF!</v>
      </c>
      <c r="U14" t="e">
        <f>Data!#REF!</f>
        <v>#REF!</v>
      </c>
      <c r="V14" s="33" t="e">
        <f>Data!#REF!</f>
        <v>#REF!</v>
      </c>
    </row>
    <row r="15" spans="1:22" x14ac:dyDescent="0.25">
      <c r="A15">
        <v>9</v>
      </c>
      <c r="B15">
        <v>9</v>
      </c>
      <c r="C15">
        <v>9</v>
      </c>
      <c r="D15">
        <v>9</v>
      </c>
      <c r="E15">
        <v>9</v>
      </c>
      <c r="F15">
        <v>9</v>
      </c>
      <c r="G15" t="e">
        <f>Data!#REF!</f>
        <v>#REF!</v>
      </c>
      <c r="H15" s="21" t="e">
        <f>Data!#REF!</f>
        <v>#REF!</v>
      </c>
      <c r="I15" s="21" t="e">
        <f>Data!#REF!</f>
        <v>#REF!</v>
      </c>
      <c r="J15" t="e">
        <f>Data!#REF!</f>
        <v>#REF!</v>
      </c>
      <c r="K15" t="e">
        <f>Data!#REF!</f>
        <v>#REF!</v>
      </c>
      <c r="L15" t="e">
        <f>Data!#REF!</f>
        <v>#REF!</v>
      </c>
      <c r="M15" t="e">
        <f>Data!#REF!</f>
        <v>#REF!</v>
      </c>
      <c r="N15" t="e">
        <f>Data!#REF!</f>
        <v>#REF!</v>
      </c>
      <c r="O15" t="e">
        <f>Data!#REF!</f>
        <v>#REF!</v>
      </c>
      <c r="P15" s="21" t="e">
        <f>Data!#REF!</f>
        <v>#REF!</v>
      </c>
      <c r="Q15" t="e">
        <f>Data!#REF!</f>
        <v>#REF!</v>
      </c>
      <c r="R15" t="e">
        <f>Data!#REF!</f>
        <v>#REF!</v>
      </c>
      <c r="S15" t="e">
        <f>Data!#REF!</f>
        <v>#REF!</v>
      </c>
      <c r="T15" t="e">
        <f>Data!#REF!</f>
        <v>#REF!</v>
      </c>
      <c r="U15" t="e">
        <f>Data!#REF!</f>
        <v>#REF!</v>
      </c>
      <c r="V15" s="33" t="e">
        <f>Data!#REF!</f>
        <v>#REF!</v>
      </c>
    </row>
    <row r="16" spans="1:22" x14ac:dyDescent="0.25">
      <c r="A16">
        <v>10</v>
      </c>
      <c r="B16">
        <v>10</v>
      </c>
      <c r="C16">
        <v>10</v>
      </c>
      <c r="D16">
        <v>10</v>
      </c>
      <c r="E16">
        <v>10</v>
      </c>
      <c r="F16">
        <v>10</v>
      </c>
      <c r="G16" t="e">
        <f>Data!#REF!</f>
        <v>#REF!</v>
      </c>
      <c r="H16" s="21" t="e">
        <f>Data!#REF!</f>
        <v>#REF!</v>
      </c>
      <c r="I16" s="21" t="e">
        <f>Data!#REF!</f>
        <v>#REF!</v>
      </c>
      <c r="J16" t="e">
        <f>Data!#REF!</f>
        <v>#REF!</v>
      </c>
      <c r="K16" t="e">
        <f>Data!#REF!</f>
        <v>#REF!</v>
      </c>
      <c r="L16" t="e">
        <f>Data!#REF!</f>
        <v>#REF!</v>
      </c>
      <c r="M16" t="e">
        <f>Data!#REF!</f>
        <v>#REF!</v>
      </c>
      <c r="N16" t="e">
        <f>Data!#REF!</f>
        <v>#REF!</v>
      </c>
      <c r="O16" t="e">
        <f>Data!#REF!</f>
        <v>#REF!</v>
      </c>
      <c r="P16" s="21" t="e">
        <f>Data!#REF!</f>
        <v>#REF!</v>
      </c>
      <c r="Q16" t="e">
        <f>Data!#REF!</f>
        <v>#REF!</v>
      </c>
      <c r="R16" t="e">
        <f>Data!#REF!</f>
        <v>#REF!</v>
      </c>
      <c r="S16" t="e">
        <f>Data!#REF!</f>
        <v>#REF!</v>
      </c>
      <c r="T16" t="e">
        <f>Data!#REF!</f>
        <v>#REF!</v>
      </c>
      <c r="U16" t="e">
        <f>Data!#REF!</f>
        <v>#REF!</v>
      </c>
      <c r="V16" s="33" t="e">
        <f>Data!#REF!</f>
        <v>#REF!</v>
      </c>
    </row>
    <row r="17" spans="1:22" x14ac:dyDescent="0.25">
      <c r="A17">
        <v>11</v>
      </c>
      <c r="B17">
        <v>11</v>
      </c>
      <c r="C17">
        <v>11</v>
      </c>
      <c r="D17">
        <v>11</v>
      </c>
      <c r="E17">
        <v>11</v>
      </c>
      <c r="F17">
        <v>11</v>
      </c>
      <c r="G17" t="e">
        <f>Data!#REF!</f>
        <v>#REF!</v>
      </c>
      <c r="H17" s="21" t="e">
        <f>Data!#REF!</f>
        <v>#REF!</v>
      </c>
      <c r="I17" s="21" t="e">
        <f>Data!#REF!</f>
        <v>#REF!</v>
      </c>
      <c r="J17" t="e">
        <f>Data!#REF!</f>
        <v>#REF!</v>
      </c>
      <c r="K17" t="e">
        <f>Data!#REF!</f>
        <v>#REF!</v>
      </c>
      <c r="L17" t="e">
        <f>Data!#REF!</f>
        <v>#REF!</v>
      </c>
      <c r="M17" t="e">
        <f>Data!#REF!</f>
        <v>#REF!</v>
      </c>
      <c r="N17" t="e">
        <f>Data!#REF!</f>
        <v>#REF!</v>
      </c>
      <c r="O17" t="e">
        <f>Data!#REF!</f>
        <v>#REF!</v>
      </c>
      <c r="P17" s="21" t="e">
        <f>Data!#REF!</f>
        <v>#REF!</v>
      </c>
      <c r="Q17" t="e">
        <f>Data!#REF!</f>
        <v>#REF!</v>
      </c>
      <c r="R17" t="e">
        <f>Data!#REF!</f>
        <v>#REF!</v>
      </c>
      <c r="S17" t="e">
        <f>Data!#REF!</f>
        <v>#REF!</v>
      </c>
      <c r="T17" t="e">
        <f>Data!#REF!</f>
        <v>#REF!</v>
      </c>
      <c r="U17" t="e">
        <f>Data!#REF!</f>
        <v>#REF!</v>
      </c>
      <c r="V17" s="33" t="e">
        <f>Data!#REF!</f>
        <v>#REF!</v>
      </c>
    </row>
    <row r="18" spans="1:22" x14ac:dyDescent="0.25">
      <c r="A18">
        <v>12</v>
      </c>
      <c r="B18">
        <v>12</v>
      </c>
      <c r="C18">
        <v>12</v>
      </c>
      <c r="D18">
        <v>12</v>
      </c>
      <c r="E18">
        <v>12</v>
      </c>
      <c r="F18">
        <v>12</v>
      </c>
      <c r="G18" t="e">
        <f>Data!#REF!</f>
        <v>#REF!</v>
      </c>
      <c r="H18" s="21" t="e">
        <f>Data!#REF!</f>
        <v>#REF!</v>
      </c>
      <c r="I18" s="21" t="e">
        <f>Data!#REF!</f>
        <v>#REF!</v>
      </c>
      <c r="J18" t="e">
        <f>Data!#REF!</f>
        <v>#REF!</v>
      </c>
      <c r="K18" t="e">
        <f>Data!#REF!</f>
        <v>#REF!</v>
      </c>
      <c r="L18" t="e">
        <f>Data!#REF!</f>
        <v>#REF!</v>
      </c>
      <c r="M18" t="e">
        <f>Data!#REF!</f>
        <v>#REF!</v>
      </c>
      <c r="N18" t="e">
        <f>Data!#REF!</f>
        <v>#REF!</v>
      </c>
      <c r="O18" t="e">
        <f>Data!#REF!</f>
        <v>#REF!</v>
      </c>
      <c r="P18" s="21" t="e">
        <f>Data!#REF!</f>
        <v>#REF!</v>
      </c>
      <c r="Q18" t="e">
        <f>Data!#REF!</f>
        <v>#REF!</v>
      </c>
      <c r="R18" t="e">
        <f>Data!#REF!</f>
        <v>#REF!</v>
      </c>
      <c r="S18" t="e">
        <f>Data!#REF!</f>
        <v>#REF!</v>
      </c>
      <c r="T18" t="e">
        <f>Data!#REF!</f>
        <v>#REF!</v>
      </c>
      <c r="U18" t="e">
        <f>Data!#REF!</f>
        <v>#REF!</v>
      </c>
      <c r="V18" s="33" t="e">
        <f>Data!#REF!</f>
        <v>#REF!</v>
      </c>
    </row>
    <row r="19" spans="1:22" x14ac:dyDescent="0.25">
      <c r="A19">
        <v>13</v>
      </c>
      <c r="B19">
        <v>13</v>
      </c>
      <c r="C19">
        <v>13</v>
      </c>
      <c r="D19">
        <v>13</v>
      </c>
      <c r="E19">
        <v>13</v>
      </c>
      <c r="F19">
        <v>13</v>
      </c>
      <c r="G19" t="e">
        <f>Data!#REF!</f>
        <v>#REF!</v>
      </c>
      <c r="H19" s="21" t="e">
        <f>Data!#REF!</f>
        <v>#REF!</v>
      </c>
      <c r="I19" s="21" t="e">
        <f>Data!#REF!</f>
        <v>#REF!</v>
      </c>
      <c r="J19" t="e">
        <f>Data!#REF!</f>
        <v>#REF!</v>
      </c>
      <c r="K19" t="e">
        <f>Data!#REF!</f>
        <v>#REF!</v>
      </c>
      <c r="L19" t="e">
        <f>Data!#REF!</f>
        <v>#REF!</v>
      </c>
      <c r="M19" t="e">
        <f>Data!#REF!</f>
        <v>#REF!</v>
      </c>
      <c r="N19" t="e">
        <f>Data!#REF!</f>
        <v>#REF!</v>
      </c>
      <c r="O19" t="e">
        <f>Data!#REF!</f>
        <v>#REF!</v>
      </c>
      <c r="P19" s="21" t="e">
        <f>Data!#REF!</f>
        <v>#REF!</v>
      </c>
      <c r="Q19" t="e">
        <f>Data!#REF!</f>
        <v>#REF!</v>
      </c>
      <c r="R19" t="e">
        <f>Data!#REF!</f>
        <v>#REF!</v>
      </c>
      <c r="S19" t="e">
        <f>Data!#REF!</f>
        <v>#REF!</v>
      </c>
      <c r="T19" t="e">
        <f>Data!#REF!</f>
        <v>#REF!</v>
      </c>
      <c r="U19" t="e">
        <f>Data!#REF!</f>
        <v>#REF!</v>
      </c>
      <c r="V19" s="33" t="e">
        <f>Data!#REF!</f>
        <v>#REF!</v>
      </c>
    </row>
    <row r="20" spans="1:22" x14ac:dyDescent="0.25">
      <c r="A20">
        <v>14</v>
      </c>
      <c r="B20">
        <v>14</v>
      </c>
      <c r="C20">
        <v>14</v>
      </c>
      <c r="D20">
        <v>14</v>
      </c>
      <c r="E20">
        <v>14</v>
      </c>
      <c r="F20">
        <v>14</v>
      </c>
      <c r="G20" t="e">
        <f>Data!#REF!</f>
        <v>#REF!</v>
      </c>
      <c r="H20" s="21" t="e">
        <f>Data!#REF!</f>
        <v>#REF!</v>
      </c>
      <c r="I20" s="21" t="e">
        <f>Data!#REF!</f>
        <v>#REF!</v>
      </c>
      <c r="J20" t="e">
        <f>Data!#REF!</f>
        <v>#REF!</v>
      </c>
      <c r="K20" t="e">
        <f>Data!#REF!</f>
        <v>#REF!</v>
      </c>
      <c r="L20" t="e">
        <f>Data!#REF!</f>
        <v>#REF!</v>
      </c>
      <c r="M20" t="e">
        <f>Data!#REF!</f>
        <v>#REF!</v>
      </c>
      <c r="N20" t="e">
        <f>Data!#REF!</f>
        <v>#REF!</v>
      </c>
      <c r="O20" t="e">
        <f>Data!#REF!</f>
        <v>#REF!</v>
      </c>
      <c r="P20" s="21" t="e">
        <f>Data!#REF!</f>
        <v>#REF!</v>
      </c>
      <c r="Q20" t="e">
        <f>Data!#REF!</f>
        <v>#REF!</v>
      </c>
      <c r="R20" t="e">
        <f>Data!#REF!</f>
        <v>#REF!</v>
      </c>
      <c r="S20" t="e">
        <f>Data!#REF!</f>
        <v>#REF!</v>
      </c>
      <c r="T20" t="e">
        <f>Data!#REF!</f>
        <v>#REF!</v>
      </c>
      <c r="U20" t="e">
        <f>Data!#REF!</f>
        <v>#REF!</v>
      </c>
      <c r="V20" s="33" t="e">
        <f>Data!#REF!</f>
        <v>#REF!</v>
      </c>
    </row>
    <row r="21" spans="1:22" x14ac:dyDescent="0.25">
      <c r="A21">
        <v>15</v>
      </c>
      <c r="B21">
        <v>15</v>
      </c>
      <c r="C21">
        <v>15</v>
      </c>
      <c r="D21">
        <v>15</v>
      </c>
      <c r="E21">
        <v>15</v>
      </c>
      <c r="F21">
        <v>15</v>
      </c>
      <c r="G21" t="e">
        <f>Data!#REF!</f>
        <v>#REF!</v>
      </c>
      <c r="H21" s="21" t="e">
        <f>Data!#REF!</f>
        <v>#REF!</v>
      </c>
      <c r="I21" s="21" t="e">
        <f>Data!#REF!</f>
        <v>#REF!</v>
      </c>
      <c r="J21" t="e">
        <f>Data!#REF!</f>
        <v>#REF!</v>
      </c>
      <c r="K21" t="e">
        <f>Data!#REF!</f>
        <v>#REF!</v>
      </c>
      <c r="L21" t="e">
        <f>Data!#REF!</f>
        <v>#REF!</v>
      </c>
      <c r="M21" t="e">
        <f>Data!#REF!</f>
        <v>#REF!</v>
      </c>
      <c r="N21" t="e">
        <f>Data!#REF!</f>
        <v>#REF!</v>
      </c>
      <c r="O21" t="e">
        <f>Data!#REF!</f>
        <v>#REF!</v>
      </c>
      <c r="P21" s="21" t="e">
        <f>Data!#REF!</f>
        <v>#REF!</v>
      </c>
      <c r="Q21" t="e">
        <f>Data!#REF!</f>
        <v>#REF!</v>
      </c>
      <c r="R21" t="e">
        <f>Data!#REF!</f>
        <v>#REF!</v>
      </c>
      <c r="S21" t="e">
        <f>Data!#REF!</f>
        <v>#REF!</v>
      </c>
      <c r="T21" t="e">
        <f>Data!#REF!</f>
        <v>#REF!</v>
      </c>
      <c r="U21" t="e">
        <f>Data!#REF!</f>
        <v>#REF!</v>
      </c>
      <c r="V21" s="33" t="e">
        <f>Data!#REF!</f>
        <v>#REF!</v>
      </c>
    </row>
    <row r="22" spans="1:22" x14ac:dyDescent="0.25">
      <c r="A22">
        <v>16</v>
      </c>
      <c r="B22">
        <v>16</v>
      </c>
      <c r="C22">
        <v>16</v>
      </c>
      <c r="D22">
        <v>16</v>
      </c>
      <c r="E22">
        <v>16</v>
      </c>
      <c r="F22">
        <v>16</v>
      </c>
      <c r="G22" t="e">
        <f>Data!#REF!</f>
        <v>#REF!</v>
      </c>
      <c r="H22" s="21" t="e">
        <f>Data!#REF!</f>
        <v>#REF!</v>
      </c>
      <c r="I22" s="21" t="e">
        <f>Data!#REF!</f>
        <v>#REF!</v>
      </c>
      <c r="J22" t="e">
        <f>Data!#REF!</f>
        <v>#REF!</v>
      </c>
      <c r="K22" t="e">
        <f>Data!#REF!</f>
        <v>#REF!</v>
      </c>
      <c r="L22" t="e">
        <f>Data!#REF!</f>
        <v>#REF!</v>
      </c>
      <c r="M22" t="e">
        <f>Data!#REF!</f>
        <v>#REF!</v>
      </c>
      <c r="N22" t="e">
        <f>Data!#REF!</f>
        <v>#REF!</v>
      </c>
      <c r="O22" t="e">
        <f>Data!#REF!</f>
        <v>#REF!</v>
      </c>
      <c r="P22" s="21" t="e">
        <f>Data!#REF!</f>
        <v>#REF!</v>
      </c>
      <c r="Q22" t="e">
        <f>Data!#REF!</f>
        <v>#REF!</v>
      </c>
      <c r="R22" t="e">
        <f>Data!#REF!</f>
        <v>#REF!</v>
      </c>
      <c r="S22" t="e">
        <f>Data!#REF!</f>
        <v>#REF!</v>
      </c>
      <c r="T22" t="e">
        <f>Data!#REF!</f>
        <v>#REF!</v>
      </c>
      <c r="U22" t="e">
        <f>Data!#REF!</f>
        <v>#REF!</v>
      </c>
      <c r="V22" s="33" t="e">
        <f>Data!#REF!</f>
        <v>#REF!</v>
      </c>
    </row>
    <row r="23" spans="1:22" x14ac:dyDescent="0.25">
      <c r="A23">
        <v>17</v>
      </c>
      <c r="B23">
        <v>17</v>
      </c>
      <c r="C23">
        <v>17</v>
      </c>
      <c r="D23">
        <v>17</v>
      </c>
      <c r="E23">
        <v>17</v>
      </c>
      <c r="F23">
        <v>17</v>
      </c>
      <c r="G23" t="e">
        <f>Data!#REF!</f>
        <v>#REF!</v>
      </c>
      <c r="H23" s="21" t="e">
        <f>Data!#REF!</f>
        <v>#REF!</v>
      </c>
      <c r="I23" s="21" t="e">
        <f>Data!#REF!</f>
        <v>#REF!</v>
      </c>
      <c r="J23" t="e">
        <f>Data!#REF!</f>
        <v>#REF!</v>
      </c>
      <c r="K23" t="e">
        <f>Data!#REF!</f>
        <v>#REF!</v>
      </c>
      <c r="L23" t="e">
        <f>Data!#REF!</f>
        <v>#REF!</v>
      </c>
      <c r="M23" t="e">
        <f>Data!#REF!</f>
        <v>#REF!</v>
      </c>
      <c r="N23" t="e">
        <f>Data!#REF!</f>
        <v>#REF!</v>
      </c>
      <c r="O23" t="e">
        <f>Data!#REF!</f>
        <v>#REF!</v>
      </c>
      <c r="P23" s="21" t="e">
        <f>Data!#REF!</f>
        <v>#REF!</v>
      </c>
      <c r="Q23" t="e">
        <f>Data!#REF!</f>
        <v>#REF!</v>
      </c>
      <c r="R23" t="e">
        <f>Data!#REF!</f>
        <v>#REF!</v>
      </c>
      <c r="S23" t="e">
        <f>Data!#REF!</f>
        <v>#REF!</v>
      </c>
      <c r="T23" t="e">
        <f>Data!#REF!</f>
        <v>#REF!</v>
      </c>
      <c r="U23" t="e">
        <f>Data!#REF!</f>
        <v>#REF!</v>
      </c>
      <c r="V23" s="33" t="e">
        <f>Data!#REF!</f>
        <v>#REF!</v>
      </c>
    </row>
    <row r="24" spans="1:22" x14ac:dyDescent="0.25">
      <c r="A24">
        <v>18</v>
      </c>
      <c r="B24">
        <v>18</v>
      </c>
      <c r="C24">
        <v>18</v>
      </c>
      <c r="D24">
        <v>18</v>
      </c>
      <c r="E24">
        <v>18</v>
      </c>
      <c r="F24">
        <v>18</v>
      </c>
      <c r="G24" t="e">
        <f>Data!#REF!</f>
        <v>#REF!</v>
      </c>
      <c r="H24" s="21" t="e">
        <f>Data!#REF!</f>
        <v>#REF!</v>
      </c>
      <c r="I24" s="21" t="e">
        <f>Data!#REF!</f>
        <v>#REF!</v>
      </c>
      <c r="J24" t="e">
        <f>Data!#REF!</f>
        <v>#REF!</v>
      </c>
      <c r="K24" t="e">
        <f>Data!#REF!</f>
        <v>#REF!</v>
      </c>
      <c r="L24" t="e">
        <f>Data!#REF!</f>
        <v>#REF!</v>
      </c>
      <c r="M24" t="e">
        <f>Data!#REF!</f>
        <v>#REF!</v>
      </c>
      <c r="N24" t="e">
        <f>Data!#REF!</f>
        <v>#REF!</v>
      </c>
      <c r="O24" t="e">
        <f>Data!#REF!</f>
        <v>#REF!</v>
      </c>
      <c r="P24" s="21" t="e">
        <f>Data!#REF!</f>
        <v>#REF!</v>
      </c>
      <c r="Q24" t="e">
        <f>Data!#REF!</f>
        <v>#REF!</v>
      </c>
      <c r="R24" t="e">
        <f>Data!#REF!</f>
        <v>#REF!</v>
      </c>
      <c r="S24" t="e">
        <f>Data!#REF!</f>
        <v>#REF!</v>
      </c>
      <c r="T24" t="e">
        <f>Data!#REF!</f>
        <v>#REF!</v>
      </c>
      <c r="U24" t="e">
        <f>Data!#REF!</f>
        <v>#REF!</v>
      </c>
      <c r="V24" s="33" t="e">
        <f>Data!#REF!</f>
        <v>#REF!</v>
      </c>
    </row>
    <row r="25" spans="1:22" x14ac:dyDescent="0.25">
      <c r="A25">
        <v>19</v>
      </c>
      <c r="B25">
        <v>19</v>
      </c>
      <c r="C25">
        <v>19</v>
      </c>
      <c r="D25">
        <v>19</v>
      </c>
      <c r="E25">
        <v>19</v>
      </c>
      <c r="F25">
        <v>19</v>
      </c>
      <c r="G25" t="str">
        <f>Data!A38</f>
        <v>331663894</v>
      </c>
      <c r="H25" s="21">
        <f>Data!B38</f>
        <v>45352</v>
      </c>
      <c r="I25" s="21">
        <f>Data!C38</f>
        <v>45367</v>
      </c>
      <c r="J25">
        <f>Data!D38</f>
        <v>5473</v>
      </c>
      <c r="K25" t="str">
        <f>Data!E38</f>
        <v>FREIGHT</v>
      </c>
      <c r="L25" t="str">
        <f>Data!F38</f>
        <v>FALSE</v>
      </c>
      <c r="M25" t="str">
        <f>Data!G38</f>
        <v>715182</v>
      </c>
      <c r="N25" t="str">
        <f>Data!H38</f>
        <v>CRDX200025</v>
      </c>
      <c r="O25" t="str">
        <f>Data!I38</f>
        <v>639614</v>
      </c>
      <c r="P25" s="21">
        <f>Data!J38</f>
        <v>45352</v>
      </c>
      <c r="Q25" t="str">
        <f>Data!K38</f>
        <v>ENVIROTECH SERVICES</v>
      </c>
      <c r="R25" t="str">
        <f>Data!L38</f>
        <v>ROWLEY</v>
      </c>
      <c r="S25" t="str">
        <f>Data!M38</f>
        <v>LA SALLE</v>
      </c>
      <c r="T25" t="str">
        <f>Data!N38</f>
        <v>CO</v>
      </c>
      <c r="U25">
        <f>Data!O38</f>
        <v>0</v>
      </c>
      <c r="V25" s="33">
        <f>Data!P38</f>
        <v>45352.746414699075</v>
      </c>
    </row>
    <row r="26" spans="1:22" x14ac:dyDescent="0.25">
      <c r="G26">
        <f>Data!A39</f>
        <v>0</v>
      </c>
      <c r="H26" s="21">
        <f>Data!B39</f>
        <v>0</v>
      </c>
      <c r="I26" s="21">
        <f>Data!C39</f>
        <v>0</v>
      </c>
      <c r="J26">
        <f>Data!D39</f>
        <v>0</v>
      </c>
      <c r="K26">
        <f>Data!E39</f>
        <v>0</v>
      </c>
      <c r="L26">
        <f>Data!F39</f>
        <v>0</v>
      </c>
      <c r="M26">
        <f>Data!G39</f>
        <v>0</v>
      </c>
      <c r="N26">
        <f>Data!H39</f>
        <v>0</v>
      </c>
      <c r="O26">
        <f>Data!I39</f>
        <v>0</v>
      </c>
      <c r="P26" s="21">
        <f>Data!J39</f>
        <v>0</v>
      </c>
      <c r="Q26">
        <f>Data!K39</f>
        <v>0</v>
      </c>
      <c r="R26">
        <f>Data!L39</f>
        <v>0</v>
      </c>
      <c r="S26">
        <f>Data!M39</f>
        <v>0</v>
      </c>
      <c r="T26">
        <f>Data!N39</f>
        <v>0</v>
      </c>
      <c r="U26">
        <f>Data!O39</f>
        <v>0</v>
      </c>
      <c r="V26" s="33">
        <f>Data!P39</f>
        <v>0</v>
      </c>
    </row>
    <row r="27" spans="1:22" x14ac:dyDescent="0.25">
      <c r="G27">
        <f>Data!A40</f>
        <v>0</v>
      </c>
      <c r="H27" s="21">
        <f>Data!B40</f>
        <v>0</v>
      </c>
      <c r="I27" s="21">
        <f>Data!C40</f>
        <v>0</v>
      </c>
      <c r="J27">
        <f>Data!D40</f>
        <v>0</v>
      </c>
      <c r="K27">
        <f>Data!E40</f>
        <v>0</v>
      </c>
      <c r="L27">
        <f>Data!F40</f>
        <v>0</v>
      </c>
      <c r="M27">
        <f>Data!G40</f>
        <v>0</v>
      </c>
      <c r="N27">
        <f>Data!H40</f>
        <v>0</v>
      </c>
      <c r="O27">
        <f>Data!I40</f>
        <v>0</v>
      </c>
      <c r="P27" s="21">
        <f>Data!J40</f>
        <v>0</v>
      </c>
      <c r="Q27">
        <f>Data!K40</f>
        <v>0</v>
      </c>
      <c r="R27">
        <f>Data!L40</f>
        <v>0</v>
      </c>
      <c r="S27">
        <f>Data!M40</f>
        <v>0</v>
      </c>
      <c r="T27">
        <f>Data!N40</f>
        <v>0</v>
      </c>
      <c r="U27">
        <f>Data!O40</f>
        <v>0</v>
      </c>
      <c r="V27" s="33">
        <f>Data!P40</f>
        <v>0</v>
      </c>
    </row>
    <row r="28" spans="1:22" x14ac:dyDescent="0.25">
      <c r="G28">
        <f>Data!A41</f>
        <v>0</v>
      </c>
      <c r="H28" s="21">
        <f>Data!B41</f>
        <v>0</v>
      </c>
      <c r="I28" s="21">
        <f>Data!C41</f>
        <v>0</v>
      </c>
      <c r="J28">
        <f>Data!D41</f>
        <v>0</v>
      </c>
      <c r="K28">
        <f>Data!E41</f>
        <v>0</v>
      </c>
      <c r="L28">
        <f>Data!F41</f>
        <v>0</v>
      </c>
      <c r="M28">
        <f>Data!G41</f>
        <v>0</v>
      </c>
      <c r="N28">
        <f>Data!H41</f>
        <v>0</v>
      </c>
      <c r="O28">
        <f>Data!I41</f>
        <v>0</v>
      </c>
      <c r="P28" s="21">
        <f>Data!J41</f>
        <v>0</v>
      </c>
      <c r="Q28">
        <f>Data!K41</f>
        <v>0</v>
      </c>
      <c r="R28">
        <f>Data!L41</f>
        <v>0</v>
      </c>
      <c r="S28">
        <f>Data!M41</f>
        <v>0</v>
      </c>
      <c r="T28">
        <f>Data!N41</f>
        <v>0</v>
      </c>
      <c r="U28">
        <f>Data!O41</f>
        <v>0</v>
      </c>
      <c r="V28" s="33">
        <f>Data!P41</f>
        <v>0</v>
      </c>
    </row>
    <row r="29" spans="1:22" x14ac:dyDescent="0.25">
      <c r="G29">
        <f>Data!A42</f>
        <v>0</v>
      </c>
      <c r="H29" s="21">
        <f>Data!B42</f>
        <v>0</v>
      </c>
      <c r="I29" s="21">
        <f>Data!C42</f>
        <v>0</v>
      </c>
      <c r="J29">
        <f>Data!D42</f>
        <v>0</v>
      </c>
      <c r="K29">
        <f>Data!E42</f>
        <v>0</v>
      </c>
      <c r="L29">
        <f>Data!F42</f>
        <v>0</v>
      </c>
      <c r="M29">
        <f>Data!G42</f>
        <v>0</v>
      </c>
      <c r="N29">
        <f>Data!H42</f>
        <v>0</v>
      </c>
      <c r="O29">
        <f>Data!I42</f>
        <v>0</v>
      </c>
      <c r="P29" s="21">
        <f>Data!J42</f>
        <v>0</v>
      </c>
      <c r="Q29">
        <f>Data!K42</f>
        <v>0</v>
      </c>
      <c r="R29">
        <f>Data!L42</f>
        <v>0</v>
      </c>
      <c r="S29">
        <f>Data!M42</f>
        <v>0</v>
      </c>
      <c r="T29">
        <f>Data!N42</f>
        <v>0</v>
      </c>
      <c r="U29">
        <f>Data!O42</f>
        <v>0</v>
      </c>
      <c r="V29" s="33">
        <f>Data!P42</f>
        <v>0</v>
      </c>
    </row>
    <row r="30" spans="1:22" x14ac:dyDescent="0.25">
      <c r="G30">
        <f>Data!A43</f>
        <v>0</v>
      </c>
      <c r="H30" s="21">
        <f>Data!B43</f>
        <v>0</v>
      </c>
      <c r="I30" s="21">
        <f>Data!C43</f>
        <v>0</v>
      </c>
      <c r="J30">
        <f>Data!D43</f>
        <v>0</v>
      </c>
      <c r="K30">
        <f>Data!E43</f>
        <v>0</v>
      </c>
      <c r="L30">
        <f>Data!F43</f>
        <v>0</v>
      </c>
      <c r="M30">
        <f>Data!G43</f>
        <v>0</v>
      </c>
      <c r="N30">
        <f>Data!H43</f>
        <v>0</v>
      </c>
      <c r="O30">
        <f>Data!I43</f>
        <v>0</v>
      </c>
      <c r="P30" s="21">
        <f>Data!J43</f>
        <v>0</v>
      </c>
      <c r="Q30">
        <f>Data!K43</f>
        <v>0</v>
      </c>
      <c r="R30">
        <f>Data!L43</f>
        <v>0</v>
      </c>
      <c r="S30">
        <f>Data!M43</f>
        <v>0</v>
      </c>
      <c r="T30">
        <f>Data!N43</f>
        <v>0</v>
      </c>
      <c r="U30">
        <f>Data!O43</f>
        <v>0</v>
      </c>
      <c r="V30" s="33">
        <f>Data!P43</f>
        <v>0</v>
      </c>
    </row>
    <row r="31" spans="1:22" x14ac:dyDescent="0.25">
      <c r="G31">
        <f>Data!A44</f>
        <v>0</v>
      </c>
      <c r="H31" s="21">
        <f>Data!B44</f>
        <v>0</v>
      </c>
      <c r="I31" s="21">
        <f>Data!C44</f>
        <v>0</v>
      </c>
      <c r="J31">
        <f>Data!D44</f>
        <v>0</v>
      </c>
      <c r="K31">
        <f>Data!E44</f>
        <v>0</v>
      </c>
      <c r="L31">
        <f>Data!F44</f>
        <v>0</v>
      </c>
      <c r="M31">
        <f>Data!G44</f>
        <v>0</v>
      </c>
      <c r="N31">
        <f>Data!H44</f>
        <v>0</v>
      </c>
      <c r="O31">
        <f>Data!I44</f>
        <v>0</v>
      </c>
      <c r="P31" s="21">
        <f>Data!J44</f>
        <v>0</v>
      </c>
      <c r="Q31">
        <f>Data!K44</f>
        <v>0</v>
      </c>
      <c r="R31">
        <f>Data!L44</f>
        <v>0</v>
      </c>
      <c r="S31">
        <f>Data!M44</f>
        <v>0</v>
      </c>
      <c r="T31">
        <f>Data!N44</f>
        <v>0</v>
      </c>
      <c r="U31">
        <f>Data!O44</f>
        <v>0</v>
      </c>
      <c r="V31" s="33">
        <f>Data!P44</f>
        <v>0</v>
      </c>
    </row>
    <row r="32" spans="1:22" x14ac:dyDescent="0.25">
      <c r="G32">
        <f>Data!A45</f>
        <v>0</v>
      </c>
      <c r="H32" s="21">
        <f>Data!B45</f>
        <v>0</v>
      </c>
      <c r="I32" s="21">
        <f>Data!C45</f>
        <v>0</v>
      </c>
      <c r="J32">
        <f>Data!D45</f>
        <v>0</v>
      </c>
      <c r="K32">
        <f>Data!E45</f>
        <v>0</v>
      </c>
      <c r="L32">
        <f>Data!F45</f>
        <v>0</v>
      </c>
      <c r="M32">
        <f>Data!G45</f>
        <v>0</v>
      </c>
      <c r="N32">
        <f>Data!H45</f>
        <v>0</v>
      </c>
      <c r="O32">
        <f>Data!I45</f>
        <v>0</v>
      </c>
      <c r="P32" s="21">
        <f>Data!J45</f>
        <v>0</v>
      </c>
      <c r="Q32">
        <f>Data!K45</f>
        <v>0</v>
      </c>
      <c r="R32">
        <f>Data!L45</f>
        <v>0</v>
      </c>
      <c r="S32">
        <f>Data!M45</f>
        <v>0</v>
      </c>
      <c r="T32">
        <f>Data!N45</f>
        <v>0</v>
      </c>
      <c r="U32">
        <f>Data!O45</f>
        <v>0</v>
      </c>
      <c r="V32" s="33">
        <f>Data!P45</f>
        <v>0</v>
      </c>
    </row>
    <row r="33" spans="7:22" x14ac:dyDescent="0.25">
      <c r="G33">
        <f>Data!A46</f>
        <v>0</v>
      </c>
      <c r="H33" s="21">
        <f>Data!B46</f>
        <v>0</v>
      </c>
      <c r="I33" s="21">
        <f>Data!C46</f>
        <v>0</v>
      </c>
      <c r="J33">
        <f>Data!D46</f>
        <v>0</v>
      </c>
      <c r="K33">
        <f>Data!E46</f>
        <v>0</v>
      </c>
      <c r="L33">
        <f>Data!F46</f>
        <v>0</v>
      </c>
      <c r="M33">
        <f>Data!G46</f>
        <v>0</v>
      </c>
      <c r="N33">
        <f>Data!H46</f>
        <v>0</v>
      </c>
      <c r="O33">
        <f>Data!I46</f>
        <v>0</v>
      </c>
      <c r="P33" s="21">
        <f>Data!J46</f>
        <v>0</v>
      </c>
      <c r="Q33">
        <f>Data!K46</f>
        <v>0</v>
      </c>
      <c r="R33">
        <f>Data!L46</f>
        <v>0</v>
      </c>
      <c r="S33">
        <f>Data!M46</f>
        <v>0</v>
      </c>
      <c r="T33">
        <f>Data!N46</f>
        <v>0</v>
      </c>
      <c r="U33">
        <f>Data!O46</f>
        <v>0</v>
      </c>
      <c r="V33" s="33">
        <f>Data!P46</f>
        <v>0</v>
      </c>
    </row>
    <row r="34" spans="7:22" x14ac:dyDescent="0.25">
      <c r="G34">
        <f>Data!A47</f>
        <v>0</v>
      </c>
      <c r="H34" s="21">
        <f>Data!B47</f>
        <v>0</v>
      </c>
      <c r="I34" s="21">
        <f>Data!C47</f>
        <v>0</v>
      </c>
      <c r="J34">
        <f>Data!D47</f>
        <v>0</v>
      </c>
      <c r="K34">
        <f>Data!E47</f>
        <v>0</v>
      </c>
      <c r="L34">
        <f>Data!F47</f>
        <v>0</v>
      </c>
      <c r="M34">
        <f>Data!G47</f>
        <v>0</v>
      </c>
      <c r="N34">
        <f>Data!H47</f>
        <v>0</v>
      </c>
      <c r="O34">
        <f>Data!I47</f>
        <v>0</v>
      </c>
      <c r="P34" s="21">
        <f>Data!J47</f>
        <v>0</v>
      </c>
      <c r="Q34">
        <f>Data!K47</f>
        <v>0</v>
      </c>
      <c r="R34">
        <f>Data!L47</f>
        <v>0</v>
      </c>
      <c r="S34">
        <f>Data!M47</f>
        <v>0</v>
      </c>
      <c r="T34">
        <f>Data!N47</f>
        <v>0</v>
      </c>
      <c r="U34">
        <f>Data!O47</f>
        <v>0</v>
      </c>
      <c r="V34" s="33">
        <f>Data!P47</f>
        <v>0</v>
      </c>
    </row>
    <row r="35" spans="7:22" x14ac:dyDescent="0.25">
      <c r="G35">
        <f>Data!A48</f>
        <v>0</v>
      </c>
      <c r="H35" s="21">
        <f>Data!B48</f>
        <v>0</v>
      </c>
      <c r="I35" s="21">
        <f>Data!C48</f>
        <v>0</v>
      </c>
      <c r="J35">
        <f>Data!D48</f>
        <v>0</v>
      </c>
      <c r="K35">
        <f>Data!E48</f>
        <v>0</v>
      </c>
      <c r="L35">
        <f>Data!F48</f>
        <v>0</v>
      </c>
      <c r="M35">
        <f>Data!G48</f>
        <v>0</v>
      </c>
      <c r="N35">
        <f>Data!H48</f>
        <v>0</v>
      </c>
      <c r="O35">
        <f>Data!I48</f>
        <v>0</v>
      </c>
      <c r="P35" s="21">
        <f>Data!J48</f>
        <v>0</v>
      </c>
      <c r="Q35">
        <f>Data!K48</f>
        <v>0</v>
      </c>
      <c r="R35">
        <f>Data!L48</f>
        <v>0</v>
      </c>
      <c r="S35">
        <f>Data!M48</f>
        <v>0</v>
      </c>
      <c r="T35">
        <f>Data!N48</f>
        <v>0</v>
      </c>
      <c r="U35">
        <f>Data!O48</f>
        <v>0</v>
      </c>
      <c r="V35" s="33">
        <f>Data!P48</f>
        <v>0</v>
      </c>
    </row>
    <row r="36" spans="7:22" x14ac:dyDescent="0.25">
      <c r="G36">
        <f>Data!A49</f>
        <v>0</v>
      </c>
      <c r="H36" s="21">
        <f>Data!B49</f>
        <v>0</v>
      </c>
      <c r="I36" s="21">
        <f>Data!C49</f>
        <v>0</v>
      </c>
      <c r="J36">
        <f>Data!D49</f>
        <v>0</v>
      </c>
      <c r="K36">
        <f>Data!E49</f>
        <v>0</v>
      </c>
      <c r="L36">
        <f>Data!F49</f>
        <v>0</v>
      </c>
      <c r="M36">
        <f>Data!G49</f>
        <v>0</v>
      </c>
      <c r="N36">
        <f>Data!H49</f>
        <v>0</v>
      </c>
      <c r="O36">
        <f>Data!I49</f>
        <v>0</v>
      </c>
      <c r="P36" s="21">
        <f>Data!J49</f>
        <v>0</v>
      </c>
      <c r="Q36">
        <f>Data!K49</f>
        <v>0</v>
      </c>
      <c r="R36">
        <f>Data!L49</f>
        <v>0</v>
      </c>
      <c r="S36">
        <f>Data!M49</f>
        <v>0</v>
      </c>
      <c r="T36">
        <f>Data!N49</f>
        <v>0</v>
      </c>
      <c r="U36">
        <f>Data!O49</f>
        <v>0</v>
      </c>
      <c r="V36" s="33">
        <f>Data!P49</f>
        <v>0</v>
      </c>
    </row>
    <row r="37" spans="7:22" x14ac:dyDescent="0.25">
      <c r="G37">
        <f>Data!A50</f>
        <v>0</v>
      </c>
      <c r="H37" s="21">
        <f>Data!B50</f>
        <v>0</v>
      </c>
      <c r="I37" s="21">
        <f>Data!C50</f>
        <v>0</v>
      </c>
      <c r="J37">
        <f>Data!D50</f>
        <v>0</v>
      </c>
      <c r="K37">
        <f>Data!E50</f>
        <v>0</v>
      </c>
      <c r="L37">
        <f>Data!F50</f>
        <v>0</v>
      </c>
      <c r="M37">
        <f>Data!G50</f>
        <v>0</v>
      </c>
      <c r="N37">
        <f>Data!H50</f>
        <v>0</v>
      </c>
      <c r="O37">
        <f>Data!I50</f>
        <v>0</v>
      </c>
      <c r="P37" s="21">
        <f>Data!J50</f>
        <v>0</v>
      </c>
      <c r="Q37">
        <f>Data!K50</f>
        <v>0</v>
      </c>
      <c r="R37">
        <f>Data!L50</f>
        <v>0</v>
      </c>
      <c r="S37">
        <f>Data!M50</f>
        <v>0</v>
      </c>
      <c r="T37">
        <f>Data!N50</f>
        <v>0</v>
      </c>
      <c r="U37">
        <f>Data!O50</f>
        <v>0</v>
      </c>
      <c r="V37" s="33">
        <f>Data!P50</f>
        <v>0</v>
      </c>
    </row>
    <row r="38" spans="7:22" x14ac:dyDescent="0.25">
      <c r="G38">
        <f>Data!A51</f>
        <v>0</v>
      </c>
      <c r="H38" s="21">
        <f>Data!B51</f>
        <v>0</v>
      </c>
      <c r="I38" s="21">
        <f>Data!C51</f>
        <v>0</v>
      </c>
      <c r="J38">
        <f>Data!D51</f>
        <v>0</v>
      </c>
      <c r="K38">
        <f>Data!E51</f>
        <v>0</v>
      </c>
      <c r="L38">
        <f>Data!F51</f>
        <v>0</v>
      </c>
      <c r="M38">
        <f>Data!G51</f>
        <v>0</v>
      </c>
      <c r="N38">
        <f>Data!H51</f>
        <v>0</v>
      </c>
      <c r="O38">
        <f>Data!I51</f>
        <v>0</v>
      </c>
      <c r="P38" s="21">
        <f>Data!J51</f>
        <v>0</v>
      </c>
      <c r="Q38">
        <f>Data!K51</f>
        <v>0</v>
      </c>
      <c r="R38">
        <f>Data!L51</f>
        <v>0</v>
      </c>
      <c r="S38">
        <f>Data!M51</f>
        <v>0</v>
      </c>
      <c r="T38">
        <f>Data!N51</f>
        <v>0</v>
      </c>
      <c r="U38">
        <f>Data!O51</f>
        <v>0</v>
      </c>
      <c r="V38" s="33">
        <f>Data!P51</f>
        <v>0</v>
      </c>
    </row>
    <row r="39" spans="7:22" x14ac:dyDescent="0.25">
      <c r="G39">
        <f>Data!A52</f>
        <v>0</v>
      </c>
      <c r="H39" s="21">
        <f>Data!B52</f>
        <v>0</v>
      </c>
      <c r="I39" s="21">
        <f>Data!C52</f>
        <v>0</v>
      </c>
      <c r="J39">
        <f>Data!D52</f>
        <v>0</v>
      </c>
      <c r="K39">
        <f>Data!E52</f>
        <v>0</v>
      </c>
      <c r="L39">
        <f>Data!F52</f>
        <v>0</v>
      </c>
      <c r="M39">
        <f>Data!G52</f>
        <v>0</v>
      </c>
      <c r="N39">
        <f>Data!H52</f>
        <v>0</v>
      </c>
      <c r="O39">
        <f>Data!I52</f>
        <v>0</v>
      </c>
      <c r="P39" s="21">
        <f>Data!J52</f>
        <v>0</v>
      </c>
      <c r="Q39">
        <f>Data!K52</f>
        <v>0</v>
      </c>
      <c r="R39">
        <f>Data!L52</f>
        <v>0</v>
      </c>
      <c r="S39">
        <f>Data!M52</f>
        <v>0</v>
      </c>
      <c r="T39">
        <f>Data!N52</f>
        <v>0</v>
      </c>
      <c r="U39">
        <f>Data!O52</f>
        <v>0</v>
      </c>
      <c r="V39" s="33">
        <f>Data!P52</f>
        <v>0</v>
      </c>
    </row>
    <row r="40" spans="7:22" x14ac:dyDescent="0.25">
      <c r="G40">
        <f>Data!A53</f>
        <v>0</v>
      </c>
      <c r="H40" s="21">
        <f>Data!B53</f>
        <v>0</v>
      </c>
      <c r="I40" s="21">
        <f>Data!C53</f>
        <v>0</v>
      </c>
      <c r="J40">
        <f>Data!D53</f>
        <v>0</v>
      </c>
      <c r="K40">
        <f>Data!E53</f>
        <v>0</v>
      </c>
      <c r="L40">
        <f>Data!F53</f>
        <v>0</v>
      </c>
      <c r="M40">
        <f>Data!G53</f>
        <v>0</v>
      </c>
      <c r="N40">
        <f>Data!H53</f>
        <v>0</v>
      </c>
      <c r="O40">
        <f>Data!I53</f>
        <v>0</v>
      </c>
      <c r="P40" s="21">
        <f>Data!J53</f>
        <v>0</v>
      </c>
      <c r="Q40">
        <f>Data!K53</f>
        <v>0</v>
      </c>
      <c r="R40">
        <f>Data!L53</f>
        <v>0</v>
      </c>
      <c r="S40">
        <f>Data!M53</f>
        <v>0</v>
      </c>
      <c r="T40">
        <f>Data!N53</f>
        <v>0</v>
      </c>
      <c r="U40">
        <f>Data!O53</f>
        <v>0</v>
      </c>
      <c r="V40" s="33">
        <f>Data!P53</f>
        <v>0</v>
      </c>
    </row>
    <row r="41" spans="7:22" x14ac:dyDescent="0.25">
      <c r="G41">
        <f>Data!A54</f>
        <v>0</v>
      </c>
      <c r="H41" s="21">
        <f>Data!B54</f>
        <v>0</v>
      </c>
      <c r="I41" s="21">
        <f>Data!C54</f>
        <v>0</v>
      </c>
      <c r="J41">
        <f>Data!D54</f>
        <v>0</v>
      </c>
      <c r="K41">
        <f>Data!E54</f>
        <v>0</v>
      </c>
      <c r="L41">
        <f>Data!F54</f>
        <v>0</v>
      </c>
      <c r="M41">
        <f>Data!G54</f>
        <v>0</v>
      </c>
      <c r="N41">
        <f>Data!H54</f>
        <v>0</v>
      </c>
      <c r="O41">
        <f>Data!I54</f>
        <v>0</v>
      </c>
      <c r="P41" s="21">
        <f>Data!J54</f>
        <v>0</v>
      </c>
      <c r="Q41">
        <f>Data!K54</f>
        <v>0</v>
      </c>
      <c r="R41">
        <f>Data!L54</f>
        <v>0</v>
      </c>
      <c r="S41">
        <f>Data!M54</f>
        <v>0</v>
      </c>
      <c r="T41">
        <f>Data!N54</f>
        <v>0</v>
      </c>
      <c r="U41">
        <f>Data!O54</f>
        <v>0</v>
      </c>
      <c r="V41" s="33">
        <f>Data!P54</f>
        <v>0</v>
      </c>
    </row>
    <row r="42" spans="7:22" x14ac:dyDescent="0.25">
      <c r="G42">
        <f>Data!A55</f>
        <v>0</v>
      </c>
      <c r="H42" s="21">
        <f>Data!B55</f>
        <v>0</v>
      </c>
      <c r="I42" s="21">
        <f>Data!C55</f>
        <v>0</v>
      </c>
      <c r="J42">
        <f>Data!D55</f>
        <v>0</v>
      </c>
      <c r="K42">
        <f>Data!E55</f>
        <v>0</v>
      </c>
      <c r="L42">
        <f>Data!F55</f>
        <v>0</v>
      </c>
      <c r="M42">
        <f>Data!G55</f>
        <v>0</v>
      </c>
      <c r="N42">
        <f>Data!H55</f>
        <v>0</v>
      </c>
      <c r="O42">
        <f>Data!I55</f>
        <v>0</v>
      </c>
      <c r="P42" s="21">
        <f>Data!J55</f>
        <v>0</v>
      </c>
      <c r="Q42">
        <f>Data!K55</f>
        <v>0</v>
      </c>
      <c r="R42">
        <f>Data!L55</f>
        <v>0</v>
      </c>
      <c r="S42">
        <f>Data!M55</f>
        <v>0</v>
      </c>
      <c r="T42">
        <f>Data!N55</f>
        <v>0</v>
      </c>
      <c r="U42">
        <f>Data!O55</f>
        <v>0</v>
      </c>
      <c r="V42" s="33">
        <f>Data!P55</f>
        <v>0</v>
      </c>
    </row>
    <row r="43" spans="7:22" x14ac:dyDescent="0.25">
      <c r="G43">
        <f>Data!A56</f>
        <v>0</v>
      </c>
      <c r="H43" s="21">
        <f>Data!B56</f>
        <v>0</v>
      </c>
      <c r="I43" s="21">
        <f>Data!C56</f>
        <v>0</v>
      </c>
      <c r="J43">
        <f>Data!D56</f>
        <v>0</v>
      </c>
      <c r="K43">
        <f>Data!E56</f>
        <v>0</v>
      </c>
      <c r="L43">
        <f>Data!F56</f>
        <v>0</v>
      </c>
      <c r="M43">
        <f>Data!G56</f>
        <v>0</v>
      </c>
      <c r="N43">
        <f>Data!H56</f>
        <v>0</v>
      </c>
      <c r="O43">
        <f>Data!I56</f>
        <v>0</v>
      </c>
      <c r="P43" s="21">
        <f>Data!J56</f>
        <v>0</v>
      </c>
      <c r="Q43">
        <f>Data!K56</f>
        <v>0</v>
      </c>
      <c r="R43">
        <f>Data!L56</f>
        <v>0</v>
      </c>
      <c r="S43">
        <f>Data!M56</f>
        <v>0</v>
      </c>
      <c r="T43">
        <f>Data!N56</f>
        <v>0</v>
      </c>
      <c r="U43">
        <f>Data!O56</f>
        <v>0</v>
      </c>
      <c r="V43" s="33">
        <f>Data!P56</f>
        <v>0</v>
      </c>
    </row>
    <row r="44" spans="7:22" x14ac:dyDescent="0.25">
      <c r="G44">
        <f>Data!A57</f>
        <v>0</v>
      </c>
      <c r="H44" s="21">
        <f>Data!B57</f>
        <v>0</v>
      </c>
      <c r="I44" s="21">
        <f>Data!C57</f>
        <v>0</v>
      </c>
      <c r="J44">
        <f>Data!D57</f>
        <v>0</v>
      </c>
      <c r="K44">
        <f>Data!E57</f>
        <v>0</v>
      </c>
      <c r="L44">
        <f>Data!F57</f>
        <v>0</v>
      </c>
      <c r="M44">
        <f>Data!G57</f>
        <v>0</v>
      </c>
      <c r="N44">
        <f>Data!H57</f>
        <v>0</v>
      </c>
      <c r="O44">
        <f>Data!I57</f>
        <v>0</v>
      </c>
      <c r="P44" s="21">
        <f>Data!J57</f>
        <v>0</v>
      </c>
      <c r="Q44">
        <f>Data!K57</f>
        <v>0</v>
      </c>
      <c r="R44">
        <f>Data!L57</f>
        <v>0</v>
      </c>
      <c r="S44">
        <f>Data!M57</f>
        <v>0</v>
      </c>
      <c r="T44">
        <f>Data!N57</f>
        <v>0</v>
      </c>
      <c r="U44">
        <f>Data!O57</f>
        <v>0</v>
      </c>
      <c r="V44" s="33">
        <f>Data!P57</f>
        <v>0</v>
      </c>
    </row>
    <row r="45" spans="7:22" x14ac:dyDescent="0.25">
      <c r="G45">
        <f>Data!A58</f>
        <v>0</v>
      </c>
      <c r="H45" s="21">
        <f>Data!B58</f>
        <v>0</v>
      </c>
      <c r="I45" s="21">
        <f>Data!C58</f>
        <v>0</v>
      </c>
      <c r="J45">
        <f>Data!D58</f>
        <v>0</v>
      </c>
      <c r="K45">
        <f>Data!E58</f>
        <v>0</v>
      </c>
      <c r="L45">
        <f>Data!F58</f>
        <v>0</v>
      </c>
      <c r="M45">
        <f>Data!G58</f>
        <v>0</v>
      </c>
      <c r="N45">
        <f>Data!H58</f>
        <v>0</v>
      </c>
      <c r="O45">
        <f>Data!I58</f>
        <v>0</v>
      </c>
      <c r="P45" s="21">
        <f>Data!J58</f>
        <v>0</v>
      </c>
      <c r="Q45">
        <f>Data!K58</f>
        <v>0</v>
      </c>
      <c r="R45">
        <f>Data!L58</f>
        <v>0</v>
      </c>
      <c r="S45">
        <f>Data!M58</f>
        <v>0</v>
      </c>
      <c r="T45">
        <f>Data!N58</f>
        <v>0</v>
      </c>
      <c r="U45">
        <f>Data!O58</f>
        <v>0</v>
      </c>
      <c r="V45" s="33">
        <f>Data!P58</f>
        <v>0</v>
      </c>
    </row>
    <row r="46" spans="7:22" x14ac:dyDescent="0.25">
      <c r="G46">
        <f>Data!A59</f>
        <v>0</v>
      </c>
      <c r="H46" s="21">
        <f>Data!B59</f>
        <v>0</v>
      </c>
      <c r="I46" s="21">
        <f>Data!C59</f>
        <v>0</v>
      </c>
      <c r="J46">
        <f>Data!D59</f>
        <v>0</v>
      </c>
      <c r="K46">
        <f>Data!E59</f>
        <v>0</v>
      </c>
      <c r="L46">
        <f>Data!F59</f>
        <v>0</v>
      </c>
      <c r="M46">
        <f>Data!G59</f>
        <v>0</v>
      </c>
      <c r="N46">
        <f>Data!H59</f>
        <v>0</v>
      </c>
      <c r="O46">
        <f>Data!I59</f>
        <v>0</v>
      </c>
      <c r="P46" s="21">
        <f>Data!J59</f>
        <v>0</v>
      </c>
      <c r="Q46">
        <f>Data!K59</f>
        <v>0</v>
      </c>
      <c r="R46">
        <f>Data!L59</f>
        <v>0</v>
      </c>
      <c r="S46">
        <f>Data!M59</f>
        <v>0</v>
      </c>
      <c r="T46">
        <f>Data!N59</f>
        <v>0</v>
      </c>
      <c r="U46">
        <f>Data!O59</f>
        <v>0</v>
      </c>
      <c r="V46" s="33">
        <f>Data!P59</f>
        <v>0</v>
      </c>
    </row>
    <row r="47" spans="7:22" x14ac:dyDescent="0.25">
      <c r="G47">
        <f>Data!A60</f>
        <v>0</v>
      </c>
      <c r="H47" s="21">
        <f>Data!B60</f>
        <v>0</v>
      </c>
      <c r="I47" s="21">
        <f>Data!C60</f>
        <v>0</v>
      </c>
      <c r="J47">
        <f>Data!D60</f>
        <v>0</v>
      </c>
      <c r="K47">
        <f>Data!E60</f>
        <v>0</v>
      </c>
      <c r="L47">
        <f>Data!F60</f>
        <v>0</v>
      </c>
      <c r="M47">
        <f>Data!G60</f>
        <v>0</v>
      </c>
      <c r="N47">
        <f>Data!H60</f>
        <v>0</v>
      </c>
      <c r="O47">
        <f>Data!I60</f>
        <v>0</v>
      </c>
      <c r="P47" s="21">
        <f>Data!J60</f>
        <v>0</v>
      </c>
      <c r="Q47">
        <f>Data!K60</f>
        <v>0</v>
      </c>
      <c r="R47">
        <f>Data!L60</f>
        <v>0</v>
      </c>
      <c r="S47">
        <f>Data!M60</f>
        <v>0</v>
      </c>
      <c r="T47">
        <f>Data!N60</f>
        <v>0</v>
      </c>
      <c r="U47">
        <f>Data!O60</f>
        <v>0</v>
      </c>
      <c r="V47" s="33">
        <f>Data!P60</f>
        <v>0</v>
      </c>
    </row>
    <row r="48" spans="7:22" x14ac:dyDescent="0.25">
      <c r="G48">
        <f>Data!A61</f>
        <v>0</v>
      </c>
      <c r="H48" s="21">
        <f>Data!B61</f>
        <v>0</v>
      </c>
      <c r="I48" s="21">
        <f>Data!C61</f>
        <v>0</v>
      </c>
      <c r="J48">
        <f>Data!D61</f>
        <v>0</v>
      </c>
      <c r="K48">
        <f>Data!E61</f>
        <v>0</v>
      </c>
      <c r="L48">
        <f>Data!F61</f>
        <v>0</v>
      </c>
      <c r="M48">
        <f>Data!G61</f>
        <v>0</v>
      </c>
      <c r="N48">
        <f>Data!H61</f>
        <v>0</v>
      </c>
      <c r="O48">
        <f>Data!I61</f>
        <v>0</v>
      </c>
      <c r="P48" s="21">
        <f>Data!J61</f>
        <v>0</v>
      </c>
      <c r="Q48">
        <f>Data!K61</f>
        <v>0</v>
      </c>
      <c r="R48">
        <f>Data!L61</f>
        <v>0</v>
      </c>
      <c r="S48">
        <f>Data!M61</f>
        <v>0</v>
      </c>
      <c r="T48">
        <f>Data!N61</f>
        <v>0</v>
      </c>
      <c r="U48">
        <f>Data!O61</f>
        <v>0</v>
      </c>
      <c r="V48" s="33">
        <f>Data!P61</f>
        <v>0</v>
      </c>
    </row>
    <row r="49" spans="7:22" x14ac:dyDescent="0.25">
      <c r="G49">
        <f>Data!A62</f>
        <v>0</v>
      </c>
      <c r="H49" s="21">
        <f>Data!B62</f>
        <v>0</v>
      </c>
      <c r="I49" s="21">
        <f>Data!C62</f>
        <v>0</v>
      </c>
      <c r="J49">
        <f>Data!D62</f>
        <v>0</v>
      </c>
      <c r="K49">
        <f>Data!E62</f>
        <v>0</v>
      </c>
      <c r="L49">
        <f>Data!F62</f>
        <v>0</v>
      </c>
      <c r="M49">
        <f>Data!G62</f>
        <v>0</v>
      </c>
      <c r="N49">
        <f>Data!H62</f>
        <v>0</v>
      </c>
      <c r="O49">
        <f>Data!I62</f>
        <v>0</v>
      </c>
      <c r="P49" s="21">
        <f>Data!J62</f>
        <v>0</v>
      </c>
      <c r="Q49">
        <f>Data!K62</f>
        <v>0</v>
      </c>
      <c r="R49">
        <f>Data!L62</f>
        <v>0</v>
      </c>
      <c r="S49">
        <f>Data!M62</f>
        <v>0</v>
      </c>
      <c r="T49">
        <f>Data!N62</f>
        <v>0</v>
      </c>
      <c r="U49">
        <f>Data!O62</f>
        <v>0</v>
      </c>
      <c r="V49" s="33">
        <f>Data!P62</f>
        <v>0</v>
      </c>
    </row>
    <row r="50" spans="7:22" x14ac:dyDescent="0.25">
      <c r="G50">
        <f>Data!A63</f>
        <v>0</v>
      </c>
      <c r="H50" s="21">
        <f>Data!B63</f>
        <v>0</v>
      </c>
      <c r="I50" s="21">
        <f>Data!C63</f>
        <v>0</v>
      </c>
      <c r="J50">
        <f>Data!D63</f>
        <v>0</v>
      </c>
      <c r="K50">
        <f>Data!E63</f>
        <v>0</v>
      </c>
      <c r="L50">
        <f>Data!F63</f>
        <v>0</v>
      </c>
      <c r="M50">
        <f>Data!G63</f>
        <v>0</v>
      </c>
      <c r="N50">
        <f>Data!H63</f>
        <v>0</v>
      </c>
      <c r="O50">
        <f>Data!I63</f>
        <v>0</v>
      </c>
      <c r="P50" s="21">
        <f>Data!J63</f>
        <v>0</v>
      </c>
      <c r="Q50">
        <f>Data!K63</f>
        <v>0</v>
      </c>
      <c r="R50">
        <f>Data!L63</f>
        <v>0</v>
      </c>
      <c r="S50">
        <f>Data!M63</f>
        <v>0</v>
      </c>
      <c r="T50">
        <f>Data!N63</f>
        <v>0</v>
      </c>
      <c r="U50">
        <f>Data!O63</f>
        <v>0</v>
      </c>
      <c r="V50" s="33">
        <f>Data!P63</f>
        <v>0</v>
      </c>
    </row>
    <row r="51" spans="7:22" x14ac:dyDescent="0.25">
      <c r="G51">
        <f>Data!A64</f>
        <v>0</v>
      </c>
      <c r="H51" s="21">
        <f>Data!B64</f>
        <v>0</v>
      </c>
      <c r="I51" s="21">
        <f>Data!C64</f>
        <v>0</v>
      </c>
      <c r="J51">
        <f>Data!D64</f>
        <v>0</v>
      </c>
      <c r="K51">
        <f>Data!E64</f>
        <v>0</v>
      </c>
      <c r="L51">
        <f>Data!F64</f>
        <v>0</v>
      </c>
      <c r="M51">
        <f>Data!G64</f>
        <v>0</v>
      </c>
      <c r="N51">
        <f>Data!H64</f>
        <v>0</v>
      </c>
      <c r="O51">
        <f>Data!I64</f>
        <v>0</v>
      </c>
      <c r="P51" s="21">
        <f>Data!J64</f>
        <v>0</v>
      </c>
      <c r="Q51">
        <f>Data!K64</f>
        <v>0</v>
      </c>
      <c r="R51">
        <f>Data!L64</f>
        <v>0</v>
      </c>
      <c r="S51">
        <f>Data!M64</f>
        <v>0</v>
      </c>
      <c r="T51">
        <f>Data!N64</f>
        <v>0</v>
      </c>
      <c r="U51">
        <f>Data!O64</f>
        <v>0</v>
      </c>
      <c r="V51" s="33">
        <f>Data!P64</f>
        <v>0</v>
      </c>
    </row>
    <row r="52" spans="7:22" x14ac:dyDescent="0.25">
      <c r="G52">
        <f>Data!A65</f>
        <v>0</v>
      </c>
      <c r="H52" s="21">
        <f>Data!B65</f>
        <v>0</v>
      </c>
      <c r="I52" s="21">
        <f>Data!C65</f>
        <v>0</v>
      </c>
      <c r="J52">
        <f>Data!D65</f>
        <v>0</v>
      </c>
      <c r="K52">
        <f>Data!E65</f>
        <v>0</v>
      </c>
      <c r="L52">
        <f>Data!F65</f>
        <v>0</v>
      </c>
      <c r="M52">
        <f>Data!G65</f>
        <v>0</v>
      </c>
      <c r="N52">
        <f>Data!H65</f>
        <v>0</v>
      </c>
      <c r="O52">
        <f>Data!I65</f>
        <v>0</v>
      </c>
      <c r="P52" s="21">
        <f>Data!J65</f>
        <v>0</v>
      </c>
      <c r="Q52">
        <f>Data!K65</f>
        <v>0</v>
      </c>
      <c r="R52">
        <f>Data!L65</f>
        <v>0</v>
      </c>
      <c r="S52">
        <f>Data!M65</f>
        <v>0</v>
      </c>
      <c r="T52">
        <f>Data!N65</f>
        <v>0</v>
      </c>
      <c r="U52">
        <f>Data!O65</f>
        <v>0</v>
      </c>
      <c r="V52" s="33">
        <f>Data!P65</f>
        <v>0</v>
      </c>
    </row>
    <row r="53" spans="7:22" x14ac:dyDescent="0.25">
      <c r="G53">
        <f>Data!A66</f>
        <v>0</v>
      </c>
      <c r="H53" s="21">
        <f>Data!B66</f>
        <v>0</v>
      </c>
      <c r="I53" s="21">
        <f>Data!C66</f>
        <v>0</v>
      </c>
      <c r="J53">
        <f>Data!D66</f>
        <v>0</v>
      </c>
      <c r="K53">
        <f>Data!E66</f>
        <v>0</v>
      </c>
      <c r="L53">
        <f>Data!F66</f>
        <v>0</v>
      </c>
      <c r="M53">
        <f>Data!G66</f>
        <v>0</v>
      </c>
      <c r="N53">
        <f>Data!H66</f>
        <v>0</v>
      </c>
      <c r="O53">
        <f>Data!I66</f>
        <v>0</v>
      </c>
      <c r="P53" s="21">
        <f>Data!J66</f>
        <v>0</v>
      </c>
      <c r="Q53">
        <f>Data!K66</f>
        <v>0</v>
      </c>
      <c r="R53">
        <f>Data!L66</f>
        <v>0</v>
      </c>
      <c r="S53">
        <f>Data!M66</f>
        <v>0</v>
      </c>
      <c r="T53">
        <f>Data!N66</f>
        <v>0</v>
      </c>
      <c r="U53">
        <f>Data!O66</f>
        <v>0</v>
      </c>
      <c r="V53" s="33">
        <f>Data!P66</f>
        <v>0</v>
      </c>
    </row>
    <row r="54" spans="7:22" x14ac:dyDescent="0.25">
      <c r="G54">
        <f>Data!A67</f>
        <v>0</v>
      </c>
      <c r="H54" s="21">
        <f>Data!B67</f>
        <v>0</v>
      </c>
      <c r="I54" s="21">
        <f>Data!C67</f>
        <v>0</v>
      </c>
      <c r="J54">
        <f>Data!D67</f>
        <v>0</v>
      </c>
      <c r="K54">
        <f>Data!E67</f>
        <v>0</v>
      </c>
      <c r="L54">
        <f>Data!F67</f>
        <v>0</v>
      </c>
      <c r="M54">
        <f>Data!G67</f>
        <v>0</v>
      </c>
      <c r="N54">
        <f>Data!H67</f>
        <v>0</v>
      </c>
      <c r="O54">
        <f>Data!I67</f>
        <v>0</v>
      </c>
      <c r="P54" s="21">
        <f>Data!J67</f>
        <v>0</v>
      </c>
      <c r="Q54">
        <f>Data!K67</f>
        <v>0</v>
      </c>
      <c r="R54">
        <f>Data!L67</f>
        <v>0</v>
      </c>
      <c r="S54">
        <f>Data!M67</f>
        <v>0</v>
      </c>
      <c r="T54">
        <f>Data!N67</f>
        <v>0</v>
      </c>
      <c r="U54">
        <f>Data!O67</f>
        <v>0</v>
      </c>
      <c r="V54" s="33">
        <f>Data!P67</f>
        <v>0</v>
      </c>
    </row>
    <row r="55" spans="7:22" x14ac:dyDescent="0.25">
      <c r="G55">
        <f>Data!A68</f>
        <v>0</v>
      </c>
      <c r="H55" s="21">
        <f>Data!B68</f>
        <v>0</v>
      </c>
      <c r="I55" s="21">
        <f>Data!C68</f>
        <v>0</v>
      </c>
      <c r="J55">
        <f>Data!D68</f>
        <v>0</v>
      </c>
      <c r="K55">
        <f>Data!E68</f>
        <v>0</v>
      </c>
      <c r="L55">
        <f>Data!F68</f>
        <v>0</v>
      </c>
      <c r="M55">
        <f>Data!G68</f>
        <v>0</v>
      </c>
      <c r="N55">
        <f>Data!H68</f>
        <v>0</v>
      </c>
      <c r="O55">
        <f>Data!I68</f>
        <v>0</v>
      </c>
      <c r="P55" s="21">
        <f>Data!J68</f>
        <v>0</v>
      </c>
      <c r="Q55">
        <f>Data!K68</f>
        <v>0</v>
      </c>
      <c r="R55">
        <f>Data!L68</f>
        <v>0</v>
      </c>
      <c r="S55">
        <f>Data!M68</f>
        <v>0</v>
      </c>
      <c r="T55">
        <f>Data!N68</f>
        <v>0</v>
      </c>
      <c r="U55">
        <f>Data!O68</f>
        <v>0</v>
      </c>
      <c r="V55" s="33">
        <f>Data!P68</f>
        <v>0</v>
      </c>
    </row>
    <row r="56" spans="7:22" x14ac:dyDescent="0.25">
      <c r="G56">
        <f>Data!A69</f>
        <v>0</v>
      </c>
      <c r="H56" s="21">
        <f>Data!B69</f>
        <v>0</v>
      </c>
      <c r="I56" s="21">
        <f>Data!C69</f>
        <v>0</v>
      </c>
      <c r="J56">
        <f>Data!D69</f>
        <v>0</v>
      </c>
      <c r="K56">
        <f>Data!E69</f>
        <v>0</v>
      </c>
      <c r="L56">
        <f>Data!F69</f>
        <v>0</v>
      </c>
      <c r="M56">
        <f>Data!G69</f>
        <v>0</v>
      </c>
      <c r="N56">
        <f>Data!H69</f>
        <v>0</v>
      </c>
      <c r="O56">
        <f>Data!I69</f>
        <v>0</v>
      </c>
      <c r="P56" s="21">
        <f>Data!J69</f>
        <v>0</v>
      </c>
      <c r="Q56">
        <f>Data!K69</f>
        <v>0</v>
      </c>
      <c r="R56">
        <f>Data!L69</f>
        <v>0</v>
      </c>
      <c r="S56">
        <f>Data!M69</f>
        <v>0</v>
      </c>
      <c r="T56">
        <f>Data!N69</f>
        <v>0</v>
      </c>
      <c r="U56">
        <f>Data!O69</f>
        <v>0</v>
      </c>
      <c r="V56" s="33">
        <f>Data!P69</f>
        <v>0</v>
      </c>
    </row>
    <row r="57" spans="7:22" x14ac:dyDescent="0.25">
      <c r="G57">
        <f>Data!A70</f>
        <v>0</v>
      </c>
      <c r="H57" s="21">
        <f>Data!B70</f>
        <v>0</v>
      </c>
      <c r="I57" s="21">
        <f>Data!C70</f>
        <v>0</v>
      </c>
      <c r="J57">
        <f>Data!D70</f>
        <v>0</v>
      </c>
      <c r="K57">
        <f>Data!E70</f>
        <v>0</v>
      </c>
      <c r="L57">
        <f>Data!F70</f>
        <v>0</v>
      </c>
      <c r="M57">
        <f>Data!G70</f>
        <v>0</v>
      </c>
      <c r="N57">
        <f>Data!H70</f>
        <v>0</v>
      </c>
      <c r="O57">
        <f>Data!I70</f>
        <v>0</v>
      </c>
      <c r="P57" s="21">
        <f>Data!J70</f>
        <v>0</v>
      </c>
      <c r="Q57">
        <f>Data!K70</f>
        <v>0</v>
      </c>
      <c r="R57">
        <f>Data!L70</f>
        <v>0</v>
      </c>
      <c r="S57">
        <f>Data!M70</f>
        <v>0</v>
      </c>
      <c r="T57">
        <f>Data!N70</f>
        <v>0</v>
      </c>
      <c r="U57">
        <f>Data!O70</f>
        <v>0</v>
      </c>
      <c r="V57" s="33">
        <f>Data!P70</f>
        <v>0</v>
      </c>
    </row>
    <row r="58" spans="7:22" x14ac:dyDescent="0.25">
      <c r="G58">
        <f>Data!A71</f>
        <v>0</v>
      </c>
      <c r="H58" s="21">
        <f>Data!B71</f>
        <v>0</v>
      </c>
      <c r="I58" s="21">
        <f>Data!C71</f>
        <v>0</v>
      </c>
      <c r="J58">
        <f>Data!D71</f>
        <v>0</v>
      </c>
      <c r="K58">
        <f>Data!E71</f>
        <v>0</v>
      </c>
      <c r="L58">
        <f>Data!F71</f>
        <v>0</v>
      </c>
      <c r="M58">
        <f>Data!G71</f>
        <v>0</v>
      </c>
      <c r="N58">
        <f>Data!H71</f>
        <v>0</v>
      </c>
      <c r="O58">
        <f>Data!I71</f>
        <v>0</v>
      </c>
      <c r="P58" s="21">
        <f>Data!J71</f>
        <v>0</v>
      </c>
      <c r="Q58">
        <f>Data!K71</f>
        <v>0</v>
      </c>
      <c r="R58">
        <f>Data!L71</f>
        <v>0</v>
      </c>
      <c r="S58">
        <f>Data!M71</f>
        <v>0</v>
      </c>
      <c r="T58">
        <f>Data!N71</f>
        <v>0</v>
      </c>
      <c r="U58">
        <f>Data!O71</f>
        <v>0</v>
      </c>
      <c r="V58" s="33">
        <f>Data!P71</f>
        <v>0</v>
      </c>
    </row>
    <row r="59" spans="7:22" x14ac:dyDescent="0.25">
      <c r="G59">
        <f>Data!A72</f>
        <v>0</v>
      </c>
      <c r="H59" s="21">
        <f>Data!B72</f>
        <v>0</v>
      </c>
      <c r="I59" s="21">
        <f>Data!C72</f>
        <v>0</v>
      </c>
      <c r="J59">
        <f>Data!D72</f>
        <v>0</v>
      </c>
      <c r="K59">
        <f>Data!E72</f>
        <v>0</v>
      </c>
      <c r="L59">
        <f>Data!F72</f>
        <v>0</v>
      </c>
      <c r="M59">
        <f>Data!G72</f>
        <v>0</v>
      </c>
      <c r="N59">
        <f>Data!H72</f>
        <v>0</v>
      </c>
      <c r="O59">
        <f>Data!I72</f>
        <v>0</v>
      </c>
      <c r="P59" s="21">
        <f>Data!J72</f>
        <v>0</v>
      </c>
      <c r="Q59">
        <f>Data!K72</f>
        <v>0</v>
      </c>
      <c r="R59">
        <f>Data!L72</f>
        <v>0</v>
      </c>
      <c r="S59">
        <f>Data!M72</f>
        <v>0</v>
      </c>
      <c r="T59">
        <f>Data!N72</f>
        <v>0</v>
      </c>
      <c r="U59">
        <f>Data!O72</f>
        <v>0</v>
      </c>
      <c r="V59" s="33">
        <f>Data!P72</f>
        <v>0</v>
      </c>
    </row>
    <row r="60" spans="7:22" x14ac:dyDescent="0.25">
      <c r="G60">
        <f>Data!A73</f>
        <v>0</v>
      </c>
      <c r="H60" s="21">
        <f>Data!B73</f>
        <v>0</v>
      </c>
      <c r="I60" s="21">
        <f>Data!C73</f>
        <v>0</v>
      </c>
      <c r="J60">
        <f>Data!D73</f>
        <v>0</v>
      </c>
      <c r="K60">
        <f>Data!E73</f>
        <v>0</v>
      </c>
      <c r="L60">
        <f>Data!F73</f>
        <v>0</v>
      </c>
      <c r="M60">
        <f>Data!G73</f>
        <v>0</v>
      </c>
      <c r="N60">
        <f>Data!H73</f>
        <v>0</v>
      </c>
      <c r="O60">
        <f>Data!I73</f>
        <v>0</v>
      </c>
      <c r="P60" s="21">
        <f>Data!J73</f>
        <v>0</v>
      </c>
      <c r="Q60">
        <f>Data!K73</f>
        <v>0</v>
      </c>
      <c r="R60">
        <f>Data!L73</f>
        <v>0</v>
      </c>
      <c r="S60">
        <f>Data!M73</f>
        <v>0</v>
      </c>
      <c r="T60">
        <f>Data!N73</f>
        <v>0</v>
      </c>
      <c r="U60">
        <f>Data!O73</f>
        <v>0</v>
      </c>
      <c r="V60" s="33">
        <f>Data!P73</f>
        <v>0</v>
      </c>
    </row>
    <row r="61" spans="7:22" x14ac:dyDescent="0.25">
      <c r="G61">
        <f>Data!A74</f>
        <v>0</v>
      </c>
      <c r="H61" s="21">
        <f>Data!B74</f>
        <v>0</v>
      </c>
      <c r="I61" s="21">
        <f>Data!C74</f>
        <v>0</v>
      </c>
      <c r="J61">
        <f>Data!D74</f>
        <v>0</v>
      </c>
      <c r="K61">
        <f>Data!E74</f>
        <v>0</v>
      </c>
      <c r="L61">
        <f>Data!F74</f>
        <v>0</v>
      </c>
      <c r="M61">
        <f>Data!G74</f>
        <v>0</v>
      </c>
      <c r="N61">
        <f>Data!H74</f>
        <v>0</v>
      </c>
      <c r="O61">
        <f>Data!I74</f>
        <v>0</v>
      </c>
      <c r="P61" s="21">
        <f>Data!J74</f>
        <v>0</v>
      </c>
      <c r="Q61">
        <f>Data!K74</f>
        <v>0</v>
      </c>
      <c r="R61">
        <f>Data!L74</f>
        <v>0</v>
      </c>
      <c r="S61">
        <f>Data!M74</f>
        <v>0</v>
      </c>
      <c r="T61">
        <f>Data!N74</f>
        <v>0</v>
      </c>
      <c r="U61">
        <f>Data!O74</f>
        <v>0</v>
      </c>
      <c r="V61" s="33">
        <f>Data!P74</f>
        <v>0</v>
      </c>
    </row>
    <row r="62" spans="7:22" x14ac:dyDescent="0.25">
      <c r="G62">
        <f>Data!A75</f>
        <v>0</v>
      </c>
      <c r="H62" s="21">
        <f>Data!B75</f>
        <v>0</v>
      </c>
      <c r="I62" s="21">
        <f>Data!C75</f>
        <v>0</v>
      </c>
      <c r="J62">
        <f>Data!D75</f>
        <v>0</v>
      </c>
      <c r="K62">
        <f>Data!E75</f>
        <v>0</v>
      </c>
      <c r="L62">
        <f>Data!F75</f>
        <v>0</v>
      </c>
      <c r="M62">
        <f>Data!G75</f>
        <v>0</v>
      </c>
      <c r="N62">
        <f>Data!H75</f>
        <v>0</v>
      </c>
      <c r="O62">
        <f>Data!I75</f>
        <v>0</v>
      </c>
      <c r="P62" s="21">
        <f>Data!J75</f>
        <v>0</v>
      </c>
      <c r="Q62">
        <f>Data!K75</f>
        <v>0</v>
      </c>
      <c r="R62">
        <f>Data!L75</f>
        <v>0</v>
      </c>
      <c r="S62">
        <f>Data!M75</f>
        <v>0</v>
      </c>
      <c r="T62">
        <f>Data!N75</f>
        <v>0</v>
      </c>
      <c r="U62">
        <f>Data!O75</f>
        <v>0</v>
      </c>
      <c r="V62" s="33">
        <f>Data!P75</f>
        <v>0</v>
      </c>
    </row>
    <row r="63" spans="7:22" x14ac:dyDescent="0.25">
      <c r="G63">
        <f>Data!A76</f>
        <v>0</v>
      </c>
      <c r="H63" s="21">
        <f>Data!B76</f>
        <v>0</v>
      </c>
      <c r="I63" s="21">
        <f>Data!C76</f>
        <v>0</v>
      </c>
      <c r="J63">
        <f>Data!D76</f>
        <v>0</v>
      </c>
      <c r="K63">
        <f>Data!E76</f>
        <v>0</v>
      </c>
      <c r="L63">
        <f>Data!F76</f>
        <v>0</v>
      </c>
      <c r="M63">
        <f>Data!G76</f>
        <v>0</v>
      </c>
      <c r="N63">
        <f>Data!H76</f>
        <v>0</v>
      </c>
      <c r="O63">
        <f>Data!I76</f>
        <v>0</v>
      </c>
      <c r="P63" s="21">
        <f>Data!J76</f>
        <v>0</v>
      </c>
      <c r="Q63">
        <f>Data!K76</f>
        <v>0</v>
      </c>
      <c r="R63">
        <f>Data!L76</f>
        <v>0</v>
      </c>
      <c r="S63">
        <f>Data!M76</f>
        <v>0</v>
      </c>
      <c r="T63">
        <f>Data!N76</f>
        <v>0</v>
      </c>
      <c r="U63">
        <f>Data!O76</f>
        <v>0</v>
      </c>
      <c r="V63" s="33">
        <f>Data!P76</f>
        <v>0</v>
      </c>
    </row>
    <row r="64" spans="7:22" x14ac:dyDescent="0.25">
      <c r="G64">
        <f>Data!A77</f>
        <v>0</v>
      </c>
      <c r="H64" s="21">
        <f>Data!B77</f>
        <v>0</v>
      </c>
      <c r="I64" s="21">
        <f>Data!C77</f>
        <v>0</v>
      </c>
      <c r="J64">
        <f>Data!D77</f>
        <v>0</v>
      </c>
      <c r="K64">
        <f>Data!E77</f>
        <v>0</v>
      </c>
      <c r="L64">
        <f>Data!F77</f>
        <v>0</v>
      </c>
      <c r="M64">
        <f>Data!G77</f>
        <v>0</v>
      </c>
      <c r="N64">
        <f>Data!H77</f>
        <v>0</v>
      </c>
      <c r="O64">
        <f>Data!I77</f>
        <v>0</v>
      </c>
      <c r="P64" s="21">
        <f>Data!J77</f>
        <v>0</v>
      </c>
      <c r="Q64">
        <f>Data!K77</f>
        <v>0</v>
      </c>
      <c r="R64">
        <f>Data!L77</f>
        <v>0</v>
      </c>
      <c r="S64">
        <f>Data!M77</f>
        <v>0</v>
      </c>
      <c r="T64">
        <f>Data!N77</f>
        <v>0</v>
      </c>
      <c r="U64">
        <f>Data!O77</f>
        <v>0</v>
      </c>
      <c r="V64" s="33">
        <f>Data!P77</f>
        <v>0</v>
      </c>
    </row>
    <row r="65" spans="7:22" x14ac:dyDescent="0.25">
      <c r="G65">
        <f>Data!A78</f>
        <v>0</v>
      </c>
      <c r="H65" s="21">
        <f>Data!B78</f>
        <v>0</v>
      </c>
      <c r="I65" s="21">
        <f>Data!C78</f>
        <v>0</v>
      </c>
      <c r="J65">
        <f>Data!D78</f>
        <v>0</v>
      </c>
      <c r="K65">
        <f>Data!E78</f>
        <v>0</v>
      </c>
      <c r="L65">
        <f>Data!F78</f>
        <v>0</v>
      </c>
      <c r="M65">
        <f>Data!G78</f>
        <v>0</v>
      </c>
      <c r="N65">
        <f>Data!H78</f>
        <v>0</v>
      </c>
      <c r="O65">
        <f>Data!I78</f>
        <v>0</v>
      </c>
      <c r="P65" s="21">
        <f>Data!J78</f>
        <v>0</v>
      </c>
      <c r="Q65">
        <f>Data!K78</f>
        <v>0</v>
      </c>
      <c r="R65">
        <f>Data!L78</f>
        <v>0</v>
      </c>
      <c r="S65">
        <f>Data!M78</f>
        <v>0</v>
      </c>
      <c r="T65">
        <f>Data!N78</f>
        <v>0</v>
      </c>
      <c r="U65">
        <f>Data!O78</f>
        <v>0</v>
      </c>
      <c r="V65" s="33">
        <f>Data!P78</f>
        <v>0</v>
      </c>
    </row>
    <row r="66" spans="7:22" x14ac:dyDescent="0.25">
      <c r="G66">
        <f>Data!A79</f>
        <v>0</v>
      </c>
      <c r="H66" s="21">
        <f>Data!B79</f>
        <v>0</v>
      </c>
      <c r="I66" s="21">
        <f>Data!C79</f>
        <v>0</v>
      </c>
      <c r="J66">
        <f>Data!D79</f>
        <v>0</v>
      </c>
      <c r="K66">
        <f>Data!E79</f>
        <v>0</v>
      </c>
      <c r="L66">
        <f>Data!F79</f>
        <v>0</v>
      </c>
      <c r="M66">
        <f>Data!G79</f>
        <v>0</v>
      </c>
      <c r="N66">
        <f>Data!H79</f>
        <v>0</v>
      </c>
      <c r="O66">
        <f>Data!I79</f>
        <v>0</v>
      </c>
      <c r="P66" s="21">
        <f>Data!J79</f>
        <v>0</v>
      </c>
      <c r="Q66">
        <f>Data!K79</f>
        <v>0</v>
      </c>
      <c r="R66">
        <f>Data!L79</f>
        <v>0</v>
      </c>
      <c r="S66">
        <f>Data!M79</f>
        <v>0</v>
      </c>
      <c r="T66">
        <f>Data!N79</f>
        <v>0</v>
      </c>
      <c r="U66">
        <f>Data!O79</f>
        <v>0</v>
      </c>
      <c r="V66" s="33">
        <f>Data!P79</f>
        <v>0</v>
      </c>
    </row>
    <row r="67" spans="7:22" x14ac:dyDescent="0.25">
      <c r="G67">
        <f>Data!A80</f>
        <v>0</v>
      </c>
      <c r="H67" s="21">
        <f>Data!B80</f>
        <v>0</v>
      </c>
      <c r="I67" s="21">
        <f>Data!C80</f>
        <v>0</v>
      </c>
      <c r="J67">
        <f>Data!D80</f>
        <v>0</v>
      </c>
      <c r="K67">
        <f>Data!E80</f>
        <v>0</v>
      </c>
      <c r="L67">
        <f>Data!F80</f>
        <v>0</v>
      </c>
      <c r="M67">
        <f>Data!G80</f>
        <v>0</v>
      </c>
      <c r="N67">
        <f>Data!H80</f>
        <v>0</v>
      </c>
      <c r="O67">
        <f>Data!I80</f>
        <v>0</v>
      </c>
      <c r="P67" s="21">
        <f>Data!J80</f>
        <v>0</v>
      </c>
      <c r="Q67">
        <f>Data!K80</f>
        <v>0</v>
      </c>
      <c r="R67">
        <f>Data!L80</f>
        <v>0</v>
      </c>
      <c r="S67">
        <f>Data!M80</f>
        <v>0</v>
      </c>
      <c r="T67">
        <f>Data!N80</f>
        <v>0</v>
      </c>
      <c r="U67">
        <f>Data!O80</f>
        <v>0</v>
      </c>
      <c r="V67" s="33">
        <f>Data!P80</f>
        <v>0</v>
      </c>
    </row>
    <row r="68" spans="7:22" x14ac:dyDescent="0.25">
      <c r="G68">
        <f>Data!A81</f>
        <v>0</v>
      </c>
      <c r="H68" s="21">
        <f>Data!B81</f>
        <v>0</v>
      </c>
      <c r="I68" s="21">
        <f>Data!C81</f>
        <v>0</v>
      </c>
      <c r="J68">
        <f>Data!D81</f>
        <v>0</v>
      </c>
      <c r="K68">
        <f>Data!E81</f>
        <v>0</v>
      </c>
      <c r="L68">
        <f>Data!F81</f>
        <v>0</v>
      </c>
      <c r="M68">
        <f>Data!G81</f>
        <v>0</v>
      </c>
      <c r="N68">
        <f>Data!H81</f>
        <v>0</v>
      </c>
      <c r="O68">
        <f>Data!I81</f>
        <v>0</v>
      </c>
      <c r="P68" s="21">
        <f>Data!J81</f>
        <v>0</v>
      </c>
      <c r="Q68">
        <f>Data!K81</f>
        <v>0</v>
      </c>
      <c r="R68">
        <f>Data!L81</f>
        <v>0</v>
      </c>
      <c r="S68">
        <f>Data!M81</f>
        <v>0</v>
      </c>
      <c r="T68">
        <f>Data!N81</f>
        <v>0</v>
      </c>
      <c r="U68">
        <f>Data!O81</f>
        <v>0</v>
      </c>
      <c r="V68" s="33">
        <f>Data!P81</f>
        <v>0</v>
      </c>
    </row>
    <row r="69" spans="7:22" x14ac:dyDescent="0.25">
      <c r="G69">
        <f>Data!A82</f>
        <v>0</v>
      </c>
      <c r="H69" s="21">
        <f>Data!B82</f>
        <v>0</v>
      </c>
      <c r="I69" s="21">
        <f>Data!C82</f>
        <v>0</v>
      </c>
      <c r="J69">
        <f>Data!D82</f>
        <v>0</v>
      </c>
      <c r="K69">
        <f>Data!E82</f>
        <v>0</v>
      </c>
      <c r="L69">
        <f>Data!F82</f>
        <v>0</v>
      </c>
      <c r="M69">
        <f>Data!G82</f>
        <v>0</v>
      </c>
      <c r="N69">
        <f>Data!H82</f>
        <v>0</v>
      </c>
      <c r="O69">
        <f>Data!I82</f>
        <v>0</v>
      </c>
      <c r="P69" s="21">
        <f>Data!J82</f>
        <v>0</v>
      </c>
      <c r="Q69">
        <f>Data!K82</f>
        <v>0</v>
      </c>
      <c r="R69">
        <f>Data!L82</f>
        <v>0</v>
      </c>
      <c r="S69">
        <f>Data!M82</f>
        <v>0</v>
      </c>
      <c r="T69">
        <f>Data!N82</f>
        <v>0</v>
      </c>
      <c r="U69">
        <f>Data!O82</f>
        <v>0</v>
      </c>
      <c r="V69" s="33">
        <f>Data!P82</f>
        <v>0</v>
      </c>
    </row>
    <row r="70" spans="7:22" x14ac:dyDescent="0.25">
      <c r="G70">
        <f>Data!A83</f>
        <v>0</v>
      </c>
      <c r="H70" s="21">
        <f>Data!B83</f>
        <v>0</v>
      </c>
      <c r="I70" s="21">
        <f>Data!C83</f>
        <v>0</v>
      </c>
      <c r="J70">
        <f>Data!D83</f>
        <v>0</v>
      </c>
      <c r="K70">
        <f>Data!E83</f>
        <v>0</v>
      </c>
      <c r="L70">
        <f>Data!F83</f>
        <v>0</v>
      </c>
      <c r="M70">
        <f>Data!G83</f>
        <v>0</v>
      </c>
      <c r="N70">
        <f>Data!H83</f>
        <v>0</v>
      </c>
      <c r="O70">
        <f>Data!I83</f>
        <v>0</v>
      </c>
      <c r="P70" s="21">
        <f>Data!J83</f>
        <v>0</v>
      </c>
      <c r="Q70">
        <f>Data!K83</f>
        <v>0</v>
      </c>
      <c r="R70">
        <f>Data!L83</f>
        <v>0</v>
      </c>
      <c r="S70">
        <f>Data!M83</f>
        <v>0</v>
      </c>
      <c r="T70">
        <f>Data!N83</f>
        <v>0</v>
      </c>
      <c r="U70">
        <f>Data!O83</f>
        <v>0</v>
      </c>
      <c r="V70" s="33">
        <f>Data!P83</f>
        <v>0</v>
      </c>
    </row>
    <row r="71" spans="7:22" x14ac:dyDescent="0.25">
      <c r="G71">
        <f>Data!A84</f>
        <v>0</v>
      </c>
      <c r="H71" s="21">
        <f>Data!B84</f>
        <v>0</v>
      </c>
      <c r="I71" s="21">
        <f>Data!C84</f>
        <v>0</v>
      </c>
      <c r="J71">
        <f>Data!D84</f>
        <v>0</v>
      </c>
      <c r="K71">
        <f>Data!E84</f>
        <v>0</v>
      </c>
      <c r="L71">
        <f>Data!F84</f>
        <v>0</v>
      </c>
      <c r="M71">
        <f>Data!G84</f>
        <v>0</v>
      </c>
      <c r="N71">
        <f>Data!H84</f>
        <v>0</v>
      </c>
      <c r="O71">
        <f>Data!I84</f>
        <v>0</v>
      </c>
      <c r="P71" s="21">
        <f>Data!J84</f>
        <v>0</v>
      </c>
      <c r="Q71">
        <f>Data!K84</f>
        <v>0</v>
      </c>
      <c r="R71">
        <f>Data!L84</f>
        <v>0</v>
      </c>
      <c r="S71">
        <f>Data!M84</f>
        <v>0</v>
      </c>
      <c r="T71">
        <f>Data!N84</f>
        <v>0</v>
      </c>
      <c r="U71">
        <f>Data!O84</f>
        <v>0</v>
      </c>
      <c r="V71" s="33">
        <f>Data!P84</f>
        <v>0</v>
      </c>
    </row>
    <row r="72" spans="7:22" x14ac:dyDescent="0.25">
      <c r="G72">
        <f>Data!A85</f>
        <v>0</v>
      </c>
      <c r="H72" s="21">
        <f>Data!B85</f>
        <v>0</v>
      </c>
      <c r="I72" s="21">
        <f>Data!C85</f>
        <v>0</v>
      </c>
      <c r="J72">
        <f>Data!D85</f>
        <v>0</v>
      </c>
      <c r="K72">
        <f>Data!E85</f>
        <v>0</v>
      </c>
      <c r="L72">
        <f>Data!F85</f>
        <v>0</v>
      </c>
      <c r="M72">
        <f>Data!G85</f>
        <v>0</v>
      </c>
      <c r="N72">
        <f>Data!H85</f>
        <v>0</v>
      </c>
      <c r="O72">
        <f>Data!I85</f>
        <v>0</v>
      </c>
      <c r="P72" s="21">
        <f>Data!J85</f>
        <v>0</v>
      </c>
      <c r="Q72">
        <f>Data!K85</f>
        <v>0</v>
      </c>
      <c r="R72">
        <f>Data!L85</f>
        <v>0</v>
      </c>
      <c r="S72">
        <f>Data!M85</f>
        <v>0</v>
      </c>
      <c r="T72">
        <f>Data!N85</f>
        <v>0</v>
      </c>
      <c r="U72">
        <f>Data!O85</f>
        <v>0</v>
      </c>
      <c r="V72" s="33">
        <f>Data!P85</f>
        <v>0</v>
      </c>
    </row>
    <row r="73" spans="7:22" x14ac:dyDescent="0.25">
      <c r="G73">
        <f>Data!A86</f>
        <v>0</v>
      </c>
      <c r="H73" s="21">
        <f>Data!B86</f>
        <v>0</v>
      </c>
      <c r="I73" s="21">
        <f>Data!C86</f>
        <v>0</v>
      </c>
      <c r="J73">
        <f>Data!D86</f>
        <v>0</v>
      </c>
      <c r="K73">
        <f>Data!E86</f>
        <v>0</v>
      </c>
      <c r="L73">
        <f>Data!F86</f>
        <v>0</v>
      </c>
      <c r="M73">
        <f>Data!G86</f>
        <v>0</v>
      </c>
      <c r="N73">
        <f>Data!H86</f>
        <v>0</v>
      </c>
      <c r="O73">
        <f>Data!I86</f>
        <v>0</v>
      </c>
      <c r="P73" s="21">
        <f>Data!J86</f>
        <v>0</v>
      </c>
      <c r="Q73">
        <f>Data!K86</f>
        <v>0</v>
      </c>
      <c r="R73">
        <f>Data!L86</f>
        <v>0</v>
      </c>
      <c r="S73">
        <f>Data!M86</f>
        <v>0</v>
      </c>
      <c r="T73">
        <f>Data!N86</f>
        <v>0</v>
      </c>
      <c r="U73">
        <f>Data!O86</f>
        <v>0</v>
      </c>
      <c r="V73" s="33">
        <f>Data!P86</f>
        <v>0</v>
      </c>
    </row>
    <row r="74" spans="7:22" x14ac:dyDescent="0.25">
      <c r="G74">
        <f>Data!A87</f>
        <v>0</v>
      </c>
      <c r="H74" s="21">
        <f>Data!B87</f>
        <v>0</v>
      </c>
      <c r="I74" s="21">
        <f>Data!C87</f>
        <v>0</v>
      </c>
      <c r="J74">
        <f>Data!D87</f>
        <v>0</v>
      </c>
      <c r="K74">
        <f>Data!E87</f>
        <v>0</v>
      </c>
      <c r="L74">
        <f>Data!F87</f>
        <v>0</v>
      </c>
      <c r="M74">
        <f>Data!G87</f>
        <v>0</v>
      </c>
      <c r="N74">
        <f>Data!H87</f>
        <v>0</v>
      </c>
      <c r="O74">
        <f>Data!I87</f>
        <v>0</v>
      </c>
      <c r="P74" s="21">
        <f>Data!J87</f>
        <v>0</v>
      </c>
      <c r="Q74">
        <f>Data!K87</f>
        <v>0</v>
      </c>
      <c r="R74">
        <f>Data!L87</f>
        <v>0</v>
      </c>
      <c r="S74">
        <f>Data!M87</f>
        <v>0</v>
      </c>
      <c r="T74">
        <f>Data!N87</f>
        <v>0</v>
      </c>
      <c r="U74">
        <f>Data!O87</f>
        <v>0</v>
      </c>
      <c r="V74" s="33">
        <f>Data!P87</f>
        <v>0</v>
      </c>
    </row>
    <row r="75" spans="7:22" x14ac:dyDescent="0.25">
      <c r="G75">
        <f>Data!A88</f>
        <v>0</v>
      </c>
      <c r="H75" s="21">
        <f>Data!B88</f>
        <v>0</v>
      </c>
      <c r="I75" s="21">
        <f>Data!C88</f>
        <v>0</v>
      </c>
      <c r="J75">
        <f>Data!D88</f>
        <v>0</v>
      </c>
      <c r="K75">
        <f>Data!E88</f>
        <v>0</v>
      </c>
      <c r="L75">
        <f>Data!F88</f>
        <v>0</v>
      </c>
      <c r="M75">
        <f>Data!G88</f>
        <v>0</v>
      </c>
      <c r="N75">
        <f>Data!H88</f>
        <v>0</v>
      </c>
      <c r="O75">
        <f>Data!I88</f>
        <v>0</v>
      </c>
      <c r="P75" s="21">
        <f>Data!J88</f>
        <v>0</v>
      </c>
      <c r="Q75">
        <f>Data!K88</f>
        <v>0</v>
      </c>
      <c r="R75">
        <f>Data!L88</f>
        <v>0</v>
      </c>
      <c r="S75">
        <f>Data!M88</f>
        <v>0</v>
      </c>
      <c r="T75">
        <f>Data!N88</f>
        <v>0</v>
      </c>
      <c r="U75">
        <f>Data!O88</f>
        <v>0</v>
      </c>
      <c r="V75" s="33">
        <f>Data!P88</f>
        <v>0</v>
      </c>
    </row>
    <row r="76" spans="7:22" x14ac:dyDescent="0.25">
      <c r="G76">
        <f>Data!A89</f>
        <v>0</v>
      </c>
      <c r="H76" s="21">
        <f>Data!B89</f>
        <v>0</v>
      </c>
      <c r="I76" s="21">
        <f>Data!C89</f>
        <v>0</v>
      </c>
      <c r="J76">
        <f>Data!D89</f>
        <v>0</v>
      </c>
      <c r="K76">
        <f>Data!E89</f>
        <v>0</v>
      </c>
      <c r="L76">
        <f>Data!F89</f>
        <v>0</v>
      </c>
      <c r="M76">
        <f>Data!G89</f>
        <v>0</v>
      </c>
      <c r="N76">
        <f>Data!H89</f>
        <v>0</v>
      </c>
      <c r="O76">
        <f>Data!I89</f>
        <v>0</v>
      </c>
      <c r="P76" s="21">
        <f>Data!J89</f>
        <v>0</v>
      </c>
      <c r="Q76">
        <f>Data!K89</f>
        <v>0</v>
      </c>
      <c r="R76">
        <f>Data!L89</f>
        <v>0</v>
      </c>
      <c r="S76">
        <f>Data!M89</f>
        <v>0</v>
      </c>
      <c r="T76">
        <f>Data!N89</f>
        <v>0</v>
      </c>
      <c r="U76">
        <f>Data!O89</f>
        <v>0</v>
      </c>
      <c r="V76" s="33">
        <f>Data!P89</f>
        <v>0</v>
      </c>
    </row>
    <row r="77" spans="7:22" x14ac:dyDescent="0.25">
      <c r="G77">
        <f>Data!A90</f>
        <v>0</v>
      </c>
      <c r="H77" s="21">
        <f>Data!B90</f>
        <v>0</v>
      </c>
      <c r="I77" s="21">
        <f>Data!C90</f>
        <v>0</v>
      </c>
      <c r="J77">
        <f>Data!D90</f>
        <v>0</v>
      </c>
      <c r="K77">
        <f>Data!E90</f>
        <v>0</v>
      </c>
      <c r="L77">
        <f>Data!F90</f>
        <v>0</v>
      </c>
      <c r="M77">
        <f>Data!G90</f>
        <v>0</v>
      </c>
      <c r="N77">
        <f>Data!H90</f>
        <v>0</v>
      </c>
      <c r="O77">
        <f>Data!I90</f>
        <v>0</v>
      </c>
      <c r="P77" s="21">
        <f>Data!J90</f>
        <v>0</v>
      </c>
      <c r="Q77">
        <f>Data!K90</f>
        <v>0</v>
      </c>
      <c r="R77">
        <f>Data!L90</f>
        <v>0</v>
      </c>
      <c r="S77">
        <f>Data!M90</f>
        <v>0</v>
      </c>
      <c r="T77">
        <f>Data!N90</f>
        <v>0</v>
      </c>
      <c r="U77">
        <f>Data!O90</f>
        <v>0</v>
      </c>
      <c r="V77" s="33">
        <f>Data!P90</f>
        <v>0</v>
      </c>
    </row>
    <row r="78" spans="7:22" x14ac:dyDescent="0.25">
      <c r="G78">
        <f>Data!A91</f>
        <v>0</v>
      </c>
      <c r="H78" s="21">
        <f>Data!B91</f>
        <v>0</v>
      </c>
      <c r="I78" s="21">
        <f>Data!C91</f>
        <v>0</v>
      </c>
      <c r="J78">
        <f>Data!D91</f>
        <v>0</v>
      </c>
      <c r="K78">
        <f>Data!E91</f>
        <v>0</v>
      </c>
      <c r="L78">
        <f>Data!F91</f>
        <v>0</v>
      </c>
      <c r="M78">
        <f>Data!G91</f>
        <v>0</v>
      </c>
      <c r="N78">
        <f>Data!H91</f>
        <v>0</v>
      </c>
      <c r="O78">
        <f>Data!I91</f>
        <v>0</v>
      </c>
      <c r="P78" s="21">
        <f>Data!J91</f>
        <v>0</v>
      </c>
      <c r="Q78">
        <f>Data!K91</f>
        <v>0</v>
      </c>
      <c r="R78">
        <f>Data!L91</f>
        <v>0</v>
      </c>
      <c r="S78">
        <f>Data!M91</f>
        <v>0</v>
      </c>
      <c r="T78">
        <f>Data!N91</f>
        <v>0</v>
      </c>
      <c r="U78">
        <f>Data!O91</f>
        <v>0</v>
      </c>
      <c r="V78" s="33">
        <f>Data!P91</f>
        <v>0</v>
      </c>
    </row>
    <row r="79" spans="7:22" x14ac:dyDescent="0.25">
      <c r="G79">
        <f>Data!A92</f>
        <v>0</v>
      </c>
      <c r="H79" s="21">
        <f>Data!B92</f>
        <v>0</v>
      </c>
      <c r="I79" s="21">
        <f>Data!C92</f>
        <v>0</v>
      </c>
      <c r="J79">
        <f>Data!D92</f>
        <v>0</v>
      </c>
      <c r="K79">
        <f>Data!E92</f>
        <v>0</v>
      </c>
      <c r="L79">
        <f>Data!F92</f>
        <v>0</v>
      </c>
      <c r="M79">
        <f>Data!G92</f>
        <v>0</v>
      </c>
      <c r="N79">
        <f>Data!H92</f>
        <v>0</v>
      </c>
      <c r="O79">
        <f>Data!I92</f>
        <v>0</v>
      </c>
      <c r="P79" s="21">
        <f>Data!J92</f>
        <v>0</v>
      </c>
      <c r="Q79">
        <f>Data!K92</f>
        <v>0</v>
      </c>
      <c r="R79">
        <f>Data!L92</f>
        <v>0</v>
      </c>
      <c r="S79">
        <f>Data!M92</f>
        <v>0</v>
      </c>
      <c r="T79">
        <f>Data!N92</f>
        <v>0</v>
      </c>
      <c r="U79">
        <f>Data!O92</f>
        <v>0</v>
      </c>
      <c r="V79" s="33">
        <f>Data!P92</f>
        <v>0</v>
      </c>
    </row>
    <row r="80" spans="7:22" x14ac:dyDescent="0.25">
      <c r="G80">
        <f>Data!A93</f>
        <v>0</v>
      </c>
      <c r="H80" s="21">
        <f>Data!B93</f>
        <v>0</v>
      </c>
      <c r="I80" s="21">
        <f>Data!C93</f>
        <v>0</v>
      </c>
      <c r="J80">
        <f>Data!D93</f>
        <v>0</v>
      </c>
      <c r="K80">
        <f>Data!E93</f>
        <v>0</v>
      </c>
      <c r="L80">
        <f>Data!F93</f>
        <v>0</v>
      </c>
      <c r="M80">
        <f>Data!G93</f>
        <v>0</v>
      </c>
      <c r="N80">
        <f>Data!H93</f>
        <v>0</v>
      </c>
      <c r="O80">
        <f>Data!I93</f>
        <v>0</v>
      </c>
      <c r="P80" s="21">
        <f>Data!J93</f>
        <v>0</v>
      </c>
      <c r="Q80">
        <f>Data!K93</f>
        <v>0</v>
      </c>
      <c r="R80">
        <f>Data!L93</f>
        <v>0</v>
      </c>
      <c r="S80">
        <f>Data!M93</f>
        <v>0</v>
      </c>
      <c r="T80">
        <f>Data!N93</f>
        <v>0</v>
      </c>
      <c r="U80">
        <f>Data!O93</f>
        <v>0</v>
      </c>
      <c r="V80" s="33">
        <f>Data!P93</f>
        <v>0</v>
      </c>
    </row>
    <row r="81" spans="7:22" x14ac:dyDescent="0.25">
      <c r="G81">
        <f>Data!A94</f>
        <v>0</v>
      </c>
      <c r="H81" s="21">
        <f>Data!B94</f>
        <v>0</v>
      </c>
      <c r="I81" s="21">
        <f>Data!C94</f>
        <v>0</v>
      </c>
      <c r="J81">
        <f>Data!D94</f>
        <v>0</v>
      </c>
      <c r="K81">
        <f>Data!E94</f>
        <v>0</v>
      </c>
      <c r="L81">
        <f>Data!F94</f>
        <v>0</v>
      </c>
      <c r="M81">
        <f>Data!G94</f>
        <v>0</v>
      </c>
      <c r="N81">
        <f>Data!H94</f>
        <v>0</v>
      </c>
      <c r="O81">
        <f>Data!I94</f>
        <v>0</v>
      </c>
      <c r="P81" s="21">
        <f>Data!J94</f>
        <v>0</v>
      </c>
      <c r="Q81">
        <f>Data!K94</f>
        <v>0</v>
      </c>
      <c r="R81">
        <f>Data!L94</f>
        <v>0</v>
      </c>
      <c r="S81">
        <f>Data!M94</f>
        <v>0</v>
      </c>
      <c r="T81">
        <f>Data!N94</f>
        <v>0</v>
      </c>
      <c r="U81">
        <f>Data!O94</f>
        <v>0</v>
      </c>
      <c r="V81" s="33">
        <f>Data!P94</f>
        <v>0</v>
      </c>
    </row>
    <row r="82" spans="7:22" x14ac:dyDescent="0.25">
      <c r="G82">
        <f>Data!A95</f>
        <v>0</v>
      </c>
      <c r="H82" s="21">
        <f>Data!B95</f>
        <v>0</v>
      </c>
      <c r="I82" s="21">
        <f>Data!C95</f>
        <v>0</v>
      </c>
      <c r="J82">
        <f>Data!D95</f>
        <v>0</v>
      </c>
      <c r="K82">
        <f>Data!E95</f>
        <v>0</v>
      </c>
      <c r="L82">
        <f>Data!F95</f>
        <v>0</v>
      </c>
      <c r="M82">
        <f>Data!G95</f>
        <v>0</v>
      </c>
      <c r="N82">
        <f>Data!H95</f>
        <v>0</v>
      </c>
      <c r="O82">
        <f>Data!I95</f>
        <v>0</v>
      </c>
      <c r="P82" s="21">
        <f>Data!J95</f>
        <v>0</v>
      </c>
      <c r="Q82">
        <f>Data!K95</f>
        <v>0</v>
      </c>
      <c r="R82">
        <f>Data!L95</f>
        <v>0</v>
      </c>
      <c r="S82">
        <f>Data!M95</f>
        <v>0</v>
      </c>
      <c r="T82">
        <f>Data!N95</f>
        <v>0</v>
      </c>
      <c r="U82">
        <f>Data!O95</f>
        <v>0</v>
      </c>
      <c r="V82" s="33">
        <f>Data!P95</f>
        <v>0</v>
      </c>
    </row>
    <row r="83" spans="7:22" x14ac:dyDescent="0.25">
      <c r="G83">
        <f>Data!A96</f>
        <v>0</v>
      </c>
      <c r="H83" s="21">
        <f>Data!B96</f>
        <v>0</v>
      </c>
      <c r="I83" s="21">
        <f>Data!C96</f>
        <v>0</v>
      </c>
      <c r="J83">
        <f>Data!D96</f>
        <v>0</v>
      </c>
      <c r="K83">
        <f>Data!E96</f>
        <v>0</v>
      </c>
      <c r="L83">
        <f>Data!F96</f>
        <v>0</v>
      </c>
      <c r="M83">
        <f>Data!G96</f>
        <v>0</v>
      </c>
      <c r="N83">
        <f>Data!H96</f>
        <v>0</v>
      </c>
      <c r="O83">
        <f>Data!I96</f>
        <v>0</v>
      </c>
      <c r="P83" s="21">
        <f>Data!J96</f>
        <v>0</v>
      </c>
      <c r="Q83">
        <f>Data!K96</f>
        <v>0</v>
      </c>
      <c r="R83">
        <f>Data!L96</f>
        <v>0</v>
      </c>
      <c r="S83">
        <f>Data!M96</f>
        <v>0</v>
      </c>
      <c r="T83">
        <f>Data!N96</f>
        <v>0</v>
      </c>
      <c r="U83">
        <f>Data!O96</f>
        <v>0</v>
      </c>
      <c r="V83" s="33">
        <f>Data!P96</f>
        <v>0</v>
      </c>
    </row>
    <row r="84" spans="7:22" x14ac:dyDescent="0.25">
      <c r="G84">
        <f>Data!A97</f>
        <v>0</v>
      </c>
      <c r="H84" s="21">
        <f>Data!B97</f>
        <v>0</v>
      </c>
      <c r="I84" s="21">
        <f>Data!C97</f>
        <v>0</v>
      </c>
      <c r="J84">
        <f>Data!D97</f>
        <v>0</v>
      </c>
      <c r="K84">
        <f>Data!E97</f>
        <v>0</v>
      </c>
      <c r="L84">
        <f>Data!F97</f>
        <v>0</v>
      </c>
      <c r="M84">
        <f>Data!G97</f>
        <v>0</v>
      </c>
      <c r="N84">
        <f>Data!H97</f>
        <v>0</v>
      </c>
      <c r="O84">
        <f>Data!I97</f>
        <v>0</v>
      </c>
      <c r="P84" s="21">
        <f>Data!J97</f>
        <v>0</v>
      </c>
      <c r="Q84">
        <f>Data!K97</f>
        <v>0</v>
      </c>
      <c r="R84">
        <f>Data!L97</f>
        <v>0</v>
      </c>
      <c r="S84">
        <f>Data!M97</f>
        <v>0</v>
      </c>
      <c r="T84">
        <f>Data!N97</f>
        <v>0</v>
      </c>
      <c r="U84">
        <f>Data!O97</f>
        <v>0</v>
      </c>
      <c r="V84" s="33">
        <f>Data!P97</f>
        <v>0</v>
      </c>
    </row>
    <row r="85" spans="7:22" x14ac:dyDescent="0.25">
      <c r="G85">
        <f>Data!A98</f>
        <v>0</v>
      </c>
      <c r="H85" s="21">
        <f>Data!B98</f>
        <v>0</v>
      </c>
      <c r="I85" s="21">
        <f>Data!C98</f>
        <v>0</v>
      </c>
      <c r="J85">
        <f>Data!D98</f>
        <v>0</v>
      </c>
      <c r="K85">
        <f>Data!E98</f>
        <v>0</v>
      </c>
      <c r="L85">
        <f>Data!F98</f>
        <v>0</v>
      </c>
      <c r="M85">
        <f>Data!G98</f>
        <v>0</v>
      </c>
      <c r="N85">
        <f>Data!H98</f>
        <v>0</v>
      </c>
      <c r="O85">
        <f>Data!I98</f>
        <v>0</v>
      </c>
      <c r="P85" s="21">
        <f>Data!J98</f>
        <v>0</v>
      </c>
      <c r="Q85">
        <f>Data!K98</f>
        <v>0</v>
      </c>
      <c r="R85">
        <f>Data!L98</f>
        <v>0</v>
      </c>
      <c r="S85">
        <f>Data!M98</f>
        <v>0</v>
      </c>
      <c r="T85">
        <f>Data!N98</f>
        <v>0</v>
      </c>
      <c r="U85">
        <f>Data!O98</f>
        <v>0</v>
      </c>
      <c r="V85" s="33">
        <f>Data!P98</f>
        <v>0</v>
      </c>
    </row>
    <row r="86" spans="7:22" x14ac:dyDescent="0.25">
      <c r="G86">
        <f>Data!A99</f>
        <v>0</v>
      </c>
      <c r="H86" s="21">
        <f>Data!B99</f>
        <v>0</v>
      </c>
      <c r="I86" s="21">
        <f>Data!C99</f>
        <v>0</v>
      </c>
      <c r="J86">
        <f>Data!D99</f>
        <v>0</v>
      </c>
      <c r="K86">
        <f>Data!E99</f>
        <v>0</v>
      </c>
      <c r="L86">
        <f>Data!F99</f>
        <v>0</v>
      </c>
      <c r="M86">
        <f>Data!G99</f>
        <v>0</v>
      </c>
      <c r="N86">
        <f>Data!H99</f>
        <v>0</v>
      </c>
      <c r="O86">
        <f>Data!I99</f>
        <v>0</v>
      </c>
      <c r="P86" s="21">
        <f>Data!J99</f>
        <v>0</v>
      </c>
      <c r="Q86">
        <f>Data!K99</f>
        <v>0</v>
      </c>
      <c r="R86">
        <f>Data!L99</f>
        <v>0</v>
      </c>
      <c r="S86">
        <f>Data!M99</f>
        <v>0</v>
      </c>
      <c r="T86">
        <f>Data!N99</f>
        <v>0</v>
      </c>
      <c r="U86">
        <f>Data!O99</f>
        <v>0</v>
      </c>
      <c r="V86" s="33">
        <f>Data!P99</f>
        <v>0</v>
      </c>
    </row>
    <row r="87" spans="7:22" x14ac:dyDescent="0.25">
      <c r="G87">
        <f>Data!A100</f>
        <v>0</v>
      </c>
      <c r="H87" s="21">
        <f>Data!B100</f>
        <v>0</v>
      </c>
      <c r="I87" s="21">
        <f>Data!C100</f>
        <v>0</v>
      </c>
      <c r="J87">
        <f>Data!D100</f>
        <v>0</v>
      </c>
      <c r="K87">
        <f>Data!E100</f>
        <v>0</v>
      </c>
      <c r="L87">
        <f>Data!F100</f>
        <v>0</v>
      </c>
      <c r="M87">
        <f>Data!G100</f>
        <v>0</v>
      </c>
      <c r="N87">
        <f>Data!H100</f>
        <v>0</v>
      </c>
      <c r="O87">
        <f>Data!I100</f>
        <v>0</v>
      </c>
      <c r="P87" s="21">
        <f>Data!J100</f>
        <v>0</v>
      </c>
      <c r="Q87">
        <f>Data!K100</f>
        <v>0</v>
      </c>
      <c r="R87">
        <f>Data!L100</f>
        <v>0</v>
      </c>
      <c r="S87">
        <f>Data!M100</f>
        <v>0</v>
      </c>
      <c r="T87">
        <f>Data!N100</f>
        <v>0</v>
      </c>
      <c r="U87">
        <f>Data!O100</f>
        <v>0</v>
      </c>
      <c r="V87" s="33">
        <f>Data!P100</f>
        <v>0</v>
      </c>
    </row>
    <row r="88" spans="7:22" x14ac:dyDescent="0.25">
      <c r="G88">
        <f>Data!A101</f>
        <v>0</v>
      </c>
      <c r="H88" s="21">
        <f>Data!B101</f>
        <v>0</v>
      </c>
      <c r="I88" s="21">
        <f>Data!C101</f>
        <v>0</v>
      </c>
      <c r="J88">
        <f>Data!D101</f>
        <v>0</v>
      </c>
      <c r="K88">
        <f>Data!E101</f>
        <v>0</v>
      </c>
      <c r="L88">
        <f>Data!F101</f>
        <v>0</v>
      </c>
      <c r="M88">
        <f>Data!G101</f>
        <v>0</v>
      </c>
      <c r="N88">
        <f>Data!H101</f>
        <v>0</v>
      </c>
      <c r="O88">
        <f>Data!I101</f>
        <v>0</v>
      </c>
      <c r="P88" s="21">
        <f>Data!J101</f>
        <v>0</v>
      </c>
      <c r="Q88">
        <f>Data!K101</f>
        <v>0</v>
      </c>
      <c r="R88">
        <f>Data!L101</f>
        <v>0</v>
      </c>
      <c r="S88">
        <f>Data!M101</f>
        <v>0</v>
      </c>
      <c r="T88">
        <f>Data!N101</f>
        <v>0</v>
      </c>
      <c r="U88">
        <f>Data!O101</f>
        <v>0</v>
      </c>
      <c r="V88" s="33">
        <f>Data!P101</f>
        <v>0</v>
      </c>
    </row>
    <row r="89" spans="7:22" x14ac:dyDescent="0.25">
      <c r="G89">
        <f>Data!A102</f>
        <v>0</v>
      </c>
      <c r="H89" s="21">
        <f>Data!B102</f>
        <v>0</v>
      </c>
      <c r="I89" s="21">
        <f>Data!C102</f>
        <v>0</v>
      </c>
      <c r="J89">
        <f>Data!D102</f>
        <v>0</v>
      </c>
      <c r="K89">
        <f>Data!E102</f>
        <v>0</v>
      </c>
      <c r="L89">
        <f>Data!F102</f>
        <v>0</v>
      </c>
      <c r="M89">
        <f>Data!G102</f>
        <v>0</v>
      </c>
      <c r="N89">
        <f>Data!H102</f>
        <v>0</v>
      </c>
      <c r="O89">
        <f>Data!I102</f>
        <v>0</v>
      </c>
      <c r="P89" s="21">
        <f>Data!J102</f>
        <v>0</v>
      </c>
      <c r="Q89">
        <f>Data!K102</f>
        <v>0</v>
      </c>
      <c r="R89">
        <f>Data!L102</f>
        <v>0</v>
      </c>
      <c r="S89">
        <f>Data!M102</f>
        <v>0</v>
      </c>
      <c r="T89">
        <f>Data!N102</f>
        <v>0</v>
      </c>
      <c r="U89">
        <f>Data!O102</f>
        <v>0</v>
      </c>
      <c r="V89" s="33">
        <f>Data!P102</f>
        <v>0</v>
      </c>
    </row>
    <row r="90" spans="7:22" x14ac:dyDescent="0.25">
      <c r="G90">
        <f>Data!A103</f>
        <v>0</v>
      </c>
      <c r="H90" s="21">
        <f>Data!B103</f>
        <v>0</v>
      </c>
      <c r="I90" s="21">
        <f>Data!C103</f>
        <v>0</v>
      </c>
      <c r="J90">
        <f>Data!D103</f>
        <v>0</v>
      </c>
      <c r="K90">
        <f>Data!E103</f>
        <v>0</v>
      </c>
      <c r="L90">
        <f>Data!F103</f>
        <v>0</v>
      </c>
      <c r="M90">
        <f>Data!G103</f>
        <v>0</v>
      </c>
      <c r="N90">
        <f>Data!H103</f>
        <v>0</v>
      </c>
      <c r="O90">
        <f>Data!I103</f>
        <v>0</v>
      </c>
      <c r="P90" s="21">
        <f>Data!J103</f>
        <v>0</v>
      </c>
      <c r="Q90">
        <f>Data!K103</f>
        <v>0</v>
      </c>
      <c r="R90">
        <f>Data!L103</f>
        <v>0</v>
      </c>
      <c r="S90">
        <f>Data!M103</f>
        <v>0</v>
      </c>
      <c r="T90">
        <f>Data!N103</f>
        <v>0</v>
      </c>
      <c r="U90">
        <f>Data!O103</f>
        <v>0</v>
      </c>
      <c r="V90" s="33">
        <f>Data!P103</f>
        <v>0</v>
      </c>
    </row>
    <row r="91" spans="7:22" x14ac:dyDescent="0.25">
      <c r="G91">
        <f>Data!A104</f>
        <v>0</v>
      </c>
      <c r="H91" s="21">
        <f>Data!B104</f>
        <v>0</v>
      </c>
      <c r="I91" s="21">
        <f>Data!C104</f>
        <v>0</v>
      </c>
      <c r="J91">
        <f>Data!D104</f>
        <v>0</v>
      </c>
      <c r="K91">
        <f>Data!E104</f>
        <v>0</v>
      </c>
      <c r="L91">
        <f>Data!F104</f>
        <v>0</v>
      </c>
      <c r="M91">
        <f>Data!G104</f>
        <v>0</v>
      </c>
      <c r="N91">
        <f>Data!H104</f>
        <v>0</v>
      </c>
      <c r="O91">
        <f>Data!I104</f>
        <v>0</v>
      </c>
      <c r="P91" s="21">
        <f>Data!J104</f>
        <v>0</v>
      </c>
      <c r="Q91">
        <f>Data!K104</f>
        <v>0</v>
      </c>
      <c r="R91">
        <f>Data!L104</f>
        <v>0</v>
      </c>
      <c r="S91">
        <f>Data!M104</f>
        <v>0</v>
      </c>
      <c r="T91">
        <f>Data!N104</f>
        <v>0</v>
      </c>
      <c r="U91">
        <f>Data!O104</f>
        <v>0</v>
      </c>
      <c r="V91" s="33">
        <f>Data!P104</f>
        <v>0</v>
      </c>
    </row>
    <row r="92" spans="7:22" x14ac:dyDescent="0.25">
      <c r="G92">
        <f>Data!A105</f>
        <v>0</v>
      </c>
      <c r="H92" s="21">
        <f>Data!B105</f>
        <v>0</v>
      </c>
      <c r="I92" s="21">
        <f>Data!C105</f>
        <v>0</v>
      </c>
      <c r="J92">
        <f>Data!D105</f>
        <v>0</v>
      </c>
      <c r="K92">
        <f>Data!E105</f>
        <v>0</v>
      </c>
      <c r="L92">
        <f>Data!F105</f>
        <v>0</v>
      </c>
      <c r="M92">
        <f>Data!G105</f>
        <v>0</v>
      </c>
      <c r="N92">
        <f>Data!H105</f>
        <v>0</v>
      </c>
      <c r="O92">
        <f>Data!I105</f>
        <v>0</v>
      </c>
      <c r="P92" s="21">
        <f>Data!J105</f>
        <v>0</v>
      </c>
      <c r="Q92">
        <f>Data!K105</f>
        <v>0</v>
      </c>
      <c r="R92">
        <f>Data!L105</f>
        <v>0</v>
      </c>
      <c r="S92">
        <f>Data!M105</f>
        <v>0</v>
      </c>
      <c r="T92">
        <f>Data!N105</f>
        <v>0</v>
      </c>
      <c r="U92">
        <f>Data!O105</f>
        <v>0</v>
      </c>
      <c r="V92" s="33">
        <f>Data!P105</f>
        <v>0</v>
      </c>
    </row>
    <row r="93" spans="7:22" x14ac:dyDescent="0.25">
      <c r="G93">
        <f>Data!A106</f>
        <v>0</v>
      </c>
      <c r="H93" s="21">
        <f>Data!B106</f>
        <v>0</v>
      </c>
      <c r="I93" s="21">
        <f>Data!C106</f>
        <v>0</v>
      </c>
      <c r="J93">
        <f>Data!D106</f>
        <v>0</v>
      </c>
      <c r="K93">
        <f>Data!E106</f>
        <v>0</v>
      </c>
      <c r="L93">
        <f>Data!F106</f>
        <v>0</v>
      </c>
      <c r="M93">
        <f>Data!G106</f>
        <v>0</v>
      </c>
      <c r="N93">
        <f>Data!H106</f>
        <v>0</v>
      </c>
      <c r="O93">
        <f>Data!I106</f>
        <v>0</v>
      </c>
      <c r="P93" s="21">
        <f>Data!J106</f>
        <v>0</v>
      </c>
      <c r="Q93">
        <f>Data!K106</f>
        <v>0</v>
      </c>
      <c r="R93">
        <f>Data!L106</f>
        <v>0</v>
      </c>
      <c r="S93">
        <f>Data!M106</f>
        <v>0</v>
      </c>
      <c r="T93">
        <f>Data!N106</f>
        <v>0</v>
      </c>
      <c r="U93">
        <f>Data!O106</f>
        <v>0</v>
      </c>
      <c r="V93" s="33">
        <f>Data!P106</f>
        <v>0</v>
      </c>
    </row>
    <row r="94" spans="7:22" x14ac:dyDescent="0.25">
      <c r="G94">
        <f>Data!A107</f>
        <v>0</v>
      </c>
      <c r="H94" s="21">
        <f>Data!B107</f>
        <v>0</v>
      </c>
      <c r="I94" s="21">
        <f>Data!C107</f>
        <v>0</v>
      </c>
      <c r="J94">
        <f>Data!D107</f>
        <v>0</v>
      </c>
      <c r="K94">
        <f>Data!E107</f>
        <v>0</v>
      </c>
      <c r="L94">
        <f>Data!F107</f>
        <v>0</v>
      </c>
      <c r="M94">
        <f>Data!G107</f>
        <v>0</v>
      </c>
      <c r="N94">
        <f>Data!H107</f>
        <v>0</v>
      </c>
      <c r="O94">
        <f>Data!I107</f>
        <v>0</v>
      </c>
      <c r="P94" s="21">
        <f>Data!J107</f>
        <v>0</v>
      </c>
      <c r="Q94">
        <f>Data!K107</f>
        <v>0</v>
      </c>
      <c r="R94">
        <f>Data!L107</f>
        <v>0</v>
      </c>
      <c r="S94">
        <f>Data!M107</f>
        <v>0</v>
      </c>
      <c r="T94">
        <f>Data!N107</f>
        <v>0</v>
      </c>
      <c r="U94">
        <f>Data!O107</f>
        <v>0</v>
      </c>
      <c r="V94" s="33">
        <f>Data!P107</f>
        <v>0</v>
      </c>
    </row>
    <row r="95" spans="7:22" x14ac:dyDescent="0.25">
      <c r="G95">
        <f>Data!A108</f>
        <v>0</v>
      </c>
      <c r="H95" s="21">
        <f>Data!B108</f>
        <v>0</v>
      </c>
      <c r="I95" s="21">
        <f>Data!C108</f>
        <v>0</v>
      </c>
      <c r="J95">
        <f>Data!D108</f>
        <v>0</v>
      </c>
      <c r="K95">
        <f>Data!E108</f>
        <v>0</v>
      </c>
      <c r="L95">
        <f>Data!F108</f>
        <v>0</v>
      </c>
      <c r="M95">
        <f>Data!G108</f>
        <v>0</v>
      </c>
      <c r="N95">
        <f>Data!H108</f>
        <v>0</v>
      </c>
      <c r="O95">
        <f>Data!I108</f>
        <v>0</v>
      </c>
      <c r="P95" s="21">
        <f>Data!J108</f>
        <v>0</v>
      </c>
      <c r="Q95">
        <f>Data!K108</f>
        <v>0</v>
      </c>
      <c r="R95">
        <f>Data!L108</f>
        <v>0</v>
      </c>
      <c r="S95">
        <f>Data!M108</f>
        <v>0</v>
      </c>
      <c r="T95">
        <f>Data!N108</f>
        <v>0</v>
      </c>
      <c r="U95">
        <f>Data!O108</f>
        <v>0</v>
      </c>
      <c r="V95" s="33">
        <f>Data!P108</f>
        <v>0</v>
      </c>
    </row>
    <row r="96" spans="7:22" x14ac:dyDescent="0.25">
      <c r="G96">
        <f>Data!A109</f>
        <v>0</v>
      </c>
      <c r="H96" s="21">
        <f>Data!B109</f>
        <v>0</v>
      </c>
      <c r="I96" s="21">
        <f>Data!C109</f>
        <v>0</v>
      </c>
      <c r="J96">
        <f>Data!D109</f>
        <v>0</v>
      </c>
      <c r="K96">
        <f>Data!E109</f>
        <v>0</v>
      </c>
      <c r="L96">
        <f>Data!F109</f>
        <v>0</v>
      </c>
      <c r="M96">
        <f>Data!G109</f>
        <v>0</v>
      </c>
      <c r="N96">
        <f>Data!H109</f>
        <v>0</v>
      </c>
      <c r="O96">
        <f>Data!I109</f>
        <v>0</v>
      </c>
      <c r="P96" s="21">
        <f>Data!J109</f>
        <v>0</v>
      </c>
      <c r="Q96">
        <f>Data!K109</f>
        <v>0</v>
      </c>
      <c r="R96">
        <f>Data!L109</f>
        <v>0</v>
      </c>
      <c r="S96">
        <f>Data!M109</f>
        <v>0</v>
      </c>
      <c r="T96">
        <f>Data!N109</f>
        <v>0</v>
      </c>
      <c r="U96">
        <f>Data!O109</f>
        <v>0</v>
      </c>
      <c r="V96" s="33">
        <f>Data!P109</f>
        <v>0</v>
      </c>
    </row>
    <row r="97" spans="7:22" x14ac:dyDescent="0.25">
      <c r="G97">
        <f>Data!A110</f>
        <v>0</v>
      </c>
      <c r="H97" s="21">
        <f>Data!B110</f>
        <v>0</v>
      </c>
      <c r="I97" s="21">
        <f>Data!C110</f>
        <v>0</v>
      </c>
      <c r="J97">
        <f>Data!D110</f>
        <v>0</v>
      </c>
      <c r="K97">
        <f>Data!E110</f>
        <v>0</v>
      </c>
      <c r="L97">
        <f>Data!F110</f>
        <v>0</v>
      </c>
      <c r="M97">
        <f>Data!G110</f>
        <v>0</v>
      </c>
      <c r="N97">
        <f>Data!H110</f>
        <v>0</v>
      </c>
      <c r="O97">
        <f>Data!I110</f>
        <v>0</v>
      </c>
      <c r="P97" s="21">
        <f>Data!J110</f>
        <v>0</v>
      </c>
      <c r="Q97">
        <f>Data!K110</f>
        <v>0</v>
      </c>
      <c r="R97">
        <f>Data!L110</f>
        <v>0</v>
      </c>
      <c r="S97">
        <f>Data!M110</f>
        <v>0</v>
      </c>
      <c r="T97">
        <f>Data!N110</f>
        <v>0</v>
      </c>
      <c r="U97">
        <f>Data!O110</f>
        <v>0</v>
      </c>
      <c r="V97" s="33">
        <f>Data!P110</f>
        <v>0</v>
      </c>
    </row>
    <row r="98" spans="7:22" x14ac:dyDescent="0.25">
      <c r="G98">
        <f>Data!A111</f>
        <v>0</v>
      </c>
      <c r="H98" s="21">
        <f>Data!B111</f>
        <v>0</v>
      </c>
      <c r="I98" s="21">
        <f>Data!C111</f>
        <v>0</v>
      </c>
      <c r="J98">
        <f>Data!D111</f>
        <v>0</v>
      </c>
      <c r="K98">
        <f>Data!E111</f>
        <v>0</v>
      </c>
      <c r="L98">
        <f>Data!F111</f>
        <v>0</v>
      </c>
      <c r="M98">
        <f>Data!G111</f>
        <v>0</v>
      </c>
      <c r="N98">
        <f>Data!H111</f>
        <v>0</v>
      </c>
      <c r="O98">
        <f>Data!I111</f>
        <v>0</v>
      </c>
      <c r="P98" s="21">
        <f>Data!J111</f>
        <v>0</v>
      </c>
      <c r="Q98">
        <f>Data!K111</f>
        <v>0</v>
      </c>
      <c r="R98">
        <f>Data!L111</f>
        <v>0</v>
      </c>
      <c r="S98">
        <f>Data!M111</f>
        <v>0</v>
      </c>
      <c r="T98">
        <f>Data!N111</f>
        <v>0</v>
      </c>
      <c r="U98">
        <f>Data!O111</f>
        <v>0</v>
      </c>
      <c r="V98" s="33">
        <f>Data!P111</f>
        <v>0</v>
      </c>
    </row>
    <row r="99" spans="7:22" x14ac:dyDescent="0.25">
      <c r="G99">
        <f>Data!A112</f>
        <v>0</v>
      </c>
      <c r="H99" s="21">
        <f>Data!B112</f>
        <v>0</v>
      </c>
      <c r="I99" s="21">
        <f>Data!C112</f>
        <v>0</v>
      </c>
      <c r="J99">
        <f>Data!D112</f>
        <v>0</v>
      </c>
      <c r="K99">
        <f>Data!E112</f>
        <v>0</v>
      </c>
      <c r="L99">
        <f>Data!F112</f>
        <v>0</v>
      </c>
      <c r="M99">
        <f>Data!G112</f>
        <v>0</v>
      </c>
      <c r="N99">
        <f>Data!H112</f>
        <v>0</v>
      </c>
      <c r="O99">
        <f>Data!I112</f>
        <v>0</v>
      </c>
      <c r="P99" s="21">
        <f>Data!J112</f>
        <v>0</v>
      </c>
      <c r="Q99">
        <f>Data!K112</f>
        <v>0</v>
      </c>
      <c r="R99">
        <f>Data!L112</f>
        <v>0</v>
      </c>
      <c r="S99">
        <f>Data!M112</f>
        <v>0</v>
      </c>
      <c r="T99">
        <f>Data!N112</f>
        <v>0</v>
      </c>
      <c r="U99">
        <f>Data!O112</f>
        <v>0</v>
      </c>
      <c r="V99" s="33">
        <f>Data!P112</f>
        <v>0</v>
      </c>
    </row>
    <row r="100" spans="7:22" x14ac:dyDescent="0.25">
      <c r="G100">
        <f>Data!A113</f>
        <v>0</v>
      </c>
      <c r="H100" s="21">
        <f>Data!B113</f>
        <v>0</v>
      </c>
      <c r="I100" s="21">
        <f>Data!C113</f>
        <v>0</v>
      </c>
      <c r="J100">
        <f>Data!D113</f>
        <v>0</v>
      </c>
      <c r="K100">
        <f>Data!E113</f>
        <v>0</v>
      </c>
      <c r="L100">
        <f>Data!F113</f>
        <v>0</v>
      </c>
      <c r="M100">
        <f>Data!G113</f>
        <v>0</v>
      </c>
      <c r="N100">
        <f>Data!H113</f>
        <v>0</v>
      </c>
      <c r="O100">
        <f>Data!I113</f>
        <v>0</v>
      </c>
      <c r="P100" s="21">
        <f>Data!J113</f>
        <v>0</v>
      </c>
      <c r="Q100">
        <f>Data!K113</f>
        <v>0</v>
      </c>
      <c r="R100">
        <f>Data!L113</f>
        <v>0</v>
      </c>
      <c r="S100">
        <f>Data!M113</f>
        <v>0</v>
      </c>
      <c r="T100">
        <f>Data!N113</f>
        <v>0</v>
      </c>
      <c r="U100">
        <f>Data!O113</f>
        <v>0</v>
      </c>
      <c r="V100" s="33">
        <f>Data!P113</f>
        <v>0</v>
      </c>
    </row>
    <row r="101" spans="7:22" x14ac:dyDescent="0.25">
      <c r="G101">
        <f>Data!A114</f>
        <v>0</v>
      </c>
      <c r="H101" s="21">
        <f>Data!B114</f>
        <v>0</v>
      </c>
      <c r="I101" s="21">
        <f>Data!C114</f>
        <v>0</v>
      </c>
      <c r="J101">
        <f>Data!D114</f>
        <v>0</v>
      </c>
      <c r="K101">
        <f>Data!E114</f>
        <v>0</v>
      </c>
      <c r="L101">
        <f>Data!F114</f>
        <v>0</v>
      </c>
      <c r="M101">
        <f>Data!G114</f>
        <v>0</v>
      </c>
      <c r="N101">
        <f>Data!H114</f>
        <v>0</v>
      </c>
      <c r="O101">
        <f>Data!I114</f>
        <v>0</v>
      </c>
      <c r="P101" s="21">
        <f>Data!J114</f>
        <v>0</v>
      </c>
      <c r="Q101">
        <f>Data!K114</f>
        <v>0</v>
      </c>
      <c r="R101">
        <f>Data!L114</f>
        <v>0</v>
      </c>
      <c r="S101">
        <f>Data!M114</f>
        <v>0</v>
      </c>
      <c r="T101">
        <f>Data!N114</f>
        <v>0</v>
      </c>
      <c r="U101">
        <f>Data!O114</f>
        <v>0</v>
      </c>
      <c r="V101" s="33">
        <f>Data!P114</f>
        <v>0</v>
      </c>
    </row>
    <row r="102" spans="7:22" x14ac:dyDescent="0.25">
      <c r="G102">
        <f>Data!A115</f>
        <v>0</v>
      </c>
      <c r="H102" s="21">
        <f>Data!B115</f>
        <v>0</v>
      </c>
      <c r="I102" s="21">
        <f>Data!C115</f>
        <v>0</v>
      </c>
      <c r="J102">
        <f>Data!D115</f>
        <v>0</v>
      </c>
      <c r="K102">
        <f>Data!E115</f>
        <v>0</v>
      </c>
      <c r="L102">
        <f>Data!F115</f>
        <v>0</v>
      </c>
      <c r="M102">
        <f>Data!G115</f>
        <v>0</v>
      </c>
      <c r="N102">
        <f>Data!H115</f>
        <v>0</v>
      </c>
      <c r="O102">
        <f>Data!I115</f>
        <v>0</v>
      </c>
      <c r="P102" s="21">
        <f>Data!J115</f>
        <v>0</v>
      </c>
      <c r="Q102">
        <f>Data!K115</f>
        <v>0</v>
      </c>
      <c r="R102">
        <f>Data!L115</f>
        <v>0</v>
      </c>
      <c r="S102">
        <f>Data!M115</f>
        <v>0</v>
      </c>
      <c r="T102">
        <f>Data!N115</f>
        <v>0</v>
      </c>
      <c r="U102">
        <f>Data!O115</f>
        <v>0</v>
      </c>
      <c r="V102" s="33">
        <f>Data!P115</f>
        <v>0</v>
      </c>
    </row>
    <row r="103" spans="7:22" x14ac:dyDescent="0.25">
      <c r="G103">
        <f>Data!A116</f>
        <v>0</v>
      </c>
      <c r="H103" s="21">
        <f>Data!B116</f>
        <v>0</v>
      </c>
      <c r="I103" s="21">
        <f>Data!C116</f>
        <v>0</v>
      </c>
      <c r="J103">
        <f>Data!D116</f>
        <v>0</v>
      </c>
      <c r="K103">
        <f>Data!E116</f>
        <v>0</v>
      </c>
      <c r="L103">
        <f>Data!F116</f>
        <v>0</v>
      </c>
      <c r="M103">
        <f>Data!G116</f>
        <v>0</v>
      </c>
      <c r="N103">
        <f>Data!H116</f>
        <v>0</v>
      </c>
      <c r="O103">
        <f>Data!I116</f>
        <v>0</v>
      </c>
      <c r="P103" s="21">
        <f>Data!J116</f>
        <v>0</v>
      </c>
      <c r="Q103">
        <f>Data!K116</f>
        <v>0</v>
      </c>
      <c r="R103">
        <f>Data!L116</f>
        <v>0</v>
      </c>
      <c r="S103">
        <f>Data!M116</f>
        <v>0</v>
      </c>
      <c r="T103">
        <f>Data!N116</f>
        <v>0</v>
      </c>
      <c r="U103">
        <f>Data!O116</f>
        <v>0</v>
      </c>
      <c r="V103" s="33">
        <f>Data!P116</f>
        <v>0</v>
      </c>
    </row>
    <row r="104" spans="7:22" x14ac:dyDescent="0.25">
      <c r="G104">
        <f>Data!A117</f>
        <v>0</v>
      </c>
      <c r="H104" s="21">
        <f>Data!B117</f>
        <v>0</v>
      </c>
      <c r="I104" s="21">
        <f>Data!C117</f>
        <v>0</v>
      </c>
      <c r="J104">
        <f>Data!D117</f>
        <v>0</v>
      </c>
      <c r="K104">
        <f>Data!E117</f>
        <v>0</v>
      </c>
      <c r="L104">
        <f>Data!F117</f>
        <v>0</v>
      </c>
      <c r="M104">
        <f>Data!G117</f>
        <v>0</v>
      </c>
      <c r="N104">
        <f>Data!H117</f>
        <v>0</v>
      </c>
      <c r="O104">
        <f>Data!I117</f>
        <v>0</v>
      </c>
      <c r="P104" s="21">
        <f>Data!J117</f>
        <v>0</v>
      </c>
      <c r="Q104">
        <f>Data!K117</f>
        <v>0</v>
      </c>
      <c r="R104">
        <f>Data!L117</f>
        <v>0</v>
      </c>
      <c r="S104">
        <f>Data!M117</f>
        <v>0</v>
      </c>
      <c r="T104">
        <f>Data!N117</f>
        <v>0</v>
      </c>
      <c r="U104">
        <f>Data!O117</f>
        <v>0</v>
      </c>
      <c r="V104" s="33">
        <f>Data!P117</f>
        <v>0</v>
      </c>
    </row>
    <row r="105" spans="7:22" x14ac:dyDescent="0.25">
      <c r="G105">
        <f>Data!A118</f>
        <v>0</v>
      </c>
      <c r="H105" s="21">
        <f>Data!B118</f>
        <v>0</v>
      </c>
      <c r="I105" s="21">
        <f>Data!C118</f>
        <v>0</v>
      </c>
      <c r="J105">
        <f>Data!D118</f>
        <v>0</v>
      </c>
      <c r="K105">
        <f>Data!E118</f>
        <v>0</v>
      </c>
      <c r="L105">
        <f>Data!F118</f>
        <v>0</v>
      </c>
      <c r="M105">
        <f>Data!G118</f>
        <v>0</v>
      </c>
      <c r="N105">
        <f>Data!H118</f>
        <v>0</v>
      </c>
      <c r="O105">
        <f>Data!I118</f>
        <v>0</v>
      </c>
      <c r="P105" s="21">
        <f>Data!J118</f>
        <v>0</v>
      </c>
      <c r="Q105">
        <f>Data!K118</f>
        <v>0</v>
      </c>
      <c r="R105">
        <f>Data!L118</f>
        <v>0</v>
      </c>
      <c r="S105">
        <f>Data!M118</f>
        <v>0</v>
      </c>
      <c r="T105">
        <f>Data!N118</f>
        <v>0</v>
      </c>
      <c r="U105">
        <f>Data!O118</f>
        <v>0</v>
      </c>
      <c r="V105" s="33">
        <f>Data!P118</f>
        <v>0</v>
      </c>
    </row>
    <row r="106" spans="7:22" x14ac:dyDescent="0.25">
      <c r="G106">
        <f>Data!A119</f>
        <v>0</v>
      </c>
      <c r="H106" s="21">
        <f>Data!B119</f>
        <v>0</v>
      </c>
      <c r="I106" s="21">
        <f>Data!C119</f>
        <v>0</v>
      </c>
      <c r="J106">
        <f>Data!D119</f>
        <v>0</v>
      </c>
      <c r="K106">
        <f>Data!E119</f>
        <v>0</v>
      </c>
      <c r="L106">
        <f>Data!F119</f>
        <v>0</v>
      </c>
      <c r="M106">
        <f>Data!G119</f>
        <v>0</v>
      </c>
      <c r="N106">
        <f>Data!H119</f>
        <v>0</v>
      </c>
      <c r="O106">
        <f>Data!I119</f>
        <v>0</v>
      </c>
      <c r="P106" s="21">
        <f>Data!J119</f>
        <v>0</v>
      </c>
      <c r="Q106">
        <f>Data!K119</f>
        <v>0</v>
      </c>
      <c r="R106">
        <f>Data!L119</f>
        <v>0</v>
      </c>
      <c r="S106">
        <f>Data!M119</f>
        <v>0</v>
      </c>
      <c r="T106">
        <f>Data!N119</f>
        <v>0</v>
      </c>
      <c r="U106">
        <f>Data!O119</f>
        <v>0</v>
      </c>
      <c r="V106" s="33">
        <f>Data!P119</f>
        <v>0</v>
      </c>
    </row>
    <row r="107" spans="7:22" x14ac:dyDescent="0.25">
      <c r="G107">
        <f>Data!A120</f>
        <v>0</v>
      </c>
      <c r="H107" s="21">
        <f>Data!B120</f>
        <v>0</v>
      </c>
      <c r="I107" s="21">
        <f>Data!C120</f>
        <v>0</v>
      </c>
      <c r="J107">
        <f>Data!D120</f>
        <v>0</v>
      </c>
      <c r="K107">
        <f>Data!E120</f>
        <v>0</v>
      </c>
      <c r="L107">
        <f>Data!F120</f>
        <v>0</v>
      </c>
      <c r="M107">
        <f>Data!G120</f>
        <v>0</v>
      </c>
      <c r="N107">
        <f>Data!H120</f>
        <v>0</v>
      </c>
      <c r="O107">
        <f>Data!I120</f>
        <v>0</v>
      </c>
      <c r="P107" s="21">
        <f>Data!J120</f>
        <v>0</v>
      </c>
      <c r="Q107">
        <f>Data!K120</f>
        <v>0</v>
      </c>
      <c r="R107">
        <f>Data!L120</f>
        <v>0</v>
      </c>
      <c r="S107">
        <f>Data!M120</f>
        <v>0</v>
      </c>
      <c r="T107">
        <f>Data!N120</f>
        <v>0</v>
      </c>
      <c r="U107">
        <f>Data!O120</f>
        <v>0</v>
      </c>
      <c r="V107" s="33">
        <f>Data!P120</f>
        <v>0</v>
      </c>
    </row>
    <row r="108" spans="7:22" x14ac:dyDescent="0.25">
      <c r="G108">
        <f>Data!A121</f>
        <v>0</v>
      </c>
      <c r="H108" s="21">
        <f>Data!B121</f>
        <v>0</v>
      </c>
      <c r="I108" s="21">
        <f>Data!C121</f>
        <v>0</v>
      </c>
      <c r="J108">
        <f>Data!D121</f>
        <v>0</v>
      </c>
      <c r="K108">
        <f>Data!E121</f>
        <v>0</v>
      </c>
      <c r="L108">
        <f>Data!F121</f>
        <v>0</v>
      </c>
      <c r="M108">
        <f>Data!G121</f>
        <v>0</v>
      </c>
      <c r="N108">
        <f>Data!H121</f>
        <v>0</v>
      </c>
      <c r="O108">
        <f>Data!I121</f>
        <v>0</v>
      </c>
      <c r="P108" s="21">
        <f>Data!J121</f>
        <v>0</v>
      </c>
      <c r="Q108">
        <f>Data!K121</f>
        <v>0</v>
      </c>
      <c r="R108">
        <f>Data!L121</f>
        <v>0</v>
      </c>
      <c r="S108">
        <f>Data!M121</f>
        <v>0</v>
      </c>
      <c r="T108">
        <f>Data!N121</f>
        <v>0</v>
      </c>
      <c r="U108">
        <f>Data!O121</f>
        <v>0</v>
      </c>
      <c r="V108" s="33">
        <f>Data!P121</f>
        <v>0</v>
      </c>
    </row>
    <row r="109" spans="7:22" x14ac:dyDescent="0.25">
      <c r="G109">
        <f>Data!A122</f>
        <v>0</v>
      </c>
      <c r="H109" s="21">
        <f>Data!B122</f>
        <v>0</v>
      </c>
      <c r="I109" s="21">
        <f>Data!C122</f>
        <v>0</v>
      </c>
      <c r="J109">
        <f>Data!D122</f>
        <v>0</v>
      </c>
      <c r="K109">
        <f>Data!E122</f>
        <v>0</v>
      </c>
      <c r="L109">
        <f>Data!F122</f>
        <v>0</v>
      </c>
      <c r="M109">
        <f>Data!G122</f>
        <v>0</v>
      </c>
      <c r="N109">
        <f>Data!H122</f>
        <v>0</v>
      </c>
      <c r="O109">
        <f>Data!I122</f>
        <v>0</v>
      </c>
      <c r="P109" s="21">
        <f>Data!J122</f>
        <v>0</v>
      </c>
      <c r="Q109">
        <f>Data!K122</f>
        <v>0</v>
      </c>
      <c r="R109">
        <f>Data!L122</f>
        <v>0</v>
      </c>
      <c r="S109">
        <f>Data!M122</f>
        <v>0</v>
      </c>
      <c r="T109">
        <f>Data!N122</f>
        <v>0</v>
      </c>
      <c r="U109">
        <f>Data!O122</f>
        <v>0</v>
      </c>
      <c r="V109" s="33">
        <f>Data!P122</f>
        <v>0</v>
      </c>
    </row>
    <row r="110" spans="7:22" x14ac:dyDescent="0.25">
      <c r="G110">
        <f>Data!A123</f>
        <v>0</v>
      </c>
      <c r="H110" s="21">
        <f>Data!B123</f>
        <v>0</v>
      </c>
      <c r="I110" s="21">
        <f>Data!C123</f>
        <v>0</v>
      </c>
      <c r="J110">
        <f>Data!D123</f>
        <v>0</v>
      </c>
      <c r="K110">
        <f>Data!E123</f>
        <v>0</v>
      </c>
      <c r="L110">
        <f>Data!F123</f>
        <v>0</v>
      </c>
      <c r="M110">
        <f>Data!G123</f>
        <v>0</v>
      </c>
      <c r="N110">
        <f>Data!H123</f>
        <v>0</v>
      </c>
      <c r="O110">
        <f>Data!I123</f>
        <v>0</v>
      </c>
      <c r="P110" s="21">
        <f>Data!J123</f>
        <v>0</v>
      </c>
      <c r="Q110">
        <f>Data!K123</f>
        <v>0</v>
      </c>
      <c r="R110">
        <f>Data!L123</f>
        <v>0</v>
      </c>
      <c r="S110">
        <f>Data!M123</f>
        <v>0</v>
      </c>
      <c r="T110">
        <f>Data!N123</f>
        <v>0</v>
      </c>
      <c r="U110">
        <f>Data!O123</f>
        <v>0</v>
      </c>
      <c r="V110" s="33">
        <f>Data!P123</f>
        <v>0</v>
      </c>
    </row>
    <row r="111" spans="7:22" x14ac:dyDescent="0.25">
      <c r="G111">
        <f>Data!A124</f>
        <v>0</v>
      </c>
      <c r="H111" s="21">
        <f>Data!B124</f>
        <v>0</v>
      </c>
      <c r="I111" s="21">
        <f>Data!C124</f>
        <v>0</v>
      </c>
      <c r="J111">
        <f>Data!D124</f>
        <v>0</v>
      </c>
      <c r="K111">
        <f>Data!E124</f>
        <v>0</v>
      </c>
      <c r="L111">
        <f>Data!F124</f>
        <v>0</v>
      </c>
      <c r="M111">
        <f>Data!G124</f>
        <v>0</v>
      </c>
      <c r="N111">
        <f>Data!H124</f>
        <v>0</v>
      </c>
      <c r="O111">
        <f>Data!I124</f>
        <v>0</v>
      </c>
      <c r="P111" s="21">
        <f>Data!J124</f>
        <v>0</v>
      </c>
      <c r="Q111">
        <f>Data!K124</f>
        <v>0</v>
      </c>
      <c r="R111">
        <f>Data!L124</f>
        <v>0</v>
      </c>
      <c r="S111">
        <f>Data!M124</f>
        <v>0</v>
      </c>
      <c r="T111">
        <f>Data!N124</f>
        <v>0</v>
      </c>
      <c r="U111">
        <f>Data!O124</f>
        <v>0</v>
      </c>
      <c r="V111" s="33">
        <f>Data!P124</f>
        <v>0</v>
      </c>
    </row>
    <row r="112" spans="7:22" x14ac:dyDescent="0.25">
      <c r="G112">
        <f>Data!A125</f>
        <v>0</v>
      </c>
      <c r="H112" s="21">
        <f>Data!B125</f>
        <v>0</v>
      </c>
      <c r="I112" s="21">
        <f>Data!C125</f>
        <v>0</v>
      </c>
      <c r="J112">
        <f>Data!D125</f>
        <v>0</v>
      </c>
      <c r="K112">
        <f>Data!E125</f>
        <v>0</v>
      </c>
      <c r="L112">
        <f>Data!F125</f>
        <v>0</v>
      </c>
      <c r="M112">
        <f>Data!G125</f>
        <v>0</v>
      </c>
      <c r="N112">
        <f>Data!H125</f>
        <v>0</v>
      </c>
      <c r="O112">
        <f>Data!I125</f>
        <v>0</v>
      </c>
      <c r="P112" s="21">
        <f>Data!J125</f>
        <v>0</v>
      </c>
      <c r="Q112">
        <f>Data!K125</f>
        <v>0</v>
      </c>
      <c r="R112">
        <f>Data!L125</f>
        <v>0</v>
      </c>
      <c r="S112">
        <f>Data!M125</f>
        <v>0</v>
      </c>
      <c r="T112">
        <f>Data!N125</f>
        <v>0</v>
      </c>
      <c r="U112">
        <f>Data!O125</f>
        <v>0</v>
      </c>
      <c r="V112" s="33">
        <f>Data!P125</f>
        <v>0</v>
      </c>
    </row>
    <row r="113" spans="7:22" x14ac:dyDescent="0.25">
      <c r="G113">
        <f>Data!A126</f>
        <v>0</v>
      </c>
      <c r="H113" s="21">
        <f>Data!B126</f>
        <v>0</v>
      </c>
      <c r="I113" s="21">
        <f>Data!C126</f>
        <v>0</v>
      </c>
      <c r="J113">
        <f>Data!D126</f>
        <v>0</v>
      </c>
      <c r="K113">
        <f>Data!E126</f>
        <v>0</v>
      </c>
      <c r="L113">
        <f>Data!F126</f>
        <v>0</v>
      </c>
      <c r="M113">
        <f>Data!G126</f>
        <v>0</v>
      </c>
      <c r="N113">
        <f>Data!H126</f>
        <v>0</v>
      </c>
      <c r="O113">
        <f>Data!I126</f>
        <v>0</v>
      </c>
      <c r="P113" s="21">
        <f>Data!J126</f>
        <v>0</v>
      </c>
      <c r="Q113">
        <f>Data!K126</f>
        <v>0</v>
      </c>
      <c r="R113">
        <f>Data!L126</f>
        <v>0</v>
      </c>
      <c r="S113">
        <f>Data!M126</f>
        <v>0</v>
      </c>
      <c r="T113">
        <f>Data!N126</f>
        <v>0</v>
      </c>
      <c r="U113">
        <f>Data!O126</f>
        <v>0</v>
      </c>
      <c r="V113" s="33">
        <f>Data!P126</f>
        <v>0</v>
      </c>
    </row>
    <row r="114" spans="7:22" x14ac:dyDescent="0.25">
      <c r="G114">
        <f>Data!A127</f>
        <v>0</v>
      </c>
      <c r="H114" s="21">
        <f>Data!B127</f>
        <v>0</v>
      </c>
      <c r="I114" s="21">
        <f>Data!C127</f>
        <v>0</v>
      </c>
      <c r="J114">
        <f>Data!D127</f>
        <v>0</v>
      </c>
      <c r="K114">
        <f>Data!E127</f>
        <v>0</v>
      </c>
      <c r="L114">
        <f>Data!F127</f>
        <v>0</v>
      </c>
      <c r="M114">
        <f>Data!G127</f>
        <v>0</v>
      </c>
      <c r="N114">
        <f>Data!H127</f>
        <v>0</v>
      </c>
      <c r="O114">
        <f>Data!I127</f>
        <v>0</v>
      </c>
      <c r="P114" s="21">
        <f>Data!J127</f>
        <v>0</v>
      </c>
      <c r="Q114">
        <f>Data!K127</f>
        <v>0</v>
      </c>
      <c r="R114">
        <f>Data!L127</f>
        <v>0</v>
      </c>
      <c r="S114">
        <f>Data!M127</f>
        <v>0</v>
      </c>
      <c r="T114">
        <f>Data!N127</f>
        <v>0</v>
      </c>
      <c r="U114">
        <f>Data!O127</f>
        <v>0</v>
      </c>
      <c r="V114" s="33">
        <f>Data!P127</f>
        <v>0</v>
      </c>
    </row>
    <row r="115" spans="7:22" x14ac:dyDescent="0.25">
      <c r="G115">
        <f>Data!A128</f>
        <v>0</v>
      </c>
      <c r="H115" s="21">
        <f>Data!B128</f>
        <v>0</v>
      </c>
      <c r="I115" s="21">
        <f>Data!C128</f>
        <v>0</v>
      </c>
      <c r="J115">
        <f>Data!D128</f>
        <v>0</v>
      </c>
      <c r="K115">
        <f>Data!E128</f>
        <v>0</v>
      </c>
      <c r="L115">
        <f>Data!F128</f>
        <v>0</v>
      </c>
      <c r="M115">
        <f>Data!G128</f>
        <v>0</v>
      </c>
      <c r="N115">
        <f>Data!H128</f>
        <v>0</v>
      </c>
      <c r="O115">
        <f>Data!I128</f>
        <v>0</v>
      </c>
      <c r="P115" s="21">
        <f>Data!J128</f>
        <v>0</v>
      </c>
      <c r="Q115">
        <f>Data!K128</f>
        <v>0</v>
      </c>
      <c r="R115">
        <f>Data!L128</f>
        <v>0</v>
      </c>
      <c r="S115">
        <f>Data!M128</f>
        <v>0</v>
      </c>
      <c r="T115">
        <f>Data!N128</f>
        <v>0</v>
      </c>
      <c r="U115">
        <f>Data!O128</f>
        <v>0</v>
      </c>
      <c r="V115" s="33">
        <f>Data!P128</f>
        <v>0</v>
      </c>
    </row>
    <row r="116" spans="7:22" x14ac:dyDescent="0.25">
      <c r="G116">
        <f>Data!A129</f>
        <v>0</v>
      </c>
      <c r="H116" s="21">
        <f>Data!B129</f>
        <v>0</v>
      </c>
      <c r="I116" s="21">
        <f>Data!C129</f>
        <v>0</v>
      </c>
      <c r="J116">
        <f>Data!D129</f>
        <v>0</v>
      </c>
      <c r="K116">
        <f>Data!E129</f>
        <v>0</v>
      </c>
      <c r="L116">
        <f>Data!F129</f>
        <v>0</v>
      </c>
      <c r="M116">
        <f>Data!G129</f>
        <v>0</v>
      </c>
      <c r="N116">
        <f>Data!H129</f>
        <v>0</v>
      </c>
      <c r="O116">
        <f>Data!I129</f>
        <v>0</v>
      </c>
      <c r="P116" s="21">
        <f>Data!J129</f>
        <v>0</v>
      </c>
      <c r="Q116">
        <f>Data!K129</f>
        <v>0</v>
      </c>
      <c r="R116">
        <f>Data!L129</f>
        <v>0</v>
      </c>
      <c r="S116">
        <f>Data!M129</f>
        <v>0</v>
      </c>
      <c r="T116">
        <f>Data!N129</f>
        <v>0</v>
      </c>
      <c r="U116">
        <f>Data!O129</f>
        <v>0</v>
      </c>
      <c r="V116" s="33">
        <f>Data!P129</f>
        <v>0</v>
      </c>
    </row>
    <row r="117" spans="7:22" x14ac:dyDescent="0.25">
      <c r="G117">
        <f>Data!A130</f>
        <v>0</v>
      </c>
      <c r="H117" s="21">
        <f>Data!B130</f>
        <v>0</v>
      </c>
      <c r="I117" s="21">
        <f>Data!C130</f>
        <v>0</v>
      </c>
      <c r="J117">
        <f>Data!D130</f>
        <v>0</v>
      </c>
      <c r="K117">
        <f>Data!E130</f>
        <v>0</v>
      </c>
      <c r="L117">
        <f>Data!F130</f>
        <v>0</v>
      </c>
      <c r="M117">
        <f>Data!G130</f>
        <v>0</v>
      </c>
      <c r="N117">
        <f>Data!H130</f>
        <v>0</v>
      </c>
      <c r="O117">
        <f>Data!I130</f>
        <v>0</v>
      </c>
      <c r="P117" s="21">
        <f>Data!J130</f>
        <v>0</v>
      </c>
      <c r="Q117">
        <f>Data!K130</f>
        <v>0</v>
      </c>
      <c r="R117">
        <f>Data!L130</f>
        <v>0</v>
      </c>
      <c r="S117">
        <f>Data!M130</f>
        <v>0</v>
      </c>
      <c r="T117">
        <f>Data!N130</f>
        <v>0</v>
      </c>
      <c r="U117">
        <f>Data!O130</f>
        <v>0</v>
      </c>
      <c r="V117" s="33">
        <f>Data!P130</f>
        <v>0</v>
      </c>
    </row>
    <row r="118" spans="7:22" x14ac:dyDescent="0.25">
      <c r="G118">
        <f>Data!A131</f>
        <v>0</v>
      </c>
      <c r="H118" s="21">
        <f>Data!B131</f>
        <v>0</v>
      </c>
      <c r="I118" s="21">
        <f>Data!C131</f>
        <v>0</v>
      </c>
      <c r="J118">
        <f>Data!D131</f>
        <v>0</v>
      </c>
      <c r="K118">
        <f>Data!E131</f>
        <v>0</v>
      </c>
      <c r="L118">
        <f>Data!F131</f>
        <v>0</v>
      </c>
      <c r="M118">
        <f>Data!G131</f>
        <v>0</v>
      </c>
      <c r="N118">
        <f>Data!H131</f>
        <v>0</v>
      </c>
      <c r="O118">
        <f>Data!I131</f>
        <v>0</v>
      </c>
      <c r="P118" s="21">
        <f>Data!J131</f>
        <v>0</v>
      </c>
      <c r="Q118">
        <f>Data!K131</f>
        <v>0</v>
      </c>
      <c r="R118">
        <f>Data!L131</f>
        <v>0</v>
      </c>
      <c r="S118">
        <f>Data!M131</f>
        <v>0</v>
      </c>
      <c r="T118">
        <f>Data!N131</f>
        <v>0</v>
      </c>
      <c r="U118">
        <f>Data!O131</f>
        <v>0</v>
      </c>
      <c r="V118" s="33">
        <f>Data!P131</f>
        <v>0</v>
      </c>
    </row>
    <row r="119" spans="7:22" x14ac:dyDescent="0.25">
      <c r="G119">
        <f>Data!A132</f>
        <v>0</v>
      </c>
      <c r="H119" s="21">
        <f>Data!B132</f>
        <v>0</v>
      </c>
      <c r="I119" s="21">
        <f>Data!C132</f>
        <v>0</v>
      </c>
      <c r="J119">
        <f>Data!D132</f>
        <v>0</v>
      </c>
      <c r="K119">
        <f>Data!E132</f>
        <v>0</v>
      </c>
      <c r="L119">
        <f>Data!F132</f>
        <v>0</v>
      </c>
      <c r="M119">
        <f>Data!G132</f>
        <v>0</v>
      </c>
      <c r="N119">
        <f>Data!H132</f>
        <v>0</v>
      </c>
      <c r="O119">
        <f>Data!I132</f>
        <v>0</v>
      </c>
      <c r="P119" s="21">
        <f>Data!J132</f>
        <v>0</v>
      </c>
      <c r="Q119">
        <f>Data!K132</f>
        <v>0</v>
      </c>
      <c r="R119">
        <f>Data!L132</f>
        <v>0</v>
      </c>
      <c r="S119">
        <f>Data!M132</f>
        <v>0</v>
      </c>
      <c r="T119">
        <f>Data!N132</f>
        <v>0</v>
      </c>
      <c r="U119">
        <f>Data!O132</f>
        <v>0</v>
      </c>
      <c r="V119" s="33">
        <f>Data!P132</f>
        <v>0</v>
      </c>
    </row>
    <row r="120" spans="7:22" x14ac:dyDescent="0.25">
      <c r="G120">
        <f>Data!A133</f>
        <v>0</v>
      </c>
      <c r="H120" s="21">
        <f>Data!B133</f>
        <v>0</v>
      </c>
      <c r="I120" s="21">
        <f>Data!C133</f>
        <v>0</v>
      </c>
      <c r="J120">
        <f>Data!D133</f>
        <v>0</v>
      </c>
      <c r="K120">
        <f>Data!E133</f>
        <v>0</v>
      </c>
      <c r="L120">
        <f>Data!F133</f>
        <v>0</v>
      </c>
      <c r="M120">
        <f>Data!G133</f>
        <v>0</v>
      </c>
      <c r="N120">
        <f>Data!H133</f>
        <v>0</v>
      </c>
      <c r="O120">
        <f>Data!I133</f>
        <v>0</v>
      </c>
      <c r="P120" s="21">
        <f>Data!J133</f>
        <v>0</v>
      </c>
      <c r="Q120">
        <f>Data!K133</f>
        <v>0</v>
      </c>
      <c r="R120">
        <f>Data!L133</f>
        <v>0</v>
      </c>
      <c r="S120">
        <f>Data!M133</f>
        <v>0</v>
      </c>
      <c r="T120">
        <f>Data!N133</f>
        <v>0</v>
      </c>
      <c r="U120">
        <f>Data!O133</f>
        <v>0</v>
      </c>
      <c r="V120" s="33">
        <f>Data!P133</f>
        <v>0</v>
      </c>
    </row>
    <row r="121" spans="7:22" x14ac:dyDescent="0.25">
      <c r="G121">
        <f>Data!A134</f>
        <v>0</v>
      </c>
      <c r="H121" s="21">
        <f>Data!B134</f>
        <v>0</v>
      </c>
      <c r="I121" s="21">
        <f>Data!C134</f>
        <v>0</v>
      </c>
      <c r="J121">
        <f>Data!D134</f>
        <v>0</v>
      </c>
      <c r="K121">
        <f>Data!E134</f>
        <v>0</v>
      </c>
      <c r="L121">
        <f>Data!F134</f>
        <v>0</v>
      </c>
      <c r="M121">
        <f>Data!G134</f>
        <v>0</v>
      </c>
      <c r="N121">
        <f>Data!H134</f>
        <v>0</v>
      </c>
      <c r="O121">
        <f>Data!I134</f>
        <v>0</v>
      </c>
      <c r="P121" s="21">
        <f>Data!J134</f>
        <v>0</v>
      </c>
      <c r="Q121">
        <f>Data!K134</f>
        <v>0</v>
      </c>
      <c r="R121">
        <f>Data!L134</f>
        <v>0</v>
      </c>
      <c r="S121">
        <f>Data!M134</f>
        <v>0</v>
      </c>
      <c r="T121">
        <f>Data!N134</f>
        <v>0</v>
      </c>
      <c r="U121">
        <f>Data!O134</f>
        <v>0</v>
      </c>
      <c r="V121" s="33">
        <f>Data!P134</f>
        <v>0</v>
      </c>
    </row>
    <row r="122" spans="7:22" x14ac:dyDescent="0.25">
      <c r="G122">
        <f>Data!A135</f>
        <v>0</v>
      </c>
      <c r="H122" s="21">
        <f>Data!B135</f>
        <v>0</v>
      </c>
      <c r="I122" s="21">
        <f>Data!C135</f>
        <v>0</v>
      </c>
      <c r="J122">
        <f>Data!D135</f>
        <v>0</v>
      </c>
      <c r="K122">
        <f>Data!E135</f>
        <v>0</v>
      </c>
      <c r="L122">
        <f>Data!F135</f>
        <v>0</v>
      </c>
      <c r="M122">
        <f>Data!G135</f>
        <v>0</v>
      </c>
      <c r="N122">
        <f>Data!H135</f>
        <v>0</v>
      </c>
      <c r="O122">
        <f>Data!I135</f>
        <v>0</v>
      </c>
      <c r="P122" s="21">
        <f>Data!J135</f>
        <v>0</v>
      </c>
      <c r="Q122">
        <f>Data!K135</f>
        <v>0</v>
      </c>
      <c r="R122">
        <f>Data!L135</f>
        <v>0</v>
      </c>
      <c r="S122">
        <f>Data!M135</f>
        <v>0</v>
      </c>
      <c r="T122">
        <f>Data!N135</f>
        <v>0</v>
      </c>
      <c r="U122">
        <f>Data!O135</f>
        <v>0</v>
      </c>
      <c r="V122" s="33">
        <f>Data!P135</f>
        <v>0</v>
      </c>
    </row>
    <row r="123" spans="7:22" x14ac:dyDescent="0.25">
      <c r="G123">
        <f>Data!A136</f>
        <v>0</v>
      </c>
      <c r="H123" s="21">
        <f>Data!B136</f>
        <v>0</v>
      </c>
      <c r="I123" s="21">
        <f>Data!C136</f>
        <v>0</v>
      </c>
      <c r="J123">
        <f>Data!D136</f>
        <v>0</v>
      </c>
      <c r="K123">
        <f>Data!E136</f>
        <v>0</v>
      </c>
      <c r="L123">
        <f>Data!F136</f>
        <v>0</v>
      </c>
      <c r="M123">
        <f>Data!G136</f>
        <v>0</v>
      </c>
      <c r="N123">
        <f>Data!H136</f>
        <v>0</v>
      </c>
      <c r="O123">
        <f>Data!I136</f>
        <v>0</v>
      </c>
      <c r="P123" s="21">
        <f>Data!J136</f>
        <v>0</v>
      </c>
      <c r="Q123">
        <f>Data!K136</f>
        <v>0</v>
      </c>
      <c r="R123">
        <f>Data!L136</f>
        <v>0</v>
      </c>
      <c r="S123">
        <f>Data!M136</f>
        <v>0</v>
      </c>
      <c r="T123">
        <f>Data!N136</f>
        <v>0</v>
      </c>
      <c r="U123">
        <f>Data!O136</f>
        <v>0</v>
      </c>
      <c r="V123" s="33">
        <f>Data!P136</f>
        <v>0</v>
      </c>
    </row>
    <row r="124" spans="7:22" x14ac:dyDescent="0.25">
      <c r="G124">
        <f>Data!A137</f>
        <v>0</v>
      </c>
      <c r="H124" s="21">
        <f>Data!B137</f>
        <v>0</v>
      </c>
      <c r="I124" s="21">
        <f>Data!C137</f>
        <v>0</v>
      </c>
      <c r="J124">
        <f>Data!D137</f>
        <v>0</v>
      </c>
      <c r="K124">
        <f>Data!E137</f>
        <v>0</v>
      </c>
      <c r="L124">
        <f>Data!F137</f>
        <v>0</v>
      </c>
      <c r="M124">
        <f>Data!G137</f>
        <v>0</v>
      </c>
      <c r="N124">
        <f>Data!H137</f>
        <v>0</v>
      </c>
      <c r="O124">
        <f>Data!I137</f>
        <v>0</v>
      </c>
      <c r="P124" s="21">
        <f>Data!J137</f>
        <v>0</v>
      </c>
      <c r="Q124">
        <f>Data!K137</f>
        <v>0</v>
      </c>
      <c r="R124">
        <f>Data!L137</f>
        <v>0</v>
      </c>
      <c r="S124">
        <f>Data!M137</f>
        <v>0</v>
      </c>
      <c r="T124">
        <f>Data!N137</f>
        <v>0</v>
      </c>
      <c r="U124">
        <f>Data!O137</f>
        <v>0</v>
      </c>
      <c r="V124" s="33">
        <f>Data!P137</f>
        <v>0</v>
      </c>
    </row>
    <row r="125" spans="7:22" x14ac:dyDescent="0.25">
      <c r="G125">
        <f>Data!A138</f>
        <v>0</v>
      </c>
      <c r="H125" s="21">
        <f>Data!B138</f>
        <v>0</v>
      </c>
      <c r="I125" s="21">
        <f>Data!C138</f>
        <v>0</v>
      </c>
      <c r="J125">
        <f>Data!D138</f>
        <v>0</v>
      </c>
      <c r="K125">
        <f>Data!E138</f>
        <v>0</v>
      </c>
      <c r="L125">
        <f>Data!F138</f>
        <v>0</v>
      </c>
      <c r="M125">
        <f>Data!G138</f>
        <v>0</v>
      </c>
      <c r="N125">
        <f>Data!H138</f>
        <v>0</v>
      </c>
      <c r="O125">
        <f>Data!I138</f>
        <v>0</v>
      </c>
      <c r="P125" s="21">
        <f>Data!J138</f>
        <v>0</v>
      </c>
      <c r="Q125">
        <f>Data!K138</f>
        <v>0</v>
      </c>
      <c r="R125">
        <f>Data!L138</f>
        <v>0</v>
      </c>
      <c r="S125">
        <f>Data!M138</f>
        <v>0</v>
      </c>
      <c r="T125">
        <f>Data!N138</f>
        <v>0</v>
      </c>
      <c r="U125">
        <f>Data!O138</f>
        <v>0</v>
      </c>
      <c r="V125" s="33">
        <f>Data!P138</f>
        <v>0</v>
      </c>
    </row>
    <row r="126" spans="7:22" x14ac:dyDescent="0.25">
      <c r="G126">
        <f>Data!A139</f>
        <v>0</v>
      </c>
      <c r="H126" s="21">
        <f>Data!B139</f>
        <v>0</v>
      </c>
      <c r="I126" s="21">
        <f>Data!C139</f>
        <v>0</v>
      </c>
      <c r="J126">
        <f>Data!D139</f>
        <v>0</v>
      </c>
      <c r="K126">
        <f>Data!E139</f>
        <v>0</v>
      </c>
      <c r="L126">
        <f>Data!F139</f>
        <v>0</v>
      </c>
      <c r="M126">
        <f>Data!G139</f>
        <v>0</v>
      </c>
      <c r="N126">
        <f>Data!H139</f>
        <v>0</v>
      </c>
      <c r="O126">
        <f>Data!I139</f>
        <v>0</v>
      </c>
      <c r="P126" s="21">
        <f>Data!J139</f>
        <v>0</v>
      </c>
      <c r="Q126">
        <f>Data!K139</f>
        <v>0</v>
      </c>
      <c r="R126">
        <f>Data!L139</f>
        <v>0</v>
      </c>
      <c r="S126">
        <f>Data!M139</f>
        <v>0</v>
      </c>
      <c r="T126">
        <f>Data!N139</f>
        <v>0</v>
      </c>
      <c r="U126">
        <f>Data!O139</f>
        <v>0</v>
      </c>
      <c r="V126" s="33">
        <f>Data!P139</f>
        <v>0</v>
      </c>
    </row>
    <row r="127" spans="7:22" x14ac:dyDescent="0.25">
      <c r="G127">
        <f>Data!A140</f>
        <v>0</v>
      </c>
      <c r="H127" s="21">
        <f>Data!B140</f>
        <v>0</v>
      </c>
      <c r="I127" s="21">
        <f>Data!C140</f>
        <v>0</v>
      </c>
      <c r="J127">
        <f>Data!D140</f>
        <v>0</v>
      </c>
      <c r="K127">
        <f>Data!E140</f>
        <v>0</v>
      </c>
      <c r="L127">
        <f>Data!F140</f>
        <v>0</v>
      </c>
      <c r="M127">
        <f>Data!G140</f>
        <v>0</v>
      </c>
      <c r="N127">
        <f>Data!H140</f>
        <v>0</v>
      </c>
      <c r="O127">
        <f>Data!I140</f>
        <v>0</v>
      </c>
      <c r="P127" s="21">
        <f>Data!J140</f>
        <v>0</v>
      </c>
      <c r="Q127">
        <f>Data!K140</f>
        <v>0</v>
      </c>
      <c r="R127">
        <f>Data!L140</f>
        <v>0</v>
      </c>
      <c r="S127">
        <f>Data!M140</f>
        <v>0</v>
      </c>
      <c r="T127">
        <f>Data!N140</f>
        <v>0</v>
      </c>
      <c r="U127">
        <f>Data!O140</f>
        <v>0</v>
      </c>
      <c r="V127" s="33">
        <f>Data!P140</f>
        <v>0</v>
      </c>
    </row>
    <row r="128" spans="7:22" x14ac:dyDescent="0.25">
      <c r="G128">
        <f>Data!A141</f>
        <v>0</v>
      </c>
      <c r="H128" s="21">
        <f>Data!B141</f>
        <v>0</v>
      </c>
      <c r="I128" s="21">
        <f>Data!C141</f>
        <v>0</v>
      </c>
      <c r="J128">
        <f>Data!D141</f>
        <v>0</v>
      </c>
      <c r="K128">
        <f>Data!E141</f>
        <v>0</v>
      </c>
      <c r="L128">
        <f>Data!F141</f>
        <v>0</v>
      </c>
      <c r="M128">
        <f>Data!G141</f>
        <v>0</v>
      </c>
      <c r="N128">
        <f>Data!H141</f>
        <v>0</v>
      </c>
      <c r="O128">
        <f>Data!I141</f>
        <v>0</v>
      </c>
      <c r="P128" s="21">
        <f>Data!J141</f>
        <v>0</v>
      </c>
      <c r="Q128">
        <f>Data!K141</f>
        <v>0</v>
      </c>
      <c r="R128">
        <f>Data!L141</f>
        <v>0</v>
      </c>
      <c r="S128">
        <f>Data!M141</f>
        <v>0</v>
      </c>
      <c r="T128">
        <f>Data!N141</f>
        <v>0</v>
      </c>
      <c r="U128">
        <f>Data!O141</f>
        <v>0</v>
      </c>
      <c r="V128" s="33">
        <f>Data!P141</f>
        <v>0</v>
      </c>
    </row>
    <row r="129" spans="7:22" x14ac:dyDescent="0.25">
      <c r="G129">
        <f>Data!A142</f>
        <v>0</v>
      </c>
      <c r="H129" s="21">
        <f>Data!B142</f>
        <v>0</v>
      </c>
      <c r="I129" s="21">
        <f>Data!C142</f>
        <v>0</v>
      </c>
      <c r="J129">
        <f>Data!D142</f>
        <v>0</v>
      </c>
      <c r="K129">
        <f>Data!E142</f>
        <v>0</v>
      </c>
      <c r="L129">
        <f>Data!F142</f>
        <v>0</v>
      </c>
      <c r="M129">
        <f>Data!G142</f>
        <v>0</v>
      </c>
      <c r="N129">
        <f>Data!H142</f>
        <v>0</v>
      </c>
      <c r="O129">
        <f>Data!I142</f>
        <v>0</v>
      </c>
      <c r="P129" s="21">
        <f>Data!J142</f>
        <v>0</v>
      </c>
      <c r="Q129">
        <f>Data!K142</f>
        <v>0</v>
      </c>
      <c r="R129">
        <f>Data!L142</f>
        <v>0</v>
      </c>
      <c r="S129">
        <f>Data!M142</f>
        <v>0</v>
      </c>
      <c r="T129">
        <f>Data!N142</f>
        <v>0</v>
      </c>
      <c r="U129">
        <f>Data!O142</f>
        <v>0</v>
      </c>
      <c r="V129" s="33">
        <f>Data!P142</f>
        <v>0</v>
      </c>
    </row>
    <row r="130" spans="7:22" x14ac:dyDescent="0.25">
      <c r="G130">
        <f>Data!A143</f>
        <v>0</v>
      </c>
      <c r="H130" s="21">
        <f>Data!B143</f>
        <v>0</v>
      </c>
      <c r="I130" s="21">
        <f>Data!C143</f>
        <v>0</v>
      </c>
      <c r="J130">
        <f>Data!D143</f>
        <v>0</v>
      </c>
      <c r="K130">
        <f>Data!E143</f>
        <v>0</v>
      </c>
      <c r="L130">
        <f>Data!F143</f>
        <v>0</v>
      </c>
      <c r="M130">
        <f>Data!G143</f>
        <v>0</v>
      </c>
      <c r="N130">
        <f>Data!H143</f>
        <v>0</v>
      </c>
      <c r="O130">
        <f>Data!I143</f>
        <v>0</v>
      </c>
      <c r="P130" s="21">
        <f>Data!J143</f>
        <v>0</v>
      </c>
      <c r="Q130">
        <f>Data!K143</f>
        <v>0</v>
      </c>
      <c r="R130">
        <f>Data!L143</f>
        <v>0</v>
      </c>
      <c r="S130">
        <f>Data!M143</f>
        <v>0</v>
      </c>
      <c r="T130">
        <f>Data!N143</f>
        <v>0</v>
      </c>
      <c r="U130">
        <f>Data!O143</f>
        <v>0</v>
      </c>
      <c r="V130" s="33">
        <f>Data!P143</f>
        <v>0</v>
      </c>
    </row>
    <row r="131" spans="7:22" x14ac:dyDescent="0.25">
      <c r="G131">
        <f>Data!A144</f>
        <v>0</v>
      </c>
      <c r="H131" s="21">
        <f>Data!B144</f>
        <v>0</v>
      </c>
      <c r="I131" s="21">
        <f>Data!C144</f>
        <v>0</v>
      </c>
      <c r="J131">
        <f>Data!D144</f>
        <v>0</v>
      </c>
      <c r="K131">
        <f>Data!E144</f>
        <v>0</v>
      </c>
      <c r="L131">
        <f>Data!F144</f>
        <v>0</v>
      </c>
      <c r="M131">
        <f>Data!G144</f>
        <v>0</v>
      </c>
      <c r="N131">
        <f>Data!H144</f>
        <v>0</v>
      </c>
      <c r="O131">
        <f>Data!I144</f>
        <v>0</v>
      </c>
      <c r="P131" s="21">
        <f>Data!J144</f>
        <v>0</v>
      </c>
      <c r="Q131">
        <f>Data!K144</f>
        <v>0</v>
      </c>
      <c r="R131">
        <f>Data!L144</f>
        <v>0</v>
      </c>
      <c r="S131">
        <f>Data!M144</f>
        <v>0</v>
      </c>
      <c r="T131">
        <f>Data!N144</f>
        <v>0</v>
      </c>
      <c r="U131">
        <f>Data!O144</f>
        <v>0</v>
      </c>
      <c r="V131" s="33">
        <f>Data!P144</f>
        <v>0</v>
      </c>
    </row>
    <row r="132" spans="7:22" x14ac:dyDescent="0.25">
      <c r="G132">
        <f>Data!A145</f>
        <v>0</v>
      </c>
      <c r="H132" s="21">
        <f>Data!B145</f>
        <v>0</v>
      </c>
      <c r="I132" s="21">
        <f>Data!C145</f>
        <v>0</v>
      </c>
      <c r="J132">
        <f>Data!D145</f>
        <v>0</v>
      </c>
      <c r="K132">
        <f>Data!E145</f>
        <v>0</v>
      </c>
      <c r="L132">
        <f>Data!F145</f>
        <v>0</v>
      </c>
      <c r="M132">
        <f>Data!G145</f>
        <v>0</v>
      </c>
      <c r="N132">
        <f>Data!H145</f>
        <v>0</v>
      </c>
      <c r="O132">
        <f>Data!I145</f>
        <v>0</v>
      </c>
      <c r="P132" s="21">
        <f>Data!J145</f>
        <v>0</v>
      </c>
      <c r="Q132">
        <f>Data!K145</f>
        <v>0</v>
      </c>
      <c r="R132">
        <f>Data!L145</f>
        <v>0</v>
      </c>
      <c r="S132">
        <f>Data!M145</f>
        <v>0</v>
      </c>
      <c r="T132">
        <f>Data!N145</f>
        <v>0</v>
      </c>
      <c r="U132">
        <f>Data!O145</f>
        <v>0</v>
      </c>
      <c r="V132" s="33">
        <f>Data!P145</f>
        <v>0</v>
      </c>
    </row>
    <row r="133" spans="7:22" x14ac:dyDescent="0.25">
      <c r="G133">
        <f>Data!A146</f>
        <v>0</v>
      </c>
      <c r="H133" s="21">
        <f>Data!B146</f>
        <v>0</v>
      </c>
      <c r="I133" s="21">
        <f>Data!C146</f>
        <v>0</v>
      </c>
      <c r="J133">
        <f>Data!D146</f>
        <v>0</v>
      </c>
      <c r="K133">
        <f>Data!E146</f>
        <v>0</v>
      </c>
      <c r="L133">
        <f>Data!F146</f>
        <v>0</v>
      </c>
      <c r="M133">
        <f>Data!G146</f>
        <v>0</v>
      </c>
      <c r="N133">
        <f>Data!H146</f>
        <v>0</v>
      </c>
      <c r="O133">
        <f>Data!I146</f>
        <v>0</v>
      </c>
      <c r="P133" s="21">
        <f>Data!J146</f>
        <v>0</v>
      </c>
      <c r="Q133">
        <f>Data!K146</f>
        <v>0</v>
      </c>
      <c r="R133">
        <f>Data!L146</f>
        <v>0</v>
      </c>
      <c r="S133">
        <f>Data!M146</f>
        <v>0</v>
      </c>
      <c r="T133">
        <f>Data!N146</f>
        <v>0</v>
      </c>
      <c r="U133">
        <f>Data!O146</f>
        <v>0</v>
      </c>
      <c r="V133" s="33">
        <f>Data!P146</f>
        <v>0</v>
      </c>
    </row>
    <row r="134" spans="7:22" x14ac:dyDescent="0.25">
      <c r="G134">
        <f>Data!A147</f>
        <v>0</v>
      </c>
      <c r="H134" s="21">
        <f>Data!B147</f>
        <v>0</v>
      </c>
      <c r="I134" s="21">
        <f>Data!C147</f>
        <v>0</v>
      </c>
      <c r="J134">
        <f>Data!D147</f>
        <v>0</v>
      </c>
      <c r="K134">
        <f>Data!E147</f>
        <v>0</v>
      </c>
      <c r="L134">
        <f>Data!F147</f>
        <v>0</v>
      </c>
      <c r="M134">
        <f>Data!G147</f>
        <v>0</v>
      </c>
      <c r="N134">
        <f>Data!H147</f>
        <v>0</v>
      </c>
      <c r="O134">
        <f>Data!I147</f>
        <v>0</v>
      </c>
      <c r="P134" s="21">
        <f>Data!J147</f>
        <v>0</v>
      </c>
      <c r="Q134">
        <f>Data!K147</f>
        <v>0</v>
      </c>
      <c r="R134">
        <f>Data!L147</f>
        <v>0</v>
      </c>
      <c r="S134">
        <f>Data!M147</f>
        <v>0</v>
      </c>
      <c r="T134">
        <f>Data!N147</f>
        <v>0</v>
      </c>
      <c r="U134">
        <f>Data!O147</f>
        <v>0</v>
      </c>
      <c r="V134" s="33">
        <f>Data!P147</f>
        <v>0</v>
      </c>
    </row>
    <row r="135" spans="7:22" x14ac:dyDescent="0.25">
      <c r="G135">
        <f>Data!A148</f>
        <v>0</v>
      </c>
      <c r="H135" s="21">
        <f>Data!B148</f>
        <v>0</v>
      </c>
      <c r="I135" s="21">
        <f>Data!C148</f>
        <v>0</v>
      </c>
      <c r="J135">
        <f>Data!D148</f>
        <v>0</v>
      </c>
      <c r="K135">
        <f>Data!E148</f>
        <v>0</v>
      </c>
      <c r="L135">
        <f>Data!F148</f>
        <v>0</v>
      </c>
      <c r="M135">
        <f>Data!G148</f>
        <v>0</v>
      </c>
      <c r="N135">
        <f>Data!H148</f>
        <v>0</v>
      </c>
      <c r="O135">
        <f>Data!I148</f>
        <v>0</v>
      </c>
      <c r="P135" s="21">
        <f>Data!J148</f>
        <v>0</v>
      </c>
      <c r="Q135">
        <f>Data!K148</f>
        <v>0</v>
      </c>
      <c r="R135">
        <f>Data!L148</f>
        <v>0</v>
      </c>
      <c r="S135">
        <f>Data!M148</f>
        <v>0</v>
      </c>
      <c r="T135">
        <f>Data!N148</f>
        <v>0</v>
      </c>
      <c r="U135">
        <f>Data!O148</f>
        <v>0</v>
      </c>
      <c r="V135" s="33">
        <f>Data!P148</f>
        <v>0</v>
      </c>
    </row>
    <row r="136" spans="7:22" x14ac:dyDescent="0.25">
      <c r="G136">
        <f>Data!A149</f>
        <v>0</v>
      </c>
      <c r="H136" s="21">
        <f>Data!B149</f>
        <v>0</v>
      </c>
      <c r="I136" s="21">
        <f>Data!C149</f>
        <v>0</v>
      </c>
      <c r="J136">
        <f>Data!D149</f>
        <v>0</v>
      </c>
      <c r="K136">
        <f>Data!E149</f>
        <v>0</v>
      </c>
      <c r="L136">
        <f>Data!F149</f>
        <v>0</v>
      </c>
      <c r="M136">
        <f>Data!G149</f>
        <v>0</v>
      </c>
      <c r="N136">
        <f>Data!H149</f>
        <v>0</v>
      </c>
      <c r="O136">
        <f>Data!I149</f>
        <v>0</v>
      </c>
      <c r="P136" s="21">
        <f>Data!J149</f>
        <v>0</v>
      </c>
      <c r="Q136">
        <f>Data!K149</f>
        <v>0</v>
      </c>
      <c r="R136">
        <f>Data!L149</f>
        <v>0</v>
      </c>
      <c r="S136">
        <f>Data!M149</f>
        <v>0</v>
      </c>
      <c r="T136">
        <f>Data!N149</f>
        <v>0</v>
      </c>
      <c r="U136">
        <f>Data!O149</f>
        <v>0</v>
      </c>
      <c r="V136" s="33">
        <f>Data!P149</f>
        <v>0</v>
      </c>
    </row>
    <row r="137" spans="7:22" x14ac:dyDescent="0.25">
      <c r="G137">
        <f>Data!A150</f>
        <v>0</v>
      </c>
      <c r="H137" s="21">
        <f>Data!B150</f>
        <v>0</v>
      </c>
      <c r="I137" s="21">
        <f>Data!C150</f>
        <v>0</v>
      </c>
      <c r="J137">
        <f>Data!D150</f>
        <v>0</v>
      </c>
      <c r="K137">
        <f>Data!E150</f>
        <v>0</v>
      </c>
      <c r="L137">
        <f>Data!F150</f>
        <v>0</v>
      </c>
      <c r="M137">
        <f>Data!G150</f>
        <v>0</v>
      </c>
      <c r="N137">
        <f>Data!H150</f>
        <v>0</v>
      </c>
      <c r="O137">
        <f>Data!I150</f>
        <v>0</v>
      </c>
      <c r="P137" s="21">
        <f>Data!J150</f>
        <v>0</v>
      </c>
      <c r="Q137">
        <f>Data!K150</f>
        <v>0</v>
      </c>
      <c r="R137">
        <f>Data!L150</f>
        <v>0</v>
      </c>
      <c r="S137">
        <f>Data!M150</f>
        <v>0</v>
      </c>
      <c r="T137">
        <f>Data!N150</f>
        <v>0</v>
      </c>
      <c r="U137">
        <f>Data!O150</f>
        <v>0</v>
      </c>
      <c r="V137" s="33">
        <f>Data!P150</f>
        <v>0</v>
      </c>
    </row>
    <row r="138" spans="7:22" x14ac:dyDescent="0.25">
      <c r="G138">
        <f>Data!A151</f>
        <v>0</v>
      </c>
      <c r="H138" s="21">
        <f>Data!B151</f>
        <v>0</v>
      </c>
      <c r="I138" s="21">
        <f>Data!C151</f>
        <v>0</v>
      </c>
      <c r="J138">
        <f>Data!D151</f>
        <v>0</v>
      </c>
      <c r="K138">
        <f>Data!E151</f>
        <v>0</v>
      </c>
      <c r="L138">
        <f>Data!F151</f>
        <v>0</v>
      </c>
      <c r="M138">
        <f>Data!G151</f>
        <v>0</v>
      </c>
      <c r="N138">
        <f>Data!H151</f>
        <v>0</v>
      </c>
      <c r="O138">
        <f>Data!I151</f>
        <v>0</v>
      </c>
      <c r="P138" s="21">
        <f>Data!J151</f>
        <v>0</v>
      </c>
      <c r="Q138">
        <f>Data!K151</f>
        <v>0</v>
      </c>
      <c r="R138">
        <f>Data!L151</f>
        <v>0</v>
      </c>
      <c r="S138">
        <f>Data!M151</f>
        <v>0</v>
      </c>
      <c r="T138">
        <f>Data!N151</f>
        <v>0</v>
      </c>
      <c r="U138">
        <f>Data!O151</f>
        <v>0</v>
      </c>
      <c r="V138" s="33">
        <f>Data!P151</f>
        <v>0</v>
      </c>
    </row>
    <row r="139" spans="7:22" x14ac:dyDescent="0.25">
      <c r="G139">
        <f>Data!A152</f>
        <v>0</v>
      </c>
      <c r="H139" s="21">
        <f>Data!B152</f>
        <v>0</v>
      </c>
      <c r="I139" s="21">
        <f>Data!C152</f>
        <v>0</v>
      </c>
      <c r="J139">
        <f>Data!D152</f>
        <v>0</v>
      </c>
      <c r="K139">
        <f>Data!E152</f>
        <v>0</v>
      </c>
      <c r="L139">
        <f>Data!F152</f>
        <v>0</v>
      </c>
      <c r="M139">
        <f>Data!G152</f>
        <v>0</v>
      </c>
      <c r="N139">
        <f>Data!H152</f>
        <v>0</v>
      </c>
      <c r="O139">
        <f>Data!I152</f>
        <v>0</v>
      </c>
      <c r="P139" s="21">
        <f>Data!J152</f>
        <v>0</v>
      </c>
      <c r="Q139">
        <f>Data!K152</f>
        <v>0</v>
      </c>
      <c r="R139">
        <f>Data!L152</f>
        <v>0</v>
      </c>
      <c r="S139">
        <f>Data!M152</f>
        <v>0</v>
      </c>
      <c r="T139">
        <f>Data!N152</f>
        <v>0</v>
      </c>
      <c r="U139">
        <f>Data!O152</f>
        <v>0</v>
      </c>
      <c r="V139" s="33">
        <f>Data!P152</f>
        <v>0</v>
      </c>
    </row>
    <row r="140" spans="7:22" x14ac:dyDescent="0.25">
      <c r="G140">
        <f>Data!A153</f>
        <v>0</v>
      </c>
      <c r="H140" s="21">
        <f>Data!B153</f>
        <v>0</v>
      </c>
      <c r="I140" s="21">
        <f>Data!C153</f>
        <v>0</v>
      </c>
      <c r="J140">
        <f>Data!D153</f>
        <v>0</v>
      </c>
      <c r="K140">
        <f>Data!E153</f>
        <v>0</v>
      </c>
      <c r="L140">
        <f>Data!F153</f>
        <v>0</v>
      </c>
      <c r="M140">
        <f>Data!G153</f>
        <v>0</v>
      </c>
      <c r="N140">
        <f>Data!H153</f>
        <v>0</v>
      </c>
      <c r="O140">
        <f>Data!I153</f>
        <v>0</v>
      </c>
      <c r="P140" s="21">
        <f>Data!J153</f>
        <v>0</v>
      </c>
      <c r="Q140">
        <f>Data!K153</f>
        <v>0</v>
      </c>
      <c r="R140">
        <f>Data!L153</f>
        <v>0</v>
      </c>
      <c r="S140">
        <f>Data!M153</f>
        <v>0</v>
      </c>
      <c r="T140">
        <f>Data!N153</f>
        <v>0</v>
      </c>
      <c r="U140">
        <f>Data!O153</f>
        <v>0</v>
      </c>
      <c r="V140" s="33">
        <f>Data!P153</f>
        <v>0</v>
      </c>
    </row>
    <row r="141" spans="7:22" x14ac:dyDescent="0.25">
      <c r="G141">
        <f>Data!A154</f>
        <v>0</v>
      </c>
      <c r="H141" s="21">
        <f>Data!B154</f>
        <v>0</v>
      </c>
      <c r="I141" s="21">
        <f>Data!C154</f>
        <v>0</v>
      </c>
      <c r="J141">
        <f>Data!D154</f>
        <v>0</v>
      </c>
      <c r="K141">
        <f>Data!E154</f>
        <v>0</v>
      </c>
      <c r="L141">
        <f>Data!F154</f>
        <v>0</v>
      </c>
      <c r="M141">
        <f>Data!G154</f>
        <v>0</v>
      </c>
      <c r="N141">
        <f>Data!H154</f>
        <v>0</v>
      </c>
      <c r="O141">
        <f>Data!I154</f>
        <v>0</v>
      </c>
      <c r="P141" s="21">
        <f>Data!J154</f>
        <v>0</v>
      </c>
      <c r="Q141">
        <f>Data!K154</f>
        <v>0</v>
      </c>
      <c r="R141">
        <f>Data!L154</f>
        <v>0</v>
      </c>
      <c r="S141">
        <f>Data!M154</f>
        <v>0</v>
      </c>
      <c r="T141">
        <f>Data!N154</f>
        <v>0</v>
      </c>
      <c r="U141">
        <f>Data!O154</f>
        <v>0</v>
      </c>
      <c r="V141" s="33">
        <f>Data!P154</f>
        <v>0</v>
      </c>
    </row>
    <row r="142" spans="7:22" x14ac:dyDescent="0.25">
      <c r="G142">
        <f>Data!A155</f>
        <v>0</v>
      </c>
      <c r="H142" s="21">
        <f>Data!B155</f>
        <v>0</v>
      </c>
      <c r="I142" s="21">
        <f>Data!C155</f>
        <v>0</v>
      </c>
      <c r="J142">
        <f>Data!D155</f>
        <v>0</v>
      </c>
      <c r="K142">
        <f>Data!E155</f>
        <v>0</v>
      </c>
      <c r="L142">
        <f>Data!F155</f>
        <v>0</v>
      </c>
      <c r="M142">
        <f>Data!G155</f>
        <v>0</v>
      </c>
      <c r="N142">
        <f>Data!H155</f>
        <v>0</v>
      </c>
      <c r="O142">
        <f>Data!I155</f>
        <v>0</v>
      </c>
      <c r="P142" s="21">
        <f>Data!J155</f>
        <v>0</v>
      </c>
      <c r="Q142">
        <f>Data!K155</f>
        <v>0</v>
      </c>
      <c r="R142">
        <f>Data!L155</f>
        <v>0</v>
      </c>
      <c r="S142">
        <f>Data!M155</f>
        <v>0</v>
      </c>
      <c r="T142">
        <f>Data!N155</f>
        <v>0</v>
      </c>
      <c r="U142">
        <f>Data!O155</f>
        <v>0</v>
      </c>
      <c r="V142" s="33">
        <f>Data!P155</f>
        <v>0</v>
      </c>
    </row>
    <row r="143" spans="7:22" x14ac:dyDescent="0.25">
      <c r="G143">
        <f>Data!A156</f>
        <v>0</v>
      </c>
      <c r="H143" s="21">
        <f>Data!B156</f>
        <v>0</v>
      </c>
      <c r="I143" s="21">
        <f>Data!C156</f>
        <v>0</v>
      </c>
      <c r="J143">
        <f>Data!D156</f>
        <v>0</v>
      </c>
      <c r="K143">
        <f>Data!E156</f>
        <v>0</v>
      </c>
      <c r="L143">
        <f>Data!F156</f>
        <v>0</v>
      </c>
      <c r="M143">
        <f>Data!G156</f>
        <v>0</v>
      </c>
      <c r="N143">
        <f>Data!H156</f>
        <v>0</v>
      </c>
      <c r="O143">
        <f>Data!I156</f>
        <v>0</v>
      </c>
      <c r="P143" s="21">
        <f>Data!J156</f>
        <v>0</v>
      </c>
      <c r="Q143">
        <f>Data!K156</f>
        <v>0</v>
      </c>
      <c r="R143">
        <f>Data!L156</f>
        <v>0</v>
      </c>
      <c r="S143">
        <f>Data!M156</f>
        <v>0</v>
      </c>
      <c r="T143">
        <f>Data!N156</f>
        <v>0</v>
      </c>
      <c r="U143">
        <f>Data!O156</f>
        <v>0</v>
      </c>
      <c r="V143" s="33">
        <f>Data!P156</f>
        <v>0</v>
      </c>
    </row>
    <row r="144" spans="7:22" x14ac:dyDescent="0.25">
      <c r="G144">
        <f>Data!A157</f>
        <v>0</v>
      </c>
      <c r="H144" s="21">
        <f>Data!B157</f>
        <v>0</v>
      </c>
      <c r="I144" s="21">
        <f>Data!C157</f>
        <v>0</v>
      </c>
      <c r="J144">
        <f>Data!D157</f>
        <v>0</v>
      </c>
      <c r="K144">
        <f>Data!E157</f>
        <v>0</v>
      </c>
      <c r="L144">
        <f>Data!F157</f>
        <v>0</v>
      </c>
      <c r="M144">
        <f>Data!G157</f>
        <v>0</v>
      </c>
      <c r="N144">
        <f>Data!H157</f>
        <v>0</v>
      </c>
      <c r="O144">
        <f>Data!I157</f>
        <v>0</v>
      </c>
      <c r="P144" s="21">
        <f>Data!J157</f>
        <v>0</v>
      </c>
      <c r="Q144">
        <f>Data!K157</f>
        <v>0</v>
      </c>
      <c r="R144">
        <f>Data!L157</f>
        <v>0</v>
      </c>
      <c r="S144">
        <f>Data!M157</f>
        <v>0</v>
      </c>
      <c r="T144">
        <f>Data!N157</f>
        <v>0</v>
      </c>
      <c r="U144">
        <f>Data!O157</f>
        <v>0</v>
      </c>
      <c r="V144" s="33">
        <f>Data!P157</f>
        <v>0</v>
      </c>
    </row>
    <row r="145" spans="7:22" x14ac:dyDescent="0.25">
      <c r="G145">
        <f>Data!A158</f>
        <v>0</v>
      </c>
      <c r="H145" s="21">
        <f>Data!B158</f>
        <v>0</v>
      </c>
      <c r="I145" s="21">
        <f>Data!C158</f>
        <v>0</v>
      </c>
      <c r="J145">
        <f>Data!D158</f>
        <v>0</v>
      </c>
      <c r="K145">
        <f>Data!E158</f>
        <v>0</v>
      </c>
      <c r="L145">
        <f>Data!F158</f>
        <v>0</v>
      </c>
      <c r="M145">
        <f>Data!G158</f>
        <v>0</v>
      </c>
      <c r="N145">
        <f>Data!H158</f>
        <v>0</v>
      </c>
      <c r="O145">
        <f>Data!I158</f>
        <v>0</v>
      </c>
      <c r="P145" s="21">
        <f>Data!J158</f>
        <v>0</v>
      </c>
      <c r="Q145">
        <f>Data!K158</f>
        <v>0</v>
      </c>
      <c r="R145">
        <f>Data!L158</f>
        <v>0</v>
      </c>
      <c r="S145">
        <f>Data!M158</f>
        <v>0</v>
      </c>
      <c r="T145">
        <f>Data!N158</f>
        <v>0</v>
      </c>
      <c r="U145">
        <f>Data!O158</f>
        <v>0</v>
      </c>
      <c r="V145" s="33">
        <f>Data!P158</f>
        <v>0</v>
      </c>
    </row>
    <row r="146" spans="7:22" x14ac:dyDescent="0.25">
      <c r="G146">
        <f>Data!A159</f>
        <v>0</v>
      </c>
      <c r="H146" s="21">
        <f>Data!B159</f>
        <v>0</v>
      </c>
      <c r="I146" s="21">
        <f>Data!C159</f>
        <v>0</v>
      </c>
      <c r="J146">
        <f>Data!D159</f>
        <v>0</v>
      </c>
      <c r="K146">
        <f>Data!E159</f>
        <v>0</v>
      </c>
      <c r="L146">
        <f>Data!F159</f>
        <v>0</v>
      </c>
      <c r="M146">
        <f>Data!G159</f>
        <v>0</v>
      </c>
      <c r="N146">
        <f>Data!H159</f>
        <v>0</v>
      </c>
      <c r="O146">
        <f>Data!I159</f>
        <v>0</v>
      </c>
      <c r="P146" s="21">
        <f>Data!J159</f>
        <v>0</v>
      </c>
      <c r="Q146">
        <f>Data!K159</f>
        <v>0</v>
      </c>
      <c r="R146">
        <f>Data!L159</f>
        <v>0</v>
      </c>
      <c r="S146">
        <f>Data!M159</f>
        <v>0</v>
      </c>
      <c r="T146">
        <f>Data!N159</f>
        <v>0</v>
      </c>
      <c r="U146">
        <f>Data!O159</f>
        <v>0</v>
      </c>
      <c r="V146" s="33">
        <f>Data!P159</f>
        <v>0</v>
      </c>
    </row>
    <row r="147" spans="7:22" x14ac:dyDescent="0.25">
      <c r="G147">
        <f>Data!A160</f>
        <v>0</v>
      </c>
      <c r="H147" s="21">
        <f>Data!B160</f>
        <v>0</v>
      </c>
      <c r="I147" s="21">
        <f>Data!C160</f>
        <v>0</v>
      </c>
      <c r="J147">
        <f>Data!D160</f>
        <v>0</v>
      </c>
      <c r="K147">
        <f>Data!E160</f>
        <v>0</v>
      </c>
      <c r="L147">
        <f>Data!F160</f>
        <v>0</v>
      </c>
      <c r="M147">
        <f>Data!G160</f>
        <v>0</v>
      </c>
      <c r="N147">
        <f>Data!H160</f>
        <v>0</v>
      </c>
      <c r="O147">
        <f>Data!I160</f>
        <v>0</v>
      </c>
      <c r="P147" s="21">
        <f>Data!J160</f>
        <v>0</v>
      </c>
      <c r="Q147">
        <f>Data!K160</f>
        <v>0</v>
      </c>
      <c r="R147">
        <f>Data!L160</f>
        <v>0</v>
      </c>
      <c r="S147">
        <f>Data!M160</f>
        <v>0</v>
      </c>
      <c r="T147">
        <f>Data!N160</f>
        <v>0</v>
      </c>
      <c r="U147">
        <f>Data!O160</f>
        <v>0</v>
      </c>
      <c r="V147" s="33">
        <f>Data!P160</f>
        <v>0</v>
      </c>
    </row>
    <row r="148" spans="7:22" x14ac:dyDescent="0.25">
      <c r="G148">
        <f>Data!A161</f>
        <v>0</v>
      </c>
      <c r="H148" s="21">
        <f>Data!B161</f>
        <v>0</v>
      </c>
      <c r="I148" s="21">
        <f>Data!C161</f>
        <v>0</v>
      </c>
      <c r="J148">
        <f>Data!D161</f>
        <v>0</v>
      </c>
      <c r="K148">
        <f>Data!E161</f>
        <v>0</v>
      </c>
      <c r="L148">
        <f>Data!F161</f>
        <v>0</v>
      </c>
      <c r="M148">
        <f>Data!G161</f>
        <v>0</v>
      </c>
      <c r="N148">
        <f>Data!H161</f>
        <v>0</v>
      </c>
      <c r="O148">
        <f>Data!I161</f>
        <v>0</v>
      </c>
      <c r="P148" s="21">
        <f>Data!J161</f>
        <v>0</v>
      </c>
      <c r="Q148">
        <f>Data!K161</f>
        <v>0</v>
      </c>
      <c r="R148">
        <f>Data!L161</f>
        <v>0</v>
      </c>
      <c r="S148">
        <f>Data!M161</f>
        <v>0</v>
      </c>
      <c r="T148">
        <f>Data!N161</f>
        <v>0</v>
      </c>
      <c r="U148">
        <f>Data!O161</f>
        <v>0</v>
      </c>
      <c r="V148" s="33">
        <f>Data!P161</f>
        <v>0</v>
      </c>
    </row>
    <row r="149" spans="7:22" x14ac:dyDescent="0.25">
      <c r="G149">
        <f>Data!A162</f>
        <v>0</v>
      </c>
      <c r="H149" s="21">
        <f>Data!B162</f>
        <v>0</v>
      </c>
      <c r="I149" s="21">
        <f>Data!C162</f>
        <v>0</v>
      </c>
      <c r="J149">
        <f>Data!D162</f>
        <v>0</v>
      </c>
      <c r="K149">
        <f>Data!E162</f>
        <v>0</v>
      </c>
      <c r="L149">
        <f>Data!F162</f>
        <v>0</v>
      </c>
      <c r="M149">
        <f>Data!G162</f>
        <v>0</v>
      </c>
      <c r="N149">
        <f>Data!H162</f>
        <v>0</v>
      </c>
      <c r="O149">
        <f>Data!I162</f>
        <v>0</v>
      </c>
      <c r="P149" s="21">
        <f>Data!J162</f>
        <v>0</v>
      </c>
      <c r="Q149">
        <f>Data!K162</f>
        <v>0</v>
      </c>
      <c r="R149">
        <f>Data!L162</f>
        <v>0</v>
      </c>
      <c r="S149">
        <f>Data!M162</f>
        <v>0</v>
      </c>
      <c r="T149">
        <f>Data!N162</f>
        <v>0</v>
      </c>
      <c r="U149">
        <f>Data!O162</f>
        <v>0</v>
      </c>
      <c r="V149" s="33">
        <f>Data!P162</f>
        <v>0</v>
      </c>
    </row>
    <row r="150" spans="7:22" x14ac:dyDescent="0.25">
      <c r="G150">
        <f>Data!A163</f>
        <v>0</v>
      </c>
      <c r="H150" s="21">
        <f>Data!B163</f>
        <v>0</v>
      </c>
      <c r="I150" s="21">
        <f>Data!C163</f>
        <v>0</v>
      </c>
      <c r="J150">
        <f>Data!D163</f>
        <v>0</v>
      </c>
      <c r="K150">
        <f>Data!E163</f>
        <v>0</v>
      </c>
      <c r="L150">
        <f>Data!F163</f>
        <v>0</v>
      </c>
      <c r="M150">
        <f>Data!G163</f>
        <v>0</v>
      </c>
      <c r="N150">
        <f>Data!H163</f>
        <v>0</v>
      </c>
      <c r="O150">
        <f>Data!I163</f>
        <v>0</v>
      </c>
      <c r="P150" s="21">
        <f>Data!J163</f>
        <v>0</v>
      </c>
      <c r="Q150">
        <f>Data!K163</f>
        <v>0</v>
      </c>
      <c r="R150">
        <f>Data!L163</f>
        <v>0</v>
      </c>
      <c r="S150">
        <f>Data!M163</f>
        <v>0</v>
      </c>
      <c r="T150">
        <f>Data!N163</f>
        <v>0</v>
      </c>
      <c r="U150">
        <f>Data!O163</f>
        <v>0</v>
      </c>
      <c r="V150" s="33">
        <f>Data!P163</f>
        <v>0</v>
      </c>
    </row>
    <row r="151" spans="7:22" x14ac:dyDescent="0.25">
      <c r="G151">
        <f>Data!A164</f>
        <v>0</v>
      </c>
      <c r="H151" s="21">
        <f>Data!B164</f>
        <v>0</v>
      </c>
      <c r="I151" s="21">
        <f>Data!C164</f>
        <v>0</v>
      </c>
      <c r="J151">
        <f>Data!D164</f>
        <v>0</v>
      </c>
      <c r="K151">
        <f>Data!E164</f>
        <v>0</v>
      </c>
      <c r="L151">
        <f>Data!F164</f>
        <v>0</v>
      </c>
      <c r="M151">
        <f>Data!G164</f>
        <v>0</v>
      </c>
      <c r="N151">
        <f>Data!H164</f>
        <v>0</v>
      </c>
      <c r="O151">
        <f>Data!I164</f>
        <v>0</v>
      </c>
      <c r="P151" s="21">
        <f>Data!J164</f>
        <v>0</v>
      </c>
      <c r="Q151">
        <f>Data!K164</f>
        <v>0</v>
      </c>
      <c r="R151">
        <f>Data!L164</f>
        <v>0</v>
      </c>
      <c r="S151">
        <f>Data!M164</f>
        <v>0</v>
      </c>
      <c r="T151">
        <f>Data!N164</f>
        <v>0</v>
      </c>
      <c r="U151">
        <f>Data!O164</f>
        <v>0</v>
      </c>
      <c r="V151" s="33">
        <f>Data!P164</f>
        <v>0</v>
      </c>
    </row>
    <row r="152" spans="7:22" x14ac:dyDescent="0.25">
      <c r="G152">
        <f>Data!A165</f>
        <v>0</v>
      </c>
      <c r="H152" s="21">
        <f>Data!B165</f>
        <v>0</v>
      </c>
      <c r="I152" s="21">
        <f>Data!C165</f>
        <v>0</v>
      </c>
      <c r="J152">
        <f>Data!D165</f>
        <v>0</v>
      </c>
      <c r="K152">
        <f>Data!E165</f>
        <v>0</v>
      </c>
      <c r="L152">
        <f>Data!F165</f>
        <v>0</v>
      </c>
      <c r="M152">
        <f>Data!G165</f>
        <v>0</v>
      </c>
      <c r="N152">
        <f>Data!H165</f>
        <v>0</v>
      </c>
      <c r="O152">
        <f>Data!I165</f>
        <v>0</v>
      </c>
      <c r="P152" s="21">
        <f>Data!J165</f>
        <v>0</v>
      </c>
      <c r="Q152">
        <f>Data!K165</f>
        <v>0</v>
      </c>
      <c r="R152">
        <f>Data!L165</f>
        <v>0</v>
      </c>
      <c r="S152">
        <f>Data!M165</f>
        <v>0</v>
      </c>
      <c r="T152">
        <f>Data!N165</f>
        <v>0</v>
      </c>
      <c r="U152">
        <f>Data!O165</f>
        <v>0</v>
      </c>
      <c r="V152" s="33">
        <f>Data!P165</f>
        <v>0</v>
      </c>
    </row>
    <row r="153" spans="7:22" x14ac:dyDescent="0.25">
      <c r="G153">
        <f>Data!A166</f>
        <v>0</v>
      </c>
      <c r="H153" s="21">
        <f>Data!B166</f>
        <v>0</v>
      </c>
      <c r="I153" s="21">
        <f>Data!C166</f>
        <v>0</v>
      </c>
      <c r="J153">
        <f>Data!D166</f>
        <v>0</v>
      </c>
      <c r="K153">
        <f>Data!E166</f>
        <v>0</v>
      </c>
      <c r="L153">
        <f>Data!F166</f>
        <v>0</v>
      </c>
      <c r="M153">
        <f>Data!G166</f>
        <v>0</v>
      </c>
      <c r="N153">
        <f>Data!H166</f>
        <v>0</v>
      </c>
      <c r="O153">
        <f>Data!I166</f>
        <v>0</v>
      </c>
      <c r="P153" s="21">
        <f>Data!J166</f>
        <v>0</v>
      </c>
      <c r="Q153">
        <f>Data!K166</f>
        <v>0</v>
      </c>
      <c r="R153">
        <f>Data!L166</f>
        <v>0</v>
      </c>
      <c r="S153">
        <f>Data!M166</f>
        <v>0</v>
      </c>
      <c r="T153">
        <f>Data!N166</f>
        <v>0</v>
      </c>
      <c r="U153">
        <f>Data!O166</f>
        <v>0</v>
      </c>
      <c r="V153" s="33">
        <f>Data!P166</f>
        <v>0</v>
      </c>
    </row>
    <row r="154" spans="7:22" x14ac:dyDescent="0.25">
      <c r="G154">
        <f>Data!A167</f>
        <v>0</v>
      </c>
      <c r="H154" s="21">
        <f>Data!B167</f>
        <v>0</v>
      </c>
      <c r="I154" s="21">
        <f>Data!C167</f>
        <v>0</v>
      </c>
      <c r="J154">
        <f>Data!D167</f>
        <v>0</v>
      </c>
      <c r="K154">
        <f>Data!E167</f>
        <v>0</v>
      </c>
      <c r="L154">
        <f>Data!F167</f>
        <v>0</v>
      </c>
      <c r="M154">
        <f>Data!G167</f>
        <v>0</v>
      </c>
      <c r="N154">
        <f>Data!H167</f>
        <v>0</v>
      </c>
      <c r="O154">
        <f>Data!I167</f>
        <v>0</v>
      </c>
      <c r="P154" s="21">
        <f>Data!J167</f>
        <v>0</v>
      </c>
      <c r="Q154">
        <f>Data!K167</f>
        <v>0</v>
      </c>
      <c r="R154">
        <f>Data!L167</f>
        <v>0</v>
      </c>
      <c r="S154">
        <f>Data!M167</f>
        <v>0</v>
      </c>
      <c r="T154">
        <f>Data!N167</f>
        <v>0</v>
      </c>
      <c r="U154">
        <f>Data!O167</f>
        <v>0</v>
      </c>
      <c r="V154" s="33">
        <f>Data!P167</f>
        <v>0</v>
      </c>
    </row>
    <row r="155" spans="7:22" x14ac:dyDescent="0.25">
      <c r="G155">
        <f>Data!A168</f>
        <v>0</v>
      </c>
      <c r="H155" s="21">
        <f>Data!B168</f>
        <v>0</v>
      </c>
      <c r="I155" s="21">
        <f>Data!C168</f>
        <v>0</v>
      </c>
      <c r="J155">
        <f>Data!D168</f>
        <v>0</v>
      </c>
      <c r="K155">
        <f>Data!E168</f>
        <v>0</v>
      </c>
      <c r="L155">
        <f>Data!F168</f>
        <v>0</v>
      </c>
      <c r="M155">
        <f>Data!G168</f>
        <v>0</v>
      </c>
      <c r="N155">
        <f>Data!H168</f>
        <v>0</v>
      </c>
      <c r="O155">
        <f>Data!I168</f>
        <v>0</v>
      </c>
      <c r="P155" s="21">
        <f>Data!J168</f>
        <v>0</v>
      </c>
      <c r="Q155">
        <f>Data!K168</f>
        <v>0</v>
      </c>
      <c r="R155">
        <f>Data!L168</f>
        <v>0</v>
      </c>
      <c r="S155">
        <f>Data!M168</f>
        <v>0</v>
      </c>
      <c r="T155">
        <f>Data!N168</f>
        <v>0</v>
      </c>
      <c r="U155">
        <f>Data!O168</f>
        <v>0</v>
      </c>
      <c r="V155" s="33">
        <f>Data!P168</f>
        <v>0</v>
      </c>
    </row>
    <row r="156" spans="7:22" x14ac:dyDescent="0.25">
      <c r="G156">
        <f>Data!A169</f>
        <v>0</v>
      </c>
      <c r="H156" s="21">
        <f>Data!B169</f>
        <v>0</v>
      </c>
      <c r="I156" s="21">
        <f>Data!C169</f>
        <v>0</v>
      </c>
      <c r="J156">
        <f>Data!D169</f>
        <v>0</v>
      </c>
      <c r="K156">
        <f>Data!E169</f>
        <v>0</v>
      </c>
      <c r="L156">
        <f>Data!F169</f>
        <v>0</v>
      </c>
      <c r="M156">
        <f>Data!G169</f>
        <v>0</v>
      </c>
      <c r="N156">
        <f>Data!H169</f>
        <v>0</v>
      </c>
      <c r="O156">
        <f>Data!I169</f>
        <v>0</v>
      </c>
      <c r="P156" s="21">
        <f>Data!J169</f>
        <v>0</v>
      </c>
      <c r="Q156">
        <f>Data!K169</f>
        <v>0</v>
      </c>
      <c r="R156">
        <f>Data!L169</f>
        <v>0</v>
      </c>
      <c r="S156">
        <f>Data!M169</f>
        <v>0</v>
      </c>
      <c r="T156">
        <f>Data!N169</f>
        <v>0</v>
      </c>
      <c r="U156">
        <f>Data!O169</f>
        <v>0</v>
      </c>
      <c r="V156" s="33">
        <f>Data!P169</f>
        <v>0</v>
      </c>
    </row>
    <row r="157" spans="7:22" x14ac:dyDescent="0.25">
      <c r="G157">
        <f>Data!A170</f>
        <v>0</v>
      </c>
      <c r="H157" s="21">
        <f>Data!B170</f>
        <v>0</v>
      </c>
      <c r="I157" s="21">
        <f>Data!C170</f>
        <v>0</v>
      </c>
      <c r="J157">
        <f>Data!D170</f>
        <v>0</v>
      </c>
      <c r="K157">
        <f>Data!E170</f>
        <v>0</v>
      </c>
      <c r="L157">
        <f>Data!F170</f>
        <v>0</v>
      </c>
      <c r="M157">
        <f>Data!G170</f>
        <v>0</v>
      </c>
      <c r="N157">
        <f>Data!H170</f>
        <v>0</v>
      </c>
      <c r="O157">
        <f>Data!I170</f>
        <v>0</v>
      </c>
      <c r="P157" s="21">
        <f>Data!J170</f>
        <v>0</v>
      </c>
      <c r="Q157">
        <f>Data!K170</f>
        <v>0</v>
      </c>
      <c r="R157">
        <f>Data!L170</f>
        <v>0</v>
      </c>
      <c r="S157">
        <f>Data!M170</f>
        <v>0</v>
      </c>
      <c r="T157">
        <f>Data!N170</f>
        <v>0</v>
      </c>
      <c r="U157">
        <f>Data!O170</f>
        <v>0</v>
      </c>
      <c r="V157" s="33">
        <f>Data!P170</f>
        <v>0</v>
      </c>
    </row>
    <row r="158" spans="7:22" x14ac:dyDescent="0.25">
      <c r="G158">
        <f>Data!A171</f>
        <v>0</v>
      </c>
      <c r="H158" s="21">
        <f>Data!B171</f>
        <v>0</v>
      </c>
      <c r="I158" s="21">
        <f>Data!C171</f>
        <v>0</v>
      </c>
      <c r="J158">
        <f>Data!D171</f>
        <v>0</v>
      </c>
      <c r="K158">
        <f>Data!E171</f>
        <v>0</v>
      </c>
      <c r="L158">
        <f>Data!F171</f>
        <v>0</v>
      </c>
      <c r="M158">
        <f>Data!G171</f>
        <v>0</v>
      </c>
      <c r="N158">
        <f>Data!H171</f>
        <v>0</v>
      </c>
      <c r="O158">
        <f>Data!I171</f>
        <v>0</v>
      </c>
      <c r="P158" s="21">
        <f>Data!J171</f>
        <v>0</v>
      </c>
      <c r="Q158">
        <f>Data!K171</f>
        <v>0</v>
      </c>
      <c r="R158">
        <f>Data!L171</f>
        <v>0</v>
      </c>
      <c r="S158">
        <f>Data!M171</f>
        <v>0</v>
      </c>
      <c r="T158">
        <f>Data!N171</f>
        <v>0</v>
      </c>
      <c r="U158">
        <f>Data!O171</f>
        <v>0</v>
      </c>
      <c r="V158" s="33">
        <f>Data!P171</f>
        <v>0</v>
      </c>
    </row>
    <row r="159" spans="7:22" x14ac:dyDescent="0.25">
      <c r="G159">
        <f>Data!A172</f>
        <v>0</v>
      </c>
      <c r="H159" s="21">
        <f>Data!B172</f>
        <v>0</v>
      </c>
      <c r="I159" s="21">
        <f>Data!C172</f>
        <v>0</v>
      </c>
      <c r="J159">
        <f>Data!D172</f>
        <v>0</v>
      </c>
      <c r="K159">
        <f>Data!E172</f>
        <v>0</v>
      </c>
      <c r="L159">
        <f>Data!F172</f>
        <v>0</v>
      </c>
      <c r="M159">
        <f>Data!G172</f>
        <v>0</v>
      </c>
      <c r="N159">
        <f>Data!H172</f>
        <v>0</v>
      </c>
      <c r="O159">
        <f>Data!I172</f>
        <v>0</v>
      </c>
      <c r="P159" s="21">
        <f>Data!J172</f>
        <v>0</v>
      </c>
      <c r="Q159">
        <f>Data!K172</f>
        <v>0</v>
      </c>
      <c r="R159">
        <f>Data!L172</f>
        <v>0</v>
      </c>
      <c r="S159">
        <f>Data!M172</f>
        <v>0</v>
      </c>
      <c r="T159">
        <f>Data!N172</f>
        <v>0</v>
      </c>
      <c r="U159">
        <f>Data!O172</f>
        <v>0</v>
      </c>
      <c r="V159" s="33">
        <f>Data!P172</f>
        <v>0</v>
      </c>
    </row>
    <row r="160" spans="7:22" x14ac:dyDescent="0.25">
      <c r="G160">
        <f>Data!A173</f>
        <v>0</v>
      </c>
      <c r="H160" s="21">
        <f>Data!B173</f>
        <v>0</v>
      </c>
      <c r="I160" s="21">
        <f>Data!C173</f>
        <v>0</v>
      </c>
      <c r="J160">
        <f>Data!D173</f>
        <v>0</v>
      </c>
      <c r="K160">
        <f>Data!E173</f>
        <v>0</v>
      </c>
      <c r="L160">
        <f>Data!F173</f>
        <v>0</v>
      </c>
      <c r="M160">
        <f>Data!G173</f>
        <v>0</v>
      </c>
      <c r="N160">
        <f>Data!H173</f>
        <v>0</v>
      </c>
      <c r="O160">
        <f>Data!I173</f>
        <v>0</v>
      </c>
      <c r="P160" s="21">
        <f>Data!J173</f>
        <v>0</v>
      </c>
      <c r="Q160">
        <f>Data!K173</f>
        <v>0</v>
      </c>
      <c r="R160">
        <f>Data!L173</f>
        <v>0</v>
      </c>
      <c r="S160">
        <f>Data!M173</f>
        <v>0</v>
      </c>
      <c r="T160">
        <f>Data!N173</f>
        <v>0</v>
      </c>
      <c r="U160">
        <f>Data!O173</f>
        <v>0</v>
      </c>
      <c r="V160" s="33">
        <f>Data!P173</f>
        <v>0</v>
      </c>
    </row>
    <row r="161" spans="7:22" x14ac:dyDescent="0.25">
      <c r="G161">
        <f>Data!A174</f>
        <v>0</v>
      </c>
      <c r="H161" s="21">
        <f>Data!B174</f>
        <v>0</v>
      </c>
      <c r="I161" s="21">
        <f>Data!C174</f>
        <v>0</v>
      </c>
      <c r="J161">
        <f>Data!D174</f>
        <v>0</v>
      </c>
      <c r="K161">
        <f>Data!E174</f>
        <v>0</v>
      </c>
      <c r="L161">
        <f>Data!F174</f>
        <v>0</v>
      </c>
      <c r="M161">
        <f>Data!G174</f>
        <v>0</v>
      </c>
      <c r="N161">
        <f>Data!H174</f>
        <v>0</v>
      </c>
      <c r="O161">
        <f>Data!I174</f>
        <v>0</v>
      </c>
      <c r="P161" s="21">
        <f>Data!J174</f>
        <v>0</v>
      </c>
      <c r="Q161">
        <f>Data!K174</f>
        <v>0</v>
      </c>
      <c r="R161">
        <f>Data!L174</f>
        <v>0</v>
      </c>
      <c r="S161">
        <f>Data!M174</f>
        <v>0</v>
      </c>
      <c r="T161">
        <f>Data!N174</f>
        <v>0</v>
      </c>
      <c r="U161">
        <f>Data!O174</f>
        <v>0</v>
      </c>
      <c r="V161" s="33">
        <f>Data!P174</f>
        <v>0</v>
      </c>
    </row>
    <row r="162" spans="7:22" x14ac:dyDescent="0.25">
      <c r="G162">
        <f>Data!A175</f>
        <v>0</v>
      </c>
      <c r="H162" s="21">
        <f>Data!B175</f>
        <v>0</v>
      </c>
      <c r="I162" s="21">
        <f>Data!C175</f>
        <v>0</v>
      </c>
      <c r="J162">
        <f>Data!D175</f>
        <v>0</v>
      </c>
      <c r="K162">
        <f>Data!E175</f>
        <v>0</v>
      </c>
      <c r="L162">
        <f>Data!F175</f>
        <v>0</v>
      </c>
      <c r="M162">
        <f>Data!G175</f>
        <v>0</v>
      </c>
      <c r="N162">
        <f>Data!H175</f>
        <v>0</v>
      </c>
      <c r="O162">
        <f>Data!I175</f>
        <v>0</v>
      </c>
      <c r="P162" s="21">
        <f>Data!J175</f>
        <v>0</v>
      </c>
      <c r="Q162">
        <f>Data!K175</f>
        <v>0</v>
      </c>
      <c r="R162">
        <f>Data!L175</f>
        <v>0</v>
      </c>
      <c r="S162">
        <f>Data!M175</f>
        <v>0</v>
      </c>
      <c r="T162">
        <f>Data!N175</f>
        <v>0</v>
      </c>
      <c r="U162">
        <f>Data!O175</f>
        <v>0</v>
      </c>
      <c r="V162" s="33">
        <f>Data!P175</f>
        <v>0</v>
      </c>
    </row>
    <row r="163" spans="7:22" x14ac:dyDescent="0.25">
      <c r="G163">
        <f>Data!A176</f>
        <v>0</v>
      </c>
      <c r="H163" s="21">
        <f>Data!B176</f>
        <v>0</v>
      </c>
      <c r="I163" s="21">
        <f>Data!C176</f>
        <v>0</v>
      </c>
      <c r="J163">
        <f>Data!D176</f>
        <v>0</v>
      </c>
      <c r="K163">
        <f>Data!E176</f>
        <v>0</v>
      </c>
      <c r="L163">
        <f>Data!F176</f>
        <v>0</v>
      </c>
      <c r="M163">
        <f>Data!G176</f>
        <v>0</v>
      </c>
      <c r="N163">
        <f>Data!H176</f>
        <v>0</v>
      </c>
      <c r="O163">
        <f>Data!I176</f>
        <v>0</v>
      </c>
      <c r="P163" s="21">
        <f>Data!J176</f>
        <v>0</v>
      </c>
      <c r="Q163">
        <f>Data!K176</f>
        <v>0</v>
      </c>
      <c r="R163">
        <f>Data!L176</f>
        <v>0</v>
      </c>
      <c r="S163">
        <f>Data!M176</f>
        <v>0</v>
      </c>
      <c r="T163">
        <f>Data!N176</f>
        <v>0</v>
      </c>
      <c r="U163">
        <f>Data!O176</f>
        <v>0</v>
      </c>
      <c r="V163" s="33">
        <f>Data!P176</f>
        <v>0</v>
      </c>
    </row>
    <row r="164" spans="7:22" x14ac:dyDescent="0.25">
      <c r="G164">
        <f>Data!A177</f>
        <v>0</v>
      </c>
      <c r="H164" s="21">
        <f>Data!B177</f>
        <v>0</v>
      </c>
      <c r="I164" s="21">
        <f>Data!C177</f>
        <v>0</v>
      </c>
      <c r="J164">
        <f>Data!D177</f>
        <v>0</v>
      </c>
      <c r="K164">
        <f>Data!E177</f>
        <v>0</v>
      </c>
      <c r="L164">
        <f>Data!F177</f>
        <v>0</v>
      </c>
      <c r="M164">
        <f>Data!G177</f>
        <v>0</v>
      </c>
      <c r="N164">
        <f>Data!H177</f>
        <v>0</v>
      </c>
      <c r="O164">
        <f>Data!I177</f>
        <v>0</v>
      </c>
      <c r="P164" s="21">
        <f>Data!J177</f>
        <v>0</v>
      </c>
      <c r="Q164">
        <f>Data!K177</f>
        <v>0</v>
      </c>
      <c r="R164">
        <f>Data!L177</f>
        <v>0</v>
      </c>
      <c r="S164">
        <f>Data!M177</f>
        <v>0</v>
      </c>
      <c r="T164">
        <f>Data!N177</f>
        <v>0</v>
      </c>
      <c r="U164">
        <f>Data!O177</f>
        <v>0</v>
      </c>
      <c r="V164" s="33">
        <f>Data!P177</f>
        <v>0</v>
      </c>
    </row>
    <row r="165" spans="7:22" x14ac:dyDescent="0.25">
      <c r="G165">
        <f>Data!A178</f>
        <v>0</v>
      </c>
      <c r="H165" s="21">
        <f>Data!B178</f>
        <v>0</v>
      </c>
      <c r="I165" s="21">
        <f>Data!C178</f>
        <v>0</v>
      </c>
      <c r="J165">
        <f>Data!D178</f>
        <v>0</v>
      </c>
      <c r="K165">
        <f>Data!E178</f>
        <v>0</v>
      </c>
      <c r="L165">
        <f>Data!F178</f>
        <v>0</v>
      </c>
      <c r="M165">
        <f>Data!G178</f>
        <v>0</v>
      </c>
      <c r="N165">
        <f>Data!H178</f>
        <v>0</v>
      </c>
      <c r="O165">
        <f>Data!I178</f>
        <v>0</v>
      </c>
      <c r="P165" s="21">
        <f>Data!J178</f>
        <v>0</v>
      </c>
      <c r="Q165">
        <f>Data!K178</f>
        <v>0</v>
      </c>
      <c r="R165">
        <f>Data!L178</f>
        <v>0</v>
      </c>
      <c r="S165">
        <f>Data!M178</f>
        <v>0</v>
      </c>
      <c r="T165">
        <f>Data!N178</f>
        <v>0</v>
      </c>
      <c r="U165">
        <f>Data!O178</f>
        <v>0</v>
      </c>
      <c r="V165" s="33">
        <f>Data!P178</f>
        <v>0</v>
      </c>
    </row>
    <row r="166" spans="7:22" x14ac:dyDescent="0.25">
      <c r="G166">
        <f>Data!A179</f>
        <v>0</v>
      </c>
      <c r="H166" s="21">
        <f>Data!B179</f>
        <v>0</v>
      </c>
      <c r="I166" s="21">
        <f>Data!C179</f>
        <v>0</v>
      </c>
      <c r="J166">
        <f>Data!D179</f>
        <v>0</v>
      </c>
      <c r="K166">
        <f>Data!E179</f>
        <v>0</v>
      </c>
      <c r="L166">
        <f>Data!F179</f>
        <v>0</v>
      </c>
      <c r="M166">
        <f>Data!G179</f>
        <v>0</v>
      </c>
      <c r="N166">
        <f>Data!H179</f>
        <v>0</v>
      </c>
      <c r="O166">
        <f>Data!I179</f>
        <v>0</v>
      </c>
      <c r="P166" s="21">
        <f>Data!J179</f>
        <v>0</v>
      </c>
      <c r="Q166">
        <f>Data!K179</f>
        <v>0</v>
      </c>
      <c r="R166">
        <f>Data!L179</f>
        <v>0</v>
      </c>
      <c r="S166">
        <f>Data!M179</f>
        <v>0</v>
      </c>
      <c r="T166">
        <f>Data!N179</f>
        <v>0</v>
      </c>
      <c r="U166">
        <f>Data!O179</f>
        <v>0</v>
      </c>
      <c r="V166" s="33">
        <f>Data!P179</f>
        <v>0</v>
      </c>
    </row>
    <row r="167" spans="7:22" x14ac:dyDescent="0.25">
      <c r="G167">
        <f>Data!A180</f>
        <v>0</v>
      </c>
      <c r="H167" s="21">
        <f>Data!B180</f>
        <v>0</v>
      </c>
      <c r="I167" s="21">
        <f>Data!C180</f>
        <v>0</v>
      </c>
      <c r="J167">
        <f>Data!D180</f>
        <v>0</v>
      </c>
      <c r="K167">
        <f>Data!E180</f>
        <v>0</v>
      </c>
      <c r="L167">
        <f>Data!F180</f>
        <v>0</v>
      </c>
      <c r="M167">
        <f>Data!G180</f>
        <v>0</v>
      </c>
      <c r="N167">
        <f>Data!H180</f>
        <v>0</v>
      </c>
      <c r="O167">
        <f>Data!I180</f>
        <v>0</v>
      </c>
      <c r="P167" s="21">
        <f>Data!J180</f>
        <v>0</v>
      </c>
      <c r="Q167">
        <f>Data!K180</f>
        <v>0</v>
      </c>
      <c r="R167">
        <f>Data!L180</f>
        <v>0</v>
      </c>
      <c r="S167">
        <f>Data!M180</f>
        <v>0</v>
      </c>
      <c r="T167">
        <f>Data!N180</f>
        <v>0</v>
      </c>
      <c r="U167">
        <f>Data!O180</f>
        <v>0</v>
      </c>
      <c r="V167" s="33">
        <f>Data!P180</f>
        <v>0</v>
      </c>
    </row>
    <row r="168" spans="7:22" x14ac:dyDescent="0.25">
      <c r="G168">
        <f>Data!A181</f>
        <v>0</v>
      </c>
      <c r="H168" s="21">
        <f>Data!B181</f>
        <v>0</v>
      </c>
      <c r="I168" s="21">
        <f>Data!C181</f>
        <v>0</v>
      </c>
      <c r="J168">
        <f>Data!D181</f>
        <v>0</v>
      </c>
      <c r="K168">
        <f>Data!E181</f>
        <v>0</v>
      </c>
      <c r="L168">
        <f>Data!F181</f>
        <v>0</v>
      </c>
      <c r="M168">
        <f>Data!G181</f>
        <v>0</v>
      </c>
      <c r="N168">
        <f>Data!H181</f>
        <v>0</v>
      </c>
      <c r="O168">
        <f>Data!I181</f>
        <v>0</v>
      </c>
      <c r="P168" s="21">
        <f>Data!J181</f>
        <v>0</v>
      </c>
      <c r="Q168">
        <f>Data!K181</f>
        <v>0</v>
      </c>
      <c r="R168">
        <f>Data!L181</f>
        <v>0</v>
      </c>
      <c r="S168">
        <f>Data!M181</f>
        <v>0</v>
      </c>
      <c r="T168">
        <f>Data!N181</f>
        <v>0</v>
      </c>
      <c r="U168">
        <f>Data!O181</f>
        <v>0</v>
      </c>
      <c r="V168" s="33">
        <f>Data!P181</f>
        <v>0</v>
      </c>
    </row>
    <row r="169" spans="7:22" x14ac:dyDescent="0.25">
      <c r="G169">
        <f>Data!A182</f>
        <v>0</v>
      </c>
      <c r="H169" s="21">
        <f>Data!B182</f>
        <v>0</v>
      </c>
      <c r="I169" s="21">
        <f>Data!C182</f>
        <v>0</v>
      </c>
      <c r="J169">
        <f>Data!D182</f>
        <v>0</v>
      </c>
      <c r="K169">
        <f>Data!E182</f>
        <v>0</v>
      </c>
      <c r="L169">
        <f>Data!F182</f>
        <v>0</v>
      </c>
      <c r="M169">
        <f>Data!G182</f>
        <v>0</v>
      </c>
      <c r="N169">
        <f>Data!H182</f>
        <v>0</v>
      </c>
      <c r="O169">
        <f>Data!I182</f>
        <v>0</v>
      </c>
      <c r="P169" s="21">
        <f>Data!J182</f>
        <v>0</v>
      </c>
      <c r="Q169">
        <f>Data!K182</f>
        <v>0</v>
      </c>
      <c r="R169">
        <f>Data!L182</f>
        <v>0</v>
      </c>
      <c r="S169">
        <f>Data!M182</f>
        <v>0</v>
      </c>
      <c r="T169">
        <f>Data!N182</f>
        <v>0</v>
      </c>
      <c r="U169">
        <f>Data!O182</f>
        <v>0</v>
      </c>
      <c r="V169" s="33">
        <f>Data!P182</f>
        <v>0</v>
      </c>
    </row>
    <row r="170" spans="7:22" x14ac:dyDescent="0.25">
      <c r="G170">
        <f>Data!A183</f>
        <v>0</v>
      </c>
      <c r="H170" s="21">
        <f>Data!B183</f>
        <v>0</v>
      </c>
      <c r="I170" s="21">
        <f>Data!C183</f>
        <v>0</v>
      </c>
      <c r="J170">
        <f>Data!D183</f>
        <v>0</v>
      </c>
      <c r="K170">
        <f>Data!E183</f>
        <v>0</v>
      </c>
      <c r="L170">
        <f>Data!F183</f>
        <v>0</v>
      </c>
      <c r="M170">
        <f>Data!G183</f>
        <v>0</v>
      </c>
      <c r="N170">
        <f>Data!H183</f>
        <v>0</v>
      </c>
      <c r="O170">
        <f>Data!I183</f>
        <v>0</v>
      </c>
      <c r="P170" s="21">
        <f>Data!J183</f>
        <v>0</v>
      </c>
      <c r="Q170">
        <f>Data!K183</f>
        <v>0</v>
      </c>
      <c r="R170">
        <f>Data!L183</f>
        <v>0</v>
      </c>
      <c r="S170">
        <f>Data!M183</f>
        <v>0</v>
      </c>
      <c r="T170">
        <f>Data!N183</f>
        <v>0</v>
      </c>
      <c r="U170">
        <f>Data!O183</f>
        <v>0</v>
      </c>
      <c r="V170" s="33">
        <f>Data!P183</f>
        <v>0</v>
      </c>
    </row>
    <row r="171" spans="7:22" x14ac:dyDescent="0.25">
      <c r="G171">
        <f>Data!A184</f>
        <v>0</v>
      </c>
      <c r="H171" s="21">
        <f>Data!B184</f>
        <v>0</v>
      </c>
      <c r="I171" s="21">
        <f>Data!C184</f>
        <v>0</v>
      </c>
      <c r="J171">
        <f>Data!D184</f>
        <v>0</v>
      </c>
      <c r="K171">
        <f>Data!E184</f>
        <v>0</v>
      </c>
      <c r="L171">
        <f>Data!F184</f>
        <v>0</v>
      </c>
      <c r="M171">
        <f>Data!G184</f>
        <v>0</v>
      </c>
      <c r="N171">
        <f>Data!H184</f>
        <v>0</v>
      </c>
      <c r="O171">
        <f>Data!I184</f>
        <v>0</v>
      </c>
      <c r="P171" s="21">
        <f>Data!J184</f>
        <v>0</v>
      </c>
      <c r="Q171">
        <f>Data!K184</f>
        <v>0</v>
      </c>
      <c r="R171">
        <f>Data!L184</f>
        <v>0</v>
      </c>
      <c r="S171">
        <f>Data!M184</f>
        <v>0</v>
      </c>
      <c r="T171">
        <f>Data!N184</f>
        <v>0</v>
      </c>
      <c r="U171">
        <f>Data!O184</f>
        <v>0</v>
      </c>
      <c r="V171" s="33">
        <f>Data!P184</f>
        <v>0</v>
      </c>
    </row>
    <row r="172" spans="7:22" x14ac:dyDescent="0.25">
      <c r="G172">
        <f>Data!A185</f>
        <v>0</v>
      </c>
      <c r="H172" s="21">
        <f>Data!B185</f>
        <v>0</v>
      </c>
      <c r="I172" s="21">
        <f>Data!C185</f>
        <v>0</v>
      </c>
      <c r="J172">
        <f>Data!D185</f>
        <v>0</v>
      </c>
      <c r="K172">
        <f>Data!E185</f>
        <v>0</v>
      </c>
      <c r="L172">
        <f>Data!F185</f>
        <v>0</v>
      </c>
      <c r="M172">
        <f>Data!G185</f>
        <v>0</v>
      </c>
      <c r="N172">
        <f>Data!H185</f>
        <v>0</v>
      </c>
      <c r="O172">
        <f>Data!I185</f>
        <v>0</v>
      </c>
      <c r="P172" s="21">
        <f>Data!J185</f>
        <v>0</v>
      </c>
      <c r="Q172">
        <f>Data!K185</f>
        <v>0</v>
      </c>
      <c r="R172">
        <f>Data!L185</f>
        <v>0</v>
      </c>
      <c r="S172">
        <f>Data!M185</f>
        <v>0</v>
      </c>
      <c r="T172">
        <f>Data!N185</f>
        <v>0</v>
      </c>
      <c r="U172">
        <f>Data!O185</f>
        <v>0</v>
      </c>
      <c r="V172" s="33">
        <f>Data!P185</f>
        <v>0</v>
      </c>
    </row>
    <row r="173" spans="7:22" x14ac:dyDescent="0.25">
      <c r="G173">
        <f>Data!A186</f>
        <v>0</v>
      </c>
      <c r="H173" s="21">
        <f>Data!B186</f>
        <v>0</v>
      </c>
      <c r="I173" s="21">
        <f>Data!C186</f>
        <v>0</v>
      </c>
      <c r="J173">
        <f>Data!D186</f>
        <v>0</v>
      </c>
      <c r="K173">
        <f>Data!E186</f>
        <v>0</v>
      </c>
      <c r="L173">
        <f>Data!F186</f>
        <v>0</v>
      </c>
      <c r="M173">
        <f>Data!G186</f>
        <v>0</v>
      </c>
      <c r="N173">
        <f>Data!H186</f>
        <v>0</v>
      </c>
      <c r="O173">
        <f>Data!I186</f>
        <v>0</v>
      </c>
      <c r="P173" s="21">
        <f>Data!J186</f>
        <v>0</v>
      </c>
      <c r="Q173">
        <f>Data!K186</f>
        <v>0</v>
      </c>
      <c r="R173">
        <f>Data!L186</f>
        <v>0</v>
      </c>
      <c r="S173">
        <f>Data!M186</f>
        <v>0</v>
      </c>
      <c r="T173">
        <f>Data!N186</f>
        <v>0</v>
      </c>
      <c r="U173">
        <f>Data!O186</f>
        <v>0</v>
      </c>
      <c r="V173" s="33">
        <f>Data!P186</f>
        <v>0</v>
      </c>
    </row>
    <row r="174" spans="7:22" x14ac:dyDescent="0.25">
      <c r="G174">
        <f>Data!A187</f>
        <v>0</v>
      </c>
      <c r="H174" s="21">
        <f>Data!B187</f>
        <v>0</v>
      </c>
      <c r="I174" s="21">
        <f>Data!C187</f>
        <v>0</v>
      </c>
      <c r="J174">
        <f>Data!D187</f>
        <v>0</v>
      </c>
      <c r="K174">
        <f>Data!E187</f>
        <v>0</v>
      </c>
      <c r="L174">
        <f>Data!F187</f>
        <v>0</v>
      </c>
      <c r="M174">
        <f>Data!G187</f>
        <v>0</v>
      </c>
      <c r="N174">
        <f>Data!H187</f>
        <v>0</v>
      </c>
      <c r="O174">
        <f>Data!I187</f>
        <v>0</v>
      </c>
      <c r="P174" s="21">
        <f>Data!J187</f>
        <v>0</v>
      </c>
      <c r="Q174">
        <f>Data!K187</f>
        <v>0</v>
      </c>
      <c r="R174">
        <f>Data!L187</f>
        <v>0</v>
      </c>
      <c r="S174">
        <f>Data!M187</f>
        <v>0</v>
      </c>
      <c r="T174">
        <f>Data!N187</f>
        <v>0</v>
      </c>
      <c r="U174">
        <f>Data!O187</f>
        <v>0</v>
      </c>
      <c r="V174" s="33">
        <f>Data!P187</f>
        <v>0</v>
      </c>
    </row>
    <row r="175" spans="7:22" x14ac:dyDescent="0.25">
      <c r="G175">
        <f>Data!A188</f>
        <v>0</v>
      </c>
      <c r="H175" s="21">
        <f>Data!B188</f>
        <v>0</v>
      </c>
      <c r="I175" s="21">
        <f>Data!C188</f>
        <v>0</v>
      </c>
      <c r="J175">
        <f>Data!D188</f>
        <v>0</v>
      </c>
      <c r="K175">
        <f>Data!E188</f>
        <v>0</v>
      </c>
      <c r="L175">
        <f>Data!F188</f>
        <v>0</v>
      </c>
      <c r="M175">
        <f>Data!G188</f>
        <v>0</v>
      </c>
      <c r="N175">
        <f>Data!H188</f>
        <v>0</v>
      </c>
      <c r="O175">
        <f>Data!I188</f>
        <v>0</v>
      </c>
      <c r="P175" s="21">
        <f>Data!J188</f>
        <v>0</v>
      </c>
      <c r="Q175">
        <f>Data!K188</f>
        <v>0</v>
      </c>
      <c r="R175">
        <f>Data!L188</f>
        <v>0</v>
      </c>
      <c r="S175">
        <f>Data!M188</f>
        <v>0</v>
      </c>
      <c r="T175">
        <f>Data!N188</f>
        <v>0</v>
      </c>
      <c r="U175">
        <f>Data!O188</f>
        <v>0</v>
      </c>
      <c r="V175" s="33">
        <f>Data!P188</f>
        <v>0</v>
      </c>
    </row>
    <row r="176" spans="7:22" x14ac:dyDescent="0.25">
      <c r="G176">
        <f>Data!A189</f>
        <v>0</v>
      </c>
      <c r="H176" s="21">
        <f>Data!B189</f>
        <v>0</v>
      </c>
      <c r="I176" s="21">
        <f>Data!C189</f>
        <v>0</v>
      </c>
      <c r="J176">
        <f>Data!D189</f>
        <v>0</v>
      </c>
      <c r="K176">
        <f>Data!E189</f>
        <v>0</v>
      </c>
      <c r="L176">
        <f>Data!F189</f>
        <v>0</v>
      </c>
      <c r="M176">
        <f>Data!G189</f>
        <v>0</v>
      </c>
      <c r="N176">
        <f>Data!H189</f>
        <v>0</v>
      </c>
      <c r="O176">
        <f>Data!I189</f>
        <v>0</v>
      </c>
      <c r="P176" s="21">
        <f>Data!J189</f>
        <v>0</v>
      </c>
      <c r="Q176">
        <f>Data!K189</f>
        <v>0</v>
      </c>
      <c r="R176">
        <f>Data!L189</f>
        <v>0</v>
      </c>
      <c r="S176">
        <f>Data!M189</f>
        <v>0</v>
      </c>
      <c r="T176">
        <f>Data!N189</f>
        <v>0</v>
      </c>
      <c r="U176">
        <f>Data!O189</f>
        <v>0</v>
      </c>
      <c r="V176" s="33">
        <f>Data!P189</f>
        <v>0</v>
      </c>
    </row>
    <row r="177" spans="7:22" x14ac:dyDescent="0.25">
      <c r="G177">
        <f>Data!A190</f>
        <v>0</v>
      </c>
      <c r="H177" s="21">
        <f>Data!B190</f>
        <v>0</v>
      </c>
      <c r="I177" s="21">
        <f>Data!C190</f>
        <v>0</v>
      </c>
      <c r="J177">
        <f>Data!D190</f>
        <v>0</v>
      </c>
      <c r="K177">
        <f>Data!E190</f>
        <v>0</v>
      </c>
      <c r="L177">
        <f>Data!F190</f>
        <v>0</v>
      </c>
      <c r="M177">
        <f>Data!G190</f>
        <v>0</v>
      </c>
      <c r="N177">
        <f>Data!H190</f>
        <v>0</v>
      </c>
      <c r="O177">
        <f>Data!I190</f>
        <v>0</v>
      </c>
      <c r="P177" s="21">
        <f>Data!J190</f>
        <v>0</v>
      </c>
      <c r="Q177">
        <f>Data!K190</f>
        <v>0</v>
      </c>
      <c r="R177">
        <f>Data!L190</f>
        <v>0</v>
      </c>
      <c r="S177">
        <f>Data!M190</f>
        <v>0</v>
      </c>
      <c r="T177">
        <f>Data!N190</f>
        <v>0</v>
      </c>
      <c r="U177">
        <f>Data!O190</f>
        <v>0</v>
      </c>
      <c r="V177" s="33">
        <f>Data!P190</f>
        <v>0</v>
      </c>
    </row>
    <row r="178" spans="7:22" x14ac:dyDescent="0.25">
      <c r="G178">
        <f>Data!A191</f>
        <v>0</v>
      </c>
      <c r="H178" s="21">
        <f>Data!B191</f>
        <v>0</v>
      </c>
      <c r="I178" s="21">
        <f>Data!C191</f>
        <v>0</v>
      </c>
      <c r="J178">
        <f>Data!D191</f>
        <v>0</v>
      </c>
      <c r="K178">
        <f>Data!E191</f>
        <v>0</v>
      </c>
      <c r="L178">
        <f>Data!F191</f>
        <v>0</v>
      </c>
      <c r="M178">
        <f>Data!G191</f>
        <v>0</v>
      </c>
      <c r="N178">
        <f>Data!H191</f>
        <v>0</v>
      </c>
      <c r="O178">
        <f>Data!I191</f>
        <v>0</v>
      </c>
      <c r="P178" s="21">
        <f>Data!J191</f>
        <v>0</v>
      </c>
      <c r="Q178">
        <f>Data!K191</f>
        <v>0</v>
      </c>
      <c r="R178">
        <f>Data!L191</f>
        <v>0</v>
      </c>
      <c r="S178">
        <f>Data!M191</f>
        <v>0</v>
      </c>
      <c r="T178">
        <f>Data!N191</f>
        <v>0</v>
      </c>
      <c r="U178">
        <f>Data!O191</f>
        <v>0</v>
      </c>
      <c r="V178" s="33">
        <f>Data!P191</f>
        <v>0</v>
      </c>
    </row>
    <row r="179" spans="7:22" x14ac:dyDescent="0.25">
      <c r="G179">
        <f>Data!A192</f>
        <v>0</v>
      </c>
      <c r="H179" s="21">
        <f>Data!B192</f>
        <v>0</v>
      </c>
      <c r="I179" s="21">
        <f>Data!C192</f>
        <v>0</v>
      </c>
      <c r="J179">
        <f>Data!D192</f>
        <v>0</v>
      </c>
      <c r="K179">
        <f>Data!E192</f>
        <v>0</v>
      </c>
      <c r="L179">
        <f>Data!F192</f>
        <v>0</v>
      </c>
      <c r="M179">
        <f>Data!G192</f>
        <v>0</v>
      </c>
      <c r="N179">
        <f>Data!H192</f>
        <v>0</v>
      </c>
      <c r="O179">
        <f>Data!I192</f>
        <v>0</v>
      </c>
      <c r="P179" s="21">
        <f>Data!J192</f>
        <v>0</v>
      </c>
      <c r="Q179">
        <f>Data!K192</f>
        <v>0</v>
      </c>
      <c r="R179">
        <f>Data!L192</f>
        <v>0</v>
      </c>
      <c r="S179">
        <f>Data!M192</f>
        <v>0</v>
      </c>
      <c r="T179">
        <f>Data!N192</f>
        <v>0</v>
      </c>
      <c r="U179">
        <f>Data!O192</f>
        <v>0</v>
      </c>
      <c r="V179" s="33">
        <f>Data!P192</f>
        <v>0</v>
      </c>
    </row>
    <row r="180" spans="7:22" x14ac:dyDescent="0.25">
      <c r="G180">
        <f>Data!A193</f>
        <v>0</v>
      </c>
      <c r="H180" s="21">
        <f>Data!B193</f>
        <v>0</v>
      </c>
      <c r="I180" s="21">
        <f>Data!C193</f>
        <v>0</v>
      </c>
      <c r="J180">
        <f>Data!D193</f>
        <v>0</v>
      </c>
      <c r="K180">
        <f>Data!E193</f>
        <v>0</v>
      </c>
      <c r="L180">
        <f>Data!F193</f>
        <v>0</v>
      </c>
      <c r="M180">
        <f>Data!G193</f>
        <v>0</v>
      </c>
      <c r="N180">
        <f>Data!H193</f>
        <v>0</v>
      </c>
      <c r="O180">
        <f>Data!I193</f>
        <v>0</v>
      </c>
      <c r="P180" s="21">
        <f>Data!J193</f>
        <v>0</v>
      </c>
      <c r="Q180">
        <f>Data!K193</f>
        <v>0</v>
      </c>
      <c r="R180">
        <f>Data!L193</f>
        <v>0</v>
      </c>
      <c r="S180">
        <f>Data!M193</f>
        <v>0</v>
      </c>
      <c r="T180">
        <f>Data!N193</f>
        <v>0</v>
      </c>
      <c r="U180">
        <f>Data!O193</f>
        <v>0</v>
      </c>
      <c r="V180" s="33">
        <f>Data!P193</f>
        <v>0</v>
      </c>
    </row>
    <row r="181" spans="7:22" x14ac:dyDescent="0.25">
      <c r="G181">
        <f>Data!A194</f>
        <v>0</v>
      </c>
      <c r="H181" s="21">
        <f>Data!B194</f>
        <v>0</v>
      </c>
      <c r="I181" s="21">
        <f>Data!C194</f>
        <v>0</v>
      </c>
      <c r="J181">
        <f>Data!D194</f>
        <v>0</v>
      </c>
      <c r="K181">
        <f>Data!E194</f>
        <v>0</v>
      </c>
      <c r="L181">
        <f>Data!F194</f>
        <v>0</v>
      </c>
      <c r="M181">
        <f>Data!G194</f>
        <v>0</v>
      </c>
      <c r="N181">
        <f>Data!H194</f>
        <v>0</v>
      </c>
      <c r="O181">
        <f>Data!I194</f>
        <v>0</v>
      </c>
      <c r="P181" s="21">
        <f>Data!J194</f>
        <v>0</v>
      </c>
      <c r="Q181">
        <f>Data!K194</f>
        <v>0</v>
      </c>
      <c r="R181">
        <f>Data!L194</f>
        <v>0</v>
      </c>
      <c r="S181">
        <f>Data!M194</f>
        <v>0</v>
      </c>
      <c r="T181">
        <f>Data!N194</f>
        <v>0</v>
      </c>
      <c r="U181">
        <f>Data!O194</f>
        <v>0</v>
      </c>
      <c r="V181" s="33">
        <f>Data!P194</f>
        <v>0</v>
      </c>
    </row>
    <row r="182" spans="7:22" x14ac:dyDescent="0.25">
      <c r="G182">
        <f>Data!A195</f>
        <v>0</v>
      </c>
      <c r="H182" s="21">
        <f>Data!B195</f>
        <v>0</v>
      </c>
      <c r="I182" s="21">
        <f>Data!C195</f>
        <v>0</v>
      </c>
      <c r="J182">
        <f>Data!D195</f>
        <v>0</v>
      </c>
      <c r="K182">
        <f>Data!E195</f>
        <v>0</v>
      </c>
      <c r="L182">
        <f>Data!F195</f>
        <v>0</v>
      </c>
      <c r="M182">
        <f>Data!G195</f>
        <v>0</v>
      </c>
      <c r="N182">
        <f>Data!H195</f>
        <v>0</v>
      </c>
      <c r="O182">
        <f>Data!I195</f>
        <v>0</v>
      </c>
      <c r="P182" s="21">
        <f>Data!J195</f>
        <v>0</v>
      </c>
      <c r="Q182">
        <f>Data!K195</f>
        <v>0</v>
      </c>
      <c r="R182">
        <f>Data!L195</f>
        <v>0</v>
      </c>
      <c r="S182">
        <f>Data!M195</f>
        <v>0</v>
      </c>
      <c r="T182">
        <f>Data!N195</f>
        <v>0</v>
      </c>
      <c r="U182">
        <f>Data!O195</f>
        <v>0</v>
      </c>
      <c r="V182" s="33">
        <f>Data!P195</f>
        <v>0</v>
      </c>
    </row>
    <row r="183" spans="7:22" x14ac:dyDescent="0.25">
      <c r="G183">
        <f>Data!A196</f>
        <v>0</v>
      </c>
      <c r="H183" s="21">
        <f>Data!B196</f>
        <v>0</v>
      </c>
      <c r="I183" s="21">
        <f>Data!C196</f>
        <v>0</v>
      </c>
      <c r="J183">
        <f>Data!D196</f>
        <v>0</v>
      </c>
      <c r="K183">
        <f>Data!E196</f>
        <v>0</v>
      </c>
      <c r="L183">
        <f>Data!F196</f>
        <v>0</v>
      </c>
      <c r="M183">
        <f>Data!G196</f>
        <v>0</v>
      </c>
      <c r="N183">
        <f>Data!H196</f>
        <v>0</v>
      </c>
      <c r="O183">
        <f>Data!I196</f>
        <v>0</v>
      </c>
      <c r="P183" s="21">
        <f>Data!J196</f>
        <v>0</v>
      </c>
      <c r="Q183">
        <f>Data!K196</f>
        <v>0</v>
      </c>
      <c r="R183">
        <f>Data!L196</f>
        <v>0</v>
      </c>
      <c r="S183">
        <f>Data!M196</f>
        <v>0</v>
      </c>
      <c r="T183">
        <f>Data!N196</f>
        <v>0</v>
      </c>
      <c r="U183">
        <f>Data!O196</f>
        <v>0</v>
      </c>
      <c r="V183" s="33">
        <f>Data!P196</f>
        <v>0</v>
      </c>
    </row>
    <row r="184" spans="7:22" x14ac:dyDescent="0.25">
      <c r="G184">
        <f>Data!A197</f>
        <v>0</v>
      </c>
      <c r="H184" s="21">
        <f>Data!B197</f>
        <v>0</v>
      </c>
      <c r="I184" s="21">
        <f>Data!C197</f>
        <v>0</v>
      </c>
      <c r="J184">
        <f>Data!D197</f>
        <v>0</v>
      </c>
      <c r="K184">
        <f>Data!E197</f>
        <v>0</v>
      </c>
      <c r="L184">
        <f>Data!F197</f>
        <v>0</v>
      </c>
      <c r="M184">
        <f>Data!G197</f>
        <v>0</v>
      </c>
      <c r="N184">
        <f>Data!H197</f>
        <v>0</v>
      </c>
      <c r="O184">
        <f>Data!I197</f>
        <v>0</v>
      </c>
      <c r="P184" s="21">
        <f>Data!J197</f>
        <v>0</v>
      </c>
      <c r="Q184">
        <f>Data!K197</f>
        <v>0</v>
      </c>
      <c r="R184">
        <f>Data!L197</f>
        <v>0</v>
      </c>
      <c r="S184">
        <f>Data!M197</f>
        <v>0</v>
      </c>
      <c r="T184">
        <f>Data!N197</f>
        <v>0</v>
      </c>
      <c r="U184">
        <f>Data!O197</f>
        <v>0</v>
      </c>
      <c r="V184" s="33">
        <f>Data!P197</f>
        <v>0</v>
      </c>
    </row>
    <row r="185" spans="7:22" x14ac:dyDescent="0.25">
      <c r="G185">
        <f>Data!A198</f>
        <v>0</v>
      </c>
      <c r="H185" s="21">
        <f>Data!B198</f>
        <v>0</v>
      </c>
      <c r="I185" s="21">
        <f>Data!C198</f>
        <v>0</v>
      </c>
      <c r="J185">
        <f>Data!D198</f>
        <v>0</v>
      </c>
      <c r="K185">
        <f>Data!E198</f>
        <v>0</v>
      </c>
      <c r="L185">
        <f>Data!F198</f>
        <v>0</v>
      </c>
      <c r="M185">
        <f>Data!G198</f>
        <v>0</v>
      </c>
      <c r="N185">
        <f>Data!H198</f>
        <v>0</v>
      </c>
      <c r="O185">
        <f>Data!I198</f>
        <v>0</v>
      </c>
      <c r="P185" s="21">
        <f>Data!J198</f>
        <v>0</v>
      </c>
      <c r="Q185">
        <f>Data!K198</f>
        <v>0</v>
      </c>
      <c r="R185">
        <f>Data!L198</f>
        <v>0</v>
      </c>
      <c r="S185">
        <f>Data!M198</f>
        <v>0</v>
      </c>
      <c r="T185">
        <f>Data!N198</f>
        <v>0</v>
      </c>
      <c r="U185">
        <f>Data!O198</f>
        <v>0</v>
      </c>
      <c r="V185" s="33">
        <f>Data!P198</f>
        <v>0</v>
      </c>
    </row>
    <row r="186" spans="7:22" x14ac:dyDescent="0.25">
      <c r="G186">
        <f>Data!A199</f>
        <v>0</v>
      </c>
      <c r="H186" s="21">
        <f>Data!B199</f>
        <v>0</v>
      </c>
      <c r="I186" s="21">
        <f>Data!C199</f>
        <v>0</v>
      </c>
      <c r="J186">
        <f>Data!D199</f>
        <v>0</v>
      </c>
      <c r="K186">
        <f>Data!E199</f>
        <v>0</v>
      </c>
      <c r="L186">
        <f>Data!F199</f>
        <v>0</v>
      </c>
      <c r="M186">
        <f>Data!G199</f>
        <v>0</v>
      </c>
      <c r="N186">
        <f>Data!H199</f>
        <v>0</v>
      </c>
      <c r="O186">
        <f>Data!I199</f>
        <v>0</v>
      </c>
      <c r="P186" s="21">
        <f>Data!J199</f>
        <v>0</v>
      </c>
      <c r="Q186">
        <f>Data!K199</f>
        <v>0</v>
      </c>
      <c r="R186">
        <f>Data!L199</f>
        <v>0</v>
      </c>
      <c r="S186">
        <f>Data!M199</f>
        <v>0</v>
      </c>
      <c r="T186">
        <f>Data!N199</f>
        <v>0</v>
      </c>
      <c r="U186">
        <f>Data!O199</f>
        <v>0</v>
      </c>
      <c r="V186" s="33">
        <f>Data!P199</f>
        <v>0</v>
      </c>
    </row>
    <row r="187" spans="7:22" x14ac:dyDescent="0.25">
      <c r="G187">
        <f>Data!A200</f>
        <v>0</v>
      </c>
      <c r="H187" s="21">
        <f>Data!B200</f>
        <v>0</v>
      </c>
      <c r="I187" s="21">
        <f>Data!C200</f>
        <v>0</v>
      </c>
      <c r="J187">
        <f>Data!D200</f>
        <v>0</v>
      </c>
      <c r="K187">
        <f>Data!E200</f>
        <v>0</v>
      </c>
      <c r="L187">
        <f>Data!F200</f>
        <v>0</v>
      </c>
      <c r="M187">
        <f>Data!G200</f>
        <v>0</v>
      </c>
      <c r="N187">
        <f>Data!H200</f>
        <v>0</v>
      </c>
      <c r="O187">
        <f>Data!I200</f>
        <v>0</v>
      </c>
      <c r="P187" s="21">
        <f>Data!J200</f>
        <v>0</v>
      </c>
      <c r="Q187">
        <f>Data!K200</f>
        <v>0</v>
      </c>
      <c r="R187">
        <f>Data!L200</f>
        <v>0</v>
      </c>
      <c r="S187">
        <f>Data!M200</f>
        <v>0</v>
      </c>
      <c r="T187">
        <f>Data!N200</f>
        <v>0</v>
      </c>
      <c r="U187">
        <f>Data!O200</f>
        <v>0</v>
      </c>
      <c r="V187" s="33">
        <f>Data!P200</f>
        <v>0</v>
      </c>
    </row>
    <row r="188" spans="7:22" x14ac:dyDescent="0.25">
      <c r="G188">
        <f>Data!A201</f>
        <v>0</v>
      </c>
      <c r="H188" s="21">
        <f>Data!B201</f>
        <v>0</v>
      </c>
      <c r="I188" s="21">
        <f>Data!C201</f>
        <v>0</v>
      </c>
      <c r="J188">
        <f>Data!D201</f>
        <v>0</v>
      </c>
      <c r="K188">
        <f>Data!E201</f>
        <v>0</v>
      </c>
      <c r="L188">
        <f>Data!F201</f>
        <v>0</v>
      </c>
      <c r="M188">
        <f>Data!G201</f>
        <v>0</v>
      </c>
      <c r="N188">
        <f>Data!H201</f>
        <v>0</v>
      </c>
      <c r="O188">
        <f>Data!I201</f>
        <v>0</v>
      </c>
      <c r="P188" s="21">
        <f>Data!J201</f>
        <v>0</v>
      </c>
      <c r="Q188">
        <f>Data!K201</f>
        <v>0</v>
      </c>
      <c r="R188">
        <f>Data!L201</f>
        <v>0</v>
      </c>
      <c r="S188">
        <f>Data!M201</f>
        <v>0</v>
      </c>
      <c r="T188">
        <f>Data!N201</f>
        <v>0</v>
      </c>
      <c r="U188">
        <f>Data!O201</f>
        <v>0</v>
      </c>
      <c r="V188" s="33">
        <f>Data!P201</f>
        <v>0</v>
      </c>
    </row>
    <row r="189" spans="7:22" x14ac:dyDescent="0.25">
      <c r="G189">
        <f>Data!A202</f>
        <v>0</v>
      </c>
      <c r="H189" s="21">
        <f>Data!B202</f>
        <v>0</v>
      </c>
      <c r="I189" s="21">
        <f>Data!C202</f>
        <v>0</v>
      </c>
      <c r="J189">
        <f>Data!D202</f>
        <v>0</v>
      </c>
      <c r="K189">
        <f>Data!E202</f>
        <v>0</v>
      </c>
      <c r="L189">
        <f>Data!F202</f>
        <v>0</v>
      </c>
      <c r="M189">
        <f>Data!G202</f>
        <v>0</v>
      </c>
      <c r="N189">
        <f>Data!H202</f>
        <v>0</v>
      </c>
      <c r="O189">
        <f>Data!I202</f>
        <v>0</v>
      </c>
      <c r="P189" s="21">
        <f>Data!J202</f>
        <v>0</v>
      </c>
      <c r="Q189">
        <f>Data!K202</f>
        <v>0</v>
      </c>
      <c r="R189">
        <f>Data!L202</f>
        <v>0</v>
      </c>
      <c r="S189">
        <f>Data!M202</f>
        <v>0</v>
      </c>
      <c r="T189">
        <f>Data!N202</f>
        <v>0</v>
      </c>
      <c r="U189">
        <f>Data!O202</f>
        <v>0</v>
      </c>
      <c r="V189" s="33">
        <f>Data!P202</f>
        <v>0</v>
      </c>
    </row>
    <row r="190" spans="7:22" x14ac:dyDescent="0.25">
      <c r="G190">
        <f>Data!A203</f>
        <v>0</v>
      </c>
      <c r="H190" s="21">
        <f>Data!B203</f>
        <v>0</v>
      </c>
      <c r="I190" s="21">
        <f>Data!C203</f>
        <v>0</v>
      </c>
      <c r="J190">
        <f>Data!D203</f>
        <v>0</v>
      </c>
      <c r="K190">
        <f>Data!E203</f>
        <v>0</v>
      </c>
      <c r="L190">
        <f>Data!F203</f>
        <v>0</v>
      </c>
      <c r="M190">
        <f>Data!G203</f>
        <v>0</v>
      </c>
      <c r="N190">
        <f>Data!H203</f>
        <v>0</v>
      </c>
      <c r="O190">
        <f>Data!I203</f>
        <v>0</v>
      </c>
      <c r="P190" s="21">
        <f>Data!J203</f>
        <v>0</v>
      </c>
      <c r="Q190">
        <f>Data!K203</f>
        <v>0</v>
      </c>
      <c r="R190">
        <f>Data!L203</f>
        <v>0</v>
      </c>
      <c r="S190">
        <f>Data!M203</f>
        <v>0</v>
      </c>
      <c r="T190">
        <f>Data!N203</f>
        <v>0</v>
      </c>
      <c r="U190">
        <f>Data!O203</f>
        <v>0</v>
      </c>
      <c r="V190" s="33">
        <f>Data!P203</f>
        <v>0</v>
      </c>
    </row>
    <row r="191" spans="7:22" x14ac:dyDescent="0.25">
      <c r="G191">
        <f>Data!A204</f>
        <v>0</v>
      </c>
      <c r="H191" s="21">
        <f>Data!B204</f>
        <v>0</v>
      </c>
      <c r="I191" s="21">
        <f>Data!C204</f>
        <v>0</v>
      </c>
      <c r="J191">
        <f>Data!D204</f>
        <v>0</v>
      </c>
      <c r="K191">
        <f>Data!E204</f>
        <v>0</v>
      </c>
      <c r="L191">
        <f>Data!F204</f>
        <v>0</v>
      </c>
      <c r="M191">
        <f>Data!G204</f>
        <v>0</v>
      </c>
      <c r="N191">
        <f>Data!H204</f>
        <v>0</v>
      </c>
      <c r="O191">
        <f>Data!I204</f>
        <v>0</v>
      </c>
      <c r="P191" s="21">
        <f>Data!J204</f>
        <v>0</v>
      </c>
      <c r="Q191">
        <f>Data!K204</f>
        <v>0</v>
      </c>
      <c r="R191">
        <f>Data!L204</f>
        <v>0</v>
      </c>
      <c r="S191">
        <f>Data!M204</f>
        <v>0</v>
      </c>
      <c r="T191">
        <f>Data!N204</f>
        <v>0</v>
      </c>
      <c r="U191">
        <f>Data!O204</f>
        <v>0</v>
      </c>
      <c r="V191" s="33">
        <f>Data!P204</f>
        <v>0</v>
      </c>
    </row>
    <row r="192" spans="7:22" x14ac:dyDescent="0.25">
      <c r="G192">
        <f>Data!A205</f>
        <v>0</v>
      </c>
      <c r="H192" s="21">
        <f>Data!B205</f>
        <v>0</v>
      </c>
      <c r="I192" s="21">
        <f>Data!C205</f>
        <v>0</v>
      </c>
      <c r="J192">
        <f>Data!D205</f>
        <v>0</v>
      </c>
      <c r="K192">
        <f>Data!E205</f>
        <v>0</v>
      </c>
      <c r="L192">
        <f>Data!F205</f>
        <v>0</v>
      </c>
      <c r="M192">
        <f>Data!G205</f>
        <v>0</v>
      </c>
      <c r="N192">
        <f>Data!H205</f>
        <v>0</v>
      </c>
      <c r="O192">
        <f>Data!I205</f>
        <v>0</v>
      </c>
      <c r="P192" s="21">
        <f>Data!J205</f>
        <v>0</v>
      </c>
      <c r="Q192">
        <f>Data!K205</f>
        <v>0</v>
      </c>
      <c r="R192">
        <f>Data!L205</f>
        <v>0</v>
      </c>
      <c r="S192">
        <f>Data!M205</f>
        <v>0</v>
      </c>
      <c r="T192">
        <f>Data!N205</f>
        <v>0</v>
      </c>
      <c r="U192">
        <f>Data!O205</f>
        <v>0</v>
      </c>
      <c r="V192" s="33">
        <f>Data!P205</f>
        <v>0</v>
      </c>
    </row>
    <row r="193" spans="7:22" x14ac:dyDescent="0.25">
      <c r="G193">
        <f>Data!A206</f>
        <v>0</v>
      </c>
      <c r="H193" s="21">
        <f>Data!B206</f>
        <v>0</v>
      </c>
      <c r="I193" s="21">
        <f>Data!C206</f>
        <v>0</v>
      </c>
      <c r="J193">
        <f>Data!D206</f>
        <v>0</v>
      </c>
      <c r="K193">
        <f>Data!E206</f>
        <v>0</v>
      </c>
      <c r="L193">
        <f>Data!F206</f>
        <v>0</v>
      </c>
      <c r="M193">
        <f>Data!G206</f>
        <v>0</v>
      </c>
      <c r="N193">
        <f>Data!H206</f>
        <v>0</v>
      </c>
      <c r="O193">
        <f>Data!I206</f>
        <v>0</v>
      </c>
      <c r="P193" s="21">
        <f>Data!J206</f>
        <v>0</v>
      </c>
      <c r="Q193">
        <f>Data!K206</f>
        <v>0</v>
      </c>
      <c r="R193">
        <f>Data!L206</f>
        <v>0</v>
      </c>
      <c r="S193">
        <f>Data!M206</f>
        <v>0</v>
      </c>
      <c r="T193">
        <f>Data!N206</f>
        <v>0</v>
      </c>
      <c r="U193">
        <f>Data!O206</f>
        <v>0</v>
      </c>
      <c r="V193" s="33">
        <f>Data!P206</f>
        <v>0</v>
      </c>
    </row>
    <row r="194" spans="7:22" x14ac:dyDescent="0.25">
      <c r="G194">
        <f>Data!A207</f>
        <v>0</v>
      </c>
      <c r="H194" s="21">
        <f>Data!B207</f>
        <v>0</v>
      </c>
      <c r="I194" s="21">
        <f>Data!C207</f>
        <v>0</v>
      </c>
      <c r="J194">
        <f>Data!D207</f>
        <v>0</v>
      </c>
      <c r="K194">
        <f>Data!E207</f>
        <v>0</v>
      </c>
      <c r="L194">
        <f>Data!F207</f>
        <v>0</v>
      </c>
      <c r="M194">
        <f>Data!G207</f>
        <v>0</v>
      </c>
      <c r="N194">
        <f>Data!H207</f>
        <v>0</v>
      </c>
      <c r="O194">
        <f>Data!I207</f>
        <v>0</v>
      </c>
      <c r="P194" s="21">
        <f>Data!J207</f>
        <v>0</v>
      </c>
      <c r="Q194">
        <f>Data!K207</f>
        <v>0</v>
      </c>
      <c r="R194">
        <f>Data!L207</f>
        <v>0</v>
      </c>
      <c r="S194">
        <f>Data!M207</f>
        <v>0</v>
      </c>
      <c r="T194">
        <f>Data!N207</f>
        <v>0</v>
      </c>
      <c r="U194">
        <f>Data!O207</f>
        <v>0</v>
      </c>
      <c r="V194" s="33">
        <f>Data!P207</f>
        <v>0</v>
      </c>
    </row>
    <row r="195" spans="7:22" x14ac:dyDescent="0.25">
      <c r="G195">
        <f>Data!A208</f>
        <v>0</v>
      </c>
      <c r="H195" s="21">
        <f>Data!B208</f>
        <v>0</v>
      </c>
      <c r="I195" s="21">
        <f>Data!C208</f>
        <v>0</v>
      </c>
      <c r="J195">
        <f>Data!D208</f>
        <v>0</v>
      </c>
      <c r="K195">
        <f>Data!E208</f>
        <v>0</v>
      </c>
      <c r="L195">
        <f>Data!F208</f>
        <v>0</v>
      </c>
      <c r="M195">
        <f>Data!G208</f>
        <v>0</v>
      </c>
      <c r="N195">
        <f>Data!H208</f>
        <v>0</v>
      </c>
      <c r="O195">
        <f>Data!I208</f>
        <v>0</v>
      </c>
      <c r="P195" s="21">
        <f>Data!J208</f>
        <v>0</v>
      </c>
      <c r="Q195">
        <f>Data!K208</f>
        <v>0</v>
      </c>
      <c r="R195">
        <f>Data!L208</f>
        <v>0</v>
      </c>
      <c r="S195">
        <f>Data!M208</f>
        <v>0</v>
      </c>
      <c r="T195">
        <f>Data!N208</f>
        <v>0</v>
      </c>
      <c r="U195">
        <f>Data!O208</f>
        <v>0</v>
      </c>
      <c r="V195" s="33">
        <f>Data!P208</f>
        <v>0</v>
      </c>
    </row>
    <row r="196" spans="7:22" x14ac:dyDescent="0.25">
      <c r="G196">
        <f>Data!A209</f>
        <v>0</v>
      </c>
      <c r="H196" s="21">
        <f>Data!B209</f>
        <v>0</v>
      </c>
      <c r="I196" s="21">
        <f>Data!C209</f>
        <v>0</v>
      </c>
      <c r="J196">
        <f>Data!D209</f>
        <v>0</v>
      </c>
      <c r="K196">
        <f>Data!E209</f>
        <v>0</v>
      </c>
      <c r="L196">
        <f>Data!F209</f>
        <v>0</v>
      </c>
      <c r="M196">
        <f>Data!G209</f>
        <v>0</v>
      </c>
      <c r="N196">
        <f>Data!H209</f>
        <v>0</v>
      </c>
      <c r="O196">
        <f>Data!I209</f>
        <v>0</v>
      </c>
      <c r="P196" s="21">
        <f>Data!J209</f>
        <v>0</v>
      </c>
      <c r="Q196">
        <f>Data!K209</f>
        <v>0</v>
      </c>
      <c r="R196">
        <f>Data!L209</f>
        <v>0</v>
      </c>
      <c r="S196">
        <f>Data!M209</f>
        <v>0</v>
      </c>
      <c r="T196">
        <f>Data!N209</f>
        <v>0</v>
      </c>
      <c r="U196">
        <f>Data!O209</f>
        <v>0</v>
      </c>
      <c r="V196" s="33">
        <f>Data!P209</f>
        <v>0</v>
      </c>
    </row>
    <row r="197" spans="7:22" x14ac:dyDescent="0.25">
      <c r="G197">
        <f>Data!A210</f>
        <v>0</v>
      </c>
      <c r="H197" s="21">
        <f>Data!B210</f>
        <v>0</v>
      </c>
      <c r="I197" s="21">
        <f>Data!C210</f>
        <v>0</v>
      </c>
      <c r="J197">
        <f>Data!D210</f>
        <v>0</v>
      </c>
      <c r="K197">
        <f>Data!E210</f>
        <v>0</v>
      </c>
      <c r="L197">
        <f>Data!F210</f>
        <v>0</v>
      </c>
      <c r="M197">
        <f>Data!G210</f>
        <v>0</v>
      </c>
      <c r="N197">
        <f>Data!H210</f>
        <v>0</v>
      </c>
      <c r="O197">
        <f>Data!I210</f>
        <v>0</v>
      </c>
      <c r="P197" s="21">
        <f>Data!J210</f>
        <v>0</v>
      </c>
      <c r="Q197">
        <f>Data!K210</f>
        <v>0</v>
      </c>
      <c r="R197">
        <f>Data!L210</f>
        <v>0</v>
      </c>
      <c r="S197">
        <f>Data!M210</f>
        <v>0</v>
      </c>
      <c r="T197">
        <f>Data!N210</f>
        <v>0</v>
      </c>
      <c r="U197">
        <f>Data!O210</f>
        <v>0</v>
      </c>
      <c r="V197" s="33">
        <f>Data!P210</f>
        <v>0</v>
      </c>
    </row>
    <row r="198" spans="7:22" x14ac:dyDescent="0.25">
      <c r="G198">
        <f>Data!A211</f>
        <v>0</v>
      </c>
      <c r="H198" s="21">
        <f>Data!B211</f>
        <v>0</v>
      </c>
      <c r="I198" s="21">
        <f>Data!C211</f>
        <v>0</v>
      </c>
      <c r="J198">
        <f>Data!D211</f>
        <v>0</v>
      </c>
      <c r="K198">
        <f>Data!E211</f>
        <v>0</v>
      </c>
      <c r="L198">
        <f>Data!F211</f>
        <v>0</v>
      </c>
      <c r="M198">
        <f>Data!G211</f>
        <v>0</v>
      </c>
      <c r="N198">
        <f>Data!H211</f>
        <v>0</v>
      </c>
      <c r="O198">
        <f>Data!I211</f>
        <v>0</v>
      </c>
      <c r="P198" s="21">
        <f>Data!J211</f>
        <v>0</v>
      </c>
      <c r="Q198">
        <f>Data!K211</f>
        <v>0</v>
      </c>
      <c r="R198">
        <f>Data!L211</f>
        <v>0</v>
      </c>
      <c r="S198">
        <f>Data!M211</f>
        <v>0</v>
      </c>
      <c r="T198">
        <f>Data!N211</f>
        <v>0</v>
      </c>
      <c r="U198">
        <f>Data!O211</f>
        <v>0</v>
      </c>
      <c r="V198" s="33">
        <f>Data!P211</f>
        <v>0</v>
      </c>
    </row>
    <row r="199" spans="7:22" x14ac:dyDescent="0.25">
      <c r="G199">
        <f>Data!A212</f>
        <v>0</v>
      </c>
      <c r="H199" s="21">
        <f>Data!B212</f>
        <v>0</v>
      </c>
      <c r="I199" s="21">
        <f>Data!C212</f>
        <v>0</v>
      </c>
      <c r="J199">
        <f>Data!D212</f>
        <v>0</v>
      </c>
      <c r="K199">
        <f>Data!E212</f>
        <v>0</v>
      </c>
      <c r="L199">
        <f>Data!F212</f>
        <v>0</v>
      </c>
      <c r="M199">
        <f>Data!G212</f>
        <v>0</v>
      </c>
      <c r="N199">
        <f>Data!H212</f>
        <v>0</v>
      </c>
      <c r="O199">
        <f>Data!I212</f>
        <v>0</v>
      </c>
      <c r="P199" s="21">
        <f>Data!J212</f>
        <v>0</v>
      </c>
      <c r="Q199">
        <f>Data!K212</f>
        <v>0</v>
      </c>
      <c r="R199">
        <f>Data!L212</f>
        <v>0</v>
      </c>
      <c r="S199">
        <f>Data!M212</f>
        <v>0</v>
      </c>
      <c r="T199">
        <f>Data!N212</f>
        <v>0</v>
      </c>
      <c r="U199">
        <f>Data!O212</f>
        <v>0</v>
      </c>
      <c r="V199" s="33">
        <f>Data!P212</f>
        <v>0</v>
      </c>
    </row>
    <row r="200" spans="7:22" x14ac:dyDescent="0.25">
      <c r="G200">
        <f>Data!A213</f>
        <v>0</v>
      </c>
      <c r="H200" s="21">
        <f>Data!B213</f>
        <v>0</v>
      </c>
      <c r="I200" s="21">
        <f>Data!C213</f>
        <v>0</v>
      </c>
      <c r="J200">
        <f>Data!D213</f>
        <v>0</v>
      </c>
      <c r="K200">
        <f>Data!E213</f>
        <v>0</v>
      </c>
      <c r="L200">
        <f>Data!F213</f>
        <v>0</v>
      </c>
      <c r="M200">
        <f>Data!G213</f>
        <v>0</v>
      </c>
      <c r="N200">
        <f>Data!H213</f>
        <v>0</v>
      </c>
      <c r="O200">
        <f>Data!I213</f>
        <v>0</v>
      </c>
      <c r="P200" s="21">
        <f>Data!J213</f>
        <v>0</v>
      </c>
      <c r="Q200">
        <f>Data!K213</f>
        <v>0</v>
      </c>
      <c r="R200">
        <f>Data!L213</f>
        <v>0</v>
      </c>
      <c r="S200">
        <f>Data!M213</f>
        <v>0</v>
      </c>
      <c r="T200">
        <f>Data!N213</f>
        <v>0</v>
      </c>
      <c r="U200">
        <f>Data!O213</f>
        <v>0</v>
      </c>
      <c r="V200" s="33">
        <f>Data!P213</f>
        <v>0</v>
      </c>
    </row>
    <row r="201" spans="7:22" x14ac:dyDescent="0.25">
      <c r="G201">
        <f>Data!A214</f>
        <v>0</v>
      </c>
      <c r="H201" s="21">
        <f>Data!B214</f>
        <v>0</v>
      </c>
      <c r="I201" s="21">
        <f>Data!C214</f>
        <v>0</v>
      </c>
      <c r="J201">
        <f>Data!D214</f>
        <v>0</v>
      </c>
      <c r="K201">
        <f>Data!E214</f>
        <v>0</v>
      </c>
      <c r="L201">
        <f>Data!F214</f>
        <v>0</v>
      </c>
      <c r="M201">
        <f>Data!G214</f>
        <v>0</v>
      </c>
      <c r="N201">
        <f>Data!H214</f>
        <v>0</v>
      </c>
      <c r="O201">
        <f>Data!I214</f>
        <v>0</v>
      </c>
      <c r="P201" s="21">
        <f>Data!J214</f>
        <v>0</v>
      </c>
      <c r="Q201">
        <f>Data!K214</f>
        <v>0</v>
      </c>
      <c r="R201">
        <f>Data!L214</f>
        <v>0</v>
      </c>
      <c r="S201">
        <f>Data!M214</f>
        <v>0</v>
      </c>
      <c r="T201">
        <f>Data!N214</f>
        <v>0</v>
      </c>
      <c r="U201">
        <f>Data!O214</f>
        <v>0</v>
      </c>
      <c r="V201" s="33">
        <f>Data!P214</f>
        <v>0</v>
      </c>
    </row>
    <row r="202" spans="7:22" x14ac:dyDescent="0.25">
      <c r="G202">
        <f>Data!A215</f>
        <v>0</v>
      </c>
      <c r="H202" s="21">
        <f>Data!B215</f>
        <v>0</v>
      </c>
      <c r="I202" s="21">
        <f>Data!C215</f>
        <v>0</v>
      </c>
      <c r="J202">
        <f>Data!D215</f>
        <v>0</v>
      </c>
      <c r="K202">
        <f>Data!E215</f>
        <v>0</v>
      </c>
      <c r="L202">
        <f>Data!F215</f>
        <v>0</v>
      </c>
      <c r="M202">
        <f>Data!G215</f>
        <v>0</v>
      </c>
      <c r="N202">
        <f>Data!H215</f>
        <v>0</v>
      </c>
      <c r="O202">
        <f>Data!I215</f>
        <v>0</v>
      </c>
      <c r="P202" s="21">
        <f>Data!J215</f>
        <v>0</v>
      </c>
      <c r="Q202">
        <f>Data!K215</f>
        <v>0</v>
      </c>
      <c r="R202">
        <f>Data!L215</f>
        <v>0</v>
      </c>
      <c r="S202">
        <f>Data!M215</f>
        <v>0</v>
      </c>
      <c r="T202">
        <f>Data!N215</f>
        <v>0</v>
      </c>
      <c r="U202">
        <f>Data!O215</f>
        <v>0</v>
      </c>
      <c r="V202" s="33">
        <f>Data!P215</f>
        <v>0</v>
      </c>
    </row>
    <row r="203" spans="7:22" x14ac:dyDescent="0.25">
      <c r="G203">
        <f>Data!A216</f>
        <v>0</v>
      </c>
      <c r="H203" s="21">
        <f>Data!B216</f>
        <v>0</v>
      </c>
      <c r="I203" s="21">
        <f>Data!C216</f>
        <v>0</v>
      </c>
      <c r="J203">
        <f>Data!D216</f>
        <v>0</v>
      </c>
      <c r="K203">
        <f>Data!E216</f>
        <v>0</v>
      </c>
      <c r="L203">
        <f>Data!F216</f>
        <v>0</v>
      </c>
      <c r="M203">
        <f>Data!G216</f>
        <v>0</v>
      </c>
      <c r="N203">
        <f>Data!H216</f>
        <v>0</v>
      </c>
      <c r="O203">
        <f>Data!I216</f>
        <v>0</v>
      </c>
      <c r="P203" s="21">
        <f>Data!J216</f>
        <v>0</v>
      </c>
      <c r="Q203">
        <f>Data!K216</f>
        <v>0</v>
      </c>
      <c r="R203">
        <f>Data!L216</f>
        <v>0</v>
      </c>
      <c r="S203">
        <f>Data!M216</f>
        <v>0</v>
      </c>
      <c r="T203">
        <f>Data!N216</f>
        <v>0</v>
      </c>
      <c r="U203">
        <f>Data!O216</f>
        <v>0</v>
      </c>
      <c r="V203" s="33">
        <f>Data!P216</f>
        <v>0</v>
      </c>
    </row>
    <row r="204" spans="7:22" x14ac:dyDescent="0.25">
      <c r="G204">
        <f>Data!A217</f>
        <v>0</v>
      </c>
      <c r="H204" s="21">
        <f>Data!B217</f>
        <v>0</v>
      </c>
      <c r="I204" s="21">
        <f>Data!C217</f>
        <v>0</v>
      </c>
      <c r="J204">
        <f>Data!D217</f>
        <v>0</v>
      </c>
      <c r="K204">
        <f>Data!E217</f>
        <v>0</v>
      </c>
      <c r="L204">
        <f>Data!F217</f>
        <v>0</v>
      </c>
      <c r="M204">
        <f>Data!G217</f>
        <v>0</v>
      </c>
      <c r="N204">
        <f>Data!H217</f>
        <v>0</v>
      </c>
      <c r="O204">
        <f>Data!I217</f>
        <v>0</v>
      </c>
      <c r="P204" s="21">
        <f>Data!J217</f>
        <v>0</v>
      </c>
      <c r="Q204">
        <f>Data!K217</f>
        <v>0</v>
      </c>
      <c r="R204">
        <f>Data!L217</f>
        <v>0</v>
      </c>
      <c r="S204">
        <f>Data!M217</f>
        <v>0</v>
      </c>
      <c r="T204">
        <f>Data!N217</f>
        <v>0</v>
      </c>
      <c r="U204">
        <f>Data!O217</f>
        <v>0</v>
      </c>
      <c r="V204" s="33">
        <f>Data!P217</f>
        <v>0</v>
      </c>
    </row>
    <row r="205" spans="7:22" x14ac:dyDescent="0.25">
      <c r="G205">
        <f>Data!A218</f>
        <v>0</v>
      </c>
      <c r="H205" s="21">
        <f>Data!B218</f>
        <v>0</v>
      </c>
      <c r="I205" s="21">
        <f>Data!C218</f>
        <v>0</v>
      </c>
      <c r="J205">
        <f>Data!D218</f>
        <v>0</v>
      </c>
      <c r="K205">
        <f>Data!E218</f>
        <v>0</v>
      </c>
      <c r="L205">
        <f>Data!F218</f>
        <v>0</v>
      </c>
      <c r="M205">
        <f>Data!G218</f>
        <v>0</v>
      </c>
      <c r="N205">
        <f>Data!H218</f>
        <v>0</v>
      </c>
      <c r="O205">
        <f>Data!I218</f>
        <v>0</v>
      </c>
      <c r="P205" s="21">
        <f>Data!J218</f>
        <v>0</v>
      </c>
      <c r="Q205">
        <f>Data!K218</f>
        <v>0</v>
      </c>
      <c r="R205">
        <f>Data!L218</f>
        <v>0</v>
      </c>
      <c r="S205">
        <f>Data!M218</f>
        <v>0</v>
      </c>
      <c r="T205">
        <f>Data!N218</f>
        <v>0</v>
      </c>
      <c r="U205">
        <f>Data!O218</f>
        <v>0</v>
      </c>
      <c r="V205" s="33">
        <f>Data!P218</f>
        <v>0</v>
      </c>
    </row>
    <row r="206" spans="7:22" x14ac:dyDescent="0.25">
      <c r="G206">
        <f>Data!A219</f>
        <v>0</v>
      </c>
      <c r="H206" s="21">
        <f>Data!B219</f>
        <v>0</v>
      </c>
      <c r="I206" s="21">
        <f>Data!C219</f>
        <v>0</v>
      </c>
      <c r="J206">
        <f>Data!D219</f>
        <v>0</v>
      </c>
      <c r="K206">
        <f>Data!E219</f>
        <v>0</v>
      </c>
      <c r="L206">
        <f>Data!F219</f>
        <v>0</v>
      </c>
      <c r="M206">
        <f>Data!G219</f>
        <v>0</v>
      </c>
      <c r="N206">
        <f>Data!H219</f>
        <v>0</v>
      </c>
      <c r="O206">
        <f>Data!I219</f>
        <v>0</v>
      </c>
      <c r="P206" s="21">
        <f>Data!J219</f>
        <v>0</v>
      </c>
      <c r="Q206">
        <f>Data!K219</f>
        <v>0</v>
      </c>
      <c r="R206">
        <f>Data!L219</f>
        <v>0</v>
      </c>
      <c r="S206">
        <f>Data!M219</f>
        <v>0</v>
      </c>
      <c r="T206">
        <f>Data!N219</f>
        <v>0</v>
      </c>
      <c r="U206">
        <f>Data!O219</f>
        <v>0</v>
      </c>
      <c r="V206" s="33">
        <f>Data!P219</f>
        <v>0</v>
      </c>
    </row>
    <row r="207" spans="7:22" x14ac:dyDescent="0.25">
      <c r="G207">
        <f>Data!A220</f>
        <v>0</v>
      </c>
      <c r="H207" s="21">
        <f>Data!B220</f>
        <v>0</v>
      </c>
      <c r="I207" s="21">
        <f>Data!C220</f>
        <v>0</v>
      </c>
      <c r="J207">
        <f>Data!D220</f>
        <v>0</v>
      </c>
      <c r="K207">
        <f>Data!E220</f>
        <v>0</v>
      </c>
      <c r="L207">
        <f>Data!F220</f>
        <v>0</v>
      </c>
      <c r="M207">
        <f>Data!G220</f>
        <v>0</v>
      </c>
      <c r="N207">
        <f>Data!H220</f>
        <v>0</v>
      </c>
      <c r="O207">
        <f>Data!I220</f>
        <v>0</v>
      </c>
      <c r="P207" s="21">
        <f>Data!J220</f>
        <v>0</v>
      </c>
      <c r="Q207">
        <f>Data!K220</f>
        <v>0</v>
      </c>
      <c r="R207">
        <f>Data!L220</f>
        <v>0</v>
      </c>
      <c r="S207">
        <f>Data!M220</f>
        <v>0</v>
      </c>
      <c r="T207">
        <f>Data!N220</f>
        <v>0</v>
      </c>
      <c r="U207">
        <f>Data!O220</f>
        <v>0</v>
      </c>
      <c r="V207" s="33">
        <f>Data!P220</f>
        <v>0</v>
      </c>
    </row>
    <row r="208" spans="7:22" x14ac:dyDescent="0.25">
      <c r="G208">
        <f>Data!A221</f>
        <v>0</v>
      </c>
      <c r="H208" s="21">
        <f>Data!B221</f>
        <v>0</v>
      </c>
      <c r="I208" s="21">
        <f>Data!C221</f>
        <v>0</v>
      </c>
      <c r="J208">
        <f>Data!D221</f>
        <v>0</v>
      </c>
      <c r="K208">
        <f>Data!E221</f>
        <v>0</v>
      </c>
      <c r="L208">
        <f>Data!F221</f>
        <v>0</v>
      </c>
      <c r="M208">
        <f>Data!G221</f>
        <v>0</v>
      </c>
      <c r="N208">
        <f>Data!H221</f>
        <v>0</v>
      </c>
      <c r="O208">
        <f>Data!I221</f>
        <v>0</v>
      </c>
      <c r="P208" s="21">
        <f>Data!J221</f>
        <v>0</v>
      </c>
      <c r="Q208">
        <f>Data!K221</f>
        <v>0</v>
      </c>
      <c r="R208">
        <f>Data!L221</f>
        <v>0</v>
      </c>
      <c r="S208">
        <f>Data!M221</f>
        <v>0</v>
      </c>
      <c r="T208">
        <f>Data!N221</f>
        <v>0</v>
      </c>
      <c r="U208">
        <f>Data!O221</f>
        <v>0</v>
      </c>
      <c r="V208" s="33">
        <f>Data!P221</f>
        <v>0</v>
      </c>
    </row>
    <row r="209" spans="7:22" x14ac:dyDescent="0.25">
      <c r="G209">
        <f>Data!A222</f>
        <v>0</v>
      </c>
      <c r="H209" s="21">
        <f>Data!B222</f>
        <v>0</v>
      </c>
      <c r="I209" s="21">
        <f>Data!C222</f>
        <v>0</v>
      </c>
      <c r="J209">
        <f>Data!D222</f>
        <v>0</v>
      </c>
      <c r="K209">
        <f>Data!E222</f>
        <v>0</v>
      </c>
      <c r="L209">
        <f>Data!F222</f>
        <v>0</v>
      </c>
      <c r="M209">
        <f>Data!G222</f>
        <v>0</v>
      </c>
      <c r="N209">
        <f>Data!H222</f>
        <v>0</v>
      </c>
      <c r="O209">
        <f>Data!I222</f>
        <v>0</v>
      </c>
      <c r="P209" s="21">
        <f>Data!J222</f>
        <v>0</v>
      </c>
      <c r="Q209">
        <f>Data!K222</f>
        <v>0</v>
      </c>
      <c r="R209">
        <f>Data!L222</f>
        <v>0</v>
      </c>
      <c r="S209">
        <f>Data!M222</f>
        <v>0</v>
      </c>
      <c r="T209">
        <f>Data!N222</f>
        <v>0</v>
      </c>
      <c r="U209">
        <f>Data!O222</f>
        <v>0</v>
      </c>
      <c r="V209" s="33">
        <f>Data!P222</f>
        <v>0</v>
      </c>
    </row>
    <row r="210" spans="7:22" x14ac:dyDescent="0.25">
      <c r="G210">
        <f>Data!A223</f>
        <v>0</v>
      </c>
      <c r="H210" s="21">
        <f>Data!B223</f>
        <v>0</v>
      </c>
      <c r="I210" s="21">
        <f>Data!C223</f>
        <v>0</v>
      </c>
      <c r="J210">
        <f>Data!D223</f>
        <v>0</v>
      </c>
      <c r="K210">
        <f>Data!E223</f>
        <v>0</v>
      </c>
      <c r="L210">
        <f>Data!F223</f>
        <v>0</v>
      </c>
      <c r="M210">
        <f>Data!G223</f>
        <v>0</v>
      </c>
      <c r="N210">
        <f>Data!H223</f>
        <v>0</v>
      </c>
      <c r="O210">
        <f>Data!I223</f>
        <v>0</v>
      </c>
      <c r="P210" s="21">
        <f>Data!J223</f>
        <v>0</v>
      </c>
      <c r="Q210">
        <f>Data!K223</f>
        <v>0</v>
      </c>
      <c r="R210">
        <f>Data!L223</f>
        <v>0</v>
      </c>
      <c r="S210">
        <f>Data!M223</f>
        <v>0</v>
      </c>
      <c r="T210">
        <f>Data!N223</f>
        <v>0</v>
      </c>
      <c r="U210">
        <f>Data!O223</f>
        <v>0</v>
      </c>
      <c r="V210" s="33">
        <f>Data!P223</f>
        <v>0</v>
      </c>
    </row>
    <row r="211" spans="7:22" x14ac:dyDescent="0.25">
      <c r="G211">
        <f>Data!A224</f>
        <v>0</v>
      </c>
      <c r="H211" s="21">
        <f>Data!B224</f>
        <v>0</v>
      </c>
      <c r="I211" s="21">
        <f>Data!C224</f>
        <v>0</v>
      </c>
      <c r="J211">
        <f>Data!D224</f>
        <v>0</v>
      </c>
      <c r="K211">
        <f>Data!E224</f>
        <v>0</v>
      </c>
      <c r="L211">
        <f>Data!F224</f>
        <v>0</v>
      </c>
      <c r="M211">
        <f>Data!G224</f>
        <v>0</v>
      </c>
      <c r="N211">
        <f>Data!H224</f>
        <v>0</v>
      </c>
      <c r="O211">
        <f>Data!I224</f>
        <v>0</v>
      </c>
      <c r="P211" s="21">
        <f>Data!J224</f>
        <v>0</v>
      </c>
      <c r="Q211">
        <f>Data!K224</f>
        <v>0</v>
      </c>
      <c r="R211">
        <f>Data!L224</f>
        <v>0</v>
      </c>
      <c r="S211">
        <f>Data!M224</f>
        <v>0</v>
      </c>
      <c r="T211">
        <f>Data!N224</f>
        <v>0</v>
      </c>
      <c r="U211">
        <f>Data!O224</f>
        <v>0</v>
      </c>
      <c r="V211" s="33">
        <f>Data!P224</f>
        <v>0</v>
      </c>
    </row>
    <row r="212" spans="7:22" x14ac:dyDescent="0.25">
      <c r="G212">
        <f>Data!A225</f>
        <v>0</v>
      </c>
      <c r="H212" s="21">
        <f>Data!B225</f>
        <v>0</v>
      </c>
      <c r="I212" s="21">
        <f>Data!C225</f>
        <v>0</v>
      </c>
      <c r="J212">
        <f>Data!D225</f>
        <v>0</v>
      </c>
      <c r="K212">
        <f>Data!E225</f>
        <v>0</v>
      </c>
      <c r="L212">
        <f>Data!F225</f>
        <v>0</v>
      </c>
      <c r="M212">
        <f>Data!G225</f>
        <v>0</v>
      </c>
      <c r="N212">
        <f>Data!H225</f>
        <v>0</v>
      </c>
      <c r="O212">
        <f>Data!I225</f>
        <v>0</v>
      </c>
      <c r="P212" s="21">
        <f>Data!J225</f>
        <v>0</v>
      </c>
      <c r="Q212">
        <f>Data!K225</f>
        <v>0</v>
      </c>
      <c r="R212">
        <f>Data!L225</f>
        <v>0</v>
      </c>
      <c r="S212">
        <f>Data!M225</f>
        <v>0</v>
      </c>
      <c r="T212">
        <f>Data!N225</f>
        <v>0</v>
      </c>
      <c r="U212">
        <f>Data!O225</f>
        <v>0</v>
      </c>
      <c r="V212" s="33">
        <f>Data!P225</f>
        <v>0</v>
      </c>
    </row>
    <row r="213" spans="7:22" x14ac:dyDescent="0.25">
      <c r="G213">
        <f>Data!A226</f>
        <v>0</v>
      </c>
      <c r="H213" s="21">
        <f>Data!B226</f>
        <v>0</v>
      </c>
      <c r="I213" s="21">
        <f>Data!C226</f>
        <v>0</v>
      </c>
      <c r="J213">
        <f>Data!D226</f>
        <v>0</v>
      </c>
      <c r="K213">
        <f>Data!E226</f>
        <v>0</v>
      </c>
      <c r="L213">
        <f>Data!F226</f>
        <v>0</v>
      </c>
      <c r="M213">
        <f>Data!G226</f>
        <v>0</v>
      </c>
      <c r="N213">
        <f>Data!H226</f>
        <v>0</v>
      </c>
      <c r="O213">
        <f>Data!I226</f>
        <v>0</v>
      </c>
      <c r="P213" s="21">
        <f>Data!J226</f>
        <v>0</v>
      </c>
      <c r="Q213">
        <f>Data!K226</f>
        <v>0</v>
      </c>
      <c r="R213">
        <f>Data!L226</f>
        <v>0</v>
      </c>
      <c r="S213">
        <f>Data!M226</f>
        <v>0</v>
      </c>
      <c r="T213">
        <f>Data!N226</f>
        <v>0</v>
      </c>
      <c r="U213">
        <f>Data!O226</f>
        <v>0</v>
      </c>
      <c r="V213" s="33">
        <f>Data!P226</f>
        <v>0</v>
      </c>
    </row>
    <row r="214" spans="7:22" x14ac:dyDescent="0.25">
      <c r="G214">
        <f>Data!A227</f>
        <v>0</v>
      </c>
      <c r="H214" s="21">
        <f>Data!B227</f>
        <v>0</v>
      </c>
      <c r="I214" s="21">
        <f>Data!C227</f>
        <v>0</v>
      </c>
      <c r="J214">
        <f>Data!D227</f>
        <v>0</v>
      </c>
      <c r="K214">
        <f>Data!E227</f>
        <v>0</v>
      </c>
      <c r="L214">
        <f>Data!F227</f>
        <v>0</v>
      </c>
      <c r="M214">
        <f>Data!G227</f>
        <v>0</v>
      </c>
      <c r="N214">
        <f>Data!H227</f>
        <v>0</v>
      </c>
      <c r="O214">
        <f>Data!I227</f>
        <v>0</v>
      </c>
      <c r="P214" s="21">
        <f>Data!J227</f>
        <v>0</v>
      </c>
      <c r="Q214">
        <f>Data!K227</f>
        <v>0</v>
      </c>
      <c r="R214">
        <f>Data!L227</f>
        <v>0</v>
      </c>
      <c r="S214">
        <f>Data!M227</f>
        <v>0</v>
      </c>
      <c r="T214">
        <f>Data!N227</f>
        <v>0</v>
      </c>
      <c r="U214">
        <f>Data!O227</f>
        <v>0</v>
      </c>
      <c r="V214" s="33">
        <f>Data!P227</f>
        <v>0</v>
      </c>
    </row>
    <row r="215" spans="7:22" x14ac:dyDescent="0.25">
      <c r="G215">
        <f>Data!A228</f>
        <v>0</v>
      </c>
      <c r="H215" s="21">
        <f>Data!B228</f>
        <v>0</v>
      </c>
      <c r="I215" s="21">
        <f>Data!C228</f>
        <v>0</v>
      </c>
      <c r="J215">
        <f>Data!D228</f>
        <v>0</v>
      </c>
      <c r="K215">
        <f>Data!E228</f>
        <v>0</v>
      </c>
      <c r="L215">
        <f>Data!F228</f>
        <v>0</v>
      </c>
      <c r="M215">
        <f>Data!G228</f>
        <v>0</v>
      </c>
      <c r="N215">
        <f>Data!H228</f>
        <v>0</v>
      </c>
      <c r="O215">
        <f>Data!I228</f>
        <v>0</v>
      </c>
      <c r="P215" s="21">
        <f>Data!J228</f>
        <v>0</v>
      </c>
      <c r="Q215">
        <f>Data!K228</f>
        <v>0</v>
      </c>
      <c r="R215">
        <f>Data!L228</f>
        <v>0</v>
      </c>
      <c r="S215">
        <f>Data!M228</f>
        <v>0</v>
      </c>
      <c r="T215">
        <f>Data!N228</f>
        <v>0</v>
      </c>
      <c r="U215">
        <f>Data!O228</f>
        <v>0</v>
      </c>
      <c r="V215" s="33">
        <f>Data!P228</f>
        <v>0</v>
      </c>
    </row>
    <row r="216" spans="7:22" x14ac:dyDescent="0.25">
      <c r="G216">
        <f>Data!A229</f>
        <v>0</v>
      </c>
      <c r="H216" s="21">
        <f>Data!B229</f>
        <v>0</v>
      </c>
      <c r="I216" s="21">
        <f>Data!C229</f>
        <v>0</v>
      </c>
      <c r="J216">
        <f>Data!D229</f>
        <v>0</v>
      </c>
      <c r="K216">
        <f>Data!E229</f>
        <v>0</v>
      </c>
      <c r="L216">
        <f>Data!F229</f>
        <v>0</v>
      </c>
      <c r="M216">
        <f>Data!G229</f>
        <v>0</v>
      </c>
      <c r="N216">
        <f>Data!H229</f>
        <v>0</v>
      </c>
      <c r="O216">
        <f>Data!I229</f>
        <v>0</v>
      </c>
      <c r="P216" s="21">
        <f>Data!J229</f>
        <v>0</v>
      </c>
      <c r="Q216">
        <f>Data!K229</f>
        <v>0</v>
      </c>
      <c r="R216">
        <f>Data!L229</f>
        <v>0</v>
      </c>
      <c r="S216">
        <f>Data!M229</f>
        <v>0</v>
      </c>
      <c r="T216">
        <f>Data!N229</f>
        <v>0</v>
      </c>
      <c r="U216">
        <f>Data!O229</f>
        <v>0</v>
      </c>
      <c r="V216" s="33">
        <f>Data!P229</f>
        <v>0</v>
      </c>
    </row>
    <row r="217" spans="7:22" x14ac:dyDescent="0.25">
      <c r="G217">
        <f>Data!A230</f>
        <v>0</v>
      </c>
      <c r="H217" s="21">
        <f>Data!B230</f>
        <v>0</v>
      </c>
      <c r="I217" s="21">
        <f>Data!C230</f>
        <v>0</v>
      </c>
      <c r="J217">
        <f>Data!D230</f>
        <v>0</v>
      </c>
      <c r="K217">
        <f>Data!E230</f>
        <v>0</v>
      </c>
      <c r="L217">
        <f>Data!F230</f>
        <v>0</v>
      </c>
      <c r="M217">
        <f>Data!G230</f>
        <v>0</v>
      </c>
      <c r="N217">
        <f>Data!H230</f>
        <v>0</v>
      </c>
      <c r="O217">
        <f>Data!I230</f>
        <v>0</v>
      </c>
      <c r="P217" s="21">
        <f>Data!J230</f>
        <v>0</v>
      </c>
      <c r="Q217">
        <f>Data!K230</f>
        <v>0</v>
      </c>
      <c r="R217">
        <f>Data!L230</f>
        <v>0</v>
      </c>
      <c r="S217">
        <f>Data!M230</f>
        <v>0</v>
      </c>
      <c r="T217">
        <f>Data!N230</f>
        <v>0</v>
      </c>
      <c r="U217">
        <f>Data!O230</f>
        <v>0</v>
      </c>
      <c r="V217" s="33">
        <f>Data!P230</f>
        <v>0</v>
      </c>
    </row>
    <row r="218" spans="7:22" x14ac:dyDescent="0.25">
      <c r="G218">
        <f>Data!A231</f>
        <v>0</v>
      </c>
      <c r="H218" s="21">
        <f>Data!B231</f>
        <v>0</v>
      </c>
      <c r="I218" s="21">
        <f>Data!C231</f>
        <v>0</v>
      </c>
      <c r="J218">
        <f>Data!D231</f>
        <v>0</v>
      </c>
      <c r="K218">
        <f>Data!E231</f>
        <v>0</v>
      </c>
      <c r="L218">
        <f>Data!F231</f>
        <v>0</v>
      </c>
      <c r="M218">
        <f>Data!G231</f>
        <v>0</v>
      </c>
      <c r="N218">
        <f>Data!H231</f>
        <v>0</v>
      </c>
      <c r="O218">
        <f>Data!I231</f>
        <v>0</v>
      </c>
      <c r="P218" s="21">
        <f>Data!J231</f>
        <v>0</v>
      </c>
      <c r="Q218">
        <f>Data!K231</f>
        <v>0</v>
      </c>
      <c r="R218">
        <f>Data!L231</f>
        <v>0</v>
      </c>
      <c r="S218">
        <f>Data!M231</f>
        <v>0</v>
      </c>
      <c r="T218">
        <f>Data!N231</f>
        <v>0</v>
      </c>
      <c r="U218">
        <f>Data!O231</f>
        <v>0</v>
      </c>
      <c r="V218" s="33">
        <f>Data!P231</f>
        <v>0</v>
      </c>
    </row>
    <row r="219" spans="7:22" x14ac:dyDescent="0.25">
      <c r="G219">
        <f>Data!A232</f>
        <v>0</v>
      </c>
      <c r="H219" s="21">
        <f>Data!B232</f>
        <v>0</v>
      </c>
      <c r="I219" s="21">
        <f>Data!C232</f>
        <v>0</v>
      </c>
      <c r="J219">
        <f>Data!D232</f>
        <v>0</v>
      </c>
      <c r="K219">
        <f>Data!E232</f>
        <v>0</v>
      </c>
      <c r="L219">
        <f>Data!F232</f>
        <v>0</v>
      </c>
      <c r="M219">
        <f>Data!G232</f>
        <v>0</v>
      </c>
      <c r="N219">
        <f>Data!H232</f>
        <v>0</v>
      </c>
      <c r="O219">
        <f>Data!I232</f>
        <v>0</v>
      </c>
      <c r="P219" s="21">
        <f>Data!J232</f>
        <v>0</v>
      </c>
      <c r="Q219">
        <f>Data!K232</f>
        <v>0</v>
      </c>
      <c r="R219">
        <f>Data!L232</f>
        <v>0</v>
      </c>
      <c r="S219">
        <f>Data!M232</f>
        <v>0</v>
      </c>
      <c r="T219">
        <f>Data!N232</f>
        <v>0</v>
      </c>
      <c r="U219">
        <f>Data!O232</f>
        <v>0</v>
      </c>
      <c r="V219" s="33">
        <f>Data!P232</f>
        <v>0</v>
      </c>
    </row>
    <row r="220" spans="7:22" x14ac:dyDescent="0.25">
      <c r="G220">
        <f>Data!A233</f>
        <v>0</v>
      </c>
      <c r="H220" s="21">
        <f>Data!B233</f>
        <v>0</v>
      </c>
      <c r="I220" s="21">
        <f>Data!C233</f>
        <v>0</v>
      </c>
      <c r="J220">
        <f>Data!D233</f>
        <v>0</v>
      </c>
      <c r="K220">
        <f>Data!E233</f>
        <v>0</v>
      </c>
      <c r="L220">
        <f>Data!F233</f>
        <v>0</v>
      </c>
      <c r="M220">
        <f>Data!G233</f>
        <v>0</v>
      </c>
      <c r="N220">
        <f>Data!H233</f>
        <v>0</v>
      </c>
      <c r="O220">
        <f>Data!I233</f>
        <v>0</v>
      </c>
      <c r="P220" s="21">
        <f>Data!J233</f>
        <v>0</v>
      </c>
      <c r="Q220">
        <f>Data!K233</f>
        <v>0</v>
      </c>
      <c r="R220">
        <f>Data!L233</f>
        <v>0</v>
      </c>
      <c r="S220">
        <f>Data!M233</f>
        <v>0</v>
      </c>
      <c r="T220">
        <f>Data!N233</f>
        <v>0</v>
      </c>
      <c r="U220">
        <f>Data!O233</f>
        <v>0</v>
      </c>
      <c r="V220" s="33">
        <f>Data!P233</f>
        <v>0</v>
      </c>
    </row>
    <row r="221" spans="7:22" x14ac:dyDescent="0.25">
      <c r="G221">
        <f>Data!A234</f>
        <v>0</v>
      </c>
      <c r="H221" s="21">
        <f>Data!B234</f>
        <v>0</v>
      </c>
      <c r="I221" s="21">
        <f>Data!C234</f>
        <v>0</v>
      </c>
      <c r="J221">
        <f>Data!D234</f>
        <v>0</v>
      </c>
      <c r="K221">
        <f>Data!E234</f>
        <v>0</v>
      </c>
      <c r="L221">
        <f>Data!F234</f>
        <v>0</v>
      </c>
      <c r="M221">
        <f>Data!G234</f>
        <v>0</v>
      </c>
      <c r="N221">
        <f>Data!H234</f>
        <v>0</v>
      </c>
      <c r="O221">
        <f>Data!I234</f>
        <v>0</v>
      </c>
      <c r="P221" s="21">
        <f>Data!J234</f>
        <v>0</v>
      </c>
      <c r="Q221">
        <f>Data!K234</f>
        <v>0</v>
      </c>
      <c r="R221">
        <f>Data!L234</f>
        <v>0</v>
      </c>
      <c r="S221">
        <f>Data!M234</f>
        <v>0</v>
      </c>
      <c r="T221">
        <f>Data!N234</f>
        <v>0</v>
      </c>
      <c r="U221">
        <f>Data!O234</f>
        <v>0</v>
      </c>
      <c r="V221" s="33">
        <f>Data!P234</f>
        <v>0</v>
      </c>
    </row>
    <row r="222" spans="7:22" x14ac:dyDescent="0.25">
      <c r="G222">
        <f>Data!A235</f>
        <v>0</v>
      </c>
      <c r="H222" s="21">
        <f>Data!B235</f>
        <v>0</v>
      </c>
      <c r="I222" s="21">
        <f>Data!C235</f>
        <v>0</v>
      </c>
      <c r="J222">
        <f>Data!D235</f>
        <v>0</v>
      </c>
      <c r="K222">
        <f>Data!E235</f>
        <v>0</v>
      </c>
      <c r="L222">
        <f>Data!F235</f>
        <v>0</v>
      </c>
      <c r="M222">
        <f>Data!G235</f>
        <v>0</v>
      </c>
      <c r="N222">
        <f>Data!H235</f>
        <v>0</v>
      </c>
      <c r="O222">
        <f>Data!I235</f>
        <v>0</v>
      </c>
      <c r="P222" s="21">
        <f>Data!J235</f>
        <v>0</v>
      </c>
      <c r="Q222">
        <f>Data!K235</f>
        <v>0</v>
      </c>
      <c r="R222">
        <f>Data!L235</f>
        <v>0</v>
      </c>
      <c r="S222">
        <f>Data!M235</f>
        <v>0</v>
      </c>
      <c r="T222">
        <f>Data!N235</f>
        <v>0</v>
      </c>
      <c r="U222">
        <f>Data!O235</f>
        <v>0</v>
      </c>
      <c r="V222" s="33">
        <f>Data!P235</f>
        <v>0</v>
      </c>
    </row>
    <row r="223" spans="7:22" x14ac:dyDescent="0.25">
      <c r="G223">
        <f>Data!A236</f>
        <v>0</v>
      </c>
      <c r="H223" s="21">
        <f>Data!B236</f>
        <v>0</v>
      </c>
      <c r="I223" s="21">
        <f>Data!C236</f>
        <v>0</v>
      </c>
      <c r="J223">
        <f>Data!D236</f>
        <v>0</v>
      </c>
      <c r="K223">
        <f>Data!E236</f>
        <v>0</v>
      </c>
      <c r="L223">
        <f>Data!F236</f>
        <v>0</v>
      </c>
      <c r="M223">
        <f>Data!G236</f>
        <v>0</v>
      </c>
      <c r="N223">
        <f>Data!H236</f>
        <v>0</v>
      </c>
      <c r="O223">
        <f>Data!I236</f>
        <v>0</v>
      </c>
      <c r="P223" s="21">
        <f>Data!J236</f>
        <v>0</v>
      </c>
      <c r="Q223">
        <f>Data!K236</f>
        <v>0</v>
      </c>
      <c r="R223">
        <f>Data!L236</f>
        <v>0</v>
      </c>
      <c r="S223">
        <f>Data!M236</f>
        <v>0</v>
      </c>
      <c r="T223">
        <f>Data!N236</f>
        <v>0</v>
      </c>
      <c r="U223">
        <f>Data!O236</f>
        <v>0</v>
      </c>
      <c r="V223" s="33">
        <f>Data!P236</f>
        <v>0</v>
      </c>
    </row>
    <row r="224" spans="7:22" x14ac:dyDescent="0.25">
      <c r="G224">
        <f>Data!A237</f>
        <v>0</v>
      </c>
      <c r="H224" s="21">
        <f>Data!B237</f>
        <v>0</v>
      </c>
      <c r="I224" s="21">
        <f>Data!C237</f>
        <v>0</v>
      </c>
      <c r="J224">
        <f>Data!D237</f>
        <v>0</v>
      </c>
      <c r="K224">
        <f>Data!E237</f>
        <v>0</v>
      </c>
      <c r="L224">
        <f>Data!F237</f>
        <v>0</v>
      </c>
      <c r="M224">
        <f>Data!G237</f>
        <v>0</v>
      </c>
      <c r="N224">
        <f>Data!H237</f>
        <v>0</v>
      </c>
      <c r="O224">
        <f>Data!I237</f>
        <v>0</v>
      </c>
      <c r="P224" s="21">
        <f>Data!J237</f>
        <v>0</v>
      </c>
      <c r="Q224">
        <f>Data!K237</f>
        <v>0</v>
      </c>
      <c r="R224">
        <f>Data!L237</f>
        <v>0</v>
      </c>
      <c r="S224">
        <f>Data!M237</f>
        <v>0</v>
      </c>
      <c r="T224">
        <f>Data!N237</f>
        <v>0</v>
      </c>
      <c r="U224">
        <f>Data!O237</f>
        <v>0</v>
      </c>
      <c r="V224" s="33">
        <f>Data!P237</f>
        <v>0</v>
      </c>
    </row>
    <row r="225" spans="7:22" x14ac:dyDescent="0.25">
      <c r="G225">
        <f>Data!A238</f>
        <v>0</v>
      </c>
      <c r="H225" s="21">
        <f>Data!B238</f>
        <v>0</v>
      </c>
      <c r="I225" s="21">
        <f>Data!C238</f>
        <v>0</v>
      </c>
      <c r="J225">
        <f>Data!D238</f>
        <v>0</v>
      </c>
      <c r="K225">
        <f>Data!E238</f>
        <v>0</v>
      </c>
      <c r="L225">
        <f>Data!F238</f>
        <v>0</v>
      </c>
      <c r="M225">
        <f>Data!G238</f>
        <v>0</v>
      </c>
      <c r="N225">
        <f>Data!H238</f>
        <v>0</v>
      </c>
      <c r="O225">
        <f>Data!I238</f>
        <v>0</v>
      </c>
      <c r="P225" s="21">
        <f>Data!J238</f>
        <v>0</v>
      </c>
      <c r="Q225">
        <f>Data!K238</f>
        <v>0</v>
      </c>
      <c r="R225">
        <f>Data!L238</f>
        <v>0</v>
      </c>
      <c r="S225">
        <f>Data!M238</f>
        <v>0</v>
      </c>
      <c r="T225">
        <f>Data!N238</f>
        <v>0</v>
      </c>
      <c r="U225">
        <f>Data!O238</f>
        <v>0</v>
      </c>
      <c r="V225" s="33">
        <f>Data!P238</f>
        <v>0</v>
      </c>
    </row>
    <row r="226" spans="7:22" x14ac:dyDescent="0.25">
      <c r="G226">
        <f>Data!A239</f>
        <v>0</v>
      </c>
      <c r="H226" s="21">
        <f>Data!B239</f>
        <v>0</v>
      </c>
      <c r="I226" s="21">
        <f>Data!C239</f>
        <v>0</v>
      </c>
      <c r="J226">
        <f>Data!D239</f>
        <v>0</v>
      </c>
      <c r="K226">
        <f>Data!E239</f>
        <v>0</v>
      </c>
      <c r="L226">
        <f>Data!F239</f>
        <v>0</v>
      </c>
      <c r="M226">
        <f>Data!G239</f>
        <v>0</v>
      </c>
      <c r="N226">
        <f>Data!H239</f>
        <v>0</v>
      </c>
      <c r="O226">
        <f>Data!I239</f>
        <v>0</v>
      </c>
      <c r="P226" s="21">
        <f>Data!J239</f>
        <v>0</v>
      </c>
      <c r="Q226">
        <f>Data!K239</f>
        <v>0</v>
      </c>
      <c r="R226">
        <f>Data!L239</f>
        <v>0</v>
      </c>
      <c r="S226">
        <f>Data!M239</f>
        <v>0</v>
      </c>
      <c r="T226">
        <f>Data!N239</f>
        <v>0</v>
      </c>
      <c r="U226">
        <f>Data!O239</f>
        <v>0</v>
      </c>
      <c r="V226" s="33">
        <f>Data!P239</f>
        <v>0</v>
      </c>
    </row>
    <row r="227" spans="7:22" x14ac:dyDescent="0.25">
      <c r="G227">
        <f>Data!A240</f>
        <v>0</v>
      </c>
      <c r="H227" s="21">
        <f>Data!B240</f>
        <v>0</v>
      </c>
      <c r="I227" s="21">
        <f>Data!C240</f>
        <v>0</v>
      </c>
      <c r="J227">
        <f>Data!D240</f>
        <v>0</v>
      </c>
      <c r="K227">
        <f>Data!E240</f>
        <v>0</v>
      </c>
      <c r="L227">
        <f>Data!F240</f>
        <v>0</v>
      </c>
      <c r="M227">
        <f>Data!G240</f>
        <v>0</v>
      </c>
      <c r="N227">
        <f>Data!H240</f>
        <v>0</v>
      </c>
      <c r="O227">
        <f>Data!I240</f>
        <v>0</v>
      </c>
      <c r="P227" s="21">
        <f>Data!J240</f>
        <v>0</v>
      </c>
      <c r="Q227">
        <f>Data!K240</f>
        <v>0</v>
      </c>
      <c r="R227">
        <f>Data!L240</f>
        <v>0</v>
      </c>
      <c r="S227">
        <f>Data!M240</f>
        <v>0</v>
      </c>
      <c r="T227">
        <f>Data!N240</f>
        <v>0</v>
      </c>
      <c r="U227">
        <f>Data!O240</f>
        <v>0</v>
      </c>
      <c r="V227" s="33">
        <f>Data!P240</f>
        <v>0</v>
      </c>
    </row>
    <row r="228" spans="7:22" x14ac:dyDescent="0.25">
      <c r="G228">
        <f>Data!A241</f>
        <v>0</v>
      </c>
      <c r="H228" s="21">
        <f>Data!B241</f>
        <v>0</v>
      </c>
      <c r="I228" s="21">
        <f>Data!C241</f>
        <v>0</v>
      </c>
      <c r="J228">
        <f>Data!D241</f>
        <v>0</v>
      </c>
      <c r="K228">
        <f>Data!E241</f>
        <v>0</v>
      </c>
      <c r="L228">
        <f>Data!F241</f>
        <v>0</v>
      </c>
      <c r="M228">
        <f>Data!G241</f>
        <v>0</v>
      </c>
      <c r="N228">
        <f>Data!H241</f>
        <v>0</v>
      </c>
      <c r="O228">
        <f>Data!I241</f>
        <v>0</v>
      </c>
      <c r="P228" s="21">
        <f>Data!J241</f>
        <v>0</v>
      </c>
      <c r="Q228">
        <f>Data!K241</f>
        <v>0</v>
      </c>
      <c r="R228">
        <f>Data!L241</f>
        <v>0</v>
      </c>
      <c r="S228">
        <f>Data!M241</f>
        <v>0</v>
      </c>
      <c r="T228">
        <f>Data!N241</f>
        <v>0</v>
      </c>
      <c r="U228">
        <f>Data!O241</f>
        <v>0</v>
      </c>
      <c r="V228" s="33">
        <f>Data!P241</f>
        <v>0</v>
      </c>
    </row>
    <row r="229" spans="7:22" x14ac:dyDescent="0.25">
      <c r="G229">
        <f>Data!A242</f>
        <v>0</v>
      </c>
      <c r="H229" s="21">
        <f>Data!B242</f>
        <v>0</v>
      </c>
      <c r="I229" s="21">
        <f>Data!C242</f>
        <v>0</v>
      </c>
      <c r="J229">
        <f>Data!D242</f>
        <v>0</v>
      </c>
      <c r="K229">
        <f>Data!E242</f>
        <v>0</v>
      </c>
      <c r="L229">
        <f>Data!F242</f>
        <v>0</v>
      </c>
      <c r="M229">
        <f>Data!G242</f>
        <v>0</v>
      </c>
      <c r="N229">
        <f>Data!H242</f>
        <v>0</v>
      </c>
      <c r="O229">
        <f>Data!I242</f>
        <v>0</v>
      </c>
      <c r="P229" s="21">
        <f>Data!J242</f>
        <v>0</v>
      </c>
      <c r="Q229">
        <f>Data!K242</f>
        <v>0</v>
      </c>
      <c r="R229">
        <f>Data!L242</f>
        <v>0</v>
      </c>
      <c r="S229">
        <f>Data!M242</f>
        <v>0</v>
      </c>
      <c r="T229">
        <f>Data!N242</f>
        <v>0</v>
      </c>
      <c r="U229">
        <f>Data!O242</f>
        <v>0</v>
      </c>
      <c r="V229" s="33">
        <f>Data!P242</f>
        <v>0</v>
      </c>
    </row>
    <row r="230" spans="7:22" x14ac:dyDescent="0.25">
      <c r="G230">
        <f>Data!A243</f>
        <v>0</v>
      </c>
      <c r="H230" s="21">
        <f>Data!B243</f>
        <v>0</v>
      </c>
      <c r="I230" s="21">
        <f>Data!C243</f>
        <v>0</v>
      </c>
      <c r="J230">
        <f>Data!D243</f>
        <v>0</v>
      </c>
      <c r="K230">
        <f>Data!E243</f>
        <v>0</v>
      </c>
      <c r="L230">
        <f>Data!F243</f>
        <v>0</v>
      </c>
      <c r="M230">
        <f>Data!G243</f>
        <v>0</v>
      </c>
      <c r="N230">
        <f>Data!H243</f>
        <v>0</v>
      </c>
      <c r="O230">
        <f>Data!I243</f>
        <v>0</v>
      </c>
      <c r="P230" s="21">
        <f>Data!J243</f>
        <v>0</v>
      </c>
      <c r="Q230">
        <f>Data!K243</f>
        <v>0</v>
      </c>
      <c r="R230">
        <f>Data!L243</f>
        <v>0</v>
      </c>
      <c r="S230">
        <f>Data!M243</f>
        <v>0</v>
      </c>
      <c r="T230">
        <f>Data!N243</f>
        <v>0</v>
      </c>
      <c r="U230">
        <f>Data!O243</f>
        <v>0</v>
      </c>
      <c r="V230" s="33">
        <f>Data!P243</f>
        <v>0</v>
      </c>
    </row>
    <row r="231" spans="7:22" x14ac:dyDescent="0.25">
      <c r="G231">
        <f>Data!A244</f>
        <v>0</v>
      </c>
      <c r="H231" s="21">
        <f>Data!B244</f>
        <v>0</v>
      </c>
      <c r="I231" s="21">
        <f>Data!C244</f>
        <v>0</v>
      </c>
      <c r="J231">
        <f>Data!D244</f>
        <v>0</v>
      </c>
      <c r="K231">
        <f>Data!E244</f>
        <v>0</v>
      </c>
      <c r="L231">
        <f>Data!F244</f>
        <v>0</v>
      </c>
      <c r="M231">
        <f>Data!G244</f>
        <v>0</v>
      </c>
      <c r="N231">
        <f>Data!H244</f>
        <v>0</v>
      </c>
      <c r="O231">
        <f>Data!I244</f>
        <v>0</v>
      </c>
      <c r="P231" s="21">
        <f>Data!J244</f>
        <v>0</v>
      </c>
      <c r="Q231">
        <f>Data!K244</f>
        <v>0</v>
      </c>
      <c r="R231">
        <f>Data!L244</f>
        <v>0</v>
      </c>
      <c r="S231">
        <f>Data!M244</f>
        <v>0</v>
      </c>
      <c r="T231">
        <f>Data!N244</f>
        <v>0</v>
      </c>
      <c r="U231">
        <f>Data!O244</f>
        <v>0</v>
      </c>
      <c r="V231" s="33">
        <f>Data!P244</f>
        <v>0</v>
      </c>
    </row>
    <row r="232" spans="7:22" x14ac:dyDescent="0.25">
      <c r="G232">
        <f>Data!A245</f>
        <v>0</v>
      </c>
      <c r="H232" s="21">
        <f>Data!B245</f>
        <v>0</v>
      </c>
      <c r="I232" s="21">
        <f>Data!C245</f>
        <v>0</v>
      </c>
      <c r="J232">
        <f>Data!D245</f>
        <v>0</v>
      </c>
      <c r="K232">
        <f>Data!E245</f>
        <v>0</v>
      </c>
      <c r="L232">
        <f>Data!F245</f>
        <v>0</v>
      </c>
      <c r="M232">
        <f>Data!G245</f>
        <v>0</v>
      </c>
      <c r="N232">
        <f>Data!H245</f>
        <v>0</v>
      </c>
      <c r="O232">
        <f>Data!I245</f>
        <v>0</v>
      </c>
      <c r="P232" s="21">
        <f>Data!J245</f>
        <v>0</v>
      </c>
      <c r="Q232">
        <f>Data!K245</f>
        <v>0</v>
      </c>
      <c r="R232">
        <f>Data!L245</f>
        <v>0</v>
      </c>
      <c r="S232">
        <f>Data!M245</f>
        <v>0</v>
      </c>
      <c r="T232">
        <f>Data!N245</f>
        <v>0</v>
      </c>
      <c r="U232">
        <f>Data!O245</f>
        <v>0</v>
      </c>
      <c r="V232" s="33">
        <f>Data!P245</f>
        <v>0</v>
      </c>
    </row>
    <row r="233" spans="7:22" x14ac:dyDescent="0.25">
      <c r="G233">
        <f>Data!A246</f>
        <v>0</v>
      </c>
      <c r="H233" s="21">
        <f>Data!B246</f>
        <v>0</v>
      </c>
      <c r="I233" s="21">
        <f>Data!C246</f>
        <v>0</v>
      </c>
      <c r="J233">
        <f>Data!D246</f>
        <v>0</v>
      </c>
      <c r="K233">
        <f>Data!E246</f>
        <v>0</v>
      </c>
      <c r="L233">
        <f>Data!F246</f>
        <v>0</v>
      </c>
      <c r="M233">
        <f>Data!G246</f>
        <v>0</v>
      </c>
      <c r="N233">
        <f>Data!H246</f>
        <v>0</v>
      </c>
      <c r="O233">
        <f>Data!I246</f>
        <v>0</v>
      </c>
      <c r="P233" s="21">
        <f>Data!J246</f>
        <v>0</v>
      </c>
      <c r="Q233">
        <f>Data!K246</f>
        <v>0</v>
      </c>
      <c r="R233">
        <f>Data!L246</f>
        <v>0</v>
      </c>
      <c r="S233">
        <f>Data!M246</f>
        <v>0</v>
      </c>
      <c r="T233">
        <f>Data!N246</f>
        <v>0</v>
      </c>
      <c r="U233">
        <f>Data!O246</f>
        <v>0</v>
      </c>
      <c r="V233" s="33">
        <f>Data!P246</f>
        <v>0</v>
      </c>
    </row>
    <row r="234" spans="7:22" x14ac:dyDescent="0.25">
      <c r="G234">
        <f>Data!A247</f>
        <v>0</v>
      </c>
      <c r="H234" s="21">
        <f>Data!B247</f>
        <v>0</v>
      </c>
      <c r="I234" s="21">
        <f>Data!C247</f>
        <v>0</v>
      </c>
      <c r="J234">
        <f>Data!D247</f>
        <v>0</v>
      </c>
      <c r="K234">
        <f>Data!E247</f>
        <v>0</v>
      </c>
      <c r="L234">
        <f>Data!F247</f>
        <v>0</v>
      </c>
      <c r="M234">
        <f>Data!G247</f>
        <v>0</v>
      </c>
      <c r="N234">
        <f>Data!H247</f>
        <v>0</v>
      </c>
      <c r="O234">
        <f>Data!I247</f>
        <v>0</v>
      </c>
      <c r="P234" s="21">
        <f>Data!J247</f>
        <v>0</v>
      </c>
      <c r="Q234">
        <f>Data!K247</f>
        <v>0</v>
      </c>
      <c r="R234">
        <f>Data!L247</f>
        <v>0</v>
      </c>
      <c r="S234">
        <f>Data!M247</f>
        <v>0</v>
      </c>
      <c r="T234">
        <f>Data!N247</f>
        <v>0</v>
      </c>
      <c r="U234">
        <f>Data!O247</f>
        <v>0</v>
      </c>
      <c r="V234" s="33">
        <f>Data!P247</f>
        <v>0</v>
      </c>
    </row>
    <row r="235" spans="7:22" x14ac:dyDescent="0.25">
      <c r="G235">
        <f>Data!A248</f>
        <v>0</v>
      </c>
      <c r="H235" s="21">
        <f>Data!B248</f>
        <v>0</v>
      </c>
      <c r="I235" s="21">
        <f>Data!C248</f>
        <v>0</v>
      </c>
      <c r="J235">
        <f>Data!D248</f>
        <v>0</v>
      </c>
      <c r="K235">
        <f>Data!E248</f>
        <v>0</v>
      </c>
      <c r="L235">
        <f>Data!F248</f>
        <v>0</v>
      </c>
      <c r="M235">
        <f>Data!G248</f>
        <v>0</v>
      </c>
      <c r="N235">
        <f>Data!H248</f>
        <v>0</v>
      </c>
      <c r="O235">
        <f>Data!I248</f>
        <v>0</v>
      </c>
      <c r="P235" s="21">
        <f>Data!J248</f>
        <v>0</v>
      </c>
      <c r="Q235">
        <f>Data!K248</f>
        <v>0</v>
      </c>
      <c r="R235">
        <f>Data!L248</f>
        <v>0</v>
      </c>
      <c r="S235">
        <f>Data!M248</f>
        <v>0</v>
      </c>
      <c r="T235">
        <f>Data!N248</f>
        <v>0</v>
      </c>
      <c r="U235">
        <f>Data!O248</f>
        <v>0</v>
      </c>
      <c r="V235" s="33">
        <f>Data!P248</f>
        <v>0</v>
      </c>
    </row>
    <row r="236" spans="7:22" x14ac:dyDescent="0.25">
      <c r="G236">
        <f>Data!A249</f>
        <v>0</v>
      </c>
      <c r="H236" s="21">
        <f>Data!B249</f>
        <v>0</v>
      </c>
      <c r="I236" s="21">
        <f>Data!C249</f>
        <v>0</v>
      </c>
      <c r="J236">
        <f>Data!D249</f>
        <v>0</v>
      </c>
      <c r="K236">
        <f>Data!E249</f>
        <v>0</v>
      </c>
      <c r="L236">
        <f>Data!F249</f>
        <v>0</v>
      </c>
      <c r="M236">
        <f>Data!G249</f>
        <v>0</v>
      </c>
      <c r="N236">
        <f>Data!H249</f>
        <v>0</v>
      </c>
      <c r="O236">
        <f>Data!I249</f>
        <v>0</v>
      </c>
      <c r="P236" s="21">
        <f>Data!J249</f>
        <v>0</v>
      </c>
      <c r="Q236">
        <f>Data!K249</f>
        <v>0</v>
      </c>
      <c r="R236">
        <f>Data!L249</f>
        <v>0</v>
      </c>
      <c r="S236">
        <f>Data!M249</f>
        <v>0</v>
      </c>
      <c r="T236">
        <f>Data!N249</f>
        <v>0</v>
      </c>
      <c r="U236">
        <f>Data!O249</f>
        <v>0</v>
      </c>
      <c r="V236" s="33">
        <f>Data!P249</f>
        <v>0</v>
      </c>
    </row>
    <row r="237" spans="7:22" x14ac:dyDescent="0.25">
      <c r="G237">
        <f>Data!A250</f>
        <v>0</v>
      </c>
      <c r="H237" s="21">
        <f>Data!B250</f>
        <v>0</v>
      </c>
      <c r="I237" s="21">
        <f>Data!C250</f>
        <v>0</v>
      </c>
      <c r="J237">
        <f>Data!D250</f>
        <v>0</v>
      </c>
      <c r="K237">
        <f>Data!E250</f>
        <v>0</v>
      </c>
      <c r="L237">
        <f>Data!F250</f>
        <v>0</v>
      </c>
      <c r="M237">
        <f>Data!G250</f>
        <v>0</v>
      </c>
      <c r="N237">
        <f>Data!H250</f>
        <v>0</v>
      </c>
      <c r="O237">
        <f>Data!I250</f>
        <v>0</v>
      </c>
      <c r="P237" s="21">
        <f>Data!J250</f>
        <v>0</v>
      </c>
      <c r="Q237">
        <f>Data!K250</f>
        <v>0</v>
      </c>
      <c r="R237">
        <f>Data!L250</f>
        <v>0</v>
      </c>
      <c r="S237">
        <f>Data!M250</f>
        <v>0</v>
      </c>
      <c r="T237">
        <f>Data!N250</f>
        <v>0</v>
      </c>
      <c r="U237">
        <f>Data!O250</f>
        <v>0</v>
      </c>
      <c r="V237" s="33">
        <f>Data!P250</f>
        <v>0</v>
      </c>
    </row>
    <row r="238" spans="7:22" x14ac:dyDescent="0.25">
      <c r="G238">
        <f>Data!A251</f>
        <v>0</v>
      </c>
      <c r="H238" s="21">
        <f>Data!B251</f>
        <v>0</v>
      </c>
      <c r="I238" s="21">
        <f>Data!C251</f>
        <v>0</v>
      </c>
      <c r="J238">
        <f>Data!D251</f>
        <v>0</v>
      </c>
      <c r="K238">
        <f>Data!E251</f>
        <v>0</v>
      </c>
      <c r="L238">
        <f>Data!F251</f>
        <v>0</v>
      </c>
      <c r="M238">
        <f>Data!G251</f>
        <v>0</v>
      </c>
      <c r="N238">
        <f>Data!H251</f>
        <v>0</v>
      </c>
      <c r="O238">
        <f>Data!I251</f>
        <v>0</v>
      </c>
      <c r="P238" s="21">
        <f>Data!J251</f>
        <v>0</v>
      </c>
      <c r="Q238">
        <f>Data!K251</f>
        <v>0</v>
      </c>
      <c r="R238">
        <f>Data!L251</f>
        <v>0</v>
      </c>
      <c r="S238">
        <f>Data!M251</f>
        <v>0</v>
      </c>
      <c r="T238">
        <f>Data!N251</f>
        <v>0</v>
      </c>
      <c r="U238">
        <f>Data!O251</f>
        <v>0</v>
      </c>
      <c r="V238" s="33">
        <f>Data!P251</f>
        <v>0</v>
      </c>
    </row>
    <row r="239" spans="7:22" x14ac:dyDescent="0.25">
      <c r="G239">
        <f>Data!A252</f>
        <v>0</v>
      </c>
      <c r="H239" s="21">
        <f>Data!B252</f>
        <v>0</v>
      </c>
      <c r="I239" s="21">
        <f>Data!C252</f>
        <v>0</v>
      </c>
      <c r="J239">
        <f>Data!D252</f>
        <v>0</v>
      </c>
      <c r="K239">
        <f>Data!E252</f>
        <v>0</v>
      </c>
      <c r="L239">
        <f>Data!F252</f>
        <v>0</v>
      </c>
      <c r="M239">
        <f>Data!G252</f>
        <v>0</v>
      </c>
      <c r="N239">
        <f>Data!H252</f>
        <v>0</v>
      </c>
      <c r="O239">
        <f>Data!I252</f>
        <v>0</v>
      </c>
      <c r="P239" s="21">
        <f>Data!J252</f>
        <v>0</v>
      </c>
      <c r="Q239">
        <f>Data!K252</f>
        <v>0</v>
      </c>
      <c r="R239">
        <f>Data!L252</f>
        <v>0</v>
      </c>
      <c r="S239">
        <f>Data!M252</f>
        <v>0</v>
      </c>
      <c r="T239">
        <f>Data!N252</f>
        <v>0</v>
      </c>
      <c r="U239">
        <f>Data!O252</f>
        <v>0</v>
      </c>
      <c r="V239" s="33">
        <f>Data!P252</f>
        <v>0</v>
      </c>
    </row>
    <row r="240" spans="7:22" x14ac:dyDescent="0.25">
      <c r="G240">
        <f>Data!A253</f>
        <v>0</v>
      </c>
      <c r="H240" s="21">
        <f>Data!B253</f>
        <v>0</v>
      </c>
      <c r="I240" s="21">
        <f>Data!C253</f>
        <v>0</v>
      </c>
      <c r="J240">
        <f>Data!D253</f>
        <v>0</v>
      </c>
      <c r="K240">
        <f>Data!E253</f>
        <v>0</v>
      </c>
      <c r="L240">
        <f>Data!F253</f>
        <v>0</v>
      </c>
      <c r="M240">
        <f>Data!G253</f>
        <v>0</v>
      </c>
      <c r="N240">
        <f>Data!H253</f>
        <v>0</v>
      </c>
      <c r="O240">
        <f>Data!I253</f>
        <v>0</v>
      </c>
      <c r="P240" s="21">
        <f>Data!J253</f>
        <v>0</v>
      </c>
      <c r="Q240">
        <f>Data!K253</f>
        <v>0</v>
      </c>
      <c r="R240">
        <f>Data!L253</f>
        <v>0</v>
      </c>
      <c r="S240">
        <f>Data!M253</f>
        <v>0</v>
      </c>
      <c r="T240">
        <f>Data!N253</f>
        <v>0</v>
      </c>
      <c r="U240">
        <f>Data!O253</f>
        <v>0</v>
      </c>
      <c r="V240" s="33">
        <f>Data!P253</f>
        <v>0</v>
      </c>
    </row>
    <row r="241" spans="7:22" x14ac:dyDescent="0.25">
      <c r="G241">
        <f>Data!A254</f>
        <v>0</v>
      </c>
      <c r="H241" s="21">
        <f>Data!B254</f>
        <v>0</v>
      </c>
      <c r="I241" s="21">
        <f>Data!C254</f>
        <v>0</v>
      </c>
      <c r="J241">
        <f>Data!D254</f>
        <v>0</v>
      </c>
      <c r="K241">
        <f>Data!E254</f>
        <v>0</v>
      </c>
      <c r="L241">
        <f>Data!F254</f>
        <v>0</v>
      </c>
      <c r="M241">
        <f>Data!G254</f>
        <v>0</v>
      </c>
      <c r="N241">
        <f>Data!H254</f>
        <v>0</v>
      </c>
      <c r="O241">
        <f>Data!I254</f>
        <v>0</v>
      </c>
      <c r="P241" s="21">
        <f>Data!J254</f>
        <v>0</v>
      </c>
      <c r="Q241">
        <f>Data!K254</f>
        <v>0</v>
      </c>
      <c r="R241">
        <f>Data!L254</f>
        <v>0</v>
      </c>
      <c r="S241">
        <f>Data!M254</f>
        <v>0</v>
      </c>
      <c r="T241">
        <f>Data!N254</f>
        <v>0</v>
      </c>
      <c r="U241">
        <f>Data!O254</f>
        <v>0</v>
      </c>
      <c r="V241" s="33">
        <f>Data!P254</f>
        <v>0</v>
      </c>
    </row>
    <row r="242" spans="7:22" x14ac:dyDescent="0.25">
      <c r="G242">
        <f>Data!A255</f>
        <v>0</v>
      </c>
      <c r="H242" s="21">
        <f>Data!B255</f>
        <v>0</v>
      </c>
      <c r="I242" s="21">
        <f>Data!C255</f>
        <v>0</v>
      </c>
      <c r="J242">
        <f>Data!D255</f>
        <v>0</v>
      </c>
      <c r="K242">
        <f>Data!E255</f>
        <v>0</v>
      </c>
      <c r="L242">
        <f>Data!F255</f>
        <v>0</v>
      </c>
      <c r="M242">
        <f>Data!G255</f>
        <v>0</v>
      </c>
      <c r="N242">
        <f>Data!H255</f>
        <v>0</v>
      </c>
      <c r="O242">
        <f>Data!I255</f>
        <v>0</v>
      </c>
      <c r="P242" s="21">
        <f>Data!J255</f>
        <v>0</v>
      </c>
      <c r="Q242">
        <f>Data!K255</f>
        <v>0</v>
      </c>
      <c r="R242">
        <f>Data!L255</f>
        <v>0</v>
      </c>
      <c r="S242">
        <f>Data!M255</f>
        <v>0</v>
      </c>
      <c r="T242">
        <f>Data!N255</f>
        <v>0</v>
      </c>
      <c r="U242">
        <f>Data!O255</f>
        <v>0</v>
      </c>
      <c r="V242" s="33">
        <f>Data!P255</f>
        <v>0</v>
      </c>
    </row>
    <row r="243" spans="7:22" x14ac:dyDescent="0.25">
      <c r="G243">
        <f>Data!A256</f>
        <v>0</v>
      </c>
      <c r="H243" s="21">
        <f>Data!B256</f>
        <v>0</v>
      </c>
      <c r="I243" s="21">
        <f>Data!C256</f>
        <v>0</v>
      </c>
      <c r="J243">
        <f>Data!D256</f>
        <v>0</v>
      </c>
      <c r="K243">
        <f>Data!E256</f>
        <v>0</v>
      </c>
      <c r="L243">
        <f>Data!F256</f>
        <v>0</v>
      </c>
      <c r="M243">
        <f>Data!G256</f>
        <v>0</v>
      </c>
      <c r="N243">
        <f>Data!H256</f>
        <v>0</v>
      </c>
      <c r="O243">
        <f>Data!I256</f>
        <v>0</v>
      </c>
      <c r="P243" s="21">
        <f>Data!J256</f>
        <v>0</v>
      </c>
      <c r="Q243">
        <f>Data!K256</f>
        <v>0</v>
      </c>
      <c r="R243">
        <f>Data!L256</f>
        <v>0</v>
      </c>
      <c r="S243">
        <f>Data!M256</f>
        <v>0</v>
      </c>
      <c r="T243">
        <f>Data!N256</f>
        <v>0</v>
      </c>
      <c r="U243">
        <f>Data!O256</f>
        <v>0</v>
      </c>
      <c r="V243" s="33">
        <f>Data!P256</f>
        <v>0</v>
      </c>
    </row>
    <row r="244" spans="7:22" x14ac:dyDescent="0.25">
      <c r="G244">
        <f>Data!A257</f>
        <v>0</v>
      </c>
      <c r="H244" s="21">
        <f>Data!B257</f>
        <v>0</v>
      </c>
      <c r="I244" s="21">
        <f>Data!C257</f>
        <v>0</v>
      </c>
      <c r="J244">
        <f>Data!D257</f>
        <v>0</v>
      </c>
      <c r="K244">
        <f>Data!E257</f>
        <v>0</v>
      </c>
      <c r="L244">
        <f>Data!F257</f>
        <v>0</v>
      </c>
      <c r="M244">
        <f>Data!G257</f>
        <v>0</v>
      </c>
      <c r="N244">
        <f>Data!H257</f>
        <v>0</v>
      </c>
      <c r="O244">
        <f>Data!I257</f>
        <v>0</v>
      </c>
      <c r="P244" s="21">
        <f>Data!J257</f>
        <v>0</v>
      </c>
      <c r="Q244">
        <f>Data!K257</f>
        <v>0</v>
      </c>
      <c r="R244">
        <f>Data!L257</f>
        <v>0</v>
      </c>
      <c r="S244">
        <f>Data!M257</f>
        <v>0</v>
      </c>
      <c r="T244">
        <f>Data!N257</f>
        <v>0</v>
      </c>
      <c r="U244">
        <f>Data!O257</f>
        <v>0</v>
      </c>
      <c r="V244" s="33">
        <f>Data!P257</f>
        <v>0</v>
      </c>
    </row>
    <row r="245" spans="7:22" x14ac:dyDescent="0.25">
      <c r="G245">
        <f>Data!A258</f>
        <v>0</v>
      </c>
      <c r="H245" s="21">
        <f>Data!B258</f>
        <v>0</v>
      </c>
      <c r="I245" s="21">
        <f>Data!C258</f>
        <v>0</v>
      </c>
      <c r="J245">
        <f>Data!D258</f>
        <v>0</v>
      </c>
      <c r="K245">
        <f>Data!E258</f>
        <v>0</v>
      </c>
      <c r="L245">
        <f>Data!F258</f>
        <v>0</v>
      </c>
      <c r="M245">
        <f>Data!G258</f>
        <v>0</v>
      </c>
      <c r="N245">
        <f>Data!H258</f>
        <v>0</v>
      </c>
      <c r="O245">
        <f>Data!I258</f>
        <v>0</v>
      </c>
      <c r="P245" s="21">
        <f>Data!J258</f>
        <v>0</v>
      </c>
      <c r="Q245">
        <f>Data!K258</f>
        <v>0</v>
      </c>
      <c r="R245">
        <f>Data!L258</f>
        <v>0</v>
      </c>
      <c r="S245">
        <f>Data!M258</f>
        <v>0</v>
      </c>
      <c r="T245">
        <f>Data!N258</f>
        <v>0</v>
      </c>
      <c r="U245">
        <f>Data!O258</f>
        <v>0</v>
      </c>
      <c r="V245" s="33">
        <f>Data!P258</f>
        <v>0</v>
      </c>
    </row>
    <row r="246" spans="7:22" x14ac:dyDescent="0.25">
      <c r="G246">
        <f>Data!A259</f>
        <v>0</v>
      </c>
      <c r="H246" s="21">
        <f>Data!B259</f>
        <v>0</v>
      </c>
      <c r="I246" s="21">
        <f>Data!C259</f>
        <v>0</v>
      </c>
      <c r="J246">
        <f>Data!D259</f>
        <v>0</v>
      </c>
      <c r="K246">
        <f>Data!E259</f>
        <v>0</v>
      </c>
      <c r="L246">
        <f>Data!F259</f>
        <v>0</v>
      </c>
      <c r="M246">
        <f>Data!G259</f>
        <v>0</v>
      </c>
      <c r="N246">
        <f>Data!H259</f>
        <v>0</v>
      </c>
      <c r="O246">
        <f>Data!I259</f>
        <v>0</v>
      </c>
      <c r="P246" s="21">
        <f>Data!J259</f>
        <v>0</v>
      </c>
      <c r="Q246">
        <f>Data!K259</f>
        <v>0</v>
      </c>
      <c r="R246">
        <f>Data!L259</f>
        <v>0</v>
      </c>
      <c r="S246">
        <f>Data!M259</f>
        <v>0</v>
      </c>
      <c r="T246">
        <f>Data!N259</f>
        <v>0</v>
      </c>
      <c r="U246">
        <f>Data!O259</f>
        <v>0</v>
      </c>
      <c r="V246" s="33">
        <f>Data!P259</f>
        <v>0</v>
      </c>
    </row>
    <row r="247" spans="7:22" x14ac:dyDescent="0.25">
      <c r="G247">
        <f>Data!A260</f>
        <v>0</v>
      </c>
      <c r="H247" s="21">
        <f>Data!B260</f>
        <v>0</v>
      </c>
      <c r="I247" s="21">
        <f>Data!C260</f>
        <v>0</v>
      </c>
      <c r="J247">
        <f>Data!D260</f>
        <v>0</v>
      </c>
      <c r="K247">
        <f>Data!E260</f>
        <v>0</v>
      </c>
      <c r="L247">
        <f>Data!F260</f>
        <v>0</v>
      </c>
      <c r="M247">
        <f>Data!G260</f>
        <v>0</v>
      </c>
      <c r="N247">
        <f>Data!H260</f>
        <v>0</v>
      </c>
      <c r="O247">
        <f>Data!I260</f>
        <v>0</v>
      </c>
      <c r="P247" s="21">
        <f>Data!J260</f>
        <v>0</v>
      </c>
      <c r="Q247">
        <f>Data!K260</f>
        <v>0</v>
      </c>
      <c r="R247">
        <f>Data!L260</f>
        <v>0</v>
      </c>
      <c r="S247">
        <f>Data!M260</f>
        <v>0</v>
      </c>
      <c r="T247">
        <f>Data!N260</f>
        <v>0</v>
      </c>
      <c r="U247">
        <f>Data!O260</f>
        <v>0</v>
      </c>
      <c r="V247" s="33">
        <f>Data!P260</f>
        <v>0</v>
      </c>
    </row>
    <row r="248" spans="7:22" x14ac:dyDescent="0.25">
      <c r="G248">
        <f>Data!A261</f>
        <v>0</v>
      </c>
      <c r="H248" s="21">
        <f>Data!B261</f>
        <v>0</v>
      </c>
      <c r="I248" s="21">
        <f>Data!C261</f>
        <v>0</v>
      </c>
      <c r="J248">
        <f>Data!D261</f>
        <v>0</v>
      </c>
      <c r="K248">
        <f>Data!E261</f>
        <v>0</v>
      </c>
      <c r="L248">
        <f>Data!F261</f>
        <v>0</v>
      </c>
      <c r="M248">
        <f>Data!G261</f>
        <v>0</v>
      </c>
      <c r="N248">
        <f>Data!H261</f>
        <v>0</v>
      </c>
      <c r="O248">
        <f>Data!I261</f>
        <v>0</v>
      </c>
      <c r="P248" s="21">
        <f>Data!J261</f>
        <v>0</v>
      </c>
      <c r="Q248">
        <f>Data!K261</f>
        <v>0</v>
      </c>
      <c r="R248">
        <f>Data!L261</f>
        <v>0</v>
      </c>
      <c r="S248">
        <f>Data!M261</f>
        <v>0</v>
      </c>
      <c r="T248">
        <f>Data!N261</f>
        <v>0</v>
      </c>
      <c r="U248">
        <f>Data!O261</f>
        <v>0</v>
      </c>
      <c r="V248" s="33">
        <f>Data!P261</f>
        <v>0</v>
      </c>
    </row>
    <row r="249" spans="7:22" x14ac:dyDescent="0.25">
      <c r="G249">
        <f>Data!A262</f>
        <v>0</v>
      </c>
      <c r="H249" s="21">
        <f>Data!B262</f>
        <v>0</v>
      </c>
      <c r="I249" s="21">
        <f>Data!C262</f>
        <v>0</v>
      </c>
      <c r="J249">
        <f>Data!D262</f>
        <v>0</v>
      </c>
      <c r="K249">
        <f>Data!E262</f>
        <v>0</v>
      </c>
      <c r="L249">
        <f>Data!F262</f>
        <v>0</v>
      </c>
      <c r="M249">
        <f>Data!G262</f>
        <v>0</v>
      </c>
      <c r="N249">
        <f>Data!H262</f>
        <v>0</v>
      </c>
      <c r="O249">
        <f>Data!I262</f>
        <v>0</v>
      </c>
      <c r="P249" s="21">
        <f>Data!J262</f>
        <v>0</v>
      </c>
      <c r="Q249">
        <f>Data!K262</f>
        <v>0</v>
      </c>
      <c r="R249">
        <f>Data!L262</f>
        <v>0</v>
      </c>
      <c r="S249">
        <f>Data!M262</f>
        <v>0</v>
      </c>
      <c r="T249">
        <f>Data!N262</f>
        <v>0</v>
      </c>
      <c r="U249">
        <f>Data!O262</f>
        <v>0</v>
      </c>
      <c r="V249" s="33">
        <f>Data!P262</f>
        <v>0</v>
      </c>
    </row>
    <row r="250" spans="7:22" x14ac:dyDescent="0.25">
      <c r="G250">
        <f>Data!A263</f>
        <v>0</v>
      </c>
      <c r="H250" s="21">
        <f>Data!B263</f>
        <v>0</v>
      </c>
      <c r="I250" s="21">
        <f>Data!C263</f>
        <v>0</v>
      </c>
      <c r="J250">
        <f>Data!D263</f>
        <v>0</v>
      </c>
      <c r="K250">
        <f>Data!E263</f>
        <v>0</v>
      </c>
      <c r="L250">
        <f>Data!F263</f>
        <v>0</v>
      </c>
      <c r="M250">
        <f>Data!G263</f>
        <v>0</v>
      </c>
      <c r="N250">
        <f>Data!H263</f>
        <v>0</v>
      </c>
      <c r="O250">
        <f>Data!I263</f>
        <v>0</v>
      </c>
      <c r="P250" s="21">
        <f>Data!J263</f>
        <v>0</v>
      </c>
      <c r="Q250">
        <f>Data!K263</f>
        <v>0</v>
      </c>
      <c r="R250">
        <f>Data!L263</f>
        <v>0</v>
      </c>
      <c r="S250">
        <f>Data!M263</f>
        <v>0</v>
      </c>
      <c r="T250">
        <f>Data!N263</f>
        <v>0</v>
      </c>
      <c r="U250">
        <f>Data!O263</f>
        <v>0</v>
      </c>
      <c r="V250" s="33">
        <f>Data!P263</f>
        <v>0</v>
      </c>
    </row>
    <row r="251" spans="7:22" x14ac:dyDescent="0.25">
      <c r="G251">
        <f>Data!A264</f>
        <v>0</v>
      </c>
      <c r="H251" s="21">
        <f>Data!B264</f>
        <v>0</v>
      </c>
      <c r="I251" s="21">
        <f>Data!C264</f>
        <v>0</v>
      </c>
      <c r="J251">
        <f>Data!D264</f>
        <v>0</v>
      </c>
      <c r="K251">
        <f>Data!E264</f>
        <v>0</v>
      </c>
      <c r="L251">
        <f>Data!F264</f>
        <v>0</v>
      </c>
      <c r="M251">
        <f>Data!G264</f>
        <v>0</v>
      </c>
      <c r="N251">
        <f>Data!H264</f>
        <v>0</v>
      </c>
      <c r="O251">
        <f>Data!I264</f>
        <v>0</v>
      </c>
      <c r="P251" s="21">
        <f>Data!J264</f>
        <v>0</v>
      </c>
      <c r="Q251">
        <f>Data!K264</f>
        <v>0</v>
      </c>
      <c r="R251">
        <f>Data!L264</f>
        <v>0</v>
      </c>
      <c r="S251">
        <f>Data!M264</f>
        <v>0</v>
      </c>
      <c r="T251">
        <f>Data!N264</f>
        <v>0</v>
      </c>
      <c r="U251">
        <f>Data!O264</f>
        <v>0</v>
      </c>
      <c r="V251" s="33">
        <f>Data!P264</f>
        <v>0</v>
      </c>
    </row>
    <row r="252" spans="7:22" x14ac:dyDescent="0.25">
      <c r="G252">
        <f>Data!A265</f>
        <v>0</v>
      </c>
      <c r="H252" s="21">
        <f>Data!B265</f>
        <v>0</v>
      </c>
      <c r="I252" s="21">
        <f>Data!C265</f>
        <v>0</v>
      </c>
      <c r="J252">
        <f>Data!D265</f>
        <v>0</v>
      </c>
      <c r="K252">
        <f>Data!E265</f>
        <v>0</v>
      </c>
      <c r="L252">
        <f>Data!F265</f>
        <v>0</v>
      </c>
      <c r="M252">
        <f>Data!G265</f>
        <v>0</v>
      </c>
      <c r="N252">
        <f>Data!H265</f>
        <v>0</v>
      </c>
      <c r="O252">
        <f>Data!I265</f>
        <v>0</v>
      </c>
      <c r="P252" s="21">
        <f>Data!J265</f>
        <v>0</v>
      </c>
      <c r="Q252">
        <f>Data!K265</f>
        <v>0</v>
      </c>
      <c r="R252">
        <f>Data!L265</f>
        <v>0</v>
      </c>
      <c r="S252">
        <f>Data!M265</f>
        <v>0</v>
      </c>
      <c r="T252">
        <f>Data!N265</f>
        <v>0</v>
      </c>
      <c r="U252">
        <f>Data!O265</f>
        <v>0</v>
      </c>
      <c r="V252" s="33">
        <f>Data!P265</f>
        <v>0</v>
      </c>
    </row>
    <row r="253" spans="7:22" x14ac:dyDescent="0.25">
      <c r="G253">
        <f>Data!A266</f>
        <v>0</v>
      </c>
      <c r="H253" s="21">
        <f>Data!B266</f>
        <v>0</v>
      </c>
      <c r="I253" s="21">
        <f>Data!C266</f>
        <v>0</v>
      </c>
      <c r="J253">
        <f>Data!D266</f>
        <v>0</v>
      </c>
      <c r="K253">
        <f>Data!E266</f>
        <v>0</v>
      </c>
      <c r="L253">
        <f>Data!F266</f>
        <v>0</v>
      </c>
      <c r="M253">
        <f>Data!G266</f>
        <v>0</v>
      </c>
      <c r="N253">
        <f>Data!H266</f>
        <v>0</v>
      </c>
      <c r="O253">
        <f>Data!I266</f>
        <v>0</v>
      </c>
      <c r="P253" s="21">
        <f>Data!J266</f>
        <v>0</v>
      </c>
      <c r="Q253">
        <f>Data!K266</f>
        <v>0</v>
      </c>
      <c r="R253">
        <f>Data!L266</f>
        <v>0</v>
      </c>
      <c r="S253">
        <f>Data!M266</f>
        <v>0</v>
      </c>
      <c r="T253">
        <f>Data!N266</f>
        <v>0</v>
      </c>
      <c r="U253">
        <f>Data!O266</f>
        <v>0</v>
      </c>
      <c r="V253" s="33">
        <f>Data!P266</f>
        <v>0</v>
      </c>
    </row>
    <row r="254" spans="7:22" x14ac:dyDescent="0.25">
      <c r="G254">
        <f>Data!A267</f>
        <v>0</v>
      </c>
      <c r="H254" s="21">
        <f>Data!B267</f>
        <v>0</v>
      </c>
      <c r="I254" s="21">
        <f>Data!C267</f>
        <v>0</v>
      </c>
      <c r="J254">
        <f>Data!D267</f>
        <v>0</v>
      </c>
      <c r="K254">
        <f>Data!E267</f>
        <v>0</v>
      </c>
      <c r="L254">
        <f>Data!F267</f>
        <v>0</v>
      </c>
      <c r="M254">
        <f>Data!G267</f>
        <v>0</v>
      </c>
      <c r="N254">
        <f>Data!H267</f>
        <v>0</v>
      </c>
      <c r="O254">
        <f>Data!I267</f>
        <v>0</v>
      </c>
      <c r="P254" s="21">
        <f>Data!J267</f>
        <v>0</v>
      </c>
      <c r="Q254">
        <f>Data!K267</f>
        <v>0</v>
      </c>
      <c r="R254">
        <f>Data!L267</f>
        <v>0</v>
      </c>
      <c r="S254">
        <f>Data!M267</f>
        <v>0</v>
      </c>
      <c r="T254">
        <f>Data!N267</f>
        <v>0</v>
      </c>
      <c r="U254">
        <f>Data!O267</f>
        <v>0</v>
      </c>
      <c r="V254" s="33">
        <f>Data!P267</f>
        <v>0</v>
      </c>
    </row>
    <row r="255" spans="7:22" x14ac:dyDescent="0.25">
      <c r="G255">
        <f>Data!A268</f>
        <v>0</v>
      </c>
      <c r="H255" s="21">
        <f>Data!B268</f>
        <v>0</v>
      </c>
      <c r="I255" s="21">
        <f>Data!C268</f>
        <v>0</v>
      </c>
      <c r="J255">
        <f>Data!D268</f>
        <v>0</v>
      </c>
      <c r="K255">
        <f>Data!E268</f>
        <v>0</v>
      </c>
      <c r="L255">
        <f>Data!F268</f>
        <v>0</v>
      </c>
      <c r="M255">
        <f>Data!G268</f>
        <v>0</v>
      </c>
      <c r="N255">
        <f>Data!H268</f>
        <v>0</v>
      </c>
      <c r="O255">
        <f>Data!I268</f>
        <v>0</v>
      </c>
      <c r="P255" s="21">
        <f>Data!J268</f>
        <v>0</v>
      </c>
      <c r="Q255">
        <f>Data!K268</f>
        <v>0</v>
      </c>
      <c r="R255">
        <f>Data!L268</f>
        <v>0</v>
      </c>
      <c r="S255">
        <f>Data!M268</f>
        <v>0</v>
      </c>
      <c r="T255">
        <f>Data!N268</f>
        <v>0</v>
      </c>
      <c r="U255">
        <f>Data!O268</f>
        <v>0</v>
      </c>
      <c r="V255" s="33">
        <f>Data!P268</f>
        <v>0</v>
      </c>
    </row>
    <row r="256" spans="7:22" x14ac:dyDescent="0.25">
      <c r="G256">
        <f>Data!A269</f>
        <v>0</v>
      </c>
      <c r="H256" s="21">
        <f>Data!B269</f>
        <v>0</v>
      </c>
      <c r="I256" s="21">
        <f>Data!C269</f>
        <v>0</v>
      </c>
      <c r="J256">
        <f>Data!D269</f>
        <v>0</v>
      </c>
      <c r="K256">
        <f>Data!E269</f>
        <v>0</v>
      </c>
      <c r="L256">
        <f>Data!F269</f>
        <v>0</v>
      </c>
      <c r="M256">
        <f>Data!G269</f>
        <v>0</v>
      </c>
      <c r="N256">
        <f>Data!H269</f>
        <v>0</v>
      </c>
      <c r="O256">
        <f>Data!I269</f>
        <v>0</v>
      </c>
      <c r="P256" s="21">
        <f>Data!J269</f>
        <v>0</v>
      </c>
      <c r="Q256">
        <f>Data!K269</f>
        <v>0</v>
      </c>
      <c r="R256">
        <f>Data!L269</f>
        <v>0</v>
      </c>
      <c r="S256">
        <f>Data!M269</f>
        <v>0</v>
      </c>
      <c r="T256">
        <f>Data!N269</f>
        <v>0</v>
      </c>
      <c r="U256">
        <f>Data!O269</f>
        <v>0</v>
      </c>
      <c r="V256" s="33">
        <f>Data!P269</f>
        <v>0</v>
      </c>
    </row>
    <row r="257" spans="7:22" x14ac:dyDescent="0.25">
      <c r="G257">
        <f>Data!A270</f>
        <v>0</v>
      </c>
      <c r="H257" s="21">
        <f>Data!B270</f>
        <v>0</v>
      </c>
      <c r="I257" s="21">
        <f>Data!C270</f>
        <v>0</v>
      </c>
      <c r="J257">
        <f>Data!D270</f>
        <v>0</v>
      </c>
      <c r="K257">
        <f>Data!E270</f>
        <v>0</v>
      </c>
      <c r="L257">
        <f>Data!F270</f>
        <v>0</v>
      </c>
      <c r="M257">
        <f>Data!G270</f>
        <v>0</v>
      </c>
      <c r="N257">
        <f>Data!H270</f>
        <v>0</v>
      </c>
      <c r="O257">
        <f>Data!I270</f>
        <v>0</v>
      </c>
      <c r="P257" s="21">
        <f>Data!J270</f>
        <v>0</v>
      </c>
      <c r="Q257">
        <f>Data!K270</f>
        <v>0</v>
      </c>
      <c r="R257">
        <f>Data!L270</f>
        <v>0</v>
      </c>
      <c r="S257">
        <f>Data!M270</f>
        <v>0</v>
      </c>
      <c r="T257">
        <f>Data!N270</f>
        <v>0</v>
      </c>
      <c r="U257">
        <f>Data!O270</f>
        <v>0</v>
      </c>
      <c r="V257" s="33">
        <f>Data!P270</f>
        <v>0</v>
      </c>
    </row>
    <row r="258" spans="7:22" x14ac:dyDescent="0.25">
      <c r="G258">
        <f>Data!A271</f>
        <v>0</v>
      </c>
      <c r="H258" s="21">
        <f>Data!B271</f>
        <v>0</v>
      </c>
      <c r="I258" s="21">
        <f>Data!C271</f>
        <v>0</v>
      </c>
      <c r="J258">
        <f>Data!D271</f>
        <v>0</v>
      </c>
      <c r="K258">
        <f>Data!E271</f>
        <v>0</v>
      </c>
      <c r="L258">
        <f>Data!F271</f>
        <v>0</v>
      </c>
      <c r="M258">
        <f>Data!G271</f>
        <v>0</v>
      </c>
      <c r="N258">
        <f>Data!H271</f>
        <v>0</v>
      </c>
      <c r="O258">
        <f>Data!I271</f>
        <v>0</v>
      </c>
      <c r="P258" s="21">
        <f>Data!J271</f>
        <v>0</v>
      </c>
      <c r="Q258">
        <f>Data!K271</f>
        <v>0</v>
      </c>
      <c r="R258">
        <f>Data!L271</f>
        <v>0</v>
      </c>
      <c r="S258">
        <f>Data!M271</f>
        <v>0</v>
      </c>
      <c r="T258">
        <f>Data!N271</f>
        <v>0</v>
      </c>
      <c r="U258">
        <f>Data!O271</f>
        <v>0</v>
      </c>
      <c r="V258" s="33">
        <f>Data!P271</f>
        <v>0</v>
      </c>
    </row>
    <row r="259" spans="7:22" x14ac:dyDescent="0.25">
      <c r="G259">
        <f>Data!A272</f>
        <v>0</v>
      </c>
      <c r="H259" s="21">
        <f>Data!B272</f>
        <v>0</v>
      </c>
      <c r="I259" s="21">
        <f>Data!C272</f>
        <v>0</v>
      </c>
      <c r="J259">
        <f>Data!D272</f>
        <v>0</v>
      </c>
      <c r="K259">
        <f>Data!E272</f>
        <v>0</v>
      </c>
      <c r="L259">
        <f>Data!F272</f>
        <v>0</v>
      </c>
      <c r="M259">
        <f>Data!G272</f>
        <v>0</v>
      </c>
      <c r="N259">
        <f>Data!H272</f>
        <v>0</v>
      </c>
      <c r="O259">
        <f>Data!I272</f>
        <v>0</v>
      </c>
      <c r="P259" s="21">
        <f>Data!J272</f>
        <v>0</v>
      </c>
      <c r="Q259">
        <f>Data!K272</f>
        <v>0</v>
      </c>
      <c r="R259">
        <f>Data!L272</f>
        <v>0</v>
      </c>
      <c r="S259">
        <f>Data!M272</f>
        <v>0</v>
      </c>
      <c r="T259">
        <f>Data!N272</f>
        <v>0</v>
      </c>
      <c r="U259">
        <f>Data!O272</f>
        <v>0</v>
      </c>
      <c r="V259" s="33">
        <f>Data!P272</f>
        <v>0</v>
      </c>
    </row>
    <row r="260" spans="7:22" x14ac:dyDescent="0.25">
      <c r="G260">
        <f>Data!A273</f>
        <v>0</v>
      </c>
      <c r="H260" s="21">
        <f>Data!B273</f>
        <v>0</v>
      </c>
      <c r="I260" s="21">
        <f>Data!C273</f>
        <v>0</v>
      </c>
      <c r="J260">
        <f>Data!D273</f>
        <v>0</v>
      </c>
      <c r="K260">
        <f>Data!E273</f>
        <v>0</v>
      </c>
      <c r="L260">
        <f>Data!F273</f>
        <v>0</v>
      </c>
      <c r="M260">
        <f>Data!G273</f>
        <v>0</v>
      </c>
      <c r="N260">
        <f>Data!H273</f>
        <v>0</v>
      </c>
      <c r="O260">
        <f>Data!I273</f>
        <v>0</v>
      </c>
      <c r="P260" s="21">
        <f>Data!J273</f>
        <v>0</v>
      </c>
      <c r="Q260">
        <f>Data!K273</f>
        <v>0</v>
      </c>
      <c r="R260">
        <f>Data!L273</f>
        <v>0</v>
      </c>
      <c r="S260">
        <f>Data!M273</f>
        <v>0</v>
      </c>
      <c r="T260">
        <f>Data!N273</f>
        <v>0</v>
      </c>
      <c r="U260">
        <f>Data!O273</f>
        <v>0</v>
      </c>
      <c r="V260" s="33">
        <f>Data!P273</f>
        <v>0</v>
      </c>
    </row>
    <row r="261" spans="7:22" x14ac:dyDescent="0.25">
      <c r="G261">
        <f>Data!A274</f>
        <v>0</v>
      </c>
      <c r="H261" s="21">
        <f>Data!B274</f>
        <v>0</v>
      </c>
      <c r="I261" s="21">
        <f>Data!C274</f>
        <v>0</v>
      </c>
      <c r="J261">
        <f>Data!D274</f>
        <v>0</v>
      </c>
      <c r="K261">
        <f>Data!E274</f>
        <v>0</v>
      </c>
      <c r="L261">
        <f>Data!F274</f>
        <v>0</v>
      </c>
      <c r="M261">
        <f>Data!G274</f>
        <v>0</v>
      </c>
      <c r="N261">
        <f>Data!H274</f>
        <v>0</v>
      </c>
      <c r="O261">
        <f>Data!I274</f>
        <v>0</v>
      </c>
      <c r="P261" s="21">
        <f>Data!J274</f>
        <v>0</v>
      </c>
      <c r="Q261">
        <f>Data!K274</f>
        <v>0</v>
      </c>
      <c r="R261">
        <f>Data!L274</f>
        <v>0</v>
      </c>
      <c r="S261">
        <f>Data!M274</f>
        <v>0</v>
      </c>
      <c r="T261">
        <f>Data!N274</f>
        <v>0</v>
      </c>
      <c r="U261">
        <f>Data!O274</f>
        <v>0</v>
      </c>
      <c r="V261" s="33">
        <f>Data!P274</f>
        <v>0</v>
      </c>
    </row>
    <row r="262" spans="7:22" x14ac:dyDescent="0.25">
      <c r="G262">
        <f>Data!A275</f>
        <v>0</v>
      </c>
      <c r="H262" s="21">
        <f>Data!B275</f>
        <v>0</v>
      </c>
      <c r="I262" s="21">
        <f>Data!C275</f>
        <v>0</v>
      </c>
      <c r="J262">
        <f>Data!D275</f>
        <v>0</v>
      </c>
      <c r="K262">
        <f>Data!E275</f>
        <v>0</v>
      </c>
      <c r="L262">
        <f>Data!F275</f>
        <v>0</v>
      </c>
      <c r="M262">
        <f>Data!G275</f>
        <v>0</v>
      </c>
      <c r="N262">
        <f>Data!H275</f>
        <v>0</v>
      </c>
      <c r="O262">
        <f>Data!I275</f>
        <v>0</v>
      </c>
      <c r="P262" s="21">
        <f>Data!J275</f>
        <v>0</v>
      </c>
      <c r="Q262">
        <f>Data!K275</f>
        <v>0</v>
      </c>
      <c r="R262">
        <f>Data!L275</f>
        <v>0</v>
      </c>
      <c r="S262">
        <f>Data!M275</f>
        <v>0</v>
      </c>
      <c r="T262">
        <f>Data!N275</f>
        <v>0</v>
      </c>
      <c r="U262">
        <f>Data!O275</f>
        <v>0</v>
      </c>
      <c r="V262" s="33">
        <f>Data!P275</f>
        <v>0</v>
      </c>
    </row>
    <row r="263" spans="7:22" x14ac:dyDescent="0.25">
      <c r="G263">
        <f>Data!A276</f>
        <v>0</v>
      </c>
      <c r="H263" s="21">
        <f>Data!B276</f>
        <v>0</v>
      </c>
      <c r="I263" s="21">
        <f>Data!C276</f>
        <v>0</v>
      </c>
      <c r="J263">
        <f>Data!D276</f>
        <v>0</v>
      </c>
      <c r="K263">
        <f>Data!E276</f>
        <v>0</v>
      </c>
      <c r="L263">
        <f>Data!F276</f>
        <v>0</v>
      </c>
      <c r="M263">
        <f>Data!G276</f>
        <v>0</v>
      </c>
      <c r="N263">
        <f>Data!H276</f>
        <v>0</v>
      </c>
      <c r="O263">
        <f>Data!I276</f>
        <v>0</v>
      </c>
      <c r="P263" s="21">
        <f>Data!J276</f>
        <v>0</v>
      </c>
      <c r="Q263">
        <f>Data!K276</f>
        <v>0</v>
      </c>
      <c r="R263">
        <f>Data!L276</f>
        <v>0</v>
      </c>
      <c r="S263">
        <f>Data!M276</f>
        <v>0</v>
      </c>
      <c r="T263">
        <f>Data!N276</f>
        <v>0</v>
      </c>
      <c r="U263">
        <f>Data!O276</f>
        <v>0</v>
      </c>
      <c r="V263" s="33">
        <f>Data!P276</f>
        <v>0</v>
      </c>
    </row>
    <row r="264" spans="7:22" x14ac:dyDescent="0.25">
      <c r="G264">
        <f>Data!A277</f>
        <v>0</v>
      </c>
      <c r="H264" s="21">
        <f>Data!B277</f>
        <v>0</v>
      </c>
      <c r="I264" s="21">
        <f>Data!C277</f>
        <v>0</v>
      </c>
      <c r="J264">
        <f>Data!D277</f>
        <v>0</v>
      </c>
      <c r="K264">
        <f>Data!E277</f>
        <v>0</v>
      </c>
      <c r="L264">
        <f>Data!F277</f>
        <v>0</v>
      </c>
      <c r="M264">
        <f>Data!G277</f>
        <v>0</v>
      </c>
      <c r="N264">
        <f>Data!H277</f>
        <v>0</v>
      </c>
      <c r="O264">
        <f>Data!I277</f>
        <v>0</v>
      </c>
      <c r="P264" s="21">
        <f>Data!J277</f>
        <v>0</v>
      </c>
      <c r="Q264">
        <f>Data!K277</f>
        <v>0</v>
      </c>
      <c r="R264">
        <f>Data!L277</f>
        <v>0</v>
      </c>
      <c r="S264">
        <f>Data!M277</f>
        <v>0</v>
      </c>
      <c r="T264">
        <f>Data!N277</f>
        <v>0</v>
      </c>
      <c r="U264">
        <f>Data!O277</f>
        <v>0</v>
      </c>
      <c r="V264" s="33">
        <f>Data!P277</f>
        <v>0</v>
      </c>
    </row>
    <row r="265" spans="7:22" x14ac:dyDescent="0.25">
      <c r="G265">
        <f>Data!A278</f>
        <v>0</v>
      </c>
      <c r="H265" s="21">
        <f>Data!B278</f>
        <v>0</v>
      </c>
      <c r="I265" s="21">
        <f>Data!C278</f>
        <v>0</v>
      </c>
      <c r="J265">
        <f>Data!D278</f>
        <v>0</v>
      </c>
      <c r="K265">
        <f>Data!E278</f>
        <v>0</v>
      </c>
      <c r="L265">
        <f>Data!F278</f>
        <v>0</v>
      </c>
      <c r="M265">
        <f>Data!G278</f>
        <v>0</v>
      </c>
      <c r="N265">
        <f>Data!H278</f>
        <v>0</v>
      </c>
      <c r="O265">
        <f>Data!I278</f>
        <v>0</v>
      </c>
      <c r="P265" s="21">
        <f>Data!J278</f>
        <v>0</v>
      </c>
      <c r="Q265">
        <f>Data!K278</f>
        <v>0</v>
      </c>
      <c r="R265">
        <f>Data!L278</f>
        <v>0</v>
      </c>
      <c r="S265">
        <f>Data!M278</f>
        <v>0</v>
      </c>
      <c r="T265">
        <f>Data!N278</f>
        <v>0</v>
      </c>
      <c r="U265">
        <f>Data!O278</f>
        <v>0</v>
      </c>
      <c r="V265" s="33">
        <f>Data!P278</f>
        <v>0</v>
      </c>
    </row>
    <row r="266" spans="7:22" x14ac:dyDescent="0.25">
      <c r="G266">
        <f>Data!A279</f>
        <v>0</v>
      </c>
      <c r="H266" s="21">
        <f>Data!B279</f>
        <v>0</v>
      </c>
      <c r="I266" s="21">
        <f>Data!C279</f>
        <v>0</v>
      </c>
      <c r="J266">
        <f>Data!D279</f>
        <v>0</v>
      </c>
      <c r="K266">
        <f>Data!E279</f>
        <v>0</v>
      </c>
      <c r="L266">
        <f>Data!F279</f>
        <v>0</v>
      </c>
      <c r="M266">
        <f>Data!G279</f>
        <v>0</v>
      </c>
      <c r="N266">
        <f>Data!H279</f>
        <v>0</v>
      </c>
      <c r="O266">
        <f>Data!I279</f>
        <v>0</v>
      </c>
      <c r="P266" s="21">
        <f>Data!J279</f>
        <v>0</v>
      </c>
      <c r="Q266">
        <f>Data!K279</f>
        <v>0</v>
      </c>
      <c r="R266">
        <f>Data!L279</f>
        <v>0</v>
      </c>
      <c r="S266">
        <f>Data!M279</f>
        <v>0</v>
      </c>
      <c r="T266">
        <f>Data!N279</f>
        <v>0</v>
      </c>
      <c r="U266">
        <f>Data!O279</f>
        <v>0</v>
      </c>
      <c r="V266" s="33">
        <f>Data!P279</f>
        <v>0</v>
      </c>
    </row>
    <row r="267" spans="7:22" x14ac:dyDescent="0.25">
      <c r="G267">
        <f>Data!A280</f>
        <v>0</v>
      </c>
      <c r="H267" s="21">
        <f>Data!B280</f>
        <v>0</v>
      </c>
      <c r="I267" s="21">
        <f>Data!C280</f>
        <v>0</v>
      </c>
      <c r="J267">
        <f>Data!D280</f>
        <v>0</v>
      </c>
      <c r="K267">
        <f>Data!E280</f>
        <v>0</v>
      </c>
      <c r="L267">
        <f>Data!F280</f>
        <v>0</v>
      </c>
      <c r="M267">
        <f>Data!G280</f>
        <v>0</v>
      </c>
      <c r="N267">
        <f>Data!H280</f>
        <v>0</v>
      </c>
      <c r="O267">
        <f>Data!I280</f>
        <v>0</v>
      </c>
      <c r="P267" s="21">
        <f>Data!J280</f>
        <v>0</v>
      </c>
      <c r="Q267">
        <f>Data!K280</f>
        <v>0</v>
      </c>
      <c r="R267">
        <f>Data!L280</f>
        <v>0</v>
      </c>
      <c r="S267">
        <f>Data!M280</f>
        <v>0</v>
      </c>
      <c r="T267">
        <f>Data!N280</f>
        <v>0</v>
      </c>
      <c r="U267">
        <f>Data!O280</f>
        <v>0</v>
      </c>
      <c r="V267" s="33">
        <f>Data!P280</f>
        <v>0</v>
      </c>
    </row>
    <row r="268" spans="7:22" x14ac:dyDescent="0.25">
      <c r="G268">
        <f>Data!A281</f>
        <v>0</v>
      </c>
      <c r="H268" s="21">
        <f>Data!B281</f>
        <v>0</v>
      </c>
      <c r="I268" s="21">
        <f>Data!C281</f>
        <v>0</v>
      </c>
      <c r="J268">
        <f>Data!D281</f>
        <v>0</v>
      </c>
      <c r="K268">
        <f>Data!E281</f>
        <v>0</v>
      </c>
      <c r="L268">
        <f>Data!F281</f>
        <v>0</v>
      </c>
      <c r="M268">
        <f>Data!G281</f>
        <v>0</v>
      </c>
      <c r="N268">
        <f>Data!H281</f>
        <v>0</v>
      </c>
      <c r="O268">
        <f>Data!I281</f>
        <v>0</v>
      </c>
      <c r="P268" s="21">
        <f>Data!J281</f>
        <v>0</v>
      </c>
      <c r="Q268">
        <f>Data!K281</f>
        <v>0</v>
      </c>
      <c r="R268">
        <f>Data!L281</f>
        <v>0</v>
      </c>
      <c r="S268">
        <f>Data!M281</f>
        <v>0</v>
      </c>
      <c r="T268">
        <f>Data!N281</f>
        <v>0</v>
      </c>
      <c r="U268">
        <f>Data!O281</f>
        <v>0</v>
      </c>
      <c r="V268" s="33">
        <f>Data!P281</f>
        <v>0</v>
      </c>
    </row>
    <row r="269" spans="7:22" x14ac:dyDescent="0.25">
      <c r="G269">
        <f>Data!A282</f>
        <v>0</v>
      </c>
      <c r="H269" s="21">
        <f>Data!B282</f>
        <v>0</v>
      </c>
      <c r="I269" s="21">
        <f>Data!C282</f>
        <v>0</v>
      </c>
      <c r="J269">
        <f>Data!D282</f>
        <v>0</v>
      </c>
      <c r="K269">
        <f>Data!E282</f>
        <v>0</v>
      </c>
      <c r="L269">
        <f>Data!F282</f>
        <v>0</v>
      </c>
      <c r="M269">
        <f>Data!G282</f>
        <v>0</v>
      </c>
      <c r="N269">
        <f>Data!H282</f>
        <v>0</v>
      </c>
      <c r="O269">
        <f>Data!I282</f>
        <v>0</v>
      </c>
      <c r="P269" s="21">
        <f>Data!J282</f>
        <v>0</v>
      </c>
      <c r="Q269">
        <f>Data!K282</f>
        <v>0</v>
      </c>
      <c r="R269">
        <f>Data!L282</f>
        <v>0</v>
      </c>
      <c r="S269">
        <f>Data!M282</f>
        <v>0</v>
      </c>
      <c r="T269">
        <f>Data!N282</f>
        <v>0</v>
      </c>
      <c r="U269">
        <f>Data!O282</f>
        <v>0</v>
      </c>
      <c r="V269" s="33">
        <f>Data!P282</f>
        <v>0</v>
      </c>
    </row>
    <row r="270" spans="7:22" x14ac:dyDescent="0.25">
      <c r="G270">
        <f>Data!A283</f>
        <v>0</v>
      </c>
      <c r="H270" s="21">
        <f>Data!B283</f>
        <v>0</v>
      </c>
      <c r="I270" s="21">
        <f>Data!C283</f>
        <v>0</v>
      </c>
      <c r="J270">
        <f>Data!D283</f>
        <v>0</v>
      </c>
      <c r="K270">
        <f>Data!E283</f>
        <v>0</v>
      </c>
      <c r="L270">
        <f>Data!F283</f>
        <v>0</v>
      </c>
      <c r="M270">
        <f>Data!G283</f>
        <v>0</v>
      </c>
      <c r="N270">
        <f>Data!H283</f>
        <v>0</v>
      </c>
      <c r="O270">
        <f>Data!I283</f>
        <v>0</v>
      </c>
      <c r="P270" s="21">
        <f>Data!J283</f>
        <v>0</v>
      </c>
      <c r="Q270">
        <f>Data!K283</f>
        <v>0</v>
      </c>
      <c r="R270">
        <f>Data!L283</f>
        <v>0</v>
      </c>
      <c r="S270">
        <f>Data!M283</f>
        <v>0</v>
      </c>
      <c r="T270">
        <f>Data!N283</f>
        <v>0</v>
      </c>
      <c r="U270">
        <f>Data!O283</f>
        <v>0</v>
      </c>
      <c r="V270" s="33">
        <f>Data!P283</f>
        <v>0</v>
      </c>
    </row>
    <row r="271" spans="7:22" x14ac:dyDescent="0.25">
      <c r="G271">
        <f>Data!A284</f>
        <v>0</v>
      </c>
      <c r="H271" s="21">
        <f>Data!B284</f>
        <v>0</v>
      </c>
      <c r="I271" s="21">
        <f>Data!C284</f>
        <v>0</v>
      </c>
      <c r="J271">
        <f>Data!D284</f>
        <v>0</v>
      </c>
      <c r="K271">
        <f>Data!E284</f>
        <v>0</v>
      </c>
      <c r="L271">
        <f>Data!F284</f>
        <v>0</v>
      </c>
      <c r="M271">
        <f>Data!G284</f>
        <v>0</v>
      </c>
      <c r="N271">
        <f>Data!H284</f>
        <v>0</v>
      </c>
      <c r="O271">
        <f>Data!I284</f>
        <v>0</v>
      </c>
      <c r="P271" s="21">
        <f>Data!J284</f>
        <v>0</v>
      </c>
      <c r="Q271">
        <f>Data!K284</f>
        <v>0</v>
      </c>
      <c r="R271">
        <f>Data!L284</f>
        <v>0</v>
      </c>
      <c r="S271">
        <f>Data!M284</f>
        <v>0</v>
      </c>
      <c r="T271">
        <f>Data!N284</f>
        <v>0</v>
      </c>
      <c r="U271">
        <f>Data!O284</f>
        <v>0</v>
      </c>
      <c r="V271" s="33">
        <f>Data!P284</f>
        <v>0</v>
      </c>
    </row>
    <row r="272" spans="7:22" x14ac:dyDescent="0.25">
      <c r="G272">
        <f>Data!A285</f>
        <v>0</v>
      </c>
      <c r="H272" s="21">
        <f>Data!B285</f>
        <v>0</v>
      </c>
      <c r="I272" s="21">
        <f>Data!C285</f>
        <v>0</v>
      </c>
      <c r="J272">
        <f>Data!D285</f>
        <v>0</v>
      </c>
      <c r="K272">
        <f>Data!E285</f>
        <v>0</v>
      </c>
      <c r="L272">
        <f>Data!F285</f>
        <v>0</v>
      </c>
      <c r="M272">
        <f>Data!G285</f>
        <v>0</v>
      </c>
      <c r="N272">
        <f>Data!H285</f>
        <v>0</v>
      </c>
      <c r="O272">
        <f>Data!I285</f>
        <v>0</v>
      </c>
      <c r="P272" s="21">
        <f>Data!J285</f>
        <v>0</v>
      </c>
      <c r="Q272">
        <f>Data!K285</f>
        <v>0</v>
      </c>
      <c r="R272">
        <f>Data!L285</f>
        <v>0</v>
      </c>
      <c r="S272">
        <f>Data!M285</f>
        <v>0</v>
      </c>
      <c r="T272">
        <f>Data!N285</f>
        <v>0</v>
      </c>
      <c r="U272">
        <f>Data!O285</f>
        <v>0</v>
      </c>
      <c r="V272" s="33">
        <f>Data!P285</f>
        <v>0</v>
      </c>
    </row>
    <row r="273" spans="7:22" x14ac:dyDescent="0.25">
      <c r="G273">
        <f>Data!A286</f>
        <v>0</v>
      </c>
      <c r="H273" s="21">
        <f>Data!B286</f>
        <v>0</v>
      </c>
      <c r="I273" s="21">
        <f>Data!C286</f>
        <v>0</v>
      </c>
      <c r="J273">
        <f>Data!D286</f>
        <v>0</v>
      </c>
      <c r="K273">
        <f>Data!E286</f>
        <v>0</v>
      </c>
      <c r="L273">
        <f>Data!F286</f>
        <v>0</v>
      </c>
      <c r="M273">
        <f>Data!G286</f>
        <v>0</v>
      </c>
      <c r="N273">
        <f>Data!H286</f>
        <v>0</v>
      </c>
      <c r="O273">
        <f>Data!I286</f>
        <v>0</v>
      </c>
      <c r="P273" s="21">
        <f>Data!J286</f>
        <v>0</v>
      </c>
      <c r="Q273">
        <f>Data!K286</f>
        <v>0</v>
      </c>
      <c r="R273">
        <f>Data!L286</f>
        <v>0</v>
      </c>
      <c r="S273">
        <f>Data!M286</f>
        <v>0</v>
      </c>
      <c r="T273">
        <f>Data!N286</f>
        <v>0</v>
      </c>
      <c r="U273">
        <f>Data!O286</f>
        <v>0</v>
      </c>
      <c r="V273" s="33">
        <f>Data!P286</f>
        <v>0</v>
      </c>
    </row>
    <row r="274" spans="7:22" x14ac:dyDescent="0.25">
      <c r="G274">
        <f>Data!A287</f>
        <v>0</v>
      </c>
      <c r="H274" s="21">
        <f>Data!B287</f>
        <v>0</v>
      </c>
      <c r="I274" s="21">
        <f>Data!C287</f>
        <v>0</v>
      </c>
      <c r="J274">
        <f>Data!D287</f>
        <v>0</v>
      </c>
      <c r="K274">
        <f>Data!E287</f>
        <v>0</v>
      </c>
      <c r="L274">
        <f>Data!F287</f>
        <v>0</v>
      </c>
      <c r="M274">
        <f>Data!G287</f>
        <v>0</v>
      </c>
      <c r="N274">
        <f>Data!H287</f>
        <v>0</v>
      </c>
      <c r="O274">
        <f>Data!I287</f>
        <v>0</v>
      </c>
      <c r="P274" s="21">
        <f>Data!J287</f>
        <v>0</v>
      </c>
      <c r="Q274">
        <f>Data!K287</f>
        <v>0</v>
      </c>
      <c r="R274">
        <f>Data!L287</f>
        <v>0</v>
      </c>
      <c r="S274">
        <f>Data!M287</f>
        <v>0</v>
      </c>
      <c r="T274">
        <f>Data!N287</f>
        <v>0</v>
      </c>
      <c r="U274">
        <f>Data!O287</f>
        <v>0</v>
      </c>
      <c r="V274" s="33">
        <f>Data!P287</f>
        <v>0</v>
      </c>
    </row>
    <row r="275" spans="7:22" x14ac:dyDescent="0.25">
      <c r="G275">
        <f>Data!A288</f>
        <v>0</v>
      </c>
      <c r="H275" s="21">
        <f>Data!B288</f>
        <v>0</v>
      </c>
      <c r="I275" s="21">
        <f>Data!C288</f>
        <v>0</v>
      </c>
      <c r="J275">
        <f>Data!D288</f>
        <v>0</v>
      </c>
      <c r="K275">
        <f>Data!E288</f>
        <v>0</v>
      </c>
      <c r="L275">
        <f>Data!F288</f>
        <v>0</v>
      </c>
      <c r="M275">
        <f>Data!G288</f>
        <v>0</v>
      </c>
      <c r="N275">
        <f>Data!H288</f>
        <v>0</v>
      </c>
      <c r="O275">
        <f>Data!I288</f>
        <v>0</v>
      </c>
      <c r="P275" s="21">
        <f>Data!J288</f>
        <v>0</v>
      </c>
      <c r="Q275">
        <f>Data!K288</f>
        <v>0</v>
      </c>
      <c r="R275">
        <f>Data!L288</f>
        <v>0</v>
      </c>
      <c r="S275">
        <f>Data!M288</f>
        <v>0</v>
      </c>
      <c r="T275">
        <f>Data!N288</f>
        <v>0</v>
      </c>
      <c r="U275">
        <f>Data!O288</f>
        <v>0</v>
      </c>
      <c r="V275" s="33">
        <f>Data!P288</f>
        <v>0</v>
      </c>
    </row>
    <row r="276" spans="7:22" x14ac:dyDescent="0.25">
      <c r="G276">
        <f>Data!A289</f>
        <v>0</v>
      </c>
      <c r="H276" s="21">
        <f>Data!B289</f>
        <v>0</v>
      </c>
      <c r="I276" s="21">
        <f>Data!C289</f>
        <v>0</v>
      </c>
      <c r="J276">
        <f>Data!D289</f>
        <v>0</v>
      </c>
      <c r="K276">
        <f>Data!E289</f>
        <v>0</v>
      </c>
      <c r="L276">
        <f>Data!F289</f>
        <v>0</v>
      </c>
      <c r="M276">
        <f>Data!G289</f>
        <v>0</v>
      </c>
      <c r="N276">
        <f>Data!H289</f>
        <v>0</v>
      </c>
      <c r="O276">
        <f>Data!I289</f>
        <v>0</v>
      </c>
      <c r="P276" s="21">
        <f>Data!J289</f>
        <v>0</v>
      </c>
      <c r="Q276">
        <f>Data!K289</f>
        <v>0</v>
      </c>
      <c r="R276">
        <f>Data!L289</f>
        <v>0</v>
      </c>
      <c r="S276">
        <f>Data!M289</f>
        <v>0</v>
      </c>
      <c r="T276">
        <f>Data!N289</f>
        <v>0</v>
      </c>
      <c r="U276">
        <f>Data!O289</f>
        <v>0</v>
      </c>
      <c r="V276" s="33">
        <f>Data!P289</f>
        <v>0</v>
      </c>
    </row>
    <row r="277" spans="7:22" x14ac:dyDescent="0.25">
      <c r="G277">
        <f>Data!A290</f>
        <v>0</v>
      </c>
      <c r="H277" s="21">
        <f>Data!B290</f>
        <v>0</v>
      </c>
      <c r="I277" s="21">
        <f>Data!C290</f>
        <v>0</v>
      </c>
      <c r="J277">
        <f>Data!D290</f>
        <v>0</v>
      </c>
      <c r="K277">
        <f>Data!E290</f>
        <v>0</v>
      </c>
      <c r="L277">
        <f>Data!F290</f>
        <v>0</v>
      </c>
      <c r="M277">
        <f>Data!G290</f>
        <v>0</v>
      </c>
      <c r="N277">
        <f>Data!H290</f>
        <v>0</v>
      </c>
      <c r="O277">
        <f>Data!I290</f>
        <v>0</v>
      </c>
      <c r="P277" s="21">
        <f>Data!J290</f>
        <v>0</v>
      </c>
      <c r="Q277">
        <f>Data!K290</f>
        <v>0</v>
      </c>
      <c r="R277">
        <f>Data!L290</f>
        <v>0</v>
      </c>
      <c r="S277">
        <f>Data!M290</f>
        <v>0</v>
      </c>
      <c r="T277">
        <f>Data!N290</f>
        <v>0</v>
      </c>
      <c r="U277">
        <f>Data!O290</f>
        <v>0</v>
      </c>
      <c r="V277" s="33">
        <f>Data!P290</f>
        <v>0</v>
      </c>
    </row>
    <row r="278" spans="7:22" x14ac:dyDescent="0.25">
      <c r="G278">
        <f>Data!A291</f>
        <v>0</v>
      </c>
      <c r="H278" s="21">
        <f>Data!B291</f>
        <v>0</v>
      </c>
      <c r="I278" s="21">
        <f>Data!C291</f>
        <v>0</v>
      </c>
      <c r="J278">
        <f>Data!D291</f>
        <v>0</v>
      </c>
      <c r="K278">
        <f>Data!E291</f>
        <v>0</v>
      </c>
      <c r="L278">
        <f>Data!F291</f>
        <v>0</v>
      </c>
      <c r="M278">
        <f>Data!G291</f>
        <v>0</v>
      </c>
      <c r="N278">
        <f>Data!H291</f>
        <v>0</v>
      </c>
      <c r="O278">
        <f>Data!I291</f>
        <v>0</v>
      </c>
      <c r="P278" s="21">
        <f>Data!J291</f>
        <v>0</v>
      </c>
      <c r="Q278">
        <f>Data!K291</f>
        <v>0</v>
      </c>
      <c r="R278">
        <f>Data!L291</f>
        <v>0</v>
      </c>
      <c r="S278">
        <f>Data!M291</f>
        <v>0</v>
      </c>
      <c r="T278">
        <f>Data!N291</f>
        <v>0</v>
      </c>
      <c r="U278">
        <f>Data!O291</f>
        <v>0</v>
      </c>
      <c r="V278" s="33">
        <f>Data!P291</f>
        <v>0</v>
      </c>
    </row>
    <row r="279" spans="7:22" x14ac:dyDescent="0.25">
      <c r="G279">
        <f>Data!A292</f>
        <v>0</v>
      </c>
      <c r="H279" s="21">
        <f>Data!B292</f>
        <v>0</v>
      </c>
      <c r="I279" s="21">
        <f>Data!C292</f>
        <v>0</v>
      </c>
      <c r="J279">
        <f>Data!D292</f>
        <v>0</v>
      </c>
      <c r="K279">
        <f>Data!E292</f>
        <v>0</v>
      </c>
      <c r="L279">
        <f>Data!F292</f>
        <v>0</v>
      </c>
      <c r="M279">
        <f>Data!G292</f>
        <v>0</v>
      </c>
      <c r="N279">
        <f>Data!H292</f>
        <v>0</v>
      </c>
      <c r="O279">
        <f>Data!I292</f>
        <v>0</v>
      </c>
      <c r="P279" s="21">
        <f>Data!J292</f>
        <v>0</v>
      </c>
      <c r="Q279">
        <f>Data!K292</f>
        <v>0</v>
      </c>
      <c r="R279">
        <f>Data!L292</f>
        <v>0</v>
      </c>
      <c r="S279">
        <f>Data!M292</f>
        <v>0</v>
      </c>
      <c r="T279">
        <f>Data!N292</f>
        <v>0</v>
      </c>
      <c r="U279">
        <f>Data!O292</f>
        <v>0</v>
      </c>
      <c r="V279" s="33">
        <f>Data!P292</f>
        <v>0</v>
      </c>
    </row>
    <row r="280" spans="7:22" x14ac:dyDescent="0.25">
      <c r="G280">
        <f>Data!A293</f>
        <v>0</v>
      </c>
      <c r="H280" s="21">
        <f>Data!B293</f>
        <v>0</v>
      </c>
      <c r="I280" s="21">
        <f>Data!C293</f>
        <v>0</v>
      </c>
      <c r="J280">
        <f>Data!D293</f>
        <v>0</v>
      </c>
      <c r="K280">
        <f>Data!E293</f>
        <v>0</v>
      </c>
      <c r="L280">
        <f>Data!F293</f>
        <v>0</v>
      </c>
      <c r="M280">
        <f>Data!G293</f>
        <v>0</v>
      </c>
      <c r="N280">
        <f>Data!H293</f>
        <v>0</v>
      </c>
      <c r="O280">
        <f>Data!I293</f>
        <v>0</v>
      </c>
      <c r="P280" s="21">
        <f>Data!J293</f>
        <v>0</v>
      </c>
      <c r="Q280">
        <f>Data!K293</f>
        <v>0</v>
      </c>
      <c r="R280">
        <f>Data!L293</f>
        <v>0</v>
      </c>
      <c r="S280">
        <f>Data!M293</f>
        <v>0</v>
      </c>
      <c r="T280">
        <f>Data!N293</f>
        <v>0</v>
      </c>
      <c r="U280">
        <f>Data!O293</f>
        <v>0</v>
      </c>
      <c r="V280" s="33">
        <f>Data!P293</f>
        <v>0</v>
      </c>
    </row>
    <row r="281" spans="7:22" x14ac:dyDescent="0.25">
      <c r="G281">
        <f>Data!A294</f>
        <v>0</v>
      </c>
      <c r="H281" s="21">
        <f>Data!B294</f>
        <v>0</v>
      </c>
      <c r="I281" s="21">
        <f>Data!C294</f>
        <v>0</v>
      </c>
      <c r="J281">
        <f>Data!D294</f>
        <v>0</v>
      </c>
      <c r="K281">
        <f>Data!E294</f>
        <v>0</v>
      </c>
      <c r="L281">
        <f>Data!F294</f>
        <v>0</v>
      </c>
      <c r="M281">
        <f>Data!G294</f>
        <v>0</v>
      </c>
      <c r="N281">
        <f>Data!H294</f>
        <v>0</v>
      </c>
      <c r="O281">
        <f>Data!I294</f>
        <v>0</v>
      </c>
      <c r="P281" s="21">
        <f>Data!J294</f>
        <v>0</v>
      </c>
      <c r="Q281">
        <f>Data!K294</f>
        <v>0</v>
      </c>
      <c r="R281">
        <f>Data!L294</f>
        <v>0</v>
      </c>
      <c r="S281">
        <f>Data!M294</f>
        <v>0</v>
      </c>
      <c r="T281">
        <f>Data!N294</f>
        <v>0</v>
      </c>
      <c r="U281">
        <f>Data!O294</f>
        <v>0</v>
      </c>
      <c r="V281" s="33">
        <f>Data!P294</f>
        <v>0</v>
      </c>
    </row>
    <row r="282" spans="7:22" x14ac:dyDescent="0.25">
      <c r="G282">
        <f>Data!A295</f>
        <v>0</v>
      </c>
      <c r="H282" s="21">
        <f>Data!B295</f>
        <v>0</v>
      </c>
      <c r="I282" s="21">
        <f>Data!C295</f>
        <v>0</v>
      </c>
      <c r="J282">
        <f>Data!D295</f>
        <v>0</v>
      </c>
      <c r="K282">
        <f>Data!E295</f>
        <v>0</v>
      </c>
      <c r="L282">
        <f>Data!F295</f>
        <v>0</v>
      </c>
      <c r="M282">
        <f>Data!G295</f>
        <v>0</v>
      </c>
      <c r="N282">
        <f>Data!H295</f>
        <v>0</v>
      </c>
      <c r="O282">
        <f>Data!I295</f>
        <v>0</v>
      </c>
      <c r="P282" s="21">
        <f>Data!J295</f>
        <v>0</v>
      </c>
      <c r="Q282">
        <f>Data!K295</f>
        <v>0</v>
      </c>
      <c r="R282">
        <f>Data!L295</f>
        <v>0</v>
      </c>
      <c r="S282">
        <f>Data!M295</f>
        <v>0</v>
      </c>
      <c r="T282">
        <f>Data!N295</f>
        <v>0</v>
      </c>
      <c r="U282">
        <f>Data!O295</f>
        <v>0</v>
      </c>
      <c r="V282" s="33">
        <f>Data!P295</f>
        <v>0</v>
      </c>
    </row>
    <row r="283" spans="7:22" x14ac:dyDescent="0.25">
      <c r="G283">
        <f>Data!A296</f>
        <v>0</v>
      </c>
      <c r="H283" s="21">
        <f>Data!B296</f>
        <v>0</v>
      </c>
      <c r="I283" s="21">
        <f>Data!C296</f>
        <v>0</v>
      </c>
      <c r="J283">
        <f>Data!D296</f>
        <v>0</v>
      </c>
      <c r="K283">
        <f>Data!E296</f>
        <v>0</v>
      </c>
      <c r="L283">
        <f>Data!F296</f>
        <v>0</v>
      </c>
      <c r="M283">
        <f>Data!G296</f>
        <v>0</v>
      </c>
      <c r="N283">
        <f>Data!H296</f>
        <v>0</v>
      </c>
      <c r="O283">
        <f>Data!I296</f>
        <v>0</v>
      </c>
      <c r="P283" s="21">
        <f>Data!J296</f>
        <v>0</v>
      </c>
      <c r="Q283">
        <f>Data!K296</f>
        <v>0</v>
      </c>
      <c r="R283">
        <f>Data!L296</f>
        <v>0</v>
      </c>
      <c r="S283">
        <f>Data!M296</f>
        <v>0</v>
      </c>
      <c r="T283">
        <f>Data!N296</f>
        <v>0</v>
      </c>
      <c r="U283">
        <f>Data!O296</f>
        <v>0</v>
      </c>
      <c r="V283" s="33">
        <f>Data!P296</f>
        <v>0</v>
      </c>
    </row>
    <row r="284" spans="7:22" x14ac:dyDescent="0.25">
      <c r="G284">
        <f>Data!A297</f>
        <v>0</v>
      </c>
      <c r="H284" s="21">
        <f>Data!B297</f>
        <v>0</v>
      </c>
      <c r="I284" s="21">
        <f>Data!C297</f>
        <v>0</v>
      </c>
      <c r="J284">
        <f>Data!D297</f>
        <v>0</v>
      </c>
      <c r="K284">
        <f>Data!E297</f>
        <v>0</v>
      </c>
      <c r="L284">
        <f>Data!F297</f>
        <v>0</v>
      </c>
      <c r="M284">
        <f>Data!G297</f>
        <v>0</v>
      </c>
      <c r="N284">
        <f>Data!H297</f>
        <v>0</v>
      </c>
      <c r="O284">
        <f>Data!I297</f>
        <v>0</v>
      </c>
      <c r="P284" s="21">
        <f>Data!J297</f>
        <v>0</v>
      </c>
      <c r="Q284">
        <f>Data!K297</f>
        <v>0</v>
      </c>
      <c r="R284">
        <f>Data!L297</f>
        <v>0</v>
      </c>
      <c r="S284">
        <f>Data!M297</f>
        <v>0</v>
      </c>
      <c r="T284">
        <f>Data!N297</f>
        <v>0</v>
      </c>
      <c r="U284">
        <f>Data!O297</f>
        <v>0</v>
      </c>
      <c r="V284" s="33">
        <f>Data!P297</f>
        <v>0</v>
      </c>
    </row>
    <row r="285" spans="7:22" x14ac:dyDescent="0.25">
      <c r="G285">
        <f>Data!A298</f>
        <v>0</v>
      </c>
      <c r="H285" s="21">
        <f>Data!B298</f>
        <v>0</v>
      </c>
      <c r="I285" s="21">
        <f>Data!C298</f>
        <v>0</v>
      </c>
      <c r="J285">
        <f>Data!D298</f>
        <v>0</v>
      </c>
      <c r="K285">
        <f>Data!E298</f>
        <v>0</v>
      </c>
      <c r="L285">
        <f>Data!F298</f>
        <v>0</v>
      </c>
      <c r="M285">
        <f>Data!G298</f>
        <v>0</v>
      </c>
      <c r="N285">
        <f>Data!H298</f>
        <v>0</v>
      </c>
      <c r="O285">
        <f>Data!I298</f>
        <v>0</v>
      </c>
      <c r="P285" s="21">
        <f>Data!J298</f>
        <v>0</v>
      </c>
      <c r="Q285">
        <f>Data!K298</f>
        <v>0</v>
      </c>
      <c r="R285">
        <f>Data!L298</f>
        <v>0</v>
      </c>
      <c r="S285">
        <f>Data!M298</f>
        <v>0</v>
      </c>
      <c r="T285">
        <f>Data!N298</f>
        <v>0</v>
      </c>
      <c r="U285">
        <f>Data!O298</f>
        <v>0</v>
      </c>
      <c r="V285" s="33">
        <f>Data!P298</f>
        <v>0</v>
      </c>
    </row>
    <row r="286" spans="7:22" x14ac:dyDescent="0.25">
      <c r="G286">
        <f>Data!A299</f>
        <v>0</v>
      </c>
      <c r="H286" s="21">
        <f>Data!B299</f>
        <v>0</v>
      </c>
      <c r="I286" s="21">
        <f>Data!C299</f>
        <v>0</v>
      </c>
      <c r="J286">
        <f>Data!D299</f>
        <v>0</v>
      </c>
      <c r="K286">
        <f>Data!E299</f>
        <v>0</v>
      </c>
      <c r="L286">
        <f>Data!F299</f>
        <v>0</v>
      </c>
      <c r="M286">
        <f>Data!G299</f>
        <v>0</v>
      </c>
      <c r="N286">
        <f>Data!H299</f>
        <v>0</v>
      </c>
      <c r="O286">
        <f>Data!I299</f>
        <v>0</v>
      </c>
      <c r="P286" s="21">
        <f>Data!J299</f>
        <v>0</v>
      </c>
      <c r="Q286">
        <f>Data!K299</f>
        <v>0</v>
      </c>
      <c r="R286">
        <f>Data!L299</f>
        <v>0</v>
      </c>
      <c r="S286">
        <f>Data!M299</f>
        <v>0</v>
      </c>
      <c r="T286">
        <f>Data!N299</f>
        <v>0</v>
      </c>
      <c r="U286">
        <f>Data!O299</f>
        <v>0</v>
      </c>
      <c r="V286" s="33">
        <f>Data!P299</f>
        <v>0</v>
      </c>
    </row>
    <row r="287" spans="7:22" x14ac:dyDescent="0.25">
      <c r="G287">
        <f>Data!A300</f>
        <v>0</v>
      </c>
      <c r="H287" s="21">
        <f>Data!B300</f>
        <v>0</v>
      </c>
      <c r="I287" s="21">
        <f>Data!C300</f>
        <v>0</v>
      </c>
      <c r="J287">
        <f>Data!D300</f>
        <v>0</v>
      </c>
      <c r="K287">
        <f>Data!E300</f>
        <v>0</v>
      </c>
      <c r="L287">
        <f>Data!F300</f>
        <v>0</v>
      </c>
      <c r="M287">
        <f>Data!G300</f>
        <v>0</v>
      </c>
      <c r="N287">
        <f>Data!H300</f>
        <v>0</v>
      </c>
      <c r="O287">
        <f>Data!I300</f>
        <v>0</v>
      </c>
      <c r="P287" s="21">
        <f>Data!J300</f>
        <v>0</v>
      </c>
      <c r="Q287">
        <f>Data!K300</f>
        <v>0</v>
      </c>
      <c r="R287">
        <f>Data!L300</f>
        <v>0</v>
      </c>
      <c r="S287">
        <f>Data!M300</f>
        <v>0</v>
      </c>
      <c r="T287">
        <f>Data!N300</f>
        <v>0</v>
      </c>
      <c r="U287">
        <f>Data!O300</f>
        <v>0</v>
      </c>
      <c r="V287" s="33">
        <f>Data!P300</f>
        <v>0</v>
      </c>
    </row>
    <row r="288" spans="7:22" x14ac:dyDescent="0.25">
      <c r="G288">
        <f>Data!A301</f>
        <v>0</v>
      </c>
      <c r="H288" s="21">
        <f>Data!B301</f>
        <v>0</v>
      </c>
      <c r="I288" s="21">
        <f>Data!C301</f>
        <v>0</v>
      </c>
      <c r="J288">
        <f>Data!D301</f>
        <v>0</v>
      </c>
      <c r="K288">
        <f>Data!E301</f>
        <v>0</v>
      </c>
      <c r="L288">
        <f>Data!F301</f>
        <v>0</v>
      </c>
      <c r="M288">
        <f>Data!G301</f>
        <v>0</v>
      </c>
      <c r="N288">
        <f>Data!H301</f>
        <v>0</v>
      </c>
      <c r="O288">
        <f>Data!I301</f>
        <v>0</v>
      </c>
      <c r="P288" s="21">
        <f>Data!J301</f>
        <v>0</v>
      </c>
      <c r="Q288">
        <f>Data!K301</f>
        <v>0</v>
      </c>
      <c r="R288">
        <f>Data!L301</f>
        <v>0</v>
      </c>
      <c r="S288">
        <f>Data!M301</f>
        <v>0</v>
      </c>
      <c r="T288">
        <f>Data!N301</f>
        <v>0</v>
      </c>
      <c r="U288">
        <f>Data!O301</f>
        <v>0</v>
      </c>
      <c r="V288" s="33">
        <f>Data!P301</f>
        <v>0</v>
      </c>
    </row>
    <row r="289" spans="7:22" x14ac:dyDescent="0.25">
      <c r="G289">
        <f>Data!A302</f>
        <v>0</v>
      </c>
      <c r="H289" s="21">
        <f>Data!B302</f>
        <v>0</v>
      </c>
      <c r="I289" s="21">
        <f>Data!C302</f>
        <v>0</v>
      </c>
      <c r="J289">
        <f>Data!D302</f>
        <v>0</v>
      </c>
      <c r="K289">
        <f>Data!E302</f>
        <v>0</v>
      </c>
      <c r="L289">
        <f>Data!F302</f>
        <v>0</v>
      </c>
      <c r="M289">
        <f>Data!G302</f>
        <v>0</v>
      </c>
      <c r="N289">
        <f>Data!H302</f>
        <v>0</v>
      </c>
      <c r="O289">
        <f>Data!I302</f>
        <v>0</v>
      </c>
      <c r="P289" s="21">
        <f>Data!J302</f>
        <v>0</v>
      </c>
      <c r="Q289">
        <f>Data!K302</f>
        <v>0</v>
      </c>
      <c r="R289">
        <f>Data!L302</f>
        <v>0</v>
      </c>
      <c r="S289">
        <f>Data!M302</f>
        <v>0</v>
      </c>
      <c r="T289">
        <f>Data!N302</f>
        <v>0</v>
      </c>
      <c r="U289">
        <f>Data!O302</f>
        <v>0</v>
      </c>
      <c r="V289" s="33">
        <f>Data!P302</f>
        <v>0</v>
      </c>
    </row>
    <row r="290" spans="7:22" x14ac:dyDescent="0.25">
      <c r="G290">
        <f>Data!A303</f>
        <v>0</v>
      </c>
      <c r="H290" s="21">
        <f>Data!B303</f>
        <v>0</v>
      </c>
      <c r="I290" s="21">
        <f>Data!C303</f>
        <v>0</v>
      </c>
      <c r="J290">
        <f>Data!D303</f>
        <v>0</v>
      </c>
      <c r="K290">
        <f>Data!E303</f>
        <v>0</v>
      </c>
      <c r="L290">
        <f>Data!F303</f>
        <v>0</v>
      </c>
      <c r="M290">
        <f>Data!G303</f>
        <v>0</v>
      </c>
      <c r="N290">
        <f>Data!H303</f>
        <v>0</v>
      </c>
      <c r="O290">
        <f>Data!I303</f>
        <v>0</v>
      </c>
      <c r="P290" s="21">
        <f>Data!J303</f>
        <v>0</v>
      </c>
      <c r="Q290">
        <f>Data!K303</f>
        <v>0</v>
      </c>
      <c r="R290">
        <f>Data!L303</f>
        <v>0</v>
      </c>
      <c r="S290">
        <f>Data!M303</f>
        <v>0</v>
      </c>
      <c r="T290">
        <f>Data!N303</f>
        <v>0</v>
      </c>
      <c r="U290">
        <f>Data!O303</f>
        <v>0</v>
      </c>
      <c r="V290" s="33">
        <f>Data!P303</f>
        <v>0</v>
      </c>
    </row>
    <row r="291" spans="7:22" x14ac:dyDescent="0.25">
      <c r="G291">
        <f>Data!A304</f>
        <v>0</v>
      </c>
      <c r="H291" s="21">
        <f>Data!B304</f>
        <v>0</v>
      </c>
      <c r="I291" s="21">
        <f>Data!C304</f>
        <v>0</v>
      </c>
      <c r="J291">
        <f>Data!D304</f>
        <v>0</v>
      </c>
      <c r="K291">
        <f>Data!E304</f>
        <v>0</v>
      </c>
      <c r="L291">
        <f>Data!F304</f>
        <v>0</v>
      </c>
      <c r="M291">
        <f>Data!G304</f>
        <v>0</v>
      </c>
      <c r="N291">
        <f>Data!H304</f>
        <v>0</v>
      </c>
      <c r="O291">
        <f>Data!I304</f>
        <v>0</v>
      </c>
      <c r="P291" s="21">
        <f>Data!J304</f>
        <v>0</v>
      </c>
      <c r="Q291">
        <f>Data!K304</f>
        <v>0</v>
      </c>
      <c r="R291">
        <f>Data!L304</f>
        <v>0</v>
      </c>
      <c r="S291">
        <f>Data!M304</f>
        <v>0</v>
      </c>
      <c r="T291">
        <f>Data!N304</f>
        <v>0</v>
      </c>
      <c r="U291">
        <f>Data!O304</f>
        <v>0</v>
      </c>
      <c r="V291" s="33">
        <f>Data!P304</f>
        <v>0</v>
      </c>
    </row>
    <row r="292" spans="7:22" x14ac:dyDescent="0.25">
      <c r="G292">
        <f>Data!A305</f>
        <v>0</v>
      </c>
      <c r="H292" s="21">
        <f>Data!B305</f>
        <v>0</v>
      </c>
      <c r="I292" s="21">
        <f>Data!C305</f>
        <v>0</v>
      </c>
      <c r="J292">
        <f>Data!D305</f>
        <v>0</v>
      </c>
      <c r="K292">
        <f>Data!E305</f>
        <v>0</v>
      </c>
      <c r="L292">
        <f>Data!F305</f>
        <v>0</v>
      </c>
      <c r="M292">
        <f>Data!G305</f>
        <v>0</v>
      </c>
      <c r="N292">
        <f>Data!H305</f>
        <v>0</v>
      </c>
      <c r="O292">
        <f>Data!I305</f>
        <v>0</v>
      </c>
      <c r="P292" s="21">
        <f>Data!J305</f>
        <v>0</v>
      </c>
      <c r="Q292">
        <f>Data!K305</f>
        <v>0</v>
      </c>
      <c r="R292">
        <f>Data!L305</f>
        <v>0</v>
      </c>
      <c r="S292">
        <f>Data!M305</f>
        <v>0</v>
      </c>
      <c r="T292">
        <f>Data!N305</f>
        <v>0</v>
      </c>
      <c r="U292">
        <f>Data!O305</f>
        <v>0</v>
      </c>
      <c r="V292" s="33">
        <f>Data!P305</f>
        <v>0</v>
      </c>
    </row>
    <row r="293" spans="7:22" x14ac:dyDescent="0.25">
      <c r="G293">
        <f>Data!A306</f>
        <v>0</v>
      </c>
      <c r="H293" s="21">
        <f>Data!B306</f>
        <v>0</v>
      </c>
      <c r="I293" s="21">
        <f>Data!C306</f>
        <v>0</v>
      </c>
      <c r="J293">
        <f>Data!D306</f>
        <v>0</v>
      </c>
      <c r="K293">
        <f>Data!E306</f>
        <v>0</v>
      </c>
      <c r="L293">
        <f>Data!F306</f>
        <v>0</v>
      </c>
      <c r="M293">
        <f>Data!G306</f>
        <v>0</v>
      </c>
      <c r="N293">
        <f>Data!H306</f>
        <v>0</v>
      </c>
      <c r="O293">
        <f>Data!I306</f>
        <v>0</v>
      </c>
      <c r="P293" s="21">
        <f>Data!J306</f>
        <v>0</v>
      </c>
      <c r="Q293">
        <f>Data!K306</f>
        <v>0</v>
      </c>
      <c r="R293">
        <f>Data!L306</f>
        <v>0</v>
      </c>
      <c r="S293">
        <f>Data!M306</f>
        <v>0</v>
      </c>
      <c r="T293">
        <f>Data!N306</f>
        <v>0</v>
      </c>
      <c r="U293">
        <f>Data!O306</f>
        <v>0</v>
      </c>
      <c r="V293" s="33">
        <f>Data!P306</f>
        <v>0</v>
      </c>
    </row>
    <row r="294" spans="7:22" x14ac:dyDescent="0.25">
      <c r="G294">
        <f>Data!A307</f>
        <v>0</v>
      </c>
      <c r="H294" s="21">
        <f>Data!B307</f>
        <v>0</v>
      </c>
      <c r="I294" s="21">
        <f>Data!C307</f>
        <v>0</v>
      </c>
      <c r="J294">
        <f>Data!D307</f>
        <v>0</v>
      </c>
      <c r="K294">
        <f>Data!E307</f>
        <v>0</v>
      </c>
      <c r="L294">
        <f>Data!F307</f>
        <v>0</v>
      </c>
      <c r="M294">
        <f>Data!G307</f>
        <v>0</v>
      </c>
      <c r="N294">
        <f>Data!H307</f>
        <v>0</v>
      </c>
      <c r="O294">
        <f>Data!I307</f>
        <v>0</v>
      </c>
      <c r="P294" s="21">
        <f>Data!J307</f>
        <v>0</v>
      </c>
      <c r="Q294">
        <f>Data!K307</f>
        <v>0</v>
      </c>
      <c r="R294">
        <f>Data!L307</f>
        <v>0</v>
      </c>
      <c r="S294">
        <f>Data!M307</f>
        <v>0</v>
      </c>
      <c r="T294">
        <f>Data!N307</f>
        <v>0</v>
      </c>
      <c r="U294">
        <f>Data!O307</f>
        <v>0</v>
      </c>
      <c r="V294" s="33">
        <f>Data!P307</f>
        <v>0</v>
      </c>
    </row>
    <row r="295" spans="7:22" x14ac:dyDescent="0.25">
      <c r="G295">
        <f>Data!A308</f>
        <v>0</v>
      </c>
      <c r="H295" s="21">
        <f>Data!B308</f>
        <v>0</v>
      </c>
      <c r="I295" s="21">
        <f>Data!C308</f>
        <v>0</v>
      </c>
      <c r="J295">
        <f>Data!D308</f>
        <v>0</v>
      </c>
      <c r="K295">
        <f>Data!E308</f>
        <v>0</v>
      </c>
      <c r="L295">
        <f>Data!F308</f>
        <v>0</v>
      </c>
      <c r="M295">
        <f>Data!G308</f>
        <v>0</v>
      </c>
      <c r="N295">
        <f>Data!H308</f>
        <v>0</v>
      </c>
      <c r="O295">
        <f>Data!I308</f>
        <v>0</v>
      </c>
      <c r="P295" s="21">
        <f>Data!J308</f>
        <v>0</v>
      </c>
      <c r="Q295">
        <f>Data!K308</f>
        <v>0</v>
      </c>
      <c r="R295">
        <f>Data!L308</f>
        <v>0</v>
      </c>
      <c r="S295">
        <f>Data!M308</f>
        <v>0</v>
      </c>
      <c r="T295">
        <f>Data!N308</f>
        <v>0</v>
      </c>
      <c r="U295">
        <f>Data!O308</f>
        <v>0</v>
      </c>
      <c r="V295" s="33">
        <f>Data!P308</f>
        <v>0</v>
      </c>
    </row>
    <row r="296" spans="7:22" x14ac:dyDescent="0.25">
      <c r="G296">
        <f>Data!A309</f>
        <v>0</v>
      </c>
      <c r="H296" s="21">
        <f>Data!B309</f>
        <v>0</v>
      </c>
      <c r="I296" s="21">
        <f>Data!C309</f>
        <v>0</v>
      </c>
      <c r="J296">
        <f>Data!D309</f>
        <v>0</v>
      </c>
      <c r="K296">
        <f>Data!E309</f>
        <v>0</v>
      </c>
      <c r="L296">
        <f>Data!F309</f>
        <v>0</v>
      </c>
      <c r="M296">
        <f>Data!G309</f>
        <v>0</v>
      </c>
      <c r="N296">
        <f>Data!H309</f>
        <v>0</v>
      </c>
      <c r="O296">
        <f>Data!I309</f>
        <v>0</v>
      </c>
      <c r="P296" s="21">
        <f>Data!J309</f>
        <v>0</v>
      </c>
      <c r="Q296">
        <f>Data!K309</f>
        <v>0</v>
      </c>
      <c r="R296">
        <f>Data!L309</f>
        <v>0</v>
      </c>
      <c r="S296">
        <f>Data!M309</f>
        <v>0</v>
      </c>
      <c r="T296">
        <f>Data!N309</f>
        <v>0</v>
      </c>
      <c r="U296">
        <f>Data!O309</f>
        <v>0</v>
      </c>
      <c r="V296" s="33">
        <f>Data!P309</f>
        <v>0</v>
      </c>
    </row>
    <row r="297" spans="7:22" x14ac:dyDescent="0.25">
      <c r="G297">
        <f>Data!A310</f>
        <v>0</v>
      </c>
      <c r="H297" s="21">
        <f>Data!B310</f>
        <v>0</v>
      </c>
      <c r="I297" s="21">
        <f>Data!C310</f>
        <v>0</v>
      </c>
      <c r="J297">
        <f>Data!D310</f>
        <v>0</v>
      </c>
      <c r="K297">
        <f>Data!E310</f>
        <v>0</v>
      </c>
      <c r="L297">
        <f>Data!F310</f>
        <v>0</v>
      </c>
      <c r="M297">
        <f>Data!G310</f>
        <v>0</v>
      </c>
      <c r="N297">
        <f>Data!H310</f>
        <v>0</v>
      </c>
      <c r="O297">
        <f>Data!I310</f>
        <v>0</v>
      </c>
      <c r="P297" s="21">
        <f>Data!J310</f>
        <v>0</v>
      </c>
      <c r="Q297">
        <f>Data!K310</f>
        <v>0</v>
      </c>
      <c r="R297">
        <f>Data!L310</f>
        <v>0</v>
      </c>
      <c r="S297">
        <f>Data!M310</f>
        <v>0</v>
      </c>
      <c r="T297">
        <f>Data!N310</f>
        <v>0</v>
      </c>
      <c r="U297">
        <f>Data!O310</f>
        <v>0</v>
      </c>
      <c r="V297" s="33">
        <f>Data!P310</f>
        <v>0</v>
      </c>
    </row>
    <row r="298" spans="7:22" x14ac:dyDescent="0.25">
      <c r="G298">
        <f>Data!A311</f>
        <v>0</v>
      </c>
      <c r="H298" s="21">
        <f>Data!B311</f>
        <v>0</v>
      </c>
      <c r="I298" s="21">
        <f>Data!C311</f>
        <v>0</v>
      </c>
      <c r="J298">
        <f>Data!D311</f>
        <v>0</v>
      </c>
      <c r="K298">
        <f>Data!E311</f>
        <v>0</v>
      </c>
      <c r="L298">
        <f>Data!F311</f>
        <v>0</v>
      </c>
      <c r="M298">
        <f>Data!G311</f>
        <v>0</v>
      </c>
      <c r="N298">
        <f>Data!H311</f>
        <v>0</v>
      </c>
      <c r="O298">
        <f>Data!I311</f>
        <v>0</v>
      </c>
      <c r="P298" s="21">
        <f>Data!J311</f>
        <v>0</v>
      </c>
      <c r="Q298">
        <f>Data!K311</f>
        <v>0</v>
      </c>
      <c r="R298">
        <f>Data!L311</f>
        <v>0</v>
      </c>
      <c r="S298">
        <f>Data!M311</f>
        <v>0</v>
      </c>
      <c r="T298">
        <f>Data!N311</f>
        <v>0</v>
      </c>
      <c r="U298">
        <f>Data!O311</f>
        <v>0</v>
      </c>
      <c r="V298" s="33">
        <f>Data!P311</f>
        <v>0</v>
      </c>
    </row>
    <row r="299" spans="7:22" x14ac:dyDescent="0.25">
      <c r="G299">
        <f>Data!A312</f>
        <v>0</v>
      </c>
      <c r="H299" s="21">
        <f>Data!B312</f>
        <v>0</v>
      </c>
      <c r="I299" s="21">
        <f>Data!C312</f>
        <v>0</v>
      </c>
      <c r="J299">
        <f>Data!D312</f>
        <v>0</v>
      </c>
      <c r="K299">
        <f>Data!E312</f>
        <v>0</v>
      </c>
      <c r="L299">
        <f>Data!F312</f>
        <v>0</v>
      </c>
      <c r="M299">
        <f>Data!G312</f>
        <v>0</v>
      </c>
      <c r="N299">
        <f>Data!H312</f>
        <v>0</v>
      </c>
      <c r="O299">
        <f>Data!I312</f>
        <v>0</v>
      </c>
      <c r="P299" s="21">
        <f>Data!J312</f>
        <v>0</v>
      </c>
      <c r="Q299">
        <f>Data!K312</f>
        <v>0</v>
      </c>
      <c r="R299">
        <f>Data!L312</f>
        <v>0</v>
      </c>
      <c r="S299">
        <f>Data!M312</f>
        <v>0</v>
      </c>
      <c r="T299">
        <f>Data!N312</f>
        <v>0</v>
      </c>
      <c r="U299">
        <f>Data!O312</f>
        <v>0</v>
      </c>
      <c r="V299" s="33">
        <f>Data!P312</f>
        <v>0</v>
      </c>
    </row>
    <row r="300" spans="7:22" x14ac:dyDescent="0.25">
      <c r="G300">
        <f>Data!A313</f>
        <v>0</v>
      </c>
      <c r="H300" s="21">
        <f>Data!B313</f>
        <v>0</v>
      </c>
      <c r="I300" s="21">
        <f>Data!C313</f>
        <v>0</v>
      </c>
      <c r="J300">
        <f>Data!D313</f>
        <v>0</v>
      </c>
      <c r="K300">
        <f>Data!E313</f>
        <v>0</v>
      </c>
      <c r="L300">
        <f>Data!F313</f>
        <v>0</v>
      </c>
      <c r="M300">
        <f>Data!G313</f>
        <v>0</v>
      </c>
      <c r="N300">
        <f>Data!H313</f>
        <v>0</v>
      </c>
      <c r="O300">
        <f>Data!I313</f>
        <v>0</v>
      </c>
      <c r="P300" s="21">
        <f>Data!J313</f>
        <v>0</v>
      </c>
      <c r="Q300">
        <f>Data!K313</f>
        <v>0</v>
      </c>
      <c r="R300">
        <f>Data!L313</f>
        <v>0</v>
      </c>
      <c r="S300">
        <f>Data!M313</f>
        <v>0</v>
      </c>
      <c r="T300">
        <f>Data!N313</f>
        <v>0</v>
      </c>
      <c r="U300">
        <f>Data!O313</f>
        <v>0</v>
      </c>
      <c r="V300" s="33">
        <f>Data!P313</f>
        <v>0</v>
      </c>
    </row>
    <row r="301" spans="7:22" x14ac:dyDescent="0.25">
      <c r="G301">
        <f>Data!A314</f>
        <v>0</v>
      </c>
      <c r="H301" s="21">
        <f>Data!B314</f>
        <v>0</v>
      </c>
      <c r="I301" s="21">
        <f>Data!C314</f>
        <v>0</v>
      </c>
      <c r="J301">
        <f>Data!D314</f>
        <v>0</v>
      </c>
      <c r="K301">
        <f>Data!E314</f>
        <v>0</v>
      </c>
      <c r="L301">
        <f>Data!F314</f>
        <v>0</v>
      </c>
      <c r="M301">
        <f>Data!G314</f>
        <v>0</v>
      </c>
      <c r="N301">
        <f>Data!H314</f>
        <v>0</v>
      </c>
      <c r="O301">
        <f>Data!I314</f>
        <v>0</v>
      </c>
      <c r="P301" s="21">
        <f>Data!J314</f>
        <v>0</v>
      </c>
      <c r="Q301">
        <f>Data!K314</f>
        <v>0</v>
      </c>
      <c r="R301">
        <f>Data!L314</f>
        <v>0</v>
      </c>
      <c r="S301">
        <f>Data!M314</f>
        <v>0</v>
      </c>
      <c r="T301">
        <f>Data!N314</f>
        <v>0</v>
      </c>
      <c r="U301">
        <f>Data!O314</f>
        <v>0</v>
      </c>
      <c r="V301" s="33">
        <f>Data!P314</f>
        <v>0</v>
      </c>
    </row>
    <row r="302" spans="7:22" x14ac:dyDescent="0.25">
      <c r="G302">
        <f>Data!A315</f>
        <v>0</v>
      </c>
      <c r="H302" s="21">
        <f>Data!B315</f>
        <v>0</v>
      </c>
      <c r="I302" s="21">
        <f>Data!C315</f>
        <v>0</v>
      </c>
      <c r="J302">
        <f>Data!D315</f>
        <v>0</v>
      </c>
      <c r="K302">
        <f>Data!E315</f>
        <v>0</v>
      </c>
      <c r="L302">
        <f>Data!F315</f>
        <v>0</v>
      </c>
      <c r="M302">
        <f>Data!G315</f>
        <v>0</v>
      </c>
      <c r="N302">
        <f>Data!H315</f>
        <v>0</v>
      </c>
      <c r="O302">
        <f>Data!I315</f>
        <v>0</v>
      </c>
      <c r="P302" s="21">
        <f>Data!J315</f>
        <v>0</v>
      </c>
      <c r="Q302">
        <f>Data!K315</f>
        <v>0</v>
      </c>
      <c r="R302">
        <f>Data!L315</f>
        <v>0</v>
      </c>
      <c r="S302">
        <f>Data!M315</f>
        <v>0</v>
      </c>
      <c r="T302">
        <f>Data!N315</f>
        <v>0</v>
      </c>
      <c r="U302">
        <f>Data!O315</f>
        <v>0</v>
      </c>
      <c r="V302" s="33">
        <f>Data!P315</f>
        <v>0</v>
      </c>
    </row>
    <row r="303" spans="7:22" x14ac:dyDescent="0.25">
      <c r="G303">
        <f>Data!A316</f>
        <v>0</v>
      </c>
      <c r="H303" s="21">
        <f>Data!B316</f>
        <v>0</v>
      </c>
      <c r="I303" s="21">
        <f>Data!C316</f>
        <v>0</v>
      </c>
      <c r="J303">
        <f>Data!D316</f>
        <v>0</v>
      </c>
      <c r="K303">
        <f>Data!E316</f>
        <v>0</v>
      </c>
      <c r="L303">
        <f>Data!F316</f>
        <v>0</v>
      </c>
      <c r="M303">
        <f>Data!G316</f>
        <v>0</v>
      </c>
      <c r="N303">
        <f>Data!H316</f>
        <v>0</v>
      </c>
      <c r="O303">
        <f>Data!I316</f>
        <v>0</v>
      </c>
      <c r="P303" s="21">
        <f>Data!J316</f>
        <v>0</v>
      </c>
      <c r="Q303">
        <f>Data!K316</f>
        <v>0</v>
      </c>
      <c r="R303">
        <f>Data!L316</f>
        <v>0</v>
      </c>
      <c r="S303">
        <f>Data!M316</f>
        <v>0</v>
      </c>
      <c r="T303">
        <f>Data!N316</f>
        <v>0</v>
      </c>
      <c r="U303">
        <f>Data!O316</f>
        <v>0</v>
      </c>
      <c r="V303" s="33">
        <f>Data!P316</f>
        <v>0</v>
      </c>
    </row>
    <row r="304" spans="7:22" x14ac:dyDescent="0.25">
      <c r="G304">
        <f>Data!A317</f>
        <v>0</v>
      </c>
      <c r="H304" s="21">
        <f>Data!B317</f>
        <v>0</v>
      </c>
      <c r="I304" s="21">
        <f>Data!C317</f>
        <v>0</v>
      </c>
      <c r="J304">
        <f>Data!D317</f>
        <v>0</v>
      </c>
      <c r="K304">
        <f>Data!E317</f>
        <v>0</v>
      </c>
      <c r="L304">
        <f>Data!F317</f>
        <v>0</v>
      </c>
      <c r="M304">
        <f>Data!G317</f>
        <v>0</v>
      </c>
      <c r="N304">
        <f>Data!H317</f>
        <v>0</v>
      </c>
      <c r="O304">
        <f>Data!I317</f>
        <v>0</v>
      </c>
      <c r="P304" s="21">
        <f>Data!J317</f>
        <v>0</v>
      </c>
      <c r="Q304">
        <f>Data!K317</f>
        <v>0</v>
      </c>
      <c r="R304">
        <f>Data!L317</f>
        <v>0</v>
      </c>
      <c r="S304">
        <f>Data!M317</f>
        <v>0</v>
      </c>
      <c r="T304">
        <f>Data!N317</f>
        <v>0</v>
      </c>
      <c r="U304">
        <f>Data!O317</f>
        <v>0</v>
      </c>
      <c r="V304" s="33">
        <f>Data!P317</f>
        <v>0</v>
      </c>
    </row>
    <row r="305" spans="7:22" x14ac:dyDescent="0.25">
      <c r="G305">
        <f>Data!A318</f>
        <v>0</v>
      </c>
      <c r="H305" s="21">
        <f>Data!B318</f>
        <v>0</v>
      </c>
      <c r="I305" s="21">
        <f>Data!C318</f>
        <v>0</v>
      </c>
      <c r="J305">
        <f>Data!D318</f>
        <v>0</v>
      </c>
      <c r="K305">
        <f>Data!E318</f>
        <v>0</v>
      </c>
      <c r="L305">
        <f>Data!F318</f>
        <v>0</v>
      </c>
      <c r="M305">
        <f>Data!G318</f>
        <v>0</v>
      </c>
      <c r="N305">
        <f>Data!H318</f>
        <v>0</v>
      </c>
      <c r="O305">
        <f>Data!I318</f>
        <v>0</v>
      </c>
      <c r="P305" s="21">
        <f>Data!J318</f>
        <v>0</v>
      </c>
      <c r="Q305">
        <f>Data!K318</f>
        <v>0</v>
      </c>
      <c r="R305">
        <f>Data!L318</f>
        <v>0</v>
      </c>
      <c r="S305">
        <f>Data!M318</f>
        <v>0</v>
      </c>
      <c r="T305">
        <f>Data!N318</f>
        <v>0</v>
      </c>
      <c r="U305">
        <f>Data!O318</f>
        <v>0</v>
      </c>
      <c r="V305" s="33">
        <f>Data!P318</f>
        <v>0</v>
      </c>
    </row>
    <row r="306" spans="7:22" x14ac:dyDescent="0.25">
      <c r="G306">
        <f>Data!A319</f>
        <v>0</v>
      </c>
      <c r="H306" s="21">
        <f>Data!B319</f>
        <v>0</v>
      </c>
      <c r="I306" s="21">
        <f>Data!C319</f>
        <v>0</v>
      </c>
      <c r="J306">
        <f>Data!D319</f>
        <v>0</v>
      </c>
      <c r="K306">
        <f>Data!E319</f>
        <v>0</v>
      </c>
      <c r="L306">
        <f>Data!F319</f>
        <v>0</v>
      </c>
      <c r="M306">
        <f>Data!G319</f>
        <v>0</v>
      </c>
      <c r="N306">
        <f>Data!H319</f>
        <v>0</v>
      </c>
      <c r="O306">
        <f>Data!I319</f>
        <v>0</v>
      </c>
      <c r="P306" s="21">
        <f>Data!J319</f>
        <v>0</v>
      </c>
      <c r="Q306">
        <f>Data!K319</f>
        <v>0</v>
      </c>
      <c r="R306">
        <f>Data!L319</f>
        <v>0</v>
      </c>
      <c r="S306">
        <f>Data!M319</f>
        <v>0</v>
      </c>
      <c r="T306">
        <f>Data!N319</f>
        <v>0</v>
      </c>
      <c r="U306">
        <f>Data!O319</f>
        <v>0</v>
      </c>
      <c r="V306" s="33">
        <f>Data!P319</f>
        <v>0</v>
      </c>
    </row>
    <row r="307" spans="7:22" x14ac:dyDescent="0.25">
      <c r="G307">
        <f>Data!A320</f>
        <v>0</v>
      </c>
      <c r="H307" s="21">
        <f>Data!B320</f>
        <v>0</v>
      </c>
      <c r="I307" s="21">
        <f>Data!C320</f>
        <v>0</v>
      </c>
      <c r="J307">
        <f>Data!D320</f>
        <v>0</v>
      </c>
      <c r="K307">
        <f>Data!E320</f>
        <v>0</v>
      </c>
      <c r="L307">
        <f>Data!F320</f>
        <v>0</v>
      </c>
      <c r="M307">
        <f>Data!G320</f>
        <v>0</v>
      </c>
      <c r="N307">
        <f>Data!H320</f>
        <v>0</v>
      </c>
      <c r="O307">
        <f>Data!I320</f>
        <v>0</v>
      </c>
      <c r="P307" s="21">
        <f>Data!J320</f>
        <v>0</v>
      </c>
      <c r="Q307">
        <f>Data!K320</f>
        <v>0</v>
      </c>
      <c r="R307">
        <f>Data!L320</f>
        <v>0</v>
      </c>
      <c r="S307">
        <f>Data!M320</f>
        <v>0</v>
      </c>
      <c r="T307">
        <f>Data!N320</f>
        <v>0</v>
      </c>
      <c r="U307">
        <f>Data!O320</f>
        <v>0</v>
      </c>
      <c r="V307" s="33">
        <f>Data!P320</f>
        <v>0</v>
      </c>
    </row>
    <row r="308" spans="7:22" x14ac:dyDescent="0.25">
      <c r="G308">
        <f>Data!A321</f>
        <v>0</v>
      </c>
      <c r="H308" s="21">
        <f>Data!B321</f>
        <v>0</v>
      </c>
      <c r="I308" s="21">
        <f>Data!C321</f>
        <v>0</v>
      </c>
      <c r="J308">
        <f>Data!D321</f>
        <v>0</v>
      </c>
      <c r="K308">
        <f>Data!E321</f>
        <v>0</v>
      </c>
      <c r="L308">
        <f>Data!F321</f>
        <v>0</v>
      </c>
      <c r="M308">
        <f>Data!G321</f>
        <v>0</v>
      </c>
      <c r="N308">
        <f>Data!H321</f>
        <v>0</v>
      </c>
      <c r="O308">
        <f>Data!I321</f>
        <v>0</v>
      </c>
      <c r="P308" s="21">
        <f>Data!J321</f>
        <v>0</v>
      </c>
      <c r="Q308">
        <f>Data!K321</f>
        <v>0</v>
      </c>
      <c r="R308">
        <f>Data!L321</f>
        <v>0</v>
      </c>
      <c r="S308">
        <f>Data!M321</f>
        <v>0</v>
      </c>
      <c r="T308">
        <f>Data!N321</f>
        <v>0</v>
      </c>
      <c r="U308">
        <f>Data!O321</f>
        <v>0</v>
      </c>
      <c r="V308" s="33">
        <f>Data!P321</f>
        <v>0</v>
      </c>
    </row>
    <row r="309" spans="7:22" x14ac:dyDescent="0.25">
      <c r="G309">
        <f>Data!A322</f>
        <v>0</v>
      </c>
      <c r="H309" s="21">
        <f>Data!B322</f>
        <v>0</v>
      </c>
      <c r="I309" s="21">
        <f>Data!C322</f>
        <v>0</v>
      </c>
      <c r="J309">
        <f>Data!D322</f>
        <v>0</v>
      </c>
      <c r="K309">
        <f>Data!E322</f>
        <v>0</v>
      </c>
      <c r="L309">
        <f>Data!F322</f>
        <v>0</v>
      </c>
      <c r="M309">
        <f>Data!G322</f>
        <v>0</v>
      </c>
      <c r="N309">
        <f>Data!H322</f>
        <v>0</v>
      </c>
      <c r="O309">
        <f>Data!I322</f>
        <v>0</v>
      </c>
      <c r="P309" s="21">
        <f>Data!J322</f>
        <v>0</v>
      </c>
      <c r="Q309">
        <f>Data!K322</f>
        <v>0</v>
      </c>
      <c r="R309">
        <f>Data!L322</f>
        <v>0</v>
      </c>
      <c r="S309">
        <f>Data!M322</f>
        <v>0</v>
      </c>
      <c r="T309">
        <f>Data!N322</f>
        <v>0</v>
      </c>
      <c r="U309">
        <f>Data!O322</f>
        <v>0</v>
      </c>
      <c r="V309" s="33">
        <f>Data!P322</f>
        <v>0</v>
      </c>
    </row>
    <row r="310" spans="7:22" x14ac:dyDescent="0.25">
      <c r="G310">
        <f>Data!A323</f>
        <v>0</v>
      </c>
      <c r="H310" s="21">
        <f>Data!B323</f>
        <v>0</v>
      </c>
      <c r="I310" s="21">
        <f>Data!C323</f>
        <v>0</v>
      </c>
      <c r="J310">
        <f>Data!D323</f>
        <v>0</v>
      </c>
      <c r="K310">
        <f>Data!E323</f>
        <v>0</v>
      </c>
      <c r="L310">
        <f>Data!F323</f>
        <v>0</v>
      </c>
      <c r="M310">
        <f>Data!G323</f>
        <v>0</v>
      </c>
      <c r="N310">
        <f>Data!H323</f>
        <v>0</v>
      </c>
      <c r="O310">
        <f>Data!I323</f>
        <v>0</v>
      </c>
      <c r="P310" s="21">
        <f>Data!J323</f>
        <v>0</v>
      </c>
      <c r="Q310">
        <f>Data!K323</f>
        <v>0</v>
      </c>
      <c r="R310">
        <f>Data!L323</f>
        <v>0</v>
      </c>
      <c r="S310">
        <f>Data!M323</f>
        <v>0</v>
      </c>
      <c r="T310">
        <f>Data!N323</f>
        <v>0</v>
      </c>
      <c r="U310">
        <f>Data!O323</f>
        <v>0</v>
      </c>
      <c r="V310" s="33">
        <f>Data!P323</f>
        <v>0</v>
      </c>
    </row>
    <row r="311" spans="7:22" x14ac:dyDescent="0.25">
      <c r="G311">
        <f>Data!A324</f>
        <v>0</v>
      </c>
      <c r="H311" s="21">
        <f>Data!B324</f>
        <v>0</v>
      </c>
      <c r="I311" s="21">
        <f>Data!C324</f>
        <v>0</v>
      </c>
      <c r="J311">
        <f>Data!D324</f>
        <v>0</v>
      </c>
      <c r="K311">
        <f>Data!E324</f>
        <v>0</v>
      </c>
      <c r="L311">
        <f>Data!F324</f>
        <v>0</v>
      </c>
      <c r="M311">
        <f>Data!G324</f>
        <v>0</v>
      </c>
      <c r="N311">
        <f>Data!H324</f>
        <v>0</v>
      </c>
      <c r="O311">
        <f>Data!I324</f>
        <v>0</v>
      </c>
      <c r="P311" s="21">
        <f>Data!J324</f>
        <v>0</v>
      </c>
      <c r="Q311">
        <f>Data!K324</f>
        <v>0</v>
      </c>
      <c r="R311">
        <f>Data!L324</f>
        <v>0</v>
      </c>
      <c r="S311">
        <f>Data!M324</f>
        <v>0</v>
      </c>
      <c r="T311">
        <f>Data!N324</f>
        <v>0</v>
      </c>
      <c r="U311">
        <f>Data!O324</f>
        <v>0</v>
      </c>
      <c r="V311" s="33">
        <f>Data!P324</f>
        <v>0</v>
      </c>
    </row>
    <row r="312" spans="7:22" x14ac:dyDescent="0.25">
      <c r="G312">
        <f>Data!A325</f>
        <v>0</v>
      </c>
      <c r="H312" s="21">
        <f>Data!B325</f>
        <v>0</v>
      </c>
      <c r="I312" s="21">
        <f>Data!C325</f>
        <v>0</v>
      </c>
      <c r="J312">
        <f>Data!D325</f>
        <v>0</v>
      </c>
      <c r="K312">
        <f>Data!E325</f>
        <v>0</v>
      </c>
      <c r="L312">
        <f>Data!F325</f>
        <v>0</v>
      </c>
      <c r="M312">
        <f>Data!G325</f>
        <v>0</v>
      </c>
      <c r="N312">
        <f>Data!H325</f>
        <v>0</v>
      </c>
      <c r="O312">
        <f>Data!I325</f>
        <v>0</v>
      </c>
      <c r="P312" s="21">
        <f>Data!J325</f>
        <v>0</v>
      </c>
      <c r="Q312">
        <f>Data!K325</f>
        <v>0</v>
      </c>
      <c r="R312">
        <f>Data!L325</f>
        <v>0</v>
      </c>
      <c r="S312">
        <f>Data!M325</f>
        <v>0</v>
      </c>
      <c r="T312">
        <f>Data!N325</f>
        <v>0</v>
      </c>
      <c r="U312">
        <f>Data!O325</f>
        <v>0</v>
      </c>
      <c r="V312" s="33">
        <f>Data!P325</f>
        <v>0</v>
      </c>
    </row>
    <row r="313" spans="7:22" x14ac:dyDescent="0.25">
      <c r="G313">
        <f>Data!A326</f>
        <v>0</v>
      </c>
      <c r="H313" s="21">
        <f>Data!B326</f>
        <v>0</v>
      </c>
      <c r="I313" s="21">
        <f>Data!C326</f>
        <v>0</v>
      </c>
      <c r="J313">
        <f>Data!D326</f>
        <v>0</v>
      </c>
      <c r="K313">
        <f>Data!E326</f>
        <v>0</v>
      </c>
      <c r="L313">
        <f>Data!F326</f>
        <v>0</v>
      </c>
      <c r="M313">
        <f>Data!G326</f>
        <v>0</v>
      </c>
      <c r="N313">
        <f>Data!H326</f>
        <v>0</v>
      </c>
      <c r="O313">
        <f>Data!I326</f>
        <v>0</v>
      </c>
      <c r="P313" s="21">
        <f>Data!J326</f>
        <v>0</v>
      </c>
      <c r="Q313">
        <f>Data!K326</f>
        <v>0</v>
      </c>
      <c r="R313">
        <f>Data!L326</f>
        <v>0</v>
      </c>
      <c r="S313">
        <f>Data!M326</f>
        <v>0</v>
      </c>
      <c r="T313">
        <f>Data!N326</f>
        <v>0</v>
      </c>
      <c r="U313">
        <f>Data!O326</f>
        <v>0</v>
      </c>
      <c r="V313" s="33">
        <f>Data!P326</f>
        <v>0</v>
      </c>
    </row>
    <row r="314" spans="7:22" x14ac:dyDescent="0.25">
      <c r="G314">
        <f>Data!A327</f>
        <v>0</v>
      </c>
      <c r="H314" s="21">
        <f>Data!B327</f>
        <v>0</v>
      </c>
      <c r="I314" s="21">
        <f>Data!C327</f>
        <v>0</v>
      </c>
      <c r="J314">
        <f>Data!D327</f>
        <v>0</v>
      </c>
      <c r="K314">
        <f>Data!E327</f>
        <v>0</v>
      </c>
      <c r="L314">
        <f>Data!F327</f>
        <v>0</v>
      </c>
      <c r="M314">
        <f>Data!G327</f>
        <v>0</v>
      </c>
      <c r="N314">
        <f>Data!H327</f>
        <v>0</v>
      </c>
      <c r="O314">
        <f>Data!I327</f>
        <v>0</v>
      </c>
      <c r="P314" s="21">
        <f>Data!J327</f>
        <v>0</v>
      </c>
      <c r="Q314">
        <f>Data!K327</f>
        <v>0</v>
      </c>
      <c r="R314">
        <f>Data!L327</f>
        <v>0</v>
      </c>
      <c r="S314">
        <f>Data!M327</f>
        <v>0</v>
      </c>
      <c r="T314">
        <f>Data!N327</f>
        <v>0</v>
      </c>
      <c r="U314">
        <f>Data!O327</f>
        <v>0</v>
      </c>
      <c r="V314" s="33">
        <f>Data!P327</f>
        <v>0</v>
      </c>
    </row>
    <row r="315" spans="7:22" x14ac:dyDescent="0.25">
      <c r="G315">
        <f>Data!A328</f>
        <v>0</v>
      </c>
      <c r="H315" s="21">
        <f>Data!B328</f>
        <v>0</v>
      </c>
      <c r="I315" s="21">
        <f>Data!C328</f>
        <v>0</v>
      </c>
      <c r="J315">
        <f>Data!D328</f>
        <v>0</v>
      </c>
      <c r="K315">
        <f>Data!E328</f>
        <v>0</v>
      </c>
      <c r="L315">
        <f>Data!F328</f>
        <v>0</v>
      </c>
      <c r="M315">
        <f>Data!G328</f>
        <v>0</v>
      </c>
      <c r="N315">
        <f>Data!H328</f>
        <v>0</v>
      </c>
      <c r="O315">
        <f>Data!I328</f>
        <v>0</v>
      </c>
      <c r="P315" s="21">
        <f>Data!J328</f>
        <v>0</v>
      </c>
      <c r="Q315">
        <f>Data!K328</f>
        <v>0</v>
      </c>
      <c r="R315">
        <f>Data!L328</f>
        <v>0</v>
      </c>
      <c r="S315">
        <f>Data!M328</f>
        <v>0</v>
      </c>
      <c r="T315">
        <f>Data!N328</f>
        <v>0</v>
      </c>
      <c r="U315">
        <f>Data!O328</f>
        <v>0</v>
      </c>
      <c r="V315" s="33">
        <f>Data!P328</f>
        <v>0</v>
      </c>
    </row>
    <row r="316" spans="7:22" x14ac:dyDescent="0.25">
      <c r="G316">
        <f>Data!A329</f>
        <v>0</v>
      </c>
      <c r="H316" s="21">
        <f>Data!B329</f>
        <v>0</v>
      </c>
      <c r="I316" s="21">
        <f>Data!C329</f>
        <v>0</v>
      </c>
      <c r="J316">
        <f>Data!D329</f>
        <v>0</v>
      </c>
      <c r="K316">
        <f>Data!E329</f>
        <v>0</v>
      </c>
      <c r="L316">
        <f>Data!F329</f>
        <v>0</v>
      </c>
      <c r="M316">
        <f>Data!G329</f>
        <v>0</v>
      </c>
      <c r="N316">
        <f>Data!H329</f>
        <v>0</v>
      </c>
      <c r="O316">
        <f>Data!I329</f>
        <v>0</v>
      </c>
      <c r="P316" s="21">
        <f>Data!J329</f>
        <v>0</v>
      </c>
      <c r="Q316">
        <f>Data!K329</f>
        <v>0</v>
      </c>
      <c r="R316">
        <f>Data!L329</f>
        <v>0</v>
      </c>
      <c r="S316">
        <f>Data!M329</f>
        <v>0</v>
      </c>
      <c r="T316">
        <f>Data!N329</f>
        <v>0</v>
      </c>
      <c r="U316">
        <f>Data!O329</f>
        <v>0</v>
      </c>
      <c r="V316" s="33">
        <f>Data!P329</f>
        <v>0</v>
      </c>
    </row>
    <row r="317" spans="7:22" x14ac:dyDescent="0.25">
      <c r="G317">
        <f>Data!A330</f>
        <v>0</v>
      </c>
      <c r="H317" s="21">
        <f>Data!B330</f>
        <v>0</v>
      </c>
      <c r="I317" s="21">
        <f>Data!C330</f>
        <v>0</v>
      </c>
      <c r="J317">
        <f>Data!D330</f>
        <v>0</v>
      </c>
      <c r="K317">
        <f>Data!E330</f>
        <v>0</v>
      </c>
      <c r="L317">
        <f>Data!F330</f>
        <v>0</v>
      </c>
      <c r="M317">
        <f>Data!G330</f>
        <v>0</v>
      </c>
      <c r="N317">
        <f>Data!H330</f>
        <v>0</v>
      </c>
      <c r="O317">
        <f>Data!I330</f>
        <v>0</v>
      </c>
      <c r="P317" s="21">
        <f>Data!J330</f>
        <v>0</v>
      </c>
      <c r="Q317">
        <f>Data!K330</f>
        <v>0</v>
      </c>
      <c r="R317">
        <f>Data!L330</f>
        <v>0</v>
      </c>
      <c r="S317">
        <f>Data!M330</f>
        <v>0</v>
      </c>
      <c r="T317">
        <f>Data!N330</f>
        <v>0</v>
      </c>
      <c r="U317">
        <f>Data!O330</f>
        <v>0</v>
      </c>
      <c r="V317" s="33">
        <f>Data!P330</f>
        <v>0</v>
      </c>
    </row>
    <row r="318" spans="7:22" x14ac:dyDescent="0.25">
      <c r="G318">
        <f>Data!A331</f>
        <v>0</v>
      </c>
      <c r="H318" s="21">
        <f>Data!B331</f>
        <v>0</v>
      </c>
      <c r="I318" s="21">
        <f>Data!C331</f>
        <v>0</v>
      </c>
      <c r="J318">
        <f>Data!D331</f>
        <v>0</v>
      </c>
      <c r="K318">
        <f>Data!E331</f>
        <v>0</v>
      </c>
      <c r="L318">
        <f>Data!F331</f>
        <v>0</v>
      </c>
      <c r="M318">
        <f>Data!G331</f>
        <v>0</v>
      </c>
      <c r="N318">
        <f>Data!H331</f>
        <v>0</v>
      </c>
      <c r="O318">
        <f>Data!I331</f>
        <v>0</v>
      </c>
      <c r="P318" s="21">
        <f>Data!J331</f>
        <v>0</v>
      </c>
      <c r="Q318">
        <f>Data!K331</f>
        <v>0</v>
      </c>
      <c r="R318">
        <f>Data!L331</f>
        <v>0</v>
      </c>
      <c r="S318">
        <f>Data!M331</f>
        <v>0</v>
      </c>
      <c r="T318">
        <f>Data!N331</f>
        <v>0</v>
      </c>
      <c r="U318">
        <f>Data!O331</f>
        <v>0</v>
      </c>
      <c r="V318" s="33">
        <f>Data!P331</f>
        <v>0</v>
      </c>
    </row>
    <row r="319" spans="7:22" x14ac:dyDescent="0.25">
      <c r="G319">
        <f>Data!A332</f>
        <v>0</v>
      </c>
      <c r="H319" s="21">
        <f>Data!B332</f>
        <v>0</v>
      </c>
      <c r="I319" s="21">
        <f>Data!C332</f>
        <v>0</v>
      </c>
      <c r="J319">
        <f>Data!D332</f>
        <v>0</v>
      </c>
      <c r="K319">
        <f>Data!E332</f>
        <v>0</v>
      </c>
      <c r="L319">
        <f>Data!F332</f>
        <v>0</v>
      </c>
      <c r="M319">
        <f>Data!G332</f>
        <v>0</v>
      </c>
      <c r="N319">
        <f>Data!H332</f>
        <v>0</v>
      </c>
      <c r="O319">
        <f>Data!I332</f>
        <v>0</v>
      </c>
      <c r="P319" s="21">
        <f>Data!J332</f>
        <v>0</v>
      </c>
      <c r="Q319">
        <f>Data!K332</f>
        <v>0</v>
      </c>
      <c r="R319">
        <f>Data!L332</f>
        <v>0</v>
      </c>
      <c r="S319">
        <f>Data!M332</f>
        <v>0</v>
      </c>
      <c r="T319">
        <f>Data!N332</f>
        <v>0</v>
      </c>
      <c r="U319">
        <f>Data!O332</f>
        <v>0</v>
      </c>
      <c r="V319" s="33">
        <f>Data!P332</f>
        <v>0</v>
      </c>
    </row>
    <row r="320" spans="7:22" x14ac:dyDescent="0.25">
      <c r="G320">
        <f>Data!A333</f>
        <v>0</v>
      </c>
      <c r="H320" s="21">
        <f>Data!B333</f>
        <v>0</v>
      </c>
      <c r="I320" s="21">
        <f>Data!C333</f>
        <v>0</v>
      </c>
      <c r="J320">
        <f>Data!D333</f>
        <v>0</v>
      </c>
      <c r="K320">
        <f>Data!E333</f>
        <v>0</v>
      </c>
      <c r="L320">
        <f>Data!F333</f>
        <v>0</v>
      </c>
      <c r="M320">
        <f>Data!G333</f>
        <v>0</v>
      </c>
      <c r="N320">
        <f>Data!H333</f>
        <v>0</v>
      </c>
      <c r="O320">
        <f>Data!I333</f>
        <v>0</v>
      </c>
      <c r="P320" s="21">
        <f>Data!J333</f>
        <v>0</v>
      </c>
      <c r="Q320">
        <f>Data!K333</f>
        <v>0</v>
      </c>
      <c r="R320">
        <f>Data!L333</f>
        <v>0</v>
      </c>
      <c r="S320">
        <f>Data!M333</f>
        <v>0</v>
      </c>
      <c r="T320">
        <f>Data!N333</f>
        <v>0</v>
      </c>
      <c r="U320">
        <f>Data!O333</f>
        <v>0</v>
      </c>
      <c r="V320" s="33">
        <f>Data!P333</f>
        <v>0</v>
      </c>
    </row>
    <row r="321" spans="7:22" x14ac:dyDescent="0.25">
      <c r="G321">
        <f>Data!A334</f>
        <v>0</v>
      </c>
      <c r="H321" s="21">
        <f>Data!B334</f>
        <v>0</v>
      </c>
      <c r="I321" s="21">
        <f>Data!C334</f>
        <v>0</v>
      </c>
      <c r="J321">
        <f>Data!D334</f>
        <v>0</v>
      </c>
      <c r="K321">
        <f>Data!E334</f>
        <v>0</v>
      </c>
      <c r="L321">
        <f>Data!F334</f>
        <v>0</v>
      </c>
      <c r="M321">
        <f>Data!G334</f>
        <v>0</v>
      </c>
      <c r="N321">
        <f>Data!H334</f>
        <v>0</v>
      </c>
      <c r="O321">
        <f>Data!I334</f>
        <v>0</v>
      </c>
      <c r="P321" s="21">
        <f>Data!J334</f>
        <v>0</v>
      </c>
      <c r="Q321">
        <f>Data!K334</f>
        <v>0</v>
      </c>
      <c r="R321">
        <f>Data!L334</f>
        <v>0</v>
      </c>
      <c r="S321">
        <f>Data!M334</f>
        <v>0</v>
      </c>
      <c r="T321">
        <f>Data!N334</f>
        <v>0</v>
      </c>
      <c r="U321">
        <f>Data!O334</f>
        <v>0</v>
      </c>
      <c r="V321" s="33">
        <f>Data!P334</f>
        <v>0</v>
      </c>
    </row>
    <row r="322" spans="7:22" x14ac:dyDescent="0.25">
      <c r="G322">
        <f>Data!A335</f>
        <v>0</v>
      </c>
      <c r="H322" s="21">
        <f>Data!B335</f>
        <v>0</v>
      </c>
      <c r="I322" s="21">
        <f>Data!C335</f>
        <v>0</v>
      </c>
      <c r="J322">
        <f>Data!D335</f>
        <v>0</v>
      </c>
      <c r="K322">
        <f>Data!E335</f>
        <v>0</v>
      </c>
      <c r="L322">
        <f>Data!F335</f>
        <v>0</v>
      </c>
      <c r="M322">
        <f>Data!G335</f>
        <v>0</v>
      </c>
      <c r="N322">
        <f>Data!H335</f>
        <v>0</v>
      </c>
      <c r="O322">
        <f>Data!I335</f>
        <v>0</v>
      </c>
      <c r="P322" s="21">
        <f>Data!J335</f>
        <v>0</v>
      </c>
      <c r="Q322">
        <f>Data!K335</f>
        <v>0</v>
      </c>
      <c r="R322">
        <f>Data!L335</f>
        <v>0</v>
      </c>
      <c r="S322">
        <f>Data!M335</f>
        <v>0</v>
      </c>
      <c r="T322">
        <f>Data!N335</f>
        <v>0</v>
      </c>
      <c r="U322">
        <f>Data!O335</f>
        <v>0</v>
      </c>
      <c r="V322" s="33">
        <f>Data!P335</f>
        <v>0</v>
      </c>
    </row>
    <row r="323" spans="7:22" x14ac:dyDescent="0.25">
      <c r="G323">
        <f>Data!A336</f>
        <v>0</v>
      </c>
      <c r="H323" s="21">
        <f>Data!B336</f>
        <v>0</v>
      </c>
      <c r="I323" s="21">
        <f>Data!C336</f>
        <v>0</v>
      </c>
      <c r="J323">
        <f>Data!D336</f>
        <v>0</v>
      </c>
      <c r="K323">
        <f>Data!E336</f>
        <v>0</v>
      </c>
      <c r="L323">
        <f>Data!F336</f>
        <v>0</v>
      </c>
      <c r="M323">
        <f>Data!G336</f>
        <v>0</v>
      </c>
      <c r="N323">
        <f>Data!H336</f>
        <v>0</v>
      </c>
      <c r="O323">
        <f>Data!I336</f>
        <v>0</v>
      </c>
      <c r="P323" s="21">
        <f>Data!J336</f>
        <v>0</v>
      </c>
      <c r="Q323">
        <f>Data!K336</f>
        <v>0</v>
      </c>
      <c r="R323">
        <f>Data!L336</f>
        <v>0</v>
      </c>
      <c r="S323">
        <f>Data!M336</f>
        <v>0</v>
      </c>
      <c r="T323">
        <f>Data!N336</f>
        <v>0</v>
      </c>
      <c r="U323">
        <f>Data!O336</f>
        <v>0</v>
      </c>
      <c r="V323" s="33">
        <f>Data!P336</f>
        <v>0</v>
      </c>
    </row>
    <row r="324" spans="7:22" x14ac:dyDescent="0.25">
      <c r="G324">
        <f>Data!A337</f>
        <v>0</v>
      </c>
      <c r="H324" s="21">
        <f>Data!B337</f>
        <v>0</v>
      </c>
      <c r="I324" s="21">
        <f>Data!C337</f>
        <v>0</v>
      </c>
      <c r="J324">
        <f>Data!D337</f>
        <v>0</v>
      </c>
      <c r="K324">
        <f>Data!E337</f>
        <v>0</v>
      </c>
      <c r="L324">
        <f>Data!F337</f>
        <v>0</v>
      </c>
      <c r="M324">
        <f>Data!G337</f>
        <v>0</v>
      </c>
      <c r="N324">
        <f>Data!H337</f>
        <v>0</v>
      </c>
      <c r="O324">
        <f>Data!I337</f>
        <v>0</v>
      </c>
      <c r="P324" s="21">
        <f>Data!J337</f>
        <v>0</v>
      </c>
      <c r="Q324">
        <f>Data!K337</f>
        <v>0</v>
      </c>
      <c r="R324">
        <f>Data!L337</f>
        <v>0</v>
      </c>
      <c r="S324">
        <f>Data!M337</f>
        <v>0</v>
      </c>
      <c r="T324">
        <f>Data!N337</f>
        <v>0</v>
      </c>
      <c r="U324">
        <f>Data!O337</f>
        <v>0</v>
      </c>
      <c r="V324" s="33">
        <f>Data!P337</f>
        <v>0</v>
      </c>
    </row>
    <row r="325" spans="7:22" x14ac:dyDescent="0.25">
      <c r="G325">
        <f>Data!A338</f>
        <v>0</v>
      </c>
      <c r="H325" s="21">
        <f>Data!B338</f>
        <v>0</v>
      </c>
      <c r="I325" s="21">
        <f>Data!C338</f>
        <v>0</v>
      </c>
      <c r="J325">
        <f>Data!D338</f>
        <v>0</v>
      </c>
      <c r="K325">
        <f>Data!E338</f>
        <v>0</v>
      </c>
      <c r="L325">
        <f>Data!F338</f>
        <v>0</v>
      </c>
      <c r="M325">
        <f>Data!G338</f>
        <v>0</v>
      </c>
      <c r="N325">
        <f>Data!H338</f>
        <v>0</v>
      </c>
      <c r="O325">
        <f>Data!I338</f>
        <v>0</v>
      </c>
      <c r="P325" s="21">
        <f>Data!J338</f>
        <v>0</v>
      </c>
      <c r="Q325">
        <f>Data!K338</f>
        <v>0</v>
      </c>
      <c r="R325">
        <f>Data!L338</f>
        <v>0</v>
      </c>
      <c r="S325">
        <f>Data!M338</f>
        <v>0</v>
      </c>
      <c r="T325">
        <f>Data!N338</f>
        <v>0</v>
      </c>
      <c r="U325">
        <f>Data!O338</f>
        <v>0</v>
      </c>
      <c r="V325" s="33">
        <f>Data!P338</f>
        <v>0</v>
      </c>
    </row>
    <row r="326" spans="7:22" x14ac:dyDescent="0.25">
      <c r="G326">
        <f>Data!A339</f>
        <v>0</v>
      </c>
      <c r="H326" s="21">
        <f>Data!B339</f>
        <v>0</v>
      </c>
      <c r="I326" s="21">
        <f>Data!C339</f>
        <v>0</v>
      </c>
      <c r="J326">
        <f>Data!D339</f>
        <v>0</v>
      </c>
      <c r="K326">
        <f>Data!E339</f>
        <v>0</v>
      </c>
      <c r="L326">
        <f>Data!F339</f>
        <v>0</v>
      </c>
      <c r="M326">
        <f>Data!G339</f>
        <v>0</v>
      </c>
      <c r="N326">
        <f>Data!H339</f>
        <v>0</v>
      </c>
      <c r="O326">
        <f>Data!I339</f>
        <v>0</v>
      </c>
      <c r="P326" s="21">
        <f>Data!J339</f>
        <v>0</v>
      </c>
      <c r="Q326">
        <f>Data!K339</f>
        <v>0</v>
      </c>
      <c r="R326">
        <f>Data!L339</f>
        <v>0</v>
      </c>
      <c r="S326">
        <f>Data!M339</f>
        <v>0</v>
      </c>
      <c r="T326">
        <f>Data!N339</f>
        <v>0</v>
      </c>
      <c r="U326">
        <f>Data!O339</f>
        <v>0</v>
      </c>
      <c r="V326" s="33">
        <f>Data!P339</f>
        <v>0</v>
      </c>
    </row>
    <row r="327" spans="7:22" x14ac:dyDescent="0.25">
      <c r="G327">
        <f>Data!A340</f>
        <v>0</v>
      </c>
      <c r="H327" s="21">
        <f>Data!B340</f>
        <v>0</v>
      </c>
      <c r="I327" s="21">
        <f>Data!C340</f>
        <v>0</v>
      </c>
      <c r="J327">
        <f>Data!D340</f>
        <v>0</v>
      </c>
      <c r="K327">
        <f>Data!E340</f>
        <v>0</v>
      </c>
      <c r="L327">
        <f>Data!F340</f>
        <v>0</v>
      </c>
      <c r="M327">
        <f>Data!G340</f>
        <v>0</v>
      </c>
      <c r="N327">
        <f>Data!H340</f>
        <v>0</v>
      </c>
      <c r="O327">
        <f>Data!I340</f>
        <v>0</v>
      </c>
      <c r="P327" s="21">
        <f>Data!J340</f>
        <v>0</v>
      </c>
      <c r="Q327">
        <f>Data!K340</f>
        <v>0</v>
      </c>
      <c r="R327">
        <f>Data!L340</f>
        <v>0</v>
      </c>
      <c r="S327">
        <f>Data!M340</f>
        <v>0</v>
      </c>
      <c r="T327">
        <f>Data!N340</f>
        <v>0</v>
      </c>
      <c r="U327">
        <f>Data!O340</f>
        <v>0</v>
      </c>
      <c r="V327" s="33">
        <f>Data!P340</f>
        <v>0</v>
      </c>
    </row>
    <row r="328" spans="7:22" x14ac:dyDescent="0.25">
      <c r="G328">
        <f>Data!A341</f>
        <v>0</v>
      </c>
      <c r="H328" s="21">
        <f>Data!B341</f>
        <v>0</v>
      </c>
      <c r="I328" s="21">
        <f>Data!C341</f>
        <v>0</v>
      </c>
      <c r="J328">
        <f>Data!D341</f>
        <v>0</v>
      </c>
      <c r="K328">
        <f>Data!E341</f>
        <v>0</v>
      </c>
      <c r="L328">
        <f>Data!F341</f>
        <v>0</v>
      </c>
      <c r="M328">
        <f>Data!G341</f>
        <v>0</v>
      </c>
      <c r="N328">
        <f>Data!H341</f>
        <v>0</v>
      </c>
      <c r="O328">
        <f>Data!I341</f>
        <v>0</v>
      </c>
      <c r="P328" s="21">
        <f>Data!J341</f>
        <v>0</v>
      </c>
      <c r="Q328">
        <f>Data!K341</f>
        <v>0</v>
      </c>
      <c r="R328">
        <f>Data!L341</f>
        <v>0</v>
      </c>
      <c r="S328">
        <f>Data!M341</f>
        <v>0</v>
      </c>
      <c r="T328">
        <f>Data!N341</f>
        <v>0</v>
      </c>
      <c r="U328">
        <f>Data!O341</f>
        <v>0</v>
      </c>
      <c r="V328" s="33">
        <f>Data!P341</f>
        <v>0</v>
      </c>
    </row>
    <row r="329" spans="7:22" x14ac:dyDescent="0.25">
      <c r="G329">
        <f>Data!A342</f>
        <v>0</v>
      </c>
      <c r="H329" s="21">
        <f>Data!B342</f>
        <v>0</v>
      </c>
      <c r="I329" s="21">
        <f>Data!C342</f>
        <v>0</v>
      </c>
      <c r="J329">
        <f>Data!D342</f>
        <v>0</v>
      </c>
      <c r="K329">
        <f>Data!E342</f>
        <v>0</v>
      </c>
      <c r="L329">
        <f>Data!F342</f>
        <v>0</v>
      </c>
      <c r="M329">
        <f>Data!G342</f>
        <v>0</v>
      </c>
      <c r="N329">
        <f>Data!H342</f>
        <v>0</v>
      </c>
      <c r="O329">
        <f>Data!I342</f>
        <v>0</v>
      </c>
      <c r="P329" s="21">
        <f>Data!J342</f>
        <v>0</v>
      </c>
      <c r="Q329">
        <f>Data!K342</f>
        <v>0</v>
      </c>
      <c r="R329">
        <f>Data!L342</f>
        <v>0</v>
      </c>
      <c r="S329">
        <f>Data!M342</f>
        <v>0</v>
      </c>
      <c r="T329">
        <f>Data!N342</f>
        <v>0</v>
      </c>
      <c r="U329">
        <f>Data!O342</f>
        <v>0</v>
      </c>
      <c r="V329" s="33">
        <f>Data!P342</f>
        <v>0</v>
      </c>
    </row>
    <row r="330" spans="7:22" x14ac:dyDescent="0.25">
      <c r="G330">
        <f>Data!A343</f>
        <v>0</v>
      </c>
      <c r="H330" s="21">
        <f>Data!B343</f>
        <v>0</v>
      </c>
      <c r="I330" s="21">
        <f>Data!C343</f>
        <v>0</v>
      </c>
      <c r="J330">
        <f>Data!D343</f>
        <v>0</v>
      </c>
      <c r="K330">
        <f>Data!E343</f>
        <v>0</v>
      </c>
      <c r="L330">
        <f>Data!F343</f>
        <v>0</v>
      </c>
      <c r="M330">
        <f>Data!G343</f>
        <v>0</v>
      </c>
      <c r="N330">
        <f>Data!H343</f>
        <v>0</v>
      </c>
      <c r="O330">
        <f>Data!I343</f>
        <v>0</v>
      </c>
      <c r="P330" s="21">
        <f>Data!J343</f>
        <v>0</v>
      </c>
      <c r="Q330">
        <f>Data!K343</f>
        <v>0</v>
      </c>
      <c r="R330">
        <f>Data!L343</f>
        <v>0</v>
      </c>
      <c r="S330">
        <f>Data!M343</f>
        <v>0</v>
      </c>
      <c r="T330">
        <f>Data!N343</f>
        <v>0</v>
      </c>
      <c r="U330">
        <f>Data!O343</f>
        <v>0</v>
      </c>
      <c r="V330" s="33">
        <f>Data!P343</f>
        <v>0</v>
      </c>
    </row>
    <row r="331" spans="7:22" x14ac:dyDescent="0.25">
      <c r="G331">
        <f>Data!A344</f>
        <v>0</v>
      </c>
      <c r="H331" s="21">
        <f>Data!B344</f>
        <v>0</v>
      </c>
      <c r="I331" s="21">
        <f>Data!C344</f>
        <v>0</v>
      </c>
      <c r="J331">
        <f>Data!D344</f>
        <v>0</v>
      </c>
      <c r="K331">
        <f>Data!E344</f>
        <v>0</v>
      </c>
      <c r="L331">
        <f>Data!F344</f>
        <v>0</v>
      </c>
      <c r="M331">
        <f>Data!G344</f>
        <v>0</v>
      </c>
      <c r="N331">
        <f>Data!H344</f>
        <v>0</v>
      </c>
      <c r="O331">
        <f>Data!I344</f>
        <v>0</v>
      </c>
      <c r="P331" s="21">
        <f>Data!J344</f>
        <v>0</v>
      </c>
      <c r="Q331">
        <f>Data!K344</f>
        <v>0</v>
      </c>
      <c r="R331">
        <f>Data!L344</f>
        <v>0</v>
      </c>
      <c r="S331">
        <f>Data!M344</f>
        <v>0</v>
      </c>
      <c r="T331">
        <f>Data!N344</f>
        <v>0</v>
      </c>
      <c r="U331">
        <f>Data!O344</f>
        <v>0</v>
      </c>
      <c r="V331" s="33">
        <f>Data!P344</f>
        <v>0</v>
      </c>
    </row>
    <row r="332" spans="7:22" x14ac:dyDescent="0.25">
      <c r="G332">
        <f>Data!A345</f>
        <v>0</v>
      </c>
      <c r="H332" s="21">
        <f>Data!B345</f>
        <v>0</v>
      </c>
      <c r="I332" s="21">
        <f>Data!C345</f>
        <v>0</v>
      </c>
      <c r="J332">
        <f>Data!D345</f>
        <v>0</v>
      </c>
      <c r="K332">
        <f>Data!E345</f>
        <v>0</v>
      </c>
      <c r="L332">
        <f>Data!F345</f>
        <v>0</v>
      </c>
      <c r="M332">
        <f>Data!G345</f>
        <v>0</v>
      </c>
      <c r="N332">
        <f>Data!H345</f>
        <v>0</v>
      </c>
      <c r="O332">
        <f>Data!I345</f>
        <v>0</v>
      </c>
      <c r="P332" s="21">
        <f>Data!J345</f>
        <v>0</v>
      </c>
      <c r="Q332">
        <f>Data!K345</f>
        <v>0</v>
      </c>
      <c r="R332">
        <f>Data!L345</f>
        <v>0</v>
      </c>
      <c r="S332">
        <f>Data!M345</f>
        <v>0</v>
      </c>
      <c r="T332">
        <f>Data!N345</f>
        <v>0</v>
      </c>
      <c r="U332">
        <f>Data!O345</f>
        <v>0</v>
      </c>
      <c r="V332" s="33">
        <f>Data!P345</f>
        <v>0</v>
      </c>
    </row>
    <row r="333" spans="7:22" x14ac:dyDescent="0.25">
      <c r="G333">
        <f>Data!A346</f>
        <v>0</v>
      </c>
      <c r="H333" s="21">
        <f>Data!B346</f>
        <v>0</v>
      </c>
      <c r="I333" s="21">
        <f>Data!C346</f>
        <v>0</v>
      </c>
      <c r="J333">
        <f>Data!D346</f>
        <v>0</v>
      </c>
      <c r="K333">
        <f>Data!E346</f>
        <v>0</v>
      </c>
      <c r="L333">
        <f>Data!F346</f>
        <v>0</v>
      </c>
      <c r="M333">
        <f>Data!G346</f>
        <v>0</v>
      </c>
      <c r="N333">
        <f>Data!H346</f>
        <v>0</v>
      </c>
      <c r="O333">
        <f>Data!I346</f>
        <v>0</v>
      </c>
      <c r="P333" s="21">
        <f>Data!J346</f>
        <v>0</v>
      </c>
      <c r="Q333">
        <f>Data!K346</f>
        <v>0</v>
      </c>
      <c r="R333">
        <f>Data!L346</f>
        <v>0</v>
      </c>
      <c r="S333">
        <f>Data!M346</f>
        <v>0</v>
      </c>
      <c r="T333">
        <f>Data!N346</f>
        <v>0</v>
      </c>
      <c r="U333">
        <f>Data!O346</f>
        <v>0</v>
      </c>
      <c r="V333" s="33">
        <f>Data!P346</f>
        <v>0</v>
      </c>
    </row>
    <row r="334" spans="7:22" x14ac:dyDescent="0.25">
      <c r="G334">
        <f>Data!A347</f>
        <v>0</v>
      </c>
      <c r="H334" s="21">
        <f>Data!B347</f>
        <v>0</v>
      </c>
      <c r="I334" s="21">
        <f>Data!C347</f>
        <v>0</v>
      </c>
      <c r="J334">
        <f>Data!D347</f>
        <v>0</v>
      </c>
      <c r="K334">
        <f>Data!E347</f>
        <v>0</v>
      </c>
      <c r="L334">
        <f>Data!F347</f>
        <v>0</v>
      </c>
      <c r="M334">
        <f>Data!G347</f>
        <v>0</v>
      </c>
      <c r="N334">
        <f>Data!H347</f>
        <v>0</v>
      </c>
      <c r="O334">
        <f>Data!I347</f>
        <v>0</v>
      </c>
      <c r="P334" s="21">
        <f>Data!J347</f>
        <v>0</v>
      </c>
      <c r="Q334">
        <f>Data!K347</f>
        <v>0</v>
      </c>
      <c r="R334">
        <f>Data!L347</f>
        <v>0</v>
      </c>
      <c r="S334">
        <f>Data!M347</f>
        <v>0</v>
      </c>
      <c r="T334">
        <f>Data!N347</f>
        <v>0</v>
      </c>
      <c r="U334">
        <f>Data!O347</f>
        <v>0</v>
      </c>
      <c r="V334" s="33">
        <f>Data!P347</f>
        <v>0</v>
      </c>
    </row>
    <row r="335" spans="7:22" x14ac:dyDescent="0.25">
      <c r="G335">
        <f>Data!A348</f>
        <v>0</v>
      </c>
      <c r="H335" s="21">
        <f>Data!B348</f>
        <v>0</v>
      </c>
      <c r="I335" s="21">
        <f>Data!C348</f>
        <v>0</v>
      </c>
      <c r="J335">
        <f>Data!D348</f>
        <v>0</v>
      </c>
      <c r="K335">
        <f>Data!E348</f>
        <v>0</v>
      </c>
      <c r="L335">
        <f>Data!F348</f>
        <v>0</v>
      </c>
      <c r="M335">
        <f>Data!G348</f>
        <v>0</v>
      </c>
      <c r="N335">
        <f>Data!H348</f>
        <v>0</v>
      </c>
      <c r="O335">
        <f>Data!I348</f>
        <v>0</v>
      </c>
      <c r="P335" s="21">
        <f>Data!J348</f>
        <v>0</v>
      </c>
      <c r="Q335">
        <f>Data!K348</f>
        <v>0</v>
      </c>
      <c r="R335">
        <f>Data!L348</f>
        <v>0</v>
      </c>
      <c r="S335">
        <f>Data!M348</f>
        <v>0</v>
      </c>
      <c r="T335">
        <f>Data!N348</f>
        <v>0</v>
      </c>
      <c r="U335">
        <f>Data!O348</f>
        <v>0</v>
      </c>
      <c r="V335" s="33">
        <f>Data!P348</f>
        <v>0</v>
      </c>
    </row>
    <row r="336" spans="7:22" x14ac:dyDescent="0.25">
      <c r="G336">
        <f>Data!A349</f>
        <v>0</v>
      </c>
      <c r="H336" s="21">
        <f>Data!B349</f>
        <v>0</v>
      </c>
      <c r="I336" s="21">
        <f>Data!C349</f>
        <v>0</v>
      </c>
      <c r="J336">
        <f>Data!D349</f>
        <v>0</v>
      </c>
      <c r="K336">
        <f>Data!E349</f>
        <v>0</v>
      </c>
      <c r="L336">
        <f>Data!F349</f>
        <v>0</v>
      </c>
      <c r="M336">
        <f>Data!G349</f>
        <v>0</v>
      </c>
      <c r="N336">
        <f>Data!H349</f>
        <v>0</v>
      </c>
      <c r="O336">
        <f>Data!I349</f>
        <v>0</v>
      </c>
      <c r="P336" s="21">
        <f>Data!J349</f>
        <v>0</v>
      </c>
      <c r="Q336">
        <f>Data!K349</f>
        <v>0</v>
      </c>
      <c r="R336">
        <f>Data!L349</f>
        <v>0</v>
      </c>
      <c r="S336">
        <f>Data!M349</f>
        <v>0</v>
      </c>
      <c r="T336">
        <f>Data!N349</f>
        <v>0</v>
      </c>
      <c r="U336">
        <f>Data!O349</f>
        <v>0</v>
      </c>
      <c r="V336" s="33">
        <f>Data!P349</f>
        <v>0</v>
      </c>
    </row>
    <row r="337" spans="7:22" x14ac:dyDescent="0.25">
      <c r="G337">
        <f>Data!A350</f>
        <v>0</v>
      </c>
      <c r="H337" s="21">
        <f>Data!B350</f>
        <v>0</v>
      </c>
      <c r="I337" s="21">
        <f>Data!C350</f>
        <v>0</v>
      </c>
      <c r="J337">
        <f>Data!D350</f>
        <v>0</v>
      </c>
      <c r="K337">
        <f>Data!E350</f>
        <v>0</v>
      </c>
      <c r="L337">
        <f>Data!F350</f>
        <v>0</v>
      </c>
      <c r="M337">
        <f>Data!G350</f>
        <v>0</v>
      </c>
      <c r="N337">
        <f>Data!H350</f>
        <v>0</v>
      </c>
      <c r="O337">
        <f>Data!I350</f>
        <v>0</v>
      </c>
      <c r="P337" s="21">
        <f>Data!J350</f>
        <v>0</v>
      </c>
      <c r="Q337">
        <f>Data!K350</f>
        <v>0</v>
      </c>
      <c r="R337">
        <f>Data!L350</f>
        <v>0</v>
      </c>
      <c r="S337">
        <f>Data!M350</f>
        <v>0</v>
      </c>
      <c r="T337">
        <f>Data!N350</f>
        <v>0</v>
      </c>
      <c r="U337">
        <f>Data!O350</f>
        <v>0</v>
      </c>
      <c r="V337" s="33">
        <f>Data!P350</f>
        <v>0</v>
      </c>
    </row>
    <row r="338" spans="7:22" x14ac:dyDescent="0.25">
      <c r="G338">
        <f>Data!A351</f>
        <v>0</v>
      </c>
      <c r="H338" s="21">
        <f>Data!B351</f>
        <v>0</v>
      </c>
      <c r="I338" s="21">
        <f>Data!C351</f>
        <v>0</v>
      </c>
      <c r="J338">
        <f>Data!D351</f>
        <v>0</v>
      </c>
      <c r="K338">
        <f>Data!E351</f>
        <v>0</v>
      </c>
      <c r="L338">
        <f>Data!F351</f>
        <v>0</v>
      </c>
      <c r="M338">
        <f>Data!G351</f>
        <v>0</v>
      </c>
      <c r="N338">
        <f>Data!H351</f>
        <v>0</v>
      </c>
      <c r="O338">
        <f>Data!I351</f>
        <v>0</v>
      </c>
      <c r="P338" s="21">
        <f>Data!J351</f>
        <v>0</v>
      </c>
      <c r="Q338">
        <f>Data!K351</f>
        <v>0</v>
      </c>
      <c r="R338">
        <f>Data!L351</f>
        <v>0</v>
      </c>
      <c r="S338">
        <f>Data!M351</f>
        <v>0</v>
      </c>
      <c r="T338">
        <f>Data!N351</f>
        <v>0</v>
      </c>
      <c r="U338">
        <f>Data!O351</f>
        <v>0</v>
      </c>
      <c r="V338" s="33">
        <f>Data!P351</f>
        <v>0</v>
      </c>
    </row>
    <row r="339" spans="7:22" x14ac:dyDescent="0.25">
      <c r="G339">
        <f>Data!A352</f>
        <v>0</v>
      </c>
      <c r="H339" s="21">
        <f>Data!B352</f>
        <v>0</v>
      </c>
      <c r="I339" s="21">
        <f>Data!C352</f>
        <v>0</v>
      </c>
      <c r="J339">
        <f>Data!D352</f>
        <v>0</v>
      </c>
      <c r="K339">
        <f>Data!E352</f>
        <v>0</v>
      </c>
      <c r="L339">
        <f>Data!F352</f>
        <v>0</v>
      </c>
      <c r="M339">
        <f>Data!G352</f>
        <v>0</v>
      </c>
      <c r="N339">
        <f>Data!H352</f>
        <v>0</v>
      </c>
      <c r="O339">
        <f>Data!I352</f>
        <v>0</v>
      </c>
      <c r="P339" s="21">
        <f>Data!J352</f>
        <v>0</v>
      </c>
      <c r="Q339">
        <f>Data!K352</f>
        <v>0</v>
      </c>
      <c r="R339">
        <f>Data!L352</f>
        <v>0</v>
      </c>
      <c r="S339">
        <f>Data!M352</f>
        <v>0</v>
      </c>
      <c r="T339">
        <f>Data!N352</f>
        <v>0</v>
      </c>
      <c r="U339">
        <f>Data!O352</f>
        <v>0</v>
      </c>
      <c r="V339" s="33">
        <f>Data!P352</f>
        <v>0</v>
      </c>
    </row>
    <row r="340" spans="7:22" x14ac:dyDescent="0.25">
      <c r="G340">
        <f>Data!A353</f>
        <v>0</v>
      </c>
      <c r="H340" s="21">
        <f>Data!B353</f>
        <v>0</v>
      </c>
      <c r="I340" s="21">
        <f>Data!C353</f>
        <v>0</v>
      </c>
      <c r="J340">
        <f>Data!D353</f>
        <v>0</v>
      </c>
      <c r="K340">
        <f>Data!E353</f>
        <v>0</v>
      </c>
      <c r="L340">
        <f>Data!F353</f>
        <v>0</v>
      </c>
      <c r="M340">
        <f>Data!G353</f>
        <v>0</v>
      </c>
      <c r="N340">
        <f>Data!H353</f>
        <v>0</v>
      </c>
      <c r="O340">
        <f>Data!I353</f>
        <v>0</v>
      </c>
      <c r="P340" s="21">
        <f>Data!J353</f>
        <v>0</v>
      </c>
      <c r="Q340">
        <f>Data!K353</f>
        <v>0</v>
      </c>
      <c r="R340">
        <f>Data!L353</f>
        <v>0</v>
      </c>
      <c r="S340">
        <f>Data!M353</f>
        <v>0</v>
      </c>
      <c r="T340">
        <f>Data!N353</f>
        <v>0</v>
      </c>
      <c r="U340">
        <f>Data!O353</f>
        <v>0</v>
      </c>
      <c r="V340" s="33">
        <f>Data!P353</f>
        <v>0</v>
      </c>
    </row>
    <row r="341" spans="7:22" x14ac:dyDescent="0.25">
      <c r="G341">
        <f>Data!A354</f>
        <v>0</v>
      </c>
      <c r="H341" s="21">
        <f>Data!B354</f>
        <v>0</v>
      </c>
      <c r="I341" s="21">
        <f>Data!C354</f>
        <v>0</v>
      </c>
      <c r="J341">
        <f>Data!D354</f>
        <v>0</v>
      </c>
      <c r="K341">
        <f>Data!E354</f>
        <v>0</v>
      </c>
      <c r="L341">
        <f>Data!F354</f>
        <v>0</v>
      </c>
      <c r="M341">
        <f>Data!G354</f>
        <v>0</v>
      </c>
      <c r="N341">
        <f>Data!H354</f>
        <v>0</v>
      </c>
      <c r="O341">
        <f>Data!I354</f>
        <v>0</v>
      </c>
      <c r="P341" s="21">
        <f>Data!J354</f>
        <v>0</v>
      </c>
      <c r="Q341">
        <f>Data!K354</f>
        <v>0</v>
      </c>
      <c r="R341">
        <f>Data!L354</f>
        <v>0</v>
      </c>
      <c r="S341">
        <f>Data!M354</f>
        <v>0</v>
      </c>
      <c r="T341">
        <f>Data!N354</f>
        <v>0</v>
      </c>
      <c r="U341">
        <f>Data!O354</f>
        <v>0</v>
      </c>
      <c r="V341" s="33">
        <f>Data!P354</f>
        <v>0</v>
      </c>
    </row>
    <row r="342" spans="7:22" x14ac:dyDescent="0.25">
      <c r="G342">
        <f>Data!A355</f>
        <v>0</v>
      </c>
      <c r="H342" s="21">
        <f>Data!B355</f>
        <v>0</v>
      </c>
      <c r="I342" s="21">
        <f>Data!C355</f>
        <v>0</v>
      </c>
      <c r="J342">
        <f>Data!D355</f>
        <v>0</v>
      </c>
      <c r="K342">
        <f>Data!E355</f>
        <v>0</v>
      </c>
      <c r="L342">
        <f>Data!F355</f>
        <v>0</v>
      </c>
      <c r="M342">
        <f>Data!G355</f>
        <v>0</v>
      </c>
      <c r="N342">
        <f>Data!H355</f>
        <v>0</v>
      </c>
      <c r="O342">
        <f>Data!I355</f>
        <v>0</v>
      </c>
      <c r="P342" s="21">
        <f>Data!J355</f>
        <v>0</v>
      </c>
      <c r="Q342">
        <f>Data!K355</f>
        <v>0</v>
      </c>
      <c r="R342">
        <f>Data!L355</f>
        <v>0</v>
      </c>
      <c r="S342">
        <f>Data!M355</f>
        <v>0</v>
      </c>
      <c r="T342">
        <f>Data!N355</f>
        <v>0</v>
      </c>
      <c r="U342">
        <f>Data!O355</f>
        <v>0</v>
      </c>
      <c r="V342" s="33">
        <f>Data!P355</f>
        <v>0</v>
      </c>
    </row>
    <row r="343" spans="7:22" x14ac:dyDescent="0.25">
      <c r="G343">
        <f>Data!A356</f>
        <v>0</v>
      </c>
      <c r="H343" s="21">
        <f>Data!B356</f>
        <v>0</v>
      </c>
      <c r="I343" s="21">
        <f>Data!C356</f>
        <v>0</v>
      </c>
      <c r="J343">
        <f>Data!D356</f>
        <v>0</v>
      </c>
      <c r="K343">
        <f>Data!E356</f>
        <v>0</v>
      </c>
      <c r="L343">
        <f>Data!F356</f>
        <v>0</v>
      </c>
      <c r="M343">
        <f>Data!G356</f>
        <v>0</v>
      </c>
      <c r="N343">
        <f>Data!H356</f>
        <v>0</v>
      </c>
      <c r="O343">
        <f>Data!I356</f>
        <v>0</v>
      </c>
      <c r="P343" s="21">
        <f>Data!J356</f>
        <v>0</v>
      </c>
      <c r="Q343">
        <f>Data!K356</f>
        <v>0</v>
      </c>
      <c r="R343">
        <f>Data!L356</f>
        <v>0</v>
      </c>
      <c r="S343">
        <f>Data!M356</f>
        <v>0</v>
      </c>
      <c r="T343">
        <f>Data!N356</f>
        <v>0</v>
      </c>
      <c r="U343">
        <f>Data!O356</f>
        <v>0</v>
      </c>
      <c r="V343" s="33">
        <f>Data!P356</f>
        <v>0</v>
      </c>
    </row>
    <row r="344" spans="7:22" x14ac:dyDescent="0.25">
      <c r="G344">
        <f>Data!A357</f>
        <v>0</v>
      </c>
      <c r="H344" s="21">
        <f>Data!B357</f>
        <v>0</v>
      </c>
      <c r="I344" s="21">
        <f>Data!C357</f>
        <v>0</v>
      </c>
      <c r="J344">
        <f>Data!D357</f>
        <v>0</v>
      </c>
      <c r="K344">
        <f>Data!E357</f>
        <v>0</v>
      </c>
      <c r="L344">
        <f>Data!F357</f>
        <v>0</v>
      </c>
      <c r="M344">
        <f>Data!G357</f>
        <v>0</v>
      </c>
      <c r="N344">
        <f>Data!H357</f>
        <v>0</v>
      </c>
      <c r="O344">
        <f>Data!I357</f>
        <v>0</v>
      </c>
      <c r="P344" s="21">
        <f>Data!J357</f>
        <v>0</v>
      </c>
      <c r="Q344">
        <f>Data!K357</f>
        <v>0</v>
      </c>
      <c r="R344">
        <f>Data!L357</f>
        <v>0</v>
      </c>
      <c r="S344">
        <f>Data!M357</f>
        <v>0</v>
      </c>
      <c r="T344">
        <f>Data!N357</f>
        <v>0</v>
      </c>
      <c r="U344">
        <f>Data!O357</f>
        <v>0</v>
      </c>
      <c r="V344" s="33">
        <f>Data!P357</f>
        <v>0</v>
      </c>
    </row>
    <row r="345" spans="7:22" x14ac:dyDescent="0.25">
      <c r="G345">
        <f>Data!A358</f>
        <v>0</v>
      </c>
      <c r="H345" s="21">
        <f>Data!B358</f>
        <v>0</v>
      </c>
      <c r="I345" s="21">
        <f>Data!C358</f>
        <v>0</v>
      </c>
      <c r="J345">
        <f>Data!D358</f>
        <v>0</v>
      </c>
      <c r="K345">
        <f>Data!E358</f>
        <v>0</v>
      </c>
      <c r="L345">
        <f>Data!F358</f>
        <v>0</v>
      </c>
      <c r="M345">
        <f>Data!G358</f>
        <v>0</v>
      </c>
      <c r="N345">
        <f>Data!H358</f>
        <v>0</v>
      </c>
      <c r="O345">
        <f>Data!I358</f>
        <v>0</v>
      </c>
      <c r="P345" s="21">
        <f>Data!J358</f>
        <v>0</v>
      </c>
      <c r="Q345">
        <f>Data!K358</f>
        <v>0</v>
      </c>
      <c r="R345">
        <f>Data!L358</f>
        <v>0</v>
      </c>
      <c r="S345">
        <f>Data!M358</f>
        <v>0</v>
      </c>
      <c r="T345">
        <f>Data!N358</f>
        <v>0</v>
      </c>
      <c r="U345">
        <f>Data!O358</f>
        <v>0</v>
      </c>
      <c r="V345" s="33">
        <f>Data!P358</f>
        <v>0</v>
      </c>
    </row>
    <row r="346" spans="7:22" x14ac:dyDescent="0.25">
      <c r="G346">
        <f>Data!A359</f>
        <v>0</v>
      </c>
      <c r="H346" s="21">
        <f>Data!B359</f>
        <v>0</v>
      </c>
      <c r="I346" s="21">
        <f>Data!C359</f>
        <v>0</v>
      </c>
      <c r="J346">
        <f>Data!D359</f>
        <v>0</v>
      </c>
      <c r="K346">
        <f>Data!E359</f>
        <v>0</v>
      </c>
      <c r="L346">
        <f>Data!F359</f>
        <v>0</v>
      </c>
      <c r="M346">
        <f>Data!G359</f>
        <v>0</v>
      </c>
      <c r="N346">
        <f>Data!H359</f>
        <v>0</v>
      </c>
      <c r="O346">
        <f>Data!I359</f>
        <v>0</v>
      </c>
      <c r="P346" s="21">
        <f>Data!J359</f>
        <v>0</v>
      </c>
      <c r="Q346">
        <f>Data!K359</f>
        <v>0</v>
      </c>
      <c r="R346">
        <f>Data!L359</f>
        <v>0</v>
      </c>
      <c r="S346">
        <f>Data!M359</f>
        <v>0</v>
      </c>
      <c r="T346">
        <f>Data!N359</f>
        <v>0</v>
      </c>
      <c r="U346">
        <f>Data!O359</f>
        <v>0</v>
      </c>
      <c r="V346" s="33">
        <f>Data!P359</f>
        <v>0</v>
      </c>
    </row>
    <row r="347" spans="7:22" x14ac:dyDescent="0.25">
      <c r="G347">
        <f>Data!A360</f>
        <v>0</v>
      </c>
      <c r="H347" s="21">
        <f>Data!B360</f>
        <v>0</v>
      </c>
      <c r="I347" s="21">
        <f>Data!C360</f>
        <v>0</v>
      </c>
      <c r="J347">
        <f>Data!D360</f>
        <v>0</v>
      </c>
      <c r="K347">
        <f>Data!E360</f>
        <v>0</v>
      </c>
      <c r="L347">
        <f>Data!F360</f>
        <v>0</v>
      </c>
      <c r="M347">
        <f>Data!G360</f>
        <v>0</v>
      </c>
      <c r="N347">
        <f>Data!H360</f>
        <v>0</v>
      </c>
      <c r="O347">
        <f>Data!I360</f>
        <v>0</v>
      </c>
      <c r="P347" s="21">
        <f>Data!J360</f>
        <v>0</v>
      </c>
      <c r="Q347">
        <f>Data!K360</f>
        <v>0</v>
      </c>
      <c r="R347">
        <f>Data!L360</f>
        <v>0</v>
      </c>
      <c r="S347">
        <f>Data!M360</f>
        <v>0</v>
      </c>
      <c r="T347">
        <f>Data!N360</f>
        <v>0</v>
      </c>
      <c r="U347">
        <f>Data!O360</f>
        <v>0</v>
      </c>
      <c r="V347" s="33">
        <f>Data!P360</f>
        <v>0</v>
      </c>
    </row>
    <row r="348" spans="7:22" x14ac:dyDescent="0.25">
      <c r="G348">
        <f>Data!A361</f>
        <v>0</v>
      </c>
      <c r="H348" s="21">
        <f>Data!B361</f>
        <v>0</v>
      </c>
      <c r="I348" s="21">
        <f>Data!C361</f>
        <v>0</v>
      </c>
      <c r="J348">
        <f>Data!D361</f>
        <v>0</v>
      </c>
      <c r="K348">
        <f>Data!E361</f>
        <v>0</v>
      </c>
      <c r="L348">
        <f>Data!F361</f>
        <v>0</v>
      </c>
      <c r="M348">
        <f>Data!G361</f>
        <v>0</v>
      </c>
      <c r="N348">
        <f>Data!H361</f>
        <v>0</v>
      </c>
      <c r="O348">
        <f>Data!I361</f>
        <v>0</v>
      </c>
      <c r="P348" s="21">
        <f>Data!J361</f>
        <v>0</v>
      </c>
      <c r="Q348">
        <f>Data!K361</f>
        <v>0</v>
      </c>
      <c r="R348">
        <f>Data!L361</f>
        <v>0</v>
      </c>
      <c r="S348">
        <f>Data!M361</f>
        <v>0</v>
      </c>
      <c r="T348">
        <f>Data!N361</f>
        <v>0</v>
      </c>
      <c r="U348">
        <f>Data!O361</f>
        <v>0</v>
      </c>
      <c r="V348" s="33">
        <f>Data!P361</f>
        <v>0</v>
      </c>
    </row>
    <row r="349" spans="7:22" x14ac:dyDescent="0.25">
      <c r="G349">
        <f>Data!A362</f>
        <v>0</v>
      </c>
      <c r="H349" s="21">
        <f>Data!B362</f>
        <v>0</v>
      </c>
      <c r="I349" s="21">
        <f>Data!C362</f>
        <v>0</v>
      </c>
      <c r="J349">
        <f>Data!D362</f>
        <v>0</v>
      </c>
      <c r="K349">
        <f>Data!E362</f>
        <v>0</v>
      </c>
      <c r="L349">
        <f>Data!F362</f>
        <v>0</v>
      </c>
      <c r="M349">
        <f>Data!G362</f>
        <v>0</v>
      </c>
      <c r="N349">
        <f>Data!H362</f>
        <v>0</v>
      </c>
      <c r="O349">
        <f>Data!I362</f>
        <v>0</v>
      </c>
      <c r="P349" s="21">
        <f>Data!J362</f>
        <v>0</v>
      </c>
      <c r="Q349">
        <f>Data!K362</f>
        <v>0</v>
      </c>
      <c r="R349">
        <f>Data!L362</f>
        <v>0</v>
      </c>
      <c r="S349">
        <f>Data!M362</f>
        <v>0</v>
      </c>
      <c r="T349">
        <f>Data!N362</f>
        <v>0</v>
      </c>
      <c r="U349">
        <f>Data!O362</f>
        <v>0</v>
      </c>
      <c r="V349" s="33">
        <f>Data!P362</f>
        <v>0</v>
      </c>
    </row>
    <row r="350" spans="7:22" x14ac:dyDescent="0.25">
      <c r="G350">
        <f>Data!A363</f>
        <v>0</v>
      </c>
      <c r="H350" s="21">
        <f>Data!B363</f>
        <v>0</v>
      </c>
      <c r="I350" s="21">
        <f>Data!C363</f>
        <v>0</v>
      </c>
      <c r="J350">
        <f>Data!D363</f>
        <v>0</v>
      </c>
      <c r="K350">
        <f>Data!E363</f>
        <v>0</v>
      </c>
      <c r="L350">
        <f>Data!F363</f>
        <v>0</v>
      </c>
      <c r="M350">
        <f>Data!G363</f>
        <v>0</v>
      </c>
      <c r="N350">
        <f>Data!H363</f>
        <v>0</v>
      </c>
      <c r="O350">
        <f>Data!I363</f>
        <v>0</v>
      </c>
      <c r="P350" s="21">
        <f>Data!J363</f>
        <v>0</v>
      </c>
      <c r="Q350">
        <f>Data!K363</f>
        <v>0</v>
      </c>
      <c r="R350">
        <f>Data!L363</f>
        <v>0</v>
      </c>
      <c r="S350">
        <f>Data!M363</f>
        <v>0</v>
      </c>
      <c r="T350">
        <f>Data!N363</f>
        <v>0</v>
      </c>
      <c r="U350">
        <f>Data!O363</f>
        <v>0</v>
      </c>
      <c r="V350" s="33">
        <f>Data!P363</f>
        <v>0</v>
      </c>
    </row>
    <row r="351" spans="7:22" x14ac:dyDescent="0.25">
      <c r="G351">
        <f>Data!A364</f>
        <v>0</v>
      </c>
      <c r="H351" s="21">
        <f>Data!B364</f>
        <v>0</v>
      </c>
      <c r="I351" s="21">
        <f>Data!C364</f>
        <v>0</v>
      </c>
      <c r="J351">
        <f>Data!D364</f>
        <v>0</v>
      </c>
      <c r="K351">
        <f>Data!E364</f>
        <v>0</v>
      </c>
      <c r="L351">
        <f>Data!F364</f>
        <v>0</v>
      </c>
      <c r="M351">
        <f>Data!G364</f>
        <v>0</v>
      </c>
      <c r="N351">
        <f>Data!H364</f>
        <v>0</v>
      </c>
      <c r="O351">
        <f>Data!I364</f>
        <v>0</v>
      </c>
      <c r="P351" s="21">
        <f>Data!J364</f>
        <v>0</v>
      </c>
      <c r="Q351">
        <f>Data!K364</f>
        <v>0</v>
      </c>
      <c r="R351">
        <f>Data!L364</f>
        <v>0</v>
      </c>
      <c r="S351">
        <f>Data!M364</f>
        <v>0</v>
      </c>
      <c r="T351">
        <f>Data!N364</f>
        <v>0</v>
      </c>
      <c r="U351">
        <f>Data!O364</f>
        <v>0</v>
      </c>
      <c r="V351" s="33">
        <f>Data!P364</f>
        <v>0</v>
      </c>
    </row>
    <row r="352" spans="7:22" x14ac:dyDescent="0.25">
      <c r="G352">
        <f>Data!A365</f>
        <v>0</v>
      </c>
      <c r="H352" s="21">
        <f>Data!B365</f>
        <v>0</v>
      </c>
      <c r="I352" s="21">
        <f>Data!C365</f>
        <v>0</v>
      </c>
      <c r="J352">
        <f>Data!D365</f>
        <v>0</v>
      </c>
      <c r="K352">
        <f>Data!E365</f>
        <v>0</v>
      </c>
      <c r="L352">
        <f>Data!F365</f>
        <v>0</v>
      </c>
      <c r="M352">
        <f>Data!G365</f>
        <v>0</v>
      </c>
      <c r="N352">
        <f>Data!H365</f>
        <v>0</v>
      </c>
      <c r="O352">
        <f>Data!I365</f>
        <v>0</v>
      </c>
      <c r="P352" s="21">
        <f>Data!J365</f>
        <v>0</v>
      </c>
      <c r="Q352">
        <f>Data!K365</f>
        <v>0</v>
      </c>
      <c r="R352">
        <f>Data!L365</f>
        <v>0</v>
      </c>
      <c r="S352">
        <f>Data!M365</f>
        <v>0</v>
      </c>
      <c r="T352">
        <f>Data!N365</f>
        <v>0</v>
      </c>
      <c r="U352">
        <f>Data!O365</f>
        <v>0</v>
      </c>
      <c r="V352" s="33">
        <f>Data!P365</f>
        <v>0</v>
      </c>
    </row>
    <row r="353" spans="7:22" x14ac:dyDescent="0.25">
      <c r="G353">
        <f>Data!A366</f>
        <v>0</v>
      </c>
      <c r="H353" s="21">
        <f>Data!B366</f>
        <v>0</v>
      </c>
      <c r="I353" s="21">
        <f>Data!C366</f>
        <v>0</v>
      </c>
      <c r="J353">
        <f>Data!D366</f>
        <v>0</v>
      </c>
      <c r="K353">
        <f>Data!E366</f>
        <v>0</v>
      </c>
      <c r="L353">
        <f>Data!F366</f>
        <v>0</v>
      </c>
      <c r="M353">
        <f>Data!G366</f>
        <v>0</v>
      </c>
      <c r="N353">
        <f>Data!H366</f>
        <v>0</v>
      </c>
      <c r="O353">
        <f>Data!I366</f>
        <v>0</v>
      </c>
      <c r="P353" s="21">
        <f>Data!J366</f>
        <v>0</v>
      </c>
      <c r="Q353">
        <f>Data!K366</f>
        <v>0</v>
      </c>
      <c r="R353">
        <f>Data!L366</f>
        <v>0</v>
      </c>
      <c r="S353">
        <f>Data!M366</f>
        <v>0</v>
      </c>
      <c r="T353">
        <f>Data!N366</f>
        <v>0</v>
      </c>
      <c r="U353">
        <f>Data!O366</f>
        <v>0</v>
      </c>
      <c r="V353" s="33">
        <f>Data!P366</f>
        <v>0</v>
      </c>
    </row>
    <row r="354" spans="7:22" x14ac:dyDescent="0.25">
      <c r="G354">
        <f>Data!A367</f>
        <v>0</v>
      </c>
      <c r="H354" s="21">
        <f>Data!B367</f>
        <v>0</v>
      </c>
      <c r="I354" s="21">
        <f>Data!C367</f>
        <v>0</v>
      </c>
      <c r="J354">
        <f>Data!D367</f>
        <v>0</v>
      </c>
      <c r="K354">
        <f>Data!E367</f>
        <v>0</v>
      </c>
      <c r="L354">
        <f>Data!F367</f>
        <v>0</v>
      </c>
      <c r="M354">
        <f>Data!G367</f>
        <v>0</v>
      </c>
      <c r="N354">
        <f>Data!H367</f>
        <v>0</v>
      </c>
      <c r="O354">
        <f>Data!I367</f>
        <v>0</v>
      </c>
      <c r="P354" s="21">
        <f>Data!J367</f>
        <v>0</v>
      </c>
      <c r="Q354">
        <f>Data!K367</f>
        <v>0</v>
      </c>
      <c r="R354">
        <f>Data!L367</f>
        <v>0</v>
      </c>
      <c r="S354">
        <f>Data!M367</f>
        <v>0</v>
      </c>
      <c r="T354">
        <f>Data!N367</f>
        <v>0</v>
      </c>
      <c r="U354">
        <f>Data!O367</f>
        <v>0</v>
      </c>
      <c r="V354" s="33">
        <f>Data!P367</f>
        <v>0</v>
      </c>
    </row>
    <row r="355" spans="7:22" x14ac:dyDescent="0.25">
      <c r="G355">
        <f>Data!A368</f>
        <v>0</v>
      </c>
      <c r="H355" s="21">
        <f>Data!B368</f>
        <v>0</v>
      </c>
      <c r="I355" s="21">
        <f>Data!C368</f>
        <v>0</v>
      </c>
      <c r="J355">
        <f>Data!D368</f>
        <v>0</v>
      </c>
      <c r="K355">
        <f>Data!E368</f>
        <v>0</v>
      </c>
      <c r="L355">
        <f>Data!F368</f>
        <v>0</v>
      </c>
      <c r="M355">
        <f>Data!G368</f>
        <v>0</v>
      </c>
      <c r="N355">
        <f>Data!H368</f>
        <v>0</v>
      </c>
      <c r="O355">
        <f>Data!I368</f>
        <v>0</v>
      </c>
      <c r="P355" s="21">
        <f>Data!J368</f>
        <v>0</v>
      </c>
      <c r="Q355">
        <f>Data!K368</f>
        <v>0</v>
      </c>
      <c r="R355">
        <f>Data!L368</f>
        <v>0</v>
      </c>
      <c r="S355">
        <f>Data!M368</f>
        <v>0</v>
      </c>
      <c r="T355">
        <f>Data!N368</f>
        <v>0</v>
      </c>
      <c r="U355">
        <f>Data!O368</f>
        <v>0</v>
      </c>
      <c r="V355" s="33">
        <f>Data!P368</f>
        <v>0</v>
      </c>
    </row>
    <row r="356" spans="7:22" x14ac:dyDescent="0.25">
      <c r="G356">
        <f>Data!A369</f>
        <v>0</v>
      </c>
      <c r="H356" s="21">
        <f>Data!B369</f>
        <v>0</v>
      </c>
      <c r="I356" s="21">
        <f>Data!C369</f>
        <v>0</v>
      </c>
      <c r="J356">
        <f>Data!D369</f>
        <v>0</v>
      </c>
      <c r="K356">
        <f>Data!E369</f>
        <v>0</v>
      </c>
      <c r="L356">
        <f>Data!F369</f>
        <v>0</v>
      </c>
      <c r="M356">
        <f>Data!G369</f>
        <v>0</v>
      </c>
      <c r="N356">
        <f>Data!H369</f>
        <v>0</v>
      </c>
      <c r="O356">
        <f>Data!I369</f>
        <v>0</v>
      </c>
      <c r="P356" s="21">
        <f>Data!J369</f>
        <v>0</v>
      </c>
      <c r="Q356">
        <f>Data!K369</f>
        <v>0</v>
      </c>
      <c r="R356">
        <f>Data!L369</f>
        <v>0</v>
      </c>
      <c r="S356">
        <f>Data!M369</f>
        <v>0</v>
      </c>
      <c r="T356">
        <f>Data!N369</f>
        <v>0</v>
      </c>
      <c r="U356">
        <f>Data!O369</f>
        <v>0</v>
      </c>
      <c r="V356" s="33">
        <f>Data!P369</f>
        <v>0</v>
      </c>
    </row>
    <row r="357" spans="7:22" x14ac:dyDescent="0.25">
      <c r="G357">
        <f>Data!A370</f>
        <v>0</v>
      </c>
      <c r="H357" s="21">
        <f>Data!B370</f>
        <v>0</v>
      </c>
      <c r="I357" s="21">
        <f>Data!C370</f>
        <v>0</v>
      </c>
      <c r="J357">
        <f>Data!D370</f>
        <v>0</v>
      </c>
      <c r="K357">
        <f>Data!E370</f>
        <v>0</v>
      </c>
      <c r="L357">
        <f>Data!F370</f>
        <v>0</v>
      </c>
      <c r="M357">
        <f>Data!G370</f>
        <v>0</v>
      </c>
      <c r="N357">
        <f>Data!H370</f>
        <v>0</v>
      </c>
      <c r="O357">
        <f>Data!I370</f>
        <v>0</v>
      </c>
      <c r="P357" s="21">
        <f>Data!J370</f>
        <v>0</v>
      </c>
      <c r="Q357">
        <f>Data!K370</f>
        <v>0</v>
      </c>
      <c r="R357">
        <f>Data!L370</f>
        <v>0</v>
      </c>
      <c r="S357">
        <f>Data!M370</f>
        <v>0</v>
      </c>
      <c r="T357">
        <f>Data!N370</f>
        <v>0</v>
      </c>
      <c r="U357">
        <f>Data!O370</f>
        <v>0</v>
      </c>
      <c r="V357" s="33">
        <f>Data!P370</f>
        <v>0</v>
      </c>
    </row>
    <row r="358" spans="7:22" x14ac:dyDescent="0.25">
      <c r="G358">
        <f>Data!A371</f>
        <v>0</v>
      </c>
      <c r="H358" s="21">
        <f>Data!B371</f>
        <v>0</v>
      </c>
      <c r="I358" s="21">
        <f>Data!C371</f>
        <v>0</v>
      </c>
      <c r="J358">
        <f>Data!D371</f>
        <v>0</v>
      </c>
      <c r="K358">
        <f>Data!E371</f>
        <v>0</v>
      </c>
      <c r="L358">
        <f>Data!F371</f>
        <v>0</v>
      </c>
      <c r="M358">
        <f>Data!G371</f>
        <v>0</v>
      </c>
      <c r="N358">
        <f>Data!H371</f>
        <v>0</v>
      </c>
      <c r="O358">
        <f>Data!I371</f>
        <v>0</v>
      </c>
      <c r="P358" s="21">
        <f>Data!J371</f>
        <v>0</v>
      </c>
      <c r="Q358">
        <f>Data!K371</f>
        <v>0</v>
      </c>
      <c r="R358">
        <f>Data!L371</f>
        <v>0</v>
      </c>
      <c r="S358">
        <f>Data!M371</f>
        <v>0</v>
      </c>
      <c r="T358">
        <f>Data!N371</f>
        <v>0</v>
      </c>
      <c r="U358">
        <f>Data!O371</f>
        <v>0</v>
      </c>
      <c r="V358" s="33">
        <f>Data!P371</f>
        <v>0</v>
      </c>
    </row>
    <row r="359" spans="7:22" x14ac:dyDescent="0.25">
      <c r="G359">
        <f>Data!A372</f>
        <v>0</v>
      </c>
      <c r="H359" s="21">
        <f>Data!B372</f>
        <v>0</v>
      </c>
      <c r="I359" s="21">
        <f>Data!C372</f>
        <v>0</v>
      </c>
      <c r="J359">
        <f>Data!D372</f>
        <v>0</v>
      </c>
      <c r="K359">
        <f>Data!E372</f>
        <v>0</v>
      </c>
      <c r="L359">
        <f>Data!F372</f>
        <v>0</v>
      </c>
      <c r="M359">
        <f>Data!G372</f>
        <v>0</v>
      </c>
      <c r="N359">
        <f>Data!H372</f>
        <v>0</v>
      </c>
      <c r="O359">
        <f>Data!I372</f>
        <v>0</v>
      </c>
      <c r="P359" s="21">
        <f>Data!J372</f>
        <v>0</v>
      </c>
      <c r="Q359">
        <f>Data!K372</f>
        <v>0</v>
      </c>
      <c r="R359">
        <f>Data!L372</f>
        <v>0</v>
      </c>
      <c r="S359">
        <f>Data!M372</f>
        <v>0</v>
      </c>
      <c r="T359">
        <f>Data!N372</f>
        <v>0</v>
      </c>
      <c r="U359">
        <f>Data!O372</f>
        <v>0</v>
      </c>
      <c r="V359" s="33">
        <f>Data!P372</f>
        <v>0</v>
      </c>
    </row>
    <row r="360" spans="7:22" x14ac:dyDescent="0.25">
      <c r="G360">
        <f>Data!A373</f>
        <v>0</v>
      </c>
      <c r="H360" s="21">
        <f>Data!B373</f>
        <v>0</v>
      </c>
      <c r="I360" s="21">
        <f>Data!C373</f>
        <v>0</v>
      </c>
      <c r="J360">
        <f>Data!D373</f>
        <v>0</v>
      </c>
      <c r="K360">
        <f>Data!E373</f>
        <v>0</v>
      </c>
      <c r="L360">
        <f>Data!F373</f>
        <v>0</v>
      </c>
      <c r="M360">
        <f>Data!G373</f>
        <v>0</v>
      </c>
      <c r="N360">
        <f>Data!H373</f>
        <v>0</v>
      </c>
      <c r="O360">
        <f>Data!I373</f>
        <v>0</v>
      </c>
      <c r="P360" s="21">
        <f>Data!J373</f>
        <v>0</v>
      </c>
      <c r="Q360">
        <f>Data!K373</f>
        <v>0</v>
      </c>
      <c r="R360">
        <f>Data!L373</f>
        <v>0</v>
      </c>
      <c r="S360">
        <f>Data!M373</f>
        <v>0</v>
      </c>
      <c r="T360">
        <f>Data!N373</f>
        <v>0</v>
      </c>
      <c r="U360">
        <f>Data!O373</f>
        <v>0</v>
      </c>
      <c r="V360" s="33">
        <f>Data!P373</f>
        <v>0</v>
      </c>
    </row>
    <row r="361" spans="7:22" x14ac:dyDescent="0.25">
      <c r="G361">
        <f>Data!A374</f>
        <v>0</v>
      </c>
      <c r="H361" s="21">
        <f>Data!B374</f>
        <v>0</v>
      </c>
      <c r="I361" s="21">
        <f>Data!C374</f>
        <v>0</v>
      </c>
      <c r="J361">
        <f>Data!D374</f>
        <v>0</v>
      </c>
      <c r="K361">
        <f>Data!E374</f>
        <v>0</v>
      </c>
      <c r="L361">
        <f>Data!F374</f>
        <v>0</v>
      </c>
      <c r="M361">
        <f>Data!G374</f>
        <v>0</v>
      </c>
      <c r="N361">
        <f>Data!H374</f>
        <v>0</v>
      </c>
      <c r="O361">
        <f>Data!I374</f>
        <v>0</v>
      </c>
      <c r="P361" s="21">
        <f>Data!J374</f>
        <v>0</v>
      </c>
      <c r="Q361">
        <f>Data!K374</f>
        <v>0</v>
      </c>
      <c r="R361">
        <f>Data!L374</f>
        <v>0</v>
      </c>
      <c r="S361">
        <f>Data!M374</f>
        <v>0</v>
      </c>
      <c r="T361">
        <f>Data!N374</f>
        <v>0</v>
      </c>
      <c r="U361">
        <f>Data!O374</f>
        <v>0</v>
      </c>
      <c r="V361" s="33">
        <f>Data!P374</f>
        <v>0</v>
      </c>
    </row>
    <row r="362" spans="7:22" x14ac:dyDescent="0.25">
      <c r="G362">
        <f>Data!A375</f>
        <v>0</v>
      </c>
      <c r="H362" s="21">
        <f>Data!B375</f>
        <v>0</v>
      </c>
      <c r="I362" s="21">
        <f>Data!C375</f>
        <v>0</v>
      </c>
      <c r="J362">
        <f>Data!D375</f>
        <v>0</v>
      </c>
      <c r="K362">
        <f>Data!E375</f>
        <v>0</v>
      </c>
      <c r="L362">
        <f>Data!F375</f>
        <v>0</v>
      </c>
      <c r="M362">
        <f>Data!G375</f>
        <v>0</v>
      </c>
      <c r="N362">
        <f>Data!H375</f>
        <v>0</v>
      </c>
      <c r="O362">
        <f>Data!I375</f>
        <v>0</v>
      </c>
      <c r="P362" s="21">
        <f>Data!J375</f>
        <v>0</v>
      </c>
      <c r="Q362">
        <f>Data!K375</f>
        <v>0</v>
      </c>
      <c r="R362">
        <f>Data!L375</f>
        <v>0</v>
      </c>
      <c r="S362">
        <f>Data!M375</f>
        <v>0</v>
      </c>
      <c r="T362">
        <f>Data!N375</f>
        <v>0</v>
      </c>
      <c r="U362">
        <f>Data!O375</f>
        <v>0</v>
      </c>
      <c r="V362" s="33">
        <f>Data!P375</f>
        <v>0</v>
      </c>
    </row>
    <row r="363" spans="7:22" x14ac:dyDescent="0.25">
      <c r="G363">
        <f>Data!A376</f>
        <v>0</v>
      </c>
      <c r="H363" s="21">
        <f>Data!B376</f>
        <v>0</v>
      </c>
      <c r="I363" s="21">
        <f>Data!C376</f>
        <v>0</v>
      </c>
      <c r="J363">
        <f>Data!D376</f>
        <v>0</v>
      </c>
      <c r="K363">
        <f>Data!E376</f>
        <v>0</v>
      </c>
      <c r="L363">
        <f>Data!F376</f>
        <v>0</v>
      </c>
      <c r="M363">
        <f>Data!G376</f>
        <v>0</v>
      </c>
      <c r="N363">
        <f>Data!H376</f>
        <v>0</v>
      </c>
      <c r="O363">
        <f>Data!I376</f>
        <v>0</v>
      </c>
      <c r="P363" s="21">
        <f>Data!J376</f>
        <v>0</v>
      </c>
      <c r="Q363">
        <f>Data!K376</f>
        <v>0</v>
      </c>
      <c r="R363">
        <f>Data!L376</f>
        <v>0</v>
      </c>
      <c r="S363">
        <f>Data!M376</f>
        <v>0</v>
      </c>
      <c r="T363">
        <f>Data!N376</f>
        <v>0</v>
      </c>
      <c r="U363">
        <f>Data!O376</f>
        <v>0</v>
      </c>
      <c r="V363" s="33">
        <f>Data!P376</f>
        <v>0</v>
      </c>
    </row>
    <row r="364" spans="7:22" x14ac:dyDescent="0.25">
      <c r="G364">
        <f>Data!A377</f>
        <v>0</v>
      </c>
      <c r="H364" s="21">
        <f>Data!B377</f>
        <v>0</v>
      </c>
      <c r="I364" s="21">
        <f>Data!C377</f>
        <v>0</v>
      </c>
      <c r="J364">
        <f>Data!D377</f>
        <v>0</v>
      </c>
      <c r="K364">
        <f>Data!E377</f>
        <v>0</v>
      </c>
      <c r="L364">
        <f>Data!F377</f>
        <v>0</v>
      </c>
      <c r="M364">
        <f>Data!G377</f>
        <v>0</v>
      </c>
      <c r="N364">
        <f>Data!H377</f>
        <v>0</v>
      </c>
      <c r="O364">
        <f>Data!I377</f>
        <v>0</v>
      </c>
      <c r="P364" s="21">
        <f>Data!J377</f>
        <v>0</v>
      </c>
      <c r="Q364">
        <f>Data!K377</f>
        <v>0</v>
      </c>
      <c r="R364">
        <f>Data!L377</f>
        <v>0</v>
      </c>
      <c r="S364">
        <f>Data!M377</f>
        <v>0</v>
      </c>
      <c r="T364">
        <f>Data!N377</f>
        <v>0</v>
      </c>
      <c r="U364">
        <f>Data!O377</f>
        <v>0</v>
      </c>
      <c r="V364" s="33">
        <f>Data!P377</f>
        <v>0</v>
      </c>
    </row>
    <row r="365" spans="7:22" x14ac:dyDescent="0.25">
      <c r="G365">
        <f>Data!A378</f>
        <v>0</v>
      </c>
      <c r="H365" s="21">
        <f>Data!B378</f>
        <v>0</v>
      </c>
      <c r="I365" s="21">
        <f>Data!C378</f>
        <v>0</v>
      </c>
      <c r="J365">
        <f>Data!D378</f>
        <v>0</v>
      </c>
      <c r="K365">
        <f>Data!E378</f>
        <v>0</v>
      </c>
      <c r="L365">
        <f>Data!F378</f>
        <v>0</v>
      </c>
      <c r="M365">
        <f>Data!G378</f>
        <v>0</v>
      </c>
      <c r="N365">
        <f>Data!H378</f>
        <v>0</v>
      </c>
      <c r="O365">
        <f>Data!I378</f>
        <v>0</v>
      </c>
      <c r="P365" s="21">
        <f>Data!J378</f>
        <v>0</v>
      </c>
      <c r="Q365">
        <f>Data!K378</f>
        <v>0</v>
      </c>
      <c r="R365">
        <f>Data!L378</f>
        <v>0</v>
      </c>
      <c r="S365">
        <f>Data!M378</f>
        <v>0</v>
      </c>
      <c r="T365">
        <f>Data!N378</f>
        <v>0</v>
      </c>
      <c r="U365">
        <f>Data!O378</f>
        <v>0</v>
      </c>
      <c r="V365" s="33">
        <f>Data!P378</f>
        <v>0</v>
      </c>
    </row>
    <row r="366" spans="7:22" x14ac:dyDescent="0.25">
      <c r="G366">
        <f>Data!A379</f>
        <v>0</v>
      </c>
      <c r="H366" s="21">
        <f>Data!B379</f>
        <v>0</v>
      </c>
      <c r="I366" s="21">
        <f>Data!C379</f>
        <v>0</v>
      </c>
      <c r="J366">
        <f>Data!D379</f>
        <v>0</v>
      </c>
      <c r="K366">
        <f>Data!E379</f>
        <v>0</v>
      </c>
      <c r="L366">
        <f>Data!F379</f>
        <v>0</v>
      </c>
      <c r="M366">
        <f>Data!G379</f>
        <v>0</v>
      </c>
      <c r="N366">
        <f>Data!H379</f>
        <v>0</v>
      </c>
      <c r="O366">
        <f>Data!I379</f>
        <v>0</v>
      </c>
      <c r="P366" s="21">
        <f>Data!J379</f>
        <v>0</v>
      </c>
      <c r="Q366">
        <f>Data!K379</f>
        <v>0</v>
      </c>
      <c r="R366">
        <f>Data!L379</f>
        <v>0</v>
      </c>
      <c r="S366">
        <f>Data!M379</f>
        <v>0</v>
      </c>
      <c r="T366">
        <f>Data!N379</f>
        <v>0</v>
      </c>
      <c r="U366">
        <f>Data!O379</f>
        <v>0</v>
      </c>
      <c r="V366" s="33">
        <f>Data!P379</f>
        <v>0</v>
      </c>
    </row>
    <row r="367" spans="7:22" x14ac:dyDescent="0.25">
      <c r="G367">
        <f>Data!A380</f>
        <v>0</v>
      </c>
      <c r="H367" s="21">
        <f>Data!B380</f>
        <v>0</v>
      </c>
      <c r="I367" s="21">
        <f>Data!C380</f>
        <v>0</v>
      </c>
      <c r="J367">
        <f>Data!D380</f>
        <v>0</v>
      </c>
      <c r="K367">
        <f>Data!E380</f>
        <v>0</v>
      </c>
      <c r="L367">
        <f>Data!F380</f>
        <v>0</v>
      </c>
      <c r="M367">
        <f>Data!G380</f>
        <v>0</v>
      </c>
      <c r="N367">
        <f>Data!H380</f>
        <v>0</v>
      </c>
      <c r="O367">
        <f>Data!I380</f>
        <v>0</v>
      </c>
      <c r="P367" s="21">
        <f>Data!J380</f>
        <v>0</v>
      </c>
      <c r="Q367">
        <f>Data!K380</f>
        <v>0</v>
      </c>
      <c r="R367">
        <f>Data!L380</f>
        <v>0</v>
      </c>
      <c r="S367">
        <f>Data!M380</f>
        <v>0</v>
      </c>
      <c r="T367">
        <f>Data!N380</f>
        <v>0</v>
      </c>
      <c r="U367">
        <f>Data!O380</f>
        <v>0</v>
      </c>
      <c r="V367" s="33">
        <f>Data!P380</f>
        <v>0</v>
      </c>
    </row>
    <row r="368" spans="7:22" x14ac:dyDescent="0.25">
      <c r="G368">
        <f>Data!A381</f>
        <v>0</v>
      </c>
      <c r="H368" s="21">
        <f>Data!B381</f>
        <v>0</v>
      </c>
      <c r="I368" s="21">
        <f>Data!C381</f>
        <v>0</v>
      </c>
      <c r="J368">
        <f>Data!D381</f>
        <v>0</v>
      </c>
      <c r="K368">
        <f>Data!E381</f>
        <v>0</v>
      </c>
      <c r="L368">
        <f>Data!F381</f>
        <v>0</v>
      </c>
      <c r="M368">
        <f>Data!G381</f>
        <v>0</v>
      </c>
      <c r="N368">
        <f>Data!H381</f>
        <v>0</v>
      </c>
      <c r="O368">
        <f>Data!I381</f>
        <v>0</v>
      </c>
      <c r="P368" s="21">
        <f>Data!J381</f>
        <v>0</v>
      </c>
      <c r="Q368">
        <f>Data!K381</f>
        <v>0</v>
      </c>
      <c r="R368">
        <f>Data!L381</f>
        <v>0</v>
      </c>
      <c r="S368">
        <f>Data!M381</f>
        <v>0</v>
      </c>
      <c r="T368">
        <f>Data!N381</f>
        <v>0</v>
      </c>
      <c r="U368">
        <f>Data!O381</f>
        <v>0</v>
      </c>
      <c r="V368" s="33">
        <f>Data!P381</f>
        <v>0</v>
      </c>
    </row>
    <row r="369" spans="7:22" x14ac:dyDescent="0.25">
      <c r="G369">
        <f>Data!A382</f>
        <v>0</v>
      </c>
      <c r="H369" s="21">
        <f>Data!B382</f>
        <v>0</v>
      </c>
      <c r="I369" s="21">
        <f>Data!C382</f>
        <v>0</v>
      </c>
      <c r="J369">
        <f>Data!D382</f>
        <v>0</v>
      </c>
      <c r="K369">
        <f>Data!E382</f>
        <v>0</v>
      </c>
      <c r="L369">
        <f>Data!F382</f>
        <v>0</v>
      </c>
      <c r="M369">
        <f>Data!G382</f>
        <v>0</v>
      </c>
      <c r="N369">
        <f>Data!H382</f>
        <v>0</v>
      </c>
      <c r="O369">
        <f>Data!I382</f>
        <v>0</v>
      </c>
      <c r="P369" s="21">
        <f>Data!J382</f>
        <v>0</v>
      </c>
      <c r="Q369">
        <f>Data!K382</f>
        <v>0</v>
      </c>
      <c r="R369">
        <f>Data!L382</f>
        <v>0</v>
      </c>
      <c r="S369">
        <f>Data!M382</f>
        <v>0</v>
      </c>
      <c r="T369">
        <f>Data!N382</f>
        <v>0</v>
      </c>
      <c r="U369">
        <f>Data!O382</f>
        <v>0</v>
      </c>
      <c r="V369" s="33">
        <f>Data!P382</f>
        <v>0</v>
      </c>
    </row>
    <row r="370" spans="7:22" x14ac:dyDescent="0.25">
      <c r="G370">
        <f>Data!A383</f>
        <v>0</v>
      </c>
      <c r="H370" s="21">
        <f>Data!B383</f>
        <v>0</v>
      </c>
      <c r="I370" s="21">
        <f>Data!C383</f>
        <v>0</v>
      </c>
      <c r="J370">
        <f>Data!D383</f>
        <v>0</v>
      </c>
      <c r="K370">
        <f>Data!E383</f>
        <v>0</v>
      </c>
      <c r="L370">
        <f>Data!F383</f>
        <v>0</v>
      </c>
      <c r="M370">
        <f>Data!G383</f>
        <v>0</v>
      </c>
      <c r="N370">
        <f>Data!H383</f>
        <v>0</v>
      </c>
      <c r="O370">
        <f>Data!I383</f>
        <v>0</v>
      </c>
      <c r="P370" s="21">
        <f>Data!J383</f>
        <v>0</v>
      </c>
      <c r="Q370">
        <f>Data!K383</f>
        <v>0</v>
      </c>
      <c r="R370">
        <f>Data!L383</f>
        <v>0</v>
      </c>
      <c r="S370">
        <f>Data!M383</f>
        <v>0</v>
      </c>
      <c r="T370">
        <f>Data!N383</f>
        <v>0</v>
      </c>
      <c r="U370">
        <f>Data!O383</f>
        <v>0</v>
      </c>
      <c r="V370" s="33">
        <f>Data!P383</f>
        <v>0</v>
      </c>
    </row>
    <row r="371" spans="7:22" x14ac:dyDescent="0.25">
      <c r="G371">
        <f>Data!A384</f>
        <v>0</v>
      </c>
      <c r="H371" s="21">
        <f>Data!B384</f>
        <v>0</v>
      </c>
      <c r="I371" s="21">
        <f>Data!C384</f>
        <v>0</v>
      </c>
      <c r="J371">
        <f>Data!D384</f>
        <v>0</v>
      </c>
      <c r="K371">
        <f>Data!E384</f>
        <v>0</v>
      </c>
      <c r="L371">
        <f>Data!F384</f>
        <v>0</v>
      </c>
      <c r="M371">
        <f>Data!G384</f>
        <v>0</v>
      </c>
      <c r="N371">
        <f>Data!H384</f>
        <v>0</v>
      </c>
      <c r="O371">
        <f>Data!I384</f>
        <v>0</v>
      </c>
      <c r="P371" s="21">
        <f>Data!J384</f>
        <v>0</v>
      </c>
      <c r="Q371">
        <f>Data!K384</f>
        <v>0</v>
      </c>
      <c r="R371">
        <f>Data!L384</f>
        <v>0</v>
      </c>
      <c r="S371">
        <f>Data!M384</f>
        <v>0</v>
      </c>
      <c r="T371">
        <f>Data!N384</f>
        <v>0</v>
      </c>
      <c r="U371">
        <f>Data!O384</f>
        <v>0</v>
      </c>
      <c r="V371" s="33">
        <f>Data!P384</f>
        <v>0</v>
      </c>
    </row>
    <row r="372" spans="7:22" x14ac:dyDescent="0.25">
      <c r="G372">
        <f>Data!A385</f>
        <v>0</v>
      </c>
      <c r="H372" s="21">
        <f>Data!B385</f>
        <v>0</v>
      </c>
      <c r="I372" s="21">
        <f>Data!C385</f>
        <v>0</v>
      </c>
      <c r="J372">
        <f>Data!D385</f>
        <v>0</v>
      </c>
      <c r="K372">
        <f>Data!E385</f>
        <v>0</v>
      </c>
      <c r="L372">
        <f>Data!F385</f>
        <v>0</v>
      </c>
      <c r="M372">
        <f>Data!G385</f>
        <v>0</v>
      </c>
      <c r="N372">
        <f>Data!H385</f>
        <v>0</v>
      </c>
      <c r="O372">
        <f>Data!I385</f>
        <v>0</v>
      </c>
      <c r="P372" s="21">
        <f>Data!J385</f>
        <v>0</v>
      </c>
      <c r="Q372">
        <f>Data!K385</f>
        <v>0</v>
      </c>
      <c r="R372">
        <f>Data!L385</f>
        <v>0</v>
      </c>
      <c r="S372">
        <f>Data!M385</f>
        <v>0</v>
      </c>
      <c r="T372">
        <f>Data!N385</f>
        <v>0</v>
      </c>
      <c r="U372">
        <f>Data!O385</f>
        <v>0</v>
      </c>
      <c r="V372" s="33">
        <f>Data!P385</f>
        <v>0</v>
      </c>
    </row>
    <row r="373" spans="7:22" x14ac:dyDescent="0.25">
      <c r="G373">
        <f>Data!A386</f>
        <v>0</v>
      </c>
      <c r="H373" s="21">
        <f>Data!B386</f>
        <v>0</v>
      </c>
      <c r="I373" s="21">
        <f>Data!C386</f>
        <v>0</v>
      </c>
      <c r="J373">
        <f>Data!D386</f>
        <v>0</v>
      </c>
      <c r="K373">
        <f>Data!E386</f>
        <v>0</v>
      </c>
      <c r="L373">
        <f>Data!F386</f>
        <v>0</v>
      </c>
      <c r="M373">
        <f>Data!G386</f>
        <v>0</v>
      </c>
      <c r="N373">
        <f>Data!H386</f>
        <v>0</v>
      </c>
      <c r="O373">
        <f>Data!I386</f>
        <v>0</v>
      </c>
      <c r="P373" s="21">
        <f>Data!J386</f>
        <v>0</v>
      </c>
      <c r="Q373">
        <f>Data!K386</f>
        <v>0</v>
      </c>
      <c r="R373">
        <f>Data!L386</f>
        <v>0</v>
      </c>
      <c r="S373">
        <f>Data!M386</f>
        <v>0</v>
      </c>
      <c r="T373">
        <f>Data!N386</f>
        <v>0</v>
      </c>
      <c r="U373">
        <f>Data!O386</f>
        <v>0</v>
      </c>
      <c r="V373" s="33">
        <f>Data!P386</f>
        <v>0</v>
      </c>
    </row>
    <row r="374" spans="7:22" x14ac:dyDescent="0.25">
      <c r="G374">
        <f>Data!A387</f>
        <v>0</v>
      </c>
      <c r="H374" s="21">
        <f>Data!B387</f>
        <v>0</v>
      </c>
      <c r="I374" s="21">
        <f>Data!C387</f>
        <v>0</v>
      </c>
      <c r="J374">
        <f>Data!D387</f>
        <v>0</v>
      </c>
      <c r="K374">
        <f>Data!E387</f>
        <v>0</v>
      </c>
      <c r="L374">
        <f>Data!F387</f>
        <v>0</v>
      </c>
      <c r="M374">
        <f>Data!G387</f>
        <v>0</v>
      </c>
      <c r="N374">
        <f>Data!H387</f>
        <v>0</v>
      </c>
      <c r="O374">
        <f>Data!I387</f>
        <v>0</v>
      </c>
      <c r="P374" s="21">
        <f>Data!J387</f>
        <v>0</v>
      </c>
      <c r="Q374">
        <f>Data!K387</f>
        <v>0</v>
      </c>
      <c r="R374">
        <f>Data!L387</f>
        <v>0</v>
      </c>
      <c r="S374">
        <f>Data!M387</f>
        <v>0</v>
      </c>
      <c r="T374">
        <f>Data!N387</f>
        <v>0</v>
      </c>
      <c r="U374">
        <f>Data!O387</f>
        <v>0</v>
      </c>
      <c r="V374" s="33">
        <f>Data!P387</f>
        <v>0</v>
      </c>
    </row>
    <row r="375" spans="7:22" x14ac:dyDescent="0.25">
      <c r="G375">
        <f>Data!A388</f>
        <v>0</v>
      </c>
      <c r="H375" s="21">
        <f>Data!B388</f>
        <v>0</v>
      </c>
      <c r="I375" s="21">
        <f>Data!C388</f>
        <v>0</v>
      </c>
      <c r="J375">
        <f>Data!D388</f>
        <v>0</v>
      </c>
      <c r="K375">
        <f>Data!E388</f>
        <v>0</v>
      </c>
      <c r="L375">
        <f>Data!F388</f>
        <v>0</v>
      </c>
      <c r="M375">
        <f>Data!G388</f>
        <v>0</v>
      </c>
      <c r="N375">
        <f>Data!H388</f>
        <v>0</v>
      </c>
      <c r="O375">
        <f>Data!I388</f>
        <v>0</v>
      </c>
      <c r="P375" s="21">
        <f>Data!J388</f>
        <v>0</v>
      </c>
      <c r="Q375">
        <f>Data!K388</f>
        <v>0</v>
      </c>
      <c r="R375">
        <f>Data!L388</f>
        <v>0</v>
      </c>
      <c r="S375">
        <f>Data!M388</f>
        <v>0</v>
      </c>
      <c r="T375">
        <f>Data!N388</f>
        <v>0</v>
      </c>
      <c r="U375">
        <f>Data!O388</f>
        <v>0</v>
      </c>
      <c r="V375" s="33">
        <f>Data!P388</f>
        <v>0</v>
      </c>
    </row>
    <row r="376" spans="7:22" x14ac:dyDescent="0.25">
      <c r="G376">
        <f>Data!A389</f>
        <v>0</v>
      </c>
      <c r="H376" s="21">
        <f>Data!B389</f>
        <v>0</v>
      </c>
      <c r="I376" s="21">
        <f>Data!C389</f>
        <v>0</v>
      </c>
      <c r="J376">
        <f>Data!D389</f>
        <v>0</v>
      </c>
      <c r="K376">
        <f>Data!E389</f>
        <v>0</v>
      </c>
      <c r="L376">
        <f>Data!F389</f>
        <v>0</v>
      </c>
      <c r="M376">
        <f>Data!G389</f>
        <v>0</v>
      </c>
      <c r="N376">
        <f>Data!H389</f>
        <v>0</v>
      </c>
      <c r="O376">
        <f>Data!I389</f>
        <v>0</v>
      </c>
      <c r="P376" s="21">
        <f>Data!J389</f>
        <v>0</v>
      </c>
      <c r="Q376">
        <f>Data!K389</f>
        <v>0</v>
      </c>
      <c r="R376">
        <f>Data!L389</f>
        <v>0</v>
      </c>
      <c r="S376">
        <f>Data!M389</f>
        <v>0</v>
      </c>
      <c r="T376">
        <f>Data!N389</f>
        <v>0</v>
      </c>
      <c r="U376">
        <f>Data!O389</f>
        <v>0</v>
      </c>
      <c r="V376" s="33">
        <f>Data!P389</f>
        <v>0</v>
      </c>
    </row>
    <row r="377" spans="7:22" x14ac:dyDescent="0.25">
      <c r="G377">
        <f>Data!A390</f>
        <v>0</v>
      </c>
      <c r="H377" s="21">
        <f>Data!B390</f>
        <v>0</v>
      </c>
      <c r="I377" s="21">
        <f>Data!C390</f>
        <v>0</v>
      </c>
      <c r="J377">
        <f>Data!D390</f>
        <v>0</v>
      </c>
      <c r="K377">
        <f>Data!E390</f>
        <v>0</v>
      </c>
      <c r="L377">
        <f>Data!F390</f>
        <v>0</v>
      </c>
      <c r="M377">
        <f>Data!G390</f>
        <v>0</v>
      </c>
      <c r="N377">
        <f>Data!H390</f>
        <v>0</v>
      </c>
      <c r="O377">
        <f>Data!I390</f>
        <v>0</v>
      </c>
      <c r="P377" s="21">
        <f>Data!J390</f>
        <v>0</v>
      </c>
      <c r="Q377">
        <f>Data!K390</f>
        <v>0</v>
      </c>
      <c r="R377">
        <f>Data!L390</f>
        <v>0</v>
      </c>
      <c r="S377">
        <f>Data!M390</f>
        <v>0</v>
      </c>
      <c r="T377">
        <f>Data!N390</f>
        <v>0</v>
      </c>
      <c r="U377">
        <f>Data!O390</f>
        <v>0</v>
      </c>
      <c r="V377" s="33">
        <f>Data!P390</f>
        <v>0</v>
      </c>
    </row>
    <row r="378" spans="7:22" x14ac:dyDescent="0.25">
      <c r="G378">
        <f>Data!A391</f>
        <v>0</v>
      </c>
      <c r="H378" s="21">
        <f>Data!B391</f>
        <v>0</v>
      </c>
      <c r="I378" s="21">
        <f>Data!C391</f>
        <v>0</v>
      </c>
      <c r="J378">
        <f>Data!D391</f>
        <v>0</v>
      </c>
      <c r="K378">
        <f>Data!E391</f>
        <v>0</v>
      </c>
      <c r="L378">
        <f>Data!F391</f>
        <v>0</v>
      </c>
      <c r="M378">
        <f>Data!G391</f>
        <v>0</v>
      </c>
      <c r="N378">
        <f>Data!H391</f>
        <v>0</v>
      </c>
      <c r="O378">
        <f>Data!I391</f>
        <v>0</v>
      </c>
      <c r="P378" s="21">
        <f>Data!J391</f>
        <v>0</v>
      </c>
      <c r="Q378">
        <f>Data!K391</f>
        <v>0</v>
      </c>
      <c r="R378">
        <f>Data!L391</f>
        <v>0</v>
      </c>
      <c r="S378">
        <f>Data!M391</f>
        <v>0</v>
      </c>
      <c r="T378">
        <f>Data!N391</f>
        <v>0</v>
      </c>
      <c r="U378">
        <f>Data!O391</f>
        <v>0</v>
      </c>
      <c r="V378" s="33">
        <f>Data!P391</f>
        <v>0</v>
      </c>
    </row>
    <row r="379" spans="7:22" x14ac:dyDescent="0.25">
      <c r="G379">
        <f>Data!A392</f>
        <v>0</v>
      </c>
      <c r="H379" s="21">
        <f>Data!B392</f>
        <v>0</v>
      </c>
      <c r="I379" s="21">
        <f>Data!C392</f>
        <v>0</v>
      </c>
      <c r="J379">
        <f>Data!D392</f>
        <v>0</v>
      </c>
      <c r="K379">
        <f>Data!E392</f>
        <v>0</v>
      </c>
      <c r="L379">
        <f>Data!F392</f>
        <v>0</v>
      </c>
      <c r="M379">
        <f>Data!G392</f>
        <v>0</v>
      </c>
      <c r="N379">
        <f>Data!H392</f>
        <v>0</v>
      </c>
      <c r="O379">
        <f>Data!I392</f>
        <v>0</v>
      </c>
      <c r="P379" s="21">
        <f>Data!J392</f>
        <v>0</v>
      </c>
      <c r="Q379">
        <f>Data!K392</f>
        <v>0</v>
      </c>
      <c r="R379">
        <f>Data!L392</f>
        <v>0</v>
      </c>
      <c r="S379">
        <f>Data!M392</f>
        <v>0</v>
      </c>
      <c r="T379">
        <f>Data!N392</f>
        <v>0</v>
      </c>
      <c r="U379">
        <f>Data!O392</f>
        <v>0</v>
      </c>
      <c r="V379" s="33">
        <f>Data!P392</f>
        <v>0</v>
      </c>
    </row>
    <row r="380" spans="7:22" x14ac:dyDescent="0.25">
      <c r="G380">
        <f>Data!A393</f>
        <v>0</v>
      </c>
      <c r="H380" s="21">
        <f>Data!B393</f>
        <v>0</v>
      </c>
      <c r="I380" s="21">
        <f>Data!C393</f>
        <v>0</v>
      </c>
      <c r="J380">
        <f>Data!D393</f>
        <v>0</v>
      </c>
      <c r="K380">
        <f>Data!E393</f>
        <v>0</v>
      </c>
      <c r="L380">
        <f>Data!F393</f>
        <v>0</v>
      </c>
      <c r="M380">
        <f>Data!G393</f>
        <v>0</v>
      </c>
      <c r="N380">
        <f>Data!H393</f>
        <v>0</v>
      </c>
      <c r="O380">
        <f>Data!I393</f>
        <v>0</v>
      </c>
      <c r="P380" s="21">
        <f>Data!J393</f>
        <v>0</v>
      </c>
      <c r="Q380">
        <f>Data!K393</f>
        <v>0</v>
      </c>
      <c r="R380">
        <f>Data!L393</f>
        <v>0</v>
      </c>
      <c r="S380">
        <f>Data!M393</f>
        <v>0</v>
      </c>
      <c r="T380">
        <f>Data!N393</f>
        <v>0</v>
      </c>
      <c r="U380">
        <f>Data!O393</f>
        <v>0</v>
      </c>
      <c r="V380" s="33">
        <f>Data!P393</f>
        <v>0</v>
      </c>
    </row>
    <row r="381" spans="7:22" x14ac:dyDescent="0.25">
      <c r="G381">
        <f>Data!A394</f>
        <v>0</v>
      </c>
      <c r="H381" s="21">
        <f>Data!B394</f>
        <v>0</v>
      </c>
      <c r="I381" s="21">
        <f>Data!C394</f>
        <v>0</v>
      </c>
      <c r="J381">
        <f>Data!D394</f>
        <v>0</v>
      </c>
      <c r="K381">
        <f>Data!E394</f>
        <v>0</v>
      </c>
      <c r="L381">
        <f>Data!F394</f>
        <v>0</v>
      </c>
      <c r="M381">
        <f>Data!G394</f>
        <v>0</v>
      </c>
      <c r="N381">
        <f>Data!H394</f>
        <v>0</v>
      </c>
      <c r="O381">
        <f>Data!I394</f>
        <v>0</v>
      </c>
      <c r="P381" s="21">
        <f>Data!J394</f>
        <v>0</v>
      </c>
      <c r="Q381">
        <f>Data!K394</f>
        <v>0</v>
      </c>
      <c r="R381">
        <f>Data!L394</f>
        <v>0</v>
      </c>
      <c r="S381">
        <f>Data!M394</f>
        <v>0</v>
      </c>
      <c r="T381">
        <f>Data!N394</f>
        <v>0</v>
      </c>
      <c r="U381">
        <f>Data!O394</f>
        <v>0</v>
      </c>
      <c r="V381" s="33">
        <f>Data!P394</f>
        <v>0</v>
      </c>
    </row>
    <row r="382" spans="7:22" x14ac:dyDescent="0.25">
      <c r="G382">
        <f>Data!A395</f>
        <v>0</v>
      </c>
      <c r="H382" s="21">
        <f>Data!B395</f>
        <v>0</v>
      </c>
      <c r="I382" s="21">
        <f>Data!C395</f>
        <v>0</v>
      </c>
      <c r="J382">
        <f>Data!D395</f>
        <v>0</v>
      </c>
      <c r="K382">
        <f>Data!E395</f>
        <v>0</v>
      </c>
      <c r="L382">
        <f>Data!F395</f>
        <v>0</v>
      </c>
      <c r="M382">
        <f>Data!G395</f>
        <v>0</v>
      </c>
      <c r="N382">
        <f>Data!H395</f>
        <v>0</v>
      </c>
      <c r="O382">
        <f>Data!I395</f>
        <v>0</v>
      </c>
      <c r="P382" s="21">
        <f>Data!J395</f>
        <v>0</v>
      </c>
      <c r="Q382">
        <f>Data!K395</f>
        <v>0</v>
      </c>
      <c r="R382">
        <f>Data!L395</f>
        <v>0</v>
      </c>
      <c r="S382">
        <f>Data!M395</f>
        <v>0</v>
      </c>
      <c r="T382">
        <f>Data!N395</f>
        <v>0</v>
      </c>
      <c r="U382">
        <f>Data!O395</f>
        <v>0</v>
      </c>
      <c r="V382" s="33">
        <f>Data!P395</f>
        <v>0</v>
      </c>
    </row>
    <row r="383" spans="7:22" x14ac:dyDescent="0.25">
      <c r="G383">
        <f>Data!A396</f>
        <v>0</v>
      </c>
      <c r="H383" s="21">
        <f>Data!B396</f>
        <v>0</v>
      </c>
      <c r="I383" s="21">
        <f>Data!C396</f>
        <v>0</v>
      </c>
      <c r="J383">
        <f>Data!D396</f>
        <v>0</v>
      </c>
      <c r="K383">
        <f>Data!E396</f>
        <v>0</v>
      </c>
      <c r="L383">
        <f>Data!F396</f>
        <v>0</v>
      </c>
      <c r="M383">
        <f>Data!G396</f>
        <v>0</v>
      </c>
      <c r="N383">
        <f>Data!H396</f>
        <v>0</v>
      </c>
      <c r="O383">
        <f>Data!I396</f>
        <v>0</v>
      </c>
      <c r="P383" s="21">
        <f>Data!J396</f>
        <v>0</v>
      </c>
      <c r="Q383">
        <f>Data!K396</f>
        <v>0</v>
      </c>
      <c r="R383">
        <f>Data!L396</f>
        <v>0</v>
      </c>
      <c r="S383">
        <f>Data!M396</f>
        <v>0</v>
      </c>
      <c r="T383">
        <f>Data!N396</f>
        <v>0</v>
      </c>
      <c r="U383">
        <f>Data!O396</f>
        <v>0</v>
      </c>
      <c r="V383" s="33">
        <f>Data!P396</f>
        <v>0</v>
      </c>
    </row>
    <row r="384" spans="7:22" x14ac:dyDescent="0.25">
      <c r="G384">
        <f>Data!A397</f>
        <v>0</v>
      </c>
      <c r="H384" s="21">
        <f>Data!B397</f>
        <v>0</v>
      </c>
      <c r="I384" s="21">
        <f>Data!C397</f>
        <v>0</v>
      </c>
      <c r="J384">
        <f>Data!D397</f>
        <v>0</v>
      </c>
      <c r="K384">
        <f>Data!E397</f>
        <v>0</v>
      </c>
      <c r="L384">
        <f>Data!F397</f>
        <v>0</v>
      </c>
      <c r="M384">
        <f>Data!G397</f>
        <v>0</v>
      </c>
      <c r="N384">
        <f>Data!H397</f>
        <v>0</v>
      </c>
      <c r="O384">
        <f>Data!I397</f>
        <v>0</v>
      </c>
      <c r="P384" s="21">
        <f>Data!J397</f>
        <v>0</v>
      </c>
      <c r="Q384">
        <f>Data!K397</f>
        <v>0</v>
      </c>
      <c r="R384">
        <f>Data!L397</f>
        <v>0</v>
      </c>
      <c r="S384">
        <f>Data!M397</f>
        <v>0</v>
      </c>
      <c r="T384">
        <f>Data!N397</f>
        <v>0</v>
      </c>
      <c r="U384">
        <f>Data!O397</f>
        <v>0</v>
      </c>
      <c r="V384" s="33">
        <f>Data!P397</f>
        <v>0</v>
      </c>
    </row>
    <row r="385" spans="7:22" x14ac:dyDescent="0.25">
      <c r="G385">
        <f>Data!A398</f>
        <v>0</v>
      </c>
      <c r="H385" s="21">
        <f>Data!B398</f>
        <v>0</v>
      </c>
      <c r="I385" s="21">
        <f>Data!C398</f>
        <v>0</v>
      </c>
      <c r="J385">
        <f>Data!D398</f>
        <v>0</v>
      </c>
      <c r="K385">
        <f>Data!E398</f>
        <v>0</v>
      </c>
      <c r="L385">
        <f>Data!F398</f>
        <v>0</v>
      </c>
      <c r="M385">
        <f>Data!G398</f>
        <v>0</v>
      </c>
      <c r="N385">
        <f>Data!H398</f>
        <v>0</v>
      </c>
      <c r="O385">
        <f>Data!I398</f>
        <v>0</v>
      </c>
      <c r="P385" s="21">
        <f>Data!J398</f>
        <v>0</v>
      </c>
      <c r="Q385">
        <f>Data!K398</f>
        <v>0</v>
      </c>
      <c r="R385">
        <f>Data!L398</f>
        <v>0</v>
      </c>
      <c r="S385">
        <f>Data!M398</f>
        <v>0</v>
      </c>
      <c r="T385">
        <f>Data!N398</f>
        <v>0</v>
      </c>
      <c r="U385">
        <f>Data!O398</f>
        <v>0</v>
      </c>
      <c r="V385" s="33">
        <f>Data!P398</f>
        <v>0</v>
      </c>
    </row>
    <row r="386" spans="7:22" x14ac:dyDescent="0.25">
      <c r="G386">
        <f>Data!A399</f>
        <v>0</v>
      </c>
      <c r="H386" s="21">
        <f>Data!B399</f>
        <v>0</v>
      </c>
      <c r="I386" s="21">
        <f>Data!C399</f>
        <v>0</v>
      </c>
      <c r="J386">
        <f>Data!D399</f>
        <v>0</v>
      </c>
      <c r="K386">
        <f>Data!E399</f>
        <v>0</v>
      </c>
      <c r="L386">
        <f>Data!F399</f>
        <v>0</v>
      </c>
      <c r="M386">
        <f>Data!G399</f>
        <v>0</v>
      </c>
      <c r="N386">
        <f>Data!H399</f>
        <v>0</v>
      </c>
      <c r="O386">
        <f>Data!I399</f>
        <v>0</v>
      </c>
      <c r="P386" s="21">
        <f>Data!J399</f>
        <v>0</v>
      </c>
      <c r="Q386">
        <f>Data!K399</f>
        <v>0</v>
      </c>
      <c r="R386">
        <f>Data!L399</f>
        <v>0</v>
      </c>
      <c r="S386">
        <f>Data!M399</f>
        <v>0</v>
      </c>
      <c r="T386">
        <f>Data!N399</f>
        <v>0</v>
      </c>
      <c r="U386">
        <f>Data!O399</f>
        <v>0</v>
      </c>
      <c r="V386" s="33">
        <f>Data!P399</f>
        <v>0</v>
      </c>
    </row>
    <row r="387" spans="7:22" x14ac:dyDescent="0.25">
      <c r="G387">
        <f>Data!A400</f>
        <v>0</v>
      </c>
      <c r="H387" s="21">
        <f>Data!B400</f>
        <v>0</v>
      </c>
      <c r="I387" s="21">
        <f>Data!C400</f>
        <v>0</v>
      </c>
      <c r="J387">
        <f>Data!D400</f>
        <v>0</v>
      </c>
      <c r="K387">
        <f>Data!E400</f>
        <v>0</v>
      </c>
      <c r="L387">
        <f>Data!F400</f>
        <v>0</v>
      </c>
      <c r="M387">
        <f>Data!G400</f>
        <v>0</v>
      </c>
      <c r="N387">
        <f>Data!H400</f>
        <v>0</v>
      </c>
      <c r="O387">
        <f>Data!I400</f>
        <v>0</v>
      </c>
      <c r="P387" s="21">
        <f>Data!J400</f>
        <v>0</v>
      </c>
      <c r="Q387">
        <f>Data!K400</f>
        <v>0</v>
      </c>
      <c r="R387">
        <f>Data!L400</f>
        <v>0</v>
      </c>
      <c r="S387">
        <f>Data!M400</f>
        <v>0</v>
      </c>
      <c r="T387">
        <f>Data!N400</f>
        <v>0</v>
      </c>
      <c r="U387">
        <f>Data!O400</f>
        <v>0</v>
      </c>
      <c r="V387" s="33">
        <f>Data!P400</f>
        <v>0</v>
      </c>
    </row>
    <row r="388" spans="7:22" x14ac:dyDescent="0.25">
      <c r="G388">
        <f>Data!A401</f>
        <v>0</v>
      </c>
      <c r="H388" s="21">
        <f>Data!B401</f>
        <v>0</v>
      </c>
      <c r="I388" s="21">
        <f>Data!C401</f>
        <v>0</v>
      </c>
      <c r="J388">
        <f>Data!D401</f>
        <v>0</v>
      </c>
      <c r="K388">
        <f>Data!E401</f>
        <v>0</v>
      </c>
      <c r="L388">
        <f>Data!F401</f>
        <v>0</v>
      </c>
      <c r="M388">
        <f>Data!G401</f>
        <v>0</v>
      </c>
      <c r="N388">
        <f>Data!H401</f>
        <v>0</v>
      </c>
      <c r="O388">
        <f>Data!I401</f>
        <v>0</v>
      </c>
      <c r="P388" s="21">
        <f>Data!J401</f>
        <v>0</v>
      </c>
      <c r="Q388">
        <f>Data!K401</f>
        <v>0</v>
      </c>
      <c r="R388">
        <f>Data!L401</f>
        <v>0</v>
      </c>
      <c r="S388">
        <f>Data!M401</f>
        <v>0</v>
      </c>
      <c r="T388">
        <f>Data!N401</f>
        <v>0</v>
      </c>
      <c r="U388">
        <f>Data!O401</f>
        <v>0</v>
      </c>
      <c r="V388" s="33">
        <f>Data!P401</f>
        <v>0</v>
      </c>
    </row>
    <row r="389" spans="7:22" x14ac:dyDescent="0.25">
      <c r="G389">
        <f>Data!A402</f>
        <v>0</v>
      </c>
      <c r="H389" s="21">
        <f>Data!B402</f>
        <v>0</v>
      </c>
      <c r="I389" s="21">
        <f>Data!C402</f>
        <v>0</v>
      </c>
      <c r="J389">
        <f>Data!D402</f>
        <v>0</v>
      </c>
      <c r="K389">
        <f>Data!E402</f>
        <v>0</v>
      </c>
      <c r="L389">
        <f>Data!F402</f>
        <v>0</v>
      </c>
      <c r="M389">
        <f>Data!G402</f>
        <v>0</v>
      </c>
      <c r="N389">
        <f>Data!H402</f>
        <v>0</v>
      </c>
      <c r="O389">
        <f>Data!I402</f>
        <v>0</v>
      </c>
      <c r="P389" s="21">
        <f>Data!J402</f>
        <v>0</v>
      </c>
      <c r="Q389">
        <f>Data!K402</f>
        <v>0</v>
      </c>
      <c r="R389">
        <f>Data!L402</f>
        <v>0</v>
      </c>
      <c r="S389">
        <f>Data!M402</f>
        <v>0</v>
      </c>
      <c r="T389">
        <f>Data!N402</f>
        <v>0</v>
      </c>
      <c r="U389">
        <f>Data!O402</f>
        <v>0</v>
      </c>
      <c r="V389" s="33">
        <f>Data!P402</f>
        <v>0</v>
      </c>
    </row>
    <row r="390" spans="7:22" x14ac:dyDescent="0.25">
      <c r="G390">
        <f>Data!A403</f>
        <v>0</v>
      </c>
      <c r="H390" s="21">
        <f>Data!B403</f>
        <v>0</v>
      </c>
      <c r="I390" s="21">
        <f>Data!C403</f>
        <v>0</v>
      </c>
      <c r="J390">
        <f>Data!D403</f>
        <v>0</v>
      </c>
      <c r="K390">
        <f>Data!E403</f>
        <v>0</v>
      </c>
      <c r="L390">
        <f>Data!F403</f>
        <v>0</v>
      </c>
      <c r="M390">
        <f>Data!G403</f>
        <v>0</v>
      </c>
      <c r="N390">
        <f>Data!H403</f>
        <v>0</v>
      </c>
      <c r="O390">
        <f>Data!I403</f>
        <v>0</v>
      </c>
      <c r="P390" s="21">
        <f>Data!J403</f>
        <v>0</v>
      </c>
      <c r="Q390">
        <f>Data!K403</f>
        <v>0</v>
      </c>
      <c r="R390">
        <f>Data!L403</f>
        <v>0</v>
      </c>
      <c r="S390">
        <f>Data!M403</f>
        <v>0</v>
      </c>
      <c r="T390">
        <f>Data!N403</f>
        <v>0</v>
      </c>
      <c r="U390">
        <f>Data!O403</f>
        <v>0</v>
      </c>
      <c r="V390" s="33">
        <f>Data!P403</f>
        <v>0</v>
      </c>
    </row>
    <row r="391" spans="7:22" x14ac:dyDescent="0.25">
      <c r="G391">
        <f>Data!A404</f>
        <v>0</v>
      </c>
      <c r="H391" s="21">
        <f>Data!B404</f>
        <v>0</v>
      </c>
      <c r="I391" s="21">
        <f>Data!C404</f>
        <v>0</v>
      </c>
      <c r="J391">
        <f>Data!D404</f>
        <v>0</v>
      </c>
      <c r="K391">
        <f>Data!E404</f>
        <v>0</v>
      </c>
      <c r="L391">
        <f>Data!F404</f>
        <v>0</v>
      </c>
      <c r="M391">
        <f>Data!G404</f>
        <v>0</v>
      </c>
      <c r="N391">
        <f>Data!H404</f>
        <v>0</v>
      </c>
      <c r="O391">
        <f>Data!I404</f>
        <v>0</v>
      </c>
      <c r="P391" s="21">
        <f>Data!J404</f>
        <v>0</v>
      </c>
      <c r="Q391">
        <f>Data!K404</f>
        <v>0</v>
      </c>
      <c r="R391">
        <f>Data!L404</f>
        <v>0</v>
      </c>
      <c r="S391">
        <f>Data!M404</f>
        <v>0</v>
      </c>
      <c r="T391">
        <f>Data!N404</f>
        <v>0</v>
      </c>
      <c r="U391">
        <f>Data!O404</f>
        <v>0</v>
      </c>
      <c r="V391" s="33">
        <f>Data!P404</f>
        <v>0</v>
      </c>
    </row>
    <row r="392" spans="7:22" x14ac:dyDescent="0.25">
      <c r="G392">
        <f>Data!A405</f>
        <v>0</v>
      </c>
      <c r="H392" s="21">
        <f>Data!B405</f>
        <v>0</v>
      </c>
      <c r="I392" s="21">
        <f>Data!C405</f>
        <v>0</v>
      </c>
      <c r="J392">
        <f>Data!D405</f>
        <v>0</v>
      </c>
      <c r="K392">
        <f>Data!E405</f>
        <v>0</v>
      </c>
      <c r="L392">
        <f>Data!F405</f>
        <v>0</v>
      </c>
      <c r="M392">
        <f>Data!G405</f>
        <v>0</v>
      </c>
      <c r="N392">
        <f>Data!H405</f>
        <v>0</v>
      </c>
      <c r="O392">
        <f>Data!I405</f>
        <v>0</v>
      </c>
      <c r="P392" s="21">
        <f>Data!J405</f>
        <v>0</v>
      </c>
      <c r="Q392">
        <f>Data!K405</f>
        <v>0</v>
      </c>
      <c r="R392">
        <f>Data!L405</f>
        <v>0</v>
      </c>
      <c r="S392">
        <f>Data!M405</f>
        <v>0</v>
      </c>
      <c r="T392">
        <f>Data!N405</f>
        <v>0</v>
      </c>
      <c r="U392">
        <f>Data!O405</f>
        <v>0</v>
      </c>
      <c r="V392" s="33">
        <f>Data!P405</f>
        <v>0</v>
      </c>
    </row>
    <row r="393" spans="7:22" x14ac:dyDescent="0.25">
      <c r="G393">
        <f>Data!A406</f>
        <v>0</v>
      </c>
      <c r="H393" s="21">
        <f>Data!B406</f>
        <v>0</v>
      </c>
      <c r="I393" s="21">
        <f>Data!C406</f>
        <v>0</v>
      </c>
      <c r="J393">
        <f>Data!D406</f>
        <v>0</v>
      </c>
      <c r="K393">
        <f>Data!E406</f>
        <v>0</v>
      </c>
      <c r="L393">
        <f>Data!F406</f>
        <v>0</v>
      </c>
      <c r="M393">
        <f>Data!G406</f>
        <v>0</v>
      </c>
      <c r="N393">
        <f>Data!H406</f>
        <v>0</v>
      </c>
      <c r="O393">
        <f>Data!I406</f>
        <v>0</v>
      </c>
      <c r="P393" s="21">
        <f>Data!J406</f>
        <v>0</v>
      </c>
      <c r="Q393">
        <f>Data!K406</f>
        <v>0</v>
      </c>
      <c r="R393">
        <f>Data!L406</f>
        <v>0</v>
      </c>
      <c r="S393">
        <f>Data!M406</f>
        <v>0</v>
      </c>
      <c r="T393">
        <f>Data!N406</f>
        <v>0</v>
      </c>
      <c r="U393">
        <f>Data!O406</f>
        <v>0</v>
      </c>
      <c r="V393" s="33">
        <f>Data!P406</f>
        <v>0</v>
      </c>
    </row>
    <row r="394" spans="7:22" x14ac:dyDescent="0.25">
      <c r="G394">
        <f>Data!A407</f>
        <v>0</v>
      </c>
      <c r="H394" s="21">
        <f>Data!B407</f>
        <v>0</v>
      </c>
      <c r="I394" s="21">
        <f>Data!C407</f>
        <v>0</v>
      </c>
      <c r="J394">
        <f>Data!D407</f>
        <v>0</v>
      </c>
      <c r="K394">
        <f>Data!E407</f>
        <v>0</v>
      </c>
      <c r="L394">
        <f>Data!F407</f>
        <v>0</v>
      </c>
      <c r="M394">
        <f>Data!G407</f>
        <v>0</v>
      </c>
      <c r="N394">
        <f>Data!H407</f>
        <v>0</v>
      </c>
      <c r="O394">
        <f>Data!I407</f>
        <v>0</v>
      </c>
      <c r="P394" s="21">
        <f>Data!J407</f>
        <v>0</v>
      </c>
      <c r="Q394">
        <f>Data!K407</f>
        <v>0</v>
      </c>
      <c r="R394">
        <f>Data!L407</f>
        <v>0</v>
      </c>
      <c r="S394">
        <f>Data!M407</f>
        <v>0</v>
      </c>
      <c r="T394">
        <f>Data!N407</f>
        <v>0</v>
      </c>
      <c r="U394">
        <f>Data!O407</f>
        <v>0</v>
      </c>
      <c r="V394" s="33">
        <f>Data!P407</f>
        <v>0</v>
      </c>
    </row>
    <row r="395" spans="7:22" x14ac:dyDescent="0.25">
      <c r="G395">
        <f>Data!A408</f>
        <v>0</v>
      </c>
      <c r="H395" s="21">
        <f>Data!B408</f>
        <v>0</v>
      </c>
      <c r="I395" s="21">
        <f>Data!C408</f>
        <v>0</v>
      </c>
      <c r="J395">
        <f>Data!D408</f>
        <v>0</v>
      </c>
      <c r="K395">
        <f>Data!E408</f>
        <v>0</v>
      </c>
      <c r="L395">
        <f>Data!F408</f>
        <v>0</v>
      </c>
      <c r="M395">
        <f>Data!G408</f>
        <v>0</v>
      </c>
      <c r="N395">
        <f>Data!H408</f>
        <v>0</v>
      </c>
      <c r="O395">
        <f>Data!I408</f>
        <v>0</v>
      </c>
      <c r="P395" s="21">
        <f>Data!J408</f>
        <v>0</v>
      </c>
      <c r="Q395">
        <f>Data!K408</f>
        <v>0</v>
      </c>
      <c r="R395">
        <f>Data!L408</f>
        <v>0</v>
      </c>
      <c r="S395">
        <f>Data!M408</f>
        <v>0</v>
      </c>
      <c r="T395">
        <f>Data!N408</f>
        <v>0</v>
      </c>
      <c r="U395">
        <f>Data!O408</f>
        <v>0</v>
      </c>
      <c r="V395" s="33">
        <f>Data!P408</f>
        <v>0</v>
      </c>
    </row>
    <row r="396" spans="7:22" x14ac:dyDescent="0.25">
      <c r="G396">
        <f>Data!A409</f>
        <v>0</v>
      </c>
      <c r="H396" s="21">
        <f>Data!B409</f>
        <v>0</v>
      </c>
      <c r="I396" s="21">
        <f>Data!C409</f>
        <v>0</v>
      </c>
      <c r="J396">
        <f>Data!D409</f>
        <v>0</v>
      </c>
      <c r="K396">
        <f>Data!E409</f>
        <v>0</v>
      </c>
      <c r="L396">
        <f>Data!F409</f>
        <v>0</v>
      </c>
      <c r="M396">
        <f>Data!G409</f>
        <v>0</v>
      </c>
      <c r="N396">
        <f>Data!H409</f>
        <v>0</v>
      </c>
      <c r="O396">
        <f>Data!I409</f>
        <v>0</v>
      </c>
      <c r="P396" s="21">
        <f>Data!J409</f>
        <v>0</v>
      </c>
      <c r="Q396">
        <f>Data!K409</f>
        <v>0</v>
      </c>
      <c r="R396">
        <f>Data!L409</f>
        <v>0</v>
      </c>
      <c r="S396">
        <f>Data!M409</f>
        <v>0</v>
      </c>
      <c r="T396">
        <f>Data!N409</f>
        <v>0</v>
      </c>
      <c r="U396">
        <f>Data!O409</f>
        <v>0</v>
      </c>
      <c r="V396" s="33">
        <f>Data!P409</f>
        <v>0</v>
      </c>
    </row>
    <row r="397" spans="7:22" x14ac:dyDescent="0.25">
      <c r="G397">
        <f>Data!A410</f>
        <v>0</v>
      </c>
      <c r="H397" s="21">
        <f>Data!B410</f>
        <v>0</v>
      </c>
      <c r="I397" s="21">
        <f>Data!C410</f>
        <v>0</v>
      </c>
      <c r="J397">
        <f>Data!D410</f>
        <v>0</v>
      </c>
      <c r="K397">
        <f>Data!E410</f>
        <v>0</v>
      </c>
      <c r="L397">
        <f>Data!F410</f>
        <v>0</v>
      </c>
      <c r="M397">
        <f>Data!G410</f>
        <v>0</v>
      </c>
      <c r="N397">
        <f>Data!H410</f>
        <v>0</v>
      </c>
      <c r="O397">
        <f>Data!I410</f>
        <v>0</v>
      </c>
      <c r="P397" s="21">
        <f>Data!J410</f>
        <v>0</v>
      </c>
      <c r="Q397">
        <f>Data!K410</f>
        <v>0</v>
      </c>
      <c r="R397">
        <f>Data!L410</f>
        <v>0</v>
      </c>
      <c r="S397">
        <f>Data!M410</f>
        <v>0</v>
      </c>
      <c r="T397">
        <f>Data!N410</f>
        <v>0</v>
      </c>
      <c r="U397">
        <f>Data!O410</f>
        <v>0</v>
      </c>
      <c r="V397" s="33">
        <f>Data!P410</f>
        <v>0</v>
      </c>
    </row>
    <row r="398" spans="7:22" x14ac:dyDescent="0.25">
      <c r="G398">
        <f>Data!A411</f>
        <v>0</v>
      </c>
      <c r="H398" s="21">
        <f>Data!B411</f>
        <v>0</v>
      </c>
      <c r="I398" s="21">
        <f>Data!C411</f>
        <v>0</v>
      </c>
      <c r="J398">
        <f>Data!D411</f>
        <v>0</v>
      </c>
      <c r="K398">
        <f>Data!E411</f>
        <v>0</v>
      </c>
      <c r="L398">
        <f>Data!F411</f>
        <v>0</v>
      </c>
      <c r="M398">
        <f>Data!G411</f>
        <v>0</v>
      </c>
      <c r="N398">
        <f>Data!H411</f>
        <v>0</v>
      </c>
      <c r="O398">
        <f>Data!I411</f>
        <v>0</v>
      </c>
      <c r="P398" s="21">
        <f>Data!J411</f>
        <v>0</v>
      </c>
      <c r="Q398">
        <f>Data!K411</f>
        <v>0</v>
      </c>
      <c r="R398">
        <f>Data!L411</f>
        <v>0</v>
      </c>
      <c r="S398">
        <f>Data!M411</f>
        <v>0</v>
      </c>
      <c r="T398">
        <f>Data!N411</f>
        <v>0</v>
      </c>
      <c r="U398">
        <f>Data!O411</f>
        <v>0</v>
      </c>
      <c r="V398" s="33">
        <f>Data!P411</f>
        <v>0</v>
      </c>
    </row>
    <row r="399" spans="7:22" x14ac:dyDescent="0.25">
      <c r="G399">
        <f>Data!A412</f>
        <v>0</v>
      </c>
      <c r="H399" s="21">
        <f>Data!B412</f>
        <v>0</v>
      </c>
      <c r="I399" s="21">
        <f>Data!C412</f>
        <v>0</v>
      </c>
      <c r="J399">
        <f>Data!D412</f>
        <v>0</v>
      </c>
      <c r="K399">
        <f>Data!E412</f>
        <v>0</v>
      </c>
      <c r="L399">
        <f>Data!F412</f>
        <v>0</v>
      </c>
      <c r="M399">
        <f>Data!G412</f>
        <v>0</v>
      </c>
      <c r="N399">
        <f>Data!H412</f>
        <v>0</v>
      </c>
      <c r="O399">
        <f>Data!I412</f>
        <v>0</v>
      </c>
      <c r="P399" s="21">
        <f>Data!J412</f>
        <v>0</v>
      </c>
      <c r="Q399">
        <f>Data!K412</f>
        <v>0</v>
      </c>
      <c r="R399">
        <f>Data!L412</f>
        <v>0</v>
      </c>
      <c r="S399">
        <f>Data!M412</f>
        <v>0</v>
      </c>
      <c r="T399">
        <f>Data!N412</f>
        <v>0</v>
      </c>
      <c r="U399">
        <f>Data!O412</f>
        <v>0</v>
      </c>
      <c r="V399" s="33">
        <f>Data!P412</f>
        <v>0</v>
      </c>
    </row>
    <row r="400" spans="7:22" x14ac:dyDescent="0.25">
      <c r="G400">
        <f>Data!A413</f>
        <v>0</v>
      </c>
      <c r="H400" s="21">
        <f>Data!B413</f>
        <v>0</v>
      </c>
      <c r="I400" s="21">
        <f>Data!C413</f>
        <v>0</v>
      </c>
      <c r="J400">
        <f>Data!D413</f>
        <v>0</v>
      </c>
      <c r="K400">
        <f>Data!E413</f>
        <v>0</v>
      </c>
      <c r="L400">
        <f>Data!F413</f>
        <v>0</v>
      </c>
      <c r="M400">
        <f>Data!G413</f>
        <v>0</v>
      </c>
      <c r="N400">
        <f>Data!H413</f>
        <v>0</v>
      </c>
      <c r="O400">
        <f>Data!I413</f>
        <v>0</v>
      </c>
      <c r="P400" s="21">
        <f>Data!J413</f>
        <v>0</v>
      </c>
      <c r="Q400">
        <f>Data!K413</f>
        <v>0</v>
      </c>
      <c r="R400">
        <f>Data!L413</f>
        <v>0</v>
      </c>
      <c r="S400">
        <f>Data!M413</f>
        <v>0</v>
      </c>
      <c r="T400">
        <f>Data!N413</f>
        <v>0</v>
      </c>
      <c r="U400">
        <f>Data!O413</f>
        <v>0</v>
      </c>
      <c r="V400" s="33">
        <f>Data!P413</f>
        <v>0</v>
      </c>
    </row>
    <row r="401" spans="7:22" x14ac:dyDescent="0.25">
      <c r="G401">
        <f>Data!A414</f>
        <v>0</v>
      </c>
      <c r="H401" s="21">
        <f>Data!B414</f>
        <v>0</v>
      </c>
      <c r="I401" s="21">
        <f>Data!C414</f>
        <v>0</v>
      </c>
      <c r="J401">
        <f>Data!D414</f>
        <v>0</v>
      </c>
      <c r="K401">
        <f>Data!E414</f>
        <v>0</v>
      </c>
      <c r="L401">
        <f>Data!F414</f>
        <v>0</v>
      </c>
      <c r="M401">
        <f>Data!G414</f>
        <v>0</v>
      </c>
      <c r="N401">
        <f>Data!H414</f>
        <v>0</v>
      </c>
      <c r="O401">
        <f>Data!I414</f>
        <v>0</v>
      </c>
      <c r="P401" s="21">
        <f>Data!J414</f>
        <v>0</v>
      </c>
      <c r="Q401">
        <f>Data!K414</f>
        <v>0</v>
      </c>
      <c r="R401">
        <f>Data!L414</f>
        <v>0</v>
      </c>
      <c r="S401">
        <f>Data!M414</f>
        <v>0</v>
      </c>
      <c r="T401">
        <f>Data!N414</f>
        <v>0</v>
      </c>
      <c r="U401">
        <f>Data!O414</f>
        <v>0</v>
      </c>
      <c r="V401" s="33">
        <f>Data!P414</f>
        <v>0</v>
      </c>
    </row>
    <row r="402" spans="7:22" x14ac:dyDescent="0.25">
      <c r="G402">
        <f>Data!A415</f>
        <v>0</v>
      </c>
      <c r="H402" s="21">
        <f>Data!B415</f>
        <v>0</v>
      </c>
      <c r="I402" s="21">
        <f>Data!C415</f>
        <v>0</v>
      </c>
      <c r="J402">
        <f>Data!D415</f>
        <v>0</v>
      </c>
      <c r="K402">
        <f>Data!E415</f>
        <v>0</v>
      </c>
      <c r="L402">
        <f>Data!F415</f>
        <v>0</v>
      </c>
      <c r="M402">
        <f>Data!G415</f>
        <v>0</v>
      </c>
      <c r="N402">
        <f>Data!H415</f>
        <v>0</v>
      </c>
      <c r="O402">
        <f>Data!I415</f>
        <v>0</v>
      </c>
      <c r="P402" s="21">
        <f>Data!J415</f>
        <v>0</v>
      </c>
      <c r="Q402">
        <f>Data!K415</f>
        <v>0</v>
      </c>
      <c r="R402">
        <f>Data!L415</f>
        <v>0</v>
      </c>
      <c r="S402">
        <f>Data!M415</f>
        <v>0</v>
      </c>
      <c r="T402">
        <f>Data!N415</f>
        <v>0</v>
      </c>
      <c r="U402">
        <f>Data!O415</f>
        <v>0</v>
      </c>
      <c r="V402" s="33">
        <f>Data!P415</f>
        <v>0</v>
      </c>
    </row>
    <row r="403" spans="7:22" x14ac:dyDescent="0.25">
      <c r="G403">
        <f>Data!A416</f>
        <v>0</v>
      </c>
      <c r="H403" s="21">
        <f>Data!B416</f>
        <v>0</v>
      </c>
      <c r="I403" s="21">
        <f>Data!C416</f>
        <v>0</v>
      </c>
      <c r="J403">
        <f>Data!D416</f>
        <v>0</v>
      </c>
      <c r="K403">
        <f>Data!E416</f>
        <v>0</v>
      </c>
      <c r="L403">
        <f>Data!F416</f>
        <v>0</v>
      </c>
      <c r="M403">
        <f>Data!G416</f>
        <v>0</v>
      </c>
      <c r="N403">
        <f>Data!H416</f>
        <v>0</v>
      </c>
      <c r="O403">
        <f>Data!I416</f>
        <v>0</v>
      </c>
      <c r="P403" s="21">
        <f>Data!J416</f>
        <v>0</v>
      </c>
      <c r="Q403">
        <f>Data!K416</f>
        <v>0</v>
      </c>
      <c r="R403">
        <f>Data!L416</f>
        <v>0</v>
      </c>
      <c r="S403">
        <f>Data!M416</f>
        <v>0</v>
      </c>
      <c r="T403">
        <f>Data!N416</f>
        <v>0</v>
      </c>
      <c r="U403">
        <f>Data!O416</f>
        <v>0</v>
      </c>
      <c r="V403" s="33">
        <f>Data!P416</f>
        <v>0</v>
      </c>
    </row>
    <row r="404" spans="7:22" x14ac:dyDescent="0.25">
      <c r="G404">
        <f>Data!A417</f>
        <v>0</v>
      </c>
      <c r="H404" s="21">
        <f>Data!B417</f>
        <v>0</v>
      </c>
      <c r="I404" s="21">
        <f>Data!C417</f>
        <v>0</v>
      </c>
      <c r="J404">
        <f>Data!D417</f>
        <v>0</v>
      </c>
      <c r="K404">
        <f>Data!E417</f>
        <v>0</v>
      </c>
      <c r="L404">
        <f>Data!F417</f>
        <v>0</v>
      </c>
      <c r="M404">
        <f>Data!G417</f>
        <v>0</v>
      </c>
      <c r="N404">
        <f>Data!H417</f>
        <v>0</v>
      </c>
      <c r="O404">
        <f>Data!I417</f>
        <v>0</v>
      </c>
      <c r="P404" s="21">
        <f>Data!J417</f>
        <v>0</v>
      </c>
      <c r="Q404">
        <f>Data!K417</f>
        <v>0</v>
      </c>
      <c r="R404">
        <f>Data!L417</f>
        <v>0</v>
      </c>
      <c r="S404">
        <f>Data!M417</f>
        <v>0</v>
      </c>
      <c r="T404">
        <f>Data!N417</f>
        <v>0</v>
      </c>
      <c r="U404">
        <f>Data!O417</f>
        <v>0</v>
      </c>
      <c r="V404" s="33">
        <f>Data!P417</f>
        <v>0</v>
      </c>
    </row>
    <row r="405" spans="7:22" x14ac:dyDescent="0.25">
      <c r="G405">
        <f>Data!A418</f>
        <v>0</v>
      </c>
      <c r="H405" s="21">
        <f>Data!B418</f>
        <v>0</v>
      </c>
      <c r="I405" s="21">
        <f>Data!C418</f>
        <v>0</v>
      </c>
      <c r="J405">
        <f>Data!D418</f>
        <v>0</v>
      </c>
      <c r="K405">
        <f>Data!E418</f>
        <v>0</v>
      </c>
      <c r="L405">
        <f>Data!F418</f>
        <v>0</v>
      </c>
      <c r="M405">
        <f>Data!G418</f>
        <v>0</v>
      </c>
      <c r="N405">
        <f>Data!H418</f>
        <v>0</v>
      </c>
      <c r="O405">
        <f>Data!I418</f>
        <v>0</v>
      </c>
      <c r="P405" s="21">
        <f>Data!J418</f>
        <v>0</v>
      </c>
      <c r="Q405">
        <f>Data!K418</f>
        <v>0</v>
      </c>
      <c r="R405">
        <f>Data!L418</f>
        <v>0</v>
      </c>
      <c r="S405">
        <f>Data!M418</f>
        <v>0</v>
      </c>
      <c r="T405">
        <f>Data!N418</f>
        <v>0</v>
      </c>
      <c r="U405">
        <f>Data!O418</f>
        <v>0</v>
      </c>
      <c r="V405" s="33">
        <f>Data!P418</f>
        <v>0</v>
      </c>
    </row>
    <row r="406" spans="7:22" x14ac:dyDescent="0.25">
      <c r="G406">
        <f>Data!A419</f>
        <v>0</v>
      </c>
      <c r="H406" s="21">
        <f>Data!B419</f>
        <v>0</v>
      </c>
      <c r="I406" s="21">
        <f>Data!C419</f>
        <v>0</v>
      </c>
      <c r="J406">
        <f>Data!D419</f>
        <v>0</v>
      </c>
      <c r="K406">
        <f>Data!E419</f>
        <v>0</v>
      </c>
      <c r="L406">
        <f>Data!F419</f>
        <v>0</v>
      </c>
      <c r="M406">
        <f>Data!G419</f>
        <v>0</v>
      </c>
      <c r="N406">
        <f>Data!H419</f>
        <v>0</v>
      </c>
      <c r="O406">
        <f>Data!I419</f>
        <v>0</v>
      </c>
      <c r="P406" s="21">
        <f>Data!J419</f>
        <v>0</v>
      </c>
      <c r="Q406">
        <f>Data!K419</f>
        <v>0</v>
      </c>
      <c r="R406">
        <f>Data!L419</f>
        <v>0</v>
      </c>
      <c r="S406">
        <f>Data!M419</f>
        <v>0</v>
      </c>
      <c r="T406">
        <f>Data!N419</f>
        <v>0</v>
      </c>
      <c r="U406">
        <f>Data!O419</f>
        <v>0</v>
      </c>
      <c r="V406" s="33">
        <f>Data!P419</f>
        <v>0</v>
      </c>
    </row>
    <row r="407" spans="7:22" x14ac:dyDescent="0.25">
      <c r="G407">
        <f>Data!A420</f>
        <v>0</v>
      </c>
      <c r="H407" s="21">
        <f>Data!B420</f>
        <v>0</v>
      </c>
      <c r="I407" s="21">
        <f>Data!C420</f>
        <v>0</v>
      </c>
      <c r="J407">
        <f>Data!D420</f>
        <v>0</v>
      </c>
      <c r="K407">
        <f>Data!E420</f>
        <v>0</v>
      </c>
      <c r="L407">
        <f>Data!F420</f>
        <v>0</v>
      </c>
      <c r="M407">
        <f>Data!G420</f>
        <v>0</v>
      </c>
      <c r="N407">
        <f>Data!H420</f>
        <v>0</v>
      </c>
      <c r="O407">
        <f>Data!I420</f>
        <v>0</v>
      </c>
      <c r="P407" s="21">
        <f>Data!J420</f>
        <v>0</v>
      </c>
      <c r="Q407">
        <f>Data!K420</f>
        <v>0</v>
      </c>
      <c r="R407">
        <f>Data!L420</f>
        <v>0</v>
      </c>
      <c r="S407">
        <f>Data!M420</f>
        <v>0</v>
      </c>
      <c r="T407">
        <f>Data!N420</f>
        <v>0</v>
      </c>
      <c r="U407">
        <f>Data!O420</f>
        <v>0</v>
      </c>
      <c r="V407" s="33">
        <f>Data!P420</f>
        <v>0</v>
      </c>
    </row>
    <row r="408" spans="7:22" x14ac:dyDescent="0.25">
      <c r="G408">
        <f>Data!A421</f>
        <v>0</v>
      </c>
      <c r="H408" s="21">
        <f>Data!B421</f>
        <v>0</v>
      </c>
      <c r="I408" s="21">
        <f>Data!C421</f>
        <v>0</v>
      </c>
      <c r="J408">
        <f>Data!D421</f>
        <v>0</v>
      </c>
      <c r="K408">
        <f>Data!E421</f>
        <v>0</v>
      </c>
      <c r="L408">
        <f>Data!F421</f>
        <v>0</v>
      </c>
      <c r="M408">
        <f>Data!G421</f>
        <v>0</v>
      </c>
      <c r="N408">
        <f>Data!H421</f>
        <v>0</v>
      </c>
      <c r="O408">
        <f>Data!I421</f>
        <v>0</v>
      </c>
      <c r="P408" s="21">
        <f>Data!J421</f>
        <v>0</v>
      </c>
      <c r="Q408">
        <f>Data!K421</f>
        <v>0</v>
      </c>
      <c r="R408">
        <f>Data!L421</f>
        <v>0</v>
      </c>
      <c r="S408">
        <f>Data!M421</f>
        <v>0</v>
      </c>
      <c r="T408">
        <f>Data!N421</f>
        <v>0</v>
      </c>
      <c r="U408">
        <f>Data!O421</f>
        <v>0</v>
      </c>
      <c r="V408" s="33">
        <f>Data!P421</f>
        <v>0</v>
      </c>
    </row>
    <row r="409" spans="7:22" x14ac:dyDescent="0.25">
      <c r="G409">
        <f>Data!A422</f>
        <v>0</v>
      </c>
      <c r="H409" s="21">
        <f>Data!B422</f>
        <v>0</v>
      </c>
      <c r="I409" s="21">
        <f>Data!C422</f>
        <v>0</v>
      </c>
      <c r="J409">
        <f>Data!D422</f>
        <v>0</v>
      </c>
      <c r="K409">
        <f>Data!E422</f>
        <v>0</v>
      </c>
      <c r="L409">
        <f>Data!F422</f>
        <v>0</v>
      </c>
      <c r="M409">
        <f>Data!G422</f>
        <v>0</v>
      </c>
      <c r="N409">
        <f>Data!H422</f>
        <v>0</v>
      </c>
      <c r="O409">
        <f>Data!I422</f>
        <v>0</v>
      </c>
      <c r="P409" s="21">
        <f>Data!J422</f>
        <v>0</v>
      </c>
      <c r="Q409">
        <f>Data!K422</f>
        <v>0</v>
      </c>
      <c r="R409">
        <f>Data!L422</f>
        <v>0</v>
      </c>
      <c r="S409">
        <f>Data!M422</f>
        <v>0</v>
      </c>
      <c r="T409">
        <f>Data!N422</f>
        <v>0</v>
      </c>
      <c r="U409">
        <f>Data!O422</f>
        <v>0</v>
      </c>
      <c r="V409" s="33">
        <f>Data!P422</f>
        <v>0</v>
      </c>
    </row>
    <row r="410" spans="7:22" x14ac:dyDescent="0.25">
      <c r="G410">
        <f>Data!A423</f>
        <v>0</v>
      </c>
      <c r="H410" s="21">
        <f>Data!B423</f>
        <v>0</v>
      </c>
      <c r="I410" s="21">
        <f>Data!C423</f>
        <v>0</v>
      </c>
      <c r="J410">
        <f>Data!D423</f>
        <v>0</v>
      </c>
      <c r="K410">
        <f>Data!E423</f>
        <v>0</v>
      </c>
      <c r="L410">
        <f>Data!F423</f>
        <v>0</v>
      </c>
      <c r="M410">
        <f>Data!G423</f>
        <v>0</v>
      </c>
      <c r="N410">
        <f>Data!H423</f>
        <v>0</v>
      </c>
      <c r="O410">
        <f>Data!I423</f>
        <v>0</v>
      </c>
      <c r="P410" s="21">
        <f>Data!J423</f>
        <v>0</v>
      </c>
      <c r="Q410">
        <f>Data!K423</f>
        <v>0</v>
      </c>
      <c r="R410">
        <f>Data!L423</f>
        <v>0</v>
      </c>
      <c r="S410">
        <f>Data!M423</f>
        <v>0</v>
      </c>
      <c r="T410">
        <f>Data!N423</f>
        <v>0</v>
      </c>
      <c r="U410">
        <f>Data!O423</f>
        <v>0</v>
      </c>
      <c r="V410" s="33">
        <f>Data!P423</f>
        <v>0</v>
      </c>
    </row>
    <row r="411" spans="7:22" x14ac:dyDescent="0.25">
      <c r="G411">
        <f>Data!A424</f>
        <v>0</v>
      </c>
      <c r="H411" s="21">
        <f>Data!B424</f>
        <v>0</v>
      </c>
      <c r="I411" s="21">
        <f>Data!C424</f>
        <v>0</v>
      </c>
      <c r="J411">
        <f>Data!D424</f>
        <v>0</v>
      </c>
      <c r="K411">
        <f>Data!E424</f>
        <v>0</v>
      </c>
      <c r="L411">
        <f>Data!F424</f>
        <v>0</v>
      </c>
      <c r="M411">
        <f>Data!G424</f>
        <v>0</v>
      </c>
      <c r="N411">
        <f>Data!H424</f>
        <v>0</v>
      </c>
      <c r="O411">
        <f>Data!I424</f>
        <v>0</v>
      </c>
      <c r="P411" s="21">
        <f>Data!J424</f>
        <v>0</v>
      </c>
      <c r="Q411">
        <f>Data!K424</f>
        <v>0</v>
      </c>
      <c r="R411">
        <f>Data!L424</f>
        <v>0</v>
      </c>
      <c r="S411">
        <f>Data!M424</f>
        <v>0</v>
      </c>
      <c r="T411">
        <f>Data!N424</f>
        <v>0</v>
      </c>
      <c r="U411">
        <f>Data!O424</f>
        <v>0</v>
      </c>
      <c r="V411" s="33">
        <f>Data!P424</f>
        <v>0</v>
      </c>
    </row>
    <row r="412" spans="7:22" x14ac:dyDescent="0.25">
      <c r="G412">
        <f>Data!A425</f>
        <v>0</v>
      </c>
      <c r="H412" s="21">
        <f>Data!B425</f>
        <v>0</v>
      </c>
      <c r="I412" s="21">
        <f>Data!C425</f>
        <v>0</v>
      </c>
      <c r="J412">
        <f>Data!D425</f>
        <v>0</v>
      </c>
      <c r="K412">
        <f>Data!E425</f>
        <v>0</v>
      </c>
      <c r="L412">
        <f>Data!F425</f>
        <v>0</v>
      </c>
      <c r="M412">
        <f>Data!G425</f>
        <v>0</v>
      </c>
      <c r="N412">
        <f>Data!H425</f>
        <v>0</v>
      </c>
      <c r="O412">
        <f>Data!I425</f>
        <v>0</v>
      </c>
      <c r="P412" s="21">
        <f>Data!J425</f>
        <v>0</v>
      </c>
      <c r="Q412">
        <f>Data!K425</f>
        <v>0</v>
      </c>
      <c r="R412">
        <f>Data!L425</f>
        <v>0</v>
      </c>
      <c r="S412">
        <f>Data!M425</f>
        <v>0</v>
      </c>
      <c r="T412">
        <f>Data!N425</f>
        <v>0</v>
      </c>
      <c r="U412">
        <f>Data!O425</f>
        <v>0</v>
      </c>
      <c r="V412" s="33">
        <f>Data!P425</f>
        <v>0</v>
      </c>
    </row>
    <row r="413" spans="7:22" x14ac:dyDescent="0.25">
      <c r="G413">
        <f>Data!A426</f>
        <v>0</v>
      </c>
      <c r="H413" s="21">
        <f>Data!B426</f>
        <v>0</v>
      </c>
      <c r="I413" s="21">
        <f>Data!C426</f>
        <v>0</v>
      </c>
      <c r="J413">
        <f>Data!D426</f>
        <v>0</v>
      </c>
      <c r="K413">
        <f>Data!E426</f>
        <v>0</v>
      </c>
      <c r="L413">
        <f>Data!F426</f>
        <v>0</v>
      </c>
      <c r="M413">
        <f>Data!G426</f>
        <v>0</v>
      </c>
      <c r="N413">
        <f>Data!H426</f>
        <v>0</v>
      </c>
      <c r="O413">
        <f>Data!I426</f>
        <v>0</v>
      </c>
      <c r="P413" s="21">
        <f>Data!J426</f>
        <v>0</v>
      </c>
      <c r="Q413">
        <f>Data!K426</f>
        <v>0</v>
      </c>
      <c r="R413">
        <f>Data!L426</f>
        <v>0</v>
      </c>
      <c r="S413">
        <f>Data!M426</f>
        <v>0</v>
      </c>
      <c r="T413">
        <f>Data!N426</f>
        <v>0</v>
      </c>
      <c r="U413">
        <f>Data!O426</f>
        <v>0</v>
      </c>
      <c r="V413" s="33">
        <f>Data!P426</f>
        <v>0</v>
      </c>
    </row>
    <row r="414" spans="7:22" x14ac:dyDescent="0.25">
      <c r="G414">
        <f>Data!A427</f>
        <v>0</v>
      </c>
      <c r="H414" s="21">
        <f>Data!B427</f>
        <v>0</v>
      </c>
      <c r="I414" s="21">
        <f>Data!C427</f>
        <v>0</v>
      </c>
      <c r="J414">
        <f>Data!D427</f>
        <v>0</v>
      </c>
      <c r="K414">
        <f>Data!E427</f>
        <v>0</v>
      </c>
      <c r="L414">
        <f>Data!F427</f>
        <v>0</v>
      </c>
      <c r="M414">
        <f>Data!G427</f>
        <v>0</v>
      </c>
      <c r="N414">
        <f>Data!H427</f>
        <v>0</v>
      </c>
      <c r="O414">
        <f>Data!I427</f>
        <v>0</v>
      </c>
      <c r="P414" s="21">
        <f>Data!J427</f>
        <v>0</v>
      </c>
      <c r="Q414">
        <f>Data!K427</f>
        <v>0</v>
      </c>
      <c r="R414">
        <f>Data!L427</f>
        <v>0</v>
      </c>
      <c r="S414">
        <f>Data!M427</f>
        <v>0</v>
      </c>
      <c r="T414">
        <f>Data!N427</f>
        <v>0</v>
      </c>
      <c r="U414">
        <f>Data!O427</f>
        <v>0</v>
      </c>
      <c r="V414" s="33">
        <f>Data!P427</f>
        <v>0</v>
      </c>
    </row>
    <row r="415" spans="7:22" x14ac:dyDescent="0.25">
      <c r="G415">
        <f>Data!A428</f>
        <v>0</v>
      </c>
      <c r="H415" s="21">
        <f>Data!B428</f>
        <v>0</v>
      </c>
      <c r="I415" s="21">
        <f>Data!C428</f>
        <v>0</v>
      </c>
      <c r="J415">
        <f>Data!D428</f>
        <v>0</v>
      </c>
      <c r="K415">
        <f>Data!E428</f>
        <v>0</v>
      </c>
      <c r="L415">
        <f>Data!F428</f>
        <v>0</v>
      </c>
      <c r="M415">
        <f>Data!G428</f>
        <v>0</v>
      </c>
      <c r="N415">
        <f>Data!H428</f>
        <v>0</v>
      </c>
      <c r="O415">
        <f>Data!I428</f>
        <v>0</v>
      </c>
      <c r="P415" s="21">
        <f>Data!J428</f>
        <v>0</v>
      </c>
      <c r="Q415">
        <f>Data!K428</f>
        <v>0</v>
      </c>
      <c r="R415">
        <f>Data!L428</f>
        <v>0</v>
      </c>
      <c r="S415">
        <f>Data!M428</f>
        <v>0</v>
      </c>
      <c r="T415">
        <f>Data!N428</f>
        <v>0</v>
      </c>
      <c r="U415">
        <f>Data!O428</f>
        <v>0</v>
      </c>
      <c r="V415" s="33">
        <f>Data!P428</f>
        <v>0</v>
      </c>
    </row>
    <row r="416" spans="7:22" x14ac:dyDescent="0.25">
      <c r="G416">
        <f>Data!A429</f>
        <v>0</v>
      </c>
      <c r="H416" s="21">
        <f>Data!B429</f>
        <v>0</v>
      </c>
      <c r="I416" s="21">
        <f>Data!C429</f>
        <v>0</v>
      </c>
      <c r="J416">
        <f>Data!D429</f>
        <v>0</v>
      </c>
      <c r="K416">
        <f>Data!E429</f>
        <v>0</v>
      </c>
      <c r="L416">
        <f>Data!F429</f>
        <v>0</v>
      </c>
      <c r="M416">
        <f>Data!G429</f>
        <v>0</v>
      </c>
      <c r="N416">
        <f>Data!H429</f>
        <v>0</v>
      </c>
      <c r="O416">
        <f>Data!I429</f>
        <v>0</v>
      </c>
      <c r="P416" s="21">
        <f>Data!J429</f>
        <v>0</v>
      </c>
      <c r="Q416">
        <f>Data!K429</f>
        <v>0</v>
      </c>
      <c r="R416">
        <f>Data!L429</f>
        <v>0</v>
      </c>
      <c r="S416">
        <f>Data!M429</f>
        <v>0</v>
      </c>
      <c r="T416">
        <f>Data!N429</f>
        <v>0</v>
      </c>
      <c r="U416">
        <f>Data!O429</f>
        <v>0</v>
      </c>
      <c r="V416" s="33">
        <f>Data!P429</f>
        <v>0</v>
      </c>
    </row>
    <row r="417" spans="7:22" x14ac:dyDescent="0.25">
      <c r="G417">
        <f>Data!A430</f>
        <v>0</v>
      </c>
      <c r="H417" s="21">
        <f>Data!B430</f>
        <v>0</v>
      </c>
      <c r="I417" s="21">
        <f>Data!C430</f>
        <v>0</v>
      </c>
      <c r="J417">
        <f>Data!D430</f>
        <v>0</v>
      </c>
      <c r="K417">
        <f>Data!E430</f>
        <v>0</v>
      </c>
      <c r="L417">
        <f>Data!F430</f>
        <v>0</v>
      </c>
      <c r="M417">
        <f>Data!G430</f>
        <v>0</v>
      </c>
      <c r="N417">
        <f>Data!H430</f>
        <v>0</v>
      </c>
      <c r="O417">
        <f>Data!I430</f>
        <v>0</v>
      </c>
      <c r="P417" s="21">
        <f>Data!J430</f>
        <v>0</v>
      </c>
      <c r="Q417">
        <f>Data!K430</f>
        <v>0</v>
      </c>
      <c r="R417">
        <f>Data!L430</f>
        <v>0</v>
      </c>
      <c r="S417">
        <f>Data!M430</f>
        <v>0</v>
      </c>
      <c r="T417">
        <f>Data!N430</f>
        <v>0</v>
      </c>
      <c r="U417">
        <f>Data!O430</f>
        <v>0</v>
      </c>
      <c r="V417" s="33">
        <f>Data!P430</f>
        <v>0</v>
      </c>
    </row>
    <row r="418" spans="7:22" x14ac:dyDescent="0.25">
      <c r="G418">
        <f>Data!A431</f>
        <v>0</v>
      </c>
      <c r="H418" s="21">
        <f>Data!B431</f>
        <v>0</v>
      </c>
      <c r="I418" s="21">
        <f>Data!C431</f>
        <v>0</v>
      </c>
      <c r="J418">
        <f>Data!D431</f>
        <v>0</v>
      </c>
      <c r="K418">
        <f>Data!E431</f>
        <v>0</v>
      </c>
      <c r="L418">
        <f>Data!F431</f>
        <v>0</v>
      </c>
      <c r="M418">
        <f>Data!G431</f>
        <v>0</v>
      </c>
      <c r="N418">
        <f>Data!H431</f>
        <v>0</v>
      </c>
      <c r="O418">
        <f>Data!I431</f>
        <v>0</v>
      </c>
      <c r="P418" s="21">
        <f>Data!J431</f>
        <v>0</v>
      </c>
      <c r="Q418">
        <f>Data!K431</f>
        <v>0</v>
      </c>
      <c r="R418">
        <f>Data!L431</f>
        <v>0</v>
      </c>
      <c r="S418">
        <f>Data!M431</f>
        <v>0</v>
      </c>
      <c r="T418">
        <f>Data!N431</f>
        <v>0</v>
      </c>
      <c r="U418">
        <f>Data!O431</f>
        <v>0</v>
      </c>
      <c r="V418" s="33">
        <f>Data!P431</f>
        <v>0</v>
      </c>
    </row>
    <row r="419" spans="7:22" x14ac:dyDescent="0.25">
      <c r="G419">
        <f>Data!A432</f>
        <v>0</v>
      </c>
      <c r="H419" s="21">
        <f>Data!B432</f>
        <v>0</v>
      </c>
      <c r="I419" s="21">
        <f>Data!C432</f>
        <v>0</v>
      </c>
      <c r="J419">
        <f>Data!D432</f>
        <v>0</v>
      </c>
      <c r="K419">
        <f>Data!E432</f>
        <v>0</v>
      </c>
      <c r="L419">
        <f>Data!F432</f>
        <v>0</v>
      </c>
      <c r="M419">
        <f>Data!G432</f>
        <v>0</v>
      </c>
      <c r="N419">
        <f>Data!H432</f>
        <v>0</v>
      </c>
      <c r="O419">
        <f>Data!I432</f>
        <v>0</v>
      </c>
      <c r="P419" s="21">
        <f>Data!J432</f>
        <v>0</v>
      </c>
      <c r="Q419">
        <f>Data!K432</f>
        <v>0</v>
      </c>
      <c r="R419">
        <f>Data!L432</f>
        <v>0</v>
      </c>
      <c r="S419">
        <f>Data!M432</f>
        <v>0</v>
      </c>
      <c r="T419">
        <f>Data!N432</f>
        <v>0</v>
      </c>
      <c r="U419">
        <f>Data!O432</f>
        <v>0</v>
      </c>
      <c r="V419" s="33">
        <f>Data!P432</f>
        <v>0</v>
      </c>
    </row>
    <row r="420" spans="7:22" x14ac:dyDescent="0.25">
      <c r="G420">
        <f>Data!A433</f>
        <v>0</v>
      </c>
      <c r="H420" s="21">
        <f>Data!B433</f>
        <v>0</v>
      </c>
      <c r="I420" s="21">
        <f>Data!C433</f>
        <v>0</v>
      </c>
      <c r="J420">
        <f>Data!D433</f>
        <v>0</v>
      </c>
      <c r="K420">
        <f>Data!E433</f>
        <v>0</v>
      </c>
      <c r="L420">
        <f>Data!F433</f>
        <v>0</v>
      </c>
      <c r="M420">
        <f>Data!G433</f>
        <v>0</v>
      </c>
      <c r="N420">
        <f>Data!H433</f>
        <v>0</v>
      </c>
      <c r="O420">
        <f>Data!I433</f>
        <v>0</v>
      </c>
      <c r="P420" s="21">
        <f>Data!J433</f>
        <v>0</v>
      </c>
      <c r="Q420">
        <f>Data!K433</f>
        <v>0</v>
      </c>
      <c r="R420">
        <f>Data!L433</f>
        <v>0</v>
      </c>
      <c r="S420">
        <f>Data!M433</f>
        <v>0</v>
      </c>
      <c r="T420">
        <f>Data!N433</f>
        <v>0</v>
      </c>
      <c r="U420">
        <f>Data!O433</f>
        <v>0</v>
      </c>
      <c r="V420" s="33">
        <f>Data!P433</f>
        <v>0</v>
      </c>
    </row>
    <row r="421" spans="7:22" x14ac:dyDescent="0.25">
      <c r="G421">
        <f>Data!A434</f>
        <v>0</v>
      </c>
      <c r="H421" s="21">
        <f>Data!B434</f>
        <v>0</v>
      </c>
      <c r="I421" s="21">
        <f>Data!C434</f>
        <v>0</v>
      </c>
      <c r="J421">
        <f>Data!D434</f>
        <v>0</v>
      </c>
      <c r="K421">
        <f>Data!E434</f>
        <v>0</v>
      </c>
      <c r="L421">
        <f>Data!F434</f>
        <v>0</v>
      </c>
      <c r="M421">
        <f>Data!G434</f>
        <v>0</v>
      </c>
      <c r="N421">
        <f>Data!H434</f>
        <v>0</v>
      </c>
      <c r="O421">
        <f>Data!I434</f>
        <v>0</v>
      </c>
      <c r="P421" s="21">
        <f>Data!J434</f>
        <v>0</v>
      </c>
      <c r="Q421">
        <f>Data!K434</f>
        <v>0</v>
      </c>
      <c r="R421">
        <f>Data!L434</f>
        <v>0</v>
      </c>
      <c r="S421">
        <f>Data!M434</f>
        <v>0</v>
      </c>
      <c r="T421">
        <f>Data!N434</f>
        <v>0</v>
      </c>
      <c r="U421">
        <f>Data!O434</f>
        <v>0</v>
      </c>
      <c r="V421" s="33">
        <f>Data!P434</f>
        <v>0</v>
      </c>
    </row>
    <row r="422" spans="7:22" x14ac:dyDescent="0.25">
      <c r="G422">
        <f>Data!A435</f>
        <v>0</v>
      </c>
      <c r="H422" s="21">
        <f>Data!B435</f>
        <v>0</v>
      </c>
      <c r="I422" s="21">
        <f>Data!C435</f>
        <v>0</v>
      </c>
      <c r="J422">
        <f>Data!D435</f>
        <v>0</v>
      </c>
      <c r="K422">
        <f>Data!E435</f>
        <v>0</v>
      </c>
      <c r="L422">
        <f>Data!F435</f>
        <v>0</v>
      </c>
      <c r="M422">
        <f>Data!G435</f>
        <v>0</v>
      </c>
      <c r="N422">
        <f>Data!H435</f>
        <v>0</v>
      </c>
      <c r="O422">
        <f>Data!I435</f>
        <v>0</v>
      </c>
      <c r="P422" s="21">
        <f>Data!J435</f>
        <v>0</v>
      </c>
      <c r="Q422">
        <f>Data!K435</f>
        <v>0</v>
      </c>
      <c r="R422">
        <f>Data!L435</f>
        <v>0</v>
      </c>
      <c r="S422">
        <f>Data!M435</f>
        <v>0</v>
      </c>
      <c r="T422">
        <f>Data!N435</f>
        <v>0</v>
      </c>
      <c r="U422">
        <f>Data!O435</f>
        <v>0</v>
      </c>
      <c r="V422" s="33">
        <f>Data!P435</f>
        <v>0</v>
      </c>
    </row>
    <row r="423" spans="7:22" x14ac:dyDescent="0.25">
      <c r="G423">
        <f>Data!A436</f>
        <v>0</v>
      </c>
      <c r="H423" s="21">
        <f>Data!B436</f>
        <v>0</v>
      </c>
      <c r="I423" s="21">
        <f>Data!C436</f>
        <v>0</v>
      </c>
      <c r="J423">
        <f>Data!D436</f>
        <v>0</v>
      </c>
      <c r="K423">
        <f>Data!E436</f>
        <v>0</v>
      </c>
      <c r="L423">
        <f>Data!F436</f>
        <v>0</v>
      </c>
      <c r="M423">
        <f>Data!G436</f>
        <v>0</v>
      </c>
      <c r="N423">
        <f>Data!H436</f>
        <v>0</v>
      </c>
      <c r="O423">
        <f>Data!I436</f>
        <v>0</v>
      </c>
      <c r="P423" s="21">
        <f>Data!J436</f>
        <v>0</v>
      </c>
      <c r="Q423">
        <f>Data!K436</f>
        <v>0</v>
      </c>
      <c r="R423">
        <f>Data!L436</f>
        <v>0</v>
      </c>
      <c r="S423">
        <f>Data!M436</f>
        <v>0</v>
      </c>
      <c r="T423">
        <f>Data!N436</f>
        <v>0</v>
      </c>
      <c r="U423">
        <f>Data!O436</f>
        <v>0</v>
      </c>
      <c r="V423" s="33">
        <f>Data!P436</f>
        <v>0</v>
      </c>
    </row>
    <row r="424" spans="7:22" x14ac:dyDescent="0.25">
      <c r="G424">
        <f>Data!A437</f>
        <v>0</v>
      </c>
      <c r="H424" s="21">
        <f>Data!B437</f>
        <v>0</v>
      </c>
      <c r="I424" s="21">
        <f>Data!C437</f>
        <v>0</v>
      </c>
      <c r="J424">
        <f>Data!D437</f>
        <v>0</v>
      </c>
      <c r="K424">
        <f>Data!E437</f>
        <v>0</v>
      </c>
      <c r="L424">
        <f>Data!F437</f>
        <v>0</v>
      </c>
      <c r="M424">
        <f>Data!G437</f>
        <v>0</v>
      </c>
      <c r="N424">
        <f>Data!H437</f>
        <v>0</v>
      </c>
      <c r="O424">
        <f>Data!I437</f>
        <v>0</v>
      </c>
      <c r="P424" s="21">
        <f>Data!J437</f>
        <v>0</v>
      </c>
      <c r="Q424">
        <f>Data!K437</f>
        <v>0</v>
      </c>
      <c r="R424">
        <f>Data!L437</f>
        <v>0</v>
      </c>
      <c r="S424">
        <f>Data!M437</f>
        <v>0</v>
      </c>
      <c r="T424">
        <f>Data!N437</f>
        <v>0</v>
      </c>
      <c r="U424">
        <f>Data!O437</f>
        <v>0</v>
      </c>
      <c r="V424" s="33">
        <f>Data!P437</f>
        <v>0</v>
      </c>
    </row>
    <row r="425" spans="7:22" x14ac:dyDescent="0.25">
      <c r="G425">
        <f>Data!A438</f>
        <v>0</v>
      </c>
      <c r="H425" s="21">
        <f>Data!B438</f>
        <v>0</v>
      </c>
      <c r="I425" s="21">
        <f>Data!C438</f>
        <v>0</v>
      </c>
      <c r="J425">
        <f>Data!D438</f>
        <v>0</v>
      </c>
      <c r="K425">
        <f>Data!E438</f>
        <v>0</v>
      </c>
      <c r="L425">
        <f>Data!F438</f>
        <v>0</v>
      </c>
      <c r="M425">
        <f>Data!G438</f>
        <v>0</v>
      </c>
      <c r="N425">
        <f>Data!H438</f>
        <v>0</v>
      </c>
      <c r="O425">
        <f>Data!I438</f>
        <v>0</v>
      </c>
      <c r="P425" s="21">
        <f>Data!J438</f>
        <v>0</v>
      </c>
      <c r="Q425">
        <f>Data!K438</f>
        <v>0</v>
      </c>
      <c r="R425">
        <f>Data!L438</f>
        <v>0</v>
      </c>
      <c r="S425">
        <f>Data!M438</f>
        <v>0</v>
      </c>
      <c r="T425">
        <f>Data!N438</f>
        <v>0</v>
      </c>
      <c r="U425">
        <f>Data!O438</f>
        <v>0</v>
      </c>
      <c r="V425" s="33">
        <f>Data!P438</f>
        <v>0</v>
      </c>
    </row>
    <row r="426" spans="7:22" x14ac:dyDescent="0.25">
      <c r="G426">
        <f>Data!A439</f>
        <v>0</v>
      </c>
      <c r="H426" s="21">
        <f>Data!B439</f>
        <v>0</v>
      </c>
      <c r="I426" s="21">
        <f>Data!C439</f>
        <v>0</v>
      </c>
      <c r="J426">
        <f>Data!D439</f>
        <v>0</v>
      </c>
      <c r="K426">
        <f>Data!E439</f>
        <v>0</v>
      </c>
      <c r="L426">
        <f>Data!F439</f>
        <v>0</v>
      </c>
      <c r="M426">
        <f>Data!G439</f>
        <v>0</v>
      </c>
      <c r="N426">
        <f>Data!H439</f>
        <v>0</v>
      </c>
      <c r="O426">
        <f>Data!I439</f>
        <v>0</v>
      </c>
      <c r="P426" s="21">
        <f>Data!J439</f>
        <v>0</v>
      </c>
      <c r="Q426">
        <f>Data!K439</f>
        <v>0</v>
      </c>
      <c r="R426">
        <f>Data!L439</f>
        <v>0</v>
      </c>
      <c r="S426">
        <f>Data!M439</f>
        <v>0</v>
      </c>
      <c r="T426">
        <f>Data!N439</f>
        <v>0</v>
      </c>
      <c r="U426">
        <f>Data!O439</f>
        <v>0</v>
      </c>
      <c r="V426" s="33">
        <f>Data!P439</f>
        <v>0</v>
      </c>
    </row>
    <row r="427" spans="7:22" x14ac:dyDescent="0.25">
      <c r="G427">
        <f>Data!A440</f>
        <v>0</v>
      </c>
      <c r="H427" s="21">
        <f>Data!B440</f>
        <v>0</v>
      </c>
      <c r="I427" s="21">
        <f>Data!C440</f>
        <v>0</v>
      </c>
      <c r="J427">
        <f>Data!D440</f>
        <v>0</v>
      </c>
      <c r="K427">
        <f>Data!E440</f>
        <v>0</v>
      </c>
      <c r="L427">
        <f>Data!F440</f>
        <v>0</v>
      </c>
      <c r="M427">
        <f>Data!G440</f>
        <v>0</v>
      </c>
      <c r="N427">
        <f>Data!H440</f>
        <v>0</v>
      </c>
      <c r="O427">
        <f>Data!I440</f>
        <v>0</v>
      </c>
      <c r="P427" s="21">
        <f>Data!J440</f>
        <v>0</v>
      </c>
      <c r="Q427">
        <f>Data!K440</f>
        <v>0</v>
      </c>
      <c r="R427">
        <f>Data!L440</f>
        <v>0</v>
      </c>
      <c r="S427">
        <f>Data!M440</f>
        <v>0</v>
      </c>
      <c r="T427">
        <f>Data!N440</f>
        <v>0</v>
      </c>
      <c r="U427">
        <f>Data!O440</f>
        <v>0</v>
      </c>
      <c r="V427" s="33">
        <f>Data!P440</f>
        <v>0</v>
      </c>
    </row>
    <row r="428" spans="7:22" x14ac:dyDescent="0.25">
      <c r="G428">
        <f>Data!A441</f>
        <v>0</v>
      </c>
      <c r="H428" s="21">
        <f>Data!B441</f>
        <v>0</v>
      </c>
      <c r="I428" s="21">
        <f>Data!C441</f>
        <v>0</v>
      </c>
      <c r="J428">
        <f>Data!D441</f>
        <v>0</v>
      </c>
      <c r="K428">
        <f>Data!E441</f>
        <v>0</v>
      </c>
      <c r="L428">
        <f>Data!F441</f>
        <v>0</v>
      </c>
      <c r="M428">
        <f>Data!G441</f>
        <v>0</v>
      </c>
      <c r="N428">
        <f>Data!H441</f>
        <v>0</v>
      </c>
      <c r="O428">
        <f>Data!I441</f>
        <v>0</v>
      </c>
      <c r="P428" s="21">
        <f>Data!J441</f>
        <v>0</v>
      </c>
      <c r="Q428">
        <f>Data!K441</f>
        <v>0</v>
      </c>
      <c r="R428">
        <f>Data!L441</f>
        <v>0</v>
      </c>
      <c r="S428">
        <f>Data!M441</f>
        <v>0</v>
      </c>
      <c r="T428">
        <f>Data!N441</f>
        <v>0</v>
      </c>
      <c r="U428">
        <f>Data!O441</f>
        <v>0</v>
      </c>
      <c r="V428" s="33">
        <f>Data!P441</f>
        <v>0</v>
      </c>
    </row>
    <row r="429" spans="7:22" x14ac:dyDescent="0.25">
      <c r="G429">
        <f>Data!A442</f>
        <v>0</v>
      </c>
      <c r="H429" s="21">
        <f>Data!B442</f>
        <v>0</v>
      </c>
      <c r="I429" s="21">
        <f>Data!C442</f>
        <v>0</v>
      </c>
      <c r="J429">
        <f>Data!D442</f>
        <v>0</v>
      </c>
      <c r="K429">
        <f>Data!E442</f>
        <v>0</v>
      </c>
      <c r="L429">
        <f>Data!F442</f>
        <v>0</v>
      </c>
      <c r="M429">
        <f>Data!G442</f>
        <v>0</v>
      </c>
      <c r="N429">
        <f>Data!H442</f>
        <v>0</v>
      </c>
      <c r="O429">
        <f>Data!I442</f>
        <v>0</v>
      </c>
      <c r="P429" s="21">
        <f>Data!J442</f>
        <v>0</v>
      </c>
      <c r="Q429">
        <f>Data!K442</f>
        <v>0</v>
      </c>
      <c r="R429">
        <f>Data!L442</f>
        <v>0</v>
      </c>
      <c r="S429">
        <f>Data!M442</f>
        <v>0</v>
      </c>
      <c r="T429">
        <f>Data!N442</f>
        <v>0</v>
      </c>
      <c r="U429">
        <f>Data!O442</f>
        <v>0</v>
      </c>
      <c r="V429" s="33">
        <f>Data!P442</f>
        <v>0</v>
      </c>
    </row>
    <row r="430" spans="7:22" x14ac:dyDescent="0.25">
      <c r="G430">
        <f>Data!A443</f>
        <v>0</v>
      </c>
      <c r="H430" s="21">
        <f>Data!B443</f>
        <v>0</v>
      </c>
      <c r="I430" s="21">
        <f>Data!C443</f>
        <v>0</v>
      </c>
      <c r="J430">
        <f>Data!D443</f>
        <v>0</v>
      </c>
      <c r="K430">
        <f>Data!E443</f>
        <v>0</v>
      </c>
      <c r="L430">
        <f>Data!F443</f>
        <v>0</v>
      </c>
      <c r="M430">
        <f>Data!G443</f>
        <v>0</v>
      </c>
      <c r="N430">
        <f>Data!H443</f>
        <v>0</v>
      </c>
      <c r="O430">
        <f>Data!I443</f>
        <v>0</v>
      </c>
      <c r="P430" s="21">
        <f>Data!J443</f>
        <v>0</v>
      </c>
      <c r="Q430">
        <f>Data!K443</f>
        <v>0</v>
      </c>
      <c r="R430">
        <f>Data!L443</f>
        <v>0</v>
      </c>
      <c r="S430">
        <f>Data!M443</f>
        <v>0</v>
      </c>
      <c r="T430">
        <f>Data!N443</f>
        <v>0</v>
      </c>
      <c r="U430">
        <f>Data!O443</f>
        <v>0</v>
      </c>
      <c r="V430" s="33">
        <f>Data!P443</f>
        <v>0</v>
      </c>
    </row>
    <row r="431" spans="7:22" x14ac:dyDescent="0.25">
      <c r="G431">
        <f>Data!A444</f>
        <v>0</v>
      </c>
      <c r="H431" s="21">
        <f>Data!B444</f>
        <v>0</v>
      </c>
      <c r="I431" s="21">
        <f>Data!C444</f>
        <v>0</v>
      </c>
      <c r="J431">
        <f>Data!D444</f>
        <v>0</v>
      </c>
      <c r="K431">
        <f>Data!E444</f>
        <v>0</v>
      </c>
      <c r="L431">
        <f>Data!F444</f>
        <v>0</v>
      </c>
      <c r="M431">
        <f>Data!G444</f>
        <v>0</v>
      </c>
      <c r="N431">
        <f>Data!H444</f>
        <v>0</v>
      </c>
      <c r="O431">
        <f>Data!I444</f>
        <v>0</v>
      </c>
      <c r="P431" s="21">
        <f>Data!J444</f>
        <v>0</v>
      </c>
      <c r="Q431">
        <f>Data!K444</f>
        <v>0</v>
      </c>
      <c r="R431">
        <f>Data!L444</f>
        <v>0</v>
      </c>
      <c r="S431">
        <f>Data!M444</f>
        <v>0</v>
      </c>
      <c r="T431">
        <f>Data!N444</f>
        <v>0</v>
      </c>
      <c r="U431">
        <f>Data!O444</f>
        <v>0</v>
      </c>
      <c r="V431" s="33">
        <f>Data!P444</f>
        <v>0</v>
      </c>
    </row>
    <row r="432" spans="7:22" x14ac:dyDescent="0.25">
      <c r="G432">
        <f>Data!A445</f>
        <v>0</v>
      </c>
      <c r="H432" s="21">
        <f>Data!B445</f>
        <v>0</v>
      </c>
      <c r="I432" s="21">
        <f>Data!C445</f>
        <v>0</v>
      </c>
      <c r="J432">
        <f>Data!D445</f>
        <v>0</v>
      </c>
      <c r="K432">
        <f>Data!E445</f>
        <v>0</v>
      </c>
      <c r="L432">
        <f>Data!F445</f>
        <v>0</v>
      </c>
      <c r="M432">
        <f>Data!G445</f>
        <v>0</v>
      </c>
      <c r="N432">
        <f>Data!H445</f>
        <v>0</v>
      </c>
      <c r="O432">
        <f>Data!I445</f>
        <v>0</v>
      </c>
      <c r="P432" s="21">
        <f>Data!J445</f>
        <v>0</v>
      </c>
      <c r="Q432">
        <f>Data!K445</f>
        <v>0</v>
      </c>
      <c r="R432">
        <f>Data!L445</f>
        <v>0</v>
      </c>
      <c r="S432">
        <f>Data!M445</f>
        <v>0</v>
      </c>
      <c r="T432">
        <f>Data!N445</f>
        <v>0</v>
      </c>
      <c r="U432">
        <f>Data!O445</f>
        <v>0</v>
      </c>
      <c r="V432" s="33">
        <f>Data!P445</f>
        <v>0</v>
      </c>
    </row>
    <row r="433" spans="7:22" x14ac:dyDescent="0.25">
      <c r="G433">
        <f>Data!A446</f>
        <v>0</v>
      </c>
      <c r="H433" s="21">
        <f>Data!B446</f>
        <v>0</v>
      </c>
      <c r="I433" s="21">
        <f>Data!C446</f>
        <v>0</v>
      </c>
      <c r="J433">
        <f>Data!D446</f>
        <v>0</v>
      </c>
      <c r="K433">
        <f>Data!E446</f>
        <v>0</v>
      </c>
      <c r="L433">
        <f>Data!F446</f>
        <v>0</v>
      </c>
      <c r="M433">
        <f>Data!G446</f>
        <v>0</v>
      </c>
      <c r="N433">
        <f>Data!H446</f>
        <v>0</v>
      </c>
      <c r="O433">
        <f>Data!I446</f>
        <v>0</v>
      </c>
      <c r="P433" s="21">
        <f>Data!J446</f>
        <v>0</v>
      </c>
      <c r="Q433">
        <f>Data!K446</f>
        <v>0</v>
      </c>
      <c r="R433">
        <f>Data!L446</f>
        <v>0</v>
      </c>
      <c r="S433">
        <f>Data!M446</f>
        <v>0</v>
      </c>
      <c r="T433">
        <f>Data!N446</f>
        <v>0</v>
      </c>
      <c r="U433">
        <f>Data!O446</f>
        <v>0</v>
      </c>
      <c r="V433" s="33">
        <f>Data!P446</f>
        <v>0</v>
      </c>
    </row>
    <row r="434" spans="7:22" x14ac:dyDescent="0.25">
      <c r="G434">
        <f>Data!A447</f>
        <v>0</v>
      </c>
      <c r="H434" s="21">
        <f>Data!B447</f>
        <v>0</v>
      </c>
      <c r="I434" s="21">
        <f>Data!C447</f>
        <v>0</v>
      </c>
      <c r="J434">
        <f>Data!D447</f>
        <v>0</v>
      </c>
      <c r="K434">
        <f>Data!E447</f>
        <v>0</v>
      </c>
      <c r="L434">
        <f>Data!F447</f>
        <v>0</v>
      </c>
      <c r="M434">
        <f>Data!G447</f>
        <v>0</v>
      </c>
      <c r="N434">
        <f>Data!H447</f>
        <v>0</v>
      </c>
      <c r="O434">
        <f>Data!I447</f>
        <v>0</v>
      </c>
      <c r="P434" s="21">
        <f>Data!J447</f>
        <v>0</v>
      </c>
      <c r="Q434">
        <f>Data!K447</f>
        <v>0</v>
      </c>
      <c r="R434">
        <f>Data!L447</f>
        <v>0</v>
      </c>
      <c r="S434">
        <f>Data!M447</f>
        <v>0</v>
      </c>
      <c r="T434">
        <f>Data!N447</f>
        <v>0</v>
      </c>
      <c r="U434">
        <f>Data!O447</f>
        <v>0</v>
      </c>
      <c r="V434" s="33">
        <f>Data!P447</f>
        <v>0</v>
      </c>
    </row>
    <row r="435" spans="7:22" x14ac:dyDescent="0.25">
      <c r="G435">
        <f>Data!A448</f>
        <v>0</v>
      </c>
      <c r="H435" s="21">
        <f>Data!B448</f>
        <v>0</v>
      </c>
      <c r="I435" s="21">
        <f>Data!C448</f>
        <v>0</v>
      </c>
      <c r="J435">
        <f>Data!D448</f>
        <v>0</v>
      </c>
      <c r="K435">
        <f>Data!E448</f>
        <v>0</v>
      </c>
      <c r="L435">
        <f>Data!F448</f>
        <v>0</v>
      </c>
      <c r="M435">
        <f>Data!G448</f>
        <v>0</v>
      </c>
      <c r="N435">
        <f>Data!H448</f>
        <v>0</v>
      </c>
      <c r="O435">
        <f>Data!I448</f>
        <v>0</v>
      </c>
      <c r="P435" s="21">
        <f>Data!J448</f>
        <v>0</v>
      </c>
      <c r="Q435">
        <f>Data!K448</f>
        <v>0</v>
      </c>
      <c r="R435">
        <f>Data!L448</f>
        <v>0</v>
      </c>
      <c r="S435">
        <f>Data!M448</f>
        <v>0</v>
      </c>
      <c r="T435">
        <f>Data!N448</f>
        <v>0</v>
      </c>
      <c r="U435">
        <f>Data!O448</f>
        <v>0</v>
      </c>
      <c r="V435" s="33">
        <f>Data!P448</f>
        <v>0</v>
      </c>
    </row>
    <row r="436" spans="7:22" x14ac:dyDescent="0.25">
      <c r="G436">
        <f>Data!A449</f>
        <v>0</v>
      </c>
      <c r="H436" s="21">
        <f>Data!B449</f>
        <v>0</v>
      </c>
      <c r="I436" s="21">
        <f>Data!C449</f>
        <v>0</v>
      </c>
      <c r="J436">
        <f>Data!D449</f>
        <v>0</v>
      </c>
      <c r="K436">
        <f>Data!E449</f>
        <v>0</v>
      </c>
      <c r="L436">
        <f>Data!F449</f>
        <v>0</v>
      </c>
      <c r="M436">
        <f>Data!G449</f>
        <v>0</v>
      </c>
      <c r="N436">
        <f>Data!H449</f>
        <v>0</v>
      </c>
      <c r="O436">
        <f>Data!I449</f>
        <v>0</v>
      </c>
      <c r="P436" s="21">
        <f>Data!J449</f>
        <v>0</v>
      </c>
      <c r="Q436">
        <f>Data!K449</f>
        <v>0</v>
      </c>
      <c r="R436">
        <f>Data!L449</f>
        <v>0</v>
      </c>
      <c r="S436">
        <f>Data!M449</f>
        <v>0</v>
      </c>
      <c r="T436">
        <f>Data!N449</f>
        <v>0</v>
      </c>
      <c r="U436">
        <f>Data!O449</f>
        <v>0</v>
      </c>
      <c r="V436" s="33">
        <f>Data!P449</f>
        <v>0</v>
      </c>
    </row>
    <row r="437" spans="7:22" x14ac:dyDescent="0.25">
      <c r="G437">
        <f>Data!A450</f>
        <v>0</v>
      </c>
      <c r="H437" s="21">
        <f>Data!B450</f>
        <v>0</v>
      </c>
      <c r="I437" s="21">
        <f>Data!C450</f>
        <v>0</v>
      </c>
      <c r="J437">
        <f>Data!D450</f>
        <v>0</v>
      </c>
      <c r="K437">
        <f>Data!E450</f>
        <v>0</v>
      </c>
      <c r="L437">
        <f>Data!F450</f>
        <v>0</v>
      </c>
      <c r="M437">
        <f>Data!G450</f>
        <v>0</v>
      </c>
      <c r="N437">
        <f>Data!H450</f>
        <v>0</v>
      </c>
      <c r="O437">
        <f>Data!I450</f>
        <v>0</v>
      </c>
      <c r="P437" s="21">
        <f>Data!J450</f>
        <v>0</v>
      </c>
      <c r="Q437">
        <f>Data!K450</f>
        <v>0</v>
      </c>
      <c r="R437">
        <f>Data!L450</f>
        <v>0</v>
      </c>
      <c r="S437">
        <f>Data!M450</f>
        <v>0</v>
      </c>
      <c r="T437">
        <f>Data!N450</f>
        <v>0</v>
      </c>
      <c r="U437">
        <f>Data!O450</f>
        <v>0</v>
      </c>
      <c r="V437" s="33">
        <f>Data!P450</f>
        <v>0</v>
      </c>
    </row>
    <row r="438" spans="7:22" x14ac:dyDescent="0.25">
      <c r="G438">
        <f>Data!A451</f>
        <v>0</v>
      </c>
      <c r="H438" s="21">
        <f>Data!B451</f>
        <v>0</v>
      </c>
      <c r="I438" s="21">
        <f>Data!C451</f>
        <v>0</v>
      </c>
      <c r="J438">
        <f>Data!D451</f>
        <v>0</v>
      </c>
      <c r="K438">
        <f>Data!E451</f>
        <v>0</v>
      </c>
      <c r="L438">
        <f>Data!F451</f>
        <v>0</v>
      </c>
      <c r="M438">
        <f>Data!G451</f>
        <v>0</v>
      </c>
      <c r="N438">
        <f>Data!H451</f>
        <v>0</v>
      </c>
      <c r="O438">
        <f>Data!I451</f>
        <v>0</v>
      </c>
      <c r="P438" s="21">
        <f>Data!J451</f>
        <v>0</v>
      </c>
      <c r="Q438">
        <f>Data!K451</f>
        <v>0</v>
      </c>
      <c r="R438">
        <f>Data!L451</f>
        <v>0</v>
      </c>
      <c r="S438">
        <f>Data!M451</f>
        <v>0</v>
      </c>
      <c r="T438">
        <f>Data!N451</f>
        <v>0</v>
      </c>
      <c r="U438">
        <f>Data!O451</f>
        <v>0</v>
      </c>
      <c r="V438" s="33">
        <f>Data!P451</f>
        <v>0</v>
      </c>
    </row>
    <row r="439" spans="7:22" x14ac:dyDescent="0.25">
      <c r="G439">
        <f>Data!A452</f>
        <v>0</v>
      </c>
      <c r="H439" s="21">
        <f>Data!B452</f>
        <v>0</v>
      </c>
      <c r="I439" s="21">
        <f>Data!C452</f>
        <v>0</v>
      </c>
      <c r="J439">
        <f>Data!D452</f>
        <v>0</v>
      </c>
      <c r="K439">
        <f>Data!E452</f>
        <v>0</v>
      </c>
      <c r="L439">
        <f>Data!F452</f>
        <v>0</v>
      </c>
      <c r="M439">
        <f>Data!G452</f>
        <v>0</v>
      </c>
      <c r="N439">
        <f>Data!H452</f>
        <v>0</v>
      </c>
      <c r="O439">
        <f>Data!I452</f>
        <v>0</v>
      </c>
      <c r="P439" s="21">
        <f>Data!J452</f>
        <v>0</v>
      </c>
      <c r="Q439">
        <f>Data!K452</f>
        <v>0</v>
      </c>
      <c r="R439">
        <f>Data!L452</f>
        <v>0</v>
      </c>
      <c r="S439">
        <f>Data!M452</f>
        <v>0</v>
      </c>
      <c r="T439">
        <f>Data!N452</f>
        <v>0</v>
      </c>
      <c r="U439">
        <f>Data!O452</f>
        <v>0</v>
      </c>
      <c r="V439" s="33">
        <f>Data!P452</f>
        <v>0</v>
      </c>
    </row>
    <row r="440" spans="7:22" x14ac:dyDescent="0.25">
      <c r="G440">
        <f>Data!A453</f>
        <v>0</v>
      </c>
      <c r="H440" s="21">
        <f>Data!B453</f>
        <v>0</v>
      </c>
      <c r="I440" s="21">
        <f>Data!C453</f>
        <v>0</v>
      </c>
      <c r="J440">
        <f>Data!D453</f>
        <v>0</v>
      </c>
      <c r="K440">
        <f>Data!E453</f>
        <v>0</v>
      </c>
      <c r="L440">
        <f>Data!F453</f>
        <v>0</v>
      </c>
      <c r="M440">
        <f>Data!G453</f>
        <v>0</v>
      </c>
      <c r="N440">
        <f>Data!H453</f>
        <v>0</v>
      </c>
      <c r="O440">
        <f>Data!I453</f>
        <v>0</v>
      </c>
      <c r="P440" s="21">
        <f>Data!J453</f>
        <v>0</v>
      </c>
      <c r="Q440">
        <f>Data!K453</f>
        <v>0</v>
      </c>
      <c r="R440">
        <f>Data!L453</f>
        <v>0</v>
      </c>
      <c r="S440">
        <f>Data!M453</f>
        <v>0</v>
      </c>
      <c r="T440">
        <f>Data!N453</f>
        <v>0</v>
      </c>
      <c r="U440">
        <f>Data!O453</f>
        <v>0</v>
      </c>
      <c r="V440" s="33">
        <f>Data!P453</f>
        <v>0</v>
      </c>
    </row>
    <row r="441" spans="7:22" x14ac:dyDescent="0.25">
      <c r="G441">
        <f>Data!A454</f>
        <v>0</v>
      </c>
      <c r="H441" s="21">
        <f>Data!B454</f>
        <v>0</v>
      </c>
      <c r="I441" s="21">
        <f>Data!C454</f>
        <v>0</v>
      </c>
      <c r="J441">
        <f>Data!D454</f>
        <v>0</v>
      </c>
      <c r="K441">
        <f>Data!E454</f>
        <v>0</v>
      </c>
      <c r="L441">
        <f>Data!F454</f>
        <v>0</v>
      </c>
      <c r="M441">
        <f>Data!G454</f>
        <v>0</v>
      </c>
      <c r="N441">
        <f>Data!H454</f>
        <v>0</v>
      </c>
      <c r="O441">
        <f>Data!I454</f>
        <v>0</v>
      </c>
      <c r="P441" s="21">
        <f>Data!J454</f>
        <v>0</v>
      </c>
      <c r="Q441">
        <f>Data!K454</f>
        <v>0</v>
      </c>
      <c r="R441">
        <f>Data!L454</f>
        <v>0</v>
      </c>
      <c r="S441">
        <f>Data!M454</f>
        <v>0</v>
      </c>
      <c r="T441">
        <f>Data!N454</f>
        <v>0</v>
      </c>
      <c r="U441">
        <f>Data!O454</f>
        <v>0</v>
      </c>
      <c r="V441" s="33">
        <f>Data!P454</f>
        <v>0</v>
      </c>
    </row>
    <row r="442" spans="7:22" x14ac:dyDescent="0.25">
      <c r="G442">
        <f>Data!A455</f>
        <v>0</v>
      </c>
      <c r="H442" s="21">
        <f>Data!B455</f>
        <v>0</v>
      </c>
      <c r="I442" s="21">
        <f>Data!C455</f>
        <v>0</v>
      </c>
      <c r="J442">
        <f>Data!D455</f>
        <v>0</v>
      </c>
      <c r="K442">
        <f>Data!E455</f>
        <v>0</v>
      </c>
      <c r="L442">
        <f>Data!F455</f>
        <v>0</v>
      </c>
      <c r="M442">
        <f>Data!G455</f>
        <v>0</v>
      </c>
      <c r="N442">
        <f>Data!H455</f>
        <v>0</v>
      </c>
      <c r="O442">
        <f>Data!I455</f>
        <v>0</v>
      </c>
      <c r="P442" s="21">
        <f>Data!J455</f>
        <v>0</v>
      </c>
      <c r="Q442">
        <f>Data!K455</f>
        <v>0</v>
      </c>
      <c r="R442">
        <f>Data!L455</f>
        <v>0</v>
      </c>
      <c r="S442">
        <f>Data!M455</f>
        <v>0</v>
      </c>
      <c r="T442">
        <f>Data!N455</f>
        <v>0</v>
      </c>
      <c r="U442">
        <f>Data!O455</f>
        <v>0</v>
      </c>
      <c r="V442" s="33">
        <f>Data!P455</f>
        <v>0</v>
      </c>
    </row>
    <row r="443" spans="7:22" x14ac:dyDescent="0.25">
      <c r="G443">
        <f>Data!A456</f>
        <v>0</v>
      </c>
      <c r="H443" s="21">
        <f>Data!B456</f>
        <v>0</v>
      </c>
      <c r="I443" s="21">
        <f>Data!C456</f>
        <v>0</v>
      </c>
      <c r="J443">
        <f>Data!D456</f>
        <v>0</v>
      </c>
      <c r="K443">
        <f>Data!E456</f>
        <v>0</v>
      </c>
      <c r="L443">
        <f>Data!F456</f>
        <v>0</v>
      </c>
      <c r="M443">
        <f>Data!G456</f>
        <v>0</v>
      </c>
      <c r="N443">
        <f>Data!H456</f>
        <v>0</v>
      </c>
      <c r="O443">
        <f>Data!I456</f>
        <v>0</v>
      </c>
      <c r="P443" s="21">
        <f>Data!J456</f>
        <v>0</v>
      </c>
      <c r="Q443">
        <f>Data!K456</f>
        <v>0</v>
      </c>
      <c r="R443">
        <f>Data!L456</f>
        <v>0</v>
      </c>
      <c r="S443">
        <f>Data!M456</f>
        <v>0</v>
      </c>
      <c r="T443">
        <f>Data!N456</f>
        <v>0</v>
      </c>
      <c r="U443">
        <f>Data!O456</f>
        <v>0</v>
      </c>
      <c r="V443" s="33">
        <f>Data!P456</f>
        <v>0</v>
      </c>
    </row>
    <row r="444" spans="7:22" x14ac:dyDescent="0.25">
      <c r="G444">
        <f>Data!A457</f>
        <v>0</v>
      </c>
      <c r="H444" s="21">
        <f>Data!B457</f>
        <v>0</v>
      </c>
      <c r="I444" s="21">
        <f>Data!C457</f>
        <v>0</v>
      </c>
      <c r="J444">
        <f>Data!D457</f>
        <v>0</v>
      </c>
      <c r="K444">
        <f>Data!E457</f>
        <v>0</v>
      </c>
      <c r="L444">
        <f>Data!F457</f>
        <v>0</v>
      </c>
      <c r="M444">
        <f>Data!G457</f>
        <v>0</v>
      </c>
      <c r="N444">
        <f>Data!H457</f>
        <v>0</v>
      </c>
      <c r="O444">
        <f>Data!I457</f>
        <v>0</v>
      </c>
      <c r="P444" s="21">
        <f>Data!J457</f>
        <v>0</v>
      </c>
      <c r="Q444">
        <f>Data!K457</f>
        <v>0</v>
      </c>
      <c r="R444">
        <f>Data!L457</f>
        <v>0</v>
      </c>
      <c r="S444">
        <f>Data!M457</f>
        <v>0</v>
      </c>
      <c r="T444">
        <f>Data!N457</f>
        <v>0</v>
      </c>
      <c r="U444">
        <f>Data!O457</f>
        <v>0</v>
      </c>
      <c r="V444" s="33">
        <f>Data!P457</f>
        <v>0</v>
      </c>
    </row>
    <row r="445" spans="7:22" x14ac:dyDescent="0.25">
      <c r="G445">
        <f>Data!A458</f>
        <v>0</v>
      </c>
      <c r="H445" s="21">
        <f>Data!B458</f>
        <v>0</v>
      </c>
      <c r="I445" s="21">
        <f>Data!C458</f>
        <v>0</v>
      </c>
      <c r="J445">
        <f>Data!D458</f>
        <v>0</v>
      </c>
      <c r="K445">
        <f>Data!E458</f>
        <v>0</v>
      </c>
      <c r="L445">
        <f>Data!F458</f>
        <v>0</v>
      </c>
      <c r="M445">
        <f>Data!G458</f>
        <v>0</v>
      </c>
      <c r="N445">
        <f>Data!H458</f>
        <v>0</v>
      </c>
      <c r="O445">
        <f>Data!I458</f>
        <v>0</v>
      </c>
      <c r="P445" s="21">
        <f>Data!J458</f>
        <v>0</v>
      </c>
      <c r="Q445">
        <f>Data!K458</f>
        <v>0</v>
      </c>
      <c r="R445">
        <f>Data!L458</f>
        <v>0</v>
      </c>
      <c r="S445">
        <f>Data!M458</f>
        <v>0</v>
      </c>
      <c r="T445">
        <f>Data!N458</f>
        <v>0</v>
      </c>
      <c r="U445">
        <f>Data!O458</f>
        <v>0</v>
      </c>
      <c r="V445" s="33">
        <f>Data!P458</f>
        <v>0</v>
      </c>
    </row>
    <row r="446" spans="7:22" x14ac:dyDescent="0.25">
      <c r="G446">
        <f>Data!A459</f>
        <v>0</v>
      </c>
      <c r="H446" s="21">
        <f>Data!B459</f>
        <v>0</v>
      </c>
      <c r="I446" s="21">
        <f>Data!C459</f>
        <v>0</v>
      </c>
      <c r="J446">
        <f>Data!D459</f>
        <v>0</v>
      </c>
      <c r="K446">
        <f>Data!E459</f>
        <v>0</v>
      </c>
      <c r="L446">
        <f>Data!F459</f>
        <v>0</v>
      </c>
      <c r="M446">
        <f>Data!G459</f>
        <v>0</v>
      </c>
      <c r="N446">
        <f>Data!H459</f>
        <v>0</v>
      </c>
      <c r="O446">
        <f>Data!I459</f>
        <v>0</v>
      </c>
      <c r="P446" s="21">
        <f>Data!J459</f>
        <v>0</v>
      </c>
      <c r="Q446">
        <f>Data!K459</f>
        <v>0</v>
      </c>
      <c r="R446">
        <f>Data!L459</f>
        <v>0</v>
      </c>
      <c r="S446">
        <f>Data!M459</f>
        <v>0</v>
      </c>
      <c r="T446">
        <f>Data!N459</f>
        <v>0</v>
      </c>
      <c r="U446">
        <f>Data!O459</f>
        <v>0</v>
      </c>
      <c r="V446" s="33">
        <f>Data!P459</f>
        <v>0</v>
      </c>
    </row>
    <row r="447" spans="7:22" x14ac:dyDescent="0.25">
      <c r="G447">
        <f>Data!A460</f>
        <v>0</v>
      </c>
      <c r="H447" s="21">
        <f>Data!B460</f>
        <v>0</v>
      </c>
      <c r="I447" s="21">
        <f>Data!C460</f>
        <v>0</v>
      </c>
      <c r="J447">
        <f>Data!D460</f>
        <v>0</v>
      </c>
      <c r="K447">
        <f>Data!E460</f>
        <v>0</v>
      </c>
      <c r="L447">
        <f>Data!F460</f>
        <v>0</v>
      </c>
      <c r="M447">
        <f>Data!G460</f>
        <v>0</v>
      </c>
      <c r="N447">
        <f>Data!H460</f>
        <v>0</v>
      </c>
      <c r="O447">
        <f>Data!I460</f>
        <v>0</v>
      </c>
      <c r="P447" s="21">
        <f>Data!J460</f>
        <v>0</v>
      </c>
      <c r="Q447">
        <f>Data!K460</f>
        <v>0</v>
      </c>
      <c r="R447">
        <f>Data!L460</f>
        <v>0</v>
      </c>
      <c r="S447">
        <f>Data!M460</f>
        <v>0</v>
      </c>
      <c r="T447">
        <f>Data!N460</f>
        <v>0</v>
      </c>
      <c r="U447">
        <f>Data!O460</f>
        <v>0</v>
      </c>
      <c r="V447" s="33">
        <f>Data!P460</f>
        <v>0</v>
      </c>
    </row>
    <row r="448" spans="7:22" x14ac:dyDescent="0.25">
      <c r="G448">
        <f>Data!A461</f>
        <v>0</v>
      </c>
      <c r="H448" s="21">
        <f>Data!B461</f>
        <v>0</v>
      </c>
      <c r="I448" s="21">
        <f>Data!C461</f>
        <v>0</v>
      </c>
      <c r="J448">
        <f>Data!D461</f>
        <v>0</v>
      </c>
      <c r="K448">
        <f>Data!E461</f>
        <v>0</v>
      </c>
      <c r="L448">
        <f>Data!F461</f>
        <v>0</v>
      </c>
      <c r="M448">
        <f>Data!G461</f>
        <v>0</v>
      </c>
      <c r="N448">
        <f>Data!H461</f>
        <v>0</v>
      </c>
      <c r="O448">
        <f>Data!I461</f>
        <v>0</v>
      </c>
      <c r="P448" s="21">
        <f>Data!J461</f>
        <v>0</v>
      </c>
      <c r="Q448">
        <f>Data!K461</f>
        <v>0</v>
      </c>
      <c r="R448">
        <f>Data!L461</f>
        <v>0</v>
      </c>
      <c r="S448">
        <f>Data!M461</f>
        <v>0</v>
      </c>
      <c r="T448">
        <f>Data!N461</f>
        <v>0</v>
      </c>
      <c r="U448">
        <f>Data!O461</f>
        <v>0</v>
      </c>
      <c r="V448" s="33">
        <f>Data!P461</f>
        <v>0</v>
      </c>
    </row>
    <row r="449" spans="7:22" x14ac:dyDescent="0.25">
      <c r="G449">
        <f>Data!A462</f>
        <v>0</v>
      </c>
      <c r="H449" s="21">
        <f>Data!B462</f>
        <v>0</v>
      </c>
      <c r="I449" s="21">
        <f>Data!C462</f>
        <v>0</v>
      </c>
      <c r="J449">
        <f>Data!D462</f>
        <v>0</v>
      </c>
      <c r="K449">
        <f>Data!E462</f>
        <v>0</v>
      </c>
      <c r="L449">
        <f>Data!F462</f>
        <v>0</v>
      </c>
      <c r="M449">
        <f>Data!G462</f>
        <v>0</v>
      </c>
      <c r="N449">
        <f>Data!H462</f>
        <v>0</v>
      </c>
      <c r="O449">
        <f>Data!I462</f>
        <v>0</v>
      </c>
      <c r="P449" s="21">
        <f>Data!J462</f>
        <v>0</v>
      </c>
      <c r="Q449">
        <f>Data!K462</f>
        <v>0</v>
      </c>
      <c r="R449">
        <f>Data!L462</f>
        <v>0</v>
      </c>
      <c r="S449">
        <f>Data!M462</f>
        <v>0</v>
      </c>
      <c r="T449">
        <f>Data!N462</f>
        <v>0</v>
      </c>
      <c r="U449">
        <f>Data!O462</f>
        <v>0</v>
      </c>
      <c r="V449" s="33">
        <f>Data!P462</f>
        <v>0</v>
      </c>
    </row>
    <row r="450" spans="7:22" x14ac:dyDescent="0.25">
      <c r="G450">
        <f>Data!A463</f>
        <v>0</v>
      </c>
      <c r="H450" s="21">
        <f>Data!B463</f>
        <v>0</v>
      </c>
      <c r="I450" s="21">
        <f>Data!C463</f>
        <v>0</v>
      </c>
      <c r="J450">
        <f>Data!D463</f>
        <v>0</v>
      </c>
      <c r="K450">
        <f>Data!E463</f>
        <v>0</v>
      </c>
      <c r="L450">
        <f>Data!F463</f>
        <v>0</v>
      </c>
      <c r="M450">
        <f>Data!G463</f>
        <v>0</v>
      </c>
      <c r="N450">
        <f>Data!H463</f>
        <v>0</v>
      </c>
      <c r="O450">
        <f>Data!I463</f>
        <v>0</v>
      </c>
      <c r="P450" s="21">
        <f>Data!J463</f>
        <v>0</v>
      </c>
      <c r="Q450">
        <f>Data!K463</f>
        <v>0</v>
      </c>
      <c r="R450">
        <f>Data!L463</f>
        <v>0</v>
      </c>
      <c r="S450">
        <f>Data!M463</f>
        <v>0</v>
      </c>
      <c r="T450">
        <f>Data!N463</f>
        <v>0</v>
      </c>
      <c r="U450">
        <f>Data!O463</f>
        <v>0</v>
      </c>
      <c r="V450" s="33">
        <f>Data!P463</f>
        <v>0</v>
      </c>
    </row>
    <row r="451" spans="7:22" x14ac:dyDescent="0.25">
      <c r="G451">
        <f>Data!A464</f>
        <v>0</v>
      </c>
      <c r="H451" s="21">
        <f>Data!B464</f>
        <v>0</v>
      </c>
      <c r="I451" s="21">
        <f>Data!C464</f>
        <v>0</v>
      </c>
      <c r="J451">
        <f>Data!D464</f>
        <v>0</v>
      </c>
      <c r="K451">
        <f>Data!E464</f>
        <v>0</v>
      </c>
      <c r="L451">
        <f>Data!F464</f>
        <v>0</v>
      </c>
      <c r="M451">
        <f>Data!G464</f>
        <v>0</v>
      </c>
      <c r="N451">
        <f>Data!H464</f>
        <v>0</v>
      </c>
      <c r="O451">
        <f>Data!I464</f>
        <v>0</v>
      </c>
      <c r="P451" s="21">
        <f>Data!J464</f>
        <v>0</v>
      </c>
      <c r="Q451">
        <f>Data!K464</f>
        <v>0</v>
      </c>
      <c r="R451">
        <f>Data!L464</f>
        <v>0</v>
      </c>
      <c r="S451">
        <f>Data!M464</f>
        <v>0</v>
      </c>
      <c r="T451">
        <f>Data!N464</f>
        <v>0</v>
      </c>
      <c r="U451">
        <f>Data!O464</f>
        <v>0</v>
      </c>
      <c r="V451" s="33">
        <f>Data!P464</f>
        <v>0</v>
      </c>
    </row>
    <row r="452" spans="7:22" x14ac:dyDescent="0.25">
      <c r="G452">
        <f>Data!A465</f>
        <v>0</v>
      </c>
      <c r="H452" s="21">
        <f>Data!B465</f>
        <v>0</v>
      </c>
      <c r="I452" s="21">
        <f>Data!C465</f>
        <v>0</v>
      </c>
      <c r="J452">
        <f>Data!D465</f>
        <v>0</v>
      </c>
      <c r="K452">
        <f>Data!E465</f>
        <v>0</v>
      </c>
      <c r="L452">
        <f>Data!F465</f>
        <v>0</v>
      </c>
      <c r="M452">
        <f>Data!G465</f>
        <v>0</v>
      </c>
      <c r="N452">
        <f>Data!H465</f>
        <v>0</v>
      </c>
      <c r="O452">
        <f>Data!I465</f>
        <v>0</v>
      </c>
      <c r="P452" s="21">
        <f>Data!J465</f>
        <v>0</v>
      </c>
      <c r="Q452">
        <f>Data!K465</f>
        <v>0</v>
      </c>
      <c r="R452">
        <f>Data!L465</f>
        <v>0</v>
      </c>
      <c r="S452">
        <f>Data!M465</f>
        <v>0</v>
      </c>
      <c r="T452">
        <f>Data!N465</f>
        <v>0</v>
      </c>
      <c r="U452">
        <f>Data!O465</f>
        <v>0</v>
      </c>
      <c r="V452" s="33">
        <f>Data!P465</f>
        <v>0</v>
      </c>
    </row>
    <row r="453" spans="7:22" x14ac:dyDescent="0.25">
      <c r="G453">
        <f>Data!A466</f>
        <v>0</v>
      </c>
      <c r="H453" s="21">
        <f>Data!B466</f>
        <v>0</v>
      </c>
      <c r="I453" s="21">
        <f>Data!C466</f>
        <v>0</v>
      </c>
      <c r="J453">
        <f>Data!D466</f>
        <v>0</v>
      </c>
      <c r="K453">
        <f>Data!E466</f>
        <v>0</v>
      </c>
      <c r="L453">
        <f>Data!F466</f>
        <v>0</v>
      </c>
      <c r="M453">
        <f>Data!G466</f>
        <v>0</v>
      </c>
      <c r="N453">
        <f>Data!H466</f>
        <v>0</v>
      </c>
      <c r="O453">
        <f>Data!I466</f>
        <v>0</v>
      </c>
      <c r="P453" s="21">
        <f>Data!J466</f>
        <v>0</v>
      </c>
      <c r="Q453">
        <f>Data!K466</f>
        <v>0</v>
      </c>
      <c r="R453">
        <f>Data!L466</f>
        <v>0</v>
      </c>
      <c r="S453">
        <f>Data!M466</f>
        <v>0</v>
      </c>
      <c r="T453">
        <f>Data!N466</f>
        <v>0</v>
      </c>
      <c r="U453">
        <f>Data!O466</f>
        <v>0</v>
      </c>
      <c r="V453" s="33">
        <f>Data!P466</f>
        <v>0</v>
      </c>
    </row>
    <row r="454" spans="7:22" x14ac:dyDescent="0.25">
      <c r="G454">
        <f>Data!A467</f>
        <v>0</v>
      </c>
      <c r="H454" s="21">
        <f>Data!B467</f>
        <v>0</v>
      </c>
      <c r="I454" s="21">
        <f>Data!C467</f>
        <v>0</v>
      </c>
      <c r="J454">
        <f>Data!D467</f>
        <v>0</v>
      </c>
      <c r="K454">
        <f>Data!E467</f>
        <v>0</v>
      </c>
      <c r="L454">
        <f>Data!F467</f>
        <v>0</v>
      </c>
      <c r="M454">
        <f>Data!G467</f>
        <v>0</v>
      </c>
      <c r="N454">
        <f>Data!H467</f>
        <v>0</v>
      </c>
      <c r="O454">
        <f>Data!I467</f>
        <v>0</v>
      </c>
      <c r="P454" s="21">
        <f>Data!J467</f>
        <v>0</v>
      </c>
      <c r="Q454">
        <f>Data!K467</f>
        <v>0</v>
      </c>
      <c r="R454">
        <f>Data!L467</f>
        <v>0</v>
      </c>
      <c r="S454">
        <f>Data!M467</f>
        <v>0</v>
      </c>
      <c r="T454">
        <f>Data!N467</f>
        <v>0</v>
      </c>
      <c r="U454">
        <f>Data!O467</f>
        <v>0</v>
      </c>
      <c r="V454" s="33">
        <f>Data!P467</f>
        <v>0</v>
      </c>
    </row>
    <row r="455" spans="7:22" x14ac:dyDescent="0.25">
      <c r="G455">
        <f>Data!A468</f>
        <v>0</v>
      </c>
      <c r="H455" s="21">
        <f>Data!B468</f>
        <v>0</v>
      </c>
      <c r="I455" s="21">
        <f>Data!C468</f>
        <v>0</v>
      </c>
      <c r="J455">
        <f>Data!D468</f>
        <v>0</v>
      </c>
      <c r="K455">
        <f>Data!E468</f>
        <v>0</v>
      </c>
      <c r="L455">
        <f>Data!F468</f>
        <v>0</v>
      </c>
      <c r="M455">
        <f>Data!G468</f>
        <v>0</v>
      </c>
      <c r="N455">
        <f>Data!H468</f>
        <v>0</v>
      </c>
      <c r="O455">
        <f>Data!I468</f>
        <v>0</v>
      </c>
      <c r="P455" s="21">
        <f>Data!J468</f>
        <v>0</v>
      </c>
      <c r="Q455">
        <f>Data!K468</f>
        <v>0</v>
      </c>
      <c r="R455">
        <f>Data!L468</f>
        <v>0</v>
      </c>
      <c r="S455">
        <f>Data!M468</f>
        <v>0</v>
      </c>
      <c r="T455">
        <f>Data!N468</f>
        <v>0</v>
      </c>
      <c r="U455">
        <f>Data!O468</f>
        <v>0</v>
      </c>
      <c r="V455" s="33">
        <f>Data!P468</f>
        <v>0</v>
      </c>
    </row>
    <row r="456" spans="7:22" x14ac:dyDescent="0.25">
      <c r="G456">
        <f>Data!A469</f>
        <v>0</v>
      </c>
      <c r="H456" s="21">
        <f>Data!B469</f>
        <v>0</v>
      </c>
      <c r="I456" s="21">
        <f>Data!C469</f>
        <v>0</v>
      </c>
      <c r="J456">
        <f>Data!D469</f>
        <v>0</v>
      </c>
      <c r="K456">
        <f>Data!E469</f>
        <v>0</v>
      </c>
      <c r="L456">
        <f>Data!F469</f>
        <v>0</v>
      </c>
      <c r="M456">
        <f>Data!G469</f>
        <v>0</v>
      </c>
      <c r="N456">
        <f>Data!H469</f>
        <v>0</v>
      </c>
      <c r="O456">
        <f>Data!I469</f>
        <v>0</v>
      </c>
      <c r="P456" s="21">
        <f>Data!J469</f>
        <v>0</v>
      </c>
      <c r="Q456">
        <f>Data!K469</f>
        <v>0</v>
      </c>
      <c r="R456">
        <f>Data!L469</f>
        <v>0</v>
      </c>
      <c r="S456">
        <f>Data!M469</f>
        <v>0</v>
      </c>
      <c r="T456">
        <f>Data!N469</f>
        <v>0</v>
      </c>
      <c r="U456">
        <f>Data!O469</f>
        <v>0</v>
      </c>
      <c r="V456" s="33">
        <f>Data!P469</f>
        <v>0</v>
      </c>
    </row>
    <row r="457" spans="7:22" x14ac:dyDescent="0.25">
      <c r="G457">
        <f>Data!A470</f>
        <v>0</v>
      </c>
      <c r="H457" s="21">
        <f>Data!B470</f>
        <v>0</v>
      </c>
      <c r="I457" s="21">
        <f>Data!C470</f>
        <v>0</v>
      </c>
      <c r="J457">
        <f>Data!D470</f>
        <v>0</v>
      </c>
      <c r="K457">
        <f>Data!E470</f>
        <v>0</v>
      </c>
      <c r="L457">
        <f>Data!F470</f>
        <v>0</v>
      </c>
      <c r="M457">
        <f>Data!G470</f>
        <v>0</v>
      </c>
      <c r="N457">
        <f>Data!H470</f>
        <v>0</v>
      </c>
      <c r="O457">
        <f>Data!I470</f>
        <v>0</v>
      </c>
      <c r="P457" s="21">
        <f>Data!J470</f>
        <v>0</v>
      </c>
      <c r="Q457">
        <f>Data!K470</f>
        <v>0</v>
      </c>
      <c r="R457">
        <f>Data!L470</f>
        <v>0</v>
      </c>
      <c r="S457">
        <f>Data!M470</f>
        <v>0</v>
      </c>
      <c r="T457">
        <f>Data!N470</f>
        <v>0</v>
      </c>
      <c r="U457">
        <f>Data!O470</f>
        <v>0</v>
      </c>
      <c r="V457" s="33">
        <f>Data!P470</f>
        <v>0</v>
      </c>
    </row>
    <row r="458" spans="7:22" x14ac:dyDescent="0.25">
      <c r="G458">
        <f>Data!A471</f>
        <v>0</v>
      </c>
      <c r="H458" s="21">
        <f>Data!B471</f>
        <v>0</v>
      </c>
      <c r="I458" s="21">
        <f>Data!C471</f>
        <v>0</v>
      </c>
      <c r="J458">
        <f>Data!D471</f>
        <v>0</v>
      </c>
      <c r="K458">
        <f>Data!E471</f>
        <v>0</v>
      </c>
      <c r="L458">
        <f>Data!F471</f>
        <v>0</v>
      </c>
      <c r="M458">
        <f>Data!G471</f>
        <v>0</v>
      </c>
      <c r="N458">
        <f>Data!H471</f>
        <v>0</v>
      </c>
      <c r="O458">
        <f>Data!I471</f>
        <v>0</v>
      </c>
      <c r="P458" s="21">
        <f>Data!J471</f>
        <v>0</v>
      </c>
      <c r="Q458">
        <f>Data!K471</f>
        <v>0</v>
      </c>
      <c r="R458">
        <f>Data!L471</f>
        <v>0</v>
      </c>
      <c r="S458">
        <f>Data!M471</f>
        <v>0</v>
      </c>
      <c r="T458">
        <f>Data!N471</f>
        <v>0</v>
      </c>
      <c r="U458">
        <f>Data!O471</f>
        <v>0</v>
      </c>
      <c r="V458" s="33">
        <f>Data!P471</f>
        <v>0</v>
      </c>
    </row>
    <row r="459" spans="7:22" x14ac:dyDescent="0.25">
      <c r="G459">
        <f>Data!A472</f>
        <v>0</v>
      </c>
      <c r="H459" s="21">
        <f>Data!B472</f>
        <v>0</v>
      </c>
      <c r="I459" s="21">
        <f>Data!C472</f>
        <v>0</v>
      </c>
      <c r="J459">
        <f>Data!D472</f>
        <v>0</v>
      </c>
      <c r="K459">
        <f>Data!E472</f>
        <v>0</v>
      </c>
      <c r="L459">
        <f>Data!F472</f>
        <v>0</v>
      </c>
      <c r="M459">
        <f>Data!G472</f>
        <v>0</v>
      </c>
      <c r="N459">
        <f>Data!H472</f>
        <v>0</v>
      </c>
      <c r="O459">
        <f>Data!I472</f>
        <v>0</v>
      </c>
      <c r="P459" s="21">
        <f>Data!J472</f>
        <v>0</v>
      </c>
      <c r="Q459">
        <f>Data!K472</f>
        <v>0</v>
      </c>
      <c r="R459">
        <f>Data!L472</f>
        <v>0</v>
      </c>
      <c r="S459">
        <f>Data!M472</f>
        <v>0</v>
      </c>
      <c r="T459">
        <f>Data!N472</f>
        <v>0</v>
      </c>
      <c r="U459">
        <f>Data!O472</f>
        <v>0</v>
      </c>
      <c r="V459" s="33">
        <f>Data!P472</f>
        <v>0</v>
      </c>
    </row>
    <row r="460" spans="7:22" x14ac:dyDescent="0.25">
      <c r="G460">
        <f>Data!A473</f>
        <v>0</v>
      </c>
      <c r="H460" s="21">
        <f>Data!B473</f>
        <v>0</v>
      </c>
      <c r="I460" s="21">
        <f>Data!C473</f>
        <v>0</v>
      </c>
      <c r="J460">
        <f>Data!D473</f>
        <v>0</v>
      </c>
      <c r="K460">
        <f>Data!E473</f>
        <v>0</v>
      </c>
      <c r="L460">
        <f>Data!F473</f>
        <v>0</v>
      </c>
      <c r="M460">
        <f>Data!G473</f>
        <v>0</v>
      </c>
      <c r="N460">
        <f>Data!H473</f>
        <v>0</v>
      </c>
      <c r="O460">
        <f>Data!I473</f>
        <v>0</v>
      </c>
      <c r="P460" s="21">
        <f>Data!J473</f>
        <v>0</v>
      </c>
      <c r="Q460">
        <f>Data!K473</f>
        <v>0</v>
      </c>
      <c r="R460">
        <f>Data!L473</f>
        <v>0</v>
      </c>
      <c r="S460">
        <f>Data!M473</f>
        <v>0</v>
      </c>
      <c r="T460">
        <f>Data!N473</f>
        <v>0</v>
      </c>
      <c r="U460">
        <f>Data!O473</f>
        <v>0</v>
      </c>
      <c r="V460" s="33">
        <f>Data!P473</f>
        <v>0</v>
      </c>
    </row>
    <row r="461" spans="7:22" x14ac:dyDescent="0.25">
      <c r="G461">
        <f>Data!A474</f>
        <v>0</v>
      </c>
      <c r="H461" s="21">
        <f>Data!B474</f>
        <v>0</v>
      </c>
      <c r="I461" s="21">
        <f>Data!C474</f>
        <v>0</v>
      </c>
      <c r="J461">
        <f>Data!D474</f>
        <v>0</v>
      </c>
      <c r="K461">
        <f>Data!E474</f>
        <v>0</v>
      </c>
      <c r="L461">
        <f>Data!F474</f>
        <v>0</v>
      </c>
      <c r="M461">
        <f>Data!G474</f>
        <v>0</v>
      </c>
      <c r="N461">
        <f>Data!H474</f>
        <v>0</v>
      </c>
      <c r="O461">
        <f>Data!I474</f>
        <v>0</v>
      </c>
      <c r="P461" s="21">
        <f>Data!J474</f>
        <v>0</v>
      </c>
      <c r="Q461">
        <f>Data!K474</f>
        <v>0</v>
      </c>
      <c r="R461">
        <f>Data!L474</f>
        <v>0</v>
      </c>
      <c r="S461">
        <f>Data!M474</f>
        <v>0</v>
      </c>
      <c r="T461">
        <f>Data!N474</f>
        <v>0</v>
      </c>
      <c r="U461">
        <f>Data!O474</f>
        <v>0</v>
      </c>
      <c r="V461" s="33">
        <f>Data!P474</f>
        <v>0</v>
      </c>
    </row>
    <row r="462" spans="7:22" x14ac:dyDescent="0.25">
      <c r="G462">
        <f>Data!A475</f>
        <v>0</v>
      </c>
      <c r="H462" s="21">
        <f>Data!B475</f>
        <v>0</v>
      </c>
      <c r="I462" s="21">
        <f>Data!C475</f>
        <v>0</v>
      </c>
      <c r="J462">
        <f>Data!D475</f>
        <v>0</v>
      </c>
      <c r="K462">
        <f>Data!E475</f>
        <v>0</v>
      </c>
      <c r="L462">
        <f>Data!F475</f>
        <v>0</v>
      </c>
      <c r="M462">
        <f>Data!G475</f>
        <v>0</v>
      </c>
      <c r="N462">
        <f>Data!H475</f>
        <v>0</v>
      </c>
      <c r="O462">
        <f>Data!I475</f>
        <v>0</v>
      </c>
      <c r="P462" s="21">
        <f>Data!J475</f>
        <v>0</v>
      </c>
      <c r="Q462">
        <f>Data!K475</f>
        <v>0</v>
      </c>
      <c r="R462">
        <f>Data!L475</f>
        <v>0</v>
      </c>
      <c r="S462">
        <f>Data!M475</f>
        <v>0</v>
      </c>
      <c r="T462">
        <f>Data!N475</f>
        <v>0</v>
      </c>
      <c r="U462">
        <f>Data!O475</f>
        <v>0</v>
      </c>
      <c r="V462" s="33">
        <f>Data!P475</f>
        <v>0</v>
      </c>
    </row>
    <row r="463" spans="7:22" x14ac:dyDescent="0.25">
      <c r="G463">
        <f>Data!A476</f>
        <v>0</v>
      </c>
      <c r="H463" s="21">
        <f>Data!B476</f>
        <v>0</v>
      </c>
      <c r="I463" s="21">
        <f>Data!C476</f>
        <v>0</v>
      </c>
      <c r="J463">
        <f>Data!D476</f>
        <v>0</v>
      </c>
      <c r="K463">
        <f>Data!E476</f>
        <v>0</v>
      </c>
      <c r="L463">
        <f>Data!F476</f>
        <v>0</v>
      </c>
      <c r="M463">
        <f>Data!G476</f>
        <v>0</v>
      </c>
      <c r="N463">
        <f>Data!H476</f>
        <v>0</v>
      </c>
      <c r="O463">
        <f>Data!I476</f>
        <v>0</v>
      </c>
      <c r="P463" s="21">
        <f>Data!J476</f>
        <v>0</v>
      </c>
      <c r="Q463">
        <f>Data!K476</f>
        <v>0</v>
      </c>
      <c r="R463">
        <f>Data!L476</f>
        <v>0</v>
      </c>
      <c r="S463">
        <f>Data!M476</f>
        <v>0</v>
      </c>
      <c r="T463">
        <f>Data!N476</f>
        <v>0</v>
      </c>
      <c r="U463">
        <f>Data!O476</f>
        <v>0</v>
      </c>
      <c r="V463" s="33">
        <f>Data!P476</f>
        <v>0</v>
      </c>
    </row>
    <row r="464" spans="7:22" x14ac:dyDescent="0.25">
      <c r="G464">
        <f>Data!A477</f>
        <v>0</v>
      </c>
      <c r="H464" s="21">
        <f>Data!B477</f>
        <v>0</v>
      </c>
      <c r="I464" s="21">
        <f>Data!C477</f>
        <v>0</v>
      </c>
      <c r="J464">
        <f>Data!D477</f>
        <v>0</v>
      </c>
      <c r="K464">
        <f>Data!E477</f>
        <v>0</v>
      </c>
      <c r="L464">
        <f>Data!F477</f>
        <v>0</v>
      </c>
      <c r="M464">
        <f>Data!G477</f>
        <v>0</v>
      </c>
      <c r="N464">
        <f>Data!H477</f>
        <v>0</v>
      </c>
      <c r="O464">
        <f>Data!I477</f>
        <v>0</v>
      </c>
      <c r="P464" s="21">
        <f>Data!J477</f>
        <v>0</v>
      </c>
      <c r="Q464">
        <f>Data!K477</f>
        <v>0</v>
      </c>
      <c r="R464">
        <f>Data!L477</f>
        <v>0</v>
      </c>
      <c r="S464">
        <f>Data!M477</f>
        <v>0</v>
      </c>
      <c r="T464">
        <f>Data!N477</f>
        <v>0</v>
      </c>
      <c r="U464">
        <f>Data!O477</f>
        <v>0</v>
      </c>
      <c r="V464" s="33">
        <f>Data!P477</f>
        <v>0</v>
      </c>
    </row>
    <row r="465" spans="7:22" x14ac:dyDescent="0.25">
      <c r="G465">
        <f>Data!A478</f>
        <v>0</v>
      </c>
      <c r="H465" s="21">
        <f>Data!B478</f>
        <v>0</v>
      </c>
      <c r="I465" s="21">
        <f>Data!C478</f>
        <v>0</v>
      </c>
      <c r="J465">
        <f>Data!D478</f>
        <v>0</v>
      </c>
      <c r="K465">
        <f>Data!E478</f>
        <v>0</v>
      </c>
      <c r="L465">
        <f>Data!F478</f>
        <v>0</v>
      </c>
      <c r="M465">
        <f>Data!G478</f>
        <v>0</v>
      </c>
      <c r="N465">
        <f>Data!H478</f>
        <v>0</v>
      </c>
      <c r="O465">
        <f>Data!I478</f>
        <v>0</v>
      </c>
      <c r="P465" s="21">
        <f>Data!J478</f>
        <v>0</v>
      </c>
      <c r="Q465">
        <f>Data!K478</f>
        <v>0</v>
      </c>
      <c r="R465">
        <f>Data!L478</f>
        <v>0</v>
      </c>
      <c r="S465">
        <f>Data!M478</f>
        <v>0</v>
      </c>
      <c r="T465">
        <f>Data!N478</f>
        <v>0</v>
      </c>
      <c r="U465">
        <f>Data!O478</f>
        <v>0</v>
      </c>
      <c r="V465" s="33">
        <f>Data!P478</f>
        <v>0</v>
      </c>
    </row>
    <row r="466" spans="7:22" x14ac:dyDescent="0.25">
      <c r="G466">
        <f>Data!A479</f>
        <v>0</v>
      </c>
      <c r="H466" s="21">
        <f>Data!B479</f>
        <v>0</v>
      </c>
      <c r="I466" s="21">
        <f>Data!C479</f>
        <v>0</v>
      </c>
      <c r="J466">
        <f>Data!D479</f>
        <v>0</v>
      </c>
      <c r="K466">
        <f>Data!E479</f>
        <v>0</v>
      </c>
      <c r="L466">
        <f>Data!F479</f>
        <v>0</v>
      </c>
      <c r="M466">
        <f>Data!G479</f>
        <v>0</v>
      </c>
      <c r="N466">
        <f>Data!H479</f>
        <v>0</v>
      </c>
      <c r="O466">
        <f>Data!I479</f>
        <v>0</v>
      </c>
      <c r="P466" s="21">
        <f>Data!J479</f>
        <v>0</v>
      </c>
      <c r="Q466">
        <f>Data!K479</f>
        <v>0</v>
      </c>
      <c r="R466">
        <f>Data!L479</f>
        <v>0</v>
      </c>
      <c r="S466">
        <f>Data!M479</f>
        <v>0</v>
      </c>
      <c r="T466">
        <f>Data!N479</f>
        <v>0</v>
      </c>
      <c r="U466">
        <f>Data!O479</f>
        <v>0</v>
      </c>
      <c r="V466" s="33">
        <f>Data!P479</f>
        <v>0</v>
      </c>
    </row>
    <row r="467" spans="7:22" x14ac:dyDescent="0.25">
      <c r="G467">
        <f>Data!A480</f>
        <v>0</v>
      </c>
      <c r="H467" s="21">
        <f>Data!B480</f>
        <v>0</v>
      </c>
      <c r="I467" s="21">
        <f>Data!C480</f>
        <v>0</v>
      </c>
      <c r="J467">
        <f>Data!D480</f>
        <v>0</v>
      </c>
      <c r="K467">
        <f>Data!E480</f>
        <v>0</v>
      </c>
      <c r="L467">
        <f>Data!F480</f>
        <v>0</v>
      </c>
      <c r="M467">
        <f>Data!G480</f>
        <v>0</v>
      </c>
      <c r="N467">
        <f>Data!H480</f>
        <v>0</v>
      </c>
      <c r="O467">
        <f>Data!I480</f>
        <v>0</v>
      </c>
      <c r="P467" s="21">
        <f>Data!J480</f>
        <v>0</v>
      </c>
      <c r="Q467">
        <f>Data!K480</f>
        <v>0</v>
      </c>
      <c r="R467">
        <f>Data!L480</f>
        <v>0</v>
      </c>
      <c r="S467">
        <f>Data!M480</f>
        <v>0</v>
      </c>
      <c r="T467">
        <f>Data!N480</f>
        <v>0</v>
      </c>
      <c r="U467">
        <f>Data!O480</f>
        <v>0</v>
      </c>
      <c r="V467" s="33">
        <f>Data!P480</f>
        <v>0</v>
      </c>
    </row>
    <row r="468" spans="7:22" x14ac:dyDescent="0.25">
      <c r="G468">
        <f>Data!A481</f>
        <v>0</v>
      </c>
      <c r="H468" s="21">
        <f>Data!B481</f>
        <v>0</v>
      </c>
      <c r="I468" s="21">
        <f>Data!C481</f>
        <v>0</v>
      </c>
      <c r="J468">
        <f>Data!D481</f>
        <v>0</v>
      </c>
      <c r="K468">
        <f>Data!E481</f>
        <v>0</v>
      </c>
      <c r="L468">
        <f>Data!F481</f>
        <v>0</v>
      </c>
      <c r="M468">
        <f>Data!G481</f>
        <v>0</v>
      </c>
      <c r="N468">
        <f>Data!H481</f>
        <v>0</v>
      </c>
      <c r="O468">
        <f>Data!I481</f>
        <v>0</v>
      </c>
      <c r="P468" s="21">
        <f>Data!J481</f>
        <v>0</v>
      </c>
      <c r="Q468">
        <f>Data!K481</f>
        <v>0</v>
      </c>
      <c r="R468">
        <f>Data!L481</f>
        <v>0</v>
      </c>
      <c r="S468">
        <f>Data!M481</f>
        <v>0</v>
      </c>
      <c r="T468">
        <f>Data!N481</f>
        <v>0</v>
      </c>
      <c r="U468">
        <f>Data!O481</f>
        <v>0</v>
      </c>
      <c r="V468" s="33">
        <f>Data!P481</f>
        <v>0</v>
      </c>
    </row>
    <row r="469" spans="7:22" x14ac:dyDescent="0.25">
      <c r="G469">
        <f>Data!A482</f>
        <v>0</v>
      </c>
      <c r="H469" s="21">
        <f>Data!B482</f>
        <v>0</v>
      </c>
      <c r="I469" s="21">
        <f>Data!C482</f>
        <v>0</v>
      </c>
      <c r="J469">
        <f>Data!D482</f>
        <v>0</v>
      </c>
      <c r="K469">
        <f>Data!E482</f>
        <v>0</v>
      </c>
      <c r="L469">
        <f>Data!F482</f>
        <v>0</v>
      </c>
      <c r="M469">
        <f>Data!G482</f>
        <v>0</v>
      </c>
      <c r="N469">
        <f>Data!H482</f>
        <v>0</v>
      </c>
      <c r="O469">
        <f>Data!I482</f>
        <v>0</v>
      </c>
      <c r="P469" s="21">
        <f>Data!J482</f>
        <v>0</v>
      </c>
      <c r="Q469">
        <f>Data!K482</f>
        <v>0</v>
      </c>
      <c r="R469">
        <f>Data!L482</f>
        <v>0</v>
      </c>
      <c r="S469">
        <f>Data!M482</f>
        <v>0</v>
      </c>
      <c r="T469">
        <f>Data!N482</f>
        <v>0</v>
      </c>
      <c r="U469">
        <f>Data!O482</f>
        <v>0</v>
      </c>
      <c r="V469" s="33">
        <f>Data!P482</f>
        <v>0</v>
      </c>
    </row>
    <row r="470" spans="7:22" x14ac:dyDescent="0.25">
      <c r="G470">
        <f>Data!A483</f>
        <v>0</v>
      </c>
      <c r="H470" s="21">
        <f>Data!B483</f>
        <v>0</v>
      </c>
      <c r="I470" s="21">
        <f>Data!C483</f>
        <v>0</v>
      </c>
      <c r="J470">
        <f>Data!D483</f>
        <v>0</v>
      </c>
      <c r="K470">
        <f>Data!E483</f>
        <v>0</v>
      </c>
      <c r="L470">
        <f>Data!F483</f>
        <v>0</v>
      </c>
      <c r="M470">
        <f>Data!G483</f>
        <v>0</v>
      </c>
      <c r="N470">
        <f>Data!H483</f>
        <v>0</v>
      </c>
      <c r="O470">
        <f>Data!I483</f>
        <v>0</v>
      </c>
      <c r="P470" s="21">
        <f>Data!J483</f>
        <v>0</v>
      </c>
      <c r="Q470">
        <f>Data!K483</f>
        <v>0</v>
      </c>
      <c r="R470">
        <f>Data!L483</f>
        <v>0</v>
      </c>
      <c r="S470">
        <f>Data!M483</f>
        <v>0</v>
      </c>
      <c r="T470">
        <f>Data!N483</f>
        <v>0</v>
      </c>
      <c r="U470">
        <f>Data!O483</f>
        <v>0</v>
      </c>
      <c r="V470" s="33">
        <f>Data!P483</f>
        <v>0</v>
      </c>
    </row>
    <row r="471" spans="7:22" x14ac:dyDescent="0.25">
      <c r="G471">
        <f>Data!A484</f>
        <v>0</v>
      </c>
      <c r="H471" s="21">
        <f>Data!B484</f>
        <v>0</v>
      </c>
      <c r="I471" s="21">
        <f>Data!C484</f>
        <v>0</v>
      </c>
      <c r="J471">
        <f>Data!D484</f>
        <v>0</v>
      </c>
      <c r="K471">
        <f>Data!E484</f>
        <v>0</v>
      </c>
      <c r="L471">
        <f>Data!F484</f>
        <v>0</v>
      </c>
      <c r="M471">
        <f>Data!G484</f>
        <v>0</v>
      </c>
      <c r="N471">
        <f>Data!H484</f>
        <v>0</v>
      </c>
      <c r="O471">
        <f>Data!I484</f>
        <v>0</v>
      </c>
      <c r="P471" s="21">
        <f>Data!J484</f>
        <v>0</v>
      </c>
      <c r="Q471">
        <f>Data!K484</f>
        <v>0</v>
      </c>
      <c r="R471">
        <f>Data!L484</f>
        <v>0</v>
      </c>
      <c r="S471">
        <f>Data!M484</f>
        <v>0</v>
      </c>
      <c r="T471">
        <f>Data!N484</f>
        <v>0</v>
      </c>
      <c r="U471">
        <f>Data!O484</f>
        <v>0</v>
      </c>
      <c r="V471" s="33">
        <f>Data!P484</f>
        <v>0</v>
      </c>
    </row>
    <row r="472" spans="7:22" x14ac:dyDescent="0.25">
      <c r="G472">
        <f>Data!A485</f>
        <v>0</v>
      </c>
      <c r="H472" s="21">
        <f>Data!B485</f>
        <v>0</v>
      </c>
      <c r="I472" s="21">
        <f>Data!C485</f>
        <v>0</v>
      </c>
      <c r="J472">
        <f>Data!D485</f>
        <v>0</v>
      </c>
      <c r="K472">
        <f>Data!E485</f>
        <v>0</v>
      </c>
      <c r="L472">
        <f>Data!F485</f>
        <v>0</v>
      </c>
      <c r="M472">
        <f>Data!G485</f>
        <v>0</v>
      </c>
      <c r="N472">
        <f>Data!H485</f>
        <v>0</v>
      </c>
      <c r="O472">
        <f>Data!I485</f>
        <v>0</v>
      </c>
      <c r="P472" s="21">
        <f>Data!J485</f>
        <v>0</v>
      </c>
      <c r="Q472">
        <f>Data!K485</f>
        <v>0</v>
      </c>
      <c r="R472">
        <f>Data!L485</f>
        <v>0</v>
      </c>
      <c r="S472">
        <f>Data!M485</f>
        <v>0</v>
      </c>
      <c r="T472">
        <f>Data!N485</f>
        <v>0</v>
      </c>
      <c r="U472">
        <f>Data!O485</f>
        <v>0</v>
      </c>
      <c r="V472" s="33">
        <f>Data!P485</f>
        <v>0</v>
      </c>
    </row>
    <row r="473" spans="7:22" x14ac:dyDescent="0.25">
      <c r="G473">
        <f>Data!A486</f>
        <v>0</v>
      </c>
      <c r="H473" s="21">
        <f>Data!B486</f>
        <v>0</v>
      </c>
      <c r="I473" s="21">
        <f>Data!C486</f>
        <v>0</v>
      </c>
      <c r="J473">
        <f>Data!D486</f>
        <v>0</v>
      </c>
      <c r="K473">
        <f>Data!E486</f>
        <v>0</v>
      </c>
      <c r="L473">
        <f>Data!F486</f>
        <v>0</v>
      </c>
      <c r="M473">
        <f>Data!G486</f>
        <v>0</v>
      </c>
      <c r="N473">
        <f>Data!H486</f>
        <v>0</v>
      </c>
      <c r="O473">
        <f>Data!I486</f>
        <v>0</v>
      </c>
      <c r="P473" s="21">
        <f>Data!J486</f>
        <v>0</v>
      </c>
      <c r="Q473">
        <f>Data!K486</f>
        <v>0</v>
      </c>
      <c r="R473">
        <f>Data!L486</f>
        <v>0</v>
      </c>
      <c r="S473">
        <f>Data!M486</f>
        <v>0</v>
      </c>
      <c r="T473">
        <f>Data!N486</f>
        <v>0</v>
      </c>
      <c r="U473">
        <f>Data!O486</f>
        <v>0</v>
      </c>
      <c r="V473" s="33">
        <f>Data!P486</f>
        <v>0</v>
      </c>
    </row>
    <row r="474" spans="7:22" x14ac:dyDescent="0.25">
      <c r="G474">
        <f>Data!A487</f>
        <v>0</v>
      </c>
      <c r="H474" s="21">
        <f>Data!B487</f>
        <v>0</v>
      </c>
      <c r="I474" s="21">
        <f>Data!C487</f>
        <v>0</v>
      </c>
      <c r="J474">
        <f>Data!D487</f>
        <v>0</v>
      </c>
      <c r="K474">
        <f>Data!E487</f>
        <v>0</v>
      </c>
      <c r="L474">
        <f>Data!F487</f>
        <v>0</v>
      </c>
      <c r="M474">
        <f>Data!G487</f>
        <v>0</v>
      </c>
      <c r="N474">
        <f>Data!H487</f>
        <v>0</v>
      </c>
      <c r="O474">
        <f>Data!I487</f>
        <v>0</v>
      </c>
      <c r="P474" s="21">
        <f>Data!J487</f>
        <v>0</v>
      </c>
      <c r="Q474">
        <f>Data!K487</f>
        <v>0</v>
      </c>
      <c r="R474">
        <f>Data!L487</f>
        <v>0</v>
      </c>
      <c r="S474">
        <f>Data!M487</f>
        <v>0</v>
      </c>
      <c r="T474">
        <f>Data!N487</f>
        <v>0</v>
      </c>
      <c r="U474">
        <f>Data!O487</f>
        <v>0</v>
      </c>
      <c r="V474" s="33">
        <f>Data!P487</f>
        <v>0</v>
      </c>
    </row>
    <row r="475" spans="7:22" x14ac:dyDescent="0.25">
      <c r="G475">
        <f>Data!A488</f>
        <v>0</v>
      </c>
      <c r="H475" s="21">
        <f>Data!B488</f>
        <v>0</v>
      </c>
      <c r="I475" s="21">
        <f>Data!C488</f>
        <v>0</v>
      </c>
      <c r="J475">
        <f>Data!D488</f>
        <v>0</v>
      </c>
      <c r="K475">
        <f>Data!E488</f>
        <v>0</v>
      </c>
      <c r="L475">
        <f>Data!F488</f>
        <v>0</v>
      </c>
      <c r="M475">
        <f>Data!G488</f>
        <v>0</v>
      </c>
      <c r="N475">
        <f>Data!H488</f>
        <v>0</v>
      </c>
      <c r="O475">
        <f>Data!I488</f>
        <v>0</v>
      </c>
      <c r="P475" s="21">
        <f>Data!J488</f>
        <v>0</v>
      </c>
      <c r="Q475">
        <f>Data!K488</f>
        <v>0</v>
      </c>
      <c r="R475">
        <f>Data!L488</f>
        <v>0</v>
      </c>
      <c r="S475">
        <f>Data!M488</f>
        <v>0</v>
      </c>
      <c r="T475">
        <f>Data!N488</f>
        <v>0</v>
      </c>
      <c r="U475">
        <f>Data!O488</f>
        <v>0</v>
      </c>
      <c r="V475" s="33">
        <f>Data!P488</f>
        <v>0</v>
      </c>
    </row>
    <row r="476" spans="7:22" x14ac:dyDescent="0.25">
      <c r="G476">
        <f>Data!A489</f>
        <v>0</v>
      </c>
      <c r="H476" s="21">
        <f>Data!B489</f>
        <v>0</v>
      </c>
      <c r="I476" s="21">
        <f>Data!C489</f>
        <v>0</v>
      </c>
      <c r="J476">
        <f>Data!D489</f>
        <v>0</v>
      </c>
      <c r="K476">
        <f>Data!E489</f>
        <v>0</v>
      </c>
      <c r="L476">
        <f>Data!F489</f>
        <v>0</v>
      </c>
      <c r="M476">
        <f>Data!G489</f>
        <v>0</v>
      </c>
      <c r="N476">
        <f>Data!H489</f>
        <v>0</v>
      </c>
      <c r="O476">
        <f>Data!I489</f>
        <v>0</v>
      </c>
      <c r="P476" s="21">
        <f>Data!J489</f>
        <v>0</v>
      </c>
      <c r="Q476">
        <f>Data!K489</f>
        <v>0</v>
      </c>
      <c r="R476">
        <f>Data!L489</f>
        <v>0</v>
      </c>
      <c r="S476">
        <f>Data!M489</f>
        <v>0</v>
      </c>
      <c r="T476">
        <f>Data!N489</f>
        <v>0</v>
      </c>
      <c r="U476">
        <f>Data!O489</f>
        <v>0</v>
      </c>
      <c r="V476" s="33">
        <f>Data!P489</f>
        <v>0</v>
      </c>
    </row>
    <row r="477" spans="7:22" x14ac:dyDescent="0.25">
      <c r="G477">
        <f>Data!A490</f>
        <v>0</v>
      </c>
      <c r="H477" s="21">
        <f>Data!B490</f>
        <v>0</v>
      </c>
      <c r="I477" s="21">
        <f>Data!C490</f>
        <v>0</v>
      </c>
      <c r="J477">
        <f>Data!D490</f>
        <v>0</v>
      </c>
      <c r="K477">
        <f>Data!E490</f>
        <v>0</v>
      </c>
      <c r="L477">
        <f>Data!F490</f>
        <v>0</v>
      </c>
      <c r="M477">
        <f>Data!G490</f>
        <v>0</v>
      </c>
      <c r="N477">
        <f>Data!H490</f>
        <v>0</v>
      </c>
      <c r="O477">
        <f>Data!I490</f>
        <v>0</v>
      </c>
      <c r="P477" s="21">
        <f>Data!J490</f>
        <v>0</v>
      </c>
      <c r="Q477">
        <f>Data!K490</f>
        <v>0</v>
      </c>
      <c r="R477">
        <f>Data!L490</f>
        <v>0</v>
      </c>
      <c r="S477">
        <f>Data!M490</f>
        <v>0</v>
      </c>
      <c r="T477">
        <f>Data!N490</f>
        <v>0</v>
      </c>
      <c r="U477">
        <f>Data!O490</f>
        <v>0</v>
      </c>
      <c r="V477" s="33">
        <f>Data!P490</f>
        <v>0</v>
      </c>
    </row>
    <row r="478" spans="7:22" x14ac:dyDescent="0.25">
      <c r="G478">
        <f>Data!A491</f>
        <v>0</v>
      </c>
      <c r="H478" s="21">
        <f>Data!B491</f>
        <v>0</v>
      </c>
      <c r="I478" s="21">
        <f>Data!C491</f>
        <v>0</v>
      </c>
      <c r="J478">
        <f>Data!D491</f>
        <v>0</v>
      </c>
      <c r="K478">
        <f>Data!E491</f>
        <v>0</v>
      </c>
      <c r="L478">
        <f>Data!F491</f>
        <v>0</v>
      </c>
      <c r="M478">
        <f>Data!G491</f>
        <v>0</v>
      </c>
      <c r="N478">
        <f>Data!H491</f>
        <v>0</v>
      </c>
      <c r="O478">
        <f>Data!I491</f>
        <v>0</v>
      </c>
      <c r="P478" s="21">
        <f>Data!J491</f>
        <v>0</v>
      </c>
      <c r="Q478">
        <f>Data!K491</f>
        <v>0</v>
      </c>
      <c r="R478">
        <f>Data!L491</f>
        <v>0</v>
      </c>
      <c r="S478">
        <f>Data!M491</f>
        <v>0</v>
      </c>
      <c r="T478">
        <f>Data!N491</f>
        <v>0</v>
      </c>
      <c r="U478">
        <f>Data!O491</f>
        <v>0</v>
      </c>
      <c r="V478" s="33">
        <f>Data!P491</f>
        <v>0</v>
      </c>
    </row>
    <row r="479" spans="7:22" x14ac:dyDescent="0.25">
      <c r="G479">
        <f>Data!A492</f>
        <v>0</v>
      </c>
      <c r="H479" s="21">
        <f>Data!B492</f>
        <v>0</v>
      </c>
      <c r="I479" s="21">
        <f>Data!C492</f>
        <v>0</v>
      </c>
      <c r="J479">
        <f>Data!D492</f>
        <v>0</v>
      </c>
      <c r="K479">
        <f>Data!E492</f>
        <v>0</v>
      </c>
      <c r="L479">
        <f>Data!F492</f>
        <v>0</v>
      </c>
      <c r="M479">
        <f>Data!G492</f>
        <v>0</v>
      </c>
      <c r="N479">
        <f>Data!H492</f>
        <v>0</v>
      </c>
      <c r="O479">
        <f>Data!I492</f>
        <v>0</v>
      </c>
      <c r="P479" s="21">
        <f>Data!J492</f>
        <v>0</v>
      </c>
      <c r="Q479">
        <f>Data!K492</f>
        <v>0</v>
      </c>
      <c r="R479">
        <f>Data!L492</f>
        <v>0</v>
      </c>
      <c r="S479">
        <f>Data!M492</f>
        <v>0</v>
      </c>
      <c r="T479">
        <f>Data!N492</f>
        <v>0</v>
      </c>
      <c r="U479">
        <f>Data!O492</f>
        <v>0</v>
      </c>
      <c r="V479" s="33">
        <f>Data!P492</f>
        <v>0</v>
      </c>
    </row>
    <row r="480" spans="7:22" x14ac:dyDescent="0.25">
      <c r="G480">
        <f>Data!A493</f>
        <v>0</v>
      </c>
      <c r="H480" s="21">
        <f>Data!B493</f>
        <v>0</v>
      </c>
      <c r="I480" s="21">
        <f>Data!C493</f>
        <v>0</v>
      </c>
      <c r="J480">
        <f>Data!D493</f>
        <v>0</v>
      </c>
      <c r="K480">
        <f>Data!E493</f>
        <v>0</v>
      </c>
      <c r="L480">
        <f>Data!F493</f>
        <v>0</v>
      </c>
      <c r="M480">
        <f>Data!G493</f>
        <v>0</v>
      </c>
      <c r="N480">
        <f>Data!H493</f>
        <v>0</v>
      </c>
      <c r="O480">
        <f>Data!I493</f>
        <v>0</v>
      </c>
      <c r="P480" s="21">
        <f>Data!J493</f>
        <v>0</v>
      </c>
      <c r="Q480">
        <f>Data!K493</f>
        <v>0</v>
      </c>
      <c r="R480">
        <f>Data!L493</f>
        <v>0</v>
      </c>
      <c r="S480">
        <f>Data!M493</f>
        <v>0</v>
      </c>
      <c r="T480">
        <f>Data!N493</f>
        <v>0</v>
      </c>
      <c r="U480">
        <f>Data!O493</f>
        <v>0</v>
      </c>
      <c r="V480" s="33">
        <f>Data!P493</f>
        <v>0</v>
      </c>
    </row>
    <row r="481" spans="7:22" x14ac:dyDescent="0.25">
      <c r="G481">
        <f>Data!A494</f>
        <v>0</v>
      </c>
      <c r="H481" s="21">
        <f>Data!B494</f>
        <v>0</v>
      </c>
      <c r="I481" s="21">
        <f>Data!C494</f>
        <v>0</v>
      </c>
      <c r="J481">
        <f>Data!D494</f>
        <v>0</v>
      </c>
      <c r="K481">
        <f>Data!E494</f>
        <v>0</v>
      </c>
      <c r="L481">
        <f>Data!F494</f>
        <v>0</v>
      </c>
      <c r="M481">
        <f>Data!G494</f>
        <v>0</v>
      </c>
      <c r="N481">
        <f>Data!H494</f>
        <v>0</v>
      </c>
      <c r="O481">
        <f>Data!I494</f>
        <v>0</v>
      </c>
      <c r="P481" s="21">
        <f>Data!J494</f>
        <v>0</v>
      </c>
      <c r="Q481">
        <f>Data!K494</f>
        <v>0</v>
      </c>
      <c r="R481">
        <f>Data!L494</f>
        <v>0</v>
      </c>
      <c r="S481">
        <f>Data!M494</f>
        <v>0</v>
      </c>
      <c r="T481">
        <f>Data!N494</f>
        <v>0</v>
      </c>
      <c r="U481">
        <f>Data!O494</f>
        <v>0</v>
      </c>
      <c r="V481" s="33">
        <f>Data!P494</f>
        <v>0</v>
      </c>
    </row>
    <row r="482" spans="7:22" x14ac:dyDescent="0.25">
      <c r="G482">
        <f>Data!A495</f>
        <v>0</v>
      </c>
      <c r="H482" s="21">
        <f>Data!B495</f>
        <v>0</v>
      </c>
      <c r="I482" s="21">
        <f>Data!C495</f>
        <v>0</v>
      </c>
      <c r="J482">
        <f>Data!D495</f>
        <v>0</v>
      </c>
      <c r="K482">
        <f>Data!E495</f>
        <v>0</v>
      </c>
      <c r="L482">
        <f>Data!F495</f>
        <v>0</v>
      </c>
      <c r="M482">
        <f>Data!G495</f>
        <v>0</v>
      </c>
      <c r="N482">
        <f>Data!H495</f>
        <v>0</v>
      </c>
      <c r="O482">
        <f>Data!I495</f>
        <v>0</v>
      </c>
      <c r="P482" s="21">
        <f>Data!J495</f>
        <v>0</v>
      </c>
      <c r="Q482">
        <f>Data!K495</f>
        <v>0</v>
      </c>
      <c r="R482">
        <f>Data!L495</f>
        <v>0</v>
      </c>
      <c r="S482">
        <f>Data!M495</f>
        <v>0</v>
      </c>
      <c r="T482">
        <f>Data!N495</f>
        <v>0</v>
      </c>
      <c r="U482">
        <f>Data!O495</f>
        <v>0</v>
      </c>
      <c r="V482" s="33">
        <f>Data!P495</f>
        <v>0</v>
      </c>
    </row>
    <row r="483" spans="7:22" x14ac:dyDescent="0.25">
      <c r="G483">
        <f>Data!A496</f>
        <v>0</v>
      </c>
      <c r="H483" s="21">
        <f>Data!B496</f>
        <v>0</v>
      </c>
      <c r="I483" s="21">
        <f>Data!C496</f>
        <v>0</v>
      </c>
      <c r="J483">
        <f>Data!D496</f>
        <v>0</v>
      </c>
      <c r="K483">
        <f>Data!E496</f>
        <v>0</v>
      </c>
      <c r="L483">
        <f>Data!F496</f>
        <v>0</v>
      </c>
      <c r="M483">
        <f>Data!G496</f>
        <v>0</v>
      </c>
      <c r="N483">
        <f>Data!H496</f>
        <v>0</v>
      </c>
      <c r="O483">
        <f>Data!I496</f>
        <v>0</v>
      </c>
      <c r="P483" s="21">
        <f>Data!J496</f>
        <v>0</v>
      </c>
      <c r="Q483">
        <f>Data!K496</f>
        <v>0</v>
      </c>
      <c r="R483">
        <f>Data!L496</f>
        <v>0</v>
      </c>
      <c r="S483">
        <f>Data!M496</f>
        <v>0</v>
      </c>
      <c r="T483">
        <f>Data!N496</f>
        <v>0</v>
      </c>
      <c r="U483">
        <f>Data!O496</f>
        <v>0</v>
      </c>
      <c r="V483" s="33">
        <f>Data!P496</f>
        <v>0</v>
      </c>
    </row>
    <row r="484" spans="7:22" x14ac:dyDescent="0.25">
      <c r="G484">
        <f>Data!A497</f>
        <v>0</v>
      </c>
      <c r="H484" s="21">
        <f>Data!B497</f>
        <v>0</v>
      </c>
      <c r="I484" s="21">
        <f>Data!C497</f>
        <v>0</v>
      </c>
      <c r="J484">
        <f>Data!D497</f>
        <v>0</v>
      </c>
      <c r="K484">
        <f>Data!E497</f>
        <v>0</v>
      </c>
      <c r="L484">
        <f>Data!F497</f>
        <v>0</v>
      </c>
      <c r="M484">
        <f>Data!G497</f>
        <v>0</v>
      </c>
      <c r="N484">
        <f>Data!H497</f>
        <v>0</v>
      </c>
      <c r="O484">
        <f>Data!I497</f>
        <v>0</v>
      </c>
      <c r="P484" s="21">
        <f>Data!J497</f>
        <v>0</v>
      </c>
      <c r="Q484">
        <f>Data!K497</f>
        <v>0</v>
      </c>
      <c r="R484">
        <f>Data!L497</f>
        <v>0</v>
      </c>
      <c r="S484">
        <f>Data!M497</f>
        <v>0</v>
      </c>
      <c r="T484">
        <f>Data!N497</f>
        <v>0</v>
      </c>
      <c r="U484">
        <f>Data!O497</f>
        <v>0</v>
      </c>
      <c r="V484" s="33">
        <f>Data!P497</f>
        <v>0</v>
      </c>
    </row>
    <row r="485" spans="7:22" x14ac:dyDescent="0.25">
      <c r="G485">
        <f>Data!A498</f>
        <v>0</v>
      </c>
      <c r="H485" s="21">
        <f>Data!B498</f>
        <v>0</v>
      </c>
      <c r="I485" s="21">
        <f>Data!C498</f>
        <v>0</v>
      </c>
      <c r="J485">
        <f>Data!D498</f>
        <v>0</v>
      </c>
      <c r="K485">
        <f>Data!E498</f>
        <v>0</v>
      </c>
      <c r="L485">
        <f>Data!F498</f>
        <v>0</v>
      </c>
      <c r="M485">
        <f>Data!G498</f>
        <v>0</v>
      </c>
      <c r="N485">
        <f>Data!H498</f>
        <v>0</v>
      </c>
      <c r="O485">
        <f>Data!I498</f>
        <v>0</v>
      </c>
      <c r="P485" s="21">
        <f>Data!J498</f>
        <v>0</v>
      </c>
      <c r="Q485">
        <f>Data!K498</f>
        <v>0</v>
      </c>
      <c r="R485">
        <f>Data!L498</f>
        <v>0</v>
      </c>
      <c r="S485">
        <f>Data!M498</f>
        <v>0</v>
      </c>
      <c r="T485">
        <f>Data!N498</f>
        <v>0</v>
      </c>
      <c r="U485">
        <f>Data!O498</f>
        <v>0</v>
      </c>
      <c r="V485" s="33">
        <f>Data!P498</f>
        <v>0</v>
      </c>
    </row>
    <row r="486" spans="7:22" x14ac:dyDescent="0.25">
      <c r="G486">
        <f>Data!A499</f>
        <v>0</v>
      </c>
      <c r="H486" s="21">
        <f>Data!B499</f>
        <v>0</v>
      </c>
      <c r="I486" s="21">
        <f>Data!C499</f>
        <v>0</v>
      </c>
      <c r="J486">
        <f>Data!D499</f>
        <v>0</v>
      </c>
      <c r="K486">
        <f>Data!E499</f>
        <v>0</v>
      </c>
      <c r="L486">
        <f>Data!F499</f>
        <v>0</v>
      </c>
      <c r="M486">
        <f>Data!G499</f>
        <v>0</v>
      </c>
      <c r="N486">
        <f>Data!H499</f>
        <v>0</v>
      </c>
      <c r="O486">
        <f>Data!I499</f>
        <v>0</v>
      </c>
      <c r="P486" s="21">
        <f>Data!J499</f>
        <v>0</v>
      </c>
      <c r="Q486">
        <f>Data!K499</f>
        <v>0</v>
      </c>
      <c r="R486">
        <f>Data!L499</f>
        <v>0</v>
      </c>
      <c r="S486">
        <f>Data!M499</f>
        <v>0</v>
      </c>
      <c r="T486">
        <f>Data!N499</f>
        <v>0</v>
      </c>
      <c r="U486">
        <f>Data!O499</f>
        <v>0</v>
      </c>
      <c r="V486" s="33">
        <f>Data!P499</f>
        <v>0</v>
      </c>
    </row>
    <row r="487" spans="7:22" x14ac:dyDescent="0.25">
      <c r="G487">
        <f>Data!A500</f>
        <v>0</v>
      </c>
      <c r="H487" s="21">
        <f>Data!B500</f>
        <v>0</v>
      </c>
      <c r="I487" s="21">
        <f>Data!C500</f>
        <v>0</v>
      </c>
      <c r="J487">
        <f>Data!D500</f>
        <v>0</v>
      </c>
      <c r="K487">
        <f>Data!E500</f>
        <v>0</v>
      </c>
      <c r="L487">
        <f>Data!F500</f>
        <v>0</v>
      </c>
      <c r="M487">
        <f>Data!G500</f>
        <v>0</v>
      </c>
      <c r="N487">
        <f>Data!H500</f>
        <v>0</v>
      </c>
      <c r="O487">
        <f>Data!I500</f>
        <v>0</v>
      </c>
      <c r="P487" s="21">
        <f>Data!J500</f>
        <v>0</v>
      </c>
      <c r="Q487">
        <f>Data!K500</f>
        <v>0</v>
      </c>
      <c r="R487">
        <f>Data!L500</f>
        <v>0</v>
      </c>
      <c r="S487">
        <f>Data!M500</f>
        <v>0</v>
      </c>
      <c r="T487">
        <f>Data!N500</f>
        <v>0</v>
      </c>
      <c r="U487">
        <f>Data!O500</f>
        <v>0</v>
      </c>
      <c r="V487" s="33">
        <f>Data!P500</f>
        <v>0</v>
      </c>
    </row>
    <row r="488" spans="7:22" x14ac:dyDescent="0.25">
      <c r="G488">
        <f>Data!A501</f>
        <v>0</v>
      </c>
      <c r="H488" s="21">
        <f>Data!B501</f>
        <v>0</v>
      </c>
      <c r="I488" s="21">
        <f>Data!C501</f>
        <v>0</v>
      </c>
      <c r="J488">
        <f>Data!D501</f>
        <v>0</v>
      </c>
      <c r="K488">
        <f>Data!E501</f>
        <v>0</v>
      </c>
      <c r="L488">
        <f>Data!F501</f>
        <v>0</v>
      </c>
      <c r="M488">
        <f>Data!G501</f>
        <v>0</v>
      </c>
      <c r="N488">
        <f>Data!H501</f>
        <v>0</v>
      </c>
      <c r="O488">
        <f>Data!I501</f>
        <v>0</v>
      </c>
      <c r="P488" s="21">
        <f>Data!J501</f>
        <v>0</v>
      </c>
      <c r="Q488">
        <f>Data!K501</f>
        <v>0</v>
      </c>
      <c r="R488">
        <f>Data!L501</f>
        <v>0</v>
      </c>
      <c r="S488">
        <f>Data!M501</f>
        <v>0</v>
      </c>
      <c r="T488">
        <f>Data!N501</f>
        <v>0</v>
      </c>
      <c r="U488">
        <f>Data!O501</f>
        <v>0</v>
      </c>
      <c r="V488" s="33">
        <f>Data!P501</f>
        <v>0</v>
      </c>
    </row>
    <row r="489" spans="7:22" x14ac:dyDescent="0.25">
      <c r="G489">
        <f>Data!A502</f>
        <v>0</v>
      </c>
      <c r="H489" s="21">
        <f>Data!B502</f>
        <v>0</v>
      </c>
      <c r="I489" s="21">
        <f>Data!C502</f>
        <v>0</v>
      </c>
      <c r="J489">
        <f>Data!D502</f>
        <v>0</v>
      </c>
      <c r="K489">
        <f>Data!E502</f>
        <v>0</v>
      </c>
      <c r="L489">
        <f>Data!F502</f>
        <v>0</v>
      </c>
      <c r="M489">
        <f>Data!G502</f>
        <v>0</v>
      </c>
      <c r="N489">
        <f>Data!H502</f>
        <v>0</v>
      </c>
      <c r="O489">
        <f>Data!I502</f>
        <v>0</v>
      </c>
      <c r="P489" s="21">
        <f>Data!J502</f>
        <v>0</v>
      </c>
      <c r="Q489">
        <f>Data!K502</f>
        <v>0</v>
      </c>
      <c r="R489">
        <f>Data!L502</f>
        <v>0</v>
      </c>
      <c r="S489">
        <f>Data!M502</f>
        <v>0</v>
      </c>
      <c r="T489">
        <f>Data!N502</f>
        <v>0</v>
      </c>
      <c r="U489">
        <f>Data!O502</f>
        <v>0</v>
      </c>
      <c r="V489" s="33">
        <f>Data!P502</f>
        <v>0</v>
      </c>
    </row>
    <row r="490" spans="7:22" x14ac:dyDescent="0.25">
      <c r="G490">
        <f>Data!A503</f>
        <v>0</v>
      </c>
      <c r="H490" s="21">
        <f>Data!B503</f>
        <v>0</v>
      </c>
      <c r="I490" s="21">
        <f>Data!C503</f>
        <v>0</v>
      </c>
      <c r="J490">
        <f>Data!D503</f>
        <v>0</v>
      </c>
      <c r="K490">
        <f>Data!E503</f>
        <v>0</v>
      </c>
      <c r="L490">
        <f>Data!F503</f>
        <v>0</v>
      </c>
      <c r="M490">
        <f>Data!G503</f>
        <v>0</v>
      </c>
      <c r="N490">
        <f>Data!H503</f>
        <v>0</v>
      </c>
      <c r="O490">
        <f>Data!I503</f>
        <v>0</v>
      </c>
      <c r="P490" s="21">
        <f>Data!J503</f>
        <v>0</v>
      </c>
      <c r="Q490">
        <f>Data!K503</f>
        <v>0</v>
      </c>
      <c r="R490">
        <f>Data!L503</f>
        <v>0</v>
      </c>
      <c r="S490">
        <f>Data!M503</f>
        <v>0</v>
      </c>
      <c r="T490">
        <f>Data!N503</f>
        <v>0</v>
      </c>
      <c r="U490">
        <f>Data!O503</f>
        <v>0</v>
      </c>
      <c r="V490" s="33">
        <f>Data!P503</f>
        <v>0</v>
      </c>
    </row>
    <row r="491" spans="7:22" x14ac:dyDescent="0.25">
      <c r="G491">
        <f>Data!A504</f>
        <v>0</v>
      </c>
      <c r="H491" s="21">
        <f>Data!B504</f>
        <v>0</v>
      </c>
      <c r="I491" s="21">
        <f>Data!C504</f>
        <v>0</v>
      </c>
      <c r="J491">
        <f>Data!D504</f>
        <v>0</v>
      </c>
      <c r="K491">
        <f>Data!E504</f>
        <v>0</v>
      </c>
      <c r="L491">
        <f>Data!F504</f>
        <v>0</v>
      </c>
      <c r="M491">
        <f>Data!G504</f>
        <v>0</v>
      </c>
      <c r="N491">
        <f>Data!H504</f>
        <v>0</v>
      </c>
      <c r="O491">
        <f>Data!I504</f>
        <v>0</v>
      </c>
      <c r="P491" s="21">
        <f>Data!J504</f>
        <v>0</v>
      </c>
      <c r="Q491">
        <f>Data!K504</f>
        <v>0</v>
      </c>
      <c r="R491">
        <f>Data!L504</f>
        <v>0</v>
      </c>
      <c r="S491">
        <f>Data!M504</f>
        <v>0</v>
      </c>
      <c r="T491">
        <f>Data!N504</f>
        <v>0</v>
      </c>
      <c r="U491">
        <f>Data!O504</f>
        <v>0</v>
      </c>
      <c r="V491" s="33">
        <f>Data!P504</f>
        <v>0</v>
      </c>
    </row>
    <row r="492" spans="7:22" x14ac:dyDescent="0.25">
      <c r="G492">
        <f>Data!A505</f>
        <v>0</v>
      </c>
      <c r="H492" s="21">
        <f>Data!B505</f>
        <v>0</v>
      </c>
      <c r="I492" s="21">
        <f>Data!C505</f>
        <v>0</v>
      </c>
      <c r="J492">
        <f>Data!D505</f>
        <v>0</v>
      </c>
      <c r="K492">
        <f>Data!E505</f>
        <v>0</v>
      </c>
      <c r="L492">
        <f>Data!F505</f>
        <v>0</v>
      </c>
      <c r="M492">
        <f>Data!G505</f>
        <v>0</v>
      </c>
      <c r="N492">
        <f>Data!H505</f>
        <v>0</v>
      </c>
      <c r="O492">
        <f>Data!I505</f>
        <v>0</v>
      </c>
      <c r="P492" s="21">
        <f>Data!J505</f>
        <v>0</v>
      </c>
      <c r="Q492">
        <f>Data!K505</f>
        <v>0</v>
      </c>
      <c r="R492">
        <f>Data!L505</f>
        <v>0</v>
      </c>
      <c r="S492">
        <f>Data!M505</f>
        <v>0</v>
      </c>
      <c r="T492">
        <f>Data!N505</f>
        <v>0</v>
      </c>
      <c r="U492">
        <f>Data!O505</f>
        <v>0</v>
      </c>
      <c r="V492" s="33">
        <f>Data!P505</f>
        <v>0</v>
      </c>
    </row>
    <row r="493" spans="7:22" x14ac:dyDescent="0.25">
      <c r="G493">
        <f>Data!A506</f>
        <v>0</v>
      </c>
      <c r="H493" s="21">
        <f>Data!B506</f>
        <v>0</v>
      </c>
      <c r="I493" s="21">
        <f>Data!C506</f>
        <v>0</v>
      </c>
      <c r="J493">
        <f>Data!D506</f>
        <v>0</v>
      </c>
      <c r="K493">
        <f>Data!E506</f>
        <v>0</v>
      </c>
      <c r="L493">
        <f>Data!F506</f>
        <v>0</v>
      </c>
      <c r="M493">
        <f>Data!G506</f>
        <v>0</v>
      </c>
      <c r="N493">
        <f>Data!H506</f>
        <v>0</v>
      </c>
      <c r="O493">
        <f>Data!I506</f>
        <v>0</v>
      </c>
      <c r="P493" s="21">
        <f>Data!J506</f>
        <v>0</v>
      </c>
      <c r="Q493">
        <f>Data!K506</f>
        <v>0</v>
      </c>
      <c r="R493">
        <f>Data!L506</f>
        <v>0</v>
      </c>
      <c r="S493">
        <f>Data!M506</f>
        <v>0</v>
      </c>
      <c r="T493">
        <f>Data!N506</f>
        <v>0</v>
      </c>
      <c r="U493">
        <f>Data!O506</f>
        <v>0</v>
      </c>
      <c r="V493" s="33">
        <f>Data!P506</f>
        <v>0</v>
      </c>
    </row>
    <row r="494" spans="7:22" x14ac:dyDescent="0.25">
      <c r="G494">
        <f>Data!A507</f>
        <v>0</v>
      </c>
      <c r="H494" s="21">
        <f>Data!B507</f>
        <v>0</v>
      </c>
      <c r="I494" s="21">
        <f>Data!C507</f>
        <v>0</v>
      </c>
      <c r="J494">
        <f>Data!D507</f>
        <v>0</v>
      </c>
      <c r="K494">
        <f>Data!E507</f>
        <v>0</v>
      </c>
      <c r="L494">
        <f>Data!F507</f>
        <v>0</v>
      </c>
      <c r="M494">
        <f>Data!G507</f>
        <v>0</v>
      </c>
      <c r="N494">
        <f>Data!H507</f>
        <v>0</v>
      </c>
      <c r="O494">
        <f>Data!I507</f>
        <v>0</v>
      </c>
      <c r="P494" s="21">
        <f>Data!J507</f>
        <v>0</v>
      </c>
      <c r="Q494">
        <f>Data!K507</f>
        <v>0</v>
      </c>
      <c r="R494">
        <f>Data!L507</f>
        <v>0</v>
      </c>
      <c r="S494">
        <f>Data!M507</f>
        <v>0</v>
      </c>
      <c r="T494">
        <f>Data!N507</f>
        <v>0</v>
      </c>
      <c r="U494">
        <f>Data!O507</f>
        <v>0</v>
      </c>
      <c r="V494" s="33">
        <f>Data!P507</f>
        <v>0</v>
      </c>
    </row>
    <row r="495" spans="7:22" x14ac:dyDescent="0.25">
      <c r="G495">
        <f>Data!A508</f>
        <v>0</v>
      </c>
      <c r="H495" s="21">
        <f>Data!B508</f>
        <v>0</v>
      </c>
      <c r="I495" s="21">
        <f>Data!C508</f>
        <v>0</v>
      </c>
      <c r="J495">
        <f>Data!D508</f>
        <v>0</v>
      </c>
      <c r="K495">
        <f>Data!E508</f>
        <v>0</v>
      </c>
      <c r="L495">
        <f>Data!F508</f>
        <v>0</v>
      </c>
      <c r="M495">
        <f>Data!G508</f>
        <v>0</v>
      </c>
      <c r="N495">
        <f>Data!H508</f>
        <v>0</v>
      </c>
      <c r="O495">
        <f>Data!I508</f>
        <v>0</v>
      </c>
      <c r="P495" s="21">
        <f>Data!J508</f>
        <v>0</v>
      </c>
      <c r="Q495">
        <f>Data!K508</f>
        <v>0</v>
      </c>
      <c r="R495">
        <f>Data!L508</f>
        <v>0</v>
      </c>
      <c r="S495">
        <f>Data!M508</f>
        <v>0</v>
      </c>
      <c r="T495">
        <f>Data!N508</f>
        <v>0</v>
      </c>
      <c r="U495">
        <f>Data!O508</f>
        <v>0</v>
      </c>
      <c r="V495" s="33">
        <f>Data!P508</f>
        <v>0</v>
      </c>
    </row>
    <row r="496" spans="7:22" x14ac:dyDescent="0.25">
      <c r="G496">
        <f>Data!A509</f>
        <v>0</v>
      </c>
      <c r="H496" s="21">
        <f>Data!B509</f>
        <v>0</v>
      </c>
      <c r="I496" s="21">
        <f>Data!C509</f>
        <v>0</v>
      </c>
      <c r="J496">
        <f>Data!D509</f>
        <v>0</v>
      </c>
      <c r="K496">
        <f>Data!E509</f>
        <v>0</v>
      </c>
      <c r="L496">
        <f>Data!F509</f>
        <v>0</v>
      </c>
      <c r="M496">
        <f>Data!G509</f>
        <v>0</v>
      </c>
      <c r="N496">
        <f>Data!H509</f>
        <v>0</v>
      </c>
      <c r="O496">
        <f>Data!I509</f>
        <v>0</v>
      </c>
      <c r="P496" s="21">
        <f>Data!J509</f>
        <v>0</v>
      </c>
      <c r="Q496">
        <f>Data!K509</f>
        <v>0</v>
      </c>
      <c r="R496">
        <f>Data!L509</f>
        <v>0</v>
      </c>
      <c r="S496">
        <f>Data!M509</f>
        <v>0</v>
      </c>
      <c r="T496">
        <f>Data!N509</f>
        <v>0</v>
      </c>
      <c r="U496">
        <f>Data!O509</f>
        <v>0</v>
      </c>
      <c r="V496" s="33">
        <f>Data!P509</f>
        <v>0</v>
      </c>
    </row>
    <row r="497" spans="7:22" x14ac:dyDescent="0.25">
      <c r="G497">
        <f>Data!A510</f>
        <v>0</v>
      </c>
      <c r="H497" s="21">
        <f>Data!B510</f>
        <v>0</v>
      </c>
      <c r="I497" s="21">
        <f>Data!C510</f>
        <v>0</v>
      </c>
      <c r="J497">
        <f>Data!D510</f>
        <v>0</v>
      </c>
      <c r="K497">
        <f>Data!E510</f>
        <v>0</v>
      </c>
      <c r="L497">
        <f>Data!F510</f>
        <v>0</v>
      </c>
      <c r="M497">
        <f>Data!G510</f>
        <v>0</v>
      </c>
      <c r="N497">
        <f>Data!H510</f>
        <v>0</v>
      </c>
      <c r="O497">
        <f>Data!I510</f>
        <v>0</v>
      </c>
      <c r="P497" s="21">
        <f>Data!J510</f>
        <v>0</v>
      </c>
      <c r="Q497">
        <f>Data!K510</f>
        <v>0</v>
      </c>
      <c r="R497">
        <f>Data!L510</f>
        <v>0</v>
      </c>
      <c r="S497">
        <f>Data!M510</f>
        <v>0</v>
      </c>
      <c r="T497">
        <f>Data!N510</f>
        <v>0</v>
      </c>
      <c r="U497">
        <f>Data!O510</f>
        <v>0</v>
      </c>
      <c r="V497" s="33">
        <f>Data!P510</f>
        <v>0</v>
      </c>
    </row>
    <row r="498" spans="7:22" x14ac:dyDescent="0.25">
      <c r="G498">
        <f>Data!A511</f>
        <v>0</v>
      </c>
      <c r="H498" s="21">
        <f>Data!B511</f>
        <v>0</v>
      </c>
      <c r="I498" s="21">
        <f>Data!C511</f>
        <v>0</v>
      </c>
      <c r="J498">
        <f>Data!D511</f>
        <v>0</v>
      </c>
      <c r="K498">
        <f>Data!E511</f>
        <v>0</v>
      </c>
      <c r="L498">
        <f>Data!F511</f>
        <v>0</v>
      </c>
      <c r="M498">
        <f>Data!G511</f>
        <v>0</v>
      </c>
      <c r="N498">
        <f>Data!H511</f>
        <v>0</v>
      </c>
      <c r="O498">
        <f>Data!I511</f>
        <v>0</v>
      </c>
      <c r="P498" s="21">
        <f>Data!J511</f>
        <v>0</v>
      </c>
      <c r="Q498">
        <f>Data!K511</f>
        <v>0</v>
      </c>
      <c r="R498">
        <f>Data!L511</f>
        <v>0</v>
      </c>
      <c r="S498">
        <f>Data!M511</f>
        <v>0</v>
      </c>
      <c r="T498">
        <f>Data!N511</f>
        <v>0</v>
      </c>
      <c r="U498">
        <f>Data!O511</f>
        <v>0</v>
      </c>
      <c r="V498" s="33">
        <f>Data!P511</f>
        <v>0</v>
      </c>
    </row>
    <row r="499" spans="7:22" x14ac:dyDescent="0.25">
      <c r="G499">
        <f>Data!A512</f>
        <v>0</v>
      </c>
      <c r="H499" s="21">
        <f>Data!B512</f>
        <v>0</v>
      </c>
      <c r="I499" s="21">
        <f>Data!C512</f>
        <v>0</v>
      </c>
      <c r="J499">
        <f>Data!D512</f>
        <v>0</v>
      </c>
      <c r="K499">
        <f>Data!E512</f>
        <v>0</v>
      </c>
      <c r="L499">
        <f>Data!F512</f>
        <v>0</v>
      </c>
      <c r="M499">
        <f>Data!G512</f>
        <v>0</v>
      </c>
      <c r="N499">
        <f>Data!H512</f>
        <v>0</v>
      </c>
      <c r="O499">
        <f>Data!I512</f>
        <v>0</v>
      </c>
      <c r="P499" s="21">
        <f>Data!J512</f>
        <v>0</v>
      </c>
      <c r="Q499">
        <f>Data!K512</f>
        <v>0</v>
      </c>
      <c r="R499">
        <f>Data!L512</f>
        <v>0</v>
      </c>
      <c r="S499">
        <f>Data!M512</f>
        <v>0</v>
      </c>
      <c r="T499">
        <f>Data!N512</f>
        <v>0</v>
      </c>
      <c r="U499">
        <f>Data!O512</f>
        <v>0</v>
      </c>
      <c r="V499" s="33">
        <f>Data!P512</f>
        <v>0</v>
      </c>
    </row>
    <row r="500" spans="7:22" x14ac:dyDescent="0.25">
      <c r="G500">
        <f>Data!A513</f>
        <v>0</v>
      </c>
      <c r="H500" s="21">
        <f>Data!B513</f>
        <v>0</v>
      </c>
      <c r="I500" s="21">
        <f>Data!C513</f>
        <v>0</v>
      </c>
      <c r="J500">
        <f>Data!D513</f>
        <v>0</v>
      </c>
      <c r="K500">
        <f>Data!E513</f>
        <v>0</v>
      </c>
      <c r="L500">
        <f>Data!F513</f>
        <v>0</v>
      </c>
      <c r="M500">
        <f>Data!G513</f>
        <v>0</v>
      </c>
      <c r="N500">
        <f>Data!H513</f>
        <v>0</v>
      </c>
      <c r="O500">
        <f>Data!I513</f>
        <v>0</v>
      </c>
      <c r="P500" s="21">
        <f>Data!J513</f>
        <v>0</v>
      </c>
      <c r="Q500">
        <f>Data!K513</f>
        <v>0</v>
      </c>
      <c r="R500">
        <f>Data!L513</f>
        <v>0</v>
      </c>
      <c r="S500">
        <f>Data!M513</f>
        <v>0</v>
      </c>
      <c r="T500">
        <f>Data!N513</f>
        <v>0</v>
      </c>
      <c r="U500">
        <f>Data!O513</f>
        <v>0</v>
      </c>
      <c r="V500" s="33">
        <f>Data!P513</f>
        <v>0</v>
      </c>
    </row>
    <row r="501" spans="7:22" x14ac:dyDescent="0.25">
      <c r="G501">
        <f>Data!A514</f>
        <v>0</v>
      </c>
      <c r="H501" s="21">
        <f>Data!B514</f>
        <v>0</v>
      </c>
      <c r="I501" s="21">
        <f>Data!C514</f>
        <v>0</v>
      </c>
      <c r="J501">
        <f>Data!D514</f>
        <v>0</v>
      </c>
      <c r="K501">
        <f>Data!E514</f>
        <v>0</v>
      </c>
      <c r="L501">
        <f>Data!F514</f>
        <v>0</v>
      </c>
      <c r="M501">
        <f>Data!G514</f>
        <v>0</v>
      </c>
      <c r="N501">
        <f>Data!H514</f>
        <v>0</v>
      </c>
      <c r="O501">
        <f>Data!I514</f>
        <v>0</v>
      </c>
      <c r="P501" s="21">
        <f>Data!J514</f>
        <v>0</v>
      </c>
      <c r="Q501">
        <f>Data!K514</f>
        <v>0</v>
      </c>
      <c r="R501">
        <f>Data!L514</f>
        <v>0</v>
      </c>
      <c r="S501">
        <f>Data!M514</f>
        <v>0</v>
      </c>
      <c r="T501">
        <f>Data!N514</f>
        <v>0</v>
      </c>
      <c r="U501">
        <f>Data!O514</f>
        <v>0</v>
      </c>
      <c r="V501" s="33">
        <f>Data!P514</f>
        <v>0</v>
      </c>
    </row>
    <row r="502" spans="7:22" x14ac:dyDescent="0.25">
      <c r="G502">
        <f>Data!A515</f>
        <v>0</v>
      </c>
      <c r="H502" s="21">
        <f>Data!B515</f>
        <v>0</v>
      </c>
      <c r="I502" s="21">
        <f>Data!C515</f>
        <v>0</v>
      </c>
      <c r="J502">
        <f>Data!D515</f>
        <v>0</v>
      </c>
      <c r="K502">
        <f>Data!E515</f>
        <v>0</v>
      </c>
      <c r="L502">
        <f>Data!F515</f>
        <v>0</v>
      </c>
      <c r="M502">
        <f>Data!G515</f>
        <v>0</v>
      </c>
      <c r="N502">
        <f>Data!H515</f>
        <v>0</v>
      </c>
      <c r="O502">
        <f>Data!I515</f>
        <v>0</v>
      </c>
      <c r="P502" s="21">
        <f>Data!J515</f>
        <v>0</v>
      </c>
      <c r="Q502">
        <f>Data!K515</f>
        <v>0</v>
      </c>
      <c r="R502">
        <f>Data!L515</f>
        <v>0</v>
      </c>
      <c r="S502">
        <f>Data!M515</f>
        <v>0</v>
      </c>
      <c r="T502">
        <f>Data!N515</f>
        <v>0</v>
      </c>
      <c r="U502">
        <f>Data!O515</f>
        <v>0</v>
      </c>
      <c r="V502" s="33">
        <f>Data!P515</f>
        <v>0</v>
      </c>
    </row>
    <row r="503" spans="7:22" x14ac:dyDescent="0.25">
      <c r="G503">
        <f>Data!A516</f>
        <v>0</v>
      </c>
      <c r="H503" s="21">
        <f>Data!B516</f>
        <v>0</v>
      </c>
      <c r="I503" s="21">
        <f>Data!C516</f>
        <v>0</v>
      </c>
      <c r="J503">
        <f>Data!D516</f>
        <v>0</v>
      </c>
      <c r="K503">
        <f>Data!E516</f>
        <v>0</v>
      </c>
      <c r="L503">
        <f>Data!F516</f>
        <v>0</v>
      </c>
      <c r="M503">
        <f>Data!G516</f>
        <v>0</v>
      </c>
      <c r="N503">
        <f>Data!H516</f>
        <v>0</v>
      </c>
      <c r="O503">
        <f>Data!I516</f>
        <v>0</v>
      </c>
      <c r="P503" s="21">
        <f>Data!J516</f>
        <v>0</v>
      </c>
      <c r="Q503">
        <f>Data!K516</f>
        <v>0</v>
      </c>
      <c r="R503">
        <f>Data!L516</f>
        <v>0</v>
      </c>
      <c r="S503">
        <f>Data!M516</f>
        <v>0</v>
      </c>
      <c r="T503">
        <f>Data!N516</f>
        <v>0</v>
      </c>
      <c r="U503">
        <f>Data!O516</f>
        <v>0</v>
      </c>
      <c r="V503" s="33">
        <f>Data!P516</f>
        <v>0</v>
      </c>
    </row>
    <row r="504" spans="7:22" x14ac:dyDescent="0.25">
      <c r="G504">
        <f>Data!A517</f>
        <v>0</v>
      </c>
      <c r="H504" s="21">
        <f>Data!B517</f>
        <v>0</v>
      </c>
      <c r="I504" s="21">
        <f>Data!C517</f>
        <v>0</v>
      </c>
      <c r="J504">
        <f>Data!D517</f>
        <v>0</v>
      </c>
      <c r="K504">
        <f>Data!E517</f>
        <v>0</v>
      </c>
      <c r="L504">
        <f>Data!F517</f>
        <v>0</v>
      </c>
      <c r="M504">
        <f>Data!G517</f>
        <v>0</v>
      </c>
      <c r="N504">
        <f>Data!H517</f>
        <v>0</v>
      </c>
      <c r="O504">
        <f>Data!I517</f>
        <v>0</v>
      </c>
      <c r="P504" s="21">
        <f>Data!J517</f>
        <v>0</v>
      </c>
      <c r="Q504">
        <f>Data!K517</f>
        <v>0</v>
      </c>
      <c r="R504">
        <f>Data!L517</f>
        <v>0</v>
      </c>
      <c r="S504">
        <f>Data!M517</f>
        <v>0</v>
      </c>
      <c r="T504">
        <f>Data!N517</f>
        <v>0</v>
      </c>
      <c r="U504">
        <f>Data!O517</f>
        <v>0</v>
      </c>
      <c r="V504" s="33">
        <f>Data!P517</f>
        <v>0</v>
      </c>
    </row>
    <row r="505" spans="7:22" x14ac:dyDescent="0.25">
      <c r="G505">
        <f>Data!A518</f>
        <v>0</v>
      </c>
      <c r="H505" s="21">
        <f>Data!B518</f>
        <v>0</v>
      </c>
      <c r="I505" s="21">
        <f>Data!C518</f>
        <v>0</v>
      </c>
      <c r="J505">
        <f>Data!D518</f>
        <v>0</v>
      </c>
      <c r="K505">
        <f>Data!E518</f>
        <v>0</v>
      </c>
      <c r="L505">
        <f>Data!F518</f>
        <v>0</v>
      </c>
      <c r="M505">
        <f>Data!G518</f>
        <v>0</v>
      </c>
      <c r="N505">
        <f>Data!H518</f>
        <v>0</v>
      </c>
      <c r="O505">
        <f>Data!I518</f>
        <v>0</v>
      </c>
      <c r="P505" s="21">
        <f>Data!J518</f>
        <v>0</v>
      </c>
      <c r="Q505">
        <f>Data!K518</f>
        <v>0</v>
      </c>
      <c r="R505">
        <f>Data!L518</f>
        <v>0</v>
      </c>
      <c r="S505">
        <f>Data!M518</f>
        <v>0</v>
      </c>
      <c r="T505">
        <f>Data!N518</f>
        <v>0</v>
      </c>
      <c r="U505">
        <f>Data!O518</f>
        <v>0</v>
      </c>
      <c r="V505" s="33">
        <f>Data!P518</f>
        <v>0</v>
      </c>
    </row>
    <row r="506" spans="7:22" x14ac:dyDescent="0.25">
      <c r="G506">
        <f>Data!A519</f>
        <v>0</v>
      </c>
      <c r="H506" s="21">
        <f>Data!B519</f>
        <v>0</v>
      </c>
      <c r="I506" s="21">
        <f>Data!C519</f>
        <v>0</v>
      </c>
      <c r="J506">
        <f>Data!D519</f>
        <v>0</v>
      </c>
      <c r="K506">
        <f>Data!E519</f>
        <v>0</v>
      </c>
      <c r="L506">
        <f>Data!F519</f>
        <v>0</v>
      </c>
      <c r="M506">
        <f>Data!G519</f>
        <v>0</v>
      </c>
      <c r="N506">
        <f>Data!H519</f>
        <v>0</v>
      </c>
      <c r="O506">
        <f>Data!I519</f>
        <v>0</v>
      </c>
      <c r="P506" s="21">
        <f>Data!J519</f>
        <v>0</v>
      </c>
      <c r="Q506">
        <f>Data!K519</f>
        <v>0</v>
      </c>
      <c r="R506">
        <f>Data!L519</f>
        <v>0</v>
      </c>
      <c r="S506">
        <f>Data!M519</f>
        <v>0</v>
      </c>
      <c r="T506">
        <f>Data!N519</f>
        <v>0</v>
      </c>
      <c r="U506">
        <f>Data!O519</f>
        <v>0</v>
      </c>
      <c r="V506" s="33">
        <f>Data!P519</f>
        <v>0</v>
      </c>
    </row>
    <row r="507" spans="7:22" x14ac:dyDescent="0.25">
      <c r="G507">
        <f>Data!A520</f>
        <v>0</v>
      </c>
      <c r="H507" s="21">
        <f>Data!B520</f>
        <v>0</v>
      </c>
      <c r="I507" s="21">
        <f>Data!C520</f>
        <v>0</v>
      </c>
      <c r="J507">
        <f>Data!D520</f>
        <v>0</v>
      </c>
      <c r="K507">
        <f>Data!E520</f>
        <v>0</v>
      </c>
      <c r="L507">
        <f>Data!F520</f>
        <v>0</v>
      </c>
      <c r="M507">
        <f>Data!G520</f>
        <v>0</v>
      </c>
      <c r="N507">
        <f>Data!H520</f>
        <v>0</v>
      </c>
      <c r="O507">
        <f>Data!I520</f>
        <v>0</v>
      </c>
      <c r="P507" s="21">
        <f>Data!J520</f>
        <v>0</v>
      </c>
      <c r="Q507">
        <f>Data!K520</f>
        <v>0</v>
      </c>
      <c r="R507">
        <f>Data!L520</f>
        <v>0</v>
      </c>
      <c r="S507">
        <f>Data!M520</f>
        <v>0</v>
      </c>
      <c r="T507">
        <f>Data!N520</f>
        <v>0</v>
      </c>
      <c r="U507">
        <f>Data!O520</f>
        <v>0</v>
      </c>
      <c r="V507" s="33">
        <f>Data!P520</f>
        <v>0</v>
      </c>
    </row>
    <row r="508" spans="7:22" x14ac:dyDescent="0.25">
      <c r="G508">
        <f>Data!A521</f>
        <v>0</v>
      </c>
      <c r="H508" s="21">
        <f>Data!B521</f>
        <v>0</v>
      </c>
      <c r="I508" s="21">
        <f>Data!C521</f>
        <v>0</v>
      </c>
      <c r="J508">
        <f>Data!D521</f>
        <v>0</v>
      </c>
      <c r="K508">
        <f>Data!E521</f>
        <v>0</v>
      </c>
      <c r="L508">
        <f>Data!F521</f>
        <v>0</v>
      </c>
      <c r="M508">
        <f>Data!G521</f>
        <v>0</v>
      </c>
      <c r="N508">
        <f>Data!H521</f>
        <v>0</v>
      </c>
      <c r="O508">
        <f>Data!I521</f>
        <v>0</v>
      </c>
      <c r="P508" s="21">
        <f>Data!J521</f>
        <v>0</v>
      </c>
      <c r="Q508">
        <f>Data!K521</f>
        <v>0</v>
      </c>
      <c r="R508">
        <f>Data!L521</f>
        <v>0</v>
      </c>
      <c r="S508">
        <f>Data!M521</f>
        <v>0</v>
      </c>
      <c r="T508">
        <f>Data!N521</f>
        <v>0</v>
      </c>
      <c r="U508">
        <f>Data!O521</f>
        <v>0</v>
      </c>
      <c r="V508" s="33">
        <f>Data!P521</f>
        <v>0</v>
      </c>
    </row>
    <row r="509" spans="7:22" x14ac:dyDescent="0.25">
      <c r="G509">
        <f>Data!A522</f>
        <v>0</v>
      </c>
      <c r="H509" s="21">
        <f>Data!B522</f>
        <v>0</v>
      </c>
      <c r="I509" s="21">
        <f>Data!C522</f>
        <v>0</v>
      </c>
      <c r="J509">
        <f>Data!D522</f>
        <v>0</v>
      </c>
      <c r="K509">
        <f>Data!E522</f>
        <v>0</v>
      </c>
      <c r="L509">
        <f>Data!F522</f>
        <v>0</v>
      </c>
      <c r="M509">
        <f>Data!G522</f>
        <v>0</v>
      </c>
      <c r="N509">
        <f>Data!H522</f>
        <v>0</v>
      </c>
      <c r="O509">
        <f>Data!I522</f>
        <v>0</v>
      </c>
      <c r="P509" s="21">
        <f>Data!J522</f>
        <v>0</v>
      </c>
      <c r="Q509">
        <f>Data!K522</f>
        <v>0</v>
      </c>
      <c r="R509">
        <f>Data!L522</f>
        <v>0</v>
      </c>
      <c r="S509">
        <f>Data!M522</f>
        <v>0</v>
      </c>
      <c r="T509">
        <f>Data!N522</f>
        <v>0</v>
      </c>
      <c r="U509">
        <f>Data!O522</f>
        <v>0</v>
      </c>
      <c r="V509" s="33">
        <f>Data!P522</f>
        <v>0</v>
      </c>
    </row>
    <row r="510" spans="7:22" x14ac:dyDescent="0.25">
      <c r="G510">
        <f>Data!A523</f>
        <v>0</v>
      </c>
      <c r="H510" s="21">
        <f>Data!B523</f>
        <v>0</v>
      </c>
      <c r="I510" s="21">
        <f>Data!C523</f>
        <v>0</v>
      </c>
      <c r="J510">
        <f>Data!D523</f>
        <v>0</v>
      </c>
      <c r="K510">
        <f>Data!E523</f>
        <v>0</v>
      </c>
      <c r="L510">
        <f>Data!F523</f>
        <v>0</v>
      </c>
      <c r="M510">
        <f>Data!G523</f>
        <v>0</v>
      </c>
      <c r="N510">
        <f>Data!H523</f>
        <v>0</v>
      </c>
      <c r="O510">
        <f>Data!I523</f>
        <v>0</v>
      </c>
      <c r="P510" s="21">
        <f>Data!J523</f>
        <v>0</v>
      </c>
      <c r="Q510">
        <f>Data!K523</f>
        <v>0</v>
      </c>
      <c r="R510">
        <f>Data!L523</f>
        <v>0</v>
      </c>
      <c r="S510">
        <f>Data!M523</f>
        <v>0</v>
      </c>
      <c r="T510">
        <f>Data!N523</f>
        <v>0</v>
      </c>
      <c r="U510">
        <f>Data!O523</f>
        <v>0</v>
      </c>
      <c r="V510" s="33">
        <f>Data!P523</f>
        <v>0</v>
      </c>
    </row>
    <row r="511" spans="7:22" x14ac:dyDescent="0.25">
      <c r="G511">
        <f>Data!A524</f>
        <v>0</v>
      </c>
      <c r="H511" s="21">
        <f>Data!B524</f>
        <v>0</v>
      </c>
      <c r="I511" s="21">
        <f>Data!C524</f>
        <v>0</v>
      </c>
      <c r="J511">
        <f>Data!D524</f>
        <v>0</v>
      </c>
      <c r="K511">
        <f>Data!E524</f>
        <v>0</v>
      </c>
      <c r="L511">
        <f>Data!F524</f>
        <v>0</v>
      </c>
      <c r="M511">
        <f>Data!G524</f>
        <v>0</v>
      </c>
      <c r="N511">
        <f>Data!H524</f>
        <v>0</v>
      </c>
      <c r="O511">
        <f>Data!I524</f>
        <v>0</v>
      </c>
      <c r="P511" s="21">
        <f>Data!J524</f>
        <v>0</v>
      </c>
      <c r="Q511">
        <f>Data!K524</f>
        <v>0</v>
      </c>
      <c r="R511">
        <f>Data!L524</f>
        <v>0</v>
      </c>
      <c r="S511">
        <f>Data!M524</f>
        <v>0</v>
      </c>
      <c r="T511">
        <f>Data!N524</f>
        <v>0</v>
      </c>
      <c r="U511">
        <f>Data!O524</f>
        <v>0</v>
      </c>
      <c r="V511" s="33">
        <f>Data!P524</f>
        <v>0</v>
      </c>
    </row>
    <row r="512" spans="7:22" x14ac:dyDescent="0.25">
      <c r="G512">
        <f>Data!A525</f>
        <v>0</v>
      </c>
      <c r="H512" s="21">
        <f>Data!B525</f>
        <v>0</v>
      </c>
      <c r="I512" s="21">
        <f>Data!C525</f>
        <v>0</v>
      </c>
      <c r="J512">
        <f>Data!D525</f>
        <v>0</v>
      </c>
      <c r="K512">
        <f>Data!E525</f>
        <v>0</v>
      </c>
      <c r="L512">
        <f>Data!F525</f>
        <v>0</v>
      </c>
      <c r="M512">
        <f>Data!G525</f>
        <v>0</v>
      </c>
      <c r="N512">
        <f>Data!H525</f>
        <v>0</v>
      </c>
      <c r="O512">
        <f>Data!I525</f>
        <v>0</v>
      </c>
      <c r="P512" s="21">
        <f>Data!J525</f>
        <v>0</v>
      </c>
      <c r="Q512">
        <f>Data!K525</f>
        <v>0</v>
      </c>
      <c r="R512">
        <f>Data!L525</f>
        <v>0</v>
      </c>
      <c r="S512">
        <f>Data!M525</f>
        <v>0</v>
      </c>
      <c r="T512">
        <f>Data!N525</f>
        <v>0</v>
      </c>
      <c r="U512">
        <f>Data!O525</f>
        <v>0</v>
      </c>
      <c r="V512" s="33">
        <f>Data!P525</f>
        <v>0</v>
      </c>
    </row>
    <row r="513" spans="7:22" x14ac:dyDescent="0.25">
      <c r="G513">
        <f>Data!A526</f>
        <v>0</v>
      </c>
      <c r="H513" s="21">
        <f>Data!B526</f>
        <v>0</v>
      </c>
      <c r="I513" s="21">
        <f>Data!C526</f>
        <v>0</v>
      </c>
      <c r="J513">
        <f>Data!D526</f>
        <v>0</v>
      </c>
      <c r="K513">
        <f>Data!E526</f>
        <v>0</v>
      </c>
      <c r="L513">
        <f>Data!F526</f>
        <v>0</v>
      </c>
      <c r="M513">
        <f>Data!G526</f>
        <v>0</v>
      </c>
      <c r="N513">
        <f>Data!H526</f>
        <v>0</v>
      </c>
      <c r="O513">
        <f>Data!I526</f>
        <v>0</v>
      </c>
      <c r="P513" s="21">
        <f>Data!J526</f>
        <v>0</v>
      </c>
      <c r="Q513">
        <f>Data!K526</f>
        <v>0</v>
      </c>
      <c r="R513">
        <f>Data!L526</f>
        <v>0</v>
      </c>
      <c r="S513">
        <f>Data!M526</f>
        <v>0</v>
      </c>
      <c r="T513">
        <f>Data!N526</f>
        <v>0</v>
      </c>
      <c r="U513">
        <f>Data!O526</f>
        <v>0</v>
      </c>
      <c r="V513" s="33">
        <f>Data!P526</f>
        <v>0</v>
      </c>
    </row>
    <row r="514" spans="7:22" x14ac:dyDescent="0.25">
      <c r="G514">
        <f>Data!A527</f>
        <v>0</v>
      </c>
      <c r="H514" s="21">
        <f>Data!B527</f>
        <v>0</v>
      </c>
      <c r="I514" s="21">
        <f>Data!C527</f>
        <v>0</v>
      </c>
      <c r="J514">
        <f>Data!D527</f>
        <v>0</v>
      </c>
      <c r="K514">
        <f>Data!E527</f>
        <v>0</v>
      </c>
      <c r="L514">
        <f>Data!F527</f>
        <v>0</v>
      </c>
      <c r="M514">
        <f>Data!G527</f>
        <v>0</v>
      </c>
      <c r="N514">
        <f>Data!H527</f>
        <v>0</v>
      </c>
      <c r="O514">
        <f>Data!I527</f>
        <v>0</v>
      </c>
      <c r="P514" s="21">
        <f>Data!J527</f>
        <v>0</v>
      </c>
      <c r="Q514">
        <f>Data!K527</f>
        <v>0</v>
      </c>
      <c r="R514">
        <f>Data!L527</f>
        <v>0</v>
      </c>
      <c r="S514">
        <f>Data!M527</f>
        <v>0</v>
      </c>
      <c r="T514">
        <f>Data!N527</f>
        <v>0</v>
      </c>
      <c r="U514">
        <f>Data!O527</f>
        <v>0</v>
      </c>
      <c r="V514" s="33">
        <f>Data!P527</f>
        <v>0</v>
      </c>
    </row>
    <row r="515" spans="7:22" x14ac:dyDescent="0.25">
      <c r="G515">
        <f>Data!A528</f>
        <v>0</v>
      </c>
      <c r="H515" s="21">
        <f>Data!B528</f>
        <v>0</v>
      </c>
      <c r="I515" s="21">
        <f>Data!C528</f>
        <v>0</v>
      </c>
      <c r="J515">
        <f>Data!D528</f>
        <v>0</v>
      </c>
      <c r="K515">
        <f>Data!E528</f>
        <v>0</v>
      </c>
      <c r="L515">
        <f>Data!F528</f>
        <v>0</v>
      </c>
      <c r="M515">
        <f>Data!G528</f>
        <v>0</v>
      </c>
      <c r="N515">
        <f>Data!H528</f>
        <v>0</v>
      </c>
      <c r="O515">
        <f>Data!I528</f>
        <v>0</v>
      </c>
      <c r="P515" s="21">
        <f>Data!J528</f>
        <v>0</v>
      </c>
      <c r="Q515">
        <f>Data!K528</f>
        <v>0</v>
      </c>
      <c r="R515">
        <f>Data!L528</f>
        <v>0</v>
      </c>
      <c r="S515">
        <f>Data!M528</f>
        <v>0</v>
      </c>
      <c r="T515">
        <f>Data!N528</f>
        <v>0</v>
      </c>
      <c r="U515">
        <f>Data!O528</f>
        <v>0</v>
      </c>
      <c r="V515" s="33">
        <f>Data!P528</f>
        <v>0</v>
      </c>
    </row>
    <row r="516" spans="7:22" x14ac:dyDescent="0.25">
      <c r="G516">
        <f>Data!A529</f>
        <v>0</v>
      </c>
      <c r="H516" s="21">
        <f>Data!B529</f>
        <v>0</v>
      </c>
      <c r="I516" s="21">
        <f>Data!C529</f>
        <v>0</v>
      </c>
      <c r="J516">
        <f>Data!D529</f>
        <v>0</v>
      </c>
      <c r="K516">
        <f>Data!E529</f>
        <v>0</v>
      </c>
      <c r="L516">
        <f>Data!F529</f>
        <v>0</v>
      </c>
      <c r="M516">
        <f>Data!G529</f>
        <v>0</v>
      </c>
      <c r="N516">
        <f>Data!H529</f>
        <v>0</v>
      </c>
      <c r="O516">
        <f>Data!I529</f>
        <v>0</v>
      </c>
      <c r="P516" s="21">
        <f>Data!J529</f>
        <v>0</v>
      </c>
      <c r="Q516">
        <f>Data!K529</f>
        <v>0</v>
      </c>
      <c r="R516">
        <f>Data!L529</f>
        <v>0</v>
      </c>
      <c r="S516">
        <f>Data!M529</f>
        <v>0</v>
      </c>
      <c r="T516">
        <f>Data!N529</f>
        <v>0</v>
      </c>
      <c r="U516">
        <f>Data!O529</f>
        <v>0</v>
      </c>
      <c r="V516" s="33">
        <f>Data!P529</f>
        <v>0</v>
      </c>
    </row>
    <row r="517" spans="7:22" x14ac:dyDescent="0.25">
      <c r="G517">
        <f>Data!A530</f>
        <v>0</v>
      </c>
      <c r="H517" s="21">
        <f>Data!B530</f>
        <v>0</v>
      </c>
      <c r="I517" s="21">
        <f>Data!C530</f>
        <v>0</v>
      </c>
      <c r="J517">
        <f>Data!D530</f>
        <v>0</v>
      </c>
      <c r="K517">
        <f>Data!E530</f>
        <v>0</v>
      </c>
      <c r="L517">
        <f>Data!F530</f>
        <v>0</v>
      </c>
      <c r="M517">
        <f>Data!G530</f>
        <v>0</v>
      </c>
      <c r="N517">
        <f>Data!H530</f>
        <v>0</v>
      </c>
      <c r="O517">
        <f>Data!I530</f>
        <v>0</v>
      </c>
      <c r="P517" s="21">
        <f>Data!J530</f>
        <v>0</v>
      </c>
      <c r="Q517">
        <f>Data!K530</f>
        <v>0</v>
      </c>
      <c r="R517">
        <f>Data!L530</f>
        <v>0</v>
      </c>
      <c r="S517">
        <f>Data!M530</f>
        <v>0</v>
      </c>
      <c r="T517">
        <f>Data!N530</f>
        <v>0</v>
      </c>
      <c r="U517">
        <f>Data!O530</f>
        <v>0</v>
      </c>
      <c r="V517" s="33">
        <f>Data!P530</f>
        <v>0</v>
      </c>
    </row>
    <row r="518" spans="7:22" x14ac:dyDescent="0.25">
      <c r="G518">
        <f>Data!A531</f>
        <v>0</v>
      </c>
      <c r="H518" s="21">
        <f>Data!B531</f>
        <v>0</v>
      </c>
      <c r="I518" s="21">
        <f>Data!C531</f>
        <v>0</v>
      </c>
      <c r="J518">
        <f>Data!D531</f>
        <v>0</v>
      </c>
      <c r="K518">
        <f>Data!E531</f>
        <v>0</v>
      </c>
      <c r="L518">
        <f>Data!F531</f>
        <v>0</v>
      </c>
      <c r="M518">
        <f>Data!G531</f>
        <v>0</v>
      </c>
      <c r="N518">
        <f>Data!H531</f>
        <v>0</v>
      </c>
      <c r="O518">
        <f>Data!I531</f>
        <v>0</v>
      </c>
      <c r="P518" s="21">
        <f>Data!J531</f>
        <v>0</v>
      </c>
      <c r="Q518">
        <f>Data!K531</f>
        <v>0</v>
      </c>
      <c r="R518">
        <f>Data!L531</f>
        <v>0</v>
      </c>
      <c r="S518">
        <f>Data!M531</f>
        <v>0</v>
      </c>
      <c r="T518">
        <f>Data!N531</f>
        <v>0</v>
      </c>
      <c r="U518">
        <f>Data!O531</f>
        <v>0</v>
      </c>
      <c r="V518" s="33">
        <f>Data!P531</f>
        <v>0</v>
      </c>
    </row>
    <row r="519" spans="7:22" x14ac:dyDescent="0.25">
      <c r="G519">
        <f>Data!A532</f>
        <v>0</v>
      </c>
      <c r="H519" s="21">
        <f>Data!B532</f>
        <v>0</v>
      </c>
      <c r="I519" s="21">
        <f>Data!C532</f>
        <v>0</v>
      </c>
      <c r="J519">
        <f>Data!D532</f>
        <v>0</v>
      </c>
      <c r="K519">
        <f>Data!E532</f>
        <v>0</v>
      </c>
      <c r="L519">
        <f>Data!F532</f>
        <v>0</v>
      </c>
      <c r="M519">
        <f>Data!G532</f>
        <v>0</v>
      </c>
      <c r="N519">
        <f>Data!H532</f>
        <v>0</v>
      </c>
      <c r="O519">
        <f>Data!I532</f>
        <v>0</v>
      </c>
      <c r="P519" s="21">
        <f>Data!J532</f>
        <v>0</v>
      </c>
      <c r="Q519">
        <f>Data!K532</f>
        <v>0</v>
      </c>
      <c r="R519">
        <f>Data!L532</f>
        <v>0</v>
      </c>
      <c r="S519">
        <f>Data!M532</f>
        <v>0</v>
      </c>
      <c r="T519">
        <f>Data!N532</f>
        <v>0</v>
      </c>
      <c r="U519">
        <f>Data!O532</f>
        <v>0</v>
      </c>
      <c r="V519" s="33">
        <f>Data!P532</f>
        <v>0</v>
      </c>
    </row>
    <row r="520" spans="7:22" x14ac:dyDescent="0.25">
      <c r="G520">
        <f>Data!A533</f>
        <v>0</v>
      </c>
      <c r="H520" s="21">
        <f>Data!B533</f>
        <v>0</v>
      </c>
      <c r="I520" s="21">
        <f>Data!C533</f>
        <v>0</v>
      </c>
      <c r="J520">
        <f>Data!D533</f>
        <v>0</v>
      </c>
      <c r="K520">
        <f>Data!E533</f>
        <v>0</v>
      </c>
      <c r="L520">
        <f>Data!F533</f>
        <v>0</v>
      </c>
      <c r="M520">
        <f>Data!G533</f>
        <v>0</v>
      </c>
      <c r="N520">
        <f>Data!H533</f>
        <v>0</v>
      </c>
      <c r="O520">
        <f>Data!I533</f>
        <v>0</v>
      </c>
      <c r="P520" s="21">
        <f>Data!J533</f>
        <v>0</v>
      </c>
      <c r="Q520">
        <f>Data!K533</f>
        <v>0</v>
      </c>
      <c r="R520">
        <f>Data!L533</f>
        <v>0</v>
      </c>
      <c r="S520">
        <f>Data!M533</f>
        <v>0</v>
      </c>
      <c r="T520">
        <f>Data!N533</f>
        <v>0</v>
      </c>
      <c r="U520">
        <f>Data!O533</f>
        <v>0</v>
      </c>
      <c r="V520" s="33">
        <f>Data!P533</f>
        <v>0</v>
      </c>
    </row>
    <row r="521" spans="7:22" x14ac:dyDescent="0.25">
      <c r="G521">
        <f>Data!A534</f>
        <v>0</v>
      </c>
      <c r="H521" s="21">
        <f>Data!B534</f>
        <v>0</v>
      </c>
      <c r="I521" s="21">
        <f>Data!C534</f>
        <v>0</v>
      </c>
      <c r="J521">
        <f>Data!D534</f>
        <v>0</v>
      </c>
      <c r="K521">
        <f>Data!E534</f>
        <v>0</v>
      </c>
      <c r="L521">
        <f>Data!F534</f>
        <v>0</v>
      </c>
      <c r="M521">
        <f>Data!G534</f>
        <v>0</v>
      </c>
      <c r="N521">
        <f>Data!H534</f>
        <v>0</v>
      </c>
      <c r="O521">
        <f>Data!I534</f>
        <v>0</v>
      </c>
      <c r="P521" s="21">
        <f>Data!J534</f>
        <v>0</v>
      </c>
      <c r="Q521">
        <f>Data!K534</f>
        <v>0</v>
      </c>
      <c r="R521">
        <f>Data!L534</f>
        <v>0</v>
      </c>
      <c r="S521">
        <f>Data!M534</f>
        <v>0</v>
      </c>
      <c r="T521">
        <f>Data!N534</f>
        <v>0</v>
      </c>
      <c r="U521">
        <f>Data!O534</f>
        <v>0</v>
      </c>
      <c r="V521" s="33">
        <f>Data!P534</f>
        <v>0</v>
      </c>
    </row>
    <row r="522" spans="7:22" x14ac:dyDescent="0.25">
      <c r="G522">
        <f>Data!A535</f>
        <v>0</v>
      </c>
      <c r="H522" s="21">
        <f>Data!B535</f>
        <v>0</v>
      </c>
      <c r="I522" s="21">
        <f>Data!C535</f>
        <v>0</v>
      </c>
      <c r="J522">
        <f>Data!D535</f>
        <v>0</v>
      </c>
      <c r="K522">
        <f>Data!E535</f>
        <v>0</v>
      </c>
      <c r="L522">
        <f>Data!F535</f>
        <v>0</v>
      </c>
      <c r="M522">
        <f>Data!G535</f>
        <v>0</v>
      </c>
      <c r="N522">
        <f>Data!H535</f>
        <v>0</v>
      </c>
      <c r="O522">
        <f>Data!I535</f>
        <v>0</v>
      </c>
      <c r="P522" s="21">
        <f>Data!J535</f>
        <v>0</v>
      </c>
      <c r="Q522">
        <f>Data!K535</f>
        <v>0</v>
      </c>
      <c r="R522">
        <f>Data!L535</f>
        <v>0</v>
      </c>
      <c r="S522">
        <f>Data!M535</f>
        <v>0</v>
      </c>
      <c r="T522">
        <f>Data!N535</f>
        <v>0</v>
      </c>
      <c r="U522">
        <f>Data!O535</f>
        <v>0</v>
      </c>
      <c r="V522" s="33">
        <f>Data!P535</f>
        <v>0</v>
      </c>
    </row>
    <row r="523" spans="7:22" x14ac:dyDescent="0.25">
      <c r="G523">
        <f>Data!A536</f>
        <v>0</v>
      </c>
      <c r="H523" s="21">
        <f>Data!B536</f>
        <v>0</v>
      </c>
      <c r="I523" s="21">
        <f>Data!C536</f>
        <v>0</v>
      </c>
      <c r="J523">
        <f>Data!D536</f>
        <v>0</v>
      </c>
      <c r="K523">
        <f>Data!E536</f>
        <v>0</v>
      </c>
      <c r="L523">
        <f>Data!F536</f>
        <v>0</v>
      </c>
      <c r="M523">
        <f>Data!G536</f>
        <v>0</v>
      </c>
      <c r="N523">
        <f>Data!H536</f>
        <v>0</v>
      </c>
      <c r="O523">
        <f>Data!I536</f>
        <v>0</v>
      </c>
      <c r="P523" s="21">
        <f>Data!J536</f>
        <v>0</v>
      </c>
      <c r="Q523">
        <f>Data!K536</f>
        <v>0</v>
      </c>
      <c r="R523">
        <f>Data!L536</f>
        <v>0</v>
      </c>
      <c r="S523">
        <f>Data!M536</f>
        <v>0</v>
      </c>
      <c r="T523">
        <f>Data!N536</f>
        <v>0</v>
      </c>
      <c r="U523">
        <f>Data!O536</f>
        <v>0</v>
      </c>
      <c r="V523" s="33">
        <f>Data!P536</f>
        <v>0</v>
      </c>
    </row>
    <row r="524" spans="7:22" x14ac:dyDescent="0.25">
      <c r="G524">
        <f>Data!A537</f>
        <v>0</v>
      </c>
      <c r="H524" s="21">
        <f>Data!B537</f>
        <v>0</v>
      </c>
      <c r="I524" s="21">
        <f>Data!C537</f>
        <v>0</v>
      </c>
      <c r="J524">
        <f>Data!D537</f>
        <v>0</v>
      </c>
      <c r="K524">
        <f>Data!E537</f>
        <v>0</v>
      </c>
      <c r="L524">
        <f>Data!F537</f>
        <v>0</v>
      </c>
      <c r="M524">
        <f>Data!G537</f>
        <v>0</v>
      </c>
      <c r="N524">
        <f>Data!H537</f>
        <v>0</v>
      </c>
      <c r="O524">
        <f>Data!I537</f>
        <v>0</v>
      </c>
      <c r="P524" s="21">
        <f>Data!J537</f>
        <v>0</v>
      </c>
      <c r="Q524">
        <f>Data!K537</f>
        <v>0</v>
      </c>
      <c r="R524">
        <f>Data!L537</f>
        <v>0</v>
      </c>
      <c r="S524">
        <f>Data!M537</f>
        <v>0</v>
      </c>
      <c r="T524">
        <f>Data!N537</f>
        <v>0</v>
      </c>
      <c r="U524">
        <f>Data!O537</f>
        <v>0</v>
      </c>
      <c r="V524" s="33">
        <f>Data!P537</f>
        <v>0</v>
      </c>
    </row>
    <row r="525" spans="7:22" x14ac:dyDescent="0.25">
      <c r="G525">
        <f>Data!A538</f>
        <v>0</v>
      </c>
      <c r="H525" s="21">
        <f>Data!B538</f>
        <v>0</v>
      </c>
      <c r="I525" s="21">
        <f>Data!C538</f>
        <v>0</v>
      </c>
      <c r="J525">
        <f>Data!D538</f>
        <v>0</v>
      </c>
      <c r="K525">
        <f>Data!E538</f>
        <v>0</v>
      </c>
      <c r="L525">
        <f>Data!F538</f>
        <v>0</v>
      </c>
      <c r="M525">
        <f>Data!G538</f>
        <v>0</v>
      </c>
      <c r="N525">
        <f>Data!H538</f>
        <v>0</v>
      </c>
      <c r="O525">
        <f>Data!I538</f>
        <v>0</v>
      </c>
      <c r="P525" s="21">
        <f>Data!J538</f>
        <v>0</v>
      </c>
      <c r="Q525">
        <f>Data!K538</f>
        <v>0</v>
      </c>
      <c r="R525">
        <f>Data!L538</f>
        <v>0</v>
      </c>
      <c r="S525">
        <f>Data!M538</f>
        <v>0</v>
      </c>
      <c r="T525">
        <f>Data!N538</f>
        <v>0</v>
      </c>
      <c r="U525">
        <f>Data!O538</f>
        <v>0</v>
      </c>
      <c r="V525" s="33">
        <f>Data!P538</f>
        <v>0</v>
      </c>
    </row>
    <row r="526" spans="7:22" x14ac:dyDescent="0.25">
      <c r="G526">
        <f>Data!A539</f>
        <v>0</v>
      </c>
      <c r="H526" s="21">
        <f>Data!B539</f>
        <v>0</v>
      </c>
      <c r="I526" s="21">
        <f>Data!C539</f>
        <v>0</v>
      </c>
      <c r="J526">
        <f>Data!D539</f>
        <v>0</v>
      </c>
      <c r="K526">
        <f>Data!E539</f>
        <v>0</v>
      </c>
      <c r="L526">
        <f>Data!F539</f>
        <v>0</v>
      </c>
      <c r="M526">
        <f>Data!G539</f>
        <v>0</v>
      </c>
      <c r="N526">
        <f>Data!H539</f>
        <v>0</v>
      </c>
      <c r="O526">
        <f>Data!I539</f>
        <v>0</v>
      </c>
      <c r="P526" s="21">
        <f>Data!J539</f>
        <v>0</v>
      </c>
      <c r="Q526">
        <f>Data!K539</f>
        <v>0</v>
      </c>
      <c r="R526">
        <f>Data!L539</f>
        <v>0</v>
      </c>
      <c r="S526">
        <f>Data!M539</f>
        <v>0</v>
      </c>
      <c r="T526">
        <f>Data!N539</f>
        <v>0</v>
      </c>
      <c r="U526">
        <f>Data!O539</f>
        <v>0</v>
      </c>
      <c r="V526" s="33">
        <f>Data!P539</f>
        <v>0</v>
      </c>
    </row>
    <row r="527" spans="7:22" x14ac:dyDescent="0.25">
      <c r="G527">
        <f>Data!A540</f>
        <v>0</v>
      </c>
      <c r="H527" s="21">
        <f>Data!B540</f>
        <v>0</v>
      </c>
      <c r="I527" s="21">
        <f>Data!C540</f>
        <v>0</v>
      </c>
      <c r="J527">
        <f>Data!D540</f>
        <v>0</v>
      </c>
      <c r="K527">
        <f>Data!E540</f>
        <v>0</v>
      </c>
      <c r="L527">
        <f>Data!F540</f>
        <v>0</v>
      </c>
      <c r="M527">
        <f>Data!G540</f>
        <v>0</v>
      </c>
      <c r="N527">
        <f>Data!H540</f>
        <v>0</v>
      </c>
      <c r="O527">
        <f>Data!I540</f>
        <v>0</v>
      </c>
      <c r="P527" s="21">
        <f>Data!J540</f>
        <v>0</v>
      </c>
      <c r="Q527">
        <f>Data!K540</f>
        <v>0</v>
      </c>
      <c r="R527">
        <f>Data!L540</f>
        <v>0</v>
      </c>
      <c r="S527">
        <f>Data!M540</f>
        <v>0</v>
      </c>
      <c r="T527">
        <f>Data!N540</f>
        <v>0</v>
      </c>
      <c r="U527">
        <f>Data!O540</f>
        <v>0</v>
      </c>
      <c r="V527" s="33">
        <f>Data!P540</f>
        <v>0</v>
      </c>
    </row>
    <row r="528" spans="7:22" x14ac:dyDescent="0.25">
      <c r="G528">
        <f>Data!A541</f>
        <v>0</v>
      </c>
      <c r="H528" s="21">
        <f>Data!B541</f>
        <v>0</v>
      </c>
      <c r="I528" s="21">
        <f>Data!C541</f>
        <v>0</v>
      </c>
      <c r="J528">
        <f>Data!D541</f>
        <v>0</v>
      </c>
      <c r="K528">
        <f>Data!E541</f>
        <v>0</v>
      </c>
      <c r="L528">
        <f>Data!F541</f>
        <v>0</v>
      </c>
      <c r="M528">
        <f>Data!G541</f>
        <v>0</v>
      </c>
      <c r="N528">
        <f>Data!H541</f>
        <v>0</v>
      </c>
      <c r="O528">
        <f>Data!I541</f>
        <v>0</v>
      </c>
      <c r="P528" s="21">
        <f>Data!J541</f>
        <v>0</v>
      </c>
      <c r="Q528">
        <f>Data!K541</f>
        <v>0</v>
      </c>
      <c r="R528">
        <f>Data!L541</f>
        <v>0</v>
      </c>
      <c r="S528">
        <f>Data!M541</f>
        <v>0</v>
      </c>
      <c r="T528">
        <f>Data!N541</f>
        <v>0</v>
      </c>
      <c r="U528">
        <f>Data!O541</f>
        <v>0</v>
      </c>
      <c r="V528" s="33">
        <f>Data!P541</f>
        <v>0</v>
      </c>
    </row>
    <row r="529" spans="7:22" x14ac:dyDescent="0.25">
      <c r="G529">
        <f>Data!A542</f>
        <v>0</v>
      </c>
      <c r="H529" s="21">
        <f>Data!B542</f>
        <v>0</v>
      </c>
      <c r="I529" s="21">
        <f>Data!C542</f>
        <v>0</v>
      </c>
      <c r="J529">
        <f>Data!D542</f>
        <v>0</v>
      </c>
      <c r="K529">
        <f>Data!E542</f>
        <v>0</v>
      </c>
      <c r="L529">
        <f>Data!F542</f>
        <v>0</v>
      </c>
      <c r="M529">
        <f>Data!G542</f>
        <v>0</v>
      </c>
      <c r="N529">
        <f>Data!H542</f>
        <v>0</v>
      </c>
      <c r="O529">
        <f>Data!I542</f>
        <v>0</v>
      </c>
      <c r="P529" s="21">
        <f>Data!J542</f>
        <v>0</v>
      </c>
      <c r="Q529">
        <f>Data!K542</f>
        <v>0</v>
      </c>
      <c r="R529">
        <f>Data!L542</f>
        <v>0</v>
      </c>
      <c r="S529">
        <f>Data!M542</f>
        <v>0</v>
      </c>
      <c r="T529">
        <f>Data!N542</f>
        <v>0</v>
      </c>
      <c r="U529">
        <f>Data!O542</f>
        <v>0</v>
      </c>
      <c r="V529" s="33">
        <f>Data!P542</f>
        <v>0</v>
      </c>
    </row>
    <row r="530" spans="7:22" x14ac:dyDescent="0.25">
      <c r="G530">
        <f>Data!A543</f>
        <v>0</v>
      </c>
      <c r="H530" s="21">
        <f>Data!B543</f>
        <v>0</v>
      </c>
      <c r="I530" s="21">
        <f>Data!C543</f>
        <v>0</v>
      </c>
      <c r="J530">
        <f>Data!D543</f>
        <v>0</v>
      </c>
      <c r="K530">
        <f>Data!E543</f>
        <v>0</v>
      </c>
      <c r="L530">
        <f>Data!F543</f>
        <v>0</v>
      </c>
      <c r="M530">
        <f>Data!G543</f>
        <v>0</v>
      </c>
      <c r="N530">
        <f>Data!H543</f>
        <v>0</v>
      </c>
      <c r="O530">
        <f>Data!I543</f>
        <v>0</v>
      </c>
      <c r="P530" s="21">
        <f>Data!J543</f>
        <v>0</v>
      </c>
      <c r="Q530">
        <f>Data!K543</f>
        <v>0</v>
      </c>
      <c r="R530">
        <f>Data!L543</f>
        <v>0</v>
      </c>
      <c r="S530">
        <f>Data!M543</f>
        <v>0</v>
      </c>
      <c r="T530">
        <f>Data!N543</f>
        <v>0</v>
      </c>
      <c r="U530">
        <f>Data!O543</f>
        <v>0</v>
      </c>
      <c r="V530" s="33">
        <f>Data!P543</f>
        <v>0</v>
      </c>
    </row>
    <row r="531" spans="7:22" x14ac:dyDescent="0.25">
      <c r="G531">
        <f>Data!A544</f>
        <v>0</v>
      </c>
      <c r="H531" s="21">
        <f>Data!B544</f>
        <v>0</v>
      </c>
      <c r="I531" s="21">
        <f>Data!C544</f>
        <v>0</v>
      </c>
      <c r="J531">
        <f>Data!D544</f>
        <v>0</v>
      </c>
      <c r="K531">
        <f>Data!E544</f>
        <v>0</v>
      </c>
      <c r="L531">
        <f>Data!F544</f>
        <v>0</v>
      </c>
      <c r="M531">
        <f>Data!G544</f>
        <v>0</v>
      </c>
      <c r="N531">
        <f>Data!H544</f>
        <v>0</v>
      </c>
      <c r="O531">
        <f>Data!I544</f>
        <v>0</v>
      </c>
      <c r="P531" s="21">
        <f>Data!J544</f>
        <v>0</v>
      </c>
      <c r="Q531">
        <f>Data!K544</f>
        <v>0</v>
      </c>
      <c r="R531">
        <f>Data!L544</f>
        <v>0</v>
      </c>
      <c r="S531">
        <f>Data!M544</f>
        <v>0</v>
      </c>
      <c r="T531">
        <f>Data!N544</f>
        <v>0</v>
      </c>
      <c r="U531">
        <f>Data!O544</f>
        <v>0</v>
      </c>
      <c r="V531" s="33">
        <f>Data!P544</f>
        <v>0</v>
      </c>
    </row>
    <row r="532" spans="7:22" x14ac:dyDescent="0.25">
      <c r="G532">
        <f>Data!A545</f>
        <v>0</v>
      </c>
      <c r="H532" s="21">
        <f>Data!B545</f>
        <v>0</v>
      </c>
      <c r="I532" s="21">
        <f>Data!C545</f>
        <v>0</v>
      </c>
      <c r="J532">
        <f>Data!D545</f>
        <v>0</v>
      </c>
      <c r="K532">
        <f>Data!E545</f>
        <v>0</v>
      </c>
      <c r="L532">
        <f>Data!F545</f>
        <v>0</v>
      </c>
      <c r="M532">
        <f>Data!G545</f>
        <v>0</v>
      </c>
      <c r="N532">
        <f>Data!H545</f>
        <v>0</v>
      </c>
      <c r="O532">
        <f>Data!I545</f>
        <v>0</v>
      </c>
      <c r="P532" s="21">
        <f>Data!J545</f>
        <v>0</v>
      </c>
      <c r="Q532">
        <f>Data!K545</f>
        <v>0</v>
      </c>
      <c r="R532">
        <f>Data!L545</f>
        <v>0</v>
      </c>
      <c r="S532">
        <f>Data!M545</f>
        <v>0</v>
      </c>
      <c r="T532">
        <f>Data!N545</f>
        <v>0</v>
      </c>
      <c r="U532">
        <f>Data!O545</f>
        <v>0</v>
      </c>
      <c r="V532" s="33">
        <f>Data!P545</f>
        <v>0</v>
      </c>
    </row>
    <row r="533" spans="7:22" x14ac:dyDescent="0.25">
      <c r="G533">
        <f>Data!A546</f>
        <v>0</v>
      </c>
      <c r="H533" s="21">
        <f>Data!B546</f>
        <v>0</v>
      </c>
      <c r="I533" s="21">
        <f>Data!C546</f>
        <v>0</v>
      </c>
      <c r="J533">
        <f>Data!D546</f>
        <v>0</v>
      </c>
      <c r="K533">
        <f>Data!E546</f>
        <v>0</v>
      </c>
      <c r="L533">
        <f>Data!F546</f>
        <v>0</v>
      </c>
      <c r="M533">
        <f>Data!G546</f>
        <v>0</v>
      </c>
      <c r="N533">
        <f>Data!H546</f>
        <v>0</v>
      </c>
      <c r="O533">
        <f>Data!I546</f>
        <v>0</v>
      </c>
      <c r="P533" s="21">
        <f>Data!J546</f>
        <v>0</v>
      </c>
      <c r="Q533">
        <f>Data!K546</f>
        <v>0</v>
      </c>
      <c r="R533">
        <f>Data!L546</f>
        <v>0</v>
      </c>
      <c r="S533">
        <f>Data!M546</f>
        <v>0</v>
      </c>
      <c r="T533">
        <f>Data!N546</f>
        <v>0</v>
      </c>
      <c r="U533">
        <f>Data!O546</f>
        <v>0</v>
      </c>
      <c r="V533" s="33">
        <f>Data!P546</f>
        <v>0</v>
      </c>
    </row>
    <row r="534" spans="7:22" x14ac:dyDescent="0.25">
      <c r="G534">
        <f>Data!A547</f>
        <v>0</v>
      </c>
      <c r="H534" s="21">
        <f>Data!B547</f>
        <v>0</v>
      </c>
      <c r="I534" s="21">
        <f>Data!C547</f>
        <v>0</v>
      </c>
      <c r="J534">
        <f>Data!D547</f>
        <v>0</v>
      </c>
      <c r="K534">
        <f>Data!E547</f>
        <v>0</v>
      </c>
      <c r="L534">
        <f>Data!F547</f>
        <v>0</v>
      </c>
      <c r="M534">
        <f>Data!G547</f>
        <v>0</v>
      </c>
      <c r="N534">
        <f>Data!H547</f>
        <v>0</v>
      </c>
      <c r="O534">
        <f>Data!I547</f>
        <v>0</v>
      </c>
      <c r="P534" s="21">
        <f>Data!J547</f>
        <v>0</v>
      </c>
      <c r="Q534">
        <f>Data!K547</f>
        <v>0</v>
      </c>
      <c r="R534">
        <f>Data!L547</f>
        <v>0</v>
      </c>
      <c r="S534">
        <f>Data!M547</f>
        <v>0</v>
      </c>
      <c r="T534">
        <f>Data!N547</f>
        <v>0</v>
      </c>
      <c r="U534">
        <f>Data!O547</f>
        <v>0</v>
      </c>
      <c r="V534" s="33">
        <f>Data!P547</f>
        <v>0</v>
      </c>
    </row>
    <row r="535" spans="7:22" x14ac:dyDescent="0.25">
      <c r="G535">
        <f>Data!A548</f>
        <v>0</v>
      </c>
      <c r="H535" s="21">
        <f>Data!B548</f>
        <v>0</v>
      </c>
      <c r="I535" s="21">
        <f>Data!C548</f>
        <v>0</v>
      </c>
      <c r="J535">
        <f>Data!D548</f>
        <v>0</v>
      </c>
      <c r="K535">
        <f>Data!E548</f>
        <v>0</v>
      </c>
      <c r="L535">
        <f>Data!F548</f>
        <v>0</v>
      </c>
      <c r="M535">
        <f>Data!G548</f>
        <v>0</v>
      </c>
      <c r="N535">
        <f>Data!H548</f>
        <v>0</v>
      </c>
      <c r="O535">
        <f>Data!I548</f>
        <v>0</v>
      </c>
      <c r="P535" s="21">
        <f>Data!J548</f>
        <v>0</v>
      </c>
      <c r="Q535">
        <f>Data!K548</f>
        <v>0</v>
      </c>
      <c r="R535">
        <f>Data!L548</f>
        <v>0</v>
      </c>
      <c r="S535">
        <f>Data!M548</f>
        <v>0</v>
      </c>
      <c r="T535">
        <f>Data!N548</f>
        <v>0</v>
      </c>
      <c r="U535">
        <f>Data!O548</f>
        <v>0</v>
      </c>
      <c r="V535" s="33">
        <f>Data!P548</f>
        <v>0</v>
      </c>
    </row>
    <row r="536" spans="7:22" x14ac:dyDescent="0.25">
      <c r="G536">
        <f>Data!A549</f>
        <v>0</v>
      </c>
      <c r="H536" s="21">
        <f>Data!B549</f>
        <v>0</v>
      </c>
      <c r="I536" s="21">
        <f>Data!C549</f>
        <v>0</v>
      </c>
      <c r="J536">
        <f>Data!D549</f>
        <v>0</v>
      </c>
      <c r="K536">
        <f>Data!E549</f>
        <v>0</v>
      </c>
      <c r="L536">
        <f>Data!F549</f>
        <v>0</v>
      </c>
      <c r="M536">
        <f>Data!G549</f>
        <v>0</v>
      </c>
      <c r="N536">
        <f>Data!H549</f>
        <v>0</v>
      </c>
      <c r="O536">
        <f>Data!I549</f>
        <v>0</v>
      </c>
      <c r="P536" s="21">
        <f>Data!J549</f>
        <v>0</v>
      </c>
      <c r="Q536">
        <f>Data!K549</f>
        <v>0</v>
      </c>
      <c r="R536">
        <f>Data!L549</f>
        <v>0</v>
      </c>
      <c r="S536">
        <f>Data!M549</f>
        <v>0</v>
      </c>
      <c r="T536">
        <f>Data!N549</f>
        <v>0</v>
      </c>
      <c r="U536">
        <f>Data!O549</f>
        <v>0</v>
      </c>
      <c r="V536" s="33">
        <f>Data!P549</f>
        <v>0</v>
      </c>
    </row>
    <row r="537" spans="7:22" x14ac:dyDescent="0.25">
      <c r="G537">
        <f>Data!A550</f>
        <v>0</v>
      </c>
      <c r="H537" s="21">
        <f>Data!B550</f>
        <v>0</v>
      </c>
      <c r="I537" s="21">
        <f>Data!C550</f>
        <v>0</v>
      </c>
      <c r="J537">
        <f>Data!D550</f>
        <v>0</v>
      </c>
      <c r="K537">
        <f>Data!E550</f>
        <v>0</v>
      </c>
      <c r="L537">
        <f>Data!F550</f>
        <v>0</v>
      </c>
      <c r="M537">
        <f>Data!G550</f>
        <v>0</v>
      </c>
      <c r="N537">
        <f>Data!H550</f>
        <v>0</v>
      </c>
      <c r="O537">
        <f>Data!I550</f>
        <v>0</v>
      </c>
      <c r="P537" s="21">
        <f>Data!J550</f>
        <v>0</v>
      </c>
      <c r="Q537">
        <f>Data!K550</f>
        <v>0</v>
      </c>
      <c r="R537">
        <f>Data!L550</f>
        <v>0</v>
      </c>
      <c r="S537">
        <f>Data!M550</f>
        <v>0</v>
      </c>
      <c r="T537">
        <f>Data!N550</f>
        <v>0</v>
      </c>
      <c r="U537">
        <f>Data!O550</f>
        <v>0</v>
      </c>
      <c r="V537" s="33">
        <f>Data!P550</f>
        <v>0</v>
      </c>
    </row>
    <row r="538" spans="7:22" x14ac:dyDescent="0.25">
      <c r="G538">
        <f>Data!A551</f>
        <v>0</v>
      </c>
      <c r="H538" s="21">
        <f>Data!B551</f>
        <v>0</v>
      </c>
      <c r="I538" s="21">
        <f>Data!C551</f>
        <v>0</v>
      </c>
      <c r="J538">
        <f>Data!D551</f>
        <v>0</v>
      </c>
      <c r="K538">
        <f>Data!E551</f>
        <v>0</v>
      </c>
      <c r="L538">
        <f>Data!F551</f>
        <v>0</v>
      </c>
      <c r="M538">
        <f>Data!G551</f>
        <v>0</v>
      </c>
      <c r="N538">
        <f>Data!H551</f>
        <v>0</v>
      </c>
      <c r="O538">
        <f>Data!I551</f>
        <v>0</v>
      </c>
      <c r="P538" s="21">
        <f>Data!J551</f>
        <v>0</v>
      </c>
      <c r="Q538">
        <f>Data!K551</f>
        <v>0</v>
      </c>
      <c r="R538">
        <f>Data!L551</f>
        <v>0</v>
      </c>
      <c r="S538">
        <f>Data!M551</f>
        <v>0</v>
      </c>
      <c r="T538">
        <f>Data!N551</f>
        <v>0</v>
      </c>
      <c r="U538">
        <f>Data!O551</f>
        <v>0</v>
      </c>
      <c r="V538" s="33">
        <f>Data!P551</f>
        <v>0</v>
      </c>
    </row>
    <row r="539" spans="7:22" x14ac:dyDescent="0.25">
      <c r="G539">
        <f>Data!A552</f>
        <v>0</v>
      </c>
      <c r="H539" s="21">
        <f>Data!B552</f>
        <v>0</v>
      </c>
      <c r="I539" s="21">
        <f>Data!C552</f>
        <v>0</v>
      </c>
      <c r="J539">
        <f>Data!D552</f>
        <v>0</v>
      </c>
      <c r="K539">
        <f>Data!E552</f>
        <v>0</v>
      </c>
      <c r="L539">
        <f>Data!F552</f>
        <v>0</v>
      </c>
      <c r="M539">
        <f>Data!G552</f>
        <v>0</v>
      </c>
      <c r="N539">
        <f>Data!H552</f>
        <v>0</v>
      </c>
      <c r="O539">
        <f>Data!I552</f>
        <v>0</v>
      </c>
      <c r="P539" s="21">
        <f>Data!J552</f>
        <v>0</v>
      </c>
      <c r="Q539">
        <f>Data!K552</f>
        <v>0</v>
      </c>
      <c r="R539">
        <f>Data!L552</f>
        <v>0</v>
      </c>
      <c r="S539">
        <f>Data!M552</f>
        <v>0</v>
      </c>
      <c r="T539">
        <f>Data!N552</f>
        <v>0</v>
      </c>
      <c r="U539">
        <f>Data!O552</f>
        <v>0</v>
      </c>
      <c r="V539" s="33">
        <f>Data!P552</f>
        <v>0</v>
      </c>
    </row>
    <row r="540" spans="7:22" x14ac:dyDescent="0.25">
      <c r="G540">
        <f>Data!A553</f>
        <v>0</v>
      </c>
      <c r="H540" s="21">
        <f>Data!B553</f>
        <v>0</v>
      </c>
      <c r="I540" s="21">
        <f>Data!C553</f>
        <v>0</v>
      </c>
      <c r="J540">
        <f>Data!D553</f>
        <v>0</v>
      </c>
      <c r="K540">
        <f>Data!E553</f>
        <v>0</v>
      </c>
      <c r="L540">
        <f>Data!F553</f>
        <v>0</v>
      </c>
      <c r="M540">
        <f>Data!G553</f>
        <v>0</v>
      </c>
      <c r="N540">
        <f>Data!H553</f>
        <v>0</v>
      </c>
      <c r="O540">
        <f>Data!I553</f>
        <v>0</v>
      </c>
      <c r="P540" s="21">
        <f>Data!J553</f>
        <v>0</v>
      </c>
      <c r="Q540">
        <f>Data!K553</f>
        <v>0</v>
      </c>
      <c r="R540">
        <f>Data!L553</f>
        <v>0</v>
      </c>
      <c r="S540">
        <f>Data!M553</f>
        <v>0</v>
      </c>
      <c r="T540">
        <f>Data!N553</f>
        <v>0</v>
      </c>
      <c r="U540">
        <f>Data!O553</f>
        <v>0</v>
      </c>
      <c r="V540" s="33">
        <f>Data!P553</f>
        <v>0</v>
      </c>
    </row>
    <row r="541" spans="7:22" x14ac:dyDescent="0.25">
      <c r="G541">
        <f>Data!A554</f>
        <v>0</v>
      </c>
      <c r="H541" s="21">
        <f>Data!B554</f>
        <v>0</v>
      </c>
      <c r="I541" s="21">
        <f>Data!C554</f>
        <v>0</v>
      </c>
      <c r="J541">
        <f>Data!D554</f>
        <v>0</v>
      </c>
      <c r="K541">
        <f>Data!E554</f>
        <v>0</v>
      </c>
      <c r="L541">
        <f>Data!F554</f>
        <v>0</v>
      </c>
      <c r="M541">
        <f>Data!G554</f>
        <v>0</v>
      </c>
      <c r="N541">
        <f>Data!H554</f>
        <v>0</v>
      </c>
      <c r="O541">
        <f>Data!I554</f>
        <v>0</v>
      </c>
      <c r="P541" s="21">
        <f>Data!J554</f>
        <v>0</v>
      </c>
      <c r="Q541">
        <f>Data!K554</f>
        <v>0</v>
      </c>
      <c r="R541">
        <f>Data!L554</f>
        <v>0</v>
      </c>
      <c r="S541">
        <f>Data!M554</f>
        <v>0</v>
      </c>
      <c r="T541">
        <f>Data!N554</f>
        <v>0</v>
      </c>
      <c r="U541">
        <f>Data!O554</f>
        <v>0</v>
      </c>
      <c r="V541" s="33">
        <f>Data!P554</f>
        <v>0</v>
      </c>
    </row>
    <row r="542" spans="7:22" x14ac:dyDescent="0.25">
      <c r="G542">
        <f>Data!A555</f>
        <v>0</v>
      </c>
      <c r="H542" s="21">
        <f>Data!B555</f>
        <v>0</v>
      </c>
      <c r="I542" s="21">
        <f>Data!C555</f>
        <v>0</v>
      </c>
      <c r="J542">
        <f>Data!D555</f>
        <v>0</v>
      </c>
      <c r="K542">
        <f>Data!E555</f>
        <v>0</v>
      </c>
      <c r="L542">
        <f>Data!F555</f>
        <v>0</v>
      </c>
      <c r="M542">
        <f>Data!G555</f>
        <v>0</v>
      </c>
      <c r="N542">
        <f>Data!H555</f>
        <v>0</v>
      </c>
      <c r="O542">
        <f>Data!I555</f>
        <v>0</v>
      </c>
      <c r="P542" s="21">
        <f>Data!J555</f>
        <v>0</v>
      </c>
      <c r="Q542">
        <f>Data!K555</f>
        <v>0</v>
      </c>
      <c r="R542">
        <f>Data!L555</f>
        <v>0</v>
      </c>
      <c r="S542">
        <f>Data!M555</f>
        <v>0</v>
      </c>
      <c r="T542">
        <f>Data!N555</f>
        <v>0</v>
      </c>
      <c r="U542">
        <f>Data!O555</f>
        <v>0</v>
      </c>
      <c r="V542" s="33">
        <f>Data!P555</f>
        <v>0</v>
      </c>
    </row>
    <row r="543" spans="7:22" x14ac:dyDescent="0.25">
      <c r="G543">
        <f>Data!A556</f>
        <v>0</v>
      </c>
      <c r="H543" s="21">
        <f>Data!B556</f>
        <v>0</v>
      </c>
      <c r="I543" s="21">
        <f>Data!C556</f>
        <v>0</v>
      </c>
      <c r="J543">
        <f>Data!D556</f>
        <v>0</v>
      </c>
      <c r="K543">
        <f>Data!E556</f>
        <v>0</v>
      </c>
      <c r="L543">
        <f>Data!F556</f>
        <v>0</v>
      </c>
      <c r="M543">
        <f>Data!G556</f>
        <v>0</v>
      </c>
      <c r="N543">
        <f>Data!H556</f>
        <v>0</v>
      </c>
      <c r="O543">
        <f>Data!I556</f>
        <v>0</v>
      </c>
      <c r="P543" s="21">
        <f>Data!J556</f>
        <v>0</v>
      </c>
      <c r="Q543">
        <f>Data!K556</f>
        <v>0</v>
      </c>
      <c r="R543">
        <f>Data!L556</f>
        <v>0</v>
      </c>
      <c r="S543">
        <f>Data!M556</f>
        <v>0</v>
      </c>
      <c r="T543">
        <f>Data!N556</f>
        <v>0</v>
      </c>
      <c r="U543">
        <f>Data!O556</f>
        <v>0</v>
      </c>
      <c r="V543" s="33">
        <f>Data!P556</f>
        <v>0</v>
      </c>
    </row>
    <row r="544" spans="7:22" x14ac:dyDescent="0.25">
      <c r="G544">
        <f>Data!A557</f>
        <v>0</v>
      </c>
      <c r="H544" s="21">
        <f>Data!B557</f>
        <v>0</v>
      </c>
      <c r="I544" s="21">
        <f>Data!C557</f>
        <v>0</v>
      </c>
      <c r="J544">
        <f>Data!D557</f>
        <v>0</v>
      </c>
      <c r="K544">
        <f>Data!E557</f>
        <v>0</v>
      </c>
      <c r="L544">
        <f>Data!F557</f>
        <v>0</v>
      </c>
      <c r="M544">
        <f>Data!G557</f>
        <v>0</v>
      </c>
      <c r="N544">
        <f>Data!H557</f>
        <v>0</v>
      </c>
      <c r="O544">
        <f>Data!I557</f>
        <v>0</v>
      </c>
      <c r="P544" s="21">
        <f>Data!J557</f>
        <v>0</v>
      </c>
      <c r="Q544">
        <f>Data!K557</f>
        <v>0</v>
      </c>
      <c r="R544">
        <f>Data!L557</f>
        <v>0</v>
      </c>
      <c r="S544">
        <f>Data!M557</f>
        <v>0</v>
      </c>
      <c r="T544">
        <f>Data!N557</f>
        <v>0</v>
      </c>
      <c r="U544">
        <f>Data!O557</f>
        <v>0</v>
      </c>
      <c r="V544" s="33">
        <f>Data!P557</f>
        <v>0</v>
      </c>
    </row>
    <row r="545" spans="7:22" x14ac:dyDescent="0.25">
      <c r="G545">
        <f>Data!A558</f>
        <v>0</v>
      </c>
      <c r="H545" s="21">
        <f>Data!B558</f>
        <v>0</v>
      </c>
      <c r="I545" s="21">
        <f>Data!C558</f>
        <v>0</v>
      </c>
      <c r="J545">
        <f>Data!D558</f>
        <v>0</v>
      </c>
      <c r="K545">
        <f>Data!E558</f>
        <v>0</v>
      </c>
      <c r="L545">
        <f>Data!F558</f>
        <v>0</v>
      </c>
      <c r="M545">
        <f>Data!G558</f>
        <v>0</v>
      </c>
      <c r="N545">
        <f>Data!H558</f>
        <v>0</v>
      </c>
      <c r="O545">
        <f>Data!I558</f>
        <v>0</v>
      </c>
      <c r="P545" s="21">
        <f>Data!J558</f>
        <v>0</v>
      </c>
      <c r="Q545">
        <f>Data!K558</f>
        <v>0</v>
      </c>
      <c r="R545">
        <f>Data!L558</f>
        <v>0</v>
      </c>
      <c r="S545">
        <f>Data!M558</f>
        <v>0</v>
      </c>
      <c r="T545">
        <f>Data!N558</f>
        <v>0</v>
      </c>
      <c r="U545">
        <f>Data!O558</f>
        <v>0</v>
      </c>
      <c r="V545" s="33">
        <f>Data!P558</f>
        <v>0</v>
      </c>
    </row>
    <row r="546" spans="7:22" x14ac:dyDescent="0.25">
      <c r="G546">
        <f>Data!A559</f>
        <v>0</v>
      </c>
      <c r="H546" s="21">
        <f>Data!B559</f>
        <v>0</v>
      </c>
      <c r="I546" s="21">
        <f>Data!C559</f>
        <v>0</v>
      </c>
      <c r="J546">
        <f>Data!D559</f>
        <v>0</v>
      </c>
      <c r="K546">
        <f>Data!E559</f>
        <v>0</v>
      </c>
      <c r="L546">
        <f>Data!F559</f>
        <v>0</v>
      </c>
      <c r="M546">
        <f>Data!G559</f>
        <v>0</v>
      </c>
      <c r="N546">
        <f>Data!H559</f>
        <v>0</v>
      </c>
      <c r="O546">
        <f>Data!I559</f>
        <v>0</v>
      </c>
      <c r="P546" s="21">
        <f>Data!J559</f>
        <v>0</v>
      </c>
      <c r="Q546">
        <f>Data!K559</f>
        <v>0</v>
      </c>
      <c r="R546">
        <f>Data!L559</f>
        <v>0</v>
      </c>
      <c r="S546">
        <f>Data!M559</f>
        <v>0</v>
      </c>
      <c r="T546">
        <f>Data!N559</f>
        <v>0</v>
      </c>
      <c r="U546">
        <f>Data!O559</f>
        <v>0</v>
      </c>
      <c r="V546" s="33">
        <f>Data!P559</f>
        <v>0</v>
      </c>
    </row>
    <row r="547" spans="7:22" x14ac:dyDescent="0.25">
      <c r="G547">
        <f>Data!A560</f>
        <v>0</v>
      </c>
      <c r="H547" s="21">
        <f>Data!B560</f>
        <v>0</v>
      </c>
      <c r="I547" s="21">
        <f>Data!C560</f>
        <v>0</v>
      </c>
      <c r="J547">
        <f>Data!D560</f>
        <v>0</v>
      </c>
      <c r="K547">
        <f>Data!E560</f>
        <v>0</v>
      </c>
      <c r="L547">
        <f>Data!F560</f>
        <v>0</v>
      </c>
      <c r="M547">
        <f>Data!G560</f>
        <v>0</v>
      </c>
      <c r="N547">
        <f>Data!H560</f>
        <v>0</v>
      </c>
      <c r="O547">
        <f>Data!I560</f>
        <v>0</v>
      </c>
      <c r="P547" s="21">
        <f>Data!J560</f>
        <v>0</v>
      </c>
      <c r="Q547">
        <f>Data!K560</f>
        <v>0</v>
      </c>
      <c r="R547">
        <f>Data!L560</f>
        <v>0</v>
      </c>
      <c r="S547">
        <f>Data!M560</f>
        <v>0</v>
      </c>
      <c r="T547">
        <f>Data!N560</f>
        <v>0</v>
      </c>
      <c r="U547">
        <f>Data!O560</f>
        <v>0</v>
      </c>
      <c r="V547" s="33">
        <f>Data!P560</f>
        <v>0</v>
      </c>
    </row>
    <row r="548" spans="7:22" x14ac:dyDescent="0.25">
      <c r="G548">
        <f>Data!A561</f>
        <v>0</v>
      </c>
      <c r="H548" s="21">
        <f>Data!B561</f>
        <v>0</v>
      </c>
      <c r="I548" s="21">
        <f>Data!C561</f>
        <v>0</v>
      </c>
      <c r="J548">
        <f>Data!D561</f>
        <v>0</v>
      </c>
      <c r="K548">
        <f>Data!E561</f>
        <v>0</v>
      </c>
      <c r="L548">
        <f>Data!F561</f>
        <v>0</v>
      </c>
      <c r="M548">
        <f>Data!G561</f>
        <v>0</v>
      </c>
      <c r="N548">
        <f>Data!H561</f>
        <v>0</v>
      </c>
      <c r="O548">
        <f>Data!I561</f>
        <v>0</v>
      </c>
      <c r="P548" s="21">
        <f>Data!J561</f>
        <v>0</v>
      </c>
      <c r="Q548">
        <f>Data!K561</f>
        <v>0</v>
      </c>
      <c r="R548">
        <f>Data!L561</f>
        <v>0</v>
      </c>
      <c r="S548">
        <f>Data!M561</f>
        <v>0</v>
      </c>
      <c r="T548">
        <f>Data!N561</f>
        <v>0</v>
      </c>
      <c r="U548">
        <f>Data!O561</f>
        <v>0</v>
      </c>
      <c r="V548" s="33">
        <f>Data!P561</f>
        <v>0</v>
      </c>
    </row>
    <row r="549" spans="7:22" x14ac:dyDescent="0.25">
      <c r="G549">
        <f>Data!A562</f>
        <v>0</v>
      </c>
      <c r="H549" s="21">
        <f>Data!B562</f>
        <v>0</v>
      </c>
      <c r="I549" s="21">
        <f>Data!C562</f>
        <v>0</v>
      </c>
      <c r="J549">
        <f>Data!D562</f>
        <v>0</v>
      </c>
      <c r="K549">
        <f>Data!E562</f>
        <v>0</v>
      </c>
      <c r="L549">
        <f>Data!F562</f>
        <v>0</v>
      </c>
      <c r="M549">
        <f>Data!G562</f>
        <v>0</v>
      </c>
      <c r="N549">
        <f>Data!H562</f>
        <v>0</v>
      </c>
      <c r="O549">
        <f>Data!I562</f>
        <v>0</v>
      </c>
      <c r="P549" s="21">
        <f>Data!J562</f>
        <v>0</v>
      </c>
      <c r="Q549">
        <f>Data!K562</f>
        <v>0</v>
      </c>
      <c r="R549">
        <f>Data!L562</f>
        <v>0</v>
      </c>
      <c r="S549">
        <f>Data!M562</f>
        <v>0</v>
      </c>
      <c r="T549">
        <f>Data!N562</f>
        <v>0</v>
      </c>
      <c r="U549">
        <f>Data!O562</f>
        <v>0</v>
      </c>
      <c r="V549" s="33">
        <f>Data!P562</f>
        <v>0</v>
      </c>
    </row>
    <row r="550" spans="7:22" x14ac:dyDescent="0.25">
      <c r="G550">
        <f>Data!A563</f>
        <v>0</v>
      </c>
      <c r="H550" s="21">
        <f>Data!B563</f>
        <v>0</v>
      </c>
      <c r="I550" s="21">
        <f>Data!C563</f>
        <v>0</v>
      </c>
      <c r="J550">
        <f>Data!D563</f>
        <v>0</v>
      </c>
      <c r="K550">
        <f>Data!E563</f>
        <v>0</v>
      </c>
      <c r="L550">
        <f>Data!F563</f>
        <v>0</v>
      </c>
      <c r="M550">
        <f>Data!G563</f>
        <v>0</v>
      </c>
      <c r="N550">
        <f>Data!H563</f>
        <v>0</v>
      </c>
      <c r="O550">
        <f>Data!I563</f>
        <v>0</v>
      </c>
      <c r="P550" s="21">
        <f>Data!J563</f>
        <v>0</v>
      </c>
      <c r="Q550">
        <f>Data!K563</f>
        <v>0</v>
      </c>
      <c r="R550">
        <f>Data!L563</f>
        <v>0</v>
      </c>
      <c r="S550">
        <f>Data!M563</f>
        <v>0</v>
      </c>
      <c r="T550">
        <f>Data!N563</f>
        <v>0</v>
      </c>
      <c r="U550">
        <f>Data!O563</f>
        <v>0</v>
      </c>
      <c r="V550" s="33">
        <f>Data!P563</f>
        <v>0</v>
      </c>
    </row>
    <row r="551" spans="7:22" x14ac:dyDescent="0.25">
      <c r="G551">
        <f>Data!A564</f>
        <v>0</v>
      </c>
      <c r="H551" s="21">
        <f>Data!B564</f>
        <v>0</v>
      </c>
      <c r="I551" s="21">
        <f>Data!C564</f>
        <v>0</v>
      </c>
      <c r="J551">
        <f>Data!D564</f>
        <v>0</v>
      </c>
      <c r="K551">
        <f>Data!E564</f>
        <v>0</v>
      </c>
      <c r="L551">
        <f>Data!F564</f>
        <v>0</v>
      </c>
      <c r="M551">
        <f>Data!G564</f>
        <v>0</v>
      </c>
      <c r="N551">
        <f>Data!H564</f>
        <v>0</v>
      </c>
      <c r="O551">
        <f>Data!I564</f>
        <v>0</v>
      </c>
      <c r="P551" s="21">
        <f>Data!J564</f>
        <v>0</v>
      </c>
      <c r="Q551">
        <f>Data!K564</f>
        <v>0</v>
      </c>
      <c r="R551">
        <f>Data!L564</f>
        <v>0</v>
      </c>
      <c r="S551">
        <f>Data!M564</f>
        <v>0</v>
      </c>
      <c r="T551">
        <f>Data!N564</f>
        <v>0</v>
      </c>
      <c r="U551">
        <f>Data!O564</f>
        <v>0</v>
      </c>
      <c r="V551" s="33">
        <f>Data!P564</f>
        <v>0</v>
      </c>
    </row>
    <row r="552" spans="7:22" x14ac:dyDescent="0.25">
      <c r="G552">
        <f>Data!A565</f>
        <v>0</v>
      </c>
      <c r="H552" s="21">
        <f>Data!B565</f>
        <v>0</v>
      </c>
      <c r="I552" s="21">
        <f>Data!C565</f>
        <v>0</v>
      </c>
      <c r="J552">
        <f>Data!D565</f>
        <v>0</v>
      </c>
      <c r="K552">
        <f>Data!E565</f>
        <v>0</v>
      </c>
      <c r="L552">
        <f>Data!F565</f>
        <v>0</v>
      </c>
      <c r="M552">
        <f>Data!G565</f>
        <v>0</v>
      </c>
      <c r="N552">
        <f>Data!H565</f>
        <v>0</v>
      </c>
      <c r="O552">
        <f>Data!I565</f>
        <v>0</v>
      </c>
      <c r="P552" s="21">
        <f>Data!J565</f>
        <v>0</v>
      </c>
      <c r="Q552">
        <f>Data!K565</f>
        <v>0</v>
      </c>
      <c r="R552">
        <f>Data!L565</f>
        <v>0</v>
      </c>
      <c r="S552">
        <f>Data!M565</f>
        <v>0</v>
      </c>
      <c r="T552">
        <f>Data!N565</f>
        <v>0</v>
      </c>
      <c r="U552">
        <f>Data!O565</f>
        <v>0</v>
      </c>
      <c r="V552" s="33">
        <f>Data!P565</f>
        <v>0</v>
      </c>
    </row>
    <row r="553" spans="7:22" x14ac:dyDescent="0.25">
      <c r="G553">
        <f>Data!A566</f>
        <v>0</v>
      </c>
      <c r="H553" s="21">
        <f>Data!B566</f>
        <v>0</v>
      </c>
      <c r="I553" s="21">
        <f>Data!C566</f>
        <v>0</v>
      </c>
      <c r="J553">
        <f>Data!D566</f>
        <v>0</v>
      </c>
      <c r="K553">
        <f>Data!E566</f>
        <v>0</v>
      </c>
      <c r="L553">
        <f>Data!F566</f>
        <v>0</v>
      </c>
      <c r="M553">
        <f>Data!G566</f>
        <v>0</v>
      </c>
      <c r="N553">
        <f>Data!H566</f>
        <v>0</v>
      </c>
      <c r="O553">
        <f>Data!I566</f>
        <v>0</v>
      </c>
      <c r="P553" s="21">
        <f>Data!J566</f>
        <v>0</v>
      </c>
      <c r="Q553">
        <f>Data!K566</f>
        <v>0</v>
      </c>
      <c r="R553">
        <f>Data!L566</f>
        <v>0</v>
      </c>
      <c r="S553">
        <f>Data!M566</f>
        <v>0</v>
      </c>
      <c r="T553">
        <f>Data!N566</f>
        <v>0</v>
      </c>
      <c r="U553">
        <f>Data!O566</f>
        <v>0</v>
      </c>
      <c r="V553" s="33">
        <f>Data!P566</f>
        <v>0</v>
      </c>
    </row>
    <row r="554" spans="7:22" x14ac:dyDescent="0.25">
      <c r="G554">
        <f>Data!A567</f>
        <v>0</v>
      </c>
      <c r="H554" s="21">
        <f>Data!B567</f>
        <v>0</v>
      </c>
      <c r="I554" s="21">
        <f>Data!C567</f>
        <v>0</v>
      </c>
      <c r="J554">
        <f>Data!D567</f>
        <v>0</v>
      </c>
      <c r="K554">
        <f>Data!E567</f>
        <v>0</v>
      </c>
      <c r="L554">
        <f>Data!F567</f>
        <v>0</v>
      </c>
      <c r="M554">
        <f>Data!G567</f>
        <v>0</v>
      </c>
      <c r="N554">
        <f>Data!H567</f>
        <v>0</v>
      </c>
      <c r="O554">
        <f>Data!I567</f>
        <v>0</v>
      </c>
      <c r="P554" s="21">
        <f>Data!J567</f>
        <v>0</v>
      </c>
      <c r="Q554">
        <f>Data!K567</f>
        <v>0</v>
      </c>
      <c r="R554">
        <f>Data!L567</f>
        <v>0</v>
      </c>
      <c r="S554">
        <f>Data!M567</f>
        <v>0</v>
      </c>
      <c r="T554">
        <f>Data!N567</f>
        <v>0</v>
      </c>
      <c r="U554">
        <f>Data!O567</f>
        <v>0</v>
      </c>
      <c r="V554" s="33">
        <f>Data!P567</f>
        <v>0</v>
      </c>
    </row>
    <row r="555" spans="7:22" x14ac:dyDescent="0.25">
      <c r="G555">
        <f>Data!A568</f>
        <v>0</v>
      </c>
      <c r="H555" s="21">
        <f>Data!B568</f>
        <v>0</v>
      </c>
      <c r="I555" s="21">
        <f>Data!C568</f>
        <v>0</v>
      </c>
      <c r="J555">
        <f>Data!D568</f>
        <v>0</v>
      </c>
      <c r="K555">
        <f>Data!E568</f>
        <v>0</v>
      </c>
      <c r="L555">
        <f>Data!F568</f>
        <v>0</v>
      </c>
      <c r="M555">
        <f>Data!G568</f>
        <v>0</v>
      </c>
      <c r="N555">
        <f>Data!H568</f>
        <v>0</v>
      </c>
      <c r="O555">
        <f>Data!I568</f>
        <v>0</v>
      </c>
      <c r="P555" s="21">
        <f>Data!J568</f>
        <v>0</v>
      </c>
      <c r="Q555">
        <f>Data!K568</f>
        <v>0</v>
      </c>
      <c r="R555">
        <f>Data!L568</f>
        <v>0</v>
      </c>
      <c r="S555">
        <f>Data!M568</f>
        <v>0</v>
      </c>
      <c r="T555">
        <f>Data!N568</f>
        <v>0</v>
      </c>
      <c r="U555">
        <f>Data!O568</f>
        <v>0</v>
      </c>
      <c r="V555" s="33">
        <f>Data!P568</f>
        <v>0</v>
      </c>
    </row>
    <row r="556" spans="7:22" x14ac:dyDescent="0.25">
      <c r="G556">
        <f>Data!A569</f>
        <v>0</v>
      </c>
      <c r="H556" s="21">
        <f>Data!B569</f>
        <v>0</v>
      </c>
      <c r="I556" s="21">
        <f>Data!C569</f>
        <v>0</v>
      </c>
      <c r="J556">
        <f>Data!D569</f>
        <v>0</v>
      </c>
      <c r="K556">
        <f>Data!E569</f>
        <v>0</v>
      </c>
      <c r="L556">
        <f>Data!F569</f>
        <v>0</v>
      </c>
      <c r="M556">
        <f>Data!G569</f>
        <v>0</v>
      </c>
      <c r="N556">
        <f>Data!H569</f>
        <v>0</v>
      </c>
      <c r="O556">
        <f>Data!I569</f>
        <v>0</v>
      </c>
      <c r="P556" s="21">
        <f>Data!J569</f>
        <v>0</v>
      </c>
      <c r="Q556">
        <f>Data!K569</f>
        <v>0</v>
      </c>
      <c r="R556">
        <f>Data!L569</f>
        <v>0</v>
      </c>
      <c r="S556">
        <f>Data!M569</f>
        <v>0</v>
      </c>
      <c r="T556">
        <f>Data!N569</f>
        <v>0</v>
      </c>
      <c r="U556">
        <f>Data!O569</f>
        <v>0</v>
      </c>
      <c r="V556" s="33">
        <f>Data!P569</f>
        <v>0</v>
      </c>
    </row>
    <row r="557" spans="7:22" x14ac:dyDescent="0.25">
      <c r="G557">
        <f>Data!A570</f>
        <v>0</v>
      </c>
      <c r="H557" s="21">
        <f>Data!B570</f>
        <v>0</v>
      </c>
      <c r="I557" s="21">
        <f>Data!C570</f>
        <v>0</v>
      </c>
      <c r="J557">
        <f>Data!D570</f>
        <v>0</v>
      </c>
      <c r="K557">
        <f>Data!E570</f>
        <v>0</v>
      </c>
      <c r="L557">
        <f>Data!F570</f>
        <v>0</v>
      </c>
      <c r="M557">
        <f>Data!G570</f>
        <v>0</v>
      </c>
      <c r="N557">
        <f>Data!H570</f>
        <v>0</v>
      </c>
      <c r="O557">
        <f>Data!I570</f>
        <v>0</v>
      </c>
      <c r="P557" s="21">
        <f>Data!J570</f>
        <v>0</v>
      </c>
      <c r="Q557">
        <f>Data!K570</f>
        <v>0</v>
      </c>
      <c r="R557">
        <f>Data!L570</f>
        <v>0</v>
      </c>
      <c r="S557">
        <f>Data!M570</f>
        <v>0</v>
      </c>
      <c r="T557">
        <f>Data!N570</f>
        <v>0</v>
      </c>
      <c r="U557">
        <f>Data!O570</f>
        <v>0</v>
      </c>
      <c r="V557" s="33">
        <f>Data!P570</f>
        <v>0</v>
      </c>
    </row>
    <row r="558" spans="7:22" x14ac:dyDescent="0.25">
      <c r="G558">
        <f>Data!A571</f>
        <v>0</v>
      </c>
      <c r="H558" s="21">
        <f>Data!B571</f>
        <v>0</v>
      </c>
      <c r="I558" s="21">
        <f>Data!C571</f>
        <v>0</v>
      </c>
      <c r="J558">
        <f>Data!D571</f>
        <v>0</v>
      </c>
      <c r="K558">
        <f>Data!E571</f>
        <v>0</v>
      </c>
      <c r="L558">
        <f>Data!F571</f>
        <v>0</v>
      </c>
      <c r="M558">
        <f>Data!G571</f>
        <v>0</v>
      </c>
      <c r="N558">
        <f>Data!H571</f>
        <v>0</v>
      </c>
      <c r="O558">
        <f>Data!I571</f>
        <v>0</v>
      </c>
      <c r="P558" s="21">
        <f>Data!J571</f>
        <v>0</v>
      </c>
      <c r="Q558">
        <f>Data!K571</f>
        <v>0</v>
      </c>
      <c r="R558">
        <f>Data!L571</f>
        <v>0</v>
      </c>
      <c r="S558">
        <f>Data!M571</f>
        <v>0</v>
      </c>
      <c r="T558">
        <f>Data!N571</f>
        <v>0</v>
      </c>
      <c r="U558">
        <f>Data!O571</f>
        <v>0</v>
      </c>
      <c r="V558" s="33">
        <f>Data!P571</f>
        <v>0</v>
      </c>
    </row>
    <row r="559" spans="7:22" x14ac:dyDescent="0.25">
      <c r="G559">
        <f>Data!A572</f>
        <v>0</v>
      </c>
      <c r="H559" s="21">
        <f>Data!B572</f>
        <v>0</v>
      </c>
      <c r="I559" s="21">
        <f>Data!C572</f>
        <v>0</v>
      </c>
      <c r="J559">
        <f>Data!D572</f>
        <v>0</v>
      </c>
      <c r="K559">
        <f>Data!E572</f>
        <v>0</v>
      </c>
      <c r="L559">
        <f>Data!F572</f>
        <v>0</v>
      </c>
      <c r="M559">
        <f>Data!G572</f>
        <v>0</v>
      </c>
      <c r="N559">
        <f>Data!H572</f>
        <v>0</v>
      </c>
      <c r="O559">
        <f>Data!I572</f>
        <v>0</v>
      </c>
      <c r="P559" s="21">
        <f>Data!J572</f>
        <v>0</v>
      </c>
      <c r="Q559">
        <f>Data!K572</f>
        <v>0</v>
      </c>
      <c r="R559">
        <f>Data!L572</f>
        <v>0</v>
      </c>
      <c r="S559">
        <f>Data!M572</f>
        <v>0</v>
      </c>
      <c r="T559">
        <f>Data!N572</f>
        <v>0</v>
      </c>
      <c r="U559">
        <f>Data!O572</f>
        <v>0</v>
      </c>
      <c r="V559" s="33">
        <f>Data!P572</f>
        <v>0</v>
      </c>
    </row>
    <row r="560" spans="7:22" x14ac:dyDescent="0.25">
      <c r="G560">
        <f>Data!A573</f>
        <v>0</v>
      </c>
      <c r="H560" s="21">
        <f>Data!B573</f>
        <v>0</v>
      </c>
      <c r="I560" s="21">
        <f>Data!C573</f>
        <v>0</v>
      </c>
      <c r="J560">
        <f>Data!D573</f>
        <v>0</v>
      </c>
      <c r="K560">
        <f>Data!E573</f>
        <v>0</v>
      </c>
      <c r="L560">
        <f>Data!F573</f>
        <v>0</v>
      </c>
      <c r="M560">
        <f>Data!G573</f>
        <v>0</v>
      </c>
      <c r="N560">
        <f>Data!H573</f>
        <v>0</v>
      </c>
      <c r="O560">
        <f>Data!I573</f>
        <v>0</v>
      </c>
      <c r="P560" s="21">
        <f>Data!J573</f>
        <v>0</v>
      </c>
      <c r="Q560">
        <f>Data!K573</f>
        <v>0</v>
      </c>
      <c r="R560">
        <f>Data!L573</f>
        <v>0</v>
      </c>
      <c r="S560">
        <f>Data!M573</f>
        <v>0</v>
      </c>
      <c r="T560">
        <f>Data!N573</f>
        <v>0</v>
      </c>
      <c r="U560">
        <f>Data!O573</f>
        <v>0</v>
      </c>
      <c r="V560" s="33">
        <f>Data!P573</f>
        <v>0</v>
      </c>
    </row>
    <row r="561" spans="7:22" x14ac:dyDescent="0.25">
      <c r="G561">
        <f>Data!A574</f>
        <v>0</v>
      </c>
      <c r="H561" s="21">
        <f>Data!B574</f>
        <v>0</v>
      </c>
      <c r="I561" s="21">
        <f>Data!C574</f>
        <v>0</v>
      </c>
      <c r="J561">
        <f>Data!D574</f>
        <v>0</v>
      </c>
      <c r="K561">
        <f>Data!E574</f>
        <v>0</v>
      </c>
      <c r="L561">
        <f>Data!F574</f>
        <v>0</v>
      </c>
      <c r="M561">
        <f>Data!G574</f>
        <v>0</v>
      </c>
      <c r="N561">
        <f>Data!H574</f>
        <v>0</v>
      </c>
      <c r="O561">
        <f>Data!I574</f>
        <v>0</v>
      </c>
      <c r="P561" s="21">
        <f>Data!J574</f>
        <v>0</v>
      </c>
      <c r="Q561">
        <f>Data!K574</f>
        <v>0</v>
      </c>
      <c r="R561">
        <f>Data!L574</f>
        <v>0</v>
      </c>
      <c r="S561">
        <f>Data!M574</f>
        <v>0</v>
      </c>
      <c r="T561">
        <f>Data!N574</f>
        <v>0</v>
      </c>
      <c r="U561">
        <f>Data!O574</f>
        <v>0</v>
      </c>
      <c r="V561" s="33">
        <f>Data!P574</f>
        <v>0</v>
      </c>
    </row>
    <row r="562" spans="7:22" x14ac:dyDescent="0.25">
      <c r="G562">
        <f>Data!A575</f>
        <v>0</v>
      </c>
      <c r="H562" s="21">
        <f>Data!B575</f>
        <v>0</v>
      </c>
      <c r="I562" s="21">
        <f>Data!C575</f>
        <v>0</v>
      </c>
      <c r="J562">
        <f>Data!D575</f>
        <v>0</v>
      </c>
      <c r="K562">
        <f>Data!E575</f>
        <v>0</v>
      </c>
      <c r="L562">
        <f>Data!F575</f>
        <v>0</v>
      </c>
      <c r="M562">
        <f>Data!G575</f>
        <v>0</v>
      </c>
      <c r="N562">
        <f>Data!H575</f>
        <v>0</v>
      </c>
      <c r="O562">
        <f>Data!I575</f>
        <v>0</v>
      </c>
      <c r="P562" s="21">
        <f>Data!J575</f>
        <v>0</v>
      </c>
      <c r="Q562">
        <f>Data!K575</f>
        <v>0</v>
      </c>
      <c r="R562">
        <f>Data!L575</f>
        <v>0</v>
      </c>
      <c r="S562">
        <f>Data!M575</f>
        <v>0</v>
      </c>
      <c r="T562">
        <f>Data!N575</f>
        <v>0</v>
      </c>
      <c r="U562">
        <f>Data!O575</f>
        <v>0</v>
      </c>
      <c r="V562" s="33">
        <f>Data!P575</f>
        <v>0</v>
      </c>
    </row>
    <row r="563" spans="7:22" x14ac:dyDescent="0.25">
      <c r="G563">
        <f>Data!A576</f>
        <v>0</v>
      </c>
      <c r="H563" s="21">
        <f>Data!B576</f>
        <v>0</v>
      </c>
      <c r="I563" s="21">
        <f>Data!C576</f>
        <v>0</v>
      </c>
      <c r="J563">
        <f>Data!D576</f>
        <v>0</v>
      </c>
      <c r="K563">
        <f>Data!E576</f>
        <v>0</v>
      </c>
      <c r="L563">
        <f>Data!F576</f>
        <v>0</v>
      </c>
      <c r="M563">
        <f>Data!G576</f>
        <v>0</v>
      </c>
      <c r="N563">
        <f>Data!H576</f>
        <v>0</v>
      </c>
      <c r="O563">
        <f>Data!I576</f>
        <v>0</v>
      </c>
      <c r="P563" s="21">
        <f>Data!J576</f>
        <v>0</v>
      </c>
      <c r="Q563">
        <f>Data!K576</f>
        <v>0</v>
      </c>
      <c r="R563">
        <f>Data!L576</f>
        <v>0</v>
      </c>
      <c r="S563">
        <f>Data!M576</f>
        <v>0</v>
      </c>
      <c r="T563">
        <f>Data!N576</f>
        <v>0</v>
      </c>
      <c r="U563">
        <f>Data!O576</f>
        <v>0</v>
      </c>
      <c r="V563" s="33">
        <f>Data!P576</f>
        <v>0</v>
      </c>
    </row>
    <row r="564" spans="7:22" x14ac:dyDescent="0.25">
      <c r="G564">
        <f>Data!A577</f>
        <v>0</v>
      </c>
      <c r="H564" s="21">
        <f>Data!B577</f>
        <v>0</v>
      </c>
      <c r="I564" s="21">
        <f>Data!C577</f>
        <v>0</v>
      </c>
      <c r="J564">
        <f>Data!D577</f>
        <v>0</v>
      </c>
      <c r="K564">
        <f>Data!E577</f>
        <v>0</v>
      </c>
      <c r="L564">
        <f>Data!F577</f>
        <v>0</v>
      </c>
      <c r="M564">
        <f>Data!G577</f>
        <v>0</v>
      </c>
      <c r="N564">
        <f>Data!H577</f>
        <v>0</v>
      </c>
      <c r="O564">
        <f>Data!I577</f>
        <v>0</v>
      </c>
      <c r="P564" s="21">
        <f>Data!J577</f>
        <v>0</v>
      </c>
      <c r="Q564">
        <f>Data!K577</f>
        <v>0</v>
      </c>
      <c r="R564">
        <f>Data!L577</f>
        <v>0</v>
      </c>
      <c r="S564">
        <f>Data!M577</f>
        <v>0</v>
      </c>
      <c r="T564">
        <f>Data!N577</f>
        <v>0</v>
      </c>
      <c r="U564">
        <f>Data!O577</f>
        <v>0</v>
      </c>
      <c r="V564" s="33">
        <f>Data!P577</f>
        <v>0</v>
      </c>
    </row>
    <row r="565" spans="7:22" x14ac:dyDescent="0.25">
      <c r="G565">
        <f>Data!A578</f>
        <v>0</v>
      </c>
      <c r="H565" s="21">
        <f>Data!B578</f>
        <v>0</v>
      </c>
      <c r="I565" s="21">
        <f>Data!C578</f>
        <v>0</v>
      </c>
      <c r="J565">
        <f>Data!D578</f>
        <v>0</v>
      </c>
      <c r="K565">
        <f>Data!E578</f>
        <v>0</v>
      </c>
      <c r="L565">
        <f>Data!F578</f>
        <v>0</v>
      </c>
      <c r="M565">
        <f>Data!G578</f>
        <v>0</v>
      </c>
      <c r="N565">
        <f>Data!H578</f>
        <v>0</v>
      </c>
      <c r="O565">
        <f>Data!I578</f>
        <v>0</v>
      </c>
      <c r="P565" s="21">
        <f>Data!J578</f>
        <v>0</v>
      </c>
      <c r="Q565">
        <f>Data!K578</f>
        <v>0</v>
      </c>
      <c r="R565">
        <f>Data!L578</f>
        <v>0</v>
      </c>
      <c r="S565">
        <f>Data!M578</f>
        <v>0</v>
      </c>
      <c r="T565">
        <f>Data!N578</f>
        <v>0</v>
      </c>
      <c r="U565">
        <f>Data!O578</f>
        <v>0</v>
      </c>
      <c r="V565" s="33">
        <f>Data!P578</f>
        <v>0</v>
      </c>
    </row>
    <row r="566" spans="7:22" x14ac:dyDescent="0.25">
      <c r="G566">
        <f>Data!A579</f>
        <v>0</v>
      </c>
      <c r="H566" s="21">
        <f>Data!B579</f>
        <v>0</v>
      </c>
      <c r="I566" s="21">
        <f>Data!C579</f>
        <v>0</v>
      </c>
      <c r="J566">
        <f>Data!D579</f>
        <v>0</v>
      </c>
      <c r="K566">
        <f>Data!E579</f>
        <v>0</v>
      </c>
      <c r="L566">
        <f>Data!F579</f>
        <v>0</v>
      </c>
      <c r="M566">
        <f>Data!G579</f>
        <v>0</v>
      </c>
      <c r="N566">
        <f>Data!H579</f>
        <v>0</v>
      </c>
      <c r="O566">
        <f>Data!I579</f>
        <v>0</v>
      </c>
      <c r="P566" s="21">
        <f>Data!J579</f>
        <v>0</v>
      </c>
      <c r="Q566">
        <f>Data!K579</f>
        <v>0</v>
      </c>
      <c r="R566">
        <f>Data!L579</f>
        <v>0</v>
      </c>
      <c r="S566">
        <f>Data!M579</f>
        <v>0</v>
      </c>
      <c r="T566">
        <f>Data!N579</f>
        <v>0</v>
      </c>
      <c r="U566">
        <f>Data!O579</f>
        <v>0</v>
      </c>
      <c r="V566" s="33">
        <f>Data!P579</f>
        <v>0</v>
      </c>
    </row>
    <row r="567" spans="7:22" x14ac:dyDescent="0.25">
      <c r="G567">
        <f>Data!A580</f>
        <v>0</v>
      </c>
      <c r="H567" s="21">
        <f>Data!B580</f>
        <v>0</v>
      </c>
      <c r="I567" s="21">
        <f>Data!C580</f>
        <v>0</v>
      </c>
      <c r="J567">
        <f>Data!D580</f>
        <v>0</v>
      </c>
      <c r="K567">
        <f>Data!E580</f>
        <v>0</v>
      </c>
      <c r="L567">
        <f>Data!F580</f>
        <v>0</v>
      </c>
      <c r="M567">
        <f>Data!G580</f>
        <v>0</v>
      </c>
      <c r="N567">
        <f>Data!H580</f>
        <v>0</v>
      </c>
      <c r="O567">
        <f>Data!I580</f>
        <v>0</v>
      </c>
      <c r="P567" s="21">
        <f>Data!J580</f>
        <v>0</v>
      </c>
      <c r="Q567">
        <f>Data!K580</f>
        <v>0</v>
      </c>
      <c r="R567">
        <f>Data!L580</f>
        <v>0</v>
      </c>
      <c r="S567">
        <f>Data!M580</f>
        <v>0</v>
      </c>
      <c r="T567">
        <f>Data!N580</f>
        <v>0</v>
      </c>
      <c r="U567">
        <f>Data!O580</f>
        <v>0</v>
      </c>
      <c r="V567" s="33">
        <f>Data!P580</f>
        <v>0</v>
      </c>
    </row>
    <row r="568" spans="7:22" x14ac:dyDescent="0.25">
      <c r="G568">
        <f>Data!A581</f>
        <v>0</v>
      </c>
      <c r="H568" s="21">
        <f>Data!B581</f>
        <v>0</v>
      </c>
      <c r="I568" s="21">
        <f>Data!C581</f>
        <v>0</v>
      </c>
      <c r="J568">
        <f>Data!D581</f>
        <v>0</v>
      </c>
      <c r="K568">
        <f>Data!E581</f>
        <v>0</v>
      </c>
      <c r="L568">
        <f>Data!F581</f>
        <v>0</v>
      </c>
      <c r="M568">
        <f>Data!G581</f>
        <v>0</v>
      </c>
      <c r="N568">
        <f>Data!H581</f>
        <v>0</v>
      </c>
      <c r="O568">
        <f>Data!I581</f>
        <v>0</v>
      </c>
      <c r="P568" s="21">
        <f>Data!J581</f>
        <v>0</v>
      </c>
      <c r="Q568">
        <f>Data!K581</f>
        <v>0</v>
      </c>
      <c r="R568">
        <f>Data!L581</f>
        <v>0</v>
      </c>
      <c r="S568">
        <f>Data!M581</f>
        <v>0</v>
      </c>
      <c r="T568">
        <f>Data!N581</f>
        <v>0</v>
      </c>
      <c r="U568">
        <f>Data!O581</f>
        <v>0</v>
      </c>
      <c r="V568" s="33">
        <f>Data!P581</f>
        <v>0</v>
      </c>
    </row>
    <row r="569" spans="7:22" x14ac:dyDescent="0.25">
      <c r="G569">
        <f>Data!A582</f>
        <v>0</v>
      </c>
      <c r="H569" s="21">
        <f>Data!B582</f>
        <v>0</v>
      </c>
      <c r="I569" s="21">
        <f>Data!C582</f>
        <v>0</v>
      </c>
      <c r="J569">
        <f>Data!D582</f>
        <v>0</v>
      </c>
      <c r="K569">
        <f>Data!E582</f>
        <v>0</v>
      </c>
      <c r="L569">
        <f>Data!F582</f>
        <v>0</v>
      </c>
      <c r="M569">
        <f>Data!G582</f>
        <v>0</v>
      </c>
      <c r="N569">
        <f>Data!H582</f>
        <v>0</v>
      </c>
      <c r="O569">
        <f>Data!I582</f>
        <v>0</v>
      </c>
      <c r="P569" s="21">
        <f>Data!J582</f>
        <v>0</v>
      </c>
      <c r="Q569">
        <f>Data!K582</f>
        <v>0</v>
      </c>
      <c r="R569">
        <f>Data!L582</f>
        <v>0</v>
      </c>
      <c r="S569">
        <f>Data!M582</f>
        <v>0</v>
      </c>
      <c r="T569">
        <f>Data!N582</f>
        <v>0</v>
      </c>
      <c r="U569">
        <f>Data!O582</f>
        <v>0</v>
      </c>
      <c r="V569" s="33">
        <f>Data!P582</f>
        <v>0</v>
      </c>
    </row>
    <row r="570" spans="7:22" x14ac:dyDescent="0.25">
      <c r="G570">
        <f>Data!A583</f>
        <v>0</v>
      </c>
      <c r="H570" s="21">
        <f>Data!B583</f>
        <v>0</v>
      </c>
      <c r="I570" s="21">
        <f>Data!C583</f>
        <v>0</v>
      </c>
      <c r="J570">
        <f>Data!D583</f>
        <v>0</v>
      </c>
      <c r="K570">
        <f>Data!E583</f>
        <v>0</v>
      </c>
      <c r="L570">
        <f>Data!F583</f>
        <v>0</v>
      </c>
      <c r="M570">
        <f>Data!G583</f>
        <v>0</v>
      </c>
      <c r="N570">
        <f>Data!H583</f>
        <v>0</v>
      </c>
      <c r="O570">
        <f>Data!I583</f>
        <v>0</v>
      </c>
      <c r="P570" s="21">
        <f>Data!J583</f>
        <v>0</v>
      </c>
      <c r="Q570">
        <f>Data!K583</f>
        <v>0</v>
      </c>
      <c r="R570">
        <f>Data!L583</f>
        <v>0</v>
      </c>
      <c r="S570">
        <f>Data!M583</f>
        <v>0</v>
      </c>
      <c r="T570">
        <f>Data!N583</f>
        <v>0</v>
      </c>
      <c r="U570">
        <f>Data!O583</f>
        <v>0</v>
      </c>
      <c r="V570" s="33">
        <f>Data!P583</f>
        <v>0</v>
      </c>
    </row>
    <row r="571" spans="7:22" x14ac:dyDescent="0.25">
      <c r="G571">
        <f>Data!A584</f>
        <v>0</v>
      </c>
      <c r="H571" s="21">
        <f>Data!B584</f>
        <v>0</v>
      </c>
      <c r="I571" s="21">
        <f>Data!C584</f>
        <v>0</v>
      </c>
      <c r="J571">
        <f>Data!D584</f>
        <v>0</v>
      </c>
      <c r="K571">
        <f>Data!E584</f>
        <v>0</v>
      </c>
      <c r="L571">
        <f>Data!F584</f>
        <v>0</v>
      </c>
      <c r="M571">
        <f>Data!G584</f>
        <v>0</v>
      </c>
      <c r="N571">
        <f>Data!H584</f>
        <v>0</v>
      </c>
      <c r="O571">
        <f>Data!I584</f>
        <v>0</v>
      </c>
      <c r="P571" s="21">
        <f>Data!J584</f>
        <v>0</v>
      </c>
      <c r="Q571">
        <f>Data!K584</f>
        <v>0</v>
      </c>
      <c r="R571">
        <f>Data!L584</f>
        <v>0</v>
      </c>
      <c r="S571">
        <f>Data!M584</f>
        <v>0</v>
      </c>
      <c r="T571">
        <f>Data!N584</f>
        <v>0</v>
      </c>
      <c r="U571">
        <f>Data!O584</f>
        <v>0</v>
      </c>
      <c r="V571" s="33">
        <f>Data!P584</f>
        <v>0</v>
      </c>
    </row>
    <row r="572" spans="7:22" x14ac:dyDescent="0.25">
      <c r="G572">
        <f>Data!A585</f>
        <v>0</v>
      </c>
      <c r="H572" s="21">
        <f>Data!B585</f>
        <v>0</v>
      </c>
      <c r="I572" s="21">
        <f>Data!C585</f>
        <v>0</v>
      </c>
      <c r="J572">
        <f>Data!D585</f>
        <v>0</v>
      </c>
      <c r="K572">
        <f>Data!E585</f>
        <v>0</v>
      </c>
      <c r="L572">
        <f>Data!F585</f>
        <v>0</v>
      </c>
      <c r="M572">
        <f>Data!G585</f>
        <v>0</v>
      </c>
      <c r="N572">
        <f>Data!H585</f>
        <v>0</v>
      </c>
      <c r="O572">
        <f>Data!I585</f>
        <v>0</v>
      </c>
      <c r="P572" s="21">
        <f>Data!J585</f>
        <v>0</v>
      </c>
      <c r="Q572">
        <f>Data!K585</f>
        <v>0</v>
      </c>
      <c r="R572">
        <f>Data!L585</f>
        <v>0</v>
      </c>
      <c r="S572">
        <f>Data!M585</f>
        <v>0</v>
      </c>
      <c r="T572">
        <f>Data!N585</f>
        <v>0</v>
      </c>
      <c r="U572">
        <f>Data!O585</f>
        <v>0</v>
      </c>
      <c r="V572" s="33">
        <f>Data!P585</f>
        <v>0</v>
      </c>
    </row>
    <row r="573" spans="7:22" x14ac:dyDescent="0.25">
      <c r="G573">
        <f>Data!A586</f>
        <v>0</v>
      </c>
      <c r="H573" s="21">
        <f>Data!B586</f>
        <v>0</v>
      </c>
      <c r="I573" s="21">
        <f>Data!C586</f>
        <v>0</v>
      </c>
      <c r="J573">
        <f>Data!D586</f>
        <v>0</v>
      </c>
      <c r="K573">
        <f>Data!E586</f>
        <v>0</v>
      </c>
      <c r="L573">
        <f>Data!F586</f>
        <v>0</v>
      </c>
      <c r="M573">
        <f>Data!G586</f>
        <v>0</v>
      </c>
      <c r="N573">
        <f>Data!H586</f>
        <v>0</v>
      </c>
      <c r="O573">
        <f>Data!I586</f>
        <v>0</v>
      </c>
      <c r="P573" s="21">
        <f>Data!J586</f>
        <v>0</v>
      </c>
      <c r="Q573">
        <f>Data!K586</f>
        <v>0</v>
      </c>
      <c r="R573">
        <f>Data!L586</f>
        <v>0</v>
      </c>
      <c r="S573">
        <f>Data!M586</f>
        <v>0</v>
      </c>
      <c r="T573">
        <f>Data!N586</f>
        <v>0</v>
      </c>
      <c r="U573">
        <f>Data!O586</f>
        <v>0</v>
      </c>
      <c r="V573" s="33">
        <f>Data!P586</f>
        <v>0</v>
      </c>
    </row>
    <row r="574" spans="7:22" x14ac:dyDescent="0.25">
      <c r="G574">
        <f>Data!A587</f>
        <v>0</v>
      </c>
      <c r="H574" s="21">
        <f>Data!B587</f>
        <v>0</v>
      </c>
      <c r="I574" s="21">
        <f>Data!C587</f>
        <v>0</v>
      </c>
      <c r="J574">
        <f>Data!D587</f>
        <v>0</v>
      </c>
      <c r="K574">
        <f>Data!E587</f>
        <v>0</v>
      </c>
      <c r="L574">
        <f>Data!F587</f>
        <v>0</v>
      </c>
      <c r="M574">
        <f>Data!G587</f>
        <v>0</v>
      </c>
      <c r="N574">
        <f>Data!H587</f>
        <v>0</v>
      </c>
      <c r="O574">
        <f>Data!I587</f>
        <v>0</v>
      </c>
      <c r="P574" s="21">
        <f>Data!J587</f>
        <v>0</v>
      </c>
      <c r="Q574">
        <f>Data!K587</f>
        <v>0</v>
      </c>
      <c r="R574">
        <f>Data!L587</f>
        <v>0</v>
      </c>
      <c r="S574">
        <f>Data!M587</f>
        <v>0</v>
      </c>
      <c r="T574">
        <f>Data!N587</f>
        <v>0</v>
      </c>
      <c r="U574">
        <f>Data!O587</f>
        <v>0</v>
      </c>
      <c r="V574" s="33">
        <f>Data!P587</f>
        <v>0</v>
      </c>
    </row>
    <row r="575" spans="7:22" x14ac:dyDescent="0.25">
      <c r="G575">
        <f>Data!A588</f>
        <v>0</v>
      </c>
      <c r="H575" s="21">
        <f>Data!B588</f>
        <v>0</v>
      </c>
      <c r="I575" s="21">
        <f>Data!C588</f>
        <v>0</v>
      </c>
      <c r="J575">
        <f>Data!D588</f>
        <v>0</v>
      </c>
      <c r="K575">
        <f>Data!E588</f>
        <v>0</v>
      </c>
      <c r="L575">
        <f>Data!F588</f>
        <v>0</v>
      </c>
      <c r="M575">
        <f>Data!G588</f>
        <v>0</v>
      </c>
      <c r="N575">
        <f>Data!H588</f>
        <v>0</v>
      </c>
      <c r="O575">
        <f>Data!I588</f>
        <v>0</v>
      </c>
      <c r="P575" s="21">
        <f>Data!J588</f>
        <v>0</v>
      </c>
      <c r="Q575">
        <f>Data!K588</f>
        <v>0</v>
      </c>
      <c r="R575">
        <f>Data!L588</f>
        <v>0</v>
      </c>
      <c r="S575">
        <f>Data!M588</f>
        <v>0</v>
      </c>
      <c r="T575">
        <f>Data!N588</f>
        <v>0</v>
      </c>
      <c r="U575">
        <f>Data!O588</f>
        <v>0</v>
      </c>
      <c r="V575" s="33">
        <f>Data!P588</f>
        <v>0</v>
      </c>
    </row>
    <row r="576" spans="7:22" x14ac:dyDescent="0.25">
      <c r="G576">
        <f>Data!A589</f>
        <v>0</v>
      </c>
      <c r="H576" s="21">
        <f>Data!B589</f>
        <v>0</v>
      </c>
      <c r="I576" s="21">
        <f>Data!C589</f>
        <v>0</v>
      </c>
      <c r="J576">
        <f>Data!D589</f>
        <v>0</v>
      </c>
      <c r="K576">
        <f>Data!E589</f>
        <v>0</v>
      </c>
      <c r="L576">
        <f>Data!F589</f>
        <v>0</v>
      </c>
      <c r="M576">
        <f>Data!G589</f>
        <v>0</v>
      </c>
      <c r="N576">
        <f>Data!H589</f>
        <v>0</v>
      </c>
      <c r="O576">
        <f>Data!I589</f>
        <v>0</v>
      </c>
      <c r="P576" s="21">
        <f>Data!J589</f>
        <v>0</v>
      </c>
      <c r="Q576">
        <f>Data!K589</f>
        <v>0</v>
      </c>
      <c r="R576">
        <f>Data!L589</f>
        <v>0</v>
      </c>
      <c r="S576">
        <f>Data!M589</f>
        <v>0</v>
      </c>
      <c r="T576">
        <f>Data!N589</f>
        <v>0</v>
      </c>
      <c r="U576">
        <f>Data!O589</f>
        <v>0</v>
      </c>
      <c r="V576" s="33">
        <f>Data!P589</f>
        <v>0</v>
      </c>
    </row>
    <row r="577" spans="7:22" x14ac:dyDescent="0.25">
      <c r="G577">
        <f>Data!A590</f>
        <v>0</v>
      </c>
      <c r="H577" s="21">
        <f>Data!B590</f>
        <v>0</v>
      </c>
      <c r="I577" s="21">
        <f>Data!C590</f>
        <v>0</v>
      </c>
      <c r="J577">
        <f>Data!D590</f>
        <v>0</v>
      </c>
      <c r="K577">
        <f>Data!E590</f>
        <v>0</v>
      </c>
      <c r="L577">
        <f>Data!F590</f>
        <v>0</v>
      </c>
      <c r="M577">
        <f>Data!G590</f>
        <v>0</v>
      </c>
      <c r="N577">
        <f>Data!H590</f>
        <v>0</v>
      </c>
      <c r="O577">
        <f>Data!I590</f>
        <v>0</v>
      </c>
      <c r="P577" s="21">
        <f>Data!J590</f>
        <v>0</v>
      </c>
      <c r="Q577">
        <f>Data!K590</f>
        <v>0</v>
      </c>
      <c r="R577">
        <f>Data!L590</f>
        <v>0</v>
      </c>
      <c r="S577">
        <f>Data!M590</f>
        <v>0</v>
      </c>
      <c r="T577">
        <f>Data!N590</f>
        <v>0</v>
      </c>
      <c r="U577">
        <f>Data!O590</f>
        <v>0</v>
      </c>
      <c r="V577" s="33">
        <f>Data!P590</f>
        <v>0</v>
      </c>
    </row>
    <row r="578" spans="7:22" x14ac:dyDescent="0.25">
      <c r="G578">
        <f>Data!A591</f>
        <v>0</v>
      </c>
      <c r="H578" s="21">
        <f>Data!B591</f>
        <v>0</v>
      </c>
      <c r="I578" s="21">
        <f>Data!C591</f>
        <v>0</v>
      </c>
      <c r="J578">
        <f>Data!D591</f>
        <v>0</v>
      </c>
      <c r="K578">
        <f>Data!E591</f>
        <v>0</v>
      </c>
      <c r="L578">
        <f>Data!F591</f>
        <v>0</v>
      </c>
      <c r="M578">
        <f>Data!G591</f>
        <v>0</v>
      </c>
      <c r="N578">
        <f>Data!H591</f>
        <v>0</v>
      </c>
      <c r="O578">
        <f>Data!I591</f>
        <v>0</v>
      </c>
      <c r="P578" s="21">
        <f>Data!J591</f>
        <v>0</v>
      </c>
      <c r="Q578">
        <f>Data!K591</f>
        <v>0</v>
      </c>
      <c r="R578">
        <f>Data!L591</f>
        <v>0</v>
      </c>
      <c r="S578">
        <f>Data!M591</f>
        <v>0</v>
      </c>
      <c r="T578">
        <f>Data!N591</f>
        <v>0</v>
      </c>
      <c r="U578">
        <f>Data!O591</f>
        <v>0</v>
      </c>
      <c r="V578" s="33">
        <f>Data!P591</f>
        <v>0</v>
      </c>
    </row>
    <row r="579" spans="7:22" x14ac:dyDescent="0.25">
      <c r="G579">
        <f>Data!A592</f>
        <v>0</v>
      </c>
      <c r="H579" s="21">
        <f>Data!B592</f>
        <v>0</v>
      </c>
      <c r="I579" s="21">
        <f>Data!C592</f>
        <v>0</v>
      </c>
      <c r="J579">
        <f>Data!D592</f>
        <v>0</v>
      </c>
      <c r="K579">
        <f>Data!E592</f>
        <v>0</v>
      </c>
      <c r="L579">
        <f>Data!F592</f>
        <v>0</v>
      </c>
      <c r="M579">
        <f>Data!G592</f>
        <v>0</v>
      </c>
      <c r="N579">
        <f>Data!H592</f>
        <v>0</v>
      </c>
      <c r="O579">
        <f>Data!I592</f>
        <v>0</v>
      </c>
      <c r="P579" s="21">
        <f>Data!J592</f>
        <v>0</v>
      </c>
      <c r="Q579">
        <f>Data!K592</f>
        <v>0</v>
      </c>
      <c r="R579">
        <f>Data!L592</f>
        <v>0</v>
      </c>
      <c r="S579">
        <f>Data!M592</f>
        <v>0</v>
      </c>
      <c r="T579">
        <f>Data!N592</f>
        <v>0</v>
      </c>
      <c r="U579">
        <f>Data!O592</f>
        <v>0</v>
      </c>
      <c r="V579" s="33">
        <f>Data!P592</f>
        <v>0</v>
      </c>
    </row>
    <row r="580" spans="7:22" x14ac:dyDescent="0.25">
      <c r="G580">
        <f>Data!A593</f>
        <v>0</v>
      </c>
      <c r="H580" s="21">
        <f>Data!B593</f>
        <v>0</v>
      </c>
      <c r="I580" s="21">
        <f>Data!C593</f>
        <v>0</v>
      </c>
      <c r="J580">
        <f>Data!D593</f>
        <v>0</v>
      </c>
      <c r="K580">
        <f>Data!E593</f>
        <v>0</v>
      </c>
      <c r="L580">
        <f>Data!F593</f>
        <v>0</v>
      </c>
      <c r="M580">
        <f>Data!G593</f>
        <v>0</v>
      </c>
      <c r="N580">
        <f>Data!H593</f>
        <v>0</v>
      </c>
      <c r="O580">
        <f>Data!I593</f>
        <v>0</v>
      </c>
      <c r="P580" s="21">
        <f>Data!J593</f>
        <v>0</v>
      </c>
      <c r="Q580">
        <f>Data!K593</f>
        <v>0</v>
      </c>
      <c r="R580">
        <f>Data!L593</f>
        <v>0</v>
      </c>
      <c r="S580">
        <f>Data!M593</f>
        <v>0</v>
      </c>
      <c r="T580">
        <f>Data!N593</f>
        <v>0</v>
      </c>
      <c r="U580">
        <f>Data!O593</f>
        <v>0</v>
      </c>
      <c r="V580" s="33">
        <f>Data!P593</f>
        <v>0</v>
      </c>
    </row>
    <row r="581" spans="7:22" x14ac:dyDescent="0.25">
      <c r="G581">
        <f>Data!A594</f>
        <v>0</v>
      </c>
      <c r="H581" s="21">
        <f>Data!B594</f>
        <v>0</v>
      </c>
      <c r="I581" s="21">
        <f>Data!C594</f>
        <v>0</v>
      </c>
      <c r="J581">
        <f>Data!D594</f>
        <v>0</v>
      </c>
      <c r="K581">
        <f>Data!E594</f>
        <v>0</v>
      </c>
      <c r="L581">
        <f>Data!F594</f>
        <v>0</v>
      </c>
      <c r="M581">
        <f>Data!G594</f>
        <v>0</v>
      </c>
      <c r="N581">
        <f>Data!H594</f>
        <v>0</v>
      </c>
      <c r="O581">
        <f>Data!I594</f>
        <v>0</v>
      </c>
      <c r="P581" s="21">
        <f>Data!J594</f>
        <v>0</v>
      </c>
      <c r="Q581">
        <f>Data!K594</f>
        <v>0</v>
      </c>
      <c r="R581">
        <f>Data!L594</f>
        <v>0</v>
      </c>
      <c r="S581">
        <f>Data!M594</f>
        <v>0</v>
      </c>
      <c r="T581">
        <f>Data!N594</f>
        <v>0</v>
      </c>
      <c r="U581">
        <f>Data!O594</f>
        <v>0</v>
      </c>
      <c r="V581" s="33">
        <f>Data!P594</f>
        <v>0</v>
      </c>
    </row>
    <row r="582" spans="7:22" x14ac:dyDescent="0.25">
      <c r="G582">
        <f>Data!A595</f>
        <v>0</v>
      </c>
      <c r="H582" s="21">
        <f>Data!B595</f>
        <v>0</v>
      </c>
      <c r="I582" s="21">
        <f>Data!C595</f>
        <v>0</v>
      </c>
      <c r="J582">
        <f>Data!D595</f>
        <v>0</v>
      </c>
      <c r="K582">
        <f>Data!E595</f>
        <v>0</v>
      </c>
      <c r="L582">
        <f>Data!F595</f>
        <v>0</v>
      </c>
      <c r="M582">
        <f>Data!G595</f>
        <v>0</v>
      </c>
      <c r="N582">
        <f>Data!H595</f>
        <v>0</v>
      </c>
      <c r="O582">
        <f>Data!I595</f>
        <v>0</v>
      </c>
      <c r="P582" s="21">
        <f>Data!J595</f>
        <v>0</v>
      </c>
      <c r="Q582">
        <f>Data!K595</f>
        <v>0</v>
      </c>
      <c r="R582">
        <f>Data!L595</f>
        <v>0</v>
      </c>
      <c r="S582">
        <f>Data!M595</f>
        <v>0</v>
      </c>
      <c r="T582">
        <f>Data!N595</f>
        <v>0</v>
      </c>
      <c r="U582">
        <f>Data!O595</f>
        <v>0</v>
      </c>
      <c r="V582" s="33">
        <f>Data!P595</f>
        <v>0</v>
      </c>
    </row>
    <row r="583" spans="7:22" x14ac:dyDescent="0.25">
      <c r="G583">
        <f>Data!A596</f>
        <v>0</v>
      </c>
      <c r="H583" s="21">
        <f>Data!B596</f>
        <v>0</v>
      </c>
      <c r="I583" s="21">
        <f>Data!C596</f>
        <v>0</v>
      </c>
      <c r="J583">
        <f>Data!D596</f>
        <v>0</v>
      </c>
      <c r="K583">
        <f>Data!E596</f>
        <v>0</v>
      </c>
      <c r="L583">
        <f>Data!F596</f>
        <v>0</v>
      </c>
      <c r="M583">
        <f>Data!G596</f>
        <v>0</v>
      </c>
      <c r="N583">
        <f>Data!H596</f>
        <v>0</v>
      </c>
      <c r="O583">
        <f>Data!I596</f>
        <v>0</v>
      </c>
      <c r="P583" s="21">
        <f>Data!J596</f>
        <v>0</v>
      </c>
      <c r="Q583">
        <f>Data!K596</f>
        <v>0</v>
      </c>
      <c r="R583">
        <f>Data!L596</f>
        <v>0</v>
      </c>
      <c r="S583">
        <f>Data!M596</f>
        <v>0</v>
      </c>
      <c r="T583">
        <f>Data!N596</f>
        <v>0</v>
      </c>
      <c r="U583">
        <f>Data!O596</f>
        <v>0</v>
      </c>
      <c r="V583" s="33">
        <f>Data!P596</f>
        <v>0</v>
      </c>
    </row>
    <row r="584" spans="7:22" x14ac:dyDescent="0.25">
      <c r="G584">
        <f>Data!A597</f>
        <v>0</v>
      </c>
      <c r="H584" s="21">
        <f>Data!B597</f>
        <v>0</v>
      </c>
      <c r="I584" s="21">
        <f>Data!C597</f>
        <v>0</v>
      </c>
      <c r="J584">
        <f>Data!D597</f>
        <v>0</v>
      </c>
      <c r="K584">
        <f>Data!E597</f>
        <v>0</v>
      </c>
      <c r="L584">
        <f>Data!F597</f>
        <v>0</v>
      </c>
      <c r="M584">
        <f>Data!G597</f>
        <v>0</v>
      </c>
      <c r="N584">
        <f>Data!H597</f>
        <v>0</v>
      </c>
      <c r="O584">
        <f>Data!I597</f>
        <v>0</v>
      </c>
      <c r="P584" s="21">
        <f>Data!J597</f>
        <v>0</v>
      </c>
      <c r="Q584">
        <f>Data!K597</f>
        <v>0</v>
      </c>
      <c r="R584">
        <f>Data!L597</f>
        <v>0</v>
      </c>
      <c r="S584">
        <f>Data!M597</f>
        <v>0</v>
      </c>
      <c r="T584">
        <f>Data!N597</f>
        <v>0</v>
      </c>
      <c r="U584">
        <f>Data!O597</f>
        <v>0</v>
      </c>
      <c r="V584" s="33">
        <f>Data!P597</f>
        <v>0</v>
      </c>
    </row>
    <row r="585" spans="7:22" x14ac:dyDescent="0.25">
      <c r="G585">
        <f>Data!A598</f>
        <v>0</v>
      </c>
      <c r="H585" s="21">
        <f>Data!B598</f>
        <v>0</v>
      </c>
      <c r="I585" s="21">
        <f>Data!C598</f>
        <v>0</v>
      </c>
      <c r="J585">
        <f>Data!D598</f>
        <v>0</v>
      </c>
      <c r="K585">
        <f>Data!E598</f>
        <v>0</v>
      </c>
      <c r="L585">
        <f>Data!F598</f>
        <v>0</v>
      </c>
      <c r="M585">
        <f>Data!G598</f>
        <v>0</v>
      </c>
      <c r="N585">
        <f>Data!H598</f>
        <v>0</v>
      </c>
      <c r="O585">
        <f>Data!I598</f>
        <v>0</v>
      </c>
      <c r="P585" s="21">
        <f>Data!J598</f>
        <v>0</v>
      </c>
      <c r="Q585">
        <f>Data!K598</f>
        <v>0</v>
      </c>
      <c r="R585">
        <f>Data!L598</f>
        <v>0</v>
      </c>
      <c r="S585">
        <f>Data!M598</f>
        <v>0</v>
      </c>
      <c r="T585">
        <f>Data!N598</f>
        <v>0</v>
      </c>
      <c r="U585">
        <f>Data!O598</f>
        <v>0</v>
      </c>
      <c r="V585" s="33">
        <f>Data!P598</f>
        <v>0</v>
      </c>
    </row>
    <row r="586" spans="7:22" x14ac:dyDescent="0.25">
      <c r="G586">
        <f>Data!A599</f>
        <v>0</v>
      </c>
      <c r="H586" s="21">
        <f>Data!B599</f>
        <v>0</v>
      </c>
      <c r="I586" s="21">
        <f>Data!C599</f>
        <v>0</v>
      </c>
      <c r="J586">
        <f>Data!D599</f>
        <v>0</v>
      </c>
      <c r="K586">
        <f>Data!E599</f>
        <v>0</v>
      </c>
      <c r="L586">
        <f>Data!F599</f>
        <v>0</v>
      </c>
      <c r="M586">
        <f>Data!G599</f>
        <v>0</v>
      </c>
      <c r="N586">
        <f>Data!H599</f>
        <v>0</v>
      </c>
      <c r="O586">
        <f>Data!I599</f>
        <v>0</v>
      </c>
      <c r="P586" s="21">
        <f>Data!J599</f>
        <v>0</v>
      </c>
      <c r="Q586">
        <f>Data!K599</f>
        <v>0</v>
      </c>
      <c r="R586">
        <f>Data!L599</f>
        <v>0</v>
      </c>
      <c r="S586">
        <f>Data!M599</f>
        <v>0</v>
      </c>
      <c r="T586">
        <f>Data!N599</f>
        <v>0</v>
      </c>
      <c r="U586">
        <f>Data!O599</f>
        <v>0</v>
      </c>
      <c r="V586" s="33">
        <f>Data!P599</f>
        <v>0</v>
      </c>
    </row>
    <row r="587" spans="7:22" x14ac:dyDescent="0.25">
      <c r="G587">
        <f>Data!A600</f>
        <v>0</v>
      </c>
      <c r="H587" s="21">
        <f>Data!B600</f>
        <v>0</v>
      </c>
      <c r="I587" s="21">
        <f>Data!C600</f>
        <v>0</v>
      </c>
      <c r="J587">
        <f>Data!D600</f>
        <v>0</v>
      </c>
      <c r="K587">
        <f>Data!E600</f>
        <v>0</v>
      </c>
      <c r="L587">
        <f>Data!F600</f>
        <v>0</v>
      </c>
      <c r="M587">
        <f>Data!G600</f>
        <v>0</v>
      </c>
      <c r="N587">
        <f>Data!H600</f>
        <v>0</v>
      </c>
      <c r="O587">
        <f>Data!I600</f>
        <v>0</v>
      </c>
      <c r="P587" s="21">
        <f>Data!J600</f>
        <v>0</v>
      </c>
      <c r="Q587">
        <f>Data!K600</f>
        <v>0</v>
      </c>
      <c r="R587">
        <f>Data!L600</f>
        <v>0</v>
      </c>
      <c r="S587">
        <f>Data!M600</f>
        <v>0</v>
      </c>
      <c r="T587">
        <f>Data!N600</f>
        <v>0</v>
      </c>
      <c r="U587">
        <f>Data!O600</f>
        <v>0</v>
      </c>
      <c r="V587" s="33">
        <f>Data!P600</f>
        <v>0</v>
      </c>
    </row>
    <row r="588" spans="7:22" x14ac:dyDescent="0.25">
      <c r="G588">
        <f>Data!A601</f>
        <v>0</v>
      </c>
      <c r="H588" s="21">
        <f>Data!B601</f>
        <v>0</v>
      </c>
      <c r="I588" s="21">
        <f>Data!C601</f>
        <v>0</v>
      </c>
      <c r="J588">
        <f>Data!D601</f>
        <v>0</v>
      </c>
      <c r="K588">
        <f>Data!E601</f>
        <v>0</v>
      </c>
      <c r="L588">
        <f>Data!F601</f>
        <v>0</v>
      </c>
      <c r="M588">
        <f>Data!G601</f>
        <v>0</v>
      </c>
      <c r="N588">
        <f>Data!H601</f>
        <v>0</v>
      </c>
      <c r="O588">
        <f>Data!I601</f>
        <v>0</v>
      </c>
      <c r="P588" s="21">
        <f>Data!J601</f>
        <v>0</v>
      </c>
      <c r="Q588">
        <f>Data!K601</f>
        <v>0</v>
      </c>
      <c r="R588">
        <f>Data!L601</f>
        <v>0</v>
      </c>
      <c r="S588">
        <f>Data!M601</f>
        <v>0</v>
      </c>
      <c r="T588">
        <f>Data!N601</f>
        <v>0</v>
      </c>
      <c r="U588">
        <f>Data!O601</f>
        <v>0</v>
      </c>
      <c r="V588" s="33">
        <f>Data!P601</f>
        <v>0</v>
      </c>
    </row>
    <row r="589" spans="7:22" x14ac:dyDescent="0.25">
      <c r="G589">
        <f>Data!A602</f>
        <v>0</v>
      </c>
      <c r="H589" s="21">
        <f>Data!B602</f>
        <v>0</v>
      </c>
      <c r="I589" s="21">
        <f>Data!C602</f>
        <v>0</v>
      </c>
      <c r="J589">
        <f>Data!D602</f>
        <v>0</v>
      </c>
      <c r="K589">
        <f>Data!E602</f>
        <v>0</v>
      </c>
      <c r="L589">
        <f>Data!F602</f>
        <v>0</v>
      </c>
      <c r="M589">
        <f>Data!G602</f>
        <v>0</v>
      </c>
      <c r="N589">
        <f>Data!H602</f>
        <v>0</v>
      </c>
      <c r="O589">
        <f>Data!I602</f>
        <v>0</v>
      </c>
      <c r="P589" s="21">
        <f>Data!J602</f>
        <v>0</v>
      </c>
      <c r="Q589">
        <f>Data!K602</f>
        <v>0</v>
      </c>
      <c r="R589">
        <f>Data!L602</f>
        <v>0</v>
      </c>
      <c r="S589">
        <f>Data!M602</f>
        <v>0</v>
      </c>
      <c r="T589">
        <f>Data!N602</f>
        <v>0</v>
      </c>
      <c r="U589">
        <f>Data!O602</f>
        <v>0</v>
      </c>
      <c r="V589" s="33">
        <f>Data!P602</f>
        <v>0</v>
      </c>
    </row>
    <row r="590" spans="7:22" x14ac:dyDescent="0.25">
      <c r="G590">
        <f>Data!A603</f>
        <v>0</v>
      </c>
      <c r="H590" s="21">
        <f>Data!B603</f>
        <v>0</v>
      </c>
      <c r="I590" s="21">
        <f>Data!C603</f>
        <v>0</v>
      </c>
      <c r="J590">
        <f>Data!D603</f>
        <v>0</v>
      </c>
      <c r="K590">
        <f>Data!E603</f>
        <v>0</v>
      </c>
      <c r="L590">
        <f>Data!F603</f>
        <v>0</v>
      </c>
      <c r="M590">
        <f>Data!G603</f>
        <v>0</v>
      </c>
      <c r="N590">
        <f>Data!H603</f>
        <v>0</v>
      </c>
      <c r="O590">
        <f>Data!I603</f>
        <v>0</v>
      </c>
      <c r="P590" s="21">
        <f>Data!J603</f>
        <v>0</v>
      </c>
      <c r="Q590">
        <f>Data!K603</f>
        <v>0</v>
      </c>
      <c r="R590">
        <f>Data!L603</f>
        <v>0</v>
      </c>
      <c r="S590">
        <f>Data!M603</f>
        <v>0</v>
      </c>
      <c r="T590">
        <f>Data!N603</f>
        <v>0</v>
      </c>
      <c r="U590">
        <f>Data!O603</f>
        <v>0</v>
      </c>
      <c r="V590" s="33">
        <f>Data!P603</f>
        <v>0</v>
      </c>
    </row>
    <row r="591" spans="7:22" x14ac:dyDescent="0.25">
      <c r="G591">
        <f>Data!A604</f>
        <v>0</v>
      </c>
      <c r="H591" s="21">
        <f>Data!B604</f>
        <v>0</v>
      </c>
      <c r="I591" s="21">
        <f>Data!C604</f>
        <v>0</v>
      </c>
      <c r="J591">
        <f>Data!D604</f>
        <v>0</v>
      </c>
      <c r="K591">
        <f>Data!E604</f>
        <v>0</v>
      </c>
      <c r="L591">
        <f>Data!F604</f>
        <v>0</v>
      </c>
      <c r="M591">
        <f>Data!G604</f>
        <v>0</v>
      </c>
      <c r="N591">
        <f>Data!H604</f>
        <v>0</v>
      </c>
      <c r="O591">
        <f>Data!I604</f>
        <v>0</v>
      </c>
      <c r="P591" s="21">
        <f>Data!J604</f>
        <v>0</v>
      </c>
      <c r="Q591">
        <f>Data!K604</f>
        <v>0</v>
      </c>
      <c r="R591">
        <f>Data!L604</f>
        <v>0</v>
      </c>
      <c r="S591">
        <f>Data!M604</f>
        <v>0</v>
      </c>
      <c r="T591">
        <f>Data!N604</f>
        <v>0</v>
      </c>
      <c r="U591">
        <f>Data!O604</f>
        <v>0</v>
      </c>
      <c r="V591" s="33">
        <f>Data!P604</f>
        <v>0</v>
      </c>
    </row>
    <row r="592" spans="7:22" x14ac:dyDescent="0.25">
      <c r="G592">
        <f>Data!A605</f>
        <v>0</v>
      </c>
      <c r="H592" s="21">
        <f>Data!B605</f>
        <v>0</v>
      </c>
      <c r="I592" s="21">
        <f>Data!C605</f>
        <v>0</v>
      </c>
      <c r="J592">
        <f>Data!D605</f>
        <v>0</v>
      </c>
      <c r="K592">
        <f>Data!E605</f>
        <v>0</v>
      </c>
      <c r="L592">
        <f>Data!F605</f>
        <v>0</v>
      </c>
      <c r="M592">
        <f>Data!G605</f>
        <v>0</v>
      </c>
      <c r="N592">
        <f>Data!H605</f>
        <v>0</v>
      </c>
      <c r="O592">
        <f>Data!I605</f>
        <v>0</v>
      </c>
      <c r="P592" s="21">
        <f>Data!J605</f>
        <v>0</v>
      </c>
      <c r="Q592">
        <f>Data!K605</f>
        <v>0</v>
      </c>
      <c r="R592">
        <f>Data!L605</f>
        <v>0</v>
      </c>
      <c r="S592">
        <f>Data!M605</f>
        <v>0</v>
      </c>
      <c r="T592">
        <f>Data!N605</f>
        <v>0</v>
      </c>
      <c r="U592">
        <f>Data!O605</f>
        <v>0</v>
      </c>
      <c r="V592" s="33">
        <f>Data!P605</f>
        <v>0</v>
      </c>
    </row>
    <row r="593" spans="7:22" x14ac:dyDescent="0.25">
      <c r="G593">
        <f>Data!A606</f>
        <v>0</v>
      </c>
      <c r="H593" s="21">
        <f>Data!B606</f>
        <v>0</v>
      </c>
      <c r="I593" s="21">
        <f>Data!C606</f>
        <v>0</v>
      </c>
      <c r="J593">
        <f>Data!D606</f>
        <v>0</v>
      </c>
      <c r="K593">
        <f>Data!E606</f>
        <v>0</v>
      </c>
      <c r="L593">
        <f>Data!F606</f>
        <v>0</v>
      </c>
      <c r="M593">
        <f>Data!G606</f>
        <v>0</v>
      </c>
      <c r="N593">
        <f>Data!H606</f>
        <v>0</v>
      </c>
      <c r="O593">
        <f>Data!I606</f>
        <v>0</v>
      </c>
      <c r="P593" s="21">
        <f>Data!J606</f>
        <v>0</v>
      </c>
      <c r="Q593">
        <f>Data!K606</f>
        <v>0</v>
      </c>
      <c r="R593">
        <f>Data!L606</f>
        <v>0</v>
      </c>
      <c r="S593">
        <f>Data!M606</f>
        <v>0</v>
      </c>
      <c r="T593">
        <f>Data!N606</f>
        <v>0</v>
      </c>
      <c r="U593">
        <f>Data!O606</f>
        <v>0</v>
      </c>
      <c r="V593" s="33">
        <f>Data!P606</f>
        <v>0</v>
      </c>
    </row>
    <row r="594" spans="7:22" x14ac:dyDescent="0.25">
      <c r="G594">
        <f>Data!A607</f>
        <v>0</v>
      </c>
      <c r="H594" s="21">
        <f>Data!B607</f>
        <v>0</v>
      </c>
      <c r="I594" s="21">
        <f>Data!C607</f>
        <v>0</v>
      </c>
      <c r="J594">
        <f>Data!D607</f>
        <v>0</v>
      </c>
      <c r="K594">
        <f>Data!E607</f>
        <v>0</v>
      </c>
      <c r="L594">
        <f>Data!F607</f>
        <v>0</v>
      </c>
      <c r="M594">
        <f>Data!G607</f>
        <v>0</v>
      </c>
      <c r="N594">
        <f>Data!H607</f>
        <v>0</v>
      </c>
      <c r="O594">
        <f>Data!I607</f>
        <v>0</v>
      </c>
      <c r="P594" s="21">
        <f>Data!J607</f>
        <v>0</v>
      </c>
      <c r="Q594">
        <f>Data!K607</f>
        <v>0</v>
      </c>
      <c r="R594">
        <f>Data!L607</f>
        <v>0</v>
      </c>
      <c r="S594">
        <f>Data!M607</f>
        <v>0</v>
      </c>
      <c r="T594">
        <f>Data!N607</f>
        <v>0</v>
      </c>
      <c r="U594">
        <f>Data!O607</f>
        <v>0</v>
      </c>
      <c r="V594" s="33">
        <f>Data!P607</f>
        <v>0</v>
      </c>
    </row>
    <row r="595" spans="7:22" x14ac:dyDescent="0.25">
      <c r="G595">
        <f>Data!A608</f>
        <v>0</v>
      </c>
      <c r="H595" s="21">
        <f>Data!B608</f>
        <v>0</v>
      </c>
      <c r="I595" s="21">
        <f>Data!C608</f>
        <v>0</v>
      </c>
      <c r="J595">
        <f>Data!D608</f>
        <v>0</v>
      </c>
      <c r="K595">
        <f>Data!E608</f>
        <v>0</v>
      </c>
      <c r="L595">
        <f>Data!F608</f>
        <v>0</v>
      </c>
      <c r="M595">
        <f>Data!G608</f>
        <v>0</v>
      </c>
      <c r="N595">
        <f>Data!H608</f>
        <v>0</v>
      </c>
      <c r="O595">
        <f>Data!I608</f>
        <v>0</v>
      </c>
      <c r="P595" s="21">
        <f>Data!J608</f>
        <v>0</v>
      </c>
      <c r="Q595">
        <f>Data!K608</f>
        <v>0</v>
      </c>
      <c r="R595">
        <f>Data!L608</f>
        <v>0</v>
      </c>
      <c r="S595">
        <f>Data!M608</f>
        <v>0</v>
      </c>
      <c r="T595">
        <f>Data!N608</f>
        <v>0</v>
      </c>
      <c r="U595">
        <f>Data!O608</f>
        <v>0</v>
      </c>
      <c r="V595" s="33">
        <f>Data!P608</f>
        <v>0</v>
      </c>
    </row>
    <row r="596" spans="7:22" x14ac:dyDescent="0.25">
      <c r="G596">
        <f>Data!A609</f>
        <v>0</v>
      </c>
      <c r="H596" s="21">
        <f>Data!B609</f>
        <v>0</v>
      </c>
      <c r="I596" s="21">
        <f>Data!C609</f>
        <v>0</v>
      </c>
      <c r="J596">
        <f>Data!D609</f>
        <v>0</v>
      </c>
      <c r="K596">
        <f>Data!E609</f>
        <v>0</v>
      </c>
      <c r="L596">
        <f>Data!F609</f>
        <v>0</v>
      </c>
      <c r="M596">
        <f>Data!G609</f>
        <v>0</v>
      </c>
      <c r="N596">
        <f>Data!H609</f>
        <v>0</v>
      </c>
      <c r="O596">
        <f>Data!I609</f>
        <v>0</v>
      </c>
      <c r="P596" s="21">
        <f>Data!J609</f>
        <v>0</v>
      </c>
      <c r="Q596">
        <f>Data!K609</f>
        <v>0</v>
      </c>
      <c r="R596">
        <f>Data!L609</f>
        <v>0</v>
      </c>
      <c r="S596">
        <f>Data!M609</f>
        <v>0</v>
      </c>
      <c r="T596">
        <f>Data!N609</f>
        <v>0</v>
      </c>
      <c r="U596">
        <f>Data!O609</f>
        <v>0</v>
      </c>
      <c r="V596" s="33">
        <f>Data!P609</f>
        <v>0</v>
      </c>
    </row>
    <row r="597" spans="7:22" x14ac:dyDescent="0.25">
      <c r="G597">
        <f>Data!A610</f>
        <v>0</v>
      </c>
      <c r="H597" s="21">
        <f>Data!B610</f>
        <v>0</v>
      </c>
      <c r="I597" s="21">
        <f>Data!C610</f>
        <v>0</v>
      </c>
      <c r="J597">
        <f>Data!D610</f>
        <v>0</v>
      </c>
      <c r="K597">
        <f>Data!E610</f>
        <v>0</v>
      </c>
      <c r="L597">
        <f>Data!F610</f>
        <v>0</v>
      </c>
      <c r="M597">
        <f>Data!G610</f>
        <v>0</v>
      </c>
      <c r="N597">
        <f>Data!H610</f>
        <v>0</v>
      </c>
      <c r="O597">
        <f>Data!I610</f>
        <v>0</v>
      </c>
      <c r="P597" s="21">
        <f>Data!J610</f>
        <v>0</v>
      </c>
      <c r="Q597">
        <f>Data!K610</f>
        <v>0</v>
      </c>
      <c r="R597">
        <f>Data!L610</f>
        <v>0</v>
      </c>
      <c r="S597">
        <f>Data!M610</f>
        <v>0</v>
      </c>
      <c r="T597">
        <f>Data!N610</f>
        <v>0</v>
      </c>
      <c r="U597">
        <f>Data!O610</f>
        <v>0</v>
      </c>
      <c r="V597" s="33">
        <f>Data!P610</f>
        <v>0</v>
      </c>
    </row>
    <row r="598" spans="7:22" x14ac:dyDescent="0.25">
      <c r="G598">
        <f>Data!A611</f>
        <v>0</v>
      </c>
      <c r="H598" s="21">
        <f>Data!B611</f>
        <v>0</v>
      </c>
      <c r="I598" s="21">
        <f>Data!C611</f>
        <v>0</v>
      </c>
      <c r="J598">
        <f>Data!D611</f>
        <v>0</v>
      </c>
      <c r="K598">
        <f>Data!E611</f>
        <v>0</v>
      </c>
      <c r="L598">
        <f>Data!F611</f>
        <v>0</v>
      </c>
      <c r="M598">
        <f>Data!G611</f>
        <v>0</v>
      </c>
      <c r="N598">
        <f>Data!H611</f>
        <v>0</v>
      </c>
      <c r="O598">
        <f>Data!I611</f>
        <v>0</v>
      </c>
      <c r="P598" s="21">
        <f>Data!J611</f>
        <v>0</v>
      </c>
      <c r="Q598">
        <f>Data!K611</f>
        <v>0</v>
      </c>
      <c r="R598">
        <f>Data!L611</f>
        <v>0</v>
      </c>
      <c r="S598">
        <f>Data!M611</f>
        <v>0</v>
      </c>
      <c r="T598">
        <f>Data!N611</f>
        <v>0</v>
      </c>
      <c r="U598">
        <f>Data!O611</f>
        <v>0</v>
      </c>
      <c r="V598" s="33">
        <f>Data!P611</f>
        <v>0</v>
      </c>
    </row>
    <row r="599" spans="7:22" x14ac:dyDescent="0.25">
      <c r="G599">
        <f>Data!A612</f>
        <v>0</v>
      </c>
      <c r="H599" s="21">
        <f>Data!B612</f>
        <v>0</v>
      </c>
      <c r="I599" s="21">
        <f>Data!C612</f>
        <v>0</v>
      </c>
      <c r="J599">
        <f>Data!D612</f>
        <v>0</v>
      </c>
      <c r="K599">
        <f>Data!E612</f>
        <v>0</v>
      </c>
      <c r="L599">
        <f>Data!F612</f>
        <v>0</v>
      </c>
      <c r="M599">
        <f>Data!G612</f>
        <v>0</v>
      </c>
      <c r="N599">
        <f>Data!H612</f>
        <v>0</v>
      </c>
      <c r="O599">
        <f>Data!I612</f>
        <v>0</v>
      </c>
      <c r="P599" s="21">
        <f>Data!J612</f>
        <v>0</v>
      </c>
      <c r="Q599">
        <f>Data!K612</f>
        <v>0</v>
      </c>
      <c r="R599">
        <f>Data!L612</f>
        <v>0</v>
      </c>
      <c r="S599">
        <f>Data!M612</f>
        <v>0</v>
      </c>
      <c r="T599">
        <f>Data!N612</f>
        <v>0</v>
      </c>
      <c r="U599">
        <f>Data!O612</f>
        <v>0</v>
      </c>
      <c r="V599" s="33">
        <f>Data!P612</f>
        <v>0</v>
      </c>
    </row>
    <row r="600" spans="7:22" x14ac:dyDescent="0.25">
      <c r="G600">
        <f>Data!A613</f>
        <v>0</v>
      </c>
      <c r="H600" s="21">
        <f>Data!B613</f>
        <v>0</v>
      </c>
      <c r="I600" s="21">
        <f>Data!C613</f>
        <v>0</v>
      </c>
      <c r="J600">
        <f>Data!D613</f>
        <v>0</v>
      </c>
      <c r="K600">
        <f>Data!E613</f>
        <v>0</v>
      </c>
      <c r="L600">
        <f>Data!F613</f>
        <v>0</v>
      </c>
      <c r="M600">
        <f>Data!G613</f>
        <v>0</v>
      </c>
      <c r="N600">
        <f>Data!H613</f>
        <v>0</v>
      </c>
      <c r="O600">
        <f>Data!I613</f>
        <v>0</v>
      </c>
      <c r="P600" s="21">
        <f>Data!J613</f>
        <v>0</v>
      </c>
      <c r="Q600">
        <f>Data!K613</f>
        <v>0</v>
      </c>
      <c r="R600">
        <f>Data!L613</f>
        <v>0</v>
      </c>
      <c r="S600">
        <f>Data!M613</f>
        <v>0</v>
      </c>
      <c r="T600">
        <f>Data!N613</f>
        <v>0</v>
      </c>
      <c r="U600">
        <f>Data!O613</f>
        <v>0</v>
      </c>
      <c r="V600" s="33">
        <f>Data!P613</f>
        <v>0</v>
      </c>
    </row>
    <row r="601" spans="7:22" x14ac:dyDescent="0.25">
      <c r="G601">
        <f>Data!A614</f>
        <v>0</v>
      </c>
      <c r="H601" s="21">
        <f>Data!B614</f>
        <v>0</v>
      </c>
      <c r="I601" s="21">
        <f>Data!C614</f>
        <v>0</v>
      </c>
      <c r="J601">
        <f>Data!D614</f>
        <v>0</v>
      </c>
      <c r="K601">
        <f>Data!E614</f>
        <v>0</v>
      </c>
      <c r="L601">
        <f>Data!F614</f>
        <v>0</v>
      </c>
      <c r="M601">
        <f>Data!G614</f>
        <v>0</v>
      </c>
      <c r="N601">
        <f>Data!H614</f>
        <v>0</v>
      </c>
      <c r="O601">
        <f>Data!I614</f>
        <v>0</v>
      </c>
      <c r="P601" s="21">
        <f>Data!J614</f>
        <v>0</v>
      </c>
      <c r="Q601">
        <f>Data!K614</f>
        <v>0</v>
      </c>
      <c r="R601">
        <f>Data!L614</f>
        <v>0</v>
      </c>
      <c r="S601">
        <f>Data!M614</f>
        <v>0</v>
      </c>
      <c r="T601">
        <f>Data!N614</f>
        <v>0</v>
      </c>
      <c r="U601">
        <f>Data!O614</f>
        <v>0</v>
      </c>
      <c r="V601" s="33">
        <f>Data!P614</f>
        <v>0</v>
      </c>
    </row>
    <row r="602" spans="7:22" x14ac:dyDescent="0.25">
      <c r="G602">
        <f>Data!A615</f>
        <v>0</v>
      </c>
      <c r="H602" s="21">
        <f>Data!B615</f>
        <v>0</v>
      </c>
      <c r="I602" s="21">
        <f>Data!C615</f>
        <v>0</v>
      </c>
      <c r="J602">
        <f>Data!D615</f>
        <v>0</v>
      </c>
      <c r="K602">
        <f>Data!E615</f>
        <v>0</v>
      </c>
      <c r="L602">
        <f>Data!F615</f>
        <v>0</v>
      </c>
      <c r="M602">
        <f>Data!G615</f>
        <v>0</v>
      </c>
      <c r="N602">
        <f>Data!H615</f>
        <v>0</v>
      </c>
      <c r="O602">
        <f>Data!I615</f>
        <v>0</v>
      </c>
      <c r="P602" s="21">
        <f>Data!J615</f>
        <v>0</v>
      </c>
      <c r="Q602">
        <f>Data!K615</f>
        <v>0</v>
      </c>
      <c r="R602">
        <f>Data!L615</f>
        <v>0</v>
      </c>
      <c r="S602">
        <f>Data!M615</f>
        <v>0</v>
      </c>
      <c r="T602">
        <f>Data!N615</f>
        <v>0</v>
      </c>
      <c r="U602">
        <f>Data!O615</f>
        <v>0</v>
      </c>
      <c r="V602" s="33">
        <f>Data!P615</f>
        <v>0</v>
      </c>
    </row>
    <row r="603" spans="7:22" x14ac:dyDescent="0.25">
      <c r="G603">
        <f>Data!A616</f>
        <v>0</v>
      </c>
      <c r="H603" s="21">
        <f>Data!B616</f>
        <v>0</v>
      </c>
      <c r="I603" s="21">
        <f>Data!C616</f>
        <v>0</v>
      </c>
      <c r="J603">
        <f>Data!D616</f>
        <v>0</v>
      </c>
      <c r="K603">
        <f>Data!E616</f>
        <v>0</v>
      </c>
      <c r="L603">
        <f>Data!F616</f>
        <v>0</v>
      </c>
      <c r="M603">
        <f>Data!G616</f>
        <v>0</v>
      </c>
      <c r="N603">
        <f>Data!H616</f>
        <v>0</v>
      </c>
      <c r="O603">
        <f>Data!I616</f>
        <v>0</v>
      </c>
      <c r="P603" s="21">
        <f>Data!J616</f>
        <v>0</v>
      </c>
      <c r="Q603">
        <f>Data!K616</f>
        <v>0</v>
      </c>
      <c r="R603">
        <f>Data!L616</f>
        <v>0</v>
      </c>
      <c r="S603">
        <f>Data!M616</f>
        <v>0</v>
      </c>
      <c r="T603">
        <f>Data!N616</f>
        <v>0</v>
      </c>
      <c r="U603">
        <f>Data!O616</f>
        <v>0</v>
      </c>
      <c r="V603" s="33">
        <f>Data!P616</f>
        <v>0</v>
      </c>
    </row>
    <row r="604" spans="7:22" x14ac:dyDescent="0.25">
      <c r="G604">
        <f>Data!A617</f>
        <v>0</v>
      </c>
      <c r="H604" s="21">
        <f>Data!B617</f>
        <v>0</v>
      </c>
      <c r="I604" s="21">
        <f>Data!C617</f>
        <v>0</v>
      </c>
      <c r="J604">
        <f>Data!D617</f>
        <v>0</v>
      </c>
      <c r="K604">
        <f>Data!E617</f>
        <v>0</v>
      </c>
      <c r="L604">
        <f>Data!F617</f>
        <v>0</v>
      </c>
      <c r="M604">
        <f>Data!G617</f>
        <v>0</v>
      </c>
      <c r="N604">
        <f>Data!H617</f>
        <v>0</v>
      </c>
      <c r="O604">
        <f>Data!I617</f>
        <v>0</v>
      </c>
      <c r="P604" s="21">
        <f>Data!J617</f>
        <v>0</v>
      </c>
      <c r="Q604">
        <f>Data!K617</f>
        <v>0</v>
      </c>
      <c r="R604">
        <f>Data!L617</f>
        <v>0</v>
      </c>
      <c r="S604">
        <f>Data!M617</f>
        <v>0</v>
      </c>
      <c r="T604">
        <f>Data!N617</f>
        <v>0</v>
      </c>
      <c r="U604">
        <f>Data!O617</f>
        <v>0</v>
      </c>
      <c r="V604" s="33">
        <f>Data!P617</f>
        <v>0</v>
      </c>
    </row>
    <row r="605" spans="7:22" x14ac:dyDescent="0.25">
      <c r="G605">
        <f>Data!A618</f>
        <v>0</v>
      </c>
      <c r="H605" s="21">
        <f>Data!B618</f>
        <v>0</v>
      </c>
      <c r="I605" s="21">
        <f>Data!C618</f>
        <v>0</v>
      </c>
      <c r="J605">
        <f>Data!D618</f>
        <v>0</v>
      </c>
      <c r="K605">
        <f>Data!E618</f>
        <v>0</v>
      </c>
      <c r="L605">
        <f>Data!F618</f>
        <v>0</v>
      </c>
      <c r="M605">
        <f>Data!G618</f>
        <v>0</v>
      </c>
      <c r="N605">
        <f>Data!H618</f>
        <v>0</v>
      </c>
      <c r="O605">
        <f>Data!I618</f>
        <v>0</v>
      </c>
      <c r="P605" s="21">
        <f>Data!J618</f>
        <v>0</v>
      </c>
      <c r="Q605">
        <f>Data!K618</f>
        <v>0</v>
      </c>
      <c r="R605">
        <f>Data!L618</f>
        <v>0</v>
      </c>
      <c r="S605">
        <f>Data!M618</f>
        <v>0</v>
      </c>
      <c r="T605">
        <f>Data!N618</f>
        <v>0</v>
      </c>
      <c r="U605">
        <f>Data!O618</f>
        <v>0</v>
      </c>
      <c r="V605" s="33">
        <f>Data!P618</f>
        <v>0</v>
      </c>
    </row>
    <row r="606" spans="7:22" x14ac:dyDescent="0.25">
      <c r="G606">
        <f>Data!A619</f>
        <v>0</v>
      </c>
      <c r="H606" s="21">
        <f>Data!B619</f>
        <v>0</v>
      </c>
      <c r="I606" s="21">
        <f>Data!C619</f>
        <v>0</v>
      </c>
      <c r="J606">
        <f>Data!D619</f>
        <v>0</v>
      </c>
      <c r="K606">
        <f>Data!E619</f>
        <v>0</v>
      </c>
      <c r="L606">
        <f>Data!F619</f>
        <v>0</v>
      </c>
      <c r="M606">
        <f>Data!G619</f>
        <v>0</v>
      </c>
      <c r="N606">
        <f>Data!H619</f>
        <v>0</v>
      </c>
      <c r="O606">
        <f>Data!I619</f>
        <v>0</v>
      </c>
      <c r="P606" s="21">
        <f>Data!J619</f>
        <v>0</v>
      </c>
      <c r="Q606">
        <f>Data!K619</f>
        <v>0</v>
      </c>
      <c r="R606">
        <f>Data!L619</f>
        <v>0</v>
      </c>
      <c r="S606">
        <f>Data!M619</f>
        <v>0</v>
      </c>
      <c r="T606">
        <f>Data!N619</f>
        <v>0</v>
      </c>
      <c r="U606">
        <f>Data!O619</f>
        <v>0</v>
      </c>
      <c r="V606" s="33">
        <f>Data!P619</f>
        <v>0</v>
      </c>
    </row>
    <row r="607" spans="7:22" x14ac:dyDescent="0.25">
      <c r="G607">
        <f>Data!A620</f>
        <v>0</v>
      </c>
      <c r="H607" s="21">
        <f>Data!B620</f>
        <v>0</v>
      </c>
      <c r="I607" s="21">
        <f>Data!C620</f>
        <v>0</v>
      </c>
      <c r="J607">
        <f>Data!D620</f>
        <v>0</v>
      </c>
      <c r="K607">
        <f>Data!E620</f>
        <v>0</v>
      </c>
      <c r="L607">
        <f>Data!F620</f>
        <v>0</v>
      </c>
      <c r="M607">
        <f>Data!G620</f>
        <v>0</v>
      </c>
      <c r="N607">
        <f>Data!H620</f>
        <v>0</v>
      </c>
      <c r="O607">
        <f>Data!I620</f>
        <v>0</v>
      </c>
      <c r="P607" s="21">
        <f>Data!J620</f>
        <v>0</v>
      </c>
      <c r="Q607">
        <f>Data!K620</f>
        <v>0</v>
      </c>
      <c r="R607">
        <f>Data!L620</f>
        <v>0</v>
      </c>
      <c r="S607">
        <f>Data!M620</f>
        <v>0</v>
      </c>
      <c r="T607">
        <f>Data!N620</f>
        <v>0</v>
      </c>
      <c r="U607">
        <f>Data!O620</f>
        <v>0</v>
      </c>
      <c r="V607" s="33">
        <f>Data!P620</f>
        <v>0</v>
      </c>
    </row>
    <row r="608" spans="7:22" x14ac:dyDescent="0.25">
      <c r="G608">
        <f>Data!A621</f>
        <v>0</v>
      </c>
      <c r="H608" s="21">
        <f>Data!B621</f>
        <v>0</v>
      </c>
      <c r="I608" s="21">
        <f>Data!C621</f>
        <v>0</v>
      </c>
      <c r="J608">
        <f>Data!D621</f>
        <v>0</v>
      </c>
      <c r="K608">
        <f>Data!E621</f>
        <v>0</v>
      </c>
      <c r="L608">
        <f>Data!F621</f>
        <v>0</v>
      </c>
      <c r="M608">
        <f>Data!G621</f>
        <v>0</v>
      </c>
      <c r="N608">
        <f>Data!H621</f>
        <v>0</v>
      </c>
      <c r="O608">
        <f>Data!I621</f>
        <v>0</v>
      </c>
      <c r="P608" s="21">
        <f>Data!J621</f>
        <v>0</v>
      </c>
      <c r="Q608">
        <f>Data!K621</f>
        <v>0</v>
      </c>
      <c r="R608">
        <f>Data!L621</f>
        <v>0</v>
      </c>
      <c r="S608">
        <f>Data!M621</f>
        <v>0</v>
      </c>
      <c r="T608">
        <f>Data!N621</f>
        <v>0</v>
      </c>
      <c r="U608">
        <f>Data!O621</f>
        <v>0</v>
      </c>
      <c r="V608" s="33">
        <f>Data!P621</f>
        <v>0</v>
      </c>
    </row>
    <row r="609" spans="7:22" x14ac:dyDescent="0.25">
      <c r="G609">
        <f>Data!A622</f>
        <v>0</v>
      </c>
      <c r="H609" s="21">
        <f>Data!B622</f>
        <v>0</v>
      </c>
      <c r="I609" s="21">
        <f>Data!C622</f>
        <v>0</v>
      </c>
      <c r="J609">
        <f>Data!D622</f>
        <v>0</v>
      </c>
      <c r="K609">
        <f>Data!E622</f>
        <v>0</v>
      </c>
      <c r="L609">
        <f>Data!F622</f>
        <v>0</v>
      </c>
      <c r="M609">
        <f>Data!G622</f>
        <v>0</v>
      </c>
      <c r="N609">
        <f>Data!H622</f>
        <v>0</v>
      </c>
      <c r="O609">
        <f>Data!I622</f>
        <v>0</v>
      </c>
      <c r="P609" s="21">
        <f>Data!J622</f>
        <v>0</v>
      </c>
      <c r="Q609">
        <f>Data!K622</f>
        <v>0</v>
      </c>
      <c r="R609">
        <f>Data!L622</f>
        <v>0</v>
      </c>
      <c r="S609">
        <f>Data!M622</f>
        <v>0</v>
      </c>
      <c r="T609">
        <f>Data!N622</f>
        <v>0</v>
      </c>
      <c r="U609">
        <f>Data!O622</f>
        <v>0</v>
      </c>
      <c r="V609" s="33">
        <f>Data!P622</f>
        <v>0</v>
      </c>
    </row>
    <row r="610" spans="7:22" x14ac:dyDescent="0.25">
      <c r="G610">
        <f>Data!A623</f>
        <v>0</v>
      </c>
      <c r="H610" s="21">
        <f>Data!B623</f>
        <v>0</v>
      </c>
      <c r="I610" s="21">
        <f>Data!C623</f>
        <v>0</v>
      </c>
      <c r="J610">
        <f>Data!D623</f>
        <v>0</v>
      </c>
      <c r="K610">
        <f>Data!E623</f>
        <v>0</v>
      </c>
      <c r="L610">
        <f>Data!F623</f>
        <v>0</v>
      </c>
      <c r="M610">
        <f>Data!G623</f>
        <v>0</v>
      </c>
      <c r="N610">
        <f>Data!H623</f>
        <v>0</v>
      </c>
      <c r="O610">
        <f>Data!I623</f>
        <v>0</v>
      </c>
      <c r="P610" s="21">
        <f>Data!J623</f>
        <v>0</v>
      </c>
      <c r="Q610">
        <f>Data!K623</f>
        <v>0</v>
      </c>
      <c r="R610">
        <f>Data!L623</f>
        <v>0</v>
      </c>
      <c r="S610">
        <f>Data!M623</f>
        <v>0</v>
      </c>
      <c r="T610">
        <f>Data!N623</f>
        <v>0</v>
      </c>
      <c r="U610">
        <f>Data!O623</f>
        <v>0</v>
      </c>
      <c r="V610" s="33">
        <f>Data!P623</f>
        <v>0</v>
      </c>
    </row>
    <row r="611" spans="7:22" x14ac:dyDescent="0.25">
      <c r="G611">
        <f>Data!A624</f>
        <v>0</v>
      </c>
      <c r="H611" s="21">
        <f>Data!B624</f>
        <v>0</v>
      </c>
      <c r="I611" s="21">
        <f>Data!C624</f>
        <v>0</v>
      </c>
      <c r="J611">
        <f>Data!D624</f>
        <v>0</v>
      </c>
      <c r="K611">
        <f>Data!E624</f>
        <v>0</v>
      </c>
      <c r="L611">
        <f>Data!F624</f>
        <v>0</v>
      </c>
      <c r="M611">
        <f>Data!G624</f>
        <v>0</v>
      </c>
      <c r="N611">
        <f>Data!H624</f>
        <v>0</v>
      </c>
      <c r="O611">
        <f>Data!I624</f>
        <v>0</v>
      </c>
      <c r="P611" s="21">
        <f>Data!J624</f>
        <v>0</v>
      </c>
      <c r="Q611">
        <f>Data!K624</f>
        <v>0</v>
      </c>
      <c r="R611">
        <f>Data!L624</f>
        <v>0</v>
      </c>
      <c r="S611">
        <f>Data!M624</f>
        <v>0</v>
      </c>
      <c r="T611">
        <f>Data!N624</f>
        <v>0</v>
      </c>
      <c r="U611">
        <f>Data!O624</f>
        <v>0</v>
      </c>
      <c r="V611" s="33">
        <f>Data!P624</f>
        <v>0</v>
      </c>
    </row>
    <row r="612" spans="7:22" x14ac:dyDescent="0.25">
      <c r="G612">
        <f>Data!A625</f>
        <v>0</v>
      </c>
      <c r="H612" s="21">
        <f>Data!B625</f>
        <v>0</v>
      </c>
      <c r="I612" s="21">
        <f>Data!C625</f>
        <v>0</v>
      </c>
      <c r="J612">
        <f>Data!D625</f>
        <v>0</v>
      </c>
      <c r="K612">
        <f>Data!E625</f>
        <v>0</v>
      </c>
      <c r="L612">
        <f>Data!F625</f>
        <v>0</v>
      </c>
      <c r="M612">
        <f>Data!G625</f>
        <v>0</v>
      </c>
      <c r="N612">
        <f>Data!H625</f>
        <v>0</v>
      </c>
      <c r="O612">
        <f>Data!I625</f>
        <v>0</v>
      </c>
      <c r="P612" s="21">
        <f>Data!J625</f>
        <v>0</v>
      </c>
      <c r="Q612">
        <f>Data!K625</f>
        <v>0</v>
      </c>
      <c r="R612">
        <f>Data!L625</f>
        <v>0</v>
      </c>
      <c r="S612">
        <f>Data!M625</f>
        <v>0</v>
      </c>
      <c r="T612">
        <f>Data!N625</f>
        <v>0</v>
      </c>
      <c r="U612">
        <f>Data!O625</f>
        <v>0</v>
      </c>
      <c r="V612" s="33">
        <f>Data!P625</f>
        <v>0</v>
      </c>
    </row>
    <row r="613" spans="7:22" x14ac:dyDescent="0.25">
      <c r="G613">
        <f>Data!A626</f>
        <v>0</v>
      </c>
      <c r="H613" s="21">
        <f>Data!B626</f>
        <v>0</v>
      </c>
      <c r="I613" s="21">
        <f>Data!C626</f>
        <v>0</v>
      </c>
      <c r="J613">
        <f>Data!D626</f>
        <v>0</v>
      </c>
      <c r="K613">
        <f>Data!E626</f>
        <v>0</v>
      </c>
      <c r="L613">
        <f>Data!F626</f>
        <v>0</v>
      </c>
      <c r="M613">
        <f>Data!G626</f>
        <v>0</v>
      </c>
      <c r="N613">
        <f>Data!H626</f>
        <v>0</v>
      </c>
      <c r="O613">
        <f>Data!I626</f>
        <v>0</v>
      </c>
      <c r="P613" s="21">
        <f>Data!J626</f>
        <v>0</v>
      </c>
      <c r="Q613">
        <f>Data!K626</f>
        <v>0</v>
      </c>
      <c r="R613">
        <f>Data!L626</f>
        <v>0</v>
      </c>
      <c r="S613">
        <f>Data!M626</f>
        <v>0</v>
      </c>
      <c r="T613">
        <f>Data!N626</f>
        <v>0</v>
      </c>
      <c r="U613">
        <f>Data!O626</f>
        <v>0</v>
      </c>
      <c r="V613" s="33">
        <f>Data!P626</f>
        <v>0</v>
      </c>
    </row>
    <row r="614" spans="7:22" x14ac:dyDescent="0.25">
      <c r="G614">
        <f>Data!A627</f>
        <v>0</v>
      </c>
      <c r="H614" s="21">
        <f>Data!B627</f>
        <v>0</v>
      </c>
      <c r="I614" s="21">
        <f>Data!C627</f>
        <v>0</v>
      </c>
      <c r="J614">
        <f>Data!D627</f>
        <v>0</v>
      </c>
      <c r="K614">
        <f>Data!E627</f>
        <v>0</v>
      </c>
      <c r="L614">
        <f>Data!F627</f>
        <v>0</v>
      </c>
      <c r="M614">
        <f>Data!G627</f>
        <v>0</v>
      </c>
      <c r="N614">
        <f>Data!H627</f>
        <v>0</v>
      </c>
      <c r="O614">
        <f>Data!I627</f>
        <v>0</v>
      </c>
      <c r="P614" s="21">
        <f>Data!J627</f>
        <v>0</v>
      </c>
      <c r="Q614">
        <f>Data!K627</f>
        <v>0</v>
      </c>
      <c r="R614">
        <f>Data!L627</f>
        <v>0</v>
      </c>
      <c r="S614">
        <f>Data!M627</f>
        <v>0</v>
      </c>
      <c r="T614">
        <f>Data!N627</f>
        <v>0</v>
      </c>
      <c r="U614">
        <f>Data!O627</f>
        <v>0</v>
      </c>
      <c r="V614" s="33">
        <f>Data!P627</f>
        <v>0</v>
      </c>
    </row>
    <row r="615" spans="7:22" x14ac:dyDescent="0.25">
      <c r="G615">
        <f>Data!A628</f>
        <v>0</v>
      </c>
      <c r="H615" s="21">
        <f>Data!B628</f>
        <v>0</v>
      </c>
      <c r="I615" s="21">
        <f>Data!C628</f>
        <v>0</v>
      </c>
      <c r="J615">
        <f>Data!D628</f>
        <v>0</v>
      </c>
      <c r="K615">
        <f>Data!E628</f>
        <v>0</v>
      </c>
      <c r="L615">
        <f>Data!F628</f>
        <v>0</v>
      </c>
      <c r="M615">
        <f>Data!G628</f>
        <v>0</v>
      </c>
      <c r="N615">
        <f>Data!H628</f>
        <v>0</v>
      </c>
      <c r="O615">
        <f>Data!I628</f>
        <v>0</v>
      </c>
      <c r="P615" s="21">
        <f>Data!J628</f>
        <v>0</v>
      </c>
      <c r="Q615">
        <f>Data!K628</f>
        <v>0</v>
      </c>
      <c r="R615">
        <f>Data!L628</f>
        <v>0</v>
      </c>
      <c r="S615">
        <f>Data!M628</f>
        <v>0</v>
      </c>
      <c r="T615">
        <f>Data!N628</f>
        <v>0</v>
      </c>
      <c r="U615">
        <f>Data!O628</f>
        <v>0</v>
      </c>
      <c r="V615" s="33">
        <f>Data!P628</f>
        <v>0</v>
      </c>
    </row>
    <row r="616" spans="7:22" x14ac:dyDescent="0.25">
      <c r="G616">
        <f>Data!A629</f>
        <v>0</v>
      </c>
      <c r="H616" s="21">
        <f>Data!B629</f>
        <v>0</v>
      </c>
      <c r="I616" s="21">
        <f>Data!C629</f>
        <v>0</v>
      </c>
      <c r="J616">
        <f>Data!D629</f>
        <v>0</v>
      </c>
      <c r="K616">
        <f>Data!E629</f>
        <v>0</v>
      </c>
      <c r="L616">
        <f>Data!F629</f>
        <v>0</v>
      </c>
      <c r="M616">
        <f>Data!G629</f>
        <v>0</v>
      </c>
      <c r="N616">
        <f>Data!H629</f>
        <v>0</v>
      </c>
      <c r="O616">
        <f>Data!I629</f>
        <v>0</v>
      </c>
      <c r="P616" s="21">
        <f>Data!J629</f>
        <v>0</v>
      </c>
      <c r="Q616">
        <f>Data!K629</f>
        <v>0</v>
      </c>
      <c r="R616">
        <f>Data!L629</f>
        <v>0</v>
      </c>
      <c r="S616">
        <f>Data!M629</f>
        <v>0</v>
      </c>
      <c r="T616">
        <f>Data!N629</f>
        <v>0</v>
      </c>
      <c r="U616">
        <f>Data!O629</f>
        <v>0</v>
      </c>
      <c r="V616" s="33">
        <f>Data!P629</f>
        <v>0</v>
      </c>
    </row>
    <row r="617" spans="7:22" x14ac:dyDescent="0.25">
      <c r="G617">
        <f>Data!A630</f>
        <v>0</v>
      </c>
      <c r="H617" s="21">
        <f>Data!B630</f>
        <v>0</v>
      </c>
      <c r="I617" s="21">
        <f>Data!C630</f>
        <v>0</v>
      </c>
      <c r="J617">
        <f>Data!D630</f>
        <v>0</v>
      </c>
      <c r="K617">
        <f>Data!E630</f>
        <v>0</v>
      </c>
      <c r="L617">
        <f>Data!F630</f>
        <v>0</v>
      </c>
      <c r="M617">
        <f>Data!G630</f>
        <v>0</v>
      </c>
      <c r="N617">
        <f>Data!H630</f>
        <v>0</v>
      </c>
      <c r="O617">
        <f>Data!I630</f>
        <v>0</v>
      </c>
      <c r="P617" s="21">
        <f>Data!J630</f>
        <v>0</v>
      </c>
      <c r="Q617">
        <f>Data!K630</f>
        <v>0</v>
      </c>
      <c r="R617">
        <f>Data!L630</f>
        <v>0</v>
      </c>
      <c r="S617">
        <f>Data!M630</f>
        <v>0</v>
      </c>
      <c r="T617">
        <f>Data!N630</f>
        <v>0</v>
      </c>
      <c r="U617">
        <f>Data!O630</f>
        <v>0</v>
      </c>
      <c r="V617" s="33">
        <f>Data!P630</f>
        <v>0</v>
      </c>
    </row>
    <row r="618" spans="7:22" x14ac:dyDescent="0.25">
      <c r="G618">
        <f>Data!A631</f>
        <v>0</v>
      </c>
      <c r="H618" s="21">
        <f>Data!B631</f>
        <v>0</v>
      </c>
      <c r="I618" s="21">
        <f>Data!C631</f>
        <v>0</v>
      </c>
      <c r="J618">
        <f>Data!D631</f>
        <v>0</v>
      </c>
      <c r="K618">
        <f>Data!E631</f>
        <v>0</v>
      </c>
      <c r="L618">
        <f>Data!F631</f>
        <v>0</v>
      </c>
      <c r="M618">
        <f>Data!G631</f>
        <v>0</v>
      </c>
      <c r="N618">
        <f>Data!H631</f>
        <v>0</v>
      </c>
      <c r="O618">
        <f>Data!I631</f>
        <v>0</v>
      </c>
      <c r="P618" s="21">
        <f>Data!J631</f>
        <v>0</v>
      </c>
      <c r="Q618">
        <f>Data!K631</f>
        <v>0</v>
      </c>
      <c r="R618">
        <f>Data!L631</f>
        <v>0</v>
      </c>
      <c r="S618">
        <f>Data!M631</f>
        <v>0</v>
      </c>
      <c r="T618">
        <f>Data!N631</f>
        <v>0</v>
      </c>
      <c r="U618">
        <f>Data!O631</f>
        <v>0</v>
      </c>
      <c r="V618" s="33">
        <f>Data!P631</f>
        <v>0</v>
      </c>
    </row>
    <row r="619" spans="7:22" x14ac:dyDescent="0.25">
      <c r="G619">
        <f>Data!A632</f>
        <v>0</v>
      </c>
      <c r="H619" s="21">
        <f>Data!B632</f>
        <v>0</v>
      </c>
      <c r="I619" s="21">
        <f>Data!C632</f>
        <v>0</v>
      </c>
      <c r="J619">
        <f>Data!D632</f>
        <v>0</v>
      </c>
      <c r="K619">
        <f>Data!E632</f>
        <v>0</v>
      </c>
      <c r="L619">
        <f>Data!F632</f>
        <v>0</v>
      </c>
      <c r="M619">
        <f>Data!G632</f>
        <v>0</v>
      </c>
      <c r="N619">
        <f>Data!H632</f>
        <v>0</v>
      </c>
      <c r="O619">
        <f>Data!I632</f>
        <v>0</v>
      </c>
      <c r="P619" s="21">
        <f>Data!J632</f>
        <v>0</v>
      </c>
      <c r="Q619">
        <f>Data!K632</f>
        <v>0</v>
      </c>
      <c r="R619">
        <f>Data!L632</f>
        <v>0</v>
      </c>
      <c r="S619">
        <f>Data!M632</f>
        <v>0</v>
      </c>
      <c r="T619">
        <f>Data!N632</f>
        <v>0</v>
      </c>
      <c r="U619">
        <f>Data!O632</f>
        <v>0</v>
      </c>
      <c r="V619" s="33">
        <f>Data!P632</f>
        <v>0</v>
      </c>
    </row>
    <row r="620" spans="7:22" x14ac:dyDescent="0.25">
      <c r="G620">
        <f>Data!A633</f>
        <v>0</v>
      </c>
      <c r="H620" s="21">
        <f>Data!B633</f>
        <v>0</v>
      </c>
      <c r="I620" s="21">
        <f>Data!C633</f>
        <v>0</v>
      </c>
      <c r="J620">
        <f>Data!D633</f>
        <v>0</v>
      </c>
      <c r="K620">
        <f>Data!E633</f>
        <v>0</v>
      </c>
      <c r="L620">
        <f>Data!F633</f>
        <v>0</v>
      </c>
      <c r="M620">
        <f>Data!G633</f>
        <v>0</v>
      </c>
      <c r="N620">
        <f>Data!H633</f>
        <v>0</v>
      </c>
      <c r="O620">
        <f>Data!I633</f>
        <v>0</v>
      </c>
      <c r="P620" s="21">
        <f>Data!J633</f>
        <v>0</v>
      </c>
      <c r="Q620">
        <f>Data!K633</f>
        <v>0</v>
      </c>
      <c r="R620">
        <f>Data!L633</f>
        <v>0</v>
      </c>
      <c r="S620">
        <f>Data!M633</f>
        <v>0</v>
      </c>
      <c r="T620">
        <f>Data!N633</f>
        <v>0</v>
      </c>
      <c r="U620">
        <f>Data!O633</f>
        <v>0</v>
      </c>
      <c r="V620" s="33">
        <f>Data!P633</f>
        <v>0</v>
      </c>
    </row>
    <row r="621" spans="7:22" x14ac:dyDescent="0.25">
      <c r="G621">
        <f>Data!A634</f>
        <v>0</v>
      </c>
      <c r="H621" s="21">
        <f>Data!B634</f>
        <v>0</v>
      </c>
      <c r="I621" s="21">
        <f>Data!C634</f>
        <v>0</v>
      </c>
      <c r="J621">
        <f>Data!D634</f>
        <v>0</v>
      </c>
      <c r="K621">
        <f>Data!E634</f>
        <v>0</v>
      </c>
      <c r="L621">
        <f>Data!F634</f>
        <v>0</v>
      </c>
      <c r="M621">
        <f>Data!G634</f>
        <v>0</v>
      </c>
      <c r="N621">
        <f>Data!H634</f>
        <v>0</v>
      </c>
      <c r="O621">
        <f>Data!I634</f>
        <v>0</v>
      </c>
      <c r="P621" s="21">
        <f>Data!J634</f>
        <v>0</v>
      </c>
      <c r="Q621">
        <f>Data!K634</f>
        <v>0</v>
      </c>
      <c r="R621">
        <f>Data!L634</f>
        <v>0</v>
      </c>
      <c r="S621">
        <f>Data!M634</f>
        <v>0</v>
      </c>
      <c r="T621">
        <f>Data!N634</f>
        <v>0</v>
      </c>
      <c r="U621">
        <f>Data!O634</f>
        <v>0</v>
      </c>
      <c r="V621" s="33">
        <f>Data!P634</f>
        <v>0</v>
      </c>
    </row>
    <row r="622" spans="7:22" x14ac:dyDescent="0.25">
      <c r="G622">
        <f>Data!A635</f>
        <v>0</v>
      </c>
      <c r="H622" s="21">
        <f>Data!B635</f>
        <v>0</v>
      </c>
      <c r="I622" s="21">
        <f>Data!C635</f>
        <v>0</v>
      </c>
      <c r="J622">
        <f>Data!D635</f>
        <v>0</v>
      </c>
      <c r="K622">
        <f>Data!E635</f>
        <v>0</v>
      </c>
      <c r="L622">
        <f>Data!F635</f>
        <v>0</v>
      </c>
      <c r="M622">
        <f>Data!G635</f>
        <v>0</v>
      </c>
      <c r="N622">
        <f>Data!H635</f>
        <v>0</v>
      </c>
      <c r="O622">
        <f>Data!I635</f>
        <v>0</v>
      </c>
      <c r="P622" s="21">
        <f>Data!J635</f>
        <v>0</v>
      </c>
      <c r="Q622">
        <f>Data!K635</f>
        <v>0</v>
      </c>
      <c r="R622">
        <f>Data!L635</f>
        <v>0</v>
      </c>
      <c r="S622">
        <f>Data!M635</f>
        <v>0</v>
      </c>
      <c r="T622">
        <f>Data!N635</f>
        <v>0</v>
      </c>
      <c r="U622">
        <f>Data!O635</f>
        <v>0</v>
      </c>
      <c r="V622" s="33">
        <f>Data!P635</f>
        <v>0</v>
      </c>
    </row>
    <row r="623" spans="7:22" x14ac:dyDescent="0.25">
      <c r="G623">
        <f>Data!A636</f>
        <v>0</v>
      </c>
      <c r="H623" s="21">
        <f>Data!B636</f>
        <v>0</v>
      </c>
      <c r="I623" s="21">
        <f>Data!C636</f>
        <v>0</v>
      </c>
      <c r="J623">
        <f>Data!D636</f>
        <v>0</v>
      </c>
      <c r="K623">
        <f>Data!E636</f>
        <v>0</v>
      </c>
      <c r="L623">
        <f>Data!F636</f>
        <v>0</v>
      </c>
      <c r="M623">
        <f>Data!G636</f>
        <v>0</v>
      </c>
      <c r="N623">
        <f>Data!H636</f>
        <v>0</v>
      </c>
      <c r="O623">
        <f>Data!I636</f>
        <v>0</v>
      </c>
      <c r="P623" s="21">
        <f>Data!J636</f>
        <v>0</v>
      </c>
      <c r="Q623">
        <f>Data!K636</f>
        <v>0</v>
      </c>
      <c r="R623">
        <f>Data!L636</f>
        <v>0</v>
      </c>
      <c r="S623">
        <f>Data!M636</f>
        <v>0</v>
      </c>
      <c r="T623">
        <f>Data!N636</f>
        <v>0</v>
      </c>
      <c r="U623">
        <f>Data!O636</f>
        <v>0</v>
      </c>
      <c r="V623" s="33">
        <f>Data!P636</f>
        <v>0</v>
      </c>
    </row>
    <row r="624" spans="7:22" x14ac:dyDescent="0.25">
      <c r="G624">
        <f>Data!A637</f>
        <v>0</v>
      </c>
      <c r="H624" s="21">
        <f>Data!B637</f>
        <v>0</v>
      </c>
      <c r="I624" s="21">
        <f>Data!C637</f>
        <v>0</v>
      </c>
      <c r="J624">
        <f>Data!D637</f>
        <v>0</v>
      </c>
      <c r="K624">
        <f>Data!E637</f>
        <v>0</v>
      </c>
      <c r="L624">
        <f>Data!F637</f>
        <v>0</v>
      </c>
      <c r="M624">
        <f>Data!G637</f>
        <v>0</v>
      </c>
      <c r="N624">
        <f>Data!H637</f>
        <v>0</v>
      </c>
      <c r="O624">
        <f>Data!I637</f>
        <v>0</v>
      </c>
      <c r="P624" s="21">
        <f>Data!J637</f>
        <v>0</v>
      </c>
      <c r="Q624">
        <f>Data!K637</f>
        <v>0</v>
      </c>
      <c r="R624">
        <f>Data!L637</f>
        <v>0</v>
      </c>
      <c r="S624">
        <f>Data!M637</f>
        <v>0</v>
      </c>
      <c r="T624">
        <f>Data!N637</f>
        <v>0</v>
      </c>
      <c r="U624">
        <f>Data!O637</f>
        <v>0</v>
      </c>
      <c r="V624" s="33">
        <f>Data!P637</f>
        <v>0</v>
      </c>
    </row>
    <row r="625" spans="7:22" x14ac:dyDescent="0.25">
      <c r="G625">
        <f>Data!A638</f>
        <v>0</v>
      </c>
      <c r="H625" s="21">
        <f>Data!B638</f>
        <v>0</v>
      </c>
      <c r="I625" s="21">
        <f>Data!C638</f>
        <v>0</v>
      </c>
      <c r="J625">
        <f>Data!D638</f>
        <v>0</v>
      </c>
      <c r="K625">
        <f>Data!E638</f>
        <v>0</v>
      </c>
      <c r="L625">
        <f>Data!F638</f>
        <v>0</v>
      </c>
      <c r="M625">
        <f>Data!G638</f>
        <v>0</v>
      </c>
      <c r="N625">
        <f>Data!H638</f>
        <v>0</v>
      </c>
      <c r="O625">
        <f>Data!I638</f>
        <v>0</v>
      </c>
      <c r="P625" s="21">
        <f>Data!J638</f>
        <v>0</v>
      </c>
      <c r="Q625">
        <f>Data!K638</f>
        <v>0</v>
      </c>
      <c r="R625">
        <f>Data!L638</f>
        <v>0</v>
      </c>
      <c r="S625">
        <f>Data!M638</f>
        <v>0</v>
      </c>
      <c r="T625">
        <f>Data!N638</f>
        <v>0</v>
      </c>
      <c r="U625">
        <f>Data!O638</f>
        <v>0</v>
      </c>
      <c r="V625" s="33">
        <f>Data!P638</f>
        <v>0</v>
      </c>
    </row>
    <row r="626" spans="7:22" x14ac:dyDescent="0.25">
      <c r="G626">
        <f>Data!A639</f>
        <v>0</v>
      </c>
      <c r="H626" s="21">
        <f>Data!B639</f>
        <v>0</v>
      </c>
      <c r="I626" s="21">
        <f>Data!C639</f>
        <v>0</v>
      </c>
      <c r="J626">
        <f>Data!D639</f>
        <v>0</v>
      </c>
      <c r="K626">
        <f>Data!E639</f>
        <v>0</v>
      </c>
      <c r="L626">
        <f>Data!F639</f>
        <v>0</v>
      </c>
      <c r="M626">
        <f>Data!G639</f>
        <v>0</v>
      </c>
      <c r="N626">
        <f>Data!H639</f>
        <v>0</v>
      </c>
      <c r="O626">
        <f>Data!I639</f>
        <v>0</v>
      </c>
      <c r="P626" s="21">
        <f>Data!J639</f>
        <v>0</v>
      </c>
      <c r="Q626">
        <f>Data!K639</f>
        <v>0</v>
      </c>
      <c r="R626">
        <f>Data!L639</f>
        <v>0</v>
      </c>
      <c r="S626">
        <f>Data!M639</f>
        <v>0</v>
      </c>
      <c r="T626">
        <f>Data!N639</f>
        <v>0</v>
      </c>
      <c r="U626">
        <f>Data!O639</f>
        <v>0</v>
      </c>
      <c r="V626" s="33">
        <f>Data!P639</f>
        <v>0</v>
      </c>
    </row>
    <row r="627" spans="7:22" x14ac:dyDescent="0.25">
      <c r="G627">
        <f>Data!A640</f>
        <v>0</v>
      </c>
      <c r="H627" s="21">
        <f>Data!B640</f>
        <v>0</v>
      </c>
      <c r="I627" s="21">
        <f>Data!C640</f>
        <v>0</v>
      </c>
      <c r="J627">
        <f>Data!D640</f>
        <v>0</v>
      </c>
      <c r="K627">
        <f>Data!E640</f>
        <v>0</v>
      </c>
      <c r="L627">
        <f>Data!F640</f>
        <v>0</v>
      </c>
      <c r="M627">
        <f>Data!G640</f>
        <v>0</v>
      </c>
      <c r="N627">
        <f>Data!H640</f>
        <v>0</v>
      </c>
      <c r="O627">
        <f>Data!I640</f>
        <v>0</v>
      </c>
      <c r="P627" s="21">
        <f>Data!J640</f>
        <v>0</v>
      </c>
      <c r="Q627">
        <f>Data!K640</f>
        <v>0</v>
      </c>
      <c r="R627">
        <f>Data!L640</f>
        <v>0</v>
      </c>
      <c r="S627">
        <f>Data!M640</f>
        <v>0</v>
      </c>
      <c r="T627">
        <f>Data!N640</f>
        <v>0</v>
      </c>
      <c r="U627">
        <f>Data!O640</f>
        <v>0</v>
      </c>
      <c r="V627" s="33">
        <f>Data!P640</f>
        <v>0</v>
      </c>
    </row>
    <row r="628" spans="7:22" x14ac:dyDescent="0.25">
      <c r="G628">
        <f>Data!A641</f>
        <v>0</v>
      </c>
      <c r="H628" s="21">
        <f>Data!B641</f>
        <v>0</v>
      </c>
      <c r="I628" s="21">
        <f>Data!C641</f>
        <v>0</v>
      </c>
      <c r="J628">
        <f>Data!D641</f>
        <v>0</v>
      </c>
      <c r="K628">
        <f>Data!E641</f>
        <v>0</v>
      </c>
      <c r="L628">
        <f>Data!F641</f>
        <v>0</v>
      </c>
      <c r="M628">
        <f>Data!G641</f>
        <v>0</v>
      </c>
      <c r="N628">
        <f>Data!H641</f>
        <v>0</v>
      </c>
      <c r="O628">
        <f>Data!I641</f>
        <v>0</v>
      </c>
      <c r="P628" s="21">
        <f>Data!J641</f>
        <v>0</v>
      </c>
      <c r="Q628">
        <f>Data!K641</f>
        <v>0</v>
      </c>
      <c r="R628">
        <f>Data!L641</f>
        <v>0</v>
      </c>
      <c r="S628">
        <f>Data!M641</f>
        <v>0</v>
      </c>
      <c r="T628">
        <f>Data!N641</f>
        <v>0</v>
      </c>
      <c r="U628">
        <f>Data!O641</f>
        <v>0</v>
      </c>
      <c r="V628" s="33">
        <f>Data!P641</f>
        <v>0</v>
      </c>
    </row>
    <row r="629" spans="7:22" x14ac:dyDescent="0.25">
      <c r="G629">
        <f>Data!A642</f>
        <v>0</v>
      </c>
      <c r="H629" s="21">
        <f>Data!B642</f>
        <v>0</v>
      </c>
      <c r="I629" s="21">
        <f>Data!C642</f>
        <v>0</v>
      </c>
      <c r="J629">
        <f>Data!D642</f>
        <v>0</v>
      </c>
      <c r="K629">
        <f>Data!E642</f>
        <v>0</v>
      </c>
      <c r="L629">
        <f>Data!F642</f>
        <v>0</v>
      </c>
      <c r="M629">
        <f>Data!G642</f>
        <v>0</v>
      </c>
      <c r="N629">
        <f>Data!H642</f>
        <v>0</v>
      </c>
      <c r="O629">
        <f>Data!I642</f>
        <v>0</v>
      </c>
      <c r="P629" s="21">
        <f>Data!J642</f>
        <v>0</v>
      </c>
      <c r="Q629">
        <f>Data!K642</f>
        <v>0</v>
      </c>
      <c r="R629">
        <f>Data!L642</f>
        <v>0</v>
      </c>
      <c r="S629">
        <f>Data!M642</f>
        <v>0</v>
      </c>
      <c r="T629">
        <f>Data!N642</f>
        <v>0</v>
      </c>
      <c r="U629">
        <f>Data!O642</f>
        <v>0</v>
      </c>
      <c r="V629" s="33">
        <f>Data!P642</f>
        <v>0</v>
      </c>
    </row>
    <row r="630" spans="7:22" x14ac:dyDescent="0.25">
      <c r="G630">
        <f>Data!A643</f>
        <v>0</v>
      </c>
      <c r="H630" s="21">
        <f>Data!B643</f>
        <v>0</v>
      </c>
      <c r="I630" s="21">
        <f>Data!C643</f>
        <v>0</v>
      </c>
      <c r="J630">
        <f>Data!D643</f>
        <v>0</v>
      </c>
      <c r="K630">
        <f>Data!E643</f>
        <v>0</v>
      </c>
      <c r="L630">
        <f>Data!F643</f>
        <v>0</v>
      </c>
      <c r="M630">
        <f>Data!G643</f>
        <v>0</v>
      </c>
      <c r="N630">
        <f>Data!H643</f>
        <v>0</v>
      </c>
      <c r="O630">
        <f>Data!I643</f>
        <v>0</v>
      </c>
      <c r="P630" s="21">
        <f>Data!J643</f>
        <v>0</v>
      </c>
      <c r="Q630">
        <f>Data!K643</f>
        <v>0</v>
      </c>
      <c r="R630">
        <f>Data!L643</f>
        <v>0</v>
      </c>
      <c r="S630">
        <f>Data!M643</f>
        <v>0</v>
      </c>
      <c r="T630">
        <f>Data!N643</f>
        <v>0</v>
      </c>
      <c r="U630">
        <f>Data!O643</f>
        <v>0</v>
      </c>
      <c r="V630" s="33">
        <f>Data!P643</f>
        <v>0</v>
      </c>
    </row>
    <row r="631" spans="7:22" x14ac:dyDescent="0.25">
      <c r="G631">
        <f>Data!A644</f>
        <v>0</v>
      </c>
      <c r="H631" s="21">
        <f>Data!B644</f>
        <v>0</v>
      </c>
      <c r="I631" s="21">
        <f>Data!C644</f>
        <v>0</v>
      </c>
      <c r="J631">
        <f>Data!D644</f>
        <v>0</v>
      </c>
      <c r="K631">
        <f>Data!E644</f>
        <v>0</v>
      </c>
      <c r="L631">
        <f>Data!F644</f>
        <v>0</v>
      </c>
      <c r="M631">
        <f>Data!G644</f>
        <v>0</v>
      </c>
      <c r="N631">
        <f>Data!H644</f>
        <v>0</v>
      </c>
      <c r="O631">
        <f>Data!I644</f>
        <v>0</v>
      </c>
      <c r="P631" s="21">
        <f>Data!J644</f>
        <v>0</v>
      </c>
      <c r="Q631">
        <f>Data!K644</f>
        <v>0</v>
      </c>
      <c r="R631">
        <f>Data!L644</f>
        <v>0</v>
      </c>
      <c r="S631">
        <f>Data!M644</f>
        <v>0</v>
      </c>
      <c r="T631">
        <f>Data!N644</f>
        <v>0</v>
      </c>
      <c r="U631">
        <f>Data!O644</f>
        <v>0</v>
      </c>
      <c r="V631" s="33">
        <f>Data!P644</f>
        <v>0</v>
      </c>
    </row>
    <row r="632" spans="7:22" x14ac:dyDescent="0.25">
      <c r="G632">
        <f>Data!A645</f>
        <v>0</v>
      </c>
      <c r="H632" s="21">
        <f>Data!B645</f>
        <v>0</v>
      </c>
      <c r="I632" s="21">
        <f>Data!C645</f>
        <v>0</v>
      </c>
      <c r="J632">
        <f>Data!D645</f>
        <v>0</v>
      </c>
      <c r="K632">
        <f>Data!E645</f>
        <v>0</v>
      </c>
      <c r="L632">
        <f>Data!F645</f>
        <v>0</v>
      </c>
      <c r="M632">
        <f>Data!G645</f>
        <v>0</v>
      </c>
      <c r="N632">
        <f>Data!H645</f>
        <v>0</v>
      </c>
      <c r="O632">
        <f>Data!I645</f>
        <v>0</v>
      </c>
      <c r="P632" s="21">
        <f>Data!J645</f>
        <v>0</v>
      </c>
      <c r="Q632">
        <f>Data!K645</f>
        <v>0</v>
      </c>
      <c r="R632">
        <f>Data!L645</f>
        <v>0</v>
      </c>
      <c r="S632">
        <f>Data!M645</f>
        <v>0</v>
      </c>
      <c r="T632">
        <f>Data!N645</f>
        <v>0</v>
      </c>
      <c r="U632">
        <f>Data!O645</f>
        <v>0</v>
      </c>
      <c r="V632" s="33">
        <f>Data!P645</f>
        <v>0</v>
      </c>
    </row>
    <row r="633" spans="7:22" x14ac:dyDescent="0.25">
      <c r="G633">
        <f>Data!A646</f>
        <v>0</v>
      </c>
      <c r="H633" s="21">
        <f>Data!B646</f>
        <v>0</v>
      </c>
      <c r="I633" s="21">
        <f>Data!C646</f>
        <v>0</v>
      </c>
      <c r="J633">
        <f>Data!D646</f>
        <v>0</v>
      </c>
      <c r="K633">
        <f>Data!E646</f>
        <v>0</v>
      </c>
      <c r="L633">
        <f>Data!F646</f>
        <v>0</v>
      </c>
      <c r="M633">
        <f>Data!G646</f>
        <v>0</v>
      </c>
      <c r="N633">
        <f>Data!H646</f>
        <v>0</v>
      </c>
      <c r="O633">
        <f>Data!I646</f>
        <v>0</v>
      </c>
      <c r="P633" s="21">
        <f>Data!J646</f>
        <v>0</v>
      </c>
      <c r="Q633">
        <f>Data!K646</f>
        <v>0</v>
      </c>
      <c r="R633">
        <f>Data!L646</f>
        <v>0</v>
      </c>
      <c r="S633">
        <f>Data!M646</f>
        <v>0</v>
      </c>
      <c r="T633">
        <f>Data!N646</f>
        <v>0</v>
      </c>
      <c r="U633">
        <f>Data!O646</f>
        <v>0</v>
      </c>
      <c r="V633" s="33">
        <f>Data!P646</f>
        <v>0</v>
      </c>
    </row>
    <row r="634" spans="7:22" x14ac:dyDescent="0.25">
      <c r="G634">
        <f>Data!A647</f>
        <v>0</v>
      </c>
      <c r="H634" s="21">
        <f>Data!B647</f>
        <v>0</v>
      </c>
      <c r="I634" s="21">
        <f>Data!C647</f>
        <v>0</v>
      </c>
      <c r="J634">
        <f>Data!D647</f>
        <v>0</v>
      </c>
      <c r="K634">
        <f>Data!E647</f>
        <v>0</v>
      </c>
      <c r="L634">
        <f>Data!F647</f>
        <v>0</v>
      </c>
      <c r="M634">
        <f>Data!G647</f>
        <v>0</v>
      </c>
      <c r="N634">
        <f>Data!H647</f>
        <v>0</v>
      </c>
      <c r="O634">
        <f>Data!I647</f>
        <v>0</v>
      </c>
      <c r="P634" s="21">
        <f>Data!J647</f>
        <v>0</v>
      </c>
      <c r="Q634">
        <f>Data!K647</f>
        <v>0</v>
      </c>
      <c r="R634">
        <f>Data!L647</f>
        <v>0</v>
      </c>
      <c r="S634">
        <f>Data!M647</f>
        <v>0</v>
      </c>
      <c r="T634">
        <f>Data!N647</f>
        <v>0</v>
      </c>
      <c r="U634">
        <f>Data!O647</f>
        <v>0</v>
      </c>
      <c r="V634" s="33">
        <f>Data!P647</f>
        <v>0</v>
      </c>
    </row>
    <row r="635" spans="7:22" x14ac:dyDescent="0.25">
      <c r="G635">
        <f>Data!A648</f>
        <v>0</v>
      </c>
      <c r="H635" s="21">
        <f>Data!B648</f>
        <v>0</v>
      </c>
      <c r="I635" s="21">
        <f>Data!C648</f>
        <v>0</v>
      </c>
      <c r="J635">
        <f>Data!D648</f>
        <v>0</v>
      </c>
      <c r="K635">
        <f>Data!E648</f>
        <v>0</v>
      </c>
      <c r="L635">
        <f>Data!F648</f>
        <v>0</v>
      </c>
      <c r="M635">
        <f>Data!G648</f>
        <v>0</v>
      </c>
      <c r="N635">
        <f>Data!H648</f>
        <v>0</v>
      </c>
      <c r="O635">
        <f>Data!I648</f>
        <v>0</v>
      </c>
      <c r="P635" s="21">
        <f>Data!J648</f>
        <v>0</v>
      </c>
      <c r="Q635">
        <f>Data!K648</f>
        <v>0</v>
      </c>
      <c r="R635">
        <f>Data!L648</f>
        <v>0</v>
      </c>
      <c r="S635">
        <f>Data!M648</f>
        <v>0</v>
      </c>
      <c r="T635">
        <f>Data!N648</f>
        <v>0</v>
      </c>
      <c r="U635">
        <f>Data!O648</f>
        <v>0</v>
      </c>
      <c r="V635" s="33">
        <f>Data!P648</f>
        <v>0</v>
      </c>
    </row>
    <row r="636" spans="7:22" x14ac:dyDescent="0.25">
      <c r="G636">
        <f>Data!A649</f>
        <v>0</v>
      </c>
      <c r="H636" s="21">
        <f>Data!B649</f>
        <v>0</v>
      </c>
      <c r="I636" s="21">
        <f>Data!C649</f>
        <v>0</v>
      </c>
      <c r="J636">
        <f>Data!D649</f>
        <v>0</v>
      </c>
      <c r="K636">
        <f>Data!E649</f>
        <v>0</v>
      </c>
      <c r="L636">
        <f>Data!F649</f>
        <v>0</v>
      </c>
      <c r="M636">
        <f>Data!G649</f>
        <v>0</v>
      </c>
      <c r="N636">
        <f>Data!H649</f>
        <v>0</v>
      </c>
      <c r="O636">
        <f>Data!I649</f>
        <v>0</v>
      </c>
      <c r="P636" s="21">
        <f>Data!J649</f>
        <v>0</v>
      </c>
      <c r="Q636">
        <f>Data!K649</f>
        <v>0</v>
      </c>
      <c r="R636">
        <f>Data!L649</f>
        <v>0</v>
      </c>
      <c r="S636">
        <f>Data!M649</f>
        <v>0</v>
      </c>
      <c r="T636">
        <f>Data!N649</f>
        <v>0</v>
      </c>
      <c r="U636">
        <f>Data!O649</f>
        <v>0</v>
      </c>
      <c r="V636" s="33">
        <f>Data!P649</f>
        <v>0</v>
      </c>
    </row>
    <row r="637" spans="7:22" x14ac:dyDescent="0.25">
      <c r="G637">
        <f>Data!A650</f>
        <v>0</v>
      </c>
      <c r="H637" s="21">
        <f>Data!B650</f>
        <v>0</v>
      </c>
      <c r="I637" s="21">
        <f>Data!C650</f>
        <v>0</v>
      </c>
      <c r="J637">
        <f>Data!D650</f>
        <v>0</v>
      </c>
      <c r="K637">
        <f>Data!E650</f>
        <v>0</v>
      </c>
      <c r="L637">
        <f>Data!F650</f>
        <v>0</v>
      </c>
      <c r="M637">
        <f>Data!G650</f>
        <v>0</v>
      </c>
      <c r="N637">
        <f>Data!H650</f>
        <v>0</v>
      </c>
      <c r="O637">
        <f>Data!I650</f>
        <v>0</v>
      </c>
      <c r="P637" s="21">
        <f>Data!J650</f>
        <v>0</v>
      </c>
      <c r="Q637">
        <f>Data!K650</f>
        <v>0</v>
      </c>
      <c r="R637">
        <f>Data!L650</f>
        <v>0</v>
      </c>
      <c r="S637">
        <f>Data!M650</f>
        <v>0</v>
      </c>
      <c r="T637">
        <f>Data!N650</f>
        <v>0</v>
      </c>
      <c r="U637">
        <f>Data!O650</f>
        <v>0</v>
      </c>
      <c r="V637" s="33">
        <f>Data!P650</f>
        <v>0</v>
      </c>
    </row>
    <row r="638" spans="7:22" x14ac:dyDescent="0.25">
      <c r="G638">
        <f>Data!A651</f>
        <v>0</v>
      </c>
      <c r="H638" s="21">
        <f>Data!B651</f>
        <v>0</v>
      </c>
      <c r="I638" s="21">
        <f>Data!C651</f>
        <v>0</v>
      </c>
      <c r="J638">
        <f>Data!D651</f>
        <v>0</v>
      </c>
      <c r="K638">
        <f>Data!E651</f>
        <v>0</v>
      </c>
      <c r="L638">
        <f>Data!F651</f>
        <v>0</v>
      </c>
      <c r="M638">
        <f>Data!G651</f>
        <v>0</v>
      </c>
      <c r="N638">
        <f>Data!H651</f>
        <v>0</v>
      </c>
      <c r="O638">
        <f>Data!I651</f>
        <v>0</v>
      </c>
      <c r="P638" s="21">
        <f>Data!J651</f>
        <v>0</v>
      </c>
      <c r="Q638">
        <f>Data!K651</f>
        <v>0</v>
      </c>
      <c r="R638">
        <f>Data!L651</f>
        <v>0</v>
      </c>
      <c r="S638">
        <f>Data!M651</f>
        <v>0</v>
      </c>
      <c r="T638">
        <f>Data!N651</f>
        <v>0</v>
      </c>
      <c r="U638">
        <f>Data!O651</f>
        <v>0</v>
      </c>
      <c r="V638" s="33">
        <f>Data!P651</f>
        <v>0</v>
      </c>
    </row>
    <row r="639" spans="7:22" x14ac:dyDescent="0.25">
      <c r="G639">
        <f>Data!A652</f>
        <v>0</v>
      </c>
      <c r="H639" s="21">
        <f>Data!B652</f>
        <v>0</v>
      </c>
      <c r="I639" s="21">
        <f>Data!C652</f>
        <v>0</v>
      </c>
      <c r="J639">
        <f>Data!D652</f>
        <v>0</v>
      </c>
      <c r="K639">
        <f>Data!E652</f>
        <v>0</v>
      </c>
      <c r="L639">
        <f>Data!F652</f>
        <v>0</v>
      </c>
      <c r="M639">
        <f>Data!G652</f>
        <v>0</v>
      </c>
      <c r="N639">
        <f>Data!H652</f>
        <v>0</v>
      </c>
      <c r="O639">
        <f>Data!I652</f>
        <v>0</v>
      </c>
      <c r="P639" s="21">
        <f>Data!J652</f>
        <v>0</v>
      </c>
      <c r="Q639">
        <f>Data!K652</f>
        <v>0</v>
      </c>
      <c r="R639">
        <f>Data!L652</f>
        <v>0</v>
      </c>
      <c r="S639">
        <f>Data!M652</f>
        <v>0</v>
      </c>
      <c r="T639">
        <f>Data!N652</f>
        <v>0</v>
      </c>
      <c r="U639">
        <f>Data!O652</f>
        <v>0</v>
      </c>
      <c r="V639" s="33">
        <f>Data!P652</f>
        <v>0</v>
      </c>
    </row>
    <row r="640" spans="7:22" x14ac:dyDescent="0.25">
      <c r="G640">
        <f>Data!A653</f>
        <v>0</v>
      </c>
      <c r="H640" s="21">
        <f>Data!B653</f>
        <v>0</v>
      </c>
      <c r="I640" s="21">
        <f>Data!C653</f>
        <v>0</v>
      </c>
      <c r="J640">
        <f>Data!D653</f>
        <v>0</v>
      </c>
      <c r="K640">
        <f>Data!E653</f>
        <v>0</v>
      </c>
      <c r="L640">
        <f>Data!F653</f>
        <v>0</v>
      </c>
      <c r="M640">
        <f>Data!G653</f>
        <v>0</v>
      </c>
      <c r="N640">
        <f>Data!H653</f>
        <v>0</v>
      </c>
      <c r="O640">
        <f>Data!I653</f>
        <v>0</v>
      </c>
      <c r="P640" s="21">
        <f>Data!J653</f>
        <v>0</v>
      </c>
      <c r="Q640">
        <f>Data!K653</f>
        <v>0</v>
      </c>
      <c r="R640">
        <f>Data!L653</f>
        <v>0</v>
      </c>
      <c r="S640">
        <f>Data!M653</f>
        <v>0</v>
      </c>
      <c r="T640">
        <f>Data!N653</f>
        <v>0</v>
      </c>
      <c r="U640">
        <f>Data!O653</f>
        <v>0</v>
      </c>
      <c r="V640" s="33">
        <f>Data!P653</f>
        <v>0</v>
      </c>
    </row>
    <row r="641" spans="7:22" x14ac:dyDescent="0.25">
      <c r="G641">
        <f>Data!A654</f>
        <v>0</v>
      </c>
      <c r="H641" s="21">
        <f>Data!B654</f>
        <v>0</v>
      </c>
      <c r="I641" s="21">
        <f>Data!C654</f>
        <v>0</v>
      </c>
      <c r="J641">
        <f>Data!D654</f>
        <v>0</v>
      </c>
      <c r="K641">
        <f>Data!E654</f>
        <v>0</v>
      </c>
      <c r="L641">
        <f>Data!F654</f>
        <v>0</v>
      </c>
      <c r="M641">
        <f>Data!G654</f>
        <v>0</v>
      </c>
      <c r="N641">
        <f>Data!H654</f>
        <v>0</v>
      </c>
      <c r="O641">
        <f>Data!I654</f>
        <v>0</v>
      </c>
      <c r="P641" s="21">
        <f>Data!J654</f>
        <v>0</v>
      </c>
      <c r="Q641">
        <f>Data!K654</f>
        <v>0</v>
      </c>
      <c r="R641">
        <f>Data!L654</f>
        <v>0</v>
      </c>
      <c r="S641">
        <f>Data!M654</f>
        <v>0</v>
      </c>
      <c r="T641">
        <f>Data!N654</f>
        <v>0</v>
      </c>
      <c r="U641">
        <f>Data!O654</f>
        <v>0</v>
      </c>
      <c r="V641" s="33">
        <f>Data!P654</f>
        <v>0</v>
      </c>
    </row>
    <row r="642" spans="7:22" x14ac:dyDescent="0.25">
      <c r="G642">
        <f>Data!A655</f>
        <v>0</v>
      </c>
      <c r="H642" s="21">
        <f>Data!B655</f>
        <v>0</v>
      </c>
      <c r="I642" s="21">
        <f>Data!C655</f>
        <v>0</v>
      </c>
      <c r="J642">
        <f>Data!D655</f>
        <v>0</v>
      </c>
      <c r="K642">
        <f>Data!E655</f>
        <v>0</v>
      </c>
      <c r="L642">
        <f>Data!F655</f>
        <v>0</v>
      </c>
      <c r="M642">
        <f>Data!G655</f>
        <v>0</v>
      </c>
      <c r="N642">
        <f>Data!H655</f>
        <v>0</v>
      </c>
      <c r="O642">
        <f>Data!I655</f>
        <v>0</v>
      </c>
      <c r="P642" s="21">
        <f>Data!J655</f>
        <v>0</v>
      </c>
      <c r="Q642">
        <f>Data!K655</f>
        <v>0</v>
      </c>
      <c r="R642">
        <f>Data!L655</f>
        <v>0</v>
      </c>
      <c r="S642">
        <f>Data!M655</f>
        <v>0</v>
      </c>
      <c r="T642">
        <f>Data!N655</f>
        <v>0</v>
      </c>
      <c r="U642">
        <f>Data!O655</f>
        <v>0</v>
      </c>
      <c r="V642" s="33">
        <f>Data!P655</f>
        <v>0</v>
      </c>
    </row>
    <row r="643" spans="7:22" x14ac:dyDescent="0.25">
      <c r="G643">
        <f>Data!A656</f>
        <v>0</v>
      </c>
      <c r="H643" s="21">
        <f>Data!B656</f>
        <v>0</v>
      </c>
      <c r="I643" s="21">
        <f>Data!C656</f>
        <v>0</v>
      </c>
      <c r="J643">
        <f>Data!D656</f>
        <v>0</v>
      </c>
      <c r="K643">
        <f>Data!E656</f>
        <v>0</v>
      </c>
      <c r="L643">
        <f>Data!F656</f>
        <v>0</v>
      </c>
      <c r="M643">
        <f>Data!G656</f>
        <v>0</v>
      </c>
      <c r="N643">
        <f>Data!H656</f>
        <v>0</v>
      </c>
      <c r="O643">
        <f>Data!I656</f>
        <v>0</v>
      </c>
      <c r="P643" s="21">
        <f>Data!J656</f>
        <v>0</v>
      </c>
      <c r="Q643">
        <f>Data!K656</f>
        <v>0</v>
      </c>
      <c r="R643">
        <f>Data!L656</f>
        <v>0</v>
      </c>
      <c r="S643">
        <f>Data!M656</f>
        <v>0</v>
      </c>
      <c r="T643">
        <f>Data!N656</f>
        <v>0</v>
      </c>
      <c r="U643">
        <f>Data!O656</f>
        <v>0</v>
      </c>
      <c r="V643" s="33">
        <f>Data!P656</f>
        <v>0</v>
      </c>
    </row>
    <row r="644" spans="7:22" x14ac:dyDescent="0.25">
      <c r="G644">
        <f>Data!A657</f>
        <v>0</v>
      </c>
      <c r="H644" s="21">
        <f>Data!B657</f>
        <v>0</v>
      </c>
      <c r="I644" s="21">
        <f>Data!C657</f>
        <v>0</v>
      </c>
      <c r="J644">
        <f>Data!D657</f>
        <v>0</v>
      </c>
      <c r="K644">
        <f>Data!E657</f>
        <v>0</v>
      </c>
      <c r="L644">
        <f>Data!F657</f>
        <v>0</v>
      </c>
      <c r="M644">
        <f>Data!G657</f>
        <v>0</v>
      </c>
      <c r="N644">
        <f>Data!H657</f>
        <v>0</v>
      </c>
      <c r="O644">
        <f>Data!I657</f>
        <v>0</v>
      </c>
      <c r="P644" s="21">
        <f>Data!J657</f>
        <v>0</v>
      </c>
      <c r="Q644">
        <f>Data!K657</f>
        <v>0</v>
      </c>
      <c r="R644">
        <f>Data!L657</f>
        <v>0</v>
      </c>
      <c r="S644">
        <f>Data!M657</f>
        <v>0</v>
      </c>
      <c r="T644">
        <f>Data!N657</f>
        <v>0</v>
      </c>
      <c r="U644">
        <f>Data!O657</f>
        <v>0</v>
      </c>
      <c r="V644" s="33">
        <f>Data!P657</f>
        <v>0</v>
      </c>
    </row>
    <row r="645" spans="7:22" x14ac:dyDescent="0.25">
      <c r="G645">
        <f>Data!A658</f>
        <v>0</v>
      </c>
      <c r="H645" s="21">
        <f>Data!B658</f>
        <v>0</v>
      </c>
      <c r="I645" s="21">
        <f>Data!C658</f>
        <v>0</v>
      </c>
      <c r="J645">
        <f>Data!D658</f>
        <v>0</v>
      </c>
      <c r="K645">
        <f>Data!E658</f>
        <v>0</v>
      </c>
      <c r="L645">
        <f>Data!F658</f>
        <v>0</v>
      </c>
      <c r="M645">
        <f>Data!G658</f>
        <v>0</v>
      </c>
      <c r="N645">
        <f>Data!H658</f>
        <v>0</v>
      </c>
      <c r="O645">
        <f>Data!I658</f>
        <v>0</v>
      </c>
      <c r="P645" s="21">
        <f>Data!J658</f>
        <v>0</v>
      </c>
      <c r="Q645">
        <f>Data!K658</f>
        <v>0</v>
      </c>
      <c r="R645">
        <f>Data!L658</f>
        <v>0</v>
      </c>
      <c r="S645">
        <f>Data!M658</f>
        <v>0</v>
      </c>
      <c r="T645">
        <f>Data!N658</f>
        <v>0</v>
      </c>
      <c r="U645">
        <f>Data!O658</f>
        <v>0</v>
      </c>
      <c r="V645" s="33">
        <f>Data!P658</f>
        <v>0</v>
      </c>
    </row>
    <row r="646" spans="7:22" x14ac:dyDescent="0.25">
      <c r="G646">
        <f>Data!A659</f>
        <v>0</v>
      </c>
      <c r="H646" s="21">
        <f>Data!B659</f>
        <v>0</v>
      </c>
      <c r="I646" s="21">
        <f>Data!C659</f>
        <v>0</v>
      </c>
      <c r="J646">
        <f>Data!D659</f>
        <v>0</v>
      </c>
      <c r="K646">
        <f>Data!E659</f>
        <v>0</v>
      </c>
      <c r="L646">
        <f>Data!F659</f>
        <v>0</v>
      </c>
      <c r="M646">
        <f>Data!G659</f>
        <v>0</v>
      </c>
      <c r="N646">
        <f>Data!H659</f>
        <v>0</v>
      </c>
      <c r="O646">
        <f>Data!I659</f>
        <v>0</v>
      </c>
      <c r="P646" s="21">
        <f>Data!J659</f>
        <v>0</v>
      </c>
      <c r="Q646">
        <f>Data!K659</f>
        <v>0</v>
      </c>
      <c r="R646">
        <f>Data!L659</f>
        <v>0</v>
      </c>
      <c r="S646">
        <f>Data!M659</f>
        <v>0</v>
      </c>
      <c r="T646">
        <f>Data!N659</f>
        <v>0</v>
      </c>
      <c r="U646">
        <f>Data!O659</f>
        <v>0</v>
      </c>
      <c r="V646" s="33">
        <f>Data!P659</f>
        <v>0</v>
      </c>
    </row>
    <row r="647" spans="7:22" x14ac:dyDescent="0.25">
      <c r="G647">
        <f>Data!A660</f>
        <v>0</v>
      </c>
      <c r="H647" s="21">
        <f>Data!B660</f>
        <v>0</v>
      </c>
      <c r="I647" s="21">
        <f>Data!C660</f>
        <v>0</v>
      </c>
      <c r="J647">
        <f>Data!D660</f>
        <v>0</v>
      </c>
      <c r="K647">
        <f>Data!E660</f>
        <v>0</v>
      </c>
      <c r="L647">
        <f>Data!F660</f>
        <v>0</v>
      </c>
      <c r="M647">
        <f>Data!G660</f>
        <v>0</v>
      </c>
      <c r="N647">
        <f>Data!H660</f>
        <v>0</v>
      </c>
      <c r="O647">
        <f>Data!I660</f>
        <v>0</v>
      </c>
      <c r="P647" s="21">
        <f>Data!J660</f>
        <v>0</v>
      </c>
      <c r="Q647">
        <f>Data!K660</f>
        <v>0</v>
      </c>
      <c r="R647">
        <f>Data!L660</f>
        <v>0</v>
      </c>
      <c r="S647">
        <f>Data!M660</f>
        <v>0</v>
      </c>
      <c r="T647">
        <f>Data!N660</f>
        <v>0</v>
      </c>
      <c r="U647">
        <f>Data!O660</f>
        <v>0</v>
      </c>
      <c r="V647" s="33">
        <f>Data!P660</f>
        <v>0</v>
      </c>
    </row>
    <row r="648" spans="7:22" x14ac:dyDescent="0.25">
      <c r="G648">
        <f>Data!A661</f>
        <v>0</v>
      </c>
      <c r="H648" s="21">
        <f>Data!B661</f>
        <v>0</v>
      </c>
      <c r="I648" s="21">
        <f>Data!C661</f>
        <v>0</v>
      </c>
      <c r="J648">
        <f>Data!D661</f>
        <v>0</v>
      </c>
      <c r="K648">
        <f>Data!E661</f>
        <v>0</v>
      </c>
      <c r="L648">
        <f>Data!F661</f>
        <v>0</v>
      </c>
      <c r="M648">
        <f>Data!G661</f>
        <v>0</v>
      </c>
      <c r="N648">
        <f>Data!H661</f>
        <v>0</v>
      </c>
      <c r="O648">
        <f>Data!I661</f>
        <v>0</v>
      </c>
      <c r="P648" s="21">
        <f>Data!J661</f>
        <v>0</v>
      </c>
      <c r="Q648">
        <f>Data!K661</f>
        <v>0</v>
      </c>
      <c r="R648">
        <f>Data!L661</f>
        <v>0</v>
      </c>
      <c r="S648">
        <f>Data!M661</f>
        <v>0</v>
      </c>
      <c r="T648">
        <f>Data!N661</f>
        <v>0</v>
      </c>
      <c r="U648">
        <f>Data!O661</f>
        <v>0</v>
      </c>
      <c r="V648" s="33">
        <f>Data!P661</f>
        <v>0</v>
      </c>
    </row>
    <row r="649" spans="7:22" x14ac:dyDescent="0.25">
      <c r="G649">
        <f>Data!A662</f>
        <v>0</v>
      </c>
      <c r="H649" s="21">
        <f>Data!B662</f>
        <v>0</v>
      </c>
      <c r="I649" s="21">
        <f>Data!C662</f>
        <v>0</v>
      </c>
      <c r="J649">
        <f>Data!D662</f>
        <v>0</v>
      </c>
      <c r="K649">
        <f>Data!E662</f>
        <v>0</v>
      </c>
      <c r="L649">
        <f>Data!F662</f>
        <v>0</v>
      </c>
      <c r="M649">
        <f>Data!G662</f>
        <v>0</v>
      </c>
      <c r="N649">
        <f>Data!H662</f>
        <v>0</v>
      </c>
      <c r="O649">
        <f>Data!I662</f>
        <v>0</v>
      </c>
      <c r="P649" s="21">
        <f>Data!J662</f>
        <v>0</v>
      </c>
      <c r="Q649">
        <f>Data!K662</f>
        <v>0</v>
      </c>
      <c r="R649">
        <f>Data!L662</f>
        <v>0</v>
      </c>
      <c r="S649">
        <f>Data!M662</f>
        <v>0</v>
      </c>
      <c r="T649">
        <f>Data!N662</f>
        <v>0</v>
      </c>
      <c r="U649">
        <f>Data!O662</f>
        <v>0</v>
      </c>
      <c r="V649" s="33">
        <f>Data!P662</f>
        <v>0</v>
      </c>
    </row>
    <row r="650" spans="7:22" x14ac:dyDescent="0.25">
      <c r="G650">
        <f>Data!A663</f>
        <v>0</v>
      </c>
      <c r="H650" s="21">
        <f>Data!B663</f>
        <v>0</v>
      </c>
      <c r="I650" s="21">
        <f>Data!C663</f>
        <v>0</v>
      </c>
      <c r="J650">
        <f>Data!D663</f>
        <v>0</v>
      </c>
      <c r="K650">
        <f>Data!E663</f>
        <v>0</v>
      </c>
      <c r="L650">
        <f>Data!F663</f>
        <v>0</v>
      </c>
      <c r="M650">
        <f>Data!G663</f>
        <v>0</v>
      </c>
      <c r="N650">
        <f>Data!H663</f>
        <v>0</v>
      </c>
      <c r="O650">
        <f>Data!I663</f>
        <v>0</v>
      </c>
      <c r="P650" s="21">
        <f>Data!J663</f>
        <v>0</v>
      </c>
      <c r="Q650">
        <f>Data!K663</f>
        <v>0</v>
      </c>
      <c r="R650">
        <f>Data!L663</f>
        <v>0</v>
      </c>
      <c r="S650">
        <f>Data!M663</f>
        <v>0</v>
      </c>
      <c r="T650">
        <f>Data!N663</f>
        <v>0</v>
      </c>
      <c r="U650">
        <f>Data!O663</f>
        <v>0</v>
      </c>
      <c r="V650" s="33">
        <f>Data!P663</f>
        <v>0</v>
      </c>
    </row>
    <row r="651" spans="7:22" x14ac:dyDescent="0.25">
      <c r="G651">
        <f>Data!A664</f>
        <v>0</v>
      </c>
      <c r="H651" s="21">
        <f>Data!B664</f>
        <v>0</v>
      </c>
      <c r="I651" s="21">
        <f>Data!C664</f>
        <v>0</v>
      </c>
      <c r="J651">
        <f>Data!D664</f>
        <v>0</v>
      </c>
      <c r="K651">
        <f>Data!E664</f>
        <v>0</v>
      </c>
      <c r="L651">
        <f>Data!F664</f>
        <v>0</v>
      </c>
      <c r="M651">
        <f>Data!G664</f>
        <v>0</v>
      </c>
      <c r="N651">
        <f>Data!H664</f>
        <v>0</v>
      </c>
      <c r="O651">
        <f>Data!I664</f>
        <v>0</v>
      </c>
      <c r="P651" s="21">
        <f>Data!J664</f>
        <v>0</v>
      </c>
      <c r="Q651">
        <f>Data!K664</f>
        <v>0</v>
      </c>
      <c r="R651">
        <f>Data!L664</f>
        <v>0</v>
      </c>
      <c r="S651">
        <f>Data!M664</f>
        <v>0</v>
      </c>
      <c r="T651">
        <f>Data!N664</f>
        <v>0</v>
      </c>
      <c r="U651">
        <f>Data!O664</f>
        <v>0</v>
      </c>
      <c r="V651" s="33">
        <f>Data!P664</f>
        <v>0</v>
      </c>
    </row>
    <row r="652" spans="7:22" x14ac:dyDescent="0.25">
      <c r="G652">
        <f>Data!A665</f>
        <v>0</v>
      </c>
      <c r="H652" s="21">
        <f>Data!B665</f>
        <v>0</v>
      </c>
      <c r="I652" s="21">
        <f>Data!C665</f>
        <v>0</v>
      </c>
      <c r="J652">
        <f>Data!D665</f>
        <v>0</v>
      </c>
      <c r="K652">
        <f>Data!E665</f>
        <v>0</v>
      </c>
      <c r="L652">
        <f>Data!F665</f>
        <v>0</v>
      </c>
      <c r="M652">
        <f>Data!G665</f>
        <v>0</v>
      </c>
      <c r="N652">
        <f>Data!H665</f>
        <v>0</v>
      </c>
      <c r="O652">
        <f>Data!I665</f>
        <v>0</v>
      </c>
      <c r="P652" s="21">
        <f>Data!J665</f>
        <v>0</v>
      </c>
      <c r="Q652">
        <f>Data!K665</f>
        <v>0</v>
      </c>
      <c r="R652">
        <f>Data!L665</f>
        <v>0</v>
      </c>
      <c r="S652">
        <f>Data!M665</f>
        <v>0</v>
      </c>
      <c r="T652">
        <f>Data!N665</f>
        <v>0</v>
      </c>
      <c r="U652">
        <f>Data!O665</f>
        <v>0</v>
      </c>
      <c r="V652" s="33">
        <f>Data!P665</f>
        <v>0</v>
      </c>
    </row>
    <row r="653" spans="7:22" x14ac:dyDescent="0.25">
      <c r="G653">
        <f>Data!A666</f>
        <v>0</v>
      </c>
      <c r="H653" s="21">
        <f>Data!B666</f>
        <v>0</v>
      </c>
      <c r="I653" s="21">
        <f>Data!C666</f>
        <v>0</v>
      </c>
      <c r="J653">
        <f>Data!D666</f>
        <v>0</v>
      </c>
      <c r="K653">
        <f>Data!E666</f>
        <v>0</v>
      </c>
      <c r="L653">
        <f>Data!F666</f>
        <v>0</v>
      </c>
      <c r="M653">
        <f>Data!G666</f>
        <v>0</v>
      </c>
      <c r="N653">
        <f>Data!H666</f>
        <v>0</v>
      </c>
      <c r="O653">
        <f>Data!I666</f>
        <v>0</v>
      </c>
      <c r="P653" s="21">
        <f>Data!J666</f>
        <v>0</v>
      </c>
      <c r="Q653">
        <f>Data!K666</f>
        <v>0</v>
      </c>
      <c r="R653">
        <f>Data!L666</f>
        <v>0</v>
      </c>
      <c r="S653">
        <f>Data!M666</f>
        <v>0</v>
      </c>
      <c r="T653">
        <f>Data!N666</f>
        <v>0</v>
      </c>
      <c r="U653">
        <f>Data!O666</f>
        <v>0</v>
      </c>
      <c r="V653" s="33">
        <f>Data!P666</f>
        <v>0</v>
      </c>
    </row>
    <row r="654" spans="7:22" x14ac:dyDescent="0.25">
      <c r="G654">
        <f>Data!A667</f>
        <v>0</v>
      </c>
      <c r="H654" s="21">
        <f>Data!B667</f>
        <v>0</v>
      </c>
      <c r="I654" s="21">
        <f>Data!C667</f>
        <v>0</v>
      </c>
      <c r="J654">
        <f>Data!D667</f>
        <v>0</v>
      </c>
      <c r="K654">
        <f>Data!E667</f>
        <v>0</v>
      </c>
      <c r="L654">
        <f>Data!F667</f>
        <v>0</v>
      </c>
      <c r="M654">
        <f>Data!G667</f>
        <v>0</v>
      </c>
      <c r="N654">
        <f>Data!H667</f>
        <v>0</v>
      </c>
      <c r="O654">
        <f>Data!I667</f>
        <v>0</v>
      </c>
      <c r="P654" s="21">
        <f>Data!J667</f>
        <v>0</v>
      </c>
      <c r="Q654">
        <f>Data!K667</f>
        <v>0</v>
      </c>
      <c r="R654">
        <f>Data!L667</f>
        <v>0</v>
      </c>
      <c r="S654">
        <f>Data!M667</f>
        <v>0</v>
      </c>
      <c r="T654">
        <f>Data!N667</f>
        <v>0</v>
      </c>
      <c r="U654">
        <f>Data!O667</f>
        <v>0</v>
      </c>
      <c r="V654" s="33">
        <f>Data!P667</f>
        <v>0</v>
      </c>
    </row>
    <row r="655" spans="7:22" x14ac:dyDescent="0.25">
      <c r="G655">
        <f>Data!A668</f>
        <v>0</v>
      </c>
      <c r="H655" s="21">
        <f>Data!B668</f>
        <v>0</v>
      </c>
      <c r="I655" s="21">
        <f>Data!C668</f>
        <v>0</v>
      </c>
      <c r="J655">
        <f>Data!D668</f>
        <v>0</v>
      </c>
      <c r="K655">
        <f>Data!E668</f>
        <v>0</v>
      </c>
      <c r="L655">
        <f>Data!F668</f>
        <v>0</v>
      </c>
      <c r="M655">
        <f>Data!G668</f>
        <v>0</v>
      </c>
      <c r="N655">
        <f>Data!H668</f>
        <v>0</v>
      </c>
      <c r="O655">
        <f>Data!I668</f>
        <v>0</v>
      </c>
      <c r="P655" s="21">
        <f>Data!J668</f>
        <v>0</v>
      </c>
      <c r="Q655">
        <f>Data!K668</f>
        <v>0</v>
      </c>
      <c r="R655">
        <f>Data!L668</f>
        <v>0</v>
      </c>
      <c r="S655">
        <f>Data!M668</f>
        <v>0</v>
      </c>
      <c r="T655">
        <f>Data!N668</f>
        <v>0</v>
      </c>
      <c r="U655">
        <f>Data!O668</f>
        <v>0</v>
      </c>
      <c r="V655" s="33">
        <f>Data!P668</f>
        <v>0</v>
      </c>
    </row>
    <row r="656" spans="7:22" x14ac:dyDescent="0.25">
      <c r="G656">
        <f>Data!A669</f>
        <v>0</v>
      </c>
      <c r="H656" s="21">
        <f>Data!B669</f>
        <v>0</v>
      </c>
      <c r="I656" s="21">
        <f>Data!C669</f>
        <v>0</v>
      </c>
      <c r="J656">
        <f>Data!D669</f>
        <v>0</v>
      </c>
      <c r="K656">
        <f>Data!E669</f>
        <v>0</v>
      </c>
      <c r="L656">
        <f>Data!F669</f>
        <v>0</v>
      </c>
      <c r="M656">
        <f>Data!G669</f>
        <v>0</v>
      </c>
      <c r="N656">
        <f>Data!H669</f>
        <v>0</v>
      </c>
      <c r="O656">
        <f>Data!I669</f>
        <v>0</v>
      </c>
      <c r="P656" s="21">
        <f>Data!J669</f>
        <v>0</v>
      </c>
      <c r="Q656">
        <f>Data!K669</f>
        <v>0</v>
      </c>
      <c r="R656">
        <f>Data!L669</f>
        <v>0</v>
      </c>
      <c r="S656">
        <f>Data!M669</f>
        <v>0</v>
      </c>
      <c r="T656">
        <f>Data!N669</f>
        <v>0</v>
      </c>
      <c r="U656">
        <f>Data!O669</f>
        <v>0</v>
      </c>
      <c r="V656" s="33">
        <f>Data!P669</f>
        <v>0</v>
      </c>
    </row>
    <row r="657" spans="7:22" x14ac:dyDescent="0.25">
      <c r="G657">
        <f>Data!A670</f>
        <v>0</v>
      </c>
      <c r="H657" s="21">
        <f>Data!B670</f>
        <v>0</v>
      </c>
      <c r="I657" s="21">
        <f>Data!C670</f>
        <v>0</v>
      </c>
      <c r="J657">
        <f>Data!D670</f>
        <v>0</v>
      </c>
      <c r="K657">
        <f>Data!E670</f>
        <v>0</v>
      </c>
      <c r="L657">
        <f>Data!F670</f>
        <v>0</v>
      </c>
      <c r="M657">
        <f>Data!G670</f>
        <v>0</v>
      </c>
      <c r="N657">
        <f>Data!H670</f>
        <v>0</v>
      </c>
      <c r="O657">
        <f>Data!I670</f>
        <v>0</v>
      </c>
      <c r="P657" s="21">
        <f>Data!J670</f>
        <v>0</v>
      </c>
      <c r="Q657">
        <f>Data!K670</f>
        <v>0</v>
      </c>
      <c r="R657">
        <f>Data!L670</f>
        <v>0</v>
      </c>
      <c r="S657">
        <f>Data!M670</f>
        <v>0</v>
      </c>
      <c r="T657">
        <f>Data!N670</f>
        <v>0</v>
      </c>
      <c r="U657">
        <f>Data!O670</f>
        <v>0</v>
      </c>
      <c r="V657" s="33">
        <f>Data!P670</f>
        <v>0</v>
      </c>
    </row>
    <row r="658" spans="7:22" x14ac:dyDescent="0.25">
      <c r="G658">
        <f>Data!A671</f>
        <v>0</v>
      </c>
      <c r="H658" s="21">
        <f>Data!B671</f>
        <v>0</v>
      </c>
      <c r="I658" s="21">
        <f>Data!C671</f>
        <v>0</v>
      </c>
      <c r="J658">
        <f>Data!D671</f>
        <v>0</v>
      </c>
      <c r="K658">
        <f>Data!E671</f>
        <v>0</v>
      </c>
      <c r="L658">
        <f>Data!F671</f>
        <v>0</v>
      </c>
      <c r="M658">
        <f>Data!G671</f>
        <v>0</v>
      </c>
      <c r="N658">
        <f>Data!H671</f>
        <v>0</v>
      </c>
      <c r="O658">
        <f>Data!I671</f>
        <v>0</v>
      </c>
      <c r="P658" s="21">
        <f>Data!J671</f>
        <v>0</v>
      </c>
      <c r="Q658">
        <f>Data!K671</f>
        <v>0</v>
      </c>
      <c r="R658">
        <f>Data!L671</f>
        <v>0</v>
      </c>
      <c r="S658">
        <f>Data!M671</f>
        <v>0</v>
      </c>
      <c r="T658">
        <f>Data!N671</f>
        <v>0</v>
      </c>
      <c r="U658">
        <f>Data!O671</f>
        <v>0</v>
      </c>
      <c r="V658" s="33">
        <f>Data!P671</f>
        <v>0</v>
      </c>
    </row>
    <row r="659" spans="7:22" x14ac:dyDescent="0.25">
      <c r="G659">
        <f>Data!A672</f>
        <v>0</v>
      </c>
      <c r="H659" s="21">
        <f>Data!B672</f>
        <v>0</v>
      </c>
      <c r="I659" s="21">
        <f>Data!C672</f>
        <v>0</v>
      </c>
      <c r="J659">
        <f>Data!D672</f>
        <v>0</v>
      </c>
      <c r="K659">
        <f>Data!E672</f>
        <v>0</v>
      </c>
      <c r="L659">
        <f>Data!F672</f>
        <v>0</v>
      </c>
      <c r="M659">
        <f>Data!G672</f>
        <v>0</v>
      </c>
      <c r="N659">
        <f>Data!H672</f>
        <v>0</v>
      </c>
      <c r="O659">
        <f>Data!I672</f>
        <v>0</v>
      </c>
      <c r="P659" s="21">
        <f>Data!J672</f>
        <v>0</v>
      </c>
      <c r="Q659">
        <f>Data!K672</f>
        <v>0</v>
      </c>
      <c r="R659">
        <f>Data!L672</f>
        <v>0</v>
      </c>
      <c r="S659">
        <f>Data!M672</f>
        <v>0</v>
      </c>
      <c r="T659">
        <f>Data!N672</f>
        <v>0</v>
      </c>
      <c r="U659">
        <f>Data!O672</f>
        <v>0</v>
      </c>
      <c r="V659" s="33">
        <f>Data!P672</f>
        <v>0</v>
      </c>
    </row>
    <row r="660" spans="7:22" x14ac:dyDescent="0.25">
      <c r="G660">
        <f>Data!A673</f>
        <v>0</v>
      </c>
      <c r="H660" s="21">
        <f>Data!B673</f>
        <v>0</v>
      </c>
      <c r="I660" s="21">
        <f>Data!C673</f>
        <v>0</v>
      </c>
      <c r="J660">
        <f>Data!D673</f>
        <v>0</v>
      </c>
      <c r="K660">
        <f>Data!E673</f>
        <v>0</v>
      </c>
      <c r="L660">
        <f>Data!F673</f>
        <v>0</v>
      </c>
      <c r="M660">
        <f>Data!G673</f>
        <v>0</v>
      </c>
      <c r="N660">
        <f>Data!H673</f>
        <v>0</v>
      </c>
      <c r="O660">
        <f>Data!I673</f>
        <v>0</v>
      </c>
      <c r="P660" s="21">
        <f>Data!J673</f>
        <v>0</v>
      </c>
      <c r="Q660">
        <f>Data!K673</f>
        <v>0</v>
      </c>
      <c r="R660">
        <f>Data!L673</f>
        <v>0</v>
      </c>
      <c r="S660">
        <f>Data!M673</f>
        <v>0</v>
      </c>
      <c r="T660">
        <f>Data!N673</f>
        <v>0</v>
      </c>
      <c r="U660">
        <f>Data!O673</f>
        <v>0</v>
      </c>
      <c r="V660" s="33">
        <f>Data!P673</f>
        <v>0</v>
      </c>
    </row>
    <row r="661" spans="7:22" x14ac:dyDescent="0.25">
      <c r="G661">
        <f>Data!A674</f>
        <v>0</v>
      </c>
      <c r="H661" s="21">
        <f>Data!B674</f>
        <v>0</v>
      </c>
      <c r="I661" s="21">
        <f>Data!C674</f>
        <v>0</v>
      </c>
      <c r="J661">
        <f>Data!D674</f>
        <v>0</v>
      </c>
      <c r="K661">
        <f>Data!E674</f>
        <v>0</v>
      </c>
      <c r="L661">
        <f>Data!F674</f>
        <v>0</v>
      </c>
      <c r="M661">
        <f>Data!G674</f>
        <v>0</v>
      </c>
      <c r="N661">
        <f>Data!H674</f>
        <v>0</v>
      </c>
      <c r="O661">
        <f>Data!I674</f>
        <v>0</v>
      </c>
      <c r="P661" s="21">
        <f>Data!J674</f>
        <v>0</v>
      </c>
      <c r="Q661">
        <f>Data!K674</f>
        <v>0</v>
      </c>
      <c r="R661">
        <f>Data!L674</f>
        <v>0</v>
      </c>
      <c r="S661">
        <f>Data!M674</f>
        <v>0</v>
      </c>
      <c r="T661">
        <f>Data!N674</f>
        <v>0</v>
      </c>
      <c r="U661">
        <f>Data!O674</f>
        <v>0</v>
      </c>
      <c r="V661" s="33">
        <f>Data!P674</f>
        <v>0</v>
      </c>
    </row>
    <row r="662" spans="7:22" x14ac:dyDescent="0.25">
      <c r="G662">
        <f>Data!A675</f>
        <v>0</v>
      </c>
      <c r="H662" s="21">
        <f>Data!B675</f>
        <v>0</v>
      </c>
      <c r="I662" s="21">
        <f>Data!C675</f>
        <v>0</v>
      </c>
      <c r="J662">
        <f>Data!D675</f>
        <v>0</v>
      </c>
      <c r="K662">
        <f>Data!E675</f>
        <v>0</v>
      </c>
      <c r="L662">
        <f>Data!F675</f>
        <v>0</v>
      </c>
      <c r="M662">
        <f>Data!G675</f>
        <v>0</v>
      </c>
      <c r="N662">
        <f>Data!H675</f>
        <v>0</v>
      </c>
      <c r="O662">
        <f>Data!I675</f>
        <v>0</v>
      </c>
      <c r="P662" s="21">
        <f>Data!J675</f>
        <v>0</v>
      </c>
      <c r="Q662">
        <f>Data!K675</f>
        <v>0</v>
      </c>
      <c r="R662">
        <f>Data!L675</f>
        <v>0</v>
      </c>
      <c r="S662">
        <f>Data!M675</f>
        <v>0</v>
      </c>
      <c r="T662">
        <f>Data!N675</f>
        <v>0</v>
      </c>
      <c r="U662">
        <f>Data!O675</f>
        <v>0</v>
      </c>
      <c r="V662" s="33">
        <f>Data!P675</f>
        <v>0</v>
      </c>
    </row>
    <row r="663" spans="7:22" x14ac:dyDescent="0.25">
      <c r="G663">
        <f>Data!A676</f>
        <v>0</v>
      </c>
      <c r="H663" s="21">
        <f>Data!B676</f>
        <v>0</v>
      </c>
      <c r="I663" s="21">
        <f>Data!C676</f>
        <v>0</v>
      </c>
      <c r="J663">
        <f>Data!D676</f>
        <v>0</v>
      </c>
      <c r="K663">
        <f>Data!E676</f>
        <v>0</v>
      </c>
      <c r="L663">
        <f>Data!F676</f>
        <v>0</v>
      </c>
      <c r="M663">
        <f>Data!G676</f>
        <v>0</v>
      </c>
      <c r="N663">
        <f>Data!H676</f>
        <v>0</v>
      </c>
      <c r="O663">
        <f>Data!I676</f>
        <v>0</v>
      </c>
      <c r="P663" s="21">
        <f>Data!J676</f>
        <v>0</v>
      </c>
      <c r="Q663">
        <f>Data!K676</f>
        <v>0</v>
      </c>
      <c r="R663">
        <f>Data!L676</f>
        <v>0</v>
      </c>
      <c r="S663">
        <f>Data!M676</f>
        <v>0</v>
      </c>
      <c r="T663">
        <f>Data!N676</f>
        <v>0</v>
      </c>
      <c r="U663">
        <f>Data!O676</f>
        <v>0</v>
      </c>
      <c r="V663" s="33">
        <f>Data!P676</f>
        <v>0</v>
      </c>
    </row>
    <row r="664" spans="7:22" x14ac:dyDescent="0.25">
      <c r="G664">
        <f>Data!A677</f>
        <v>0</v>
      </c>
      <c r="H664" s="21">
        <f>Data!B677</f>
        <v>0</v>
      </c>
      <c r="I664" s="21">
        <f>Data!C677</f>
        <v>0</v>
      </c>
      <c r="J664">
        <f>Data!D677</f>
        <v>0</v>
      </c>
      <c r="K664">
        <f>Data!E677</f>
        <v>0</v>
      </c>
      <c r="L664">
        <f>Data!F677</f>
        <v>0</v>
      </c>
      <c r="M664">
        <f>Data!G677</f>
        <v>0</v>
      </c>
      <c r="N664">
        <f>Data!H677</f>
        <v>0</v>
      </c>
      <c r="O664">
        <f>Data!I677</f>
        <v>0</v>
      </c>
      <c r="P664" s="21">
        <f>Data!J677</f>
        <v>0</v>
      </c>
      <c r="Q664">
        <f>Data!K677</f>
        <v>0</v>
      </c>
      <c r="R664">
        <f>Data!L677</f>
        <v>0</v>
      </c>
      <c r="S664">
        <f>Data!M677</f>
        <v>0</v>
      </c>
      <c r="T664">
        <f>Data!N677</f>
        <v>0</v>
      </c>
      <c r="U664">
        <f>Data!O677</f>
        <v>0</v>
      </c>
      <c r="V664" s="33">
        <f>Data!P677</f>
        <v>0</v>
      </c>
    </row>
    <row r="665" spans="7:22" x14ac:dyDescent="0.25">
      <c r="G665">
        <f>Data!A678</f>
        <v>0</v>
      </c>
      <c r="H665" s="21">
        <f>Data!B678</f>
        <v>0</v>
      </c>
      <c r="I665" s="21">
        <f>Data!C678</f>
        <v>0</v>
      </c>
      <c r="J665">
        <f>Data!D678</f>
        <v>0</v>
      </c>
      <c r="K665">
        <f>Data!E678</f>
        <v>0</v>
      </c>
      <c r="L665">
        <f>Data!F678</f>
        <v>0</v>
      </c>
      <c r="M665">
        <f>Data!G678</f>
        <v>0</v>
      </c>
      <c r="N665">
        <f>Data!H678</f>
        <v>0</v>
      </c>
      <c r="O665">
        <f>Data!I678</f>
        <v>0</v>
      </c>
      <c r="P665" s="21">
        <f>Data!J678</f>
        <v>0</v>
      </c>
      <c r="Q665">
        <f>Data!K678</f>
        <v>0</v>
      </c>
      <c r="R665">
        <f>Data!L678</f>
        <v>0</v>
      </c>
      <c r="S665">
        <f>Data!M678</f>
        <v>0</v>
      </c>
      <c r="T665">
        <f>Data!N678</f>
        <v>0</v>
      </c>
      <c r="U665">
        <f>Data!O678</f>
        <v>0</v>
      </c>
      <c r="V665" s="33">
        <f>Data!P678</f>
        <v>0</v>
      </c>
    </row>
    <row r="666" spans="7:22" x14ac:dyDescent="0.25">
      <c r="G666">
        <f>Data!A679</f>
        <v>0</v>
      </c>
      <c r="H666" s="21">
        <f>Data!B679</f>
        <v>0</v>
      </c>
      <c r="I666" s="21">
        <f>Data!C679</f>
        <v>0</v>
      </c>
      <c r="J666">
        <f>Data!D679</f>
        <v>0</v>
      </c>
      <c r="K666">
        <f>Data!E679</f>
        <v>0</v>
      </c>
      <c r="L666">
        <f>Data!F679</f>
        <v>0</v>
      </c>
      <c r="M666">
        <f>Data!G679</f>
        <v>0</v>
      </c>
      <c r="N666">
        <f>Data!H679</f>
        <v>0</v>
      </c>
      <c r="O666">
        <f>Data!I679</f>
        <v>0</v>
      </c>
      <c r="P666" s="21">
        <f>Data!J679</f>
        <v>0</v>
      </c>
      <c r="Q666">
        <f>Data!K679</f>
        <v>0</v>
      </c>
      <c r="R666">
        <f>Data!L679</f>
        <v>0</v>
      </c>
      <c r="S666">
        <f>Data!M679</f>
        <v>0</v>
      </c>
      <c r="T666">
        <f>Data!N679</f>
        <v>0</v>
      </c>
      <c r="U666">
        <f>Data!O679</f>
        <v>0</v>
      </c>
      <c r="V666" s="33">
        <f>Data!P679</f>
        <v>0</v>
      </c>
    </row>
    <row r="667" spans="7:22" x14ac:dyDescent="0.25">
      <c r="G667">
        <f>Data!A680</f>
        <v>0</v>
      </c>
      <c r="H667" s="21">
        <f>Data!B680</f>
        <v>0</v>
      </c>
      <c r="I667" s="21">
        <f>Data!C680</f>
        <v>0</v>
      </c>
      <c r="J667">
        <f>Data!D680</f>
        <v>0</v>
      </c>
      <c r="K667">
        <f>Data!E680</f>
        <v>0</v>
      </c>
      <c r="L667">
        <f>Data!F680</f>
        <v>0</v>
      </c>
      <c r="M667">
        <f>Data!G680</f>
        <v>0</v>
      </c>
      <c r="N667">
        <f>Data!H680</f>
        <v>0</v>
      </c>
      <c r="O667">
        <f>Data!I680</f>
        <v>0</v>
      </c>
      <c r="P667" s="21">
        <f>Data!J680</f>
        <v>0</v>
      </c>
      <c r="Q667">
        <f>Data!K680</f>
        <v>0</v>
      </c>
      <c r="R667">
        <f>Data!L680</f>
        <v>0</v>
      </c>
      <c r="S667">
        <f>Data!M680</f>
        <v>0</v>
      </c>
      <c r="T667">
        <f>Data!N680</f>
        <v>0</v>
      </c>
      <c r="U667">
        <f>Data!O680</f>
        <v>0</v>
      </c>
      <c r="V667" s="33">
        <f>Data!P680</f>
        <v>0</v>
      </c>
    </row>
    <row r="668" spans="7:22" x14ac:dyDescent="0.25">
      <c r="G668">
        <f>Data!A681</f>
        <v>0</v>
      </c>
      <c r="H668" s="21">
        <f>Data!B681</f>
        <v>0</v>
      </c>
      <c r="I668" s="21">
        <f>Data!C681</f>
        <v>0</v>
      </c>
      <c r="J668">
        <f>Data!D681</f>
        <v>0</v>
      </c>
      <c r="K668">
        <f>Data!E681</f>
        <v>0</v>
      </c>
      <c r="L668">
        <f>Data!F681</f>
        <v>0</v>
      </c>
      <c r="M668">
        <f>Data!G681</f>
        <v>0</v>
      </c>
      <c r="N668">
        <f>Data!H681</f>
        <v>0</v>
      </c>
      <c r="O668">
        <f>Data!I681</f>
        <v>0</v>
      </c>
      <c r="P668" s="21">
        <f>Data!J681</f>
        <v>0</v>
      </c>
      <c r="Q668">
        <f>Data!K681</f>
        <v>0</v>
      </c>
      <c r="R668">
        <f>Data!L681</f>
        <v>0</v>
      </c>
      <c r="S668">
        <f>Data!M681</f>
        <v>0</v>
      </c>
      <c r="T668">
        <f>Data!N681</f>
        <v>0</v>
      </c>
      <c r="U668">
        <f>Data!O681</f>
        <v>0</v>
      </c>
      <c r="V668" s="33">
        <f>Data!P681</f>
        <v>0</v>
      </c>
    </row>
    <row r="669" spans="7:22" x14ac:dyDescent="0.25">
      <c r="G669">
        <f>Data!A682</f>
        <v>0</v>
      </c>
      <c r="H669" s="21">
        <f>Data!B682</f>
        <v>0</v>
      </c>
      <c r="I669" s="21">
        <f>Data!C682</f>
        <v>0</v>
      </c>
      <c r="J669">
        <f>Data!D682</f>
        <v>0</v>
      </c>
      <c r="K669">
        <f>Data!E682</f>
        <v>0</v>
      </c>
      <c r="L669">
        <f>Data!F682</f>
        <v>0</v>
      </c>
      <c r="M669">
        <f>Data!G682</f>
        <v>0</v>
      </c>
      <c r="N669">
        <f>Data!H682</f>
        <v>0</v>
      </c>
      <c r="O669">
        <f>Data!I682</f>
        <v>0</v>
      </c>
      <c r="P669" s="21">
        <f>Data!J682</f>
        <v>0</v>
      </c>
      <c r="Q669">
        <f>Data!K682</f>
        <v>0</v>
      </c>
      <c r="R669">
        <f>Data!L682</f>
        <v>0</v>
      </c>
      <c r="S669">
        <f>Data!M682</f>
        <v>0</v>
      </c>
      <c r="T669">
        <f>Data!N682</f>
        <v>0</v>
      </c>
      <c r="U669">
        <f>Data!O682</f>
        <v>0</v>
      </c>
      <c r="V669" s="33">
        <f>Data!P682</f>
        <v>0</v>
      </c>
    </row>
    <row r="670" spans="7:22" x14ac:dyDescent="0.25">
      <c r="G670">
        <f>Data!A683</f>
        <v>0</v>
      </c>
      <c r="H670" s="21">
        <f>Data!B683</f>
        <v>0</v>
      </c>
      <c r="I670" s="21">
        <f>Data!C683</f>
        <v>0</v>
      </c>
      <c r="J670">
        <f>Data!D683</f>
        <v>0</v>
      </c>
      <c r="K670">
        <f>Data!E683</f>
        <v>0</v>
      </c>
      <c r="L670">
        <f>Data!F683</f>
        <v>0</v>
      </c>
      <c r="M670">
        <f>Data!G683</f>
        <v>0</v>
      </c>
      <c r="N670">
        <f>Data!H683</f>
        <v>0</v>
      </c>
      <c r="O670">
        <f>Data!I683</f>
        <v>0</v>
      </c>
      <c r="P670" s="21">
        <f>Data!J683</f>
        <v>0</v>
      </c>
      <c r="Q670">
        <f>Data!K683</f>
        <v>0</v>
      </c>
      <c r="R670">
        <f>Data!L683</f>
        <v>0</v>
      </c>
      <c r="S670">
        <f>Data!M683</f>
        <v>0</v>
      </c>
      <c r="T670">
        <f>Data!N683</f>
        <v>0</v>
      </c>
      <c r="U670">
        <f>Data!O683</f>
        <v>0</v>
      </c>
      <c r="V670" s="33">
        <f>Data!P683</f>
        <v>0</v>
      </c>
    </row>
    <row r="671" spans="7:22" x14ac:dyDescent="0.25">
      <c r="G671">
        <f>Data!A684</f>
        <v>0</v>
      </c>
      <c r="H671" s="21">
        <f>Data!B684</f>
        <v>0</v>
      </c>
      <c r="I671" s="21">
        <f>Data!C684</f>
        <v>0</v>
      </c>
      <c r="J671">
        <f>Data!D684</f>
        <v>0</v>
      </c>
      <c r="K671">
        <f>Data!E684</f>
        <v>0</v>
      </c>
      <c r="L671">
        <f>Data!F684</f>
        <v>0</v>
      </c>
      <c r="M671">
        <f>Data!G684</f>
        <v>0</v>
      </c>
      <c r="N671">
        <f>Data!H684</f>
        <v>0</v>
      </c>
      <c r="O671">
        <f>Data!I684</f>
        <v>0</v>
      </c>
      <c r="P671" s="21">
        <f>Data!J684</f>
        <v>0</v>
      </c>
      <c r="Q671">
        <f>Data!K684</f>
        <v>0</v>
      </c>
      <c r="R671">
        <f>Data!L684</f>
        <v>0</v>
      </c>
      <c r="S671">
        <f>Data!M684</f>
        <v>0</v>
      </c>
      <c r="T671">
        <f>Data!N684</f>
        <v>0</v>
      </c>
      <c r="U671">
        <f>Data!O684</f>
        <v>0</v>
      </c>
      <c r="V671" s="33">
        <f>Data!P684</f>
        <v>0</v>
      </c>
    </row>
    <row r="672" spans="7:22" x14ac:dyDescent="0.25">
      <c r="G672">
        <f>Data!A685</f>
        <v>0</v>
      </c>
      <c r="H672" s="21">
        <f>Data!B685</f>
        <v>0</v>
      </c>
      <c r="I672" s="21">
        <f>Data!C685</f>
        <v>0</v>
      </c>
      <c r="J672">
        <f>Data!D685</f>
        <v>0</v>
      </c>
      <c r="K672">
        <f>Data!E685</f>
        <v>0</v>
      </c>
      <c r="L672">
        <f>Data!F685</f>
        <v>0</v>
      </c>
      <c r="M672">
        <f>Data!G685</f>
        <v>0</v>
      </c>
      <c r="N672">
        <f>Data!H685</f>
        <v>0</v>
      </c>
      <c r="O672">
        <f>Data!I685</f>
        <v>0</v>
      </c>
      <c r="P672" s="21">
        <f>Data!J685</f>
        <v>0</v>
      </c>
      <c r="Q672">
        <f>Data!K685</f>
        <v>0</v>
      </c>
      <c r="R672">
        <f>Data!L685</f>
        <v>0</v>
      </c>
      <c r="S672">
        <f>Data!M685</f>
        <v>0</v>
      </c>
      <c r="T672">
        <f>Data!N685</f>
        <v>0</v>
      </c>
      <c r="U672">
        <f>Data!O685</f>
        <v>0</v>
      </c>
      <c r="V672" s="33">
        <f>Data!P685</f>
        <v>0</v>
      </c>
    </row>
    <row r="673" spans="7:22" x14ac:dyDescent="0.25">
      <c r="G673">
        <f>Data!A686</f>
        <v>0</v>
      </c>
      <c r="H673" s="21">
        <f>Data!B686</f>
        <v>0</v>
      </c>
      <c r="I673" s="21">
        <f>Data!C686</f>
        <v>0</v>
      </c>
      <c r="J673">
        <f>Data!D686</f>
        <v>0</v>
      </c>
      <c r="K673">
        <f>Data!E686</f>
        <v>0</v>
      </c>
      <c r="L673">
        <f>Data!F686</f>
        <v>0</v>
      </c>
      <c r="M673">
        <f>Data!G686</f>
        <v>0</v>
      </c>
      <c r="N673">
        <f>Data!H686</f>
        <v>0</v>
      </c>
      <c r="O673">
        <f>Data!I686</f>
        <v>0</v>
      </c>
      <c r="P673" s="21">
        <f>Data!J686</f>
        <v>0</v>
      </c>
      <c r="Q673">
        <f>Data!K686</f>
        <v>0</v>
      </c>
      <c r="R673">
        <f>Data!L686</f>
        <v>0</v>
      </c>
      <c r="S673">
        <f>Data!M686</f>
        <v>0</v>
      </c>
      <c r="T673">
        <f>Data!N686</f>
        <v>0</v>
      </c>
      <c r="U673">
        <f>Data!O686</f>
        <v>0</v>
      </c>
      <c r="V673" s="33">
        <f>Data!P686</f>
        <v>0</v>
      </c>
    </row>
    <row r="674" spans="7:22" x14ac:dyDescent="0.25">
      <c r="G674">
        <f>Data!A687</f>
        <v>0</v>
      </c>
      <c r="H674" s="21">
        <f>Data!B687</f>
        <v>0</v>
      </c>
      <c r="I674" s="21">
        <f>Data!C687</f>
        <v>0</v>
      </c>
      <c r="J674">
        <f>Data!D687</f>
        <v>0</v>
      </c>
      <c r="K674">
        <f>Data!E687</f>
        <v>0</v>
      </c>
      <c r="L674">
        <f>Data!F687</f>
        <v>0</v>
      </c>
      <c r="M674">
        <f>Data!G687</f>
        <v>0</v>
      </c>
      <c r="N674">
        <f>Data!H687</f>
        <v>0</v>
      </c>
      <c r="O674">
        <f>Data!I687</f>
        <v>0</v>
      </c>
      <c r="P674" s="21">
        <f>Data!J687</f>
        <v>0</v>
      </c>
      <c r="Q674">
        <f>Data!K687</f>
        <v>0</v>
      </c>
      <c r="R674">
        <f>Data!L687</f>
        <v>0</v>
      </c>
      <c r="S674">
        <f>Data!M687</f>
        <v>0</v>
      </c>
      <c r="T674">
        <f>Data!N687</f>
        <v>0</v>
      </c>
      <c r="U674">
        <f>Data!O687</f>
        <v>0</v>
      </c>
      <c r="V674" s="33">
        <f>Data!P687</f>
        <v>0</v>
      </c>
    </row>
    <row r="675" spans="7:22" x14ac:dyDescent="0.25">
      <c r="G675">
        <f>Data!A688</f>
        <v>0</v>
      </c>
      <c r="H675" s="21">
        <f>Data!B688</f>
        <v>0</v>
      </c>
      <c r="I675" s="21">
        <f>Data!C688</f>
        <v>0</v>
      </c>
      <c r="J675">
        <f>Data!D688</f>
        <v>0</v>
      </c>
      <c r="K675">
        <f>Data!E688</f>
        <v>0</v>
      </c>
      <c r="L675">
        <f>Data!F688</f>
        <v>0</v>
      </c>
      <c r="M675">
        <f>Data!G688</f>
        <v>0</v>
      </c>
      <c r="N675">
        <f>Data!H688</f>
        <v>0</v>
      </c>
      <c r="O675">
        <f>Data!I688</f>
        <v>0</v>
      </c>
      <c r="P675" s="21">
        <f>Data!J688</f>
        <v>0</v>
      </c>
      <c r="Q675">
        <f>Data!K688</f>
        <v>0</v>
      </c>
      <c r="R675">
        <f>Data!L688</f>
        <v>0</v>
      </c>
      <c r="S675">
        <f>Data!M688</f>
        <v>0</v>
      </c>
      <c r="T675">
        <f>Data!N688</f>
        <v>0</v>
      </c>
      <c r="U675">
        <f>Data!O688</f>
        <v>0</v>
      </c>
      <c r="V675" s="33">
        <f>Data!P688</f>
        <v>0</v>
      </c>
    </row>
    <row r="676" spans="7:22" x14ac:dyDescent="0.25">
      <c r="G676">
        <f>Data!A689</f>
        <v>0</v>
      </c>
      <c r="H676" s="21">
        <f>Data!B689</f>
        <v>0</v>
      </c>
      <c r="I676" s="21">
        <f>Data!C689</f>
        <v>0</v>
      </c>
      <c r="J676">
        <f>Data!D689</f>
        <v>0</v>
      </c>
      <c r="K676">
        <f>Data!E689</f>
        <v>0</v>
      </c>
      <c r="L676">
        <f>Data!F689</f>
        <v>0</v>
      </c>
      <c r="M676">
        <f>Data!G689</f>
        <v>0</v>
      </c>
      <c r="N676">
        <f>Data!H689</f>
        <v>0</v>
      </c>
      <c r="O676">
        <f>Data!I689</f>
        <v>0</v>
      </c>
      <c r="P676" s="21">
        <f>Data!J689</f>
        <v>0</v>
      </c>
      <c r="Q676">
        <f>Data!K689</f>
        <v>0</v>
      </c>
      <c r="R676">
        <f>Data!L689</f>
        <v>0</v>
      </c>
      <c r="S676">
        <f>Data!M689</f>
        <v>0</v>
      </c>
      <c r="T676">
        <f>Data!N689</f>
        <v>0</v>
      </c>
      <c r="U676">
        <f>Data!O689</f>
        <v>0</v>
      </c>
      <c r="V676" s="33">
        <f>Data!P689</f>
        <v>0</v>
      </c>
    </row>
    <row r="677" spans="7:22" x14ac:dyDescent="0.25">
      <c r="G677">
        <f>Data!A690</f>
        <v>0</v>
      </c>
      <c r="H677" s="21">
        <f>Data!B690</f>
        <v>0</v>
      </c>
      <c r="I677" s="21">
        <f>Data!C690</f>
        <v>0</v>
      </c>
      <c r="J677">
        <f>Data!D690</f>
        <v>0</v>
      </c>
      <c r="K677">
        <f>Data!E690</f>
        <v>0</v>
      </c>
      <c r="L677">
        <f>Data!F690</f>
        <v>0</v>
      </c>
      <c r="M677">
        <f>Data!G690</f>
        <v>0</v>
      </c>
      <c r="N677">
        <f>Data!H690</f>
        <v>0</v>
      </c>
      <c r="O677">
        <f>Data!I690</f>
        <v>0</v>
      </c>
      <c r="P677" s="21">
        <f>Data!J690</f>
        <v>0</v>
      </c>
      <c r="Q677">
        <f>Data!K690</f>
        <v>0</v>
      </c>
      <c r="R677">
        <f>Data!L690</f>
        <v>0</v>
      </c>
      <c r="S677">
        <f>Data!M690</f>
        <v>0</v>
      </c>
      <c r="T677">
        <f>Data!N690</f>
        <v>0</v>
      </c>
      <c r="U677">
        <f>Data!O690</f>
        <v>0</v>
      </c>
      <c r="V677" s="33">
        <f>Data!P690</f>
        <v>0</v>
      </c>
    </row>
    <row r="678" spans="7:22" x14ac:dyDescent="0.25">
      <c r="G678">
        <f>Data!A691</f>
        <v>0</v>
      </c>
      <c r="H678" s="21">
        <f>Data!B691</f>
        <v>0</v>
      </c>
      <c r="I678" s="21">
        <f>Data!C691</f>
        <v>0</v>
      </c>
      <c r="J678">
        <f>Data!D691</f>
        <v>0</v>
      </c>
      <c r="K678">
        <f>Data!E691</f>
        <v>0</v>
      </c>
      <c r="L678">
        <f>Data!F691</f>
        <v>0</v>
      </c>
      <c r="M678">
        <f>Data!G691</f>
        <v>0</v>
      </c>
      <c r="N678">
        <f>Data!H691</f>
        <v>0</v>
      </c>
      <c r="O678">
        <f>Data!I691</f>
        <v>0</v>
      </c>
      <c r="P678" s="21">
        <f>Data!J691</f>
        <v>0</v>
      </c>
      <c r="Q678">
        <f>Data!K691</f>
        <v>0</v>
      </c>
      <c r="R678">
        <f>Data!L691</f>
        <v>0</v>
      </c>
      <c r="S678">
        <f>Data!M691</f>
        <v>0</v>
      </c>
      <c r="T678">
        <f>Data!N691</f>
        <v>0</v>
      </c>
      <c r="U678">
        <f>Data!O691</f>
        <v>0</v>
      </c>
      <c r="V678" s="33">
        <f>Data!P691</f>
        <v>0</v>
      </c>
    </row>
    <row r="679" spans="7:22" x14ac:dyDescent="0.25">
      <c r="G679">
        <f>Data!A692</f>
        <v>0</v>
      </c>
      <c r="H679" s="21">
        <f>Data!B692</f>
        <v>0</v>
      </c>
      <c r="I679" s="21">
        <f>Data!C692</f>
        <v>0</v>
      </c>
      <c r="J679">
        <f>Data!D692</f>
        <v>0</v>
      </c>
      <c r="K679">
        <f>Data!E692</f>
        <v>0</v>
      </c>
      <c r="L679">
        <f>Data!F692</f>
        <v>0</v>
      </c>
      <c r="M679">
        <f>Data!G692</f>
        <v>0</v>
      </c>
      <c r="N679">
        <f>Data!H692</f>
        <v>0</v>
      </c>
      <c r="O679">
        <f>Data!I692</f>
        <v>0</v>
      </c>
      <c r="P679" s="21">
        <f>Data!J692</f>
        <v>0</v>
      </c>
      <c r="Q679">
        <f>Data!K692</f>
        <v>0</v>
      </c>
      <c r="R679">
        <f>Data!L692</f>
        <v>0</v>
      </c>
      <c r="S679">
        <f>Data!M692</f>
        <v>0</v>
      </c>
      <c r="T679">
        <f>Data!N692</f>
        <v>0</v>
      </c>
      <c r="U679">
        <f>Data!O692</f>
        <v>0</v>
      </c>
      <c r="V679" s="33">
        <f>Data!P692</f>
        <v>0</v>
      </c>
    </row>
    <row r="680" spans="7:22" x14ac:dyDescent="0.25">
      <c r="G680">
        <f>Data!A693</f>
        <v>0</v>
      </c>
      <c r="H680" s="21">
        <f>Data!B693</f>
        <v>0</v>
      </c>
      <c r="I680" s="21">
        <f>Data!C693</f>
        <v>0</v>
      </c>
      <c r="J680">
        <f>Data!D693</f>
        <v>0</v>
      </c>
      <c r="K680">
        <f>Data!E693</f>
        <v>0</v>
      </c>
      <c r="L680">
        <f>Data!F693</f>
        <v>0</v>
      </c>
      <c r="M680">
        <f>Data!G693</f>
        <v>0</v>
      </c>
      <c r="N680">
        <f>Data!H693</f>
        <v>0</v>
      </c>
      <c r="O680">
        <f>Data!I693</f>
        <v>0</v>
      </c>
      <c r="P680" s="21">
        <f>Data!J693</f>
        <v>0</v>
      </c>
      <c r="Q680">
        <f>Data!K693</f>
        <v>0</v>
      </c>
      <c r="R680">
        <f>Data!L693</f>
        <v>0</v>
      </c>
      <c r="S680">
        <f>Data!M693</f>
        <v>0</v>
      </c>
      <c r="T680">
        <f>Data!N693</f>
        <v>0</v>
      </c>
      <c r="U680">
        <f>Data!O693</f>
        <v>0</v>
      </c>
      <c r="V680" s="33">
        <f>Data!P693</f>
        <v>0</v>
      </c>
    </row>
    <row r="681" spans="7:22" x14ac:dyDescent="0.25">
      <c r="G681">
        <f>Data!A694</f>
        <v>0</v>
      </c>
      <c r="H681" s="21">
        <f>Data!B694</f>
        <v>0</v>
      </c>
      <c r="I681" s="21">
        <f>Data!C694</f>
        <v>0</v>
      </c>
      <c r="J681">
        <f>Data!D694</f>
        <v>0</v>
      </c>
      <c r="K681">
        <f>Data!E694</f>
        <v>0</v>
      </c>
      <c r="L681">
        <f>Data!F694</f>
        <v>0</v>
      </c>
      <c r="M681">
        <f>Data!G694</f>
        <v>0</v>
      </c>
      <c r="N681">
        <f>Data!H694</f>
        <v>0</v>
      </c>
      <c r="O681">
        <f>Data!I694</f>
        <v>0</v>
      </c>
      <c r="P681" s="21">
        <f>Data!J694</f>
        <v>0</v>
      </c>
      <c r="Q681">
        <f>Data!K694</f>
        <v>0</v>
      </c>
      <c r="R681">
        <f>Data!L694</f>
        <v>0</v>
      </c>
      <c r="S681">
        <f>Data!M694</f>
        <v>0</v>
      </c>
      <c r="T681">
        <f>Data!N694</f>
        <v>0</v>
      </c>
      <c r="U681">
        <f>Data!O694</f>
        <v>0</v>
      </c>
      <c r="V681" s="33">
        <f>Data!P694</f>
        <v>0</v>
      </c>
    </row>
    <row r="682" spans="7:22" x14ac:dyDescent="0.25">
      <c r="G682">
        <f>Data!A695</f>
        <v>0</v>
      </c>
      <c r="H682" s="21">
        <f>Data!B695</f>
        <v>0</v>
      </c>
      <c r="I682" s="21">
        <f>Data!C695</f>
        <v>0</v>
      </c>
      <c r="J682">
        <f>Data!D695</f>
        <v>0</v>
      </c>
      <c r="K682">
        <f>Data!E695</f>
        <v>0</v>
      </c>
      <c r="L682">
        <f>Data!F695</f>
        <v>0</v>
      </c>
      <c r="M682">
        <f>Data!G695</f>
        <v>0</v>
      </c>
      <c r="N682">
        <f>Data!H695</f>
        <v>0</v>
      </c>
      <c r="O682">
        <f>Data!I695</f>
        <v>0</v>
      </c>
      <c r="P682" s="21">
        <f>Data!J695</f>
        <v>0</v>
      </c>
      <c r="Q682">
        <f>Data!K695</f>
        <v>0</v>
      </c>
      <c r="R682">
        <f>Data!L695</f>
        <v>0</v>
      </c>
      <c r="S682">
        <f>Data!M695</f>
        <v>0</v>
      </c>
      <c r="T682">
        <f>Data!N695</f>
        <v>0</v>
      </c>
      <c r="U682">
        <f>Data!O695</f>
        <v>0</v>
      </c>
      <c r="V682" s="33">
        <f>Data!P695</f>
        <v>0</v>
      </c>
    </row>
    <row r="683" spans="7:22" x14ac:dyDescent="0.25">
      <c r="G683">
        <f>Data!A696</f>
        <v>0</v>
      </c>
      <c r="H683" s="21">
        <f>Data!B696</f>
        <v>0</v>
      </c>
      <c r="I683" s="21">
        <f>Data!C696</f>
        <v>0</v>
      </c>
      <c r="J683">
        <f>Data!D696</f>
        <v>0</v>
      </c>
      <c r="K683">
        <f>Data!E696</f>
        <v>0</v>
      </c>
      <c r="L683">
        <f>Data!F696</f>
        <v>0</v>
      </c>
      <c r="M683">
        <f>Data!G696</f>
        <v>0</v>
      </c>
      <c r="N683">
        <f>Data!H696</f>
        <v>0</v>
      </c>
      <c r="O683">
        <f>Data!I696</f>
        <v>0</v>
      </c>
      <c r="P683" s="21">
        <f>Data!J696</f>
        <v>0</v>
      </c>
      <c r="Q683">
        <f>Data!K696</f>
        <v>0</v>
      </c>
      <c r="R683">
        <f>Data!L696</f>
        <v>0</v>
      </c>
      <c r="S683">
        <f>Data!M696</f>
        <v>0</v>
      </c>
      <c r="T683">
        <f>Data!N696</f>
        <v>0</v>
      </c>
      <c r="U683">
        <f>Data!O696</f>
        <v>0</v>
      </c>
      <c r="V683" s="33">
        <f>Data!P696</f>
        <v>0</v>
      </c>
    </row>
    <row r="684" spans="7:22" x14ac:dyDescent="0.25">
      <c r="G684">
        <f>Data!A697</f>
        <v>0</v>
      </c>
      <c r="H684" s="21">
        <f>Data!B697</f>
        <v>0</v>
      </c>
      <c r="I684" s="21">
        <f>Data!C697</f>
        <v>0</v>
      </c>
      <c r="J684">
        <f>Data!D697</f>
        <v>0</v>
      </c>
      <c r="K684">
        <f>Data!E697</f>
        <v>0</v>
      </c>
      <c r="L684">
        <f>Data!F697</f>
        <v>0</v>
      </c>
      <c r="M684">
        <f>Data!G697</f>
        <v>0</v>
      </c>
      <c r="N684">
        <f>Data!H697</f>
        <v>0</v>
      </c>
      <c r="O684">
        <f>Data!I697</f>
        <v>0</v>
      </c>
      <c r="P684" s="21">
        <f>Data!J697</f>
        <v>0</v>
      </c>
      <c r="Q684">
        <f>Data!K697</f>
        <v>0</v>
      </c>
      <c r="R684">
        <f>Data!L697</f>
        <v>0</v>
      </c>
      <c r="S684">
        <f>Data!M697</f>
        <v>0</v>
      </c>
      <c r="T684">
        <f>Data!N697</f>
        <v>0</v>
      </c>
      <c r="U684">
        <f>Data!O697</f>
        <v>0</v>
      </c>
      <c r="V684" s="33">
        <f>Data!P697</f>
        <v>0</v>
      </c>
    </row>
    <row r="685" spans="7:22" x14ac:dyDescent="0.25">
      <c r="G685">
        <f>Data!A698</f>
        <v>0</v>
      </c>
      <c r="H685" s="21">
        <f>Data!B698</f>
        <v>0</v>
      </c>
      <c r="I685" s="21">
        <f>Data!C698</f>
        <v>0</v>
      </c>
      <c r="J685">
        <f>Data!D698</f>
        <v>0</v>
      </c>
      <c r="K685">
        <f>Data!E698</f>
        <v>0</v>
      </c>
      <c r="L685">
        <f>Data!F698</f>
        <v>0</v>
      </c>
      <c r="M685">
        <f>Data!G698</f>
        <v>0</v>
      </c>
      <c r="N685">
        <f>Data!H698</f>
        <v>0</v>
      </c>
      <c r="O685">
        <f>Data!I698</f>
        <v>0</v>
      </c>
      <c r="P685" s="21">
        <f>Data!J698</f>
        <v>0</v>
      </c>
      <c r="Q685">
        <f>Data!K698</f>
        <v>0</v>
      </c>
      <c r="R685">
        <f>Data!L698</f>
        <v>0</v>
      </c>
      <c r="S685">
        <f>Data!M698</f>
        <v>0</v>
      </c>
      <c r="T685">
        <f>Data!N698</f>
        <v>0</v>
      </c>
      <c r="U685">
        <f>Data!O698</f>
        <v>0</v>
      </c>
      <c r="V685" s="33">
        <f>Data!P698</f>
        <v>0</v>
      </c>
    </row>
    <row r="686" spans="7:22" x14ac:dyDescent="0.25">
      <c r="G686">
        <f>Data!A699</f>
        <v>0</v>
      </c>
      <c r="H686" s="21">
        <f>Data!B699</f>
        <v>0</v>
      </c>
      <c r="I686" s="21">
        <f>Data!C699</f>
        <v>0</v>
      </c>
      <c r="J686">
        <f>Data!D699</f>
        <v>0</v>
      </c>
      <c r="K686">
        <f>Data!E699</f>
        <v>0</v>
      </c>
      <c r="L686">
        <f>Data!F699</f>
        <v>0</v>
      </c>
      <c r="M686">
        <f>Data!G699</f>
        <v>0</v>
      </c>
      <c r="N686">
        <f>Data!H699</f>
        <v>0</v>
      </c>
      <c r="O686">
        <f>Data!I699</f>
        <v>0</v>
      </c>
      <c r="P686" s="21">
        <f>Data!J699</f>
        <v>0</v>
      </c>
      <c r="Q686">
        <f>Data!K699</f>
        <v>0</v>
      </c>
      <c r="R686">
        <f>Data!L699</f>
        <v>0</v>
      </c>
      <c r="S686">
        <f>Data!M699</f>
        <v>0</v>
      </c>
      <c r="T686">
        <f>Data!N699</f>
        <v>0</v>
      </c>
      <c r="U686">
        <f>Data!O699</f>
        <v>0</v>
      </c>
      <c r="V686" s="33">
        <f>Data!P699</f>
        <v>0</v>
      </c>
    </row>
    <row r="687" spans="7:22" x14ac:dyDescent="0.25">
      <c r="G687">
        <f>Data!A700</f>
        <v>0</v>
      </c>
      <c r="H687" s="21">
        <f>Data!B700</f>
        <v>0</v>
      </c>
      <c r="I687" s="21">
        <f>Data!C700</f>
        <v>0</v>
      </c>
      <c r="J687">
        <f>Data!D700</f>
        <v>0</v>
      </c>
      <c r="K687">
        <f>Data!E700</f>
        <v>0</v>
      </c>
      <c r="L687">
        <f>Data!F700</f>
        <v>0</v>
      </c>
      <c r="M687">
        <f>Data!G700</f>
        <v>0</v>
      </c>
      <c r="N687">
        <f>Data!H700</f>
        <v>0</v>
      </c>
      <c r="O687">
        <f>Data!I700</f>
        <v>0</v>
      </c>
      <c r="P687" s="21">
        <f>Data!J700</f>
        <v>0</v>
      </c>
      <c r="Q687">
        <f>Data!K700</f>
        <v>0</v>
      </c>
      <c r="R687">
        <f>Data!L700</f>
        <v>0</v>
      </c>
      <c r="S687">
        <f>Data!M700</f>
        <v>0</v>
      </c>
      <c r="T687">
        <f>Data!N700</f>
        <v>0</v>
      </c>
      <c r="U687">
        <f>Data!O700</f>
        <v>0</v>
      </c>
      <c r="V687" s="33">
        <f>Data!P700</f>
        <v>0</v>
      </c>
    </row>
    <row r="688" spans="7:22" x14ac:dyDescent="0.25">
      <c r="G688">
        <f>Data!A701</f>
        <v>0</v>
      </c>
      <c r="H688" s="21">
        <f>Data!B701</f>
        <v>0</v>
      </c>
      <c r="I688" s="21">
        <f>Data!C701</f>
        <v>0</v>
      </c>
      <c r="J688">
        <f>Data!D701</f>
        <v>0</v>
      </c>
      <c r="K688">
        <f>Data!E701</f>
        <v>0</v>
      </c>
      <c r="L688">
        <f>Data!F701</f>
        <v>0</v>
      </c>
      <c r="M688">
        <f>Data!G701</f>
        <v>0</v>
      </c>
      <c r="N688">
        <f>Data!H701</f>
        <v>0</v>
      </c>
      <c r="O688">
        <f>Data!I701</f>
        <v>0</v>
      </c>
      <c r="P688" s="21">
        <f>Data!J701</f>
        <v>0</v>
      </c>
      <c r="Q688">
        <f>Data!K701</f>
        <v>0</v>
      </c>
      <c r="R688">
        <f>Data!L701</f>
        <v>0</v>
      </c>
      <c r="S688">
        <f>Data!M701</f>
        <v>0</v>
      </c>
      <c r="T688">
        <f>Data!N701</f>
        <v>0</v>
      </c>
      <c r="U688">
        <f>Data!O701</f>
        <v>0</v>
      </c>
      <c r="V688" s="33">
        <f>Data!P701</f>
        <v>0</v>
      </c>
    </row>
    <row r="689" spans="7:22" x14ac:dyDescent="0.25">
      <c r="G689">
        <f>Data!A702</f>
        <v>0</v>
      </c>
      <c r="H689" s="21">
        <f>Data!B702</f>
        <v>0</v>
      </c>
      <c r="I689" s="21">
        <f>Data!C702</f>
        <v>0</v>
      </c>
      <c r="J689">
        <f>Data!D702</f>
        <v>0</v>
      </c>
      <c r="K689">
        <f>Data!E702</f>
        <v>0</v>
      </c>
      <c r="L689">
        <f>Data!F702</f>
        <v>0</v>
      </c>
      <c r="M689">
        <f>Data!G702</f>
        <v>0</v>
      </c>
      <c r="N689">
        <f>Data!H702</f>
        <v>0</v>
      </c>
      <c r="O689">
        <f>Data!I702</f>
        <v>0</v>
      </c>
      <c r="P689" s="21">
        <f>Data!J702</f>
        <v>0</v>
      </c>
      <c r="Q689">
        <f>Data!K702</f>
        <v>0</v>
      </c>
      <c r="R689">
        <f>Data!L702</f>
        <v>0</v>
      </c>
      <c r="S689">
        <f>Data!M702</f>
        <v>0</v>
      </c>
      <c r="T689">
        <f>Data!N702</f>
        <v>0</v>
      </c>
      <c r="U689">
        <f>Data!O702</f>
        <v>0</v>
      </c>
      <c r="V689" s="33">
        <f>Data!P702</f>
        <v>0</v>
      </c>
    </row>
    <row r="690" spans="7:22" x14ac:dyDescent="0.25">
      <c r="G690">
        <f>Data!A703</f>
        <v>0</v>
      </c>
      <c r="H690" s="21">
        <f>Data!B703</f>
        <v>0</v>
      </c>
      <c r="I690" s="21">
        <f>Data!C703</f>
        <v>0</v>
      </c>
      <c r="J690">
        <f>Data!D703</f>
        <v>0</v>
      </c>
      <c r="K690">
        <f>Data!E703</f>
        <v>0</v>
      </c>
      <c r="L690">
        <f>Data!F703</f>
        <v>0</v>
      </c>
      <c r="M690">
        <f>Data!G703</f>
        <v>0</v>
      </c>
      <c r="N690">
        <f>Data!H703</f>
        <v>0</v>
      </c>
      <c r="O690">
        <f>Data!I703</f>
        <v>0</v>
      </c>
      <c r="P690" s="21">
        <f>Data!J703</f>
        <v>0</v>
      </c>
      <c r="Q690">
        <f>Data!K703</f>
        <v>0</v>
      </c>
      <c r="R690">
        <f>Data!L703</f>
        <v>0</v>
      </c>
      <c r="S690">
        <f>Data!M703</f>
        <v>0</v>
      </c>
      <c r="T690">
        <f>Data!N703</f>
        <v>0</v>
      </c>
      <c r="U690">
        <f>Data!O703</f>
        <v>0</v>
      </c>
      <c r="V690" s="33">
        <f>Data!P703</f>
        <v>0</v>
      </c>
    </row>
    <row r="691" spans="7:22" x14ac:dyDescent="0.25">
      <c r="G691">
        <f>Data!A704</f>
        <v>0</v>
      </c>
      <c r="H691" s="21">
        <f>Data!B704</f>
        <v>0</v>
      </c>
      <c r="I691" s="21">
        <f>Data!C704</f>
        <v>0</v>
      </c>
      <c r="J691">
        <f>Data!D704</f>
        <v>0</v>
      </c>
      <c r="K691">
        <f>Data!E704</f>
        <v>0</v>
      </c>
      <c r="L691">
        <f>Data!F704</f>
        <v>0</v>
      </c>
      <c r="M691">
        <f>Data!G704</f>
        <v>0</v>
      </c>
      <c r="N691">
        <f>Data!H704</f>
        <v>0</v>
      </c>
      <c r="O691">
        <f>Data!I704</f>
        <v>0</v>
      </c>
      <c r="P691" s="21">
        <f>Data!J704</f>
        <v>0</v>
      </c>
      <c r="Q691">
        <f>Data!K704</f>
        <v>0</v>
      </c>
      <c r="R691">
        <f>Data!L704</f>
        <v>0</v>
      </c>
      <c r="S691">
        <f>Data!M704</f>
        <v>0</v>
      </c>
      <c r="T691">
        <f>Data!N704</f>
        <v>0</v>
      </c>
      <c r="U691">
        <f>Data!O704</f>
        <v>0</v>
      </c>
      <c r="V691" s="33">
        <f>Data!P704</f>
        <v>0</v>
      </c>
    </row>
    <row r="692" spans="7:22" x14ac:dyDescent="0.25">
      <c r="G692">
        <f>Data!A705</f>
        <v>0</v>
      </c>
      <c r="H692" s="21">
        <f>Data!B705</f>
        <v>0</v>
      </c>
      <c r="I692" s="21">
        <f>Data!C705</f>
        <v>0</v>
      </c>
      <c r="J692">
        <f>Data!D705</f>
        <v>0</v>
      </c>
      <c r="K692">
        <f>Data!E705</f>
        <v>0</v>
      </c>
      <c r="L692">
        <f>Data!F705</f>
        <v>0</v>
      </c>
      <c r="M692">
        <f>Data!G705</f>
        <v>0</v>
      </c>
      <c r="N692">
        <f>Data!H705</f>
        <v>0</v>
      </c>
      <c r="O692">
        <f>Data!I705</f>
        <v>0</v>
      </c>
      <c r="P692" s="21">
        <f>Data!J705</f>
        <v>0</v>
      </c>
      <c r="Q692">
        <f>Data!K705</f>
        <v>0</v>
      </c>
      <c r="R692">
        <f>Data!L705</f>
        <v>0</v>
      </c>
      <c r="S692">
        <f>Data!M705</f>
        <v>0</v>
      </c>
      <c r="T692">
        <f>Data!N705</f>
        <v>0</v>
      </c>
      <c r="U692">
        <f>Data!O705</f>
        <v>0</v>
      </c>
      <c r="V692" s="33">
        <f>Data!P705</f>
        <v>0</v>
      </c>
    </row>
    <row r="693" spans="7:22" x14ac:dyDescent="0.25">
      <c r="G693">
        <f>Data!A706</f>
        <v>0</v>
      </c>
      <c r="H693" s="21">
        <f>Data!B706</f>
        <v>0</v>
      </c>
      <c r="I693" s="21">
        <f>Data!C706</f>
        <v>0</v>
      </c>
      <c r="J693">
        <f>Data!D706</f>
        <v>0</v>
      </c>
      <c r="K693">
        <f>Data!E706</f>
        <v>0</v>
      </c>
      <c r="L693">
        <f>Data!F706</f>
        <v>0</v>
      </c>
      <c r="M693">
        <f>Data!G706</f>
        <v>0</v>
      </c>
      <c r="N693">
        <f>Data!H706</f>
        <v>0</v>
      </c>
      <c r="O693">
        <f>Data!I706</f>
        <v>0</v>
      </c>
      <c r="P693" s="21">
        <f>Data!J706</f>
        <v>0</v>
      </c>
      <c r="Q693">
        <f>Data!K706</f>
        <v>0</v>
      </c>
      <c r="R693">
        <f>Data!L706</f>
        <v>0</v>
      </c>
      <c r="S693">
        <f>Data!M706</f>
        <v>0</v>
      </c>
      <c r="T693">
        <f>Data!N706</f>
        <v>0</v>
      </c>
      <c r="U693">
        <f>Data!O706</f>
        <v>0</v>
      </c>
      <c r="V693" s="33">
        <f>Data!P706</f>
        <v>0</v>
      </c>
    </row>
    <row r="694" spans="7:22" x14ac:dyDescent="0.25">
      <c r="G694">
        <f>Data!A707</f>
        <v>0</v>
      </c>
      <c r="H694" s="21">
        <f>Data!B707</f>
        <v>0</v>
      </c>
      <c r="I694" s="21">
        <f>Data!C707</f>
        <v>0</v>
      </c>
      <c r="J694">
        <f>Data!D707</f>
        <v>0</v>
      </c>
      <c r="K694">
        <f>Data!E707</f>
        <v>0</v>
      </c>
      <c r="L694">
        <f>Data!F707</f>
        <v>0</v>
      </c>
      <c r="M694">
        <f>Data!G707</f>
        <v>0</v>
      </c>
      <c r="N694">
        <f>Data!H707</f>
        <v>0</v>
      </c>
      <c r="O694">
        <f>Data!I707</f>
        <v>0</v>
      </c>
      <c r="P694" s="21">
        <f>Data!J707</f>
        <v>0</v>
      </c>
      <c r="Q694">
        <f>Data!K707</f>
        <v>0</v>
      </c>
      <c r="R694">
        <f>Data!L707</f>
        <v>0</v>
      </c>
      <c r="S694">
        <f>Data!M707</f>
        <v>0</v>
      </c>
      <c r="T694">
        <f>Data!N707</f>
        <v>0</v>
      </c>
      <c r="U694">
        <f>Data!O707</f>
        <v>0</v>
      </c>
      <c r="V694" s="33">
        <f>Data!P707</f>
        <v>0</v>
      </c>
    </row>
    <row r="695" spans="7:22" x14ac:dyDescent="0.25">
      <c r="G695">
        <f>Data!A708</f>
        <v>0</v>
      </c>
      <c r="H695" s="21">
        <f>Data!B708</f>
        <v>0</v>
      </c>
      <c r="I695" s="21">
        <f>Data!C708</f>
        <v>0</v>
      </c>
      <c r="J695">
        <f>Data!D708</f>
        <v>0</v>
      </c>
      <c r="K695">
        <f>Data!E708</f>
        <v>0</v>
      </c>
      <c r="L695">
        <f>Data!F708</f>
        <v>0</v>
      </c>
      <c r="M695">
        <f>Data!G708</f>
        <v>0</v>
      </c>
      <c r="N695">
        <f>Data!H708</f>
        <v>0</v>
      </c>
      <c r="O695">
        <f>Data!I708</f>
        <v>0</v>
      </c>
      <c r="P695" s="21">
        <f>Data!J708</f>
        <v>0</v>
      </c>
      <c r="Q695">
        <f>Data!K708</f>
        <v>0</v>
      </c>
      <c r="R695">
        <f>Data!L708</f>
        <v>0</v>
      </c>
      <c r="S695">
        <f>Data!M708</f>
        <v>0</v>
      </c>
      <c r="T695">
        <f>Data!N708</f>
        <v>0</v>
      </c>
      <c r="U695">
        <f>Data!O708</f>
        <v>0</v>
      </c>
      <c r="V695" s="33">
        <f>Data!P708</f>
        <v>0</v>
      </c>
    </row>
    <row r="696" spans="7:22" x14ac:dyDescent="0.25">
      <c r="G696">
        <f>Data!A709</f>
        <v>0</v>
      </c>
      <c r="H696" s="21">
        <f>Data!B709</f>
        <v>0</v>
      </c>
      <c r="I696" s="21">
        <f>Data!C709</f>
        <v>0</v>
      </c>
      <c r="J696">
        <f>Data!D709</f>
        <v>0</v>
      </c>
      <c r="K696">
        <f>Data!E709</f>
        <v>0</v>
      </c>
      <c r="L696">
        <f>Data!F709</f>
        <v>0</v>
      </c>
      <c r="M696">
        <f>Data!G709</f>
        <v>0</v>
      </c>
      <c r="N696">
        <f>Data!H709</f>
        <v>0</v>
      </c>
      <c r="O696">
        <f>Data!I709</f>
        <v>0</v>
      </c>
      <c r="P696" s="21">
        <f>Data!J709</f>
        <v>0</v>
      </c>
      <c r="Q696">
        <f>Data!K709</f>
        <v>0</v>
      </c>
      <c r="R696">
        <f>Data!L709</f>
        <v>0</v>
      </c>
      <c r="S696">
        <f>Data!M709</f>
        <v>0</v>
      </c>
      <c r="T696">
        <f>Data!N709</f>
        <v>0</v>
      </c>
      <c r="U696">
        <f>Data!O709</f>
        <v>0</v>
      </c>
      <c r="V696" s="33">
        <f>Data!P709</f>
        <v>0</v>
      </c>
    </row>
    <row r="697" spans="7:22" x14ac:dyDescent="0.25">
      <c r="G697">
        <f>Data!A710</f>
        <v>0</v>
      </c>
      <c r="H697" s="21">
        <f>Data!B710</f>
        <v>0</v>
      </c>
      <c r="I697" s="21">
        <f>Data!C710</f>
        <v>0</v>
      </c>
      <c r="J697">
        <f>Data!D710</f>
        <v>0</v>
      </c>
      <c r="K697">
        <f>Data!E710</f>
        <v>0</v>
      </c>
      <c r="L697">
        <f>Data!F710</f>
        <v>0</v>
      </c>
      <c r="M697">
        <f>Data!G710</f>
        <v>0</v>
      </c>
      <c r="N697">
        <f>Data!H710</f>
        <v>0</v>
      </c>
      <c r="O697">
        <f>Data!I710</f>
        <v>0</v>
      </c>
      <c r="P697" s="21">
        <f>Data!J710</f>
        <v>0</v>
      </c>
      <c r="Q697">
        <f>Data!K710</f>
        <v>0</v>
      </c>
      <c r="R697">
        <f>Data!L710</f>
        <v>0</v>
      </c>
      <c r="S697">
        <f>Data!M710</f>
        <v>0</v>
      </c>
      <c r="T697">
        <f>Data!N710</f>
        <v>0</v>
      </c>
      <c r="U697">
        <f>Data!O710</f>
        <v>0</v>
      </c>
      <c r="V697" s="33">
        <f>Data!P710</f>
        <v>0</v>
      </c>
    </row>
    <row r="698" spans="7:22" x14ac:dyDescent="0.25">
      <c r="G698">
        <f>Data!A711</f>
        <v>0</v>
      </c>
      <c r="H698" s="21">
        <f>Data!B711</f>
        <v>0</v>
      </c>
      <c r="I698" s="21">
        <f>Data!C711</f>
        <v>0</v>
      </c>
      <c r="J698">
        <f>Data!D711</f>
        <v>0</v>
      </c>
      <c r="K698">
        <f>Data!E711</f>
        <v>0</v>
      </c>
      <c r="L698">
        <f>Data!F711</f>
        <v>0</v>
      </c>
      <c r="M698">
        <f>Data!G711</f>
        <v>0</v>
      </c>
      <c r="N698">
        <f>Data!H711</f>
        <v>0</v>
      </c>
      <c r="O698">
        <f>Data!I711</f>
        <v>0</v>
      </c>
      <c r="P698" s="21">
        <f>Data!J711</f>
        <v>0</v>
      </c>
      <c r="Q698">
        <f>Data!K711</f>
        <v>0</v>
      </c>
      <c r="R698">
        <f>Data!L711</f>
        <v>0</v>
      </c>
      <c r="S698">
        <f>Data!M711</f>
        <v>0</v>
      </c>
      <c r="T698">
        <f>Data!N711</f>
        <v>0</v>
      </c>
      <c r="U698">
        <f>Data!O711</f>
        <v>0</v>
      </c>
      <c r="V698" s="33">
        <f>Data!P711</f>
        <v>0</v>
      </c>
    </row>
    <row r="699" spans="7:22" x14ac:dyDescent="0.25">
      <c r="G699">
        <f>Data!A712</f>
        <v>0</v>
      </c>
      <c r="H699" s="21">
        <f>Data!B712</f>
        <v>0</v>
      </c>
      <c r="I699" s="21">
        <f>Data!C712</f>
        <v>0</v>
      </c>
      <c r="J699">
        <f>Data!D712</f>
        <v>0</v>
      </c>
      <c r="K699">
        <f>Data!E712</f>
        <v>0</v>
      </c>
      <c r="L699">
        <f>Data!F712</f>
        <v>0</v>
      </c>
      <c r="M699">
        <f>Data!G712</f>
        <v>0</v>
      </c>
      <c r="N699">
        <f>Data!H712</f>
        <v>0</v>
      </c>
      <c r="O699">
        <f>Data!I712</f>
        <v>0</v>
      </c>
      <c r="P699" s="21">
        <f>Data!J712</f>
        <v>0</v>
      </c>
      <c r="Q699">
        <f>Data!K712</f>
        <v>0</v>
      </c>
      <c r="R699">
        <f>Data!L712</f>
        <v>0</v>
      </c>
      <c r="S699">
        <f>Data!M712</f>
        <v>0</v>
      </c>
      <c r="T699">
        <f>Data!N712</f>
        <v>0</v>
      </c>
      <c r="U699">
        <f>Data!O712</f>
        <v>0</v>
      </c>
      <c r="V699" s="33">
        <f>Data!P712</f>
        <v>0</v>
      </c>
    </row>
    <row r="700" spans="7:22" x14ac:dyDescent="0.25">
      <c r="G700">
        <f>Data!A713</f>
        <v>0</v>
      </c>
      <c r="H700" s="21">
        <f>Data!B713</f>
        <v>0</v>
      </c>
      <c r="I700" s="21">
        <f>Data!C713</f>
        <v>0</v>
      </c>
      <c r="J700">
        <f>Data!D713</f>
        <v>0</v>
      </c>
      <c r="K700">
        <f>Data!E713</f>
        <v>0</v>
      </c>
      <c r="L700">
        <f>Data!F713</f>
        <v>0</v>
      </c>
      <c r="M700">
        <f>Data!G713</f>
        <v>0</v>
      </c>
      <c r="N700">
        <f>Data!H713</f>
        <v>0</v>
      </c>
      <c r="O700">
        <f>Data!I713</f>
        <v>0</v>
      </c>
      <c r="P700" s="21">
        <f>Data!J713</f>
        <v>0</v>
      </c>
      <c r="Q700">
        <f>Data!K713</f>
        <v>0</v>
      </c>
      <c r="R700">
        <f>Data!L713</f>
        <v>0</v>
      </c>
      <c r="S700">
        <f>Data!M713</f>
        <v>0</v>
      </c>
      <c r="T700">
        <f>Data!N713</f>
        <v>0</v>
      </c>
      <c r="U700">
        <f>Data!O713</f>
        <v>0</v>
      </c>
      <c r="V700" s="33">
        <f>Data!P713</f>
        <v>0</v>
      </c>
    </row>
    <row r="701" spans="7:22" x14ac:dyDescent="0.25">
      <c r="G701">
        <f>Data!A714</f>
        <v>0</v>
      </c>
      <c r="H701" s="21">
        <f>Data!B714</f>
        <v>0</v>
      </c>
      <c r="I701" s="21">
        <f>Data!C714</f>
        <v>0</v>
      </c>
      <c r="J701">
        <f>Data!D714</f>
        <v>0</v>
      </c>
      <c r="K701">
        <f>Data!E714</f>
        <v>0</v>
      </c>
      <c r="L701">
        <f>Data!F714</f>
        <v>0</v>
      </c>
      <c r="M701">
        <f>Data!G714</f>
        <v>0</v>
      </c>
      <c r="N701">
        <f>Data!H714</f>
        <v>0</v>
      </c>
      <c r="O701">
        <f>Data!I714</f>
        <v>0</v>
      </c>
      <c r="P701" s="21">
        <f>Data!J714</f>
        <v>0</v>
      </c>
      <c r="Q701">
        <f>Data!K714</f>
        <v>0</v>
      </c>
      <c r="R701">
        <f>Data!L714</f>
        <v>0</v>
      </c>
      <c r="S701">
        <f>Data!M714</f>
        <v>0</v>
      </c>
      <c r="T701">
        <f>Data!N714</f>
        <v>0</v>
      </c>
      <c r="U701">
        <f>Data!O714</f>
        <v>0</v>
      </c>
      <c r="V701" s="33">
        <f>Data!P714</f>
        <v>0</v>
      </c>
    </row>
    <row r="702" spans="7:22" x14ac:dyDescent="0.25">
      <c r="G702">
        <f>Data!A715</f>
        <v>0</v>
      </c>
      <c r="H702" s="21">
        <f>Data!B715</f>
        <v>0</v>
      </c>
      <c r="I702" s="21">
        <f>Data!C715</f>
        <v>0</v>
      </c>
      <c r="J702">
        <f>Data!D715</f>
        <v>0</v>
      </c>
      <c r="K702">
        <f>Data!E715</f>
        <v>0</v>
      </c>
      <c r="L702">
        <f>Data!F715</f>
        <v>0</v>
      </c>
      <c r="M702">
        <f>Data!G715</f>
        <v>0</v>
      </c>
      <c r="N702">
        <f>Data!H715</f>
        <v>0</v>
      </c>
      <c r="O702">
        <f>Data!I715</f>
        <v>0</v>
      </c>
      <c r="P702" s="21">
        <f>Data!J715</f>
        <v>0</v>
      </c>
      <c r="Q702">
        <f>Data!K715</f>
        <v>0</v>
      </c>
      <c r="R702">
        <f>Data!L715</f>
        <v>0</v>
      </c>
      <c r="S702">
        <f>Data!M715</f>
        <v>0</v>
      </c>
      <c r="T702">
        <f>Data!N715</f>
        <v>0</v>
      </c>
      <c r="U702">
        <f>Data!O715</f>
        <v>0</v>
      </c>
      <c r="V702" s="33">
        <f>Data!P715</f>
        <v>0</v>
      </c>
    </row>
    <row r="703" spans="7:22" x14ac:dyDescent="0.25">
      <c r="G703">
        <f>Data!A716</f>
        <v>0</v>
      </c>
      <c r="H703" s="21">
        <f>Data!B716</f>
        <v>0</v>
      </c>
      <c r="I703" s="21">
        <f>Data!C716</f>
        <v>0</v>
      </c>
      <c r="J703">
        <f>Data!D716</f>
        <v>0</v>
      </c>
      <c r="K703">
        <f>Data!E716</f>
        <v>0</v>
      </c>
      <c r="L703">
        <f>Data!F716</f>
        <v>0</v>
      </c>
      <c r="M703">
        <f>Data!G716</f>
        <v>0</v>
      </c>
      <c r="N703">
        <f>Data!H716</f>
        <v>0</v>
      </c>
      <c r="O703">
        <f>Data!I716</f>
        <v>0</v>
      </c>
      <c r="P703" s="21">
        <f>Data!J716</f>
        <v>0</v>
      </c>
      <c r="Q703">
        <f>Data!K716</f>
        <v>0</v>
      </c>
      <c r="R703">
        <f>Data!L716</f>
        <v>0</v>
      </c>
      <c r="S703">
        <f>Data!M716</f>
        <v>0</v>
      </c>
      <c r="T703">
        <f>Data!N716</f>
        <v>0</v>
      </c>
      <c r="U703">
        <f>Data!O716</f>
        <v>0</v>
      </c>
      <c r="V703" s="33">
        <f>Data!P716</f>
        <v>0</v>
      </c>
    </row>
    <row r="704" spans="7:22" x14ac:dyDescent="0.25">
      <c r="G704">
        <f>Data!A717</f>
        <v>0</v>
      </c>
      <c r="H704" s="21">
        <f>Data!B717</f>
        <v>0</v>
      </c>
      <c r="I704" s="21">
        <f>Data!C717</f>
        <v>0</v>
      </c>
      <c r="J704">
        <f>Data!D717</f>
        <v>0</v>
      </c>
      <c r="K704">
        <f>Data!E717</f>
        <v>0</v>
      </c>
      <c r="L704">
        <f>Data!F717</f>
        <v>0</v>
      </c>
      <c r="M704">
        <f>Data!G717</f>
        <v>0</v>
      </c>
      <c r="N704">
        <f>Data!H717</f>
        <v>0</v>
      </c>
      <c r="O704">
        <f>Data!I717</f>
        <v>0</v>
      </c>
      <c r="P704" s="21">
        <f>Data!J717</f>
        <v>0</v>
      </c>
      <c r="Q704">
        <f>Data!K717</f>
        <v>0</v>
      </c>
      <c r="R704">
        <f>Data!L717</f>
        <v>0</v>
      </c>
      <c r="S704">
        <f>Data!M717</f>
        <v>0</v>
      </c>
      <c r="T704">
        <f>Data!N717</f>
        <v>0</v>
      </c>
      <c r="U704">
        <f>Data!O717</f>
        <v>0</v>
      </c>
      <c r="V704" s="33">
        <f>Data!P717</f>
        <v>0</v>
      </c>
    </row>
    <row r="705" spans="7:22" x14ac:dyDescent="0.25">
      <c r="G705">
        <f>Data!A718</f>
        <v>0</v>
      </c>
      <c r="H705" s="21">
        <f>Data!B718</f>
        <v>0</v>
      </c>
      <c r="I705" s="21">
        <f>Data!C718</f>
        <v>0</v>
      </c>
      <c r="J705">
        <f>Data!D718</f>
        <v>0</v>
      </c>
      <c r="K705">
        <f>Data!E718</f>
        <v>0</v>
      </c>
      <c r="L705">
        <f>Data!F718</f>
        <v>0</v>
      </c>
      <c r="M705">
        <f>Data!G718</f>
        <v>0</v>
      </c>
      <c r="N705">
        <f>Data!H718</f>
        <v>0</v>
      </c>
      <c r="O705">
        <f>Data!I718</f>
        <v>0</v>
      </c>
      <c r="P705" s="21">
        <f>Data!J718</f>
        <v>0</v>
      </c>
      <c r="Q705">
        <f>Data!K718</f>
        <v>0</v>
      </c>
      <c r="R705">
        <f>Data!L718</f>
        <v>0</v>
      </c>
      <c r="S705">
        <f>Data!M718</f>
        <v>0</v>
      </c>
      <c r="T705">
        <f>Data!N718</f>
        <v>0</v>
      </c>
      <c r="U705">
        <f>Data!O718</f>
        <v>0</v>
      </c>
      <c r="V705" s="33">
        <f>Data!P718</f>
        <v>0</v>
      </c>
    </row>
    <row r="706" spans="7:22" x14ac:dyDescent="0.25">
      <c r="G706">
        <f>Data!A719</f>
        <v>0</v>
      </c>
      <c r="H706" s="21">
        <f>Data!B719</f>
        <v>0</v>
      </c>
      <c r="I706" s="21">
        <f>Data!C719</f>
        <v>0</v>
      </c>
      <c r="J706">
        <f>Data!D719</f>
        <v>0</v>
      </c>
      <c r="K706">
        <f>Data!E719</f>
        <v>0</v>
      </c>
      <c r="L706">
        <f>Data!F719</f>
        <v>0</v>
      </c>
      <c r="M706">
        <f>Data!G719</f>
        <v>0</v>
      </c>
      <c r="N706">
        <f>Data!H719</f>
        <v>0</v>
      </c>
      <c r="O706">
        <f>Data!I719</f>
        <v>0</v>
      </c>
      <c r="P706" s="21">
        <f>Data!J719</f>
        <v>0</v>
      </c>
      <c r="Q706">
        <f>Data!K719</f>
        <v>0</v>
      </c>
      <c r="R706">
        <f>Data!L719</f>
        <v>0</v>
      </c>
      <c r="S706">
        <f>Data!M719</f>
        <v>0</v>
      </c>
      <c r="T706">
        <f>Data!N719</f>
        <v>0</v>
      </c>
      <c r="U706">
        <f>Data!O719</f>
        <v>0</v>
      </c>
      <c r="V706" s="33">
        <f>Data!P719</f>
        <v>0</v>
      </c>
    </row>
    <row r="707" spans="7:22" x14ac:dyDescent="0.25">
      <c r="G707">
        <f>Data!A720</f>
        <v>0</v>
      </c>
      <c r="H707" s="21">
        <f>Data!B720</f>
        <v>0</v>
      </c>
      <c r="I707" s="21">
        <f>Data!C720</f>
        <v>0</v>
      </c>
      <c r="J707">
        <f>Data!D720</f>
        <v>0</v>
      </c>
      <c r="K707">
        <f>Data!E720</f>
        <v>0</v>
      </c>
      <c r="L707">
        <f>Data!F720</f>
        <v>0</v>
      </c>
      <c r="M707">
        <f>Data!G720</f>
        <v>0</v>
      </c>
      <c r="N707">
        <f>Data!H720</f>
        <v>0</v>
      </c>
      <c r="O707">
        <f>Data!I720</f>
        <v>0</v>
      </c>
      <c r="P707" s="21">
        <f>Data!J720</f>
        <v>0</v>
      </c>
      <c r="Q707">
        <f>Data!K720</f>
        <v>0</v>
      </c>
      <c r="R707">
        <f>Data!L720</f>
        <v>0</v>
      </c>
      <c r="S707">
        <f>Data!M720</f>
        <v>0</v>
      </c>
      <c r="T707">
        <f>Data!N720</f>
        <v>0</v>
      </c>
      <c r="U707">
        <f>Data!O720</f>
        <v>0</v>
      </c>
      <c r="V707" s="33">
        <f>Data!P720</f>
        <v>0</v>
      </c>
    </row>
    <row r="708" spans="7:22" x14ac:dyDescent="0.25">
      <c r="G708">
        <f>Data!A721</f>
        <v>0</v>
      </c>
      <c r="H708" s="21">
        <f>Data!B721</f>
        <v>0</v>
      </c>
      <c r="I708" s="21">
        <f>Data!C721</f>
        <v>0</v>
      </c>
      <c r="J708">
        <f>Data!D721</f>
        <v>0</v>
      </c>
      <c r="K708">
        <f>Data!E721</f>
        <v>0</v>
      </c>
      <c r="L708">
        <f>Data!F721</f>
        <v>0</v>
      </c>
      <c r="M708">
        <f>Data!G721</f>
        <v>0</v>
      </c>
      <c r="N708">
        <f>Data!H721</f>
        <v>0</v>
      </c>
      <c r="O708">
        <f>Data!I721</f>
        <v>0</v>
      </c>
      <c r="P708" s="21">
        <f>Data!J721</f>
        <v>0</v>
      </c>
      <c r="Q708">
        <f>Data!K721</f>
        <v>0</v>
      </c>
      <c r="R708">
        <f>Data!L721</f>
        <v>0</v>
      </c>
      <c r="S708">
        <f>Data!M721</f>
        <v>0</v>
      </c>
      <c r="T708">
        <f>Data!N721</f>
        <v>0</v>
      </c>
      <c r="U708">
        <f>Data!O721</f>
        <v>0</v>
      </c>
      <c r="V708" s="33">
        <f>Data!P721</f>
        <v>0</v>
      </c>
    </row>
    <row r="709" spans="7:22" x14ac:dyDescent="0.25">
      <c r="G709">
        <f>Data!A722</f>
        <v>0</v>
      </c>
      <c r="H709" s="21">
        <f>Data!B722</f>
        <v>0</v>
      </c>
      <c r="I709" s="21">
        <f>Data!C722</f>
        <v>0</v>
      </c>
      <c r="J709">
        <f>Data!D722</f>
        <v>0</v>
      </c>
      <c r="K709">
        <f>Data!E722</f>
        <v>0</v>
      </c>
      <c r="L709">
        <f>Data!F722</f>
        <v>0</v>
      </c>
      <c r="M709">
        <f>Data!G722</f>
        <v>0</v>
      </c>
      <c r="N709">
        <f>Data!H722</f>
        <v>0</v>
      </c>
      <c r="O709">
        <f>Data!I722</f>
        <v>0</v>
      </c>
      <c r="P709" s="21">
        <f>Data!J722</f>
        <v>0</v>
      </c>
      <c r="Q709">
        <f>Data!K722</f>
        <v>0</v>
      </c>
      <c r="R709">
        <f>Data!L722</f>
        <v>0</v>
      </c>
      <c r="S709">
        <f>Data!M722</f>
        <v>0</v>
      </c>
      <c r="T709">
        <f>Data!N722</f>
        <v>0</v>
      </c>
      <c r="U709">
        <f>Data!O722</f>
        <v>0</v>
      </c>
      <c r="V709" s="33">
        <f>Data!P722</f>
        <v>0</v>
      </c>
    </row>
    <row r="710" spans="7:22" x14ac:dyDescent="0.25">
      <c r="G710">
        <f>Data!A723</f>
        <v>0</v>
      </c>
      <c r="H710" s="21">
        <f>Data!B723</f>
        <v>0</v>
      </c>
      <c r="I710" s="21">
        <f>Data!C723</f>
        <v>0</v>
      </c>
      <c r="J710">
        <f>Data!D723</f>
        <v>0</v>
      </c>
      <c r="K710">
        <f>Data!E723</f>
        <v>0</v>
      </c>
      <c r="L710">
        <f>Data!F723</f>
        <v>0</v>
      </c>
      <c r="M710">
        <f>Data!G723</f>
        <v>0</v>
      </c>
      <c r="N710">
        <f>Data!H723</f>
        <v>0</v>
      </c>
      <c r="O710">
        <f>Data!I723</f>
        <v>0</v>
      </c>
      <c r="P710" s="21">
        <f>Data!J723</f>
        <v>0</v>
      </c>
      <c r="Q710">
        <f>Data!K723</f>
        <v>0</v>
      </c>
      <c r="R710">
        <f>Data!L723</f>
        <v>0</v>
      </c>
      <c r="S710">
        <f>Data!M723</f>
        <v>0</v>
      </c>
      <c r="T710">
        <f>Data!N723</f>
        <v>0</v>
      </c>
      <c r="U710">
        <f>Data!O723</f>
        <v>0</v>
      </c>
      <c r="V710" s="33">
        <f>Data!P723</f>
        <v>0</v>
      </c>
    </row>
    <row r="711" spans="7:22" x14ac:dyDescent="0.25">
      <c r="G711">
        <f>Data!A724</f>
        <v>0</v>
      </c>
      <c r="H711" s="21">
        <f>Data!B724</f>
        <v>0</v>
      </c>
      <c r="I711" s="21">
        <f>Data!C724</f>
        <v>0</v>
      </c>
      <c r="J711">
        <f>Data!D724</f>
        <v>0</v>
      </c>
      <c r="K711">
        <f>Data!E724</f>
        <v>0</v>
      </c>
      <c r="L711">
        <f>Data!F724</f>
        <v>0</v>
      </c>
      <c r="M711">
        <f>Data!G724</f>
        <v>0</v>
      </c>
      <c r="N711">
        <f>Data!H724</f>
        <v>0</v>
      </c>
      <c r="O711">
        <f>Data!I724</f>
        <v>0</v>
      </c>
      <c r="P711" s="21">
        <f>Data!J724</f>
        <v>0</v>
      </c>
      <c r="Q711">
        <f>Data!K724</f>
        <v>0</v>
      </c>
      <c r="R711">
        <f>Data!L724</f>
        <v>0</v>
      </c>
      <c r="S711">
        <f>Data!M724</f>
        <v>0</v>
      </c>
      <c r="T711">
        <f>Data!N724</f>
        <v>0</v>
      </c>
      <c r="U711">
        <f>Data!O724</f>
        <v>0</v>
      </c>
      <c r="V711" s="33">
        <f>Data!P724</f>
        <v>0</v>
      </c>
    </row>
    <row r="712" spans="7:22" x14ac:dyDescent="0.25">
      <c r="G712">
        <f>Data!A725</f>
        <v>0</v>
      </c>
      <c r="H712" s="21">
        <f>Data!B725</f>
        <v>0</v>
      </c>
      <c r="I712" s="21">
        <f>Data!C725</f>
        <v>0</v>
      </c>
      <c r="J712">
        <f>Data!D725</f>
        <v>0</v>
      </c>
      <c r="K712">
        <f>Data!E725</f>
        <v>0</v>
      </c>
      <c r="L712">
        <f>Data!F725</f>
        <v>0</v>
      </c>
      <c r="M712">
        <f>Data!G725</f>
        <v>0</v>
      </c>
      <c r="N712">
        <f>Data!H725</f>
        <v>0</v>
      </c>
      <c r="O712">
        <f>Data!I725</f>
        <v>0</v>
      </c>
      <c r="P712" s="21">
        <f>Data!J725</f>
        <v>0</v>
      </c>
      <c r="Q712">
        <f>Data!K725</f>
        <v>0</v>
      </c>
      <c r="R712">
        <f>Data!L725</f>
        <v>0</v>
      </c>
      <c r="S712">
        <f>Data!M725</f>
        <v>0</v>
      </c>
      <c r="T712">
        <f>Data!N725</f>
        <v>0</v>
      </c>
      <c r="U712">
        <f>Data!O725</f>
        <v>0</v>
      </c>
      <c r="V712" s="33">
        <f>Data!P725</f>
        <v>0</v>
      </c>
    </row>
    <row r="713" spans="7:22" x14ac:dyDescent="0.25">
      <c r="G713">
        <f>Data!A726</f>
        <v>0</v>
      </c>
      <c r="H713" s="21">
        <f>Data!B726</f>
        <v>0</v>
      </c>
      <c r="I713" s="21">
        <f>Data!C726</f>
        <v>0</v>
      </c>
      <c r="J713">
        <f>Data!D726</f>
        <v>0</v>
      </c>
      <c r="K713">
        <f>Data!E726</f>
        <v>0</v>
      </c>
      <c r="L713">
        <f>Data!F726</f>
        <v>0</v>
      </c>
      <c r="M713">
        <f>Data!G726</f>
        <v>0</v>
      </c>
      <c r="N713">
        <f>Data!H726</f>
        <v>0</v>
      </c>
      <c r="O713">
        <f>Data!I726</f>
        <v>0</v>
      </c>
      <c r="P713" s="21">
        <f>Data!J726</f>
        <v>0</v>
      </c>
      <c r="Q713">
        <f>Data!K726</f>
        <v>0</v>
      </c>
      <c r="R713">
        <f>Data!L726</f>
        <v>0</v>
      </c>
      <c r="S713">
        <f>Data!M726</f>
        <v>0</v>
      </c>
      <c r="T713">
        <f>Data!N726</f>
        <v>0</v>
      </c>
      <c r="U713">
        <f>Data!O726</f>
        <v>0</v>
      </c>
      <c r="V713" s="33">
        <f>Data!P726</f>
        <v>0</v>
      </c>
    </row>
    <row r="714" spans="7:22" x14ac:dyDescent="0.25">
      <c r="G714">
        <f>Data!A727</f>
        <v>0</v>
      </c>
      <c r="H714" s="21">
        <f>Data!B727</f>
        <v>0</v>
      </c>
      <c r="I714" s="21">
        <f>Data!C727</f>
        <v>0</v>
      </c>
      <c r="J714">
        <f>Data!D727</f>
        <v>0</v>
      </c>
      <c r="K714">
        <f>Data!E727</f>
        <v>0</v>
      </c>
      <c r="L714">
        <f>Data!F727</f>
        <v>0</v>
      </c>
      <c r="M714">
        <f>Data!G727</f>
        <v>0</v>
      </c>
      <c r="N714">
        <f>Data!H727</f>
        <v>0</v>
      </c>
      <c r="O714">
        <f>Data!I727</f>
        <v>0</v>
      </c>
      <c r="P714" s="21">
        <f>Data!J727</f>
        <v>0</v>
      </c>
      <c r="Q714">
        <f>Data!K727</f>
        <v>0</v>
      </c>
      <c r="R714">
        <f>Data!L727</f>
        <v>0</v>
      </c>
      <c r="S714">
        <f>Data!M727</f>
        <v>0</v>
      </c>
      <c r="T714">
        <f>Data!N727</f>
        <v>0</v>
      </c>
      <c r="U714">
        <f>Data!O727</f>
        <v>0</v>
      </c>
      <c r="V714" s="33">
        <f>Data!P727</f>
        <v>0</v>
      </c>
    </row>
    <row r="715" spans="7:22" x14ac:dyDescent="0.25">
      <c r="G715">
        <f>Data!A728</f>
        <v>0</v>
      </c>
      <c r="H715" s="21">
        <f>Data!B728</f>
        <v>0</v>
      </c>
      <c r="I715" s="21">
        <f>Data!C728</f>
        <v>0</v>
      </c>
      <c r="J715">
        <f>Data!D728</f>
        <v>0</v>
      </c>
      <c r="K715">
        <f>Data!E728</f>
        <v>0</v>
      </c>
      <c r="L715">
        <f>Data!F728</f>
        <v>0</v>
      </c>
      <c r="M715">
        <f>Data!G728</f>
        <v>0</v>
      </c>
      <c r="N715">
        <f>Data!H728</f>
        <v>0</v>
      </c>
      <c r="O715">
        <f>Data!I728</f>
        <v>0</v>
      </c>
      <c r="P715" s="21">
        <f>Data!J728</f>
        <v>0</v>
      </c>
      <c r="Q715">
        <f>Data!K728</f>
        <v>0</v>
      </c>
      <c r="R715">
        <f>Data!L728</f>
        <v>0</v>
      </c>
      <c r="S715">
        <f>Data!M728</f>
        <v>0</v>
      </c>
      <c r="T715">
        <f>Data!N728</f>
        <v>0</v>
      </c>
      <c r="U715">
        <f>Data!O728</f>
        <v>0</v>
      </c>
      <c r="V715" s="33">
        <f>Data!P728</f>
        <v>0</v>
      </c>
    </row>
    <row r="716" spans="7:22" x14ac:dyDescent="0.25">
      <c r="G716">
        <f>Data!A729</f>
        <v>0</v>
      </c>
      <c r="H716" s="21">
        <f>Data!B729</f>
        <v>0</v>
      </c>
      <c r="I716" s="21">
        <f>Data!C729</f>
        <v>0</v>
      </c>
      <c r="J716">
        <f>Data!D729</f>
        <v>0</v>
      </c>
      <c r="K716">
        <f>Data!E729</f>
        <v>0</v>
      </c>
      <c r="L716">
        <f>Data!F729</f>
        <v>0</v>
      </c>
      <c r="M716">
        <f>Data!G729</f>
        <v>0</v>
      </c>
      <c r="N716">
        <f>Data!H729</f>
        <v>0</v>
      </c>
      <c r="O716">
        <f>Data!I729</f>
        <v>0</v>
      </c>
      <c r="P716" s="21">
        <f>Data!J729</f>
        <v>0</v>
      </c>
      <c r="Q716">
        <f>Data!K729</f>
        <v>0</v>
      </c>
      <c r="R716">
        <f>Data!L729</f>
        <v>0</v>
      </c>
      <c r="S716">
        <f>Data!M729</f>
        <v>0</v>
      </c>
      <c r="T716">
        <f>Data!N729</f>
        <v>0</v>
      </c>
      <c r="U716">
        <f>Data!O729</f>
        <v>0</v>
      </c>
      <c r="V716" s="33">
        <f>Data!P729</f>
        <v>0</v>
      </c>
    </row>
    <row r="717" spans="7:22" x14ac:dyDescent="0.25">
      <c r="G717">
        <f>Data!A730</f>
        <v>0</v>
      </c>
      <c r="H717" s="21">
        <f>Data!B730</f>
        <v>0</v>
      </c>
      <c r="I717" s="21">
        <f>Data!C730</f>
        <v>0</v>
      </c>
      <c r="J717">
        <f>Data!D730</f>
        <v>0</v>
      </c>
      <c r="K717">
        <f>Data!E730</f>
        <v>0</v>
      </c>
      <c r="L717">
        <f>Data!F730</f>
        <v>0</v>
      </c>
      <c r="M717">
        <f>Data!G730</f>
        <v>0</v>
      </c>
      <c r="N717">
        <f>Data!H730</f>
        <v>0</v>
      </c>
      <c r="O717">
        <f>Data!I730</f>
        <v>0</v>
      </c>
      <c r="P717" s="21">
        <f>Data!J730</f>
        <v>0</v>
      </c>
      <c r="Q717">
        <f>Data!K730</f>
        <v>0</v>
      </c>
      <c r="R717">
        <f>Data!L730</f>
        <v>0</v>
      </c>
      <c r="S717">
        <f>Data!M730</f>
        <v>0</v>
      </c>
      <c r="T717">
        <f>Data!N730</f>
        <v>0</v>
      </c>
      <c r="U717">
        <f>Data!O730</f>
        <v>0</v>
      </c>
      <c r="V717" s="33">
        <f>Data!P730</f>
        <v>0</v>
      </c>
    </row>
    <row r="718" spans="7:22" x14ac:dyDescent="0.25">
      <c r="G718">
        <f>Data!A731</f>
        <v>0</v>
      </c>
      <c r="H718" s="21">
        <f>Data!B731</f>
        <v>0</v>
      </c>
      <c r="I718" s="21">
        <f>Data!C731</f>
        <v>0</v>
      </c>
      <c r="J718">
        <f>Data!D731</f>
        <v>0</v>
      </c>
      <c r="K718">
        <f>Data!E731</f>
        <v>0</v>
      </c>
      <c r="L718">
        <f>Data!F731</f>
        <v>0</v>
      </c>
      <c r="M718">
        <f>Data!G731</f>
        <v>0</v>
      </c>
      <c r="N718">
        <f>Data!H731</f>
        <v>0</v>
      </c>
      <c r="O718">
        <f>Data!I731</f>
        <v>0</v>
      </c>
      <c r="P718" s="21">
        <f>Data!J731</f>
        <v>0</v>
      </c>
      <c r="Q718">
        <f>Data!K735</f>
        <v>0</v>
      </c>
      <c r="R718">
        <f>Data!L731</f>
        <v>0</v>
      </c>
      <c r="S718">
        <f>Data!M731</f>
        <v>0</v>
      </c>
      <c r="T718">
        <f>Data!N731</f>
        <v>0</v>
      </c>
      <c r="U718">
        <f>Data!O731</f>
        <v>0</v>
      </c>
      <c r="V718" s="33">
        <f>Data!P731</f>
        <v>0</v>
      </c>
    </row>
    <row r="719" spans="7:22" x14ac:dyDescent="0.25">
      <c r="G719">
        <f>Data!A732</f>
        <v>0</v>
      </c>
      <c r="H719" s="21">
        <f>Data!B732</f>
        <v>0</v>
      </c>
      <c r="I719" s="21">
        <f>Data!C732</f>
        <v>0</v>
      </c>
      <c r="J719">
        <f>Data!D732</f>
        <v>0</v>
      </c>
      <c r="K719">
        <f>Data!E732</f>
        <v>0</v>
      </c>
      <c r="L719">
        <f>Data!F732</f>
        <v>0</v>
      </c>
      <c r="M719">
        <f>Data!G732</f>
        <v>0</v>
      </c>
      <c r="N719">
        <f>Data!H732</f>
        <v>0</v>
      </c>
      <c r="O719">
        <f>Data!I732</f>
        <v>0</v>
      </c>
      <c r="P719" s="21">
        <f>Data!J732</f>
        <v>0</v>
      </c>
      <c r="Q719">
        <f>Data!K736</f>
        <v>0</v>
      </c>
      <c r="R719">
        <f>Data!L732</f>
        <v>0</v>
      </c>
      <c r="S719">
        <f>Data!M732</f>
        <v>0</v>
      </c>
      <c r="T719">
        <f>Data!N732</f>
        <v>0</v>
      </c>
      <c r="U719">
        <f>Data!O732</f>
        <v>0</v>
      </c>
      <c r="V719" s="33">
        <f>Data!P732</f>
        <v>0</v>
      </c>
    </row>
    <row r="720" spans="7:22" x14ac:dyDescent="0.25">
      <c r="G720">
        <f>Data!A733</f>
        <v>0</v>
      </c>
      <c r="H720" s="21">
        <f>Data!B733</f>
        <v>0</v>
      </c>
      <c r="I720" s="21">
        <f>Data!C733</f>
        <v>0</v>
      </c>
      <c r="J720">
        <f>Data!D733</f>
        <v>0</v>
      </c>
      <c r="K720">
        <f>Data!E733</f>
        <v>0</v>
      </c>
      <c r="L720">
        <f>Data!F733</f>
        <v>0</v>
      </c>
      <c r="M720">
        <f>Data!G733</f>
        <v>0</v>
      </c>
      <c r="N720">
        <f>Data!H733</f>
        <v>0</v>
      </c>
      <c r="O720">
        <f>Data!I733</f>
        <v>0</v>
      </c>
      <c r="P720" s="21">
        <f>Data!J733</f>
        <v>0</v>
      </c>
      <c r="Q720">
        <f>Data!K737</f>
        <v>0</v>
      </c>
      <c r="R720">
        <f>Data!L733</f>
        <v>0</v>
      </c>
      <c r="S720">
        <f>Data!M733</f>
        <v>0</v>
      </c>
      <c r="T720">
        <f>Data!N733</f>
        <v>0</v>
      </c>
      <c r="U720">
        <f>Data!O733</f>
        <v>0</v>
      </c>
      <c r="V720" s="33">
        <f>Data!P733</f>
        <v>0</v>
      </c>
    </row>
    <row r="721" spans="7:22" x14ac:dyDescent="0.25">
      <c r="G721">
        <f>Data!A734</f>
        <v>0</v>
      </c>
      <c r="H721" s="21">
        <f>Data!B734</f>
        <v>0</v>
      </c>
      <c r="I721" s="21">
        <f>Data!C734</f>
        <v>0</v>
      </c>
      <c r="J721">
        <f>Data!D734</f>
        <v>0</v>
      </c>
      <c r="K721">
        <f>Data!E734</f>
        <v>0</v>
      </c>
      <c r="L721">
        <f>Data!F734</f>
        <v>0</v>
      </c>
      <c r="M721">
        <f>Data!G734</f>
        <v>0</v>
      </c>
      <c r="N721">
        <f>Data!H734</f>
        <v>0</v>
      </c>
      <c r="O721">
        <f>Data!I734</f>
        <v>0</v>
      </c>
      <c r="P721" s="21">
        <f>Data!J734</f>
        <v>0</v>
      </c>
      <c r="Q721">
        <f>Data!K738</f>
        <v>0</v>
      </c>
      <c r="R721">
        <f>Data!L734</f>
        <v>0</v>
      </c>
      <c r="S721">
        <f>Data!M734</f>
        <v>0</v>
      </c>
      <c r="T721">
        <f>Data!N734</f>
        <v>0</v>
      </c>
      <c r="U721">
        <f>Data!O734</f>
        <v>0</v>
      </c>
      <c r="V721" s="33">
        <f>Data!P734</f>
        <v>0</v>
      </c>
    </row>
    <row r="722" spans="7:22" x14ac:dyDescent="0.25">
      <c r="G722">
        <f>Data!A735</f>
        <v>0</v>
      </c>
      <c r="H722" s="21">
        <f>Data!B735</f>
        <v>0</v>
      </c>
      <c r="I722" s="21">
        <f>Data!C735</f>
        <v>0</v>
      </c>
      <c r="J722">
        <f>Data!D735</f>
        <v>0</v>
      </c>
      <c r="K722">
        <f>Data!E735</f>
        <v>0</v>
      </c>
      <c r="L722">
        <f>Data!F735</f>
        <v>0</v>
      </c>
      <c r="M722">
        <f>Data!G735</f>
        <v>0</v>
      </c>
      <c r="N722">
        <f>Data!H735</f>
        <v>0</v>
      </c>
      <c r="O722">
        <f>Data!I735</f>
        <v>0</v>
      </c>
      <c r="P722" s="21">
        <f>Data!J735</f>
        <v>0</v>
      </c>
      <c r="Q722">
        <f>Data!K739</f>
        <v>0</v>
      </c>
      <c r="R722">
        <f>Data!L735</f>
        <v>0</v>
      </c>
      <c r="S722">
        <f>Data!M735</f>
        <v>0</v>
      </c>
      <c r="T722">
        <f>Data!N735</f>
        <v>0</v>
      </c>
      <c r="U722">
        <f>Data!O735</f>
        <v>0</v>
      </c>
      <c r="V722" s="33">
        <f>Data!P735</f>
        <v>0</v>
      </c>
    </row>
    <row r="723" spans="7:22" x14ac:dyDescent="0.25">
      <c r="G723">
        <f>Data!A736</f>
        <v>0</v>
      </c>
      <c r="H723" s="21">
        <f>Data!B736</f>
        <v>0</v>
      </c>
      <c r="I723" s="21">
        <f>Data!C736</f>
        <v>0</v>
      </c>
      <c r="J723">
        <f>Data!D736</f>
        <v>0</v>
      </c>
      <c r="K723">
        <f>Data!E736</f>
        <v>0</v>
      </c>
      <c r="L723">
        <f>Data!F736</f>
        <v>0</v>
      </c>
      <c r="M723">
        <f>Data!G736</f>
        <v>0</v>
      </c>
      <c r="N723">
        <f>Data!H736</f>
        <v>0</v>
      </c>
      <c r="O723">
        <f>Data!I736</f>
        <v>0</v>
      </c>
      <c r="P723" s="21">
        <f>Data!J736</f>
        <v>0</v>
      </c>
      <c r="Q723">
        <f>Data!K740</f>
        <v>0</v>
      </c>
      <c r="R723">
        <f>Data!L736</f>
        <v>0</v>
      </c>
      <c r="S723">
        <f>Data!M736</f>
        <v>0</v>
      </c>
      <c r="T723">
        <f>Data!N736</f>
        <v>0</v>
      </c>
      <c r="U723">
        <f>Data!O736</f>
        <v>0</v>
      </c>
      <c r="V723" s="33">
        <f>Data!P736</f>
        <v>0</v>
      </c>
    </row>
    <row r="724" spans="7:22" x14ac:dyDescent="0.25">
      <c r="G724">
        <f>Data!A737</f>
        <v>0</v>
      </c>
      <c r="H724" s="21">
        <f>Data!B737</f>
        <v>0</v>
      </c>
      <c r="I724" s="21">
        <f>Data!C737</f>
        <v>0</v>
      </c>
      <c r="J724">
        <f>Data!D737</f>
        <v>0</v>
      </c>
      <c r="K724">
        <f>Data!E737</f>
        <v>0</v>
      </c>
      <c r="L724">
        <f>Data!F737</f>
        <v>0</v>
      </c>
      <c r="M724">
        <f>Data!G737</f>
        <v>0</v>
      </c>
      <c r="N724">
        <f>Data!H737</f>
        <v>0</v>
      </c>
      <c r="O724">
        <f>Data!I737</f>
        <v>0</v>
      </c>
      <c r="P724" s="21">
        <f>Data!J737</f>
        <v>0</v>
      </c>
      <c r="Q724">
        <f>Data!K741</f>
        <v>0</v>
      </c>
      <c r="R724">
        <f>Data!L737</f>
        <v>0</v>
      </c>
      <c r="S724">
        <f>Data!M737</f>
        <v>0</v>
      </c>
      <c r="T724">
        <f>Data!N737</f>
        <v>0</v>
      </c>
      <c r="U724">
        <f>Data!O737</f>
        <v>0</v>
      </c>
      <c r="V724" s="33">
        <f>Data!P737</f>
        <v>0</v>
      </c>
    </row>
    <row r="725" spans="7:22" x14ac:dyDescent="0.25">
      <c r="G725">
        <f>Data!A738</f>
        <v>0</v>
      </c>
      <c r="H725" s="21">
        <f>Data!B738</f>
        <v>0</v>
      </c>
      <c r="I725" s="21">
        <f>Data!C738</f>
        <v>0</v>
      </c>
      <c r="J725">
        <f>Data!D738</f>
        <v>0</v>
      </c>
      <c r="K725">
        <f>Data!E738</f>
        <v>0</v>
      </c>
      <c r="L725">
        <f>Data!F738</f>
        <v>0</v>
      </c>
      <c r="M725">
        <f>Data!G738</f>
        <v>0</v>
      </c>
      <c r="N725">
        <f>Data!H738</f>
        <v>0</v>
      </c>
      <c r="O725">
        <f>Data!I738</f>
        <v>0</v>
      </c>
      <c r="P725" s="21">
        <f>Data!J738</f>
        <v>0</v>
      </c>
      <c r="Q725">
        <f>Data!K742</f>
        <v>0</v>
      </c>
      <c r="R725">
        <f>Data!L738</f>
        <v>0</v>
      </c>
      <c r="S725">
        <f>Data!M738</f>
        <v>0</v>
      </c>
      <c r="T725">
        <f>Data!N738</f>
        <v>0</v>
      </c>
      <c r="U725">
        <f>Data!O738</f>
        <v>0</v>
      </c>
      <c r="V725" s="33">
        <f>Data!P738</f>
        <v>0</v>
      </c>
    </row>
    <row r="726" spans="7:22" x14ac:dyDescent="0.25">
      <c r="G726">
        <f>Data!A739</f>
        <v>0</v>
      </c>
      <c r="H726" s="21">
        <f>Data!B739</f>
        <v>0</v>
      </c>
      <c r="I726" s="21">
        <f>Data!C739</f>
        <v>0</v>
      </c>
      <c r="J726">
        <f>Data!D739</f>
        <v>0</v>
      </c>
      <c r="K726">
        <f>Data!E739</f>
        <v>0</v>
      </c>
      <c r="L726">
        <f>Data!F739</f>
        <v>0</v>
      </c>
      <c r="M726">
        <f>Data!G739</f>
        <v>0</v>
      </c>
      <c r="N726">
        <f>Data!H739</f>
        <v>0</v>
      </c>
      <c r="O726">
        <f>Data!I739</f>
        <v>0</v>
      </c>
      <c r="P726" s="21">
        <f>Data!J739</f>
        <v>0</v>
      </c>
      <c r="Q726">
        <f>Data!K743</f>
        <v>0</v>
      </c>
      <c r="R726">
        <f>Data!L739</f>
        <v>0</v>
      </c>
      <c r="S726">
        <f>Data!M739</f>
        <v>0</v>
      </c>
      <c r="T726">
        <f>Data!N739</f>
        <v>0</v>
      </c>
      <c r="U726">
        <f>Data!O739</f>
        <v>0</v>
      </c>
      <c r="V726" s="33">
        <f>Data!P739</f>
        <v>0</v>
      </c>
    </row>
    <row r="727" spans="7:22" x14ac:dyDescent="0.25">
      <c r="G727">
        <f>Data!A740</f>
        <v>0</v>
      </c>
      <c r="H727" s="21">
        <f>Data!B740</f>
        <v>0</v>
      </c>
      <c r="I727" s="21">
        <f>Data!C740</f>
        <v>0</v>
      </c>
      <c r="J727">
        <f>Data!D740</f>
        <v>0</v>
      </c>
      <c r="K727">
        <f>Data!E740</f>
        <v>0</v>
      </c>
      <c r="L727">
        <f>Data!F740</f>
        <v>0</v>
      </c>
      <c r="M727">
        <f>Data!G740</f>
        <v>0</v>
      </c>
      <c r="N727">
        <f>Data!H740</f>
        <v>0</v>
      </c>
      <c r="O727">
        <f>Data!I740</f>
        <v>0</v>
      </c>
      <c r="P727" s="21">
        <f>Data!J740</f>
        <v>0</v>
      </c>
      <c r="Q727">
        <f>Data!K744</f>
        <v>0</v>
      </c>
      <c r="R727">
        <f>Data!L740</f>
        <v>0</v>
      </c>
      <c r="S727">
        <f>Data!M740</f>
        <v>0</v>
      </c>
      <c r="T727">
        <f>Data!N740</f>
        <v>0</v>
      </c>
      <c r="U727">
        <f>Data!O740</f>
        <v>0</v>
      </c>
      <c r="V727" s="33">
        <f>Data!P740</f>
        <v>0</v>
      </c>
    </row>
    <row r="728" spans="7:22" x14ac:dyDescent="0.25">
      <c r="G728">
        <f>Data!A741</f>
        <v>0</v>
      </c>
      <c r="H728" s="21">
        <f>Data!B741</f>
        <v>0</v>
      </c>
      <c r="I728" s="21">
        <f>Data!C741</f>
        <v>0</v>
      </c>
      <c r="J728">
        <f>Data!D741</f>
        <v>0</v>
      </c>
      <c r="K728">
        <f>Data!E741</f>
        <v>0</v>
      </c>
      <c r="L728">
        <f>Data!F741</f>
        <v>0</v>
      </c>
      <c r="M728">
        <f>Data!G741</f>
        <v>0</v>
      </c>
      <c r="N728">
        <f>Data!H741</f>
        <v>0</v>
      </c>
      <c r="O728">
        <f>Data!I741</f>
        <v>0</v>
      </c>
      <c r="P728" s="21">
        <f>Data!J741</f>
        <v>0</v>
      </c>
      <c r="Q728">
        <f>Data!K745</f>
        <v>0</v>
      </c>
      <c r="R728">
        <f>Data!L741</f>
        <v>0</v>
      </c>
      <c r="S728">
        <f>Data!M741</f>
        <v>0</v>
      </c>
      <c r="T728">
        <f>Data!N741</f>
        <v>0</v>
      </c>
      <c r="U728">
        <f>Data!O741</f>
        <v>0</v>
      </c>
      <c r="V728" s="33">
        <f>Data!P741</f>
        <v>0</v>
      </c>
    </row>
    <row r="729" spans="7:22" x14ac:dyDescent="0.25">
      <c r="G729">
        <f>Data!A742</f>
        <v>0</v>
      </c>
      <c r="H729" s="21">
        <f>Data!B742</f>
        <v>0</v>
      </c>
      <c r="I729" s="21">
        <f>Data!C742</f>
        <v>0</v>
      </c>
      <c r="J729">
        <f>Data!D742</f>
        <v>0</v>
      </c>
      <c r="K729">
        <f>Data!E742</f>
        <v>0</v>
      </c>
      <c r="L729">
        <f>Data!F742</f>
        <v>0</v>
      </c>
      <c r="M729">
        <f>Data!G742</f>
        <v>0</v>
      </c>
      <c r="N729">
        <f>Data!H742</f>
        <v>0</v>
      </c>
      <c r="O729">
        <f>Data!I742</f>
        <v>0</v>
      </c>
      <c r="P729" s="21">
        <f>Data!J742</f>
        <v>0</v>
      </c>
      <c r="Q729">
        <f>Data!K746</f>
        <v>0</v>
      </c>
      <c r="R729">
        <f>Data!L742</f>
        <v>0</v>
      </c>
      <c r="S729">
        <f>Data!M742</f>
        <v>0</v>
      </c>
      <c r="T729">
        <f>Data!N742</f>
        <v>0</v>
      </c>
      <c r="U729">
        <f>Data!O742</f>
        <v>0</v>
      </c>
      <c r="V729" s="33">
        <f>Data!P742</f>
        <v>0</v>
      </c>
    </row>
    <row r="730" spans="7:22" x14ac:dyDescent="0.25">
      <c r="G730">
        <f>Data!A743</f>
        <v>0</v>
      </c>
      <c r="H730" s="21">
        <f>Data!B743</f>
        <v>0</v>
      </c>
      <c r="I730" s="21">
        <f>Data!C743</f>
        <v>0</v>
      </c>
      <c r="J730">
        <f>Data!D743</f>
        <v>0</v>
      </c>
      <c r="K730">
        <f>Data!E743</f>
        <v>0</v>
      </c>
      <c r="L730">
        <f>Data!F743</f>
        <v>0</v>
      </c>
      <c r="M730">
        <f>Data!G743</f>
        <v>0</v>
      </c>
      <c r="N730">
        <f>Data!H743</f>
        <v>0</v>
      </c>
      <c r="O730">
        <f>Data!I743</f>
        <v>0</v>
      </c>
      <c r="P730" s="21">
        <f>Data!J743</f>
        <v>0</v>
      </c>
      <c r="Q730">
        <f>Data!K747</f>
        <v>0</v>
      </c>
      <c r="R730">
        <f>Data!L743</f>
        <v>0</v>
      </c>
      <c r="S730">
        <f>Data!M743</f>
        <v>0</v>
      </c>
      <c r="T730">
        <f>Data!N743</f>
        <v>0</v>
      </c>
      <c r="U730">
        <f>Data!O743</f>
        <v>0</v>
      </c>
      <c r="V730" s="33">
        <f>Data!P743</f>
        <v>0</v>
      </c>
    </row>
    <row r="731" spans="7:22" x14ac:dyDescent="0.25">
      <c r="G731">
        <f>Data!A744</f>
        <v>0</v>
      </c>
      <c r="H731" s="21">
        <f>Data!B744</f>
        <v>0</v>
      </c>
      <c r="I731" s="21">
        <f>Data!C744</f>
        <v>0</v>
      </c>
      <c r="J731">
        <f>Data!D744</f>
        <v>0</v>
      </c>
      <c r="K731">
        <f>Data!E744</f>
        <v>0</v>
      </c>
      <c r="L731">
        <f>Data!F744</f>
        <v>0</v>
      </c>
      <c r="M731">
        <f>Data!G744</f>
        <v>0</v>
      </c>
      <c r="N731">
        <f>Data!H744</f>
        <v>0</v>
      </c>
      <c r="O731">
        <f>Data!I744</f>
        <v>0</v>
      </c>
      <c r="P731" s="21">
        <f>Data!J744</f>
        <v>0</v>
      </c>
      <c r="Q731">
        <f>Data!K748</f>
        <v>0</v>
      </c>
      <c r="R731">
        <f>Data!L744</f>
        <v>0</v>
      </c>
      <c r="S731">
        <f>Data!M744</f>
        <v>0</v>
      </c>
      <c r="T731">
        <f>Data!N744</f>
        <v>0</v>
      </c>
      <c r="U731">
        <f>Data!O744</f>
        <v>0</v>
      </c>
      <c r="V731" s="33">
        <f>Data!P744</f>
        <v>0</v>
      </c>
    </row>
    <row r="732" spans="7:22" x14ac:dyDescent="0.25">
      <c r="G732">
        <f>Data!A745</f>
        <v>0</v>
      </c>
      <c r="H732" s="21">
        <f>Data!B745</f>
        <v>0</v>
      </c>
      <c r="I732" s="21">
        <f>Data!C745</f>
        <v>0</v>
      </c>
      <c r="J732">
        <f>Data!D745</f>
        <v>0</v>
      </c>
      <c r="K732">
        <f>Data!E745</f>
        <v>0</v>
      </c>
      <c r="L732">
        <f>Data!F745</f>
        <v>0</v>
      </c>
      <c r="M732">
        <f>Data!G745</f>
        <v>0</v>
      </c>
      <c r="N732">
        <f>Data!H745</f>
        <v>0</v>
      </c>
      <c r="O732">
        <f>Data!I745</f>
        <v>0</v>
      </c>
      <c r="P732" s="21">
        <f>Data!J745</f>
        <v>0</v>
      </c>
      <c r="Q732">
        <f>Data!K749</f>
        <v>0</v>
      </c>
      <c r="R732">
        <f>Data!L745</f>
        <v>0</v>
      </c>
      <c r="S732">
        <f>Data!M745</f>
        <v>0</v>
      </c>
      <c r="T732">
        <f>Data!N745</f>
        <v>0</v>
      </c>
      <c r="U732">
        <f>Data!O745</f>
        <v>0</v>
      </c>
      <c r="V732" s="33">
        <f>Data!P745</f>
        <v>0</v>
      </c>
    </row>
    <row r="733" spans="7:22" x14ac:dyDescent="0.25">
      <c r="G733">
        <f>Data!A746</f>
        <v>0</v>
      </c>
      <c r="H733" s="21">
        <f>Data!B746</f>
        <v>0</v>
      </c>
      <c r="I733" s="21">
        <f>Data!C746</f>
        <v>0</v>
      </c>
      <c r="J733">
        <f>Data!D746</f>
        <v>0</v>
      </c>
      <c r="K733">
        <f>Data!E746</f>
        <v>0</v>
      </c>
      <c r="L733">
        <f>Data!F746</f>
        <v>0</v>
      </c>
      <c r="M733">
        <f>Data!G746</f>
        <v>0</v>
      </c>
      <c r="N733">
        <f>Data!H746</f>
        <v>0</v>
      </c>
      <c r="O733">
        <f>Data!I746</f>
        <v>0</v>
      </c>
      <c r="P733" s="21">
        <f>Data!J746</f>
        <v>0</v>
      </c>
      <c r="Q733">
        <f>Data!K750</f>
        <v>0</v>
      </c>
      <c r="R733">
        <f>Data!L746</f>
        <v>0</v>
      </c>
      <c r="S733">
        <f>Data!M746</f>
        <v>0</v>
      </c>
      <c r="T733">
        <f>Data!N746</f>
        <v>0</v>
      </c>
      <c r="U733">
        <f>Data!O746</f>
        <v>0</v>
      </c>
      <c r="V733" s="33">
        <f>Data!P746</f>
        <v>0</v>
      </c>
    </row>
    <row r="734" spans="7:22" x14ac:dyDescent="0.25">
      <c r="G734">
        <f>Data!A747</f>
        <v>0</v>
      </c>
      <c r="H734" s="21">
        <f>Data!B747</f>
        <v>0</v>
      </c>
      <c r="I734" s="21">
        <f>Data!C747</f>
        <v>0</v>
      </c>
      <c r="J734">
        <f>Data!D747</f>
        <v>0</v>
      </c>
      <c r="K734">
        <f>Data!E747</f>
        <v>0</v>
      </c>
      <c r="L734">
        <f>Data!F747</f>
        <v>0</v>
      </c>
      <c r="M734">
        <f>Data!G747</f>
        <v>0</v>
      </c>
      <c r="N734">
        <f>Data!H747</f>
        <v>0</v>
      </c>
      <c r="O734">
        <f>Data!I747</f>
        <v>0</v>
      </c>
      <c r="P734" s="21">
        <f>Data!J747</f>
        <v>0</v>
      </c>
      <c r="Q734">
        <f>Data!K751</f>
        <v>0</v>
      </c>
      <c r="R734">
        <f>Data!L747</f>
        <v>0</v>
      </c>
      <c r="S734">
        <f>Data!M747</f>
        <v>0</v>
      </c>
      <c r="T734">
        <f>Data!N747</f>
        <v>0</v>
      </c>
      <c r="U734">
        <f>Data!O747</f>
        <v>0</v>
      </c>
      <c r="V734" s="33">
        <f>Data!P747</f>
        <v>0</v>
      </c>
    </row>
    <row r="735" spans="7:22" x14ac:dyDescent="0.25">
      <c r="G735">
        <f>Data!A748</f>
        <v>0</v>
      </c>
      <c r="H735" s="21">
        <f>Data!B748</f>
        <v>0</v>
      </c>
      <c r="I735" s="21">
        <f>Data!C748</f>
        <v>0</v>
      </c>
      <c r="J735">
        <f>Data!D748</f>
        <v>0</v>
      </c>
      <c r="K735">
        <f>Data!E748</f>
        <v>0</v>
      </c>
      <c r="L735">
        <f>Data!F748</f>
        <v>0</v>
      </c>
      <c r="M735">
        <f>Data!G748</f>
        <v>0</v>
      </c>
      <c r="N735">
        <f>Data!H748</f>
        <v>0</v>
      </c>
      <c r="O735">
        <f>Data!I748</f>
        <v>0</v>
      </c>
      <c r="P735" s="21">
        <f>Data!J748</f>
        <v>0</v>
      </c>
      <c r="Q735">
        <f>Data!K752</f>
        <v>0</v>
      </c>
      <c r="R735">
        <f>Data!L748</f>
        <v>0</v>
      </c>
      <c r="S735">
        <f>Data!M748</f>
        <v>0</v>
      </c>
      <c r="T735">
        <f>Data!N748</f>
        <v>0</v>
      </c>
      <c r="U735">
        <f>Data!O748</f>
        <v>0</v>
      </c>
      <c r="V735" s="33">
        <f>Data!P748</f>
        <v>0</v>
      </c>
    </row>
    <row r="736" spans="7:22" x14ac:dyDescent="0.25">
      <c r="G736">
        <f>Data!A749</f>
        <v>0</v>
      </c>
      <c r="H736" s="21">
        <f>Data!B749</f>
        <v>0</v>
      </c>
      <c r="I736" s="21">
        <f>Data!C749</f>
        <v>0</v>
      </c>
      <c r="J736">
        <f>Data!D749</f>
        <v>0</v>
      </c>
      <c r="K736">
        <f>Data!E749</f>
        <v>0</v>
      </c>
      <c r="L736">
        <f>Data!F749</f>
        <v>0</v>
      </c>
      <c r="M736">
        <f>Data!G749</f>
        <v>0</v>
      </c>
      <c r="N736">
        <f>Data!H749</f>
        <v>0</v>
      </c>
      <c r="O736">
        <f>Data!I749</f>
        <v>0</v>
      </c>
      <c r="P736" s="21">
        <f>Data!J749</f>
        <v>0</v>
      </c>
      <c r="Q736">
        <f>Data!K753</f>
        <v>0</v>
      </c>
      <c r="R736">
        <f>Data!L749</f>
        <v>0</v>
      </c>
      <c r="S736">
        <f>Data!M749</f>
        <v>0</v>
      </c>
      <c r="T736">
        <f>Data!N749</f>
        <v>0</v>
      </c>
      <c r="U736">
        <f>Data!O749</f>
        <v>0</v>
      </c>
      <c r="V736" s="33">
        <f>Data!P749</f>
        <v>0</v>
      </c>
    </row>
    <row r="737" spans="7:22" x14ac:dyDescent="0.25">
      <c r="G737">
        <f>Data!A750</f>
        <v>0</v>
      </c>
      <c r="H737" s="21">
        <f>Data!B750</f>
        <v>0</v>
      </c>
      <c r="I737" s="21">
        <f>Data!C750</f>
        <v>0</v>
      </c>
      <c r="J737">
        <f>Data!D750</f>
        <v>0</v>
      </c>
      <c r="K737">
        <f>Data!E750</f>
        <v>0</v>
      </c>
      <c r="L737">
        <f>Data!F750</f>
        <v>0</v>
      </c>
      <c r="M737">
        <f>Data!G750</f>
        <v>0</v>
      </c>
      <c r="N737">
        <f>Data!H750</f>
        <v>0</v>
      </c>
      <c r="O737">
        <f>Data!I750</f>
        <v>0</v>
      </c>
      <c r="P737" s="21">
        <f>Data!J750</f>
        <v>0</v>
      </c>
      <c r="Q737">
        <f>Data!K754</f>
        <v>0</v>
      </c>
      <c r="R737">
        <f>Data!L750</f>
        <v>0</v>
      </c>
      <c r="S737">
        <f>Data!M750</f>
        <v>0</v>
      </c>
      <c r="T737">
        <f>Data!N750</f>
        <v>0</v>
      </c>
      <c r="U737">
        <f>Data!O750</f>
        <v>0</v>
      </c>
      <c r="V737" s="33">
        <f>Data!P750</f>
        <v>0</v>
      </c>
    </row>
    <row r="738" spans="7:22" x14ac:dyDescent="0.25">
      <c r="G738">
        <f>Data!A751</f>
        <v>0</v>
      </c>
      <c r="H738" s="21">
        <f>Data!B751</f>
        <v>0</v>
      </c>
      <c r="I738" s="21">
        <f>Data!C751</f>
        <v>0</v>
      </c>
      <c r="J738">
        <f>Data!D751</f>
        <v>0</v>
      </c>
      <c r="K738">
        <f>Data!E751</f>
        <v>0</v>
      </c>
      <c r="L738">
        <f>Data!F751</f>
        <v>0</v>
      </c>
      <c r="M738">
        <f>Data!G751</f>
        <v>0</v>
      </c>
      <c r="N738">
        <f>Data!H751</f>
        <v>0</v>
      </c>
      <c r="O738">
        <f>Data!I751</f>
        <v>0</v>
      </c>
      <c r="P738" s="21">
        <f>Data!J751</f>
        <v>0</v>
      </c>
      <c r="Q738">
        <f>Data!K755</f>
        <v>0</v>
      </c>
      <c r="R738">
        <f>Data!L751</f>
        <v>0</v>
      </c>
      <c r="S738">
        <f>Data!M751</f>
        <v>0</v>
      </c>
      <c r="T738">
        <f>Data!N751</f>
        <v>0</v>
      </c>
      <c r="U738">
        <f>Data!O751</f>
        <v>0</v>
      </c>
      <c r="V738" s="33">
        <f>Data!P751</f>
        <v>0</v>
      </c>
    </row>
    <row r="739" spans="7:22" x14ac:dyDescent="0.25">
      <c r="G739">
        <f>Data!A752</f>
        <v>0</v>
      </c>
      <c r="H739" s="21">
        <f>Data!B752</f>
        <v>0</v>
      </c>
      <c r="I739" s="21">
        <f>Data!C752</f>
        <v>0</v>
      </c>
      <c r="J739">
        <f>Data!D752</f>
        <v>0</v>
      </c>
      <c r="K739">
        <f>Data!E752</f>
        <v>0</v>
      </c>
      <c r="L739">
        <f>Data!F752</f>
        <v>0</v>
      </c>
      <c r="M739">
        <f>Data!G752</f>
        <v>0</v>
      </c>
      <c r="N739">
        <f>Data!H752</f>
        <v>0</v>
      </c>
      <c r="O739">
        <f>Data!I752</f>
        <v>0</v>
      </c>
      <c r="P739" s="21">
        <f>Data!J752</f>
        <v>0</v>
      </c>
      <c r="Q739">
        <f>Data!K756</f>
        <v>0</v>
      </c>
      <c r="R739">
        <f>Data!L752</f>
        <v>0</v>
      </c>
      <c r="S739">
        <f>Data!M752</f>
        <v>0</v>
      </c>
      <c r="T739">
        <f>Data!N752</f>
        <v>0</v>
      </c>
      <c r="U739">
        <f>Data!O752</f>
        <v>0</v>
      </c>
      <c r="V739" s="33">
        <f>Data!P752</f>
        <v>0</v>
      </c>
    </row>
    <row r="740" spans="7:22" x14ac:dyDescent="0.25">
      <c r="G740">
        <f>Data!A753</f>
        <v>0</v>
      </c>
      <c r="H740" s="21">
        <f>Data!B753</f>
        <v>0</v>
      </c>
      <c r="I740" s="21">
        <f>Data!C753</f>
        <v>0</v>
      </c>
      <c r="J740">
        <f>Data!D753</f>
        <v>0</v>
      </c>
      <c r="K740">
        <f>Data!E753</f>
        <v>0</v>
      </c>
      <c r="L740">
        <f>Data!F753</f>
        <v>0</v>
      </c>
      <c r="M740">
        <f>Data!G753</f>
        <v>0</v>
      </c>
      <c r="N740">
        <f>Data!H753</f>
        <v>0</v>
      </c>
      <c r="O740">
        <f>Data!I753</f>
        <v>0</v>
      </c>
      <c r="P740" s="21">
        <f>Data!J753</f>
        <v>0</v>
      </c>
      <c r="Q740">
        <f>Data!K757</f>
        <v>0</v>
      </c>
      <c r="R740">
        <f>Data!L753</f>
        <v>0</v>
      </c>
      <c r="S740">
        <f>Data!M753</f>
        <v>0</v>
      </c>
      <c r="T740">
        <f>Data!N753</f>
        <v>0</v>
      </c>
      <c r="U740">
        <f>Data!O753</f>
        <v>0</v>
      </c>
      <c r="V740" s="33">
        <f>Data!P753</f>
        <v>0</v>
      </c>
    </row>
    <row r="741" spans="7:22" x14ac:dyDescent="0.25">
      <c r="G741">
        <f>Data!A754</f>
        <v>0</v>
      </c>
      <c r="H741" s="21">
        <f>Data!B754</f>
        <v>0</v>
      </c>
      <c r="I741" s="21">
        <f>Data!C754</f>
        <v>0</v>
      </c>
      <c r="J741">
        <f>Data!D754</f>
        <v>0</v>
      </c>
      <c r="K741">
        <f>Data!E754</f>
        <v>0</v>
      </c>
      <c r="L741">
        <f>Data!F754</f>
        <v>0</v>
      </c>
      <c r="M741">
        <f>Data!G754</f>
        <v>0</v>
      </c>
      <c r="N741">
        <f>Data!H754</f>
        <v>0</v>
      </c>
      <c r="O741">
        <f>Data!I754</f>
        <v>0</v>
      </c>
      <c r="P741" s="21">
        <f>Data!J754</f>
        <v>0</v>
      </c>
      <c r="Q741">
        <f>Data!K758</f>
        <v>0</v>
      </c>
      <c r="R741">
        <f>Data!L754</f>
        <v>0</v>
      </c>
      <c r="S741">
        <f>Data!M754</f>
        <v>0</v>
      </c>
      <c r="T741">
        <f>Data!N754</f>
        <v>0</v>
      </c>
      <c r="U741">
        <f>Data!O754</f>
        <v>0</v>
      </c>
      <c r="V741" s="33">
        <f>Data!P754</f>
        <v>0</v>
      </c>
    </row>
    <row r="742" spans="7:22" x14ac:dyDescent="0.25">
      <c r="G742">
        <f>Data!A755</f>
        <v>0</v>
      </c>
      <c r="H742" s="21">
        <f>Data!B755</f>
        <v>0</v>
      </c>
      <c r="I742" s="21">
        <f>Data!C755</f>
        <v>0</v>
      </c>
      <c r="J742">
        <f>Data!D755</f>
        <v>0</v>
      </c>
      <c r="K742">
        <f>Data!E755</f>
        <v>0</v>
      </c>
      <c r="L742">
        <f>Data!F755</f>
        <v>0</v>
      </c>
      <c r="M742">
        <f>Data!G755</f>
        <v>0</v>
      </c>
      <c r="N742">
        <f>Data!H755</f>
        <v>0</v>
      </c>
      <c r="O742">
        <f>Data!I755</f>
        <v>0</v>
      </c>
      <c r="P742" s="21">
        <f>Data!J755</f>
        <v>0</v>
      </c>
      <c r="Q742">
        <f>Data!K759</f>
        <v>0</v>
      </c>
      <c r="R742">
        <f>Data!L755</f>
        <v>0</v>
      </c>
      <c r="S742">
        <f>Data!M755</f>
        <v>0</v>
      </c>
      <c r="T742">
        <f>Data!N755</f>
        <v>0</v>
      </c>
      <c r="U742">
        <f>Data!O755</f>
        <v>0</v>
      </c>
      <c r="V742" s="33">
        <f>Data!P755</f>
        <v>0</v>
      </c>
    </row>
    <row r="743" spans="7:22" x14ac:dyDescent="0.25">
      <c r="G743">
        <f>Data!A756</f>
        <v>0</v>
      </c>
      <c r="H743" s="21">
        <f>Data!B756</f>
        <v>0</v>
      </c>
      <c r="I743" s="21">
        <f>Data!C756</f>
        <v>0</v>
      </c>
      <c r="J743">
        <f>Data!D756</f>
        <v>0</v>
      </c>
      <c r="K743">
        <f>Data!E756</f>
        <v>0</v>
      </c>
      <c r="L743">
        <f>Data!F756</f>
        <v>0</v>
      </c>
      <c r="M743">
        <f>Data!G756</f>
        <v>0</v>
      </c>
      <c r="N743">
        <f>Data!H756</f>
        <v>0</v>
      </c>
      <c r="O743">
        <f>Data!I756</f>
        <v>0</v>
      </c>
      <c r="P743" s="21">
        <f>Data!J756</f>
        <v>0</v>
      </c>
      <c r="Q743">
        <f>Data!K760</f>
        <v>0</v>
      </c>
      <c r="R743">
        <f>Data!L756</f>
        <v>0</v>
      </c>
      <c r="S743">
        <f>Data!M756</f>
        <v>0</v>
      </c>
      <c r="T743">
        <f>Data!N756</f>
        <v>0</v>
      </c>
      <c r="U743">
        <f>Data!O756</f>
        <v>0</v>
      </c>
      <c r="V743" s="33">
        <f>Data!P756</f>
        <v>0</v>
      </c>
    </row>
    <row r="744" spans="7:22" x14ac:dyDescent="0.25">
      <c r="G744">
        <f>Data!A757</f>
        <v>0</v>
      </c>
      <c r="H744" s="21">
        <f>Data!B757</f>
        <v>0</v>
      </c>
      <c r="I744" s="21">
        <f>Data!C757</f>
        <v>0</v>
      </c>
      <c r="J744">
        <f>Data!D757</f>
        <v>0</v>
      </c>
      <c r="K744">
        <f>Data!E757</f>
        <v>0</v>
      </c>
      <c r="L744">
        <f>Data!F757</f>
        <v>0</v>
      </c>
      <c r="M744">
        <f>Data!G757</f>
        <v>0</v>
      </c>
      <c r="N744">
        <f>Data!H757</f>
        <v>0</v>
      </c>
      <c r="O744">
        <f>Data!I757</f>
        <v>0</v>
      </c>
      <c r="P744" s="21">
        <f>Data!J757</f>
        <v>0</v>
      </c>
      <c r="Q744">
        <f>Data!K761</f>
        <v>0</v>
      </c>
      <c r="R744">
        <f>Data!L757</f>
        <v>0</v>
      </c>
      <c r="S744">
        <f>Data!M757</f>
        <v>0</v>
      </c>
      <c r="T744">
        <f>Data!N757</f>
        <v>0</v>
      </c>
      <c r="U744">
        <f>Data!O757</f>
        <v>0</v>
      </c>
      <c r="V744" s="33">
        <f>Data!P757</f>
        <v>0</v>
      </c>
    </row>
    <row r="745" spans="7:22" x14ac:dyDescent="0.25">
      <c r="G745">
        <f>Data!A758</f>
        <v>0</v>
      </c>
      <c r="H745" s="21">
        <f>Data!B758</f>
        <v>0</v>
      </c>
      <c r="I745" s="21">
        <f>Data!C758</f>
        <v>0</v>
      </c>
      <c r="J745">
        <f>Data!D758</f>
        <v>0</v>
      </c>
      <c r="K745">
        <f>Data!E758</f>
        <v>0</v>
      </c>
      <c r="L745">
        <f>Data!F758</f>
        <v>0</v>
      </c>
      <c r="M745">
        <f>Data!G758</f>
        <v>0</v>
      </c>
      <c r="N745">
        <f>Data!H758</f>
        <v>0</v>
      </c>
      <c r="O745">
        <f>Data!I758</f>
        <v>0</v>
      </c>
      <c r="P745" s="21">
        <f>Data!J758</f>
        <v>0</v>
      </c>
      <c r="Q745">
        <f>Data!K762</f>
        <v>0</v>
      </c>
      <c r="R745">
        <f>Data!L758</f>
        <v>0</v>
      </c>
      <c r="S745">
        <f>Data!M758</f>
        <v>0</v>
      </c>
      <c r="T745">
        <f>Data!N758</f>
        <v>0</v>
      </c>
      <c r="U745">
        <f>Data!O758</f>
        <v>0</v>
      </c>
      <c r="V745" s="33">
        <f>Data!P758</f>
        <v>0</v>
      </c>
    </row>
    <row r="746" spans="7:22" x14ac:dyDescent="0.25">
      <c r="G746">
        <f>Data!A759</f>
        <v>0</v>
      </c>
      <c r="H746" s="21">
        <f>Data!B759</f>
        <v>0</v>
      </c>
      <c r="I746" s="21">
        <f>Data!C759</f>
        <v>0</v>
      </c>
      <c r="J746">
        <f>Data!D759</f>
        <v>0</v>
      </c>
      <c r="K746">
        <f>Data!E759</f>
        <v>0</v>
      </c>
      <c r="L746">
        <f>Data!F759</f>
        <v>0</v>
      </c>
      <c r="M746">
        <f>Data!G759</f>
        <v>0</v>
      </c>
      <c r="N746">
        <f>Data!H759</f>
        <v>0</v>
      </c>
      <c r="O746">
        <f>Data!I759</f>
        <v>0</v>
      </c>
      <c r="P746" s="21">
        <f>Data!J759</f>
        <v>0</v>
      </c>
      <c r="Q746">
        <f>Data!K763</f>
        <v>0</v>
      </c>
      <c r="R746">
        <f>Data!L759</f>
        <v>0</v>
      </c>
      <c r="S746">
        <f>Data!M759</f>
        <v>0</v>
      </c>
      <c r="T746">
        <f>Data!N759</f>
        <v>0</v>
      </c>
      <c r="U746">
        <f>Data!O759</f>
        <v>0</v>
      </c>
      <c r="V746" s="33">
        <f>Data!P759</f>
        <v>0</v>
      </c>
    </row>
    <row r="747" spans="7:22" x14ac:dyDescent="0.25">
      <c r="G747">
        <f>Data!A760</f>
        <v>0</v>
      </c>
      <c r="H747" s="21">
        <f>Data!B760</f>
        <v>0</v>
      </c>
      <c r="I747" s="21">
        <f>Data!C760</f>
        <v>0</v>
      </c>
      <c r="J747">
        <f>Data!D760</f>
        <v>0</v>
      </c>
      <c r="K747">
        <f>Data!E760</f>
        <v>0</v>
      </c>
      <c r="L747">
        <f>Data!F760</f>
        <v>0</v>
      </c>
      <c r="M747">
        <f>Data!G760</f>
        <v>0</v>
      </c>
      <c r="N747">
        <f>Data!H760</f>
        <v>0</v>
      </c>
      <c r="O747">
        <f>Data!I760</f>
        <v>0</v>
      </c>
      <c r="P747" s="21">
        <f>Data!J760</f>
        <v>0</v>
      </c>
      <c r="Q747">
        <f>Data!K764</f>
        <v>0</v>
      </c>
      <c r="R747">
        <f>Data!L760</f>
        <v>0</v>
      </c>
      <c r="S747">
        <f>Data!M760</f>
        <v>0</v>
      </c>
      <c r="T747">
        <f>Data!N760</f>
        <v>0</v>
      </c>
      <c r="U747">
        <f>Data!O760</f>
        <v>0</v>
      </c>
      <c r="V747" s="33">
        <f>Data!P760</f>
        <v>0</v>
      </c>
    </row>
    <row r="748" spans="7:22" x14ac:dyDescent="0.25">
      <c r="G748">
        <f>Data!A761</f>
        <v>0</v>
      </c>
      <c r="H748" s="21">
        <f>Data!B761</f>
        <v>0</v>
      </c>
      <c r="I748" s="21">
        <f>Data!C761</f>
        <v>0</v>
      </c>
      <c r="J748">
        <f>Data!D761</f>
        <v>0</v>
      </c>
      <c r="K748">
        <f>Data!E761</f>
        <v>0</v>
      </c>
      <c r="L748">
        <f>Data!F761</f>
        <v>0</v>
      </c>
      <c r="M748">
        <f>Data!G761</f>
        <v>0</v>
      </c>
      <c r="N748">
        <f>Data!H761</f>
        <v>0</v>
      </c>
      <c r="O748">
        <f>Data!I761</f>
        <v>0</v>
      </c>
      <c r="P748" s="21">
        <f>Data!J761</f>
        <v>0</v>
      </c>
      <c r="Q748">
        <f>Data!K765</f>
        <v>0</v>
      </c>
      <c r="R748">
        <f>Data!L761</f>
        <v>0</v>
      </c>
      <c r="S748">
        <f>Data!M761</f>
        <v>0</v>
      </c>
      <c r="T748">
        <f>Data!N761</f>
        <v>0</v>
      </c>
      <c r="U748">
        <f>Data!O761</f>
        <v>0</v>
      </c>
      <c r="V748" s="33">
        <f>Data!P761</f>
        <v>0</v>
      </c>
    </row>
    <row r="749" spans="7:22" x14ac:dyDescent="0.25">
      <c r="G749">
        <f>Data!A762</f>
        <v>0</v>
      </c>
      <c r="H749" s="21">
        <f>Data!B762</f>
        <v>0</v>
      </c>
      <c r="I749" s="21">
        <f>Data!C762</f>
        <v>0</v>
      </c>
      <c r="J749">
        <f>Data!D762</f>
        <v>0</v>
      </c>
      <c r="K749">
        <f>Data!E762</f>
        <v>0</v>
      </c>
      <c r="L749">
        <f>Data!F762</f>
        <v>0</v>
      </c>
      <c r="M749">
        <f>Data!G762</f>
        <v>0</v>
      </c>
      <c r="N749">
        <f>Data!H762</f>
        <v>0</v>
      </c>
      <c r="O749">
        <f>Data!I762</f>
        <v>0</v>
      </c>
      <c r="P749" s="21">
        <f>Data!J762</f>
        <v>0</v>
      </c>
      <c r="Q749">
        <f>Data!K766</f>
        <v>0</v>
      </c>
      <c r="R749">
        <f>Data!L762</f>
        <v>0</v>
      </c>
      <c r="S749">
        <f>Data!M762</f>
        <v>0</v>
      </c>
      <c r="T749">
        <f>Data!N762</f>
        <v>0</v>
      </c>
      <c r="U749">
        <f>Data!O762</f>
        <v>0</v>
      </c>
      <c r="V749" s="33">
        <f>Data!P762</f>
        <v>0</v>
      </c>
    </row>
    <row r="750" spans="7:22" x14ac:dyDescent="0.25">
      <c r="G750">
        <f>Data!A763</f>
        <v>0</v>
      </c>
      <c r="H750" s="21">
        <f>Data!B763</f>
        <v>0</v>
      </c>
      <c r="I750" s="21">
        <f>Data!C763</f>
        <v>0</v>
      </c>
      <c r="J750">
        <f>Data!D763</f>
        <v>0</v>
      </c>
      <c r="K750">
        <f>Data!E763</f>
        <v>0</v>
      </c>
      <c r="L750">
        <f>Data!F763</f>
        <v>0</v>
      </c>
      <c r="M750">
        <f>Data!G763</f>
        <v>0</v>
      </c>
      <c r="N750">
        <f>Data!H763</f>
        <v>0</v>
      </c>
      <c r="O750">
        <f>Data!I763</f>
        <v>0</v>
      </c>
      <c r="P750" s="21">
        <f>Data!J763</f>
        <v>0</v>
      </c>
      <c r="Q750">
        <f>Data!K767</f>
        <v>0</v>
      </c>
      <c r="R750">
        <f>Data!L763</f>
        <v>0</v>
      </c>
      <c r="S750">
        <f>Data!M763</f>
        <v>0</v>
      </c>
      <c r="T750">
        <f>Data!N763</f>
        <v>0</v>
      </c>
      <c r="U750">
        <f>Data!O763</f>
        <v>0</v>
      </c>
      <c r="V750" s="33">
        <f>Data!P763</f>
        <v>0</v>
      </c>
    </row>
    <row r="751" spans="7:22" x14ac:dyDescent="0.25">
      <c r="G751">
        <f>Data!A764</f>
        <v>0</v>
      </c>
      <c r="H751" s="21">
        <f>Data!B764</f>
        <v>0</v>
      </c>
      <c r="I751" s="21">
        <f>Data!C764</f>
        <v>0</v>
      </c>
      <c r="J751">
        <f>Data!D764</f>
        <v>0</v>
      </c>
      <c r="K751">
        <f>Data!E764</f>
        <v>0</v>
      </c>
      <c r="L751">
        <f>Data!F764</f>
        <v>0</v>
      </c>
      <c r="M751">
        <f>Data!G764</f>
        <v>0</v>
      </c>
      <c r="N751">
        <f>Data!H764</f>
        <v>0</v>
      </c>
      <c r="O751">
        <f>Data!I764</f>
        <v>0</v>
      </c>
      <c r="P751" s="21">
        <f>Data!J764</f>
        <v>0</v>
      </c>
      <c r="Q751">
        <f>Data!K768</f>
        <v>0</v>
      </c>
      <c r="R751">
        <f>Data!L764</f>
        <v>0</v>
      </c>
      <c r="S751">
        <f>Data!M764</f>
        <v>0</v>
      </c>
      <c r="T751">
        <f>Data!N764</f>
        <v>0</v>
      </c>
      <c r="U751">
        <f>Data!O764</f>
        <v>0</v>
      </c>
      <c r="V751" s="33">
        <f>Data!P764</f>
        <v>0</v>
      </c>
    </row>
    <row r="752" spans="7:22" x14ac:dyDescent="0.25">
      <c r="G752">
        <f>Data!A765</f>
        <v>0</v>
      </c>
      <c r="H752" s="21">
        <f>Data!B765</f>
        <v>0</v>
      </c>
      <c r="I752" s="21">
        <f>Data!C765</f>
        <v>0</v>
      </c>
      <c r="J752">
        <f>Data!D765</f>
        <v>0</v>
      </c>
      <c r="K752">
        <f>Data!E765</f>
        <v>0</v>
      </c>
      <c r="L752">
        <f>Data!F765</f>
        <v>0</v>
      </c>
      <c r="M752">
        <f>Data!G765</f>
        <v>0</v>
      </c>
      <c r="N752">
        <f>Data!H765</f>
        <v>0</v>
      </c>
      <c r="O752">
        <f>Data!I765</f>
        <v>0</v>
      </c>
      <c r="P752" s="21">
        <f>Data!J765</f>
        <v>0</v>
      </c>
      <c r="Q752">
        <f>Data!K769</f>
        <v>0</v>
      </c>
      <c r="R752">
        <f>Data!L765</f>
        <v>0</v>
      </c>
      <c r="S752">
        <f>Data!M765</f>
        <v>0</v>
      </c>
      <c r="T752">
        <f>Data!N765</f>
        <v>0</v>
      </c>
      <c r="U752">
        <f>Data!O769</f>
        <v>0</v>
      </c>
      <c r="V752" s="33">
        <f>Data!P765</f>
        <v>0</v>
      </c>
    </row>
    <row r="753" spans="7:22" x14ac:dyDescent="0.25">
      <c r="G753">
        <f>Data!A766</f>
        <v>0</v>
      </c>
      <c r="H753" s="21">
        <f>Data!B766</f>
        <v>0</v>
      </c>
      <c r="I753" s="21">
        <f>Data!C766</f>
        <v>0</v>
      </c>
      <c r="J753">
        <f>Data!D766</f>
        <v>0</v>
      </c>
      <c r="K753">
        <f>Data!E766</f>
        <v>0</v>
      </c>
      <c r="L753">
        <f>Data!F766</f>
        <v>0</v>
      </c>
      <c r="M753">
        <f>Data!G766</f>
        <v>0</v>
      </c>
      <c r="N753">
        <f>Data!H766</f>
        <v>0</v>
      </c>
      <c r="O753">
        <f>Data!I766</f>
        <v>0</v>
      </c>
      <c r="P753" s="21">
        <f>Data!J766</f>
        <v>0</v>
      </c>
      <c r="Q753">
        <f>Data!K770</f>
        <v>0</v>
      </c>
      <c r="R753">
        <f>Data!L766</f>
        <v>0</v>
      </c>
      <c r="S753">
        <f>Data!M766</f>
        <v>0</v>
      </c>
      <c r="T753">
        <f>Data!N766</f>
        <v>0</v>
      </c>
      <c r="U753">
        <f>Data!O770</f>
        <v>0</v>
      </c>
      <c r="V753" s="33">
        <f>Data!P766</f>
        <v>0</v>
      </c>
    </row>
    <row r="754" spans="7:22" x14ac:dyDescent="0.25">
      <c r="G754">
        <f>Data!A767</f>
        <v>0</v>
      </c>
      <c r="H754" s="21">
        <f>Data!B767</f>
        <v>0</v>
      </c>
      <c r="I754" s="21">
        <f>Data!C767</f>
        <v>0</v>
      </c>
      <c r="J754">
        <f>Data!D767</f>
        <v>0</v>
      </c>
      <c r="K754">
        <f>Data!E767</f>
        <v>0</v>
      </c>
      <c r="L754">
        <f>Data!F767</f>
        <v>0</v>
      </c>
      <c r="M754">
        <f>Data!G767</f>
        <v>0</v>
      </c>
      <c r="N754">
        <f>Data!H767</f>
        <v>0</v>
      </c>
      <c r="O754">
        <f>Data!I767</f>
        <v>0</v>
      </c>
      <c r="P754" s="21">
        <f>Data!J767</f>
        <v>0</v>
      </c>
      <c r="Q754">
        <f>Data!K771</f>
        <v>0</v>
      </c>
      <c r="R754">
        <f>Data!L767</f>
        <v>0</v>
      </c>
      <c r="S754">
        <f>Data!M767</f>
        <v>0</v>
      </c>
      <c r="T754">
        <f>Data!N767</f>
        <v>0</v>
      </c>
      <c r="U754">
        <f>Data!O771</f>
        <v>0</v>
      </c>
      <c r="V754" s="33">
        <f>Data!P767</f>
        <v>0</v>
      </c>
    </row>
    <row r="755" spans="7:22" x14ac:dyDescent="0.25">
      <c r="G755">
        <f>Data!A768</f>
        <v>0</v>
      </c>
      <c r="H755" s="21">
        <f>Data!B768</f>
        <v>0</v>
      </c>
      <c r="I755" s="21">
        <f>Data!C768</f>
        <v>0</v>
      </c>
      <c r="J755">
        <f>Data!D768</f>
        <v>0</v>
      </c>
      <c r="K755">
        <f>Data!E768</f>
        <v>0</v>
      </c>
      <c r="L755">
        <f>Data!F768</f>
        <v>0</v>
      </c>
      <c r="M755">
        <f>Data!G768</f>
        <v>0</v>
      </c>
      <c r="N755">
        <f>Data!H768</f>
        <v>0</v>
      </c>
      <c r="O755">
        <f>Data!I768</f>
        <v>0</v>
      </c>
      <c r="P755" s="21">
        <f>Data!J768</f>
        <v>0</v>
      </c>
      <c r="Q755">
        <f>Data!K772</f>
        <v>0</v>
      </c>
      <c r="R755">
        <f>Data!L768</f>
        <v>0</v>
      </c>
      <c r="S755">
        <f>Data!M768</f>
        <v>0</v>
      </c>
      <c r="T755">
        <f>Data!N768</f>
        <v>0</v>
      </c>
      <c r="U755">
        <f>Data!O772</f>
        <v>0</v>
      </c>
      <c r="V755" s="33">
        <f>Data!P768</f>
        <v>0</v>
      </c>
    </row>
    <row r="756" spans="7:22" x14ac:dyDescent="0.25">
      <c r="G756">
        <f>Data!A769</f>
        <v>0</v>
      </c>
      <c r="H756" s="21">
        <f>Data!B769</f>
        <v>0</v>
      </c>
      <c r="I756" s="21">
        <f>Data!C769</f>
        <v>0</v>
      </c>
      <c r="J756">
        <f>Data!D769</f>
        <v>0</v>
      </c>
      <c r="K756">
        <f>Data!E769</f>
        <v>0</v>
      </c>
      <c r="L756">
        <f>Data!F769</f>
        <v>0</v>
      </c>
      <c r="M756">
        <f>Data!G769</f>
        <v>0</v>
      </c>
      <c r="N756">
        <f>Data!H769</f>
        <v>0</v>
      </c>
      <c r="O756">
        <f>Data!I769</f>
        <v>0</v>
      </c>
      <c r="P756" s="21">
        <f>Data!J769</f>
        <v>0</v>
      </c>
      <c r="Q756">
        <f>Data!K773</f>
        <v>0</v>
      </c>
      <c r="R756">
        <f>Data!L769</f>
        <v>0</v>
      </c>
      <c r="S756">
        <f>Data!M769</f>
        <v>0</v>
      </c>
      <c r="T756">
        <f>Data!N769</f>
        <v>0</v>
      </c>
      <c r="U756">
        <f>Data!O773</f>
        <v>0</v>
      </c>
      <c r="V756" s="33">
        <f>Data!P769</f>
        <v>0</v>
      </c>
    </row>
    <row r="757" spans="7:22" x14ac:dyDescent="0.25">
      <c r="G757">
        <f>Data!A770</f>
        <v>0</v>
      </c>
      <c r="H757" s="21">
        <f>Data!B770</f>
        <v>0</v>
      </c>
      <c r="I757" s="21">
        <f>Data!C770</f>
        <v>0</v>
      </c>
      <c r="J757">
        <f>Data!D770</f>
        <v>0</v>
      </c>
      <c r="K757">
        <f>Data!E770</f>
        <v>0</v>
      </c>
      <c r="L757">
        <f>Data!F770</f>
        <v>0</v>
      </c>
      <c r="M757">
        <f>Data!G770</f>
        <v>0</v>
      </c>
      <c r="N757">
        <f>Data!H770</f>
        <v>0</v>
      </c>
      <c r="O757">
        <f>Data!I770</f>
        <v>0</v>
      </c>
      <c r="P757" s="21">
        <f>Data!J770</f>
        <v>0</v>
      </c>
      <c r="Q757">
        <f>Data!K774</f>
        <v>0</v>
      </c>
      <c r="R757">
        <f>Data!L770</f>
        <v>0</v>
      </c>
      <c r="S757">
        <f>Data!M770</f>
        <v>0</v>
      </c>
      <c r="T757">
        <f>Data!N770</f>
        <v>0</v>
      </c>
      <c r="U757">
        <f>Data!O774</f>
        <v>0</v>
      </c>
      <c r="V757" s="33">
        <f>Data!P770</f>
        <v>0</v>
      </c>
    </row>
    <row r="758" spans="7:22" x14ac:dyDescent="0.25">
      <c r="G758">
        <f>Data!A771</f>
        <v>0</v>
      </c>
      <c r="H758" s="21">
        <f>Data!B771</f>
        <v>0</v>
      </c>
      <c r="I758" s="21">
        <f>Data!C771</f>
        <v>0</v>
      </c>
      <c r="J758">
        <f>Data!D771</f>
        <v>0</v>
      </c>
      <c r="K758">
        <f>Data!E771</f>
        <v>0</v>
      </c>
      <c r="L758">
        <f>Data!F771</f>
        <v>0</v>
      </c>
      <c r="M758">
        <f>Data!G771</f>
        <v>0</v>
      </c>
      <c r="N758">
        <f>Data!H771</f>
        <v>0</v>
      </c>
      <c r="O758">
        <f>Data!I771</f>
        <v>0</v>
      </c>
      <c r="P758" s="21">
        <f>Data!J771</f>
        <v>0</v>
      </c>
      <c r="Q758">
        <f>Data!K775</f>
        <v>0</v>
      </c>
      <c r="R758">
        <f>Data!L771</f>
        <v>0</v>
      </c>
      <c r="S758">
        <f>Data!M771</f>
        <v>0</v>
      </c>
      <c r="T758">
        <f>Data!N771</f>
        <v>0</v>
      </c>
      <c r="U758">
        <f>Data!O775</f>
        <v>0</v>
      </c>
      <c r="V758" s="33">
        <f>Data!P771</f>
        <v>0</v>
      </c>
    </row>
    <row r="759" spans="7:22" x14ac:dyDescent="0.25">
      <c r="G759">
        <f>Data!A772</f>
        <v>0</v>
      </c>
      <c r="H759" s="21">
        <f>Data!B772</f>
        <v>0</v>
      </c>
      <c r="I759" s="21">
        <f>Data!C772</f>
        <v>0</v>
      </c>
      <c r="J759">
        <f>Data!D772</f>
        <v>0</v>
      </c>
      <c r="K759">
        <f>Data!E772</f>
        <v>0</v>
      </c>
      <c r="L759">
        <f>Data!F772</f>
        <v>0</v>
      </c>
      <c r="M759">
        <f>Data!G772</f>
        <v>0</v>
      </c>
      <c r="N759">
        <f>Data!H772</f>
        <v>0</v>
      </c>
      <c r="O759">
        <f>Data!I772</f>
        <v>0</v>
      </c>
      <c r="P759" s="21">
        <f>Data!J772</f>
        <v>0</v>
      </c>
      <c r="Q759">
        <f>Data!K776</f>
        <v>0</v>
      </c>
      <c r="R759">
        <f>Data!L772</f>
        <v>0</v>
      </c>
      <c r="S759">
        <f>Data!M772</f>
        <v>0</v>
      </c>
      <c r="T759">
        <f>Data!N772</f>
        <v>0</v>
      </c>
      <c r="U759">
        <f>Data!O776</f>
        <v>0</v>
      </c>
      <c r="V759" s="33">
        <f>Data!P772</f>
        <v>0</v>
      </c>
    </row>
    <row r="760" spans="7:22" x14ac:dyDescent="0.25">
      <c r="G760">
        <f>Data!A773</f>
        <v>0</v>
      </c>
      <c r="H760" s="21">
        <f>Data!B773</f>
        <v>0</v>
      </c>
      <c r="I760" s="21">
        <f>Data!C773</f>
        <v>0</v>
      </c>
      <c r="J760">
        <f>Data!D773</f>
        <v>0</v>
      </c>
      <c r="K760">
        <f>Data!E773</f>
        <v>0</v>
      </c>
      <c r="L760">
        <f>Data!F773</f>
        <v>0</v>
      </c>
      <c r="M760">
        <f>Data!G773</f>
        <v>0</v>
      </c>
      <c r="N760">
        <f>Data!H773</f>
        <v>0</v>
      </c>
      <c r="O760">
        <f>Data!I773</f>
        <v>0</v>
      </c>
      <c r="P760" s="21">
        <f>Data!J773</f>
        <v>0</v>
      </c>
      <c r="Q760">
        <f>Data!K777</f>
        <v>0</v>
      </c>
      <c r="R760">
        <f>Data!L773</f>
        <v>0</v>
      </c>
      <c r="S760">
        <f>Data!M773</f>
        <v>0</v>
      </c>
      <c r="T760">
        <f>Data!N773</f>
        <v>0</v>
      </c>
      <c r="U760">
        <f>Data!O777</f>
        <v>0</v>
      </c>
      <c r="V760" s="33">
        <f>Data!P773</f>
        <v>0</v>
      </c>
    </row>
    <row r="761" spans="7:22" x14ac:dyDescent="0.25">
      <c r="G761">
        <f>Data!A774</f>
        <v>0</v>
      </c>
      <c r="H761" s="21">
        <f>Data!B774</f>
        <v>0</v>
      </c>
      <c r="I761" s="21">
        <f>Data!C774</f>
        <v>0</v>
      </c>
      <c r="J761">
        <f>Data!D774</f>
        <v>0</v>
      </c>
      <c r="K761">
        <f>Data!E774</f>
        <v>0</v>
      </c>
      <c r="L761">
        <f>Data!F774</f>
        <v>0</v>
      </c>
      <c r="M761">
        <f>Data!G774</f>
        <v>0</v>
      </c>
      <c r="N761">
        <f>Data!H774</f>
        <v>0</v>
      </c>
      <c r="O761">
        <f>Data!I774</f>
        <v>0</v>
      </c>
      <c r="P761" s="21">
        <f>Data!J774</f>
        <v>0</v>
      </c>
      <c r="Q761">
        <f>Data!K778</f>
        <v>0</v>
      </c>
      <c r="R761">
        <f>Data!L774</f>
        <v>0</v>
      </c>
      <c r="S761">
        <f>Data!M774</f>
        <v>0</v>
      </c>
      <c r="T761">
        <f>Data!N774</f>
        <v>0</v>
      </c>
      <c r="U761">
        <f>Data!O778</f>
        <v>0</v>
      </c>
      <c r="V761" s="33">
        <f>Data!P774</f>
        <v>0</v>
      </c>
    </row>
    <row r="762" spans="7:22" x14ac:dyDescent="0.25">
      <c r="G762">
        <f>Data!A775</f>
        <v>0</v>
      </c>
      <c r="H762" s="21">
        <f>Data!B775</f>
        <v>0</v>
      </c>
      <c r="I762" s="21">
        <f>Data!C775</f>
        <v>0</v>
      </c>
      <c r="J762">
        <f>Data!D775</f>
        <v>0</v>
      </c>
      <c r="K762">
        <f>Data!E775</f>
        <v>0</v>
      </c>
      <c r="L762">
        <f>Data!F775</f>
        <v>0</v>
      </c>
      <c r="M762">
        <f>Data!G775</f>
        <v>0</v>
      </c>
      <c r="N762">
        <f>Data!H775</f>
        <v>0</v>
      </c>
      <c r="O762">
        <f>Data!I775</f>
        <v>0</v>
      </c>
      <c r="P762" s="21">
        <f>Data!J775</f>
        <v>0</v>
      </c>
      <c r="Q762">
        <f>Data!K779</f>
        <v>0</v>
      </c>
      <c r="R762">
        <f>Data!L775</f>
        <v>0</v>
      </c>
      <c r="S762">
        <f>Data!M775</f>
        <v>0</v>
      </c>
      <c r="T762">
        <f>Data!N775</f>
        <v>0</v>
      </c>
      <c r="U762">
        <f>Data!O779</f>
        <v>0</v>
      </c>
      <c r="V762" s="33">
        <f>Data!P775</f>
        <v>0</v>
      </c>
    </row>
    <row r="763" spans="7:22" x14ac:dyDescent="0.25">
      <c r="G763">
        <f>Data!A776</f>
        <v>0</v>
      </c>
      <c r="H763" s="21">
        <f>Data!B776</f>
        <v>0</v>
      </c>
      <c r="I763" s="21">
        <f>Data!C776</f>
        <v>0</v>
      </c>
      <c r="J763">
        <f>Data!D776</f>
        <v>0</v>
      </c>
      <c r="K763">
        <f>Data!E776</f>
        <v>0</v>
      </c>
      <c r="L763">
        <f>Data!F776</f>
        <v>0</v>
      </c>
      <c r="M763">
        <f>Data!G776</f>
        <v>0</v>
      </c>
      <c r="N763">
        <f>Data!H776</f>
        <v>0</v>
      </c>
      <c r="O763">
        <f>Data!I776</f>
        <v>0</v>
      </c>
      <c r="P763" s="21">
        <f>Data!J776</f>
        <v>0</v>
      </c>
      <c r="Q763">
        <f>Data!K780</f>
        <v>0</v>
      </c>
      <c r="R763">
        <f>Data!L776</f>
        <v>0</v>
      </c>
      <c r="S763">
        <f>Data!M776</f>
        <v>0</v>
      </c>
      <c r="T763">
        <f>Data!N776</f>
        <v>0</v>
      </c>
      <c r="U763">
        <f>Data!O780</f>
        <v>0</v>
      </c>
      <c r="V763" s="33">
        <f>Data!P776</f>
        <v>0</v>
      </c>
    </row>
    <row r="764" spans="7:22" x14ac:dyDescent="0.25">
      <c r="G764">
        <f>Data!A777</f>
        <v>0</v>
      </c>
      <c r="H764" s="21">
        <f>Data!B777</f>
        <v>0</v>
      </c>
      <c r="I764" s="21">
        <f>Data!C777</f>
        <v>0</v>
      </c>
      <c r="J764">
        <f>Data!D777</f>
        <v>0</v>
      </c>
      <c r="K764">
        <f>Data!E777</f>
        <v>0</v>
      </c>
      <c r="L764">
        <f>Data!F777</f>
        <v>0</v>
      </c>
      <c r="M764">
        <f>Data!G777</f>
        <v>0</v>
      </c>
      <c r="N764">
        <f>Data!H777</f>
        <v>0</v>
      </c>
      <c r="O764">
        <f>Data!I777</f>
        <v>0</v>
      </c>
      <c r="P764" s="21">
        <f>Data!J777</f>
        <v>0</v>
      </c>
      <c r="Q764">
        <f>Data!K781</f>
        <v>0</v>
      </c>
      <c r="R764">
        <f>Data!L777</f>
        <v>0</v>
      </c>
      <c r="S764">
        <f>Data!M777</f>
        <v>0</v>
      </c>
      <c r="T764">
        <f>Data!N777</f>
        <v>0</v>
      </c>
      <c r="U764">
        <f>Data!O781</f>
        <v>0</v>
      </c>
      <c r="V764" s="33">
        <f>Data!P777</f>
        <v>0</v>
      </c>
    </row>
    <row r="765" spans="7:22" x14ac:dyDescent="0.25">
      <c r="G765">
        <f>Data!A778</f>
        <v>0</v>
      </c>
      <c r="H765" s="21">
        <f>Data!B778</f>
        <v>0</v>
      </c>
      <c r="I765" s="21">
        <f>Data!C778</f>
        <v>0</v>
      </c>
      <c r="J765">
        <f>Data!D778</f>
        <v>0</v>
      </c>
      <c r="K765">
        <f>Data!E778</f>
        <v>0</v>
      </c>
      <c r="L765">
        <f>Data!F778</f>
        <v>0</v>
      </c>
      <c r="M765">
        <f>Data!G778</f>
        <v>0</v>
      </c>
      <c r="N765">
        <f>Data!H778</f>
        <v>0</v>
      </c>
      <c r="O765">
        <f>Data!I778</f>
        <v>0</v>
      </c>
      <c r="P765" s="21">
        <f>Data!J778</f>
        <v>0</v>
      </c>
      <c r="Q765">
        <f>Data!K782</f>
        <v>0</v>
      </c>
      <c r="R765">
        <f>Data!L778</f>
        <v>0</v>
      </c>
      <c r="S765">
        <f>Data!M778</f>
        <v>0</v>
      </c>
      <c r="T765">
        <f>Data!N778</f>
        <v>0</v>
      </c>
      <c r="U765">
        <f>Data!O782</f>
        <v>0</v>
      </c>
      <c r="V765" s="33">
        <f>Data!P778</f>
        <v>0</v>
      </c>
    </row>
    <row r="766" spans="7:22" x14ac:dyDescent="0.25">
      <c r="G766">
        <f>Data!A779</f>
        <v>0</v>
      </c>
      <c r="H766" s="21">
        <f>Data!B779</f>
        <v>0</v>
      </c>
      <c r="I766" s="21">
        <f>Data!C779</f>
        <v>0</v>
      </c>
      <c r="J766">
        <f>Data!D779</f>
        <v>0</v>
      </c>
      <c r="K766">
        <f>Data!E779</f>
        <v>0</v>
      </c>
      <c r="L766">
        <f>Data!F779</f>
        <v>0</v>
      </c>
      <c r="M766">
        <f>Data!G779</f>
        <v>0</v>
      </c>
      <c r="N766">
        <f>Data!H779</f>
        <v>0</v>
      </c>
      <c r="O766">
        <f>Data!I779</f>
        <v>0</v>
      </c>
      <c r="P766" s="21">
        <f>Data!J779</f>
        <v>0</v>
      </c>
      <c r="Q766">
        <f>Data!K783</f>
        <v>0</v>
      </c>
      <c r="R766">
        <f>Data!L779</f>
        <v>0</v>
      </c>
      <c r="S766">
        <f>Data!M779</f>
        <v>0</v>
      </c>
      <c r="T766">
        <f>Data!N779</f>
        <v>0</v>
      </c>
      <c r="U766">
        <f>Data!O783</f>
        <v>0</v>
      </c>
      <c r="V766" s="33">
        <f>Data!P779</f>
        <v>0</v>
      </c>
    </row>
    <row r="767" spans="7:22" x14ac:dyDescent="0.25">
      <c r="G767">
        <f>Data!A780</f>
        <v>0</v>
      </c>
      <c r="H767" s="21">
        <f>Data!B780</f>
        <v>0</v>
      </c>
      <c r="I767" s="21">
        <f>Data!C780</f>
        <v>0</v>
      </c>
      <c r="J767">
        <f>Data!D780</f>
        <v>0</v>
      </c>
      <c r="K767">
        <f>Data!E780</f>
        <v>0</v>
      </c>
      <c r="L767">
        <f>Data!F780</f>
        <v>0</v>
      </c>
      <c r="M767">
        <f>Data!G780</f>
        <v>0</v>
      </c>
      <c r="N767">
        <f>Data!H780</f>
        <v>0</v>
      </c>
      <c r="O767">
        <f>Data!I780</f>
        <v>0</v>
      </c>
      <c r="P767" s="21">
        <f>Data!J780</f>
        <v>0</v>
      </c>
      <c r="Q767">
        <f>Data!K784</f>
        <v>0</v>
      </c>
      <c r="R767">
        <f>Data!L780</f>
        <v>0</v>
      </c>
      <c r="S767">
        <f>Data!M780</f>
        <v>0</v>
      </c>
      <c r="T767">
        <f>Data!N780</f>
        <v>0</v>
      </c>
      <c r="U767">
        <f>Data!O784</f>
        <v>0</v>
      </c>
      <c r="V767" s="33">
        <f>Data!P780</f>
        <v>0</v>
      </c>
    </row>
    <row r="768" spans="7:22" x14ac:dyDescent="0.25">
      <c r="G768">
        <f>Data!A781</f>
        <v>0</v>
      </c>
      <c r="H768" s="21">
        <f>Data!B781</f>
        <v>0</v>
      </c>
      <c r="I768" s="21">
        <f>Data!C781</f>
        <v>0</v>
      </c>
      <c r="J768">
        <f>Data!D781</f>
        <v>0</v>
      </c>
      <c r="K768">
        <f>Data!E781</f>
        <v>0</v>
      </c>
      <c r="L768">
        <f>Data!F781</f>
        <v>0</v>
      </c>
      <c r="M768">
        <f>Data!G781</f>
        <v>0</v>
      </c>
      <c r="N768">
        <f>Data!H781</f>
        <v>0</v>
      </c>
      <c r="O768">
        <f>Data!I781</f>
        <v>0</v>
      </c>
      <c r="P768" s="21">
        <f>Data!J781</f>
        <v>0</v>
      </c>
      <c r="Q768">
        <f>Data!K785</f>
        <v>0</v>
      </c>
      <c r="R768">
        <f>Data!L781</f>
        <v>0</v>
      </c>
      <c r="S768">
        <f>Data!M781</f>
        <v>0</v>
      </c>
      <c r="T768">
        <f>Data!N781</f>
        <v>0</v>
      </c>
      <c r="U768">
        <f>Data!O785</f>
        <v>0</v>
      </c>
      <c r="V768" s="33">
        <f>Data!P781</f>
        <v>0</v>
      </c>
    </row>
    <row r="769" spans="7:22" x14ac:dyDescent="0.25">
      <c r="G769">
        <f>Data!A782</f>
        <v>0</v>
      </c>
      <c r="H769" s="21">
        <f>Data!B782</f>
        <v>0</v>
      </c>
      <c r="I769" s="21">
        <f>Data!C782</f>
        <v>0</v>
      </c>
      <c r="J769">
        <f>Data!D782</f>
        <v>0</v>
      </c>
      <c r="K769">
        <f>Data!E782</f>
        <v>0</v>
      </c>
      <c r="L769">
        <f>Data!F782</f>
        <v>0</v>
      </c>
      <c r="M769">
        <f>Data!G782</f>
        <v>0</v>
      </c>
      <c r="N769">
        <f>Data!H782</f>
        <v>0</v>
      </c>
      <c r="O769">
        <f>Data!I782</f>
        <v>0</v>
      </c>
      <c r="P769" s="21">
        <f>Data!J782</f>
        <v>0</v>
      </c>
      <c r="Q769">
        <f>Data!K786</f>
        <v>0</v>
      </c>
      <c r="R769">
        <f>Data!L782</f>
        <v>0</v>
      </c>
      <c r="S769">
        <f>Data!M782</f>
        <v>0</v>
      </c>
      <c r="T769">
        <f>Data!N782</f>
        <v>0</v>
      </c>
      <c r="U769">
        <f>Data!O786</f>
        <v>0</v>
      </c>
      <c r="V769" s="33">
        <f>Data!P782</f>
        <v>0</v>
      </c>
    </row>
    <row r="770" spans="7:22" x14ac:dyDescent="0.25">
      <c r="G770">
        <f>Data!A783</f>
        <v>0</v>
      </c>
      <c r="H770" s="21">
        <f>Data!B783</f>
        <v>0</v>
      </c>
      <c r="I770" s="21">
        <f>Data!C783</f>
        <v>0</v>
      </c>
      <c r="J770">
        <f>Data!D783</f>
        <v>0</v>
      </c>
      <c r="K770">
        <f>Data!E783</f>
        <v>0</v>
      </c>
      <c r="L770">
        <f>Data!F783</f>
        <v>0</v>
      </c>
      <c r="M770">
        <f>Data!G783</f>
        <v>0</v>
      </c>
      <c r="N770">
        <f>Data!H783</f>
        <v>0</v>
      </c>
      <c r="O770">
        <f>Data!I783</f>
        <v>0</v>
      </c>
      <c r="P770" s="21">
        <f>Data!J783</f>
        <v>0</v>
      </c>
      <c r="Q770">
        <f>Data!K787</f>
        <v>0</v>
      </c>
      <c r="R770">
        <f>Data!L783</f>
        <v>0</v>
      </c>
      <c r="S770">
        <f>Data!M783</f>
        <v>0</v>
      </c>
      <c r="T770">
        <f>Data!N783</f>
        <v>0</v>
      </c>
      <c r="U770">
        <f>Data!O787</f>
        <v>0</v>
      </c>
      <c r="V770" s="33">
        <f>Data!P783</f>
        <v>0</v>
      </c>
    </row>
    <row r="771" spans="7:22" x14ac:dyDescent="0.25">
      <c r="G771">
        <f>Data!A784</f>
        <v>0</v>
      </c>
      <c r="H771" s="21">
        <f>Data!B784</f>
        <v>0</v>
      </c>
      <c r="I771" s="21">
        <f>Data!C784</f>
        <v>0</v>
      </c>
      <c r="J771">
        <f>Data!D784</f>
        <v>0</v>
      </c>
      <c r="K771">
        <f>Data!E784</f>
        <v>0</v>
      </c>
      <c r="L771">
        <f>Data!F784</f>
        <v>0</v>
      </c>
      <c r="M771">
        <f>Data!G784</f>
        <v>0</v>
      </c>
      <c r="N771">
        <f>Data!H784</f>
        <v>0</v>
      </c>
      <c r="O771">
        <f>Data!I784</f>
        <v>0</v>
      </c>
      <c r="P771" s="21">
        <f>Data!J784</f>
        <v>0</v>
      </c>
      <c r="Q771">
        <f>Data!K788</f>
        <v>0</v>
      </c>
      <c r="R771">
        <f>Data!L784</f>
        <v>0</v>
      </c>
      <c r="S771">
        <f>Data!M784</f>
        <v>0</v>
      </c>
      <c r="T771">
        <f>Data!N784</f>
        <v>0</v>
      </c>
      <c r="U771">
        <f>Data!O788</f>
        <v>0</v>
      </c>
      <c r="V771" s="33">
        <f>Data!P784</f>
        <v>0</v>
      </c>
    </row>
    <row r="772" spans="7:22" x14ac:dyDescent="0.25">
      <c r="G772">
        <f>Data!A785</f>
        <v>0</v>
      </c>
      <c r="H772" s="21">
        <f>Data!B785</f>
        <v>0</v>
      </c>
      <c r="I772" s="21">
        <f>Data!C785</f>
        <v>0</v>
      </c>
      <c r="J772">
        <f>Data!D785</f>
        <v>0</v>
      </c>
      <c r="K772">
        <f>Data!E785</f>
        <v>0</v>
      </c>
      <c r="L772">
        <f>Data!F785</f>
        <v>0</v>
      </c>
      <c r="M772">
        <f>Data!G785</f>
        <v>0</v>
      </c>
      <c r="N772">
        <f>Data!H785</f>
        <v>0</v>
      </c>
      <c r="O772">
        <f>Data!I785</f>
        <v>0</v>
      </c>
      <c r="P772" s="21">
        <f>Data!J785</f>
        <v>0</v>
      </c>
      <c r="Q772">
        <f>Data!K789</f>
        <v>0</v>
      </c>
      <c r="R772">
        <f>Data!L785</f>
        <v>0</v>
      </c>
      <c r="S772">
        <f>Data!M785</f>
        <v>0</v>
      </c>
      <c r="T772">
        <f>Data!N785</f>
        <v>0</v>
      </c>
      <c r="U772">
        <f>Data!O789</f>
        <v>0</v>
      </c>
      <c r="V772" s="33">
        <f>Data!P785</f>
        <v>0</v>
      </c>
    </row>
    <row r="773" spans="7:22" x14ac:dyDescent="0.25">
      <c r="G773">
        <f>Data!A786</f>
        <v>0</v>
      </c>
      <c r="H773" s="21">
        <f>Data!B786</f>
        <v>0</v>
      </c>
      <c r="I773" s="21">
        <f>Data!C786</f>
        <v>0</v>
      </c>
      <c r="J773">
        <f>Data!D786</f>
        <v>0</v>
      </c>
      <c r="K773">
        <f>Data!E786</f>
        <v>0</v>
      </c>
      <c r="L773">
        <f>Data!F786</f>
        <v>0</v>
      </c>
      <c r="M773">
        <f>Data!G786</f>
        <v>0</v>
      </c>
      <c r="N773">
        <f>Data!H786</f>
        <v>0</v>
      </c>
      <c r="O773">
        <f>Data!I786</f>
        <v>0</v>
      </c>
      <c r="P773" s="21">
        <f>Data!J786</f>
        <v>0</v>
      </c>
      <c r="Q773">
        <f>Data!K790</f>
        <v>0</v>
      </c>
      <c r="R773">
        <f>Data!L786</f>
        <v>0</v>
      </c>
      <c r="S773">
        <f>Data!M786</f>
        <v>0</v>
      </c>
      <c r="T773">
        <f>Data!N786</f>
        <v>0</v>
      </c>
      <c r="U773">
        <f>Data!O790</f>
        <v>0</v>
      </c>
      <c r="V773" s="33">
        <f>Data!P786</f>
        <v>0</v>
      </c>
    </row>
    <row r="774" spans="7:22" x14ac:dyDescent="0.25">
      <c r="G774">
        <f>Data!A787</f>
        <v>0</v>
      </c>
      <c r="H774" s="21">
        <f>Data!B787</f>
        <v>0</v>
      </c>
      <c r="I774" s="21">
        <f>Data!C787</f>
        <v>0</v>
      </c>
      <c r="J774">
        <f>Data!D787</f>
        <v>0</v>
      </c>
      <c r="K774">
        <f>Data!E787</f>
        <v>0</v>
      </c>
      <c r="L774">
        <f>Data!F787</f>
        <v>0</v>
      </c>
      <c r="M774">
        <f>Data!G787</f>
        <v>0</v>
      </c>
      <c r="N774">
        <f>Data!H787</f>
        <v>0</v>
      </c>
      <c r="O774">
        <f>Data!I787</f>
        <v>0</v>
      </c>
      <c r="P774" s="21">
        <f>Data!J787</f>
        <v>0</v>
      </c>
      <c r="Q774">
        <f>Data!K791</f>
        <v>0</v>
      </c>
      <c r="R774">
        <f>Data!L787</f>
        <v>0</v>
      </c>
      <c r="S774">
        <f>Data!M787</f>
        <v>0</v>
      </c>
      <c r="T774">
        <f>Data!N787</f>
        <v>0</v>
      </c>
      <c r="U774">
        <f>Data!O791</f>
        <v>0</v>
      </c>
      <c r="V774" s="33">
        <f>Data!P787</f>
        <v>0</v>
      </c>
    </row>
    <row r="775" spans="7:22" x14ac:dyDescent="0.25">
      <c r="G775">
        <f>Data!A788</f>
        <v>0</v>
      </c>
      <c r="H775" s="21">
        <f>Data!B788</f>
        <v>0</v>
      </c>
      <c r="I775" s="21">
        <f>Data!C788</f>
        <v>0</v>
      </c>
      <c r="J775">
        <f>Data!D788</f>
        <v>0</v>
      </c>
      <c r="K775">
        <f>Data!E788</f>
        <v>0</v>
      </c>
      <c r="L775">
        <f>Data!F788</f>
        <v>0</v>
      </c>
      <c r="M775">
        <f>Data!G788</f>
        <v>0</v>
      </c>
      <c r="N775">
        <f>Data!H788</f>
        <v>0</v>
      </c>
      <c r="O775">
        <f>Data!I788</f>
        <v>0</v>
      </c>
      <c r="P775" s="21">
        <f>Data!J788</f>
        <v>0</v>
      </c>
      <c r="Q775">
        <f>Data!K792</f>
        <v>0</v>
      </c>
      <c r="R775">
        <f>Data!L788</f>
        <v>0</v>
      </c>
      <c r="S775">
        <f>Data!M788</f>
        <v>0</v>
      </c>
      <c r="T775">
        <f>Data!N788</f>
        <v>0</v>
      </c>
      <c r="U775">
        <f>Data!O792</f>
        <v>0</v>
      </c>
      <c r="V775" s="33">
        <f>Data!P788</f>
        <v>0</v>
      </c>
    </row>
    <row r="776" spans="7:22" x14ac:dyDescent="0.25">
      <c r="G776">
        <f>Data!A789</f>
        <v>0</v>
      </c>
      <c r="H776" s="21">
        <f>Data!B789</f>
        <v>0</v>
      </c>
      <c r="I776" s="21">
        <f>Data!C789</f>
        <v>0</v>
      </c>
      <c r="J776">
        <f>Data!D789</f>
        <v>0</v>
      </c>
      <c r="K776">
        <f>Data!E789</f>
        <v>0</v>
      </c>
      <c r="L776">
        <f>Data!F789</f>
        <v>0</v>
      </c>
      <c r="M776">
        <f>Data!G789</f>
        <v>0</v>
      </c>
      <c r="N776">
        <f>Data!H789</f>
        <v>0</v>
      </c>
      <c r="O776">
        <f>Data!I789</f>
        <v>0</v>
      </c>
      <c r="P776" s="21">
        <f>Data!J789</f>
        <v>0</v>
      </c>
      <c r="Q776">
        <f>Data!K793</f>
        <v>0</v>
      </c>
      <c r="R776">
        <f>Data!L789</f>
        <v>0</v>
      </c>
      <c r="S776">
        <f>Data!M789</f>
        <v>0</v>
      </c>
      <c r="T776">
        <f>Data!N789</f>
        <v>0</v>
      </c>
      <c r="U776">
        <f>Data!O793</f>
        <v>0</v>
      </c>
      <c r="V776" s="33">
        <f>Data!P789</f>
        <v>0</v>
      </c>
    </row>
    <row r="777" spans="7:22" x14ac:dyDescent="0.25">
      <c r="G777">
        <f>Data!A790</f>
        <v>0</v>
      </c>
      <c r="H777" s="21">
        <f>Data!B790</f>
        <v>0</v>
      </c>
      <c r="I777" s="21">
        <f>Data!C790</f>
        <v>0</v>
      </c>
      <c r="J777">
        <f>Data!D790</f>
        <v>0</v>
      </c>
      <c r="K777">
        <f>Data!E790</f>
        <v>0</v>
      </c>
      <c r="L777">
        <f>Data!F790</f>
        <v>0</v>
      </c>
      <c r="M777">
        <f>Data!G790</f>
        <v>0</v>
      </c>
      <c r="N777">
        <f>Data!H790</f>
        <v>0</v>
      </c>
      <c r="O777">
        <f>Data!I790</f>
        <v>0</v>
      </c>
      <c r="P777" s="21">
        <f>Data!J790</f>
        <v>0</v>
      </c>
      <c r="Q777">
        <f>Data!K794</f>
        <v>0</v>
      </c>
      <c r="R777">
        <f>Data!L790</f>
        <v>0</v>
      </c>
      <c r="S777">
        <f>Data!M790</f>
        <v>0</v>
      </c>
      <c r="T777">
        <f>Data!N790</f>
        <v>0</v>
      </c>
      <c r="U777">
        <f>Data!O794</f>
        <v>0</v>
      </c>
      <c r="V777" s="33">
        <f>Data!P790</f>
        <v>0</v>
      </c>
    </row>
    <row r="778" spans="7:22" x14ac:dyDescent="0.25">
      <c r="G778">
        <f>Data!A791</f>
        <v>0</v>
      </c>
      <c r="H778" s="21">
        <f>Data!B791</f>
        <v>0</v>
      </c>
      <c r="I778" s="21">
        <f>Data!C791</f>
        <v>0</v>
      </c>
      <c r="J778">
        <f>Data!D791</f>
        <v>0</v>
      </c>
      <c r="K778">
        <f>Data!E791</f>
        <v>0</v>
      </c>
      <c r="L778">
        <f>Data!F791</f>
        <v>0</v>
      </c>
      <c r="M778">
        <f>Data!G791</f>
        <v>0</v>
      </c>
      <c r="N778">
        <f>Data!H791</f>
        <v>0</v>
      </c>
      <c r="O778">
        <f>Data!I791</f>
        <v>0</v>
      </c>
      <c r="P778" s="21">
        <f>Data!J791</f>
        <v>0</v>
      </c>
      <c r="Q778">
        <f>Data!K795</f>
        <v>0</v>
      </c>
      <c r="R778">
        <f>Data!L791</f>
        <v>0</v>
      </c>
      <c r="S778">
        <f>Data!M791</f>
        <v>0</v>
      </c>
      <c r="T778">
        <f>Data!N791</f>
        <v>0</v>
      </c>
      <c r="U778">
        <f>Data!O795</f>
        <v>0</v>
      </c>
      <c r="V778" s="33">
        <f>Data!P791</f>
        <v>0</v>
      </c>
    </row>
    <row r="779" spans="7:22" x14ac:dyDescent="0.25">
      <c r="G779">
        <f>Data!A792</f>
        <v>0</v>
      </c>
      <c r="H779" s="21">
        <f>Data!B792</f>
        <v>0</v>
      </c>
      <c r="I779" s="21">
        <f>Data!C792</f>
        <v>0</v>
      </c>
      <c r="J779">
        <f>Data!D792</f>
        <v>0</v>
      </c>
      <c r="K779">
        <f>Data!E792</f>
        <v>0</v>
      </c>
      <c r="L779">
        <f>Data!F792</f>
        <v>0</v>
      </c>
      <c r="M779">
        <f>Data!G792</f>
        <v>0</v>
      </c>
      <c r="N779">
        <f>Data!H792</f>
        <v>0</v>
      </c>
      <c r="O779">
        <f>Data!I792</f>
        <v>0</v>
      </c>
      <c r="P779" s="21">
        <f>Data!J792</f>
        <v>0</v>
      </c>
      <c r="Q779">
        <f>Data!K796</f>
        <v>0</v>
      </c>
      <c r="R779">
        <f>Data!L792</f>
        <v>0</v>
      </c>
      <c r="S779">
        <f>Data!M792</f>
        <v>0</v>
      </c>
      <c r="T779">
        <f>Data!N792</f>
        <v>0</v>
      </c>
      <c r="U779">
        <f>Data!O796</f>
        <v>0</v>
      </c>
      <c r="V779" s="33">
        <f>Data!P792</f>
        <v>0</v>
      </c>
    </row>
    <row r="780" spans="7:22" x14ac:dyDescent="0.25">
      <c r="G780">
        <f>Data!A793</f>
        <v>0</v>
      </c>
      <c r="H780" s="21">
        <f>Data!B793</f>
        <v>0</v>
      </c>
      <c r="I780" s="21">
        <f>Data!C793</f>
        <v>0</v>
      </c>
      <c r="J780">
        <f>Data!D793</f>
        <v>0</v>
      </c>
      <c r="K780">
        <f>Data!E793</f>
        <v>0</v>
      </c>
      <c r="L780">
        <f>Data!F793</f>
        <v>0</v>
      </c>
      <c r="M780">
        <f>Data!G793</f>
        <v>0</v>
      </c>
      <c r="N780">
        <f>Data!H793</f>
        <v>0</v>
      </c>
      <c r="O780">
        <f>Data!I793</f>
        <v>0</v>
      </c>
      <c r="P780" s="21">
        <f>Data!J793</f>
        <v>0</v>
      </c>
      <c r="Q780">
        <f>Data!K797</f>
        <v>0</v>
      </c>
      <c r="R780">
        <f>Data!L793</f>
        <v>0</v>
      </c>
      <c r="S780">
        <f>Data!M793</f>
        <v>0</v>
      </c>
      <c r="T780">
        <f>Data!N793</f>
        <v>0</v>
      </c>
      <c r="U780">
        <f>Data!O797</f>
        <v>0</v>
      </c>
      <c r="V780" s="33">
        <f>Data!P793</f>
        <v>0</v>
      </c>
    </row>
    <row r="781" spans="7:22" x14ac:dyDescent="0.25">
      <c r="G781">
        <f>Data!A794</f>
        <v>0</v>
      </c>
      <c r="H781" s="21">
        <f>Data!B794</f>
        <v>0</v>
      </c>
      <c r="I781" s="21">
        <f>Data!C794</f>
        <v>0</v>
      </c>
      <c r="J781">
        <f>Data!D794</f>
        <v>0</v>
      </c>
      <c r="K781">
        <f>Data!E794</f>
        <v>0</v>
      </c>
      <c r="L781">
        <f>Data!F794</f>
        <v>0</v>
      </c>
      <c r="M781">
        <f>Data!G794</f>
        <v>0</v>
      </c>
      <c r="N781">
        <f>Data!H794</f>
        <v>0</v>
      </c>
      <c r="O781">
        <f>Data!I794</f>
        <v>0</v>
      </c>
      <c r="P781" s="21">
        <f>Data!J794</f>
        <v>0</v>
      </c>
      <c r="Q781">
        <f>Data!K798</f>
        <v>0</v>
      </c>
      <c r="R781">
        <f>Data!L794</f>
        <v>0</v>
      </c>
      <c r="S781">
        <f>Data!M794</f>
        <v>0</v>
      </c>
      <c r="T781">
        <f>Data!N794</f>
        <v>0</v>
      </c>
      <c r="U781">
        <f>Data!O798</f>
        <v>0</v>
      </c>
      <c r="V781" s="33">
        <f>Data!P796</f>
        <v>0</v>
      </c>
    </row>
    <row r="782" spans="7:22" x14ac:dyDescent="0.25">
      <c r="G782">
        <f>Data!A795</f>
        <v>0</v>
      </c>
      <c r="H782" s="21">
        <f>Data!B795</f>
        <v>0</v>
      </c>
      <c r="I782" s="21">
        <f>Data!C795</f>
        <v>0</v>
      </c>
      <c r="J782">
        <f>Data!D795</f>
        <v>0</v>
      </c>
      <c r="K782">
        <f>Data!E795</f>
        <v>0</v>
      </c>
      <c r="L782">
        <f>Data!F795</f>
        <v>0</v>
      </c>
      <c r="M782">
        <f>Data!G795</f>
        <v>0</v>
      </c>
      <c r="N782">
        <f>Data!H795</f>
        <v>0</v>
      </c>
      <c r="O782">
        <f>Data!I795</f>
        <v>0</v>
      </c>
      <c r="P782" s="21">
        <f>Data!J795</f>
        <v>0</v>
      </c>
      <c r="Q782">
        <f>Data!K799</f>
        <v>0</v>
      </c>
      <c r="R782">
        <f>Data!L795</f>
        <v>0</v>
      </c>
      <c r="S782">
        <f>Data!M795</f>
        <v>0</v>
      </c>
      <c r="T782">
        <f>Data!N795</f>
        <v>0</v>
      </c>
      <c r="U782">
        <f>Data!O799</f>
        <v>0</v>
      </c>
      <c r="V782" s="33">
        <f>Data!P797</f>
        <v>0</v>
      </c>
    </row>
    <row r="783" spans="7:22" x14ac:dyDescent="0.25">
      <c r="G783">
        <f>Data!A796</f>
        <v>0</v>
      </c>
      <c r="H783" s="21">
        <f>Data!B796</f>
        <v>0</v>
      </c>
      <c r="I783" s="21">
        <f>Data!C796</f>
        <v>0</v>
      </c>
      <c r="J783">
        <f>Data!D796</f>
        <v>0</v>
      </c>
      <c r="K783">
        <f>Data!E796</f>
        <v>0</v>
      </c>
      <c r="L783">
        <f>Data!F796</f>
        <v>0</v>
      </c>
      <c r="M783">
        <f>Data!G796</f>
        <v>0</v>
      </c>
      <c r="N783">
        <f>Data!H796</f>
        <v>0</v>
      </c>
      <c r="O783">
        <f>Data!I796</f>
        <v>0</v>
      </c>
      <c r="P783" s="21">
        <f>Data!J796</f>
        <v>0</v>
      </c>
      <c r="Q783">
        <f>Data!K800</f>
        <v>0</v>
      </c>
      <c r="R783">
        <f>Data!L796</f>
        <v>0</v>
      </c>
      <c r="S783">
        <f>Data!M796</f>
        <v>0</v>
      </c>
      <c r="T783">
        <f>Data!N796</f>
        <v>0</v>
      </c>
      <c r="U783">
        <f>Data!O800</f>
        <v>0</v>
      </c>
      <c r="V783" s="33">
        <f>Data!P798</f>
        <v>0</v>
      </c>
    </row>
    <row r="784" spans="7:22" x14ac:dyDescent="0.25">
      <c r="G784">
        <f>Data!A797</f>
        <v>0</v>
      </c>
      <c r="H784" s="21">
        <f>Data!B797</f>
        <v>0</v>
      </c>
      <c r="I784" s="21">
        <f>Data!C797</f>
        <v>0</v>
      </c>
      <c r="J784">
        <f>Data!D797</f>
        <v>0</v>
      </c>
      <c r="K784">
        <f>Data!E797</f>
        <v>0</v>
      </c>
      <c r="L784">
        <f>Data!F797</f>
        <v>0</v>
      </c>
      <c r="M784">
        <f>Data!G797</f>
        <v>0</v>
      </c>
      <c r="N784">
        <f>Data!H797</f>
        <v>0</v>
      </c>
      <c r="O784">
        <f>Data!I797</f>
        <v>0</v>
      </c>
      <c r="P784" s="21">
        <f>Data!J797</f>
        <v>0</v>
      </c>
      <c r="Q784">
        <f>Data!K801</f>
        <v>0</v>
      </c>
      <c r="R784">
        <f>Data!L797</f>
        <v>0</v>
      </c>
      <c r="S784">
        <f>Data!M797</f>
        <v>0</v>
      </c>
      <c r="T784">
        <f>Data!N797</f>
        <v>0</v>
      </c>
      <c r="U784">
        <f>Data!O801</f>
        <v>0</v>
      </c>
      <c r="V784" s="33">
        <f>Data!P799</f>
        <v>0</v>
      </c>
    </row>
    <row r="785" spans="7:22" x14ac:dyDescent="0.25">
      <c r="G785">
        <f>Data!A798</f>
        <v>0</v>
      </c>
      <c r="H785" s="21">
        <f>Data!B798</f>
        <v>0</v>
      </c>
      <c r="I785" s="21">
        <f>Data!C798</f>
        <v>0</v>
      </c>
      <c r="J785">
        <f>Data!D798</f>
        <v>0</v>
      </c>
      <c r="K785">
        <f>Data!E798</f>
        <v>0</v>
      </c>
      <c r="L785">
        <f>Data!F798</f>
        <v>0</v>
      </c>
      <c r="M785">
        <f>Data!G798</f>
        <v>0</v>
      </c>
      <c r="N785">
        <f>Data!H798</f>
        <v>0</v>
      </c>
      <c r="O785">
        <f>Data!I798</f>
        <v>0</v>
      </c>
      <c r="P785" s="21">
        <f>Data!J798</f>
        <v>0</v>
      </c>
      <c r="Q785">
        <f>Data!K802</f>
        <v>0</v>
      </c>
      <c r="R785">
        <f>Data!L798</f>
        <v>0</v>
      </c>
      <c r="S785">
        <f>Data!M798</f>
        <v>0</v>
      </c>
      <c r="T785">
        <f>Data!N798</f>
        <v>0</v>
      </c>
      <c r="U785">
        <f>Data!O802</f>
        <v>0</v>
      </c>
      <c r="V785" s="33">
        <f>Data!P800</f>
        <v>0</v>
      </c>
    </row>
    <row r="786" spans="7:22" x14ac:dyDescent="0.25">
      <c r="G786">
        <f>Data!A799</f>
        <v>0</v>
      </c>
      <c r="H786" s="21">
        <f>Data!B799</f>
        <v>0</v>
      </c>
      <c r="I786" s="21">
        <f>Data!C799</f>
        <v>0</v>
      </c>
      <c r="J786">
        <f>Data!D799</f>
        <v>0</v>
      </c>
      <c r="K786">
        <f>Data!E799</f>
        <v>0</v>
      </c>
      <c r="L786">
        <f>Data!F799</f>
        <v>0</v>
      </c>
      <c r="M786">
        <f>Data!G799</f>
        <v>0</v>
      </c>
      <c r="N786">
        <f>Data!H799</f>
        <v>0</v>
      </c>
      <c r="O786">
        <f>Data!I799</f>
        <v>0</v>
      </c>
      <c r="P786" s="21">
        <f>Data!J799</f>
        <v>0</v>
      </c>
      <c r="Q786">
        <f>Data!K803</f>
        <v>0</v>
      </c>
      <c r="R786">
        <f>Data!L799</f>
        <v>0</v>
      </c>
      <c r="S786">
        <f>Data!M799</f>
        <v>0</v>
      </c>
      <c r="T786">
        <f>Data!N799</f>
        <v>0</v>
      </c>
      <c r="U786">
        <f>Data!O803</f>
        <v>0</v>
      </c>
      <c r="V786" s="33">
        <f>Data!P801</f>
        <v>0</v>
      </c>
    </row>
    <row r="787" spans="7:22" x14ac:dyDescent="0.25">
      <c r="G787">
        <f>Data!A800</f>
        <v>0</v>
      </c>
      <c r="H787" s="21">
        <f>Data!B800</f>
        <v>0</v>
      </c>
      <c r="I787" s="21">
        <f>Data!C800</f>
        <v>0</v>
      </c>
      <c r="J787">
        <f>Data!D800</f>
        <v>0</v>
      </c>
      <c r="K787">
        <f>Data!E800</f>
        <v>0</v>
      </c>
      <c r="L787">
        <f>Data!F800</f>
        <v>0</v>
      </c>
      <c r="M787">
        <f>Data!G800</f>
        <v>0</v>
      </c>
      <c r="N787">
        <f>Data!H800</f>
        <v>0</v>
      </c>
      <c r="O787">
        <f>Data!I800</f>
        <v>0</v>
      </c>
      <c r="P787" s="21">
        <f>Data!J800</f>
        <v>0</v>
      </c>
      <c r="Q787">
        <f>Data!K804</f>
        <v>0</v>
      </c>
      <c r="R787">
        <f>Data!L800</f>
        <v>0</v>
      </c>
      <c r="S787">
        <f>Data!M800</f>
        <v>0</v>
      </c>
      <c r="T787">
        <f>Data!N800</f>
        <v>0</v>
      </c>
      <c r="U787">
        <f>Data!O804</f>
        <v>0</v>
      </c>
      <c r="V787" s="33">
        <f>Data!P802</f>
        <v>0</v>
      </c>
    </row>
    <row r="788" spans="7:22" x14ac:dyDescent="0.25">
      <c r="G788">
        <f>Data!A801</f>
        <v>0</v>
      </c>
      <c r="H788" s="21">
        <f>Data!B801</f>
        <v>0</v>
      </c>
      <c r="I788" s="21">
        <f>Data!C801</f>
        <v>0</v>
      </c>
      <c r="J788">
        <f>Data!D801</f>
        <v>0</v>
      </c>
      <c r="K788">
        <f>Data!E801</f>
        <v>0</v>
      </c>
      <c r="L788">
        <f>Data!F801</f>
        <v>0</v>
      </c>
      <c r="M788">
        <f>Data!G801</f>
        <v>0</v>
      </c>
      <c r="N788">
        <f>Data!H801</f>
        <v>0</v>
      </c>
      <c r="O788">
        <f>Data!I801</f>
        <v>0</v>
      </c>
      <c r="P788" s="21">
        <f>Data!J801</f>
        <v>0</v>
      </c>
      <c r="Q788">
        <f>Data!K805</f>
        <v>0</v>
      </c>
      <c r="R788">
        <f>Data!L801</f>
        <v>0</v>
      </c>
      <c r="S788">
        <f>Data!M801</f>
        <v>0</v>
      </c>
      <c r="T788">
        <f>Data!N801</f>
        <v>0</v>
      </c>
      <c r="U788">
        <f>Data!O805</f>
        <v>0</v>
      </c>
      <c r="V788" s="33">
        <f>Data!P803</f>
        <v>0</v>
      </c>
    </row>
    <row r="789" spans="7:22" x14ac:dyDescent="0.25">
      <c r="G789">
        <f>Data!A802</f>
        <v>0</v>
      </c>
      <c r="H789" s="21">
        <f>Data!B802</f>
        <v>0</v>
      </c>
      <c r="I789" s="21">
        <f>Data!C802</f>
        <v>0</v>
      </c>
      <c r="J789">
        <f>Data!D802</f>
        <v>0</v>
      </c>
      <c r="K789">
        <f>Data!E802</f>
        <v>0</v>
      </c>
      <c r="L789">
        <f>Data!F802</f>
        <v>0</v>
      </c>
      <c r="M789">
        <f>Data!G802</f>
        <v>0</v>
      </c>
      <c r="N789">
        <f>Data!H802</f>
        <v>0</v>
      </c>
      <c r="O789">
        <f>Data!I802</f>
        <v>0</v>
      </c>
      <c r="P789" s="21">
        <f>Data!J802</f>
        <v>0</v>
      </c>
      <c r="Q789">
        <f>Data!K806</f>
        <v>0</v>
      </c>
      <c r="R789">
        <f>Data!L802</f>
        <v>0</v>
      </c>
      <c r="S789">
        <f>Data!M802</f>
        <v>0</v>
      </c>
      <c r="T789">
        <f>Data!N802</f>
        <v>0</v>
      </c>
      <c r="U789">
        <f>Data!O806</f>
        <v>0</v>
      </c>
      <c r="V789" s="33">
        <f>Data!P804</f>
        <v>0</v>
      </c>
    </row>
    <row r="790" spans="7:22" x14ac:dyDescent="0.25">
      <c r="G790">
        <f>Data!A803</f>
        <v>0</v>
      </c>
      <c r="H790" s="21">
        <f>Data!B803</f>
        <v>0</v>
      </c>
      <c r="I790" s="21">
        <f>Data!C803</f>
        <v>0</v>
      </c>
      <c r="J790">
        <f>Data!D803</f>
        <v>0</v>
      </c>
      <c r="K790">
        <f>Data!E803</f>
        <v>0</v>
      </c>
      <c r="L790">
        <f>Data!F803</f>
        <v>0</v>
      </c>
      <c r="M790">
        <f>Data!G803</f>
        <v>0</v>
      </c>
      <c r="N790">
        <f>Data!H803</f>
        <v>0</v>
      </c>
      <c r="O790">
        <f>Data!I803</f>
        <v>0</v>
      </c>
      <c r="P790" s="21">
        <f>Data!J803</f>
        <v>0</v>
      </c>
      <c r="Q790">
        <f>Data!K807</f>
        <v>0</v>
      </c>
      <c r="R790">
        <f>Data!L803</f>
        <v>0</v>
      </c>
      <c r="S790">
        <f>Data!M803</f>
        <v>0</v>
      </c>
      <c r="T790">
        <f>Data!N803</f>
        <v>0</v>
      </c>
      <c r="U790">
        <f>Data!O807</f>
        <v>0</v>
      </c>
      <c r="V790" s="33">
        <f>Data!P805</f>
        <v>0</v>
      </c>
    </row>
    <row r="791" spans="7:22" x14ac:dyDescent="0.25">
      <c r="G791">
        <f>Data!A804</f>
        <v>0</v>
      </c>
      <c r="H791" s="21">
        <f>Data!B804</f>
        <v>0</v>
      </c>
      <c r="I791" s="21">
        <f>Data!C804</f>
        <v>0</v>
      </c>
      <c r="J791">
        <f>Data!D804</f>
        <v>0</v>
      </c>
      <c r="K791">
        <f>Data!E804</f>
        <v>0</v>
      </c>
      <c r="L791">
        <f>Data!F804</f>
        <v>0</v>
      </c>
      <c r="M791">
        <f>Data!G804</f>
        <v>0</v>
      </c>
      <c r="N791">
        <f>Data!H804</f>
        <v>0</v>
      </c>
      <c r="O791">
        <f>Data!I804</f>
        <v>0</v>
      </c>
      <c r="P791" s="21">
        <f>Data!J804</f>
        <v>0</v>
      </c>
      <c r="Q791">
        <f>Data!K808</f>
        <v>0</v>
      </c>
      <c r="R791">
        <f>Data!L804</f>
        <v>0</v>
      </c>
      <c r="S791">
        <f>Data!M804</f>
        <v>0</v>
      </c>
      <c r="T791">
        <f>Data!N804</f>
        <v>0</v>
      </c>
      <c r="U791">
        <f>Data!O808</f>
        <v>0</v>
      </c>
      <c r="V791" s="33">
        <f>Data!P806</f>
        <v>0</v>
      </c>
    </row>
    <row r="792" spans="7:22" x14ac:dyDescent="0.25">
      <c r="G792">
        <f>Data!A805</f>
        <v>0</v>
      </c>
      <c r="H792" s="21">
        <f>Data!B805</f>
        <v>0</v>
      </c>
      <c r="I792" s="21">
        <f>Data!C805</f>
        <v>0</v>
      </c>
      <c r="J792">
        <f>Data!D805</f>
        <v>0</v>
      </c>
      <c r="K792">
        <f>Data!E805</f>
        <v>0</v>
      </c>
      <c r="L792">
        <f>Data!F805</f>
        <v>0</v>
      </c>
      <c r="M792">
        <f>Data!G805</f>
        <v>0</v>
      </c>
      <c r="N792">
        <f>Data!H805</f>
        <v>0</v>
      </c>
      <c r="O792">
        <f>Data!I805</f>
        <v>0</v>
      </c>
      <c r="P792" s="21">
        <f>Data!J805</f>
        <v>0</v>
      </c>
      <c r="Q792">
        <f>Data!K809</f>
        <v>0</v>
      </c>
      <c r="R792">
        <f>Data!L805</f>
        <v>0</v>
      </c>
      <c r="S792">
        <f>Data!M805</f>
        <v>0</v>
      </c>
      <c r="T792">
        <f>Data!N805</f>
        <v>0</v>
      </c>
      <c r="U792">
        <f>Data!O809</f>
        <v>0</v>
      </c>
      <c r="V792" s="33">
        <f>Data!P807</f>
        <v>0</v>
      </c>
    </row>
    <row r="793" spans="7:22" x14ac:dyDescent="0.25">
      <c r="G793">
        <f>Data!A806</f>
        <v>0</v>
      </c>
      <c r="H793" s="21">
        <f>Data!B806</f>
        <v>0</v>
      </c>
      <c r="I793" s="21">
        <f>Data!C806</f>
        <v>0</v>
      </c>
      <c r="J793">
        <f>Data!D806</f>
        <v>0</v>
      </c>
      <c r="K793">
        <f>Data!E806</f>
        <v>0</v>
      </c>
      <c r="L793">
        <f>Data!F806</f>
        <v>0</v>
      </c>
      <c r="M793">
        <f>Data!G806</f>
        <v>0</v>
      </c>
      <c r="N793">
        <f>Data!H806</f>
        <v>0</v>
      </c>
      <c r="O793">
        <f>Data!I806</f>
        <v>0</v>
      </c>
      <c r="P793" s="21">
        <f>Data!J806</f>
        <v>0</v>
      </c>
      <c r="Q793">
        <f>Data!K810</f>
        <v>0</v>
      </c>
      <c r="R793">
        <f>Data!L806</f>
        <v>0</v>
      </c>
      <c r="S793">
        <f>Data!M806</f>
        <v>0</v>
      </c>
      <c r="T793">
        <f>Data!N806</f>
        <v>0</v>
      </c>
      <c r="U793">
        <f>Data!O810</f>
        <v>0</v>
      </c>
      <c r="V793" s="33">
        <f>Data!P808</f>
        <v>0</v>
      </c>
    </row>
    <row r="794" spans="7:22" x14ac:dyDescent="0.25">
      <c r="G794">
        <f>Data!A807</f>
        <v>0</v>
      </c>
      <c r="H794" s="21">
        <f>Data!B807</f>
        <v>0</v>
      </c>
      <c r="I794" s="21">
        <f>Data!C807</f>
        <v>0</v>
      </c>
      <c r="J794">
        <f>Data!D807</f>
        <v>0</v>
      </c>
      <c r="K794">
        <f>Data!E807</f>
        <v>0</v>
      </c>
      <c r="L794">
        <f>Data!F807</f>
        <v>0</v>
      </c>
      <c r="M794">
        <f>Data!G807</f>
        <v>0</v>
      </c>
      <c r="N794">
        <f>Data!H807</f>
        <v>0</v>
      </c>
      <c r="O794">
        <f>Data!I807</f>
        <v>0</v>
      </c>
      <c r="P794" s="21">
        <f>Data!J807</f>
        <v>0</v>
      </c>
      <c r="Q794">
        <f>Data!K811</f>
        <v>0</v>
      </c>
      <c r="R794">
        <f>Data!L811</f>
        <v>0</v>
      </c>
      <c r="S794">
        <f>Data!M807</f>
        <v>0</v>
      </c>
      <c r="T794">
        <f>Data!N807</f>
        <v>0</v>
      </c>
      <c r="U794">
        <f>Data!O811</f>
        <v>0</v>
      </c>
      <c r="V794" s="33">
        <f>Data!P809</f>
        <v>0</v>
      </c>
    </row>
    <row r="795" spans="7:22" x14ac:dyDescent="0.25">
      <c r="G795">
        <f>Data!A808</f>
        <v>0</v>
      </c>
      <c r="H795" s="21">
        <f>Data!B808</f>
        <v>0</v>
      </c>
      <c r="I795" s="21">
        <f>Data!C808</f>
        <v>0</v>
      </c>
      <c r="J795">
        <f>Data!D808</f>
        <v>0</v>
      </c>
      <c r="K795">
        <f>Data!E808</f>
        <v>0</v>
      </c>
      <c r="L795">
        <f>Data!F808</f>
        <v>0</v>
      </c>
      <c r="M795">
        <f>Data!G808</f>
        <v>0</v>
      </c>
      <c r="N795">
        <f>Data!H808</f>
        <v>0</v>
      </c>
      <c r="O795">
        <f>Data!I808</f>
        <v>0</v>
      </c>
      <c r="P795" s="21">
        <f>Data!J808</f>
        <v>0</v>
      </c>
      <c r="Q795">
        <f>Data!K812</f>
        <v>0</v>
      </c>
      <c r="R795">
        <f>Data!L812</f>
        <v>0</v>
      </c>
      <c r="S795">
        <f>Data!M808</f>
        <v>0</v>
      </c>
      <c r="T795">
        <f>Data!N808</f>
        <v>0</v>
      </c>
      <c r="U795">
        <f>Data!O812</f>
        <v>0</v>
      </c>
      <c r="V795" s="33">
        <f>Data!P810</f>
        <v>0</v>
      </c>
    </row>
    <row r="796" spans="7:22" x14ac:dyDescent="0.25">
      <c r="G796">
        <f>Data!A809</f>
        <v>0</v>
      </c>
      <c r="H796" s="21">
        <f>Data!B809</f>
        <v>0</v>
      </c>
      <c r="I796" s="21">
        <f>Data!C809</f>
        <v>0</v>
      </c>
      <c r="J796">
        <f>Data!D809</f>
        <v>0</v>
      </c>
      <c r="K796">
        <f>Data!E809</f>
        <v>0</v>
      </c>
      <c r="L796">
        <f>Data!F809</f>
        <v>0</v>
      </c>
      <c r="M796">
        <f>Data!G809</f>
        <v>0</v>
      </c>
      <c r="N796">
        <f>Data!H809</f>
        <v>0</v>
      </c>
      <c r="O796">
        <f>Data!I809</f>
        <v>0</v>
      </c>
      <c r="P796" s="21">
        <f>Data!J809</f>
        <v>0</v>
      </c>
      <c r="Q796">
        <f>Data!K813</f>
        <v>0</v>
      </c>
      <c r="R796">
        <f>Data!L813</f>
        <v>0</v>
      </c>
      <c r="S796">
        <f>Data!M809</f>
        <v>0</v>
      </c>
      <c r="T796">
        <f>Data!N809</f>
        <v>0</v>
      </c>
      <c r="U796">
        <f>Data!O813</f>
        <v>0</v>
      </c>
      <c r="V796" s="33">
        <f>Data!P811</f>
        <v>0</v>
      </c>
    </row>
    <row r="797" spans="7:22" x14ac:dyDescent="0.25">
      <c r="G797">
        <f>Data!A810</f>
        <v>0</v>
      </c>
      <c r="H797" s="21">
        <f>Data!B810</f>
        <v>0</v>
      </c>
      <c r="I797" s="21">
        <f>Data!C810</f>
        <v>0</v>
      </c>
      <c r="J797">
        <f>Data!D810</f>
        <v>0</v>
      </c>
      <c r="K797">
        <f>Data!E810</f>
        <v>0</v>
      </c>
      <c r="L797">
        <f>Data!F810</f>
        <v>0</v>
      </c>
      <c r="M797">
        <f>Data!G810</f>
        <v>0</v>
      </c>
      <c r="N797">
        <f>Data!H810</f>
        <v>0</v>
      </c>
      <c r="O797">
        <f>Data!I810</f>
        <v>0</v>
      </c>
      <c r="P797" s="21">
        <f>Data!J810</f>
        <v>0</v>
      </c>
      <c r="Q797">
        <f>Data!K814</f>
        <v>0</v>
      </c>
      <c r="R797">
        <f>Data!L814</f>
        <v>0</v>
      </c>
      <c r="S797">
        <f>Data!M810</f>
        <v>0</v>
      </c>
      <c r="T797">
        <f>Data!N810</f>
        <v>0</v>
      </c>
      <c r="U797">
        <f>Data!O814</f>
        <v>0</v>
      </c>
      <c r="V797" s="33">
        <f>Data!P812</f>
        <v>0</v>
      </c>
    </row>
    <row r="798" spans="7:22" x14ac:dyDescent="0.25">
      <c r="G798">
        <f>Data!A811</f>
        <v>0</v>
      </c>
      <c r="H798" s="21">
        <f>Data!B811</f>
        <v>0</v>
      </c>
      <c r="I798" s="21">
        <f>Data!C811</f>
        <v>0</v>
      </c>
      <c r="J798">
        <f>Data!D811</f>
        <v>0</v>
      </c>
      <c r="K798">
        <f>Data!E811</f>
        <v>0</v>
      </c>
      <c r="L798">
        <f>Data!F811</f>
        <v>0</v>
      </c>
      <c r="M798">
        <f>Data!G811</f>
        <v>0</v>
      </c>
      <c r="N798">
        <f>Data!H811</f>
        <v>0</v>
      </c>
      <c r="O798">
        <f>Data!I811</f>
        <v>0</v>
      </c>
      <c r="P798" s="21">
        <f>Data!J811</f>
        <v>0</v>
      </c>
      <c r="Q798">
        <f>Data!K815</f>
        <v>0</v>
      </c>
      <c r="R798">
        <f>Data!L815</f>
        <v>0</v>
      </c>
      <c r="S798">
        <f>Data!M811</f>
        <v>0</v>
      </c>
      <c r="T798">
        <f>Data!N811</f>
        <v>0</v>
      </c>
      <c r="U798">
        <f>Data!O815</f>
        <v>0</v>
      </c>
      <c r="V798" s="33">
        <f>Data!P813</f>
        <v>0</v>
      </c>
    </row>
    <row r="799" spans="7:22" x14ac:dyDescent="0.25">
      <c r="G799">
        <f>Data!A812</f>
        <v>0</v>
      </c>
      <c r="H799" s="21">
        <f>Data!B812</f>
        <v>0</v>
      </c>
      <c r="I799" s="21">
        <f>Data!C812</f>
        <v>0</v>
      </c>
      <c r="J799">
        <f>Data!D812</f>
        <v>0</v>
      </c>
      <c r="K799">
        <f>Data!E812</f>
        <v>0</v>
      </c>
      <c r="L799">
        <f>Data!F812</f>
        <v>0</v>
      </c>
      <c r="M799">
        <f>Data!G812</f>
        <v>0</v>
      </c>
      <c r="N799">
        <f>Data!H812</f>
        <v>0</v>
      </c>
      <c r="O799">
        <f>Data!I812</f>
        <v>0</v>
      </c>
      <c r="P799" s="21">
        <f>Data!J812</f>
        <v>0</v>
      </c>
      <c r="Q799">
        <f>Data!K816</f>
        <v>0</v>
      </c>
      <c r="R799">
        <f>Data!L816</f>
        <v>0</v>
      </c>
      <c r="S799">
        <f>Data!M812</f>
        <v>0</v>
      </c>
      <c r="T799">
        <f>Data!N812</f>
        <v>0</v>
      </c>
      <c r="U799">
        <f>Data!O816</f>
        <v>0</v>
      </c>
      <c r="V799" s="33">
        <f>Data!P814</f>
        <v>0</v>
      </c>
    </row>
    <row r="800" spans="7:22" x14ac:dyDescent="0.25">
      <c r="G800">
        <f>Data!A813</f>
        <v>0</v>
      </c>
      <c r="H800" s="21">
        <f>Data!B813</f>
        <v>0</v>
      </c>
      <c r="I800" s="21">
        <f>Data!C813</f>
        <v>0</v>
      </c>
      <c r="J800">
        <f>Data!D813</f>
        <v>0</v>
      </c>
      <c r="K800">
        <f>Data!E813</f>
        <v>0</v>
      </c>
      <c r="L800">
        <f>Data!F813</f>
        <v>0</v>
      </c>
      <c r="M800">
        <f>Data!G813</f>
        <v>0</v>
      </c>
      <c r="N800">
        <f>Data!H813</f>
        <v>0</v>
      </c>
      <c r="O800">
        <f>Data!I813</f>
        <v>0</v>
      </c>
      <c r="P800" s="21">
        <f>Data!J813</f>
        <v>0</v>
      </c>
      <c r="Q800">
        <f>Data!K817</f>
        <v>0</v>
      </c>
      <c r="R800">
        <f>Data!L817</f>
        <v>0</v>
      </c>
      <c r="S800">
        <f>Data!M813</f>
        <v>0</v>
      </c>
      <c r="T800">
        <f>Data!N813</f>
        <v>0</v>
      </c>
      <c r="U800">
        <f>Data!O817</f>
        <v>0</v>
      </c>
      <c r="V800" s="33">
        <f>Data!P815</f>
        <v>0</v>
      </c>
    </row>
    <row r="801" spans="7:22" x14ac:dyDescent="0.25">
      <c r="G801">
        <f>Data!A814</f>
        <v>0</v>
      </c>
      <c r="H801" s="21">
        <f>Data!B814</f>
        <v>0</v>
      </c>
      <c r="I801" s="21">
        <f>Data!C814</f>
        <v>0</v>
      </c>
      <c r="J801">
        <f>Data!D814</f>
        <v>0</v>
      </c>
      <c r="K801">
        <f>Data!E814</f>
        <v>0</v>
      </c>
      <c r="L801">
        <f>Data!F814</f>
        <v>0</v>
      </c>
      <c r="M801">
        <f>Data!G814</f>
        <v>0</v>
      </c>
      <c r="N801">
        <f>Data!H814</f>
        <v>0</v>
      </c>
      <c r="O801">
        <f>Data!I814</f>
        <v>0</v>
      </c>
      <c r="P801" s="21">
        <f>Data!J814</f>
        <v>0</v>
      </c>
      <c r="Q801">
        <f>Data!K818</f>
        <v>0</v>
      </c>
      <c r="R801">
        <f>Data!L818</f>
        <v>0</v>
      </c>
      <c r="S801">
        <f>Data!M814</f>
        <v>0</v>
      </c>
      <c r="T801">
        <f>Data!N814</f>
        <v>0</v>
      </c>
      <c r="U801">
        <f>Data!O818</f>
        <v>0</v>
      </c>
      <c r="V801" s="33">
        <f>Data!P816</f>
        <v>0</v>
      </c>
    </row>
    <row r="802" spans="7:22" x14ac:dyDescent="0.25">
      <c r="G802">
        <f>Data!A815</f>
        <v>0</v>
      </c>
      <c r="H802" s="21">
        <f>Data!B815</f>
        <v>0</v>
      </c>
      <c r="I802" s="21">
        <f>Data!C815</f>
        <v>0</v>
      </c>
      <c r="J802">
        <f>Data!D815</f>
        <v>0</v>
      </c>
      <c r="K802">
        <f>Data!E815</f>
        <v>0</v>
      </c>
      <c r="L802">
        <f>Data!F815</f>
        <v>0</v>
      </c>
      <c r="M802">
        <f>Data!G815</f>
        <v>0</v>
      </c>
      <c r="N802">
        <f>Data!H815</f>
        <v>0</v>
      </c>
      <c r="O802">
        <f>Data!I815</f>
        <v>0</v>
      </c>
      <c r="P802" s="21">
        <f>Data!J815</f>
        <v>0</v>
      </c>
      <c r="Q802">
        <f>Data!K819</f>
        <v>0</v>
      </c>
      <c r="R802">
        <f>Data!L819</f>
        <v>0</v>
      </c>
      <c r="S802">
        <f>Data!M815</f>
        <v>0</v>
      </c>
      <c r="T802">
        <f>Data!N815</f>
        <v>0</v>
      </c>
      <c r="U802">
        <f>Data!O819</f>
        <v>0</v>
      </c>
      <c r="V802" s="33">
        <f>Data!P817</f>
        <v>0</v>
      </c>
    </row>
    <row r="803" spans="7:22" x14ac:dyDescent="0.25">
      <c r="G803">
        <f>Data!A816</f>
        <v>0</v>
      </c>
      <c r="H803" s="21">
        <f>Data!B816</f>
        <v>0</v>
      </c>
      <c r="I803" s="21">
        <f>Data!C816</f>
        <v>0</v>
      </c>
      <c r="J803">
        <f>Data!D816</f>
        <v>0</v>
      </c>
      <c r="K803">
        <f>Data!E816</f>
        <v>0</v>
      </c>
      <c r="L803">
        <f>Data!F816</f>
        <v>0</v>
      </c>
      <c r="M803">
        <f>Data!G816</f>
        <v>0</v>
      </c>
      <c r="N803">
        <f>Data!H816</f>
        <v>0</v>
      </c>
      <c r="O803">
        <f>Data!I816</f>
        <v>0</v>
      </c>
      <c r="P803" s="21">
        <f>Data!J816</f>
        <v>0</v>
      </c>
      <c r="Q803">
        <f>Data!K820</f>
        <v>0</v>
      </c>
      <c r="R803">
        <f>Data!L820</f>
        <v>0</v>
      </c>
      <c r="S803">
        <f>Data!M816</f>
        <v>0</v>
      </c>
      <c r="T803">
        <f>Data!N816</f>
        <v>0</v>
      </c>
      <c r="U803">
        <f>Data!O820</f>
        <v>0</v>
      </c>
      <c r="V803" s="33">
        <f>Data!P818</f>
        <v>0</v>
      </c>
    </row>
    <row r="804" spans="7:22" x14ac:dyDescent="0.25">
      <c r="G804">
        <f>Data!A817</f>
        <v>0</v>
      </c>
      <c r="H804" s="21">
        <f>Data!B817</f>
        <v>0</v>
      </c>
      <c r="I804" s="21">
        <f>Data!C817</f>
        <v>0</v>
      </c>
      <c r="J804">
        <f>Data!D817</f>
        <v>0</v>
      </c>
      <c r="K804">
        <f>Data!E817</f>
        <v>0</v>
      </c>
      <c r="L804">
        <f>Data!F817</f>
        <v>0</v>
      </c>
      <c r="M804">
        <f>Data!G817</f>
        <v>0</v>
      </c>
      <c r="N804">
        <f>Data!H817</f>
        <v>0</v>
      </c>
      <c r="O804">
        <f>Data!I817</f>
        <v>0</v>
      </c>
      <c r="P804" s="21">
        <f>Data!J817</f>
        <v>0</v>
      </c>
      <c r="Q804">
        <f>Data!K821</f>
        <v>0</v>
      </c>
      <c r="R804">
        <f>Data!L821</f>
        <v>0</v>
      </c>
      <c r="S804">
        <f>Data!M821</f>
        <v>0</v>
      </c>
      <c r="T804">
        <f>Data!N817</f>
        <v>0</v>
      </c>
      <c r="U804">
        <f>Data!O821</f>
        <v>0</v>
      </c>
      <c r="V804" s="33">
        <f>Data!P819</f>
        <v>0</v>
      </c>
    </row>
    <row r="805" spans="7:22" x14ac:dyDescent="0.25">
      <c r="G805">
        <f>Data!A818</f>
        <v>0</v>
      </c>
      <c r="H805" s="21">
        <f>Data!B818</f>
        <v>0</v>
      </c>
      <c r="I805" s="21">
        <f>Data!C818</f>
        <v>0</v>
      </c>
      <c r="J805">
        <f>Data!D818</f>
        <v>0</v>
      </c>
      <c r="K805">
        <f>Data!E818</f>
        <v>0</v>
      </c>
      <c r="L805">
        <f>Data!F818</f>
        <v>0</v>
      </c>
      <c r="M805">
        <f>Data!G818</f>
        <v>0</v>
      </c>
      <c r="N805">
        <f>Data!H818</f>
        <v>0</v>
      </c>
      <c r="O805">
        <f>Data!I818</f>
        <v>0</v>
      </c>
      <c r="P805" s="21">
        <f>Data!J818</f>
        <v>0</v>
      </c>
      <c r="Q805">
        <f>Data!K822</f>
        <v>0</v>
      </c>
      <c r="R805">
        <f>Data!L822</f>
        <v>0</v>
      </c>
      <c r="S805">
        <f>Data!M822</f>
        <v>0</v>
      </c>
      <c r="T805">
        <f>Data!N818</f>
        <v>0</v>
      </c>
      <c r="U805">
        <f>Data!O822</f>
        <v>0</v>
      </c>
      <c r="V805" s="33">
        <f>Data!P820</f>
        <v>0</v>
      </c>
    </row>
    <row r="806" spans="7:22" x14ac:dyDescent="0.25">
      <c r="G806">
        <f>Data!A819</f>
        <v>0</v>
      </c>
      <c r="H806" s="21">
        <f>Data!B819</f>
        <v>0</v>
      </c>
      <c r="I806" s="21">
        <f>Data!C819</f>
        <v>0</v>
      </c>
      <c r="J806">
        <f>Data!D819</f>
        <v>0</v>
      </c>
      <c r="K806">
        <f>Data!E819</f>
        <v>0</v>
      </c>
      <c r="L806">
        <f>Data!F819</f>
        <v>0</v>
      </c>
      <c r="M806">
        <f>Data!G819</f>
        <v>0</v>
      </c>
      <c r="N806">
        <f>Data!H819</f>
        <v>0</v>
      </c>
      <c r="O806">
        <f>Data!I819</f>
        <v>0</v>
      </c>
      <c r="P806" s="21">
        <f>Data!J819</f>
        <v>0</v>
      </c>
      <c r="Q806">
        <f>Data!K823</f>
        <v>0</v>
      </c>
      <c r="R806">
        <f>Data!L823</f>
        <v>0</v>
      </c>
      <c r="S806">
        <f>Data!M823</f>
        <v>0</v>
      </c>
      <c r="T806">
        <f>Data!N819</f>
        <v>0</v>
      </c>
      <c r="U806">
        <f>Data!O823</f>
        <v>0</v>
      </c>
      <c r="V806" s="33">
        <f>Data!P821</f>
        <v>0</v>
      </c>
    </row>
    <row r="807" spans="7:22" x14ac:dyDescent="0.25">
      <c r="G807">
        <f>Data!A820</f>
        <v>0</v>
      </c>
      <c r="H807" s="21">
        <f>Data!B820</f>
        <v>0</v>
      </c>
      <c r="I807" s="21">
        <f>Data!C820</f>
        <v>0</v>
      </c>
      <c r="J807">
        <f>Data!D820</f>
        <v>0</v>
      </c>
      <c r="K807">
        <f>Data!E820</f>
        <v>0</v>
      </c>
      <c r="L807">
        <f>Data!F820</f>
        <v>0</v>
      </c>
      <c r="M807">
        <f>Data!G820</f>
        <v>0</v>
      </c>
      <c r="N807">
        <f>Data!H820</f>
        <v>0</v>
      </c>
      <c r="O807">
        <f>Data!I820</f>
        <v>0</v>
      </c>
      <c r="P807" s="21">
        <f>Data!J820</f>
        <v>0</v>
      </c>
      <c r="Q807">
        <f>Data!K824</f>
        <v>0</v>
      </c>
      <c r="R807">
        <f>Data!L824</f>
        <v>0</v>
      </c>
      <c r="S807">
        <f>Data!M824</f>
        <v>0</v>
      </c>
      <c r="T807">
        <f>Data!N820</f>
        <v>0</v>
      </c>
      <c r="U807">
        <f>Data!O824</f>
        <v>0</v>
      </c>
      <c r="V807" s="33">
        <f>Data!P822</f>
        <v>0</v>
      </c>
    </row>
    <row r="808" spans="7:22" x14ac:dyDescent="0.25">
      <c r="G808">
        <f>Data!A821</f>
        <v>0</v>
      </c>
      <c r="H808" s="21">
        <f>Data!B821</f>
        <v>0</v>
      </c>
      <c r="I808" s="21">
        <f>Data!C821</f>
        <v>0</v>
      </c>
      <c r="J808">
        <f>Data!D821</f>
        <v>0</v>
      </c>
      <c r="K808">
        <f>Data!E821</f>
        <v>0</v>
      </c>
      <c r="L808">
        <f>Data!F821</f>
        <v>0</v>
      </c>
      <c r="M808">
        <f>Data!G821</f>
        <v>0</v>
      </c>
      <c r="N808">
        <f>Data!H821</f>
        <v>0</v>
      </c>
      <c r="O808">
        <f>Data!I821</f>
        <v>0</v>
      </c>
      <c r="P808" s="21">
        <f>Data!J821</f>
        <v>0</v>
      </c>
      <c r="Q808">
        <f>Data!K825</f>
        <v>0</v>
      </c>
      <c r="R808">
        <f>Data!L825</f>
        <v>0</v>
      </c>
      <c r="S808">
        <f>Data!M825</f>
        <v>0</v>
      </c>
      <c r="T808">
        <f>Data!N821</f>
        <v>0</v>
      </c>
      <c r="U808">
        <f>Data!O825</f>
        <v>0</v>
      </c>
      <c r="V808" s="33">
        <f>Data!P823</f>
        <v>0</v>
      </c>
    </row>
    <row r="809" spans="7:22" x14ac:dyDescent="0.25">
      <c r="G809">
        <f>Data!A822</f>
        <v>0</v>
      </c>
      <c r="H809" s="21">
        <f>Data!B822</f>
        <v>0</v>
      </c>
      <c r="I809" s="21">
        <f>Data!C822</f>
        <v>0</v>
      </c>
      <c r="J809">
        <f>Data!D822</f>
        <v>0</v>
      </c>
      <c r="K809">
        <f>Data!E822</f>
        <v>0</v>
      </c>
      <c r="L809">
        <f>Data!F822</f>
        <v>0</v>
      </c>
      <c r="M809">
        <f>Data!G822</f>
        <v>0</v>
      </c>
      <c r="N809">
        <f>Data!H822</f>
        <v>0</v>
      </c>
      <c r="O809">
        <f>Data!I822</f>
        <v>0</v>
      </c>
      <c r="P809" s="21">
        <f>Data!J822</f>
        <v>0</v>
      </c>
      <c r="Q809">
        <f>Data!K826</f>
        <v>0</v>
      </c>
      <c r="R809">
        <f>Data!L826</f>
        <v>0</v>
      </c>
      <c r="S809">
        <f>Data!M826</f>
        <v>0</v>
      </c>
      <c r="T809">
        <f>Data!N822</f>
        <v>0</v>
      </c>
      <c r="U809">
        <f>Data!O826</f>
        <v>0</v>
      </c>
      <c r="V809" s="33">
        <f>Data!P824</f>
        <v>0</v>
      </c>
    </row>
    <row r="810" spans="7:22" x14ac:dyDescent="0.25">
      <c r="G810">
        <f>Data!A823</f>
        <v>0</v>
      </c>
      <c r="H810" s="21">
        <f>Data!B823</f>
        <v>0</v>
      </c>
      <c r="I810" s="21">
        <f>Data!C823</f>
        <v>0</v>
      </c>
      <c r="J810">
        <f>Data!D823</f>
        <v>0</v>
      </c>
      <c r="K810">
        <f>Data!E823</f>
        <v>0</v>
      </c>
      <c r="L810">
        <f>Data!F823</f>
        <v>0</v>
      </c>
      <c r="M810">
        <f>Data!G823</f>
        <v>0</v>
      </c>
      <c r="N810">
        <f>Data!H823</f>
        <v>0</v>
      </c>
      <c r="O810">
        <f>Data!I823</f>
        <v>0</v>
      </c>
      <c r="P810" s="21">
        <f>Data!J823</f>
        <v>0</v>
      </c>
      <c r="Q810">
        <f>Data!K827</f>
        <v>0</v>
      </c>
      <c r="R810">
        <f>Data!L827</f>
        <v>0</v>
      </c>
      <c r="S810">
        <f>Data!M827</f>
        <v>0</v>
      </c>
      <c r="T810">
        <f>Data!N823</f>
        <v>0</v>
      </c>
      <c r="U810">
        <f>Data!O827</f>
        <v>0</v>
      </c>
      <c r="V810" s="33">
        <f>Data!P825</f>
        <v>0</v>
      </c>
    </row>
    <row r="811" spans="7:22" x14ac:dyDescent="0.25">
      <c r="G811">
        <f>Data!A824</f>
        <v>0</v>
      </c>
      <c r="H811" s="21">
        <f>Data!B824</f>
        <v>0</v>
      </c>
      <c r="I811" s="21">
        <f>Data!C824</f>
        <v>0</v>
      </c>
      <c r="J811">
        <f>Data!D824</f>
        <v>0</v>
      </c>
      <c r="K811">
        <f>Data!E824</f>
        <v>0</v>
      </c>
      <c r="L811">
        <f>Data!F824</f>
        <v>0</v>
      </c>
      <c r="M811">
        <f>Data!G824</f>
        <v>0</v>
      </c>
      <c r="N811">
        <f>Data!H824</f>
        <v>0</v>
      </c>
      <c r="O811">
        <f>Data!I824</f>
        <v>0</v>
      </c>
      <c r="P811" s="21">
        <f>Data!J824</f>
        <v>0</v>
      </c>
      <c r="Q811">
        <f>Data!K828</f>
        <v>0</v>
      </c>
      <c r="R811">
        <f>Data!L828</f>
        <v>0</v>
      </c>
      <c r="S811">
        <f>Data!M828</f>
        <v>0</v>
      </c>
      <c r="T811">
        <f>Data!N824</f>
        <v>0</v>
      </c>
      <c r="U811">
        <f>Data!O828</f>
        <v>0</v>
      </c>
      <c r="V811" s="33">
        <f>Data!P826</f>
        <v>0</v>
      </c>
    </row>
    <row r="812" spans="7:22" x14ac:dyDescent="0.25">
      <c r="G812">
        <f>Data!A825</f>
        <v>0</v>
      </c>
      <c r="H812" s="21">
        <f>Data!B825</f>
        <v>0</v>
      </c>
      <c r="I812" s="21">
        <f>Data!C825</f>
        <v>0</v>
      </c>
      <c r="J812">
        <f>Data!D825</f>
        <v>0</v>
      </c>
      <c r="K812">
        <f>Data!E825</f>
        <v>0</v>
      </c>
      <c r="L812">
        <f>Data!F825</f>
        <v>0</v>
      </c>
      <c r="M812">
        <f>Data!G825</f>
        <v>0</v>
      </c>
      <c r="N812">
        <f>Data!H825</f>
        <v>0</v>
      </c>
      <c r="O812">
        <f>Data!I825</f>
        <v>0</v>
      </c>
      <c r="P812" s="21">
        <f>Data!J825</f>
        <v>0</v>
      </c>
      <c r="Q812">
        <f>Data!K829</f>
        <v>0</v>
      </c>
      <c r="R812">
        <f>Data!L829</f>
        <v>0</v>
      </c>
      <c r="S812">
        <f>Data!M829</f>
        <v>0</v>
      </c>
      <c r="T812">
        <f>Data!N825</f>
        <v>0</v>
      </c>
      <c r="U812">
        <f>Data!O829</f>
        <v>0</v>
      </c>
      <c r="V812" s="33">
        <f>Data!P827</f>
        <v>0</v>
      </c>
    </row>
    <row r="813" spans="7:22" x14ac:dyDescent="0.25">
      <c r="G813">
        <f>Data!A826</f>
        <v>0</v>
      </c>
      <c r="H813" s="21">
        <f>Data!B826</f>
        <v>0</v>
      </c>
      <c r="I813" s="21">
        <f>Data!C826</f>
        <v>0</v>
      </c>
      <c r="J813">
        <f>Data!D826</f>
        <v>0</v>
      </c>
      <c r="K813">
        <f>Data!E826</f>
        <v>0</v>
      </c>
      <c r="L813">
        <f>Data!F826</f>
        <v>0</v>
      </c>
      <c r="M813">
        <f>Data!G826</f>
        <v>0</v>
      </c>
      <c r="N813">
        <f>Data!H826</f>
        <v>0</v>
      </c>
      <c r="O813">
        <f>Data!I826</f>
        <v>0</v>
      </c>
      <c r="P813" s="21">
        <f>Data!J826</f>
        <v>0</v>
      </c>
      <c r="Q813">
        <f>Data!K830</f>
        <v>0</v>
      </c>
      <c r="R813">
        <f>Data!L830</f>
        <v>0</v>
      </c>
      <c r="S813">
        <f>Data!M830</f>
        <v>0</v>
      </c>
      <c r="T813">
        <f>Data!N826</f>
        <v>0</v>
      </c>
      <c r="U813">
        <f>Data!O830</f>
        <v>0</v>
      </c>
      <c r="V813" s="33">
        <f>Data!P828</f>
        <v>0</v>
      </c>
    </row>
    <row r="814" spans="7:22" x14ac:dyDescent="0.25">
      <c r="G814">
        <f>Data!A827</f>
        <v>0</v>
      </c>
      <c r="H814" s="21">
        <f>Data!B827</f>
        <v>0</v>
      </c>
      <c r="I814" s="21">
        <f>Data!C827</f>
        <v>0</v>
      </c>
      <c r="J814">
        <f>Data!D827</f>
        <v>0</v>
      </c>
      <c r="K814">
        <f>Data!E827</f>
        <v>0</v>
      </c>
      <c r="L814">
        <f>Data!F827</f>
        <v>0</v>
      </c>
      <c r="M814">
        <f>Data!G827</f>
        <v>0</v>
      </c>
      <c r="N814">
        <f>Data!H827</f>
        <v>0</v>
      </c>
      <c r="O814">
        <f>Data!I827</f>
        <v>0</v>
      </c>
      <c r="P814" s="21">
        <f>Data!J827</f>
        <v>0</v>
      </c>
      <c r="Q814">
        <f>Data!K831</f>
        <v>0</v>
      </c>
      <c r="R814">
        <f>Data!L831</f>
        <v>0</v>
      </c>
      <c r="S814">
        <f>Data!M831</f>
        <v>0</v>
      </c>
      <c r="T814">
        <f>Data!N827</f>
        <v>0</v>
      </c>
      <c r="U814">
        <f>Data!O831</f>
        <v>0</v>
      </c>
      <c r="V814" s="33">
        <f>Data!P829</f>
        <v>0</v>
      </c>
    </row>
    <row r="815" spans="7:22" x14ac:dyDescent="0.25">
      <c r="G815">
        <f>Data!A828</f>
        <v>0</v>
      </c>
      <c r="H815" s="21">
        <f>Data!B828</f>
        <v>0</v>
      </c>
      <c r="I815" s="21">
        <f>Data!C828</f>
        <v>0</v>
      </c>
      <c r="J815">
        <f>Data!D828</f>
        <v>0</v>
      </c>
      <c r="K815">
        <f>Data!E828</f>
        <v>0</v>
      </c>
      <c r="L815">
        <f>Data!F828</f>
        <v>0</v>
      </c>
      <c r="M815">
        <f>Data!G828</f>
        <v>0</v>
      </c>
      <c r="N815">
        <f>Data!H828</f>
        <v>0</v>
      </c>
      <c r="O815">
        <f>Data!I828</f>
        <v>0</v>
      </c>
      <c r="P815" s="21">
        <f>Data!J828</f>
        <v>0</v>
      </c>
      <c r="Q815">
        <f>Data!K832</f>
        <v>0</v>
      </c>
      <c r="R815">
        <f>Data!L832</f>
        <v>0</v>
      </c>
      <c r="S815">
        <f>Data!M832</f>
        <v>0</v>
      </c>
      <c r="T815">
        <f>Data!N828</f>
        <v>0</v>
      </c>
      <c r="U815">
        <f>Data!O832</f>
        <v>0</v>
      </c>
      <c r="V815" s="33">
        <f>Data!P830</f>
        <v>0</v>
      </c>
    </row>
    <row r="816" spans="7:22" x14ac:dyDescent="0.25">
      <c r="G816">
        <f>Data!A829</f>
        <v>0</v>
      </c>
      <c r="H816" s="21">
        <f>Data!B829</f>
        <v>0</v>
      </c>
      <c r="I816" s="21">
        <f>Data!C829</f>
        <v>0</v>
      </c>
      <c r="J816">
        <f>Data!D829</f>
        <v>0</v>
      </c>
      <c r="K816">
        <f>Data!E829</f>
        <v>0</v>
      </c>
      <c r="L816">
        <f>Data!F829</f>
        <v>0</v>
      </c>
      <c r="M816">
        <f>Data!G829</f>
        <v>0</v>
      </c>
      <c r="N816">
        <f>Data!H829</f>
        <v>0</v>
      </c>
      <c r="O816">
        <f>Data!I829</f>
        <v>0</v>
      </c>
      <c r="P816" s="21">
        <f>Data!J829</f>
        <v>0</v>
      </c>
      <c r="Q816">
        <f>Data!K833</f>
        <v>0</v>
      </c>
      <c r="R816">
        <f>Data!L833</f>
        <v>0</v>
      </c>
      <c r="S816">
        <f>Data!M833</f>
        <v>0</v>
      </c>
      <c r="T816">
        <f>Data!N829</f>
        <v>0</v>
      </c>
      <c r="U816">
        <f>Data!O833</f>
        <v>0</v>
      </c>
      <c r="V816" s="33">
        <f>Data!P831</f>
        <v>0</v>
      </c>
    </row>
    <row r="817" spans="7:22" x14ac:dyDescent="0.25">
      <c r="G817">
        <f>Data!A830</f>
        <v>0</v>
      </c>
      <c r="H817" s="21">
        <f>Data!B830</f>
        <v>0</v>
      </c>
      <c r="I817" s="21">
        <f>Data!C830</f>
        <v>0</v>
      </c>
      <c r="J817">
        <f>Data!D830</f>
        <v>0</v>
      </c>
      <c r="K817">
        <f>Data!E830</f>
        <v>0</v>
      </c>
      <c r="L817">
        <f>Data!F830</f>
        <v>0</v>
      </c>
      <c r="M817">
        <f>Data!G830</f>
        <v>0</v>
      </c>
      <c r="N817">
        <f>Data!H830</f>
        <v>0</v>
      </c>
      <c r="O817">
        <f>Data!I830</f>
        <v>0</v>
      </c>
      <c r="P817" s="21">
        <f>Data!J830</f>
        <v>0</v>
      </c>
      <c r="Q817">
        <f>Data!K834</f>
        <v>0</v>
      </c>
      <c r="R817">
        <f>Data!L834</f>
        <v>0</v>
      </c>
      <c r="S817">
        <f>Data!M834</f>
        <v>0</v>
      </c>
      <c r="T817">
        <f>Data!N830</f>
        <v>0</v>
      </c>
      <c r="U817">
        <f>Data!O834</f>
        <v>0</v>
      </c>
      <c r="V817" s="33">
        <f>Data!P832</f>
        <v>0</v>
      </c>
    </row>
    <row r="818" spans="7:22" x14ac:dyDescent="0.25">
      <c r="G818">
        <f>Data!A831</f>
        <v>0</v>
      </c>
      <c r="H818" s="21">
        <f>Data!B831</f>
        <v>0</v>
      </c>
      <c r="I818" s="21">
        <f>Data!C831</f>
        <v>0</v>
      </c>
      <c r="J818">
        <f>Data!D831</f>
        <v>0</v>
      </c>
      <c r="K818">
        <f>Data!E831</f>
        <v>0</v>
      </c>
      <c r="L818">
        <f>Data!F831</f>
        <v>0</v>
      </c>
      <c r="M818">
        <f>Data!G831</f>
        <v>0</v>
      </c>
      <c r="N818">
        <f>Data!H831</f>
        <v>0</v>
      </c>
      <c r="O818">
        <f>Data!I831</f>
        <v>0</v>
      </c>
      <c r="P818" s="21">
        <f>Data!J831</f>
        <v>0</v>
      </c>
      <c r="Q818">
        <f>Data!K835</f>
        <v>0</v>
      </c>
      <c r="R818">
        <f>Data!L835</f>
        <v>0</v>
      </c>
      <c r="S818">
        <f>Data!M835</f>
        <v>0</v>
      </c>
      <c r="T818">
        <f>Data!N831</f>
        <v>0</v>
      </c>
      <c r="U818">
        <f>Data!O835</f>
        <v>0</v>
      </c>
      <c r="V818" s="33">
        <f>Data!P833</f>
        <v>0</v>
      </c>
    </row>
    <row r="819" spans="7:22" x14ac:dyDescent="0.25">
      <c r="G819">
        <f>Data!A832</f>
        <v>0</v>
      </c>
      <c r="H819" s="21">
        <f>Data!B832</f>
        <v>0</v>
      </c>
      <c r="I819" s="21">
        <f>Data!C832</f>
        <v>0</v>
      </c>
      <c r="J819">
        <f>Data!D832</f>
        <v>0</v>
      </c>
      <c r="K819">
        <f>Data!E832</f>
        <v>0</v>
      </c>
      <c r="L819">
        <f>Data!F832</f>
        <v>0</v>
      </c>
      <c r="M819">
        <f>Data!G832</f>
        <v>0</v>
      </c>
      <c r="N819">
        <f>Data!H832</f>
        <v>0</v>
      </c>
      <c r="O819">
        <f>Data!I832</f>
        <v>0</v>
      </c>
      <c r="P819" s="21">
        <f>Data!J832</f>
        <v>0</v>
      </c>
      <c r="Q819">
        <f>Data!K836</f>
        <v>0</v>
      </c>
      <c r="R819">
        <f>Data!L836</f>
        <v>0</v>
      </c>
      <c r="S819">
        <f>Data!M836</f>
        <v>0</v>
      </c>
      <c r="T819">
        <f>Data!N832</f>
        <v>0</v>
      </c>
      <c r="U819">
        <f>Data!O836</f>
        <v>0</v>
      </c>
      <c r="V819" s="33">
        <f>Data!P834</f>
        <v>0</v>
      </c>
    </row>
    <row r="820" spans="7:22" x14ac:dyDescent="0.25">
      <c r="G820">
        <f>Data!A833</f>
        <v>0</v>
      </c>
      <c r="H820" s="21">
        <f>Data!B833</f>
        <v>0</v>
      </c>
      <c r="I820" s="21">
        <f>Data!C833</f>
        <v>0</v>
      </c>
      <c r="J820">
        <f>Data!D833</f>
        <v>0</v>
      </c>
      <c r="K820">
        <f>Data!E833</f>
        <v>0</v>
      </c>
      <c r="L820">
        <f>Data!F833</f>
        <v>0</v>
      </c>
      <c r="M820">
        <f>Data!G833</f>
        <v>0</v>
      </c>
      <c r="N820">
        <f>Data!H833</f>
        <v>0</v>
      </c>
      <c r="O820">
        <f>Data!I833</f>
        <v>0</v>
      </c>
      <c r="P820" s="21">
        <f>Data!J833</f>
        <v>0</v>
      </c>
      <c r="Q820">
        <f>Data!K837</f>
        <v>0</v>
      </c>
      <c r="R820">
        <f>Data!L837</f>
        <v>0</v>
      </c>
      <c r="S820">
        <f>Data!M837</f>
        <v>0</v>
      </c>
      <c r="T820">
        <f>Data!N833</f>
        <v>0</v>
      </c>
      <c r="U820">
        <f>Data!O837</f>
        <v>0</v>
      </c>
      <c r="V820" s="33">
        <f>Data!P835</f>
        <v>0</v>
      </c>
    </row>
    <row r="821" spans="7:22" x14ac:dyDescent="0.25">
      <c r="G821">
        <f>Data!A834</f>
        <v>0</v>
      </c>
      <c r="H821" s="21">
        <f>Data!B834</f>
        <v>0</v>
      </c>
      <c r="I821" s="21">
        <f>Data!C834</f>
        <v>0</v>
      </c>
      <c r="J821">
        <f>Data!D834</f>
        <v>0</v>
      </c>
      <c r="K821">
        <f>Data!E834</f>
        <v>0</v>
      </c>
      <c r="L821">
        <f>Data!F834</f>
        <v>0</v>
      </c>
      <c r="M821">
        <f>Data!G834</f>
        <v>0</v>
      </c>
      <c r="N821">
        <f>Data!H834</f>
        <v>0</v>
      </c>
      <c r="O821">
        <f>Data!I834</f>
        <v>0</v>
      </c>
      <c r="P821" s="21">
        <f>Data!J834</f>
        <v>0</v>
      </c>
      <c r="Q821">
        <f>Data!K838</f>
        <v>0</v>
      </c>
      <c r="R821">
        <f>Data!L838</f>
        <v>0</v>
      </c>
      <c r="S821">
        <f>Data!M838</f>
        <v>0</v>
      </c>
      <c r="T821">
        <f>Data!N834</f>
        <v>0</v>
      </c>
      <c r="U821">
        <f>Data!O838</f>
        <v>0</v>
      </c>
      <c r="V821" s="33">
        <f>Data!P836</f>
        <v>0</v>
      </c>
    </row>
    <row r="822" spans="7:22" x14ac:dyDescent="0.25">
      <c r="G822">
        <f>Data!A835</f>
        <v>0</v>
      </c>
      <c r="H822" s="21">
        <f>Data!B835</f>
        <v>0</v>
      </c>
      <c r="I822" s="21">
        <f>Data!C835</f>
        <v>0</v>
      </c>
      <c r="J822">
        <f>Data!D835</f>
        <v>0</v>
      </c>
      <c r="K822">
        <f>Data!E835</f>
        <v>0</v>
      </c>
      <c r="L822">
        <f>Data!F835</f>
        <v>0</v>
      </c>
      <c r="M822">
        <f>Data!G835</f>
        <v>0</v>
      </c>
      <c r="N822">
        <f>Data!H835</f>
        <v>0</v>
      </c>
      <c r="O822">
        <f>Data!I835</f>
        <v>0</v>
      </c>
      <c r="P822" s="21">
        <f>Data!J835</f>
        <v>0</v>
      </c>
      <c r="Q822">
        <f>Data!K839</f>
        <v>0</v>
      </c>
      <c r="R822">
        <f>Data!L839</f>
        <v>0</v>
      </c>
      <c r="S822">
        <f>Data!M839</f>
        <v>0</v>
      </c>
      <c r="T822">
        <f>Data!N835</f>
        <v>0</v>
      </c>
      <c r="U822">
        <f>Data!O839</f>
        <v>0</v>
      </c>
      <c r="V822" s="33">
        <f>Data!P837</f>
        <v>0</v>
      </c>
    </row>
    <row r="823" spans="7:22" x14ac:dyDescent="0.25">
      <c r="G823">
        <f>Data!A836</f>
        <v>0</v>
      </c>
      <c r="H823" s="21">
        <f>Data!B836</f>
        <v>0</v>
      </c>
      <c r="I823" s="21">
        <f>Data!C836</f>
        <v>0</v>
      </c>
      <c r="J823">
        <f>Data!D836</f>
        <v>0</v>
      </c>
      <c r="K823">
        <f>Data!E836</f>
        <v>0</v>
      </c>
      <c r="L823">
        <f>Data!F836</f>
        <v>0</v>
      </c>
      <c r="M823">
        <f>Data!G836</f>
        <v>0</v>
      </c>
      <c r="N823">
        <f>Data!H836</f>
        <v>0</v>
      </c>
      <c r="O823">
        <f>Data!I836</f>
        <v>0</v>
      </c>
      <c r="P823" s="21">
        <f>Data!J836</f>
        <v>0</v>
      </c>
      <c r="Q823">
        <f>Data!K840</f>
        <v>0</v>
      </c>
      <c r="R823">
        <f>Data!L840</f>
        <v>0</v>
      </c>
      <c r="S823">
        <f>Data!M840</f>
        <v>0</v>
      </c>
      <c r="T823">
        <f>Data!N836</f>
        <v>0</v>
      </c>
      <c r="U823">
        <f>Data!O840</f>
        <v>0</v>
      </c>
      <c r="V823" s="33">
        <f>Data!P838</f>
        <v>0</v>
      </c>
    </row>
    <row r="824" spans="7:22" x14ac:dyDescent="0.25">
      <c r="G824">
        <f>Data!A837</f>
        <v>0</v>
      </c>
      <c r="H824" s="21">
        <f>Data!B837</f>
        <v>0</v>
      </c>
      <c r="I824" s="21">
        <f>Data!C837</f>
        <v>0</v>
      </c>
      <c r="J824">
        <f>Data!D837</f>
        <v>0</v>
      </c>
      <c r="K824">
        <f>Data!E837</f>
        <v>0</v>
      </c>
      <c r="L824">
        <f>Data!F837</f>
        <v>0</v>
      </c>
      <c r="M824">
        <f>Data!G837</f>
        <v>0</v>
      </c>
      <c r="N824">
        <f>Data!H837</f>
        <v>0</v>
      </c>
      <c r="O824">
        <f>Data!I837</f>
        <v>0</v>
      </c>
      <c r="P824" s="21">
        <f>Data!J837</f>
        <v>0</v>
      </c>
      <c r="Q824">
        <f>Data!K841</f>
        <v>0</v>
      </c>
      <c r="R824">
        <f>Data!L841</f>
        <v>0</v>
      </c>
      <c r="S824">
        <f>Data!M841</f>
        <v>0</v>
      </c>
      <c r="T824">
        <f>Data!N837</f>
        <v>0</v>
      </c>
      <c r="U824">
        <f>Data!O841</f>
        <v>0</v>
      </c>
      <c r="V824" s="33">
        <f>Data!P839</f>
        <v>0</v>
      </c>
    </row>
    <row r="825" spans="7:22" x14ac:dyDescent="0.25">
      <c r="G825">
        <f>Data!A838</f>
        <v>0</v>
      </c>
      <c r="H825" s="21">
        <f>Data!B838</f>
        <v>0</v>
      </c>
      <c r="I825" s="21">
        <f>Data!C838</f>
        <v>0</v>
      </c>
      <c r="J825">
        <f>Data!D838</f>
        <v>0</v>
      </c>
      <c r="K825">
        <f>Data!E838</f>
        <v>0</v>
      </c>
      <c r="L825">
        <f>Data!F838</f>
        <v>0</v>
      </c>
      <c r="M825">
        <f>Data!G838</f>
        <v>0</v>
      </c>
      <c r="N825">
        <f>Data!H838</f>
        <v>0</v>
      </c>
      <c r="O825">
        <f>Data!I838</f>
        <v>0</v>
      </c>
      <c r="P825" s="21">
        <f>Data!J838</f>
        <v>0</v>
      </c>
      <c r="Q825">
        <f>Data!K842</f>
        <v>0</v>
      </c>
      <c r="R825">
        <f>Data!L842</f>
        <v>0</v>
      </c>
      <c r="S825">
        <f>Data!M842</f>
        <v>0</v>
      </c>
      <c r="T825">
        <f>Data!N838</f>
        <v>0</v>
      </c>
      <c r="U825">
        <f>Data!O842</f>
        <v>0</v>
      </c>
      <c r="V825" s="33">
        <f>Data!P840</f>
        <v>0</v>
      </c>
    </row>
    <row r="826" spans="7:22" x14ac:dyDescent="0.25">
      <c r="G826">
        <f>Data!A839</f>
        <v>0</v>
      </c>
      <c r="H826" s="21">
        <f>Data!B839</f>
        <v>0</v>
      </c>
      <c r="I826" s="21">
        <f>Data!C839</f>
        <v>0</v>
      </c>
      <c r="J826">
        <f>Data!D839</f>
        <v>0</v>
      </c>
      <c r="K826">
        <f>Data!E839</f>
        <v>0</v>
      </c>
      <c r="L826">
        <f>Data!F839</f>
        <v>0</v>
      </c>
      <c r="M826">
        <f>Data!G839</f>
        <v>0</v>
      </c>
      <c r="N826">
        <f>Data!H839</f>
        <v>0</v>
      </c>
      <c r="O826">
        <f>Data!I839</f>
        <v>0</v>
      </c>
      <c r="P826" s="21">
        <f>Data!J839</f>
        <v>0</v>
      </c>
      <c r="Q826">
        <f>Data!K843</f>
        <v>0</v>
      </c>
      <c r="R826">
        <f>Data!L843</f>
        <v>0</v>
      </c>
      <c r="S826">
        <f>Data!M843</f>
        <v>0</v>
      </c>
      <c r="T826">
        <f>Data!N839</f>
        <v>0</v>
      </c>
      <c r="U826">
        <f>Data!O843</f>
        <v>0</v>
      </c>
      <c r="V826" s="33">
        <f>Data!P841</f>
        <v>0</v>
      </c>
    </row>
    <row r="827" spans="7:22" x14ac:dyDescent="0.25">
      <c r="G827">
        <f>Data!A840</f>
        <v>0</v>
      </c>
      <c r="H827" s="21">
        <f>Data!B840</f>
        <v>0</v>
      </c>
      <c r="I827" s="21">
        <f>Data!C840</f>
        <v>0</v>
      </c>
      <c r="J827">
        <f>Data!D840</f>
        <v>0</v>
      </c>
      <c r="K827">
        <f>Data!E840</f>
        <v>0</v>
      </c>
      <c r="L827">
        <f>Data!F840</f>
        <v>0</v>
      </c>
      <c r="M827">
        <f>Data!G840</f>
        <v>0</v>
      </c>
      <c r="N827">
        <f>Data!H840</f>
        <v>0</v>
      </c>
      <c r="O827">
        <f>Data!I840</f>
        <v>0</v>
      </c>
      <c r="P827" s="21">
        <f>Data!J840</f>
        <v>0</v>
      </c>
      <c r="Q827">
        <f>Data!K844</f>
        <v>0</v>
      </c>
      <c r="R827">
        <f>Data!L844</f>
        <v>0</v>
      </c>
      <c r="S827">
        <f>Data!M844</f>
        <v>0</v>
      </c>
      <c r="T827">
        <f>Data!N840</f>
        <v>0</v>
      </c>
      <c r="U827">
        <f>Data!O844</f>
        <v>0</v>
      </c>
      <c r="V827" s="33">
        <f>Data!P842</f>
        <v>0</v>
      </c>
    </row>
    <row r="828" spans="7:22" x14ac:dyDescent="0.25">
      <c r="G828">
        <f>Data!A841</f>
        <v>0</v>
      </c>
      <c r="H828" s="21">
        <f>Data!B841</f>
        <v>0</v>
      </c>
      <c r="I828" s="21">
        <f>Data!C841</f>
        <v>0</v>
      </c>
      <c r="J828">
        <f>Data!D841</f>
        <v>0</v>
      </c>
      <c r="K828">
        <f>Data!E841</f>
        <v>0</v>
      </c>
      <c r="L828">
        <f>Data!F841</f>
        <v>0</v>
      </c>
      <c r="M828">
        <f>Data!G841</f>
        <v>0</v>
      </c>
      <c r="N828">
        <f>Data!H841</f>
        <v>0</v>
      </c>
      <c r="O828">
        <f>Data!I841</f>
        <v>0</v>
      </c>
      <c r="P828" s="21">
        <f>Data!J841</f>
        <v>0</v>
      </c>
      <c r="Q828">
        <f>Data!K845</f>
        <v>0</v>
      </c>
      <c r="R828">
        <f>Data!L845</f>
        <v>0</v>
      </c>
      <c r="S828">
        <f>Data!M845</f>
        <v>0</v>
      </c>
      <c r="T828">
        <f>Data!N841</f>
        <v>0</v>
      </c>
      <c r="U828">
        <f>Data!O845</f>
        <v>0</v>
      </c>
      <c r="V828" s="33">
        <f>Data!P843</f>
        <v>0</v>
      </c>
    </row>
    <row r="829" spans="7:22" x14ac:dyDescent="0.25">
      <c r="G829">
        <f>Data!A842</f>
        <v>0</v>
      </c>
      <c r="H829" s="21">
        <f>Data!B842</f>
        <v>0</v>
      </c>
      <c r="I829" s="21">
        <f>Data!C842</f>
        <v>0</v>
      </c>
      <c r="J829">
        <f>Data!D842</f>
        <v>0</v>
      </c>
      <c r="K829">
        <f>Data!E842</f>
        <v>0</v>
      </c>
      <c r="L829">
        <f>Data!F842</f>
        <v>0</v>
      </c>
      <c r="M829">
        <f>Data!G842</f>
        <v>0</v>
      </c>
      <c r="N829">
        <f>Data!H842</f>
        <v>0</v>
      </c>
      <c r="O829">
        <f>Data!I842</f>
        <v>0</v>
      </c>
      <c r="P829" s="21">
        <f>Data!J842</f>
        <v>0</v>
      </c>
      <c r="Q829">
        <f>Data!K846</f>
        <v>0</v>
      </c>
      <c r="R829">
        <f>Data!L846</f>
        <v>0</v>
      </c>
      <c r="S829">
        <f>Data!M846</f>
        <v>0</v>
      </c>
      <c r="T829">
        <f>Data!N842</f>
        <v>0</v>
      </c>
      <c r="U829">
        <f>Data!O846</f>
        <v>0</v>
      </c>
      <c r="V829" s="33">
        <f>Data!P844</f>
        <v>0</v>
      </c>
    </row>
    <row r="830" spans="7:22" x14ac:dyDescent="0.25">
      <c r="G830">
        <f>Data!A843</f>
        <v>0</v>
      </c>
      <c r="H830" s="21">
        <f>Data!B843</f>
        <v>0</v>
      </c>
      <c r="I830" s="21">
        <f>Data!C843</f>
        <v>0</v>
      </c>
      <c r="J830">
        <f>Data!D843</f>
        <v>0</v>
      </c>
      <c r="K830">
        <f>Data!E843</f>
        <v>0</v>
      </c>
      <c r="L830">
        <f>Data!F843</f>
        <v>0</v>
      </c>
      <c r="M830">
        <f>Data!G843</f>
        <v>0</v>
      </c>
      <c r="N830">
        <f>Data!H843</f>
        <v>0</v>
      </c>
      <c r="O830">
        <f>Data!I843</f>
        <v>0</v>
      </c>
      <c r="P830" s="21">
        <f>Data!J843</f>
        <v>0</v>
      </c>
      <c r="Q830">
        <f>Data!K847</f>
        <v>0</v>
      </c>
      <c r="R830">
        <f>Data!L847</f>
        <v>0</v>
      </c>
      <c r="S830">
        <f>Data!M847</f>
        <v>0</v>
      </c>
      <c r="T830">
        <f>Data!N843</f>
        <v>0</v>
      </c>
      <c r="U830">
        <f>Data!O847</f>
        <v>0</v>
      </c>
      <c r="V830" s="33">
        <f>Data!P845</f>
        <v>0</v>
      </c>
    </row>
    <row r="831" spans="7:22" x14ac:dyDescent="0.25">
      <c r="G831">
        <f>Data!A844</f>
        <v>0</v>
      </c>
      <c r="H831" s="21">
        <f>Data!B844</f>
        <v>0</v>
      </c>
      <c r="I831" s="21">
        <f>Data!C844</f>
        <v>0</v>
      </c>
      <c r="J831">
        <f>Data!D844</f>
        <v>0</v>
      </c>
      <c r="K831">
        <f>Data!E844</f>
        <v>0</v>
      </c>
      <c r="L831">
        <f>Data!F844</f>
        <v>0</v>
      </c>
      <c r="M831">
        <f>Data!G844</f>
        <v>0</v>
      </c>
      <c r="N831">
        <f>Data!H844</f>
        <v>0</v>
      </c>
      <c r="O831">
        <f>Data!I844</f>
        <v>0</v>
      </c>
      <c r="P831" s="21">
        <f>Data!J844</f>
        <v>0</v>
      </c>
      <c r="Q831">
        <f>Data!K848</f>
        <v>0</v>
      </c>
      <c r="R831">
        <f>Data!L848</f>
        <v>0</v>
      </c>
      <c r="S831">
        <f>Data!M848</f>
        <v>0</v>
      </c>
      <c r="T831">
        <f>Data!N844</f>
        <v>0</v>
      </c>
      <c r="U831">
        <f>Data!O848</f>
        <v>0</v>
      </c>
      <c r="V831" s="33">
        <f>Data!P846</f>
        <v>0</v>
      </c>
    </row>
    <row r="832" spans="7:22" x14ac:dyDescent="0.25">
      <c r="G832">
        <f>Data!A845</f>
        <v>0</v>
      </c>
      <c r="H832" s="21">
        <f>Data!B845</f>
        <v>0</v>
      </c>
      <c r="I832" s="21">
        <f>Data!C845</f>
        <v>0</v>
      </c>
      <c r="J832">
        <f>Data!D845</f>
        <v>0</v>
      </c>
      <c r="K832">
        <f>Data!E845</f>
        <v>0</v>
      </c>
      <c r="L832">
        <f>Data!F845</f>
        <v>0</v>
      </c>
      <c r="M832">
        <f>Data!G845</f>
        <v>0</v>
      </c>
      <c r="N832">
        <f>Data!H845</f>
        <v>0</v>
      </c>
      <c r="O832">
        <f>Data!I845</f>
        <v>0</v>
      </c>
      <c r="P832" s="21">
        <f>Data!J845</f>
        <v>0</v>
      </c>
      <c r="Q832">
        <f>Data!K849</f>
        <v>0</v>
      </c>
      <c r="R832">
        <f>Data!L849</f>
        <v>0</v>
      </c>
      <c r="S832">
        <f>Data!M849</f>
        <v>0</v>
      </c>
      <c r="T832">
        <f>Data!N845</f>
        <v>0</v>
      </c>
      <c r="U832">
        <f>Data!O849</f>
        <v>0</v>
      </c>
      <c r="V832" s="33">
        <f>Data!P847</f>
        <v>0</v>
      </c>
    </row>
    <row r="833" spans="7:22" x14ac:dyDescent="0.25">
      <c r="G833">
        <f>Data!A846</f>
        <v>0</v>
      </c>
      <c r="H833" s="21">
        <f>Data!B846</f>
        <v>0</v>
      </c>
      <c r="I833" s="21">
        <f>Data!C846</f>
        <v>0</v>
      </c>
      <c r="J833">
        <f>Data!D846</f>
        <v>0</v>
      </c>
      <c r="K833">
        <f>Data!E846</f>
        <v>0</v>
      </c>
      <c r="L833">
        <f>Data!F846</f>
        <v>0</v>
      </c>
      <c r="M833">
        <f>Data!G846</f>
        <v>0</v>
      </c>
      <c r="N833">
        <f>Data!H846</f>
        <v>0</v>
      </c>
      <c r="O833">
        <f>Data!I846</f>
        <v>0</v>
      </c>
      <c r="P833" s="21">
        <f>Data!J846</f>
        <v>0</v>
      </c>
      <c r="Q833">
        <f>Data!K850</f>
        <v>0</v>
      </c>
      <c r="R833">
        <f>Data!L850</f>
        <v>0</v>
      </c>
      <c r="S833">
        <f>Data!M850</f>
        <v>0</v>
      </c>
      <c r="T833">
        <f>Data!N846</f>
        <v>0</v>
      </c>
      <c r="U833">
        <f>Data!O850</f>
        <v>0</v>
      </c>
      <c r="V833" s="33">
        <f>Data!P848</f>
        <v>0</v>
      </c>
    </row>
    <row r="834" spans="7:22" x14ac:dyDescent="0.25">
      <c r="G834">
        <f>Data!A847</f>
        <v>0</v>
      </c>
      <c r="H834" s="21">
        <f>Data!B847</f>
        <v>0</v>
      </c>
      <c r="I834" s="21">
        <f>Data!C847</f>
        <v>0</v>
      </c>
      <c r="J834">
        <f>Data!D847</f>
        <v>0</v>
      </c>
      <c r="K834">
        <f>Data!E847</f>
        <v>0</v>
      </c>
      <c r="L834">
        <f>Data!F847</f>
        <v>0</v>
      </c>
      <c r="M834">
        <f>Data!G847</f>
        <v>0</v>
      </c>
      <c r="N834">
        <f>Data!H847</f>
        <v>0</v>
      </c>
      <c r="O834">
        <f>Data!I847</f>
        <v>0</v>
      </c>
      <c r="P834" s="21">
        <f>Data!J847</f>
        <v>0</v>
      </c>
      <c r="Q834">
        <f>Data!K851</f>
        <v>0</v>
      </c>
      <c r="R834">
        <f>Data!L851</f>
        <v>0</v>
      </c>
      <c r="S834">
        <f>Data!M851</f>
        <v>0</v>
      </c>
      <c r="T834">
        <f>Data!N847</f>
        <v>0</v>
      </c>
      <c r="U834">
        <f>Data!O851</f>
        <v>0</v>
      </c>
      <c r="V834" s="33">
        <f>Data!P849</f>
        <v>0</v>
      </c>
    </row>
    <row r="835" spans="7:22" x14ac:dyDescent="0.25">
      <c r="G835">
        <f>Data!A848</f>
        <v>0</v>
      </c>
      <c r="H835" s="21">
        <f>Data!B848</f>
        <v>0</v>
      </c>
      <c r="I835" s="21">
        <f>Data!C848</f>
        <v>0</v>
      </c>
      <c r="J835">
        <f>Data!D848</f>
        <v>0</v>
      </c>
      <c r="K835">
        <f>Data!E848</f>
        <v>0</v>
      </c>
      <c r="L835">
        <f>Data!F848</f>
        <v>0</v>
      </c>
      <c r="M835">
        <f>Data!G848</f>
        <v>0</v>
      </c>
      <c r="N835">
        <f>Data!H848</f>
        <v>0</v>
      </c>
      <c r="O835">
        <f>Data!I848</f>
        <v>0</v>
      </c>
      <c r="P835" s="21">
        <f>Data!J848</f>
        <v>0</v>
      </c>
      <c r="Q835">
        <f>Data!K852</f>
        <v>0</v>
      </c>
      <c r="R835">
        <f>Data!L852</f>
        <v>0</v>
      </c>
      <c r="S835">
        <f>Data!M852</f>
        <v>0</v>
      </c>
      <c r="T835">
        <f>Data!N848</f>
        <v>0</v>
      </c>
      <c r="U835">
        <f>Data!O852</f>
        <v>0</v>
      </c>
      <c r="V835" s="33">
        <f>Data!P850</f>
        <v>0</v>
      </c>
    </row>
    <row r="836" spans="7:22" x14ac:dyDescent="0.25">
      <c r="G836">
        <f>Data!A849</f>
        <v>0</v>
      </c>
      <c r="H836" s="21">
        <f>Data!B849</f>
        <v>0</v>
      </c>
      <c r="I836" s="21">
        <f>Data!C849</f>
        <v>0</v>
      </c>
      <c r="J836">
        <f>Data!D849</f>
        <v>0</v>
      </c>
      <c r="K836">
        <f>Data!E849</f>
        <v>0</v>
      </c>
      <c r="L836">
        <f>Data!F849</f>
        <v>0</v>
      </c>
      <c r="M836">
        <f>Data!G849</f>
        <v>0</v>
      </c>
      <c r="N836">
        <f>Data!H849</f>
        <v>0</v>
      </c>
      <c r="O836">
        <f>Data!I849</f>
        <v>0</v>
      </c>
      <c r="P836" s="21">
        <f>Data!J849</f>
        <v>0</v>
      </c>
      <c r="Q836">
        <f>Data!K853</f>
        <v>0</v>
      </c>
      <c r="R836">
        <f>Data!L853</f>
        <v>0</v>
      </c>
      <c r="S836">
        <f>Data!M853</f>
        <v>0</v>
      </c>
      <c r="T836">
        <f>Data!N849</f>
        <v>0</v>
      </c>
      <c r="U836">
        <f>Data!O853</f>
        <v>0</v>
      </c>
      <c r="V836" s="33">
        <f>Data!P851</f>
        <v>0</v>
      </c>
    </row>
    <row r="837" spans="7:22" x14ac:dyDescent="0.25">
      <c r="G837">
        <f>Data!A850</f>
        <v>0</v>
      </c>
      <c r="H837" s="21">
        <f>Data!B850</f>
        <v>0</v>
      </c>
      <c r="I837" s="21">
        <f>Data!C850</f>
        <v>0</v>
      </c>
      <c r="J837">
        <f>Data!D850</f>
        <v>0</v>
      </c>
      <c r="K837">
        <f>Data!E850</f>
        <v>0</v>
      </c>
      <c r="L837">
        <f>Data!F850</f>
        <v>0</v>
      </c>
      <c r="M837">
        <f>Data!G850</f>
        <v>0</v>
      </c>
      <c r="N837">
        <f>Data!H850</f>
        <v>0</v>
      </c>
      <c r="O837">
        <f>Data!I850</f>
        <v>0</v>
      </c>
      <c r="P837" s="21">
        <f>Data!J850</f>
        <v>0</v>
      </c>
      <c r="Q837">
        <f>Data!K854</f>
        <v>0</v>
      </c>
      <c r="R837">
        <f>Data!L854</f>
        <v>0</v>
      </c>
      <c r="S837">
        <f>Data!M854</f>
        <v>0</v>
      </c>
      <c r="T837">
        <f>Data!N850</f>
        <v>0</v>
      </c>
      <c r="U837">
        <f>Data!O854</f>
        <v>0</v>
      </c>
      <c r="V837" s="33">
        <f>Data!P852</f>
        <v>0</v>
      </c>
    </row>
    <row r="838" spans="7:22" x14ac:dyDescent="0.25">
      <c r="G838">
        <f>Data!A851</f>
        <v>0</v>
      </c>
      <c r="H838" s="21">
        <f>Data!B851</f>
        <v>0</v>
      </c>
      <c r="I838" s="21">
        <f>Data!C851</f>
        <v>0</v>
      </c>
      <c r="J838">
        <f>Data!D851</f>
        <v>0</v>
      </c>
      <c r="K838">
        <f>Data!E851</f>
        <v>0</v>
      </c>
      <c r="L838">
        <f>Data!F851</f>
        <v>0</v>
      </c>
      <c r="M838">
        <f>Data!G851</f>
        <v>0</v>
      </c>
      <c r="N838">
        <f>Data!H851</f>
        <v>0</v>
      </c>
      <c r="O838">
        <f>Data!I851</f>
        <v>0</v>
      </c>
      <c r="P838" s="21">
        <f>Data!J851</f>
        <v>0</v>
      </c>
      <c r="Q838">
        <f>Data!K855</f>
        <v>0</v>
      </c>
      <c r="R838">
        <f>Data!L855</f>
        <v>0</v>
      </c>
      <c r="S838">
        <f>Data!M855</f>
        <v>0</v>
      </c>
      <c r="T838">
        <f>Data!N851</f>
        <v>0</v>
      </c>
      <c r="U838">
        <f>Data!O855</f>
        <v>0</v>
      </c>
      <c r="V838" s="33">
        <f>Data!P853</f>
        <v>0</v>
      </c>
    </row>
    <row r="839" spans="7:22" x14ac:dyDescent="0.25">
      <c r="G839">
        <f>Data!A852</f>
        <v>0</v>
      </c>
      <c r="H839" s="21">
        <f>Data!B852</f>
        <v>0</v>
      </c>
      <c r="I839" s="21">
        <f>Data!C852</f>
        <v>0</v>
      </c>
      <c r="J839">
        <f>Data!D852</f>
        <v>0</v>
      </c>
      <c r="K839">
        <f>Data!E852</f>
        <v>0</v>
      </c>
      <c r="L839">
        <f>Data!F852</f>
        <v>0</v>
      </c>
      <c r="M839">
        <f>Data!G852</f>
        <v>0</v>
      </c>
      <c r="N839">
        <f>Data!H852</f>
        <v>0</v>
      </c>
      <c r="O839">
        <f>Data!I852</f>
        <v>0</v>
      </c>
      <c r="P839" s="21">
        <f>Data!J852</f>
        <v>0</v>
      </c>
      <c r="Q839">
        <f>Data!K856</f>
        <v>0</v>
      </c>
      <c r="R839">
        <f>Data!L856</f>
        <v>0</v>
      </c>
      <c r="S839">
        <f>Data!M856</f>
        <v>0</v>
      </c>
      <c r="T839">
        <f>Data!N852</f>
        <v>0</v>
      </c>
      <c r="U839">
        <f>Data!O856</f>
        <v>0</v>
      </c>
      <c r="V839" s="33">
        <f>Data!P854</f>
        <v>0</v>
      </c>
    </row>
    <row r="840" spans="7:22" x14ac:dyDescent="0.25">
      <c r="G840">
        <f>Data!A853</f>
        <v>0</v>
      </c>
      <c r="H840" s="21">
        <f>Data!B853</f>
        <v>0</v>
      </c>
      <c r="I840" s="21">
        <f>Data!C853</f>
        <v>0</v>
      </c>
      <c r="J840">
        <f>Data!D853</f>
        <v>0</v>
      </c>
      <c r="K840">
        <f>Data!E853</f>
        <v>0</v>
      </c>
      <c r="L840">
        <f>Data!F853</f>
        <v>0</v>
      </c>
      <c r="M840">
        <f>Data!G853</f>
        <v>0</v>
      </c>
      <c r="N840">
        <f>Data!H853</f>
        <v>0</v>
      </c>
      <c r="O840">
        <f>Data!I853</f>
        <v>0</v>
      </c>
      <c r="P840" s="21">
        <f>Data!J853</f>
        <v>0</v>
      </c>
      <c r="Q840">
        <f>Data!K857</f>
        <v>0</v>
      </c>
      <c r="R840">
        <f>Data!L857</f>
        <v>0</v>
      </c>
      <c r="S840">
        <f>Data!M857</f>
        <v>0</v>
      </c>
      <c r="T840">
        <f>Data!N853</f>
        <v>0</v>
      </c>
      <c r="U840">
        <f>Data!O857</f>
        <v>0</v>
      </c>
      <c r="V840" s="33">
        <f>Data!P855</f>
        <v>0</v>
      </c>
    </row>
    <row r="841" spans="7:22" x14ac:dyDescent="0.25">
      <c r="G841">
        <f>Data!A854</f>
        <v>0</v>
      </c>
      <c r="H841" s="21">
        <f>Data!B854</f>
        <v>0</v>
      </c>
      <c r="I841" s="21">
        <f>Data!C854</f>
        <v>0</v>
      </c>
      <c r="J841">
        <f>Data!D854</f>
        <v>0</v>
      </c>
      <c r="K841">
        <f>Data!E854</f>
        <v>0</v>
      </c>
      <c r="L841">
        <f>Data!F854</f>
        <v>0</v>
      </c>
      <c r="M841">
        <f>Data!G854</f>
        <v>0</v>
      </c>
      <c r="N841">
        <f>Data!H854</f>
        <v>0</v>
      </c>
      <c r="O841">
        <f>Data!I854</f>
        <v>0</v>
      </c>
      <c r="P841" s="21">
        <f>Data!J854</f>
        <v>0</v>
      </c>
      <c r="Q841">
        <f>Data!K858</f>
        <v>0</v>
      </c>
      <c r="R841">
        <f>Data!L858</f>
        <v>0</v>
      </c>
      <c r="S841">
        <f>Data!M858</f>
        <v>0</v>
      </c>
      <c r="T841">
        <f>Data!N854</f>
        <v>0</v>
      </c>
      <c r="U841">
        <f>Data!O858</f>
        <v>0</v>
      </c>
      <c r="V841" s="33">
        <f>Data!P856</f>
        <v>0</v>
      </c>
    </row>
    <row r="842" spans="7:22" x14ac:dyDescent="0.25">
      <c r="G842">
        <f>Data!A855</f>
        <v>0</v>
      </c>
      <c r="H842" s="21">
        <f>Data!B855</f>
        <v>0</v>
      </c>
      <c r="I842" s="21">
        <f>Data!C855</f>
        <v>0</v>
      </c>
      <c r="J842">
        <f>Data!D855</f>
        <v>0</v>
      </c>
      <c r="K842">
        <f>Data!E855</f>
        <v>0</v>
      </c>
      <c r="L842">
        <f>Data!F855</f>
        <v>0</v>
      </c>
      <c r="M842">
        <f>Data!G855</f>
        <v>0</v>
      </c>
      <c r="N842">
        <f>Data!H855</f>
        <v>0</v>
      </c>
      <c r="O842">
        <f>Data!I855</f>
        <v>0</v>
      </c>
      <c r="P842" s="21">
        <f>Data!J855</f>
        <v>0</v>
      </c>
      <c r="Q842">
        <f>Data!K859</f>
        <v>0</v>
      </c>
      <c r="R842">
        <f>Data!L859</f>
        <v>0</v>
      </c>
      <c r="S842">
        <f>Data!M859</f>
        <v>0</v>
      </c>
      <c r="T842">
        <f>Data!N855</f>
        <v>0</v>
      </c>
      <c r="U842">
        <f>Data!O859</f>
        <v>0</v>
      </c>
      <c r="V842" s="33">
        <f>Data!P857</f>
        <v>0</v>
      </c>
    </row>
    <row r="843" spans="7:22" x14ac:dyDescent="0.25">
      <c r="G843">
        <f>Data!A856</f>
        <v>0</v>
      </c>
      <c r="H843" s="21">
        <f>Data!B856</f>
        <v>0</v>
      </c>
      <c r="I843" s="21">
        <f>Data!C856</f>
        <v>0</v>
      </c>
      <c r="J843">
        <f>Data!D856</f>
        <v>0</v>
      </c>
      <c r="K843">
        <f>Data!E856</f>
        <v>0</v>
      </c>
      <c r="L843">
        <f>Data!F856</f>
        <v>0</v>
      </c>
      <c r="M843">
        <f>Data!G856</f>
        <v>0</v>
      </c>
      <c r="N843">
        <f>Data!H856</f>
        <v>0</v>
      </c>
      <c r="O843">
        <f>Data!I856</f>
        <v>0</v>
      </c>
      <c r="P843" s="21">
        <f>Data!J856</f>
        <v>0</v>
      </c>
      <c r="Q843">
        <f>Data!K860</f>
        <v>0</v>
      </c>
      <c r="R843">
        <f>Data!L860</f>
        <v>0</v>
      </c>
      <c r="S843">
        <f>Data!M860</f>
        <v>0</v>
      </c>
      <c r="T843">
        <f>Data!N856</f>
        <v>0</v>
      </c>
      <c r="U843">
        <f>Data!O860</f>
        <v>0</v>
      </c>
      <c r="V843" s="33">
        <f>Data!P858</f>
        <v>0</v>
      </c>
    </row>
    <row r="844" spans="7:22" x14ac:dyDescent="0.25">
      <c r="G844">
        <f>Data!A857</f>
        <v>0</v>
      </c>
      <c r="H844" s="21">
        <f>Data!B857</f>
        <v>0</v>
      </c>
      <c r="I844" s="21">
        <f>Data!C857</f>
        <v>0</v>
      </c>
      <c r="J844">
        <f>Data!D857</f>
        <v>0</v>
      </c>
      <c r="K844">
        <f>Data!E857</f>
        <v>0</v>
      </c>
      <c r="L844">
        <f>Data!F857</f>
        <v>0</v>
      </c>
      <c r="M844">
        <f>Data!G857</f>
        <v>0</v>
      </c>
      <c r="N844">
        <f>Data!H857</f>
        <v>0</v>
      </c>
      <c r="O844">
        <f>Data!I857</f>
        <v>0</v>
      </c>
      <c r="P844" s="21">
        <f>Data!J857</f>
        <v>0</v>
      </c>
      <c r="Q844">
        <f>Data!K861</f>
        <v>0</v>
      </c>
      <c r="R844">
        <f>Data!L861</f>
        <v>0</v>
      </c>
      <c r="S844">
        <f>Data!M861</f>
        <v>0</v>
      </c>
      <c r="T844">
        <f>Data!N857</f>
        <v>0</v>
      </c>
      <c r="U844">
        <f>Data!O861</f>
        <v>0</v>
      </c>
      <c r="V844" s="33">
        <f>Data!P859</f>
        <v>0</v>
      </c>
    </row>
    <row r="845" spans="7:22" x14ac:dyDescent="0.25">
      <c r="G845">
        <f>Data!A858</f>
        <v>0</v>
      </c>
      <c r="H845" s="21">
        <f>Data!B858</f>
        <v>0</v>
      </c>
      <c r="I845" s="21">
        <f>Data!C858</f>
        <v>0</v>
      </c>
      <c r="J845">
        <f>Data!D858</f>
        <v>0</v>
      </c>
      <c r="K845">
        <f>Data!E858</f>
        <v>0</v>
      </c>
      <c r="L845">
        <f>Data!F858</f>
        <v>0</v>
      </c>
      <c r="M845">
        <f>Data!G858</f>
        <v>0</v>
      </c>
      <c r="N845">
        <f>Data!H858</f>
        <v>0</v>
      </c>
      <c r="O845">
        <f>Data!I858</f>
        <v>0</v>
      </c>
      <c r="P845" s="21">
        <f>Data!J858</f>
        <v>0</v>
      </c>
      <c r="Q845">
        <f>Data!K862</f>
        <v>0</v>
      </c>
      <c r="R845">
        <f>Data!L862</f>
        <v>0</v>
      </c>
      <c r="S845">
        <f>Data!M862</f>
        <v>0</v>
      </c>
      <c r="T845">
        <f>Data!N858</f>
        <v>0</v>
      </c>
      <c r="U845">
        <f>Data!O862</f>
        <v>0</v>
      </c>
      <c r="V845" s="33">
        <f>Data!P860</f>
        <v>0</v>
      </c>
    </row>
    <row r="846" spans="7:22" x14ac:dyDescent="0.25">
      <c r="G846">
        <f>Data!A859</f>
        <v>0</v>
      </c>
      <c r="H846" s="21">
        <f>Data!B859</f>
        <v>0</v>
      </c>
      <c r="I846" s="21">
        <f>Data!C859</f>
        <v>0</v>
      </c>
      <c r="J846">
        <f>Data!D859</f>
        <v>0</v>
      </c>
      <c r="K846">
        <f>Data!E859</f>
        <v>0</v>
      </c>
      <c r="L846">
        <f>Data!F859</f>
        <v>0</v>
      </c>
      <c r="M846">
        <f>Data!G859</f>
        <v>0</v>
      </c>
      <c r="N846">
        <f>Data!H859</f>
        <v>0</v>
      </c>
      <c r="O846">
        <f>Data!I859</f>
        <v>0</v>
      </c>
      <c r="P846" s="21">
        <f>Data!J859</f>
        <v>0</v>
      </c>
      <c r="Q846">
        <f>Data!K863</f>
        <v>0</v>
      </c>
      <c r="R846">
        <f>Data!L863</f>
        <v>0</v>
      </c>
      <c r="S846">
        <f>Data!M863</f>
        <v>0</v>
      </c>
      <c r="T846">
        <f>Data!N859</f>
        <v>0</v>
      </c>
      <c r="U846">
        <f>Data!O863</f>
        <v>0</v>
      </c>
      <c r="V846" s="33">
        <f>Data!P861</f>
        <v>0</v>
      </c>
    </row>
    <row r="847" spans="7:22" x14ac:dyDescent="0.25">
      <c r="G847">
        <f>Data!A860</f>
        <v>0</v>
      </c>
      <c r="H847" s="21">
        <f>Data!B860</f>
        <v>0</v>
      </c>
      <c r="I847" s="21">
        <f>Data!C860</f>
        <v>0</v>
      </c>
      <c r="J847">
        <f>Data!D860</f>
        <v>0</v>
      </c>
      <c r="K847">
        <f>Data!E860</f>
        <v>0</v>
      </c>
      <c r="L847">
        <f>Data!F860</f>
        <v>0</v>
      </c>
      <c r="M847">
        <f>Data!G860</f>
        <v>0</v>
      </c>
      <c r="N847">
        <f>Data!H860</f>
        <v>0</v>
      </c>
      <c r="O847">
        <f>Data!I860</f>
        <v>0</v>
      </c>
      <c r="P847" s="21">
        <f>Data!J860</f>
        <v>0</v>
      </c>
      <c r="Q847">
        <f>Data!K864</f>
        <v>0</v>
      </c>
      <c r="R847">
        <f>Data!L864</f>
        <v>0</v>
      </c>
      <c r="S847">
        <f>Data!M864</f>
        <v>0</v>
      </c>
      <c r="T847">
        <f>Data!N860</f>
        <v>0</v>
      </c>
      <c r="U847">
        <f>Data!O864</f>
        <v>0</v>
      </c>
      <c r="V847" s="33">
        <f>Data!P862</f>
        <v>0</v>
      </c>
    </row>
    <row r="848" spans="7:22" x14ac:dyDescent="0.25">
      <c r="G848">
        <f>Data!A861</f>
        <v>0</v>
      </c>
      <c r="H848" s="21">
        <f>Data!B861</f>
        <v>0</v>
      </c>
      <c r="I848" s="21">
        <f>Data!C861</f>
        <v>0</v>
      </c>
      <c r="J848">
        <f>Data!D861</f>
        <v>0</v>
      </c>
      <c r="K848">
        <f>Data!E861</f>
        <v>0</v>
      </c>
      <c r="L848">
        <f>Data!F861</f>
        <v>0</v>
      </c>
      <c r="M848">
        <f>Data!G861</f>
        <v>0</v>
      </c>
      <c r="N848">
        <f>Data!H861</f>
        <v>0</v>
      </c>
      <c r="O848">
        <f>Data!I861</f>
        <v>0</v>
      </c>
      <c r="P848" s="21">
        <f>Data!J861</f>
        <v>0</v>
      </c>
      <c r="Q848">
        <f>Data!K865</f>
        <v>0</v>
      </c>
      <c r="R848">
        <f>Data!L865</f>
        <v>0</v>
      </c>
      <c r="S848">
        <f>Data!M865</f>
        <v>0</v>
      </c>
      <c r="T848">
        <f>Data!N861</f>
        <v>0</v>
      </c>
      <c r="U848">
        <f>Data!O865</f>
        <v>0</v>
      </c>
      <c r="V848" s="33">
        <f>Data!P863</f>
        <v>0</v>
      </c>
    </row>
    <row r="849" spans="7:22" x14ac:dyDescent="0.25">
      <c r="G849">
        <f>Data!A862</f>
        <v>0</v>
      </c>
      <c r="H849" s="21">
        <f>Data!B862</f>
        <v>0</v>
      </c>
      <c r="I849" s="21">
        <f>Data!C862</f>
        <v>0</v>
      </c>
      <c r="J849">
        <f>Data!D862</f>
        <v>0</v>
      </c>
      <c r="K849">
        <f>Data!E862</f>
        <v>0</v>
      </c>
      <c r="L849">
        <f>Data!F862</f>
        <v>0</v>
      </c>
      <c r="M849">
        <f>Data!G862</f>
        <v>0</v>
      </c>
      <c r="N849">
        <f>Data!H862</f>
        <v>0</v>
      </c>
      <c r="O849">
        <f>Data!I862</f>
        <v>0</v>
      </c>
      <c r="P849" s="21">
        <f>Data!J862</f>
        <v>0</v>
      </c>
      <c r="Q849">
        <f>Data!K866</f>
        <v>0</v>
      </c>
      <c r="R849">
        <f>Data!L866</f>
        <v>0</v>
      </c>
      <c r="S849">
        <f>Data!M866</f>
        <v>0</v>
      </c>
      <c r="T849">
        <f>Data!N862</f>
        <v>0</v>
      </c>
      <c r="U849">
        <f>Data!O866</f>
        <v>0</v>
      </c>
      <c r="V849" s="33">
        <f>Data!P864</f>
        <v>0</v>
      </c>
    </row>
    <row r="850" spans="7:22" x14ac:dyDescent="0.25">
      <c r="G850">
        <f>Data!A863</f>
        <v>0</v>
      </c>
      <c r="H850" s="21">
        <f>Data!B863</f>
        <v>0</v>
      </c>
      <c r="I850" s="21">
        <f>Data!C863</f>
        <v>0</v>
      </c>
      <c r="J850">
        <f>Data!D863</f>
        <v>0</v>
      </c>
      <c r="K850">
        <f>Data!E863</f>
        <v>0</v>
      </c>
      <c r="L850">
        <f>Data!F863</f>
        <v>0</v>
      </c>
      <c r="M850">
        <f>Data!G863</f>
        <v>0</v>
      </c>
      <c r="N850">
        <f>Data!H863</f>
        <v>0</v>
      </c>
      <c r="O850">
        <f>Data!I863</f>
        <v>0</v>
      </c>
      <c r="P850" s="21">
        <f>Data!J863</f>
        <v>0</v>
      </c>
      <c r="Q850">
        <f>Data!K867</f>
        <v>0</v>
      </c>
      <c r="R850">
        <f>Data!L867</f>
        <v>0</v>
      </c>
      <c r="S850">
        <f>Data!M867</f>
        <v>0</v>
      </c>
      <c r="T850">
        <f>Data!N863</f>
        <v>0</v>
      </c>
      <c r="U850">
        <f>Data!O867</f>
        <v>0</v>
      </c>
      <c r="V850" s="33">
        <f>Data!P865</f>
        <v>0</v>
      </c>
    </row>
    <row r="851" spans="7:22" x14ac:dyDescent="0.25">
      <c r="G851">
        <f>Data!A864</f>
        <v>0</v>
      </c>
      <c r="H851" s="21">
        <f>Data!B864</f>
        <v>0</v>
      </c>
      <c r="I851" s="21">
        <f>Data!C864</f>
        <v>0</v>
      </c>
      <c r="J851">
        <f>Data!D864</f>
        <v>0</v>
      </c>
      <c r="K851">
        <f>Data!E864</f>
        <v>0</v>
      </c>
      <c r="L851">
        <f>Data!F864</f>
        <v>0</v>
      </c>
      <c r="M851">
        <f>Data!G864</f>
        <v>0</v>
      </c>
      <c r="N851">
        <f>Data!H864</f>
        <v>0</v>
      </c>
      <c r="O851">
        <f>Data!I864</f>
        <v>0</v>
      </c>
      <c r="P851" s="21">
        <f>Data!J864</f>
        <v>0</v>
      </c>
      <c r="Q851">
        <f>Data!K868</f>
        <v>0</v>
      </c>
      <c r="R851">
        <f>Data!L868</f>
        <v>0</v>
      </c>
      <c r="S851">
        <f>Data!M868</f>
        <v>0</v>
      </c>
      <c r="T851">
        <f>Data!N864</f>
        <v>0</v>
      </c>
      <c r="U851">
        <f>Data!O868</f>
        <v>0</v>
      </c>
      <c r="V851" s="33">
        <f>Data!P866</f>
        <v>0</v>
      </c>
    </row>
    <row r="852" spans="7:22" x14ac:dyDescent="0.25">
      <c r="G852">
        <f>Data!A865</f>
        <v>0</v>
      </c>
      <c r="H852" s="21">
        <f>Data!B865</f>
        <v>0</v>
      </c>
      <c r="I852" s="21">
        <f>Data!C865</f>
        <v>0</v>
      </c>
      <c r="J852">
        <f>Data!D865</f>
        <v>0</v>
      </c>
      <c r="K852">
        <f>Data!E865</f>
        <v>0</v>
      </c>
      <c r="L852">
        <f>Data!F865</f>
        <v>0</v>
      </c>
      <c r="M852">
        <f>Data!G865</f>
        <v>0</v>
      </c>
      <c r="N852">
        <f>Data!H865</f>
        <v>0</v>
      </c>
      <c r="O852">
        <f>Data!I865</f>
        <v>0</v>
      </c>
      <c r="P852" s="21">
        <f>Data!J865</f>
        <v>0</v>
      </c>
      <c r="Q852">
        <f>Data!K869</f>
        <v>0</v>
      </c>
      <c r="R852">
        <f>Data!L869</f>
        <v>0</v>
      </c>
      <c r="S852">
        <f>Data!M869</f>
        <v>0</v>
      </c>
      <c r="T852">
        <f>Data!N865</f>
        <v>0</v>
      </c>
      <c r="U852">
        <f>Data!O869</f>
        <v>0</v>
      </c>
      <c r="V852" s="33">
        <f>Data!P867</f>
        <v>0</v>
      </c>
    </row>
    <row r="853" spans="7:22" x14ac:dyDescent="0.25">
      <c r="G853">
        <f>Data!A866</f>
        <v>0</v>
      </c>
      <c r="H853" s="21">
        <f>Data!B866</f>
        <v>0</v>
      </c>
      <c r="I853" s="21">
        <f>Data!C866</f>
        <v>0</v>
      </c>
      <c r="J853">
        <f>Data!D866</f>
        <v>0</v>
      </c>
      <c r="K853">
        <f>Data!E866</f>
        <v>0</v>
      </c>
      <c r="L853">
        <f>Data!F866</f>
        <v>0</v>
      </c>
      <c r="M853">
        <f>Data!G866</f>
        <v>0</v>
      </c>
      <c r="N853">
        <f>Data!H866</f>
        <v>0</v>
      </c>
      <c r="O853">
        <f>Data!I866</f>
        <v>0</v>
      </c>
      <c r="P853" s="21">
        <f>Data!J866</f>
        <v>0</v>
      </c>
      <c r="Q853">
        <f>Data!K870</f>
        <v>0</v>
      </c>
      <c r="R853">
        <f>Data!L870</f>
        <v>0</v>
      </c>
      <c r="S853">
        <f>Data!M870</f>
        <v>0</v>
      </c>
      <c r="T853">
        <f>Data!N866</f>
        <v>0</v>
      </c>
      <c r="U853">
        <f>Data!O870</f>
        <v>0</v>
      </c>
      <c r="V853" s="33">
        <f>Data!P868</f>
        <v>0</v>
      </c>
    </row>
    <row r="854" spans="7:22" x14ac:dyDescent="0.25">
      <c r="G854">
        <f>Data!A867</f>
        <v>0</v>
      </c>
      <c r="H854" s="21">
        <f>Data!B867</f>
        <v>0</v>
      </c>
      <c r="I854" s="21">
        <f>Data!C867</f>
        <v>0</v>
      </c>
      <c r="J854">
        <f>Data!D867</f>
        <v>0</v>
      </c>
      <c r="K854">
        <f>Data!E867</f>
        <v>0</v>
      </c>
      <c r="L854">
        <f>Data!F867</f>
        <v>0</v>
      </c>
      <c r="M854">
        <f>Data!G867</f>
        <v>0</v>
      </c>
      <c r="N854">
        <f>Data!H867</f>
        <v>0</v>
      </c>
      <c r="O854">
        <f>Data!I867</f>
        <v>0</v>
      </c>
      <c r="P854" s="21">
        <f>Data!J867</f>
        <v>0</v>
      </c>
      <c r="Q854">
        <f>Data!K871</f>
        <v>0</v>
      </c>
      <c r="R854">
        <f>Data!L871</f>
        <v>0</v>
      </c>
      <c r="S854">
        <f>Data!M871</f>
        <v>0</v>
      </c>
      <c r="T854">
        <f>Data!N867</f>
        <v>0</v>
      </c>
      <c r="U854">
        <f>Data!O871</f>
        <v>0</v>
      </c>
      <c r="V854" s="33">
        <f>Data!P869</f>
        <v>0</v>
      </c>
    </row>
    <row r="855" spans="7:22" x14ac:dyDescent="0.25">
      <c r="G855">
        <f>Data!A868</f>
        <v>0</v>
      </c>
      <c r="H855" s="21">
        <f>Data!B868</f>
        <v>0</v>
      </c>
      <c r="I855" s="21">
        <f>Data!C868</f>
        <v>0</v>
      </c>
      <c r="J855">
        <f>Data!D868</f>
        <v>0</v>
      </c>
      <c r="K855">
        <f>Data!E868</f>
        <v>0</v>
      </c>
      <c r="L855">
        <f>Data!F868</f>
        <v>0</v>
      </c>
      <c r="M855">
        <f>Data!G868</f>
        <v>0</v>
      </c>
      <c r="N855">
        <f>Data!H868</f>
        <v>0</v>
      </c>
      <c r="O855">
        <f>Data!I868</f>
        <v>0</v>
      </c>
      <c r="P855" s="21">
        <f>Data!J868</f>
        <v>0</v>
      </c>
      <c r="Q855">
        <f>Data!K872</f>
        <v>0</v>
      </c>
      <c r="R855">
        <f>Data!L872</f>
        <v>0</v>
      </c>
      <c r="S855">
        <f>Data!M872</f>
        <v>0</v>
      </c>
      <c r="T855">
        <f>Data!N868</f>
        <v>0</v>
      </c>
      <c r="U855">
        <f>Data!O872</f>
        <v>0</v>
      </c>
      <c r="V855" s="33">
        <f>Data!P870</f>
        <v>0</v>
      </c>
    </row>
    <row r="856" spans="7:22" x14ac:dyDescent="0.25">
      <c r="G856">
        <f>Data!A869</f>
        <v>0</v>
      </c>
      <c r="H856" s="21">
        <f>Data!B869</f>
        <v>0</v>
      </c>
      <c r="I856" s="21">
        <f>Data!C869</f>
        <v>0</v>
      </c>
      <c r="J856">
        <f>Data!D869</f>
        <v>0</v>
      </c>
      <c r="K856">
        <f>Data!E869</f>
        <v>0</v>
      </c>
      <c r="L856">
        <f>Data!F869</f>
        <v>0</v>
      </c>
      <c r="M856">
        <f>Data!G869</f>
        <v>0</v>
      </c>
      <c r="N856">
        <f>Data!H869</f>
        <v>0</v>
      </c>
      <c r="O856">
        <f>Data!I869</f>
        <v>0</v>
      </c>
      <c r="P856" s="21">
        <f>Data!J869</f>
        <v>0</v>
      </c>
      <c r="Q856">
        <f>Data!K873</f>
        <v>0</v>
      </c>
      <c r="R856">
        <f>Data!L873</f>
        <v>0</v>
      </c>
      <c r="S856">
        <f>Data!M873</f>
        <v>0</v>
      </c>
      <c r="T856">
        <f>Data!N869</f>
        <v>0</v>
      </c>
      <c r="U856">
        <f>Data!O873</f>
        <v>0</v>
      </c>
      <c r="V856" s="33">
        <f>Data!P871</f>
        <v>0</v>
      </c>
    </row>
    <row r="857" spans="7:22" x14ac:dyDescent="0.25">
      <c r="G857">
        <f>Data!A870</f>
        <v>0</v>
      </c>
      <c r="H857" s="21">
        <f>Data!B870</f>
        <v>0</v>
      </c>
      <c r="I857" s="21">
        <f>Data!C870</f>
        <v>0</v>
      </c>
      <c r="J857">
        <f>Data!D870</f>
        <v>0</v>
      </c>
      <c r="K857">
        <f>Data!E870</f>
        <v>0</v>
      </c>
      <c r="L857">
        <f>Data!F870</f>
        <v>0</v>
      </c>
      <c r="M857">
        <f>Data!G870</f>
        <v>0</v>
      </c>
      <c r="N857">
        <f>Data!H870</f>
        <v>0</v>
      </c>
      <c r="O857">
        <f>Data!I870</f>
        <v>0</v>
      </c>
      <c r="P857" s="21">
        <f>Data!J870</f>
        <v>0</v>
      </c>
      <c r="Q857">
        <f>Data!K874</f>
        <v>0</v>
      </c>
      <c r="R857">
        <f>Data!L874</f>
        <v>0</v>
      </c>
      <c r="S857">
        <f>Data!M874</f>
        <v>0</v>
      </c>
      <c r="T857">
        <f>Data!N870</f>
        <v>0</v>
      </c>
      <c r="U857">
        <f>Data!O874</f>
        <v>0</v>
      </c>
      <c r="V857" s="33">
        <f>Data!P872</f>
        <v>0</v>
      </c>
    </row>
    <row r="858" spans="7:22" x14ac:dyDescent="0.25">
      <c r="G858">
        <f>Data!A871</f>
        <v>0</v>
      </c>
      <c r="H858" s="21">
        <f>Data!B871</f>
        <v>0</v>
      </c>
      <c r="I858" s="21">
        <f>Data!C871</f>
        <v>0</v>
      </c>
      <c r="J858">
        <f>Data!D871</f>
        <v>0</v>
      </c>
      <c r="K858">
        <f>Data!E871</f>
        <v>0</v>
      </c>
      <c r="L858">
        <f>Data!F871</f>
        <v>0</v>
      </c>
      <c r="M858">
        <f>Data!G871</f>
        <v>0</v>
      </c>
      <c r="N858">
        <f>Data!H871</f>
        <v>0</v>
      </c>
      <c r="O858">
        <f>Data!I871</f>
        <v>0</v>
      </c>
      <c r="P858" s="21">
        <f>Data!J871</f>
        <v>0</v>
      </c>
      <c r="Q858">
        <f>Data!K875</f>
        <v>0</v>
      </c>
      <c r="R858">
        <f>Data!L875</f>
        <v>0</v>
      </c>
      <c r="S858">
        <f>Data!M875</f>
        <v>0</v>
      </c>
      <c r="T858">
        <f>Data!N871</f>
        <v>0</v>
      </c>
      <c r="U858">
        <f>Data!O875</f>
        <v>0</v>
      </c>
      <c r="V858" s="33">
        <f>Data!P873</f>
        <v>0</v>
      </c>
    </row>
    <row r="859" spans="7:22" x14ac:dyDescent="0.25">
      <c r="G859">
        <f>Data!A872</f>
        <v>0</v>
      </c>
      <c r="H859" s="21">
        <f>Data!B872</f>
        <v>0</v>
      </c>
      <c r="I859" s="21">
        <f>Data!C872</f>
        <v>0</v>
      </c>
      <c r="J859">
        <f>Data!D872</f>
        <v>0</v>
      </c>
      <c r="K859">
        <f>Data!E872</f>
        <v>0</v>
      </c>
      <c r="L859">
        <f>Data!F872</f>
        <v>0</v>
      </c>
      <c r="M859">
        <f>Data!G872</f>
        <v>0</v>
      </c>
      <c r="N859">
        <f>Data!H872</f>
        <v>0</v>
      </c>
      <c r="O859">
        <f>Data!I872</f>
        <v>0</v>
      </c>
      <c r="P859" s="21">
        <f>Data!J872</f>
        <v>0</v>
      </c>
      <c r="Q859">
        <f>Data!K876</f>
        <v>0</v>
      </c>
      <c r="R859">
        <f>Data!L876</f>
        <v>0</v>
      </c>
      <c r="S859">
        <f>Data!M876</f>
        <v>0</v>
      </c>
      <c r="T859">
        <f>Data!N872</f>
        <v>0</v>
      </c>
      <c r="U859">
        <f>Data!O876</f>
        <v>0</v>
      </c>
      <c r="V859" s="33">
        <f>Data!P874</f>
        <v>0</v>
      </c>
    </row>
    <row r="860" spans="7:22" x14ac:dyDescent="0.25">
      <c r="G860">
        <f>Data!A873</f>
        <v>0</v>
      </c>
      <c r="H860" s="21">
        <f>Data!B873</f>
        <v>0</v>
      </c>
      <c r="I860" s="21">
        <f>Data!C873</f>
        <v>0</v>
      </c>
      <c r="J860">
        <f>Data!D873</f>
        <v>0</v>
      </c>
      <c r="K860">
        <f>Data!E873</f>
        <v>0</v>
      </c>
      <c r="L860">
        <f>Data!F873</f>
        <v>0</v>
      </c>
      <c r="M860">
        <f>Data!G873</f>
        <v>0</v>
      </c>
      <c r="N860">
        <f>Data!H873</f>
        <v>0</v>
      </c>
      <c r="O860">
        <f>Data!I873</f>
        <v>0</v>
      </c>
      <c r="P860" s="21">
        <f>Data!J873</f>
        <v>0</v>
      </c>
      <c r="Q860">
        <f>Data!K877</f>
        <v>0</v>
      </c>
      <c r="R860">
        <f>Data!L877</f>
        <v>0</v>
      </c>
      <c r="S860">
        <f>Data!M877</f>
        <v>0</v>
      </c>
      <c r="T860">
        <f>Data!N873</f>
        <v>0</v>
      </c>
      <c r="U860">
        <f>Data!O877</f>
        <v>0</v>
      </c>
      <c r="V860" s="33">
        <f>Data!P875</f>
        <v>0</v>
      </c>
    </row>
    <row r="861" spans="7:22" x14ac:dyDescent="0.25">
      <c r="G861">
        <f>Data!A874</f>
        <v>0</v>
      </c>
      <c r="H861" s="21">
        <f>Data!B874</f>
        <v>0</v>
      </c>
      <c r="I861" s="21">
        <f>Data!C874</f>
        <v>0</v>
      </c>
      <c r="J861">
        <f>Data!D874</f>
        <v>0</v>
      </c>
      <c r="K861">
        <f>Data!E874</f>
        <v>0</v>
      </c>
      <c r="L861">
        <f>Data!F874</f>
        <v>0</v>
      </c>
      <c r="M861">
        <f>Data!G874</f>
        <v>0</v>
      </c>
      <c r="N861">
        <f>Data!H874</f>
        <v>0</v>
      </c>
      <c r="O861">
        <f>Data!I874</f>
        <v>0</v>
      </c>
      <c r="P861" s="21">
        <f>Data!J874</f>
        <v>0</v>
      </c>
      <c r="Q861">
        <f>Data!K878</f>
        <v>0</v>
      </c>
      <c r="R861">
        <f>Data!L878</f>
        <v>0</v>
      </c>
      <c r="S861">
        <f>Data!M878</f>
        <v>0</v>
      </c>
      <c r="T861">
        <f>Data!N874</f>
        <v>0</v>
      </c>
      <c r="U861">
        <f>Data!O878</f>
        <v>0</v>
      </c>
      <c r="V861" s="33">
        <f>Data!P876</f>
        <v>0</v>
      </c>
    </row>
    <row r="862" spans="7:22" x14ac:dyDescent="0.25">
      <c r="G862">
        <f>Data!A875</f>
        <v>0</v>
      </c>
      <c r="H862" s="21">
        <f>Data!B875</f>
        <v>0</v>
      </c>
      <c r="I862" s="21">
        <f>Data!C875</f>
        <v>0</v>
      </c>
      <c r="J862">
        <f>Data!D875</f>
        <v>0</v>
      </c>
      <c r="K862">
        <f>Data!E875</f>
        <v>0</v>
      </c>
      <c r="L862">
        <f>Data!F875</f>
        <v>0</v>
      </c>
      <c r="M862">
        <f>Data!G875</f>
        <v>0</v>
      </c>
      <c r="N862">
        <f>Data!H875</f>
        <v>0</v>
      </c>
      <c r="O862">
        <f>Data!I875</f>
        <v>0</v>
      </c>
      <c r="P862" s="21">
        <f>Data!J875</f>
        <v>0</v>
      </c>
      <c r="Q862">
        <f>Data!K879</f>
        <v>0</v>
      </c>
      <c r="R862">
        <f>Data!L879</f>
        <v>0</v>
      </c>
      <c r="S862">
        <f>Data!M879</f>
        <v>0</v>
      </c>
      <c r="T862">
        <f>Data!N875</f>
        <v>0</v>
      </c>
      <c r="U862">
        <f>Data!O879</f>
        <v>0</v>
      </c>
      <c r="V862" s="33">
        <f>Data!P877</f>
        <v>0</v>
      </c>
    </row>
    <row r="863" spans="7:22" x14ac:dyDescent="0.25">
      <c r="G863">
        <f>Data!A876</f>
        <v>0</v>
      </c>
      <c r="H863" s="21">
        <f>Data!B876</f>
        <v>0</v>
      </c>
      <c r="I863" s="21">
        <f>Data!C876</f>
        <v>0</v>
      </c>
      <c r="J863">
        <f>Data!D876</f>
        <v>0</v>
      </c>
      <c r="K863">
        <f>Data!E876</f>
        <v>0</v>
      </c>
      <c r="L863">
        <f>Data!F876</f>
        <v>0</v>
      </c>
      <c r="M863">
        <f>Data!G876</f>
        <v>0</v>
      </c>
      <c r="N863">
        <f>Data!H876</f>
        <v>0</v>
      </c>
      <c r="O863">
        <f>Data!I876</f>
        <v>0</v>
      </c>
      <c r="P863" s="21">
        <f>Data!J876</f>
        <v>0</v>
      </c>
      <c r="Q863">
        <f>Data!K880</f>
        <v>0</v>
      </c>
      <c r="R863">
        <f>Data!L880</f>
        <v>0</v>
      </c>
      <c r="S863">
        <f>Data!M880</f>
        <v>0</v>
      </c>
      <c r="T863">
        <f>Data!N876</f>
        <v>0</v>
      </c>
      <c r="U863">
        <f>Data!O880</f>
        <v>0</v>
      </c>
      <c r="V863" s="33">
        <f>Data!P878</f>
        <v>0</v>
      </c>
    </row>
    <row r="864" spans="7:22" x14ac:dyDescent="0.25">
      <c r="G864">
        <f>Data!A877</f>
        <v>0</v>
      </c>
      <c r="H864" s="21">
        <f>Data!B877</f>
        <v>0</v>
      </c>
      <c r="I864" s="21">
        <f>Data!C877</f>
        <v>0</v>
      </c>
      <c r="J864">
        <f>Data!D877</f>
        <v>0</v>
      </c>
      <c r="K864">
        <f>Data!E877</f>
        <v>0</v>
      </c>
      <c r="L864">
        <f>Data!F877</f>
        <v>0</v>
      </c>
      <c r="M864">
        <f>Data!G877</f>
        <v>0</v>
      </c>
      <c r="N864">
        <f>Data!H877</f>
        <v>0</v>
      </c>
      <c r="O864">
        <f>Data!I877</f>
        <v>0</v>
      </c>
      <c r="P864" s="21">
        <f>Data!J877</f>
        <v>0</v>
      </c>
      <c r="Q864">
        <f>Data!K881</f>
        <v>0</v>
      </c>
      <c r="R864">
        <f>Data!L881</f>
        <v>0</v>
      </c>
      <c r="S864">
        <f>Data!M881</f>
        <v>0</v>
      </c>
      <c r="T864">
        <f>Data!N877</f>
        <v>0</v>
      </c>
      <c r="U864">
        <f>Data!O881</f>
        <v>0</v>
      </c>
      <c r="V864" s="33">
        <f>Data!P879</f>
        <v>0</v>
      </c>
    </row>
    <row r="865" spans="7:22" x14ac:dyDescent="0.25">
      <c r="G865">
        <f>Data!A878</f>
        <v>0</v>
      </c>
      <c r="H865" s="21">
        <f>Data!B878</f>
        <v>0</v>
      </c>
      <c r="I865" s="21">
        <f>Data!C878</f>
        <v>0</v>
      </c>
      <c r="J865">
        <f>Data!D878</f>
        <v>0</v>
      </c>
      <c r="K865">
        <f>Data!E878</f>
        <v>0</v>
      </c>
      <c r="L865">
        <f>Data!F878</f>
        <v>0</v>
      </c>
      <c r="M865">
        <f>Data!G878</f>
        <v>0</v>
      </c>
      <c r="N865">
        <f>Data!H878</f>
        <v>0</v>
      </c>
      <c r="O865">
        <f>Data!I878</f>
        <v>0</v>
      </c>
      <c r="P865" s="21">
        <f>Data!J878</f>
        <v>0</v>
      </c>
      <c r="Q865">
        <f>Data!K882</f>
        <v>0</v>
      </c>
      <c r="R865">
        <f>Data!L882</f>
        <v>0</v>
      </c>
      <c r="S865">
        <f>Data!M882</f>
        <v>0</v>
      </c>
      <c r="T865">
        <f>Data!N878</f>
        <v>0</v>
      </c>
      <c r="U865">
        <f>Data!O882</f>
        <v>0</v>
      </c>
      <c r="V865" s="33">
        <f>Data!P880</f>
        <v>0</v>
      </c>
    </row>
    <row r="866" spans="7:22" x14ac:dyDescent="0.25">
      <c r="G866">
        <f>Data!A879</f>
        <v>0</v>
      </c>
      <c r="H866" s="21">
        <f>Data!B879</f>
        <v>0</v>
      </c>
      <c r="I866" s="21">
        <f>Data!C879</f>
        <v>0</v>
      </c>
      <c r="J866">
        <f>Data!D879</f>
        <v>0</v>
      </c>
      <c r="K866">
        <f>Data!E879</f>
        <v>0</v>
      </c>
      <c r="L866">
        <f>Data!F879</f>
        <v>0</v>
      </c>
      <c r="M866">
        <f>Data!G879</f>
        <v>0</v>
      </c>
      <c r="N866">
        <f>Data!H879</f>
        <v>0</v>
      </c>
      <c r="O866">
        <f>Data!I879</f>
        <v>0</v>
      </c>
      <c r="P866" s="21">
        <f>Data!J879</f>
        <v>0</v>
      </c>
      <c r="Q866">
        <f>Data!K883</f>
        <v>0</v>
      </c>
      <c r="R866">
        <f>Data!L883</f>
        <v>0</v>
      </c>
      <c r="S866">
        <f>Data!M883</f>
        <v>0</v>
      </c>
      <c r="T866">
        <f>Data!N879</f>
        <v>0</v>
      </c>
      <c r="U866">
        <f>Data!O883</f>
        <v>0</v>
      </c>
      <c r="V866" s="33">
        <f>Data!P881</f>
        <v>0</v>
      </c>
    </row>
    <row r="867" spans="7:22" x14ac:dyDescent="0.25">
      <c r="G867">
        <f>Data!A880</f>
        <v>0</v>
      </c>
      <c r="H867" s="21">
        <f>Data!B880</f>
        <v>0</v>
      </c>
      <c r="I867" s="21">
        <f>Data!C880</f>
        <v>0</v>
      </c>
      <c r="J867">
        <f>Data!D880</f>
        <v>0</v>
      </c>
      <c r="K867">
        <f>Data!E880</f>
        <v>0</v>
      </c>
      <c r="L867">
        <f>Data!F880</f>
        <v>0</v>
      </c>
      <c r="M867">
        <f>Data!G880</f>
        <v>0</v>
      </c>
      <c r="N867">
        <f>Data!H880</f>
        <v>0</v>
      </c>
      <c r="O867">
        <f>Data!I880</f>
        <v>0</v>
      </c>
      <c r="P867" s="21">
        <f>Data!J880</f>
        <v>0</v>
      </c>
      <c r="Q867">
        <f>Data!K884</f>
        <v>0</v>
      </c>
      <c r="R867">
        <f>Data!L884</f>
        <v>0</v>
      </c>
      <c r="S867">
        <f>Data!M884</f>
        <v>0</v>
      </c>
      <c r="T867">
        <f>Data!N880</f>
        <v>0</v>
      </c>
      <c r="U867">
        <f>Data!O884</f>
        <v>0</v>
      </c>
      <c r="V867" s="33">
        <f>Data!P882</f>
        <v>0</v>
      </c>
    </row>
    <row r="868" spans="7:22" x14ac:dyDescent="0.25">
      <c r="G868">
        <f>Data!A881</f>
        <v>0</v>
      </c>
      <c r="H868" s="21">
        <f>Data!B881</f>
        <v>0</v>
      </c>
      <c r="I868" s="21">
        <f>Data!C881</f>
        <v>0</v>
      </c>
      <c r="J868">
        <f>Data!D881</f>
        <v>0</v>
      </c>
      <c r="K868">
        <f>Data!E881</f>
        <v>0</v>
      </c>
      <c r="L868">
        <f>Data!F881</f>
        <v>0</v>
      </c>
      <c r="M868">
        <f>Data!G881</f>
        <v>0</v>
      </c>
      <c r="N868">
        <f>Data!H881</f>
        <v>0</v>
      </c>
      <c r="O868">
        <f>Data!I881</f>
        <v>0</v>
      </c>
      <c r="P868" s="21">
        <f>Data!J881</f>
        <v>0</v>
      </c>
      <c r="Q868">
        <f>Data!K885</f>
        <v>0</v>
      </c>
      <c r="R868">
        <f>Data!L885</f>
        <v>0</v>
      </c>
      <c r="S868">
        <f>Data!M885</f>
        <v>0</v>
      </c>
      <c r="T868">
        <f>Data!N881</f>
        <v>0</v>
      </c>
      <c r="U868">
        <f>Data!O885</f>
        <v>0</v>
      </c>
      <c r="V868" s="33">
        <f>Data!P883</f>
        <v>0</v>
      </c>
    </row>
    <row r="869" spans="7:22" x14ac:dyDescent="0.25">
      <c r="G869">
        <f>Data!A882</f>
        <v>0</v>
      </c>
      <c r="H869" s="21">
        <f>Data!B882</f>
        <v>0</v>
      </c>
      <c r="I869" s="21">
        <f>Data!C882</f>
        <v>0</v>
      </c>
      <c r="J869">
        <f>Data!D882</f>
        <v>0</v>
      </c>
      <c r="K869">
        <f>Data!E882</f>
        <v>0</v>
      </c>
      <c r="L869">
        <f>Data!F882</f>
        <v>0</v>
      </c>
      <c r="M869">
        <f>Data!G882</f>
        <v>0</v>
      </c>
      <c r="N869">
        <f>Data!H882</f>
        <v>0</v>
      </c>
      <c r="O869">
        <f>Data!I882</f>
        <v>0</v>
      </c>
      <c r="P869" s="21">
        <f>Data!J882</f>
        <v>0</v>
      </c>
      <c r="Q869">
        <f>Data!K886</f>
        <v>0</v>
      </c>
      <c r="R869">
        <f>Data!L886</f>
        <v>0</v>
      </c>
      <c r="S869">
        <f>Data!M886</f>
        <v>0</v>
      </c>
      <c r="T869">
        <f>Data!N882</f>
        <v>0</v>
      </c>
      <c r="U869">
        <f>Data!O886</f>
        <v>0</v>
      </c>
      <c r="V869" s="33">
        <f>Data!P884</f>
        <v>0</v>
      </c>
    </row>
    <row r="870" spans="7:22" x14ac:dyDescent="0.25">
      <c r="G870">
        <f>Data!A883</f>
        <v>0</v>
      </c>
      <c r="H870" s="21">
        <f>Data!B883</f>
        <v>0</v>
      </c>
      <c r="I870" s="21">
        <f>Data!C883</f>
        <v>0</v>
      </c>
      <c r="J870">
        <f>Data!D883</f>
        <v>0</v>
      </c>
      <c r="K870">
        <f>Data!E883</f>
        <v>0</v>
      </c>
      <c r="L870">
        <f>Data!F883</f>
        <v>0</v>
      </c>
      <c r="M870">
        <f>Data!G883</f>
        <v>0</v>
      </c>
      <c r="N870">
        <f>Data!H883</f>
        <v>0</v>
      </c>
      <c r="O870">
        <f>Data!I883</f>
        <v>0</v>
      </c>
      <c r="P870" s="21">
        <f>Data!J883</f>
        <v>0</v>
      </c>
      <c r="Q870">
        <f>Data!K887</f>
        <v>0</v>
      </c>
      <c r="R870">
        <f>Data!L887</f>
        <v>0</v>
      </c>
      <c r="S870">
        <f>Data!M887</f>
        <v>0</v>
      </c>
      <c r="T870">
        <f>Data!N883</f>
        <v>0</v>
      </c>
      <c r="U870">
        <f>Data!O887</f>
        <v>0</v>
      </c>
      <c r="V870" s="33">
        <f>Data!P885</f>
        <v>0</v>
      </c>
    </row>
    <row r="871" spans="7:22" x14ac:dyDescent="0.25">
      <c r="G871">
        <f>Data!A884</f>
        <v>0</v>
      </c>
      <c r="H871" s="21">
        <f>Data!B884</f>
        <v>0</v>
      </c>
      <c r="I871" s="21">
        <f>Data!C884</f>
        <v>0</v>
      </c>
      <c r="J871">
        <f>Data!D884</f>
        <v>0</v>
      </c>
      <c r="K871">
        <f>Data!E884</f>
        <v>0</v>
      </c>
      <c r="L871">
        <f>Data!F884</f>
        <v>0</v>
      </c>
      <c r="M871">
        <f>Data!G884</f>
        <v>0</v>
      </c>
      <c r="N871">
        <f>Data!H884</f>
        <v>0</v>
      </c>
      <c r="O871">
        <f>Data!I884</f>
        <v>0</v>
      </c>
      <c r="P871" s="21">
        <f>Data!J884</f>
        <v>0</v>
      </c>
      <c r="Q871">
        <f>Data!K888</f>
        <v>0</v>
      </c>
      <c r="R871">
        <f>Data!L888</f>
        <v>0</v>
      </c>
      <c r="S871">
        <f>Data!M888</f>
        <v>0</v>
      </c>
      <c r="T871">
        <f>Data!N884</f>
        <v>0</v>
      </c>
      <c r="U871">
        <f>Data!O888</f>
        <v>0</v>
      </c>
      <c r="V871" s="33">
        <f>Data!P886</f>
        <v>0</v>
      </c>
    </row>
    <row r="872" spans="7:22" x14ac:dyDescent="0.25">
      <c r="G872">
        <f>Data!A885</f>
        <v>0</v>
      </c>
      <c r="H872" s="21">
        <f>Data!B885</f>
        <v>0</v>
      </c>
      <c r="I872" s="21">
        <f>Data!C885</f>
        <v>0</v>
      </c>
      <c r="J872">
        <f>Data!D885</f>
        <v>0</v>
      </c>
      <c r="K872">
        <f>Data!E885</f>
        <v>0</v>
      </c>
      <c r="L872">
        <f>Data!F885</f>
        <v>0</v>
      </c>
      <c r="M872">
        <f>Data!G885</f>
        <v>0</v>
      </c>
      <c r="N872">
        <f>Data!H885</f>
        <v>0</v>
      </c>
      <c r="O872">
        <f>Data!I885</f>
        <v>0</v>
      </c>
      <c r="P872" s="21">
        <f>Data!J885</f>
        <v>0</v>
      </c>
      <c r="Q872">
        <f>Data!K889</f>
        <v>0</v>
      </c>
      <c r="R872">
        <f>Data!L889</f>
        <v>0</v>
      </c>
      <c r="S872">
        <f>Data!M889</f>
        <v>0</v>
      </c>
      <c r="T872">
        <f>Data!N885</f>
        <v>0</v>
      </c>
      <c r="U872">
        <f>Data!O889</f>
        <v>0</v>
      </c>
      <c r="V872" s="33">
        <f>Data!P887</f>
        <v>0</v>
      </c>
    </row>
    <row r="873" spans="7:22" x14ac:dyDescent="0.25">
      <c r="G873">
        <f>Data!A886</f>
        <v>0</v>
      </c>
      <c r="H873" s="21">
        <f>Data!B886</f>
        <v>0</v>
      </c>
      <c r="I873" s="21">
        <f>Data!C886</f>
        <v>0</v>
      </c>
      <c r="J873">
        <f>Data!D886</f>
        <v>0</v>
      </c>
      <c r="K873">
        <f>Data!E886</f>
        <v>0</v>
      </c>
      <c r="L873">
        <f>Data!F886</f>
        <v>0</v>
      </c>
      <c r="M873">
        <f>Data!G886</f>
        <v>0</v>
      </c>
      <c r="N873">
        <f>Data!H886</f>
        <v>0</v>
      </c>
      <c r="O873">
        <f>Data!I886</f>
        <v>0</v>
      </c>
      <c r="P873" s="21">
        <f>Data!J886</f>
        <v>0</v>
      </c>
      <c r="Q873">
        <f>Data!K890</f>
        <v>0</v>
      </c>
      <c r="R873">
        <f>Data!L890</f>
        <v>0</v>
      </c>
      <c r="S873">
        <f>Data!M890</f>
        <v>0</v>
      </c>
      <c r="T873">
        <f>Data!N886</f>
        <v>0</v>
      </c>
      <c r="U873">
        <f>Data!O890</f>
        <v>0</v>
      </c>
      <c r="V873" s="33">
        <f>Data!P888</f>
        <v>0</v>
      </c>
    </row>
    <row r="874" spans="7:22" x14ac:dyDescent="0.25">
      <c r="G874">
        <f>Data!A887</f>
        <v>0</v>
      </c>
      <c r="H874" s="21">
        <f>Data!B887</f>
        <v>0</v>
      </c>
      <c r="I874" s="21">
        <f>Data!C887</f>
        <v>0</v>
      </c>
      <c r="J874">
        <f>Data!D887</f>
        <v>0</v>
      </c>
      <c r="K874">
        <f>Data!E887</f>
        <v>0</v>
      </c>
      <c r="L874">
        <f>Data!F887</f>
        <v>0</v>
      </c>
      <c r="M874">
        <f>Data!G887</f>
        <v>0</v>
      </c>
      <c r="N874">
        <f>Data!H887</f>
        <v>0</v>
      </c>
      <c r="O874">
        <f>Data!I887</f>
        <v>0</v>
      </c>
      <c r="P874" s="21">
        <f>Data!J887</f>
        <v>0</v>
      </c>
      <c r="Q874">
        <f>Data!K891</f>
        <v>0</v>
      </c>
      <c r="R874">
        <f>Data!L891</f>
        <v>0</v>
      </c>
      <c r="S874">
        <f>Data!M891</f>
        <v>0</v>
      </c>
      <c r="T874">
        <f>Data!N887</f>
        <v>0</v>
      </c>
      <c r="U874">
        <f>Data!O891</f>
        <v>0</v>
      </c>
      <c r="V874" s="33">
        <f>Data!P889</f>
        <v>0</v>
      </c>
    </row>
    <row r="875" spans="7:22" x14ac:dyDescent="0.25">
      <c r="G875">
        <f>Data!A888</f>
        <v>0</v>
      </c>
      <c r="H875" s="21">
        <f>Data!B888</f>
        <v>0</v>
      </c>
      <c r="I875" s="21">
        <f>Data!C888</f>
        <v>0</v>
      </c>
      <c r="J875">
        <f>Data!D888</f>
        <v>0</v>
      </c>
      <c r="K875">
        <f>Data!E888</f>
        <v>0</v>
      </c>
      <c r="L875">
        <f>Data!F888</f>
        <v>0</v>
      </c>
      <c r="M875">
        <f>Data!G888</f>
        <v>0</v>
      </c>
      <c r="N875">
        <f>Data!H888</f>
        <v>0</v>
      </c>
      <c r="O875">
        <f>Data!I888</f>
        <v>0</v>
      </c>
      <c r="P875" s="21">
        <f>Data!J888</f>
        <v>0</v>
      </c>
      <c r="Q875">
        <f>Data!K892</f>
        <v>0</v>
      </c>
      <c r="R875">
        <f>Data!L892</f>
        <v>0</v>
      </c>
      <c r="S875">
        <f>Data!M892</f>
        <v>0</v>
      </c>
      <c r="T875">
        <f>Data!N888</f>
        <v>0</v>
      </c>
      <c r="U875">
        <f>Data!O892</f>
        <v>0</v>
      </c>
      <c r="V875" s="33">
        <f>Data!P890</f>
        <v>0</v>
      </c>
    </row>
    <row r="876" spans="7:22" x14ac:dyDescent="0.25">
      <c r="G876">
        <f>Data!A889</f>
        <v>0</v>
      </c>
      <c r="H876" s="21">
        <f>Data!B889</f>
        <v>0</v>
      </c>
      <c r="I876" s="21">
        <f>Data!C889</f>
        <v>0</v>
      </c>
      <c r="J876">
        <f>Data!D889</f>
        <v>0</v>
      </c>
      <c r="K876">
        <f>Data!E889</f>
        <v>0</v>
      </c>
      <c r="L876">
        <f>Data!F889</f>
        <v>0</v>
      </c>
      <c r="M876">
        <f>Data!G889</f>
        <v>0</v>
      </c>
      <c r="N876">
        <f>Data!H889</f>
        <v>0</v>
      </c>
      <c r="O876">
        <f>Data!I889</f>
        <v>0</v>
      </c>
      <c r="P876" s="21">
        <f>Data!J889</f>
        <v>0</v>
      </c>
      <c r="Q876">
        <f>Data!K893</f>
        <v>0</v>
      </c>
      <c r="R876">
        <f>Data!L893</f>
        <v>0</v>
      </c>
      <c r="S876">
        <f>Data!M893</f>
        <v>0</v>
      </c>
      <c r="T876">
        <f>Data!N889</f>
        <v>0</v>
      </c>
      <c r="U876">
        <f>Data!O893</f>
        <v>0</v>
      </c>
      <c r="V876" s="33">
        <f>Data!P891</f>
        <v>0</v>
      </c>
    </row>
    <row r="877" spans="7:22" x14ac:dyDescent="0.25">
      <c r="G877">
        <f>Data!A890</f>
        <v>0</v>
      </c>
      <c r="H877" s="21">
        <f>Data!B890</f>
        <v>0</v>
      </c>
      <c r="I877" s="21">
        <f>Data!C890</f>
        <v>0</v>
      </c>
      <c r="J877">
        <f>Data!D890</f>
        <v>0</v>
      </c>
      <c r="K877">
        <f>Data!E890</f>
        <v>0</v>
      </c>
      <c r="L877">
        <f>Data!F890</f>
        <v>0</v>
      </c>
      <c r="M877">
        <f>Data!G890</f>
        <v>0</v>
      </c>
      <c r="N877">
        <f>Data!H890</f>
        <v>0</v>
      </c>
      <c r="O877">
        <f>Data!I890</f>
        <v>0</v>
      </c>
      <c r="P877" s="21">
        <f>Data!J890</f>
        <v>0</v>
      </c>
      <c r="Q877">
        <f>Data!K894</f>
        <v>0</v>
      </c>
      <c r="R877">
        <f>Data!L894</f>
        <v>0</v>
      </c>
      <c r="S877">
        <f>Data!M894</f>
        <v>0</v>
      </c>
      <c r="T877">
        <f>Data!N890</f>
        <v>0</v>
      </c>
      <c r="U877">
        <f>Data!O894</f>
        <v>0</v>
      </c>
      <c r="V877" s="33">
        <f>Data!P892</f>
        <v>0</v>
      </c>
    </row>
    <row r="878" spans="7:22" x14ac:dyDescent="0.25">
      <c r="G878">
        <f>Data!A891</f>
        <v>0</v>
      </c>
      <c r="H878" s="21">
        <f>Data!B891</f>
        <v>0</v>
      </c>
      <c r="I878" s="21">
        <f>Data!C891</f>
        <v>0</v>
      </c>
      <c r="J878">
        <f>Data!D891</f>
        <v>0</v>
      </c>
      <c r="K878">
        <f>Data!E891</f>
        <v>0</v>
      </c>
      <c r="L878">
        <f>Data!F891</f>
        <v>0</v>
      </c>
      <c r="M878">
        <f>Data!G891</f>
        <v>0</v>
      </c>
      <c r="N878">
        <f>Data!H891</f>
        <v>0</v>
      </c>
      <c r="O878">
        <f>Data!I891</f>
        <v>0</v>
      </c>
      <c r="P878" s="21">
        <f>Data!J891</f>
        <v>0</v>
      </c>
      <c r="Q878">
        <f>Data!K895</f>
        <v>0</v>
      </c>
      <c r="R878">
        <f>Data!L895</f>
        <v>0</v>
      </c>
      <c r="S878">
        <f>Data!M895</f>
        <v>0</v>
      </c>
      <c r="T878">
        <f>Data!N891</f>
        <v>0</v>
      </c>
      <c r="U878">
        <f>Data!O895</f>
        <v>0</v>
      </c>
      <c r="V878" s="33">
        <f>Data!P893</f>
        <v>0</v>
      </c>
    </row>
    <row r="879" spans="7:22" x14ac:dyDescent="0.25">
      <c r="G879">
        <f>Data!A892</f>
        <v>0</v>
      </c>
      <c r="H879" s="21">
        <f>Data!B892</f>
        <v>0</v>
      </c>
      <c r="I879" s="21">
        <f>Data!C892</f>
        <v>0</v>
      </c>
      <c r="J879">
        <f>Data!D892</f>
        <v>0</v>
      </c>
      <c r="K879">
        <f>Data!E892</f>
        <v>0</v>
      </c>
      <c r="L879">
        <f>Data!F892</f>
        <v>0</v>
      </c>
      <c r="M879">
        <f>Data!G892</f>
        <v>0</v>
      </c>
      <c r="N879">
        <f>Data!H892</f>
        <v>0</v>
      </c>
      <c r="O879">
        <f>Data!I892</f>
        <v>0</v>
      </c>
      <c r="P879" s="21">
        <f>Data!J892</f>
        <v>0</v>
      </c>
      <c r="Q879">
        <f>Data!K896</f>
        <v>0</v>
      </c>
      <c r="R879">
        <f>Data!L896</f>
        <v>0</v>
      </c>
      <c r="S879">
        <f>Data!M896</f>
        <v>0</v>
      </c>
      <c r="T879">
        <f>Data!N892</f>
        <v>0</v>
      </c>
      <c r="U879">
        <f>Data!O896</f>
        <v>0</v>
      </c>
      <c r="V879" s="33">
        <f>Data!P894</f>
        <v>0</v>
      </c>
    </row>
    <row r="880" spans="7:22" x14ac:dyDescent="0.25">
      <c r="G880">
        <f>Data!A893</f>
        <v>0</v>
      </c>
      <c r="H880" s="21">
        <f>Data!B893</f>
        <v>0</v>
      </c>
      <c r="I880" s="21">
        <f>Data!C893</f>
        <v>0</v>
      </c>
      <c r="J880">
        <f>Data!D893</f>
        <v>0</v>
      </c>
      <c r="K880">
        <f>Data!E893</f>
        <v>0</v>
      </c>
      <c r="L880">
        <f>Data!F893</f>
        <v>0</v>
      </c>
      <c r="M880">
        <f>Data!G893</f>
        <v>0</v>
      </c>
      <c r="N880">
        <f>Data!H893</f>
        <v>0</v>
      </c>
      <c r="O880">
        <f>Data!I893</f>
        <v>0</v>
      </c>
      <c r="P880" s="21">
        <f>Data!J893</f>
        <v>0</v>
      </c>
      <c r="Q880">
        <f>Data!K897</f>
        <v>0</v>
      </c>
      <c r="R880">
        <f>Data!L897</f>
        <v>0</v>
      </c>
      <c r="S880">
        <f>Data!M897</f>
        <v>0</v>
      </c>
      <c r="T880">
        <f>Data!N893</f>
        <v>0</v>
      </c>
      <c r="U880">
        <f>Data!O897</f>
        <v>0</v>
      </c>
      <c r="V880" s="33">
        <f>Data!P895</f>
        <v>0</v>
      </c>
    </row>
    <row r="881" spans="7:22" x14ac:dyDescent="0.25">
      <c r="G881">
        <f>Data!A894</f>
        <v>0</v>
      </c>
      <c r="H881" s="21">
        <f>Data!B894</f>
        <v>0</v>
      </c>
      <c r="I881" s="21">
        <f>Data!C894</f>
        <v>0</v>
      </c>
      <c r="J881">
        <f>Data!D894</f>
        <v>0</v>
      </c>
      <c r="K881">
        <f>Data!E894</f>
        <v>0</v>
      </c>
      <c r="L881">
        <f>Data!F894</f>
        <v>0</v>
      </c>
      <c r="M881">
        <f>Data!G894</f>
        <v>0</v>
      </c>
      <c r="N881">
        <f>Data!H894</f>
        <v>0</v>
      </c>
      <c r="O881">
        <f>Data!I894</f>
        <v>0</v>
      </c>
      <c r="P881" s="21">
        <f>Data!J894</f>
        <v>0</v>
      </c>
      <c r="Q881">
        <f>Data!K898</f>
        <v>0</v>
      </c>
      <c r="R881">
        <f>Data!L898</f>
        <v>0</v>
      </c>
      <c r="S881">
        <f>Data!M898</f>
        <v>0</v>
      </c>
      <c r="T881">
        <f>Data!N894</f>
        <v>0</v>
      </c>
      <c r="U881">
        <f>Data!O898</f>
        <v>0</v>
      </c>
      <c r="V881" s="33">
        <f>Data!P896</f>
        <v>0</v>
      </c>
    </row>
    <row r="882" spans="7:22" x14ac:dyDescent="0.25">
      <c r="G882">
        <f>Data!A895</f>
        <v>0</v>
      </c>
      <c r="H882" s="21">
        <f>Data!B895</f>
        <v>0</v>
      </c>
      <c r="I882" s="21">
        <f>Data!C895</f>
        <v>0</v>
      </c>
      <c r="J882">
        <f>Data!D895</f>
        <v>0</v>
      </c>
      <c r="K882">
        <f>Data!E895</f>
        <v>0</v>
      </c>
      <c r="L882">
        <f>Data!F895</f>
        <v>0</v>
      </c>
      <c r="M882">
        <f>Data!G895</f>
        <v>0</v>
      </c>
      <c r="N882">
        <f>Data!H895</f>
        <v>0</v>
      </c>
      <c r="O882">
        <f>Data!I895</f>
        <v>0</v>
      </c>
      <c r="P882" s="21">
        <f>Data!J895</f>
        <v>0</v>
      </c>
      <c r="Q882">
        <f>Data!K899</f>
        <v>0</v>
      </c>
      <c r="R882">
        <f>Data!L899</f>
        <v>0</v>
      </c>
      <c r="S882">
        <f>Data!M899</f>
        <v>0</v>
      </c>
      <c r="T882">
        <f>Data!N895</f>
        <v>0</v>
      </c>
      <c r="U882">
        <f>Data!O899</f>
        <v>0</v>
      </c>
      <c r="V882" s="33">
        <f>Data!P897</f>
        <v>0</v>
      </c>
    </row>
    <row r="883" spans="7:22" x14ac:dyDescent="0.25">
      <c r="G883">
        <f>Data!A896</f>
        <v>0</v>
      </c>
      <c r="H883" s="21">
        <f>Data!B896</f>
        <v>0</v>
      </c>
      <c r="I883" s="21">
        <f>Data!C896</f>
        <v>0</v>
      </c>
      <c r="J883">
        <f>Data!D896</f>
        <v>0</v>
      </c>
      <c r="K883">
        <f>Data!E896</f>
        <v>0</v>
      </c>
      <c r="L883">
        <f>Data!F896</f>
        <v>0</v>
      </c>
      <c r="M883">
        <f>Data!G896</f>
        <v>0</v>
      </c>
      <c r="N883">
        <f>Data!H896</f>
        <v>0</v>
      </c>
      <c r="O883">
        <f>Data!I896</f>
        <v>0</v>
      </c>
      <c r="P883" s="21">
        <f>Data!J896</f>
        <v>0</v>
      </c>
      <c r="Q883">
        <f>Data!K900</f>
        <v>0</v>
      </c>
      <c r="R883">
        <f>Data!L900</f>
        <v>0</v>
      </c>
      <c r="S883">
        <f>Data!M900</f>
        <v>0</v>
      </c>
      <c r="T883">
        <f>Data!N896</f>
        <v>0</v>
      </c>
      <c r="U883">
        <f>Data!O900</f>
        <v>0</v>
      </c>
      <c r="V883" s="33">
        <f>Data!P898</f>
        <v>0</v>
      </c>
    </row>
    <row r="884" spans="7:22" x14ac:dyDescent="0.25">
      <c r="G884">
        <f>Data!A897</f>
        <v>0</v>
      </c>
      <c r="H884" s="21">
        <f>Data!B897</f>
        <v>0</v>
      </c>
      <c r="I884" s="21">
        <f>Data!C897</f>
        <v>0</v>
      </c>
      <c r="J884">
        <f>Data!D897</f>
        <v>0</v>
      </c>
      <c r="K884">
        <f>Data!E897</f>
        <v>0</v>
      </c>
      <c r="L884">
        <f>Data!F897</f>
        <v>0</v>
      </c>
      <c r="M884">
        <f>Data!G897</f>
        <v>0</v>
      </c>
      <c r="N884">
        <f>Data!H897</f>
        <v>0</v>
      </c>
      <c r="O884">
        <f>Data!I897</f>
        <v>0</v>
      </c>
      <c r="P884" s="21">
        <f>Data!J897</f>
        <v>0</v>
      </c>
      <c r="Q884">
        <f>Data!K901</f>
        <v>0</v>
      </c>
      <c r="R884">
        <f>Data!L901</f>
        <v>0</v>
      </c>
      <c r="S884">
        <f>Data!M901</f>
        <v>0</v>
      </c>
      <c r="T884">
        <f>Data!N897</f>
        <v>0</v>
      </c>
      <c r="U884">
        <f>Data!O901</f>
        <v>0</v>
      </c>
      <c r="V884" s="33">
        <f>Data!P899</f>
        <v>0</v>
      </c>
    </row>
    <row r="885" spans="7:22" x14ac:dyDescent="0.25">
      <c r="G885">
        <f>Data!A898</f>
        <v>0</v>
      </c>
      <c r="H885" s="21">
        <f>Data!B898</f>
        <v>0</v>
      </c>
      <c r="I885" s="21">
        <f>Data!C898</f>
        <v>0</v>
      </c>
      <c r="J885">
        <f>Data!D898</f>
        <v>0</v>
      </c>
      <c r="K885">
        <f>Data!E898</f>
        <v>0</v>
      </c>
      <c r="L885">
        <f>Data!F898</f>
        <v>0</v>
      </c>
      <c r="M885">
        <f>Data!G898</f>
        <v>0</v>
      </c>
      <c r="N885">
        <f>Data!H898</f>
        <v>0</v>
      </c>
      <c r="O885">
        <f>Data!I898</f>
        <v>0</v>
      </c>
      <c r="P885" s="21">
        <f>Data!J898</f>
        <v>0</v>
      </c>
      <c r="Q885">
        <f>Data!K902</f>
        <v>0</v>
      </c>
      <c r="R885">
        <f>Data!L902</f>
        <v>0</v>
      </c>
      <c r="S885">
        <f>Data!M902</f>
        <v>0</v>
      </c>
      <c r="T885">
        <f>Data!N898</f>
        <v>0</v>
      </c>
      <c r="U885">
        <f>Data!O902</f>
        <v>0</v>
      </c>
      <c r="V885" s="33">
        <f>Data!P900</f>
        <v>0</v>
      </c>
    </row>
    <row r="886" spans="7:22" x14ac:dyDescent="0.25">
      <c r="G886">
        <f>Data!A899</f>
        <v>0</v>
      </c>
      <c r="H886" s="21">
        <f>Data!B899</f>
        <v>0</v>
      </c>
      <c r="I886" s="21">
        <f>Data!C899</f>
        <v>0</v>
      </c>
      <c r="J886">
        <f>Data!D899</f>
        <v>0</v>
      </c>
      <c r="K886">
        <f>Data!E899</f>
        <v>0</v>
      </c>
      <c r="L886">
        <f>Data!F899</f>
        <v>0</v>
      </c>
      <c r="M886">
        <f>Data!G899</f>
        <v>0</v>
      </c>
      <c r="N886">
        <f>Data!H899</f>
        <v>0</v>
      </c>
      <c r="O886">
        <f>Data!I899</f>
        <v>0</v>
      </c>
      <c r="P886" s="21">
        <f>Data!J899</f>
        <v>0</v>
      </c>
      <c r="Q886">
        <f>Data!K903</f>
        <v>0</v>
      </c>
      <c r="R886">
        <f>Data!L903</f>
        <v>0</v>
      </c>
      <c r="S886">
        <f>Data!M903</f>
        <v>0</v>
      </c>
      <c r="T886">
        <f>Data!N899</f>
        <v>0</v>
      </c>
      <c r="U886">
        <f>Data!O903</f>
        <v>0</v>
      </c>
      <c r="V886" s="33">
        <f>Data!P901</f>
        <v>0</v>
      </c>
    </row>
    <row r="887" spans="7:22" x14ac:dyDescent="0.25">
      <c r="G887">
        <f>Data!A900</f>
        <v>0</v>
      </c>
      <c r="H887" s="21">
        <f>Data!B900</f>
        <v>0</v>
      </c>
      <c r="I887" s="21">
        <f>Data!C900</f>
        <v>0</v>
      </c>
      <c r="J887">
        <f>Data!D900</f>
        <v>0</v>
      </c>
      <c r="K887">
        <f>Data!E900</f>
        <v>0</v>
      </c>
      <c r="L887">
        <f>Data!F900</f>
        <v>0</v>
      </c>
      <c r="M887">
        <f>Data!G900</f>
        <v>0</v>
      </c>
      <c r="N887">
        <f>Data!H900</f>
        <v>0</v>
      </c>
      <c r="O887">
        <f>Data!I900</f>
        <v>0</v>
      </c>
      <c r="P887" s="21">
        <f>Data!J900</f>
        <v>0</v>
      </c>
      <c r="Q887">
        <f>Data!K904</f>
        <v>0</v>
      </c>
      <c r="R887">
        <f>Data!L904</f>
        <v>0</v>
      </c>
      <c r="S887">
        <f>Data!M904</f>
        <v>0</v>
      </c>
      <c r="T887">
        <f>Data!N900</f>
        <v>0</v>
      </c>
      <c r="U887">
        <f>Data!O904</f>
        <v>0</v>
      </c>
      <c r="V887" s="33">
        <f>Data!P902</f>
        <v>0</v>
      </c>
    </row>
    <row r="888" spans="7:22" x14ac:dyDescent="0.25">
      <c r="G888">
        <f>Data!A901</f>
        <v>0</v>
      </c>
      <c r="H888" s="21">
        <f>Data!B901</f>
        <v>0</v>
      </c>
      <c r="I888" s="21">
        <f>Data!C901</f>
        <v>0</v>
      </c>
      <c r="J888">
        <f>Data!D901</f>
        <v>0</v>
      </c>
      <c r="K888">
        <f>Data!E901</f>
        <v>0</v>
      </c>
      <c r="L888">
        <f>Data!F901</f>
        <v>0</v>
      </c>
      <c r="M888">
        <f>Data!G901</f>
        <v>0</v>
      </c>
      <c r="N888">
        <f>Data!H901</f>
        <v>0</v>
      </c>
      <c r="O888">
        <f>Data!I901</f>
        <v>0</v>
      </c>
      <c r="P888" s="21">
        <f>Data!J901</f>
        <v>0</v>
      </c>
      <c r="Q888">
        <f>Data!K905</f>
        <v>0</v>
      </c>
      <c r="R888">
        <f>Data!L905</f>
        <v>0</v>
      </c>
      <c r="S888">
        <f>Data!M905</f>
        <v>0</v>
      </c>
      <c r="T888">
        <f>Data!N901</f>
        <v>0</v>
      </c>
      <c r="U888">
        <f>Data!O905</f>
        <v>0</v>
      </c>
      <c r="V888" s="33">
        <f>Data!P903</f>
        <v>0</v>
      </c>
    </row>
    <row r="889" spans="7:22" x14ac:dyDescent="0.25">
      <c r="G889">
        <f>Data!A902</f>
        <v>0</v>
      </c>
      <c r="H889" s="21">
        <f>Data!B902</f>
        <v>0</v>
      </c>
      <c r="I889" s="21">
        <f>Data!C902</f>
        <v>0</v>
      </c>
      <c r="J889">
        <f>Data!D902</f>
        <v>0</v>
      </c>
      <c r="K889">
        <f>Data!E902</f>
        <v>0</v>
      </c>
      <c r="L889">
        <f>Data!F902</f>
        <v>0</v>
      </c>
      <c r="M889">
        <f>Data!G902</f>
        <v>0</v>
      </c>
      <c r="N889">
        <f>Data!H902</f>
        <v>0</v>
      </c>
      <c r="O889">
        <f>Data!I902</f>
        <v>0</v>
      </c>
      <c r="P889" s="21">
        <f>Data!J902</f>
        <v>0</v>
      </c>
      <c r="Q889">
        <f>Data!K906</f>
        <v>0</v>
      </c>
      <c r="R889">
        <f>Data!L906</f>
        <v>0</v>
      </c>
      <c r="S889">
        <f>Data!M906</f>
        <v>0</v>
      </c>
      <c r="T889">
        <f>Data!N902</f>
        <v>0</v>
      </c>
      <c r="U889">
        <f>Data!O906</f>
        <v>0</v>
      </c>
      <c r="V889" s="33">
        <f>Data!P904</f>
        <v>0</v>
      </c>
    </row>
    <row r="890" spans="7:22" x14ac:dyDescent="0.25">
      <c r="G890">
        <f>Data!A903</f>
        <v>0</v>
      </c>
      <c r="H890" s="21">
        <f>Data!B903</f>
        <v>0</v>
      </c>
      <c r="I890" s="21">
        <f>Data!C903</f>
        <v>0</v>
      </c>
      <c r="J890">
        <f>Data!D903</f>
        <v>0</v>
      </c>
      <c r="K890">
        <f>Data!E903</f>
        <v>0</v>
      </c>
      <c r="L890">
        <f>Data!F903</f>
        <v>0</v>
      </c>
      <c r="M890">
        <f>Data!G903</f>
        <v>0</v>
      </c>
      <c r="N890">
        <f>Data!H903</f>
        <v>0</v>
      </c>
      <c r="O890">
        <f>Data!I903</f>
        <v>0</v>
      </c>
      <c r="P890" s="21">
        <f>Data!J903</f>
        <v>0</v>
      </c>
      <c r="Q890">
        <f>Data!K907</f>
        <v>0</v>
      </c>
      <c r="R890">
        <f>Data!L907</f>
        <v>0</v>
      </c>
      <c r="S890">
        <f>Data!M907</f>
        <v>0</v>
      </c>
      <c r="T890">
        <f>Data!N903</f>
        <v>0</v>
      </c>
      <c r="U890">
        <f>Data!O907</f>
        <v>0</v>
      </c>
      <c r="V890" s="33">
        <f>Data!P905</f>
        <v>0</v>
      </c>
    </row>
    <row r="891" spans="7:22" x14ac:dyDescent="0.25">
      <c r="G891">
        <f>Data!A904</f>
        <v>0</v>
      </c>
      <c r="H891" s="21">
        <f>Data!B904</f>
        <v>0</v>
      </c>
      <c r="I891" s="21">
        <f>Data!C904</f>
        <v>0</v>
      </c>
      <c r="J891">
        <f>Data!D904</f>
        <v>0</v>
      </c>
      <c r="K891">
        <f>Data!E904</f>
        <v>0</v>
      </c>
      <c r="L891">
        <f>Data!F904</f>
        <v>0</v>
      </c>
      <c r="M891">
        <f>Data!G904</f>
        <v>0</v>
      </c>
      <c r="N891">
        <f>Data!H904</f>
        <v>0</v>
      </c>
      <c r="O891">
        <f>Data!I904</f>
        <v>0</v>
      </c>
      <c r="P891" s="21">
        <f>Data!J904</f>
        <v>0</v>
      </c>
      <c r="Q891">
        <f>Data!K908</f>
        <v>0</v>
      </c>
      <c r="R891">
        <f>Data!L908</f>
        <v>0</v>
      </c>
      <c r="S891">
        <f>Data!M908</f>
        <v>0</v>
      </c>
      <c r="T891">
        <f>Data!N904</f>
        <v>0</v>
      </c>
      <c r="U891">
        <f>Data!O908</f>
        <v>0</v>
      </c>
      <c r="V891" s="33">
        <f>Data!P906</f>
        <v>0</v>
      </c>
    </row>
    <row r="892" spans="7:22" x14ac:dyDescent="0.25">
      <c r="G892">
        <f>Data!A905</f>
        <v>0</v>
      </c>
      <c r="H892" s="21">
        <f>Data!B905</f>
        <v>0</v>
      </c>
      <c r="I892" s="21">
        <f>Data!C905</f>
        <v>0</v>
      </c>
      <c r="J892">
        <f>Data!D905</f>
        <v>0</v>
      </c>
      <c r="K892">
        <f>Data!E905</f>
        <v>0</v>
      </c>
      <c r="L892">
        <f>Data!F905</f>
        <v>0</v>
      </c>
      <c r="M892">
        <f>Data!G905</f>
        <v>0</v>
      </c>
      <c r="N892">
        <f>Data!H905</f>
        <v>0</v>
      </c>
      <c r="O892">
        <f>Data!I905</f>
        <v>0</v>
      </c>
      <c r="P892" s="21">
        <f>Data!J905</f>
        <v>0</v>
      </c>
      <c r="Q892">
        <f>Data!K909</f>
        <v>0</v>
      </c>
      <c r="R892">
        <f>Data!L909</f>
        <v>0</v>
      </c>
      <c r="S892">
        <f>Data!M909</f>
        <v>0</v>
      </c>
      <c r="T892">
        <f>Data!N905</f>
        <v>0</v>
      </c>
      <c r="U892">
        <f>Data!O909</f>
        <v>0</v>
      </c>
      <c r="V892" s="33">
        <f>Data!P907</f>
        <v>0</v>
      </c>
    </row>
    <row r="893" spans="7:22" x14ac:dyDescent="0.25">
      <c r="G893">
        <f>Data!A906</f>
        <v>0</v>
      </c>
      <c r="H893" s="21">
        <f>Data!B906</f>
        <v>0</v>
      </c>
      <c r="I893" s="21">
        <f>Data!C906</f>
        <v>0</v>
      </c>
      <c r="J893">
        <f>Data!D906</f>
        <v>0</v>
      </c>
      <c r="K893">
        <f>Data!E906</f>
        <v>0</v>
      </c>
      <c r="L893">
        <f>Data!F906</f>
        <v>0</v>
      </c>
      <c r="M893">
        <f>Data!G906</f>
        <v>0</v>
      </c>
      <c r="N893">
        <f>Data!H906</f>
        <v>0</v>
      </c>
      <c r="O893">
        <f>Data!I906</f>
        <v>0</v>
      </c>
      <c r="P893" s="21">
        <f>Data!J906</f>
        <v>0</v>
      </c>
      <c r="Q893">
        <f>Data!K910</f>
        <v>0</v>
      </c>
      <c r="R893">
        <f>Data!L910</f>
        <v>0</v>
      </c>
      <c r="S893">
        <f>Data!M910</f>
        <v>0</v>
      </c>
      <c r="T893">
        <f>Data!N906</f>
        <v>0</v>
      </c>
      <c r="U893">
        <f>Data!O910</f>
        <v>0</v>
      </c>
      <c r="V893" s="33">
        <f>Data!P908</f>
        <v>0</v>
      </c>
    </row>
    <row r="894" spans="7:22" x14ac:dyDescent="0.25">
      <c r="G894">
        <f>Data!A907</f>
        <v>0</v>
      </c>
      <c r="H894" s="21">
        <f>Data!B907</f>
        <v>0</v>
      </c>
      <c r="I894" s="21">
        <f>Data!C907</f>
        <v>0</v>
      </c>
      <c r="J894">
        <f>Data!D907</f>
        <v>0</v>
      </c>
      <c r="K894">
        <f>Data!E907</f>
        <v>0</v>
      </c>
      <c r="L894">
        <f>Data!F907</f>
        <v>0</v>
      </c>
      <c r="M894">
        <f>Data!G907</f>
        <v>0</v>
      </c>
      <c r="N894">
        <f>Data!H907</f>
        <v>0</v>
      </c>
      <c r="O894">
        <f>Data!I907</f>
        <v>0</v>
      </c>
      <c r="P894" s="21">
        <f>Data!J907</f>
        <v>0</v>
      </c>
      <c r="Q894">
        <f>Data!K911</f>
        <v>0</v>
      </c>
      <c r="R894">
        <f>Data!L911</f>
        <v>0</v>
      </c>
      <c r="S894">
        <f>Data!M911</f>
        <v>0</v>
      </c>
      <c r="T894">
        <f>Data!N907</f>
        <v>0</v>
      </c>
      <c r="U894">
        <f>Data!O911</f>
        <v>0</v>
      </c>
      <c r="V894" s="33">
        <f>Data!P909</f>
        <v>0</v>
      </c>
    </row>
    <row r="895" spans="7:22" x14ac:dyDescent="0.25">
      <c r="G895">
        <f>Data!A908</f>
        <v>0</v>
      </c>
      <c r="H895" s="21">
        <f>Data!B908</f>
        <v>0</v>
      </c>
      <c r="I895" s="21">
        <f>Data!C908</f>
        <v>0</v>
      </c>
      <c r="J895">
        <f>Data!D908</f>
        <v>0</v>
      </c>
      <c r="K895">
        <f>Data!E908</f>
        <v>0</v>
      </c>
      <c r="L895">
        <f>Data!F908</f>
        <v>0</v>
      </c>
      <c r="M895">
        <f>Data!G908</f>
        <v>0</v>
      </c>
      <c r="N895">
        <f>Data!H908</f>
        <v>0</v>
      </c>
      <c r="O895">
        <f>Data!I908</f>
        <v>0</v>
      </c>
      <c r="P895" s="21">
        <f>Data!J908</f>
        <v>0</v>
      </c>
      <c r="Q895">
        <f>Data!K912</f>
        <v>0</v>
      </c>
      <c r="R895">
        <f>Data!L912</f>
        <v>0</v>
      </c>
      <c r="S895">
        <f>Data!M912</f>
        <v>0</v>
      </c>
      <c r="T895">
        <f>Data!N908</f>
        <v>0</v>
      </c>
      <c r="U895">
        <f>Data!O912</f>
        <v>0</v>
      </c>
      <c r="V895" s="33">
        <f>Data!P910</f>
        <v>0</v>
      </c>
    </row>
    <row r="896" spans="7:22" x14ac:dyDescent="0.25">
      <c r="G896">
        <f>Data!A909</f>
        <v>0</v>
      </c>
      <c r="H896" s="21">
        <f>Data!B909</f>
        <v>0</v>
      </c>
      <c r="I896" s="21">
        <f>Data!C909</f>
        <v>0</v>
      </c>
      <c r="J896">
        <f>Data!D909</f>
        <v>0</v>
      </c>
      <c r="K896">
        <f>Data!E909</f>
        <v>0</v>
      </c>
      <c r="L896">
        <f>Data!F909</f>
        <v>0</v>
      </c>
      <c r="M896">
        <f>Data!G909</f>
        <v>0</v>
      </c>
      <c r="N896">
        <f>Data!H909</f>
        <v>0</v>
      </c>
      <c r="O896">
        <f>Data!I909</f>
        <v>0</v>
      </c>
      <c r="P896" s="21">
        <f>Data!J909</f>
        <v>0</v>
      </c>
      <c r="Q896">
        <f>Data!K913</f>
        <v>0</v>
      </c>
      <c r="R896">
        <f>Data!L913</f>
        <v>0</v>
      </c>
      <c r="S896">
        <f>Data!M913</f>
        <v>0</v>
      </c>
      <c r="T896">
        <f>Data!N909</f>
        <v>0</v>
      </c>
      <c r="U896">
        <f>Data!O913</f>
        <v>0</v>
      </c>
      <c r="V896" s="33">
        <f>Data!P911</f>
        <v>0</v>
      </c>
    </row>
    <row r="897" spans="7:22" x14ac:dyDescent="0.25">
      <c r="G897">
        <f>Data!A910</f>
        <v>0</v>
      </c>
      <c r="H897" s="21">
        <f>Data!B910</f>
        <v>0</v>
      </c>
      <c r="I897" s="21">
        <f>Data!C910</f>
        <v>0</v>
      </c>
      <c r="J897">
        <f>Data!D910</f>
        <v>0</v>
      </c>
      <c r="K897">
        <f>Data!E910</f>
        <v>0</v>
      </c>
      <c r="L897">
        <f>Data!F910</f>
        <v>0</v>
      </c>
      <c r="M897">
        <f>Data!G910</f>
        <v>0</v>
      </c>
      <c r="N897">
        <f>Data!H910</f>
        <v>0</v>
      </c>
      <c r="O897">
        <f>Data!I910</f>
        <v>0</v>
      </c>
      <c r="P897" s="21">
        <f>Data!J910</f>
        <v>0</v>
      </c>
      <c r="Q897">
        <f>Data!K914</f>
        <v>0</v>
      </c>
      <c r="R897">
        <f>Data!L914</f>
        <v>0</v>
      </c>
      <c r="S897">
        <f>Data!M914</f>
        <v>0</v>
      </c>
      <c r="T897">
        <f>Data!N910</f>
        <v>0</v>
      </c>
      <c r="U897">
        <f>Data!O914</f>
        <v>0</v>
      </c>
      <c r="V897" s="33">
        <f>Data!P912</f>
        <v>0</v>
      </c>
    </row>
    <row r="898" spans="7:22" x14ac:dyDescent="0.25">
      <c r="G898">
        <f>Data!A911</f>
        <v>0</v>
      </c>
      <c r="H898" s="21">
        <f>Data!B911</f>
        <v>0</v>
      </c>
      <c r="I898" s="21">
        <f>Data!C911</f>
        <v>0</v>
      </c>
      <c r="J898">
        <f>Data!D911</f>
        <v>0</v>
      </c>
      <c r="K898">
        <f>Data!E911</f>
        <v>0</v>
      </c>
      <c r="L898">
        <f>Data!F911</f>
        <v>0</v>
      </c>
      <c r="M898">
        <f>Data!G911</f>
        <v>0</v>
      </c>
      <c r="N898">
        <f>Data!H911</f>
        <v>0</v>
      </c>
      <c r="O898">
        <f>Data!I911</f>
        <v>0</v>
      </c>
      <c r="P898" s="21">
        <f>Data!J911</f>
        <v>0</v>
      </c>
      <c r="Q898">
        <f>Data!K915</f>
        <v>0</v>
      </c>
      <c r="R898">
        <f>Data!L915</f>
        <v>0</v>
      </c>
      <c r="S898">
        <f>Data!M915</f>
        <v>0</v>
      </c>
      <c r="T898">
        <f>Data!N911</f>
        <v>0</v>
      </c>
      <c r="U898">
        <f>Data!O915</f>
        <v>0</v>
      </c>
      <c r="V898" s="33">
        <f>Data!P913</f>
        <v>0</v>
      </c>
    </row>
    <row r="899" spans="7:22" x14ac:dyDescent="0.25">
      <c r="G899">
        <f>Data!A912</f>
        <v>0</v>
      </c>
      <c r="H899" s="21">
        <f>Data!B912</f>
        <v>0</v>
      </c>
      <c r="I899" s="21">
        <f>Data!C912</f>
        <v>0</v>
      </c>
      <c r="J899">
        <f>Data!D912</f>
        <v>0</v>
      </c>
      <c r="K899">
        <f>Data!E912</f>
        <v>0</v>
      </c>
      <c r="L899">
        <f>Data!F912</f>
        <v>0</v>
      </c>
      <c r="M899">
        <f>Data!G912</f>
        <v>0</v>
      </c>
      <c r="N899">
        <f>Data!H912</f>
        <v>0</v>
      </c>
      <c r="O899">
        <f>Data!I912</f>
        <v>0</v>
      </c>
      <c r="P899" s="21">
        <f>Data!J912</f>
        <v>0</v>
      </c>
      <c r="Q899">
        <f>Data!K916</f>
        <v>0</v>
      </c>
      <c r="R899">
        <f>Data!L916</f>
        <v>0</v>
      </c>
      <c r="S899">
        <f>Data!M916</f>
        <v>0</v>
      </c>
      <c r="T899">
        <f>Data!N912</f>
        <v>0</v>
      </c>
      <c r="U899">
        <f>Data!O916</f>
        <v>0</v>
      </c>
      <c r="V899" s="33">
        <f>Data!P914</f>
        <v>0</v>
      </c>
    </row>
    <row r="900" spans="7:22" x14ac:dyDescent="0.25">
      <c r="G900">
        <f>Data!A913</f>
        <v>0</v>
      </c>
      <c r="H900" s="21">
        <f>Data!B913</f>
        <v>0</v>
      </c>
      <c r="I900" s="21">
        <f>Data!C913</f>
        <v>0</v>
      </c>
      <c r="J900">
        <f>Data!D913</f>
        <v>0</v>
      </c>
      <c r="K900">
        <f>Data!E913</f>
        <v>0</v>
      </c>
      <c r="L900">
        <f>Data!F913</f>
        <v>0</v>
      </c>
      <c r="M900">
        <f>Data!G913</f>
        <v>0</v>
      </c>
      <c r="N900">
        <f>Data!H913</f>
        <v>0</v>
      </c>
      <c r="O900">
        <f>Data!I913</f>
        <v>0</v>
      </c>
      <c r="P900" s="21">
        <f>Data!J913</f>
        <v>0</v>
      </c>
      <c r="Q900">
        <f>Data!K917</f>
        <v>0</v>
      </c>
      <c r="R900">
        <f>Data!L917</f>
        <v>0</v>
      </c>
      <c r="S900">
        <f>Data!M917</f>
        <v>0</v>
      </c>
      <c r="T900">
        <f>Data!N913</f>
        <v>0</v>
      </c>
      <c r="U900">
        <f>Data!O917</f>
        <v>0</v>
      </c>
      <c r="V900" s="33">
        <f>Data!P915</f>
        <v>0</v>
      </c>
    </row>
    <row r="901" spans="7:22" x14ac:dyDescent="0.25">
      <c r="G901">
        <f>Data!A914</f>
        <v>0</v>
      </c>
      <c r="H901" s="21">
        <f>Data!B914</f>
        <v>0</v>
      </c>
      <c r="I901" s="21">
        <f>Data!C914</f>
        <v>0</v>
      </c>
      <c r="J901">
        <f>Data!D914</f>
        <v>0</v>
      </c>
      <c r="K901">
        <f>Data!E914</f>
        <v>0</v>
      </c>
      <c r="L901">
        <f>Data!F914</f>
        <v>0</v>
      </c>
      <c r="M901">
        <f>Data!G914</f>
        <v>0</v>
      </c>
      <c r="N901">
        <f>Data!H914</f>
        <v>0</v>
      </c>
      <c r="O901">
        <f>Data!I914</f>
        <v>0</v>
      </c>
      <c r="P901" s="21">
        <f>Data!J914</f>
        <v>0</v>
      </c>
      <c r="Q901">
        <f>Data!K918</f>
        <v>0</v>
      </c>
      <c r="R901">
        <f>Data!L918</f>
        <v>0</v>
      </c>
      <c r="S901">
        <f>Data!M918</f>
        <v>0</v>
      </c>
      <c r="T901">
        <f>Data!N914</f>
        <v>0</v>
      </c>
      <c r="U901">
        <f>Data!O918</f>
        <v>0</v>
      </c>
      <c r="V901" s="33">
        <f>Data!P916</f>
        <v>0</v>
      </c>
    </row>
    <row r="902" spans="7:22" x14ac:dyDescent="0.25">
      <c r="G902">
        <f>Data!A915</f>
        <v>0</v>
      </c>
      <c r="H902" s="21">
        <f>Data!B915</f>
        <v>0</v>
      </c>
      <c r="I902" s="21">
        <f>Data!C915</f>
        <v>0</v>
      </c>
      <c r="J902">
        <f>Data!D915</f>
        <v>0</v>
      </c>
      <c r="K902">
        <f>Data!E915</f>
        <v>0</v>
      </c>
      <c r="L902">
        <f>Data!F915</f>
        <v>0</v>
      </c>
      <c r="M902">
        <f>Data!G915</f>
        <v>0</v>
      </c>
      <c r="N902">
        <f>Data!H915</f>
        <v>0</v>
      </c>
      <c r="O902">
        <f>Data!I915</f>
        <v>0</v>
      </c>
      <c r="P902" s="21">
        <f>Data!J915</f>
        <v>0</v>
      </c>
      <c r="Q902">
        <f>Data!K919</f>
        <v>0</v>
      </c>
      <c r="R902">
        <f>Data!L919</f>
        <v>0</v>
      </c>
      <c r="S902">
        <f>Data!M919</f>
        <v>0</v>
      </c>
      <c r="T902">
        <f>Data!N915</f>
        <v>0</v>
      </c>
      <c r="U902">
        <f>Data!O919</f>
        <v>0</v>
      </c>
      <c r="V902" s="33">
        <f>Data!P917</f>
        <v>0</v>
      </c>
    </row>
    <row r="903" spans="7:22" x14ac:dyDescent="0.25">
      <c r="G903">
        <f>Data!A916</f>
        <v>0</v>
      </c>
      <c r="H903" s="21">
        <f>Data!B916</f>
        <v>0</v>
      </c>
      <c r="I903" s="21">
        <f>Data!C916</f>
        <v>0</v>
      </c>
      <c r="J903">
        <f>Data!D916</f>
        <v>0</v>
      </c>
      <c r="K903">
        <f>Data!E916</f>
        <v>0</v>
      </c>
      <c r="L903">
        <f>Data!F916</f>
        <v>0</v>
      </c>
      <c r="M903">
        <f>Data!G916</f>
        <v>0</v>
      </c>
      <c r="N903">
        <f>Data!H916</f>
        <v>0</v>
      </c>
      <c r="O903">
        <f>Data!I916</f>
        <v>0</v>
      </c>
      <c r="P903" s="21">
        <f>Data!J916</f>
        <v>0</v>
      </c>
      <c r="Q903">
        <f>Data!K920</f>
        <v>0</v>
      </c>
      <c r="R903">
        <f>Data!L920</f>
        <v>0</v>
      </c>
      <c r="S903">
        <f>Data!M920</f>
        <v>0</v>
      </c>
      <c r="T903">
        <f>Data!N916</f>
        <v>0</v>
      </c>
      <c r="U903">
        <f>Data!O920</f>
        <v>0</v>
      </c>
      <c r="V903" s="33">
        <f>Data!P918</f>
        <v>0</v>
      </c>
    </row>
    <row r="904" spans="7:22" x14ac:dyDescent="0.25">
      <c r="G904">
        <f>Data!A917</f>
        <v>0</v>
      </c>
      <c r="H904" s="21">
        <f>Data!B917</f>
        <v>0</v>
      </c>
      <c r="I904" s="21">
        <f>Data!C917</f>
        <v>0</v>
      </c>
      <c r="J904">
        <f>Data!D917</f>
        <v>0</v>
      </c>
      <c r="K904">
        <f>Data!E917</f>
        <v>0</v>
      </c>
      <c r="L904">
        <f>Data!F917</f>
        <v>0</v>
      </c>
      <c r="M904">
        <f>Data!G917</f>
        <v>0</v>
      </c>
      <c r="N904">
        <f>Data!H917</f>
        <v>0</v>
      </c>
      <c r="O904">
        <f>Data!I917</f>
        <v>0</v>
      </c>
      <c r="P904" s="21">
        <f>Data!J917</f>
        <v>0</v>
      </c>
      <c r="Q904">
        <f>Data!K921</f>
        <v>0</v>
      </c>
      <c r="R904">
        <f>Data!L921</f>
        <v>0</v>
      </c>
      <c r="S904">
        <f>Data!M921</f>
        <v>0</v>
      </c>
      <c r="T904">
        <f>Data!N917</f>
        <v>0</v>
      </c>
      <c r="U904">
        <f>Data!O921</f>
        <v>0</v>
      </c>
      <c r="V904" s="33">
        <f>Data!P919</f>
        <v>0</v>
      </c>
    </row>
    <row r="905" spans="7:22" x14ac:dyDescent="0.25">
      <c r="G905">
        <f>Data!A918</f>
        <v>0</v>
      </c>
      <c r="H905" s="21">
        <f>Data!B918</f>
        <v>0</v>
      </c>
      <c r="I905" s="21">
        <f>Data!C918</f>
        <v>0</v>
      </c>
      <c r="J905">
        <f>Data!D918</f>
        <v>0</v>
      </c>
      <c r="K905">
        <f>Data!E918</f>
        <v>0</v>
      </c>
      <c r="L905">
        <f>Data!F918</f>
        <v>0</v>
      </c>
      <c r="M905">
        <f>Data!G918</f>
        <v>0</v>
      </c>
      <c r="N905">
        <f>Data!H918</f>
        <v>0</v>
      </c>
      <c r="O905">
        <f>Data!I918</f>
        <v>0</v>
      </c>
      <c r="P905" s="21">
        <f>Data!J918</f>
        <v>0</v>
      </c>
      <c r="Q905">
        <f>Data!K922</f>
        <v>0</v>
      </c>
      <c r="R905">
        <f>Data!L922</f>
        <v>0</v>
      </c>
      <c r="S905">
        <f>Data!M922</f>
        <v>0</v>
      </c>
      <c r="T905">
        <f>Data!N918</f>
        <v>0</v>
      </c>
      <c r="U905">
        <f>Data!O922</f>
        <v>0</v>
      </c>
      <c r="V905" s="33">
        <f>Data!P920</f>
        <v>0</v>
      </c>
    </row>
    <row r="906" spans="7:22" x14ac:dyDescent="0.25">
      <c r="G906">
        <f>Data!A919</f>
        <v>0</v>
      </c>
      <c r="H906" s="21">
        <f>Data!B919</f>
        <v>0</v>
      </c>
      <c r="I906" s="21">
        <f>Data!C919</f>
        <v>0</v>
      </c>
      <c r="J906">
        <f>Data!D919</f>
        <v>0</v>
      </c>
      <c r="K906">
        <f>Data!E919</f>
        <v>0</v>
      </c>
      <c r="L906">
        <f>Data!F919</f>
        <v>0</v>
      </c>
      <c r="M906">
        <f>Data!G919</f>
        <v>0</v>
      </c>
      <c r="N906">
        <f>Data!H919</f>
        <v>0</v>
      </c>
      <c r="O906">
        <f>Data!I919</f>
        <v>0</v>
      </c>
      <c r="P906" s="21">
        <f>Data!J919</f>
        <v>0</v>
      </c>
      <c r="Q906">
        <f>Data!K923</f>
        <v>0</v>
      </c>
      <c r="R906">
        <f>Data!L923</f>
        <v>0</v>
      </c>
      <c r="S906">
        <f>Data!M923</f>
        <v>0</v>
      </c>
      <c r="T906">
        <f>Data!N919</f>
        <v>0</v>
      </c>
      <c r="U906">
        <f>Data!O923</f>
        <v>0</v>
      </c>
      <c r="V906" s="33">
        <f>Data!P921</f>
        <v>0</v>
      </c>
    </row>
    <row r="907" spans="7:22" x14ac:dyDescent="0.25">
      <c r="G907">
        <f>Data!A920</f>
        <v>0</v>
      </c>
      <c r="H907" s="21">
        <f>Data!B920</f>
        <v>0</v>
      </c>
      <c r="I907" s="21">
        <f>Data!C920</f>
        <v>0</v>
      </c>
      <c r="J907">
        <f>Data!D920</f>
        <v>0</v>
      </c>
      <c r="K907">
        <f>Data!E920</f>
        <v>0</v>
      </c>
      <c r="L907">
        <f>Data!F920</f>
        <v>0</v>
      </c>
      <c r="M907">
        <f>Data!G920</f>
        <v>0</v>
      </c>
      <c r="N907">
        <f>Data!H920</f>
        <v>0</v>
      </c>
      <c r="O907">
        <f>Data!I920</f>
        <v>0</v>
      </c>
      <c r="P907" s="21">
        <f>Data!J920</f>
        <v>0</v>
      </c>
      <c r="Q907">
        <f>Data!K924</f>
        <v>0</v>
      </c>
      <c r="R907">
        <f>Data!L924</f>
        <v>0</v>
      </c>
      <c r="S907">
        <f>Data!M924</f>
        <v>0</v>
      </c>
      <c r="T907">
        <f>Data!N920</f>
        <v>0</v>
      </c>
      <c r="U907">
        <f>Data!O924</f>
        <v>0</v>
      </c>
      <c r="V907" s="33">
        <f>Data!P922</f>
        <v>0</v>
      </c>
    </row>
    <row r="908" spans="7:22" x14ac:dyDescent="0.25">
      <c r="G908">
        <f>Data!A921</f>
        <v>0</v>
      </c>
      <c r="H908" s="21">
        <f>Data!B921</f>
        <v>0</v>
      </c>
      <c r="I908" s="21">
        <f>Data!C921</f>
        <v>0</v>
      </c>
      <c r="J908">
        <f>Data!D921</f>
        <v>0</v>
      </c>
      <c r="K908">
        <f>Data!E921</f>
        <v>0</v>
      </c>
      <c r="L908">
        <f>Data!F921</f>
        <v>0</v>
      </c>
      <c r="M908">
        <f>Data!G921</f>
        <v>0</v>
      </c>
      <c r="N908">
        <f>Data!H921</f>
        <v>0</v>
      </c>
      <c r="O908">
        <f>Data!I921</f>
        <v>0</v>
      </c>
      <c r="P908" s="21">
        <f>Data!J925</f>
        <v>0</v>
      </c>
      <c r="Q908">
        <f>Data!K925</f>
        <v>0</v>
      </c>
      <c r="R908">
        <f>Data!L925</f>
        <v>0</v>
      </c>
      <c r="S908">
        <f>Data!M925</f>
        <v>0</v>
      </c>
      <c r="T908">
        <f>Data!N921</f>
        <v>0</v>
      </c>
      <c r="U908">
        <f>Data!O925</f>
        <v>0</v>
      </c>
      <c r="V908" s="33">
        <f>Data!P923</f>
        <v>0</v>
      </c>
    </row>
    <row r="909" spans="7:22" x14ac:dyDescent="0.25">
      <c r="G909">
        <f>Data!A922</f>
        <v>0</v>
      </c>
      <c r="H909" s="21">
        <f>Data!B922</f>
        <v>0</v>
      </c>
      <c r="I909" s="21">
        <f>Data!C922</f>
        <v>0</v>
      </c>
      <c r="J909">
        <f>Data!D922</f>
        <v>0</v>
      </c>
      <c r="K909">
        <f>Data!E922</f>
        <v>0</v>
      </c>
      <c r="L909">
        <f>Data!F922</f>
        <v>0</v>
      </c>
      <c r="M909">
        <f>Data!G922</f>
        <v>0</v>
      </c>
      <c r="N909">
        <f>Data!H922</f>
        <v>0</v>
      </c>
      <c r="O909">
        <f>Data!I922</f>
        <v>0</v>
      </c>
      <c r="P909" s="21">
        <f>Data!J926</f>
        <v>0</v>
      </c>
      <c r="Q909">
        <f>Data!K926</f>
        <v>0</v>
      </c>
      <c r="R909">
        <f>Data!L926</f>
        <v>0</v>
      </c>
      <c r="S909">
        <f>Data!M926</f>
        <v>0</v>
      </c>
      <c r="T909">
        <f>Data!N922</f>
        <v>0</v>
      </c>
      <c r="U909">
        <f>Data!O926</f>
        <v>0</v>
      </c>
      <c r="V909" s="33">
        <f>Data!P924</f>
        <v>0</v>
      </c>
    </row>
    <row r="910" spans="7:22" x14ac:dyDescent="0.25">
      <c r="G910">
        <f>Data!A923</f>
        <v>0</v>
      </c>
      <c r="H910" s="21">
        <f>Data!B923</f>
        <v>0</v>
      </c>
      <c r="I910" s="21">
        <f>Data!C923</f>
        <v>0</v>
      </c>
      <c r="J910">
        <f>Data!D923</f>
        <v>0</v>
      </c>
      <c r="K910">
        <f>Data!E923</f>
        <v>0</v>
      </c>
      <c r="L910">
        <f>Data!F923</f>
        <v>0</v>
      </c>
      <c r="M910">
        <f>Data!G923</f>
        <v>0</v>
      </c>
      <c r="N910">
        <f>Data!H923</f>
        <v>0</v>
      </c>
      <c r="O910">
        <f>Data!I923</f>
        <v>0</v>
      </c>
      <c r="P910" s="21">
        <f>Data!J927</f>
        <v>0</v>
      </c>
      <c r="Q910">
        <f>Data!K927</f>
        <v>0</v>
      </c>
      <c r="R910">
        <f>Data!L927</f>
        <v>0</v>
      </c>
      <c r="S910">
        <f>Data!M927</f>
        <v>0</v>
      </c>
      <c r="T910">
        <f>Data!N923</f>
        <v>0</v>
      </c>
      <c r="U910">
        <f>Data!O927</f>
        <v>0</v>
      </c>
      <c r="V910" s="33">
        <f>Data!P925</f>
        <v>0</v>
      </c>
    </row>
    <row r="911" spans="7:22" x14ac:dyDescent="0.25">
      <c r="G911">
        <f>Data!A924</f>
        <v>0</v>
      </c>
      <c r="H911" s="21">
        <f>Data!B924</f>
        <v>0</v>
      </c>
      <c r="I911" s="21">
        <f>Data!C924</f>
        <v>0</v>
      </c>
      <c r="J911">
        <f>Data!D924</f>
        <v>0</v>
      </c>
      <c r="K911">
        <f>Data!E924</f>
        <v>0</v>
      </c>
      <c r="L911">
        <f>Data!F924</f>
        <v>0</v>
      </c>
      <c r="M911">
        <f>Data!G924</f>
        <v>0</v>
      </c>
      <c r="N911">
        <f>Data!H924</f>
        <v>0</v>
      </c>
      <c r="O911">
        <f>Data!I924</f>
        <v>0</v>
      </c>
      <c r="P911" s="21">
        <f>Data!J928</f>
        <v>0</v>
      </c>
      <c r="Q911">
        <f>Data!K928</f>
        <v>0</v>
      </c>
      <c r="R911">
        <f>Data!L928</f>
        <v>0</v>
      </c>
      <c r="S911">
        <f>Data!M928</f>
        <v>0</v>
      </c>
      <c r="T911">
        <f>Data!N924</f>
        <v>0</v>
      </c>
      <c r="U911">
        <f>Data!O928</f>
        <v>0</v>
      </c>
      <c r="V911" s="33">
        <f>Data!P926</f>
        <v>0</v>
      </c>
    </row>
    <row r="912" spans="7:22" x14ac:dyDescent="0.25">
      <c r="G912">
        <f>Data!A925</f>
        <v>0</v>
      </c>
      <c r="H912" s="21">
        <f>Data!B925</f>
        <v>0</v>
      </c>
      <c r="I912" s="21">
        <f>Data!C925</f>
        <v>0</v>
      </c>
      <c r="J912">
        <f>Data!D925</f>
        <v>0</v>
      </c>
      <c r="K912">
        <f>Data!E925</f>
        <v>0</v>
      </c>
      <c r="L912">
        <f>Data!F925</f>
        <v>0</v>
      </c>
      <c r="M912">
        <f>Data!G925</f>
        <v>0</v>
      </c>
      <c r="N912">
        <f>Data!H925</f>
        <v>0</v>
      </c>
      <c r="O912">
        <f>Data!I925</f>
        <v>0</v>
      </c>
      <c r="P912" s="21">
        <f>Data!J929</f>
        <v>0</v>
      </c>
      <c r="Q912">
        <f>Data!K929</f>
        <v>0</v>
      </c>
      <c r="R912">
        <f>Data!L929</f>
        <v>0</v>
      </c>
      <c r="S912">
        <f>Data!M929</f>
        <v>0</v>
      </c>
      <c r="T912">
        <f>Data!N925</f>
        <v>0</v>
      </c>
      <c r="U912">
        <f>Data!O929</f>
        <v>0</v>
      </c>
      <c r="V912" s="33">
        <f>Data!P927</f>
        <v>0</v>
      </c>
    </row>
    <row r="913" spans="7:22" x14ac:dyDescent="0.25">
      <c r="G913">
        <f>Data!A926</f>
        <v>0</v>
      </c>
      <c r="H913" s="21">
        <f>Data!B926</f>
        <v>0</v>
      </c>
      <c r="I913" s="21">
        <f>Data!C926</f>
        <v>0</v>
      </c>
      <c r="J913">
        <f>Data!D926</f>
        <v>0</v>
      </c>
      <c r="K913">
        <f>Data!E926</f>
        <v>0</v>
      </c>
      <c r="L913">
        <f>Data!F926</f>
        <v>0</v>
      </c>
      <c r="M913">
        <f>Data!G926</f>
        <v>0</v>
      </c>
      <c r="N913">
        <f>Data!H926</f>
        <v>0</v>
      </c>
      <c r="O913">
        <f>Data!I926</f>
        <v>0</v>
      </c>
      <c r="P913" s="21">
        <f>Data!J930</f>
        <v>0</v>
      </c>
      <c r="Q913">
        <f>Data!K930</f>
        <v>0</v>
      </c>
      <c r="R913">
        <f>Data!L930</f>
        <v>0</v>
      </c>
      <c r="S913">
        <f>Data!M930</f>
        <v>0</v>
      </c>
      <c r="T913">
        <f>Data!N926</f>
        <v>0</v>
      </c>
      <c r="U913">
        <f>Data!O930</f>
        <v>0</v>
      </c>
      <c r="V913" s="33">
        <f>Data!P928</f>
        <v>0</v>
      </c>
    </row>
    <row r="914" spans="7:22" x14ac:dyDescent="0.25">
      <c r="G914">
        <f>Data!A927</f>
        <v>0</v>
      </c>
      <c r="H914" s="21">
        <f>Data!B927</f>
        <v>0</v>
      </c>
      <c r="I914" s="21">
        <f>Data!C927</f>
        <v>0</v>
      </c>
      <c r="J914">
        <f>Data!D927</f>
        <v>0</v>
      </c>
      <c r="K914">
        <f>Data!E927</f>
        <v>0</v>
      </c>
      <c r="L914">
        <f>Data!F927</f>
        <v>0</v>
      </c>
      <c r="M914">
        <f>Data!G927</f>
        <v>0</v>
      </c>
      <c r="N914">
        <f>Data!H927</f>
        <v>0</v>
      </c>
      <c r="O914">
        <f>Data!I927</f>
        <v>0</v>
      </c>
      <c r="P914" s="21">
        <f>Data!J931</f>
        <v>0</v>
      </c>
      <c r="Q914">
        <f>Data!K931</f>
        <v>0</v>
      </c>
      <c r="R914">
        <f>Data!L931</f>
        <v>0</v>
      </c>
      <c r="S914">
        <f>Data!M931</f>
        <v>0</v>
      </c>
      <c r="T914">
        <f>Data!N927</f>
        <v>0</v>
      </c>
      <c r="U914">
        <f>Data!O931</f>
        <v>0</v>
      </c>
      <c r="V914" s="33">
        <f>Data!P929</f>
        <v>0</v>
      </c>
    </row>
    <row r="915" spans="7:22" x14ac:dyDescent="0.25">
      <c r="G915">
        <f>Data!A928</f>
        <v>0</v>
      </c>
      <c r="H915" s="21">
        <f>Data!B928</f>
        <v>0</v>
      </c>
      <c r="I915" s="21">
        <f>Data!C928</f>
        <v>0</v>
      </c>
      <c r="J915">
        <f>Data!D928</f>
        <v>0</v>
      </c>
      <c r="K915">
        <f>Data!E928</f>
        <v>0</v>
      </c>
      <c r="L915">
        <f>Data!F928</f>
        <v>0</v>
      </c>
      <c r="M915">
        <f>Data!G928</f>
        <v>0</v>
      </c>
      <c r="N915">
        <f>Data!H928</f>
        <v>0</v>
      </c>
      <c r="O915">
        <f>Data!I928</f>
        <v>0</v>
      </c>
      <c r="P915" s="21">
        <f>Data!J932</f>
        <v>0</v>
      </c>
      <c r="Q915">
        <f>Data!K932</f>
        <v>0</v>
      </c>
      <c r="R915">
        <f>Data!L932</f>
        <v>0</v>
      </c>
      <c r="S915">
        <f>Data!M932</f>
        <v>0</v>
      </c>
      <c r="T915">
        <f>Data!N928</f>
        <v>0</v>
      </c>
      <c r="U915">
        <f>Data!O932</f>
        <v>0</v>
      </c>
      <c r="V915" s="33">
        <f>Data!P930</f>
        <v>0</v>
      </c>
    </row>
    <row r="916" spans="7:22" x14ac:dyDescent="0.25">
      <c r="G916">
        <f>Data!A929</f>
        <v>0</v>
      </c>
      <c r="H916" s="21">
        <f>Data!B929</f>
        <v>0</v>
      </c>
      <c r="I916" s="21">
        <f>Data!C929</f>
        <v>0</v>
      </c>
      <c r="J916">
        <f>Data!D929</f>
        <v>0</v>
      </c>
      <c r="K916">
        <f>Data!E929</f>
        <v>0</v>
      </c>
      <c r="L916">
        <f>Data!F929</f>
        <v>0</v>
      </c>
      <c r="M916">
        <f>Data!G929</f>
        <v>0</v>
      </c>
      <c r="N916">
        <f>Data!H929</f>
        <v>0</v>
      </c>
      <c r="O916">
        <f>Data!I929</f>
        <v>0</v>
      </c>
      <c r="P916" s="21">
        <f>Data!J933</f>
        <v>0</v>
      </c>
      <c r="Q916">
        <f>Data!K933</f>
        <v>0</v>
      </c>
      <c r="R916">
        <f>Data!L933</f>
        <v>0</v>
      </c>
      <c r="S916">
        <f>Data!M933</f>
        <v>0</v>
      </c>
      <c r="T916">
        <f>Data!N929</f>
        <v>0</v>
      </c>
      <c r="U916">
        <f>Data!O933</f>
        <v>0</v>
      </c>
      <c r="V916" s="33">
        <f>Data!P931</f>
        <v>0</v>
      </c>
    </row>
    <row r="917" spans="7:22" x14ac:dyDescent="0.25">
      <c r="G917">
        <f>Data!A930</f>
        <v>0</v>
      </c>
      <c r="H917" s="21">
        <f>Data!B930</f>
        <v>0</v>
      </c>
      <c r="I917" s="21">
        <f>Data!C930</f>
        <v>0</v>
      </c>
      <c r="J917">
        <f>Data!D930</f>
        <v>0</v>
      </c>
      <c r="K917">
        <f>Data!E930</f>
        <v>0</v>
      </c>
      <c r="L917">
        <f>Data!F930</f>
        <v>0</v>
      </c>
      <c r="M917">
        <f>Data!G930</f>
        <v>0</v>
      </c>
      <c r="N917">
        <f>Data!H930</f>
        <v>0</v>
      </c>
      <c r="O917">
        <f>Data!I930</f>
        <v>0</v>
      </c>
      <c r="P917" s="21">
        <f>Data!J934</f>
        <v>0</v>
      </c>
      <c r="Q917">
        <f>Data!K934</f>
        <v>0</v>
      </c>
      <c r="R917">
        <f>Data!L934</f>
        <v>0</v>
      </c>
      <c r="S917">
        <f>Data!M934</f>
        <v>0</v>
      </c>
      <c r="T917">
        <f>Data!N930</f>
        <v>0</v>
      </c>
      <c r="U917">
        <f>Data!O934</f>
        <v>0</v>
      </c>
      <c r="V917" s="33">
        <f>Data!P932</f>
        <v>0</v>
      </c>
    </row>
    <row r="918" spans="7:22" x14ac:dyDescent="0.25">
      <c r="G918">
        <f>Data!A931</f>
        <v>0</v>
      </c>
      <c r="H918" s="21">
        <f>Data!B931</f>
        <v>0</v>
      </c>
      <c r="I918" s="21">
        <f>Data!C931</f>
        <v>0</v>
      </c>
      <c r="J918">
        <f>Data!D931</f>
        <v>0</v>
      </c>
      <c r="K918">
        <f>Data!E931</f>
        <v>0</v>
      </c>
      <c r="L918">
        <f>Data!F931</f>
        <v>0</v>
      </c>
      <c r="M918">
        <f>Data!G931</f>
        <v>0</v>
      </c>
      <c r="N918">
        <f>Data!H931</f>
        <v>0</v>
      </c>
      <c r="O918">
        <f>Data!I931</f>
        <v>0</v>
      </c>
      <c r="P918" s="21">
        <f>Data!J935</f>
        <v>0</v>
      </c>
      <c r="Q918">
        <f>Data!K935</f>
        <v>0</v>
      </c>
      <c r="R918">
        <f>Data!L935</f>
        <v>0</v>
      </c>
      <c r="S918">
        <f>Data!M935</f>
        <v>0</v>
      </c>
      <c r="T918">
        <f>Data!N931</f>
        <v>0</v>
      </c>
      <c r="U918">
        <f>Data!O935</f>
        <v>0</v>
      </c>
      <c r="V918" s="33">
        <f>Data!P933</f>
        <v>0</v>
      </c>
    </row>
    <row r="919" spans="7:22" x14ac:dyDescent="0.25">
      <c r="G919">
        <f>Data!A932</f>
        <v>0</v>
      </c>
      <c r="H919" s="21">
        <f>Data!B932</f>
        <v>0</v>
      </c>
      <c r="I919" s="21">
        <f>Data!C932</f>
        <v>0</v>
      </c>
      <c r="J919">
        <f>Data!D932</f>
        <v>0</v>
      </c>
      <c r="K919">
        <f>Data!E932</f>
        <v>0</v>
      </c>
      <c r="L919">
        <f>Data!F932</f>
        <v>0</v>
      </c>
      <c r="M919">
        <f>Data!G932</f>
        <v>0</v>
      </c>
      <c r="N919">
        <f>Data!H932</f>
        <v>0</v>
      </c>
      <c r="O919">
        <f>Data!I932</f>
        <v>0</v>
      </c>
      <c r="P919" s="21">
        <f>Data!J936</f>
        <v>0</v>
      </c>
      <c r="Q919">
        <f>Data!K936</f>
        <v>0</v>
      </c>
      <c r="R919">
        <f>Data!L936</f>
        <v>0</v>
      </c>
      <c r="S919">
        <f>Data!M936</f>
        <v>0</v>
      </c>
      <c r="T919">
        <f>Data!N932</f>
        <v>0</v>
      </c>
      <c r="U919">
        <f>Data!O936</f>
        <v>0</v>
      </c>
      <c r="V919" s="33">
        <f>Data!P934</f>
        <v>0</v>
      </c>
    </row>
    <row r="920" spans="7:22" x14ac:dyDescent="0.25">
      <c r="G920">
        <f>Data!A933</f>
        <v>0</v>
      </c>
      <c r="H920" s="21">
        <f>Data!B933</f>
        <v>0</v>
      </c>
      <c r="I920" s="21">
        <f>Data!C933</f>
        <v>0</v>
      </c>
      <c r="J920">
        <f>Data!D933</f>
        <v>0</v>
      </c>
      <c r="K920">
        <f>Data!E933</f>
        <v>0</v>
      </c>
      <c r="L920">
        <f>Data!F933</f>
        <v>0</v>
      </c>
      <c r="M920">
        <f>Data!G933</f>
        <v>0</v>
      </c>
      <c r="N920">
        <f>Data!H933</f>
        <v>0</v>
      </c>
      <c r="O920">
        <f>Data!I933</f>
        <v>0</v>
      </c>
      <c r="P920" s="21">
        <f>Data!J937</f>
        <v>0</v>
      </c>
      <c r="Q920">
        <f>Data!K937</f>
        <v>0</v>
      </c>
      <c r="R920">
        <f>Data!L937</f>
        <v>0</v>
      </c>
      <c r="S920">
        <f>Data!M937</f>
        <v>0</v>
      </c>
      <c r="T920">
        <f>Data!N933</f>
        <v>0</v>
      </c>
      <c r="U920">
        <f>Data!O937</f>
        <v>0</v>
      </c>
      <c r="V920" s="33">
        <f>Data!P935</f>
        <v>0</v>
      </c>
    </row>
    <row r="921" spans="7:22" x14ac:dyDescent="0.25">
      <c r="G921">
        <f>Data!A934</f>
        <v>0</v>
      </c>
      <c r="H921" s="21">
        <f>Data!B934</f>
        <v>0</v>
      </c>
      <c r="I921" s="21">
        <f>Data!C934</f>
        <v>0</v>
      </c>
      <c r="J921">
        <f>Data!D934</f>
        <v>0</v>
      </c>
      <c r="K921">
        <f>Data!E934</f>
        <v>0</v>
      </c>
      <c r="L921">
        <f>Data!F934</f>
        <v>0</v>
      </c>
      <c r="M921">
        <f>Data!G934</f>
        <v>0</v>
      </c>
      <c r="N921">
        <f>Data!H934</f>
        <v>0</v>
      </c>
      <c r="O921">
        <f>Data!I934</f>
        <v>0</v>
      </c>
      <c r="P921" s="21">
        <f>Data!J938</f>
        <v>0</v>
      </c>
      <c r="Q921">
        <f>Data!K938</f>
        <v>0</v>
      </c>
      <c r="R921">
        <f>Data!L938</f>
        <v>0</v>
      </c>
      <c r="S921">
        <f>Data!M938</f>
        <v>0</v>
      </c>
      <c r="T921">
        <f>Data!N934</f>
        <v>0</v>
      </c>
      <c r="U921">
        <f>Data!O938</f>
        <v>0</v>
      </c>
      <c r="V921" s="33">
        <f>Data!P936</f>
        <v>0</v>
      </c>
    </row>
    <row r="922" spans="7:22" x14ac:dyDescent="0.25">
      <c r="G922">
        <f>Data!A935</f>
        <v>0</v>
      </c>
      <c r="H922" s="21">
        <f>Data!B935</f>
        <v>0</v>
      </c>
      <c r="I922" s="21">
        <f>Data!C935</f>
        <v>0</v>
      </c>
      <c r="J922">
        <f>Data!D935</f>
        <v>0</v>
      </c>
      <c r="K922">
        <f>Data!E935</f>
        <v>0</v>
      </c>
      <c r="L922">
        <f>Data!F935</f>
        <v>0</v>
      </c>
      <c r="M922">
        <f>Data!G935</f>
        <v>0</v>
      </c>
      <c r="N922">
        <f>Data!H935</f>
        <v>0</v>
      </c>
      <c r="O922">
        <f>Data!I935</f>
        <v>0</v>
      </c>
      <c r="P922" s="21">
        <f>Data!J939</f>
        <v>0</v>
      </c>
      <c r="Q922">
        <f>Data!K939</f>
        <v>0</v>
      </c>
      <c r="R922">
        <f>Data!L939</f>
        <v>0</v>
      </c>
      <c r="S922">
        <f>Data!M939</f>
        <v>0</v>
      </c>
      <c r="T922">
        <f>Data!N935</f>
        <v>0</v>
      </c>
      <c r="U922">
        <f>Data!O939</f>
        <v>0</v>
      </c>
      <c r="V922" s="33">
        <f>Data!P937</f>
        <v>0</v>
      </c>
    </row>
    <row r="923" spans="7:22" x14ac:dyDescent="0.25">
      <c r="G923">
        <f>Data!A936</f>
        <v>0</v>
      </c>
      <c r="H923" s="21">
        <f>Data!B936</f>
        <v>0</v>
      </c>
      <c r="I923" s="21">
        <f>Data!C936</f>
        <v>0</v>
      </c>
      <c r="J923">
        <f>Data!D936</f>
        <v>0</v>
      </c>
      <c r="K923">
        <f>Data!E936</f>
        <v>0</v>
      </c>
      <c r="L923">
        <f>Data!F936</f>
        <v>0</v>
      </c>
      <c r="M923">
        <f>Data!G936</f>
        <v>0</v>
      </c>
      <c r="N923">
        <f>Data!H936</f>
        <v>0</v>
      </c>
      <c r="O923">
        <f>Data!I936</f>
        <v>0</v>
      </c>
      <c r="P923" s="21">
        <f>Data!J940</f>
        <v>0</v>
      </c>
      <c r="Q923">
        <f>Data!K940</f>
        <v>0</v>
      </c>
      <c r="R923">
        <f>Data!L940</f>
        <v>0</v>
      </c>
      <c r="S923">
        <f>Data!M940</f>
        <v>0</v>
      </c>
      <c r="T923">
        <f>Data!N936</f>
        <v>0</v>
      </c>
      <c r="U923">
        <f>Data!O940</f>
        <v>0</v>
      </c>
      <c r="V923" s="33">
        <f>Data!P938</f>
        <v>0</v>
      </c>
    </row>
    <row r="924" spans="7:22" x14ac:dyDescent="0.25">
      <c r="G924">
        <f>Data!A937</f>
        <v>0</v>
      </c>
      <c r="H924" s="21">
        <f>Data!B937</f>
        <v>0</v>
      </c>
      <c r="I924" s="21">
        <f>Data!C937</f>
        <v>0</v>
      </c>
      <c r="J924">
        <f>Data!D937</f>
        <v>0</v>
      </c>
      <c r="K924">
        <f>Data!E937</f>
        <v>0</v>
      </c>
      <c r="L924">
        <f>Data!F937</f>
        <v>0</v>
      </c>
      <c r="M924">
        <f>Data!G937</f>
        <v>0</v>
      </c>
      <c r="N924">
        <f>Data!H937</f>
        <v>0</v>
      </c>
      <c r="O924">
        <f>Data!I937</f>
        <v>0</v>
      </c>
      <c r="P924" s="21">
        <f>Data!J941</f>
        <v>0</v>
      </c>
      <c r="Q924">
        <f>Data!K941</f>
        <v>0</v>
      </c>
      <c r="R924">
        <f>Data!L941</f>
        <v>0</v>
      </c>
      <c r="S924">
        <f>Data!M941</f>
        <v>0</v>
      </c>
      <c r="T924">
        <f>Data!N937</f>
        <v>0</v>
      </c>
      <c r="U924">
        <f>Data!O941</f>
        <v>0</v>
      </c>
      <c r="V924" s="33">
        <f>Data!P939</f>
        <v>0</v>
      </c>
    </row>
    <row r="925" spans="7:22" x14ac:dyDescent="0.25">
      <c r="G925">
        <f>Data!A938</f>
        <v>0</v>
      </c>
      <c r="H925" s="21">
        <f>Data!B938</f>
        <v>0</v>
      </c>
      <c r="I925" s="21">
        <f>Data!C938</f>
        <v>0</v>
      </c>
      <c r="J925">
        <f>Data!D938</f>
        <v>0</v>
      </c>
      <c r="K925">
        <f>Data!E938</f>
        <v>0</v>
      </c>
      <c r="L925">
        <f>Data!F938</f>
        <v>0</v>
      </c>
      <c r="M925">
        <f>Data!G938</f>
        <v>0</v>
      </c>
      <c r="N925">
        <f>Data!H938</f>
        <v>0</v>
      </c>
      <c r="O925">
        <f>Data!I938</f>
        <v>0</v>
      </c>
      <c r="P925" s="21">
        <f>Data!J942</f>
        <v>0</v>
      </c>
      <c r="Q925">
        <f>Data!K942</f>
        <v>0</v>
      </c>
      <c r="R925">
        <f>Data!L942</f>
        <v>0</v>
      </c>
      <c r="S925">
        <f>Data!M942</f>
        <v>0</v>
      </c>
      <c r="T925">
        <f>Data!N938</f>
        <v>0</v>
      </c>
      <c r="U925">
        <f>Data!O942</f>
        <v>0</v>
      </c>
      <c r="V925" s="33">
        <f>Data!P940</f>
        <v>0</v>
      </c>
    </row>
    <row r="926" spans="7:22" x14ac:dyDescent="0.25">
      <c r="G926">
        <f>Data!A939</f>
        <v>0</v>
      </c>
      <c r="H926" s="21">
        <f>Data!B939</f>
        <v>0</v>
      </c>
      <c r="I926" s="21">
        <f>Data!C939</f>
        <v>0</v>
      </c>
      <c r="J926">
        <f>Data!D939</f>
        <v>0</v>
      </c>
      <c r="K926">
        <f>Data!E939</f>
        <v>0</v>
      </c>
      <c r="L926">
        <f>Data!F939</f>
        <v>0</v>
      </c>
      <c r="M926">
        <f>Data!G939</f>
        <v>0</v>
      </c>
      <c r="N926">
        <f>Data!H939</f>
        <v>0</v>
      </c>
      <c r="O926">
        <f>Data!I939</f>
        <v>0</v>
      </c>
      <c r="P926" s="21">
        <f>Data!J943</f>
        <v>0</v>
      </c>
      <c r="Q926">
        <f>Data!K943</f>
        <v>0</v>
      </c>
      <c r="R926">
        <f>Data!L943</f>
        <v>0</v>
      </c>
      <c r="S926">
        <f>Data!M943</f>
        <v>0</v>
      </c>
      <c r="T926">
        <f>Data!N939</f>
        <v>0</v>
      </c>
      <c r="U926">
        <f>Data!O943</f>
        <v>0</v>
      </c>
      <c r="V926" s="33">
        <f>Data!P941</f>
        <v>0</v>
      </c>
    </row>
    <row r="927" spans="7:22" x14ac:dyDescent="0.25">
      <c r="G927">
        <f>Data!A940</f>
        <v>0</v>
      </c>
      <c r="H927" s="21">
        <f>Data!B940</f>
        <v>0</v>
      </c>
      <c r="I927" s="21">
        <f>Data!C940</f>
        <v>0</v>
      </c>
      <c r="J927">
        <f>Data!D940</f>
        <v>0</v>
      </c>
      <c r="K927">
        <f>Data!E940</f>
        <v>0</v>
      </c>
      <c r="L927">
        <f>Data!F940</f>
        <v>0</v>
      </c>
      <c r="M927">
        <f>Data!G940</f>
        <v>0</v>
      </c>
      <c r="N927">
        <f>Data!H940</f>
        <v>0</v>
      </c>
      <c r="O927">
        <f>Data!I940</f>
        <v>0</v>
      </c>
      <c r="P927" s="21">
        <f>Data!J944</f>
        <v>0</v>
      </c>
      <c r="Q927">
        <f>Data!K944</f>
        <v>0</v>
      </c>
      <c r="R927">
        <f>Data!L944</f>
        <v>0</v>
      </c>
      <c r="S927">
        <f>Data!M944</f>
        <v>0</v>
      </c>
      <c r="T927">
        <f>Data!N940</f>
        <v>0</v>
      </c>
      <c r="U927">
        <f>Data!O944</f>
        <v>0</v>
      </c>
      <c r="V927" s="33">
        <f>Data!P942</f>
        <v>0</v>
      </c>
    </row>
    <row r="928" spans="7:22" x14ac:dyDescent="0.25">
      <c r="G928">
        <f>Data!A941</f>
        <v>0</v>
      </c>
      <c r="H928" s="21">
        <f>Data!B941</f>
        <v>0</v>
      </c>
      <c r="I928" s="21">
        <f>Data!C941</f>
        <v>0</v>
      </c>
      <c r="J928">
        <f>Data!D941</f>
        <v>0</v>
      </c>
      <c r="K928">
        <f>Data!E941</f>
        <v>0</v>
      </c>
      <c r="L928">
        <f>Data!F941</f>
        <v>0</v>
      </c>
      <c r="M928">
        <f>Data!G941</f>
        <v>0</v>
      </c>
      <c r="N928">
        <f>Data!H941</f>
        <v>0</v>
      </c>
      <c r="O928">
        <f>Data!I941</f>
        <v>0</v>
      </c>
      <c r="P928" s="21">
        <f>Data!J945</f>
        <v>0</v>
      </c>
      <c r="Q928">
        <f>Data!K945</f>
        <v>0</v>
      </c>
      <c r="R928">
        <f>Data!L945</f>
        <v>0</v>
      </c>
      <c r="S928">
        <f>Data!M945</f>
        <v>0</v>
      </c>
      <c r="T928">
        <f>Data!N941</f>
        <v>0</v>
      </c>
      <c r="U928">
        <f>Data!O945</f>
        <v>0</v>
      </c>
      <c r="V928" s="33">
        <f>Data!P943</f>
        <v>0</v>
      </c>
    </row>
    <row r="929" spans="7:22" x14ac:dyDescent="0.25">
      <c r="G929">
        <f>Data!A942</f>
        <v>0</v>
      </c>
      <c r="H929" s="21">
        <f>Data!B942</f>
        <v>0</v>
      </c>
      <c r="I929" s="21">
        <f>Data!C942</f>
        <v>0</v>
      </c>
      <c r="J929">
        <f>Data!D942</f>
        <v>0</v>
      </c>
      <c r="K929">
        <f>Data!E942</f>
        <v>0</v>
      </c>
      <c r="L929">
        <f>Data!F942</f>
        <v>0</v>
      </c>
      <c r="M929">
        <f>Data!G942</f>
        <v>0</v>
      </c>
      <c r="N929">
        <f>Data!H942</f>
        <v>0</v>
      </c>
      <c r="O929">
        <f>Data!I942</f>
        <v>0</v>
      </c>
      <c r="P929" s="21">
        <f>Data!J946</f>
        <v>0</v>
      </c>
      <c r="Q929">
        <f>Data!K946</f>
        <v>0</v>
      </c>
      <c r="R929">
        <f>Data!L946</f>
        <v>0</v>
      </c>
      <c r="S929">
        <f>Data!M946</f>
        <v>0</v>
      </c>
      <c r="T929">
        <f>Data!N942</f>
        <v>0</v>
      </c>
      <c r="U929">
        <f>Data!O946</f>
        <v>0</v>
      </c>
      <c r="V929" s="33">
        <f>Data!P944</f>
        <v>0</v>
      </c>
    </row>
    <row r="930" spans="7:22" x14ac:dyDescent="0.25">
      <c r="G930">
        <f>Data!A943</f>
        <v>0</v>
      </c>
      <c r="H930" s="21">
        <f>Data!B943</f>
        <v>0</v>
      </c>
      <c r="I930" s="21">
        <f>Data!C943</f>
        <v>0</v>
      </c>
      <c r="J930">
        <f>Data!D943</f>
        <v>0</v>
      </c>
      <c r="K930">
        <f>Data!E943</f>
        <v>0</v>
      </c>
      <c r="L930">
        <f>Data!F943</f>
        <v>0</v>
      </c>
      <c r="M930">
        <f>Data!G943</f>
        <v>0</v>
      </c>
      <c r="N930">
        <f>Data!H943</f>
        <v>0</v>
      </c>
      <c r="O930">
        <f>Data!I943</f>
        <v>0</v>
      </c>
      <c r="P930" s="21">
        <f>Data!J947</f>
        <v>0</v>
      </c>
      <c r="Q930">
        <f>Data!K947</f>
        <v>0</v>
      </c>
      <c r="R930">
        <f>Data!L947</f>
        <v>0</v>
      </c>
      <c r="S930">
        <f>Data!M947</f>
        <v>0</v>
      </c>
      <c r="T930">
        <f>Data!N943</f>
        <v>0</v>
      </c>
      <c r="U930">
        <f>Data!O947</f>
        <v>0</v>
      </c>
      <c r="V930" s="33">
        <f>Data!P945</f>
        <v>0</v>
      </c>
    </row>
    <row r="931" spans="7:22" x14ac:dyDescent="0.25">
      <c r="G931">
        <f>Data!A944</f>
        <v>0</v>
      </c>
      <c r="H931" s="21">
        <f>Data!B944</f>
        <v>0</v>
      </c>
      <c r="I931" s="21">
        <f>Data!C944</f>
        <v>0</v>
      </c>
      <c r="J931">
        <f>Data!D944</f>
        <v>0</v>
      </c>
      <c r="K931">
        <f>Data!E944</f>
        <v>0</v>
      </c>
      <c r="L931">
        <f>Data!F944</f>
        <v>0</v>
      </c>
      <c r="M931">
        <f>Data!G944</f>
        <v>0</v>
      </c>
      <c r="N931">
        <f>Data!H944</f>
        <v>0</v>
      </c>
      <c r="O931">
        <f>Data!I944</f>
        <v>0</v>
      </c>
      <c r="P931" s="21">
        <f>Data!J948</f>
        <v>0</v>
      </c>
      <c r="Q931">
        <f>Data!K948</f>
        <v>0</v>
      </c>
      <c r="R931">
        <f>Data!L948</f>
        <v>0</v>
      </c>
      <c r="S931">
        <f>Data!M948</f>
        <v>0</v>
      </c>
      <c r="T931">
        <f>Data!N944</f>
        <v>0</v>
      </c>
      <c r="U931">
        <f>Data!O948</f>
        <v>0</v>
      </c>
      <c r="V931" s="33">
        <f>Data!P946</f>
        <v>0</v>
      </c>
    </row>
    <row r="932" spans="7:22" x14ac:dyDescent="0.25">
      <c r="G932">
        <f>Data!A945</f>
        <v>0</v>
      </c>
      <c r="H932" s="21">
        <f>Data!B945</f>
        <v>0</v>
      </c>
      <c r="I932" s="21">
        <f>Data!C945</f>
        <v>0</v>
      </c>
      <c r="J932">
        <f>Data!D945</f>
        <v>0</v>
      </c>
      <c r="K932">
        <f>Data!E945</f>
        <v>0</v>
      </c>
      <c r="L932">
        <f>Data!F945</f>
        <v>0</v>
      </c>
      <c r="M932">
        <f>Data!G945</f>
        <v>0</v>
      </c>
      <c r="N932">
        <f>Data!H945</f>
        <v>0</v>
      </c>
      <c r="O932">
        <f>Data!I945</f>
        <v>0</v>
      </c>
      <c r="P932" s="21">
        <f>Data!J949</f>
        <v>0</v>
      </c>
      <c r="Q932">
        <f>Data!K949</f>
        <v>0</v>
      </c>
      <c r="R932">
        <f>Data!L949</f>
        <v>0</v>
      </c>
      <c r="S932">
        <f>Data!M949</f>
        <v>0</v>
      </c>
      <c r="T932">
        <f>Data!N945</f>
        <v>0</v>
      </c>
      <c r="U932">
        <f>Data!O949</f>
        <v>0</v>
      </c>
      <c r="V932" s="33">
        <f>Data!P947</f>
        <v>0</v>
      </c>
    </row>
    <row r="933" spans="7:22" x14ac:dyDescent="0.25">
      <c r="G933">
        <f>Data!A946</f>
        <v>0</v>
      </c>
      <c r="H933" s="21">
        <f>Data!B946</f>
        <v>0</v>
      </c>
      <c r="I933" s="21">
        <f>Data!C946</f>
        <v>0</v>
      </c>
      <c r="J933">
        <f>Data!D946</f>
        <v>0</v>
      </c>
      <c r="K933">
        <f>Data!E946</f>
        <v>0</v>
      </c>
      <c r="L933">
        <f>Data!F946</f>
        <v>0</v>
      </c>
      <c r="M933">
        <f>Data!G946</f>
        <v>0</v>
      </c>
      <c r="N933">
        <f>Data!H946</f>
        <v>0</v>
      </c>
      <c r="O933">
        <f>Data!I946</f>
        <v>0</v>
      </c>
      <c r="P933" s="21">
        <f>Data!J950</f>
        <v>0</v>
      </c>
      <c r="Q933">
        <f>Data!K950</f>
        <v>0</v>
      </c>
      <c r="R933">
        <f>Data!L950</f>
        <v>0</v>
      </c>
      <c r="S933">
        <f>Data!M950</f>
        <v>0</v>
      </c>
      <c r="T933">
        <f>Data!N946</f>
        <v>0</v>
      </c>
      <c r="U933">
        <f>Data!O950</f>
        <v>0</v>
      </c>
      <c r="V933" s="33">
        <f>Data!P948</f>
        <v>0</v>
      </c>
    </row>
    <row r="934" spans="7:22" x14ac:dyDescent="0.25">
      <c r="G934">
        <f>Data!A947</f>
        <v>0</v>
      </c>
      <c r="H934" s="21">
        <f>Data!B947</f>
        <v>0</v>
      </c>
      <c r="I934" s="21">
        <f>Data!C947</f>
        <v>0</v>
      </c>
      <c r="J934">
        <f>Data!D947</f>
        <v>0</v>
      </c>
      <c r="K934">
        <f>Data!E947</f>
        <v>0</v>
      </c>
      <c r="L934">
        <f>Data!F947</f>
        <v>0</v>
      </c>
      <c r="M934">
        <f>Data!G947</f>
        <v>0</v>
      </c>
      <c r="N934">
        <f>Data!H947</f>
        <v>0</v>
      </c>
      <c r="O934">
        <f>Data!I947</f>
        <v>0</v>
      </c>
      <c r="P934" s="21">
        <f>Data!J951</f>
        <v>0</v>
      </c>
      <c r="Q934">
        <f>Data!K951</f>
        <v>0</v>
      </c>
      <c r="R934">
        <f>Data!L951</f>
        <v>0</v>
      </c>
      <c r="S934">
        <f>Data!M951</f>
        <v>0</v>
      </c>
      <c r="T934">
        <f>Data!N947</f>
        <v>0</v>
      </c>
      <c r="U934">
        <f>Data!O951</f>
        <v>0</v>
      </c>
      <c r="V934" s="33">
        <f>Data!P949</f>
        <v>0</v>
      </c>
    </row>
    <row r="935" spans="7:22" x14ac:dyDescent="0.25">
      <c r="G935">
        <f>Data!A948</f>
        <v>0</v>
      </c>
      <c r="H935" s="21">
        <f>Data!B948</f>
        <v>0</v>
      </c>
      <c r="I935" s="21">
        <f>Data!C948</f>
        <v>0</v>
      </c>
      <c r="J935">
        <f>Data!D948</f>
        <v>0</v>
      </c>
      <c r="K935">
        <f>Data!E948</f>
        <v>0</v>
      </c>
      <c r="L935">
        <f>Data!F948</f>
        <v>0</v>
      </c>
      <c r="M935">
        <f>Data!G948</f>
        <v>0</v>
      </c>
      <c r="N935">
        <f>Data!H948</f>
        <v>0</v>
      </c>
      <c r="O935">
        <f>Data!I948</f>
        <v>0</v>
      </c>
      <c r="P935" s="21">
        <f>Data!J952</f>
        <v>0</v>
      </c>
      <c r="Q935">
        <f>Data!K952</f>
        <v>0</v>
      </c>
      <c r="R935">
        <f>Data!L952</f>
        <v>0</v>
      </c>
      <c r="S935">
        <f>Data!M952</f>
        <v>0</v>
      </c>
      <c r="T935">
        <f>Data!N948</f>
        <v>0</v>
      </c>
      <c r="U935">
        <f>Data!O952</f>
        <v>0</v>
      </c>
      <c r="V935" s="33">
        <f>Data!P950</f>
        <v>0</v>
      </c>
    </row>
    <row r="936" spans="7:22" x14ac:dyDescent="0.25">
      <c r="G936">
        <f>Data!A949</f>
        <v>0</v>
      </c>
      <c r="H936" s="21">
        <f>Data!B949</f>
        <v>0</v>
      </c>
      <c r="I936" s="21">
        <f>Data!C949</f>
        <v>0</v>
      </c>
      <c r="J936">
        <f>Data!D949</f>
        <v>0</v>
      </c>
      <c r="K936">
        <f>Data!E949</f>
        <v>0</v>
      </c>
      <c r="L936">
        <f>Data!F949</f>
        <v>0</v>
      </c>
      <c r="M936">
        <f>Data!G949</f>
        <v>0</v>
      </c>
      <c r="N936">
        <f>Data!H949</f>
        <v>0</v>
      </c>
      <c r="O936">
        <f>Data!I949</f>
        <v>0</v>
      </c>
      <c r="P936" s="21">
        <f>Data!J953</f>
        <v>0</v>
      </c>
      <c r="Q936">
        <f>Data!K953</f>
        <v>0</v>
      </c>
      <c r="R936">
        <f>Data!L953</f>
        <v>0</v>
      </c>
      <c r="S936">
        <f>Data!M953</f>
        <v>0</v>
      </c>
      <c r="T936">
        <f>Data!N949</f>
        <v>0</v>
      </c>
      <c r="U936">
        <f>Data!O953</f>
        <v>0</v>
      </c>
      <c r="V936" s="33">
        <f>Data!P951</f>
        <v>0</v>
      </c>
    </row>
    <row r="937" spans="7:22" x14ac:dyDescent="0.25">
      <c r="G937">
        <f>Data!A950</f>
        <v>0</v>
      </c>
      <c r="H937" s="21">
        <f>Data!B950</f>
        <v>0</v>
      </c>
      <c r="I937" s="21">
        <f>Data!C950</f>
        <v>0</v>
      </c>
      <c r="J937">
        <f>Data!D950</f>
        <v>0</v>
      </c>
      <c r="K937">
        <f>Data!E950</f>
        <v>0</v>
      </c>
      <c r="L937">
        <f>Data!F950</f>
        <v>0</v>
      </c>
      <c r="M937">
        <f>Data!G950</f>
        <v>0</v>
      </c>
      <c r="N937">
        <f>Data!H950</f>
        <v>0</v>
      </c>
      <c r="O937">
        <f>Data!I950</f>
        <v>0</v>
      </c>
      <c r="P937" s="21">
        <f>Data!J954</f>
        <v>0</v>
      </c>
      <c r="Q937">
        <f>Data!K954</f>
        <v>0</v>
      </c>
      <c r="R937">
        <f>Data!L954</f>
        <v>0</v>
      </c>
      <c r="S937">
        <f>Data!M954</f>
        <v>0</v>
      </c>
      <c r="T937">
        <f>Data!N950</f>
        <v>0</v>
      </c>
      <c r="U937">
        <f>Data!O954</f>
        <v>0</v>
      </c>
      <c r="V937" s="33">
        <f>Data!P952</f>
        <v>0</v>
      </c>
    </row>
    <row r="938" spans="7:22" x14ac:dyDescent="0.25">
      <c r="G938">
        <f>Data!A951</f>
        <v>0</v>
      </c>
      <c r="H938" s="21">
        <f>Data!B951</f>
        <v>0</v>
      </c>
      <c r="I938" s="21">
        <f>Data!C951</f>
        <v>0</v>
      </c>
      <c r="J938">
        <f>Data!D951</f>
        <v>0</v>
      </c>
      <c r="K938">
        <f>Data!E951</f>
        <v>0</v>
      </c>
      <c r="L938">
        <f>Data!F951</f>
        <v>0</v>
      </c>
      <c r="M938">
        <f>Data!G951</f>
        <v>0</v>
      </c>
      <c r="N938">
        <f>Data!H951</f>
        <v>0</v>
      </c>
      <c r="O938">
        <f>Data!I951</f>
        <v>0</v>
      </c>
      <c r="P938" s="21">
        <f>Data!J955</f>
        <v>0</v>
      </c>
      <c r="Q938">
        <f>Data!K955</f>
        <v>0</v>
      </c>
      <c r="R938">
        <f>Data!L955</f>
        <v>0</v>
      </c>
      <c r="S938">
        <f>Data!M955</f>
        <v>0</v>
      </c>
      <c r="T938">
        <f>Data!N951</f>
        <v>0</v>
      </c>
      <c r="U938">
        <f>Data!O955</f>
        <v>0</v>
      </c>
      <c r="V938" s="33">
        <f>Data!P953</f>
        <v>0</v>
      </c>
    </row>
    <row r="939" spans="7:22" x14ac:dyDescent="0.25">
      <c r="G939">
        <f>Data!A952</f>
        <v>0</v>
      </c>
      <c r="H939" s="21">
        <f>Data!B952</f>
        <v>0</v>
      </c>
      <c r="I939" s="21">
        <f>Data!C952</f>
        <v>0</v>
      </c>
      <c r="J939">
        <f>Data!D952</f>
        <v>0</v>
      </c>
      <c r="K939">
        <f>Data!E952</f>
        <v>0</v>
      </c>
      <c r="L939">
        <f>Data!F952</f>
        <v>0</v>
      </c>
      <c r="M939">
        <f>Data!G952</f>
        <v>0</v>
      </c>
      <c r="N939">
        <f>Data!H952</f>
        <v>0</v>
      </c>
      <c r="O939">
        <f>Data!I952</f>
        <v>0</v>
      </c>
      <c r="P939" s="21">
        <f>Data!J956</f>
        <v>0</v>
      </c>
      <c r="Q939">
        <f>Data!K956</f>
        <v>0</v>
      </c>
      <c r="R939">
        <f>Data!L956</f>
        <v>0</v>
      </c>
      <c r="S939">
        <f>Data!M956</f>
        <v>0</v>
      </c>
      <c r="T939">
        <f>Data!N952</f>
        <v>0</v>
      </c>
      <c r="U939">
        <f>Data!O956</f>
        <v>0</v>
      </c>
      <c r="V939" s="33">
        <f>Data!P954</f>
        <v>0</v>
      </c>
    </row>
    <row r="940" spans="7:22" x14ac:dyDescent="0.25">
      <c r="G940">
        <f>Data!A953</f>
        <v>0</v>
      </c>
      <c r="H940" s="21">
        <f>Data!B953</f>
        <v>0</v>
      </c>
      <c r="I940" s="21">
        <f>Data!C953</f>
        <v>0</v>
      </c>
      <c r="J940">
        <f>Data!D953</f>
        <v>0</v>
      </c>
      <c r="K940">
        <f>Data!E953</f>
        <v>0</v>
      </c>
      <c r="L940">
        <f>Data!F953</f>
        <v>0</v>
      </c>
      <c r="M940">
        <f>Data!G953</f>
        <v>0</v>
      </c>
      <c r="N940">
        <f>Data!H953</f>
        <v>0</v>
      </c>
      <c r="O940">
        <f>Data!I953</f>
        <v>0</v>
      </c>
      <c r="P940" s="21">
        <f>Data!J957</f>
        <v>0</v>
      </c>
      <c r="Q940">
        <f>Data!K957</f>
        <v>0</v>
      </c>
      <c r="R940">
        <f>Data!L957</f>
        <v>0</v>
      </c>
      <c r="S940">
        <f>Data!M957</f>
        <v>0</v>
      </c>
      <c r="T940">
        <f>Data!N953</f>
        <v>0</v>
      </c>
      <c r="U940">
        <f>Data!O957</f>
        <v>0</v>
      </c>
      <c r="V940" s="33">
        <f>Data!P955</f>
        <v>0</v>
      </c>
    </row>
    <row r="941" spans="7:22" x14ac:dyDescent="0.25">
      <c r="G941">
        <f>Data!A954</f>
        <v>0</v>
      </c>
      <c r="H941" s="21">
        <f>Data!B954</f>
        <v>0</v>
      </c>
      <c r="I941" s="21">
        <f>Data!C954</f>
        <v>0</v>
      </c>
      <c r="J941">
        <f>Data!D954</f>
        <v>0</v>
      </c>
      <c r="K941">
        <f>Data!E954</f>
        <v>0</v>
      </c>
      <c r="L941">
        <f>Data!F954</f>
        <v>0</v>
      </c>
      <c r="M941">
        <f>Data!G954</f>
        <v>0</v>
      </c>
      <c r="N941">
        <f>Data!H954</f>
        <v>0</v>
      </c>
      <c r="O941">
        <f>Data!I954</f>
        <v>0</v>
      </c>
      <c r="P941" s="21">
        <f>Data!J958</f>
        <v>0</v>
      </c>
      <c r="Q941">
        <f>Data!K958</f>
        <v>0</v>
      </c>
      <c r="R941">
        <f>Data!L958</f>
        <v>0</v>
      </c>
      <c r="S941">
        <f>Data!M958</f>
        <v>0</v>
      </c>
      <c r="T941">
        <f>Data!N954</f>
        <v>0</v>
      </c>
      <c r="U941">
        <f>Data!O958</f>
        <v>0</v>
      </c>
      <c r="V941" s="33">
        <f>Data!P956</f>
        <v>0</v>
      </c>
    </row>
    <row r="942" spans="7:22" x14ac:dyDescent="0.25">
      <c r="G942">
        <f>Data!A955</f>
        <v>0</v>
      </c>
      <c r="H942" s="21">
        <f>Data!B955</f>
        <v>0</v>
      </c>
      <c r="I942" s="21">
        <f>Data!C955</f>
        <v>0</v>
      </c>
      <c r="J942">
        <f>Data!D955</f>
        <v>0</v>
      </c>
      <c r="K942">
        <f>Data!E955</f>
        <v>0</v>
      </c>
      <c r="L942">
        <f>Data!F955</f>
        <v>0</v>
      </c>
      <c r="M942">
        <f>Data!G955</f>
        <v>0</v>
      </c>
      <c r="N942">
        <f>Data!H955</f>
        <v>0</v>
      </c>
      <c r="O942">
        <f>Data!I955</f>
        <v>0</v>
      </c>
      <c r="P942" s="21">
        <f>Data!J959</f>
        <v>0</v>
      </c>
      <c r="Q942">
        <f>Data!K959</f>
        <v>0</v>
      </c>
      <c r="R942">
        <f>Data!L959</f>
        <v>0</v>
      </c>
      <c r="S942">
        <f>Data!M959</f>
        <v>0</v>
      </c>
      <c r="T942">
        <f>Data!N955</f>
        <v>0</v>
      </c>
      <c r="U942">
        <f>Data!O959</f>
        <v>0</v>
      </c>
      <c r="V942" s="33">
        <f>Data!P957</f>
        <v>0</v>
      </c>
    </row>
    <row r="943" spans="7:22" x14ac:dyDescent="0.25">
      <c r="G943">
        <f>Data!A956</f>
        <v>0</v>
      </c>
      <c r="H943" s="21">
        <f>Data!B956</f>
        <v>0</v>
      </c>
      <c r="I943" s="21">
        <f>Data!C956</f>
        <v>0</v>
      </c>
      <c r="J943">
        <f>Data!D956</f>
        <v>0</v>
      </c>
      <c r="K943">
        <f>Data!E956</f>
        <v>0</v>
      </c>
      <c r="L943">
        <f>Data!F956</f>
        <v>0</v>
      </c>
      <c r="M943">
        <f>Data!G956</f>
        <v>0</v>
      </c>
      <c r="N943">
        <f>Data!H956</f>
        <v>0</v>
      </c>
      <c r="O943">
        <f>Data!I956</f>
        <v>0</v>
      </c>
      <c r="P943" s="21">
        <f>Data!J960</f>
        <v>0</v>
      </c>
      <c r="Q943">
        <f>Data!K960</f>
        <v>0</v>
      </c>
      <c r="R943">
        <f>Data!L960</f>
        <v>0</v>
      </c>
      <c r="S943">
        <f>Data!M960</f>
        <v>0</v>
      </c>
      <c r="T943">
        <f>Data!N956</f>
        <v>0</v>
      </c>
      <c r="U943">
        <f>Data!O960</f>
        <v>0</v>
      </c>
      <c r="V943" s="33">
        <f>Data!P958</f>
        <v>0</v>
      </c>
    </row>
    <row r="944" spans="7:22" x14ac:dyDescent="0.25">
      <c r="G944">
        <f>Data!A957</f>
        <v>0</v>
      </c>
      <c r="H944" s="21">
        <f>Data!B957</f>
        <v>0</v>
      </c>
      <c r="I944" s="21">
        <f>Data!C957</f>
        <v>0</v>
      </c>
      <c r="J944">
        <f>Data!D957</f>
        <v>0</v>
      </c>
      <c r="K944">
        <f>Data!E957</f>
        <v>0</v>
      </c>
      <c r="L944">
        <f>Data!F957</f>
        <v>0</v>
      </c>
      <c r="M944">
        <f>Data!G957</f>
        <v>0</v>
      </c>
      <c r="N944">
        <f>Data!H957</f>
        <v>0</v>
      </c>
      <c r="O944">
        <f>Data!I957</f>
        <v>0</v>
      </c>
      <c r="P944" s="21">
        <f>Data!J961</f>
        <v>0</v>
      </c>
      <c r="Q944">
        <f>Data!K961</f>
        <v>0</v>
      </c>
      <c r="R944">
        <f>Data!L961</f>
        <v>0</v>
      </c>
      <c r="S944">
        <f>Data!M961</f>
        <v>0</v>
      </c>
      <c r="T944">
        <f>Data!N957</f>
        <v>0</v>
      </c>
      <c r="U944">
        <f>Data!O961</f>
        <v>0</v>
      </c>
      <c r="V944" s="33">
        <f>Data!P959</f>
        <v>0</v>
      </c>
    </row>
    <row r="945" spans="7:22" x14ac:dyDescent="0.25">
      <c r="G945">
        <f>Data!A958</f>
        <v>0</v>
      </c>
      <c r="H945" s="21">
        <f>Data!B958</f>
        <v>0</v>
      </c>
      <c r="I945" s="21">
        <f>Data!C958</f>
        <v>0</v>
      </c>
      <c r="J945">
        <f>Data!D958</f>
        <v>0</v>
      </c>
      <c r="K945">
        <f>Data!E958</f>
        <v>0</v>
      </c>
      <c r="L945">
        <f>Data!F958</f>
        <v>0</v>
      </c>
      <c r="M945">
        <f>Data!G958</f>
        <v>0</v>
      </c>
      <c r="N945">
        <f>Data!H958</f>
        <v>0</v>
      </c>
      <c r="O945">
        <f>Data!I958</f>
        <v>0</v>
      </c>
      <c r="P945" s="21">
        <f>Data!J962</f>
        <v>0</v>
      </c>
      <c r="Q945">
        <f>Data!K962</f>
        <v>0</v>
      </c>
      <c r="R945">
        <f>Data!L962</f>
        <v>0</v>
      </c>
      <c r="S945">
        <f>Data!M962</f>
        <v>0</v>
      </c>
      <c r="T945">
        <f>Data!N958</f>
        <v>0</v>
      </c>
      <c r="U945">
        <f>Data!O962</f>
        <v>0</v>
      </c>
      <c r="V945" s="33">
        <f>Data!P960</f>
        <v>0</v>
      </c>
    </row>
    <row r="946" spans="7:22" x14ac:dyDescent="0.25">
      <c r="G946">
        <f>Data!A959</f>
        <v>0</v>
      </c>
      <c r="H946" s="21">
        <f>Data!B959</f>
        <v>0</v>
      </c>
      <c r="I946" s="21">
        <f>Data!C959</f>
        <v>0</v>
      </c>
      <c r="J946">
        <f>Data!D959</f>
        <v>0</v>
      </c>
      <c r="K946">
        <f>Data!E959</f>
        <v>0</v>
      </c>
      <c r="L946">
        <f>Data!F959</f>
        <v>0</v>
      </c>
      <c r="M946">
        <f>Data!G959</f>
        <v>0</v>
      </c>
      <c r="N946">
        <f>Data!H959</f>
        <v>0</v>
      </c>
      <c r="O946">
        <f>Data!I959</f>
        <v>0</v>
      </c>
      <c r="P946" s="21">
        <f>Data!J963</f>
        <v>0</v>
      </c>
      <c r="Q946">
        <f>Data!K963</f>
        <v>0</v>
      </c>
      <c r="R946">
        <f>Data!L963</f>
        <v>0</v>
      </c>
      <c r="S946">
        <f>Data!M963</f>
        <v>0</v>
      </c>
      <c r="T946">
        <f>Data!N959</f>
        <v>0</v>
      </c>
      <c r="U946">
        <f>Data!O963</f>
        <v>0</v>
      </c>
      <c r="V946" s="33">
        <f>Data!P961</f>
        <v>0</v>
      </c>
    </row>
    <row r="947" spans="7:22" x14ac:dyDescent="0.25">
      <c r="G947">
        <f>Data!A960</f>
        <v>0</v>
      </c>
      <c r="H947" s="21">
        <f>Data!B960</f>
        <v>0</v>
      </c>
      <c r="I947" s="21">
        <f>Data!C960</f>
        <v>0</v>
      </c>
      <c r="J947">
        <f>Data!D960</f>
        <v>0</v>
      </c>
      <c r="K947">
        <f>Data!E960</f>
        <v>0</v>
      </c>
      <c r="L947">
        <f>Data!F960</f>
        <v>0</v>
      </c>
      <c r="M947">
        <f>Data!G960</f>
        <v>0</v>
      </c>
      <c r="N947">
        <f>Data!H960</f>
        <v>0</v>
      </c>
      <c r="O947">
        <f>Data!I960</f>
        <v>0</v>
      </c>
      <c r="P947" s="21">
        <f>Data!J964</f>
        <v>0</v>
      </c>
      <c r="Q947">
        <f>Data!K964</f>
        <v>0</v>
      </c>
      <c r="R947">
        <f>Data!L964</f>
        <v>0</v>
      </c>
      <c r="S947">
        <f>Data!M964</f>
        <v>0</v>
      </c>
      <c r="T947">
        <f>Data!N960</f>
        <v>0</v>
      </c>
      <c r="U947">
        <f>Data!O964</f>
        <v>0</v>
      </c>
      <c r="V947" s="33">
        <f>Data!P962</f>
        <v>0</v>
      </c>
    </row>
    <row r="948" spans="7:22" x14ac:dyDescent="0.25">
      <c r="G948">
        <f>Data!A961</f>
        <v>0</v>
      </c>
      <c r="H948" s="21">
        <f>Data!B961</f>
        <v>0</v>
      </c>
      <c r="I948" s="21">
        <f>Data!C961</f>
        <v>0</v>
      </c>
      <c r="J948">
        <f>Data!D961</f>
        <v>0</v>
      </c>
      <c r="K948">
        <f>Data!E961</f>
        <v>0</v>
      </c>
      <c r="L948">
        <f>Data!F961</f>
        <v>0</v>
      </c>
      <c r="M948">
        <f>Data!G961</f>
        <v>0</v>
      </c>
      <c r="N948">
        <f>Data!H961</f>
        <v>0</v>
      </c>
      <c r="O948">
        <f>Data!I961</f>
        <v>0</v>
      </c>
      <c r="P948" s="21">
        <f>Data!J965</f>
        <v>0</v>
      </c>
      <c r="Q948">
        <f>Data!K965</f>
        <v>0</v>
      </c>
      <c r="R948">
        <f>Data!L965</f>
        <v>0</v>
      </c>
      <c r="S948">
        <f>Data!M965</f>
        <v>0</v>
      </c>
      <c r="T948">
        <f>Data!N961</f>
        <v>0</v>
      </c>
      <c r="U948">
        <f>Data!O965</f>
        <v>0</v>
      </c>
      <c r="V948" s="33">
        <f>Data!P963</f>
        <v>0</v>
      </c>
    </row>
    <row r="949" spans="7:22" x14ac:dyDescent="0.25">
      <c r="G949">
        <f>Data!A962</f>
        <v>0</v>
      </c>
      <c r="H949" s="21">
        <f>Data!B962</f>
        <v>0</v>
      </c>
      <c r="I949" s="21">
        <f>Data!C962</f>
        <v>0</v>
      </c>
      <c r="J949">
        <f>Data!D962</f>
        <v>0</v>
      </c>
      <c r="K949">
        <f>Data!E962</f>
        <v>0</v>
      </c>
      <c r="L949">
        <f>Data!F962</f>
        <v>0</v>
      </c>
      <c r="M949">
        <f>Data!G962</f>
        <v>0</v>
      </c>
      <c r="N949">
        <f>Data!H962</f>
        <v>0</v>
      </c>
      <c r="O949">
        <f>Data!I962</f>
        <v>0</v>
      </c>
      <c r="P949" s="21">
        <f>Data!J966</f>
        <v>0</v>
      </c>
      <c r="Q949">
        <f>Data!K966</f>
        <v>0</v>
      </c>
      <c r="R949">
        <f>Data!L966</f>
        <v>0</v>
      </c>
      <c r="S949">
        <f>Data!M966</f>
        <v>0</v>
      </c>
      <c r="T949">
        <f>Data!N962</f>
        <v>0</v>
      </c>
      <c r="U949">
        <f>Data!O966</f>
        <v>0</v>
      </c>
      <c r="V949" s="33">
        <f>Data!P964</f>
        <v>0</v>
      </c>
    </row>
    <row r="950" spans="7:22" x14ac:dyDescent="0.25">
      <c r="G950">
        <f>Data!A963</f>
        <v>0</v>
      </c>
      <c r="H950" s="21">
        <f>Data!B963</f>
        <v>0</v>
      </c>
      <c r="I950" s="21">
        <f>Data!C963</f>
        <v>0</v>
      </c>
      <c r="J950">
        <f>Data!D963</f>
        <v>0</v>
      </c>
      <c r="K950">
        <f>Data!E963</f>
        <v>0</v>
      </c>
      <c r="L950">
        <f>Data!F963</f>
        <v>0</v>
      </c>
      <c r="M950">
        <f>Data!G963</f>
        <v>0</v>
      </c>
      <c r="N950">
        <f>Data!H963</f>
        <v>0</v>
      </c>
      <c r="O950">
        <f>Data!I963</f>
        <v>0</v>
      </c>
      <c r="P950" s="21">
        <f>Data!J967</f>
        <v>0</v>
      </c>
      <c r="Q950">
        <f>Data!K967</f>
        <v>0</v>
      </c>
      <c r="R950">
        <f>Data!L967</f>
        <v>0</v>
      </c>
      <c r="S950">
        <f>Data!M967</f>
        <v>0</v>
      </c>
      <c r="T950">
        <f>Data!N963</f>
        <v>0</v>
      </c>
      <c r="U950">
        <f>Data!O967</f>
        <v>0</v>
      </c>
      <c r="V950" s="33">
        <f>Data!P965</f>
        <v>0</v>
      </c>
    </row>
    <row r="951" spans="7:22" x14ac:dyDescent="0.25">
      <c r="G951">
        <f>Data!A964</f>
        <v>0</v>
      </c>
      <c r="H951" s="21">
        <f>Data!B964</f>
        <v>0</v>
      </c>
      <c r="I951" s="21">
        <f>Data!C964</f>
        <v>0</v>
      </c>
      <c r="J951">
        <f>Data!D964</f>
        <v>0</v>
      </c>
      <c r="K951">
        <f>Data!E964</f>
        <v>0</v>
      </c>
      <c r="L951">
        <f>Data!F964</f>
        <v>0</v>
      </c>
      <c r="M951">
        <f>Data!G964</f>
        <v>0</v>
      </c>
      <c r="N951">
        <f>Data!H964</f>
        <v>0</v>
      </c>
      <c r="O951">
        <f>Data!I964</f>
        <v>0</v>
      </c>
      <c r="P951" s="21">
        <f>Data!J968</f>
        <v>0</v>
      </c>
      <c r="Q951">
        <f>Data!K968</f>
        <v>0</v>
      </c>
      <c r="R951">
        <f>Data!L968</f>
        <v>0</v>
      </c>
      <c r="S951">
        <f>Data!M968</f>
        <v>0</v>
      </c>
      <c r="T951">
        <f>Data!N964</f>
        <v>0</v>
      </c>
      <c r="U951">
        <f>Data!O968</f>
        <v>0</v>
      </c>
      <c r="V951" s="33">
        <f>Data!P966</f>
        <v>0</v>
      </c>
    </row>
    <row r="952" spans="7:22" x14ac:dyDescent="0.25">
      <c r="G952">
        <f>Data!A965</f>
        <v>0</v>
      </c>
      <c r="H952" s="21">
        <f>Data!B965</f>
        <v>0</v>
      </c>
      <c r="I952" s="21">
        <f>Data!C965</f>
        <v>0</v>
      </c>
      <c r="J952">
        <f>Data!D965</f>
        <v>0</v>
      </c>
      <c r="K952">
        <f>Data!E965</f>
        <v>0</v>
      </c>
      <c r="L952">
        <f>Data!F965</f>
        <v>0</v>
      </c>
      <c r="M952">
        <f>Data!G965</f>
        <v>0</v>
      </c>
      <c r="N952">
        <f>Data!H965</f>
        <v>0</v>
      </c>
      <c r="O952">
        <f>Data!I965</f>
        <v>0</v>
      </c>
      <c r="P952" s="21">
        <f>Data!J969</f>
        <v>0</v>
      </c>
      <c r="Q952">
        <f>Data!K969</f>
        <v>0</v>
      </c>
      <c r="R952">
        <f>Data!L969</f>
        <v>0</v>
      </c>
      <c r="S952">
        <f>Data!M969</f>
        <v>0</v>
      </c>
      <c r="T952">
        <f>Data!N965</f>
        <v>0</v>
      </c>
      <c r="U952">
        <f>Data!O969</f>
        <v>0</v>
      </c>
      <c r="V952" s="33">
        <f>Data!P967</f>
        <v>0</v>
      </c>
    </row>
    <row r="953" spans="7:22" x14ac:dyDescent="0.25">
      <c r="G953">
        <f>Data!A966</f>
        <v>0</v>
      </c>
      <c r="H953" s="21">
        <f>Data!B966</f>
        <v>0</v>
      </c>
      <c r="I953" s="21">
        <f>Data!C966</f>
        <v>0</v>
      </c>
      <c r="J953">
        <f>Data!D966</f>
        <v>0</v>
      </c>
      <c r="K953">
        <f>Data!E966</f>
        <v>0</v>
      </c>
      <c r="L953">
        <f>Data!F966</f>
        <v>0</v>
      </c>
      <c r="M953">
        <f>Data!G966</f>
        <v>0</v>
      </c>
      <c r="N953">
        <f>Data!H966</f>
        <v>0</v>
      </c>
      <c r="O953">
        <f>Data!I966</f>
        <v>0</v>
      </c>
      <c r="P953" s="21">
        <f>Data!J970</f>
        <v>0</v>
      </c>
      <c r="Q953">
        <f>Data!K970</f>
        <v>0</v>
      </c>
      <c r="R953">
        <f>Data!L970</f>
        <v>0</v>
      </c>
      <c r="S953">
        <f>Data!M970</f>
        <v>0</v>
      </c>
      <c r="T953">
        <f>Data!N966</f>
        <v>0</v>
      </c>
      <c r="U953">
        <f>Data!O970</f>
        <v>0</v>
      </c>
      <c r="V953" s="33">
        <f>Data!P968</f>
        <v>0</v>
      </c>
    </row>
    <row r="954" spans="7:22" x14ac:dyDescent="0.25">
      <c r="G954">
        <f>Data!A967</f>
        <v>0</v>
      </c>
      <c r="H954" s="21">
        <f>Data!B967</f>
        <v>0</v>
      </c>
      <c r="I954" s="21">
        <f>Data!C967</f>
        <v>0</v>
      </c>
      <c r="J954">
        <f>Data!D967</f>
        <v>0</v>
      </c>
      <c r="K954">
        <f>Data!E967</f>
        <v>0</v>
      </c>
      <c r="L954">
        <f>Data!F967</f>
        <v>0</v>
      </c>
      <c r="M954">
        <f>Data!G967</f>
        <v>0</v>
      </c>
      <c r="N954">
        <f>Data!H967</f>
        <v>0</v>
      </c>
      <c r="O954">
        <f>Data!I967</f>
        <v>0</v>
      </c>
      <c r="P954" s="21">
        <f>Data!J971</f>
        <v>0</v>
      </c>
      <c r="Q954">
        <f>Data!K971</f>
        <v>0</v>
      </c>
      <c r="R954">
        <f>Data!L971</f>
        <v>0</v>
      </c>
      <c r="S954">
        <f>Data!M971</f>
        <v>0</v>
      </c>
      <c r="T954">
        <f>Data!N967</f>
        <v>0</v>
      </c>
      <c r="U954">
        <f>Data!O971</f>
        <v>0</v>
      </c>
      <c r="V954" s="33">
        <f>Data!P969</f>
        <v>0</v>
      </c>
    </row>
    <row r="955" spans="7:22" x14ac:dyDescent="0.25">
      <c r="G955">
        <f>Data!A968</f>
        <v>0</v>
      </c>
      <c r="H955" s="21">
        <f>Data!B968</f>
        <v>0</v>
      </c>
      <c r="I955" s="21">
        <f>Data!C968</f>
        <v>0</v>
      </c>
      <c r="J955">
        <f>Data!D968</f>
        <v>0</v>
      </c>
      <c r="K955">
        <f>Data!E968</f>
        <v>0</v>
      </c>
      <c r="L955">
        <f>Data!F968</f>
        <v>0</v>
      </c>
      <c r="M955">
        <f>Data!G968</f>
        <v>0</v>
      </c>
      <c r="N955">
        <f>Data!H968</f>
        <v>0</v>
      </c>
      <c r="O955">
        <f>Data!I968</f>
        <v>0</v>
      </c>
      <c r="P955" s="21">
        <f>Data!J972</f>
        <v>0</v>
      </c>
      <c r="Q955">
        <f>Data!K972</f>
        <v>0</v>
      </c>
      <c r="R955">
        <f>Data!L972</f>
        <v>0</v>
      </c>
      <c r="S955">
        <f>Data!M972</f>
        <v>0</v>
      </c>
      <c r="T955">
        <f>Data!N968</f>
        <v>0</v>
      </c>
      <c r="U955">
        <f>Data!O972</f>
        <v>0</v>
      </c>
      <c r="V955" s="33">
        <f>Data!P970</f>
        <v>0</v>
      </c>
    </row>
    <row r="956" spans="7:22" x14ac:dyDescent="0.25">
      <c r="G956">
        <f>Data!A969</f>
        <v>0</v>
      </c>
      <c r="H956" s="21">
        <f>Data!B969</f>
        <v>0</v>
      </c>
      <c r="I956" s="21">
        <f>Data!C969</f>
        <v>0</v>
      </c>
      <c r="J956">
        <f>Data!D969</f>
        <v>0</v>
      </c>
      <c r="K956">
        <f>Data!E969</f>
        <v>0</v>
      </c>
      <c r="L956">
        <f>Data!F969</f>
        <v>0</v>
      </c>
      <c r="M956">
        <f>Data!G969</f>
        <v>0</v>
      </c>
      <c r="N956">
        <f>Data!H969</f>
        <v>0</v>
      </c>
      <c r="O956">
        <f>Data!I969</f>
        <v>0</v>
      </c>
      <c r="P956" s="21">
        <f>Data!J973</f>
        <v>0</v>
      </c>
      <c r="Q956">
        <f>Data!K973</f>
        <v>0</v>
      </c>
      <c r="R956">
        <f>Data!L973</f>
        <v>0</v>
      </c>
      <c r="S956">
        <f>Data!M973</f>
        <v>0</v>
      </c>
      <c r="T956">
        <f>Data!N969</f>
        <v>0</v>
      </c>
      <c r="U956">
        <f>Data!O973</f>
        <v>0</v>
      </c>
      <c r="V956" s="33">
        <f>Data!P971</f>
        <v>0</v>
      </c>
    </row>
    <row r="957" spans="7:22" x14ac:dyDescent="0.25">
      <c r="G957">
        <f>Data!A970</f>
        <v>0</v>
      </c>
      <c r="H957" s="21">
        <f>Data!B970</f>
        <v>0</v>
      </c>
      <c r="I957" s="21">
        <f>Data!C970</f>
        <v>0</v>
      </c>
      <c r="J957">
        <f>Data!D970</f>
        <v>0</v>
      </c>
      <c r="K957">
        <f>Data!E970</f>
        <v>0</v>
      </c>
      <c r="L957">
        <f>Data!F970</f>
        <v>0</v>
      </c>
      <c r="M957">
        <f>Data!G970</f>
        <v>0</v>
      </c>
      <c r="N957">
        <f>Data!H970</f>
        <v>0</v>
      </c>
      <c r="O957">
        <f>Data!I970</f>
        <v>0</v>
      </c>
      <c r="P957" s="21">
        <f>Data!J974</f>
        <v>0</v>
      </c>
      <c r="Q957">
        <f>Data!K974</f>
        <v>0</v>
      </c>
      <c r="R957">
        <f>Data!L974</f>
        <v>0</v>
      </c>
      <c r="S957">
        <f>Data!M974</f>
        <v>0</v>
      </c>
      <c r="T957">
        <f>Data!N970</f>
        <v>0</v>
      </c>
      <c r="U957">
        <f>Data!O974</f>
        <v>0</v>
      </c>
      <c r="V957" s="33">
        <f>Data!P972</f>
        <v>0</v>
      </c>
    </row>
    <row r="958" spans="7:22" x14ac:dyDescent="0.25">
      <c r="G958">
        <f>Data!A971</f>
        <v>0</v>
      </c>
      <c r="H958" s="21">
        <f>Data!B971</f>
        <v>0</v>
      </c>
      <c r="I958" s="21">
        <f>Data!C971</f>
        <v>0</v>
      </c>
      <c r="J958">
        <f>Data!D971</f>
        <v>0</v>
      </c>
      <c r="K958">
        <f>Data!E971</f>
        <v>0</v>
      </c>
      <c r="L958">
        <f>Data!F971</f>
        <v>0</v>
      </c>
      <c r="M958">
        <f>Data!G971</f>
        <v>0</v>
      </c>
      <c r="N958">
        <f>Data!H971</f>
        <v>0</v>
      </c>
      <c r="O958">
        <f>Data!I971</f>
        <v>0</v>
      </c>
      <c r="P958" s="21">
        <f>Data!J975</f>
        <v>0</v>
      </c>
      <c r="Q958">
        <f>Data!K975</f>
        <v>0</v>
      </c>
      <c r="R958">
        <f>Data!L975</f>
        <v>0</v>
      </c>
      <c r="S958">
        <f>Data!M975</f>
        <v>0</v>
      </c>
      <c r="T958">
        <f>Data!N971</f>
        <v>0</v>
      </c>
      <c r="U958">
        <f>Data!O975</f>
        <v>0</v>
      </c>
      <c r="V958" s="33">
        <f>Data!P973</f>
        <v>0</v>
      </c>
    </row>
    <row r="959" spans="7:22" x14ac:dyDescent="0.25">
      <c r="G959">
        <f>Data!A972</f>
        <v>0</v>
      </c>
      <c r="H959" s="21">
        <f>Data!B972</f>
        <v>0</v>
      </c>
      <c r="I959" s="21">
        <f>Data!C972</f>
        <v>0</v>
      </c>
      <c r="J959">
        <f>Data!D972</f>
        <v>0</v>
      </c>
      <c r="K959">
        <f>Data!E972</f>
        <v>0</v>
      </c>
      <c r="L959">
        <f>Data!F972</f>
        <v>0</v>
      </c>
      <c r="M959">
        <f>Data!G972</f>
        <v>0</v>
      </c>
      <c r="N959">
        <f>Data!H972</f>
        <v>0</v>
      </c>
      <c r="O959">
        <f>Data!I972</f>
        <v>0</v>
      </c>
      <c r="P959" s="21">
        <f>Data!J976</f>
        <v>0</v>
      </c>
      <c r="Q959">
        <f>Data!K976</f>
        <v>0</v>
      </c>
      <c r="R959">
        <f>Data!L976</f>
        <v>0</v>
      </c>
      <c r="S959">
        <f>Data!M976</f>
        <v>0</v>
      </c>
      <c r="T959">
        <f>Data!N972</f>
        <v>0</v>
      </c>
      <c r="U959">
        <f>Data!O976</f>
        <v>0</v>
      </c>
      <c r="V959" s="33">
        <f>Data!P974</f>
        <v>0</v>
      </c>
    </row>
    <row r="960" spans="7:22" x14ac:dyDescent="0.25">
      <c r="G960">
        <f>Data!A973</f>
        <v>0</v>
      </c>
      <c r="H960" s="21">
        <f>Data!B973</f>
        <v>0</v>
      </c>
      <c r="I960" s="21">
        <f>Data!C973</f>
        <v>0</v>
      </c>
      <c r="J960">
        <f>Data!D973</f>
        <v>0</v>
      </c>
      <c r="K960">
        <f>Data!E973</f>
        <v>0</v>
      </c>
      <c r="L960">
        <f>Data!F973</f>
        <v>0</v>
      </c>
      <c r="M960">
        <f>Data!G973</f>
        <v>0</v>
      </c>
      <c r="N960">
        <f>Data!H973</f>
        <v>0</v>
      </c>
      <c r="O960">
        <f>Data!I973</f>
        <v>0</v>
      </c>
      <c r="P960" s="21">
        <f>Data!J977</f>
        <v>0</v>
      </c>
      <c r="Q960">
        <f>Data!K977</f>
        <v>0</v>
      </c>
      <c r="R960">
        <f>Data!L977</f>
        <v>0</v>
      </c>
      <c r="S960">
        <f>Data!M977</f>
        <v>0</v>
      </c>
      <c r="T960">
        <f>Data!N973</f>
        <v>0</v>
      </c>
      <c r="U960">
        <f>Data!O977</f>
        <v>0</v>
      </c>
      <c r="V960" s="33">
        <f>Data!P975</f>
        <v>0</v>
      </c>
    </row>
    <row r="961" spans="7:22" x14ac:dyDescent="0.25">
      <c r="G961">
        <f>Data!A974</f>
        <v>0</v>
      </c>
      <c r="H961" s="21">
        <f>Data!B974</f>
        <v>0</v>
      </c>
      <c r="I961" s="21">
        <f>Data!C974</f>
        <v>0</v>
      </c>
      <c r="J961">
        <f>Data!D974</f>
        <v>0</v>
      </c>
      <c r="K961">
        <f>Data!E974</f>
        <v>0</v>
      </c>
      <c r="L961">
        <f>Data!F974</f>
        <v>0</v>
      </c>
      <c r="M961">
        <f>Data!G974</f>
        <v>0</v>
      </c>
      <c r="N961">
        <f>Data!H974</f>
        <v>0</v>
      </c>
      <c r="O961">
        <f>Data!I974</f>
        <v>0</v>
      </c>
      <c r="P961" s="21">
        <f>Data!J978</f>
        <v>0</v>
      </c>
      <c r="Q961">
        <f>Data!K978</f>
        <v>0</v>
      </c>
      <c r="R961">
        <f>Data!L978</f>
        <v>0</v>
      </c>
      <c r="S961">
        <f>Data!M978</f>
        <v>0</v>
      </c>
      <c r="T961">
        <f>Data!N974</f>
        <v>0</v>
      </c>
      <c r="U961">
        <f>Data!O978</f>
        <v>0</v>
      </c>
      <c r="V961" s="33">
        <f>Data!P976</f>
        <v>0</v>
      </c>
    </row>
    <row r="962" spans="7:22" x14ac:dyDescent="0.25">
      <c r="G962">
        <f>Data!A975</f>
        <v>0</v>
      </c>
      <c r="H962" s="21">
        <f>Data!B975</f>
        <v>0</v>
      </c>
      <c r="I962" s="21">
        <f>Data!C975</f>
        <v>0</v>
      </c>
      <c r="J962">
        <f>Data!D975</f>
        <v>0</v>
      </c>
      <c r="K962">
        <f>Data!E975</f>
        <v>0</v>
      </c>
      <c r="L962">
        <f>Data!F975</f>
        <v>0</v>
      </c>
      <c r="M962">
        <f>Data!G975</f>
        <v>0</v>
      </c>
      <c r="N962">
        <f>Data!H975</f>
        <v>0</v>
      </c>
      <c r="O962">
        <f>Data!I975</f>
        <v>0</v>
      </c>
      <c r="P962" s="21">
        <f>Data!J979</f>
        <v>0</v>
      </c>
      <c r="Q962">
        <f>Data!K979</f>
        <v>0</v>
      </c>
      <c r="R962">
        <f>Data!L979</f>
        <v>0</v>
      </c>
      <c r="S962">
        <f>Data!M979</f>
        <v>0</v>
      </c>
      <c r="T962">
        <f>Data!N975</f>
        <v>0</v>
      </c>
      <c r="U962">
        <f>Data!O979</f>
        <v>0</v>
      </c>
      <c r="V962" s="33">
        <f>Data!P977</f>
        <v>0</v>
      </c>
    </row>
    <row r="963" spans="7:22" x14ac:dyDescent="0.25">
      <c r="G963">
        <f>Data!A976</f>
        <v>0</v>
      </c>
      <c r="H963" s="21">
        <f>Data!B976</f>
        <v>0</v>
      </c>
      <c r="I963" s="21">
        <f>Data!C976</f>
        <v>0</v>
      </c>
      <c r="J963">
        <f>Data!D976</f>
        <v>0</v>
      </c>
      <c r="K963">
        <f>Data!E976</f>
        <v>0</v>
      </c>
      <c r="L963">
        <f>Data!F976</f>
        <v>0</v>
      </c>
      <c r="M963">
        <f>Data!G976</f>
        <v>0</v>
      </c>
      <c r="N963">
        <f>Data!H976</f>
        <v>0</v>
      </c>
      <c r="O963">
        <f>Data!I976</f>
        <v>0</v>
      </c>
      <c r="P963" s="21">
        <f>Data!J980</f>
        <v>0</v>
      </c>
      <c r="Q963">
        <f>Data!K980</f>
        <v>0</v>
      </c>
      <c r="R963">
        <f>Data!L980</f>
        <v>0</v>
      </c>
      <c r="S963">
        <f>Data!M980</f>
        <v>0</v>
      </c>
      <c r="T963">
        <f>Data!N976</f>
        <v>0</v>
      </c>
      <c r="U963">
        <f>Data!O980</f>
        <v>0</v>
      </c>
      <c r="V963" s="33">
        <f>Data!P978</f>
        <v>0</v>
      </c>
    </row>
    <row r="964" spans="7:22" x14ac:dyDescent="0.25">
      <c r="G964">
        <f>Data!A977</f>
        <v>0</v>
      </c>
      <c r="H964" s="21">
        <f>Data!B977</f>
        <v>0</v>
      </c>
      <c r="I964" s="21">
        <f>Data!C977</f>
        <v>0</v>
      </c>
      <c r="J964">
        <f>Data!D977</f>
        <v>0</v>
      </c>
      <c r="K964">
        <f>Data!E977</f>
        <v>0</v>
      </c>
      <c r="L964">
        <f>Data!F977</f>
        <v>0</v>
      </c>
      <c r="M964">
        <f>Data!G977</f>
        <v>0</v>
      </c>
      <c r="N964">
        <f>Data!H977</f>
        <v>0</v>
      </c>
      <c r="O964">
        <f>Data!I977</f>
        <v>0</v>
      </c>
      <c r="P964" s="21">
        <f>Data!J981</f>
        <v>0</v>
      </c>
      <c r="Q964">
        <f>Data!K981</f>
        <v>0</v>
      </c>
      <c r="R964">
        <f>Data!L981</f>
        <v>0</v>
      </c>
      <c r="S964">
        <f>Data!M981</f>
        <v>0</v>
      </c>
      <c r="T964">
        <f>Data!N977</f>
        <v>0</v>
      </c>
      <c r="U964">
        <f>Data!O981</f>
        <v>0</v>
      </c>
      <c r="V964" s="33">
        <f>Data!P979</f>
        <v>0</v>
      </c>
    </row>
    <row r="965" spans="7:22" x14ac:dyDescent="0.25">
      <c r="G965">
        <f>Data!A978</f>
        <v>0</v>
      </c>
      <c r="H965" s="21">
        <f>Data!B978</f>
        <v>0</v>
      </c>
      <c r="I965" s="21">
        <f>Data!C978</f>
        <v>0</v>
      </c>
      <c r="J965">
        <f>Data!D978</f>
        <v>0</v>
      </c>
      <c r="K965">
        <f>Data!E978</f>
        <v>0</v>
      </c>
      <c r="L965">
        <f>Data!F978</f>
        <v>0</v>
      </c>
      <c r="M965">
        <f>Data!G978</f>
        <v>0</v>
      </c>
      <c r="N965">
        <f>Data!H978</f>
        <v>0</v>
      </c>
      <c r="O965">
        <f>Data!I978</f>
        <v>0</v>
      </c>
      <c r="P965" s="21">
        <f>Data!J982</f>
        <v>0</v>
      </c>
      <c r="Q965">
        <f>Data!K982</f>
        <v>0</v>
      </c>
      <c r="R965">
        <f>Data!L982</f>
        <v>0</v>
      </c>
      <c r="S965">
        <f>Data!M982</f>
        <v>0</v>
      </c>
      <c r="T965">
        <f>Data!N978</f>
        <v>0</v>
      </c>
      <c r="U965">
        <f>Data!O982</f>
        <v>0</v>
      </c>
      <c r="V965" s="33">
        <f>Data!P980</f>
        <v>0</v>
      </c>
    </row>
    <row r="966" spans="7:22" x14ac:dyDescent="0.25">
      <c r="G966">
        <f>Data!A979</f>
        <v>0</v>
      </c>
      <c r="H966" s="21">
        <f>Data!B979</f>
        <v>0</v>
      </c>
      <c r="I966" s="21">
        <f>Data!C979</f>
        <v>0</v>
      </c>
      <c r="J966">
        <f>Data!D979</f>
        <v>0</v>
      </c>
      <c r="K966">
        <f>Data!E979</f>
        <v>0</v>
      </c>
      <c r="L966">
        <f>Data!F979</f>
        <v>0</v>
      </c>
      <c r="M966">
        <f>Data!G979</f>
        <v>0</v>
      </c>
      <c r="N966">
        <f>Data!H979</f>
        <v>0</v>
      </c>
      <c r="O966">
        <f>Data!I979</f>
        <v>0</v>
      </c>
      <c r="P966" s="21">
        <f>Data!J983</f>
        <v>0</v>
      </c>
      <c r="Q966">
        <f>Data!K983</f>
        <v>0</v>
      </c>
      <c r="R966">
        <f>Data!L983</f>
        <v>0</v>
      </c>
      <c r="S966">
        <f>Data!M983</f>
        <v>0</v>
      </c>
      <c r="T966">
        <f>Data!N979</f>
        <v>0</v>
      </c>
      <c r="U966">
        <f>Data!O983</f>
        <v>0</v>
      </c>
      <c r="V966" s="33">
        <f>Data!P981</f>
        <v>0</v>
      </c>
    </row>
    <row r="967" spans="7:22" x14ac:dyDescent="0.25">
      <c r="G967">
        <f>Data!A980</f>
        <v>0</v>
      </c>
      <c r="H967" s="21">
        <f>Data!B980</f>
        <v>0</v>
      </c>
      <c r="I967" s="21">
        <f>Data!C980</f>
        <v>0</v>
      </c>
      <c r="J967">
        <f>Data!D980</f>
        <v>0</v>
      </c>
      <c r="K967">
        <f>Data!E980</f>
        <v>0</v>
      </c>
      <c r="L967">
        <f>Data!F980</f>
        <v>0</v>
      </c>
      <c r="M967">
        <f>Data!G980</f>
        <v>0</v>
      </c>
      <c r="N967">
        <f>Data!H980</f>
        <v>0</v>
      </c>
      <c r="O967">
        <f>Data!I980</f>
        <v>0</v>
      </c>
      <c r="P967" s="21">
        <f>Data!J984</f>
        <v>0</v>
      </c>
      <c r="Q967">
        <f>Data!K984</f>
        <v>0</v>
      </c>
      <c r="R967">
        <f>Data!L984</f>
        <v>0</v>
      </c>
      <c r="S967">
        <f>Data!M984</f>
        <v>0</v>
      </c>
      <c r="T967">
        <f>Data!N980</f>
        <v>0</v>
      </c>
      <c r="U967">
        <f>Data!O984</f>
        <v>0</v>
      </c>
      <c r="V967" s="33">
        <f>Data!P982</f>
        <v>0</v>
      </c>
    </row>
    <row r="968" spans="7:22" x14ac:dyDescent="0.25">
      <c r="G968">
        <f>Data!A981</f>
        <v>0</v>
      </c>
      <c r="H968" s="21">
        <f>Data!B981</f>
        <v>0</v>
      </c>
      <c r="I968" s="21">
        <f>Data!C981</f>
        <v>0</v>
      </c>
      <c r="J968">
        <f>Data!D981</f>
        <v>0</v>
      </c>
      <c r="K968">
        <f>Data!E981</f>
        <v>0</v>
      </c>
      <c r="L968">
        <f>Data!F981</f>
        <v>0</v>
      </c>
      <c r="M968">
        <f>Data!G981</f>
        <v>0</v>
      </c>
      <c r="N968">
        <f>Data!H981</f>
        <v>0</v>
      </c>
      <c r="O968">
        <f>Data!I981</f>
        <v>0</v>
      </c>
      <c r="P968" s="21">
        <f>Data!J985</f>
        <v>0</v>
      </c>
      <c r="Q968">
        <f>Data!K985</f>
        <v>0</v>
      </c>
      <c r="R968">
        <f>Data!L985</f>
        <v>0</v>
      </c>
      <c r="S968">
        <f>Data!M985</f>
        <v>0</v>
      </c>
      <c r="T968">
        <f>Data!N981</f>
        <v>0</v>
      </c>
      <c r="U968">
        <f>Data!O985</f>
        <v>0</v>
      </c>
      <c r="V968" s="33">
        <f>Data!P983</f>
        <v>0</v>
      </c>
    </row>
    <row r="969" spans="7:22" x14ac:dyDescent="0.25">
      <c r="G969">
        <f>Data!A982</f>
        <v>0</v>
      </c>
      <c r="H969" s="21">
        <f>Data!B982</f>
        <v>0</v>
      </c>
      <c r="I969" s="21">
        <f>Data!C982</f>
        <v>0</v>
      </c>
      <c r="J969">
        <f>Data!D982</f>
        <v>0</v>
      </c>
      <c r="K969">
        <f>Data!E982</f>
        <v>0</v>
      </c>
      <c r="L969">
        <f>Data!F982</f>
        <v>0</v>
      </c>
      <c r="M969">
        <f>Data!G982</f>
        <v>0</v>
      </c>
      <c r="N969">
        <f>Data!H982</f>
        <v>0</v>
      </c>
      <c r="O969">
        <f>Data!I982</f>
        <v>0</v>
      </c>
      <c r="P969" s="21">
        <f>Data!J986</f>
        <v>0</v>
      </c>
      <c r="Q969">
        <f>Data!K986</f>
        <v>0</v>
      </c>
      <c r="R969">
        <f>Data!L986</f>
        <v>0</v>
      </c>
      <c r="S969">
        <f>Data!M986</f>
        <v>0</v>
      </c>
      <c r="T969">
        <f>Data!N982</f>
        <v>0</v>
      </c>
      <c r="U969">
        <f>Data!O986</f>
        <v>0</v>
      </c>
      <c r="V969" s="33">
        <f>Data!P984</f>
        <v>0</v>
      </c>
    </row>
    <row r="970" spans="7:22" x14ac:dyDescent="0.25">
      <c r="G970">
        <f>Data!A983</f>
        <v>0</v>
      </c>
      <c r="H970" s="21">
        <f>Data!B983</f>
        <v>0</v>
      </c>
      <c r="I970" s="21">
        <f>Data!C983</f>
        <v>0</v>
      </c>
      <c r="J970">
        <f>Data!D983</f>
        <v>0</v>
      </c>
      <c r="K970">
        <f>Data!E983</f>
        <v>0</v>
      </c>
      <c r="L970">
        <f>Data!F983</f>
        <v>0</v>
      </c>
      <c r="M970">
        <f>Data!G983</f>
        <v>0</v>
      </c>
      <c r="N970">
        <f>Data!H983</f>
        <v>0</v>
      </c>
      <c r="O970">
        <f>Data!I983</f>
        <v>0</v>
      </c>
      <c r="P970" s="21">
        <f>Data!J987</f>
        <v>0</v>
      </c>
      <c r="Q970">
        <f>Data!K987</f>
        <v>0</v>
      </c>
      <c r="R970">
        <f>Data!L987</f>
        <v>0</v>
      </c>
      <c r="S970">
        <f>Data!M987</f>
        <v>0</v>
      </c>
      <c r="T970">
        <f>Data!N983</f>
        <v>0</v>
      </c>
      <c r="U970">
        <f>Data!O987</f>
        <v>0</v>
      </c>
      <c r="V970" s="33">
        <f>Data!P985</f>
        <v>0</v>
      </c>
    </row>
    <row r="971" spans="7:22" x14ac:dyDescent="0.25">
      <c r="G971">
        <f>Data!A984</f>
        <v>0</v>
      </c>
      <c r="H971" s="21">
        <f>Data!B984</f>
        <v>0</v>
      </c>
      <c r="I971" s="21">
        <f>Data!C984</f>
        <v>0</v>
      </c>
      <c r="J971">
        <f>Data!D984</f>
        <v>0</v>
      </c>
      <c r="K971">
        <f>Data!E984</f>
        <v>0</v>
      </c>
      <c r="L971">
        <f>Data!F984</f>
        <v>0</v>
      </c>
      <c r="M971">
        <f>Data!G984</f>
        <v>0</v>
      </c>
      <c r="N971">
        <f>Data!H984</f>
        <v>0</v>
      </c>
      <c r="O971">
        <f>Data!I984</f>
        <v>0</v>
      </c>
      <c r="P971" s="21">
        <f>Data!J988</f>
        <v>0</v>
      </c>
      <c r="Q971">
        <f>Data!K988</f>
        <v>0</v>
      </c>
      <c r="R971">
        <f>Data!L988</f>
        <v>0</v>
      </c>
      <c r="S971">
        <f>Data!M988</f>
        <v>0</v>
      </c>
      <c r="T971">
        <f>Data!N984</f>
        <v>0</v>
      </c>
      <c r="U971">
        <f>Data!O988</f>
        <v>0</v>
      </c>
      <c r="V971" s="33">
        <f>Data!P986</f>
        <v>0</v>
      </c>
    </row>
    <row r="972" spans="7:22" x14ac:dyDescent="0.25">
      <c r="G972">
        <f>Data!A985</f>
        <v>0</v>
      </c>
      <c r="H972" s="21">
        <f>Data!B985</f>
        <v>0</v>
      </c>
      <c r="I972" s="21">
        <f>Data!C985</f>
        <v>0</v>
      </c>
      <c r="J972">
        <f>Data!D985</f>
        <v>0</v>
      </c>
      <c r="K972">
        <f>Data!E985</f>
        <v>0</v>
      </c>
      <c r="L972">
        <f>Data!F985</f>
        <v>0</v>
      </c>
      <c r="M972">
        <f>Data!G985</f>
        <v>0</v>
      </c>
      <c r="N972">
        <f>Data!H985</f>
        <v>0</v>
      </c>
      <c r="O972">
        <f>Data!I985</f>
        <v>0</v>
      </c>
      <c r="P972" s="21">
        <f>Data!J989</f>
        <v>0</v>
      </c>
      <c r="Q972">
        <f>Data!K989</f>
        <v>0</v>
      </c>
      <c r="R972">
        <f>Data!L989</f>
        <v>0</v>
      </c>
      <c r="S972">
        <f>Data!M989</f>
        <v>0</v>
      </c>
      <c r="T972">
        <f>Data!N985</f>
        <v>0</v>
      </c>
      <c r="U972">
        <f>Data!O989</f>
        <v>0</v>
      </c>
      <c r="V972" s="33">
        <f>Data!P987</f>
        <v>0</v>
      </c>
    </row>
    <row r="973" spans="7:22" x14ac:dyDescent="0.25">
      <c r="G973">
        <f>Data!A986</f>
        <v>0</v>
      </c>
      <c r="H973" s="21">
        <f>Data!B986</f>
        <v>0</v>
      </c>
      <c r="I973" s="21">
        <f>Data!C986</f>
        <v>0</v>
      </c>
      <c r="J973">
        <f>Data!D986</f>
        <v>0</v>
      </c>
      <c r="K973">
        <f>Data!E986</f>
        <v>0</v>
      </c>
      <c r="L973">
        <f>Data!F986</f>
        <v>0</v>
      </c>
      <c r="M973">
        <f>Data!G986</f>
        <v>0</v>
      </c>
      <c r="N973">
        <f>Data!H986</f>
        <v>0</v>
      </c>
      <c r="O973">
        <f>Data!I986</f>
        <v>0</v>
      </c>
      <c r="P973" s="21">
        <f>Data!J990</f>
        <v>0</v>
      </c>
      <c r="Q973">
        <f>Data!K990</f>
        <v>0</v>
      </c>
      <c r="R973">
        <f>Data!L990</f>
        <v>0</v>
      </c>
      <c r="S973">
        <f>Data!M990</f>
        <v>0</v>
      </c>
      <c r="T973">
        <f>Data!N986</f>
        <v>0</v>
      </c>
      <c r="U973">
        <f>Data!O990</f>
        <v>0</v>
      </c>
      <c r="V973" s="33">
        <f>Data!P988</f>
        <v>0</v>
      </c>
    </row>
    <row r="974" spans="7:22" x14ac:dyDescent="0.25">
      <c r="G974">
        <f>Data!A987</f>
        <v>0</v>
      </c>
      <c r="H974" s="21">
        <f>Data!B987</f>
        <v>0</v>
      </c>
      <c r="I974" s="21">
        <f>Data!C987</f>
        <v>0</v>
      </c>
      <c r="J974">
        <f>Data!D987</f>
        <v>0</v>
      </c>
      <c r="K974">
        <f>Data!E987</f>
        <v>0</v>
      </c>
      <c r="L974">
        <f>Data!F987</f>
        <v>0</v>
      </c>
      <c r="M974">
        <f>Data!G987</f>
        <v>0</v>
      </c>
      <c r="N974">
        <f>Data!H987</f>
        <v>0</v>
      </c>
      <c r="O974">
        <f>Data!I987</f>
        <v>0</v>
      </c>
      <c r="P974" s="21">
        <f>Data!J991</f>
        <v>0</v>
      </c>
      <c r="Q974">
        <f>Data!K991</f>
        <v>0</v>
      </c>
      <c r="R974">
        <f>Data!L991</f>
        <v>0</v>
      </c>
      <c r="S974">
        <f>Data!M991</f>
        <v>0</v>
      </c>
      <c r="T974">
        <f>Data!N987</f>
        <v>0</v>
      </c>
      <c r="U974">
        <f>Data!O991</f>
        <v>0</v>
      </c>
      <c r="V974" s="33">
        <f>Data!P989</f>
        <v>0</v>
      </c>
    </row>
    <row r="975" spans="7:22" x14ac:dyDescent="0.25">
      <c r="G975">
        <f>Data!A988</f>
        <v>0</v>
      </c>
      <c r="H975" s="21">
        <f>Data!B988</f>
        <v>0</v>
      </c>
      <c r="I975" s="21">
        <f>Data!C988</f>
        <v>0</v>
      </c>
      <c r="J975">
        <f>Data!D988</f>
        <v>0</v>
      </c>
      <c r="K975">
        <f>Data!E988</f>
        <v>0</v>
      </c>
      <c r="L975">
        <f>Data!F988</f>
        <v>0</v>
      </c>
      <c r="M975">
        <f>Data!G988</f>
        <v>0</v>
      </c>
      <c r="N975">
        <f>Data!H988</f>
        <v>0</v>
      </c>
      <c r="O975">
        <f>Data!I988</f>
        <v>0</v>
      </c>
      <c r="P975" s="21">
        <f>Data!J992</f>
        <v>0</v>
      </c>
      <c r="Q975">
        <f>Data!K992</f>
        <v>0</v>
      </c>
      <c r="R975">
        <f>Data!L992</f>
        <v>0</v>
      </c>
      <c r="S975">
        <f>Data!M992</f>
        <v>0</v>
      </c>
      <c r="T975">
        <f>Data!N988</f>
        <v>0</v>
      </c>
      <c r="U975">
        <f>Data!O992</f>
        <v>0</v>
      </c>
      <c r="V975" s="33">
        <f>Data!P990</f>
        <v>0</v>
      </c>
    </row>
    <row r="976" spans="7:22" x14ac:dyDescent="0.25">
      <c r="G976">
        <f>Data!A989</f>
        <v>0</v>
      </c>
      <c r="H976" s="21">
        <f>Data!B989</f>
        <v>0</v>
      </c>
      <c r="I976" s="21">
        <f>Data!C989</f>
        <v>0</v>
      </c>
      <c r="J976">
        <f>Data!D989</f>
        <v>0</v>
      </c>
      <c r="K976">
        <f>Data!E989</f>
        <v>0</v>
      </c>
      <c r="L976">
        <f>Data!F989</f>
        <v>0</v>
      </c>
      <c r="M976">
        <f>Data!G989</f>
        <v>0</v>
      </c>
      <c r="N976">
        <f>Data!H989</f>
        <v>0</v>
      </c>
      <c r="O976">
        <f>Data!I989</f>
        <v>0</v>
      </c>
      <c r="P976" s="21">
        <f>Data!J993</f>
        <v>0</v>
      </c>
      <c r="Q976">
        <f>Data!K993</f>
        <v>0</v>
      </c>
      <c r="R976">
        <f>Data!L993</f>
        <v>0</v>
      </c>
      <c r="S976">
        <f>Data!M993</f>
        <v>0</v>
      </c>
      <c r="T976">
        <f>Data!N989</f>
        <v>0</v>
      </c>
      <c r="U976">
        <f>Data!O993</f>
        <v>0</v>
      </c>
      <c r="V976" s="33">
        <f>Data!P991</f>
        <v>0</v>
      </c>
    </row>
    <row r="977" spans="7:22" x14ac:dyDescent="0.25">
      <c r="G977">
        <f>Data!A990</f>
        <v>0</v>
      </c>
      <c r="H977" s="21">
        <f>Data!B990</f>
        <v>0</v>
      </c>
      <c r="I977" s="21">
        <f>Data!C990</f>
        <v>0</v>
      </c>
      <c r="J977">
        <f>Data!D990</f>
        <v>0</v>
      </c>
      <c r="K977">
        <f>Data!E990</f>
        <v>0</v>
      </c>
      <c r="L977">
        <f>Data!F990</f>
        <v>0</v>
      </c>
      <c r="M977">
        <f>Data!G990</f>
        <v>0</v>
      </c>
      <c r="N977">
        <f>Data!H990</f>
        <v>0</v>
      </c>
      <c r="O977">
        <f>Data!I990</f>
        <v>0</v>
      </c>
      <c r="P977" s="21">
        <f>Data!J994</f>
        <v>0</v>
      </c>
      <c r="Q977">
        <f>Data!K994</f>
        <v>0</v>
      </c>
      <c r="R977">
        <f>Data!L994</f>
        <v>0</v>
      </c>
      <c r="S977">
        <f>Data!M994</f>
        <v>0</v>
      </c>
      <c r="T977">
        <f>Data!N990</f>
        <v>0</v>
      </c>
      <c r="U977">
        <f>Data!O994</f>
        <v>0</v>
      </c>
      <c r="V977" s="33">
        <f>Data!P992</f>
        <v>0</v>
      </c>
    </row>
    <row r="978" spans="7:22" x14ac:dyDescent="0.25">
      <c r="G978">
        <f>Data!A991</f>
        <v>0</v>
      </c>
      <c r="H978" s="21">
        <f>Data!B991</f>
        <v>0</v>
      </c>
      <c r="I978" s="21">
        <f>Data!C991</f>
        <v>0</v>
      </c>
      <c r="J978">
        <f>Data!D991</f>
        <v>0</v>
      </c>
      <c r="K978">
        <f>Data!E991</f>
        <v>0</v>
      </c>
      <c r="L978">
        <f>Data!F991</f>
        <v>0</v>
      </c>
      <c r="M978">
        <f>Data!G991</f>
        <v>0</v>
      </c>
      <c r="N978">
        <f>Data!H991</f>
        <v>0</v>
      </c>
      <c r="O978">
        <f>Data!I991</f>
        <v>0</v>
      </c>
      <c r="P978" s="21">
        <f>Data!J995</f>
        <v>0</v>
      </c>
      <c r="Q978">
        <f>Data!K995</f>
        <v>0</v>
      </c>
      <c r="R978">
        <f>Data!L995</f>
        <v>0</v>
      </c>
      <c r="S978">
        <f>Data!M995</f>
        <v>0</v>
      </c>
      <c r="T978">
        <f>Data!N991</f>
        <v>0</v>
      </c>
      <c r="U978">
        <f>Data!O995</f>
        <v>0</v>
      </c>
      <c r="V978" s="33">
        <f>Data!P993</f>
        <v>0</v>
      </c>
    </row>
    <row r="979" spans="7:22" x14ac:dyDescent="0.25">
      <c r="G979">
        <f>Data!A992</f>
        <v>0</v>
      </c>
      <c r="H979" s="21">
        <f>Data!B992</f>
        <v>0</v>
      </c>
      <c r="I979" s="21">
        <f>Data!C992</f>
        <v>0</v>
      </c>
      <c r="J979">
        <f>Data!D992</f>
        <v>0</v>
      </c>
      <c r="K979">
        <f>Data!E992</f>
        <v>0</v>
      </c>
      <c r="L979">
        <f>Data!F992</f>
        <v>0</v>
      </c>
      <c r="M979">
        <f>Data!G992</f>
        <v>0</v>
      </c>
      <c r="N979">
        <f>Data!H992</f>
        <v>0</v>
      </c>
      <c r="O979">
        <f>Data!I992</f>
        <v>0</v>
      </c>
      <c r="P979" s="21">
        <f>Data!J996</f>
        <v>0</v>
      </c>
      <c r="Q979">
        <f>Data!K996</f>
        <v>0</v>
      </c>
      <c r="R979">
        <f>Data!L996</f>
        <v>0</v>
      </c>
      <c r="S979">
        <f>Data!M996</f>
        <v>0</v>
      </c>
      <c r="T979">
        <f>Data!N992</f>
        <v>0</v>
      </c>
      <c r="U979">
        <f>Data!O996</f>
        <v>0</v>
      </c>
      <c r="V979" s="33">
        <f>Data!P994</f>
        <v>0</v>
      </c>
    </row>
    <row r="980" spans="7:22" x14ac:dyDescent="0.25">
      <c r="G980">
        <f>Data!A993</f>
        <v>0</v>
      </c>
      <c r="H980" s="21">
        <f>Data!B993</f>
        <v>0</v>
      </c>
      <c r="I980" s="21">
        <f>Data!C993</f>
        <v>0</v>
      </c>
      <c r="J980">
        <f>Data!D993</f>
        <v>0</v>
      </c>
      <c r="K980">
        <f>Data!E993</f>
        <v>0</v>
      </c>
      <c r="L980">
        <f>Data!F993</f>
        <v>0</v>
      </c>
      <c r="M980">
        <f>Data!G993</f>
        <v>0</v>
      </c>
      <c r="N980">
        <f>Data!H993</f>
        <v>0</v>
      </c>
      <c r="O980">
        <f>Data!I993</f>
        <v>0</v>
      </c>
      <c r="P980" s="21">
        <f>Data!J997</f>
        <v>0</v>
      </c>
      <c r="Q980">
        <f>Data!K997</f>
        <v>0</v>
      </c>
      <c r="R980">
        <f>Data!L997</f>
        <v>0</v>
      </c>
      <c r="S980">
        <f>Data!M997</f>
        <v>0</v>
      </c>
      <c r="T980">
        <f>Data!N993</f>
        <v>0</v>
      </c>
      <c r="U980">
        <f>Data!O997</f>
        <v>0</v>
      </c>
      <c r="V980" s="33">
        <f>Data!P995</f>
        <v>0</v>
      </c>
    </row>
    <row r="981" spans="7:22" x14ac:dyDescent="0.25">
      <c r="G981">
        <f>Data!A994</f>
        <v>0</v>
      </c>
      <c r="H981" s="21">
        <f>Data!B994</f>
        <v>0</v>
      </c>
      <c r="I981" s="21">
        <f>Data!C994</f>
        <v>0</v>
      </c>
      <c r="J981">
        <f>Data!D994</f>
        <v>0</v>
      </c>
      <c r="K981">
        <f>Data!E994</f>
        <v>0</v>
      </c>
      <c r="L981">
        <f>Data!F994</f>
        <v>0</v>
      </c>
      <c r="M981">
        <f>Data!G994</f>
        <v>0</v>
      </c>
      <c r="N981">
        <f>Data!H994</f>
        <v>0</v>
      </c>
      <c r="O981">
        <f>Data!I994</f>
        <v>0</v>
      </c>
      <c r="P981" s="21">
        <f>Data!J998</f>
        <v>0</v>
      </c>
      <c r="Q981">
        <f>Data!K998</f>
        <v>0</v>
      </c>
      <c r="R981">
        <f>Data!L998</f>
        <v>0</v>
      </c>
      <c r="S981">
        <f>Data!M998</f>
        <v>0</v>
      </c>
      <c r="T981">
        <f>Data!N994</f>
        <v>0</v>
      </c>
      <c r="U981">
        <f>Data!O998</f>
        <v>0</v>
      </c>
      <c r="V981" s="33">
        <f>Data!P996</f>
        <v>0</v>
      </c>
    </row>
    <row r="982" spans="7:22" x14ac:dyDescent="0.25">
      <c r="G982">
        <f>Data!A995</f>
        <v>0</v>
      </c>
      <c r="H982" s="21">
        <f>Data!B995</f>
        <v>0</v>
      </c>
      <c r="I982" s="21">
        <f>Data!C995</f>
        <v>0</v>
      </c>
      <c r="J982">
        <f>Data!D995</f>
        <v>0</v>
      </c>
      <c r="K982">
        <f>Data!E995</f>
        <v>0</v>
      </c>
      <c r="L982">
        <f>Data!F995</f>
        <v>0</v>
      </c>
      <c r="M982">
        <f>Data!G995</f>
        <v>0</v>
      </c>
      <c r="N982">
        <f>Data!H995</f>
        <v>0</v>
      </c>
      <c r="O982">
        <f>Data!I995</f>
        <v>0</v>
      </c>
      <c r="P982" s="21">
        <f>Data!J999</f>
        <v>0</v>
      </c>
      <c r="Q982">
        <f>Data!K999</f>
        <v>0</v>
      </c>
      <c r="R982">
        <f>Data!L999</f>
        <v>0</v>
      </c>
      <c r="S982">
        <f>Data!M999</f>
        <v>0</v>
      </c>
      <c r="T982">
        <f>Data!N995</f>
        <v>0</v>
      </c>
      <c r="U982">
        <f>Data!O999</f>
        <v>0</v>
      </c>
      <c r="V982" s="33">
        <f>Data!P997</f>
        <v>0</v>
      </c>
    </row>
    <row r="983" spans="7:22" x14ac:dyDescent="0.25">
      <c r="G983">
        <f>Data!A996</f>
        <v>0</v>
      </c>
      <c r="H983" s="21">
        <f>Data!B996</f>
        <v>0</v>
      </c>
      <c r="I983" s="21">
        <f>Data!C996</f>
        <v>0</v>
      </c>
      <c r="J983">
        <f>Data!D996</f>
        <v>0</v>
      </c>
      <c r="K983">
        <f>Data!E996</f>
        <v>0</v>
      </c>
      <c r="L983">
        <f>Data!F996</f>
        <v>0</v>
      </c>
      <c r="M983">
        <f>Data!G996</f>
        <v>0</v>
      </c>
      <c r="N983">
        <f>Data!H996</f>
        <v>0</v>
      </c>
      <c r="O983">
        <f>Data!I996</f>
        <v>0</v>
      </c>
      <c r="P983" s="21">
        <f>Data!J1000</f>
        <v>0</v>
      </c>
      <c r="Q983">
        <f>Data!K1000</f>
        <v>0</v>
      </c>
      <c r="R983">
        <f>Data!L1000</f>
        <v>0</v>
      </c>
      <c r="S983">
        <f>Data!M1000</f>
        <v>0</v>
      </c>
      <c r="T983">
        <f>Data!N996</f>
        <v>0</v>
      </c>
      <c r="U983">
        <f>Data!O1000</f>
        <v>0</v>
      </c>
      <c r="V983" s="33">
        <f>Data!P998</f>
        <v>0</v>
      </c>
    </row>
    <row r="984" spans="7:22" x14ac:dyDescent="0.25">
      <c r="G984">
        <f>Data!A997</f>
        <v>0</v>
      </c>
      <c r="H984" s="21">
        <f>Data!B997</f>
        <v>0</v>
      </c>
      <c r="I984" s="21">
        <f>Data!C997</f>
        <v>0</v>
      </c>
      <c r="J984">
        <f>Data!D997</f>
        <v>0</v>
      </c>
      <c r="K984">
        <f>Data!E997</f>
        <v>0</v>
      </c>
      <c r="L984">
        <f>Data!F997</f>
        <v>0</v>
      </c>
      <c r="M984">
        <f>Data!G997</f>
        <v>0</v>
      </c>
      <c r="N984">
        <f>Data!H997</f>
        <v>0</v>
      </c>
      <c r="O984">
        <f>Data!I997</f>
        <v>0</v>
      </c>
      <c r="P984" s="21">
        <f>Data!J1001</f>
        <v>0</v>
      </c>
      <c r="Q984">
        <f>Data!K1001</f>
        <v>0</v>
      </c>
      <c r="R984">
        <f>Data!L1001</f>
        <v>0</v>
      </c>
      <c r="S984">
        <f>Data!M1001</f>
        <v>0</v>
      </c>
      <c r="T984">
        <f>Data!N997</f>
        <v>0</v>
      </c>
      <c r="U984">
        <f>Data!O1001</f>
        <v>0</v>
      </c>
      <c r="V984" s="33">
        <f>Data!P999</f>
        <v>0</v>
      </c>
    </row>
    <row r="985" spans="7:22" x14ac:dyDescent="0.25">
      <c r="G985">
        <f>Data!A998</f>
        <v>0</v>
      </c>
      <c r="H985" s="21">
        <f>Data!B998</f>
        <v>0</v>
      </c>
      <c r="I985" s="21">
        <f>Data!C998</f>
        <v>0</v>
      </c>
      <c r="J985">
        <f>Data!D998</f>
        <v>0</v>
      </c>
      <c r="K985">
        <f>Data!E998</f>
        <v>0</v>
      </c>
      <c r="L985">
        <f>Data!F998</f>
        <v>0</v>
      </c>
      <c r="M985">
        <f>Data!G998</f>
        <v>0</v>
      </c>
      <c r="N985">
        <f>Data!H998</f>
        <v>0</v>
      </c>
      <c r="O985">
        <f>Data!I998</f>
        <v>0</v>
      </c>
      <c r="P985" s="21">
        <f>Data!J1002</f>
        <v>0</v>
      </c>
      <c r="Q985">
        <f>Data!K1002</f>
        <v>0</v>
      </c>
      <c r="R985">
        <f>Data!L1002</f>
        <v>0</v>
      </c>
      <c r="S985">
        <f>Data!M1002</f>
        <v>0</v>
      </c>
      <c r="T985">
        <f>Data!N998</f>
        <v>0</v>
      </c>
      <c r="U985">
        <f>Data!O1002</f>
        <v>0</v>
      </c>
      <c r="V985" s="33">
        <f>Data!P1000</f>
        <v>0</v>
      </c>
    </row>
    <row r="986" spans="7:22" x14ac:dyDescent="0.25">
      <c r="G986">
        <f>Data!A999</f>
        <v>0</v>
      </c>
      <c r="H986" s="21">
        <f>Data!B999</f>
        <v>0</v>
      </c>
      <c r="I986" s="21">
        <f>Data!C999</f>
        <v>0</v>
      </c>
      <c r="J986">
        <f>Data!D999</f>
        <v>0</v>
      </c>
      <c r="K986">
        <f>Data!E999</f>
        <v>0</v>
      </c>
      <c r="L986">
        <f>Data!F999</f>
        <v>0</v>
      </c>
      <c r="M986">
        <f>Data!G999</f>
        <v>0</v>
      </c>
      <c r="N986">
        <f>Data!H999</f>
        <v>0</v>
      </c>
      <c r="O986">
        <f>Data!I999</f>
        <v>0</v>
      </c>
      <c r="P986" s="21">
        <f>Data!J1003</f>
        <v>0</v>
      </c>
      <c r="Q986">
        <f>Data!K1003</f>
        <v>0</v>
      </c>
      <c r="R986">
        <f>Data!L1003</f>
        <v>0</v>
      </c>
      <c r="S986">
        <f>Data!M1003</f>
        <v>0</v>
      </c>
      <c r="T986">
        <f>Data!N999</f>
        <v>0</v>
      </c>
      <c r="U986">
        <f>Data!O1003</f>
        <v>0</v>
      </c>
      <c r="V986" s="33">
        <f>Data!P1001</f>
        <v>0</v>
      </c>
    </row>
    <row r="987" spans="7:22" x14ac:dyDescent="0.25">
      <c r="G987">
        <f>Data!A1000</f>
        <v>0</v>
      </c>
      <c r="H987" s="21">
        <f>Data!B1000</f>
        <v>0</v>
      </c>
      <c r="I987" s="21">
        <f>Data!C1000</f>
        <v>0</v>
      </c>
      <c r="J987">
        <f>Data!D1000</f>
        <v>0</v>
      </c>
      <c r="K987">
        <f>Data!E1000</f>
        <v>0</v>
      </c>
      <c r="L987">
        <f>Data!F1000</f>
        <v>0</v>
      </c>
      <c r="M987">
        <f>Data!G1000</f>
        <v>0</v>
      </c>
      <c r="N987">
        <f>Data!H1000</f>
        <v>0</v>
      </c>
      <c r="O987">
        <f>Data!I1000</f>
        <v>0</v>
      </c>
      <c r="P987" s="21">
        <f>Data!J1004</f>
        <v>0</v>
      </c>
      <c r="Q987">
        <f>Data!K1004</f>
        <v>0</v>
      </c>
      <c r="R987">
        <f>Data!L1004</f>
        <v>0</v>
      </c>
      <c r="S987">
        <f>Data!M1004</f>
        <v>0</v>
      </c>
      <c r="T987">
        <f>Data!N1000</f>
        <v>0</v>
      </c>
      <c r="U987">
        <f>Data!O1004</f>
        <v>0</v>
      </c>
      <c r="V987" s="33">
        <f>Data!P1002</f>
        <v>0</v>
      </c>
    </row>
    <row r="988" spans="7:22" x14ac:dyDescent="0.25">
      <c r="G988">
        <f>Data!A1001</f>
        <v>0</v>
      </c>
      <c r="H988" s="21">
        <f>Data!B1001</f>
        <v>0</v>
      </c>
      <c r="I988" s="21">
        <f>Data!C1001</f>
        <v>0</v>
      </c>
      <c r="J988">
        <f>Data!D1001</f>
        <v>0</v>
      </c>
      <c r="K988">
        <f>Data!E1001</f>
        <v>0</v>
      </c>
      <c r="L988">
        <f>Data!F1001</f>
        <v>0</v>
      </c>
      <c r="M988">
        <f>Data!G1001</f>
        <v>0</v>
      </c>
      <c r="N988">
        <f>Data!H1001</f>
        <v>0</v>
      </c>
      <c r="O988">
        <f>Data!I1001</f>
        <v>0</v>
      </c>
      <c r="P988" s="21">
        <f>Data!J1005</f>
        <v>0</v>
      </c>
      <c r="Q988">
        <f>Data!K1005</f>
        <v>0</v>
      </c>
      <c r="R988">
        <f>Data!L1005</f>
        <v>0</v>
      </c>
      <c r="S988">
        <f>Data!M1005</f>
        <v>0</v>
      </c>
      <c r="T988">
        <f>Data!N1001</f>
        <v>0</v>
      </c>
      <c r="U988">
        <f>Data!O1005</f>
        <v>0</v>
      </c>
      <c r="V988" s="33">
        <f>Data!P1003</f>
        <v>0</v>
      </c>
    </row>
    <row r="989" spans="7:22" x14ac:dyDescent="0.25">
      <c r="G989">
        <f>Data!A1002</f>
        <v>0</v>
      </c>
      <c r="H989" s="21">
        <f>Data!B1002</f>
        <v>0</v>
      </c>
      <c r="I989" s="21">
        <f>Data!C1002</f>
        <v>0</v>
      </c>
      <c r="J989">
        <f>Data!D1002</f>
        <v>0</v>
      </c>
      <c r="K989">
        <f>Data!E1002</f>
        <v>0</v>
      </c>
      <c r="L989">
        <f>Data!F1002</f>
        <v>0</v>
      </c>
      <c r="M989">
        <f>Data!G1002</f>
        <v>0</v>
      </c>
      <c r="N989">
        <f>Data!H1002</f>
        <v>0</v>
      </c>
      <c r="O989">
        <f>Data!I1002</f>
        <v>0</v>
      </c>
      <c r="P989" s="21">
        <f>Data!J1006</f>
        <v>0</v>
      </c>
      <c r="Q989">
        <f>Data!K1006</f>
        <v>0</v>
      </c>
      <c r="R989">
        <f>Data!L1006</f>
        <v>0</v>
      </c>
      <c r="S989">
        <f>Data!M1006</f>
        <v>0</v>
      </c>
      <c r="T989">
        <f>Data!N1002</f>
        <v>0</v>
      </c>
      <c r="U989">
        <f>Data!O1006</f>
        <v>0</v>
      </c>
      <c r="V989" s="33">
        <f>Data!P1004</f>
        <v>0</v>
      </c>
    </row>
    <row r="990" spans="7:22" x14ac:dyDescent="0.25">
      <c r="G990">
        <f>Data!A1003</f>
        <v>0</v>
      </c>
      <c r="H990" s="21">
        <f>Data!B1003</f>
        <v>0</v>
      </c>
      <c r="I990" s="21">
        <f>Data!C1003</f>
        <v>0</v>
      </c>
      <c r="J990">
        <f>Data!D1003</f>
        <v>0</v>
      </c>
      <c r="K990">
        <f>Data!E1003</f>
        <v>0</v>
      </c>
      <c r="L990">
        <f>Data!F1003</f>
        <v>0</v>
      </c>
      <c r="M990">
        <f>Data!G1003</f>
        <v>0</v>
      </c>
      <c r="N990">
        <f>Data!H1003</f>
        <v>0</v>
      </c>
      <c r="O990">
        <f>Data!I1003</f>
        <v>0</v>
      </c>
      <c r="P990" s="21">
        <f>Data!J1007</f>
        <v>0</v>
      </c>
      <c r="Q990">
        <f>Data!K1007</f>
        <v>0</v>
      </c>
      <c r="R990">
        <f>Data!L1007</f>
        <v>0</v>
      </c>
      <c r="S990">
        <f>Data!M1007</f>
        <v>0</v>
      </c>
      <c r="T990">
        <f>Data!N1003</f>
        <v>0</v>
      </c>
      <c r="U990">
        <f>Data!O1007</f>
        <v>0</v>
      </c>
      <c r="V990" s="33">
        <f>Data!P1005</f>
        <v>0</v>
      </c>
    </row>
    <row r="991" spans="7:22" x14ac:dyDescent="0.25">
      <c r="G991">
        <f>Data!A1004</f>
        <v>0</v>
      </c>
      <c r="H991" s="21">
        <f>Data!B1004</f>
        <v>0</v>
      </c>
      <c r="I991" s="21">
        <f>Data!C1004</f>
        <v>0</v>
      </c>
      <c r="J991">
        <f>Data!D1004</f>
        <v>0</v>
      </c>
      <c r="K991">
        <f>Data!E1004</f>
        <v>0</v>
      </c>
      <c r="L991">
        <f>Data!F1004</f>
        <v>0</v>
      </c>
      <c r="M991">
        <f>Data!G1004</f>
        <v>0</v>
      </c>
      <c r="N991">
        <f>Data!H1004</f>
        <v>0</v>
      </c>
      <c r="O991">
        <f>Data!I1004</f>
        <v>0</v>
      </c>
      <c r="P991" s="21">
        <f>Data!J1008</f>
        <v>0</v>
      </c>
      <c r="Q991">
        <f>Data!K1008</f>
        <v>0</v>
      </c>
      <c r="R991">
        <f>Data!L1008</f>
        <v>0</v>
      </c>
      <c r="S991">
        <f>Data!M1008</f>
        <v>0</v>
      </c>
      <c r="T991">
        <f>Data!N1004</f>
        <v>0</v>
      </c>
      <c r="U991">
        <f>Data!O1008</f>
        <v>0</v>
      </c>
      <c r="V991" s="33">
        <f>Data!P1006</f>
        <v>0</v>
      </c>
    </row>
    <row r="992" spans="7:22" x14ac:dyDescent="0.25">
      <c r="G992">
        <f>Data!A1005</f>
        <v>0</v>
      </c>
      <c r="H992" s="21">
        <f>Data!B1005</f>
        <v>0</v>
      </c>
      <c r="I992" s="21">
        <f>Data!C1005</f>
        <v>0</v>
      </c>
      <c r="J992">
        <f>Data!D1005</f>
        <v>0</v>
      </c>
      <c r="K992">
        <f>Data!E1005</f>
        <v>0</v>
      </c>
      <c r="L992">
        <f>Data!F1005</f>
        <v>0</v>
      </c>
      <c r="M992">
        <f>Data!G1005</f>
        <v>0</v>
      </c>
      <c r="N992">
        <f>Data!H1005</f>
        <v>0</v>
      </c>
      <c r="O992">
        <f>Data!I1005</f>
        <v>0</v>
      </c>
      <c r="P992" s="21">
        <f>Data!J1009</f>
        <v>0</v>
      </c>
      <c r="Q992">
        <f>Data!K1009</f>
        <v>0</v>
      </c>
      <c r="R992">
        <f>Data!L1009</f>
        <v>0</v>
      </c>
      <c r="S992">
        <f>Data!M1009</f>
        <v>0</v>
      </c>
      <c r="T992">
        <f>Data!N1005</f>
        <v>0</v>
      </c>
      <c r="U992">
        <f>Data!O1009</f>
        <v>0</v>
      </c>
      <c r="V992" s="33">
        <f>Data!P1007</f>
        <v>0</v>
      </c>
    </row>
    <row r="993" spans="7:22" x14ac:dyDescent="0.25">
      <c r="G993">
        <f>Data!A1006</f>
        <v>0</v>
      </c>
      <c r="H993" s="21">
        <f>Data!B1006</f>
        <v>0</v>
      </c>
      <c r="I993" s="21">
        <f>Data!C1006</f>
        <v>0</v>
      </c>
      <c r="J993">
        <f>Data!D1006</f>
        <v>0</v>
      </c>
      <c r="K993">
        <f>Data!E1006</f>
        <v>0</v>
      </c>
      <c r="L993">
        <f>Data!F1006</f>
        <v>0</v>
      </c>
      <c r="M993">
        <f>Data!G1006</f>
        <v>0</v>
      </c>
      <c r="N993">
        <f>Data!H1006</f>
        <v>0</v>
      </c>
      <c r="O993">
        <f>Data!I1006</f>
        <v>0</v>
      </c>
      <c r="P993" s="21">
        <f>Data!J1010</f>
        <v>0</v>
      </c>
      <c r="Q993">
        <f>Data!K1010</f>
        <v>0</v>
      </c>
      <c r="R993">
        <f>Data!L1010</f>
        <v>0</v>
      </c>
      <c r="S993">
        <f>Data!M1010</f>
        <v>0</v>
      </c>
      <c r="T993">
        <f>Data!N1006</f>
        <v>0</v>
      </c>
      <c r="U993">
        <f>Data!O1010</f>
        <v>0</v>
      </c>
      <c r="V993" s="33">
        <f>Data!P1008</f>
        <v>0</v>
      </c>
    </row>
    <row r="994" spans="7:22" x14ac:dyDescent="0.25">
      <c r="G994">
        <f>Data!A1007</f>
        <v>0</v>
      </c>
      <c r="H994" s="21">
        <f>Data!B1007</f>
        <v>0</v>
      </c>
      <c r="I994" s="21">
        <f>Data!C1007</f>
        <v>0</v>
      </c>
      <c r="J994">
        <f>Data!D1007</f>
        <v>0</v>
      </c>
      <c r="K994">
        <f>Data!E1007</f>
        <v>0</v>
      </c>
      <c r="L994">
        <f>Data!F1007</f>
        <v>0</v>
      </c>
      <c r="M994">
        <f>Data!G1007</f>
        <v>0</v>
      </c>
      <c r="N994">
        <f>Data!H1007</f>
        <v>0</v>
      </c>
      <c r="O994">
        <f>Data!I1007</f>
        <v>0</v>
      </c>
      <c r="P994" s="21">
        <f>Data!J1011</f>
        <v>0</v>
      </c>
      <c r="Q994">
        <f>Data!K1011</f>
        <v>0</v>
      </c>
      <c r="R994">
        <f>Data!L1011</f>
        <v>0</v>
      </c>
      <c r="S994">
        <f>Data!M1011</f>
        <v>0</v>
      </c>
      <c r="T994">
        <f>Data!N1007</f>
        <v>0</v>
      </c>
      <c r="U994">
        <f>Data!O1011</f>
        <v>0</v>
      </c>
      <c r="V994" s="33">
        <f>Data!P1009</f>
        <v>0</v>
      </c>
    </row>
    <row r="995" spans="7:22" x14ac:dyDescent="0.25">
      <c r="G995">
        <f>Data!A1008</f>
        <v>0</v>
      </c>
      <c r="H995" s="21">
        <f>Data!B1008</f>
        <v>0</v>
      </c>
      <c r="I995" s="21">
        <f>Data!C1008</f>
        <v>0</v>
      </c>
      <c r="J995">
        <f>Data!D1008</f>
        <v>0</v>
      </c>
      <c r="K995">
        <f>Data!E1008</f>
        <v>0</v>
      </c>
      <c r="L995">
        <f>Data!F1008</f>
        <v>0</v>
      </c>
      <c r="M995">
        <f>Data!G1008</f>
        <v>0</v>
      </c>
      <c r="N995">
        <f>Data!H1008</f>
        <v>0</v>
      </c>
      <c r="O995">
        <f>Data!I1008</f>
        <v>0</v>
      </c>
      <c r="P995" s="21">
        <f>Data!J1012</f>
        <v>0</v>
      </c>
      <c r="Q995">
        <f>Data!K1012</f>
        <v>0</v>
      </c>
      <c r="R995">
        <f>Data!L1012</f>
        <v>0</v>
      </c>
      <c r="S995">
        <f>Data!M1012</f>
        <v>0</v>
      </c>
      <c r="T995">
        <f>Data!N1008</f>
        <v>0</v>
      </c>
      <c r="U995">
        <f>Data!O1012</f>
        <v>0</v>
      </c>
      <c r="V995" s="33">
        <f>Data!P1010</f>
        <v>0</v>
      </c>
    </row>
    <row r="996" spans="7:22" x14ac:dyDescent="0.25">
      <c r="G996">
        <f>Data!A1009</f>
        <v>0</v>
      </c>
      <c r="H996" s="21">
        <f>Data!B1009</f>
        <v>0</v>
      </c>
      <c r="I996" s="21">
        <f>Data!C1009</f>
        <v>0</v>
      </c>
      <c r="J996">
        <f>Data!D1009</f>
        <v>0</v>
      </c>
      <c r="K996">
        <f>Data!E1009</f>
        <v>0</v>
      </c>
      <c r="L996">
        <f>Data!F1009</f>
        <v>0</v>
      </c>
      <c r="M996">
        <f>Data!G1009</f>
        <v>0</v>
      </c>
      <c r="N996">
        <f>Data!H1009</f>
        <v>0</v>
      </c>
      <c r="O996">
        <f>Data!I1009</f>
        <v>0</v>
      </c>
      <c r="P996" s="21">
        <f>Data!J1013</f>
        <v>0</v>
      </c>
      <c r="Q996">
        <f>Data!K1013</f>
        <v>0</v>
      </c>
      <c r="R996">
        <f>Data!L1013</f>
        <v>0</v>
      </c>
      <c r="S996">
        <f>Data!M1013</f>
        <v>0</v>
      </c>
      <c r="T996">
        <f>Data!N1009</f>
        <v>0</v>
      </c>
      <c r="U996">
        <f>Data!O1013</f>
        <v>0</v>
      </c>
      <c r="V996" s="33">
        <f>Data!P1011</f>
        <v>0</v>
      </c>
    </row>
    <row r="997" spans="7:22" x14ac:dyDescent="0.25">
      <c r="G997">
        <f>Data!A1010</f>
        <v>0</v>
      </c>
      <c r="H997" s="21">
        <f>Data!B1010</f>
        <v>0</v>
      </c>
      <c r="I997" s="21">
        <f>Data!C1010</f>
        <v>0</v>
      </c>
      <c r="J997">
        <f>Data!D1010</f>
        <v>0</v>
      </c>
      <c r="K997">
        <f>Data!E1010</f>
        <v>0</v>
      </c>
      <c r="L997">
        <f>Data!F1010</f>
        <v>0</v>
      </c>
      <c r="M997">
        <f>Data!G1010</f>
        <v>0</v>
      </c>
      <c r="N997">
        <f>Data!H1010</f>
        <v>0</v>
      </c>
      <c r="O997">
        <f>Data!I1010</f>
        <v>0</v>
      </c>
      <c r="P997" s="21">
        <f>Data!J1014</f>
        <v>0</v>
      </c>
      <c r="Q997">
        <f>Data!K1014</f>
        <v>0</v>
      </c>
      <c r="R997">
        <f>Data!L1014</f>
        <v>0</v>
      </c>
      <c r="S997">
        <f>Data!M1014</f>
        <v>0</v>
      </c>
      <c r="T997">
        <f>Data!N1010</f>
        <v>0</v>
      </c>
      <c r="U997">
        <f>Data!O1014</f>
        <v>0</v>
      </c>
      <c r="V997" s="33">
        <f>Data!P1012</f>
        <v>0</v>
      </c>
    </row>
    <row r="998" spans="7:22" x14ac:dyDescent="0.25">
      <c r="G998">
        <f>Data!A1011</f>
        <v>0</v>
      </c>
      <c r="H998" s="21">
        <f>Data!B1011</f>
        <v>0</v>
      </c>
      <c r="I998" s="21">
        <f>Data!C1011</f>
        <v>0</v>
      </c>
      <c r="J998">
        <f>Data!D1011</f>
        <v>0</v>
      </c>
      <c r="K998">
        <f>Data!E1011</f>
        <v>0</v>
      </c>
      <c r="L998">
        <f>Data!F1011</f>
        <v>0</v>
      </c>
      <c r="M998">
        <f>Data!G1011</f>
        <v>0</v>
      </c>
      <c r="N998">
        <f>Data!H1011</f>
        <v>0</v>
      </c>
      <c r="O998">
        <f>Data!I1011</f>
        <v>0</v>
      </c>
      <c r="P998" s="21">
        <f>Data!J1015</f>
        <v>0</v>
      </c>
      <c r="Q998">
        <f>Data!K1015</f>
        <v>0</v>
      </c>
      <c r="R998">
        <f>Data!L1015</f>
        <v>0</v>
      </c>
      <c r="S998">
        <f>Data!M1015</f>
        <v>0</v>
      </c>
      <c r="T998">
        <f>Data!N1011</f>
        <v>0</v>
      </c>
      <c r="U998">
        <f>Data!O1015</f>
        <v>0</v>
      </c>
      <c r="V998" s="33">
        <f>Data!P1013</f>
        <v>0</v>
      </c>
    </row>
    <row r="999" spans="7:22" x14ac:dyDescent="0.25">
      <c r="G999">
        <f>Data!A1012</f>
        <v>0</v>
      </c>
      <c r="H999" s="21">
        <f>Data!B1012</f>
        <v>0</v>
      </c>
      <c r="I999" s="21">
        <f>Data!C1012</f>
        <v>0</v>
      </c>
      <c r="J999">
        <f>Data!D1012</f>
        <v>0</v>
      </c>
      <c r="K999">
        <f>Data!E1012</f>
        <v>0</v>
      </c>
      <c r="L999">
        <f>Data!F1012</f>
        <v>0</v>
      </c>
      <c r="M999">
        <f>Data!G1012</f>
        <v>0</v>
      </c>
      <c r="N999">
        <f>Data!H1012</f>
        <v>0</v>
      </c>
      <c r="O999">
        <f>Data!I1012</f>
        <v>0</v>
      </c>
      <c r="P999" s="21">
        <f>Data!J1016</f>
        <v>0</v>
      </c>
      <c r="Q999">
        <f>Data!K1016</f>
        <v>0</v>
      </c>
      <c r="R999">
        <f>Data!L1016</f>
        <v>0</v>
      </c>
      <c r="S999">
        <f>Data!M1016</f>
        <v>0</v>
      </c>
      <c r="T999">
        <f>Data!N1012</f>
        <v>0</v>
      </c>
      <c r="U999">
        <f>Data!O1016</f>
        <v>0</v>
      </c>
      <c r="V999" s="33">
        <f>Data!P1014</f>
        <v>0</v>
      </c>
    </row>
    <row r="1000" spans="7:22" x14ac:dyDescent="0.25">
      <c r="G1000">
        <f>Data!A1013</f>
        <v>0</v>
      </c>
      <c r="H1000" s="21">
        <f>Data!B1013</f>
        <v>0</v>
      </c>
      <c r="I1000" s="21">
        <f>Data!C1013</f>
        <v>0</v>
      </c>
      <c r="J1000">
        <f>Data!D1013</f>
        <v>0</v>
      </c>
      <c r="K1000">
        <f>Data!E1013</f>
        <v>0</v>
      </c>
      <c r="L1000">
        <f>Data!F1013</f>
        <v>0</v>
      </c>
      <c r="M1000">
        <f>Data!G1013</f>
        <v>0</v>
      </c>
      <c r="N1000">
        <f>Data!H1013</f>
        <v>0</v>
      </c>
      <c r="O1000">
        <f>Data!I1013</f>
        <v>0</v>
      </c>
      <c r="P1000" s="21">
        <f>Data!J1017</f>
        <v>0</v>
      </c>
      <c r="Q1000">
        <f>Data!K1017</f>
        <v>0</v>
      </c>
      <c r="R1000">
        <f>Data!L1017</f>
        <v>0</v>
      </c>
      <c r="S1000">
        <f>Data!M1017</f>
        <v>0</v>
      </c>
      <c r="T1000">
        <f>Data!N1013</f>
        <v>0</v>
      </c>
      <c r="U1000">
        <f>Data!O1017</f>
        <v>0</v>
      </c>
      <c r="V1000" s="33">
        <f>Data!P1015</f>
        <v>0</v>
      </c>
    </row>
    <row r="1001" spans="7:22" x14ac:dyDescent="0.25">
      <c r="G1001">
        <f>Data!A1014</f>
        <v>0</v>
      </c>
      <c r="H1001" s="21">
        <f>Data!B1014</f>
        <v>0</v>
      </c>
      <c r="I1001" s="21">
        <f>Data!C1014</f>
        <v>0</v>
      </c>
      <c r="J1001">
        <f>Data!D1014</f>
        <v>0</v>
      </c>
      <c r="K1001">
        <f>Data!E1014</f>
        <v>0</v>
      </c>
      <c r="L1001">
        <f>Data!F1014</f>
        <v>0</v>
      </c>
      <c r="M1001">
        <f>Data!G1014</f>
        <v>0</v>
      </c>
      <c r="N1001">
        <f>Data!H1014</f>
        <v>0</v>
      </c>
      <c r="O1001">
        <f>Data!I1014</f>
        <v>0</v>
      </c>
      <c r="P1001" s="21">
        <f>Data!J1018</f>
        <v>0</v>
      </c>
      <c r="Q1001">
        <f>Data!K1018</f>
        <v>0</v>
      </c>
      <c r="R1001">
        <f>Data!L1018</f>
        <v>0</v>
      </c>
      <c r="S1001">
        <f>Data!M1018</f>
        <v>0</v>
      </c>
      <c r="T1001">
        <f>Data!N1014</f>
        <v>0</v>
      </c>
      <c r="U1001">
        <f>Data!O1018</f>
        <v>0</v>
      </c>
      <c r="V1001" s="33">
        <f>Data!P1016</f>
        <v>0</v>
      </c>
    </row>
    <row r="1002" spans="7:22" x14ac:dyDescent="0.25">
      <c r="G1002">
        <f>Data!A1015</f>
        <v>0</v>
      </c>
      <c r="H1002" s="21">
        <f>Data!B1015</f>
        <v>0</v>
      </c>
      <c r="I1002" s="21">
        <f>Data!C1015</f>
        <v>0</v>
      </c>
      <c r="J1002">
        <f>Data!D1015</f>
        <v>0</v>
      </c>
      <c r="K1002">
        <f>Data!E1015</f>
        <v>0</v>
      </c>
      <c r="L1002">
        <f>Data!F1015</f>
        <v>0</v>
      </c>
      <c r="M1002">
        <f>Data!G1015</f>
        <v>0</v>
      </c>
      <c r="N1002">
        <f>Data!H1015</f>
        <v>0</v>
      </c>
      <c r="O1002">
        <f>Data!I1015</f>
        <v>0</v>
      </c>
      <c r="P1002" s="21">
        <f>Data!J1019</f>
        <v>0</v>
      </c>
      <c r="Q1002">
        <f>Data!K1019</f>
        <v>0</v>
      </c>
      <c r="R1002">
        <f>Data!L1019</f>
        <v>0</v>
      </c>
      <c r="S1002">
        <f>Data!M1019</f>
        <v>0</v>
      </c>
      <c r="T1002">
        <f>Data!N1015</f>
        <v>0</v>
      </c>
      <c r="U1002">
        <f>Data!O1019</f>
        <v>0</v>
      </c>
      <c r="V1002" s="33">
        <f>Data!P1017</f>
        <v>0</v>
      </c>
    </row>
    <row r="1003" spans="7:22" x14ac:dyDescent="0.25">
      <c r="G1003">
        <f>Data!A1016</f>
        <v>0</v>
      </c>
      <c r="H1003" s="21">
        <f>Data!B1016</f>
        <v>0</v>
      </c>
      <c r="I1003" s="21">
        <f>Data!C1016</f>
        <v>0</v>
      </c>
      <c r="J1003">
        <f>Data!D1016</f>
        <v>0</v>
      </c>
      <c r="K1003">
        <f>Data!E1016</f>
        <v>0</v>
      </c>
      <c r="L1003">
        <f>Data!F1016</f>
        <v>0</v>
      </c>
      <c r="M1003">
        <f>Data!G1016</f>
        <v>0</v>
      </c>
      <c r="N1003">
        <f>Data!H1016</f>
        <v>0</v>
      </c>
      <c r="O1003">
        <f>Data!I1016</f>
        <v>0</v>
      </c>
      <c r="P1003" s="21">
        <f>Data!J1020</f>
        <v>0</v>
      </c>
      <c r="Q1003">
        <f>Data!K1020</f>
        <v>0</v>
      </c>
      <c r="R1003">
        <f>Data!L1020</f>
        <v>0</v>
      </c>
      <c r="S1003">
        <f>Data!M1020</f>
        <v>0</v>
      </c>
      <c r="T1003">
        <f>Data!N1016</f>
        <v>0</v>
      </c>
      <c r="U1003">
        <f>Data!O1020</f>
        <v>0</v>
      </c>
      <c r="V1003" s="33">
        <f>Data!P1018</f>
        <v>0</v>
      </c>
    </row>
    <row r="1004" spans="7:22" x14ac:dyDescent="0.25">
      <c r="G1004">
        <f>Data!A1017</f>
        <v>0</v>
      </c>
      <c r="H1004" s="21">
        <f>Data!B1017</f>
        <v>0</v>
      </c>
      <c r="I1004" s="21">
        <f>Data!C1017</f>
        <v>0</v>
      </c>
      <c r="J1004">
        <f>Data!D1017</f>
        <v>0</v>
      </c>
      <c r="K1004">
        <f>Data!E1017</f>
        <v>0</v>
      </c>
      <c r="L1004">
        <f>Data!F1017</f>
        <v>0</v>
      </c>
      <c r="M1004">
        <f>Data!G1017</f>
        <v>0</v>
      </c>
      <c r="N1004">
        <f>Data!H1017</f>
        <v>0</v>
      </c>
      <c r="O1004">
        <f>Data!I1017</f>
        <v>0</v>
      </c>
      <c r="P1004" s="21">
        <f>Data!J1021</f>
        <v>0</v>
      </c>
      <c r="Q1004">
        <f>Data!K1021</f>
        <v>0</v>
      </c>
      <c r="R1004">
        <f>Data!L1021</f>
        <v>0</v>
      </c>
      <c r="S1004">
        <f>Data!M1021</f>
        <v>0</v>
      </c>
      <c r="T1004">
        <f>Data!N1017</f>
        <v>0</v>
      </c>
      <c r="U1004">
        <f>Data!O1021</f>
        <v>0</v>
      </c>
      <c r="V1004" s="33">
        <f>Data!P1019</f>
        <v>0</v>
      </c>
    </row>
    <row r="1005" spans="7:22" x14ac:dyDescent="0.25">
      <c r="G1005">
        <f>Data!A1018</f>
        <v>0</v>
      </c>
      <c r="H1005" s="21">
        <f>Data!B1018</f>
        <v>0</v>
      </c>
      <c r="I1005" s="21">
        <f>Data!C1018</f>
        <v>0</v>
      </c>
      <c r="J1005">
        <f>Data!D1018</f>
        <v>0</v>
      </c>
      <c r="K1005">
        <f>Data!E1018</f>
        <v>0</v>
      </c>
      <c r="L1005">
        <f>Data!F1018</f>
        <v>0</v>
      </c>
      <c r="M1005">
        <f>Data!G1018</f>
        <v>0</v>
      </c>
      <c r="N1005">
        <f>Data!H1018</f>
        <v>0</v>
      </c>
      <c r="O1005">
        <f>Data!I1018</f>
        <v>0</v>
      </c>
      <c r="P1005" s="21">
        <f>Data!J1022</f>
        <v>0</v>
      </c>
      <c r="Q1005">
        <f>Data!K1022</f>
        <v>0</v>
      </c>
      <c r="R1005">
        <f>Data!L1022</f>
        <v>0</v>
      </c>
      <c r="S1005">
        <f>Data!M1022</f>
        <v>0</v>
      </c>
      <c r="T1005">
        <f>Data!N1018</f>
        <v>0</v>
      </c>
      <c r="U1005">
        <f>Data!O1022</f>
        <v>0</v>
      </c>
      <c r="V1005" s="33">
        <f>Data!P1020</f>
        <v>0</v>
      </c>
    </row>
    <row r="1006" spans="7:22" x14ac:dyDescent="0.25">
      <c r="G1006">
        <f>Data!A1019</f>
        <v>0</v>
      </c>
      <c r="H1006" s="21">
        <f>Data!B1019</f>
        <v>0</v>
      </c>
      <c r="I1006" s="21">
        <f>Data!C1019</f>
        <v>0</v>
      </c>
      <c r="J1006">
        <f>Data!D1019</f>
        <v>0</v>
      </c>
      <c r="K1006">
        <f>Data!E1019</f>
        <v>0</v>
      </c>
      <c r="L1006">
        <f>Data!F1019</f>
        <v>0</v>
      </c>
      <c r="M1006">
        <f>Data!G1019</f>
        <v>0</v>
      </c>
      <c r="N1006">
        <f>Data!H1019</f>
        <v>0</v>
      </c>
      <c r="O1006">
        <f>Data!I1019</f>
        <v>0</v>
      </c>
      <c r="P1006" s="21">
        <f>Data!J1023</f>
        <v>0</v>
      </c>
      <c r="Q1006">
        <f>Data!K1023</f>
        <v>0</v>
      </c>
      <c r="R1006">
        <f>Data!L1023</f>
        <v>0</v>
      </c>
      <c r="S1006">
        <f>Data!M1023</f>
        <v>0</v>
      </c>
      <c r="T1006">
        <f>Data!N1019</f>
        <v>0</v>
      </c>
      <c r="U1006">
        <f>Data!O1023</f>
        <v>0</v>
      </c>
      <c r="V1006" s="33">
        <f>Data!P1021</f>
        <v>0</v>
      </c>
    </row>
    <row r="1007" spans="7:22" x14ac:dyDescent="0.25">
      <c r="G1007">
        <f>Data!A1020</f>
        <v>0</v>
      </c>
      <c r="H1007" s="21">
        <f>Data!B1020</f>
        <v>0</v>
      </c>
      <c r="I1007" s="21">
        <f>Data!C1020</f>
        <v>0</v>
      </c>
      <c r="J1007">
        <f>Data!D1020</f>
        <v>0</v>
      </c>
      <c r="K1007">
        <f>Data!E1020</f>
        <v>0</v>
      </c>
      <c r="L1007">
        <f>Data!F1020</f>
        <v>0</v>
      </c>
      <c r="M1007">
        <f>Data!G1020</f>
        <v>0</v>
      </c>
      <c r="N1007">
        <f>Data!H1020</f>
        <v>0</v>
      </c>
      <c r="O1007">
        <f>Data!I1020</f>
        <v>0</v>
      </c>
      <c r="P1007" s="21">
        <f>Data!J1024</f>
        <v>0</v>
      </c>
      <c r="Q1007">
        <f>Data!K1024</f>
        <v>0</v>
      </c>
      <c r="R1007">
        <f>Data!L1024</f>
        <v>0</v>
      </c>
      <c r="S1007">
        <f>Data!M1024</f>
        <v>0</v>
      </c>
      <c r="T1007">
        <f>Data!N1020</f>
        <v>0</v>
      </c>
      <c r="U1007">
        <f>Data!O1024</f>
        <v>0</v>
      </c>
      <c r="V1007" s="33">
        <f>Data!P1022</f>
        <v>0</v>
      </c>
    </row>
    <row r="1008" spans="7:22" x14ac:dyDescent="0.25">
      <c r="G1008">
        <f>Data!A1021</f>
        <v>0</v>
      </c>
      <c r="H1008" s="21">
        <f>Data!B1021</f>
        <v>0</v>
      </c>
      <c r="I1008" s="21">
        <f>Data!C1021</f>
        <v>0</v>
      </c>
      <c r="J1008">
        <f>Data!D1021</f>
        <v>0</v>
      </c>
      <c r="K1008">
        <f>Data!E1021</f>
        <v>0</v>
      </c>
      <c r="L1008">
        <f>Data!F1021</f>
        <v>0</v>
      </c>
      <c r="M1008">
        <f>Data!G1021</f>
        <v>0</v>
      </c>
      <c r="N1008">
        <f>Data!H1021</f>
        <v>0</v>
      </c>
      <c r="O1008">
        <f>Data!I1021</f>
        <v>0</v>
      </c>
      <c r="P1008" s="21">
        <f>Data!J1025</f>
        <v>0</v>
      </c>
      <c r="Q1008">
        <f>Data!K1025</f>
        <v>0</v>
      </c>
      <c r="R1008">
        <f>Data!L1025</f>
        <v>0</v>
      </c>
      <c r="S1008">
        <f>Data!M1025</f>
        <v>0</v>
      </c>
      <c r="T1008">
        <f>Data!N1021</f>
        <v>0</v>
      </c>
      <c r="U1008">
        <f>Data!O1025</f>
        <v>0</v>
      </c>
      <c r="V1008" s="33">
        <f>Data!P1023</f>
        <v>0</v>
      </c>
    </row>
    <row r="1009" spans="7:22" x14ac:dyDescent="0.25">
      <c r="G1009">
        <f>Data!A1022</f>
        <v>0</v>
      </c>
      <c r="H1009" s="21">
        <f>Data!B1022</f>
        <v>0</v>
      </c>
      <c r="I1009" s="21">
        <f>Data!C1022</f>
        <v>0</v>
      </c>
      <c r="J1009">
        <f>Data!D1022</f>
        <v>0</v>
      </c>
      <c r="K1009">
        <f>Data!E1022</f>
        <v>0</v>
      </c>
      <c r="L1009">
        <f>Data!F1022</f>
        <v>0</v>
      </c>
      <c r="M1009">
        <f>Data!G1022</f>
        <v>0</v>
      </c>
      <c r="N1009">
        <f>Data!H1022</f>
        <v>0</v>
      </c>
      <c r="O1009">
        <f>Data!I1022</f>
        <v>0</v>
      </c>
      <c r="P1009" s="21">
        <f>Data!J1026</f>
        <v>0</v>
      </c>
      <c r="Q1009">
        <f>Data!K1026</f>
        <v>0</v>
      </c>
      <c r="R1009">
        <f>Data!L1026</f>
        <v>0</v>
      </c>
      <c r="S1009">
        <f>Data!M1026</f>
        <v>0</v>
      </c>
      <c r="T1009">
        <f>Data!N1022</f>
        <v>0</v>
      </c>
      <c r="U1009">
        <f>Data!O1026</f>
        <v>0</v>
      </c>
      <c r="V1009" s="33">
        <f>Data!P1024</f>
        <v>0</v>
      </c>
    </row>
    <row r="1010" spans="7:22" x14ac:dyDescent="0.25">
      <c r="G1010">
        <f>Data!A1023</f>
        <v>0</v>
      </c>
      <c r="H1010" s="21">
        <f>Data!B1023</f>
        <v>0</v>
      </c>
      <c r="I1010" s="21">
        <f>Data!C1023</f>
        <v>0</v>
      </c>
      <c r="J1010">
        <f>Data!D1023</f>
        <v>0</v>
      </c>
      <c r="K1010">
        <f>Data!E1023</f>
        <v>0</v>
      </c>
      <c r="L1010">
        <f>Data!F1023</f>
        <v>0</v>
      </c>
      <c r="M1010">
        <f>Data!G1023</f>
        <v>0</v>
      </c>
      <c r="N1010">
        <f>Data!H1023</f>
        <v>0</v>
      </c>
      <c r="O1010">
        <f>Data!I1023</f>
        <v>0</v>
      </c>
      <c r="P1010" s="21">
        <f>Data!J1027</f>
        <v>0</v>
      </c>
      <c r="Q1010">
        <f>Data!K1027</f>
        <v>0</v>
      </c>
      <c r="R1010">
        <f>Data!L1027</f>
        <v>0</v>
      </c>
      <c r="S1010">
        <f>Data!M1027</f>
        <v>0</v>
      </c>
      <c r="T1010">
        <f>Data!N1023</f>
        <v>0</v>
      </c>
      <c r="U1010">
        <f>Data!O1027</f>
        <v>0</v>
      </c>
      <c r="V1010" s="33">
        <f>Data!P1025</f>
        <v>0</v>
      </c>
    </row>
    <row r="1011" spans="7:22" x14ac:dyDescent="0.25">
      <c r="G1011">
        <f>Data!A1024</f>
        <v>0</v>
      </c>
      <c r="H1011" s="21">
        <f>Data!B1024</f>
        <v>0</v>
      </c>
      <c r="I1011" s="21">
        <f>Data!C1024</f>
        <v>0</v>
      </c>
      <c r="J1011">
        <f>Data!D1024</f>
        <v>0</v>
      </c>
      <c r="K1011">
        <f>Data!E1024</f>
        <v>0</v>
      </c>
      <c r="L1011">
        <f>Data!F1024</f>
        <v>0</v>
      </c>
      <c r="M1011">
        <f>Data!G1024</f>
        <v>0</v>
      </c>
      <c r="N1011">
        <f>Data!H1024</f>
        <v>0</v>
      </c>
      <c r="O1011">
        <f>Data!I1024</f>
        <v>0</v>
      </c>
      <c r="P1011" s="21">
        <f>Data!J1028</f>
        <v>0</v>
      </c>
      <c r="Q1011">
        <f>Data!K1028</f>
        <v>0</v>
      </c>
      <c r="R1011">
        <f>Data!L1028</f>
        <v>0</v>
      </c>
      <c r="S1011">
        <f>Data!M1028</f>
        <v>0</v>
      </c>
      <c r="T1011">
        <f>Data!N1024</f>
        <v>0</v>
      </c>
      <c r="U1011">
        <f>Data!O1028</f>
        <v>0</v>
      </c>
      <c r="V1011" s="33">
        <f>Data!P1026</f>
        <v>0</v>
      </c>
    </row>
    <row r="1012" spans="7:22" x14ac:dyDescent="0.25">
      <c r="G1012">
        <f>Data!A1025</f>
        <v>0</v>
      </c>
      <c r="H1012" s="21">
        <f>Data!B1025</f>
        <v>0</v>
      </c>
      <c r="I1012" s="21">
        <f>Data!C1025</f>
        <v>0</v>
      </c>
      <c r="J1012">
        <f>Data!D1025</f>
        <v>0</v>
      </c>
      <c r="K1012">
        <f>Data!E1025</f>
        <v>0</v>
      </c>
      <c r="L1012">
        <f>Data!F1025</f>
        <v>0</v>
      </c>
      <c r="M1012">
        <f>Data!G1025</f>
        <v>0</v>
      </c>
      <c r="N1012">
        <f>Data!H1025</f>
        <v>0</v>
      </c>
      <c r="O1012">
        <f>Data!I1025</f>
        <v>0</v>
      </c>
      <c r="P1012" s="21">
        <f>Data!J1029</f>
        <v>0</v>
      </c>
      <c r="Q1012">
        <f>Data!K1029</f>
        <v>0</v>
      </c>
      <c r="R1012">
        <f>Data!L1029</f>
        <v>0</v>
      </c>
      <c r="S1012">
        <f>Data!M1029</f>
        <v>0</v>
      </c>
      <c r="T1012">
        <f>Data!N1025</f>
        <v>0</v>
      </c>
      <c r="U1012">
        <f>Data!O1029</f>
        <v>0</v>
      </c>
      <c r="V1012" s="33">
        <f>Data!P1027</f>
        <v>0</v>
      </c>
    </row>
    <row r="1013" spans="7:22" x14ac:dyDescent="0.25">
      <c r="G1013">
        <f>Data!A1026</f>
        <v>0</v>
      </c>
      <c r="H1013" s="21">
        <f>Data!B1026</f>
        <v>0</v>
      </c>
      <c r="I1013" s="21">
        <f>Data!C1026</f>
        <v>0</v>
      </c>
      <c r="J1013">
        <f>Data!D1026</f>
        <v>0</v>
      </c>
      <c r="K1013">
        <f>Data!E1026</f>
        <v>0</v>
      </c>
      <c r="L1013">
        <f>Data!F1026</f>
        <v>0</v>
      </c>
      <c r="M1013">
        <f>Data!G1026</f>
        <v>0</v>
      </c>
      <c r="N1013">
        <f>Data!H1026</f>
        <v>0</v>
      </c>
      <c r="O1013">
        <f>Data!I1026</f>
        <v>0</v>
      </c>
      <c r="P1013" s="21">
        <f>Data!J1030</f>
        <v>0</v>
      </c>
      <c r="Q1013">
        <f>Data!K1030</f>
        <v>0</v>
      </c>
      <c r="R1013">
        <f>Data!L1030</f>
        <v>0</v>
      </c>
      <c r="S1013">
        <f>Data!M1030</f>
        <v>0</v>
      </c>
      <c r="T1013">
        <f>Data!N1026</f>
        <v>0</v>
      </c>
      <c r="U1013">
        <f>Data!O1030</f>
        <v>0</v>
      </c>
      <c r="V1013" s="33">
        <f>Data!P1028</f>
        <v>0</v>
      </c>
    </row>
    <row r="1014" spans="7:22" x14ac:dyDescent="0.25">
      <c r="G1014">
        <f>Data!A1027</f>
        <v>0</v>
      </c>
      <c r="H1014" s="21">
        <f>Data!B1027</f>
        <v>0</v>
      </c>
      <c r="I1014" s="21">
        <f>Data!C1027</f>
        <v>0</v>
      </c>
      <c r="J1014">
        <f>Data!D1027</f>
        <v>0</v>
      </c>
      <c r="K1014">
        <f>Data!E1027</f>
        <v>0</v>
      </c>
      <c r="L1014">
        <f>Data!F1027</f>
        <v>0</v>
      </c>
      <c r="M1014">
        <f>Data!G1027</f>
        <v>0</v>
      </c>
      <c r="N1014">
        <f>Data!H1027</f>
        <v>0</v>
      </c>
      <c r="O1014">
        <f>Data!I1027</f>
        <v>0</v>
      </c>
      <c r="P1014" s="21">
        <f>Data!J1031</f>
        <v>0</v>
      </c>
      <c r="Q1014">
        <f>Data!K1031</f>
        <v>0</v>
      </c>
      <c r="R1014">
        <f>Data!L1031</f>
        <v>0</v>
      </c>
      <c r="S1014">
        <f>Data!M1031</f>
        <v>0</v>
      </c>
      <c r="T1014">
        <f>Data!N1027</f>
        <v>0</v>
      </c>
      <c r="U1014">
        <f>Data!O1031</f>
        <v>0</v>
      </c>
      <c r="V1014" s="33">
        <f>Data!P1029</f>
        <v>0</v>
      </c>
    </row>
    <row r="1015" spans="7:22" x14ac:dyDescent="0.25">
      <c r="G1015">
        <f>Data!A1028</f>
        <v>0</v>
      </c>
      <c r="H1015" s="21">
        <f>Data!B1028</f>
        <v>0</v>
      </c>
      <c r="I1015" s="21">
        <f>Data!C1028</f>
        <v>0</v>
      </c>
      <c r="J1015">
        <f>Data!D1028</f>
        <v>0</v>
      </c>
      <c r="K1015">
        <f>Data!E1028</f>
        <v>0</v>
      </c>
      <c r="L1015">
        <f>Data!F1028</f>
        <v>0</v>
      </c>
      <c r="M1015">
        <f>Data!G1028</f>
        <v>0</v>
      </c>
      <c r="N1015">
        <f>Data!H1028</f>
        <v>0</v>
      </c>
      <c r="O1015">
        <f>Data!I1028</f>
        <v>0</v>
      </c>
      <c r="P1015" s="21">
        <f>Data!J1032</f>
        <v>0</v>
      </c>
      <c r="Q1015">
        <f>Data!K1032</f>
        <v>0</v>
      </c>
      <c r="R1015">
        <f>Data!L1032</f>
        <v>0</v>
      </c>
      <c r="S1015">
        <f>Data!M1032</f>
        <v>0</v>
      </c>
      <c r="T1015">
        <f>Data!N1028</f>
        <v>0</v>
      </c>
      <c r="U1015">
        <f>Data!O1032</f>
        <v>0</v>
      </c>
      <c r="V1015" s="33">
        <f>Data!P1030</f>
        <v>0</v>
      </c>
    </row>
    <row r="1016" spans="7:22" x14ac:dyDescent="0.25">
      <c r="G1016">
        <f>Data!A1029</f>
        <v>0</v>
      </c>
      <c r="H1016" s="21">
        <f>Data!B1029</f>
        <v>0</v>
      </c>
      <c r="I1016" s="21">
        <f>Data!C1029</f>
        <v>0</v>
      </c>
      <c r="J1016">
        <f>Data!D1029</f>
        <v>0</v>
      </c>
      <c r="K1016">
        <f>Data!E1029</f>
        <v>0</v>
      </c>
      <c r="L1016">
        <f>Data!F1029</f>
        <v>0</v>
      </c>
      <c r="M1016">
        <f>Data!G1029</f>
        <v>0</v>
      </c>
      <c r="N1016">
        <f>Data!H1029</f>
        <v>0</v>
      </c>
      <c r="O1016">
        <f>Data!I1029</f>
        <v>0</v>
      </c>
      <c r="P1016" s="21">
        <f>Data!J1033</f>
        <v>0</v>
      </c>
      <c r="Q1016">
        <f>Data!K1033</f>
        <v>0</v>
      </c>
      <c r="R1016">
        <f>Data!L1033</f>
        <v>0</v>
      </c>
      <c r="S1016">
        <f>Data!M1033</f>
        <v>0</v>
      </c>
      <c r="T1016">
        <f>Data!N1029</f>
        <v>0</v>
      </c>
      <c r="U1016">
        <f>Data!O1033</f>
        <v>0</v>
      </c>
      <c r="V1016" s="33">
        <f>Data!P1031</f>
        <v>0</v>
      </c>
    </row>
    <row r="1017" spans="7:22" x14ac:dyDescent="0.25">
      <c r="G1017">
        <f>Data!A1030</f>
        <v>0</v>
      </c>
      <c r="H1017" s="21">
        <f>Data!B1030</f>
        <v>0</v>
      </c>
      <c r="I1017" s="21">
        <f>Data!C1030</f>
        <v>0</v>
      </c>
      <c r="J1017">
        <f>Data!D1030</f>
        <v>0</v>
      </c>
      <c r="K1017">
        <f>Data!E1030</f>
        <v>0</v>
      </c>
      <c r="L1017">
        <f>Data!F1030</f>
        <v>0</v>
      </c>
      <c r="M1017">
        <f>Data!G1030</f>
        <v>0</v>
      </c>
      <c r="N1017">
        <f>Data!H1030</f>
        <v>0</v>
      </c>
      <c r="O1017">
        <f>Data!I1030</f>
        <v>0</v>
      </c>
      <c r="P1017" s="21">
        <f>Data!J1034</f>
        <v>0</v>
      </c>
      <c r="Q1017">
        <f>Data!K1034</f>
        <v>0</v>
      </c>
      <c r="R1017">
        <f>Data!L1034</f>
        <v>0</v>
      </c>
      <c r="S1017">
        <f>Data!M1034</f>
        <v>0</v>
      </c>
      <c r="T1017">
        <f>Data!N1030</f>
        <v>0</v>
      </c>
      <c r="U1017">
        <f>Data!O1034</f>
        <v>0</v>
      </c>
      <c r="V1017" s="33">
        <f>Data!P1032</f>
        <v>0</v>
      </c>
    </row>
    <row r="1018" spans="7:22" x14ac:dyDescent="0.25">
      <c r="G1018">
        <f>Data!A1031</f>
        <v>0</v>
      </c>
      <c r="H1018" s="21">
        <f>Data!B1031</f>
        <v>0</v>
      </c>
      <c r="I1018" s="21">
        <f>Data!C1031</f>
        <v>0</v>
      </c>
      <c r="J1018">
        <f>Data!D1031</f>
        <v>0</v>
      </c>
      <c r="K1018">
        <f>Data!E1031</f>
        <v>0</v>
      </c>
      <c r="L1018">
        <f>Data!F1031</f>
        <v>0</v>
      </c>
      <c r="M1018">
        <f>Data!G1031</f>
        <v>0</v>
      </c>
      <c r="N1018">
        <f>Data!H1031</f>
        <v>0</v>
      </c>
      <c r="O1018">
        <f>Data!I1031</f>
        <v>0</v>
      </c>
      <c r="P1018" s="21">
        <f>Data!J1035</f>
        <v>0</v>
      </c>
      <c r="Q1018">
        <f>Data!K1035</f>
        <v>0</v>
      </c>
      <c r="R1018">
        <f>Data!L1035</f>
        <v>0</v>
      </c>
      <c r="S1018">
        <f>Data!M1035</f>
        <v>0</v>
      </c>
      <c r="T1018">
        <f>Data!N1031</f>
        <v>0</v>
      </c>
      <c r="U1018">
        <f>Data!O1035</f>
        <v>0</v>
      </c>
      <c r="V1018" s="33">
        <f>Data!P1033</f>
        <v>0</v>
      </c>
    </row>
    <row r="1019" spans="7:22" x14ac:dyDescent="0.25">
      <c r="G1019">
        <f>Data!A1032</f>
        <v>0</v>
      </c>
      <c r="H1019" s="21">
        <f>Data!B1032</f>
        <v>0</v>
      </c>
      <c r="I1019" s="21">
        <f>Data!C1032</f>
        <v>0</v>
      </c>
      <c r="J1019">
        <f>Data!D1032</f>
        <v>0</v>
      </c>
      <c r="K1019">
        <f>Data!E1032</f>
        <v>0</v>
      </c>
      <c r="L1019">
        <f>Data!F1032</f>
        <v>0</v>
      </c>
      <c r="M1019">
        <f>Data!G1032</f>
        <v>0</v>
      </c>
      <c r="N1019">
        <f>Data!H1032</f>
        <v>0</v>
      </c>
      <c r="O1019">
        <f>Data!I1032</f>
        <v>0</v>
      </c>
      <c r="P1019" s="21">
        <f>Data!J1036</f>
        <v>0</v>
      </c>
      <c r="Q1019">
        <f>Data!K1036</f>
        <v>0</v>
      </c>
      <c r="R1019">
        <f>Data!L1036</f>
        <v>0</v>
      </c>
      <c r="S1019">
        <f>Data!M1036</f>
        <v>0</v>
      </c>
      <c r="T1019">
        <f>Data!N1032</f>
        <v>0</v>
      </c>
      <c r="U1019">
        <f>Data!O1036</f>
        <v>0</v>
      </c>
      <c r="V1019" s="33">
        <f>Data!P1034</f>
        <v>0</v>
      </c>
    </row>
    <row r="1020" spans="7:22" x14ac:dyDescent="0.25">
      <c r="G1020">
        <f>Data!A1033</f>
        <v>0</v>
      </c>
      <c r="H1020" s="21">
        <f>Data!B1033</f>
        <v>0</v>
      </c>
      <c r="I1020" s="21">
        <f>Data!C1033</f>
        <v>0</v>
      </c>
      <c r="J1020">
        <f>Data!D1033</f>
        <v>0</v>
      </c>
      <c r="K1020">
        <f>Data!E1033</f>
        <v>0</v>
      </c>
      <c r="L1020">
        <f>Data!F1033</f>
        <v>0</v>
      </c>
      <c r="M1020">
        <f>Data!G1033</f>
        <v>0</v>
      </c>
      <c r="N1020">
        <f>Data!H1033</f>
        <v>0</v>
      </c>
      <c r="O1020">
        <f>Data!I1033</f>
        <v>0</v>
      </c>
      <c r="P1020" s="21">
        <f>Data!J1037</f>
        <v>0</v>
      </c>
      <c r="Q1020">
        <f>Data!K1037</f>
        <v>0</v>
      </c>
      <c r="R1020">
        <f>Data!L1037</f>
        <v>0</v>
      </c>
      <c r="S1020">
        <f>Data!M1037</f>
        <v>0</v>
      </c>
      <c r="T1020">
        <f>Data!N1033</f>
        <v>0</v>
      </c>
      <c r="U1020">
        <f>Data!O1037</f>
        <v>0</v>
      </c>
      <c r="V1020" s="33">
        <f>Data!P1035</f>
        <v>0</v>
      </c>
    </row>
    <row r="1021" spans="7:22" x14ac:dyDescent="0.25">
      <c r="G1021">
        <f>Data!A1034</f>
        <v>0</v>
      </c>
      <c r="H1021" s="21">
        <f>Data!B1034</f>
        <v>0</v>
      </c>
      <c r="I1021" s="21">
        <f>Data!C1034</f>
        <v>0</v>
      </c>
      <c r="J1021">
        <f>Data!D1034</f>
        <v>0</v>
      </c>
      <c r="K1021">
        <f>Data!E1034</f>
        <v>0</v>
      </c>
      <c r="L1021">
        <f>Data!F1034</f>
        <v>0</v>
      </c>
      <c r="M1021">
        <f>Data!G1034</f>
        <v>0</v>
      </c>
      <c r="N1021">
        <f>Data!H1034</f>
        <v>0</v>
      </c>
      <c r="O1021">
        <f>Data!I1034</f>
        <v>0</v>
      </c>
      <c r="P1021" s="21">
        <f>Data!J1038</f>
        <v>0</v>
      </c>
      <c r="Q1021">
        <f>Data!K1038</f>
        <v>0</v>
      </c>
      <c r="R1021">
        <f>Data!L1038</f>
        <v>0</v>
      </c>
      <c r="S1021">
        <f>Data!M1038</f>
        <v>0</v>
      </c>
      <c r="T1021">
        <f>Data!N1034</f>
        <v>0</v>
      </c>
      <c r="U1021">
        <f>Data!O1038</f>
        <v>0</v>
      </c>
      <c r="V1021" s="33">
        <f>Data!P1036</f>
        <v>0</v>
      </c>
    </row>
    <row r="1022" spans="7:22" x14ac:dyDescent="0.25">
      <c r="G1022">
        <f>Data!A1035</f>
        <v>0</v>
      </c>
      <c r="H1022" s="21">
        <f>Data!B1035</f>
        <v>0</v>
      </c>
      <c r="I1022" s="21">
        <f>Data!C1035</f>
        <v>0</v>
      </c>
      <c r="J1022">
        <f>Data!D1035</f>
        <v>0</v>
      </c>
      <c r="K1022">
        <f>Data!E1035</f>
        <v>0</v>
      </c>
      <c r="L1022">
        <f>Data!F1035</f>
        <v>0</v>
      </c>
      <c r="M1022">
        <f>Data!G1035</f>
        <v>0</v>
      </c>
      <c r="N1022">
        <f>Data!H1035</f>
        <v>0</v>
      </c>
      <c r="O1022">
        <f>Data!I1035</f>
        <v>0</v>
      </c>
      <c r="P1022" s="21">
        <f>Data!J1039</f>
        <v>0</v>
      </c>
      <c r="Q1022">
        <f>Data!K1039</f>
        <v>0</v>
      </c>
      <c r="R1022">
        <f>Data!L1039</f>
        <v>0</v>
      </c>
      <c r="S1022">
        <f>Data!M1039</f>
        <v>0</v>
      </c>
      <c r="T1022">
        <f>Data!N1035</f>
        <v>0</v>
      </c>
      <c r="U1022">
        <f>Data!O1039</f>
        <v>0</v>
      </c>
      <c r="V1022" s="33">
        <f>Data!P1037</f>
        <v>0</v>
      </c>
    </row>
    <row r="1023" spans="7:22" x14ac:dyDescent="0.25">
      <c r="G1023">
        <f>Data!A1036</f>
        <v>0</v>
      </c>
      <c r="H1023" s="21">
        <f>Data!B1036</f>
        <v>0</v>
      </c>
      <c r="I1023" s="21">
        <f>Data!C1036</f>
        <v>0</v>
      </c>
      <c r="J1023">
        <f>Data!D1036</f>
        <v>0</v>
      </c>
      <c r="K1023">
        <f>Data!E1036</f>
        <v>0</v>
      </c>
      <c r="L1023">
        <f>Data!F1036</f>
        <v>0</v>
      </c>
      <c r="M1023">
        <f>Data!G1036</f>
        <v>0</v>
      </c>
      <c r="N1023">
        <f>Data!H1036</f>
        <v>0</v>
      </c>
      <c r="O1023">
        <f>Data!I1036</f>
        <v>0</v>
      </c>
      <c r="P1023" s="21">
        <f>Data!J1040</f>
        <v>0</v>
      </c>
      <c r="Q1023">
        <f>Data!K1040</f>
        <v>0</v>
      </c>
      <c r="R1023">
        <f>Data!L1040</f>
        <v>0</v>
      </c>
      <c r="S1023">
        <f>Data!M1040</f>
        <v>0</v>
      </c>
      <c r="T1023">
        <f>Data!N1036</f>
        <v>0</v>
      </c>
      <c r="U1023">
        <f>Data!O1040</f>
        <v>0</v>
      </c>
      <c r="V1023" s="33">
        <f>Data!P1038</f>
        <v>0</v>
      </c>
    </row>
    <row r="1024" spans="7:22" x14ac:dyDescent="0.25">
      <c r="G1024">
        <f>Data!A1037</f>
        <v>0</v>
      </c>
      <c r="H1024" s="21">
        <f>Data!B1037</f>
        <v>0</v>
      </c>
      <c r="I1024" s="21">
        <f>Data!C1037</f>
        <v>0</v>
      </c>
      <c r="J1024">
        <f>Data!D1037</f>
        <v>0</v>
      </c>
      <c r="K1024">
        <f>Data!E1037</f>
        <v>0</v>
      </c>
      <c r="L1024">
        <f>Data!F1037</f>
        <v>0</v>
      </c>
      <c r="M1024">
        <f>Data!G1037</f>
        <v>0</v>
      </c>
      <c r="N1024">
        <f>Data!H1037</f>
        <v>0</v>
      </c>
      <c r="O1024">
        <f>Data!I1037</f>
        <v>0</v>
      </c>
      <c r="P1024" s="21">
        <f>Data!J1041</f>
        <v>0</v>
      </c>
      <c r="Q1024">
        <f>Data!K1041</f>
        <v>0</v>
      </c>
      <c r="R1024">
        <f>Data!L1041</f>
        <v>0</v>
      </c>
      <c r="S1024">
        <f>Data!M1041</f>
        <v>0</v>
      </c>
      <c r="T1024">
        <f>Data!N1037</f>
        <v>0</v>
      </c>
      <c r="U1024">
        <f>Data!O1041</f>
        <v>0</v>
      </c>
      <c r="V1024" s="33">
        <f>Data!P1039</f>
        <v>0</v>
      </c>
    </row>
    <row r="1025" spans="7:22" x14ac:dyDescent="0.25">
      <c r="G1025">
        <f>Data!A1038</f>
        <v>0</v>
      </c>
      <c r="H1025" s="21">
        <f>Data!B1038</f>
        <v>0</v>
      </c>
      <c r="I1025" s="21">
        <f>Data!C1038</f>
        <v>0</v>
      </c>
      <c r="J1025">
        <f>Data!D1038</f>
        <v>0</v>
      </c>
      <c r="K1025">
        <f>Data!E1038</f>
        <v>0</v>
      </c>
      <c r="L1025">
        <f>Data!F1038</f>
        <v>0</v>
      </c>
      <c r="M1025">
        <f>Data!G1038</f>
        <v>0</v>
      </c>
      <c r="N1025">
        <f>Data!H1038</f>
        <v>0</v>
      </c>
      <c r="O1025">
        <f>Data!I1038</f>
        <v>0</v>
      </c>
      <c r="P1025" s="21">
        <f>Data!J1042</f>
        <v>0</v>
      </c>
      <c r="Q1025">
        <f>Data!K1042</f>
        <v>0</v>
      </c>
      <c r="R1025">
        <f>Data!L1042</f>
        <v>0</v>
      </c>
      <c r="S1025">
        <f>Data!M1042</f>
        <v>0</v>
      </c>
      <c r="T1025">
        <f>Data!N1038</f>
        <v>0</v>
      </c>
      <c r="U1025">
        <f>Data!O1042</f>
        <v>0</v>
      </c>
      <c r="V1025" s="33">
        <f>Data!P1040</f>
        <v>0</v>
      </c>
    </row>
    <row r="1026" spans="7:22" x14ac:dyDescent="0.25">
      <c r="G1026">
        <f>Data!A1039</f>
        <v>0</v>
      </c>
      <c r="H1026" s="21">
        <f>Data!B1039</f>
        <v>0</v>
      </c>
      <c r="I1026" s="21">
        <f>Data!C1039</f>
        <v>0</v>
      </c>
      <c r="J1026">
        <f>Data!D1039</f>
        <v>0</v>
      </c>
      <c r="K1026">
        <f>Data!E1039</f>
        <v>0</v>
      </c>
      <c r="L1026">
        <f>Data!F1039</f>
        <v>0</v>
      </c>
      <c r="M1026">
        <f>Data!G1039</f>
        <v>0</v>
      </c>
      <c r="N1026">
        <f>Data!H1039</f>
        <v>0</v>
      </c>
      <c r="O1026">
        <f>Data!I1039</f>
        <v>0</v>
      </c>
      <c r="P1026" s="21">
        <f>Data!J1043</f>
        <v>0</v>
      </c>
      <c r="Q1026">
        <f>Data!K1043</f>
        <v>0</v>
      </c>
      <c r="R1026">
        <f>Data!L1043</f>
        <v>0</v>
      </c>
      <c r="S1026">
        <f>Data!M1043</f>
        <v>0</v>
      </c>
      <c r="T1026">
        <f>Data!N1039</f>
        <v>0</v>
      </c>
      <c r="U1026">
        <f>Data!O1043</f>
        <v>0</v>
      </c>
      <c r="V1026" s="33">
        <f>Data!P1041</f>
        <v>0</v>
      </c>
    </row>
    <row r="1027" spans="7:22" x14ac:dyDescent="0.25">
      <c r="G1027">
        <f>Data!A1040</f>
        <v>0</v>
      </c>
      <c r="H1027" s="21">
        <f>Data!B1040</f>
        <v>0</v>
      </c>
      <c r="I1027" s="21">
        <f>Data!C1040</f>
        <v>0</v>
      </c>
      <c r="J1027">
        <f>Data!D1040</f>
        <v>0</v>
      </c>
      <c r="K1027">
        <f>Data!E1040</f>
        <v>0</v>
      </c>
      <c r="L1027">
        <f>Data!F1040</f>
        <v>0</v>
      </c>
      <c r="M1027">
        <f>Data!G1040</f>
        <v>0</v>
      </c>
      <c r="N1027">
        <f>Data!H1040</f>
        <v>0</v>
      </c>
      <c r="O1027">
        <f>Data!I1040</f>
        <v>0</v>
      </c>
      <c r="P1027" s="21">
        <f>Data!J1044</f>
        <v>0</v>
      </c>
      <c r="Q1027">
        <f>Data!K1044</f>
        <v>0</v>
      </c>
      <c r="R1027">
        <f>Data!L1044</f>
        <v>0</v>
      </c>
      <c r="S1027">
        <f>Data!M1044</f>
        <v>0</v>
      </c>
      <c r="T1027">
        <f>Data!N1040</f>
        <v>0</v>
      </c>
      <c r="U1027">
        <f>Data!O1044</f>
        <v>0</v>
      </c>
      <c r="V1027" s="33">
        <f>Data!P1042</f>
        <v>0</v>
      </c>
    </row>
    <row r="1028" spans="7:22" x14ac:dyDescent="0.25">
      <c r="G1028">
        <f>Data!A1041</f>
        <v>0</v>
      </c>
      <c r="H1028" s="21">
        <f>Data!B1041</f>
        <v>0</v>
      </c>
      <c r="I1028" s="21">
        <f>Data!C1041</f>
        <v>0</v>
      </c>
      <c r="J1028">
        <f>Data!D1041</f>
        <v>0</v>
      </c>
      <c r="K1028">
        <f>Data!E1041</f>
        <v>0</v>
      </c>
      <c r="L1028">
        <f>Data!F1041</f>
        <v>0</v>
      </c>
      <c r="M1028">
        <f>Data!G1041</f>
        <v>0</v>
      </c>
      <c r="N1028">
        <f>Data!H1041</f>
        <v>0</v>
      </c>
      <c r="O1028">
        <f>Data!I1041</f>
        <v>0</v>
      </c>
      <c r="P1028" s="21">
        <f>Data!J1045</f>
        <v>0</v>
      </c>
      <c r="Q1028">
        <f>Data!K1045</f>
        <v>0</v>
      </c>
      <c r="R1028">
        <f>Data!L1045</f>
        <v>0</v>
      </c>
      <c r="S1028">
        <f>Data!M1045</f>
        <v>0</v>
      </c>
      <c r="T1028">
        <f>Data!N1041</f>
        <v>0</v>
      </c>
      <c r="U1028">
        <f>Data!O1045</f>
        <v>0</v>
      </c>
      <c r="V1028" s="33">
        <f>Data!P1043</f>
        <v>0</v>
      </c>
    </row>
    <row r="1029" spans="7:22" x14ac:dyDescent="0.25">
      <c r="G1029">
        <f>Data!A1042</f>
        <v>0</v>
      </c>
      <c r="H1029" s="21">
        <f>Data!B1042</f>
        <v>0</v>
      </c>
      <c r="I1029" s="21">
        <f>Data!C1042</f>
        <v>0</v>
      </c>
      <c r="J1029">
        <f>Data!D1042</f>
        <v>0</v>
      </c>
      <c r="K1029">
        <f>Data!E1042</f>
        <v>0</v>
      </c>
      <c r="L1029">
        <f>Data!F1042</f>
        <v>0</v>
      </c>
      <c r="M1029">
        <f>Data!G1042</f>
        <v>0</v>
      </c>
      <c r="N1029">
        <f>Data!H1042</f>
        <v>0</v>
      </c>
      <c r="O1029">
        <f>Data!I1042</f>
        <v>0</v>
      </c>
      <c r="P1029" s="21">
        <f>Data!J1046</f>
        <v>0</v>
      </c>
      <c r="Q1029">
        <f>Data!K1046</f>
        <v>0</v>
      </c>
      <c r="R1029">
        <f>Data!L1046</f>
        <v>0</v>
      </c>
      <c r="S1029">
        <f>Data!M1046</f>
        <v>0</v>
      </c>
      <c r="T1029">
        <f>Data!N1042</f>
        <v>0</v>
      </c>
      <c r="U1029">
        <f>Data!O1046</f>
        <v>0</v>
      </c>
      <c r="V1029" s="33">
        <f>Data!P1044</f>
        <v>0</v>
      </c>
    </row>
    <row r="1030" spans="7:22" x14ac:dyDescent="0.25">
      <c r="G1030">
        <f>Data!A1043</f>
        <v>0</v>
      </c>
      <c r="H1030" s="21">
        <f>Data!B1043</f>
        <v>0</v>
      </c>
      <c r="I1030" s="21">
        <f>Data!C1043</f>
        <v>0</v>
      </c>
      <c r="J1030">
        <f>Data!D1043</f>
        <v>0</v>
      </c>
      <c r="K1030">
        <f>Data!E1043</f>
        <v>0</v>
      </c>
      <c r="L1030">
        <f>Data!F1043</f>
        <v>0</v>
      </c>
      <c r="M1030">
        <f>Data!G1043</f>
        <v>0</v>
      </c>
      <c r="N1030">
        <f>Data!H1043</f>
        <v>0</v>
      </c>
      <c r="O1030">
        <f>Data!I1043</f>
        <v>0</v>
      </c>
      <c r="P1030" s="21">
        <f>Data!J1047</f>
        <v>0</v>
      </c>
      <c r="Q1030">
        <f>Data!K1047</f>
        <v>0</v>
      </c>
      <c r="R1030">
        <f>Data!L1047</f>
        <v>0</v>
      </c>
      <c r="S1030">
        <f>Data!M1047</f>
        <v>0</v>
      </c>
      <c r="T1030">
        <f>Data!N1043</f>
        <v>0</v>
      </c>
      <c r="U1030">
        <f>Data!O1047</f>
        <v>0</v>
      </c>
      <c r="V1030" s="33">
        <f>Data!P1045</f>
        <v>0</v>
      </c>
    </row>
    <row r="1031" spans="7:22" x14ac:dyDescent="0.25">
      <c r="G1031">
        <f>Data!A1044</f>
        <v>0</v>
      </c>
      <c r="H1031" s="21">
        <f>Data!B1044</f>
        <v>0</v>
      </c>
      <c r="I1031" s="21">
        <f>Data!C1044</f>
        <v>0</v>
      </c>
      <c r="J1031">
        <f>Data!D1044</f>
        <v>0</v>
      </c>
      <c r="K1031">
        <f>Data!E1044</f>
        <v>0</v>
      </c>
      <c r="L1031">
        <f>Data!F1044</f>
        <v>0</v>
      </c>
      <c r="M1031">
        <f>Data!G1044</f>
        <v>0</v>
      </c>
      <c r="N1031">
        <f>Data!H1044</f>
        <v>0</v>
      </c>
      <c r="O1031">
        <f>Data!I1044</f>
        <v>0</v>
      </c>
      <c r="P1031" s="21">
        <f>Data!J1048</f>
        <v>0</v>
      </c>
      <c r="Q1031">
        <f>Data!K1048</f>
        <v>0</v>
      </c>
      <c r="R1031">
        <f>Data!L1048</f>
        <v>0</v>
      </c>
      <c r="S1031">
        <f>Data!M1048</f>
        <v>0</v>
      </c>
      <c r="T1031">
        <f>Data!N1044</f>
        <v>0</v>
      </c>
      <c r="U1031">
        <f>Data!O1048</f>
        <v>0</v>
      </c>
      <c r="V1031" s="33">
        <f>Data!P1046</f>
        <v>0</v>
      </c>
    </row>
    <row r="1032" spans="7:22" x14ac:dyDescent="0.25">
      <c r="G1032">
        <f>Data!A1045</f>
        <v>0</v>
      </c>
      <c r="H1032" s="21">
        <f>Data!B1045</f>
        <v>0</v>
      </c>
      <c r="I1032" s="21">
        <f>Data!C1045</f>
        <v>0</v>
      </c>
      <c r="J1032">
        <f>Data!D1045</f>
        <v>0</v>
      </c>
      <c r="K1032">
        <f>Data!E1045</f>
        <v>0</v>
      </c>
      <c r="L1032">
        <f>Data!F1045</f>
        <v>0</v>
      </c>
      <c r="M1032">
        <f>Data!G1045</f>
        <v>0</v>
      </c>
      <c r="N1032">
        <f>Data!H1045</f>
        <v>0</v>
      </c>
      <c r="O1032">
        <f>Data!I1045</f>
        <v>0</v>
      </c>
      <c r="P1032" s="21">
        <f>Data!J1049</f>
        <v>0</v>
      </c>
      <c r="Q1032">
        <f>Data!K1049</f>
        <v>0</v>
      </c>
      <c r="R1032">
        <f>Data!L1049</f>
        <v>0</v>
      </c>
      <c r="S1032">
        <f>Data!M1049</f>
        <v>0</v>
      </c>
      <c r="T1032">
        <f>Data!N1045</f>
        <v>0</v>
      </c>
      <c r="U1032">
        <f>Data!O1049</f>
        <v>0</v>
      </c>
      <c r="V1032" s="33">
        <f>Data!P1047</f>
        <v>0</v>
      </c>
    </row>
    <row r="1033" spans="7:22" x14ac:dyDescent="0.25">
      <c r="G1033">
        <f>Data!A1046</f>
        <v>0</v>
      </c>
      <c r="H1033" s="21">
        <f>Data!B1046</f>
        <v>0</v>
      </c>
      <c r="I1033" s="21">
        <f>Data!C1046</f>
        <v>0</v>
      </c>
      <c r="J1033">
        <f>Data!D1046</f>
        <v>0</v>
      </c>
      <c r="K1033">
        <f>Data!E1046</f>
        <v>0</v>
      </c>
      <c r="L1033">
        <f>Data!F1046</f>
        <v>0</v>
      </c>
      <c r="M1033">
        <f>Data!G1046</f>
        <v>0</v>
      </c>
      <c r="N1033">
        <f>Data!H1046</f>
        <v>0</v>
      </c>
      <c r="O1033">
        <f>Data!I1046</f>
        <v>0</v>
      </c>
      <c r="P1033" s="21">
        <f>Data!J1050</f>
        <v>0</v>
      </c>
      <c r="Q1033">
        <f>Data!K1050</f>
        <v>0</v>
      </c>
      <c r="R1033">
        <f>Data!L1050</f>
        <v>0</v>
      </c>
      <c r="S1033">
        <f>Data!M1050</f>
        <v>0</v>
      </c>
      <c r="T1033">
        <f>Data!N1046</f>
        <v>0</v>
      </c>
      <c r="U1033">
        <f>Data!O1050</f>
        <v>0</v>
      </c>
      <c r="V1033" s="33">
        <f>Data!P1048</f>
        <v>0</v>
      </c>
    </row>
    <row r="1034" spans="7:22" x14ac:dyDescent="0.25">
      <c r="G1034">
        <f>Data!A1047</f>
        <v>0</v>
      </c>
      <c r="H1034" s="21">
        <f>Data!B1047</f>
        <v>0</v>
      </c>
      <c r="I1034" s="21">
        <f>Data!C1047</f>
        <v>0</v>
      </c>
      <c r="J1034">
        <f>Data!D1047</f>
        <v>0</v>
      </c>
      <c r="K1034">
        <f>Data!E1047</f>
        <v>0</v>
      </c>
      <c r="L1034">
        <f>Data!F1047</f>
        <v>0</v>
      </c>
      <c r="M1034">
        <f>Data!G1047</f>
        <v>0</v>
      </c>
      <c r="N1034">
        <f>Data!H1047</f>
        <v>0</v>
      </c>
      <c r="O1034">
        <f>Data!I1047</f>
        <v>0</v>
      </c>
      <c r="P1034" s="21">
        <f>Data!J1051</f>
        <v>0</v>
      </c>
      <c r="Q1034">
        <f>Data!K1051</f>
        <v>0</v>
      </c>
      <c r="R1034">
        <f>Data!L1051</f>
        <v>0</v>
      </c>
      <c r="S1034">
        <f>Data!M1051</f>
        <v>0</v>
      </c>
      <c r="T1034">
        <f>Data!N1047</f>
        <v>0</v>
      </c>
      <c r="U1034">
        <f>Data!O1051</f>
        <v>0</v>
      </c>
      <c r="V1034" s="33">
        <f>Data!P1049</f>
        <v>0</v>
      </c>
    </row>
    <row r="1035" spans="7:22" x14ac:dyDescent="0.25">
      <c r="G1035">
        <f>Data!A1048</f>
        <v>0</v>
      </c>
      <c r="H1035" s="21">
        <f>Data!B1048</f>
        <v>0</v>
      </c>
      <c r="I1035" s="21">
        <f>Data!C1048</f>
        <v>0</v>
      </c>
      <c r="J1035">
        <f>Data!D1048</f>
        <v>0</v>
      </c>
      <c r="K1035">
        <f>Data!E1048</f>
        <v>0</v>
      </c>
      <c r="L1035">
        <f>Data!F1048</f>
        <v>0</v>
      </c>
      <c r="M1035">
        <f>Data!G1048</f>
        <v>0</v>
      </c>
      <c r="N1035">
        <f>Data!H1048</f>
        <v>0</v>
      </c>
      <c r="O1035">
        <f>Data!I1048</f>
        <v>0</v>
      </c>
      <c r="P1035" s="21">
        <f>Data!J1052</f>
        <v>0</v>
      </c>
      <c r="Q1035">
        <f>Data!K1052</f>
        <v>0</v>
      </c>
      <c r="R1035">
        <f>Data!L1052</f>
        <v>0</v>
      </c>
      <c r="S1035">
        <f>Data!M1052</f>
        <v>0</v>
      </c>
      <c r="T1035">
        <f>Data!N1048</f>
        <v>0</v>
      </c>
      <c r="U1035">
        <f>Data!O1052</f>
        <v>0</v>
      </c>
      <c r="V1035" s="33">
        <f>Data!P1050</f>
        <v>0</v>
      </c>
    </row>
    <row r="1036" spans="7:22" x14ac:dyDescent="0.25">
      <c r="G1036">
        <f>Data!A1049</f>
        <v>0</v>
      </c>
      <c r="H1036" s="21">
        <f>Data!B1049</f>
        <v>0</v>
      </c>
      <c r="I1036" s="21">
        <f>Data!C1049</f>
        <v>0</v>
      </c>
      <c r="J1036">
        <f>Data!D1049</f>
        <v>0</v>
      </c>
      <c r="K1036">
        <f>Data!E1049</f>
        <v>0</v>
      </c>
      <c r="L1036">
        <f>Data!F1049</f>
        <v>0</v>
      </c>
      <c r="M1036">
        <f>Data!G1049</f>
        <v>0</v>
      </c>
      <c r="N1036">
        <f>Data!H1049</f>
        <v>0</v>
      </c>
      <c r="O1036">
        <f>Data!I1049</f>
        <v>0</v>
      </c>
      <c r="P1036" s="21">
        <f>Data!J1053</f>
        <v>0</v>
      </c>
      <c r="Q1036">
        <f>Data!K1053</f>
        <v>0</v>
      </c>
      <c r="R1036">
        <f>Data!L1053</f>
        <v>0</v>
      </c>
      <c r="S1036">
        <f>Data!M1053</f>
        <v>0</v>
      </c>
      <c r="T1036">
        <f>Data!N1049</f>
        <v>0</v>
      </c>
      <c r="U1036">
        <f>Data!O1053</f>
        <v>0</v>
      </c>
      <c r="V1036" s="33">
        <f>Data!P1051</f>
        <v>0</v>
      </c>
    </row>
    <row r="1037" spans="7:22" x14ac:dyDescent="0.25">
      <c r="G1037">
        <f>Data!A1050</f>
        <v>0</v>
      </c>
      <c r="H1037" s="21">
        <f>Data!B1050</f>
        <v>0</v>
      </c>
      <c r="I1037" s="21">
        <f>Data!C1050</f>
        <v>0</v>
      </c>
      <c r="J1037">
        <f>Data!D1050</f>
        <v>0</v>
      </c>
      <c r="K1037">
        <f>Data!E1050</f>
        <v>0</v>
      </c>
      <c r="L1037">
        <f>Data!F1050</f>
        <v>0</v>
      </c>
      <c r="M1037">
        <f>Data!G1050</f>
        <v>0</v>
      </c>
      <c r="N1037">
        <f>Data!H1050</f>
        <v>0</v>
      </c>
      <c r="O1037">
        <f>Data!I1050</f>
        <v>0</v>
      </c>
      <c r="P1037" s="21">
        <f>Data!J1054</f>
        <v>0</v>
      </c>
      <c r="Q1037">
        <f>Data!K1054</f>
        <v>0</v>
      </c>
      <c r="R1037">
        <f>Data!L1054</f>
        <v>0</v>
      </c>
      <c r="S1037">
        <f>Data!M1054</f>
        <v>0</v>
      </c>
      <c r="T1037">
        <f>Data!N1050</f>
        <v>0</v>
      </c>
      <c r="U1037">
        <f>Data!O1054</f>
        <v>0</v>
      </c>
      <c r="V1037" s="33">
        <f>Data!P1052</f>
        <v>0</v>
      </c>
    </row>
    <row r="1038" spans="7:22" x14ac:dyDescent="0.25">
      <c r="G1038">
        <f>Data!A1051</f>
        <v>0</v>
      </c>
      <c r="H1038" s="21">
        <f>Data!B1051</f>
        <v>0</v>
      </c>
      <c r="I1038" s="21">
        <f>Data!C1051</f>
        <v>0</v>
      </c>
      <c r="J1038">
        <f>Data!D1051</f>
        <v>0</v>
      </c>
      <c r="K1038">
        <f>Data!E1051</f>
        <v>0</v>
      </c>
      <c r="L1038">
        <f>Data!F1051</f>
        <v>0</v>
      </c>
      <c r="M1038">
        <f>Data!G1051</f>
        <v>0</v>
      </c>
      <c r="N1038">
        <f>Data!H1051</f>
        <v>0</v>
      </c>
      <c r="O1038">
        <f>Data!I1051</f>
        <v>0</v>
      </c>
      <c r="P1038" s="21">
        <f>Data!J1055</f>
        <v>0</v>
      </c>
      <c r="Q1038">
        <f>Data!K1055</f>
        <v>0</v>
      </c>
      <c r="R1038">
        <f>Data!L1055</f>
        <v>0</v>
      </c>
      <c r="S1038">
        <f>Data!M1055</f>
        <v>0</v>
      </c>
      <c r="T1038">
        <f>Data!N1051</f>
        <v>0</v>
      </c>
      <c r="U1038">
        <f>Data!O1055</f>
        <v>0</v>
      </c>
      <c r="V1038" s="33">
        <f>Data!P1053</f>
        <v>0</v>
      </c>
    </row>
    <row r="1039" spans="7:22" x14ac:dyDescent="0.25">
      <c r="G1039">
        <f>Data!A1052</f>
        <v>0</v>
      </c>
      <c r="H1039" s="21">
        <f>Data!B1052</f>
        <v>0</v>
      </c>
      <c r="I1039" s="21">
        <f>Data!C1052</f>
        <v>0</v>
      </c>
      <c r="J1039">
        <f>Data!D1052</f>
        <v>0</v>
      </c>
      <c r="K1039">
        <f>Data!E1052</f>
        <v>0</v>
      </c>
      <c r="L1039">
        <f>Data!F1052</f>
        <v>0</v>
      </c>
      <c r="M1039">
        <f>Data!G1052</f>
        <v>0</v>
      </c>
      <c r="N1039">
        <f>Data!H1052</f>
        <v>0</v>
      </c>
      <c r="O1039">
        <f>Data!I1052</f>
        <v>0</v>
      </c>
      <c r="P1039" s="21">
        <f>Data!J1056</f>
        <v>0</v>
      </c>
      <c r="Q1039">
        <f>Data!K1056</f>
        <v>0</v>
      </c>
      <c r="R1039">
        <f>Data!L1056</f>
        <v>0</v>
      </c>
      <c r="S1039">
        <f>Data!M1056</f>
        <v>0</v>
      </c>
      <c r="T1039">
        <f>Data!N1052</f>
        <v>0</v>
      </c>
      <c r="U1039">
        <f>Data!O1056</f>
        <v>0</v>
      </c>
      <c r="V1039" s="33">
        <f>Data!P1054</f>
        <v>0</v>
      </c>
    </row>
    <row r="1040" spans="7:22" x14ac:dyDescent="0.25">
      <c r="G1040">
        <f>Data!A1053</f>
        <v>0</v>
      </c>
      <c r="H1040" s="21">
        <f>Data!B1053</f>
        <v>0</v>
      </c>
      <c r="I1040" s="21">
        <f>Data!C1053</f>
        <v>0</v>
      </c>
      <c r="J1040">
        <f>Data!D1053</f>
        <v>0</v>
      </c>
      <c r="K1040">
        <f>Data!E1053</f>
        <v>0</v>
      </c>
      <c r="L1040">
        <f>Data!F1053</f>
        <v>0</v>
      </c>
      <c r="M1040">
        <f>Data!G1053</f>
        <v>0</v>
      </c>
      <c r="N1040">
        <f>Data!H1053</f>
        <v>0</v>
      </c>
      <c r="O1040">
        <f>Data!I1053</f>
        <v>0</v>
      </c>
      <c r="P1040" s="21">
        <f>Data!J1057</f>
        <v>0</v>
      </c>
      <c r="Q1040">
        <f>Data!K1057</f>
        <v>0</v>
      </c>
      <c r="R1040">
        <f>Data!L1057</f>
        <v>0</v>
      </c>
      <c r="S1040">
        <f>Data!M1057</f>
        <v>0</v>
      </c>
      <c r="T1040">
        <f>Data!N1053</f>
        <v>0</v>
      </c>
      <c r="U1040">
        <f>Data!O1057</f>
        <v>0</v>
      </c>
      <c r="V1040" s="33">
        <f>Data!P1055</f>
        <v>0</v>
      </c>
    </row>
    <row r="1041" spans="7:22" x14ac:dyDescent="0.25">
      <c r="G1041">
        <f>Data!A1054</f>
        <v>0</v>
      </c>
      <c r="H1041" s="21">
        <f>Data!B1054</f>
        <v>0</v>
      </c>
      <c r="I1041" s="21">
        <f>Data!C1054</f>
        <v>0</v>
      </c>
      <c r="J1041">
        <f>Data!D1054</f>
        <v>0</v>
      </c>
      <c r="K1041">
        <f>Data!E1054</f>
        <v>0</v>
      </c>
      <c r="L1041">
        <f>Data!F1054</f>
        <v>0</v>
      </c>
      <c r="M1041">
        <f>Data!G1054</f>
        <v>0</v>
      </c>
      <c r="N1041">
        <f>Data!H1054</f>
        <v>0</v>
      </c>
      <c r="O1041">
        <f>Data!I1054</f>
        <v>0</v>
      </c>
      <c r="P1041" s="21">
        <f>Data!J1058</f>
        <v>0</v>
      </c>
      <c r="Q1041">
        <f>Data!K1058</f>
        <v>0</v>
      </c>
      <c r="R1041">
        <f>Data!L1058</f>
        <v>0</v>
      </c>
      <c r="S1041">
        <f>Data!M1058</f>
        <v>0</v>
      </c>
      <c r="T1041">
        <f>Data!N1054</f>
        <v>0</v>
      </c>
      <c r="U1041">
        <f>Data!O1058</f>
        <v>0</v>
      </c>
      <c r="V1041" s="33">
        <f>Data!P1056</f>
        <v>0</v>
      </c>
    </row>
    <row r="1042" spans="7:22" x14ac:dyDescent="0.25">
      <c r="G1042">
        <f>Data!A1055</f>
        <v>0</v>
      </c>
      <c r="H1042" s="21">
        <f>Data!B1055</f>
        <v>0</v>
      </c>
      <c r="I1042" s="21">
        <f>Data!C1055</f>
        <v>0</v>
      </c>
      <c r="J1042">
        <f>Data!D1055</f>
        <v>0</v>
      </c>
      <c r="K1042">
        <f>Data!E1055</f>
        <v>0</v>
      </c>
      <c r="L1042">
        <f>Data!F1055</f>
        <v>0</v>
      </c>
      <c r="M1042">
        <f>Data!G1055</f>
        <v>0</v>
      </c>
      <c r="N1042">
        <f>Data!H1055</f>
        <v>0</v>
      </c>
      <c r="O1042">
        <f>Data!I1055</f>
        <v>0</v>
      </c>
      <c r="P1042" s="21">
        <f>Data!J1059</f>
        <v>0</v>
      </c>
      <c r="Q1042">
        <f>Data!K1059</f>
        <v>0</v>
      </c>
      <c r="R1042">
        <f>Data!L1059</f>
        <v>0</v>
      </c>
      <c r="S1042">
        <f>Data!M1059</f>
        <v>0</v>
      </c>
      <c r="T1042">
        <f>Data!N1055</f>
        <v>0</v>
      </c>
      <c r="U1042">
        <f>Data!O1059</f>
        <v>0</v>
      </c>
      <c r="V1042" s="33">
        <f>Data!P1057</f>
        <v>0</v>
      </c>
    </row>
    <row r="1043" spans="7:22" x14ac:dyDescent="0.25">
      <c r="G1043">
        <f>Data!A1056</f>
        <v>0</v>
      </c>
      <c r="H1043" s="21">
        <f>Data!B1056</f>
        <v>0</v>
      </c>
      <c r="I1043" s="21">
        <f>Data!C1056</f>
        <v>0</v>
      </c>
      <c r="J1043">
        <f>Data!D1056</f>
        <v>0</v>
      </c>
      <c r="K1043">
        <f>Data!E1056</f>
        <v>0</v>
      </c>
      <c r="L1043">
        <f>Data!F1056</f>
        <v>0</v>
      </c>
      <c r="M1043">
        <f>Data!G1056</f>
        <v>0</v>
      </c>
      <c r="N1043">
        <f>Data!H1056</f>
        <v>0</v>
      </c>
      <c r="O1043">
        <f>Data!I1056</f>
        <v>0</v>
      </c>
      <c r="P1043" s="21">
        <f>Data!J1060</f>
        <v>0</v>
      </c>
      <c r="Q1043">
        <f>Data!K1060</f>
        <v>0</v>
      </c>
      <c r="R1043">
        <f>Data!L1060</f>
        <v>0</v>
      </c>
      <c r="S1043">
        <f>Data!M1060</f>
        <v>0</v>
      </c>
      <c r="T1043">
        <f>Data!N1056</f>
        <v>0</v>
      </c>
      <c r="U1043">
        <f>Data!O1060</f>
        <v>0</v>
      </c>
      <c r="V1043" s="33">
        <f>Data!P1058</f>
        <v>0</v>
      </c>
    </row>
    <row r="1044" spans="7:22" x14ac:dyDescent="0.25">
      <c r="G1044">
        <f>Data!A1057</f>
        <v>0</v>
      </c>
      <c r="H1044" s="21">
        <f>Data!B1057</f>
        <v>0</v>
      </c>
      <c r="I1044" s="21">
        <f>Data!C1057</f>
        <v>0</v>
      </c>
      <c r="J1044">
        <f>Data!D1057</f>
        <v>0</v>
      </c>
      <c r="K1044">
        <f>Data!E1057</f>
        <v>0</v>
      </c>
      <c r="L1044">
        <f>Data!F1057</f>
        <v>0</v>
      </c>
      <c r="M1044">
        <f>Data!G1057</f>
        <v>0</v>
      </c>
      <c r="N1044">
        <f>Data!H1057</f>
        <v>0</v>
      </c>
      <c r="O1044">
        <f>Data!I1057</f>
        <v>0</v>
      </c>
      <c r="P1044" s="21">
        <f>Data!J1061</f>
        <v>0</v>
      </c>
      <c r="Q1044">
        <f>Data!K1061</f>
        <v>0</v>
      </c>
      <c r="R1044">
        <f>Data!L1061</f>
        <v>0</v>
      </c>
      <c r="S1044">
        <f>Data!M1061</f>
        <v>0</v>
      </c>
      <c r="T1044">
        <f>Data!N1057</f>
        <v>0</v>
      </c>
      <c r="U1044">
        <f>Data!O1061</f>
        <v>0</v>
      </c>
      <c r="V1044" s="33">
        <f>Data!P1059</f>
        <v>0</v>
      </c>
    </row>
    <row r="1045" spans="7:22" x14ac:dyDescent="0.25">
      <c r="G1045">
        <f>Data!A1058</f>
        <v>0</v>
      </c>
      <c r="H1045" s="21">
        <f>Data!B1058</f>
        <v>0</v>
      </c>
      <c r="I1045" s="21">
        <f>Data!C1058</f>
        <v>0</v>
      </c>
      <c r="J1045">
        <f>Data!D1058</f>
        <v>0</v>
      </c>
      <c r="K1045">
        <f>Data!E1058</f>
        <v>0</v>
      </c>
      <c r="L1045">
        <f>Data!F1058</f>
        <v>0</v>
      </c>
      <c r="M1045">
        <f>Data!G1058</f>
        <v>0</v>
      </c>
      <c r="N1045">
        <f>Data!H1058</f>
        <v>0</v>
      </c>
      <c r="O1045">
        <f>Data!I1058</f>
        <v>0</v>
      </c>
      <c r="P1045" s="21">
        <f>Data!J1062</f>
        <v>0</v>
      </c>
      <c r="Q1045">
        <f>Data!K1062</f>
        <v>0</v>
      </c>
      <c r="R1045">
        <f>Data!L1062</f>
        <v>0</v>
      </c>
      <c r="S1045">
        <f>Data!M1062</f>
        <v>0</v>
      </c>
      <c r="T1045">
        <f>Data!N1058</f>
        <v>0</v>
      </c>
      <c r="U1045">
        <f>Data!O1062</f>
        <v>0</v>
      </c>
      <c r="V1045" s="33">
        <f>Data!P1060</f>
        <v>0</v>
      </c>
    </row>
    <row r="1046" spans="7:22" x14ac:dyDescent="0.25">
      <c r="G1046">
        <f>Data!A1059</f>
        <v>0</v>
      </c>
      <c r="H1046" s="21">
        <f>Data!B1059</f>
        <v>0</v>
      </c>
      <c r="I1046" s="21">
        <f>Data!C1059</f>
        <v>0</v>
      </c>
      <c r="J1046">
        <f>Data!D1059</f>
        <v>0</v>
      </c>
      <c r="K1046">
        <f>Data!E1059</f>
        <v>0</v>
      </c>
      <c r="L1046">
        <f>Data!F1059</f>
        <v>0</v>
      </c>
      <c r="M1046">
        <f>Data!G1059</f>
        <v>0</v>
      </c>
      <c r="N1046">
        <f>Data!H1059</f>
        <v>0</v>
      </c>
      <c r="O1046">
        <f>Data!I1059</f>
        <v>0</v>
      </c>
      <c r="P1046" s="21">
        <f>Data!J1063</f>
        <v>0</v>
      </c>
      <c r="Q1046">
        <f>Data!K1063</f>
        <v>0</v>
      </c>
      <c r="R1046">
        <f>Data!L1063</f>
        <v>0</v>
      </c>
      <c r="S1046">
        <f>Data!M1063</f>
        <v>0</v>
      </c>
      <c r="T1046">
        <f>Data!N1059</f>
        <v>0</v>
      </c>
      <c r="U1046">
        <f>Data!O1063</f>
        <v>0</v>
      </c>
      <c r="V1046" s="33">
        <f>Data!P1061</f>
        <v>0</v>
      </c>
    </row>
    <row r="1047" spans="7:22" x14ac:dyDescent="0.25">
      <c r="G1047">
        <f>Data!A1060</f>
        <v>0</v>
      </c>
      <c r="H1047" s="21">
        <f>Data!B1060</f>
        <v>0</v>
      </c>
      <c r="I1047" s="21">
        <f>Data!C1060</f>
        <v>0</v>
      </c>
      <c r="J1047">
        <f>Data!D1060</f>
        <v>0</v>
      </c>
      <c r="K1047">
        <f>Data!E1060</f>
        <v>0</v>
      </c>
      <c r="L1047">
        <f>Data!F1060</f>
        <v>0</v>
      </c>
      <c r="M1047">
        <f>Data!G1060</f>
        <v>0</v>
      </c>
      <c r="N1047">
        <f>Data!H1060</f>
        <v>0</v>
      </c>
      <c r="O1047">
        <f>Data!I1060</f>
        <v>0</v>
      </c>
      <c r="P1047" s="21">
        <f>Data!J1064</f>
        <v>0</v>
      </c>
      <c r="Q1047">
        <f>Data!K1064</f>
        <v>0</v>
      </c>
      <c r="R1047">
        <f>Data!L1064</f>
        <v>0</v>
      </c>
      <c r="S1047">
        <f>Data!M1064</f>
        <v>0</v>
      </c>
      <c r="T1047">
        <f>Data!N1060</f>
        <v>0</v>
      </c>
      <c r="U1047">
        <f>Data!O1064</f>
        <v>0</v>
      </c>
      <c r="V1047" s="33">
        <f>Data!P1062</f>
        <v>0</v>
      </c>
    </row>
    <row r="1048" spans="7:22" x14ac:dyDescent="0.25">
      <c r="G1048">
        <f>Data!A1061</f>
        <v>0</v>
      </c>
      <c r="H1048" s="21">
        <f>Data!B1061</f>
        <v>0</v>
      </c>
      <c r="I1048" s="21">
        <f>Data!C1061</f>
        <v>0</v>
      </c>
      <c r="J1048">
        <f>Data!D1061</f>
        <v>0</v>
      </c>
      <c r="K1048">
        <f>Data!E1061</f>
        <v>0</v>
      </c>
      <c r="L1048">
        <f>Data!F1061</f>
        <v>0</v>
      </c>
      <c r="M1048">
        <f>Data!G1061</f>
        <v>0</v>
      </c>
      <c r="N1048">
        <f>Data!H1061</f>
        <v>0</v>
      </c>
      <c r="O1048">
        <f>Data!I1061</f>
        <v>0</v>
      </c>
      <c r="P1048" s="21">
        <f>Data!J1065</f>
        <v>0</v>
      </c>
      <c r="Q1048">
        <f>Data!K1065</f>
        <v>0</v>
      </c>
      <c r="R1048">
        <f>Data!L1065</f>
        <v>0</v>
      </c>
      <c r="S1048">
        <f>Data!M1065</f>
        <v>0</v>
      </c>
      <c r="T1048">
        <f>Data!N1061</f>
        <v>0</v>
      </c>
      <c r="U1048">
        <f>Data!O1065</f>
        <v>0</v>
      </c>
      <c r="V1048" s="33">
        <f>Data!P1063</f>
        <v>0</v>
      </c>
    </row>
    <row r="1049" spans="7:22" x14ac:dyDescent="0.25">
      <c r="G1049">
        <f>Data!A1062</f>
        <v>0</v>
      </c>
      <c r="H1049" s="21">
        <f>Data!B1062</f>
        <v>0</v>
      </c>
      <c r="I1049" s="21">
        <f>Data!C1062</f>
        <v>0</v>
      </c>
      <c r="J1049">
        <f>Data!D1062</f>
        <v>0</v>
      </c>
      <c r="K1049">
        <f>Data!E1062</f>
        <v>0</v>
      </c>
      <c r="L1049">
        <f>Data!F1062</f>
        <v>0</v>
      </c>
      <c r="M1049">
        <f>Data!G1062</f>
        <v>0</v>
      </c>
      <c r="N1049">
        <f>Data!H1062</f>
        <v>0</v>
      </c>
      <c r="O1049">
        <f>Data!I1062</f>
        <v>0</v>
      </c>
      <c r="P1049" s="21">
        <f>Data!J1066</f>
        <v>0</v>
      </c>
      <c r="Q1049">
        <f>Data!K1066</f>
        <v>0</v>
      </c>
      <c r="R1049">
        <f>Data!L1066</f>
        <v>0</v>
      </c>
      <c r="S1049">
        <f>Data!M1066</f>
        <v>0</v>
      </c>
      <c r="T1049">
        <f>Data!N1062</f>
        <v>0</v>
      </c>
      <c r="U1049">
        <f>Data!O1066</f>
        <v>0</v>
      </c>
      <c r="V1049" s="33">
        <f>Data!P1064</f>
        <v>0</v>
      </c>
    </row>
    <row r="1050" spans="7:22" x14ac:dyDescent="0.25">
      <c r="G1050">
        <f>Data!A1063</f>
        <v>0</v>
      </c>
      <c r="H1050" s="21">
        <f>Data!B1063</f>
        <v>0</v>
      </c>
      <c r="I1050" s="21">
        <f>Data!C1063</f>
        <v>0</v>
      </c>
      <c r="J1050">
        <f>Data!D1063</f>
        <v>0</v>
      </c>
      <c r="K1050">
        <f>Data!E1063</f>
        <v>0</v>
      </c>
      <c r="L1050">
        <f>Data!F1063</f>
        <v>0</v>
      </c>
      <c r="M1050">
        <f>Data!G1063</f>
        <v>0</v>
      </c>
      <c r="N1050">
        <f>Data!H1063</f>
        <v>0</v>
      </c>
      <c r="O1050">
        <f>Data!I1063</f>
        <v>0</v>
      </c>
      <c r="P1050" s="21">
        <f>Data!J1067</f>
        <v>0</v>
      </c>
      <c r="Q1050">
        <f>Data!K1067</f>
        <v>0</v>
      </c>
      <c r="R1050">
        <f>Data!L1067</f>
        <v>0</v>
      </c>
      <c r="S1050">
        <f>Data!M1067</f>
        <v>0</v>
      </c>
      <c r="T1050">
        <f>Data!N1063</f>
        <v>0</v>
      </c>
      <c r="U1050">
        <f>Data!O1067</f>
        <v>0</v>
      </c>
      <c r="V1050" s="33">
        <f>Data!P1065</f>
        <v>0</v>
      </c>
    </row>
    <row r="1051" spans="7:22" x14ac:dyDescent="0.25">
      <c r="G1051">
        <f>Data!A1064</f>
        <v>0</v>
      </c>
      <c r="H1051" s="21">
        <f>Data!B1064</f>
        <v>0</v>
      </c>
      <c r="I1051" s="21">
        <f>Data!C1064</f>
        <v>0</v>
      </c>
      <c r="J1051">
        <f>Data!D1064</f>
        <v>0</v>
      </c>
      <c r="K1051">
        <f>Data!E1064</f>
        <v>0</v>
      </c>
      <c r="L1051">
        <f>Data!F1064</f>
        <v>0</v>
      </c>
      <c r="M1051">
        <f>Data!G1064</f>
        <v>0</v>
      </c>
      <c r="N1051">
        <f>Data!H1064</f>
        <v>0</v>
      </c>
      <c r="O1051">
        <f>Data!I1064</f>
        <v>0</v>
      </c>
      <c r="P1051" s="21">
        <f>Data!J1068</f>
        <v>0</v>
      </c>
      <c r="Q1051">
        <f>Data!K1068</f>
        <v>0</v>
      </c>
      <c r="R1051">
        <f>Data!L1068</f>
        <v>0</v>
      </c>
      <c r="S1051">
        <f>Data!M1068</f>
        <v>0</v>
      </c>
      <c r="T1051">
        <f>Data!N1064</f>
        <v>0</v>
      </c>
      <c r="U1051">
        <f>Data!O1068</f>
        <v>0</v>
      </c>
      <c r="V1051" s="33">
        <f>Data!P1066</f>
        <v>0</v>
      </c>
    </row>
    <row r="1052" spans="7:22" x14ac:dyDescent="0.25">
      <c r="G1052">
        <f>Data!A1065</f>
        <v>0</v>
      </c>
      <c r="H1052" s="21">
        <f>Data!B1065</f>
        <v>0</v>
      </c>
      <c r="I1052" s="21">
        <f>Data!C1065</f>
        <v>0</v>
      </c>
      <c r="J1052">
        <f>Data!D1065</f>
        <v>0</v>
      </c>
      <c r="K1052">
        <f>Data!E1065</f>
        <v>0</v>
      </c>
      <c r="L1052">
        <f>Data!F1065</f>
        <v>0</v>
      </c>
      <c r="M1052">
        <f>Data!G1065</f>
        <v>0</v>
      </c>
      <c r="N1052">
        <f>Data!H1065</f>
        <v>0</v>
      </c>
      <c r="O1052">
        <f>Data!I1065</f>
        <v>0</v>
      </c>
      <c r="P1052" s="21">
        <f>Data!J1069</f>
        <v>0</v>
      </c>
      <c r="Q1052">
        <f>Data!K1069</f>
        <v>0</v>
      </c>
      <c r="R1052">
        <f>Data!L1069</f>
        <v>0</v>
      </c>
      <c r="S1052">
        <f>Data!M1069</f>
        <v>0</v>
      </c>
      <c r="T1052">
        <f>Data!N1065</f>
        <v>0</v>
      </c>
      <c r="U1052">
        <f>Data!O1069</f>
        <v>0</v>
      </c>
      <c r="V1052" s="33">
        <f>Data!P1067</f>
        <v>0</v>
      </c>
    </row>
    <row r="1053" spans="7:22" x14ac:dyDescent="0.25">
      <c r="G1053">
        <f>Data!A1066</f>
        <v>0</v>
      </c>
      <c r="H1053" s="21">
        <f>Data!B1066</f>
        <v>0</v>
      </c>
      <c r="I1053" s="21">
        <f>Data!C1066</f>
        <v>0</v>
      </c>
      <c r="J1053">
        <f>Data!D1066</f>
        <v>0</v>
      </c>
      <c r="K1053">
        <f>Data!E1066</f>
        <v>0</v>
      </c>
      <c r="L1053">
        <f>Data!F1066</f>
        <v>0</v>
      </c>
      <c r="M1053">
        <f>Data!G1066</f>
        <v>0</v>
      </c>
      <c r="N1053">
        <f>Data!H1066</f>
        <v>0</v>
      </c>
      <c r="O1053">
        <f>Data!I1066</f>
        <v>0</v>
      </c>
      <c r="P1053" s="21">
        <f>Data!J1070</f>
        <v>0</v>
      </c>
      <c r="Q1053">
        <f>Data!K1070</f>
        <v>0</v>
      </c>
      <c r="R1053">
        <f>Data!L1070</f>
        <v>0</v>
      </c>
      <c r="S1053">
        <f>Data!M1070</f>
        <v>0</v>
      </c>
      <c r="T1053">
        <f>Data!N1066</f>
        <v>0</v>
      </c>
      <c r="U1053">
        <f>Data!O1070</f>
        <v>0</v>
      </c>
      <c r="V1053" s="33">
        <f>Data!P1068</f>
        <v>0</v>
      </c>
    </row>
    <row r="1054" spans="7:22" x14ac:dyDescent="0.25">
      <c r="G1054">
        <f>Data!A1067</f>
        <v>0</v>
      </c>
      <c r="H1054" s="21">
        <f>Data!B1067</f>
        <v>0</v>
      </c>
      <c r="I1054" s="21">
        <f>Data!C1067</f>
        <v>0</v>
      </c>
      <c r="J1054">
        <f>Data!D1067</f>
        <v>0</v>
      </c>
      <c r="K1054">
        <f>Data!E1067</f>
        <v>0</v>
      </c>
      <c r="L1054">
        <f>Data!F1067</f>
        <v>0</v>
      </c>
      <c r="M1054">
        <f>Data!G1067</f>
        <v>0</v>
      </c>
      <c r="N1054">
        <f>Data!H1067</f>
        <v>0</v>
      </c>
      <c r="O1054">
        <f>Data!I1067</f>
        <v>0</v>
      </c>
      <c r="P1054" s="21">
        <f>Data!J1071</f>
        <v>0</v>
      </c>
      <c r="Q1054">
        <f>Data!K1071</f>
        <v>0</v>
      </c>
      <c r="R1054">
        <f>Data!L1071</f>
        <v>0</v>
      </c>
      <c r="S1054">
        <f>Data!M1071</f>
        <v>0</v>
      </c>
      <c r="T1054">
        <f>Data!N1067</f>
        <v>0</v>
      </c>
      <c r="U1054">
        <f>Data!O1071</f>
        <v>0</v>
      </c>
      <c r="V1054" s="33">
        <f>Data!P1069</f>
        <v>0</v>
      </c>
    </row>
    <row r="1055" spans="7:22" x14ac:dyDescent="0.25">
      <c r="G1055">
        <f>Data!A1068</f>
        <v>0</v>
      </c>
      <c r="H1055" s="21">
        <f>Data!B1068</f>
        <v>0</v>
      </c>
      <c r="I1055" s="21">
        <f>Data!C1068</f>
        <v>0</v>
      </c>
      <c r="J1055">
        <f>Data!D1068</f>
        <v>0</v>
      </c>
      <c r="K1055">
        <f>Data!E1068</f>
        <v>0</v>
      </c>
      <c r="L1055">
        <f>Data!F1068</f>
        <v>0</v>
      </c>
      <c r="M1055">
        <f>Data!G1068</f>
        <v>0</v>
      </c>
      <c r="N1055">
        <f>Data!H1068</f>
        <v>0</v>
      </c>
      <c r="O1055">
        <f>Data!I1068</f>
        <v>0</v>
      </c>
      <c r="P1055" s="21">
        <f>Data!J1072</f>
        <v>0</v>
      </c>
      <c r="Q1055">
        <f>Data!K1072</f>
        <v>0</v>
      </c>
      <c r="R1055">
        <f>Data!L1072</f>
        <v>0</v>
      </c>
      <c r="S1055">
        <f>Data!M1072</f>
        <v>0</v>
      </c>
      <c r="T1055">
        <f>Data!N1068</f>
        <v>0</v>
      </c>
      <c r="U1055">
        <f>Data!O1072</f>
        <v>0</v>
      </c>
      <c r="V1055" s="33">
        <f>Data!P1070</f>
        <v>0</v>
      </c>
    </row>
    <row r="1056" spans="7:22" x14ac:dyDescent="0.25">
      <c r="G1056">
        <f>Data!A1069</f>
        <v>0</v>
      </c>
      <c r="H1056" s="21">
        <f>Data!B1069</f>
        <v>0</v>
      </c>
      <c r="I1056" s="21">
        <f>Data!C1069</f>
        <v>0</v>
      </c>
      <c r="J1056">
        <f>Data!D1069</f>
        <v>0</v>
      </c>
      <c r="K1056">
        <f>Data!E1069</f>
        <v>0</v>
      </c>
      <c r="L1056">
        <f>Data!F1069</f>
        <v>0</v>
      </c>
      <c r="M1056">
        <f>Data!G1069</f>
        <v>0</v>
      </c>
      <c r="N1056">
        <f>Data!H1069</f>
        <v>0</v>
      </c>
      <c r="O1056">
        <f>Data!I1069</f>
        <v>0</v>
      </c>
      <c r="P1056" s="21">
        <f>Data!J1073</f>
        <v>0</v>
      </c>
      <c r="Q1056">
        <f>Data!K1073</f>
        <v>0</v>
      </c>
      <c r="R1056">
        <f>Data!L1073</f>
        <v>0</v>
      </c>
      <c r="S1056">
        <f>Data!M1073</f>
        <v>0</v>
      </c>
      <c r="T1056">
        <f>Data!N1069</f>
        <v>0</v>
      </c>
      <c r="U1056">
        <f>Data!O1073</f>
        <v>0</v>
      </c>
      <c r="V1056" s="33">
        <f>Data!P1071</f>
        <v>0</v>
      </c>
    </row>
    <row r="1057" spans="7:22" x14ac:dyDescent="0.25">
      <c r="G1057">
        <f>Data!A1070</f>
        <v>0</v>
      </c>
      <c r="H1057" s="21">
        <f>Data!B1070</f>
        <v>0</v>
      </c>
      <c r="I1057" s="21">
        <f>Data!C1070</f>
        <v>0</v>
      </c>
      <c r="J1057">
        <f>Data!D1070</f>
        <v>0</v>
      </c>
      <c r="K1057">
        <f>Data!E1070</f>
        <v>0</v>
      </c>
      <c r="L1057">
        <f>Data!F1070</f>
        <v>0</v>
      </c>
      <c r="M1057">
        <f>Data!G1070</f>
        <v>0</v>
      </c>
      <c r="N1057">
        <f>Data!H1070</f>
        <v>0</v>
      </c>
      <c r="O1057">
        <f>Data!I1070</f>
        <v>0</v>
      </c>
      <c r="P1057" s="21">
        <f>Data!J1074</f>
        <v>0</v>
      </c>
      <c r="Q1057">
        <f>Data!K1074</f>
        <v>0</v>
      </c>
      <c r="R1057">
        <f>Data!L1074</f>
        <v>0</v>
      </c>
      <c r="S1057">
        <f>Data!M1074</f>
        <v>0</v>
      </c>
      <c r="T1057">
        <f>Data!N1070</f>
        <v>0</v>
      </c>
      <c r="U1057">
        <f>Data!O1074</f>
        <v>0</v>
      </c>
      <c r="V1057" s="33">
        <f>Data!P1072</f>
        <v>0</v>
      </c>
    </row>
    <row r="1058" spans="7:22" x14ac:dyDescent="0.25">
      <c r="G1058">
        <f>Data!A1071</f>
        <v>0</v>
      </c>
      <c r="H1058" s="21">
        <f>Data!B1071</f>
        <v>0</v>
      </c>
      <c r="I1058" s="21">
        <f>Data!C1071</f>
        <v>0</v>
      </c>
      <c r="J1058">
        <f>Data!D1071</f>
        <v>0</v>
      </c>
      <c r="K1058">
        <f>Data!E1071</f>
        <v>0</v>
      </c>
      <c r="L1058">
        <f>Data!F1071</f>
        <v>0</v>
      </c>
      <c r="M1058">
        <f>Data!G1071</f>
        <v>0</v>
      </c>
      <c r="N1058">
        <f>Data!H1071</f>
        <v>0</v>
      </c>
      <c r="O1058">
        <f>Data!I1071</f>
        <v>0</v>
      </c>
      <c r="P1058" s="21">
        <f>Data!J1075</f>
        <v>0</v>
      </c>
      <c r="Q1058">
        <f>Data!K1075</f>
        <v>0</v>
      </c>
      <c r="R1058">
        <f>Data!L1075</f>
        <v>0</v>
      </c>
      <c r="S1058">
        <f>Data!M1075</f>
        <v>0</v>
      </c>
      <c r="T1058">
        <f>Data!N1071</f>
        <v>0</v>
      </c>
      <c r="U1058">
        <f>Data!O1075</f>
        <v>0</v>
      </c>
      <c r="V1058" s="33">
        <f>Data!P1073</f>
        <v>0</v>
      </c>
    </row>
    <row r="1059" spans="7:22" x14ac:dyDescent="0.25">
      <c r="G1059">
        <f>Data!A1072</f>
        <v>0</v>
      </c>
      <c r="H1059" s="21">
        <f>Data!B1072</f>
        <v>0</v>
      </c>
      <c r="I1059" s="21">
        <f>Data!C1072</f>
        <v>0</v>
      </c>
      <c r="J1059">
        <f>Data!D1072</f>
        <v>0</v>
      </c>
      <c r="K1059">
        <f>Data!E1072</f>
        <v>0</v>
      </c>
      <c r="L1059">
        <f>Data!F1072</f>
        <v>0</v>
      </c>
      <c r="M1059">
        <f>Data!G1072</f>
        <v>0</v>
      </c>
      <c r="N1059">
        <f>Data!H1072</f>
        <v>0</v>
      </c>
      <c r="O1059">
        <f>Data!I1072</f>
        <v>0</v>
      </c>
      <c r="P1059" s="21">
        <f>Data!J1076</f>
        <v>0</v>
      </c>
      <c r="Q1059">
        <f>Data!K1076</f>
        <v>0</v>
      </c>
      <c r="R1059">
        <f>Data!L1076</f>
        <v>0</v>
      </c>
      <c r="S1059">
        <f>Data!M1076</f>
        <v>0</v>
      </c>
      <c r="T1059">
        <f>Data!N1072</f>
        <v>0</v>
      </c>
      <c r="U1059">
        <f>Data!O1076</f>
        <v>0</v>
      </c>
      <c r="V1059" s="33">
        <f>Data!P1074</f>
        <v>0</v>
      </c>
    </row>
    <row r="1060" spans="7:22" x14ac:dyDescent="0.25">
      <c r="G1060">
        <f>Data!A1073</f>
        <v>0</v>
      </c>
      <c r="H1060" s="21">
        <f>Data!B1073</f>
        <v>0</v>
      </c>
      <c r="I1060" s="21">
        <f>Data!C1073</f>
        <v>0</v>
      </c>
      <c r="J1060">
        <f>Data!D1073</f>
        <v>0</v>
      </c>
      <c r="K1060">
        <f>Data!E1073</f>
        <v>0</v>
      </c>
      <c r="L1060">
        <f>Data!F1073</f>
        <v>0</v>
      </c>
      <c r="M1060">
        <f>Data!G1073</f>
        <v>0</v>
      </c>
      <c r="N1060">
        <f>Data!H1073</f>
        <v>0</v>
      </c>
      <c r="O1060">
        <f>Data!I1073</f>
        <v>0</v>
      </c>
      <c r="P1060" s="21">
        <f>Data!J1077</f>
        <v>0</v>
      </c>
      <c r="Q1060">
        <f>Data!K1077</f>
        <v>0</v>
      </c>
      <c r="R1060">
        <f>Data!L1077</f>
        <v>0</v>
      </c>
      <c r="S1060">
        <f>Data!M1077</f>
        <v>0</v>
      </c>
      <c r="T1060">
        <f>Data!N1073</f>
        <v>0</v>
      </c>
      <c r="U1060">
        <f>Data!O1077</f>
        <v>0</v>
      </c>
      <c r="V1060" s="33">
        <f>Data!P1075</f>
        <v>0</v>
      </c>
    </row>
    <row r="1061" spans="7:22" x14ac:dyDescent="0.25">
      <c r="G1061">
        <f>Data!A1074</f>
        <v>0</v>
      </c>
      <c r="H1061" s="21">
        <f>Data!B1074</f>
        <v>0</v>
      </c>
      <c r="I1061" s="21">
        <f>Data!C1074</f>
        <v>0</v>
      </c>
      <c r="J1061">
        <f>Data!D1074</f>
        <v>0</v>
      </c>
      <c r="K1061">
        <f>Data!E1074</f>
        <v>0</v>
      </c>
      <c r="L1061">
        <f>Data!F1074</f>
        <v>0</v>
      </c>
      <c r="M1061">
        <f>Data!G1074</f>
        <v>0</v>
      </c>
      <c r="N1061">
        <f>Data!H1074</f>
        <v>0</v>
      </c>
      <c r="O1061">
        <f>Data!I1074</f>
        <v>0</v>
      </c>
      <c r="P1061" s="21">
        <f>Data!J1078</f>
        <v>0</v>
      </c>
      <c r="Q1061">
        <f>Data!K1078</f>
        <v>0</v>
      </c>
      <c r="R1061">
        <f>Data!L1078</f>
        <v>0</v>
      </c>
      <c r="S1061">
        <f>Data!M1078</f>
        <v>0</v>
      </c>
      <c r="T1061">
        <f>Data!N1074</f>
        <v>0</v>
      </c>
      <c r="U1061">
        <f>Data!O1078</f>
        <v>0</v>
      </c>
      <c r="V1061" s="33">
        <f>Data!P1076</f>
        <v>0</v>
      </c>
    </row>
    <row r="1062" spans="7:22" x14ac:dyDescent="0.25">
      <c r="G1062">
        <f>Data!A1075</f>
        <v>0</v>
      </c>
      <c r="H1062" s="21">
        <f>Data!B1075</f>
        <v>0</v>
      </c>
      <c r="I1062" s="21">
        <f>Data!C1075</f>
        <v>0</v>
      </c>
      <c r="J1062">
        <f>Data!D1075</f>
        <v>0</v>
      </c>
      <c r="K1062">
        <f>Data!E1075</f>
        <v>0</v>
      </c>
      <c r="L1062">
        <f>Data!F1075</f>
        <v>0</v>
      </c>
      <c r="M1062">
        <f>Data!G1075</f>
        <v>0</v>
      </c>
      <c r="N1062">
        <f>Data!H1075</f>
        <v>0</v>
      </c>
      <c r="O1062">
        <f>Data!I1075</f>
        <v>0</v>
      </c>
      <c r="P1062" s="21">
        <f>Data!J1079</f>
        <v>0</v>
      </c>
      <c r="Q1062">
        <f>Data!K1079</f>
        <v>0</v>
      </c>
      <c r="R1062">
        <f>Data!L1079</f>
        <v>0</v>
      </c>
      <c r="S1062">
        <f>Data!M1079</f>
        <v>0</v>
      </c>
      <c r="T1062">
        <f>Data!N1075</f>
        <v>0</v>
      </c>
      <c r="U1062">
        <f>Data!O1079</f>
        <v>0</v>
      </c>
      <c r="V1062" s="33">
        <f>Data!P1077</f>
        <v>0</v>
      </c>
    </row>
    <row r="1063" spans="7:22" x14ac:dyDescent="0.25">
      <c r="G1063">
        <f>Data!A1076</f>
        <v>0</v>
      </c>
      <c r="H1063" s="21">
        <f>Data!B1076</f>
        <v>0</v>
      </c>
      <c r="I1063" s="21">
        <f>Data!C1076</f>
        <v>0</v>
      </c>
      <c r="J1063">
        <f>Data!D1076</f>
        <v>0</v>
      </c>
      <c r="K1063">
        <f>Data!E1076</f>
        <v>0</v>
      </c>
      <c r="L1063">
        <f>Data!F1076</f>
        <v>0</v>
      </c>
      <c r="M1063">
        <f>Data!G1076</f>
        <v>0</v>
      </c>
      <c r="N1063">
        <f>Data!H1076</f>
        <v>0</v>
      </c>
      <c r="O1063">
        <f>Data!I1076</f>
        <v>0</v>
      </c>
      <c r="P1063" s="21">
        <f>Data!J1080</f>
        <v>0</v>
      </c>
      <c r="Q1063">
        <f>Data!K1080</f>
        <v>0</v>
      </c>
      <c r="R1063">
        <f>Data!L1080</f>
        <v>0</v>
      </c>
      <c r="S1063">
        <f>Data!M1080</f>
        <v>0</v>
      </c>
      <c r="T1063">
        <f>Data!N1076</f>
        <v>0</v>
      </c>
      <c r="U1063">
        <f>Data!O1080</f>
        <v>0</v>
      </c>
      <c r="V1063" s="33">
        <f>Data!P1078</f>
        <v>0</v>
      </c>
    </row>
    <row r="1064" spans="7:22" x14ac:dyDescent="0.25">
      <c r="G1064">
        <f>Data!A1077</f>
        <v>0</v>
      </c>
      <c r="H1064" s="21">
        <f>Data!B1077</f>
        <v>0</v>
      </c>
      <c r="I1064" s="21">
        <f>Data!C1077</f>
        <v>0</v>
      </c>
      <c r="J1064">
        <f>Data!D1077</f>
        <v>0</v>
      </c>
      <c r="K1064">
        <f>Data!E1077</f>
        <v>0</v>
      </c>
      <c r="L1064">
        <f>Data!F1077</f>
        <v>0</v>
      </c>
      <c r="M1064">
        <f>Data!G1077</f>
        <v>0</v>
      </c>
      <c r="N1064">
        <f>Data!H1077</f>
        <v>0</v>
      </c>
      <c r="O1064">
        <f>Data!I1077</f>
        <v>0</v>
      </c>
      <c r="P1064" s="21">
        <f>Data!J1081</f>
        <v>0</v>
      </c>
      <c r="Q1064">
        <f>Data!K1081</f>
        <v>0</v>
      </c>
      <c r="R1064">
        <f>Data!L1081</f>
        <v>0</v>
      </c>
      <c r="S1064">
        <f>Data!M1081</f>
        <v>0</v>
      </c>
      <c r="T1064">
        <f>Data!N1077</f>
        <v>0</v>
      </c>
      <c r="U1064">
        <f>Data!O1081</f>
        <v>0</v>
      </c>
      <c r="V1064" s="33">
        <f>Data!P1079</f>
        <v>0</v>
      </c>
    </row>
    <row r="1065" spans="7:22" x14ac:dyDescent="0.25">
      <c r="G1065">
        <f>Data!A1078</f>
        <v>0</v>
      </c>
      <c r="H1065" s="21">
        <f>Data!B1078</f>
        <v>0</v>
      </c>
      <c r="I1065" s="21">
        <f>Data!C1078</f>
        <v>0</v>
      </c>
      <c r="J1065">
        <f>Data!D1078</f>
        <v>0</v>
      </c>
      <c r="K1065">
        <f>Data!E1078</f>
        <v>0</v>
      </c>
      <c r="L1065">
        <f>Data!F1078</f>
        <v>0</v>
      </c>
      <c r="M1065">
        <f>Data!G1078</f>
        <v>0</v>
      </c>
      <c r="N1065">
        <f>Data!H1078</f>
        <v>0</v>
      </c>
      <c r="O1065">
        <f>Data!I1078</f>
        <v>0</v>
      </c>
      <c r="P1065" s="21">
        <f>Data!J1082</f>
        <v>0</v>
      </c>
      <c r="Q1065">
        <f>Data!K1082</f>
        <v>0</v>
      </c>
      <c r="R1065">
        <f>Data!L1082</f>
        <v>0</v>
      </c>
      <c r="S1065">
        <f>Data!M1082</f>
        <v>0</v>
      </c>
      <c r="T1065">
        <f>Data!N1078</f>
        <v>0</v>
      </c>
      <c r="U1065">
        <f>Data!O1082</f>
        <v>0</v>
      </c>
      <c r="V1065" s="33">
        <f>Data!P1080</f>
        <v>0</v>
      </c>
    </row>
    <row r="1066" spans="7:22" x14ac:dyDescent="0.25">
      <c r="G1066">
        <f>Data!A1079</f>
        <v>0</v>
      </c>
      <c r="H1066" s="21">
        <f>Data!B1079</f>
        <v>0</v>
      </c>
      <c r="I1066" s="21">
        <f>Data!C1079</f>
        <v>0</v>
      </c>
      <c r="J1066">
        <f>Data!D1079</f>
        <v>0</v>
      </c>
      <c r="K1066">
        <f>Data!E1079</f>
        <v>0</v>
      </c>
      <c r="L1066">
        <f>Data!F1079</f>
        <v>0</v>
      </c>
      <c r="M1066">
        <f>Data!G1079</f>
        <v>0</v>
      </c>
      <c r="N1066">
        <f>Data!H1079</f>
        <v>0</v>
      </c>
      <c r="O1066">
        <f>Data!I1079</f>
        <v>0</v>
      </c>
      <c r="P1066" s="21">
        <f>Data!J1083</f>
        <v>0</v>
      </c>
      <c r="Q1066">
        <f>Data!K1083</f>
        <v>0</v>
      </c>
      <c r="R1066">
        <f>Data!L1083</f>
        <v>0</v>
      </c>
      <c r="S1066">
        <f>Data!M1083</f>
        <v>0</v>
      </c>
      <c r="T1066">
        <f>Data!N1079</f>
        <v>0</v>
      </c>
      <c r="U1066">
        <f>Data!O1083</f>
        <v>0</v>
      </c>
      <c r="V1066" s="33">
        <f>Data!P1081</f>
        <v>0</v>
      </c>
    </row>
    <row r="1067" spans="7:22" x14ac:dyDescent="0.25">
      <c r="G1067">
        <f>Data!A1080</f>
        <v>0</v>
      </c>
      <c r="H1067" s="21">
        <f>Data!B1080</f>
        <v>0</v>
      </c>
      <c r="I1067" s="21">
        <f>Data!C1080</f>
        <v>0</v>
      </c>
      <c r="J1067">
        <f>Data!D1080</f>
        <v>0</v>
      </c>
      <c r="K1067">
        <f>Data!E1080</f>
        <v>0</v>
      </c>
      <c r="L1067">
        <f>Data!F1080</f>
        <v>0</v>
      </c>
      <c r="M1067">
        <f>Data!G1080</f>
        <v>0</v>
      </c>
      <c r="N1067">
        <f>Data!H1080</f>
        <v>0</v>
      </c>
      <c r="O1067">
        <f>Data!I1080</f>
        <v>0</v>
      </c>
      <c r="P1067" s="21">
        <f>Data!J1084</f>
        <v>0</v>
      </c>
      <c r="Q1067">
        <f>Data!K1084</f>
        <v>0</v>
      </c>
      <c r="R1067">
        <f>Data!L1084</f>
        <v>0</v>
      </c>
      <c r="S1067">
        <f>Data!M1084</f>
        <v>0</v>
      </c>
      <c r="T1067">
        <f>Data!N1080</f>
        <v>0</v>
      </c>
      <c r="U1067">
        <f>Data!O1084</f>
        <v>0</v>
      </c>
      <c r="V1067" s="33">
        <f>Data!P1082</f>
        <v>0</v>
      </c>
    </row>
    <row r="1068" spans="7:22" x14ac:dyDescent="0.25">
      <c r="G1068">
        <f>Data!A1081</f>
        <v>0</v>
      </c>
      <c r="H1068" s="21">
        <f>Data!B1081</f>
        <v>0</v>
      </c>
      <c r="I1068" s="21">
        <f>Data!C1081</f>
        <v>0</v>
      </c>
      <c r="J1068">
        <f>Data!D1081</f>
        <v>0</v>
      </c>
      <c r="K1068">
        <f>Data!E1081</f>
        <v>0</v>
      </c>
      <c r="L1068">
        <f>Data!F1081</f>
        <v>0</v>
      </c>
      <c r="M1068">
        <f>Data!G1081</f>
        <v>0</v>
      </c>
      <c r="N1068">
        <f>Data!H1081</f>
        <v>0</v>
      </c>
      <c r="O1068">
        <f>Data!I1081</f>
        <v>0</v>
      </c>
      <c r="P1068" s="21">
        <f>Data!J1085</f>
        <v>0</v>
      </c>
      <c r="Q1068">
        <f>Data!K1085</f>
        <v>0</v>
      </c>
      <c r="R1068">
        <f>Data!L1085</f>
        <v>0</v>
      </c>
      <c r="S1068">
        <f>Data!M1085</f>
        <v>0</v>
      </c>
      <c r="T1068">
        <f>Data!N1081</f>
        <v>0</v>
      </c>
      <c r="U1068">
        <f>Data!O1085</f>
        <v>0</v>
      </c>
      <c r="V1068" s="33">
        <f>Data!P1083</f>
        <v>0</v>
      </c>
    </row>
    <row r="1069" spans="7:22" x14ac:dyDescent="0.25">
      <c r="G1069">
        <f>Data!A1082</f>
        <v>0</v>
      </c>
      <c r="H1069" s="21">
        <f>Data!B1082</f>
        <v>0</v>
      </c>
      <c r="I1069" s="21">
        <f>Data!C1082</f>
        <v>0</v>
      </c>
      <c r="J1069">
        <f>Data!D1082</f>
        <v>0</v>
      </c>
      <c r="K1069">
        <f>Data!E1082</f>
        <v>0</v>
      </c>
      <c r="L1069">
        <f>Data!F1082</f>
        <v>0</v>
      </c>
      <c r="M1069">
        <f>Data!G1082</f>
        <v>0</v>
      </c>
      <c r="N1069">
        <f>Data!H1082</f>
        <v>0</v>
      </c>
      <c r="O1069">
        <f>Data!I1082</f>
        <v>0</v>
      </c>
      <c r="P1069" s="21">
        <f>Data!J1086</f>
        <v>0</v>
      </c>
      <c r="Q1069">
        <f>Data!K1086</f>
        <v>0</v>
      </c>
      <c r="R1069">
        <f>Data!L1086</f>
        <v>0</v>
      </c>
      <c r="S1069">
        <f>Data!M1086</f>
        <v>0</v>
      </c>
      <c r="T1069">
        <f>Data!N1082</f>
        <v>0</v>
      </c>
      <c r="U1069">
        <f>Data!O1086</f>
        <v>0</v>
      </c>
      <c r="V1069" s="33">
        <f>Data!P1084</f>
        <v>0</v>
      </c>
    </row>
    <row r="1070" spans="7:22" x14ac:dyDescent="0.25">
      <c r="G1070">
        <f>Data!A1083</f>
        <v>0</v>
      </c>
      <c r="H1070" s="21">
        <f>Data!B1083</f>
        <v>0</v>
      </c>
      <c r="I1070" s="21">
        <f>Data!C1083</f>
        <v>0</v>
      </c>
      <c r="J1070">
        <f>Data!D1083</f>
        <v>0</v>
      </c>
      <c r="K1070">
        <f>Data!E1083</f>
        <v>0</v>
      </c>
      <c r="L1070">
        <f>Data!F1083</f>
        <v>0</v>
      </c>
      <c r="M1070">
        <f>Data!G1083</f>
        <v>0</v>
      </c>
      <c r="N1070">
        <f>Data!H1083</f>
        <v>0</v>
      </c>
      <c r="O1070">
        <f>Data!I1083</f>
        <v>0</v>
      </c>
      <c r="P1070" s="21">
        <f>Data!J1087</f>
        <v>0</v>
      </c>
      <c r="Q1070">
        <f>Data!K1087</f>
        <v>0</v>
      </c>
      <c r="R1070">
        <f>Data!L1087</f>
        <v>0</v>
      </c>
      <c r="S1070">
        <f>Data!M1087</f>
        <v>0</v>
      </c>
      <c r="T1070">
        <f>Data!N1083</f>
        <v>0</v>
      </c>
      <c r="U1070">
        <f>Data!O1087</f>
        <v>0</v>
      </c>
      <c r="V1070" s="33">
        <f>Data!P1085</f>
        <v>0</v>
      </c>
    </row>
    <row r="1071" spans="7:22" x14ac:dyDescent="0.25">
      <c r="G1071">
        <f>Data!A1084</f>
        <v>0</v>
      </c>
      <c r="H1071" s="21">
        <f>Data!B1084</f>
        <v>0</v>
      </c>
      <c r="I1071" s="21">
        <f>Data!C1084</f>
        <v>0</v>
      </c>
      <c r="J1071">
        <f>Data!D1084</f>
        <v>0</v>
      </c>
      <c r="K1071">
        <f>Data!E1084</f>
        <v>0</v>
      </c>
      <c r="L1071">
        <f>Data!F1084</f>
        <v>0</v>
      </c>
      <c r="M1071">
        <f>Data!G1084</f>
        <v>0</v>
      </c>
      <c r="N1071">
        <f>Data!H1084</f>
        <v>0</v>
      </c>
      <c r="O1071">
        <f>Data!I1084</f>
        <v>0</v>
      </c>
      <c r="P1071" s="21">
        <f>Data!J1088</f>
        <v>0</v>
      </c>
      <c r="Q1071">
        <f>Data!K1088</f>
        <v>0</v>
      </c>
      <c r="R1071">
        <f>Data!L1088</f>
        <v>0</v>
      </c>
      <c r="S1071">
        <f>Data!M1088</f>
        <v>0</v>
      </c>
      <c r="T1071">
        <f>Data!N1084</f>
        <v>0</v>
      </c>
      <c r="U1071">
        <f>Data!O1088</f>
        <v>0</v>
      </c>
      <c r="V1071" s="33">
        <f>Data!P1086</f>
        <v>0</v>
      </c>
    </row>
    <row r="1072" spans="7:22" x14ac:dyDescent="0.25">
      <c r="G1072">
        <f>Data!A1085</f>
        <v>0</v>
      </c>
      <c r="H1072" s="21">
        <f>Data!B1085</f>
        <v>0</v>
      </c>
      <c r="I1072" s="21">
        <f>Data!C1085</f>
        <v>0</v>
      </c>
      <c r="J1072">
        <f>Data!D1085</f>
        <v>0</v>
      </c>
      <c r="K1072">
        <f>Data!E1085</f>
        <v>0</v>
      </c>
      <c r="L1072">
        <f>Data!F1085</f>
        <v>0</v>
      </c>
      <c r="M1072">
        <f>Data!G1085</f>
        <v>0</v>
      </c>
      <c r="N1072">
        <f>Data!H1085</f>
        <v>0</v>
      </c>
      <c r="O1072">
        <f>Data!I1085</f>
        <v>0</v>
      </c>
      <c r="P1072" s="21">
        <f>Data!J1089</f>
        <v>0</v>
      </c>
      <c r="Q1072">
        <f>Data!K1089</f>
        <v>0</v>
      </c>
      <c r="R1072">
        <f>Data!L1089</f>
        <v>0</v>
      </c>
      <c r="S1072">
        <f>Data!M1089</f>
        <v>0</v>
      </c>
      <c r="T1072">
        <f>Data!N1085</f>
        <v>0</v>
      </c>
      <c r="U1072">
        <f>Data!O1089</f>
        <v>0</v>
      </c>
      <c r="V1072" s="33">
        <f>Data!P1087</f>
        <v>0</v>
      </c>
    </row>
    <row r="1073" spans="7:22" x14ac:dyDescent="0.25">
      <c r="G1073">
        <f>Data!A1086</f>
        <v>0</v>
      </c>
      <c r="H1073" s="21">
        <f>Data!B1086</f>
        <v>0</v>
      </c>
      <c r="I1073" s="21">
        <f>Data!C1086</f>
        <v>0</v>
      </c>
      <c r="J1073">
        <f>Data!D1086</f>
        <v>0</v>
      </c>
      <c r="K1073">
        <f>Data!E1086</f>
        <v>0</v>
      </c>
      <c r="L1073">
        <f>Data!F1086</f>
        <v>0</v>
      </c>
      <c r="M1073">
        <f>Data!G1086</f>
        <v>0</v>
      </c>
      <c r="N1073">
        <f>Data!H1086</f>
        <v>0</v>
      </c>
      <c r="O1073">
        <f>Data!I1086</f>
        <v>0</v>
      </c>
      <c r="P1073" s="21">
        <f>Data!J1090</f>
        <v>0</v>
      </c>
      <c r="Q1073">
        <f>Data!K1090</f>
        <v>0</v>
      </c>
      <c r="R1073">
        <f>Data!L1090</f>
        <v>0</v>
      </c>
      <c r="S1073">
        <f>Data!M1090</f>
        <v>0</v>
      </c>
      <c r="T1073">
        <f>Data!N1086</f>
        <v>0</v>
      </c>
      <c r="U1073">
        <f>Data!O1090</f>
        <v>0</v>
      </c>
      <c r="V1073" s="33">
        <f>Data!P1088</f>
        <v>0</v>
      </c>
    </row>
    <row r="1074" spans="7:22" x14ac:dyDescent="0.25">
      <c r="G1074">
        <f>Data!A1087</f>
        <v>0</v>
      </c>
      <c r="H1074" s="21">
        <f>Data!B1087</f>
        <v>0</v>
      </c>
      <c r="I1074" s="21">
        <f>Data!C1087</f>
        <v>0</v>
      </c>
      <c r="J1074">
        <f>Data!D1087</f>
        <v>0</v>
      </c>
      <c r="K1074">
        <f>Data!E1087</f>
        <v>0</v>
      </c>
      <c r="L1074">
        <f>Data!F1087</f>
        <v>0</v>
      </c>
      <c r="M1074">
        <f>Data!G1087</f>
        <v>0</v>
      </c>
      <c r="N1074">
        <f>Data!H1087</f>
        <v>0</v>
      </c>
      <c r="O1074">
        <f>Data!I1087</f>
        <v>0</v>
      </c>
      <c r="P1074" s="21">
        <f>Data!J1091</f>
        <v>0</v>
      </c>
      <c r="Q1074">
        <f>Data!K1091</f>
        <v>0</v>
      </c>
      <c r="R1074">
        <f>Data!L1091</f>
        <v>0</v>
      </c>
      <c r="S1074">
        <f>Data!M1091</f>
        <v>0</v>
      </c>
      <c r="T1074">
        <f>Data!N1087</f>
        <v>0</v>
      </c>
      <c r="U1074">
        <f>Data!O1091</f>
        <v>0</v>
      </c>
      <c r="V1074" s="33">
        <f>Data!P1089</f>
        <v>0</v>
      </c>
    </row>
    <row r="1075" spans="7:22" x14ac:dyDescent="0.25">
      <c r="G1075">
        <f>Data!A1088</f>
        <v>0</v>
      </c>
      <c r="H1075" s="21">
        <f>Data!B1088</f>
        <v>0</v>
      </c>
      <c r="I1075" s="21">
        <f>Data!C1088</f>
        <v>0</v>
      </c>
      <c r="J1075">
        <f>Data!D1088</f>
        <v>0</v>
      </c>
      <c r="K1075">
        <f>Data!E1088</f>
        <v>0</v>
      </c>
      <c r="L1075">
        <f>Data!F1088</f>
        <v>0</v>
      </c>
      <c r="M1075">
        <f>Data!G1088</f>
        <v>0</v>
      </c>
      <c r="N1075">
        <f>Data!H1088</f>
        <v>0</v>
      </c>
      <c r="O1075">
        <f>Data!I1088</f>
        <v>0</v>
      </c>
      <c r="P1075" s="21">
        <f>Data!J1092</f>
        <v>0</v>
      </c>
      <c r="Q1075">
        <f>Data!K1092</f>
        <v>0</v>
      </c>
      <c r="R1075">
        <f>Data!L1092</f>
        <v>0</v>
      </c>
      <c r="S1075">
        <f>Data!M1092</f>
        <v>0</v>
      </c>
      <c r="T1075">
        <f>Data!N1088</f>
        <v>0</v>
      </c>
      <c r="U1075">
        <f>Data!O1092</f>
        <v>0</v>
      </c>
      <c r="V1075" s="33">
        <f>Data!P1090</f>
        <v>0</v>
      </c>
    </row>
    <row r="1076" spans="7:22" x14ac:dyDescent="0.25">
      <c r="G1076">
        <f>Data!A1089</f>
        <v>0</v>
      </c>
      <c r="H1076" s="21">
        <f>Data!B1089</f>
        <v>0</v>
      </c>
      <c r="I1076" s="21">
        <f>Data!C1089</f>
        <v>0</v>
      </c>
      <c r="J1076">
        <f>Data!D1089</f>
        <v>0</v>
      </c>
      <c r="K1076">
        <f>Data!E1089</f>
        <v>0</v>
      </c>
      <c r="L1076">
        <f>Data!F1089</f>
        <v>0</v>
      </c>
      <c r="M1076">
        <f>Data!G1089</f>
        <v>0</v>
      </c>
      <c r="N1076">
        <f>Data!H1089</f>
        <v>0</v>
      </c>
      <c r="O1076">
        <f>Data!I1089</f>
        <v>0</v>
      </c>
      <c r="P1076" s="21">
        <f>Data!J1093</f>
        <v>0</v>
      </c>
      <c r="Q1076">
        <f>Data!K1093</f>
        <v>0</v>
      </c>
      <c r="R1076">
        <f>Data!L1093</f>
        <v>0</v>
      </c>
      <c r="S1076">
        <f>Data!M1093</f>
        <v>0</v>
      </c>
      <c r="T1076">
        <f>Data!N1089</f>
        <v>0</v>
      </c>
      <c r="U1076">
        <f>Data!O1093</f>
        <v>0</v>
      </c>
      <c r="V1076" s="33">
        <f>Data!P1091</f>
        <v>0</v>
      </c>
    </row>
    <row r="1077" spans="7:22" x14ac:dyDescent="0.25">
      <c r="G1077">
        <f>Data!A1090</f>
        <v>0</v>
      </c>
      <c r="H1077" s="21">
        <f>Data!B1090</f>
        <v>0</v>
      </c>
      <c r="I1077" s="21">
        <f>Data!C1090</f>
        <v>0</v>
      </c>
      <c r="J1077">
        <f>Data!D1090</f>
        <v>0</v>
      </c>
      <c r="K1077">
        <f>Data!E1090</f>
        <v>0</v>
      </c>
      <c r="L1077">
        <f>Data!F1090</f>
        <v>0</v>
      </c>
      <c r="M1077">
        <f>Data!G1090</f>
        <v>0</v>
      </c>
      <c r="N1077">
        <f>Data!H1090</f>
        <v>0</v>
      </c>
      <c r="O1077">
        <f>Data!I1090</f>
        <v>0</v>
      </c>
      <c r="P1077" s="21">
        <f>Data!J1094</f>
        <v>0</v>
      </c>
      <c r="Q1077">
        <f>Data!K1094</f>
        <v>0</v>
      </c>
      <c r="R1077">
        <f>Data!L1094</f>
        <v>0</v>
      </c>
      <c r="S1077">
        <f>Data!M1094</f>
        <v>0</v>
      </c>
      <c r="T1077">
        <f>Data!N1090</f>
        <v>0</v>
      </c>
      <c r="U1077">
        <f>Data!O1094</f>
        <v>0</v>
      </c>
      <c r="V1077" s="33">
        <f>Data!P1092</f>
        <v>0</v>
      </c>
    </row>
    <row r="1078" spans="7:22" x14ac:dyDescent="0.25">
      <c r="G1078">
        <f>Data!A1091</f>
        <v>0</v>
      </c>
      <c r="H1078" s="21">
        <f>Data!B1091</f>
        <v>0</v>
      </c>
      <c r="I1078" s="21">
        <f>Data!C1091</f>
        <v>0</v>
      </c>
      <c r="J1078">
        <f>Data!D1091</f>
        <v>0</v>
      </c>
      <c r="K1078">
        <f>Data!E1091</f>
        <v>0</v>
      </c>
      <c r="L1078">
        <f>Data!F1091</f>
        <v>0</v>
      </c>
      <c r="M1078">
        <f>Data!G1091</f>
        <v>0</v>
      </c>
      <c r="N1078">
        <f>Data!H1091</f>
        <v>0</v>
      </c>
      <c r="O1078">
        <f>Data!I1091</f>
        <v>0</v>
      </c>
      <c r="P1078" s="21">
        <f>Data!J1095</f>
        <v>0</v>
      </c>
      <c r="Q1078">
        <f>Data!K1095</f>
        <v>0</v>
      </c>
      <c r="R1078">
        <f>Data!L1095</f>
        <v>0</v>
      </c>
      <c r="S1078">
        <f>Data!M1095</f>
        <v>0</v>
      </c>
      <c r="T1078">
        <f>Data!N1091</f>
        <v>0</v>
      </c>
      <c r="U1078">
        <f>Data!O1095</f>
        <v>0</v>
      </c>
      <c r="V1078" s="33">
        <f>Data!P1093</f>
        <v>0</v>
      </c>
    </row>
    <row r="1079" spans="7:22" x14ac:dyDescent="0.25">
      <c r="G1079">
        <f>Data!A1092</f>
        <v>0</v>
      </c>
      <c r="H1079" s="21">
        <f>Data!B1092</f>
        <v>0</v>
      </c>
      <c r="I1079" s="21">
        <f>Data!C1092</f>
        <v>0</v>
      </c>
      <c r="J1079">
        <f>Data!D1092</f>
        <v>0</v>
      </c>
      <c r="K1079">
        <f>Data!E1092</f>
        <v>0</v>
      </c>
      <c r="L1079">
        <f>Data!F1092</f>
        <v>0</v>
      </c>
      <c r="M1079">
        <f>Data!G1092</f>
        <v>0</v>
      </c>
      <c r="N1079">
        <f>Data!H1092</f>
        <v>0</v>
      </c>
      <c r="O1079">
        <f>Data!I1092</f>
        <v>0</v>
      </c>
      <c r="P1079" s="21">
        <f>Data!J1096</f>
        <v>0</v>
      </c>
      <c r="Q1079">
        <f>Data!K1096</f>
        <v>0</v>
      </c>
      <c r="R1079">
        <f>Data!L1096</f>
        <v>0</v>
      </c>
      <c r="S1079">
        <f>Data!M1096</f>
        <v>0</v>
      </c>
      <c r="T1079">
        <f>Data!N1092</f>
        <v>0</v>
      </c>
      <c r="U1079">
        <f>Data!O1096</f>
        <v>0</v>
      </c>
      <c r="V1079" s="33">
        <f>Data!P1094</f>
        <v>0</v>
      </c>
    </row>
    <row r="1080" spans="7:22" x14ac:dyDescent="0.25">
      <c r="G1080">
        <f>Data!A1093</f>
        <v>0</v>
      </c>
      <c r="H1080" s="21">
        <f>Data!B1093</f>
        <v>0</v>
      </c>
      <c r="I1080" s="21">
        <f>Data!C1093</f>
        <v>0</v>
      </c>
      <c r="J1080">
        <f>Data!D1093</f>
        <v>0</v>
      </c>
      <c r="K1080">
        <f>Data!E1093</f>
        <v>0</v>
      </c>
      <c r="L1080">
        <f>Data!F1093</f>
        <v>0</v>
      </c>
      <c r="M1080">
        <f>Data!G1093</f>
        <v>0</v>
      </c>
      <c r="N1080">
        <f>Data!H1093</f>
        <v>0</v>
      </c>
      <c r="O1080">
        <f>Data!I1093</f>
        <v>0</v>
      </c>
      <c r="P1080" s="21">
        <f>Data!J1097</f>
        <v>0</v>
      </c>
      <c r="Q1080">
        <f>Data!K1097</f>
        <v>0</v>
      </c>
      <c r="R1080">
        <f>Data!L1097</f>
        <v>0</v>
      </c>
      <c r="S1080">
        <f>Data!M1097</f>
        <v>0</v>
      </c>
      <c r="T1080">
        <f>Data!N1093</f>
        <v>0</v>
      </c>
      <c r="U1080">
        <f>Data!O1097</f>
        <v>0</v>
      </c>
      <c r="V1080" s="33">
        <f>Data!P1095</f>
        <v>0</v>
      </c>
    </row>
    <row r="1081" spans="7:22" x14ac:dyDescent="0.25">
      <c r="G1081">
        <f>Data!A1094</f>
        <v>0</v>
      </c>
      <c r="H1081" s="21">
        <f>Data!B1094</f>
        <v>0</v>
      </c>
      <c r="I1081" s="21">
        <f>Data!C1094</f>
        <v>0</v>
      </c>
      <c r="J1081">
        <f>Data!D1094</f>
        <v>0</v>
      </c>
      <c r="K1081">
        <f>Data!E1094</f>
        <v>0</v>
      </c>
      <c r="L1081">
        <f>Data!F1094</f>
        <v>0</v>
      </c>
      <c r="M1081">
        <f>Data!G1094</f>
        <v>0</v>
      </c>
      <c r="N1081">
        <f>Data!H1094</f>
        <v>0</v>
      </c>
      <c r="O1081">
        <f>Data!I1094</f>
        <v>0</v>
      </c>
      <c r="P1081" s="21">
        <f>Data!J1098</f>
        <v>0</v>
      </c>
      <c r="Q1081">
        <f>Data!K1098</f>
        <v>0</v>
      </c>
      <c r="R1081">
        <f>Data!L1098</f>
        <v>0</v>
      </c>
      <c r="S1081">
        <f>Data!M1098</f>
        <v>0</v>
      </c>
      <c r="T1081">
        <f>Data!N1094</f>
        <v>0</v>
      </c>
      <c r="U1081">
        <f>Data!O1098</f>
        <v>0</v>
      </c>
      <c r="V1081" s="33">
        <f>Data!P1096</f>
        <v>0</v>
      </c>
    </row>
    <row r="1082" spans="7:22" x14ac:dyDescent="0.25">
      <c r="G1082">
        <f>Data!A1095</f>
        <v>0</v>
      </c>
      <c r="H1082" s="21">
        <f>Data!B1095</f>
        <v>0</v>
      </c>
      <c r="I1082" s="21">
        <f>Data!C1095</f>
        <v>0</v>
      </c>
      <c r="J1082">
        <f>Data!D1095</f>
        <v>0</v>
      </c>
      <c r="K1082">
        <f>Data!E1095</f>
        <v>0</v>
      </c>
      <c r="L1082">
        <f>Data!F1095</f>
        <v>0</v>
      </c>
      <c r="M1082">
        <f>Data!G1095</f>
        <v>0</v>
      </c>
      <c r="N1082">
        <f>Data!H1095</f>
        <v>0</v>
      </c>
      <c r="O1082">
        <f>Data!I1095</f>
        <v>0</v>
      </c>
      <c r="P1082" s="21">
        <f>Data!J1099</f>
        <v>0</v>
      </c>
      <c r="Q1082">
        <f>Data!K1099</f>
        <v>0</v>
      </c>
      <c r="R1082">
        <f>Data!L1099</f>
        <v>0</v>
      </c>
      <c r="S1082">
        <f>Data!M1099</f>
        <v>0</v>
      </c>
      <c r="T1082">
        <f>Data!N1095</f>
        <v>0</v>
      </c>
      <c r="U1082">
        <f>Data!O1099</f>
        <v>0</v>
      </c>
      <c r="V1082" s="33">
        <f>Data!P1097</f>
        <v>0</v>
      </c>
    </row>
    <row r="1083" spans="7:22" x14ac:dyDescent="0.25">
      <c r="G1083">
        <f>Data!A1096</f>
        <v>0</v>
      </c>
      <c r="H1083" s="21">
        <f>Data!B1096</f>
        <v>0</v>
      </c>
      <c r="I1083" s="21">
        <f>Data!C1096</f>
        <v>0</v>
      </c>
      <c r="J1083">
        <f>Data!D1096</f>
        <v>0</v>
      </c>
      <c r="K1083">
        <f>Data!E1096</f>
        <v>0</v>
      </c>
      <c r="L1083">
        <f>Data!F1096</f>
        <v>0</v>
      </c>
      <c r="M1083">
        <f>Data!G1096</f>
        <v>0</v>
      </c>
      <c r="N1083">
        <f>Data!H1096</f>
        <v>0</v>
      </c>
      <c r="O1083">
        <f>Data!I1096</f>
        <v>0</v>
      </c>
      <c r="P1083" s="21">
        <f>Data!J1100</f>
        <v>0</v>
      </c>
      <c r="Q1083">
        <f>Data!K1100</f>
        <v>0</v>
      </c>
      <c r="R1083">
        <f>Data!L1100</f>
        <v>0</v>
      </c>
      <c r="S1083">
        <f>Data!M1100</f>
        <v>0</v>
      </c>
      <c r="T1083">
        <f>Data!N1096</f>
        <v>0</v>
      </c>
      <c r="U1083">
        <f>Data!O1100</f>
        <v>0</v>
      </c>
      <c r="V1083" s="33">
        <f>Data!P1098</f>
        <v>0</v>
      </c>
    </row>
    <row r="1084" spans="7:22" x14ac:dyDescent="0.25">
      <c r="G1084">
        <f>Data!A1097</f>
        <v>0</v>
      </c>
      <c r="H1084" s="21">
        <f>Data!B1097</f>
        <v>0</v>
      </c>
      <c r="I1084" s="21">
        <f>Data!C1097</f>
        <v>0</v>
      </c>
      <c r="J1084">
        <f>Data!D1097</f>
        <v>0</v>
      </c>
      <c r="K1084">
        <f>Data!E1097</f>
        <v>0</v>
      </c>
      <c r="L1084">
        <f>Data!F1097</f>
        <v>0</v>
      </c>
      <c r="M1084">
        <f>Data!G1097</f>
        <v>0</v>
      </c>
      <c r="N1084">
        <f>Data!H1097</f>
        <v>0</v>
      </c>
      <c r="O1084">
        <f>Data!I1097</f>
        <v>0</v>
      </c>
      <c r="P1084" s="21">
        <f>Data!J1101</f>
        <v>0</v>
      </c>
      <c r="Q1084">
        <f>Data!K1101</f>
        <v>0</v>
      </c>
      <c r="R1084">
        <f>Data!L1101</f>
        <v>0</v>
      </c>
      <c r="S1084">
        <f>Data!M1101</f>
        <v>0</v>
      </c>
      <c r="T1084">
        <f>Data!N1097</f>
        <v>0</v>
      </c>
      <c r="U1084">
        <f>Data!O1101</f>
        <v>0</v>
      </c>
      <c r="V1084" s="33">
        <f>Data!P1099</f>
        <v>0</v>
      </c>
    </row>
    <row r="1085" spans="7:22" x14ac:dyDescent="0.25">
      <c r="G1085">
        <f>Data!A1098</f>
        <v>0</v>
      </c>
      <c r="H1085" s="21">
        <f>Data!B1098</f>
        <v>0</v>
      </c>
      <c r="I1085" s="21">
        <f>Data!C1098</f>
        <v>0</v>
      </c>
      <c r="J1085">
        <f>Data!D1098</f>
        <v>0</v>
      </c>
      <c r="K1085">
        <f>Data!E1098</f>
        <v>0</v>
      </c>
      <c r="L1085">
        <f>Data!F1098</f>
        <v>0</v>
      </c>
      <c r="M1085">
        <f>Data!G1098</f>
        <v>0</v>
      </c>
      <c r="N1085">
        <f>Data!H1098</f>
        <v>0</v>
      </c>
      <c r="O1085">
        <f>Data!I1098</f>
        <v>0</v>
      </c>
      <c r="P1085" s="21">
        <f>Data!J1102</f>
        <v>0</v>
      </c>
      <c r="Q1085">
        <f>Data!K1102</f>
        <v>0</v>
      </c>
      <c r="R1085">
        <f>Data!L1102</f>
        <v>0</v>
      </c>
      <c r="S1085">
        <f>Data!M1102</f>
        <v>0</v>
      </c>
      <c r="T1085">
        <f>Data!N1098</f>
        <v>0</v>
      </c>
      <c r="U1085">
        <f>Data!O1102</f>
        <v>0</v>
      </c>
      <c r="V1085" s="33">
        <f>Data!P1100</f>
        <v>0</v>
      </c>
    </row>
    <row r="1086" spans="7:22" x14ac:dyDescent="0.25">
      <c r="G1086">
        <f>Data!A1099</f>
        <v>0</v>
      </c>
      <c r="H1086" s="21">
        <f>Data!B1099</f>
        <v>0</v>
      </c>
      <c r="I1086" s="21">
        <f>Data!C1099</f>
        <v>0</v>
      </c>
      <c r="J1086">
        <f>Data!D1099</f>
        <v>0</v>
      </c>
      <c r="K1086">
        <f>Data!E1099</f>
        <v>0</v>
      </c>
      <c r="L1086">
        <f>Data!F1099</f>
        <v>0</v>
      </c>
      <c r="M1086">
        <f>Data!G1099</f>
        <v>0</v>
      </c>
      <c r="N1086">
        <f>Data!H1099</f>
        <v>0</v>
      </c>
      <c r="O1086">
        <f>Data!I1099</f>
        <v>0</v>
      </c>
      <c r="P1086" s="21">
        <f>Data!J1103</f>
        <v>0</v>
      </c>
      <c r="Q1086">
        <f>Data!K1103</f>
        <v>0</v>
      </c>
      <c r="R1086">
        <f>Data!L1103</f>
        <v>0</v>
      </c>
      <c r="S1086">
        <f>Data!M1103</f>
        <v>0</v>
      </c>
      <c r="T1086">
        <f>Data!N1099</f>
        <v>0</v>
      </c>
      <c r="U1086">
        <f>Data!O1103</f>
        <v>0</v>
      </c>
      <c r="V1086" s="33">
        <f>Data!P1101</f>
        <v>0</v>
      </c>
    </row>
    <row r="1087" spans="7:22" x14ac:dyDescent="0.25">
      <c r="G1087">
        <f>Data!A1100</f>
        <v>0</v>
      </c>
      <c r="H1087" s="21">
        <f>Data!B1100</f>
        <v>0</v>
      </c>
      <c r="I1087" s="21">
        <f>Data!C1100</f>
        <v>0</v>
      </c>
      <c r="J1087">
        <f>Data!D1100</f>
        <v>0</v>
      </c>
      <c r="K1087">
        <f>Data!E1100</f>
        <v>0</v>
      </c>
      <c r="L1087">
        <f>Data!F1100</f>
        <v>0</v>
      </c>
      <c r="M1087">
        <f>Data!G1100</f>
        <v>0</v>
      </c>
      <c r="N1087">
        <f>Data!H1100</f>
        <v>0</v>
      </c>
      <c r="O1087">
        <f>Data!I1100</f>
        <v>0</v>
      </c>
      <c r="P1087" s="21">
        <f>Data!J1104</f>
        <v>0</v>
      </c>
      <c r="Q1087">
        <f>Data!K1104</f>
        <v>0</v>
      </c>
      <c r="R1087">
        <f>Data!L1104</f>
        <v>0</v>
      </c>
      <c r="S1087">
        <f>Data!M1104</f>
        <v>0</v>
      </c>
      <c r="T1087">
        <f>Data!N1100</f>
        <v>0</v>
      </c>
      <c r="U1087">
        <f>Data!O1104</f>
        <v>0</v>
      </c>
      <c r="V1087" s="33">
        <f>Data!P1102</f>
        <v>0</v>
      </c>
    </row>
    <row r="1088" spans="7:22" x14ac:dyDescent="0.25">
      <c r="G1088">
        <f>Data!A1101</f>
        <v>0</v>
      </c>
      <c r="H1088" s="21">
        <f>Data!B1101</f>
        <v>0</v>
      </c>
      <c r="I1088" s="21">
        <f>Data!C1101</f>
        <v>0</v>
      </c>
      <c r="J1088">
        <f>Data!D1101</f>
        <v>0</v>
      </c>
      <c r="K1088">
        <f>Data!E1101</f>
        <v>0</v>
      </c>
      <c r="L1088">
        <f>Data!F1101</f>
        <v>0</v>
      </c>
      <c r="M1088">
        <f>Data!G1101</f>
        <v>0</v>
      </c>
      <c r="N1088">
        <f>Data!H1101</f>
        <v>0</v>
      </c>
      <c r="O1088">
        <f>Data!I1101</f>
        <v>0</v>
      </c>
      <c r="P1088" s="21">
        <f>Data!J1105</f>
        <v>0</v>
      </c>
      <c r="Q1088">
        <f>Data!K1105</f>
        <v>0</v>
      </c>
      <c r="R1088">
        <f>Data!L1105</f>
        <v>0</v>
      </c>
      <c r="S1088">
        <f>Data!M1105</f>
        <v>0</v>
      </c>
      <c r="T1088">
        <f>Data!N1101</f>
        <v>0</v>
      </c>
      <c r="U1088">
        <f>Data!O1105</f>
        <v>0</v>
      </c>
      <c r="V1088" s="33">
        <f>Data!P1103</f>
        <v>0</v>
      </c>
    </row>
    <row r="1089" spans="7:22" x14ac:dyDescent="0.25">
      <c r="G1089">
        <f>Data!A1102</f>
        <v>0</v>
      </c>
      <c r="H1089" s="21">
        <f>Data!B1102</f>
        <v>0</v>
      </c>
      <c r="I1089" s="21">
        <f>Data!C1102</f>
        <v>0</v>
      </c>
      <c r="J1089">
        <f>Data!D1102</f>
        <v>0</v>
      </c>
      <c r="K1089">
        <f>Data!E1102</f>
        <v>0</v>
      </c>
      <c r="L1089">
        <f>Data!F1102</f>
        <v>0</v>
      </c>
      <c r="M1089">
        <f>Data!G1102</f>
        <v>0</v>
      </c>
      <c r="N1089">
        <f>Data!H1102</f>
        <v>0</v>
      </c>
      <c r="O1089">
        <f>Data!I1102</f>
        <v>0</v>
      </c>
      <c r="P1089" s="21">
        <f>Data!J1106</f>
        <v>0</v>
      </c>
      <c r="Q1089">
        <f>Data!K1106</f>
        <v>0</v>
      </c>
      <c r="R1089">
        <f>Data!L1106</f>
        <v>0</v>
      </c>
      <c r="S1089">
        <f>Data!M1106</f>
        <v>0</v>
      </c>
      <c r="T1089">
        <f>Data!N1102</f>
        <v>0</v>
      </c>
      <c r="U1089">
        <f>Data!O1106</f>
        <v>0</v>
      </c>
      <c r="V1089" s="33">
        <f>Data!P1104</f>
        <v>0</v>
      </c>
    </row>
    <row r="1090" spans="7:22" x14ac:dyDescent="0.25">
      <c r="G1090">
        <f>Data!A1103</f>
        <v>0</v>
      </c>
      <c r="H1090" s="21">
        <f>Data!B1103</f>
        <v>0</v>
      </c>
      <c r="I1090" s="21">
        <f>Data!C1103</f>
        <v>0</v>
      </c>
      <c r="J1090">
        <f>Data!D1103</f>
        <v>0</v>
      </c>
      <c r="K1090">
        <f>Data!E1103</f>
        <v>0</v>
      </c>
      <c r="L1090">
        <f>Data!F1103</f>
        <v>0</v>
      </c>
      <c r="M1090">
        <f>Data!G1103</f>
        <v>0</v>
      </c>
      <c r="N1090">
        <f>Data!H1103</f>
        <v>0</v>
      </c>
      <c r="O1090">
        <f>Data!I1103</f>
        <v>0</v>
      </c>
      <c r="P1090" s="21">
        <f>Data!J1107</f>
        <v>0</v>
      </c>
      <c r="Q1090">
        <f>Data!K1107</f>
        <v>0</v>
      </c>
      <c r="R1090">
        <f>Data!L1107</f>
        <v>0</v>
      </c>
      <c r="S1090">
        <f>Data!M1107</f>
        <v>0</v>
      </c>
      <c r="T1090">
        <f>Data!N1103</f>
        <v>0</v>
      </c>
      <c r="U1090">
        <f>Data!O1107</f>
        <v>0</v>
      </c>
      <c r="V1090" s="33">
        <f>Data!P1105</f>
        <v>0</v>
      </c>
    </row>
    <row r="1091" spans="7:22" x14ac:dyDescent="0.25">
      <c r="G1091">
        <f>Data!A1104</f>
        <v>0</v>
      </c>
      <c r="H1091" s="21">
        <f>Data!B1104</f>
        <v>0</v>
      </c>
      <c r="I1091" s="21">
        <f>Data!C1104</f>
        <v>0</v>
      </c>
      <c r="J1091">
        <f>Data!D1104</f>
        <v>0</v>
      </c>
      <c r="K1091">
        <f>Data!E1104</f>
        <v>0</v>
      </c>
      <c r="L1091">
        <f>Data!F1104</f>
        <v>0</v>
      </c>
      <c r="M1091">
        <f>Data!G1104</f>
        <v>0</v>
      </c>
      <c r="N1091">
        <f>Data!H1104</f>
        <v>0</v>
      </c>
      <c r="O1091">
        <f>Data!I1104</f>
        <v>0</v>
      </c>
      <c r="P1091" s="21">
        <f>Data!J1108</f>
        <v>0</v>
      </c>
      <c r="Q1091">
        <f>Data!K1108</f>
        <v>0</v>
      </c>
      <c r="R1091">
        <f>Data!L1108</f>
        <v>0</v>
      </c>
      <c r="S1091">
        <f>Data!M1108</f>
        <v>0</v>
      </c>
      <c r="T1091">
        <f>Data!N1104</f>
        <v>0</v>
      </c>
      <c r="U1091">
        <f>Data!O1108</f>
        <v>0</v>
      </c>
      <c r="V1091" s="33">
        <f>Data!P1106</f>
        <v>0</v>
      </c>
    </row>
    <row r="1092" spans="7:22" x14ac:dyDescent="0.25">
      <c r="G1092">
        <f>Data!A1105</f>
        <v>0</v>
      </c>
      <c r="H1092" s="21">
        <f>Data!B1105</f>
        <v>0</v>
      </c>
      <c r="I1092" s="21">
        <f>Data!C1105</f>
        <v>0</v>
      </c>
      <c r="J1092">
        <f>Data!D1105</f>
        <v>0</v>
      </c>
      <c r="K1092">
        <f>Data!E1105</f>
        <v>0</v>
      </c>
      <c r="L1092">
        <f>Data!F1105</f>
        <v>0</v>
      </c>
      <c r="M1092">
        <f>Data!G1105</f>
        <v>0</v>
      </c>
      <c r="N1092">
        <f>Data!H1105</f>
        <v>0</v>
      </c>
      <c r="O1092">
        <f>Data!I1105</f>
        <v>0</v>
      </c>
      <c r="P1092" s="21">
        <f>Data!J1109</f>
        <v>0</v>
      </c>
      <c r="Q1092">
        <f>Data!K1109</f>
        <v>0</v>
      </c>
      <c r="R1092">
        <f>Data!L1109</f>
        <v>0</v>
      </c>
      <c r="S1092">
        <f>Data!M1109</f>
        <v>0</v>
      </c>
      <c r="T1092">
        <f>Data!N1105</f>
        <v>0</v>
      </c>
      <c r="U1092">
        <f>Data!O1109</f>
        <v>0</v>
      </c>
      <c r="V1092" s="33">
        <f>Data!P1107</f>
        <v>0</v>
      </c>
    </row>
    <row r="1093" spans="7:22" x14ac:dyDescent="0.25">
      <c r="G1093">
        <f>Data!A1106</f>
        <v>0</v>
      </c>
      <c r="H1093" s="21">
        <f>Data!B1106</f>
        <v>0</v>
      </c>
      <c r="I1093" s="21">
        <f>Data!C1106</f>
        <v>0</v>
      </c>
      <c r="J1093">
        <f>Data!D1106</f>
        <v>0</v>
      </c>
      <c r="K1093">
        <f>Data!E1106</f>
        <v>0</v>
      </c>
      <c r="L1093">
        <f>Data!F1106</f>
        <v>0</v>
      </c>
      <c r="M1093">
        <f>Data!G1106</f>
        <v>0</v>
      </c>
      <c r="N1093">
        <f>Data!H1106</f>
        <v>0</v>
      </c>
      <c r="O1093">
        <f>Data!I1106</f>
        <v>0</v>
      </c>
      <c r="P1093" s="21">
        <f>Data!J1110</f>
        <v>0</v>
      </c>
      <c r="Q1093">
        <f>Data!K1110</f>
        <v>0</v>
      </c>
      <c r="R1093">
        <f>Data!L1110</f>
        <v>0</v>
      </c>
      <c r="S1093">
        <f>Data!M1110</f>
        <v>0</v>
      </c>
      <c r="T1093">
        <f>Data!N1106</f>
        <v>0</v>
      </c>
      <c r="U1093">
        <f>Data!O1110</f>
        <v>0</v>
      </c>
      <c r="V1093" s="33">
        <f>Data!P1108</f>
        <v>0</v>
      </c>
    </row>
    <row r="1094" spans="7:22" x14ac:dyDescent="0.25">
      <c r="G1094">
        <f>Data!A1107</f>
        <v>0</v>
      </c>
      <c r="H1094" s="21">
        <f>Data!B1107</f>
        <v>0</v>
      </c>
      <c r="I1094" s="21">
        <f>Data!C1107</f>
        <v>0</v>
      </c>
      <c r="J1094">
        <f>Data!D1107</f>
        <v>0</v>
      </c>
      <c r="K1094">
        <f>Data!E1107</f>
        <v>0</v>
      </c>
      <c r="L1094">
        <f>Data!F1107</f>
        <v>0</v>
      </c>
      <c r="M1094">
        <f>Data!G1107</f>
        <v>0</v>
      </c>
      <c r="N1094">
        <f>Data!H1107</f>
        <v>0</v>
      </c>
      <c r="O1094">
        <f>Data!I1107</f>
        <v>0</v>
      </c>
      <c r="P1094" s="21">
        <f>Data!J1111</f>
        <v>0</v>
      </c>
      <c r="Q1094">
        <f>Data!K1111</f>
        <v>0</v>
      </c>
      <c r="R1094">
        <f>Data!L1111</f>
        <v>0</v>
      </c>
      <c r="S1094">
        <f>Data!M1111</f>
        <v>0</v>
      </c>
      <c r="T1094">
        <f>Data!N1107</f>
        <v>0</v>
      </c>
      <c r="U1094">
        <f>Data!O1111</f>
        <v>0</v>
      </c>
      <c r="V1094" s="33">
        <f>Data!P1109</f>
        <v>0</v>
      </c>
    </row>
    <row r="1095" spans="7:22" x14ac:dyDescent="0.25">
      <c r="G1095">
        <f>Data!A1108</f>
        <v>0</v>
      </c>
      <c r="H1095" s="21">
        <f>Data!B1108</f>
        <v>0</v>
      </c>
      <c r="I1095" s="21">
        <f>Data!C1108</f>
        <v>0</v>
      </c>
      <c r="J1095">
        <f>Data!D1108</f>
        <v>0</v>
      </c>
      <c r="K1095">
        <f>Data!E1108</f>
        <v>0</v>
      </c>
      <c r="L1095">
        <f>Data!F1108</f>
        <v>0</v>
      </c>
      <c r="M1095">
        <f>Data!G1108</f>
        <v>0</v>
      </c>
      <c r="N1095">
        <f>Data!H1108</f>
        <v>0</v>
      </c>
      <c r="O1095">
        <f>Data!I1108</f>
        <v>0</v>
      </c>
      <c r="P1095" s="21">
        <f>Data!J1112</f>
        <v>0</v>
      </c>
      <c r="Q1095">
        <f>Data!K1112</f>
        <v>0</v>
      </c>
      <c r="R1095">
        <f>Data!L1112</f>
        <v>0</v>
      </c>
      <c r="S1095">
        <f>Data!M1112</f>
        <v>0</v>
      </c>
      <c r="T1095">
        <f>Data!N1108</f>
        <v>0</v>
      </c>
      <c r="U1095">
        <f>Data!O1112</f>
        <v>0</v>
      </c>
      <c r="V1095" s="33">
        <f>Data!P1110</f>
        <v>0</v>
      </c>
    </row>
    <row r="1096" spans="7:22" x14ac:dyDescent="0.25">
      <c r="G1096">
        <f>Data!A1109</f>
        <v>0</v>
      </c>
      <c r="H1096" s="21">
        <f>Data!B1109</f>
        <v>0</v>
      </c>
      <c r="I1096" s="21">
        <f>Data!C1109</f>
        <v>0</v>
      </c>
      <c r="J1096">
        <f>Data!D1109</f>
        <v>0</v>
      </c>
      <c r="K1096">
        <f>Data!E1109</f>
        <v>0</v>
      </c>
      <c r="L1096">
        <f>Data!F1109</f>
        <v>0</v>
      </c>
      <c r="M1096">
        <f>Data!G1109</f>
        <v>0</v>
      </c>
      <c r="N1096">
        <f>Data!H1109</f>
        <v>0</v>
      </c>
      <c r="O1096">
        <f>Data!I1109</f>
        <v>0</v>
      </c>
      <c r="P1096" s="21">
        <f>Data!J1113</f>
        <v>0</v>
      </c>
      <c r="Q1096">
        <f>Data!K1113</f>
        <v>0</v>
      </c>
      <c r="R1096">
        <f>Data!L1113</f>
        <v>0</v>
      </c>
      <c r="S1096">
        <f>Data!M1113</f>
        <v>0</v>
      </c>
      <c r="T1096">
        <f>Data!N1109</f>
        <v>0</v>
      </c>
      <c r="U1096">
        <f>Data!O1113</f>
        <v>0</v>
      </c>
      <c r="V1096" s="33">
        <f>Data!P1111</f>
        <v>0</v>
      </c>
    </row>
    <row r="1097" spans="7:22" x14ac:dyDescent="0.25">
      <c r="G1097">
        <f>Data!A1110</f>
        <v>0</v>
      </c>
      <c r="H1097" s="21">
        <f>Data!B1110</f>
        <v>0</v>
      </c>
      <c r="I1097" s="21">
        <f>Data!C1110</f>
        <v>0</v>
      </c>
      <c r="J1097">
        <f>Data!D1110</f>
        <v>0</v>
      </c>
      <c r="K1097">
        <f>Data!E1110</f>
        <v>0</v>
      </c>
      <c r="L1097">
        <f>Data!F1110</f>
        <v>0</v>
      </c>
      <c r="M1097">
        <f>Data!G1110</f>
        <v>0</v>
      </c>
      <c r="N1097">
        <f>Data!H1110</f>
        <v>0</v>
      </c>
      <c r="O1097">
        <f>Data!I1110</f>
        <v>0</v>
      </c>
      <c r="P1097" s="21">
        <f>Data!J1114</f>
        <v>0</v>
      </c>
      <c r="Q1097">
        <f>Data!K1114</f>
        <v>0</v>
      </c>
      <c r="R1097">
        <f>Data!L1114</f>
        <v>0</v>
      </c>
      <c r="S1097">
        <f>Data!M1114</f>
        <v>0</v>
      </c>
      <c r="T1097">
        <f>Data!N1110</f>
        <v>0</v>
      </c>
      <c r="U1097">
        <f>Data!O1114</f>
        <v>0</v>
      </c>
      <c r="V1097" s="33">
        <f>Data!P1112</f>
        <v>0</v>
      </c>
    </row>
    <row r="1098" spans="7:22" x14ac:dyDescent="0.25">
      <c r="G1098">
        <f>Data!A1111</f>
        <v>0</v>
      </c>
      <c r="H1098" s="21">
        <f>Data!B1111</f>
        <v>0</v>
      </c>
      <c r="I1098" s="21">
        <f>Data!C1111</f>
        <v>0</v>
      </c>
      <c r="J1098">
        <f>Data!D1111</f>
        <v>0</v>
      </c>
      <c r="K1098">
        <f>Data!E1111</f>
        <v>0</v>
      </c>
      <c r="L1098">
        <f>Data!F1111</f>
        <v>0</v>
      </c>
      <c r="M1098">
        <f>Data!G1111</f>
        <v>0</v>
      </c>
      <c r="N1098">
        <f>Data!H1111</f>
        <v>0</v>
      </c>
      <c r="O1098">
        <f>Data!I1111</f>
        <v>0</v>
      </c>
      <c r="P1098" s="21">
        <f>Data!J1115</f>
        <v>0</v>
      </c>
      <c r="Q1098">
        <f>Data!K1115</f>
        <v>0</v>
      </c>
      <c r="R1098">
        <f>Data!L1115</f>
        <v>0</v>
      </c>
      <c r="S1098">
        <f>Data!M1115</f>
        <v>0</v>
      </c>
      <c r="T1098">
        <f>Data!N1111</f>
        <v>0</v>
      </c>
      <c r="U1098">
        <f>Data!O1115</f>
        <v>0</v>
      </c>
      <c r="V1098" s="33">
        <f>Data!P1113</f>
        <v>0</v>
      </c>
    </row>
    <row r="1099" spans="7:22" x14ac:dyDescent="0.25">
      <c r="G1099">
        <f>Data!A1112</f>
        <v>0</v>
      </c>
      <c r="H1099" s="21">
        <f>Data!B1112</f>
        <v>0</v>
      </c>
      <c r="I1099" s="21">
        <f>Data!C1112</f>
        <v>0</v>
      </c>
      <c r="J1099">
        <f>Data!D1112</f>
        <v>0</v>
      </c>
      <c r="K1099">
        <f>Data!E1112</f>
        <v>0</v>
      </c>
      <c r="L1099">
        <f>Data!F1112</f>
        <v>0</v>
      </c>
      <c r="M1099">
        <f>Data!G1112</f>
        <v>0</v>
      </c>
      <c r="N1099">
        <f>Data!H1112</f>
        <v>0</v>
      </c>
      <c r="O1099">
        <f>Data!I1112</f>
        <v>0</v>
      </c>
      <c r="P1099" s="21">
        <f>Data!J1116</f>
        <v>0</v>
      </c>
      <c r="Q1099">
        <f>Data!K1116</f>
        <v>0</v>
      </c>
      <c r="R1099">
        <f>Data!L1116</f>
        <v>0</v>
      </c>
      <c r="S1099">
        <f>Data!M1116</f>
        <v>0</v>
      </c>
      <c r="T1099">
        <f>Data!N1112</f>
        <v>0</v>
      </c>
      <c r="U1099">
        <f>Data!O1116</f>
        <v>0</v>
      </c>
      <c r="V1099" s="33">
        <f>Data!P1114</f>
        <v>0</v>
      </c>
    </row>
    <row r="1100" spans="7:22" x14ac:dyDescent="0.25">
      <c r="G1100">
        <f>Data!A1113</f>
        <v>0</v>
      </c>
      <c r="H1100" s="21">
        <f>Data!B1113</f>
        <v>0</v>
      </c>
      <c r="I1100" s="21">
        <f>Data!C1113</f>
        <v>0</v>
      </c>
      <c r="J1100">
        <f>Data!D1113</f>
        <v>0</v>
      </c>
      <c r="K1100">
        <f>Data!E1113</f>
        <v>0</v>
      </c>
      <c r="L1100">
        <f>Data!F1113</f>
        <v>0</v>
      </c>
      <c r="M1100">
        <f>Data!G1113</f>
        <v>0</v>
      </c>
      <c r="N1100">
        <f>Data!H1113</f>
        <v>0</v>
      </c>
      <c r="O1100">
        <f>Data!I1113</f>
        <v>0</v>
      </c>
      <c r="P1100" s="21">
        <f>Data!J1117</f>
        <v>0</v>
      </c>
      <c r="Q1100">
        <f>Data!K1117</f>
        <v>0</v>
      </c>
      <c r="R1100">
        <f>Data!L1117</f>
        <v>0</v>
      </c>
      <c r="S1100">
        <f>Data!M1117</f>
        <v>0</v>
      </c>
      <c r="T1100">
        <f>Data!N1113</f>
        <v>0</v>
      </c>
      <c r="U1100">
        <f>Data!O1117</f>
        <v>0</v>
      </c>
      <c r="V1100" s="33">
        <f>Data!P1115</f>
        <v>0</v>
      </c>
    </row>
    <row r="1101" spans="7:22" x14ac:dyDescent="0.25">
      <c r="G1101">
        <f>Data!A1114</f>
        <v>0</v>
      </c>
      <c r="H1101" s="21">
        <f>Data!B1114</f>
        <v>0</v>
      </c>
      <c r="I1101" s="21">
        <f>Data!C1114</f>
        <v>0</v>
      </c>
      <c r="J1101">
        <f>Data!D1114</f>
        <v>0</v>
      </c>
      <c r="K1101">
        <f>Data!E1114</f>
        <v>0</v>
      </c>
      <c r="L1101">
        <f>Data!F1114</f>
        <v>0</v>
      </c>
      <c r="M1101">
        <f>Data!G1114</f>
        <v>0</v>
      </c>
      <c r="N1101">
        <f>Data!H1114</f>
        <v>0</v>
      </c>
      <c r="O1101">
        <f>Data!I1114</f>
        <v>0</v>
      </c>
      <c r="P1101" s="21">
        <f>Data!J1118</f>
        <v>0</v>
      </c>
      <c r="Q1101">
        <f>Data!K1118</f>
        <v>0</v>
      </c>
      <c r="R1101">
        <f>Data!L1118</f>
        <v>0</v>
      </c>
      <c r="S1101">
        <f>Data!M1118</f>
        <v>0</v>
      </c>
      <c r="T1101">
        <f>Data!N1114</f>
        <v>0</v>
      </c>
      <c r="U1101">
        <f>Data!O1118</f>
        <v>0</v>
      </c>
      <c r="V1101" s="33">
        <f>Data!P1116</f>
        <v>0</v>
      </c>
    </row>
    <row r="1102" spans="7:22" x14ac:dyDescent="0.25">
      <c r="G1102">
        <f>Data!A1115</f>
        <v>0</v>
      </c>
      <c r="H1102" s="21">
        <f>Data!B1115</f>
        <v>0</v>
      </c>
      <c r="I1102" s="21">
        <f>Data!C1115</f>
        <v>0</v>
      </c>
      <c r="J1102">
        <f>Data!D1115</f>
        <v>0</v>
      </c>
      <c r="K1102">
        <f>Data!E1115</f>
        <v>0</v>
      </c>
      <c r="L1102">
        <f>Data!F1115</f>
        <v>0</v>
      </c>
      <c r="M1102">
        <f>Data!G1115</f>
        <v>0</v>
      </c>
      <c r="N1102">
        <f>Data!H1115</f>
        <v>0</v>
      </c>
      <c r="O1102">
        <f>Data!I1115</f>
        <v>0</v>
      </c>
      <c r="P1102" s="21">
        <f>Data!J1119</f>
        <v>0</v>
      </c>
      <c r="Q1102">
        <f>Data!K1119</f>
        <v>0</v>
      </c>
      <c r="R1102">
        <f>Data!L1119</f>
        <v>0</v>
      </c>
      <c r="S1102">
        <f>Data!M1119</f>
        <v>0</v>
      </c>
      <c r="T1102">
        <f>Data!N1115</f>
        <v>0</v>
      </c>
      <c r="U1102">
        <f>Data!O1119</f>
        <v>0</v>
      </c>
      <c r="V1102" s="33">
        <f>Data!P1117</f>
        <v>0</v>
      </c>
    </row>
    <row r="1103" spans="7:22" x14ac:dyDescent="0.25">
      <c r="G1103">
        <f>Data!A1116</f>
        <v>0</v>
      </c>
      <c r="H1103" s="21">
        <f>Data!B1116</f>
        <v>0</v>
      </c>
      <c r="I1103" s="21">
        <f>Data!C1116</f>
        <v>0</v>
      </c>
      <c r="J1103">
        <f>Data!D1116</f>
        <v>0</v>
      </c>
      <c r="K1103">
        <f>Data!E1116</f>
        <v>0</v>
      </c>
      <c r="L1103">
        <f>Data!F1116</f>
        <v>0</v>
      </c>
      <c r="M1103">
        <f>Data!G1116</f>
        <v>0</v>
      </c>
      <c r="N1103">
        <f>Data!H1116</f>
        <v>0</v>
      </c>
      <c r="O1103">
        <f>Data!I1116</f>
        <v>0</v>
      </c>
      <c r="P1103" s="21">
        <f>Data!J1120</f>
        <v>0</v>
      </c>
      <c r="Q1103">
        <f>Data!K1120</f>
        <v>0</v>
      </c>
      <c r="R1103">
        <f>Data!L1120</f>
        <v>0</v>
      </c>
      <c r="S1103">
        <f>Data!M1120</f>
        <v>0</v>
      </c>
      <c r="T1103">
        <f>Data!N1116</f>
        <v>0</v>
      </c>
      <c r="U1103">
        <f>Data!O1120</f>
        <v>0</v>
      </c>
      <c r="V1103" s="33">
        <f>Data!P1118</f>
        <v>0</v>
      </c>
    </row>
    <row r="1104" spans="7:22" x14ac:dyDescent="0.25">
      <c r="G1104">
        <f>Data!A1117</f>
        <v>0</v>
      </c>
      <c r="H1104" s="21">
        <f>Data!B1117</f>
        <v>0</v>
      </c>
      <c r="I1104" s="21">
        <f>Data!C1117</f>
        <v>0</v>
      </c>
      <c r="J1104">
        <f>Data!D1117</f>
        <v>0</v>
      </c>
      <c r="K1104">
        <f>Data!E1117</f>
        <v>0</v>
      </c>
      <c r="L1104">
        <f>Data!F1117</f>
        <v>0</v>
      </c>
      <c r="M1104">
        <f>Data!G1117</f>
        <v>0</v>
      </c>
      <c r="N1104">
        <f>Data!H1117</f>
        <v>0</v>
      </c>
      <c r="O1104">
        <f>Data!I1117</f>
        <v>0</v>
      </c>
      <c r="P1104" s="21">
        <f>Data!J1121</f>
        <v>0</v>
      </c>
      <c r="Q1104">
        <f>Data!K1121</f>
        <v>0</v>
      </c>
      <c r="R1104">
        <f>Data!L1121</f>
        <v>0</v>
      </c>
      <c r="S1104">
        <f>Data!M1121</f>
        <v>0</v>
      </c>
      <c r="T1104">
        <f>Data!N1117</f>
        <v>0</v>
      </c>
      <c r="U1104">
        <f>Data!O1121</f>
        <v>0</v>
      </c>
      <c r="V1104" s="33">
        <f>Data!P1119</f>
        <v>0</v>
      </c>
    </row>
    <row r="1105" spans="7:22" x14ac:dyDescent="0.25">
      <c r="G1105">
        <f>Data!A1118</f>
        <v>0</v>
      </c>
      <c r="H1105" s="21">
        <f>Data!B1118</f>
        <v>0</v>
      </c>
      <c r="I1105" s="21">
        <f>Data!C1118</f>
        <v>0</v>
      </c>
      <c r="J1105">
        <f>Data!D1118</f>
        <v>0</v>
      </c>
      <c r="K1105">
        <f>Data!E1118</f>
        <v>0</v>
      </c>
      <c r="L1105">
        <f>Data!F1118</f>
        <v>0</v>
      </c>
      <c r="M1105">
        <f>Data!G1118</f>
        <v>0</v>
      </c>
      <c r="N1105">
        <f>Data!H1118</f>
        <v>0</v>
      </c>
      <c r="O1105">
        <f>Data!I1118</f>
        <v>0</v>
      </c>
      <c r="P1105" s="21">
        <f>Data!J1122</f>
        <v>0</v>
      </c>
      <c r="Q1105">
        <f>Data!K1122</f>
        <v>0</v>
      </c>
      <c r="R1105">
        <f>Data!L1122</f>
        <v>0</v>
      </c>
      <c r="S1105">
        <f>Data!M1122</f>
        <v>0</v>
      </c>
      <c r="T1105">
        <f>Data!N1118</f>
        <v>0</v>
      </c>
      <c r="U1105">
        <f>Data!O1122</f>
        <v>0</v>
      </c>
      <c r="V1105" s="33">
        <f>Data!P1120</f>
        <v>0</v>
      </c>
    </row>
    <row r="1106" spans="7:22" x14ac:dyDescent="0.25">
      <c r="G1106">
        <f>Data!A1119</f>
        <v>0</v>
      </c>
      <c r="H1106" s="21">
        <f>Data!B1119</f>
        <v>0</v>
      </c>
      <c r="I1106" s="21">
        <f>Data!C1119</f>
        <v>0</v>
      </c>
      <c r="J1106">
        <f>Data!D1119</f>
        <v>0</v>
      </c>
      <c r="K1106">
        <f>Data!E1119</f>
        <v>0</v>
      </c>
      <c r="L1106">
        <f>Data!F1119</f>
        <v>0</v>
      </c>
      <c r="M1106">
        <f>Data!G1119</f>
        <v>0</v>
      </c>
      <c r="N1106">
        <f>Data!H1119</f>
        <v>0</v>
      </c>
      <c r="O1106">
        <f>Data!I1119</f>
        <v>0</v>
      </c>
      <c r="P1106" s="21">
        <f>Data!J1123</f>
        <v>0</v>
      </c>
      <c r="Q1106">
        <f>Data!K1123</f>
        <v>0</v>
      </c>
      <c r="R1106">
        <f>Data!L1123</f>
        <v>0</v>
      </c>
      <c r="S1106">
        <f>Data!M1123</f>
        <v>0</v>
      </c>
      <c r="T1106">
        <f>Data!N1119</f>
        <v>0</v>
      </c>
      <c r="U1106">
        <f>Data!O1123</f>
        <v>0</v>
      </c>
      <c r="V1106" s="33">
        <f>Data!P1121</f>
        <v>0</v>
      </c>
    </row>
    <row r="1107" spans="7:22" x14ac:dyDescent="0.25">
      <c r="G1107">
        <f>Data!A1120</f>
        <v>0</v>
      </c>
      <c r="H1107" s="21">
        <f>Data!B1120</f>
        <v>0</v>
      </c>
      <c r="I1107" s="21">
        <f>Data!C1120</f>
        <v>0</v>
      </c>
      <c r="J1107">
        <f>Data!D1120</f>
        <v>0</v>
      </c>
      <c r="K1107">
        <f>Data!E1120</f>
        <v>0</v>
      </c>
      <c r="L1107">
        <f>Data!F1120</f>
        <v>0</v>
      </c>
      <c r="M1107">
        <f>Data!G1120</f>
        <v>0</v>
      </c>
      <c r="N1107">
        <f>Data!H1120</f>
        <v>0</v>
      </c>
      <c r="O1107">
        <f>Data!I1120</f>
        <v>0</v>
      </c>
      <c r="P1107" s="21">
        <f>Data!J1124</f>
        <v>0</v>
      </c>
      <c r="Q1107">
        <f>Data!K1124</f>
        <v>0</v>
      </c>
      <c r="R1107">
        <f>Data!L1124</f>
        <v>0</v>
      </c>
      <c r="S1107">
        <f>Data!M1124</f>
        <v>0</v>
      </c>
      <c r="T1107">
        <f>Data!N1120</f>
        <v>0</v>
      </c>
      <c r="U1107">
        <f>Data!O1124</f>
        <v>0</v>
      </c>
      <c r="V1107" s="33">
        <f>Data!P1122</f>
        <v>0</v>
      </c>
    </row>
    <row r="1108" spans="7:22" x14ac:dyDescent="0.25">
      <c r="G1108">
        <f>Data!A1121</f>
        <v>0</v>
      </c>
      <c r="H1108" s="21">
        <f>Data!B1121</f>
        <v>0</v>
      </c>
      <c r="I1108" s="21">
        <f>Data!C1121</f>
        <v>0</v>
      </c>
      <c r="J1108">
        <f>Data!D1121</f>
        <v>0</v>
      </c>
      <c r="K1108">
        <f>Data!E1121</f>
        <v>0</v>
      </c>
      <c r="L1108">
        <f>Data!F1121</f>
        <v>0</v>
      </c>
      <c r="M1108">
        <f>Data!G1121</f>
        <v>0</v>
      </c>
      <c r="N1108">
        <f>Data!H1121</f>
        <v>0</v>
      </c>
      <c r="O1108">
        <f>Data!I1121</f>
        <v>0</v>
      </c>
      <c r="P1108" s="21">
        <f>Data!J1125</f>
        <v>0</v>
      </c>
      <c r="Q1108">
        <f>Data!K1125</f>
        <v>0</v>
      </c>
      <c r="R1108">
        <f>Data!L1125</f>
        <v>0</v>
      </c>
      <c r="S1108">
        <f>Data!M1125</f>
        <v>0</v>
      </c>
      <c r="T1108">
        <f>Data!N1121</f>
        <v>0</v>
      </c>
      <c r="U1108">
        <f>Data!O1125</f>
        <v>0</v>
      </c>
      <c r="V1108" s="33">
        <f>Data!P1123</f>
        <v>0</v>
      </c>
    </row>
    <row r="1109" spans="7:22" x14ac:dyDescent="0.25">
      <c r="G1109">
        <f>Data!A1122</f>
        <v>0</v>
      </c>
      <c r="H1109" s="21">
        <f>Data!B1122</f>
        <v>0</v>
      </c>
      <c r="I1109" s="21">
        <f>Data!C1122</f>
        <v>0</v>
      </c>
      <c r="J1109">
        <f>Data!D1122</f>
        <v>0</v>
      </c>
      <c r="K1109">
        <f>Data!E1122</f>
        <v>0</v>
      </c>
      <c r="L1109">
        <f>Data!F1122</f>
        <v>0</v>
      </c>
      <c r="M1109">
        <f>Data!G1122</f>
        <v>0</v>
      </c>
      <c r="N1109">
        <f>Data!H1122</f>
        <v>0</v>
      </c>
      <c r="O1109">
        <f>Data!I1122</f>
        <v>0</v>
      </c>
      <c r="P1109" s="21">
        <f>Data!J1126</f>
        <v>0</v>
      </c>
      <c r="Q1109">
        <f>Data!K1126</f>
        <v>0</v>
      </c>
      <c r="R1109">
        <f>Data!L1126</f>
        <v>0</v>
      </c>
      <c r="S1109">
        <f>Data!M1126</f>
        <v>0</v>
      </c>
      <c r="T1109">
        <f>Data!N1122</f>
        <v>0</v>
      </c>
      <c r="U1109">
        <f>Data!O1126</f>
        <v>0</v>
      </c>
      <c r="V1109" s="33">
        <f>Data!P1124</f>
        <v>0</v>
      </c>
    </row>
    <row r="1110" spans="7:22" x14ac:dyDescent="0.25">
      <c r="G1110">
        <f>Data!A1123</f>
        <v>0</v>
      </c>
      <c r="H1110" s="21">
        <f>Data!B1123</f>
        <v>0</v>
      </c>
      <c r="I1110" s="21">
        <f>Data!C1123</f>
        <v>0</v>
      </c>
      <c r="J1110">
        <f>Data!D1123</f>
        <v>0</v>
      </c>
      <c r="K1110">
        <f>Data!E1123</f>
        <v>0</v>
      </c>
      <c r="L1110">
        <f>Data!F1123</f>
        <v>0</v>
      </c>
      <c r="M1110">
        <f>Data!G1123</f>
        <v>0</v>
      </c>
      <c r="N1110">
        <f>Data!H1123</f>
        <v>0</v>
      </c>
      <c r="O1110">
        <f>Data!I1123</f>
        <v>0</v>
      </c>
      <c r="P1110" s="21">
        <f>Data!J1127</f>
        <v>0</v>
      </c>
      <c r="Q1110">
        <f>Data!K1127</f>
        <v>0</v>
      </c>
      <c r="R1110">
        <f>Data!L1127</f>
        <v>0</v>
      </c>
      <c r="S1110">
        <f>Data!M1127</f>
        <v>0</v>
      </c>
      <c r="T1110">
        <f>Data!N1123</f>
        <v>0</v>
      </c>
      <c r="U1110">
        <f>Data!O1127</f>
        <v>0</v>
      </c>
      <c r="V1110" s="33">
        <f>Data!P1125</f>
        <v>0</v>
      </c>
    </row>
    <row r="1111" spans="7:22" x14ac:dyDescent="0.25">
      <c r="G1111">
        <f>Data!A1124</f>
        <v>0</v>
      </c>
      <c r="H1111" s="21">
        <f>Data!B1124</f>
        <v>0</v>
      </c>
      <c r="I1111" s="21">
        <f>Data!C1124</f>
        <v>0</v>
      </c>
      <c r="J1111">
        <f>Data!D1124</f>
        <v>0</v>
      </c>
      <c r="K1111">
        <f>Data!E1124</f>
        <v>0</v>
      </c>
      <c r="L1111">
        <f>Data!F1124</f>
        <v>0</v>
      </c>
      <c r="M1111">
        <f>Data!G1124</f>
        <v>0</v>
      </c>
      <c r="N1111">
        <f>Data!H1124</f>
        <v>0</v>
      </c>
      <c r="O1111">
        <f>Data!I1124</f>
        <v>0</v>
      </c>
      <c r="P1111" s="21">
        <f>Data!J1128</f>
        <v>0</v>
      </c>
      <c r="Q1111">
        <f>Data!K1128</f>
        <v>0</v>
      </c>
      <c r="R1111">
        <f>Data!L1128</f>
        <v>0</v>
      </c>
      <c r="S1111">
        <f>Data!M1128</f>
        <v>0</v>
      </c>
      <c r="T1111">
        <f>Data!N1124</f>
        <v>0</v>
      </c>
      <c r="U1111">
        <f>Data!O1128</f>
        <v>0</v>
      </c>
      <c r="V1111" s="33">
        <f>Data!P1126</f>
        <v>0</v>
      </c>
    </row>
    <row r="1112" spans="7:22" x14ac:dyDescent="0.25">
      <c r="G1112">
        <f>Data!A1125</f>
        <v>0</v>
      </c>
      <c r="H1112" s="21">
        <f>Data!B1125</f>
        <v>0</v>
      </c>
      <c r="I1112" s="21">
        <f>Data!C1125</f>
        <v>0</v>
      </c>
      <c r="J1112">
        <f>Data!D1125</f>
        <v>0</v>
      </c>
      <c r="K1112">
        <f>Data!E1125</f>
        <v>0</v>
      </c>
      <c r="L1112">
        <f>Data!F1125</f>
        <v>0</v>
      </c>
      <c r="M1112">
        <f>Data!G1125</f>
        <v>0</v>
      </c>
      <c r="N1112">
        <f>Data!H1125</f>
        <v>0</v>
      </c>
      <c r="O1112">
        <f>Data!I1125</f>
        <v>0</v>
      </c>
      <c r="P1112" s="21">
        <f>Data!J1129</f>
        <v>0</v>
      </c>
      <c r="Q1112">
        <f>Data!K1129</f>
        <v>0</v>
      </c>
      <c r="R1112">
        <f>Data!L1129</f>
        <v>0</v>
      </c>
      <c r="S1112">
        <f>Data!M1129</f>
        <v>0</v>
      </c>
      <c r="T1112">
        <f>Data!N1125</f>
        <v>0</v>
      </c>
      <c r="U1112">
        <f>Data!O1129</f>
        <v>0</v>
      </c>
      <c r="V1112" s="33">
        <f>Data!P1127</f>
        <v>0</v>
      </c>
    </row>
    <row r="1113" spans="7:22" x14ac:dyDescent="0.25">
      <c r="G1113">
        <f>Data!A1126</f>
        <v>0</v>
      </c>
      <c r="H1113" s="21">
        <f>Data!B1126</f>
        <v>0</v>
      </c>
      <c r="I1113" s="21">
        <f>Data!C1126</f>
        <v>0</v>
      </c>
      <c r="J1113">
        <f>Data!D1126</f>
        <v>0</v>
      </c>
      <c r="K1113">
        <f>Data!E1126</f>
        <v>0</v>
      </c>
      <c r="L1113">
        <f>Data!F1126</f>
        <v>0</v>
      </c>
      <c r="M1113">
        <f>Data!G1126</f>
        <v>0</v>
      </c>
      <c r="N1113">
        <f>Data!H1126</f>
        <v>0</v>
      </c>
      <c r="O1113">
        <f>Data!I1126</f>
        <v>0</v>
      </c>
      <c r="P1113" s="21">
        <f>Data!J1130</f>
        <v>0</v>
      </c>
      <c r="Q1113">
        <f>Data!K1130</f>
        <v>0</v>
      </c>
      <c r="R1113">
        <f>Data!L1130</f>
        <v>0</v>
      </c>
      <c r="S1113">
        <f>Data!M1130</f>
        <v>0</v>
      </c>
      <c r="T1113">
        <f>Data!N1126</f>
        <v>0</v>
      </c>
      <c r="U1113">
        <f>Data!O1130</f>
        <v>0</v>
      </c>
      <c r="V1113" s="33">
        <f>Data!P1128</f>
        <v>0</v>
      </c>
    </row>
    <row r="1114" spans="7:22" x14ac:dyDescent="0.25">
      <c r="G1114">
        <f>Data!A1127</f>
        <v>0</v>
      </c>
      <c r="H1114" s="21">
        <f>Data!B1127</f>
        <v>0</v>
      </c>
      <c r="I1114" s="21">
        <f>Data!C1127</f>
        <v>0</v>
      </c>
      <c r="J1114">
        <f>Data!D1127</f>
        <v>0</v>
      </c>
      <c r="K1114">
        <f>Data!E1127</f>
        <v>0</v>
      </c>
      <c r="L1114">
        <f>Data!F1127</f>
        <v>0</v>
      </c>
      <c r="M1114">
        <f>Data!G1127</f>
        <v>0</v>
      </c>
      <c r="N1114">
        <f>Data!H1127</f>
        <v>0</v>
      </c>
      <c r="O1114">
        <f>Data!I1127</f>
        <v>0</v>
      </c>
      <c r="P1114" s="21">
        <f>Data!J1131</f>
        <v>0</v>
      </c>
      <c r="Q1114">
        <f>Data!K1131</f>
        <v>0</v>
      </c>
      <c r="R1114">
        <f>Data!L1131</f>
        <v>0</v>
      </c>
      <c r="S1114">
        <f>Data!M1131</f>
        <v>0</v>
      </c>
      <c r="T1114">
        <f>Data!N1127</f>
        <v>0</v>
      </c>
      <c r="U1114">
        <f>Data!O1131</f>
        <v>0</v>
      </c>
      <c r="V1114" s="33">
        <f>Data!P1129</f>
        <v>0</v>
      </c>
    </row>
    <row r="1115" spans="7:22" x14ac:dyDescent="0.25">
      <c r="G1115">
        <f>Data!A1128</f>
        <v>0</v>
      </c>
      <c r="H1115" s="21">
        <f>Data!B1128</f>
        <v>0</v>
      </c>
      <c r="I1115" s="21">
        <f>Data!C1128</f>
        <v>0</v>
      </c>
      <c r="J1115">
        <f>Data!D1128</f>
        <v>0</v>
      </c>
      <c r="K1115">
        <f>Data!E1128</f>
        <v>0</v>
      </c>
      <c r="L1115">
        <f>Data!F1128</f>
        <v>0</v>
      </c>
      <c r="M1115">
        <f>Data!G1128</f>
        <v>0</v>
      </c>
      <c r="N1115">
        <f>Data!H1128</f>
        <v>0</v>
      </c>
      <c r="O1115">
        <f>Data!I1128</f>
        <v>0</v>
      </c>
      <c r="P1115" s="21">
        <f>Data!J1132</f>
        <v>0</v>
      </c>
      <c r="Q1115">
        <f>Data!K1132</f>
        <v>0</v>
      </c>
      <c r="R1115">
        <f>Data!L1132</f>
        <v>0</v>
      </c>
      <c r="S1115">
        <f>Data!M1132</f>
        <v>0</v>
      </c>
      <c r="T1115">
        <f>Data!N1128</f>
        <v>0</v>
      </c>
      <c r="U1115">
        <f>Data!O1132</f>
        <v>0</v>
      </c>
      <c r="V1115" s="33">
        <f>Data!P1130</f>
        <v>0</v>
      </c>
    </row>
    <row r="1116" spans="7:22" x14ac:dyDescent="0.25">
      <c r="G1116">
        <f>Data!A1129</f>
        <v>0</v>
      </c>
      <c r="H1116" s="21">
        <f>Data!B1129</f>
        <v>0</v>
      </c>
      <c r="I1116" s="21">
        <f>Data!C1129</f>
        <v>0</v>
      </c>
      <c r="J1116">
        <f>Data!D1129</f>
        <v>0</v>
      </c>
      <c r="K1116">
        <f>Data!E1129</f>
        <v>0</v>
      </c>
      <c r="L1116">
        <f>Data!F1129</f>
        <v>0</v>
      </c>
      <c r="M1116">
        <f>Data!G1129</f>
        <v>0</v>
      </c>
      <c r="N1116">
        <f>Data!H1129</f>
        <v>0</v>
      </c>
      <c r="O1116">
        <f>Data!I1129</f>
        <v>0</v>
      </c>
      <c r="P1116" s="21">
        <f>Data!J1133</f>
        <v>0</v>
      </c>
      <c r="Q1116">
        <f>Data!K1133</f>
        <v>0</v>
      </c>
      <c r="R1116">
        <f>Data!L1133</f>
        <v>0</v>
      </c>
      <c r="S1116">
        <f>Data!M1133</f>
        <v>0</v>
      </c>
      <c r="T1116">
        <f>Data!N1129</f>
        <v>0</v>
      </c>
      <c r="U1116">
        <f>Data!O1133</f>
        <v>0</v>
      </c>
      <c r="V1116" s="33">
        <f>Data!P1131</f>
        <v>0</v>
      </c>
    </row>
    <row r="1117" spans="7:22" x14ac:dyDescent="0.25">
      <c r="G1117">
        <f>Data!A1130</f>
        <v>0</v>
      </c>
      <c r="H1117" s="21">
        <f>Data!B1130</f>
        <v>0</v>
      </c>
      <c r="I1117" s="21">
        <f>Data!C1130</f>
        <v>0</v>
      </c>
      <c r="J1117">
        <f>Data!D1130</f>
        <v>0</v>
      </c>
      <c r="K1117">
        <f>Data!E1130</f>
        <v>0</v>
      </c>
      <c r="L1117">
        <f>Data!F1130</f>
        <v>0</v>
      </c>
      <c r="M1117">
        <f>Data!G1130</f>
        <v>0</v>
      </c>
      <c r="N1117">
        <f>Data!H1130</f>
        <v>0</v>
      </c>
      <c r="O1117">
        <f>Data!I1130</f>
        <v>0</v>
      </c>
      <c r="P1117" s="21">
        <f>Data!J1134</f>
        <v>0</v>
      </c>
      <c r="Q1117">
        <f>Data!K1134</f>
        <v>0</v>
      </c>
      <c r="R1117">
        <f>Data!L1134</f>
        <v>0</v>
      </c>
      <c r="S1117">
        <f>Data!M1134</f>
        <v>0</v>
      </c>
      <c r="T1117">
        <f>Data!N1130</f>
        <v>0</v>
      </c>
      <c r="U1117">
        <f>Data!O1134</f>
        <v>0</v>
      </c>
      <c r="V1117" s="33">
        <f>Data!P1132</f>
        <v>0</v>
      </c>
    </row>
    <row r="1118" spans="7:22" x14ac:dyDescent="0.25">
      <c r="G1118">
        <f>Data!A1131</f>
        <v>0</v>
      </c>
      <c r="H1118" s="21">
        <f>Data!B1131</f>
        <v>0</v>
      </c>
      <c r="I1118" s="21">
        <f>Data!C1131</f>
        <v>0</v>
      </c>
      <c r="J1118">
        <f>Data!D1131</f>
        <v>0</v>
      </c>
      <c r="K1118">
        <f>Data!E1131</f>
        <v>0</v>
      </c>
      <c r="L1118">
        <f>Data!F1131</f>
        <v>0</v>
      </c>
      <c r="M1118">
        <f>Data!G1131</f>
        <v>0</v>
      </c>
      <c r="N1118">
        <f>Data!H1131</f>
        <v>0</v>
      </c>
      <c r="O1118">
        <f>Data!I1131</f>
        <v>0</v>
      </c>
      <c r="P1118" s="21">
        <f>Data!J1135</f>
        <v>0</v>
      </c>
      <c r="Q1118">
        <f>Data!K1135</f>
        <v>0</v>
      </c>
      <c r="R1118">
        <f>Data!L1135</f>
        <v>0</v>
      </c>
      <c r="S1118">
        <f>Data!M1135</f>
        <v>0</v>
      </c>
      <c r="T1118">
        <f>Data!N1131</f>
        <v>0</v>
      </c>
      <c r="U1118">
        <f>Data!O1135</f>
        <v>0</v>
      </c>
      <c r="V1118" s="33">
        <f>Data!P1133</f>
        <v>0</v>
      </c>
    </row>
    <row r="1119" spans="7:22" x14ac:dyDescent="0.25">
      <c r="G1119">
        <f>Data!A1132</f>
        <v>0</v>
      </c>
      <c r="H1119" s="21">
        <f>Data!B1132</f>
        <v>0</v>
      </c>
      <c r="I1119" s="21">
        <f>Data!C1132</f>
        <v>0</v>
      </c>
      <c r="J1119">
        <f>Data!D1132</f>
        <v>0</v>
      </c>
      <c r="K1119">
        <f>Data!E1132</f>
        <v>0</v>
      </c>
      <c r="L1119">
        <f>Data!F1132</f>
        <v>0</v>
      </c>
      <c r="M1119">
        <f>Data!G1132</f>
        <v>0</v>
      </c>
      <c r="N1119">
        <f>Data!H1132</f>
        <v>0</v>
      </c>
      <c r="O1119">
        <f>Data!I1132</f>
        <v>0</v>
      </c>
      <c r="P1119" s="21">
        <f>Data!J1136</f>
        <v>0</v>
      </c>
      <c r="Q1119">
        <f>Data!K1136</f>
        <v>0</v>
      </c>
      <c r="R1119">
        <f>Data!L1136</f>
        <v>0</v>
      </c>
      <c r="S1119">
        <f>Data!M1136</f>
        <v>0</v>
      </c>
      <c r="T1119">
        <f>Data!N1132</f>
        <v>0</v>
      </c>
      <c r="U1119">
        <f>Data!O1136</f>
        <v>0</v>
      </c>
      <c r="V1119" s="33">
        <f>Data!P1134</f>
        <v>0</v>
      </c>
    </row>
    <row r="1120" spans="7:22" x14ac:dyDescent="0.25">
      <c r="G1120">
        <f>Data!A1133</f>
        <v>0</v>
      </c>
      <c r="H1120" s="21">
        <f>Data!B1133</f>
        <v>0</v>
      </c>
      <c r="I1120" s="21">
        <f>Data!C1133</f>
        <v>0</v>
      </c>
      <c r="J1120">
        <f>Data!D1133</f>
        <v>0</v>
      </c>
      <c r="K1120">
        <f>Data!E1133</f>
        <v>0</v>
      </c>
      <c r="L1120">
        <f>Data!F1133</f>
        <v>0</v>
      </c>
      <c r="M1120">
        <f>Data!G1133</f>
        <v>0</v>
      </c>
      <c r="N1120">
        <f>Data!H1133</f>
        <v>0</v>
      </c>
      <c r="O1120">
        <f>Data!I1133</f>
        <v>0</v>
      </c>
      <c r="P1120" s="21">
        <f>Data!J1137</f>
        <v>0</v>
      </c>
      <c r="Q1120">
        <f>Data!K1137</f>
        <v>0</v>
      </c>
      <c r="R1120">
        <f>Data!L1137</f>
        <v>0</v>
      </c>
      <c r="S1120">
        <f>Data!M1137</f>
        <v>0</v>
      </c>
      <c r="T1120">
        <f>Data!N1133</f>
        <v>0</v>
      </c>
      <c r="U1120">
        <f>Data!O1137</f>
        <v>0</v>
      </c>
      <c r="V1120" s="33">
        <f>Data!P1135</f>
        <v>0</v>
      </c>
    </row>
    <row r="1121" spans="7:22" x14ac:dyDescent="0.25">
      <c r="G1121">
        <f>Data!A1134</f>
        <v>0</v>
      </c>
      <c r="H1121" s="21">
        <f>Data!B1134</f>
        <v>0</v>
      </c>
      <c r="I1121" s="21">
        <f>Data!C1134</f>
        <v>0</v>
      </c>
      <c r="J1121">
        <f>Data!D1134</f>
        <v>0</v>
      </c>
      <c r="K1121">
        <f>Data!E1134</f>
        <v>0</v>
      </c>
      <c r="L1121">
        <f>Data!F1134</f>
        <v>0</v>
      </c>
      <c r="M1121">
        <f>Data!G1134</f>
        <v>0</v>
      </c>
      <c r="N1121">
        <f>Data!H1134</f>
        <v>0</v>
      </c>
      <c r="O1121">
        <f>Data!I1134</f>
        <v>0</v>
      </c>
      <c r="P1121" s="21">
        <f>Data!J1138</f>
        <v>0</v>
      </c>
      <c r="Q1121">
        <f>Data!K1138</f>
        <v>0</v>
      </c>
      <c r="R1121">
        <f>Data!L1138</f>
        <v>0</v>
      </c>
      <c r="S1121">
        <f>Data!M1138</f>
        <v>0</v>
      </c>
      <c r="T1121">
        <f>Data!N1134</f>
        <v>0</v>
      </c>
      <c r="U1121">
        <f>Data!O1138</f>
        <v>0</v>
      </c>
      <c r="V1121" s="33">
        <f>Data!P1136</f>
        <v>0</v>
      </c>
    </row>
    <row r="1122" spans="7:22" x14ac:dyDescent="0.25">
      <c r="G1122">
        <f>Data!A1135</f>
        <v>0</v>
      </c>
      <c r="H1122" s="21">
        <f>Data!B1135</f>
        <v>0</v>
      </c>
      <c r="I1122" s="21">
        <f>Data!C1135</f>
        <v>0</v>
      </c>
      <c r="J1122">
        <f>Data!D1135</f>
        <v>0</v>
      </c>
      <c r="K1122">
        <f>Data!E1135</f>
        <v>0</v>
      </c>
      <c r="L1122">
        <f>Data!F1135</f>
        <v>0</v>
      </c>
      <c r="M1122">
        <f>Data!G1135</f>
        <v>0</v>
      </c>
      <c r="N1122">
        <f>Data!H1135</f>
        <v>0</v>
      </c>
      <c r="O1122">
        <f>Data!I1135</f>
        <v>0</v>
      </c>
      <c r="P1122" s="21">
        <f>Data!J1139</f>
        <v>0</v>
      </c>
      <c r="Q1122">
        <f>Data!K1139</f>
        <v>0</v>
      </c>
      <c r="R1122">
        <f>Data!L1139</f>
        <v>0</v>
      </c>
      <c r="S1122">
        <f>Data!M1139</f>
        <v>0</v>
      </c>
      <c r="T1122">
        <f>Data!N1135</f>
        <v>0</v>
      </c>
      <c r="U1122">
        <f>Data!O1139</f>
        <v>0</v>
      </c>
      <c r="V1122" s="33">
        <f>Data!P1137</f>
        <v>0</v>
      </c>
    </row>
    <row r="1123" spans="7:22" x14ac:dyDescent="0.25">
      <c r="G1123">
        <f>Data!A1136</f>
        <v>0</v>
      </c>
      <c r="H1123" s="21">
        <f>Data!B1136</f>
        <v>0</v>
      </c>
      <c r="I1123" s="21">
        <f>Data!C1136</f>
        <v>0</v>
      </c>
      <c r="J1123">
        <f>Data!D1136</f>
        <v>0</v>
      </c>
      <c r="K1123">
        <f>Data!E1136</f>
        <v>0</v>
      </c>
      <c r="L1123">
        <f>Data!F1136</f>
        <v>0</v>
      </c>
      <c r="M1123">
        <f>Data!G1136</f>
        <v>0</v>
      </c>
      <c r="N1123">
        <f>Data!H1136</f>
        <v>0</v>
      </c>
      <c r="O1123">
        <f>Data!I1136</f>
        <v>0</v>
      </c>
      <c r="P1123" s="21">
        <f>Data!J1140</f>
        <v>0</v>
      </c>
      <c r="Q1123">
        <f>Data!K1140</f>
        <v>0</v>
      </c>
      <c r="R1123">
        <f>Data!L1140</f>
        <v>0</v>
      </c>
      <c r="S1123">
        <f>Data!M1140</f>
        <v>0</v>
      </c>
      <c r="T1123">
        <f>Data!N1136</f>
        <v>0</v>
      </c>
      <c r="U1123">
        <f>Data!O1140</f>
        <v>0</v>
      </c>
      <c r="V1123" s="33">
        <f>Data!P1138</f>
        <v>0</v>
      </c>
    </row>
    <row r="1124" spans="7:22" x14ac:dyDescent="0.25">
      <c r="G1124">
        <f>Data!A1137</f>
        <v>0</v>
      </c>
      <c r="H1124" s="21">
        <f>Data!B1137</f>
        <v>0</v>
      </c>
      <c r="I1124" s="21">
        <f>Data!C1137</f>
        <v>0</v>
      </c>
      <c r="J1124">
        <f>Data!D1137</f>
        <v>0</v>
      </c>
      <c r="K1124">
        <f>Data!E1137</f>
        <v>0</v>
      </c>
      <c r="L1124">
        <f>Data!F1137</f>
        <v>0</v>
      </c>
      <c r="M1124">
        <f>Data!G1137</f>
        <v>0</v>
      </c>
      <c r="N1124">
        <f>Data!H1137</f>
        <v>0</v>
      </c>
      <c r="O1124">
        <f>Data!I1137</f>
        <v>0</v>
      </c>
      <c r="P1124" s="21">
        <f>Data!J1141</f>
        <v>0</v>
      </c>
      <c r="Q1124">
        <f>Data!K1141</f>
        <v>0</v>
      </c>
      <c r="R1124">
        <f>Data!L1141</f>
        <v>0</v>
      </c>
      <c r="S1124">
        <f>Data!M1141</f>
        <v>0</v>
      </c>
      <c r="T1124">
        <f>Data!N1137</f>
        <v>0</v>
      </c>
      <c r="U1124">
        <f>Data!O1141</f>
        <v>0</v>
      </c>
      <c r="V1124" s="33">
        <f>Data!P1139</f>
        <v>0</v>
      </c>
    </row>
    <row r="1125" spans="7:22" x14ac:dyDescent="0.25">
      <c r="G1125">
        <f>Data!A1138</f>
        <v>0</v>
      </c>
      <c r="H1125" s="21">
        <f>Data!B1138</f>
        <v>0</v>
      </c>
      <c r="I1125" s="21">
        <f>Data!C1138</f>
        <v>0</v>
      </c>
      <c r="J1125">
        <f>Data!D1138</f>
        <v>0</v>
      </c>
      <c r="K1125">
        <f>Data!E1138</f>
        <v>0</v>
      </c>
      <c r="L1125">
        <f>Data!F1138</f>
        <v>0</v>
      </c>
      <c r="M1125">
        <f>Data!G1138</f>
        <v>0</v>
      </c>
      <c r="N1125">
        <f>Data!H1138</f>
        <v>0</v>
      </c>
      <c r="O1125">
        <f>Data!I1138</f>
        <v>0</v>
      </c>
      <c r="P1125" s="21">
        <f>Data!J1142</f>
        <v>0</v>
      </c>
      <c r="Q1125">
        <f>Data!K1142</f>
        <v>0</v>
      </c>
      <c r="R1125">
        <f>Data!L1142</f>
        <v>0</v>
      </c>
      <c r="S1125">
        <f>Data!M1142</f>
        <v>0</v>
      </c>
      <c r="T1125">
        <f>Data!N1138</f>
        <v>0</v>
      </c>
      <c r="U1125">
        <f>Data!O1142</f>
        <v>0</v>
      </c>
      <c r="V1125" s="33">
        <f>Data!P1140</f>
        <v>0</v>
      </c>
    </row>
    <row r="1126" spans="7:22" x14ac:dyDescent="0.25">
      <c r="G1126">
        <f>Data!A1139</f>
        <v>0</v>
      </c>
      <c r="H1126" s="21">
        <f>Data!B1139</f>
        <v>0</v>
      </c>
      <c r="I1126" s="21">
        <f>Data!C1139</f>
        <v>0</v>
      </c>
      <c r="J1126">
        <f>Data!D1139</f>
        <v>0</v>
      </c>
      <c r="K1126">
        <f>Data!E1139</f>
        <v>0</v>
      </c>
      <c r="L1126">
        <f>Data!F1139</f>
        <v>0</v>
      </c>
      <c r="M1126">
        <f>Data!G1139</f>
        <v>0</v>
      </c>
      <c r="N1126">
        <f>Data!H1139</f>
        <v>0</v>
      </c>
      <c r="O1126">
        <f>Data!I1139</f>
        <v>0</v>
      </c>
      <c r="P1126" s="21">
        <f>Data!J1143</f>
        <v>0</v>
      </c>
      <c r="Q1126">
        <f>Data!K1143</f>
        <v>0</v>
      </c>
      <c r="R1126">
        <f>Data!L1143</f>
        <v>0</v>
      </c>
      <c r="S1126">
        <f>Data!M1143</f>
        <v>0</v>
      </c>
      <c r="T1126">
        <f>Data!N1139</f>
        <v>0</v>
      </c>
      <c r="U1126">
        <f>Data!O1143</f>
        <v>0</v>
      </c>
      <c r="V1126" s="33">
        <f>Data!P1141</f>
        <v>0</v>
      </c>
    </row>
    <row r="1127" spans="7:22" x14ac:dyDescent="0.25">
      <c r="G1127">
        <f>Data!A1140</f>
        <v>0</v>
      </c>
      <c r="H1127" s="21">
        <f>Data!B1140</f>
        <v>0</v>
      </c>
      <c r="I1127" s="21">
        <f>Data!C1140</f>
        <v>0</v>
      </c>
      <c r="J1127">
        <f>Data!D1140</f>
        <v>0</v>
      </c>
      <c r="K1127">
        <f>Data!E1140</f>
        <v>0</v>
      </c>
      <c r="L1127">
        <f>Data!F1140</f>
        <v>0</v>
      </c>
      <c r="M1127">
        <f>Data!G1140</f>
        <v>0</v>
      </c>
      <c r="N1127">
        <f>Data!H1140</f>
        <v>0</v>
      </c>
      <c r="O1127">
        <f>Data!I1140</f>
        <v>0</v>
      </c>
      <c r="P1127" s="21">
        <f>Data!J1144</f>
        <v>0</v>
      </c>
      <c r="Q1127">
        <f>Data!K1144</f>
        <v>0</v>
      </c>
      <c r="R1127">
        <f>Data!L1144</f>
        <v>0</v>
      </c>
      <c r="S1127">
        <f>Data!M1144</f>
        <v>0</v>
      </c>
      <c r="T1127">
        <f>Data!N1140</f>
        <v>0</v>
      </c>
      <c r="U1127">
        <f>Data!O1144</f>
        <v>0</v>
      </c>
      <c r="V1127" s="33">
        <f>Data!P1142</f>
        <v>0</v>
      </c>
    </row>
    <row r="1128" spans="7:22" x14ac:dyDescent="0.25">
      <c r="G1128">
        <f>Data!A1141</f>
        <v>0</v>
      </c>
      <c r="H1128" s="21">
        <f>Data!B1141</f>
        <v>0</v>
      </c>
      <c r="I1128" s="21">
        <f>Data!C1141</f>
        <v>0</v>
      </c>
      <c r="J1128">
        <f>Data!D1141</f>
        <v>0</v>
      </c>
      <c r="K1128">
        <f>Data!E1141</f>
        <v>0</v>
      </c>
      <c r="L1128">
        <f>Data!F1141</f>
        <v>0</v>
      </c>
      <c r="M1128">
        <f>Data!G1141</f>
        <v>0</v>
      </c>
      <c r="N1128">
        <f>Data!H1141</f>
        <v>0</v>
      </c>
      <c r="O1128">
        <f>Data!I1141</f>
        <v>0</v>
      </c>
      <c r="P1128" s="21">
        <f>Data!J1145</f>
        <v>0</v>
      </c>
      <c r="Q1128">
        <f>Data!K1145</f>
        <v>0</v>
      </c>
      <c r="R1128">
        <f>Data!L1145</f>
        <v>0</v>
      </c>
      <c r="S1128">
        <f>Data!M1145</f>
        <v>0</v>
      </c>
      <c r="T1128">
        <f>Data!N1141</f>
        <v>0</v>
      </c>
      <c r="U1128">
        <f>Data!O1145</f>
        <v>0</v>
      </c>
      <c r="V1128" s="33">
        <f>Data!P1143</f>
        <v>0</v>
      </c>
    </row>
    <row r="1129" spans="7:22" x14ac:dyDescent="0.25">
      <c r="G1129">
        <f>Data!A1142</f>
        <v>0</v>
      </c>
      <c r="H1129" s="21">
        <f>Data!B1142</f>
        <v>0</v>
      </c>
      <c r="I1129" s="21">
        <f>Data!C1142</f>
        <v>0</v>
      </c>
      <c r="J1129">
        <f>Data!D1142</f>
        <v>0</v>
      </c>
      <c r="K1129">
        <f>Data!E1142</f>
        <v>0</v>
      </c>
      <c r="L1129">
        <f>Data!F1142</f>
        <v>0</v>
      </c>
      <c r="M1129">
        <f>Data!G1142</f>
        <v>0</v>
      </c>
      <c r="N1129">
        <f>Data!H1142</f>
        <v>0</v>
      </c>
      <c r="O1129">
        <f>Data!I1142</f>
        <v>0</v>
      </c>
      <c r="P1129" s="21">
        <f>Data!J1146</f>
        <v>0</v>
      </c>
      <c r="Q1129">
        <f>Data!K1146</f>
        <v>0</v>
      </c>
      <c r="R1129">
        <f>Data!L1146</f>
        <v>0</v>
      </c>
      <c r="S1129">
        <f>Data!M1146</f>
        <v>0</v>
      </c>
      <c r="T1129">
        <f>Data!N1142</f>
        <v>0</v>
      </c>
      <c r="U1129">
        <f>Data!O1146</f>
        <v>0</v>
      </c>
      <c r="V1129" s="33">
        <f>Data!P1144</f>
        <v>0</v>
      </c>
    </row>
    <row r="1130" spans="7:22" x14ac:dyDescent="0.25">
      <c r="G1130">
        <f>Data!A1143</f>
        <v>0</v>
      </c>
      <c r="H1130" s="21">
        <f>Data!B1143</f>
        <v>0</v>
      </c>
      <c r="I1130" s="21">
        <f>Data!C1143</f>
        <v>0</v>
      </c>
      <c r="J1130">
        <f>Data!D1143</f>
        <v>0</v>
      </c>
      <c r="K1130">
        <f>Data!E1143</f>
        <v>0</v>
      </c>
      <c r="L1130">
        <f>Data!F1143</f>
        <v>0</v>
      </c>
      <c r="M1130">
        <f>Data!G1143</f>
        <v>0</v>
      </c>
      <c r="N1130">
        <f>Data!H1143</f>
        <v>0</v>
      </c>
      <c r="O1130">
        <f>Data!I1143</f>
        <v>0</v>
      </c>
      <c r="P1130" s="21">
        <f>Data!J1147</f>
        <v>0</v>
      </c>
      <c r="Q1130">
        <f>Data!K1147</f>
        <v>0</v>
      </c>
      <c r="R1130">
        <f>Data!L1147</f>
        <v>0</v>
      </c>
      <c r="S1130">
        <f>Data!M1147</f>
        <v>0</v>
      </c>
      <c r="T1130">
        <f>Data!N1143</f>
        <v>0</v>
      </c>
      <c r="U1130">
        <f>Data!O1147</f>
        <v>0</v>
      </c>
      <c r="V1130" s="33">
        <f>Data!P1145</f>
        <v>0</v>
      </c>
    </row>
    <row r="1131" spans="7:22" x14ac:dyDescent="0.25">
      <c r="G1131">
        <f>Data!A1144</f>
        <v>0</v>
      </c>
      <c r="H1131" s="21">
        <f>Data!B1144</f>
        <v>0</v>
      </c>
      <c r="I1131" s="21">
        <f>Data!C1144</f>
        <v>0</v>
      </c>
      <c r="J1131">
        <f>Data!D1144</f>
        <v>0</v>
      </c>
      <c r="K1131">
        <f>Data!E1144</f>
        <v>0</v>
      </c>
      <c r="L1131">
        <f>Data!F1144</f>
        <v>0</v>
      </c>
      <c r="M1131">
        <f>Data!G1144</f>
        <v>0</v>
      </c>
      <c r="N1131">
        <f>Data!H1144</f>
        <v>0</v>
      </c>
      <c r="O1131">
        <f>Data!I1144</f>
        <v>0</v>
      </c>
      <c r="P1131" s="21">
        <f>Data!J1148</f>
        <v>0</v>
      </c>
      <c r="Q1131">
        <f>Data!K1148</f>
        <v>0</v>
      </c>
      <c r="R1131">
        <f>Data!L1148</f>
        <v>0</v>
      </c>
      <c r="S1131">
        <f>Data!M1148</f>
        <v>0</v>
      </c>
      <c r="T1131">
        <f>Data!N1144</f>
        <v>0</v>
      </c>
      <c r="U1131">
        <f>Data!O1148</f>
        <v>0</v>
      </c>
      <c r="V1131" s="33">
        <f>Data!P1146</f>
        <v>0</v>
      </c>
    </row>
    <row r="1132" spans="7:22" x14ac:dyDescent="0.25">
      <c r="G1132">
        <f>Data!A1145</f>
        <v>0</v>
      </c>
      <c r="H1132" s="21">
        <f>Data!B1145</f>
        <v>0</v>
      </c>
      <c r="I1132" s="21">
        <f>Data!C1145</f>
        <v>0</v>
      </c>
      <c r="J1132">
        <f>Data!D1145</f>
        <v>0</v>
      </c>
      <c r="K1132">
        <f>Data!E1145</f>
        <v>0</v>
      </c>
      <c r="L1132">
        <f>Data!F1145</f>
        <v>0</v>
      </c>
      <c r="M1132">
        <f>Data!G1145</f>
        <v>0</v>
      </c>
      <c r="N1132">
        <f>Data!H1145</f>
        <v>0</v>
      </c>
      <c r="O1132">
        <f>Data!I1145</f>
        <v>0</v>
      </c>
      <c r="P1132" s="21">
        <f>Data!J1149</f>
        <v>0</v>
      </c>
      <c r="Q1132">
        <f>Data!K1149</f>
        <v>0</v>
      </c>
      <c r="R1132">
        <f>Data!L1149</f>
        <v>0</v>
      </c>
      <c r="S1132">
        <f>Data!M1149</f>
        <v>0</v>
      </c>
      <c r="T1132">
        <f>Data!N1145</f>
        <v>0</v>
      </c>
      <c r="U1132">
        <f>Data!O1149</f>
        <v>0</v>
      </c>
      <c r="V1132" s="33">
        <f>Data!P1147</f>
        <v>0</v>
      </c>
    </row>
    <row r="1133" spans="7:22" x14ac:dyDescent="0.25">
      <c r="G1133">
        <f>Data!A1146</f>
        <v>0</v>
      </c>
      <c r="H1133" s="21">
        <f>Data!B1146</f>
        <v>0</v>
      </c>
      <c r="I1133" s="21">
        <f>Data!C1146</f>
        <v>0</v>
      </c>
      <c r="J1133">
        <f>Data!D1146</f>
        <v>0</v>
      </c>
      <c r="K1133">
        <f>Data!E1146</f>
        <v>0</v>
      </c>
      <c r="L1133">
        <f>Data!F1146</f>
        <v>0</v>
      </c>
      <c r="M1133">
        <f>Data!G1146</f>
        <v>0</v>
      </c>
      <c r="N1133">
        <f>Data!H1146</f>
        <v>0</v>
      </c>
      <c r="O1133">
        <f>Data!I1146</f>
        <v>0</v>
      </c>
      <c r="P1133" s="21">
        <f>Data!J1150</f>
        <v>0</v>
      </c>
      <c r="Q1133">
        <f>Data!K1150</f>
        <v>0</v>
      </c>
      <c r="R1133">
        <f>Data!L1150</f>
        <v>0</v>
      </c>
      <c r="S1133">
        <f>Data!M1150</f>
        <v>0</v>
      </c>
      <c r="T1133">
        <f>Data!N1146</f>
        <v>0</v>
      </c>
      <c r="U1133">
        <f>Data!O1150</f>
        <v>0</v>
      </c>
      <c r="V1133" s="33">
        <f>Data!P1148</f>
        <v>0</v>
      </c>
    </row>
    <row r="1134" spans="7:22" x14ac:dyDescent="0.25">
      <c r="G1134">
        <f>Data!A1147</f>
        <v>0</v>
      </c>
      <c r="H1134" s="21">
        <f>Data!B1147</f>
        <v>0</v>
      </c>
      <c r="I1134" s="21">
        <f>Data!C1147</f>
        <v>0</v>
      </c>
      <c r="J1134">
        <f>Data!D1147</f>
        <v>0</v>
      </c>
      <c r="K1134">
        <f>Data!E1147</f>
        <v>0</v>
      </c>
      <c r="L1134">
        <f>Data!F1147</f>
        <v>0</v>
      </c>
      <c r="M1134">
        <f>Data!G1147</f>
        <v>0</v>
      </c>
      <c r="N1134">
        <f>Data!H1147</f>
        <v>0</v>
      </c>
      <c r="O1134">
        <f>Data!I1147</f>
        <v>0</v>
      </c>
      <c r="P1134" s="21">
        <f>Data!J1151</f>
        <v>0</v>
      </c>
      <c r="Q1134">
        <f>Data!K1151</f>
        <v>0</v>
      </c>
      <c r="R1134">
        <f>Data!L1151</f>
        <v>0</v>
      </c>
      <c r="S1134">
        <f>Data!M1151</f>
        <v>0</v>
      </c>
      <c r="T1134">
        <f>Data!N1147</f>
        <v>0</v>
      </c>
      <c r="U1134">
        <f>Data!O1151</f>
        <v>0</v>
      </c>
      <c r="V1134" s="33">
        <f>Data!P1149</f>
        <v>0</v>
      </c>
    </row>
    <row r="1135" spans="7:22" x14ac:dyDescent="0.25">
      <c r="G1135">
        <f>Data!A1148</f>
        <v>0</v>
      </c>
      <c r="H1135" s="21">
        <f>Data!B1148</f>
        <v>0</v>
      </c>
      <c r="I1135" s="21">
        <f>Data!C1148</f>
        <v>0</v>
      </c>
      <c r="J1135">
        <f>Data!D1148</f>
        <v>0</v>
      </c>
      <c r="K1135">
        <f>Data!E1148</f>
        <v>0</v>
      </c>
      <c r="L1135">
        <f>Data!F1148</f>
        <v>0</v>
      </c>
      <c r="M1135">
        <f>Data!G1148</f>
        <v>0</v>
      </c>
      <c r="N1135">
        <f>Data!H1148</f>
        <v>0</v>
      </c>
      <c r="O1135">
        <f>Data!I1148</f>
        <v>0</v>
      </c>
      <c r="P1135" s="21">
        <f>Data!J1152</f>
        <v>0</v>
      </c>
      <c r="Q1135">
        <f>Data!K1152</f>
        <v>0</v>
      </c>
      <c r="R1135">
        <f>Data!L1152</f>
        <v>0</v>
      </c>
      <c r="S1135">
        <f>Data!M1152</f>
        <v>0</v>
      </c>
      <c r="T1135">
        <f>Data!N1148</f>
        <v>0</v>
      </c>
      <c r="U1135">
        <f>Data!O1152</f>
        <v>0</v>
      </c>
      <c r="V1135" s="33">
        <f>Data!P1150</f>
        <v>0</v>
      </c>
    </row>
    <row r="1136" spans="7:22" x14ac:dyDescent="0.25">
      <c r="G1136">
        <f>Data!A1149</f>
        <v>0</v>
      </c>
      <c r="H1136" s="21">
        <f>Data!B1149</f>
        <v>0</v>
      </c>
      <c r="I1136" s="21">
        <f>Data!C1149</f>
        <v>0</v>
      </c>
      <c r="J1136">
        <f>Data!D1149</f>
        <v>0</v>
      </c>
      <c r="K1136">
        <f>Data!E1149</f>
        <v>0</v>
      </c>
      <c r="L1136">
        <f>Data!F1149</f>
        <v>0</v>
      </c>
      <c r="M1136">
        <f>Data!G1149</f>
        <v>0</v>
      </c>
      <c r="N1136">
        <f>Data!H1149</f>
        <v>0</v>
      </c>
      <c r="O1136">
        <f>Data!I1149</f>
        <v>0</v>
      </c>
      <c r="P1136" s="21">
        <f>Data!J1153</f>
        <v>0</v>
      </c>
      <c r="Q1136">
        <f>Data!K1153</f>
        <v>0</v>
      </c>
      <c r="R1136">
        <f>Data!L1153</f>
        <v>0</v>
      </c>
      <c r="S1136">
        <f>Data!M1153</f>
        <v>0</v>
      </c>
      <c r="T1136">
        <f>Data!N1149</f>
        <v>0</v>
      </c>
      <c r="U1136">
        <f>Data!O1153</f>
        <v>0</v>
      </c>
      <c r="V1136" s="33">
        <f>Data!P1151</f>
        <v>0</v>
      </c>
    </row>
    <row r="1137" spans="7:22" x14ac:dyDescent="0.25">
      <c r="G1137">
        <f>Data!A1150</f>
        <v>0</v>
      </c>
      <c r="H1137" s="21">
        <f>Data!B1150</f>
        <v>0</v>
      </c>
      <c r="I1137" s="21">
        <f>Data!C1150</f>
        <v>0</v>
      </c>
      <c r="J1137">
        <f>Data!D1150</f>
        <v>0</v>
      </c>
      <c r="K1137">
        <f>Data!E1150</f>
        <v>0</v>
      </c>
      <c r="L1137">
        <f>Data!F1150</f>
        <v>0</v>
      </c>
      <c r="M1137">
        <f>Data!G1150</f>
        <v>0</v>
      </c>
      <c r="N1137">
        <f>Data!H1150</f>
        <v>0</v>
      </c>
      <c r="O1137">
        <f>Data!I1150</f>
        <v>0</v>
      </c>
      <c r="P1137" s="21">
        <f>Data!J1154</f>
        <v>0</v>
      </c>
      <c r="Q1137">
        <f>Data!K1154</f>
        <v>0</v>
      </c>
      <c r="R1137">
        <f>Data!L1154</f>
        <v>0</v>
      </c>
      <c r="S1137">
        <f>Data!M1154</f>
        <v>0</v>
      </c>
      <c r="T1137">
        <f>Data!N1150</f>
        <v>0</v>
      </c>
      <c r="U1137">
        <f>Data!O1154</f>
        <v>0</v>
      </c>
      <c r="V1137" s="33">
        <f>Data!P1152</f>
        <v>0</v>
      </c>
    </row>
    <row r="1138" spans="7:22" x14ac:dyDescent="0.25">
      <c r="G1138">
        <f>Data!A1151</f>
        <v>0</v>
      </c>
      <c r="H1138" s="21">
        <f>Data!B1151</f>
        <v>0</v>
      </c>
      <c r="I1138" s="21">
        <f>Data!C1151</f>
        <v>0</v>
      </c>
      <c r="J1138">
        <f>Data!D1151</f>
        <v>0</v>
      </c>
      <c r="K1138">
        <f>Data!E1151</f>
        <v>0</v>
      </c>
      <c r="L1138">
        <f>Data!F1151</f>
        <v>0</v>
      </c>
      <c r="M1138">
        <f>Data!G1151</f>
        <v>0</v>
      </c>
      <c r="N1138">
        <f>Data!H1151</f>
        <v>0</v>
      </c>
      <c r="O1138">
        <f>Data!I1151</f>
        <v>0</v>
      </c>
      <c r="P1138" s="21">
        <f>Data!J1155</f>
        <v>0</v>
      </c>
      <c r="Q1138">
        <f>Data!K1155</f>
        <v>0</v>
      </c>
      <c r="R1138">
        <f>Data!L1155</f>
        <v>0</v>
      </c>
      <c r="S1138">
        <f>Data!M1155</f>
        <v>0</v>
      </c>
      <c r="T1138">
        <f>Data!N1151</f>
        <v>0</v>
      </c>
      <c r="U1138">
        <f>Data!O1155</f>
        <v>0</v>
      </c>
      <c r="V1138" s="33">
        <f>Data!P1153</f>
        <v>0</v>
      </c>
    </row>
    <row r="1139" spans="7:22" x14ac:dyDescent="0.25">
      <c r="G1139">
        <f>Data!A1152</f>
        <v>0</v>
      </c>
      <c r="H1139" s="21">
        <f>Data!B1152</f>
        <v>0</v>
      </c>
      <c r="I1139" s="21">
        <f>Data!C1152</f>
        <v>0</v>
      </c>
      <c r="J1139">
        <f>Data!D1152</f>
        <v>0</v>
      </c>
      <c r="K1139">
        <f>Data!E1152</f>
        <v>0</v>
      </c>
      <c r="L1139">
        <f>Data!F1152</f>
        <v>0</v>
      </c>
      <c r="M1139">
        <f>Data!G1152</f>
        <v>0</v>
      </c>
      <c r="N1139">
        <f>Data!H1152</f>
        <v>0</v>
      </c>
      <c r="O1139">
        <f>Data!I1152</f>
        <v>0</v>
      </c>
      <c r="P1139" s="21">
        <f>Data!J1156</f>
        <v>0</v>
      </c>
      <c r="Q1139">
        <f>Data!K1156</f>
        <v>0</v>
      </c>
      <c r="R1139">
        <f>Data!L1156</f>
        <v>0</v>
      </c>
      <c r="S1139">
        <f>Data!M1156</f>
        <v>0</v>
      </c>
      <c r="T1139">
        <f>Data!N1152</f>
        <v>0</v>
      </c>
      <c r="U1139">
        <f>Data!O1156</f>
        <v>0</v>
      </c>
      <c r="V1139" s="33">
        <f>Data!P1154</f>
        <v>0</v>
      </c>
    </row>
    <row r="1140" spans="7:22" x14ac:dyDescent="0.25">
      <c r="G1140">
        <f>Data!A1153</f>
        <v>0</v>
      </c>
      <c r="H1140" s="21">
        <f>Data!B1153</f>
        <v>0</v>
      </c>
      <c r="I1140" s="21">
        <f>Data!C1153</f>
        <v>0</v>
      </c>
      <c r="J1140">
        <f>Data!D1153</f>
        <v>0</v>
      </c>
      <c r="K1140">
        <f>Data!E1153</f>
        <v>0</v>
      </c>
      <c r="L1140">
        <f>Data!F1153</f>
        <v>0</v>
      </c>
      <c r="M1140">
        <f>Data!G1153</f>
        <v>0</v>
      </c>
      <c r="N1140">
        <f>Data!H1153</f>
        <v>0</v>
      </c>
      <c r="O1140">
        <f>Data!I1153</f>
        <v>0</v>
      </c>
      <c r="P1140" s="21">
        <f>Data!J1157</f>
        <v>0</v>
      </c>
      <c r="Q1140">
        <f>Data!K1157</f>
        <v>0</v>
      </c>
      <c r="R1140">
        <f>Data!L1157</f>
        <v>0</v>
      </c>
      <c r="S1140">
        <f>Data!M1157</f>
        <v>0</v>
      </c>
      <c r="T1140">
        <f>Data!N1153</f>
        <v>0</v>
      </c>
      <c r="U1140">
        <f>Data!O1157</f>
        <v>0</v>
      </c>
      <c r="V1140" s="33">
        <f>Data!P1155</f>
        <v>0</v>
      </c>
    </row>
    <row r="1141" spans="7:22" x14ac:dyDescent="0.25">
      <c r="G1141">
        <f>Data!A1154</f>
        <v>0</v>
      </c>
      <c r="H1141" s="21">
        <f>Data!B1154</f>
        <v>0</v>
      </c>
      <c r="I1141" s="21">
        <f>Data!C1154</f>
        <v>0</v>
      </c>
      <c r="J1141">
        <f>Data!D1154</f>
        <v>0</v>
      </c>
      <c r="K1141">
        <f>Data!E1154</f>
        <v>0</v>
      </c>
      <c r="L1141">
        <f>Data!F1154</f>
        <v>0</v>
      </c>
      <c r="M1141">
        <f>Data!G1154</f>
        <v>0</v>
      </c>
      <c r="N1141">
        <f>Data!H1154</f>
        <v>0</v>
      </c>
      <c r="O1141">
        <f>Data!I1154</f>
        <v>0</v>
      </c>
      <c r="P1141" s="21">
        <f>Data!J1158</f>
        <v>0</v>
      </c>
      <c r="Q1141">
        <f>Data!K1158</f>
        <v>0</v>
      </c>
      <c r="R1141">
        <f>Data!L1158</f>
        <v>0</v>
      </c>
      <c r="S1141">
        <f>Data!M1158</f>
        <v>0</v>
      </c>
      <c r="T1141">
        <f>Data!N1154</f>
        <v>0</v>
      </c>
      <c r="U1141">
        <f>Data!O1158</f>
        <v>0</v>
      </c>
      <c r="V1141" s="33">
        <f>Data!P1156</f>
        <v>0</v>
      </c>
    </row>
    <row r="1142" spans="7:22" x14ac:dyDescent="0.25">
      <c r="G1142">
        <f>Data!A1155</f>
        <v>0</v>
      </c>
      <c r="H1142" s="21">
        <f>Data!B1155</f>
        <v>0</v>
      </c>
      <c r="I1142" s="21">
        <f>Data!C1155</f>
        <v>0</v>
      </c>
      <c r="J1142">
        <f>Data!D1155</f>
        <v>0</v>
      </c>
      <c r="K1142">
        <f>Data!E1155</f>
        <v>0</v>
      </c>
      <c r="L1142">
        <f>Data!F1155</f>
        <v>0</v>
      </c>
      <c r="M1142">
        <f>Data!G1155</f>
        <v>0</v>
      </c>
      <c r="N1142">
        <f>Data!H1155</f>
        <v>0</v>
      </c>
      <c r="O1142">
        <f>Data!I1155</f>
        <v>0</v>
      </c>
      <c r="P1142" s="21">
        <f>Data!J1159</f>
        <v>0</v>
      </c>
      <c r="Q1142">
        <f>Data!K1159</f>
        <v>0</v>
      </c>
      <c r="R1142">
        <f>Data!L1159</f>
        <v>0</v>
      </c>
      <c r="S1142">
        <f>Data!M1159</f>
        <v>0</v>
      </c>
      <c r="T1142">
        <f>Data!N1155</f>
        <v>0</v>
      </c>
      <c r="U1142">
        <f>Data!O1159</f>
        <v>0</v>
      </c>
      <c r="V1142" s="33">
        <f>Data!P1157</f>
        <v>0</v>
      </c>
    </row>
    <row r="1143" spans="7:22" x14ac:dyDescent="0.25">
      <c r="G1143">
        <f>Data!A1156</f>
        <v>0</v>
      </c>
      <c r="H1143" s="21">
        <f>Data!B1156</f>
        <v>0</v>
      </c>
      <c r="I1143" s="21">
        <f>Data!C1156</f>
        <v>0</v>
      </c>
      <c r="J1143">
        <f>Data!D1156</f>
        <v>0</v>
      </c>
      <c r="K1143">
        <f>Data!E1156</f>
        <v>0</v>
      </c>
      <c r="L1143">
        <f>Data!F1156</f>
        <v>0</v>
      </c>
      <c r="M1143">
        <f>Data!G1156</f>
        <v>0</v>
      </c>
      <c r="N1143">
        <f>Data!H1156</f>
        <v>0</v>
      </c>
      <c r="O1143">
        <f>Data!I1156</f>
        <v>0</v>
      </c>
      <c r="P1143" s="21">
        <f>Data!J1160</f>
        <v>0</v>
      </c>
      <c r="Q1143">
        <f>Data!K1160</f>
        <v>0</v>
      </c>
      <c r="R1143">
        <f>Data!L1160</f>
        <v>0</v>
      </c>
      <c r="S1143">
        <f>Data!M1160</f>
        <v>0</v>
      </c>
      <c r="T1143">
        <f>Data!N1156</f>
        <v>0</v>
      </c>
      <c r="U1143">
        <f>Data!O1160</f>
        <v>0</v>
      </c>
      <c r="V1143" s="33">
        <f>Data!P1158</f>
        <v>0</v>
      </c>
    </row>
    <row r="1144" spans="7:22" x14ac:dyDescent="0.25">
      <c r="G1144">
        <f>Data!A1157</f>
        <v>0</v>
      </c>
      <c r="H1144" s="21">
        <f>Data!B1157</f>
        <v>0</v>
      </c>
      <c r="I1144" s="21">
        <f>Data!C1157</f>
        <v>0</v>
      </c>
      <c r="J1144">
        <f>Data!D1157</f>
        <v>0</v>
      </c>
      <c r="K1144">
        <f>Data!E1157</f>
        <v>0</v>
      </c>
      <c r="L1144">
        <f>Data!F1157</f>
        <v>0</v>
      </c>
      <c r="M1144">
        <f>Data!G1157</f>
        <v>0</v>
      </c>
      <c r="N1144">
        <f>Data!H1157</f>
        <v>0</v>
      </c>
      <c r="O1144">
        <f>Data!I1157</f>
        <v>0</v>
      </c>
      <c r="P1144" s="21">
        <f>Data!J1161</f>
        <v>0</v>
      </c>
      <c r="Q1144">
        <f>Data!K1161</f>
        <v>0</v>
      </c>
      <c r="R1144">
        <f>Data!L1161</f>
        <v>0</v>
      </c>
      <c r="S1144">
        <f>Data!M1161</f>
        <v>0</v>
      </c>
      <c r="T1144">
        <f>Data!N1157</f>
        <v>0</v>
      </c>
      <c r="U1144">
        <f>Data!O1161</f>
        <v>0</v>
      </c>
      <c r="V1144" s="33">
        <f>Data!P1159</f>
        <v>0</v>
      </c>
    </row>
    <row r="1145" spans="7:22" x14ac:dyDescent="0.25">
      <c r="G1145">
        <f>Data!A1158</f>
        <v>0</v>
      </c>
      <c r="H1145" s="21">
        <f>Data!B1158</f>
        <v>0</v>
      </c>
      <c r="I1145" s="21">
        <f>Data!C1158</f>
        <v>0</v>
      </c>
      <c r="J1145">
        <f>Data!D1158</f>
        <v>0</v>
      </c>
      <c r="K1145">
        <f>Data!E1158</f>
        <v>0</v>
      </c>
      <c r="L1145">
        <f>Data!F1158</f>
        <v>0</v>
      </c>
      <c r="M1145">
        <f>Data!G1158</f>
        <v>0</v>
      </c>
      <c r="N1145">
        <f>Data!H1158</f>
        <v>0</v>
      </c>
      <c r="O1145">
        <f>Data!I1158</f>
        <v>0</v>
      </c>
      <c r="P1145" s="21">
        <f>Data!J1162</f>
        <v>0</v>
      </c>
      <c r="Q1145">
        <f>Data!K1162</f>
        <v>0</v>
      </c>
      <c r="R1145">
        <f>Data!L1162</f>
        <v>0</v>
      </c>
      <c r="S1145">
        <f>Data!M1162</f>
        <v>0</v>
      </c>
      <c r="T1145">
        <f>Data!N1158</f>
        <v>0</v>
      </c>
      <c r="U1145">
        <f>Data!O1162</f>
        <v>0</v>
      </c>
      <c r="V1145" s="33">
        <f>Data!P1160</f>
        <v>0</v>
      </c>
    </row>
    <row r="1146" spans="7:22" x14ac:dyDescent="0.25">
      <c r="G1146">
        <f>Data!A1159</f>
        <v>0</v>
      </c>
      <c r="H1146" s="21">
        <f>Data!B1159</f>
        <v>0</v>
      </c>
      <c r="I1146" s="21">
        <f>Data!C1159</f>
        <v>0</v>
      </c>
      <c r="J1146">
        <f>Data!D1159</f>
        <v>0</v>
      </c>
      <c r="K1146">
        <f>Data!E1159</f>
        <v>0</v>
      </c>
      <c r="L1146">
        <f>Data!F1159</f>
        <v>0</v>
      </c>
      <c r="M1146">
        <f>Data!G1159</f>
        <v>0</v>
      </c>
      <c r="N1146">
        <f>Data!H1159</f>
        <v>0</v>
      </c>
      <c r="O1146">
        <f>Data!I1159</f>
        <v>0</v>
      </c>
      <c r="P1146" s="21">
        <f>Data!J1163</f>
        <v>0</v>
      </c>
      <c r="Q1146">
        <f>Data!K1163</f>
        <v>0</v>
      </c>
      <c r="R1146">
        <f>Data!L1163</f>
        <v>0</v>
      </c>
      <c r="S1146">
        <f>Data!M1163</f>
        <v>0</v>
      </c>
      <c r="T1146">
        <f>Data!N1159</f>
        <v>0</v>
      </c>
      <c r="U1146">
        <f>Data!O1163</f>
        <v>0</v>
      </c>
      <c r="V1146" s="33">
        <f>Data!P1161</f>
        <v>0</v>
      </c>
    </row>
    <row r="1147" spans="7:22" x14ac:dyDescent="0.25">
      <c r="G1147">
        <f>Data!A1160</f>
        <v>0</v>
      </c>
      <c r="H1147" s="21">
        <f>Data!B1160</f>
        <v>0</v>
      </c>
      <c r="I1147" s="21">
        <f>Data!C1160</f>
        <v>0</v>
      </c>
      <c r="J1147">
        <f>Data!D1160</f>
        <v>0</v>
      </c>
      <c r="K1147">
        <f>Data!E1160</f>
        <v>0</v>
      </c>
      <c r="L1147">
        <f>Data!F1160</f>
        <v>0</v>
      </c>
      <c r="M1147">
        <f>Data!G1160</f>
        <v>0</v>
      </c>
      <c r="N1147">
        <f>Data!H1160</f>
        <v>0</v>
      </c>
      <c r="O1147">
        <f>Data!I1160</f>
        <v>0</v>
      </c>
      <c r="P1147" s="21">
        <f>Data!J1164</f>
        <v>0</v>
      </c>
      <c r="Q1147">
        <f>Data!K1164</f>
        <v>0</v>
      </c>
      <c r="R1147">
        <f>Data!L1164</f>
        <v>0</v>
      </c>
      <c r="S1147">
        <f>Data!M1164</f>
        <v>0</v>
      </c>
      <c r="T1147">
        <f>Data!N1160</f>
        <v>0</v>
      </c>
      <c r="U1147">
        <f>Data!O1164</f>
        <v>0</v>
      </c>
      <c r="V1147" s="33">
        <f>Data!P1162</f>
        <v>0</v>
      </c>
    </row>
    <row r="1148" spans="7:22" x14ac:dyDescent="0.25">
      <c r="G1148">
        <f>Data!A1161</f>
        <v>0</v>
      </c>
      <c r="H1148" s="21">
        <f>Data!B1161</f>
        <v>0</v>
      </c>
      <c r="I1148" s="21">
        <f>Data!C1161</f>
        <v>0</v>
      </c>
      <c r="J1148">
        <f>Data!D1161</f>
        <v>0</v>
      </c>
      <c r="K1148">
        <f>Data!E1161</f>
        <v>0</v>
      </c>
      <c r="L1148">
        <f>Data!F1161</f>
        <v>0</v>
      </c>
      <c r="M1148">
        <f>Data!G1161</f>
        <v>0</v>
      </c>
      <c r="N1148">
        <f>Data!H1161</f>
        <v>0</v>
      </c>
      <c r="O1148">
        <f>Data!I1161</f>
        <v>0</v>
      </c>
      <c r="P1148" s="21">
        <f>Data!J1165</f>
        <v>0</v>
      </c>
      <c r="Q1148">
        <f>Data!K1165</f>
        <v>0</v>
      </c>
      <c r="R1148">
        <f>Data!L1165</f>
        <v>0</v>
      </c>
      <c r="S1148">
        <f>Data!M1165</f>
        <v>0</v>
      </c>
      <c r="T1148">
        <f>Data!N1161</f>
        <v>0</v>
      </c>
      <c r="U1148">
        <f>Data!O1165</f>
        <v>0</v>
      </c>
      <c r="V1148" s="33">
        <f>Data!P1163</f>
        <v>0</v>
      </c>
    </row>
    <row r="1149" spans="7:22" x14ac:dyDescent="0.25">
      <c r="G1149">
        <f>Data!A1162</f>
        <v>0</v>
      </c>
      <c r="H1149" s="21">
        <f>Data!B1162</f>
        <v>0</v>
      </c>
      <c r="I1149" s="21">
        <f>Data!C1162</f>
        <v>0</v>
      </c>
      <c r="J1149">
        <f>Data!D1162</f>
        <v>0</v>
      </c>
      <c r="K1149">
        <f>Data!E1162</f>
        <v>0</v>
      </c>
      <c r="L1149">
        <f>Data!F1162</f>
        <v>0</v>
      </c>
      <c r="M1149">
        <f>Data!G1162</f>
        <v>0</v>
      </c>
      <c r="N1149">
        <f>Data!H1162</f>
        <v>0</v>
      </c>
      <c r="O1149">
        <f>Data!I1162</f>
        <v>0</v>
      </c>
      <c r="P1149" s="21">
        <f>Data!J1166</f>
        <v>0</v>
      </c>
      <c r="Q1149">
        <f>Data!K1166</f>
        <v>0</v>
      </c>
      <c r="R1149">
        <f>Data!L1166</f>
        <v>0</v>
      </c>
      <c r="S1149">
        <f>Data!M1166</f>
        <v>0</v>
      </c>
      <c r="T1149">
        <f>Data!N1162</f>
        <v>0</v>
      </c>
      <c r="U1149">
        <f>Data!O1166</f>
        <v>0</v>
      </c>
      <c r="V1149" s="33">
        <f>Data!P1164</f>
        <v>0</v>
      </c>
    </row>
    <row r="1150" spans="7:22" x14ac:dyDescent="0.25">
      <c r="G1150">
        <f>Data!A1163</f>
        <v>0</v>
      </c>
      <c r="H1150" s="21">
        <f>Data!B1163</f>
        <v>0</v>
      </c>
      <c r="I1150" s="21">
        <f>Data!C1163</f>
        <v>0</v>
      </c>
      <c r="J1150">
        <f>Data!D1163</f>
        <v>0</v>
      </c>
      <c r="K1150">
        <f>Data!E1163</f>
        <v>0</v>
      </c>
      <c r="L1150">
        <f>Data!F1163</f>
        <v>0</v>
      </c>
      <c r="M1150">
        <f>Data!G1163</f>
        <v>0</v>
      </c>
      <c r="N1150">
        <f>Data!H1163</f>
        <v>0</v>
      </c>
      <c r="O1150">
        <f>Data!I1163</f>
        <v>0</v>
      </c>
      <c r="P1150" s="21">
        <f>Data!J1167</f>
        <v>0</v>
      </c>
      <c r="Q1150">
        <f>Data!K1167</f>
        <v>0</v>
      </c>
      <c r="R1150">
        <f>Data!L1167</f>
        <v>0</v>
      </c>
      <c r="S1150">
        <f>Data!M1167</f>
        <v>0</v>
      </c>
      <c r="T1150">
        <f>Data!N1163</f>
        <v>0</v>
      </c>
      <c r="U1150">
        <f>Data!O1167</f>
        <v>0</v>
      </c>
      <c r="V1150" s="33">
        <f>Data!P1165</f>
        <v>0</v>
      </c>
    </row>
    <row r="1151" spans="7:22" x14ac:dyDescent="0.25">
      <c r="G1151">
        <f>Data!A1164</f>
        <v>0</v>
      </c>
      <c r="H1151" s="21">
        <f>Data!B1164</f>
        <v>0</v>
      </c>
      <c r="I1151" s="21">
        <f>Data!C1164</f>
        <v>0</v>
      </c>
      <c r="J1151">
        <f>Data!D1164</f>
        <v>0</v>
      </c>
      <c r="K1151">
        <f>Data!E1164</f>
        <v>0</v>
      </c>
      <c r="L1151">
        <f>Data!F1164</f>
        <v>0</v>
      </c>
      <c r="M1151">
        <f>Data!G1164</f>
        <v>0</v>
      </c>
      <c r="N1151">
        <f>Data!H1164</f>
        <v>0</v>
      </c>
      <c r="O1151">
        <f>Data!I1164</f>
        <v>0</v>
      </c>
      <c r="P1151" s="21">
        <f>Data!J1168</f>
        <v>0</v>
      </c>
      <c r="Q1151">
        <f>Data!K1168</f>
        <v>0</v>
      </c>
      <c r="R1151">
        <f>Data!L1168</f>
        <v>0</v>
      </c>
      <c r="S1151">
        <f>Data!M1168</f>
        <v>0</v>
      </c>
      <c r="T1151">
        <f>Data!N1164</f>
        <v>0</v>
      </c>
      <c r="U1151">
        <f>Data!O1168</f>
        <v>0</v>
      </c>
      <c r="V1151" s="33">
        <f>Data!P1166</f>
        <v>0</v>
      </c>
    </row>
    <row r="1152" spans="7:22" x14ac:dyDescent="0.25">
      <c r="G1152">
        <f>Data!A1165</f>
        <v>0</v>
      </c>
      <c r="H1152" s="21">
        <f>Data!B1165</f>
        <v>0</v>
      </c>
      <c r="I1152" s="21">
        <f>Data!C1165</f>
        <v>0</v>
      </c>
      <c r="J1152">
        <f>Data!D1165</f>
        <v>0</v>
      </c>
      <c r="K1152">
        <f>Data!E1165</f>
        <v>0</v>
      </c>
      <c r="L1152">
        <f>Data!F1165</f>
        <v>0</v>
      </c>
      <c r="M1152">
        <f>Data!G1165</f>
        <v>0</v>
      </c>
      <c r="N1152">
        <f>Data!H1165</f>
        <v>0</v>
      </c>
      <c r="O1152">
        <f>Data!I1165</f>
        <v>0</v>
      </c>
      <c r="P1152" s="21">
        <f>Data!J1169</f>
        <v>0</v>
      </c>
      <c r="Q1152">
        <f>Data!K1169</f>
        <v>0</v>
      </c>
      <c r="R1152">
        <f>Data!L1169</f>
        <v>0</v>
      </c>
      <c r="S1152">
        <f>Data!M1169</f>
        <v>0</v>
      </c>
      <c r="T1152">
        <f>Data!N1165</f>
        <v>0</v>
      </c>
      <c r="U1152">
        <f>Data!O1169</f>
        <v>0</v>
      </c>
      <c r="V1152" s="33">
        <f>Data!P1167</f>
        <v>0</v>
      </c>
    </row>
    <row r="1153" spans="7:22" x14ac:dyDescent="0.25">
      <c r="G1153">
        <f>Data!A1166</f>
        <v>0</v>
      </c>
      <c r="H1153" s="21">
        <f>Data!B1166</f>
        <v>0</v>
      </c>
      <c r="I1153" s="21">
        <f>Data!C1166</f>
        <v>0</v>
      </c>
      <c r="J1153">
        <f>Data!D1166</f>
        <v>0</v>
      </c>
      <c r="K1153">
        <f>Data!E1166</f>
        <v>0</v>
      </c>
      <c r="L1153">
        <f>Data!F1166</f>
        <v>0</v>
      </c>
      <c r="M1153">
        <f>Data!G1166</f>
        <v>0</v>
      </c>
      <c r="N1153">
        <f>Data!H1166</f>
        <v>0</v>
      </c>
      <c r="O1153">
        <f>Data!I1166</f>
        <v>0</v>
      </c>
      <c r="P1153" s="21">
        <f>Data!J1170</f>
        <v>0</v>
      </c>
      <c r="Q1153">
        <f>Data!K1170</f>
        <v>0</v>
      </c>
      <c r="R1153">
        <f>Data!L1170</f>
        <v>0</v>
      </c>
      <c r="S1153">
        <f>Data!M1170</f>
        <v>0</v>
      </c>
      <c r="T1153">
        <f>Data!N1166</f>
        <v>0</v>
      </c>
      <c r="U1153">
        <f>Data!O1170</f>
        <v>0</v>
      </c>
      <c r="V1153" s="33">
        <f>Data!P1168</f>
        <v>0</v>
      </c>
    </row>
    <row r="1154" spans="7:22" x14ac:dyDescent="0.25">
      <c r="G1154">
        <f>Data!A1167</f>
        <v>0</v>
      </c>
      <c r="H1154" s="21">
        <f>Data!B1167</f>
        <v>0</v>
      </c>
      <c r="I1154" s="21">
        <f>Data!C1167</f>
        <v>0</v>
      </c>
      <c r="J1154">
        <f>Data!D1167</f>
        <v>0</v>
      </c>
      <c r="K1154">
        <f>Data!E1167</f>
        <v>0</v>
      </c>
      <c r="L1154">
        <f>Data!F1167</f>
        <v>0</v>
      </c>
      <c r="M1154">
        <f>Data!G1167</f>
        <v>0</v>
      </c>
      <c r="N1154">
        <f>Data!H1167</f>
        <v>0</v>
      </c>
      <c r="O1154">
        <f>Data!I1167</f>
        <v>0</v>
      </c>
      <c r="P1154" s="21">
        <f>Data!J1171</f>
        <v>0</v>
      </c>
      <c r="Q1154">
        <f>Data!K1171</f>
        <v>0</v>
      </c>
      <c r="R1154">
        <f>Data!L1171</f>
        <v>0</v>
      </c>
      <c r="S1154">
        <f>Data!M1171</f>
        <v>0</v>
      </c>
      <c r="T1154">
        <f>Data!N1167</f>
        <v>0</v>
      </c>
      <c r="U1154">
        <f>Data!O1171</f>
        <v>0</v>
      </c>
      <c r="V1154" s="33">
        <f>Data!P1169</f>
        <v>0</v>
      </c>
    </row>
    <row r="1155" spans="7:22" x14ac:dyDescent="0.25">
      <c r="G1155">
        <f>Data!A1168</f>
        <v>0</v>
      </c>
      <c r="H1155" s="21">
        <f>Data!B1168</f>
        <v>0</v>
      </c>
      <c r="I1155" s="21">
        <f>Data!C1168</f>
        <v>0</v>
      </c>
      <c r="J1155">
        <f>Data!D1168</f>
        <v>0</v>
      </c>
      <c r="K1155">
        <f>Data!E1168</f>
        <v>0</v>
      </c>
      <c r="L1155">
        <f>Data!F1168</f>
        <v>0</v>
      </c>
      <c r="M1155">
        <f>Data!G1168</f>
        <v>0</v>
      </c>
      <c r="N1155">
        <f>Data!H1168</f>
        <v>0</v>
      </c>
      <c r="O1155">
        <f>Data!I1168</f>
        <v>0</v>
      </c>
      <c r="P1155" s="21">
        <f>Data!J1172</f>
        <v>0</v>
      </c>
      <c r="Q1155">
        <f>Data!K1172</f>
        <v>0</v>
      </c>
      <c r="R1155">
        <f>Data!L1172</f>
        <v>0</v>
      </c>
      <c r="S1155">
        <f>Data!M1172</f>
        <v>0</v>
      </c>
      <c r="T1155">
        <f>Data!N1168</f>
        <v>0</v>
      </c>
      <c r="U1155">
        <f>Data!O1172</f>
        <v>0</v>
      </c>
      <c r="V1155" s="33">
        <f>Data!P1170</f>
        <v>0</v>
      </c>
    </row>
    <row r="1156" spans="7:22" x14ac:dyDescent="0.25">
      <c r="G1156">
        <f>Data!A1169</f>
        <v>0</v>
      </c>
      <c r="H1156" s="21">
        <f>Data!B1169</f>
        <v>0</v>
      </c>
      <c r="I1156" s="21">
        <f>Data!C1169</f>
        <v>0</v>
      </c>
      <c r="J1156">
        <f>Data!D1169</f>
        <v>0</v>
      </c>
      <c r="K1156">
        <f>Data!E1169</f>
        <v>0</v>
      </c>
      <c r="L1156">
        <f>Data!F1169</f>
        <v>0</v>
      </c>
      <c r="M1156">
        <f>Data!G1169</f>
        <v>0</v>
      </c>
      <c r="N1156">
        <f>Data!H1169</f>
        <v>0</v>
      </c>
      <c r="O1156">
        <f>Data!I1169</f>
        <v>0</v>
      </c>
      <c r="P1156" s="21">
        <f>Data!J1173</f>
        <v>0</v>
      </c>
      <c r="Q1156">
        <f>Data!K1173</f>
        <v>0</v>
      </c>
      <c r="R1156">
        <f>Data!L1173</f>
        <v>0</v>
      </c>
      <c r="S1156">
        <f>Data!M1173</f>
        <v>0</v>
      </c>
      <c r="T1156">
        <f>Data!N1169</f>
        <v>0</v>
      </c>
      <c r="U1156">
        <f>Data!O1173</f>
        <v>0</v>
      </c>
      <c r="V1156" s="33">
        <f>Data!P1171</f>
        <v>0</v>
      </c>
    </row>
    <row r="1157" spans="7:22" x14ac:dyDescent="0.25">
      <c r="G1157">
        <f>Data!A1170</f>
        <v>0</v>
      </c>
      <c r="H1157" s="21">
        <f>Data!B1170</f>
        <v>0</v>
      </c>
      <c r="I1157" s="21">
        <f>Data!C1170</f>
        <v>0</v>
      </c>
      <c r="J1157">
        <f>Data!D1170</f>
        <v>0</v>
      </c>
      <c r="K1157">
        <f>Data!E1170</f>
        <v>0</v>
      </c>
      <c r="L1157">
        <f>Data!F1170</f>
        <v>0</v>
      </c>
      <c r="M1157">
        <f>Data!G1170</f>
        <v>0</v>
      </c>
      <c r="N1157">
        <f>Data!H1170</f>
        <v>0</v>
      </c>
      <c r="O1157">
        <f>Data!I1170</f>
        <v>0</v>
      </c>
      <c r="P1157" s="21">
        <f>Data!J1174</f>
        <v>0</v>
      </c>
      <c r="Q1157">
        <f>Data!K1174</f>
        <v>0</v>
      </c>
      <c r="R1157">
        <f>Data!L1174</f>
        <v>0</v>
      </c>
      <c r="S1157">
        <f>Data!M1174</f>
        <v>0</v>
      </c>
      <c r="T1157">
        <f>Data!N1170</f>
        <v>0</v>
      </c>
      <c r="U1157">
        <f>Data!O1174</f>
        <v>0</v>
      </c>
      <c r="V1157" s="33">
        <f>Data!P1172</f>
        <v>0</v>
      </c>
    </row>
    <row r="1158" spans="7:22" x14ac:dyDescent="0.25">
      <c r="G1158">
        <f>Data!A1171</f>
        <v>0</v>
      </c>
      <c r="H1158" s="21">
        <f>Data!B1171</f>
        <v>0</v>
      </c>
      <c r="I1158" s="21">
        <f>Data!C1171</f>
        <v>0</v>
      </c>
      <c r="J1158">
        <f>Data!D1171</f>
        <v>0</v>
      </c>
      <c r="K1158">
        <f>Data!E1171</f>
        <v>0</v>
      </c>
      <c r="L1158">
        <f>Data!F1171</f>
        <v>0</v>
      </c>
      <c r="M1158">
        <f>Data!G1171</f>
        <v>0</v>
      </c>
      <c r="N1158">
        <f>Data!H1171</f>
        <v>0</v>
      </c>
      <c r="O1158">
        <f>Data!I1171</f>
        <v>0</v>
      </c>
      <c r="P1158" s="21">
        <f>Data!J1175</f>
        <v>0</v>
      </c>
      <c r="Q1158">
        <f>Data!K1175</f>
        <v>0</v>
      </c>
      <c r="R1158">
        <f>Data!L1175</f>
        <v>0</v>
      </c>
      <c r="S1158">
        <f>Data!M1175</f>
        <v>0</v>
      </c>
      <c r="T1158">
        <f>Data!N1171</f>
        <v>0</v>
      </c>
      <c r="U1158">
        <f>Data!O1175</f>
        <v>0</v>
      </c>
      <c r="V1158" s="33">
        <f>Data!P1173</f>
        <v>0</v>
      </c>
    </row>
    <row r="1159" spans="7:22" x14ac:dyDescent="0.25">
      <c r="G1159">
        <f>Data!A1172</f>
        <v>0</v>
      </c>
      <c r="H1159" s="21">
        <f>Data!B1172</f>
        <v>0</v>
      </c>
      <c r="I1159" s="21">
        <f>Data!C1172</f>
        <v>0</v>
      </c>
      <c r="J1159">
        <f>Data!D1172</f>
        <v>0</v>
      </c>
      <c r="K1159">
        <f>Data!E1172</f>
        <v>0</v>
      </c>
      <c r="L1159">
        <f>Data!F1172</f>
        <v>0</v>
      </c>
      <c r="M1159">
        <f>Data!G1172</f>
        <v>0</v>
      </c>
      <c r="N1159">
        <f>Data!H1172</f>
        <v>0</v>
      </c>
      <c r="O1159">
        <f>Data!I1172</f>
        <v>0</v>
      </c>
      <c r="P1159" s="21">
        <f>Data!J1176</f>
        <v>0</v>
      </c>
      <c r="Q1159">
        <f>Data!K1176</f>
        <v>0</v>
      </c>
      <c r="R1159">
        <f>Data!L1176</f>
        <v>0</v>
      </c>
      <c r="S1159">
        <f>Data!M1176</f>
        <v>0</v>
      </c>
      <c r="T1159">
        <f>Data!N1172</f>
        <v>0</v>
      </c>
      <c r="U1159">
        <f>Data!O1176</f>
        <v>0</v>
      </c>
      <c r="V1159" s="33">
        <f>Data!P1174</f>
        <v>0</v>
      </c>
    </row>
    <row r="1160" spans="7:22" x14ac:dyDescent="0.25">
      <c r="G1160">
        <f>Data!A1173</f>
        <v>0</v>
      </c>
      <c r="H1160" s="21">
        <f>Data!B1173</f>
        <v>0</v>
      </c>
      <c r="I1160" s="21">
        <f>Data!C1173</f>
        <v>0</v>
      </c>
      <c r="J1160">
        <f>Data!D1173</f>
        <v>0</v>
      </c>
      <c r="K1160">
        <f>Data!E1173</f>
        <v>0</v>
      </c>
      <c r="L1160">
        <f>Data!F1173</f>
        <v>0</v>
      </c>
      <c r="M1160">
        <f>Data!G1173</f>
        <v>0</v>
      </c>
      <c r="N1160">
        <f>Data!H1173</f>
        <v>0</v>
      </c>
      <c r="O1160">
        <f>Data!I1173</f>
        <v>0</v>
      </c>
      <c r="P1160" s="21">
        <f>Data!J1177</f>
        <v>0</v>
      </c>
      <c r="Q1160">
        <f>Data!K1177</f>
        <v>0</v>
      </c>
      <c r="R1160">
        <f>Data!L1177</f>
        <v>0</v>
      </c>
      <c r="S1160">
        <f>Data!M1177</f>
        <v>0</v>
      </c>
      <c r="T1160">
        <f>Data!N1173</f>
        <v>0</v>
      </c>
      <c r="U1160">
        <f>Data!O1177</f>
        <v>0</v>
      </c>
      <c r="V1160" s="33">
        <f>Data!P1175</f>
        <v>0</v>
      </c>
    </row>
    <row r="1161" spans="7:22" x14ac:dyDescent="0.25">
      <c r="G1161">
        <f>Data!A1174</f>
        <v>0</v>
      </c>
      <c r="H1161" s="21">
        <f>Data!B1174</f>
        <v>0</v>
      </c>
      <c r="I1161" s="21">
        <f>Data!C1174</f>
        <v>0</v>
      </c>
      <c r="J1161">
        <f>Data!D1174</f>
        <v>0</v>
      </c>
      <c r="K1161">
        <f>Data!E1174</f>
        <v>0</v>
      </c>
      <c r="L1161">
        <f>Data!F1174</f>
        <v>0</v>
      </c>
      <c r="M1161">
        <f>Data!G1174</f>
        <v>0</v>
      </c>
      <c r="N1161">
        <f>Data!H1174</f>
        <v>0</v>
      </c>
      <c r="O1161">
        <f>Data!I1174</f>
        <v>0</v>
      </c>
      <c r="P1161" s="21">
        <f>Data!J1178</f>
        <v>0</v>
      </c>
      <c r="Q1161">
        <f>Data!K1178</f>
        <v>0</v>
      </c>
      <c r="R1161">
        <f>Data!L1178</f>
        <v>0</v>
      </c>
      <c r="S1161">
        <f>Data!M1178</f>
        <v>0</v>
      </c>
      <c r="T1161">
        <f>Data!N1174</f>
        <v>0</v>
      </c>
      <c r="U1161">
        <f>Data!O1178</f>
        <v>0</v>
      </c>
      <c r="V1161" s="33">
        <f>Data!P1176</f>
        <v>0</v>
      </c>
    </row>
    <row r="1162" spans="7:22" x14ac:dyDescent="0.25">
      <c r="G1162">
        <f>Data!A1175</f>
        <v>0</v>
      </c>
      <c r="H1162" s="21">
        <f>Data!B1175</f>
        <v>0</v>
      </c>
      <c r="I1162" s="21">
        <f>Data!C1175</f>
        <v>0</v>
      </c>
      <c r="J1162">
        <f>Data!D1175</f>
        <v>0</v>
      </c>
      <c r="K1162">
        <f>Data!E1175</f>
        <v>0</v>
      </c>
      <c r="L1162">
        <f>Data!F1175</f>
        <v>0</v>
      </c>
      <c r="M1162">
        <f>Data!G1175</f>
        <v>0</v>
      </c>
      <c r="N1162">
        <f>Data!H1175</f>
        <v>0</v>
      </c>
      <c r="O1162">
        <f>Data!I1175</f>
        <v>0</v>
      </c>
      <c r="P1162" s="21">
        <f>Data!J1179</f>
        <v>0</v>
      </c>
      <c r="Q1162">
        <f>Data!K1179</f>
        <v>0</v>
      </c>
      <c r="R1162">
        <f>Data!L1179</f>
        <v>0</v>
      </c>
      <c r="S1162">
        <f>Data!M1179</f>
        <v>0</v>
      </c>
      <c r="T1162">
        <f>Data!N1175</f>
        <v>0</v>
      </c>
      <c r="U1162">
        <f>Data!O1179</f>
        <v>0</v>
      </c>
      <c r="V1162" s="33">
        <f>Data!P1177</f>
        <v>0</v>
      </c>
    </row>
    <row r="1163" spans="7:22" x14ac:dyDescent="0.25">
      <c r="G1163">
        <f>Data!A1176</f>
        <v>0</v>
      </c>
      <c r="H1163" s="21">
        <f>Data!B1176</f>
        <v>0</v>
      </c>
      <c r="I1163" s="21">
        <f>Data!C1176</f>
        <v>0</v>
      </c>
      <c r="J1163">
        <f>Data!D1176</f>
        <v>0</v>
      </c>
      <c r="K1163">
        <f>Data!E1176</f>
        <v>0</v>
      </c>
      <c r="L1163">
        <f>Data!F1176</f>
        <v>0</v>
      </c>
      <c r="M1163">
        <f>Data!G1176</f>
        <v>0</v>
      </c>
      <c r="N1163">
        <f>Data!H1176</f>
        <v>0</v>
      </c>
      <c r="O1163">
        <f>Data!I1176</f>
        <v>0</v>
      </c>
      <c r="P1163" s="21">
        <f>Data!J1180</f>
        <v>0</v>
      </c>
      <c r="Q1163">
        <f>Data!K1180</f>
        <v>0</v>
      </c>
      <c r="R1163">
        <f>Data!L1180</f>
        <v>0</v>
      </c>
      <c r="S1163">
        <f>Data!M1180</f>
        <v>0</v>
      </c>
      <c r="T1163">
        <f>Data!N1176</f>
        <v>0</v>
      </c>
      <c r="U1163">
        <f>Data!O1180</f>
        <v>0</v>
      </c>
      <c r="V1163" s="33">
        <f>Data!P1178</f>
        <v>0</v>
      </c>
    </row>
    <row r="1164" spans="7:22" x14ac:dyDescent="0.25">
      <c r="G1164">
        <f>Data!A1177</f>
        <v>0</v>
      </c>
      <c r="H1164" s="21">
        <f>Data!B1177</f>
        <v>0</v>
      </c>
      <c r="I1164" s="21">
        <f>Data!C1177</f>
        <v>0</v>
      </c>
      <c r="J1164">
        <f>Data!D1177</f>
        <v>0</v>
      </c>
      <c r="K1164">
        <f>Data!E1177</f>
        <v>0</v>
      </c>
      <c r="L1164">
        <f>Data!F1177</f>
        <v>0</v>
      </c>
      <c r="M1164">
        <f>Data!G1177</f>
        <v>0</v>
      </c>
      <c r="N1164">
        <f>Data!H1177</f>
        <v>0</v>
      </c>
      <c r="O1164">
        <f>Data!I1177</f>
        <v>0</v>
      </c>
      <c r="P1164" s="21">
        <f>Data!J1181</f>
        <v>0</v>
      </c>
      <c r="Q1164">
        <f>Data!K1181</f>
        <v>0</v>
      </c>
      <c r="R1164">
        <f>Data!L1181</f>
        <v>0</v>
      </c>
      <c r="S1164">
        <f>Data!M1181</f>
        <v>0</v>
      </c>
      <c r="T1164">
        <f>Data!N1177</f>
        <v>0</v>
      </c>
      <c r="U1164">
        <f>Data!O1181</f>
        <v>0</v>
      </c>
      <c r="V1164" s="33">
        <f>Data!P1179</f>
        <v>0</v>
      </c>
    </row>
    <row r="1165" spans="7:22" x14ac:dyDescent="0.25">
      <c r="G1165">
        <f>Data!A1178</f>
        <v>0</v>
      </c>
      <c r="H1165" s="21">
        <f>Data!B1178</f>
        <v>0</v>
      </c>
      <c r="I1165" s="21">
        <f>Data!C1178</f>
        <v>0</v>
      </c>
      <c r="J1165">
        <f>Data!D1178</f>
        <v>0</v>
      </c>
      <c r="K1165">
        <f>Data!E1178</f>
        <v>0</v>
      </c>
      <c r="L1165">
        <f>Data!F1178</f>
        <v>0</v>
      </c>
      <c r="M1165">
        <f>Data!G1178</f>
        <v>0</v>
      </c>
      <c r="N1165">
        <f>Data!H1178</f>
        <v>0</v>
      </c>
      <c r="O1165">
        <f>Data!I1178</f>
        <v>0</v>
      </c>
      <c r="P1165" s="21">
        <f>Data!J1182</f>
        <v>0</v>
      </c>
      <c r="Q1165">
        <f>Data!K1182</f>
        <v>0</v>
      </c>
      <c r="R1165">
        <f>Data!L1182</f>
        <v>0</v>
      </c>
      <c r="S1165">
        <f>Data!M1182</f>
        <v>0</v>
      </c>
      <c r="T1165">
        <f>Data!N1178</f>
        <v>0</v>
      </c>
      <c r="U1165">
        <f>Data!O1182</f>
        <v>0</v>
      </c>
      <c r="V1165" s="33">
        <f>Data!P1180</f>
        <v>0</v>
      </c>
    </row>
    <row r="1166" spans="7:22" x14ac:dyDescent="0.25">
      <c r="G1166">
        <f>Data!A1179</f>
        <v>0</v>
      </c>
      <c r="H1166" s="21">
        <f>Data!B1179</f>
        <v>0</v>
      </c>
      <c r="I1166" s="21">
        <f>Data!C1179</f>
        <v>0</v>
      </c>
      <c r="J1166">
        <f>Data!D1179</f>
        <v>0</v>
      </c>
      <c r="K1166">
        <f>Data!E1179</f>
        <v>0</v>
      </c>
      <c r="L1166">
        <f>Data!F1179</f>
        <v>0</v>
      </c>
      <c r="M1166">
        <f>Data!G1179</f>
        <v>0</v>
      </c>
      <c r="N1166">
        <f>Data!H1179</f>
        <v>0</v>
      </c>
      <c r="O1166">
        <f>Data!I1179</f>
        <v>0</v>
      </c>
      <c r="P1166" s="21">
        <f>Data!J1183</f>
        <v>0</v>
      </c>
      <c r="Q1166">
        <f>Data!K1183</f>
        <v>0</v>
      </c>
      <c r="R1166">
        <f>Data!L1183</f>
        <v>0</v>
      </c>
      <c r="S1166">
        <f>Data!M1183</f>
        <v>0</v>
      </c>
      <c r="T1166">
        <f>Data!N1179</f>
        <v>0</v>
      </c>
      <c r="U1166">
        <f>Data!O1183</f>
        <v>0</v>
      </c>
      <c r="V1166" s="33">
        <f>Data!P1181</f>
        <v>0</v>
      </c>
    </row>
    <row r="1167" spans="7:22" x14ac:dyDescent="0.25">
      <c r="G1167">
        <f>Data!A1180</f>
        <v>0</v>
      </c>
      <c r="H1167" s="21">
        <f>Data!B1180</f>
        <v>0</v>
      </c>
      <c r="I1167" s="21">
        <f>Data!C1180</f>
        <v>0</v>
      </c>
      <c r="J1167">
        <f>Data!D1180</f>
        <v>0</v>
      </c>
      <c r="K1167">
        <f>Data!E1180</f>
        <v>0</v>
      </c>
      <c r="L1167">
        <f>Data!F1180</f>
        <v>0</v>
      </c>
      <c r="M1167">
        <f>Data!G1180</f>
        <v>0</v>
      </c>
      <c r="N1167">
        <f>Data!H1180</f>
        <v>0</v>
      </c>
      <c r="O1167">
        <f>Data!I1180</f>
        <v>0</v>
      </c>
      <c r="P1167" s="21">
        <f>Data!J1184</f>
        <v>0</v>
      </c>
      <c r="Q1167">
        <f>Data!K1184</f>
        <v>0</v>
      </c>
      <c r="R1167">
        <f>Data!L1184</f>
        <v>0</v>
      </c>
      <c r="S1167">
        <f>Data!M1184</f>
        <v>0</v>
      </c>
      <c r="T1167">
        <f>Data!N1180</f>
        <v>0</v>
      </c>
      <c r="U1167">
        <f>Data!O1184</f>
        <v>0</v>
      </c>
      <c r="V1167" s="33">
        <f>Data!P1182</f>
        <v>0</v>
      </c>
    </row>
    <row r="1168" spans="7:22" x14ac:dyDescent="0.25">
      <c r="G1168">
        <f>Data!A1181</f>
        <v>0</v>
      </c>
      <c r="H1168" s="21">
        <f>Data!B1181</f>
        <v>0</v>
      </c>
      <c r="I1168" s="21">
        <f>Data!C1181</f>
        <v>0</v>
      </c>
      <c r="J1168">
        <f>Data!D1181</f>
        <v>0</v>
      </c>
      <c r="K1168">
        <f>Data!E1181</f>
        <v>0</v>
      </c>
      <c r="L1168">
        <f>Data!F1181</f>
        <v>0</v>
      </c>
      <c r="M1168">
        <f>Data!G1181</f>
        <v>0</v>
      </c>
      <c r="N1168">
        <f>Data!H1181</f>
        <v>0</v>
      </c>
      <c r="O1168">
        <f>Data!I1181</f>
        <v>0</v>
      </c>
      <c r="P1168" s="21">
        <f>Data!J1185</f>
        <v>0</v>
      </c>
      <c r="Q1168">
        <f>Data!K1185</f>
        <v>0</v>
      </c>
      <c r="R1168">
        <f>Data!L1185</f>
        <v>0</v>
      </c>
      <c r="S1168">
        <f>Data!M1185</f>
        <v>0</v>
      </c>
      <c r="T1168">
        <f>Data!N1181</f>
        <v>0</v>
      </c>
      <c r="U1168">
        <f>Data!O1185</f>
        <v>0</v>
      </c>
      <c r="V1168" s="33">
        <f>Data!P1183</f>
        <v>0</v>
      </c>
    </row>
    <row r="1169" spans="7:22" x14ac:dyDescent="0.25">
      <c r="G1169">
        <f>Data!A1182</f>
        <v>0</v>
      </c>
      <c r="H1169" s="21">
        <f>Data!B1182</f>
        <v>0</v>
      </c>
      <c r="I1169" s="21">
        <f>Data!C1182</f>
        <v>0</v>
      </c>
      <c r="J1169">
        <f>Data!D1182</f>
        <v>0</v>
      </c>
      <c r="K1169">
        <f>Data!E1182</f>
        <v>0</v>
      </c>
      <c r="L1169">
        <f>Data!F1182</f>
        <v>0</v>
      </c>
      <c r="M1169">
        <f>Data!G1182</f>
        <v>0</v>
      </c>
      <c r="N1169">
        <f>Data!H1182</f>
        <v>0</v>
      </c>
      <c r="O1169">
        <f>Data!I1182</f>
        <v>0</v>
      </c>
      <c r="P1169" s="21">
        <f>Data!J1186</f>
        <v>0</v>
      </c>
      <c r="Q1169">
        <f>Data!K1186</f>
        <v>0</v>
      </c>
      <c r="R1169">
        <f>Data!L1186</f>
        <v>0</v>
      </c>
      <c r="S1169">
        <f>Data!M1186</f>
        <v>0</v>
      </c>
      <c r="T1169">
        <f>Data!N1182</f>
        <v>0</v>
      </c>
      <c r="U1169">
        <f>Data!O1186</f>
        <v>0</v>
      </c>
      <c r="V1169" s="33">
        <f>Data!P1184</f>
        <v>0</v>
      </c>
    </row>
    <row r="1170" spans="7:22" x14ac:dyDescent="0.25">
      <c r="G1170">
        <f>Data!A1183</f>
        <v>0</v>
      </c>
      <c r="H1170" s="21">
        <f>Data!B1183</f>
        <v>0</v>
      </c>
      <c r="I1170" s="21">
        <f>Data!C1183</f>
        <v>0</v>
      </c>
      <c r="J1170">
        <f>Data!D1183</f>
        <v>0</v>
      </c>
      <c r="K1170">
        <f>Data!E1183</f>
        <v>0</v>
      </c>
      <c r="L1170">
        <f>Data!F1183</f>
        <v>0</v>
      </c>
      <c r="M1170">
        <f>Data!G1183</f>
        <v>0</v>
      </c>
      <c r="N1170">
        <f>Data!H1183</f>
        <v>0</v>
      </c>
      <c r="O1170">
        <f>Data!I1183</f>
        <v>0</v>
      </c>
      <c r="P1170" s="21">
        <f>Data!J1187</f>
        <v>0</v>
      </c>
      <c r="Q1170">
        <f>Data!K1187</f>
        <v>0</v>
      </c>
      <c r="R1170">
        <f>Data!L1187</f>
        <v>0</v>
      </c>
      <c r="S1170">
        <f>Data!M1187</f>
        <v>0</v>
      </c>
      <c r="T1170">
        <f>Data!N1183</f>
        <v>0</v>
      </c>
      <c r="U1170">
        <f>Data!O1187</f>
        <v>0</v>
      </c>
      <c r="V1170" s="33">
        <f>Data!P1185</f>
        <v>0</v>
      </c>
    </row>
    <row r="1171" spans="7:22" x14ac:dyDescent="0.25">
      <c r="G1171">
        <f>Data!A1184</f>
        <v>0</v>
      </c>
      <c r="H1171" s="21">
        <f>Data!B1184</f>
        <v>0</v>
      </c>
      <c r="I1171" s="21">
        <f>Data!C1184</f>
        <v>0</v>
      </c>
      <c r="J1171">
        <f>Data!D1184</f>
        <v>0</v>
      </c>
      <c r="K1171">
        <f>Data!E1184</f>
        <v>0</v>
      </c>
      <c r="L1171">
        <f>Data!F1184</f>
        <v>0</v>
      </c>
      <c r="M1171">
        <f>Data!G1184</f>
        <v>0</v>
      </c>
      <c r="N1171">
        <f>Data!H1184</f>
        <v>0</v>
      </c>
      <c r="O1171">
        <f>Data!I1184</f>
        <v>0</v>
      </c>
      <c r="P1171" s="21">
        <f>Data!J1188</f>
        <v>0</v>
      </c>
      <c r="Q1171">
        <f>Data!K1188</f>
        <v>0</v>
      </c>
      <c r="R1171">
        <f>Data!L1188</f>
        <v>0</v>
      </c>
      <c r="S1171">
        <f>Data!M1188</f>
        <v>0</v>
      </c>
      <c r="T1171">
        <f>Data!N1184</f>
        <v>0</v>
      </c>
      <c r="U1171">
        <f>Data!O1188</f>
        <v>0</v>
      </c>
      <c r="V1171" s="33">
        <f>Data!P1186</f>
        <v>0</v>
      </c>
    </row>
    <row r="1172" spans="7:22" x14ac:dyDescent="0.25">
      <c r="G1172">
        <f>Data!A1185</f>
        <v>0</v>
      </c>
      <c r="H1172" s="21">
        <f>Data!B1185</f>
        <v>0</v>
      </c>
      <c r="I1172" s="21">
        <f>Data!C1185</f>
        <v>0</v>
      </c>
      <c r="J1172">
        <f>Data!D1185</f>
        <v>0</v>
      </c>
      <c r="K1172">
        <f>Data!E1185</f>
        <v>0</v>
      </c>
      <c r="L1172">
        <f>Data!F1185</f>
        <v>0</v>
      </c>
      <c r="M1172">
        <f>Data!G1185</f>
        <v>0</v>
      </c>
      <c r="N1172">
        <f>Data!H1185</f>
        <v>0</v>
      </c>
      <c r="O1172">
        <f>Data!I1185</f>
        <v>0</v>
      </c>
      <c r="P1172" s="21">
        <f>Data!J1189</f>
        <v>0</v>
      </c>
      <c r="Q1172">
        <f>Data!K1189</f>
        <v>0</v>
      </c>
      <c r="R1172">
        <f>Data!L1189</f>
        <v>0</v>
      </c>
      <c r="S1172">
        <f>Data!M1189</f>
        <v>0</v>
      </c>
      <c r="T1172">
        <f>Data!N1185</f>
        <v>0</v>
      </c>
      <c r="U1172">
        <f>Data!O1189</f>
        <v>0</v>
      </c>
      <c r="V1172" s="33">
        <f>Data!P1187</f>
        <v>0</v>
      </c>
    </row>
    <row r="1173" spans="7:22" x14ac:dyDescent="0.25">
      <c r="G1173">
        <f>Data!A1186</f>
        <v>0</v>
      </c>
      <c r="H1173" s="21">
        <f>Data!B1186</f>
        <v>0</v>
      </c>
      <c r="I1173" s="21">
        <f>Data!C1186</f>
        <v>0</v>
      </c>
      <c r="J1173">
        <f>Data!D1186</f>
        <v>0</v>
      </c>
      <c r="K1173">
        <f>Data!E1186</f>
        <v>0</v>
      </c>
      <c r="L1173">
        <f>Data!F1186</f>
        <v>0</v>
      </c>
      <c r="M1173">
        <f>Data!G1186</f>
        <v>0</v>
      </c>
      <c r="N1173">
        <f>Data!H1186</f>
        <v>0</v>
      </c>
      <c r="O1173">
        <f>Data!I1186</f>
        <v>0</v>
      </c>
      <c r="P1173" s="21">
        <f>Data!J1190</f>
        <v>0</v>
      </c>
      <c r="Q1173">
        <f>Data!K1190</f>
        <v>0</v>
      </c>
      <c r="R1173">
        <f>Data!L1190</f>
        <v>0</v>
      </c>
      <c r="S1173">
        <f>Data!M1190</f>
        <v>0</v>
      </c>
      <c r="T1173">
        <f>Data!N1186</f>
        <v>0</v>
      </c>
      <c r="U1173">
        <f>Data!O1190</f>
        <v>0</v>
      </c>
      <c r="V1173" s="33">
        <f>Data!P1188</f>
        <v>0</v>
      </c>
    </row>
    <row r="1174" spans="7:22" x14ac:dyDescent="0.25">
      <c r="G1174">
        <f>Data!A1187</f>
        <v>0</v>
      </c>
      <c r="H1174" s="21">
        <f>Data!B1187</f>
        <v>0</v>
      </c>
      <c r="I1174" s="21">
        <f>Data!C1187</f>
        <v>0</v>
      </c>
      <c r="J1174">
        <f>Data!D1187</f>
        <v>0</v>
      </c>
      <c r="K1174">
        <f>Data!E1187</f>
        <v>0</v>
      </c>
      <c r="L1174">
        <f>Data!F1187</f>
        <v>0</v>
      </c>
      <c r="M1174">
        <f>Data!G1187</f>
        <v>0</v>
      </c>
      <c r="N1174">
        <f>Data!H1187</f>
        <v>0</v>
      </c>
      <c r="O1174">
        <f>Data!I1187</f>
        <v>0</v>
      </c>
      <c r="P1174" s="21">
        <f>Data!J1191</f>
        <v>0</v>
      </c>
      <c r="Q1174">
        <f>Data!K1191</f>
        <v>0</v>
      </c>
      <c r="R1174">
        <f>Data!L1191</f>
        <v>0</v>
      </c>
      <c r="S1174">
        <f>Data!M1191</f>
        <v>0</v>
      </c>
      <c r="T1174">
        <f>Data!N1187</f>
        <v>0</v>
      </c>
      <c r="U1174">
        <f>Data!O1191</f>
        <v>0</v>
      </c>
      <c r="V1174" s="33">
        <f>Data!P1189</f>
        <v>0</v>
      </c>
    </row>
    <row r="1175" spans="7:22" x14ac:dyDescent="0.25">
      <c r="G1175">
        <f>Data!A1188</f>
        <v>0</v>
      </c>
      <c r="H1175" s="21">
        <f>Data!B1188</f>
        <v>0</v>
      </c>
      <c r="I1175" s="21">
        <f>Data!C1188</f>
        <v>0</v>
      </c>
      <c r="J1175">
        <f>Data!D1188</f>
        <v>0</v>
      </c>
      <c r="K1175">
        <f>Data!E1188</f>
        <v>0</v>
      </c>
      <c r="L1175">
        <f>Data!F1188</f>
        <v>0</v>
      </c>
      <c r="M1175">
        <f>Data!G1188</f>
        <v>0</v>
      </c>
      <c r="N1175">
        <f>Data!H1188</f>
        <v>0</v>
      </c>
      <c r="O1175">
        <f>Data!I1188</f>
        <v>0</v>
      </c>
      <c r="P1175" s="21">
        <f>Data!J1192</f>
        <v>0</v>
      </c>
      <c r="Q1175">
        <f>Data!K1192</f>
        <v>0</v>
      </c>
      <c r="R1175">
        <f>Data!L1192</f>
        <v>0</v>
      </c>
      <c r="S1175">
        <f>Data!M1192</f>
        <v>0</v>
      </c>
      <c r="T1175">
        <f>Data!N1188</f>
        <v>0</v>
      </c>
      <c r="U1175">
        <f>Data!O1192</f>
        <v>0</v>
      </c>
      <c r="V1175" s="33">
        <f>Data!P1190</f>
        <v>0</v>
      </c>
    </row>
    <row r="1176" spans="7:22" x14ac:dyDescent="0.25">
      <c r="G1176">
        <f>Data!A1189</f>
        <v>0</v>
      </c>
      <c r="H1176" s="21">
        <f>Data!B1189</f>
        <v>0</v>
      </c>
      <c r="I1176" s="21">
        <f>Data!C1189</f>
        <v>0</v>
      </c>
      <c r="J1176">
        <f>Data!D1189</f>
        <v>0</v>
      </c>
      <c r="K1176">
        <f>Data!E1189</f>
        <v>0</v>
      </c>
      <c r="L1176">
        <f>Data!F1189</f>
        <v>0</v>
      </c>
      <c r="M1176">
        <f>Data!G1189</f>
        <v>0</v>
      </c>
      <c r="N1176">
        <f>Data!H1189</f>
        <v>0</v>
      </c>
      <c r="O1176">
        <f>Data!I1189</f>
        <v>0</v>
      </c>
      <c r="P1176" s="21">
        <f>Data!J1193</f>
        <v>0</v>
      </c>
      <c r="Q1176">
        <f>Data!K1193</f>
        <v>0</v>
      </c>
      <c r="R1176">
        <f>Data!L1193</f>
        <v>0</v>
      </c>
      <c r="S1176">
        <f>Data!M1193</f>
        <v>0</v>
      </c>
      <c r="T1176">
        <f>Data!N1189</f>
        <v>0</v>
      </c>
      <c r="U1176">
        <f>Data!O1193</f>
        <v>0</v>
      </c>
      <c r="V1176" s="33">
        <f>Data!P1191</f>
        <v>0</v>
      </c>
    </row>
    <row r="1177" spans="7:22" x14ac:dyDescent="0.25">
      <c r="G1177">
        <f>Data!A1190</f>
        <v>0</v>
      </c>
      <c r="H1177" s="21">
        <f>Data!B1190</f>
        <v>0</v>
      </c>
      <c r="I1177" s="21">
        <f>Data!C1190</f>
        <v>0</v>
      </c>
      <c r="J1177">
        <f>Data!D1190</f>
        <v>0</v>
      </c>
      <c r="K1177">
        <f>Data!E1190</f>
        <v>0</v>
      </c>
      <c r="L1177">
        <f>Data!F1190</f>
        <v>0</v>
      </c>
      <c r="M1177">
        <f>Data!G1190</f>
        <v>0</v>
      </c>
      <c r="N1177">
        <f>Data!H1190</f>
        <v>0</v>
      </c>
      <c r="O1177">
        <f>Data!I1190</f>
        <v>0</v>
      </c>
      <c r="P1177" s="21">
        <f>Data!J1194</f>
        <v>0</v>
      </c>
      <c r="Q1177">
        <f>Data!K1194</f>
        <v>0</v>
      </c>
      <c r="R1177">
        <f>Data!L1194</f>
        <v>0</v>
      </c>
      <c r="S1177">
        <f>Data!M1194</f>
        <v>0</v>
      </c>
      <c r="T1177">
        <f>Data!N1190</f>
        <v>0</v>
      </c>
      <c r="U1177">
        <f>Data!O1194</f>
        <v>0</v>
      </c>
      <c r="V1177" s="33">
        <f>Data!P1192</f>
        <v>0</v>
      </c>
    </row>
    <row r="1178" spans="7:22" x14ac:dyDescent="0.25">
      <c r="G1178">
        <f>Data!A1191</f>
        <v>0</v>
      </c>
      <c r="H1178" s="21">
        <f>Data!B1191</f>
        <v>0</v>
      </c>
      <c r="I1178" s="21">
        <f>Data!C1191</f>
        <v>0</v>
      </c>
      <c r="J1178">
        <f>Data!D1191</f>
        <v>0</v>
      </c>
      <c r="K1178">
        <f>Data!E1191</f>
        <v>0</v>
      </c>
      <c r="L1178">
        <f>Data!F1191</f>
        <v>0</v>
      </c>
      <c r="M1178">
        <f>Data!G1191</f>
        <v>0</v>
      </c>
      <c r="N1178">
        <f>Data!H1191</f>
        <v>0</v>
      </c>
      <c r="O1178">
        <f>Data!I1191</f>
        <v>0</v>
      </c>
      <c r="P1178" s="21">
        <f>Data!J1195</f>
        <v>0</v>
      </c>
      <c r="Q1178">
        <f>Data!K1195</f>
        <v>0</v>
      </c>
      <c r="R1178">
        <f>Data!L1195</f>
        <v>0</v>
      </c>
      <c r="S1178">
        <f>Data!M1195</f>
        <v>0</v>
      </c>
      <c r="T1178">
        <f>Data!N1191</f>
        <v>0</v>
      </c>
      <c r="U1178">
        <f>Data!O1195</f>
        <v>0</v>
      </c>
      <c r="V1178" s="33">
        <f>Data!P1193</f>
        <v>0</v>
      </c>
    </row>
    <row r="1179" spans="7:22" x14ac:dyDescent="0.25">
      <c r="G1179">
        <f>Data!A1192</f>
        <v>0</v>
      </c>
      <c r="H1179" s="21">
        <f>Data!B1192</f>
        <v>0</v>
      </c>
      <c r="I1179" s="21">
        <f>Data!C1192</f>
        <v>0</v>
      </c>
      <c r="J1179">
        <f>Data!D1192</f>
        <v>0</v>
      </c>
      <c r="K1179">
        <f>Data!E1192</f>
        <v>0</v>
      </c>
      <c r="L1179">
        <f>Data!F1192</f>
        <v>0</v>
      </c>
      <c r="M1179">
        <f>Data!G1192</f>
        <v>0</v>
      </c>
      <c r="N1179">
        <f>Data!H1192</f>
        <v>0</v>
      </c>
      <c r="O1179">
        <f>Data!I1192</f>
        <v>0</v>
      </c>
      <c r="P1179" s="21">
        <f>Data!J1196</f>
        <v>0</v>
      </c>
      <c r="Q1179">
        <f>Data!K1196</f>
        <v>0</v>
      </c>
      <c r="R1179">
        <f>Data!L1196</f>
        <v>0</v>
      </c>
      <c r="S1179">
        <f>Data!M1196</f>
        <v>0</v>
      </c>
      <c r="T1179">
        <f>Data!N1192</f>
        <v>0</v>
      </c>
      <c r="U1179">
        <f>Data!O1196</f>
        <v>0</v>
      </c>
      <c r="V1179" s="33">
        <f>Data!P1194</f>
        <v>0</v>
      </c>
    </row>
    <row r="1180" spans="7:22" x14ac:dyDescent="0.25">
      <c r="G1180">
        <f>Data!A1193</f>
        <v>0</v>
      </c>
      <c r="H1180" s="21">
        <f>Data!B1193</f>
        <v>0</v>
      </c>
      <c r="I1180" s="21">
        <f>Data!C1193</f>
        <v>0</v>
      </c>
      <c r="J1180">
        <f>Data!D1193</f>
        <v>0</v>
      </c>
      <c r="K1180">
        <f>Data!E1193</f>
        <v>0</v>
      </c>
      <c r="L1180">
        <f>Data!F1193</f>
        <v>0</v>
      </c>
      <c r="M1180">
        <f>Data!G1193</f>
        <v>0</v>
      </c>
      <c r="N1180">
        <f>Data!H1193</f>
        <v>0</v>
      </c>
      <c r="O1180">
        <f>Data!I1193</f>
        <v>0</v>
      </c>
      <c r="P1180" s="21">
        <f>Data!J1197</f>
        <v>0</v>
      </c>
      <c r="Q1180">
        <f>Data!K1197</f>
        <v>0</v>
      </c>
      <c r="R1180">
        <f>Data!L1197</f>
        <v>0</v>
      </c>
      <c r="S1180">
        <f>Data!M1197</f>
        <v>0</v>
      </c>
      <c r="T1180">
        <f>Data!N1193</f>
        <v>0</v>
      </c>
      <c r="U1180">
        <f>Data!O1197</f>
        <v>0</v>
      </c>
      <c r="V1180" s="33">
        <f>Data!P1195</f>
        <v>0</v>
      </c>
    </row>
    <row r="1181" spans="7:22" x14ac:dyDescent="0.25">
      <c r="G1181">
        <f>Data!A1194</f>
        <v>0</v>
      </c>
      <c r="H1181" s="21">
        <f>Data!B1194</f>
        <v>0</v>
      </c>
      <c r="I1181" s="21">
        <f>Data!C1194</f>
        <v>0</v>
      </c>
      <c r="J1181">
        <f>Data!D1194</f>
        <v>0</v>
      </c>
      <c r="K1181">
        <f>Data!E1194</f>
        <v>0</v>
      </c>
      <c r="L1181">
        <f>Data!F1194</f>
        <v>0</v>
      </c>
      <c r="M1181">
        <f>Data!G1194</f>
        <v>0</v>
      </c>
      <c r="N1181">
        <f>Data!H1194</f>
        <v>0</v>
      </c>
      <c r="O1181">
        <f>Data!I1194</f>
        <v>0</v>
      </c>
      <c r="P1181" s="21">
        <f>Data!J1198</f>
        <v>0</v>
      </c>
      <c r="Q1181">
        <f>Data!K1198</f>
        <v>0</v>
      </c>
      <c r="R1181">
        <f>Data!L1198</f>
        <v>0</v>
      </c>
      <c r="S1181">
        <f>Data!M1198</f>
        <v>0</v>
      </c>
      <c r="T1181">
        <f>Data!N1194</f>
        <v>0</v>
      </c>
      <c r="U1181">
        <f>Data!O1198</f>
        <v>0</v>
      </c>
      <c r="V1181" s="33">
        <f>Data!P1196</f>
        <v>0</v>
      </c>
    </row>
    <row r="1182" spans="7:22" x14ac:dyDescent="0.25">
      <c r="G1182">
        <f>Data!A1195</f>
        <v>0</v>
      </c>
      <c r="H1182" s="21">
        <f>Data!B1195</f>
        <v>0</v>
      </c>
      <c r="I1182" s="21">
        <f>Data!C1195</f>
        <v>0</v>
      </c>
      <c r="J1182">
        <f>Data!D1195</f>
        <v>0</v>
      </c>
      <c r="K1182">
        <f>Data!E1195</f>
        <v>0</v>
      </c>
      <c r="L1182">
        <f>Data!F1195</f>
        <v>0</v>
      </c>
      <c r="M1182">
        <f>Data!G1195</f>
        <v>0</v>
      </c>
      <c r="N1182">
        <f>Data!H1195</f>
        <v>0</v>
      </c>
      <c r="O1182">
        <f>Data!I1195</f>
        <v>0</v>
      </c>
      <c r="P1182" s="21">
        <f>Data!J1199</f>
        <v>0</v>
      </c>
      <c r="Q1182">
        <f>Data!K1199</f>
        <v>0</v>
      </c>
      <c r="R1182">
        <f>Data!L1199</f>
        <v>0</v>
      </c>
      <c r="S1182">
        <f>Data!M1199</f>
        <v>0</v>
      </c>
      <c r="T1182">
        <f>Data!N1195</f>
        <v>0</v>
      </c>
      <c r="U1182">
        <f>Data!O1199</f>
        <v>0</v>
      </c>
      <c r="V1182" s="33">
        <f>Data!P1197</f>
        <v>0</v>
      </c>
    </row>
    <row r="1183" spans="7:22" x14ac:dyDescent="0.25">
      <c r="G1183">
        <f>Data!A1196</f>
        <v>0</v>
      </c>
      <c r="H1183" s="21">
        <f>Data!B1196</f>
        <v>0</v>
      </c>
      <c r="I1183" s="21">
        <f>Data!C1196</f>
        <v>0</v>
      </c>
      <c r="J1183">
        <f>Data!D1196</f>
        <v>0</v>
      </c>
      <c r="K1183">
        <f>Data!E1196</f>
        <v>0</v>
      </c>
      <c r="L1183">
        <f>Data!F1196</f>
        <v>0</v>
      </c>
      <c r="M1183">
        <f>Data!G1196</f>
        <v>0</v>
      </c>
      <c r="N1183">
        <f>Data!H1196</f>
        <v>0</v>
      </c>
      <c r="O1183">
        <f>Data!I1196</f>
        <v>0</v>
      </c>
      <c r="P1183" s="21">
        <f>Data!J1200</f>
        <v>0</v>
      </c>
      <c r="Q1183">
        <f>Data!K1200</f>
        <v>0</v>
      </c>
      <c r="R1183">
        <f>Data!L1200</f>
        <v>0</v>
      </c>
      <c r="S1183">
        <f>Data!M1200</f>
        <v>0</v>
      </c>
      <c r="T1183">
        <f>Data!N1196</f>
        <v>0</v>
      </c>
      <c r="U1183">
        <f>Data!O1200</f>
        <v>0</v>
      </c>
      <c r="V1183" s="33">
        <f>Data!P1198</f>
        <v>0</v>
      </c>
    </row>
    <row r="1184" spans="7:22" x14ac:dyDescent="0.25">
      <c r="G1184">
        <f>Data!A1197</f>
        <v>0</v>
      </c>
      <c r="H1184" s="21">
        <f>Data!B1197</f>
        <v>0</v>
      </c>
      <c r="I1184" s="21">
        <f>Data!C1197</f>
        <v>0</v>
      </c>
      <c r="J1184">
        <f>Data!D1197</f>
        <v>0</v>
      </c>
      <c r="K1184">
        <f>Data!E1197</f>
        <v>0</v>
      </c>
      <c r="L1184">
        <f>Data!F1197</f>
        <v>0</v>
      </c>
      <c r="M1184">
        <f>Data!G1197</f>
        <v>0</v>
      </c>
      <c r="N1184">
        <f>Data!H1197</f>
        <v>0</v>
      </c>
      <c r="O1184">
        <f>Data!I1197</f>
        <v>0</v>
      </c>
      <c r="P1184" s="21">
        <f>Data!J1201</f>
        <v>0</v>
      </c>
      <c r="Q1184">
        <f>Data!K1201</f>
        <v>0</v>
      </c>
      <c r="R1184">
        <f>Data!L1201</f>
        <v>0</v>
      </c>
      <c r="S1184">
        <f>Data!M1201</f>
        <v>0</v>
      </c>
      <c r="T1184">
        <f>Data!N1197</f>
        <v>0</v>
      </c>
      <c r="U1184">
        <f>Data!O1201</f>
        <v>0</v>
      </c>
      <c r="V1184" s="33">
        <f>Data!P1199</f>
        <v>0</v>
      </c>
    </row>
    <row r="1185" spans="7:22" x14ac:dyDescent="0.25">
      <c r="G1185">
        <f>Data!A1198</f>
        <v>0</v>
      </c>
      <c r="H1185" s="21">
        <f>Data!B1198</f>
        <v>0</v>
      </c>
      <c r="I1185" s="21">
        <f>Data!C1198</f>
        <v>0</v>
      </c>
      <c r="J1185">
        <f>Data!D1198</f>
        <v>0</v>
      </c>
      <c r="K1185">
        <f>Data!E1198</f>
        <v>0</v>
      </c>
      <c r="L1185">
        <f>Data!F1198</f>
        <v>0</v>
      </c>
      <c r="M1185">
        <f>Data!G1198</f>
        <v>0</v>
      </c>
      <c r="N1185">
        <f>Data!H1198</f>
        <v>0</v>
      </c>
      <c r="O1185">
        <f>Data!I1198</f>
        <v>0</v>
      </c>
      <c r="P1185" s="21">
        <f>Data!J1202</f>
        <v>0</v>
      </c>
      <c r="Q1185">
        <f>Data!K1202</f>
        <v>0</v>
      </c>
      <c r="R1185">
        <f>Data!L1202</f>
        <v>0</v>
      </c>
      <c r="S1185">
        <f>Data!M1202</f>
        <v>0</v>
      </c>
      <c r="T1185">
        <f>Data!N1198</f>
        <v>0</v>
      </c>
      <c r="U1185">
        <f>Data!O1202</f>
        <v>0</v>
      </c>
      <c r="V1185" s="33">
        <f>Data!P1200</f>
        <v>0</v>
      </c>
    </row>
    <row r="1186" spans="7:22" x14ac:dyDescent="0.25">
      <c r="G1186">
        <f>Data!A1199</f>
        <v>0</v>
      </c>
      <c r="H1186" s="21">
        <f>Data!B1199</f>
        <v>0</v>
      </c>
      <c r="I1186" s="21">
        <f>Data!C1199</f>
        <v>0</v>
      </c>
      <c r="J1186">
        <f>Data!D1199</f>
        <v>0</v>
      </c>
      <c r="K1186">
        <f>Data!E1199</f>
        <v>0</v>
      </c>
      <c r="L1186">
        <f>Data!F1199</f>
        <v>0</v>
      </c>
      <c r="M1186">
        <f>Data!G1199</f>
        <v>0</v>
      </c>
      <c r="N1186">
        <f>Data!H1199</f>
        <v>0</v>
      </c>
      <c r="O1186">
        <f>Data!I1199</f>
        <v>0</v>
      </c>
      <c r="P1186" s="21">
        <f>Data!J1203</f>
        <v>0</v>
      </c>
      <c r="Q1186">
        <f>Data!K1203</f>
        <v>0</v>
      </c>
      <c r="R1186">
        <f>Data!L1203</f>
        <v>0</v>
      </c>
      <c r="S1186">
        <f>Data!M1203</f>
        <v>0</v>
      </c>
      <c r="T1186">
        <f>Data!N1199</f>
        <v>0</v>
      </c>
      <c r="U1186">
        <f>Data!O1203</f>
        <v>0</v>
      </c>
      <c r="V1186" s="33">
        <f>Data!P1201</f>
        <v>0</v>
      </c>
    </row>
    <row r="1187" spans="7:22" x14ac:dyDescent="0.25">
      <c r="G1187">
        <f>Data!A1200</f>
        <v>0</v>
      </c>
      <c r="H1187" s="21">
        <f>Data!B1200</f>
        <v>0</v>
      </c>
      <c r="I1187" s="21">
        <f>Data!C1200</f>
        <v>0</v>
      </c>
      <c r="J1187">
        <f>Data!D1200</f>
        <v>0</v>
      </c>
      <c r="K1187">
        <f>Data!E1200</f>
        <v>0</v>
      </c>
      <c r="L1187">
        <f>Data!F1200</f>
        <v>0</v>
      </c>
      <c r="M1187">
        <f>Data!G1200</f>
        <v>0</v>
      </c>
      <c r="N1187">
        <f>Data!H1200</f>
        <v>0</v>
      </c>
      <c r="O1187">
        <f>Data!I1200</f>
        <v>0</v>
      </c>
      <c r="P1187" s="21">
        <f>Data!J1204</f>
        <v>0</v>
      </c>
      <c r="Q1187">
        <f>Data!K1204</f>
        <v>0</v>
      </c>
      <c r="R1187">
        <f>Data!L1204</f>
        <v>0</v>
      </c>
      <c r="S1187">
        <f>Data!M1204</f>
        <v>0</v>
      </c>
      <c r="T1187">
        <f>Data!N1200</f>
        <v>0</v>
      </c>
      <c r="U1187">
        <f>Data!O1204</f>
        <v>0</v>
      </c>
      <c r="V1187" s="33">
        <f>Data!P1202</f>
        <v>0</v>
      </c>
    </row>
    <row r="1188" spans="7:22" x14ac:dyDescent="0.25">
      <c r="G1188">
        <f>Data!A1201</f>
        <v>0</v>
      </c>
      <c r="H1188" s="21">
        <f>Data!B1201</f>
        <v>0</v>
      </c>
      <c r="I1188" s="21">
        <f>Data!C1201</f>
        <v>0</v>
      </c>
      <c r="J1188">
        <f>Data!D1201</f>
        <v>0</v>
      </c>
      <c r="K1188">
        <f>Data!E1201</f>
        <v>0</v>
      </c>
      <c r="L1188">
        <f>Data!F1201</f>
        <v>0</v>
      </c>
      <c r="M1188">
        <f>Data!G1201</f>
        <v>0</v>
      </c>
      <c r="N1188">
        <f>Data!H1201</f>
        <v>0</v>
      </c>
      <c r="O1188">
        <f>Data!I1201</f>
        <v>0</v>
      </c>
      <c r="P1188" s="21">
        <f>Data!J1205</f>
        <v>0</v>
      </c>
      <c r="Q1188">
        <f>Data!K1205</f>
        <v>0</v>
      </c>
      <c r="R1188">
        <f>Data!L1205</f>
        <v>0</v>
      </c>
      <c r="S1188">
        <f>Data!M1205</f>
        <v>0</v>
      </c>
      <c r="T1188">
        <f>Data!N1201</f>
        <v>0</v>
      </c>
      <c r="U1188">
        <f>Data!O1205</f>
        <v>0</v>
      </c>
      <c r="V1188" s="33">
        <f>Data!P1203</f>
        <v>0</v>
      </c>
    </row>
    <row r="1189" spans="7:22" x14ac:dyDescent="0.25">
      <c r="G1189">
        <f>Data!A1202</f>
        <v>0</v>
      </c>
      <c r="H1189" s="21">
        <f>Data!B1202</f>
        <v>0</v>
      </c>
      <c r="I1189" s="21">
        <f>Data!C1202</f>
        <v>0</v>
      </c>
      <c r="J1189">
        <f>Data!D1202</f>
        <v>0</v>
      </c>
      <c r="K1189">
        <f>Data!E1202</f>
        <v>0</v>
      </c>
      <c r="L1189">
        <f>Data!F1202</f>
        <v>0</v>
      </c>
      <c r="M1189">
        <f>Data!G1202</f>
        <v>0</v>
      </c>
      <c r="N1189">
        <f>Data!H1202</f>
        <v>0</v>
      </c>
      <c r="O1189">
        <f>Data!I1202</f>
        <v>0</v>
      </c>
      <c r="P1189" s="21">
        <f>Data!J1206</f>
        <v>0</v>
      </c>
      <c r="Q1189">
        <f>Data!K1206</f>
        <v>0</v>
      </c>
      <c r="R1189">
        <f>Data!L1206</f>
        <v>0</v>
      </c>
      <c r="S1189">
        <f>Data!M1206</f>
        <v>0</v>
      </c>
      <c r="T1189">
        <f>Data!N1202</f>
        <v>0</v>
      </c>
      <c r="U1189">
        <f>Data!O1206</f>
        <v>0</v>
      </c>
      <c r="V1189" s="33">
        <f>Data!P1204</f>
        <v>0</v>
      </c>
    </row>
    <row r="1190" spans="7:22" x14ac:dyDescent="0.25">
      <c r="G1190">
        <f>Data!A1203</f>
        <v>0</v>
      </c>
      <c r="H1190" s="21">
        <f>Data!B1203</f>
        <v>0</v>
      </c>
      <c r="I1190" s="21">
        <f>Data!C1203</f>
        <v>0</v>
      </c>
      <c r="J1190">
        <f>Data!D1203</f>
        <v>0</v>
      </c>
      <c r="K1190">
        <f>Data!E1203</f>
        <v>0</v>
      </c>
      <c r="L1190">
        <f>Data!F1203</f>
        <v>0</v>
      </c>
      <c r="M1190">
        <f>Data!G1203</f>
        <v>0</v>
      </c>
      <c r="N1190">
        <f>Data!H1203</f>
        <v>0</v>
      </c>
      <c r="O1190">
        <f>Data!I1203</f>
        <v>0</v>
      </c>
      <c r="P1190" s="21">
        <f>Data!J1207</f>
        <v>0</v>
      </c>
      <c r="Q1190">
        <f>Data!K1207</f>
        <v>0</v>
      </c>
      <c r="R1190">
        <f>Data!L1207</f>
        <v>0</v>
      </c>
      <c r="S1190">
        <f>Data!M1207</f>
        <v>0</v>
      </c>
      <c r="T1190">
        <f>Data!N1203</f>
        <v>0</v>
      </c>
      <c r="U1190">
        <f>Data!O1207</f>
        <v>0</v>
      </c>
      <c r="V1190" s="33">
        <f>Data!P1205</f>
        <v>0</v>
      </c>
    </row>
    <row r="1191" spans="7:22" x14ac:dyDescent="0.25">
      <c r="G1191">
        <f>Data!A1204</f>
        <v>0</v>
      </c>
      <c r="H1191" s="21">
        <f>Data!B1204</f>
        <v>0</v>
      </c>
      <c r="I1191" s="21">
        <f>Data!C1204</f>
        <v>0</v>
      </c>
      <c r="J1191">
        <f>Data!D1204</f>
        <v>0</v>
      </c>
      <c r="K1191">
        <f>Data!E1204</f>
        <v>0</v>
      </c>
      <c r="L1191">
        <f>Data!F1204</f>
        <v>0</v>
      </c>
      <c r="M1191">
        <f>Data!G1204</f>
        <v>0</v>
      </c>
      <c r="N1191">
        <f>Data!H1204</f>
        <v>0</v>
      </c>
      <c r="O1191">
        <f>Data!I1204</f>
        <v>0</v>
      </c>
      <c r="P1191" s="21">
        <f>Data!J1208</f>
        <v>0</v>
      </c>
      <c r="Q1191">
        <f>Data!K1208</f>
        <v>0</v>
      </c>
      <c r="R1191">
        <f>Data!L1208</f>
        <v>0</v>
      </c>
      <c r="S1191">
        <f>Data!M1208</f>
        <v>0</v>
      </c>
      <c r="T1191">
        <f>Data!N1204</f>
        <v>0</v>
      </c>
      <c r="U1191">
        <f>Data!O1208</f>
        <v>0</v>
      </c>
      <c r="V1191" s="33">
        <f>Data!P1206</f>
        <v>0</v>
      </c>
    </row>
    <row r="1192" spans="7:22" x14ac:dyDescent="0.25">
      <c r="G1192">
        <f>Data!A1205</f>
        <v>0</v>
      </c>
      <c r="H1192" s="21">
        <f>Data!B1205</f>
        <v>0</v>
      </c>
      <c r="I1192" s="21">
        <f>Data!C1205</f>
        <v>0</v>
      </c>
      <c r="J1192">
        <f>Data!D1205</f>
        <v>0</v>
      </c>
      <c r="K1192">
        <f>Data!E1205</f>
        <v>0</v>
      </c>
      <c r="L1192">
        <f>Data!F1205</f>
        <v>0</v>
      </c>
      <c r="M1192">
        <f>Data!G1205</f>
        <v>0</v>
      </c>
      <c r="N1192">
        <f>Data!H1205</f>
        <v>0</v>
      </c>
      <c r="O1192">
        <f>Data!I1205</f>
        <v>0</v>
      </c>
      <c r="P1192" s="21">
        <f>Data!J1209</f>
        <v>0</v>
      </c>
      <c r="Q1192">
        <f>Data!K1209</f>
        <v>0</v>
      </c>
      <c r="R1192">
        <f>Data!L1209</f>
        <v>0</v>
      </c>
      <c r="S1192">
        <f>Data!M1209</f>
        <v>0</v>
      </c>
      <c r="T1192">
        <f>Data!N1205</f>
        <v>0</v>
      </c>
      <c r="U1192">
        <f>Data!O1209</f>
        <v>0</v>
      </c>
      <c r="V1192" s="33">
        <f>Data!P1207</f>
        <v>0</v>
      </c>
    </row>
    <row r="1193" spans="7:22" x14ac:dyDescent="0.25">
      <c r="G1193">
        <f>Data!A1206</f>
        <v>0</v>
      </c>
      <c r="H1193" s="21">
        <f>Data!B1206</f>
        <v>0</v>
      </c>
      <c r="I1193" s="21">
        <f>Data!C1206</f>
        <v>0</v>
      </c>
      <c r="J1193">
        <f>Data!D1206</f>
        <v>0</v>
      </c>
      <c r="K1193">
        <f>Data!E1206</f>
        <v>0</v>
      </c>
      <c r="L1193">
        <f>Data!F1206</f>
        <v>0</v>
      </c>
      <c r="M1193">
        <f>Data!G1206</f>
        <v>0</v>
      </c>
      <c r="N1193">
        <f>Data!H1206</f>
        <v>0</v>
      </c>
      <c r="O1193">
        <f>Data!I1206</f>
        <v>0</v>
      </c>
      <c r="P1193" s="21">
        <f>Data!J1210</f>
        <v>0</v>
      </c>
      <c r="Q1193">
        <f>Data!K1210</f>
        <v>0</v>
      </c>
      <c r="R1193">
        <f>Data!L1210</f>
        <v>0</v>
      </c>
      <c r="S1193">
        <f>Data!M1210</f>
        <v>0</v>
      </c>
      <c r="T1193">
        <f>Data!N1206</f>
        <v>0</v>
      </c>
      <c r="U1193">
        <f>Data!O1210</f>
        <v>0</v>
      </c>
      <c r="V1193" s="33">
        <f>Data!P1208</f>
        <v>0</v>
      </c>
    </row>
    <row r="1194" spans="7:22" x14ac:dyDescent="0.25">
      <c r="G1194">
        <f>Data!A1207</f>
        <v>0</v>
      </c>
      <c r="H1194" s="21">
        <f>Data!B1207</f>
        <v>0</v>
      </c>
      <c r="I1194" s="21">
        <f>Data!C1207</f>
        <v>0</v>
      </c>
      <c r="J1194">
        <f>Data!D1207</f>
        <v>0</v>
      </c>
      <c r="K1194">
        <f>Data!E1207</f>
        <v>0</v>
      </c>
      <c r="L1194">
        <f>Data!F1207</f>
        <v>0</v>
      </c>
      <c r="M1194">
        <f>Data!G1207</f>
        <v>0</v>
      </c>
      <c r="N1194">
        <f>Data!H1207</f>
        <v>0</v>
      </c>
      <c r="O1194">
        <f>Data!I1207</f>
        <v>0</v>
      </c>
      <c r="P1194" s="21">
        <f>Data!J1211</f>
        <v>0</v>
      </c>
      <c r="Q1194">
        <f>Data!K1211</f>
        <v>0</v>
      </c>
      <c r="R1194">
        <f>Data!L1211</f>
        <v>0</v>
      </c>
      <c r="S1194">
        <f>Data!M1211</f>
        <v>0</v>
      </c>
      <c r="T1194">
        <f>Data!N1207</f>
        <v>0</v>
      </c>
      <c r="U1194">
        <f>Data!O1211</f>
        <v>0</v>
      </c>
      <c r="V1194" s="33">
        <f>Data!P1209</f>
        <v>0</v>
      </c>
    </row>
    <row r="1195" spans="7:22" x14ac:dyDescent="0.25">
      <c r="G1195">
        <f>Data!A1208</f>
        <v>0</v>
      </c>
      <c r="H1195" s="21">
        <f>Data!B1208</f>
        <v>0</v>
      </c>
      <c r="I1195" s="21">
        <f>Data!C1208</f>
        <v>0</v>
      </c>
      <c r="J1195">
        <f>Data!D1208</f>
        <v>0</v>
      </c>
      <c r="K1195">
        <f>Data!E1208</f>
        <v>0</v>
      </c>
      <c r="L1195">
        <f>Data!F1208</f>
        <v>0</v>
      </c>
      <c r="M1195">
        <f>Data!G1208</f>
        <v>0</v>
      </c>
      <c r="N1195">
        <f>Data!H1208</f>
        <v>0</v>
      </c>
      <c r="O1195">
        <f>Data!I1208</f>
        <v>0</v>
      </c>
      <c r="P1195" s="21">
        <f>Data!J1212</f>
        <v>0</v>
      </c>
      <c r="Q1195">
        <f>Data!K1212</f>
        <v>0</v>
      </c>
      <c r="R1195">
        <f>Data!L1212</f>
        <v>0</v>
      </c>
      <c r="S1195">
        <f>Data!M1212</f>
        <v>0</v>
      </c>
      <c r="T1195">
        <f>Data!N1208</f>
        <v>0</v>
      </c>
      <c r="U1195">
        <f>Data!O1212</f>
        <v>0</v>
      </c>
      <c r="V1195" s="33">
        <f>Data!P1210</f>
        <v>0</v>
      </c>
    </row>
    <row r="1196" spans="7:22" x14ac:dyDescent="0.25">
      <c r="G1196">
        <f>Data!A1209</f>
        <v>0</v>
      </c>
      <c r="H1196" s="21">
        <f>Data!B1209</f>
        <v>0</v>
      </c>
      <c r="I1196" s="21">
        <f>Data!C1209</f>
        <v>0</v>
      </c>
      <c r="J1196">
        <f>Data!D1209</f>
        <v>0</v>
      </c>
      <c r="K1196">
        <f>Data!E1209</f>
        <v>0</v>
      </c>
      <c r="L1196">
        <f>Data!F1209</f>
        <v>0</v>
      </c>
      <c r="M1196">
        <f>Data!G1209</f>
        <v>0</v>
      </c>
      <c r="N1196">
        <f>Data!H1209</f>
        <v>0</v>
      </c>
      <c r="O1196">
        <f>Data!I1209</f>
        <v>0</v>
      </c>
      <c r="P1196" s="21">
        <f>Data!J1213</f>
        <v>0</v>
      </c>
      <c r="Q1196">
        <f>Data!K1213</f>
        <v>0</v>
      </c>
      <c r="R1196">
        <f>Data!L1213</f>
        <v>0</v>
      </c>
      <c r="S1196">
        <f>Data!M1213</f>
        <v>0</v>
      </c>
      <c r="T1196">
        <f>Data!N1209</f>
        <v>0</v>
      </c>
      <c r="U1196">
        <f>Data!O1213</f>
        <v>0</v>
      </c>
      <c r="V1196" s="33">
        <f>Data!P1211</f>
        <v>0</v>
      </c>
    </row>
    <row r="1197" spans="7:22" x14ac:dyDescent="0.25">
      <c r="G1197">
        <f>Data!A1210</f>
        <v>0</v>
      </c>
      <c r="H1197" s="21">
        <f>Data!B1210</f>
        <v>0</v>
      </c>
      <c r="I1197" s="21">
        <f>Data!C1210</f>
        <v>0</v>
      </c>
      <c r="J1197">
        <f>Data!D1210</f>
        <v>0</v>
      </c>
      <c r="K1197">
        <f>Data!E1210</f>
        <v>0</v>
      </c>
      <c r="L1197">
        <f>Data!F1210</f>
        <v>0</v>
      </c>
      <c r="M1197">
        <f>Data!G1210</f>
        <v>0</v>
      </c>
      <c r="N1197">
        <f>Data!H1210</f>
        <v>0</v>
      </c>
      <c r="O1197">
        <f>Data!I1210</f>
        <v>0</v>
      </c>
      <c r="P1197" s="21">
        <f>Data!J1214</f>
        <v>0</v>
      </c>
      <c r="Q1197">
        <f>Data!K1214</f>
        <v>0</v>
      </c>
      <c r="R1197">
        <f>Data!L1214</f>
        <v>0</v>
      </c>
      <c r="S1197">
        <f>Data!M1214</f>
        <v>0</v>
      </c>
      <c r="T1197">
        <f>Data!N1210</f>
        <v>0</v>
      </c>
      <c r="U1197">
        <f>Data!O1214</f>
        <v>0</v>
      </c>
      <c r="V1197" s="33">
        <f>Data!P1212</f>
        <v>0</v>
      </c>
    </row>
    <row r="1198" spans="7:22" x14ac:dyDescent="0.25">
      <c r="G1198">
        <f>Data!A1211</f>
        <v>0</v>
      </c>
      <c r="H1198" s="21">
        <f>Data!B1211</f>
        <v>0</v>
      </c>
      <c r="I1198" s="21">
        <f>Data!C1211</f>
        <v>0</v>
      </c>
      <c r="J1198">
        <f>Data!D1211</f>
        <v>0</v>
      </c>
      <c r="K1198">
        <f>Data!E1211</f>
        <v>0</v>
      </c>
      <c r="L1198">
        <f>Data!F1211</f>
        <v>0</v>
      </c>
      <c r="M1198">
        <f>Data!G1211</f>
        <v>0</v>
      </c>
      <c r="N1198">
        <f>Data!H1211</f>
        <v>0</v>
      </c>
      <c r="O1198">
        <f>Data!I1211</f>
        <v>0</v>
      </c>
      <c r="P1198" s="21">
        <f>Data!J1215</f>
        <v>0</v>
      </c>
      <c r="Q1198">
        <f>Data!K1215</f>
        <v>0</v>
      </c>
      <c r="R1198">
        <f>Data!L1215</f>
        <v>0</v>
      </c>
      <c r="S1198">
        <f>Data!M1215</f>
        <v>0</v>
      </c>
      <c r="T1198">
        <f>Data!N1211</f>
        <v>0</v>
      </c>
      <c r="U1198">
        <f>Data!O1215</f>
        <v>0</v>
      </c>
      <c r="V1198" s="33">
        <f>Data!P1213</f>
        <v>0</v>
      </c>
    </row>
    <row r="1199" spans="7:22" x14ac:dyDescent="0.25">
      <c r="G1199">
        <f>Data!A1212</f>
        <v>0</v>
      </c>
      <c r="H1199" s="21">
        <f>Data!B1212</f>
        <v>0</v>
      </c>
      <c r="I1199" s="21">
        <f>Data!C1212</f>
        <v>0</v>
      </c>
      <c r="J1199">
        <f>Data!D1212</f>
        <v>0</v>
      </c>
      <c r="K1199">
        <f>Data!E1212</f>
        <v>0</v>
      </c>
      <c r="L1199">
        <f>Data!F1212</f>
        <v>0</v>
      </c>
      <c r="M1199">
        <f>Data!G1212</f>
        <v>0</v>
      </c>
      <c r="N1199">
        <f>Data!H1212</f>
        <v>0</v>
      </c>
      <c r="O1199">
        <f>Data!I1212</f>
        <v>0</v>
      </c>
      <c r="P1199" s="21">
        <f>Data!J1216</f>
        <v>0</v>
      </c>
      <c r="Q1199">
        <f>Data!K1216</f>
        <v>0</v>
      </c>
      <c r="R1199">
        <f>Data!L1216</f>
        <v>0</v>
      </c>
      <c r="S1199">
        <f>Data!M1216</f>
        <v>0</v>
      </c>
      <c r="T1199">
        <f>Data!N1212</f>
        <v>0</v>
      </c>
      <c r="U1199">
        <f>Data!O1216</f>
        <v>0</v>
      </c>
      <c r="V1199" s="33">
        <f>Data!P1214</f>
        <v>0</v>
      </c>
    </row>
    <row r="1200" spans="7:22" x14ac:dyDescent="0.25">
      <c r="G1200">
        <f>Data!A1213</f>
        <v>0</v>
      </c>
      <c r="H1200" s="21">
        <f>Data!B1213</f>
        <v>0</v>
      </c>
      <c r="I1200" s="21">
        <f>Data!C1213</f>
        <v>0</v>
      </c>
      <c r="J1200">
        <f>Data!D1213</f>
        <v>0</v>
      </c>
      <c r="K1200">
        <f>Data!E1213</f>
        <v>0</v>
      </c>
      <c r="L1200">
        <f>Data!F1213</f>
        <v>0</v>
      </c>
      <c r="M1200">
        <f>Data!G1213</f>
        <v>0</v>
      </c>
      <c r="N1200">
        <f>Data!H1213</f>
        <v>0</v>
      </c>
      <c r="O1200">
        <f>Data!I1213</f>
        <v>0</v>
      </c>
      <c r="P1200" s="21">
        <f>Data!J1217</f>
        <v>0</v>
      </c>
      <c r="Q1200">
        <f>Data!K1217</f>
        <v>0</v>
      </c>
      <c r="R1200">
        <f>Data!L1217</f>
        <v>0</v>
      </c>
      <c r="S1200">
        <f>Data!M1217</f>
        <v>0</v>
      </c>
      <c r="T1200">
        <f>Data!N1213</f>
        <v>0</v>
      </c>
      <c r="U1200">
        <f>Data!O1217</f>
        <v>0</v>
      </c>
      <c r="V1200" s="33">
        <f>Data!P1215</f>
        <v>0</v>
      </c>
    </row>
    <row r="1201" spans="7:22" x14ac:dyDescent="0.25">
      <c r="G1201">
        <f>Data!A1214</f>
        <v>0</v>
      </c>
      <c r="H1201" s="21">
        <f>Data!B1214</f>
        <v>0</v>
      </c>
      <c r="I1201" s="21">
        <f>Data!C1214</f>
        <v>0</v>
      </c>
      <c r="J1201">
        <f>Data!D1214</f>
        <v>0</v>
      </c>
      <c r="K1201">
        <f>Data!E1214</f>
        <v>0</v>
      </c>
      <c r="L1201">
        <f>Data!F1214</f>
        <v>0</v>
      </c>
      <c r="M1201">
        <f>Data!G1214</f>
        <v>0</v>
      </c>
      <c r="N1201">
        <f>Data!H1214</f>
        <v>0</v>
      </c>
      <c r="O1201">
        <f>Data!I1214</f>
        <v>0</v>
      </c>
      <c r="P1201" s="21">
        <f>Data!J1218</f>
        <v>0</v>
      </c>
      <c r="Q1201">
        <f>Data!K1218</f>
        <v>0</v>
      </c>
      <c r="R1201">
        <f>Data!L1218</f>
        <v>0</v>
      </c>
      <c r="S1201">
        <f>Data!M1218</f>
        <v>0</v>
      </c>
      <c r="T1201">
        <f>Data!N1214</f>
        <v>0</v>
      </c>
      <c r="U1201">
        <f>Data!O1218</f>
        <v>0</v>
      </c>
      <c r="V1201" s="33">
        <f>Data!P1216</f>
        <v>0</v>
      </c>
    </row>
    <row r="1202" spans="7:22" x14ac:dyDescent="0.25">
      <c r="G1202">
        <f>Data!A1215</f>
        <v>0</v>
      </c>
      <c r="H1202" s="21">
        <f>Data!B1215</f>
        <v>0</v>
      </c>
      <c r="I1202" s="21">
        <f>Data!C1215</f>
        <v>0</v>
      </c>
      <c r="J1202">
        <f>Data!D1215</f>
        <v>0</v>
      </c>
      <c r="K1202">
        <f>Data!E1215</f>
        <v>0</v>
      </c>
      <c r="L1202">
        <f>Data!F1215</f>
        <v>0</v>
      </c>
      <c r="M1202">
        <f>Data!G1215</f>
        <v>0</v>
      </c>
      <c r="N1202">
        <f>Data!H1215</f>
        <v>0</v>
      </c>
      <c r="O1202">
        <f>Data!I1215</f>
        <v>0</v>
      </c>
      <c r="P1202" s="21">
        <f>Data!J1219</f>
        <v>0</v>
      </c>
      <c r="Q1202">
        <f>Data!K1219</f>
        <v>0</v>
      </c>
      <c r="R1202">
        <f>Data!L1219</f>
        <v>0</v>
      </c>
      <c r="S1202">
        <f>Data!M1219</f>
        <v>0</v>
      </c>
      <c r="T1202">
        <f>Data!N1215</f>
        <v>0</v>
      </c>
      <c r="U1202">
        <f>Data!O1219</f>
        <v>0</v>
      </c>
      <c r="V1202" s="33">
        <f>Data!P1217</f>
        <v>0</v>
      </c>
    </row>
    <row r="1203" spans="7:22" x14ac:dyDescent="0.25">
      <c r="G1203">
        <f>Data!A1216</f>
        <v>0</v>
      </c>
      <c r="H1203" s="21">
        <f>Data!B1216</f>
        <v>0</v>
      </c>
      <c r="I1203" s="21">
        <f>Data!C1216</f>
        <v>0</v>
      </c>
      <c r="J1203">
        <f>Data!D1216</f>
        <v>0</v>
      </c>
      <c r="K1203">
        <f>Data!E1216</f>
        <v>0</v>
      </c>
      <c r="L1203">
        <f>Data!F1216</f>
        <v>0</v>
      </c>
      <c r="M1203">
        <f>Data!G1216</f>
        <v>0</v>
      </c>
      <c r="N1203">
        <f>Data!H1216</f>
        <v>0</v>
      </c>
      <c r="O1203">
        <f>Data!I1216</f>
        <v>0</v>
      </c>
      <c r="P1203" s="21">
        <f>Data!J1220</f>
        <v>0</v>
      </c>
      <c r="Q1203">
        <f>Data!K1220</f>
        <v>0</v>
      </c>
      <c r="R1203">
        <f>Data!L1220</f>
        <v>0</v>
      </c>
      <c r="S1203">
        <f>Data!M1220</f>
        <v>0</v>
      </c>
      <c r="T1203">
        <f>Data!N1216</f>
        <v>0</v>
      </c>
      <c r="U1203">
        <f>Data!O1220</f>
        <v>0</v>
      </c>
      <c r="V1203" s="33">
        <f>Data!P1218</f>
        <v>0</v>
      </c>
    </row>
    <row r="1204" spans="7:22" x14ac:dyDescent="0.25">
      <c r="G1204">
        <f>Data!A1217</f>
        <v>0</v>
      </c>
      <c r="H1204" s="21">
        <f>Data!B1217</f>
        <v>0</v>
      </c>
      <c r="I1204" s="21">
        <f>Data!C1217</f>
        <v>0</v>
      </c>
      <c r="J1204">
        <f>Data!D1217</f>
        <v>0</v>
      </c>
      <c r="K1204">
        <f>Data!E1217</f>
        <v>0</v>
      </c>
      <c r="L1204">
        <f>Data!F1217</f>
        <v>0</v>
      </c>
      <c r="M1204">
        <f>Data!G1217</f>
        <v>0</v>
      </c>
      <c r="N1204">
        <f>Data!H1217</f>
        <v>0</v>
      </c>
      <c r="O1204">
        <f>Data!I1217</f>
        <v>0</v>
      </c>
      <c r="P1204" s="21">
        <f>Data!J1221</f>
        <v>0</v>
      </c>
      <c r="Q1204">
        <f>Data!K1221</f>
        <v>0</v>
      </c>
      <c r="R1204">
        <f>Data!L1221</f>
        <v>0</v>
      </c>
      <c r="S1204">
        <f>Data!M1221</f>
        <v>0</v>
      </c>
      <c r="T1204">
        <f>Data!N1217</f>
        <v>0</v>
      </c>
      <c r="U1204">
        <f>Data!O1221</f>
        <v>0</v>
      </c>
      <c r="V1204" s="33">
        <f>Data!P1219</f>
        <v>0</v>
      </c>
    </row>
    <row r="1205" spans="7:22" x14ac:dyDescent="0.25">
      <c r="G1205">
        <f>Data!A1218</f>
        <v>0</v>
      </c>
      <c r="H1205" s="21">
        <f>Data!B1218</f>
        <v>0</v>
      </c>
      <c r="I1205" s="21">
        <f>Data!C1218</f>
        <v>0</v>
      </c>
      <c r="J1205">
        <f>Data!D1218</f>
        <v>0</v>
      </c>
      <c r="K1205">
        <f>Data!E1218</f>
        <v>0</v>
      </c>
      <c r="L1205">
        <f>Data!F1218</f>
        <v>0</v>
      </c>
      <c r="M1205">
        <f>Data!G1218</f>
        <v>0</v>
      </c>
      <c r="N1205">
        <f>Data!H1218</f>
        <v>0</v>
      </c>
      <c r="O1205">
        <f>Data!I1218</f>
        <v>0</v>
      </c>
      <c r="P1205" s="21">
        <f>Data!J1222</f>
        <v>0</v>
      </c>
      <c r="Q1205">
        <f>Data!K1222</f>
        <v>0</v>
      </c>
      <c r="R1205">
        <f>Data!L1222</f>
        <v>0</v>
      </c>
      <c r="S1205">
        <f>Data!M1222</f>
        <v>0</v>
      </c>
      <c r="T1205">
        <f>Data!N1218</f>
        <v>0</v>
      </c>
      <c r="U1205">
        <f>Data!O1222</f>
        <v>0</v>
      </c>
      <c r="V1205" s="33">
        <f>Data!P1220</f>
        <v>0</v>
      </c>
    </row>
    <row r="1206" spans="7:22" x14ac:dyDescent="0.25">
      <c r="G1206">
        <f>Data!A1219</f>
        <v>0</v>
      </c>
      <c r="H1206" s="21">
        <f>Data!B1219</f>
        <v>0</v>
      </c>
      <c r="I1206" s="21">
        <f>Data!C1219</f>
        <v>0</v>
      </c>
      <c r="J1206">
        <f>Data!D1219</f>
        <v>0</v>
      </c>
      <c r="K1206">
        <f>Data!E1219</f>
        <v>0</v>
      </c>
      <c r="L1206">
        <f>Data!F1219</f>
        <v>0</v>
      </c>
      <c r="M1206">
        <f>Data!G1219</f>
        <v>0</v>
      </c>
      <c r="N1206">
        <f>Data!H1219</f>
        <v>0</v>
      </c>
      <c r="O1206">
        <f>Data!I1219</f>
        <v>0</v>
      </c>
      <c r="P1206" s="21">
        <f>Data!J1223</f>
        <v>0</v>
      </c>
      <c r="Q1206">
        <f>Data!K1223</f>
        <v>0</v>
      </c>
      <c r="R1206">
        <f>Data!L1223</f>
        <v>0</v>
      </c>
      <c r="S1206">
        <f>Data!M1223</f>
        <v>0</v>
      </c>
      <c r="T1206">
        <f>Data!N1219</f>
        <v>0</v>
      </c>
      <c r="U1206">
        <f>Data!O1223</f>
        <v>0</v>
      </c>
      <c r="V1206" s="33">
        <f>Data!P1221</f>
        <v>0</v>
      </c>
    </row>
    <row r="1207" spans="7:22" x14ac:dyDescent="0.25">
      <c r="G1207">
        <f>Data!A1220</f>
        <v>0</v>
      </c>
      <c r="H1207" s="21">
        <f>Data!B1220</f>
        <v>0</v>
      </c>
      <c r="I1207" s="21">
        <f>Data!C1220</f>
        <v>0</v>
      </c>
      <c r="J1207">
        <f>Data!D1220</f>
        <v>0</v>
      </c>
      <c r="K1207">
        <f>Data!E1220</f>
        <v>0</v>
      </c>
      <c r="L1207">
        <f>Data!F1220</f>
        <v>0</v>
      </c>
      <c r="M1207">
        <f>Data!G1220</f>
        <v>0</v>
      </c>
      <c r="N1207">
        <f>Data!H1220</f>
        <v>0</v>
      </c>
      <c r="O1207">
        <f>Data!I1220</f>
        <v>0</v>
      </c>
      <c r="P1207" s="21">
        <f>Data!J1224</f>
        <v>0</v>
      </c>
      <c r="Q1207">
        <f>Data!K1224</f>
        <v>0</v>
      </c>
      <c r="R1207">
        <f>Data!L1224</f>
        <v>0</v>
      </c>
      <c r="S1207">
        <f>Data!M1224</f>
        <v>0</v>
      </c>
      <c r="T1207">
        <f>Data!N1220</f>
        <v>0</v>
      </c>
      <c r="U1207">
        <f>Data!O1224</f>
        <v>0</v>
      </c>
      <c r="V1207" s="33">
        <f>Data!P1222</f>
        <v>0</v>
      </c>
    </row>
    <row r="1208" spans="7:22" x14ac:dyDescent="0.25">
      <c r="G1208">
        <f>Data!A1221</f>
        <v>0</v>
      </c>
      <c r="H1208" s="21">
        <f>Data!B1221</f>
        <v>0</v>
      </c>
      <c r="I1208" s="21">
        <f>Data!C1221</f>
        <v>0</v>
      </c>
      <c r="J1208">
        <f>Data!D1221</f>
        <v>0</v>
      </c>
      <c r="K1208">
        <f>Data!E1221</f>
        <v>0</v>
      </c>
      <c r="L1208">
        <f>Data!F1221</f>
        <v>0</v>
      </c>
      <c r="M1208">
        <f>Data!G1221</f>
        <v>0</v>
      </c>
      <c r="N1208">
        <f>Data!H1221</f>
        <v>0</v>
      </c>
      <c r="O1208">
        <f>Data!I1221</f>
        <v>0</v>
      </c>
      <c r="P1208" s="21">
        <f>Data!J1225</f>
        <v>0</v>
      </c>
      <c r="Q1208">
        <f>Data!K1225</f>
        <v>0</v>
      </c>
      <c r="R1208">
        <f>Data!L1225</f>
        <v>0</v>
      </c>
      <c r="S1208">
        <f>Data!M1225</f>
        <v>0</v>
      </c>
      <c r="T1208">
        <f>Data!N1221</f>
        <v>0</v>
      </c>
      <c r="U1208">
        <f>Data!O1225</f>
        <v>0</v>
      </c>
      <c r="V1208" s="33">
        <f>Data!P1223</f>
        <v>0</v>
      </c>
    </row>
    <row r="1209" spans="7:22" x14ac:dyDescent="0.25">
      <c r="G1209">
        <f>Data!A1222</f>
        <v>0</v>
      </c>
      <c r="H1209" s="21">
        <f>Data!B1222</f>
        <v>0</v>
      </c>
      <c r="I1209" s="21">
        <f>Data!C1222</f>
        <v>0</v>
      </c>
      <c r="J1209">
        <f>Data!D1222</f>
        <v>0</v>
      </c>
      <c r="K1209">
        <f>Data!E1222</f>
        <v>0</v>
      </c>
      <c r="L1209">
        <f>Data!F1222</f>
        <v>0</v>
      </c>
      <c r="M1209">
        <f>Data!G1222</f>
        <v>0</v>
      </c>
      <c r="N1209">
        <f>Data!H1222</f>
        <v>0</v>
      </c>
      <c r="O1209">
        <f>Data!I1222</f>
        <v>0</v>
      </c>
      <c r="P1209" s="21">
        <f>Data!J1226</f>
        <v>0</v>
      </c>
      <c r="Q1209">
        <f>Data!K1226</f>
        <v>0</v>
      </c>
      <c r="R1209">
        <f>Data!L1226</f>
        <v>0</v>
      </c>
      <c r="S1209">
        <f>Data!M1226</f>
        <v>0</v>
      </c>
      <c r="T1209">
        <f>Data!N1222</f>
        <v>0</v>
      </c>
      <c r="U1209">
        <f>Data!O1226</f>
        <v>0</v>
      </c>
      <c r="V1209" s="33">
        <f>Data!P1224</f>
        <v>0</v>
      </c>
    </row>
    <row r="1210" spans="7:22" x14ac:dyDescent="0.25">
      <c r="G1210">
        <f>Data!A1223</f>
        <v>0</v>
      </c>
      <c r="H1210" s="21">
        <f>Data!B1223</f>
        <v>0</v>
      </c>
      <c r="I1210" s="21">
        <f>Data!C1223</f>
        <v>0</v>
      </c>
      <c r="J1210">
        <f>Data!D1223</f>
        <v>0</v>
      </c>
      <c r="K1210">
        <f>Data!E1223</f>
        <v>0</v>
      </c>
      <c r="L1210">
        <f>Data!F1223</f>
        <v>0</v>
      </c>
      <c r="M1210">
        <f>Data!G1223</f>
        <v>0</v>
      </c>
      <c r="N1210">
        <f>Data!H1223</f>
        <v>0</v>
      </c>
      <c r="O1210">
        <f>Data!I1223</f>
        <v>0</v>
      </c>
      <c r="P1210" s="21">
        <f>Data!J1227</f>
        <v>0</v>
      </c>
      <c r="Q1210">
        <f>Data!K1227</f>
        <v>0</v>
      </c>
      <c r="R1210">
        <f>Data!L1227</f>
        <v>0</v>
      </c>
      <c r="S1210">
        <f>Data!M1227</f>
        <v>0</v>
      </c>
      <c r="T1210">
        <f>Data!N1223</f>
        <v>0</v>
      </c>
      <c r="U1210">
        <f>Data!O1227</f>
        <v>0</v>
      </c>
      <c r="V1210" s="33">
        <f>Data!P1225</f>
        <v>0</v>
      </c>
    </row>
    <row r="1211" spans="7:22" x14ac:dyDescent="0.25">
      <c r="G1211">
        <f>Data!A1224</f>
        <v>0</v>
      </c>
      <c r="H1211" s="21">
        <f>Data!B1224</f>
        <v>0</v>
      </c>
      <c r="I1211" s="21">
        <f>Data!C1224</f>
        <v>0</v>
      </c>
      <c r="J1211">
        <f>Data!D1224</f>
        <v>0</v>
      </c>
      <c r="K1211">
        <f>Data!E1224</f>
        <v>0</v>
      </c>
      <c r="L1211">
        <f>Data!F1224</f>
        <v>0</v>
      </c>
      <c r="M1211">
        <f>Data!G1224</f>
        <v>0</v>
      </c>
      <c r="N1211">
        <f>Data!H1224</f>
        <v>0</v>
      </c>
      <c r="O1211">
        <f>Data!I1224</f>
        <v>0</v>
      </c>
      <c r="P1211" s="21">
        <f>Data!J1228</f>
        <v>0</v>
      </c>
      <c r="Q1211">
        <f>Data!K1228</f>
        <v>0</v>
      </c>
      <c r="R1211">
        <f>Data!L1228</f>
        <v>0</v>
      </c>
      <c r="S1211">
        <f>Data!M1228</f>
        <v>0</v>
      </c>
      <c r="T1211">
        <f>Data!N1224</f>
        <v>0</v>
      </c>
      <c r="U1211">
        <f>Data!O1228</f>
        <v>0</v>
      </c>
      <c r="V1211" s="33">
        <f>Data!P1226</f>
        <v>0</v>
      </c>
    </row>
    <row r="1212" spans="7:22" x14ac:dyDescent="0.25">
      <c r="G1212">
        <f>Data!A1225</f>
        <v>0</v>
      </c>
      <c r="H1212" s="21">
        <f>Data!B1225</f>
        <v>0</v>
      </c>
      <c r="I1212" s="21">
        <f>Data!C1225</f>
        <v>0</v>
      </c>
      <c r="J1212">
        <f>Data!D1225</f>
        <v>0</v>
      </c>
      <c r="K1212">
        <f>Data!E1225</f>
        <v>0</v>
      </c>
      <c r="L1212">
        <f>Data!F1225</f>
        <v>0</v>
      </c>
      <c r="M1212">
        <f>Data!G1225</f>
        <v>0</v>
      </c>
      <c r="N1212">
        <f>Data!H1225</f>
        <v>0</v>
      </c>
      <c r="O1212">
        <f>Data!I1225</f>
        <v>0</v>
      </c>
      <c r="P1212" s="21">
        <f>Data!J1229</f>
        <v>0</v>
      </c>
      <c r="Q1212">
        <f>Data!K1229</f>
        <v>0</v>
      </c>
      <c r="R1212">
        <f>Data!L1229</f>
        <v>0</v>
      </c>
      <c r="S1212">
        <f>Data!M1229</f>
        <v>0</v>
      </c>
      <c r="T1212">
        <f>Data!N1225</f>
        <v>0</v>
      </c>
      <c r="U1212">
        <f>Data!O1229</f>
        <v>0</v>
      </c>
      <c r="V1212" s="33">
        <f>Data!P1227</f>
        <v>0</v>
      </c>
    </row>
    <row r="1213" spans="7:22" x14ac:dyDescent="0.25">
      <c r="G1213">
        <f>Data!A1226</f>
        <v>0</v>
      </c>
      <c r="H1213" s="21">
        <f>Data!B1226</f>
        <v>0</v>
      </c>
      <c r="I1213" s="21">
        <f>Data!C1226</f>
        <v>0</v>
      </c>
      <c r="J1213">
        <f>Data!D1226</f>
        <v>0</v>
      </c>
      <c r="K1213">
        <f>Data!E1226</f>
        <v>0</v>
      </c>
      <c r="L1213">
        <f>Data!F1226</f>
        <v>0</v>
      </c>
      <c r="M1213">
        <f>Data!G1226</f>
        <v>0</v>
      </c>
      <c r="N1213">
        <f>Data!H1226</f>
        <v>0</v>
      </c>
      <c r="O1213">
        <f>Data!I1226</f>
        <v>0</v>
      </c>
      <c r="P1213" s="21">
        <f>Data!J1230</f>
        <v>0</v>
      </c>
      <c r="Q1213">
        <f>Data!K1230</f>
        <v>0</v>
      </c>
      <c r="R1213">
        <f>Data!L1230</f>
        <v>0</v>
      </c>
      <c r="S1213">
        <f>Data!M1230</f>
        <v>0</v>
      </c>
      <c r="T1213">
        <f>Data!N1226</f>
        <v>0</v>
      </c>
      <c r="U1213">
        <f>Data!O1230</f>
        <v>0</v>
      </c>
      <c r="V1213" s="33">
        <f>Data!P1228</f>
        <v>0</v>
      </c>
    </row>
    <row r="1214" spans="7:22" x14ac:dyDescent="0.25">
      <c r="G1214">
        <f>Data!A1227</f>
        <v>0</v>
      </c>
      <c r="H1214" s="21">
        <f>Data!B1227</f>
        <v>0</v>
      </c>
      <c r="I1214" s="21">
        <f>Data!C1227</f>
        <v>0</v>
      </c>
      <c r="J1214">
        <f>Data!D1227</f>
        <v>0</v>
      </c>
      <c r="K1214">
        <f>Data!E1227</f>
        <v>0</v>
      </c>
      <c r="L1214">
        <f>Data!F1227</f>
        <v>0</v>
      </c>
      <c r="M1214">
        <f>Data!G1227</f>
        <v>0</v>
      </c>
      <c r="N1214">
        <f>Data!H1227</f>
        <v>0</v>
      </c>
      <c r="O1214">
        <f>Data!I1227</f>
        <v>0</v>
      </c>
      <c r="P1214" s="21">
        <f>Data!J1231</f>
        <v>0</v>
      </c>
      <c r="Q1214">
        <f>Data!K1231</f>
        <v>0</v>
      </c>
      <c r="R1214">
        <f>Data!L1231</f>
        <v>0</v>
      </c>
      <c r="S1214">
        <f>Data!M1231</f>
        <v>0</v>
      </c>
      <c r="T1214">
        <f>Data!N1227</f>
        <v>0</v>
      </c>
      <c r="U1214">
        <f>Data!O1231</f>
        <v>0</v>
      </c>
      <c r="V1214" s="33">
        <f>Data!P1229</f>
        <v>0</v>
      </c>
    </row>
    <row r="1215" spans="7:22" x14ac:dyDescent="0.25">
      <c r="G1215">
        <f>Data!A1228</f>
        <v>0</v>
      </c>
      <c r="H1215" s="21">
        <f>Data!B1228</f>
        <v>0</v>
      </c>
      <c r="I1215" s="21">
        <f>Data!C1228</f>
        <v>0</v>
      </c>
      <c r="J1215">
        <f>Data!D1228</f>
        <v>0</v>
      </c>
      <c r="K1215">
        <f>Data!E1228</f>
        <v>0</v>
      </c>
      <c r="L1215">
        <f>Data!F1228</f>
        <v>0</v>
      </c>
      <c r="M1215">
        <f>Data!G1228</f>
        <v>0</v>
      </c>
      <c r="N1215">
        <f>Data!H1228</f>
        <v>0</v>
      </c>
      <c r="O1215">
        <f>Data!I1228</f>
        <v>0</v>
      </c>
      <c r="P1215" s="21">
        <f>Data!J1232</f>
        <v>0</v>
      </c>
      <c r="Q1215">
        <f>Data!K1232</f>
        <v>0</v>
      </c>
      <c r="R1215">
        <f>Data!L1232</f>
        <v>0</v>
      </c>
      <c r="S1215">
        <f>Data!M1232</f>
        <v>0</v>
      </c>
      <c r="T1215">
        <f>Data!N1228</f>
        <v>0</v>
      </c>
      <c r="U1215">
        <f>Data!O1232</f>
        <v>0</v>
      </c>
      <c r="V1215" s="33">
        <f>Data!P1230</f>
        <v>0</v>
      </c>
    </row>
    <row r="1216" spans="7:22" x14ac:dyDescent="0.25">
      <c r="G1216">
        <f>Data!A1229</f>
        <v>0</v>
      </c>
      <c r="H1216" s="21">
        <f>Data!B1229</f>
        <v>0</v>
      </c>
      <c r="I1216" s="21">
        <f>Data!C1229</f>
        <v>0</v>
      </c>
      <c r="J1216">
        <f>Data!D1229</f>
        <v>0</v>
      </c>
      <c r="K1216">
        <f>Data!E1229</f>
        <v>0</v>
      </c>
      <c r="L1216">
        <f>Data!F1229</f>
        <v>0</v>
      </c>
      <c r="M1216">
        <f>Data!G1229</f>
        <v>0</v>
      </c>
      <c r="N1216">
        <f>Data!H1229</f>
        <v>0</v>
      </c>
      <c r="O1216">
        <f>Data!I1229</f>
        <v>0</v>
      </c>
      <c r="P1216" s="21">
        <f>Data!J1233</f>
        <v>0</v>
      </c>
      <c r="Q1216">
        <f>Data!K1233</f>
        <v>0</v>
      </c>
      <c r="R1216">
        <f>Data!L1233</f>
        <v>0</v>
      </c>
      <c r="S1216">
        <f>Data!M1233</f>
        <v>0</v>
      </c>
      <c r="T1216">
        <f>Data!N1229</f>
        <v>0</v>
      </c>
      <c r="U1216">
        <f>Data!O1233</f>
        <v>0</v>
      </c>
      <c r="V1216" s="33">
        <f>Data!P1231</f>
        <v>0</v>
      </c>
    </row>
    <row r="1217" spans="7:22" x14ac:dyDescent="0.25">
      <c r="G1217">
        <f>Data!A1230</f>
        <v>0</v>
      </c>
      <c r="H1217" s="21">
        <f>Data!B1230</f>
        <v>0</v>
      </c>
      <c r="I1217" s="21">
        <f>Data!C1230</f>
        <v>0</v>
      </c>
      <c r="J1217">
        <f>Data!D1230</f>
        <v>0</v>
      </c>
      <c r="K1217">
        <f>Data!E1230</f>
        <v>0</v>
      </c>
      <c r="L1217">
        <f>Data!F1230</f>
        <v>0</v>
      </c>
      <c r="M1217">
        <f>Data!G1230</f>
        <v>0</v>
      </c>
      <c r="N1217">
        <f>Data!H1230</f>
        <v>0</v>
      </c>
      <c r="O1217">
        <f>Data!I1230</f>
        <v>0</v>
      </c>
      <c r="P1217" s="21">
        <f>Data!J1234</f>
        <v>0</v>
      </c>
      <c r="Q1217">
        <f>Data!K1234</f>
        <v>0</v>
      </c>
      <c r="R1217">
        <f>Data!L1234</f>
        <v>0</v>
      </c>
      <c r="S1217">
        <f>Data!M1234</f>
        <v>0</v>
      </c>
      <c r="T1217">
        <f>Data!N1230</f>
        <v>0</v>
      </c>
      <c r="U1217">
        <f>Data!O1234</f>
        <v>0</v>
      </c>
      <c r="V1217" s="33">
        <f>Data!P1232</f>
        <v>0</v>
      </c>
    </row>
    <row r="1218" spans="7:22" x14ac:dyDescent="0.25">
      <c r="G1218">
        <f>Data!A1231</f>
        <v>0</v>
      </c>
      <c r="H1218" s="21">
        <f>Data!B1231</f>
        <v>0</v>
      </c>
      <c r="I1218" s="21">
        <f>Data!C1231</f>
        <v>0</v>
      </c>
      <c r="J1218">
        <f>Data!D1231</f>
        <v>0</v>
      </c>
      <c r="K1218">
        <f>Data!E1231</f>
        <v>0</v>
      </c>
      <c r="L1218">
        <f>Data!F1231</f>
        <v>0</v>
      </c>
      <c r="M1218">
        <f>Data!G1231</f>
        <v>0</v>
      </c>
      <c r="N1218">
        <f>Data!H1231</f>
        <v>0</v>
      </c>
      <c r="O1218">
        <f>Data!I1231</f>
        <v>0</v>
      </c>
      <c r="P1218" s="21">
        <f>Data!J1235</f>
        <v>0</v>
      </c>
      <c r="Q1218">
        <f>Data!K1235</f>
        <v>0</v>
      </c>
      <c r="R1218">
        <f>Data!L1235</f>
        <v>0</v>
      </c>
      <c r="S1218">
        <f>Data!M1235</f>
        <v>0</v>
      </c>
      <c r="T1218">
        <f>Data!N1231</f>
        <v>0</v>
      </c>
      <c r="U1218">
        <f>Data!O1235</f>
        <v>0</v>
      </c>
      <c r="V1218" s="33">
        <f>Data!P1233</f>
        <v>0</v>
      </c>
    </row>
    <row r="1219" spans="7:22" x14ac:dyDescent="0.25">
      <c r="G1219">
        <f>Data!A1232</f>
        <v>0</v>
      </c>
      <c r="H1219" s="21">
        <f>Data!B1232</f>
        <v>0</v>
      </c>
      <c r="I1219" s="21">
        <f>Data!C1232</f>
        <v>0</v>
      </c>
      <c r="J1219">
        <f>Data!D1232</f>
        <v>0</v>
      </c>
      <c r="K1219">
        <f>Data!E1232</f>
        <v>0</v>
      </c>
      <c r="L1219">
        <f>Data!F1232</f>
        <v>0</v>
      </c>
      <c r="M1219">
        <f>Data!G1232</f>
        <v>0</v>
      </c>
      <c r="N1219">
        <f>Data!H1232</f>
        <v>0</v>
      </c>
      <c r="O1219">
        <f>Data!I1232</f>
        <v>0</v>
      </c>
      <c r="P1219" s="21">
        <f>Data!J1236</f>
        <v>0</v>
      </c>
      <c r="Q1219">
        <f>Data!K1236</f>
        <v>0</v>
      </c>
      <c r="R1219">
        <f>Data!L1236</f>
        <v>0</v>
      </c>
      <c r="S1219">
        <f>Data!M1236</f>
        <v>0</v>
      </c>
      <c r="T1219">
        <f>Data!N1232</f>
        <v>0</v>
      </c>
      <c r="U1219">
        <f>Data!O1236</f>
        <v>0</v>
      </c>
      <c r="V1219" s="33">
        <f>Data!P1234</f>
        <v>0</v>
      </c>
    </row>
    <row r="1220" spans="7:22" x14ac:dyDescent="0.25">
      <c r="G1220">
        <f>Data!A1233</f>
        <v>0</v>
      </c>
      <c r="H1220" s="21">
        <f>Data!B1233</f>
        <v>0</v>
      </c>
      <c r="I1220" s="21">
        <f>Data!C1233</f>
        <v>0</v>
      </c>
      <c r="J1220">
        <f>Data!D1233</f>
        <v>0</v>
      </c>
      <c r="K1220">
        <f>Data!E1233</f>
        <v>0</v>
      </c>
      <c r="L1220">
        <f>Data!F1233</f>
        <v>0</v>
      </c>
      <c r="M1220">
        <f>Data!G1233</f>
        <v>0</v>
      </c>
      <c r="N1220">
        <f>Data!H1233</f>
        <v>0</v>
      </c>
      <c r="O1220">
        <f>Data!I1233</f>
        <v>0</v>
      </c>
      <c r="P1220" s="21">
        <f>Data!J1237</f>
        <v>0</v>
      </c>
      <c r="Q1220">
        <f>Data!K1237</f>
        <v>0</v>
      </c>
      <c r="R1220">
        <f>Data!L1237</f>
        <v>0</v>
      </c>
      <c r="S1220">
        <f>Data!M1237</f>
        <v>0</v>
      </c>
      <c r="T1220">
        <f>Data!N1233</f>
        <v>0</v>
      </c>
      <c r="U1220">
        <f>Data!O1237</f>
        <v>0</v>
      </c>
      <c r="V1220" s="33">
        <f>Data!P1235</f>
        <v>0</v>
      </c>
    </row>
    <row r="1221" spans="7:22" x14ac:dyDescent="0.25">
      <c r="G1221">
        <f>Data!A1234</f>
        <v>0</v>
      </c>
      <c r="H1221" s="21">
        <f>Data!B1234</f>
        <v>0</v>
      </c>
      <c r="I1221" s="21">
        <f>Data!C1234</f>
        <v>0</v>
      </c>
      <c r="J1221">
        <f>Data!D1234</f>
        <v>0</v>
      </c>
      <c r="K1221">
        <f>Data!E1234</f>
        <v>0</v>
      </c>
      <c r="L1221">
        <f>Data!F1234</f>
        <v>0</v>
      </c>
      <c r="M1221">
        <f>Data!G1234</f>
        <v>0</v>
      </c>
      <c r="N1221">
        <f>Data!H1234</f>
        <v>0</v>
      </c>
      <c r="O1221">
        <f>Data!I1234</f>
        <v>0</v>
      </c>
      <c r="P1221" s="21">
        <f>Data!J1238</f>
        <v>0</v>
      </c>
      <c r="Q1221">
        <f>Data!K1238</f>
        <v>0</v>
      </c>
      <c r="R1221">
        <f>Data!L1238</f>
        <v>0</v>
      </c>
      <c r="S1221">
        <f>Data!M1238</f>
        <v>0</v>
      </c>
      <c r="T1221">
        <f>Data!N1234</f>
        <v>0</v>
      </c>
      <c r="U1221">
        <f>Data!O1238</f>
        <v>0</v>
      </c>
      <c r="V1221" s="33">
        <f>Data!P1236</f>
        <v>0</v>
      </c>
    </row>
    <row r="1222" spans="7:22" x14ac:dyDescent="0.25">
      <c r="G1222">
        <f>Data!A1235</f>
        <v>0</v>
      </c>
      <c r="H1222" s="21">
        <f>Data!B1235</f>
        <v>0</v>
      </c>
      <c r="I1222" s="21">
        <f>Data!C1235</f>
        <v>0</v>
      </c>
      <c r="J1222">
        <f>Data!D1235</f>
        <v>0</v>
      </c>
      <c r="K1222">
        <f>Data!E1235</f>
        <v>0</v>
      </c>
      <c r="L1222">
        <f>Data!F1235</f>
        <v>0</v>
      </c>
      <c r="M1222">
        <f>Data!G1235</f>
        <v>0</v>
      </c>
      <c r="N1222">
        <f>Data!H1235</f>
        <v>0</v>
      </c>
      <c r="O1222">
        <f>Data!I1235</f>
        <v>0</v>
      </c>
      <c r="P1222" s="21">
        <f>Data!J1239</f>
        <v>0</v>
      </c>
      <c r="Q1222">
        <f>Data!K1239</f>
        <v>0</v>
      </c>
      <c r="R1222">
        <f>Data!L1239</f>
        <v>0</v>
      </c>
      <c r="S1222">
        <f>Data!M1239</f>
        <v>0</v>
      </c>
      <c r="T1222">
        <f>Data!N1235</f>
        <v>0</v>
      </c>
      <c r="U1222">
        <f>Data!O1239</f>
        <v>0</v>
      </c>
      <c r="V1222" s="33">
        <f>Data!P1237</f>
        <v>0</v>
      </c>
    </row>
    <row r="1223" spans="7:22" x14ac:dyDescent="0.25">
      <c r="G1223">
        <f>Data!A1236</f>
        <v>0</v>
      </c>
      <c r="H1223" s="21">
        <f>Data!B1236</f>
        <v>0</v>
      </c>
      <c r="I1223" s="21">
        <f>Data!C1236</f>
        <v>0</v>
      </c>
      <c r="J1223">
        <f>Data!D1236</f>
        <v>0</v>
      </c>
      <c r="K1223">
        <f>Data!E1236</f>
        <v>0</v>
      </c>
      <c r="L1223">
        <f>Data!F1236</f>
        <v>0</v>
      </c>
      <c r="M1223">
        <f>Data!G1236</f>
        <v>0</v>
      </c>
      <c r="N1223">
        <f>Data!H1236</f>
        <v>0</v>
      </c>
      <c r="O1223">
        <f>Data!I1236</f>
        <v>0</v>
      </c>
      <c r="P1223" s="21">
        <f>Data!J1240</f>
        <v>0</v>
      </c>
      <c r="Q1223">
        <f>Data!K1240</f>
        <v>0</v>
      </c>
      <c r="R1223">
        <f>Data!L1240</f>
        <v>0</v>
      </c>
      <c r="S1223">
        <f>Data!M1240</f>
        <v>0</v>
      </c>
      <c r="T1223">
        <f>Data!N1236</f>
        <v>0</v>
      </c>
      <c r="U1223">
        <f>Data!O1240</f>
        <v>0</v>
      </c>
      <c r="V1223" s="33">
        <f>Data!P1238</f>
        <v>0</v>
      </c>
    </row>
    <row r="1224" spans="7:22" x14ac:dyDescent="0.25">
      <c r="G1224">
        <f>Data!A1237</f>
        <v>0</v>
      </c>
      <c r="H1224" s="21">
        <f>Data!B1237</f>
        <v>0</v>
      </c>
      <c r="I1224" s="21">
        <f>Data!C1237</f>
        <v>0</v>
      </c>
      <c r="J1224">
        <f>Data!D1237</f>
        <v>0</v>
      </c>
      <c r="K1224">
        <f>Data!E1237</f>
        <v>0</v>
      </c>
      <c r="L1224">
        <f>Data!F1237</f>
        <v>0</v>
      </c>
      <c r="M1224">
        <f>Data!G1237</f>
        <v>0</v>
      </c>
      <c r="N1224">
        <f>Data!H1237</f>
        <v>0</v>
      </c>
      <c r="O1224">
        <f>Data!I1237</f>
        <v>0</v>
      </c>
      <c r="P1224" s="21">
        <f>Data!J1241</f>
        <v>0</v>
      </c>
      <c r="Q1224">
        <f>Data!K1241</f>
        <v>0</v>
      </c>
      <c r="R1224">
        <f>Data!L1241</f>
        <v>0</v>
      </c>
      <c r="S1224">
        <f>Data!M1241</f>
        <v>0</v>
      </c>
      <c r="T1224">
        <f>Data!N1237</f>
        <v>0</v>
      </c>
      <c r="U1224">
        <f>Data!O1241</f>
        <v>0</v>
      </c>
      <c r="V1224" s="33">
        <f>Data!P1239</f>
        <v>0</v>
      </c>
    </row>
    <row r="1225" spans="7:22" x14ac:dyDescent="0.25">
      <c r="G1225">
        <f>Data!A1238</f>
        <v>0</v>
      </c>
      <c r="H1225" s="21">
        <f>Data!B1238</f>
        <v>0</v>
      </c>
      <c r="I1225" s="21">
        <f>Data!C1238</f>
        <v>0</v>
      </c>
      <c r="J1225">
        <f>Data!D1238</f>
        <v>0</v>
      </c>
      <c r="K1225">
        <f>Data!E1238</f>
        <v>0</v>
      </c>
      <c r="L1225">
        <f>Data!F1238</f>
        <v>0</v>
      </c>
      <c r="M1225">
        <f>Data!G1238</f>
        <v>0</v>
      </c>
      <c r="N1225">
        <f>Data!H1238</f>
        <v>0</v>
      </c>
      <c r="O1225">
        <f>Data!I1238</f>
        <v>0</v>
      </c>
      <c r="P1225" s="21">
        <f>Data!J1242</f>
        <v>0</v>
      </c>
      <c r="Q1225">
        <f>Data!K1242</f>
        <v>0</v>
      </c>
      <c r="R1225">
        <f>Data!L1242</f>
        <v>0</v>
      </c>
      <c r="S1225">
        <f>Data!M1242</f>
        <v>0</v>
      </c>
      <c r="T1225">
        <f>Data!N1238</f>
        <v>0</v>
      </c>
      <c r="U1225">
        <f>Data!O1242</f>
        <v>0</v>
      </c>
      <c r="V1225" s="33">
        <f>Data!P1240</f>
        <v>0</v>
      </c>
    </row>
    <row r="1226" spans="7:22" x14ac:dyDescent="0.25">
      <c r="G1226">
        <f>Data!A1239</f>
        <v>0</v>
      </c>
      <c r="H1226" s="21">
        <f>Data!B1239</f>
        <v>0</v>
      </c>
      <c r="I1226" s="21">
        <f>Data!C1239</f>
        <v>0</v>
      </c>
      <c r="J1226">
        <f>Data!D1239</f>
        <v>0</v>
      </c>
      <c r="K1226">
        <f>Data!E1239</f>
        <v>0</v>
      </c>
      <c r="L1226">
        <f>Data!F1239</f>
        <v>0</v>
      </c>
      <c r="M1226">
        <f>Data!G1239</f>
        <v>0</v>
      </c>
      <c r="N1226">
        <f>Data!H1239</f>
        <v>0</v>
      </c>
      <c r="O1226">
        <f>Data!I1239</f>
        <v>0</v>
      </c>
      <c r="P1226" s="21">
        <f>Data!J1243</f>
        <v>0</v>
      </c>
      <c r="Q1226">
        <f>Data!K1243</f>
        <v>0</v>
      </c>
      <c r="R1226">
        <f>Data!L1243</f>
        <v>0</v>
      </c>
      <c r="S1226">
        <f>Data!M1243</f>
        <v>0</v>
      </c>
      <c r="T1226">
        <f>Data!N1239</f>
        <v>0</v>
      </c>
      <c r="U1226">
        <f>Data!O1243</f>
        <v>0</v>
      </c>
      <c r="V1226" s="33">
        <f>Data!P1241</f>
        <v>0</v>
      </c>
    </row>
    <row r="1227" spans="7:22" x14ac:dyDescent="0.25">
      <c r="G1227">
        <f>Data!A1240</f>
        <v>0</v>
      </c>
      <c r="H1227" s="21">
        <f>Data!B1240</f>
        <v>0</v>
      </c>
      <c r="I1227" s="21">
        <f>Data!C1240</f>
        <v>0</v>
      </c>
      <c r="J1227">
        <f>Data!D1240</f>
        <v>0</v>
      </c>
      <c r="K1227">
        <f>Data!E1240</f>
        <v>0</v>
      </c>
      <c r="L1227">
        <f>Data!F1240</f>
        <v>0</v>
      </c>
      <c r="M1227">
        <f>Data!G1240</f>
        <v>0</v>
      </c>
      <c r="N1227">
        <f>Data!H1240</f>
        <v>0</v>
      </c>
      <c r="O1227">
        <f>Data!I1240</f>
        <v>0</v>
      </c>
      <c r="P1227" s="21">
        <f>Data!J1244</f>
        <v>0</v>
      </c>
      <c r="Q1227">
        <f>Data!K1244</f>
        <v>0</v>
      </c>
      <c r="R1227">
        <f>Data!L1244</f>
        <v>0</v>
      </c>
      <c r="S1227">
        <f>Data!M1244</f>
        <v>0</v>
      </c>
      <c r="T1227">
        <f>Data!N1240</f>
        <v>0</v>
      </c>
      <c r="U1227">
        <f>Data!O1244</f>
        <v>0</v>
      </c>
      <c r="V1227" s="33">
        <f>Data!P1242</f>
        <v>0</v>
      </c>
    </row>
    <row r="1228" spans="7:22" x14ac:dyDescent="0.25">
      <c r="G1228">
        <f>Data!A1241</f>
        <v>0</v>
      </c>
      <c r="H1228" s="21">
        <f>Data!B1241</f>
        <v>0</v>
      </c>
      <c r="I1228" s="21">
        <f>Data!C1241</f>
        <v>0</v>
      </c>
      <c r="J1228">
        <f>Data!D1241</f>
        <v>0</v>
      </c>
      <c r="K1228">
        <f>Data!E1241</f>
        <v>0</v>
      </c>
      <c r="L1228">
        <f>Data!F1241</f>
        <v>0</v>
      </c>
      <c r="M1228">
        <f>Data!G1241</f>
        <v>0</v>
      </c>
      <c r="N1228">
        <f>Data!H1241</f>
        <v>0</v>
      </c>
      <c r="O1228">
        <f>Data!I1241</f>
        <v>0</v>
      </c>
      <c r="P1228" s="21">
        <f>Data!J1245</f>
        <v>0</v>
      </c>
      <c r="Q1228">
        <f>Data!K1245</f>
        <v>0</v>
      </c>
      <c r="R1228">
        <f>Data!L1245</f>
        <v>0</v>
      </c>
      <c r="S1228">
        <f>Data!M1245</f>
        <v>0</v>
      </c>
      <c r="T1228">
        <f>Data!N1241</f>
        <v>0</v>
      </c>
      <c r="U1228">
        <f>Data!O1245</f>
        <v>0</v>
      </c>
      <c r="V1228" s="33">
        <f>Data!P1243</f>
        <v>0</v>
      </c>
    </row>
    <row r="1229" spans="7:22" x14ac:dyDescent="0.25">
      <c r="G1229">
        <f>Data!A1242</f>
        <v>0</v>
      </c>
      <c r="H1229" s="21">
        <f>Data!B1242</f>
        <v>0</v>
      </c>
      <c r="I1229" s="21">
        <f>Data!C1242</f>
        <v>0</v>
      </c>
      <c r="J1229">
        <f>Data!D1242</f>
        <v>0</v>
      </c>
      <c r="K1229">
        <f>Data!E1242</f>
        <v>0</v>
      </c>
      <c r="L1229">
        <f>Data!F1242</f>
        <v>0</v>
      </c>
      <c r="M1229">
        <f>Data!G1242</f>
        <v>0</v>
      </c>
      <c r="N1229">
        <f>Data!H1242</f>
        <v>0</v>
      </c>
      <c r="O1229">
        <f>Data!I1242</f>
        <v>0</v>
      </c>
      <c r="P1229" s="21">
        <f>Data!J1246</f>
        <v>0</v>
      </c>
      <c r="Q1229">
        <f>Data!K1246</f>
        <v>0</v>
      </c>
      <c r="R1229">
        <f>Data!L1246</f>
        <v>0</v>
      </c>
      <c r="S1229">
        <f>Data!M1246</f>
        <v>0</v>
      </c>
      <c r="T1229">
        <f>Data!N1242</f>
        <v>0</v>
      </c>
      <c r="U1229">
        <f>Data!O1246</f>
        <v>0</v>
      </c>
      <c r="V1229" s="33">
        <f>Data!P1244</f>
        <v>0</v>
      </c>
    </row>
    <row r="1230" spans="7:22" x14ac:dyDescent="0.25">
      <c r="G1230">
        <f>Data!A1243</f>
        <v>0</v>
      </c>
      <c r="H1230" s="21">
        <f>Data!B1243</f>
        <v>0</v>
      </c>
      <c r="I1230" s="21">
        <f>Data!C1243</f>
        <v>0</v>
      </c>
      <c r="J1230">
        <f>Data!D1243</f>
        <v>0</v>
      </c>
      <c r="K1230">
        <f>Data!E1243</f>
        <v>0</v>
      </c>
      <c r="L1230">
        <f>Data!F1243</f>
        <v>0</v>
      </c>
      <c r="M1230">
        <f>Data!G1243</f>
        <v>0</v>
      </c>
      <c r="N1230">
        <f>Data!H1243</f>
        <v>0</v>
      </c>
      <c r="O1230">
        <f>Data!I1243</f>
        <v>0</v>
      </c>
      <c r="P1230" s="21">
        <f>Data!J1247</f>
        <v>0</v>
      </c>
      <c r="Q1230">
        <f>Data!K1247</f>
        <v>0</v>
      </c>
      <c r="R1230">
        <f>Data!L1247</f>
        <v>0</v>
      </c>
      <c r="S1230">
        <f>Data!M1247</f>
        <v>0</v>
      </c>
      <c r="T1230">
        <f>Data!N1243</f>
        <v>0</v>
      </c>
      <c r="U1230">
        <f>Data!O1247</f>
        <v>0</v>
      </c>
      <c r="V1230" s="33">
        <f>Data!P1245</f>
        <v>0</v>
      </c>
    </row>
    <row r="1231" spans="7:22" x14ac:dyDescent="0.25">
      <c r="G1231">
        <f>Data!A1244</f>
        <v>0</v>
      </c>
      <c r="H1231" s="21">
        <f>Data!B1244</f>
        <v>0</v>
      </c>
      <c r="I1231" s="21">
        <f>Data!C1244</f>
        <v>0</v>
      </c>
      <c r="J1231">
        <f>Data!D1244</f>
        <v>0</v>
      </c>
      <c r="K1231">
        <f>Data!E1244</f>
        <v>0</v>
      </c>
      <c r="L1231">
        <f>Data!F1244</f>
        <v>0</v>
      </c>
      <c r="M1231">
        <f>Data!G1244</f>
        <v>0</v>
      </c>
      <c r="N1231">
        <f>Data!H1244</f>
        <v>0</v>
      </c>
      <c r="O1231">
        <f>Data!I1244</f>
        <v>0</v>
      </c>
      <c r="P1231" s="21">
        <f>Data!J1248</f>
        <v>0</v>
      </c>
      <c r="Q1231">
        <f>Data!K1248</f>
        <v>0</v>
      </c>
      <c r="R1231">
        <f>Data!L1248</f>
        <v>0</v>
      </c>
      <c r="S1231">
        <f>Data!M1248</f>
        <v>0</v>
      </c>
      <c r="T1231">
        <f>Data!N1244</f>
        <v>0</v>
      </c>
      <c r="U1231">
        <f>Data!O1248</f>
        <v>0</v>
      </c>
      <c r="V1231" s="33">
        <f>Data!P1246</f>
        <v>0</v>
      </c>
    </row>
    <row r="1232" spans="7:22" x14ac:dyDescent="0.25">
      <c r="G1232">
        <f>Data!A1245</f>
        <v>0</v>
      </c>
      <c r="H1232" s="21">
        <f>Data!B1245</f>
        <v>0</v>
      </c>
      <c r="I1232" s="21">
        <f>Data!C1245</f>
        <v>0</v>
      </c>
      <c r="J1232">
        <f>Data!D1245</f>
        <v>0</v>
      </c>
      <c r="K1232">
        <f>Data!E1245</f>
        <v>0</v>
      </c>
      <c r="L1232">
        <f>Data!F1245</f>
        <v>0</v>
      </c>
      <c r="M1232">
        <f>Data!G1245</f>
        <v>0</v>
      </c>
      <c r="N1232">
        <f>Data!H1245</f>
        <v>0</v>
      </c>
      <c r="O1232">
        <f>Data!I1245</f>
        <v>0</v>
      </c>
      <c r="P1232" s="21">
        <f>Data!J1249</f>
        <v>0</v>
      </c>
      <c r="Q1232">
        <f>Data!K1249</f>
        <v>0</v>
      </c>
      <c r="R1232">
        <f>Data!L1249</f>
        <v>0</v>
      </c>
      <c r="S1232">
        <f>Data!M1249</f>
        <v>0</v>
      </c>
      <c r="T1232">
        <f>Data!N1245</f>
        <v>0</v>
      </c>
      <c r="U1232">
        <f>Data!O1249</f>
        <v>0</v>
      </c>
      <c r="V1232" s="33">
        <f>Data!P1247</f>
        <v>0</v>
      </c>
    </row>
    <row r="1233" spans="7:22" x14ac:dyDescent="0.25">
      <c r="G1233">
        <f>Data!A1246</f>
        <v>0</v>
      </c>
      <c r="H1233" s="21">
        <f>Data!B1246</f>
        <v>0</v>
      </c>
      <c r="I1233" s="21">
        <f>Data!C1246</f>
        <v>0</v>
      </c>
      <c r="J1233">
        <f>Data!D1246</f>
        <v>0</v>
      </c>
      <c r="K1233">
        <f>Data!E1246</f>
        <v>0</v>
      </c>
      <c r="L1233">
        <f>Data!F1246</f>
        <v>0</v>
      </c>
      <c r="M1233">
        <f>Data!G1246</f>
        <v>0</v>
      </c>
      <c r="N1233">
        <f>Data!H1246</f>
        <v>0</v>
      </c>
      <c r="O1233">
        <f>Data!I1246</f>
        <v>0</v>
      </c>
      <c r="P1233" s="21">
        <f>Data!J1250</f>
        <v>0</v>
      </c>
      <c r="Q1233">
        <f>Data!K1250</f>
        <v>0</v>
      </c>
      <c r="R1233">
        <f>Data!L1250</f>
        <v>0</v>
      </c>
      <c r="S1233">
        <f>Data!M1250</f>
        <v>0</v>
      </c>
      <c r="T1233">
        <f>Data!N1246</f>
        <v>0</v>
      </c>
      <c r="U1233">
        <f>Data!O1250</f>
        <v>0</v>
      </c>
      <c r="V1233" s="33">
        <f>Data!P1248</f>
        <v>0</v>
      </c>
    </row>
    <row r="1234" spans="7:22" x14ac:dyDescent="0.25">
      <c r="G1234">
        <f>Data!A1247</f>
        <v>0</v>
      </c>
      <c r="H1234" s="21">
        <f>Data!B1247</f>
        <v>0</v>
      </c>
      <c r="I1234" s="21">
        <f>Data!C1247</f>
        <v>0</v>
      </c>
      <c r="J1234">
        <f>Data!D1247</f>
        <v>0</v>
      </c>
      <c r="K1234">
        <f>Data!E1247</f>
        <v>0</v>
      </c>
      <c r="L1234">
        <f>Data!F1247</f>
        <v>0</v>
      </c>
      <c r="M1234">
        <f>Data!G1247</f>
        <v>0</v>
      </c>
      <c r="N1234">
        <f>Data!H1247</f>
        <v>0</v>
      </c>
      <c r="O1234">
        <f>Data!I1247</f>
        <v>0</v>
      </c>
      <c r="P1234" s="21">
        <f>Data!J1251</f>
        <v>0</v>
      </c>
      <c r="Q1234">
        <f>Data!K1251</f>
        <v>0</v>
      </c>
      <c r="R1234">
        <f>Data!L1251</f>
        <v>0</v>
      </c>
      <c r="S1234">
        <f>Data!M1251</f>
        <v>0</v>
      </c>
      <c r="T1234">
        <f>Data!N1247</f>
        <v>0</v>
      </c>
      <c r="U1234">
        <f>Data!O1251</f>
        <v>0</v>
      </c>
      <c r="V1234" s="33">
        <f>Data!P1249</f>
        <v>0</v>
      </c>
    </row>
    <row r="1235" spans="7:22" x14ac:dyDescent="0.25">
      <c r="G1235">
        <f>Data!A1248</f>
        <v>0</v>
      </c>
      <c r="H1235" s="21">
        <f>Data!B1248</f>
        <v>0</v>
      </c>
      <c r="I1235" s="21">
        <f>Data!C1248</f>
        <v>0</v>
      </c>
      <c r="J1235">
        <f>Data!D1248</f>
        <v>0</v>
      </c>
      <c r="K1235">
        <f>Data!E1248</f>
        <v>0</v>
      </c>
      <c r="L1235">
        <f>Data!F1248</f>
        <v>0</v>
      </c>
      <c r="M1235">
        <f>Data!G1248</f>
        <v>0</v>
      </c>
      <c r="N1235">
        <f>Data!H1248</f>
        <v>0</v>
      </c>
      <c r="O1235">
        <f>Data!I1248</f>
        <v>0</v>
      </c>
      <c r="P1235" s="21">
        <f>Data!J1252</f>
        <v>0</v>
      </c>
      <c r="Q1235">
        <f>Data!K1252</f>
        <v>0</v>
      </c>
      <c r="R1235">
        <f>Data!L1252</f>
        <v>0</v>
      </c>
      <c r="S1235">
        <f>Data!M1252</f>
        <v>0</v>
      </c>
      <c r="T1235">
        <f>Data!N1248</f>
        <v>0</v>
      </c>
      <c r="U1235">
        <f>Data!O1252</f>
        <v>0</v>
      </c>
      <c r="V1235" s="33">
        <f>Data!P1250</f>
        <v>0</v>
      </c>
    </row>
    <row r="1236" spans="7:22" x14ac:dyDescent="0.25">
      <c r="G1236">
        <f>Data!A1249</f>
        <v>0</v>
      </c>
      <c r="H1236" s="21">
        <f>Data!B1249</f>
        <v>0</v>
      </c>
      <c r="I1236" s="21">
        <f>Data!C1249</f>
        <v>0</v>
      </c>
      <c r="J1236">
        <f>Data!D1249</f>
        <v>0</v>
      </c>
      <c r="K1236">
        <f>Data!E1249</f>
        <v>0</v>
      </c>
      <c r="L1236">
        <f>Data!F1249</f>
        <v>0</v>
      </c>
      <c r="M1236">
        <f>Data!G1249</f>
        <v>0</v>
      </c>
      <c r="N1236">
        <f>Data!H1249</f>
        <v>0</v>
      </c>
      <c r="O1236">
        <f>Data!I1249</f>
        <v>0</v>
      </c>
      <c r="P1236" s="21">
        <f>Data!J1253</f>
        <v>0</v>
      </c>
      <c r="Q1236">
        <f>Data!K1253</f>
        <v>0</v>
      </c>
      <c r="R1236">
        <f>Data!L1253</f>
        <v>0</v>
      </c>
      <c r="S1236">
        <f>Data!M1253</f>
        <v>0</v>
      </c>
      <c r="T1236">
        <f>Data!N1249</f>
        <v>0</v>
      </c>
      <c r="U1236">
        <f>Data!O1253</f>
        <v>0</v>
      </c>
      <c r="V1236" s="33">
        <f>Data!P1251</f>
        <v>0</v>
      </c>
    </row>
    <row r="1237" spans="7:22" x14ac:dyDescent="0.25">
      <c r="G1237">
        <f>Data!A1250</f>
        <v>0</v>
      </c>
      <c r="H1237" s="21">
        <f>Data!B1250</f>
        <v>0</v>
      </c>
      <c r="I1237" s="21">
        <f>Data!C1250</f>
        <v>0</v>
      </c>
      <c r="J1237">
        <f>Data!D1250</f>
        <v>0</v>
      </c>
      <c r="K1237">
        <f>Data!E1250</f>
        <v>0</v>
      </c>
      <c r="L1237">
        <f>Data!F1250</f>
        <v>0</v>
      </c>
      <c r="M1237">
        <f>Data!G1250</f>
        <v>0</v>
      </c>
      <c r="N1237">
        <f>Data!H1250</f>
        <v>0</v>
      </c>
      <c r="O1237">
        <f>Data!I1250</f>
        <v>0</v>
      </c>
      <c r="P1237" s="21">
        <f>Data!J1254</f>
        <v>0</v>
      </c>
      <c r="Q1237">
        <f>Data!K1254</f>
        <v>0</v>
      </c>
      <c r="R1237">
        <f>Data!L1254</f>
        <v>0</v>
      </c>
      <c r="S1237">
        <f>Data!M1254</f>
        <v>0</v>
      </c>
      <c r="T1237">
        <f>Data!N1250</f>
        <v>0</v>
      </c>
      <c r="U1237">
        <f>Data!O1254</f>
        <v>0</v>
      </c>
      <c r="V1237" s="33">
        <f>Data!P1252</f>
        <v>0</v>
      </c>
    </row>
    <row r="1238" spans="7:22" x14ac:dyDescent="0.25">
      <c r="G1238">
        <f>Data!A1251</f>
        <v>0</v>
      </c>
      <c r="H1238" s="21">
        <f>Data!B1251</f>
        <v>0</v>
      </c>
      <c r="I1238" s="21">
        <f>Data!C1251</f>
        <v>0</v>
      </c>
      <c r="J1238">
        <f>Data!D1251</f>
        <v>0</v>
      </c>
      <c r="K1238">
        <f>Data!E1251</f>
        <v>0</v>
      </c>
      <c r="L1238">
        <f>Data!F1251</f>
        <v>0</v>
      </c>
      <c r="M1238">
        <f>Data!G1251</f>
        <v>0</v>
      </c>
      <c r="N1238">
        <f>Data!H1251</f>
        <v>0</v>
      </c>
      <c r="O1238">
        <f>Data!I1251</f>
        <v>0</v>
      </c>
      <c r="P1238" s="21">
        <f>Data!J1255</f>
        <v>0</v>
      </c>
      <c r="Q1238">
        <f>Data!K1255</f>
        <v>0</v>
      </c>
      <c r="R1238">
        <f>Data!L1255</f>
        <v>0</v>
      </c>
      <c r="S1238">
        <f>Data!M1255</f>
        <v>0</v>
      </c>
      <c r="T1238">
        <f>Data!N1251</f>
        <v>0</v>
      </c>
      <c r="U1238">
        <f>Data!O1255</f>
        <v>0</v>
      </c>
      <c r="V1238" s="33">
        <f>Data!P1253</f>
        <v>0</v>
      </c>
    </row>
    <row r="1239" spans="7:22" x14ac:dyDescent="0.25">
      <c r="G1239">
        <f>Data!A1252</f>
        <v>0</v>
      </c>
      <c r="H1239" s="21">
        <f>Data!B1252</f>
        <v>0</v>
      </c>
      <c r="I1239" s="21">
        <f>Data!C1252</f>
        <v>0</v>
      </c>
      <c r="J1239">
        <f>Data!D1252</f>
        <v>0</v>
      </c>
      <c r="K1239">
        <f>Data!E1252</f>
        <v>0</v>
      </c>
      <c r="L1239">
        <f>Data!F1252</f>
        <v>0</v>
      </c>
      <c r="M1239">
        <f>Data!G1252</f>
        <v>0</v>
      </c>
      <c r="N1239">
        <f>Data!H1252</f>
        <v>0</v>
      </c>
      <c r="O1239">
        <f>Data!I1252</f>
        <v>0</v>
      </c>
      <c r="P1239" s="21">
        <f>Data!J1256</f>
        <v>0</v>
      </c>
      <c r="Q1239">
        <f>Data!K1256</f>
        <v>0</v>
      </c>
      <c r="R1239">
        <f>Data!L1256</f>
        <v>0</v>
      </c>
      <c r="S1239">
        <f>Data!M1256</f>
        <v>0</v>
      </c>
      <c r="T1239">
        <f>Data!N1252</f>
        <v>0</v>
      </c>
      <c r="U1239">
        <f>Data!O1256</f>
        <v>0</v>
      </c>
      <c r="V1239" s="33">
        <f>Data!P1254</f>
        <v>0</v>
      </c>
    </row>
    <row r="1240" spans="7:22" x14ac:dyDescent="0.25">
      <c r="G1240">
        <f>Data!A1253</f>
        <v>0</v>
      </c>
      <c r="H1240" s="21">
        <f>Data!B1253</f>
        <v>0</v>
      </c>
      <c r="I1240" s="21">
        <f>Data!C1253</f>
        <v>0</v>
      </c>
      <c r="J1240">
        <f>Data!D1253</f>
        <v>0</v>
      </c>
      <c r="K1240">
        <f>Data!E1253</f>
        <v>0</v>
      </c>
      <c r="L1240">
        <f>Data!F1253</f>
        <v>0</v>
      </c>
      <c r="M1240">
        <f>Data!G1253</f>
        <v>0</v>
      </c>
      <c r="N1240">
        <f>Data!H1253</f>
        <v>0</v>
      </c>
      <c r="O1240">
        <f>Data!I1253</f>
        <v>0</v>
      </c>
      <c r="P1240" s="21">
        <f>Data!J1257</f>
        <v>0</v>
      </c>
      <c r="Q1240">
        <f>Data!K1257</f>
        <v>0</v>
      </c>
      <c r="R1240">
        <f>Data!L1257</f>
        <v>0</v>
      </c>
      <c r="S1240">
        <f>Data!M1257</f>
        <v>0</v>
      </c>
      <c r="T1240">
        <f>Data!N1253</f>
        <v>0</v>
      </c>
      <c r="U1240">
        <f>Data!O1257</f>
        <v>0</v>
      </c>
      <c r="V1240" s="33">
        <f>Data!P1255</f>
        <v>0</v>
      </c>
    </row>
    <row r="1241" spans="7:22" x14ac:dyDescent="0.25">
      <c r="G1241">
        <f>Data!A1254</f>
        <v>0</v>
      </c>
      <c r="H1241" s="21">
        <f>Data!B1254</f>
        <v>0</v>
      </c>
      <c r="I1241" s="21">
        <f>Data!C1254</f>
        <v>0</v>
      </c>
      <c r="J1241">
        <f>Data!D1254</f>
        <v>0</v>
      </c>
      <c r="K1241">
        <f>Data!E1254</f>
        <v>0</v>
      </c>
      <c r="L1241">
        <f>Data!F1254</f>
        <v>0</v>
      </c>
      <c r="M1241">
        <f>Data!G1254</f>
        <v>0</v>
      </c>
      <c r="N1241">
        <f>Data!H1254</f>
        <v>0</v>
      </c>
      <c r="O1241">
        <f>Data!I1254</f>
        <v>0</v>
      </c>
      <c r="P1241" s="21">
        <f>Data!J1258</f>
        <v>0</v>
      </c>
      <c r="Q1241">
        <f>Data!K1258</f>
        <v>0</v>
      </c>
      <c r="R1241">
        <f>Data!L1258</f>
        <v>0</v>
      </c>
      <c r="S1241">
        <f>Data!M1258</f>
        <v>0</v>
      </c>
      <c r="T1241">
        <f>Data!N1254</f>
        <v>0</v>
      </c>
      <c r="U1241">
        <f>Data!O1258</f>
        <v>0</v>
      </c>
      <c r="V1241" s="33">
        <f>Data!P1256</f>
        <v>0</v>
      </c>
    </row>
    <row r="1242" spans="7:22" x14ac:dyDescent="0.25">
      <c r="G1242">
        <f>Data!A1255</f>
        <v>0</v>
      </c>
      <c r="H1242" s="21">
        <f>Data!B1255</f>
        <v>0</v>
      </c>
      <c r="I1242" s="21">
        <f>Data!C1255</f>
        <v>0</v>
      </c>
      <c r="J1242">
        <f>Data!D1255</f>
        <v>0</v>
      </c>
      <c r="K1242">
        <f>Data!E1255</f>
        <v>0</v>
      </c>
      <c r="L1242">
        <f>Data!F1255</f>
        <v>0</v>
      </c>
      <c r="M1242">
        <f>Data!G1255</f>
        <v>0</v>
      </c>
      <c r="N1242">
        <f>Data!H1255</f>
        <v>0</v>
      </c>
      <c r="O1242">
        <f>Data!I1255</f>
        <v>0</v>
      </c>
      <c r="P1242" s="21">
        <f>Data!J1259</f>
        <v>0</v>
      </c>
      <c r="Q1242">
        <f>Data!K1259</f>
        <v>0</v>
      </c>
      <c r="R1242">
        <f>Data!L1259</f>
        <v>0</v>
      </c>
      <c r="S1242">
        <f>Data!M1259</f>
        <v>0</v>
      </c>
      <c r="T1242">
        <f>Data!N1255</f>
        <v>0</v>
      </c>
      <c r="U1242">
        <f>Data!O1259</f>
        <v>0</v>
      </c>
      <c r="V1242" s="33">
        <f>Data!P1257</f>
        <v>0</v>
      </c>
    </row>
    <row r="1243" spans="7:22" x14ac:dyDescent="0.25">
      <c r="G1243">
        <f>Data!A1256</f>
        <v>0</v>
      </c>
      <c r="H1243" s="21">
        <f>Data!B1256</f>
        <v>0</v>
      </c>
      <c r="I1243" s="21">
        <f>Data!C1256</f>
        <v>0</v>
      </c>
      <c r="J1243">
        <f>Data!D1256</f>
        <v>0</v>
      </c>
      <c r="K1243">
        <f>Data!E1256</f>
        <v>0</v>
      </c>
      <c r="L1243">
        <f>Data!F1256</f>
        <v>0</v>
      </c>
      <c r="M1243">
        <f>Data!G1256</f>
        <v>0</v>
      </c>
      <c r="N1243">
        <f>Data!H1256</f>
        <v>0</v>
      </c>
      <c r="O1243">
        <f>Data!I1256</f>
        <v>0</v>
      </c>
      <c r="P1243" s="21">
        <f>Data!J1260</f>
        <v>0</v>
      </c>
      <c r="Q1243">
        <f>Data!K1260</f>
        <v>0</v>
      </c>
      <c r="R1243">
        <f>Data!L1260</f>
        <v>0</v>
      </c>
      <c r="S1243">
        <f>Data!M1260</f>
        <v>0</v>
      </c>
      <c r="T1243">
        <f>Data!N1256</f>
        <v>0</v>
      </c>
      <c r="U1243">
        <f>Data!O1260</f>
        <v>0</v>
      </c>
      <c r="V1243" s="33">
        <f>Data!P1258</f>
        <v>0</v>
      </c>
    </row>
    <row r="1244" spans="7:22" x14ac:dyDescent="0.25">
      <c r="G1244">
        <f>Data!A1257</f>
        <v>0</v>
      </c>
      <c r="H1244" s="21">
        <f>Data!B1257</f>
        <v>0</v>
      </c>
      <c r="I1244" s="21">
        <f>Data!C1257</f>
        <v>0</v>
      </c>
      <c r="J1244">
        <f>Data!D1257</f>
        <v>0</v>
      </c>
      <c r="K1244">
        <f>Data!E1257</f>
        <v>0</v>
      </c>
      <c r="L1244">
        <f>Data!F1257</f>
        <v>0</v>
      </c>
      <c r="M1244">
        <f>Data!G1257</f>
        <v>0</v>
      </c>
      <c r="N1244">
        <f>Data!H1257</f>
        <v>0</v>
      </c>
      <c r="O1244">
        <f>Data!I1257</f>
        <v>0</v>
      </c>
      <c r="P1244" s="21">
        <f>Data!J1261</f>
        <v>0</v>
      </c>
      <c r="Q1244">
        <f>Data!K1261</f>
        <v>0</v>
      </c>
      <c r="R1244">
        <f>Data!L1261</f>
        <v>0</v>
      </c>
      <c r="S1244">
        <f>Data!M1261</f>
        <v>0</v>
      </c>
      <c r="T1244">
        <f>Data!N1257</f>
        <v>0</v>
      </c>
      <c r="U1244">
        <f>Data!O1261</f>
        <v>0</v>
      </c>
      <c r="V1244" s="33">
        <f>Data!P1259</f>
        <v>0</v>
      </c>
    </row>
    <row r="1245" spans="7:22" x14ac:dyDescent="0.25">
      <c r="G1245">
        <f>Data!A1258</f>
        <v>0</v>
      </c>
      <c r="H1245" s="21">
        <f>Data!B1258</f>
        <v>0</v>
      </c>
      <c r="I1245" s="21">
        <f>Data!C1258</f>
        <v>0</v>
      </c>
      <c r="J1245">
        <f>Data!D1258</f>
        <v>0</v>
      </c>
      <c r="K1245">
        <f>Data!E1258</f>
        <v>0</v>
      </c>
      <c r="L1245">
        <f>Data!F1258</f>
        <v>0</v>
      </c>
      <c r="M1245">
        <f>Data!G1258</f>
        <v>0</v>
      </c>
      <c r="N1245">
        <f>Data!H1258</f>
        <v>0</v>
      </c>
      <c r="O1245">
        <f>Data!I1258</f>
        <v>0</v>
      </c>
      <c r="P1245" s="21">
        <f>Data!J1262</f>
        <v>0</v>
      </c>
      <c r="Q1245">
        <f>Data!K1262</f>
        <v>0</v>
      </c>
      <c r="R1245">
        <f>Data!L1262</f>
        <v>0</v>
      </c>
      <c r="S1245">
        <f>Data!M1262</f>
        <v>0</v>
      </c>
      <c r="T1245">
        <f>Data!N1258</f>
        <v>0</v>
      </c>
      <c r="U1245">
        <f>Data!O1262</f>
        <v>0</v>
      </c>
      <c r="V1245" s="33">
        <f>Data!P1260</f>
        <v>0</v>
      </c>
    </row>
    <row r="1246" spans="7:22" x14ac:dyDescent="0.25">
      <c r="G1246">
        <f>Data!A1259</f>
        <v>0</v>
      </c>
      <c r="H1246" s="21">
        <f>Data!B1259</f>
        <v>0</v>
      </c>
      <c r="I1246" s="21">
        <f>Data!C1259</f>
        <v>0</v>
      </c>
      <c r="J1246">
        <f>Data!D1259</f>
        <v>0</v>
      </c>
      <c r="K1246">
        <f>Data!E1259</f>
        <v>0</v>
      </c>
      <c r="L1246">
        <f>Data!F1259</f>
        <v>0</v>
      </c>
      <c r="M1246">
        <f>Data!G1259</f>
        <v>0</v>
      </c>
      <c r="N1246">
        <f>Data!H1259</f>
        <v>0</v>
      </c>
      <c r="O1246">
        <f>Data!I1259</f>
        <v>0</v>
      </c>
      <c r="P1246" s="21">
        <f>Data!J1263</f>
        <v>0</v>
      </c>
      <c r="Q1246">
        <f>Data!K1263</f>
        <v>0</v>
      </c>
      <c r="R1246">
        <f>Data!L1263</f>
        <v>0</v>
      </c>
      <c r="S1246">
        <f>Data!M1263</f>
        <v>0</v>
      </c>
      <c r="T1246">
        <f>Data!N1259</f>
        <v>0</v>
      </c>
      <c r="U1246">
        <f>Data!O1263</f>
        <v>0</v>
      </c>
      <c r="V1246" s="33">
        <f>Data!P1261</f>
        <v>0</v>
      </c>
    </row>
    <row r="1247" spans="7:22" x14ac:dyDescent="0.25">
      <c r="G1247">
        <f>Data!A1260</f>
        <v>0</v>
      </c>
      <c r="H1247" s="21">
        <f>Data!B1260</f>
        <v>0</v>
      </c>
      <c r="I1247" s="21">
        <f>Data!C1260</f>
        <v>0</v>
      </c>
      <c r="J1247">
        <f>Data!D1260</f>
        <v>0</v>
      </c>
      <c r="K1247">
        <f>Data!E1260</f>
        <v>0</v>
      </c>
      <c r="L1247">
        <f>Data!F1260</f>
        <v>0</v>
      </c>
      <c r="M1247">
        <f>Data!G1260</f>
        <v>0</v>
      </c>
      <c r="N1247">
        <f>Data!H1260</f>
        <v>0</v>
      </c>
      <c r="O1247">
        <f>Data!I1260</f>
        <v>0</v>
      </c>
      <c r="P1247" s="21">
        <f>Data!J1264</f>
        <v>0</v>
      </c>
      <c r="Q1247">
        <f>Data!K1264</f>
        <v>0</v>
      </c>
      <c r="R1247">
        <f>Data!L1264</f>
        <v>0</v>
      </c>
      <c r="S1247">
        <f>Data!M1264</f>
        <v>0</v>
      </c>
      <c r="T1247">
        <f>Data!N1260</f>
        <v>0</v>
      </c>
      <c r="U1247">
        <f>Data!O1264</f>
        <v>0</v>
      </c>
      <c r="V1247" s="33">
        <f>Data!P1262</f>
        <v>0</v>
      </c>
    </row>
    <row r="1248" spans="7:22" x14ac:dyDescent="0.25">
      <c r="G1248">
        <f>Data!A1261</f>
        <v>0</v>
      </c>
      <c r="H1248" s="21">
        <f>Data!B1261</f>
        <v>0</v>
      </c>
      <c r="I1248" s="21">
        <f>Data!C1261</f>
        <v>0</v>
      </c>
      <c r="J1248">
        <f>Data!D1261</f>
        <v>0</v>
      </c>
      <c r="K1248">
        <f>Data!E1261</f>
        <v>0</v>
      </c>
      <c r="L1248">
        <f>Data!F1261</f>
        <v>0</v>
      </c>
      <c r="M1248">
        <f>Data!G1261</f>
        <v>0</v>
      </c>
      <c r="N1248">
        <f>Data!H1261</f>
        <v>0</v>
      </c>
      <c r="O1248">
        <f>Data!I1261</f>
        <v>0</v>
      </c>
      <c r="P1248" s="21">
        <f>Data!J1265</f>
        <v>0</v>
      </c>
      <c r="Q1248">
        <f>Data!K1265</f>
        <v>0</v>
      </c>
      <c r="R1248">
        <f>Data!L1265</f>
        <v>0</v>
      </c>
      <c r="S1248">
        <f>Data!M1265</f>
        <v>0</v>
      </c>
      <c r="T1248">
        <f>Data!N1261</f>
        <v>0</v>
      </c>
      <c r="U1248">
        <f>Data!O1265</f>
        <v>0</v>
      </c>
      <c r="V1248" s="33">
        <f>Data!P1263</f>
        <v>0</v>
      </c>
    </row>
    <row r="1249" spans="7:22" x14ac:dyDescent="0.25">
      <c r="G1249">
        <f>Data!A1262</f>
        <v>0</v>
      </c>
      <c r="H1249" s="21">
        <f>Data!B1262</f>
        <v>0</v>
      </c>
      <c r="I1249" s="21">
        <f>Data!C1262</f>
        <v>0</v>
      </c>
      <c r="J1249">
        <f>Data!D1262</f>
        <v>0</v>
      </c>
      <c r="K1249">
        <f>Data!E1262</f>
        <v>0</v>
      </c>
      <c r="L1249">
        <f>Data!F1262</f>
        <v>0</v>
      </c>
      <c r="M1249">
        <f>Data!G1262</f>
        <v>0</v>
      </c>
      <c r="N1249">
        <f>Data!H1262</f>
        <v>0</v>
      </c>
      <c r="O1249">
        <f>Data!I1262</f>
        <v>0</v>
      </c>
      <c r="P1249" s="21">
        <f>Data!J1266</f>
        <v>0</v>
      </c>
      <c r="Q1249">
        <f>Data!K1266</f>
        <v>0</v>
      </c>
      <c r="R1249">
        <f>Data!L1266</f>
        <v>0</v>
      </c>
      <c r="S1249">
        <f>Data!M1266</f>
        <v>0</v>
      </c>
      <c r="T1249">
        <f>Data!N1262</f>
        <v>0</v>
      </c>
      <c r="U1249">
        <f>Data!O1266</f>
        <v>0</v>
      </c>
      <c r="V1249" s="33">
        <f>Data!P1264</f>
        <v>0</v>
      </c>
    </row>
    <row r="1250" spans="7:22" x14ac:dyDescent="0.25">
      <c r="G1250">
        <f>Data!A1263</f>
        <v>0</v>
      </c>
      <c r="H1250" s="21">
        <f>Data!B1263</f>
        <v>0</v>
      </c>
      <c r="I1250" s="21">
        <f>Data!C1263</f>
        <v>0</v>
      </c>
      <c r="J1250">
        <f>Data!D1263</f>
        <v>0</v>
      </c>
      <c r="K1250">
        <f>Data!E1263</f>
        <v>0</v>
      </c>
      <c r="L1250">
        <f>Data!F1263</f>
        <v>0</v>
      </c>
      <c r="M1250">
        <f>Data!G1263</f>
        <v>0</v>
      </c>
      <c r="N1250">
        <f>Data!H1263</f>
        <v>0</v>
      </c>
      <c r="O1250">
        <f>Data!I1263</f>
        <v>0</v>
      </c>
      <c r="P1250" s="21">
        <f>Data!J1267</f>
        <v>0</v>
      </c>
      <c r="Q1250">
        <f>Data!K1267</f>
        <v>0</v>
      </c>
      <c r="R1250">
        <f>Data!L1267</f>
        <v>0</v>
      </c>
      <c r="S1250">
        <f>Data!M1267</f>
        <v>0</v>
      </c>
      <c r="T1250">
        <f>Data!N1263</f>
        <v>0</v>
      </c>
      <c r="U1250">
        <f>Data!O1267</f>
        <v>0</v>
      </c>
      <c r="V1250" s="33">
        <f>Data!P1265</f>
        <v>0</v>
      </c>
    </row>
    <row r="1251" spans="7:22" x14ac:dyDescent="0.25">
      <c r="G1251">
        <f>Data!A1264</f>
        <v>0</v>
      </c>
      <c r="H1251" s="21">
        <f>Data!B1264</f>
        <v>0</v>
      </c>
      <c r="I1251" s="21">
        <f>Data!C1264</f>
        <v>0</v>
      </c>
      <c r="J1251">
        <f>Data!D1264</f>
        <v>0</v>
      </c>
      <c r="K1251">
        <f>Data!E1264</f>
        <v>0</v>
      </c>
      <c r="L1251">
        <f>Data!F1264</f>
        <v>0</v>
      </c>
      <c r="M1251">
        <f>Data!G1264</f>
        <v>0</v>
      </c>
      <c r="N1251">
        <f>Data!H1264</f>
        <v>0</v>
      </c>
      <c r="O1251">
        <f>Data!I1264</f>
        <v>0</v>
      </c>
      <c r="P1251" s="21">
        <f>Data!J1268</f>
        <v>0</v>
      </c>
      <c r="Q1251">
        <f>Data!K1268</f>
        <v>0</v>
      </c>
      <c r="R1251">
        <f>Data!L1268</f>
        <v>0</v>
      </c>
      <c r="S1251">
        <f>Data!M1268</f>
        <v>0</v>
      </c>
      <c r="T1251">
        <f>Data!N1264</f>
        <v>0</v>
      </c>
      <c r="U1251">
        <f>Data!O1268</f>
        <v>0</v>
      </c>
      <c r="V1251" s="33">
        <f>Data!P1266</f>
        <v>0</v>
      </c>
    </row>
    <row r="1252" spans="7:22" x14ac:dyDescent="0.25">
      <c r="G1252">
        <f>Data!A1265</f>
        <v>0</v>
      </c>
      <c r="H1252" s="21">
        <f>Data!B1265</f>
        <v>0</v>
      </c>
      <c r="I1252" s="21">
        <f>Data!C1265</f>
        <v>0</v>
      </c>
      <c r="J1252">
        <f>Data!D1265</f>
        <v>0</v>
      </c>
      <c r="K1252">
        <f>Data!E1265</f>
        <v>0</v>
      </c>
      <c r="L1252">
        <f>Data!F1265</f>
        <v>0</v>
      </c>
      <c r="M1252">
        <f>Data!G1265</f>
        <v>0</v>
      </c>
      <c r="N1252">
        <f>Data!H1265</f>
        <v>0</v>
      </c>
      <c r="O1252">
        <f>Data!I1265</f>
        <v>0</v>
      </c>
      <c r="P1252" s="21">
        <f>Data!J1269</f>
        <v>0</v>
      </c>
      <c r="Q1252">
        <f>Data!K1269</f>
        <v>0</v>
      </c>
      <c r="R1252">
        <f>Data!L1269</f>
        <v>0</v>
      </c>
      <c r="S1252">
        <f>Data!M1269</f>
        <v>0</v>
      </c>
      <c r="T1252">
        <f>Data!N1265</f>
        <v>0</v>
      </c>
      <c r="U1252">
        <f>Data!O1269</f>
        <v>0</v>
      </c>
      <c r="V1252" s="33">
        <f>Data!P1267</f>
        <v>0</v>
      </c>
    </row>
    <row r="1253" spans="7:22" x14ac:dyDescent="0.25">
      <c r="G1253">
        <f>Data!A1266</f>
        <v>0</v>
      </c>
      <c r="H1253" s="21">
        <f>Data!B1266</f>
        <v>0</v>
      </c>
      <c r="I1253" s="21">
        <f>Data!C1266</f>
        <v>0</v>
      </c>
      <c r="J1253">
        <f>Data!D1266</f>
        <v>0</v>
      </c>
      <c r="K1253">
        <f>Data!E1266</f>
        <v>0</v>
      </c>
      <c r="L1253">
        <f>Data!F1266</f>
        <v>0</v>
      </c>
      <c r="M1253">
        <f>Data!G1266</f>
        <v>0</v>
      </c>
      <c r="N1253">
        <f>Data!H1266</f>
        <v>0</v>
      </c>
      <c r="O1253">
        <f>Data!I1266</f>
        <v>0</v>
      </c>
      <c r="P1253" s="21">
        <f>Data!J1270</f>
        <v>0</v>
      </c>
      <c r="Q1253">
        <f>Data!K1270</f>
        <v>0</v>
      </c>
      <c r="R1253">
        <f>Data!L1270</f>
        <v>0</v>
      </c>
      <c r="S1253">
        <f>Data!M1270</f>
        <v>0</v>
      </c>
      <c r="T1253">
        <f>Data!N1266</f>
        <v>0</v>
      </c>
      <c r="U1253">
        <f>Data!O1270</f>
        <v>0</v>
      </c>
      <c r="V1253" s="33">
        <f>Data!P1268</f>
        <v>0</v>
      </c>
    </row>
    <row r="1254" spans="7:22" x14ac:dyDescent="0.25">
      <c r="G1254">
        <f>Data!A1267</f>
        <v>0</v>
      </c>
      <c r="H1254" s="21">
        <f>Data!B1267</f>
        <v>0</v>
      </c>
      <c r="I1254" s="21">
        <f>Data!C1267</f>
        <v>0</v>
      </c>
      <c r="J1254">
        <f>Data!D1267</f>
        <v>0</v>
      </c>
      <c r="K1254">
        <f>Data!E1267</f>
        <v>0</v>
      </c>
      <c r="L1254">
        <f>Data!F1267</f>
        <v>0</v>
      </c>
      <c r="M1254">
        <f>Data!G1267</f>
        <v>0</v>
      </c>
      <c r="N1254">
        <f>Data!H1267</f>
        <v>0</v>
      </c>
      <c r="O1254">
        <f>Data!I1267</f>
        <v>0</v>
      </c>
      <c r="P1254" s="21">
        <f>Data!J1271</f>
        <v>0</v>
      </c>
      <c r="Q1254">
        <f>Data!K1271</f>
        <v>0</v>
      </c>
      <c r="R1254">
        <f>Data!L1271</f>
        <v>0</v>
      </c>
      <c r="S1254">
        <f>Data!M1271</f>
        <v>0</v>
      </c>
      <c r="T1254">
        <f>Data!N1267</f>
        <v>0</v>
      </c>
      <c r="U1254">
        <f>Data!O1271</f>
        <v>0</v>
      </c>
      <c r="V1254" s="33">
        <f>Data!P1269</f>
        <v>0</v>
      </c>
    </row>
    <row r="1255" spans="7:22" x14ac:dyDescent="0.25">
      <c r="G1255">
        <f>Data!A1268</f>
        <v>0</v>
      </c>
      <c r="H1255" s="21">
        <f>Data!B1268</f>
        <v>0</v>
      </c>
      <c r="I1255" s="21">
        <f>Data!C1268</f>
        <v>0</v>
      </c>
      <c r="J1255">
        <f>Data!D1268</f>
        <v>0</v>
      </c>
      <c r="K1255">
        <f>Data!E1268</f>
        <v>0</v>
      </c>
      <c r="L1255">
        <f>Data!F1268</f>
        <v>0</v>
      </c>
      <c r="M1255">
        <f>Data!G1268</f>
        <v>0</v>
      </c>
      <c r="N1255">
        <f>Data!H1268</f>
        <v>0</v>
      </c>
      <c r="O1255">
        <f>Data!I1268</f>
        <v>0</v>
      </c>
      <c r="P1255" s="21">
        <f>Data!J1272</f>
        <v>0</v>
      </c>
      <c r="Q1255">
        <f>Data!K1272</f>
        <v>0</v>
      </c>
      <c r="R1255">
        <f>Data!L1272</f>
        <v>0</v>
      </c>
      <c r="S1255">
        <f>Data!M1272</f>
        <v>0</v>
      </c>
      <c r="T1255">
        <f>Data!N1268</f>
        <v>0</v>
      </c>
      <c r="U1255">
        <f>Data!O1272</f>
        <v>0</v>
      </c>
      <c r="V1255" s="33">
        <f>Data!P1270</f>
        <v>0</v>
      </c>
    </row>
    <row r="1256" spans="7:22" x14ac:dyDescent="0.25">
      <c r="G1256">
        <f>Data!A1269</f>
        <v>0</v>
      </c>
      <c r="H1256" s="21">
        <f>Data!B1269</f>
        <v>0</v>
      </c>
      <c r="I1256" s="21">
        <f>Data!C1269</f>
        <v>0</v>
      </c>
      <c r="J1256">
        <f>Data!D1269</f>
        <v>0</v>
      </c>
      <c r="K1256">
        <f>Data!E1269</f>
        <v>0</v>
      </c>
      <c r="L1256">
        <f>Data!F1269</f>
        <v>0</v>
      </c>
      <c r="M1256">
        <f>Data!G1269</f>
        <v>0</v>
      </c>
      <c r="N1256">
        <f>Data!H1269</f>
        <v>0</v>
      </c>
      <c r="O1256">
        <f>Data!I1269</f>
        <v>0</v>
      </c>
      <c r="P1256" s="21">
        <f>Data!J1273</f>
        <v>0</v>
      </c>
      <c r="Q1256">
        <f>Data!K1273</f>
        <v>0</v>
      </c>
      <c r="R1256">
        <f>Data!L1273</f>
        <v>0</v>
      </c>
      <c r="S1256">
        <f>Data!M1273</f>
        <v>0</v>
      </c>
      <c r="T1256">
        <f>Data!N1269</f>
        <v>0</v>
      </c>
      <c r="U1256">
        <f>Data!O1273</f>
        <v>0</v>
      </c>
      <c r="V1256" s="33">
        <f>Data!P1271</f>
        <v>0</v>
      </c>
    </row>
    <row r="1257" spans="7:22" x14ac:dyDescent="0.25">
      <c r="G1257">
        <f>Data!A1270</f>
        <v>0</v>
      </c>
      <c r="H1257" s="21">
        <f>Data!B1270</f>
        <v>0</v>
      </c>
      <c r="I1257" s="21">
        <f>Data!C1270</f>
        <v>0</v>
      </c>
      <c r="J1257">
        <f>Data!D1270</f>
        <v>0</v>
      </c>
      <c r="K1257">
        <f>Data!E1270</f>
        <v>0</v>
      </c>
      <c r="L1257">
        <f>Data!F1270</f>
        <v>0</v>
      </c>
      <c r="M1257">
        <f>Data!G1270</f>
        <v>0</v>
      </c>
      <c r="N1257">
        <f>Data!H1270</f>
        <v>0</v>
      </c>
      <c r="O1257">
        <f>Data!I1270</f>
        <v>0</v>
      </c>
      <c r="P1257" s="21">
        <f>Data!J1274</f>
        <v>0</v>
      </c>
      <c r="Q1257">
        <f>Data!K1274</f>
        <v>0</v>
      </c>
      <c r="R1257">
        <f>Data!L1274</f>
        <v>0</v>
      </c>
      <c r="S1257">
        <f>Data!M1274</f>
        <v>0</v>
      </c>
      <c r="T1257">
        <f>Data!N1270</f>
        <v>0</v>
      </c>
      <c r="U1257">
        <f>Data!O1274</f>
        <v>0</v>
      </c>
      <c r="V1257" s="33">
        <f>Data!P1272</f>
        <v>0</v>
      </c>
    </row>
    <row r="1258" spans="7:22" x14ac:dyDescent="0.25">
      <c r="G1258">
        <f>Data!A1271</f>
        <v>0</v>
      </c>
      <c r="H1258" s="21">
        <f>Data!B1271</f>
        <v>0</v>
      </c>
      <c r="I1258" s="21">
        <f>Data!C1271</f>
        <v>0</v>
      </c>
      <c r="J1258">
        <f>Data!D1271</f>
        <v>0</v>
      </c>
      <c r="K1258">
        <f>Data!E1271</f>
        <v>0</v>
      </c>
      <c r="L1258">
        <f>Data!F1271</f>
        <v>0</v>
      </c>
      <c r="M1258">
        <f>Data!G1271</f>
        <v>0</v>
      </c>
      <c r="N1258">
        <f>Data!H1271</f>
        <v>0</v>
      </c>
      <c r="O1258">
        <f>Data!I1271</f>
        <v>0</v>
      </c>
      <c r="P1258" s="21">
        <f>Data!J1275</f>
        <v>0</v>
      </c>
      <c r="Q1258">
        <f>Data!K1275</f>
        <v>0</v>
      </c>
      <c r="R1258">
        <f>Data!L1275</f>
        <v>0</v>
      </c>
      <c r="S1258">
        <f>Data!M1275</f>
        <v>0</v>
      </c>
      <c r="T1258">
        <f>Data!N1271</f>
        <v>0</v>
      </c>
      <c r="U1258">
        <f>Data!O1275</f>
        <v>0</v>
      </c>
      <c r="V1258" s="33">
        <f>Data!P1273</f>
        <v>0</v>
      </c>
    </row>
    <row r="1259" spans="7:22" x14ac:dyDescent="0.25">
      <c r="G1259">
        <f>Data!A1272</f>
        <v>0</v>
      </c>
      <c r="H1259" s="21">
        <f>Data!B1272</f>
        <v>0</v>
      </c>
      <c r="I1259" s="21">
        <f>Data!C1272</f>
        <v>0</v>
      </c>
      <c r="J1259">
        <f>Data!D1272</f>
        <v>0</v>
      </c>
      <c r="K1259">
        <f>Data!E1272</f>
        <v>0</v>
      </c>
      <c r="L1259">
        <f>Data!F1272</f>
        <v>0</v>
      </c>
      <c r="M1259">
        <f>Data!G1272</f>
        <v>0</v>
      </c>
      <c r="N1259">
        <f>Data!H1272</f>
        <v>0</v>
      </c>
      <c r="O1259">
        <f>Data!I1272</f>
        <v>0</v>
      </c>
      <c r="P1259" s="21">
        <f>Data!J1276</f>
        <v>0</v>
      </c>
      <c r="Q1259">
        <f>Data!K1276</f>
        <v>0</v>
      </c>
      <c r="R1259">
        <f>Data!L1276</f>
        <v>0</v>
      </c>
      <c r="S1259">
        <f>Data!M1276</f>
        <v>0</v>
      </c>
      <c r="T1259">
        <f>Data!N1272</f>
        <v>0</v>
      </c>
      <c r="U1259">
        <f>Data!O1276</f>
        <v>0</v>
      </c>
      <c r="V1259" s="33">
        <f>Data!P1274</f>
        <v>0</v>
      </c>
    </row>
    <row r="1260" spans="7:22" x14ac:dyDescent="0.25">
      <c r="G1260">
        <f>Data!A1273</f>
        <v>0</v>
      </c>
      <c r="H1260" s="21">
        <f>Data!B1273</f>
        <v>0</v>
      </c>
      <c r="I1260" s="21">
        <f>Data!C1273</f>
        <v>0</v>
      </c>
      <c r="J1260">
        <f>Data!D1273</f>
        <v>0</v>
      </c>
      <c r="K1260">
        <f>Data!E1273</f>
        <v>0</v>
      </c>
      <c r="L1260">
        <f>Data!F1273</f>
        <v>0</v>
      </c>
      <c r="M1260">
        <f>Data!G1273</f>
        <v>0</v>
      </c>
      <c r="N1260">
        <f>Data!H1273</f>
        <v>0</v>
      </c>
      <c r="O1260">
        <f>Data!I1273</f>
        <v>0</v>
      </c>
      <c r="P1260" s="21">
        <f>Data!J1277</f>
        <v>0</v>
      </c>
      <c r="Q1260">
        <f>Data!K1277</f>
        <v>0</v>
      </c>
      <c r="R1260">
        <f>Data!L1277</f>
        <v>0</v>
      </c>
      <c r="S1260">
        <f>Data!M1277</f>
        <v>0</v>
      </c>
      <c r="T1260">
        <f>Data!N1273</f>
        <v>0</v>
      </c>
      <c r="U1260">
        <f>Data!O1277</f>
        <v>0</v>
      </c>
      <c r="V1260" s="33">
        <f>Data!P1275</f>
        <v>0</v>
      </c>
    </row>
    <row r="1261" spans="7:22" x14ac:dyDescent="0.25">
      <c r="G1261">
        <f>Data!A1274</f>
        <v>0</v>
      </c>
      <c r="H1261" s="21">
        <f>Data!B1274</f>
        <v>0</v>
      </c>
      <c r="I1261" s="21">
        <f>Data!C1274</f>
        <v>0</v>
      </c>
      <c r="J1261">
        <f>Data!D1274</f>
        <v>0</v>
      </c>
      <c r="K1261">
        <f>Data!E1274</f>
        <v>0</v>
      </c>
      <c r="L1261">
        <f>Data!F1274</f>
        <v>0</v>
      </c>
      <c r="M1261">
        <f>Data!G1274</f>
        <v>0</v>
      </c>
      <c r="N1261">
        <f>Data!H1274</f>
        <v>0</v>
      </c>
      <c r="O1261">
        <f>Data!I1274</f>
        <v>0</v>
      </c>
      <c r="P1261" s="21">
        <f>Data!J1278</f>
        <v>0</v>
      </c>
      <c r="Q1261">
        <f>Data!K1278</f>
        <v>0</v>
      </c>
      <c r="R1261">
        <f>Data!L1278</f>
        <v>0</v>
      </c>
      <c r="S1261">
        <f>Data!M1278</f>
        <v>0</v>
      </c>
      <c r="T1261">
        <f>Data!N1274</f>
        <v>0</v>
      </c>
      <c r="U1261">
        <f>Data!O1278</f>
        <v>0</v>
      </c>
      <c r="V1261" s="33">
        <f>Data!P1276</f>
        <v>0</v>
      </c>
    </row>
    <row r="1262" spans="7:22" x14ac:dyDescent="0.25">
      <c r="G1262">
        <f>Data!A1275</f>
        <v>0</v>
      </c>
      <c r="H1262" s="21">
        <f>Data!B1275</f>
        <v>0</v>
      </c>
      <c r="I1262" s="21">
        <f>Data!C1275</f>
        <v>0</v>
      </c>
      <c r="J1262">
        <f>Data!D1275</f>
        <v>0</v>
      </c>
      <c r="K1262">
        <f>Data!E1275</f>
        <v>0</v>
      </c>
      <c r="L1262">
        <f>Data!F1275</f>
        <v>0</v>
      </c>
      <c r="M1262">
        <f>Data!G1275</f>
        <v>0</v>
      </c>
      <c r="N1262">
        <f>Data!H1275</f>
        <v>0</v>
      </c>
      <c r="O1262">
        <f>Data!I1275</f>
        <v>0</v>
      </c>
      <c r="P1262" s="21">
        <f>Data!J1279</f>
        <v>0</v>
      </c>
      <c r="Q1262">
        <f>Data!K1279</f>
        <v>0</v>
      </c>
      <c r="R1262">
        <f>Data!L1279</f>
        <v>0</v>
      </c>
      <c r="S1262">
        <f>Data!M1279</f>
        <v>0</v>
      </c>
      <c r="T1262">
        <f>Data!N1275</f>
        <v>0</v>
      </c>
      <c r="U1262">
        <f>Data!O1279</f>
        <v>0</v>
      </c>
      <c r="V1262" s="33">
        <f>Data!P1277</f>
        <v>0</v>
      </c>
    </row>
    <row r="1263" spans="7:22" x14ac:dyDescent="0.25">
      <c r="G1263">
        <f>Data!A1276</f>
        <v>0</v>
      </c>
      <c r="H1263" s="21">
        <f>Data!B1276</f>
        <v>0</v>
      </c>
      <c r="I1263" s="21">
        <f>Data!C1276</f>
        <v>0</v>
      </c>
      <c r="J1263">
        <f>Data!D1276</f>
        <v>0</v>
      </c>
      <c r="K1263">
        <f>Data!E1276</f>
        <v>0</v>
      </c>
      <c r="L1263">
        <f>Data!F1276</f>
        <v>0</v>
      </c>
      <c r="M1263">
        <f>Data!G1276</f>
        <v>0</v>
      </c>
      <c r="N1263">
        <f>Data!H1276</f>
        <v>0</v>
      </c>
      <c r="O1263">
        <f>Data!I1276</f>
        <v>0</v>
      </c>
      <c r="P1263" s="21">
        <f>Data!J1280</f>
        <v>0</v>
      </c>
      <c r="Q1263">
        <f>Data!K1280</f>
        <v>0</v>
      </c>
      <c r="R1263">
        <f>Data!L1280</f>
        <v>0</v>
      </c>
      <c r="S1263">
        <f>Data!M1280</f>
        <v>0</v>
      </c>
      <c r="T1263">
        <f>Data!N1276</f>
        <v>0</v>
      </c>
      <c r="U1263">
        <f>Data!O1280</f>
        <v>0</v>
      </c>
      <c r="V1263" s="33">
        <f>Data!P1278</f>
        <v>0</v>
      </c>
    </row>
    <row r="1264" spans="7:22" x14ac:dyDescent="0.25">
      <c r="G1264">
        <f>Data!A1277</f>
        <v>0</v>
      </c>
      <c r="H1264" s="21">
        <f>Data!B1277</f>
        <v>0</v>
      </c>
      <c r="I1264" s="21">
        <f>Data!C1277</f>
        <v>0</v>
      </c>
      <c r="J1264">
        <f>Data!D1277</f>
        <v>0</v>
      </c>
      <c r="K1264">
        <f>Data!E1277</f>
        <v>0</v>
      </c>
      <c r="L1264">
        <f>Data!F1277</f>
        <v>0</v>
      </c>
      <c r="M1264">
        <f>Data!G1277</f>
        <v>0</v>
      </c>
      <c r="N1264">
        <f>Data!H1277</f>
        <v>0</v>
      </c>
      <c r="O1264">
        <f>Data!I1277</f>
        <v>0</v>
      </c>
      <c r="P1264" s="21">
        <f>Data!J1281</f>
        <v>0</v>
      </c>
      <c r="Q1264">
        <f>Data!K1281</f>
        <v>0</v>
      </c>
      <c r="R1264">
        <f>Data!L1281</f>
        <v>0</v>
      </c>
      <c r="S1264">
        <f>Data!M1281</f>
        <v>0</v>
      </c>
      <c r="T1264">
        <f>Data!N1277</f>
        <v>0</v>
      </c>
      <c r="U1264">
        <f>Data!O1281</f>
        <v>0</v>
      </c>
      <c r="V1264" s="33">
        <f>Data!P1279</f>
        <v>0</v>
      </c>
    </row>
    <row r="1265" spans="7:22" x14ac:dyDescent="0.25">
      <c r="G1265">
        <f>Data!A1278</f>
        <v>0</v>
      </c>
      <c r="H1265" s="21">
        <f>Data!B1278</f>
        <v>0</v>
      </c>
      <c r="I1265" s="21">
        <f>Data!C1278</f>
        <v>0</v>
      </c>
      <c r="J1265">
        <f>Data!D1278</f>
        <v>0</v>
      </c>
      <c r="K1265">
        <f>Data!E1278</f>
        <v>0</v>
      </c>
      <c r="L1265">
        <f>Data!F1278</f>
        <v>0</v>
      </c>
      <c r="M1265">
        <f>Data!G1278</f>
        <v>0</v>
      </c>
      <c r="N1265">
        <f>Data!H1278</f>
        <v>0</v>
      </c>
      <c r="O1265">
        <f>Data!I1278</f>
        <v>0</v>
      </c>
      <c r="P1265" s="21">
        <f>Data!J1282</f>
        <v>0</v>
      </c>
      <c r="Q1265">
        <f>Data!K1282</f>
        <v>0</v>
      </c>
      <c r="R1265">
        <f>Data!L1282</f>
        <v>0</v>
      </c>
      <c r="S1265">
        <f>Data!M1282</f>
        <v>0</v>
      </c>
      <c r="T1265">
        <f>Data!N1278</f>
        <v>0</v>
      </c>
      <c r="U1265">
        <f>Data!O1282</f>
        <v>0</v>
      </c>
      <c r="V1265" s="33">
        <f>Data!P1280</f>
        <v>0</v>
      </c>
    </row>
    <row r="1266" spans="7:22" x14ac:dyDescent="0.25">
      <c r="G1266">
        <f>Data!A1279</f>
        <v>0</v>
      </c>
      <c r="H1266" s="21">
        <f>Data!B1279</f>
        <v>0</v>
      </c>
      <c r="I1266" s="21">
        <f>Data!C1279</f>
        <v>0</v>
      </c>
      <c r="J1266">
        <f>Data!D1279</f>
        <v>0</v>
      </c>
      <c r="K1266">
        <f>Data!E1279</f>
        <v>0</v>
      </c>
      <c r="L1266">
        <f>Data!F1279</f>
        <v>0</v>
      </c>
      <c r="M1266">
        <f>Data!G1279</f>
        <v>0</v>
      </c>
      <c r="N1266">
        <f>Data!H1279</f>
        <v>0</v>
      </c>
      <c r="O1266">
        <f>Data!I1279</f>
        <v>0</v>
      </c>
      <c r="P1266" s="21">
        <f>Data!J1283</f>
        <v>0</v>
      </c>
      <c r="Q1266">
        <f>Data!K1283</f>
        <v>0</v>
      </c>
      <c r="R1266">
        <f>Data!L1283</f>
        <v>0</v>
      </c>
      <c r="S1266">
        <f>Data!M1283</f>
        <v>0</v>
      </c>
      <c r="T1266">
        <f>Data!N1279</f>
        <v>0</v>
      </c>
      <c r="U1266">
        <f>Data!O1283</f>
        <v>0</v>
      </c>
      <c r="V1266" s="33">
        <f>Data!P1281</f>
        <v>0</v>
      </c>
    </row>
    <row r="1267" spans="7:22" x14ac:dyDescent="0.25">
      <c r="G1267">
        <f>Data!A1280</f>
        <v>0</v>
      </c>
      <c r="H1267" s="21">
        <f>Data!B1280</f>
        <v>0</v>
      </c>
      <c r="I1267" s="21">
        <f>Data!C1280</f>
        <v>0</v>
      </c>
      <c r="J1267">
        <f>Data!D1280</f>
        <v>0</v>
      </c>
      <c r="K1267">
        <f>Data!E1280</f>
        <v>0</v>
      </c>
      <c r="L1267">
        <f>Data!F1280</f>
        <v>0</v>
      </c>
      <c r="M1267">
        <f>Data!G1280</f>
        <v>0</v>
      </c>
      <c r="N1267">
        <f>Data!H1280</f>
        <v>0</v>
      </c>
      <c r="O1267">
        <f>Data!I1280</f>
        <v>0</v>
      </c>
      <c r="P1267" s="21">
        <f>Data!J1284</f>
        <v>0</v>
      </c>
      <c r="Q1267">
        <f>Data!K1284</f>
        <v>0</v>
      </c>
      <c r="R1267">
        <f>Data!L1284</f>
        <v>0</v>
      </c>
      <c r="S1267">
        <f>Data!M1284</f>
        <v>0</v>
      </c>
      <c r="T1267">
        <f>Data!N1280</f>
        <v>0</v>
      </c>
      <c r="U1267">
        <f>Data!O1284</f>
        <v>0</v>
      </c>
      <c r="V1267" s="33">
        <f>Data!P1282</f>
        <v>0</v>
      </c>
    </row>
    <row r="1268" spans="7:22" x14ac:dyDescent="0.25">
      <c r="G1268">
        <f>Data!A1281</f>
        <v>0</v>
      </c>
      <c r="H1268" s="21">
        <f>Data!B1281</f>
        <v>0</v>
      </c>
      <c r="I1268" s="21">
        <f>Data!C1281</f>
        <v>0</v>
      </c>
      <c r="J1268">
        <f>Data!D1281</f>
        <v>0</v>
      </c>
      <c r="K1268">
        <f>Data!E1281</f>
        <v>0</v>
      </c>
      <c r="L1268">
        <f>Data!F1281</f>
        <v>0</v>
      </c>
      <c r="M1268">
        <f>Data!G1281</f>
        <v>0</v>
      </c>
      <c r="N1268">
        <f>Data!H1281</f>
        <v>0</v>
      </c>
      <c r="O1268">
        <f>Data!I1281</f>
        <v>0</v>
      </c>
      <c r="P1268" s="21">
        <f>Data!J1285</f>
        <v>0</v>
      </c>
      <c r="Q1268">
        <f>Data!K1285</f>
        <v>0</v>
      </c>
      <c r="R1268">
        <f>Data!L1285</f>
        <v>0</v>
      </c>
      <c r="S1268">
        <f>Data!M1285</f>
        <v>0</v>
      </c>
      <c r="T1268">
        <f>Data!N1281</f>
        <v>0</v>
      </c>
      <c r="U1268">
        <f>Data!O1285</f>
        <v>0</v>
      </c>
      <c r="V1268" s="33">
        <f>Data!P1283</f>
        <v>0</v>
      </c>
    </row>
    <row r="1269" spans="7:22" x14ac:dyDescent="0.25">
      <c r="G1269">
        <f>Data!A1282</f>
        <v>0</v>
      </c>
      <c r="H1269" s="21">
        <f>Data!B1282</f>
        <v>0</v>
      </c>
      <c r="I1269" s="21">
        <f>Data!C1282</f>
        <v>0</v>
      </c>
      <c r="J1269">
        <f>Data!D1282</f>
        <v>0</v>
      </c>
      <c r="K1269">
        <f>Data!E1282</f>
        <v>0</v>
      </c>
      <c r="L1269">
        <f>Data!F1282</f>
        <v>0</v>
      </c>
      <c r="M1269">
        <f>Data!G1282</f>
        <v>0</v>
      </c>
      <c r="N1269">
        <f>Data!H1282</f>
        <v>0</v>
      </c>
      <c r="O1269">
        <f>Data!I1282</f>
        <v>0</v>
      </c>
      <c r="P1269" s="21">
        <f>Data!J1286</f>
        <v>0</v>
      </c>
      <c r="Q1269">
        <f>Data!K1286</f>
        <v>0</v>
      </c>
      <c r="R1269">
        <f>Data!L1286</f>
        <v>0</v>
      </c>
      <c r="S1269">
        <f>Data!M1286</f>
        <v>0</v>
      </c>
      <c r="T1269">
        <f>Data!N1282</f>
        <v>0</v>
      </c>
      <c r="U1269">
        <f>Data!O1286</f>
        <v>0</v>
      </c>
      <c r="V1269" s="33">
        <f>Data!P1284</f>
        <v>0</v>
      </c>
    </row>
    <row r="1270" spans="7:22" x14ac:dyDescent="0.25">
      <c r="G1270">
        <f>Data!A1283</f>
        <v>0</v>
      </c>
      <c r="H1270" s="21">
        <f>Data!B1283</f>
        <v>0</v>
      </c>
      <c r="I1270" s="21">
        <f>Data!C1283</f>
        <v>0</v>
      </c>
      <c r="J1270">
        <f>Data!D1283</f>
        <v>0</v>
      </c>
      <c r="K1270">
        <f>Data!E1283</f>
        <v>0</v>
      </c>
      <c r="L1270">
        <f>Data!F1283</f>
        <v>0</v>
      </c>
      <c r="M1270">
        <f>Data!G1283</f>
        <v>0</v>
      </c>
      <c r="N1270">
        <f>Data!H1283</f>
        <v>0</v>
      </c>
      <c r="O1270">
        <f>Data!I1283</f>
        <v>0</v>
      </c>
      <c r="P1270" s="21">
        <f>Data!J1287</f>
        <v>0</v>
      </c>
      <c r="Q1270">
        <f>Data!K1287</f>
        <v>0</v>
      </c>
      <c r="R1270">
        <f>Data!L1287</f>
        <v>0</v>
      </c>
      <c r="S1270">
        <f>Data!M1287</f>
        <v>0</v>
      </c>
      <c r="T1270">
        <f>Data!N1283</f>
        <v>0</v>
      </c>
      <c r="U1270">
        <f>Data!O1287</f>
        <v>0</v>
      </c>
      <c r="V1270" s="33">
        <f>Data!P1285</f>
        <v>0</v>
      </c>
    </row>
    <row r="1271" spans="7:22" x14ac:dyDescent="0.25">
      <c r="G1271">
        <f>Data!A1284</f>
        <v>0</v>
      </c>
      <c r="H1271" s="21">
        <f>Data!B1284</f>
        <v>0</v>
      </c>
      <c r="I1271" s="21">
        <f>Data!C1284</f>
        <v>0</v>
      </c>
      <c r="J1271">
        <f>Data!D1284</f>
        <v>0</v>
      </c>
      <c r="K1271">
        <f>Data!E1284</f>
        <v>0</v>
      </c>
      <c r="L1271">
        <f>Data!F1284</f>
        <v>0</v>
      </c>
      <c r="M1271">
        <f>Data!G1284</f>
        <v>0</v>
      </c>
      <c r="N1271">
        <f>Data!H1284</f>
        <v>0</v>
      </c>
      <c r="O1271">
        <f>Data!I1284</f>
        <v>0</v>
      </c>
      <c r="P1271" s="21">
        <f>Data!J1288</f>
        <v>0</v>
      </c>
      <c r="Q1271">
        <f>Data!K1288</f>
        <v>0</v>
      </c>
      <c r="R1271">
        <f>Data!L1288</f>
        <v>0</v>
      </c>
      <c r="S1271">
        <f>Data!M1288</f>
        <v>0</v>
      </c>
      <c r="T1271">
        <f>Data!N1284</f>
        <v>0</v>
      </c>
      <c r="U1271">
        <f>Data!O1288</f>
        <v>0</v>
      </c>
      <c r="V1271" s="33">
        <f>Data!P1286</f>
        <v>0</v>
      </c>
    </row>
    <row r="1272" spans="7:22" x14ac:dyDescent="0.25">
      <c r="G1272">
        <f>Data!A1285</f>
        <v>0</v>
      </c>
      <c r="H1272" s="21">
        <f>Data!B1285</f>
        <v>0</v>
      </c>
      <c r="I1272" s="21">
        <f>Data!C1285</f>
        <v>0</v>
      </c>
      <c r="J1272">
        <f>Data!D1285</f>
        <v>0</v>
      </c>
      <c r="K1272">
        <f>Data!E1285</f>
        <v>0</v>
      </c>
      <c r="L1272">
        <f>Data!F1285</f>
        <v>0</v>
      </c>
      <c r="M1272">
        <f>Data!G1285</f>
        <v>0</v>
      </c>
      <c r="N1272">
        <f>Data!H1285</f>
        <v>0</v>
      </c>
      <c r="O1272">
        <f>Data!I1285</f>
        <v>0</v>
      </c>
      <c r="P1272" s="21">
        <f>Data!J1289</f>
        <v>0</v>
      </c>
      <c r="Q1272">
        <f>Data!K1289</f>
        <v>0</v>
      </c>
      <c r="R1272">
        <f>Data!L1289</f>
        <v>0</v>
      </c>
      <c r="S1272">
        <f>Data!M1289</f>
        <v>0</v>
      </c>
      <c r="T1272">
        <f>Data!N1285</f>
        <v>0</v>
      </c>
      <c r="U1272">
        <f>Data!O1289</f>
        <v>0</v>
      </c>
      <c r="V1272" s="33">
        <f>Data!P1287</f>
        <v>0</v>
      </c>
    </row>
    <row r="1273" spans="7:22" x14ac:dyDescent="0.25">
      <c r="G1273">
        <f>Data!A1286</f>
        <v>0</v>
      </c>
      <c r="H1273" s="21">
        <f>Data!B1286</f>
        <v>0</v>
      </c>
      <c r="I1273" s="21">
        <f>Data!C1286</f>
        <v>0</v>
      </c>
      <c r="J1273">
        <f>Data!D1286</f>
        <v>0</v>
      </c>
      <c r="K1273">
        <f>Data!E1286</f>
        <v>0</v>
      </c>
      <c r="L1273">
        <f>Data!F1286</f>
        <v>0</v>
      </c>
      <c r="M1273">
        <f>Data!G1286</f>
        <v>0</v>
      </c>
      <c r="N1273">
        <f>Data!H1286</f>
        <v>0</v>
      </c>
      <c r="O1273">
        <f>Data!I1286</f>
        <v>0</v>
      </c>
      <c r="P1273" s="21">
        <f>Data!J1290</f>
        <v>0</v>
      </c>
      <c r="Q1273">
        <f>Data!K1290</f>
        <v>0</v>
      </c>
      <c r="R1273">
        <f>Data!L1290</f>
        <v>0</v>
      </c>
      <c r="S1273">
        <f>Data!M1290</f>
        <v>0</v>
      </c>
      <c r="T1273">
        <f>Data!N1286</f>
        <v>0</v>
      </c>
      <c r="U1273">
        <f>Data!O1290</f>
        <v>0</v>
      </c>
      <c r="V1273" s="33">
        <f>Data!P1288</f>
        <v>0</v>
      </c>
    </row>
    <row r="1274" spans="7:22" x14ac:dyDescent="0.25">
      <c r="G1274">
        <f>Data!A1287</f>
        <v>0</v>
      </c>
      <c r="H1274" s="21">
        <f>Data!B1287</f>
        <v>0</v>
      </c>
      <c r="I1274" s="21">
        <f>Data!C1287</f>
        <v>0</v>
      </c>
      <c r="J1274">
        <f>Data!D1287</f>
        <v>0</v>
      </c>
      <c r="K1274">
        <f>Data!E1287</f>
        <v>0</v>
      </c>
      <c r="L1274">
        <f>Data!F1287</f>
        <v>0</v>
      </c>
      <c r="M1274">
        <f>Data!G1287</f>
        <v>0</v>
      </c>
      <c r="N1274">
        <f>Data!H1287</f>
        <v>0</v>
      </c>
      <c r="O1274">
        <f>Data!I1287</f>
        <v>0</v>
      </c>
      <c r="P1274" s="21">
        <f>Data!J1291</f>
        <v>0</v>
      </c>
      <c r="Q1274">
        <f>Data!K1291</f>
        <v>0</v>
      </c>
      <c r="R1274">
        <f>Data!L1291</f>
        <v>0</v>
      </c>
      <c r="S1274">
        <f>Data!M1291</f>
        <v>0</v>
      </c>
      <c r="T1274">
        <f>Data!N1287</f>
        <v>0</v>
      </c>
      <c r="U1274">
        <f>Data!O1291</f>
        <v>0</v>
      </c>
      <c r="V1274" s="33">
        <f>Data!P1289</f>
        <v>0</v>
      </c>
    </row>
    <row r="1275" spans="7:22" x14ac:dyDescent="0.25">
      <c r="G1275">
        <f>Data!A1288</f>
        <v>0</v>
      </c>
      <c r="H1275" s="21">
        <f>Data!B1288</f>
        <v>0</v>
      </c>
      <c r="I1275" s="21">
        <f>Data!C1288</f>
        <v>0</v>
      </c>
      <c r="J1275">
        <f>Data!D1288</f>
        <v>0</v>
      </c>
      <c r="K1275">
        <f>Data!E1288</f>
        <v>0</v>
      </c>
      <c r="L1275">
        <f>Data!F1288</f>
        <v>0</v>
      </c>
      <c r="M1275">
        <f>Data!G1288</f>
        <v>0</v>
      </c>
      <c r="N1275">
        <f>Data!H1288</f>
        <v>0</v>
      </c>
      <c r="O1275">
        <f>Data!I1288</f>
        <v>0</v>
      </c>
      <c r="P1275" s="21">
        <f>Data!J1292</f>
        <v>0</v>
      </c>
      <c r="Q1275">
        <f>Data!K1292</f>
        <v>0</v>
      </c>
      <c r="R1275">
        <f>Data!L1292</f>
        <v>0</v>
      </c>
      <c r="S1275">
        <f>Data!M1292</f>
        <v>0</v>
      </c>
      <c r="T1275">
        <f>Data!N1288</f>
        <v>0</v>
      </c>
      <c r="U1275">
        <f>Data!O1292</f>
        <v>0</v>
      </c>
      <c r="V1275" s="33">
        <f>Data!P1290</f>
        <v>0</v>
      </c>
    </row>
    <row r="1276" spans="7:22" x14ac:dyDescent="0.25">
      <c r="G1276">
        <f>Data!A1289</f>
        <v>0</v>
      </c>
      <c r="H1276" s="21">
        <f>Data!B1289</f>
        <v>0</v>
      </c>
      <c r="I1276" s="21">
        <f>Data!C1289</f>
        <v>0</v>
      </c>
      <c r="J1276">
        <f>Data!D1289</f>
        <v>0</v>
      </c>
      <c r="K1276">
        <f>Data!E1289</f>
        <v>0</v>
      </c>
      <c r="L1276">
        <f>Data!F1289</f>
        <v>0</v>
      </c>
      <c r="M1276">
        <f>Data!G1289</f>
        <v>0</v>
      </c>
      <c r="N1276">
        <f>Data!H1289</f>
        <v>0</v>
      </c>
      <c r="O1276">
        <f>Data!I1289</f>
        <v>0</v>
      </c>
      <c r="P1276" s="21">
        <f>Data!J1293</f>
        <v>0</v>
      </c>
      <c r="Q1276">
        <f>Data!K1293</f>
        <v>0</v>
      </c>
      <c r="R1276">
        <f>Data!L1293</f>
        <v>0</v>
      </c>
      <c r="S1276">
        <f>Data!M1293</f>
        <v>0</v>
      </c>
      <c r="T1276">
        <f>Data!N1289</f>
        <v>0</v>
      </c>
      <c r="U1276">
        <f>Data!O1293</f>
        <v>0</v>
      </c>
      <c r="V1276" s="33">
        <f>Data!P1291</f>
        <v>0</v>
      </c>
    </row>
    <row r="1277" spans="7:22" x14ac:dyDescent="0.25">
      <c r="G1277">
        <f>Data!A1290</f>
        <v>0</v>
      </c>
      <c r="H1277" s="21">
        <f>Data!B1290</f>
        <v>0</v>
      </c>
      <c r="I1277" s="21">
        <f>Data!C1290</f>
        <v>0</v>
      </c>
      <c r="J1277">
        <f>Data!D1290</f>
        <v>0</v>
      </c>
      <c r="K1277">
        <f>Data!E1290</f>
        <v>0</v>
      </c>
      <c r="L1277">
        <f>Data!F1290</f>
        <v>0</v>
      </c>
      <c r="M1277">
        <f>Data!G1290</f>
        <v>0</v>
      </c>
      <c r="N1277">
        <f>Data!H1290</f>
        <v>0</v>
      </c>
      <c r="O1277">
        <f>Data!I1290</f>
        <v>0</v>
      </c>
      <c r="P1277" s="21">
        <f>Data!J1294</f>
        <v>0</v>
      </c>
      <c r="Q1277">
        <f>Data!K1294</f>
        <v>0</v>
      </c>
      <c r="R1277">
        <f>Data!L1294</f>
        <v>0</v>
      </c>
      <c r="S1277">
        <f>Data!M1294</f>
        <v>0</v>
      </c>
      <c r="T1277">
        <f>Data!N1290</f>
        <v>0</v>
      </c>
      <c r="U1277">
        <f>Data!O1294</f>
        <v>0</v>
      </c>
      <c r="V1277" s="33">
        <f>Data!P1292</f>
        <v>0</v>
      </c>
    </row>
    <row r="1278" spans="7:22" x14ac:dyDescent="0.25">
      <c r="G1278">
        <f>Data!A1291</f>
        <v>0</v>
      </c>
      <c r="H1278" s="21">
        <f>Data!B1291</f>
        <v>0</v>
      </c>
      <c r="I1278" s="21">
        <f>Data!C1291</f>
        <v>0</v>
      </c>
      <c r="J1278">
        <f>Data!D1291</f>
        <v>0</v>
      </c>
      <c r="K1278">
        <f>Data!E1291</f>
        <v>0</v>
      </c>
      <c r="L1278">
        <f>Data!F1291</f>
        <v>0</v>
      </c>
      <c r="M1278">
        <f>Data!G1291</f>
        <v>0</v>
      </c>
      <c r="N1278">
        <f>Data!H1291</f>
        <v>0</v>
      </c>
      <c r="O1278">
        <f>Data!I1291</f>
        <v>0</v>
      </c>
      <c r="P1278" s="21">
        <f>Data!J1295</f>
        <v>0</v>
      </c>
      <c r="Q1278">
        <f>Data!K1295</f>
        <v>0</v>
      </c>
      <c r="R1278">
        <f>Data!L1295</f>
        <v>0</v>
      </c>
      <c r="S1278">
        <f>Data!M1295</f>
        <v>0</v>
      </c>
      <c r="T1278">
        <f>Data!N1291</f>
        <v>0</v>
      </c>
      <c r="U1278">
        <f>Data!O1295</f>
        <v>0</v>
      </c>
      <c r="V1278" s="33">
        <f>Data!P1293</f>
        <v>0</v>
      </c>
    </row>
    <row r="1279" spans="7:22" x14ac:dyDescent="0.25">
      <c r="G1279">
        <f>Data!A1292</f>
        <v>0</v>
      </c>
      <c r="H1279" s="21">
        <f>Data!B1292</f>
        <v>0</v>
      </c>
      <c r="I1279" s="21">
        <f>Data!C1292</f>
        <v>0</v>
      </c>
      <c r="J1279">
        <f>Data!D1292</f>
        <v>0</v>
      </c>
      <c r="K1279">
        <f>Data!E1292</f>
        <v>0</v>
      </c>
      <c r="L1279">
        <f>Data!F1292</f>
        <v>0</v>
      </c>
      <c r="M1279">
        <f>Data!G1292</f>
        <v>0</v>
      </c>
      <c r="N1279">
        <f>Data!H1292</f>
        <v>0</v>
      </c>
      <c r="O1279">
        <f>Data!I1292</f>
        <v>0</v>
      </c>
      <c r="P1279" s="21">
        <f>Data!J1296</f>
        <v>0</v>
      </c>
      <c r="Q1279">
        <f>Data!K1296</f>
        <v>0</v>
      </c>
      <c r="R1279">
        <f>Data!L1296</f>
        <v>0</v>
      </c>
      <c r="S1279">
        <f>Data!M1296</f>
        <v>0</v>
      </c>
      <c r="T1279">
        <f>Data!N1292</f>
        <v>0</v>
      </c>
      <c r="U1279">
        <f>Data!O1296</f>
        <v>0</v>
      </c>
      <c r="V1279" s="33">
        <f>Data!P1294</f>
        <v>0</v>
      </c>
    </row>
    <row r="1280" spans="7:22" x14ac:dyDescent="0.25">
      <c r="G1280">
        <f>Data!A1293</f>
        <v>0</v>
      </c>
      <c r="H1280" s="21">
        <f>Data!B1293</f>
        <v>0</v>
      </c>
      <c r="I1280" s="21">
        <f>Data!C1293</f>
        <v>0</v>
      </c>
      <c r="J1280">
        <f>Data!D1293</f>
        <v>0</v>
      </c>
      <c r="K1280">
        <f>Data!E1293</f>
        <v>0</v>
      </c>
      <c r="L1280">
        <f>Data!F1293</f>
        <v>0</v>
      </c>
      <c r="M1280">
        <f>Data!G1293</f>
        <v>0</v>
      </c>
      <c r="N1280">
        <f>Data!H1293</f>
        <v>0</v>
      </c>
      <c r="O1280">
        <f>Data!I1293</f>
        <v>0</v>
      </c>
      <c r="P1280" s="21">
        <f>Data!J1297</f>
        <v>0</v>
      </c>
      <c r="Q1280">
        <f>Data!K1297</f>
        <v>0</v>
      </c>
      <c r="R1280">
        <f>Data!L1297</f>
        <v>0</v>
      </c>
      <c r="S1280">
        <f>Data!M1297</f>
        <v>0</v>
      </c>
      <c r="T1280">
        <f>Data!N1293</f>
        <v>0</v>
      </c>
      <c r="U1280">
        <f>Data!O1297</f>
        <v>0</v>
      </c>
      <c r="V1280" s="33">
        <f>Data!P1295</f>
        <v>0</v>
      </c>
    </row>
    <row r="1281" spans="7:22" x14ac:dyDescent="0.25">
      <c r="G1281">
        <f>Data!A1294</f>
        <v>0</v>
      </c>
      <c r="H1281" s="21">
        <f>Data!B1294</f>
        <v>0</v>
      </c>
      <c r="I1281" s="21">
        <f>Data!C1294</f>
        <v>0</v>
      </c>
      <c r="J1281">
        <f>Data!D1294</f>
        <v>0</v>
      </c>
      <c r="K1281">
        <f>Data!E1294</f>
        <v>0</v>
      </c>
      <c r="L1281">
        <f>Data!F1294</f>
        <v>0</v>
      </c>
      <c r="M1281">
        <f>Data!G1294</f>
        <v>0</v>
      </c>
      <c r="N1281">
        <f>Data!H1294</f>
        <v>0</v>
      </c>
      <c r="O1281">
        <f>Data!I1294</f>
        <v>0</v>
      </c>
      <c r="P1281" s="21">
        <f>Data!J1298</f>
        <v>0</v>
      </c>
      <c r="Q1281">
        <f>Data!K1298</f>
        <v>0</v>
      </c>
      <c r="R1281">
        <f>Data!L1298</f>
        <v>0</v>
      </c>
      <c r="S1281">
        <f>Data!M1298</f>
        <v>0</v>
      </c>
      <c r="T1281">
        <f>Data!N1294</f>
        <v>0</v>
      </c>
      <c r="U1281">
        <f>Data!O1298</f>
        <v>0</v>
      </c>
      <c r="V1281" s="33">
        <f>Data!P1296</f>
        <v>0</v>
      </c>
    </row>
    <row r="1282" spans="7:22" x14ac:dyDescent="0.25">
      <c r="G1282">
        <f>Data!A1295</f>
        <v>0</v>
      </c>
      <c r="H1282" s="21">
        <f>Data!B1295</f>
        <v>0</v>
      </c>
      <c r="I1282" s="21">
        <f>Data!C1295</f>
        <v>0</v>
      </c>
      <c r="J1282">
        <f>Data!D1295</f>
        <v>0</v>
      </c>
      <c r="K1282">
        <f>Data!E1295</f>
        <v>0</v>
      </c>
      <c r="L1282">
        <f>Data!F1295</f>
        <v>0</v>
      </c>
      <c r="M1282">
        <f>Data!G1295</f>
        <v>0</v>
      </c>
      <c r="N1282">
        <f>Data!H1295</f>
        <v>0</v>
      </c>
      <c r="O1282">
        <f>Data!I1295</f>
        <v>0</v>
      </c>
      <c r="P1282" s="21">
        <f>Data!J1299</f>
        <v>0</v>
      </c>
      <c r="Q1282">
        <f>Data!K1299</f>
        <v>0</v>
      </c>
      <c r="R1282">
        <f>Data!L1299</f>
        <v>0</v>
      </c>
      <c r="S1282">
        <f>Data!M1299</f>
        <v>0</v>
      </c>
      <c r="T1282">
        <f>Data!N1295</f>
        <v>0</v>
      </c>
      <c r="U1282">
        <f>Data!O1299</f>
        <v>0</v>
      </c>
      <c r="V1282" s="33">
        <f>Data!P1297</f>
        <v>0</v>
      </c>
    </row>
    <row r="1283" spans="7:22" x14ac:dyDescent="0.25">
      <c r="G1283">
        <f>Data!A1296</f>
        <v>0</v>
      </c>
      <c r="H1283" s="21">
        <f>Data!B1296</f>
        <v>0</v>
      </c>
      <c r="I1283" s="21">
        <f>Data!C1296</f>
        <v>0</v>
      </c>
      <c r="J1283">
        <f>Data!D1296</f>
        <v>0</v>
      </c>
      <c r="K1283">
        <f>Data!E1296</f>
        <v>0</v>
      </c>
      <c r="L1283">
        <f>Data!F1296</f>
        <v>0</v>
      </c>
      <c r="M1283">
        <f>Data!G1296</f>
        <v>0</v>
      </c>
      <c r="N1283">
        <f>Data!H1296</f>
        <v>0</v>
      </c>
      <c r="O1283">
        <f>Data!I1296</f>
        <v>0</v>
      </c>
      <c r="P1283" s="21">
        <f>Data!J1300</f>
        <v>0</v>
      </c>
      <c r="Q1283">
        <f>Data!K1300</f>
        <v>0</v>
      </c>
      <c r="R1283">
        <f>Data!L1300</f>
        <v>0</v>
      </c>
      <c r="S1283">
        <f>Data!M1300</f>
        <v>0</v>
      </c>
      <c r="T1283">
        <f>Data!N1296</f>
        <v>0</v>
      </c>
      <c r="U1283">
        <f>Data!O1300</f>
        <v>0</v>
      </c>
      <c r="V1283" s="33">
        <f>Data!P1298</f>
        <v>0</v>
      </c>
    </row>
    <row r="1284" spans="7:22" x14ac:dyDescent="0.25">
      <c r="G1284">
        <f>Data!A1297</f>
        <v>0</v>
      </c>
      <c r="H1284" s="21">
        <f>Data!B1297</f>
        <v>0</v>
      </c>
      <c r="I1284" s="21">
        <f>Data!C1297</f>
        <v>0</v>
      </c>
      <c r="J1284">
        <f>Data!D1297</f>
        <v>0</v>
      </c>
      <c r="K1284">
        <f>Data!E1297</f>
        <v>0</v>
      </c>
      <c r="L1284">
        <f>Data!F1297</f>
        <v>0</v>
      </c>
      <c r="M1284">
        <f>Data!G1297</f>
        <v>0</v>
      </c>
      <c r="N1284">
        <f>Data!H1297</f>
        <v>0</v>
      </c>
      <c r="O1284">
        <f>Data!I1297</f>
        <v>0</v>
      </c>
      <c r="P1284" s="21">
        <f>Data!J1301</f>
        <v>0</v>
      </c>
      <c r="Q1284">
        <f>Data!K1301</f>
        <v>0</v>
      </c>
      <c r="R1284">
        <f>Data!L1301</f>
        <v>0</v>
      </c>
      <c r="S1284">
        <f>Data!M1301</f>
        <v>0</v>
      </c>
      <c r="T1284">
        <f>Data!N1297</f>
        <v>0</v>
      </c>
      <c r="U1284">
        <f>Data!O1301</f>
        <v>0</v>
      </c>
      <c r="V1284" s="33">
        <f>Data!P1299</f>
        <v>0</v>
      </c>
    </row>
    <row r="1285" spans="7:22" x14ac:dyDescent="0.25">
      <c r="G1285">
        <f>Data!A1298</f>
        <v>0</v>
      </c>
      <c r="H1285" s="21">
        <f>Data!B1298</f>
        <v>0</v>
      </c>
      <c r="I1285" s="21">
        <f>Data!C1298</f>
        <v>0</v>
      </c>
      <c r="J1285">
        <f>Data!D1298</f>
        <v>0</v>
      </c>
      <c r="K1285">
        <f>Data!E1298</f>
        <v>0</v>
      </c>
      <c r="L1285">
        <f>Data!F1298</f>
        <v>0</v>
      </c>
      <c r="M1285">
        <f>Data!G1298</f>
        <v>0</v>
      </c>
      <c r="N1285">
        <f>Data!H1298</f>
        <v>0</v>
      </c>
      <c r="O1285">
        <f>Data!I1298</f>
        <v>0</v>
      </c>
      <c r="P1285" s="21">
        <f>Data!J1302</f>
        <v>0</v>
      </c>
      <c r="Q1285">
        <f>Data!K1302</f>
        <v>0</v>
      </c>
      <c r="R1285">
        <f>Data!L1302</f>
        <v>0</v>
      </c>
      <c r="S1285">
        <f>Data!M1302</f>
        <v>0</v>
      </c>
      <c r="T1285">
        <f>Data!N1298</f>
        <v>0</v>
      </c>
      <c r="U1285">
        <f>Data!O1302</f>
        <v>0</v>
      </c>
      <c r="V1285" s="33">
        <f>Data!P1300</f>
        <v>0</v>
      </c>
    </row>
    <row r="1286" spans="7:22" x14ac:dyDescent="0.25">
      <c r="G1286">
        <f>Data!A1299</f>
        <v>0</v>
      </c>
      <c r="H1286" s="21">
        <f>Data!B1299</f>
        <v>0</v>
      </c>
      <c r="I1286" s="21">
        <f>Data!C1299</f>
        <v>0</v>
      </c>
      <c r="J1286">
        <f>Data!D1299</f>
        <v>0</v>
      </c>
      <c r="K1286">
        <f>Data!E1299</f>
        <v>0</v>
      </c>
      <c r="L1286">
        <f>Data!F1299</f>
        <v>0</v>
      </c>
      <c r="M1286">
        <f>Data!G1299</f>
        <v>0</v>
      </c>
      <c r="N1286">
        <f>Data!H1299</f>
        <v>0</v>
      </c>
      <c r="O1286">
        <f>Data!I1299</f>
        <v>0</v>
      </c>
      <c r="P1286" s="21">
        <f>Data!J1303</f>
        <v>0</v>
      </c>
      <c r="Q1286">
        <f>Data!K1303</f>
        <v>0</v>
      </c>
      <c r="R1286">
        <f>Data!L1303</f>
        <v>0</v>
      </c>
      <c r="S1286">
        <f>Data!M1303</f>
        <v>0</v>
      </c>
      <c r="T1286">
        <f>Data!N1299</f>
        <v>0</v>
      </c>
      <c r="U1286">
        <f>Data!O1303</f>
        <v>0</v>
      </c>
      <c r="V1286" s="33">
        <f>Data!P1301</f>
        <v>0</v>
      </c>
    </row>
    <row r="1287" spans="7:22" x14ac:dyDescent="0.25">
      <c r="G1287">
        <f>Data!A1300</f>
        <v>0</v>
      </c>
      <c r="H1287" s="21">
        <f>Data!B1300</f>
        <v>0</v>
      </c>
      <c r="I1287" s="21">
        <f>Data!C1300</f>
        <v>0</v>
      </c>
      <c r="J1287">
        <f>Data!D1300</f>
        <v>0</v>
      </c>
      <c r="K1287">
        <f>Data!E1300</f>
        <v>0</v>
      </c>
      <c r="L1287">
        <f>Data!F1300</f>
        <v>0</v>
      </c>
      <c r="M1287">
        <f>Data!G1300</f>
        <v>0</v>
      </c>
      <c r="N1287">
        <f>Data!H1300</f>
        <v>0</v>
      </c>
      <c r="O1287">
        <f>Data!I1300</f>
        <v>0</v>
      </c>
      <c r="P1287" s="21">
        <f>Data!J1304</f>
        <v>0</v>
      </c>
      <c r="Q1287">
        <f>Data!K1304</f>
        <v>0</v>
      </c>
      <c r="R1287">
        <f>Data!L1304</f>
        <v>0</v>
      </c>
      <c r="S1287">
        <f>Data!M1304</f>
        <v>0</v>
      </c>
      <c r="T1287">
        <f>Data!N1300</f>
        <v>0</v>
      </c>
      <c r="U1287">
        <f>Data!O1304</f>
        <v>0</v>
      </c>
      <c r="V1287" s="33">
        <f>Data!P1302</f>
        <v>0</v>
      </c>
    </row>
    <row r="1288" spans="7:22" x14ac:dyDescent="0.25">
      <c r="G1288">
        <f>Data!A1301</f>
        <v>0</v>
      </c>
      <c r="H1288" s="21">
        <f>Data!B1301</f>
        <v>0</v>
      </c>
      <c r="I1288" s="21">
        <f>Data!C1301</f>
        <v>0</v>
      </c>
      <c r="J1288">
        <f>Data!D1301</f>
        <v>0</v>
      </c>
      <c r="K1288">
        <f>Data!E1301</f>
        <v>0</v>
      </c>
      <c r="L1288">
        <f>Data!F1301</f>
        <v>0</v>
      </c>
      <c r="M1288">
        <f>Data!G1301</f>
        <v>0</v>
      </c>
      <c r="N1288">
        <f>Data!H1301</f>
        <v>0</v>
      </c>
      <c r="O1288">
        <f>Data!I1301</f>
        <v>0</v>
      </c>
      <c r="P1288" s="21">
        <f>Data!J1305</f>
        <v>0</v>
      </c>
      <c r="Q1288">
        <f>Data!K1305</f>
        <v>0</v>
      </c>
      <c r="R1288">
        <f>Data!L1305</f>
        <v>0</v>
      </c>
      <c r="S1288">
        <f>Data!M1305</f>
        <v>0</v>
      </c>
      <c r="T1288">
        <f>Data!N1301</f>
        <v>0</v>
      </c>
      <c r="U1288">
        <f>Data!O1305</f>
        <v>0</v>
      </c>
      <c r="V1288" s="33">
        <f>Data!P1303</f>
        <v>0</v>
      </c>
    </row>
    <row r="1289" spans="7:22" x14ac:dyDescent="0.25">
      <c r="G1289">
        <f>Data!A1302</f>
        <v>0</v>
      </c>
      <c r="H1289" s="21">
        <f>Data!B1302</f>
        <v>0</v>
      </c>
      <c r="I1289" s="21">
        <f>Data!C1302</f>
        <v>0</v>
      </c>
      <c r="J1289">
        <f>Data!D1302</f>
        <v>0</v>
      </c>
      <c r="K1289">
        <f>Data!E1302</f>
        <v>0</v>
      </c>
      <c r="L1289">
        <f>Data!F1302</f>
        <v>0</v>
      </c>
      <c r="M1289">
        <f>Data!G1302</f>
        <v>0</v>
      </c>
      <c r="N1289">
        <f>Data!H1302</f>
        <v>0</v>
      </c>
      <c r="O1289">
        <f>Data!I1302</f>
        <v>0</v>
      </c>
      <c r="P1289" s="21">
        <f>Data!J1306</f>
        <v>0</v>
      </c>
      <c r="Q1289">
        <f>Data!K1306</f>
        <v>0</v>
      </c>
      <c r="R1289">
        <f>Data!L1306</f>
        <v>0</v>
      </c>
      <c r="S1289">
        <f>Data!M1306</f>
        <v>0</v>
      </c>
      <c r="T1289">
        <f>Data!N1302</f>
        <v>0</v>
      </c>
      <c r="U1289">
        <f>Data!O1306</f>
        <v>0</v>
      </c>
      <c r="V1289" s="33">
        <f>Data!P1304</f>
        <v>0</v>
      </c>
    </row>
    <row r="1290" spans="7:22" x14ac:dyDescent="0.25">
      <c r="G1290">
        <f>Data!A1303</f>
        <v>0</v>
      </c>
      <c r="H1290" s="21">
        <f>Data!B1303</f>
        <v>0</v>
      </c>
      <c r="I1290" s="21">
        <f>Data!C1303</f>
        <v>0</v>
      </c>
      <c r="J1290">
        <f>Data!D1303</f>
        <v>0</v>
      </c>
      <c r="K1290">
        <f>Data!E1303</f>
        <v>0</v>
      </c>
      <c r="L1290">
        <f>Data!F1303</f>
        <v>0</v>
      </c>
      <c r="M1290">
        <f>Data!G1303</f>
        <v>0</v>
      </c>
      <c r="N1290">
        <f>Data!H1303</f>
        <v>0</v>
      </c>
      <c r="O1290">
        <f>Data!I1303</f>
        <v>0</v>
      </c>
      <c r="P1290" s="21">
        <f>Data!J1307</f>
        <v>0</v>
      </c>
      <c r="Q1290">
        <f>Data!K1307</f>
        <v>0</v>
      </c>
      <c r="R1290">
        <f>Data!L1307</f>
        <v>0</v>
      </c>
      <c r="S1290">
        <f>Data!M1307</f>
        <v>0</v>
      </c>
      <c r="T1290">
        <f>Data!N1303</f>
        <v>0</v>
      </c>
      <c r="U1290">
        <f>Data!O1307</f>
        <v>0</v>
      </c>
      <c r="V1290" s="33">
        <f>Data!P1305</f>
        <v>0</v>
      </c>
    </row>
    <row r="1291" spans="7:22" x14ac:dyDescent="0.25">
      <c r="G1291">
        <f>Data!A1304</f>
        <v>0</v>
      </c>
      <c r="H1291" s="21">
        <f>Data!B1304</f>
        <v>0</v>
      </c>
      <c r="I1291" s="21">
        <f>Data!C1304</f>
        <v>0</v>
      </c>
      <c r="J1291">
        <f>Data!D1304</f>
        <v>0</v>
      </c>
      <c r="K1291">
        <f>Data!E1304</f>
        <v>0</v>
      </c>
      <c r="L1291">
        <f>Data!F1304</f>
        <v>0</v>
      </c>
      <c r="M1291">
        <f>Data!G1304</f>
        <v>0</v>
      </c>
      <c r="N1291">
        <f>Data!H1304</f>
        <v>0</v>
      </c>
      <c r="O1291">
        <f>Data!I1304</f>
        <v>0</v>
      </c>
      <c r="P1291" s="21">
        <f>Data!J1308</f>
        <v>0</v>
      </c>
      <c r="Q1291">
        <f>Data!K1308</f>
        <v>0</v>
      </c>
      <c r="R1291">
        <f>Data!L1308</f>
        <v>0</v>
      </c>
      <c r="S1291">
        <f>Data!M1308</f>
        <v>0</v>
      </c>
      <c r="T1291">
        <f>Data!N1304</f>
        <v>0</v>
      </c>
      <c r="U1291">
        <f>Data!O1308</f>
        <v>0</v>
      </c>
      <c r="V1291" s="33">
        <f>Data!P1306</f>
        <v>0</v>
      </c>
    </row>
    <row r="1292" spans="7:22" x14ac:dyDescent="0.25">
      <c r="G1292">
        <f>Data!A1305</f>
        <v>0</v>
      </c>
      <c r="H1292" s="21">
        <f>Data!B1305</f>
        <v>0</v>
      </c>
      <c r="I1292" s="21">
        <f>Data!C1305</f>
        <v>0</v>
      </c>
      <c r="J1292">
        <f>Data!D1305</f>
        <v>0</v>
      </c>
      <c r="K1292">
        <f>Data!E1305</f>
        <v>0</v>
      </c>
      <c r="L1292">
        <f>Data!F1305</f>
        <v>0</v>
      </c>
      <c r="M1292">
        <f>Data!G1305</f>
        <v>0</v>
      </c>
      <c r="N1292">
        <f>Data!H1305</f>
        <v>0</v>
      </c>
      <c r="O1292">
        <f>Data!I1305</f>
        <v>0</v>
      </c>
      <c r="P1292" s="21">
        <f>Data!J1309</f>
        <v>0</v>
      </c>
      <c r="Q1292">
        <f>Data!K1309</f>
        <v>0</v>
      </c>
      <c r="R1292">
        <f>Data!L1309</f>
        <v>0</v>
      </c>
      <c r="S1292">
        <f>Data!M1309</f>
        <v>0</v>
      </c>
      <c r="T1292">
        <f>Data!N1305</f>
        <v>0</v>
      </c>
      <c r="U1292">
        <f>Data!O1309</f>
        <v>0</v>
      </c>
      <c r="V1292" s="33">
        <f>Data!P1307</f>
        <v>0</v>
      </c>
    </row>
    <row r="1293" spans="7:22" x14ac:dyDescent="0.25">
      <c r="G1293">
        <f>Data!A1306</f>
        <v>0</v>
      </c>
      <c r="H1293" s="21">
        <f>Data!B1306</f>
        <v>0</v>
      </c>
      <c r="I1293" s="21">
        <f>Data!C1306</f>
        <v>0</v>
      </c>
      <c r="J1293">
        <f>Data!D1306</f>
        <v>0</v>
      </c>
      <c r="K1293">
        <f>Data!E1306</f>
        <v>0</v>
      </c>
      <c r="L1293">
        <f>Data!F1306</f>
        <v>0</v>
      </c>
      <c r="M1293">
        <f>Data!G1306</f>
        <v>0</v>
      </c>
      <c r="N1293">
        <f>Data!H1306</f>
        <v>0</v>
      </c>
      <c r="O1293">
        <f>Data!I1306</f>
        <v>0</v>
      </c>
      <c r="P1293" s="21">
        <f>Data!J1310</f>
        <v>0</v>
      </c>
      <c r="Q1293">
        <f>Data!K1310</f>
        <v>0</v>
      </c>
      <c r="R1293">
        <f>Data!L1310</f>
        <v>0</v>
      </c>
      <c r="S1293">
        <f>Data!M1310</f>
        <v>0</v>
      </c>
      <c r="T1293">
        <f>Data!N1306</f>
        <v>0</v>
      </c>
      <c r="U1293">
        <f>Data!O1310</f>
        <v>0</v>
      </c>
      <c r="V1293" s="33">
        <f>Data!P1308</f>
        <v>0</v>
      </c>
    </row>
    <row r="1294" spans="7:22" x14ac:dyDescent="0.25">
      <c r="G1294">
        <f>Data!A1307</f>
        <v>0</v>
      </c>
      <c r="H1294" s="21">
        <f>Data!B1307</f>
        <v>0</v>
      </c>
      <c r="I1294" s="21">
        <f>Data!C1307</f>
        <v>0</v>
      </c>
      <c r="J1294">
        <f>Data!D1307</f>
        <v>0</v>
      </c>
      <c r="K1294">
        <f>Data!E1307</f>
        <v>0</v>
      </c>
      <c r="L1294">
        <f>Data!F1307</f>
        <v>0</v>
      </c>
      <c r="M1294">
        <f>Data!G1307</f>
        <v>0</v>
      </c>
      <c r="N1294">
        <f>Data!H1307</f>
        <v>0</v>
      </c>
      <c r="O1294">
        <f>Data!I1307</f>
        <v>0</v>
      </c>
      <c r="P1294" s="21">
        <f>Data!J1311</f>
        <v>0</v>
      </c>
      <c r="Q1294">
        <f>Data!K1311</f>
        <v>0</v>
      </c>
      <c r="R1294">
        <f>Data!L1311</f>
        <v>0</v>
      </c>
      <c r="S1294">
        <f>Data!M1311</f>
        <v>0</v>
      </c>
      <c r="T1294">
        <f>Data!N1307</f>
        <v>0</v>
      </c>
      <c r="U1294">
        <f>Data!O1311</f>
        <v>0</v>
      </c>
      <c r="V1294" s="33">
        <f>Data!P1309</f>
        <v>0</v>
      </c>
    </row>
    <row r="1295" spans="7:22" x14ac:dyDescent="0.25">
      <c r="G1295">
        <f>Data!A1308</f>
        <v>0</v>
      </c>
      <c r="H1295" s="21">
        <f>Data!B1308</f>
        <v>0</v>
      </c>
      <c r="I1295" s="21">
        <f>Data!C1308</f>
        <v>0</v>
      </c>
      <c r="J1295">
        <f>Data!D1308</f>
        <v>0</v>
      </c>
      <c r="K1295">
        <f>Data!E1308</f>
        <v>0</v>
      </c>
      <c r="L1295">
        <f>Data!F1308</f>
        <v>0</v>
      </c>
      <c r="M1295">
        <f>Data!G1308</f>
        <v>0</v>
      </c>
      <c r="N1295">
        <f>Data!H1308</f>
        <v>0</v>
      </c>
      <c r="O1295">
        <f>Data!I1308</f>
        <v>0</v>
      </c>
      <c r="P1295" s="21">
        <f>Data!J1312</f>
        <v>0</v>
      </c>
      <c r="Q1295">
        <f>Data!K1312</f>
        <v>0</v>
      </c>
      <c r="R1295">
        <f>Data!L1312</f>
        <v>0</v>
      </c>
      <c r="S1295">
        <f>Data!M1312</f>
        <v>0</v>
      </c>
      <c r="T1295">
        <f>Data!N1308</f>
        <v>0</v>
      </c>
      <c r="U1295">
        <f>Data!O1312</f>
        <v>0</v>
      </c>
      <c r="V1295" s="33">
        <f>Data!P1310</f>
        <v>0</v>
      </c>
    </row>
    <row r="1296" spans="7:22" x14ac:dyDescent="0.25">
      <c r="G1296">
        <f>Data!A1309</f>
        <v>0</v>
      </c>
      <c r="H1296" s="21">
        <f>Data!B1309</f>
        <v>0</v>
      </c>
      <c r="I1296" s="21">
        <f>Data!C1309</f>
        <v>0</v>
      </c>
      <c r="J1296">
        <f>Data!D1309</f>
        <v>0</v>
      </c>
      <c r="K1296">
        <f>Data!E1309</f>
        <v>0</v>
      </c>
      <c r="L1296">
        <f>Data!F1309</f>
        <v>0</v>
      </c>
      <c r="M1296">
        <f>Data!G1309</f>
        <v>0</v>
      </c>
      <c r="N1296">
        <f>Data!H1309</f>
        <v>0</v>
      </c>
      <c r="O1296">
        <f>Data!I1309</f>
        <v>0</v>
      </c>
      <c r="P1296" s="21">
        <f>Data!J1313</f>
        <v>0</v>
      </c>
      <c r="Q1296">
        <f>Data!K1313</f>
        <v>0</v>
      </c>
      <c r="R1296">
        <f>Data!L1313</f>
        <v>0</v>
      </c>
      <c r="S1296">
        <f>Data!M1313</f>
        <v>0</v>
      </c>
      <c r="T1296">
        <f>Data!N1309</f>
        <v>0</v>
      </c>
      <c r="U1296">
        <f>Data!O1313</f>
        <v>0</v>
      </c>
      <c r="V1296" s="33">
        <f>Data!P1311</f>
        <v>0</v>
      </c>
    </row>
    <row r="1297" spans="7:22" x14ac:dyDescent="0.25">
      <c r="G1297">
        <f>Data!A1310</f>
        <v>0</v>
      </c>
      <c r="H1297" s="21">
        <f>Data!B1310</f>
        <v>0</v>
      </c>
      <c r="I1297" s="21">
        <f>Data!C1310</f>
        <v>0</v>
      </c>
      <c r="J1297">
        <f>Data!D1310</f>
        <v>0</v>
      </c>
      <c r="K1297">
        <f>Data!E1310</f>
        <v>0</v>
      </c>
      <c r="L1297">
        <f>Data!F1310</f>
        <v>0</v>
      </c>
      <c r="M1297">
        <f>Data!G1310</f>
        <v>0</v>
      </c>
      <c r="N1297">
        <f>Data!H1310</f>
        <v>0</v>
      </c>
      <c r="O1297">
        <f>Data!I1310</f>
        <v>0</v>
      </c>
      <c r="P1297" s="21">
        <f>Data!J1314</f>
        <v>0</v>
      </c>
      <c r="Q1297">
        <f>Data!K1314</f>
        <v>0</v>
      </c>
      <c r="R1297">
        <f>Data!L1314</f>
        <v>0</v>
      </c>
      <c r="S1297">
        <f>Data!M1314</f>
        <v>0</v>
      </c>
      <c r="T1297">
        <f>Data!N1310</f>
        <v>0</v>
      </c>
      <c r="U1297">
        <f>Data!O1314</f>
        <v>0</v>
      </c>
      <c r="V1297" s="33">
        <f>Data!P1312</f>
        <v>0</v>
      </c>
    </row>
    <row r="1298" spans="7:22" x14ac:dyDescent="0.25">
      <c r="G1298">
        <f>Data!A1311</f>
        <v>0</v>
      </c>
      <c r="H1298" s="21">
        <f>Data!B1311</f>
        <v>0</v>
      </c>
      <c r="I1298" s="21">
        <f>Data!C1311</f>
        <v>0</v>
      </c>
      <c r="J1298">
        <f>Data!D1311</f>
        <v>0</v>
      </c>
      <c r="K1298">
        <f>Data!E1311</f>
        <v>0</v>
      </c>
      <c r="L1298">
        <f>Data!F1311</f>
        <v>0</v>
      </c>
      <c r="M1298">
        <f>Data!G1311</f>
        <v>0</v>
      </c>
      <c r="N1298">
        <f>Data!H1311</f>
        <v>0</v>
      </c>
      <c r="O1298">
        <f>Data!I1311</f>
        <v>0</v>
      </c>
      <c r="P1298" s="21">
        <f>Data!J1315</f>
        <v>0</v>
      </c>
      <c r="Q1298">
        <f>Data!K1315</f>
        <v>0</v>
      </c>
      <c r="R1298">
        <f>Data!L1315</f>
        <v>0</v>
      </c>
      <c r="S1298">
        <f>Data!M1315</f>
        <v>0</v>
      </c>
      <c r="T1298">
        <f>Data!N1311</f>
        <v>0</v>
      </c>
      <c r="U1298">
        <f>Data!O1315</f>
        <v>0</v>
      </c>
      <c r="V1298" s="33">
        <f>Data!P1313</f>
        <v>0</v>
      </c>
    </row>
    <row r="1299" spans="7:22" x14ac:dyDescent="0.25">
      <c r="G1299">
        <f>Data!A1312</f>
        <v>0</v>
      </c>
      <c r="H1299" s="21">
        <f>Data!B1312</f>
        <v>0</v>
      </c>
      <c r="I1299" s="21">
        <f>Data!C1312</f>
        <v>0</v>
      </c>
      <c r="J1299">
        <f>Data!D1312</f>
        <v>0</v>
      </c>
      <c r="K1299">
        <f>Data!E1312</f>
        <v>0</v>
      </c>
      <c r="L1299">
        <f>Data!F1312</f>
        <v>0</v>
      </c>
      <c r="M1299">
        <f>Data!G1312</f>
        <v>0</v>
      </c>
      <c r="N1299">
        <f>Data!H1312</f>
        <v>0</v>
      </c>
      <c r="O1299">
        <f>Data!I1312</f>
        <v>0</v>
      </c>
      <c r="P1299" s="21">
        <f>Data!J1316</f>
        <v>0</v>
      </c>
      <c r="Q1299">
        <f>Data!K1316</f>
        <v>0</v>
      </c>
      <c r="R1299">
        <f>Data!L1316</f>
        <v>0</v>
      </c>
      <c r="S1299">
        <f>Data!M1316</f>
        <v>0</v>
      </c>
      <c r="T1299">
        <f>Data!N1312</f>
        <v>0</v>
      </c>
      <c r="U1299">
        <f>Data!O1316</f>
        <v>0</v>
      </c>
      <c r="V1299" s="33">
        <f>Data!P1314</f>
        <v>0</v>
      </c>
    </row>
    <row r="1300" spans="7:22" x14ac:dyDescent="0.25">
      <c r="G1300">
        <f>Data!A1313</f>
        <v>0</v>
      </c>
      <c r="H1300" s="21">
        <f>Data!B1313</f>
        <v>0</v>
      </c>
      <c r="I1300" s="21">
        <f>Data!C1313</f>
        <v>0</v>
      </c>
      <c r="J1300">
        <f>Data!D1313</f>
        <v>0</v>
      </c>
      <c r="K1300">
        <f>Data!E1313</f>
        <v>0</v>
      </c>
      <c r="L1300">
        <f>Data!F1313</f>
        <v>0</v>
      </c>
      <c r="M1300">
        <f>Data!G1313</f>
        <v>0</v>
      </c>
      <c r="N1300">
        <f>Data!H1313</f>
        <v>0</v>
      </c>
      <c r="O1300">
        <f>Data!I1313</f>
        <v>0</v>
      </c>
      <c r="P1300" s="21">
        <f>Data!J1317</f>
        <v>0</v>
      </c>
      <c r="Q1300">
        <f>Data!K1317</f>
        <v>0</v>
      </c>
      <c r="R1300">
        <f>Data!L1317</f>
        <v>0</v>
      </c>
      <c r="S1300">
        <f>Data!M1317</f>
        <v>0</v>
      </c>
      <c r="T1300">
        <f>Data!N1313</f>
        <v>0</v>
      </c>
      <c r="U1300">
        <f>Data!O1317</f>
        <v>0</v>
      </c>
      <c r="V1300" s="33">
        <f>Data!P1315</f>
        <v>0</v>
      </c>
    </row>
    <row r="1301" spans="7:22" x14ac:dyDescent="0.25">
      <c r="G1301">
        <f>Data!A1314</f>
        <v>0</v>
      </c>
      <c r="H1301" s="21">
        <f>Data!B1314</f>
        <v>0</v>
      </c>
      <c r="I1301" s="21">
        <f>Data!C1314</f>
        <v>0</v>
      </c>
      <c r="J1301">
        <f>Data!D1314</f>
        <v>0</v>
      </c>
      <c r="K1301">
        <f>Data!E1314</f>
        <v>0</v>
      </c>
      <c r="L1301">
        <f>Data!F1314</f>
        <v>0</v>
      </c>
      <c r="M1301">
        <f>Data!G1314</f>
        <v>0</v>
      </c>
      <c r="N1301">
        <f>Data!H1314</f>
        <v>0</v>
      </c>
      <c r="O1301">
        <f>Data!I1314</f>
        <v>0</v>
      </c>
      <c r="P1301" s="21">
        <f>Data!J1318</f>
        <v>0</v>
      </c>
      <c r="Q1301">
        <f>Data!K1318</f>
        <v>0</v>
      </c>
      <c r="R1301">
        <f>Data!L1318</f>
        <v>0</v>
      </c>
      <c r="S1301">
        <f>Data!M1318</f>
        <v>0</v>
      </c>
      <c r="T1301">
        <f>Data!N1314</f>
        <v>0</v>
      </c>
      <c r="U1301">
        <f>Data!O1318</f>
        <v>0</v>
      </c>
      <c r="V1301" s="33">
        <f>Data!P1316</f>
        <v>0</v>
      </c>
    </row>
    <row r="1302" spans="7:22" x14ac:dyDescent="0.25">
      <c r="G1302">
        <f>Data!A1315</f>
        <v>0</v>
      </c>
      <c r="H1302" s="21">
        <f>Data!B1315</f>
        <v>0</v>
      </c>
      <c r="I1302" s="21">
        <f>Data!C1315</f>
        <v>0</v>
      </c>
      <c r="J1302">
        <f>Data!D1315</f>
        <v>0</v>
      </c>
      <c r="K1302">
        <f>Data!E1315</f>
        <v>0</v>
      </c>
      <c r="L1302">
        <f>Data!F1315</f>
        <v>0</v>
      </c>
      <c r="M1302">
        <f>Data!G1315</f>
        <v>0</v>
      </c>
      <c r="N1302">
        <f>Data!H1315</f>
        <v>0</v>
      </c>
      <c r="O1302">
        <f>Data!I1315</f>
        <v>0</v>
      </c>
      <c r="P1302" s="21">
        <f>Data!J1319</f>
        <v>0</v>
      </c>
      <c r="Q1302">
        <f>Data!K1319</f>
        <v>0</v>
      </c>
      <c r="R1302">
        <f>Data!L1319</f>
        <v>0</v>
      </c>
      <c r="S1302">
        <f>Data!M1319</f>
        <v>0</v>
      </c>
      <c r="T1302">
        <f>Data!N1315</f>
        <v>0</v>
      </c>
      <c r="U1302">
        <f>Data!O1319</f>
        <v>0</v>
      </c>
      <c r="V1302" s="33">
        <f>Data!P1317</f>
        <v>0</v>
      </c>
    </row>
    <row r="1303" spans="7:22" x14ac:dyDescent="0.25">
      <c r="G1303">
        <f>Data!A1316</f>
        <v>0</v>
      </c>
      <c r="H1303" s="21">
        <f>Data!B1316</f>
        <v>0</v>
      </c>
      <c r="I1303" s="21">
        <f>Data!C1316</f>
        <v>0</v>
      </c>
      <c r="J1303">
        <f>Data!D1316</f>
        <v>0</v>
      </c>
      <c r="K1303">
        <f>Data!E1316</f>
        <v>0</v>
      </c>
      <c r="L1303">
        <f>Data!F1316</f>
        <v>0</v>
      </c>
      <c r="M1303">
        <f>Data!G1316</f>
        <v>0</v>
      </c>
      <c r="N1303">
        <f>Data!H1316</f>
        <v>0</v>
      </c>
      <c r="O1303">
        <f>Data!I1316</f>
        <v>0</v>
      </c>
      <c r="P1303" s="21">
        <f>Data!J1320</f>
        <v>0</v>
      </c>
      <c r="Q1303">
        <f>Data!K1320</f>
        <v>0</v>
      </c>
      <c r="R1303">
        <f>Data!L1320</f>
        <v>0</v>
      </c>
      <c r="S1303">
        <f>Data!M1320</f>
        <v>0</v>
      </c>
      <c r="T1303">
        <f>Data!N1316</f>
        <v>0</v>
      </c>
      <c r="U1303">
        <f>Data!O1320</f>
        <v>0</v>
      </c>
      <c r="V1303" s="33">
        <f>Data!P1318</f>
        <v>0</v>
      </c>
    </row>
    <row r="1304" spans="7:22" x14ac:dyDescent="0.25">
      <c r="G1304">
        <f>Data!A1317</f>
        <v>0</v>
      </c>
      <c r="H1304" s="21">
        <f>Data!B1317</f>
        <v>0</v>
      </c>
      <c r="I1304" s="21">
        <f>Data!C1317</f>
        <v>0</v>
      </c>
      <c r="J1304">
        <f>Data!D1317</f>
        <v>0</v>
      </c>
      <c r="K1304">
        <f>Data!E1317</f>
        <v>0</v>
      </c>
      <c r="L1304">
        <f>Data!F1317</f>
        <v>0</v>
      </c>
      <c r="M1304">
        <f>Data!G1317</f>
        <v>0</v>
      </c>
      <c r="N1304">
        <f>Data!H1317</f>
        <v>0</v>
      </c>
      <c r="O1304">
        <f>Data!I1317</f>
        <v>0</v>
      </c>
      <c r="P1304" s="21">
        <f>Data!J1321</f>
        <v>0</v>
      </c>
      <c r="Q1304">
        <f>Data!K1321</f>
        <v>0</v>
      </c>
      <c r="R1304">
        <f>Data!L1321</f>
        <v>0</v>
      </c>
      <c r="S1304">
        <f>Data!M1321</f>
        <v>0</v>
      </c>
      <c r="T1304">
        <f>Data!N1317</f>
        <v>0</v>
      </c>
      <c r="U1304">
        <f>Data!O1321</f>
        <v>0</v>
      </c>
      <c r="V1304" s="33">
        <f>Data!P1319</f>
        <v>0</v>
      </c>
    </row>
    <row r="1305" spans="7:22" x14ac:dyDescent="0.25">
      <c r="G1305">
        <f>Data!A1318</f>
        <v>0</v>
      </c>
      <c r="H1305" s="21">
        <f>Data!B1318</f>
        <v>0</v>
      </c>
      <c r="I1305" s="21">
        <f>Data!C1318</f>
        <v>0</v>
      </c>
      <c r="J1305">
        <f>Data!D1318</f>
        <v>0</v>
      </c>
      <c r="K1305">
        <f>Data!E1318</f>
        <v>0</v>
      </c>
      <c r="L1305">
        <f>Data!F1318</f>
        <v>0</v>
      </c>
      <c r="M1305">
        <f>Data!G1318</f>
        <v>0</v>
      </c>
      <c r="N1305">
        <f>Data!H1318</f>
        <v>0</v>
      </c>
      <c r="O1305">
        <f>Data!I1318</f>
        <v>0</v>
      </c>
      <c r="P1305" s="21">
        <f>Data!J1322</f>
        <v>0</v>
      </c>
      <c r="Q1305">
        <f>Data!K1322</f>
        <v>0</v>
      </c>
      <c r="R1305">
        <f>Data!L1322</f>
        <v>0</v>
      </c>
      <c r="S1305">
        <f>Data!M1322</f>
        <v>0</v>
      </c>
      <c r="T1305">
        <f>Data!N1318</f>
        <v>0</v>
      </c>
      <c r="U1305">
        <f>Data!O1322</f>
        <v>0</v>
      </c>
      <c r="V1305" s="33">
        <f>Data!P1320</f>
        <v>0</v>
      </c>
    </row>
    <row r="1306" spans="7:22" x14ac:dyDescent="0.25">
      <c r="G1306">
        <f>Data!A1319</f>
        <v>0</v>
      </c>
      <c r="H1306" s="21">
        <f>Data!B1319</f>
        <v>0</v>
      </c>
      <c r="I1306" s="21">
        <f>Data!C1319</f>
        <v>0</v>
      </c>
      <c r="J1306">
        <f>Data!D1319</f>
        <v>0</v>
      </c>
      <c r="K1306">
        <f>Data!E1319</f>
        <v>0</v>
      </c>
      <c r="L1306">
        <f>Data!F1319</f>
        <v>0</v>
      </c>
      <c r="M1306">
        <f>Data!G1319</f>
        <v>0</v>
      </c>
      <c r="N1306">
        <f>Data!H1319</f>
        <v>0</v>
      </c>
      <c r="O1306">
        <f>Data!I1319</f>
        <v>0</v>
      </c>
      <c r="P1306" s="21">
        <f>Data!J1323</f>
        <v>0</v>
      </c>
      <c r="Q1306">
        <f>Data!K1323</f>
        <v>0</v>
      </c>
      <c r="R1306">
        <f>Data!L1323</f>
        <v>0</v>
      </c>
      <c r="S1306">
        <f>Data!M1323</f>
        <v>0</v>
      </c>
      <c r="T1306">
        <f>Data!N1319</f>
        <v>0</v>
      </c>
      <c r="U1306">
        <f>Data!O1323</f>
        <v>0</v>
      </c>
      <c r="V1306" s="33">
        <f>Data!P1321</f>
        <v>0</v>
      </c>
    </row>
    <row r="1307" spans="7:22" x14ac:dyDescent="0.25">
      <c r="G1307">
        <f>Data!A1320</f>
        <v>0</v>
      </c>
      <c r="H1307" s="21">
        <f>Data!B1320</f>
        <v>0</v>
      </c>
      <c r="I1307" s="21">
        <f>Data!C1320</f>
        <v>0</v>
      </c>
      <c r="J1307">
        <f>Data!D1320</f>
        <v>0</v>
      </c>
      <c r="K1307">
        <f>Data!E1320</f>
        <v>0</v>
      </c>
      <c r="L1307">
        <f>Data!F1320</f>
        <v>0</v>
      </c>
      <c r="M1307">
        <f>Data!G1320</f>
        <v>0</v>
      </c>
      <c r="N1307">
        <f>Data!H1320</f>
        <v>0</v>
      </c>
      <c r="O1307">
        <f>Data!I1320</f>
        <v>0</v>
      </c>
      <c r="P1307" s="21">
        <f>Data!J1324</f>
        <v>0</v>
      </c>
      <c r="Q1307">
        <f>Data!K1324</f>
        <v>0</v>
      </c>
      <c r="R1307">
        <f>Data!L1324</f>
        <v>0</v>
      </c>
      <c r="S1307">
        <f>Data!M1324</f>
        <v>0</v>
      </c>
      <c r="T1307">
        <f>Data!N1320</f>
        <v>0</v>
      </c>
      <c r="U1307">
        <f>Data!O1324</f>
        <v>0</v>
      </c>
      <c r="V1307" s="33">
        <f>Data!P1322</f>
        <v>0</v>
      </c>
    </row>
    <row r="1308" spans="7:22" x14ac:dyDescent="0.25">
      <c r="G1308">
        <f>Data!A1321</f>
        <v>0</v>
      </c>
      <c r="H1308" s="21">
        <f>Data!B1321</f>
        <v>0</v>
      </c>
      <c r="I1308" s="21">
        <f>Data!C1321</f>
        <v>0</v>
      </c>
      <c r="J1308">
        <f>Data!D1321</f>
        <v>0</v>
      </c>
      <c r="K1308">
        <f>Data!E1321</f>
        <v>0</v>
      </c>
      <c r="L1308">
        <f>Data!F1321</f>
        <v>0</v>
      </c>
      <c r="M1308">
        <f>Data!G1321</f>
        <v>0</v>
      </c>
      <c r="N1308">
        <f>Data!H1321</f>
        <v>0</v>
      </c>
      <c r="O1308">
        <f>Data!I1321</f>
        <v>0</v>
      </c>
      <c r="P1308" s="21">
        <f>Data!J1325</f>
        <v>0</v>
      </c>
      <c r="Q1308">
        <f>Data!K1325</f>
        <v>0</v>
      </c>
      <c r="R1308">
        <f>Data!L1325</f>
        <v>0</v>
      </c>
      <c r="S1308">
        <f>Data!M1325</f>
        <v>0</v>
      </c>
      <c r="T1308">
        <f>Data!N1321</f>
        <v>0</v>
      </c>
      <c r="U1308">
        <f>Data!O1325</f>
        <v>0</v>
      </c>
      <c r="V1308" s="33">
        <f>Data!P1323</f>
        <v>0</v>
      </c>
    </row>
    <row r="1309" spans="7:22" x14ac:dyDescent="0.25">
      <c r="G1309">
        <f>Data!A1322</f>
        <v>0</v>
      </c>
      <c r="H1309" s="21">
        <f>Data!B1322</f>
        <v>0</v>
      </c>
      <c r="I1309" s="21">
        <f>Data!C1322</f>
        <v>0</v>
      </c>
      <c r="J1309">
        <f>Data!D1322</f>
        <v>0</v>
      </c>
      <c r="K1309">
        <f>Data!E1322</f>
        <v>0</v>
      </c>
      <c r="L1309">
        <f>Data!F1322</f>
        <v>0</v>
      </c>
      <c r="M1309">
        <f>Data!G1322</f>
        <v>0</v>
      </c>
      <c r="N1309">
        <f>Data!H1322</f>
        <v>0</v>
      </c>
      <c r="O1309">
        <f>Data!I1322</f>
        <v>0</v>
      </c>
      <c r="P1309" s="21">
        <f>Data!J1326</f>
        <v>0</v>
      </c>
      <c r="Q1309">
        <f>Data!K1326</f>
        <v>0</v>
      </c>
      <c r="R1309">
        <f>Data!L1326</f>
        <v>0</v>
      </c>
      <c r="S1309">
        <f>Data!M1326</f>
        <v>0</v>
      </c>
      <c r="T1309">
        <f>Data!N1322</f>
        <v>0</v>
      </c>
      <c r="U1309">
        <f>Data!O1326</f>
        <v>0</v>
      </c>
      <c r="V1309" s="33">
        <f>Data!P1324</f>
        <v>0</v>
      </c>
    </row>
    <row r="1310" spans="7:22" x14ac:dyDescent="0.25">
      <c r="G1310">
        <f>Data!A1323</f>
        <v>0</v>
      </c>
      <c r="H1310" s="21">
        <f>Data!B1323</f>
        <v>0</v>
      </c>
      <c r="I1310" s="21">
        <f>Data!C1323</f>
        <v>0</v>
      </c>
      <c r="J1310">
        <f>Data!D1323</f>
        <v>0</v>
      </c>
      <c r="K1310">
        <f>Data!E1323</f>
        <v>0</v>
      </c>
      <c r="L1310">
        <f>Data!F1323</f>
        <v>0</v>
      </c>
      <c r="M1310">
        <f>Data!G1323</f>
        <v>0</v>
      </c>
      <c r="N1310">
        <f>Data!H1323</f>
        <v>0</v>
      </c>
      <c r="O1310">
        <f>Data!I1323</f>
        <v>0</v>
      </c>
      <c r="P1310" s="21">
        <f>Data!J1327</f>
        <v>0</v>
      </c>
      <c r="Q1310">
        <f>Data!K1327</f>
        <v>0</v>
      </c>
      <c r="R1310">
        <f>Data!L1327</f>
        <v>0</v>
      </c>
      <c r="S1310">
        <f>Data!M1327</f>
        <v>0</v>
      </c>
      <c r="T1310">
        <f>Data!N1323</f>
        <v>0</v>
      </c>
      <c r="U1310">
        <f>Data!O1327</f>
        <v>0</v>
      </c>
      <c r="V1310" s="33">
        <f>Data!P1325</f>
        <v>0</v>
      </c>
    </row>
    <row r="1311" spans="7:22" x14ac:dyDescent="0.25">
      <c r="G1311">
        <f>Data!A1324</f>
        <v>0</v>
      </c>
      <c r="H1311" s="21">
        <f>Data!B1324</f>
        <v>0</v>
      </c>
      <c r="I1311" s="21">
        <f>Data!C1324</f>
        <v>0</v>
      </c>
      <c r="J1311">
        <f>Data!D1324</f>
        <v>0</v>
      </c>
      <c r="K1311">
        <f>Data!E1324</f>
        <v>0</v>
      </c>
      <c r="L1311">
        <f>Data!F1324</f>
        <v>0</v>
      </c>
      <c r="M1311">
        <f>Data!G1324</f>
        <v>0</v>
      </c>
      <c r="N1311">
        <f>Data!H1324</f>
        <v>0</v>
      </c>
      <c r="O1311">
        <f>Data!I1324</f>
        <v>0</v>
      </c>
      <c r="P1311" s="21">
        <f>Data!J1328</f>
        <v>0</v>
      </c>
      <c r="Q1311">
        <f>Data!K1328</f>
        <v>0</v>
      </c>
      <c r="R1311">
        <f>Data!L1328</f>
        <v>0</v>
      </c>
      <c r="S1311">
        <f>Data!M1328</f>
        <v>0</v>
      </c>
      <c r="T1311">
        <f>Data!N1324</f>
        <v>0</v>
      </c>
      <c r="U1311">
        <f>Data!O1328</f>
        <v>0</v>
      </c>
      <c r="V1311" s="33">
        <f>Data!P1326</f>
        <v>0</v>
      </c>
    </row>
    <row r="1312" spans="7:22" x14ac:dyDescent="0.25">
      <c r="G1312">
        <f>Data!A1325</f>
        <v>0</v>
      </c>
      <c r="H1312" s="21">
        <f>Data!B1325</f>
        <v>0</v>
      </c>
      <c r="I1312" s="21">
        <f>Data!C1325</f>
        <v>0</v>
      </c>
      <c r="J1312">
        <f>Data!D1325</f>
        <v>0</v>
      </c>
      <c r="K1312">
        <f>Data!E1325</f>
        <v>0</v>
      </c>
      <c r="L1312">
        <f>Data!F1325</f>
        <v>0</v>
      </c>
      <c r="M1312">
        <f>Data!G1325</f>
        <v>0</v>
      </c>
      <c r="N1312">
        <f>Data!H1325</f>
        <v>0</v>
      </c>
      <c r="O1312">
        <f>Data!I1325</f>
        <v>0</v>
      </c>
      <c r="P1312" s="21">
        <f>Data!J1329</f>
        <v>0</v>
      </c>
      <c r="Q1312">
        <f>Data!K1329</f>
        <v>0</v>
      </c>
      <c r="R1312">
        <f>Data!L1329</f>
        <v>0</v>
      </c>
      <c r="S1312">
        <f>Data!M1329</f>
        <v>0</v>
      </c>
      <c r="T1312">
        <f>Data!N1325</f>
        <v>0</v>
      </c>
      <c r="U1312">
        <f>Data!O1329</f>
        <v>0</v>
      </c>
      <c r="V1312" s="33">
        <f>Data!P1327</f>
        <v>0</v>
      </c>
    </row>
    <row r="1313" spans="7:22" x14ac:dyDescent="0.25">
      <c r="G1313">
        <f>Data!A1326</f>
        <v>0</v>
      </c>
      <c r="H1313" s="21">
        <f>Data!B1326</f>
        <v>0</v>
      </c>
      <c r="I1313" s="21">
        <f>Data!C1326</f>
        <v>0</v>
      </c>
      <c r="J1313">
        <f>Data!D1326</f>
        <v>0</v>
      </c>
      <c r="K1313">
        <f>Data!E1326</f>
        <v>0</v>
      </c>
      <c r="L1313">
        <f>Data!F1326</f>
        <v>0</v>
      </c>
      <c r="M1313">
        <f>Data!G1326</f>
        <v>0</v>
      </c>
      <c r="N1313">
        <f>Data!H1326</f>
        <v>0</v>
      </c>
      <c r="O1313">
        <f>Data!I1326</f>
        <v>0</v>
      </c>
      <c r="P1313" s="21">
        <f>Data!J1330</f>
        <v>0</v>
      </c>
      <c r="Q1313">
        <f>Data!K1330</f>
        <v>0</v>
      </c>
      <c r="R1313">
        <f>Data!L1330</f>
        <v>0</v>
      </c>
      <c r="S1313">
        <f>Data!M1330</f>
        <v>0</v>
      </c>
      <c r="T1313">
        <f>Data!N1326</f>
        <v>0</v>
      </c>
      <c r="U1313">
        <f>Data!O1330</f>
        <v>0</v>
      </c>
      <c r="V1313" s="33">
        <f>Data!P1328</f>
        <v>0</v>
      </c>
    </row>
    <row r="1314" spans="7:22" x14ac:dyDescent="0.25">
      <c r="G1314">
        <f>Data!A1327</f>
        <v>0</v>
      </c>
      <c r="H1314" s="21">
        <f>Data!B1327</f>
        <v>0</v>
      </c>
      <c r="I1314" s="21">
        <f>Data!C1327</f>
        <v>0</v>
      </c>
      <c r="J1314">
        <f>Data!D1327</f>
        <v>0</v>
      </c>
      <c r="K1314">
        <f>Data!E1327</f>
        <v>0</v>
      </c>
      <c r="L1314">
        <f>Data!F1327</f>
        <v>0</v>
      </c>
      <c r="M1314">
        <f>Data!G1327</f>
        <v>0</v>
      </c>
      <c r="N1314">
        <f>Data!H1327</f>
        <v>0</v>
      </c>
      <c r="O1314">
        <f>Data!I1327</f>
        <v>0</v>
      </c>
      <c r="P1314" s="21">
        <f>Data!J1331</f>
        <v>0</v>
      </c>
      <c r="Q1314">
        <f>Data!K1331</f>
        <v>0</v>
      </c>
      <c r="R1314">
        <f>Data!L1331</f>
        <v>0</v>
      </c>
      <c r="S1314">
        <f>Data!M1331</f>
        <v>0</v>
      </c>
      <c r="T1314">
        <f>Data!N1327</f>
        <v>0</v>
      </c>
      <c r="U1314">
        <f>Data!O1331</f>
        <v>0</v>
      </c>
      <c r="V1314" s="33">
        <f>Data!P1329</f>
        <v>0</v>
      </c>
    </row>
    <row r="1315" spans="7:22" x14ac:dyDescent="0.25">
      <c r="G1315">
        <f>Data!A1328</f>
        <v>0</v>
      </c>
      <c r="H1315" s="21">
        <f>Data!B1328</f>
        <v>0</v>
      </c>
      <c r="I1315" s="21">
        <f>Data!C1328</f>
        <v>0</v>
      </c>
      <c r="J1315">
        <f>Data!D1328</f>
        <v>0</v>
      </c>
      <c r="K1315">
        <f>Data!E1328</f>
        <v>0</v>
      </c>
      <c r="L1315">
        <f>Data!F1328</f>
        <v>0</v>
      </c>
      <c r="M1315">
        <f>Data!G1328</f>
        <v>0</v>
      </c>
      <c r="N1315">
        <f>Data!H1328</f>
        <v>0</v>
      </c>
      <c r="O1315">
        <f>Data!I1328</f>
        <v>0</v>
      </c>
      <c r="P1315" s="21">
        <f>Data!J1332</f>
        <v>0</v>
      </c>
      <c r="Q1315">
        <f>Data!K1332</f>
        <v>0</v>
      </c>
      <c r="R1315">
        <f>Data!L1332</f>
        <v>0</v>
      </c>
      <c r="S1315">
        <f>Data!M1332</f>
        <v>0</v>
      </c>
      <c r="T1315">
        <f>Data!N1328</f>
        <v>0</v>
      </c>
      <c r="U1315">
        <f>Data!O1332</f>
        <v>0</v>
      </c>
      <c r="V1315" s="33">
        <f>Data!P1330</f>
        <v>0</v>
      </c>
    </row>
    <row r="1316" spans="7:22" x14ac:dyDescent="0.25">
      <c r="G1316">
        <f>Data!A1329</f>
        <v>0</v>
      </c>
      <c r="H1316" s="21">
        <f>Data!B1329</f>
        <v>0</v>
      </c>
      <c r="I1316" s="21">
        <f>Data!C1329</f>
        <v>0</v>
      </c>
      <c r="J1316">
        <f>Data!D1329</f>
        <v>0</v>
      </c>
      <c r="K1316">
        <f>Data!E1329</f>
        <v>0</v>
      </c>
      <c r="L1316">
        <f>Data!F1329</f>
        <v>0</v>
      </c>
      <c r="M1316">
        <f>Data!G1329</f>
        <v>0</v>
      </c>
      <c r="N1316">
        <f>Data!H1329</f>
        <v>0</v>
      </c>
      <c r="O1316">
        <f>Data!I1329</f>
        <v>0</v>
      </c>
      <c r="P1316" s="21">
        <f>Data!J1333</f>
        <v>0</v>
      </c>
      <c r="Q1316">
        <f>Data!K1333</f>
        <v>0</v>
      </c>
      <c r="R1316">
        <f>Data!L1333</f>
        <v>0</v>
      </c>
      <c r="S1316">
        <f>Data!M1333</f>
        <v>0</v>
      </c>
      <c r="T1316">
        <f>Data!N1329</f>
        <v>0</v>
      </c>
      <c r="U1316">
        <f>Data!O1333</f>
        <v>0</v>
      </c>
      <c r="V1316" s="33">
        <f>Data!P1331</f>
        <v>0</v>
      </c>
    </row>
    <row r="1317" spans="7:22" x14ac:dyDescent="0.25">
      <c r="G1317">
        <f>Data!A1330</f>
        <v>0</v>
      </c>
      <c r="H1317" s="21">
        <f>Data!B1330</f>
        <v>0</v>
      </c>
      <c r="I1317" s="21">
        <f>Data!C1330</f>
        <v>0</v>
      </c>
      <c r="J1317">
        <f>Data!D1330</f>
        <v>0</v>
      </c>
      <c r="K1317">
        <f>Data!E1330</f>
        <v>0</v>
      </c>
      <c r="L1317">
        <f>Data!F1330</f>
        <v>0</v>
      </c>
      <c r="M1317">
        <f>Data!G1330</f>
        <v>0</v>
      </c>
      <c r="N1317">
        <f>Data!H1330</f>
        <v>0</v>
      </c>
      <c r="O1317">
        <f>Data!I1330</f>
        <v>0</v>
      </c>
      <c r="P1317" s="21">
        <f>Data!J1334</f>
        <v>0</v>
      </c>
      <c r="Q1317">
        <f>Data!K1334</f>
        <v>0</v>
      </c>
      <c r="R1317">
        <f>Data!L1334</f>
        <v>0</v>
      </c>
      <c r="S1317">
        <f>Data!M1334</f>
        <v>0</v>
      </c>
      <c r="T1317">
        <f>Data!N1330</f>
        <v>0</v>
      </c>
      <c r="U1317">
        <f>Data!O1334</f>
        <v>0</v>
      </c>
      <c r="V1317" s="33">
        <f>Data!P1332</f>
        <v>0</v>
      </c>
    </row>
    <row r="1318" spans="7:22" x14ac:dyDescent="0.25">
      <c r="G1318">
        <f>Data!A1331</f>
        <v>0</v>
      </c>
      <c r="H1318" s="21">
        <f>Data!B1331</f>
        <v>0</v>
      </c>
      <c r="I1318" s="21">
        <f>Data!C1331</f>
        <v>0</v>
      </c>
      <c r="J1318">
        <f>Data!D1331</f>
        <v>0</v>
      </c>
      <c r="K1318">
        <f>Data!E1331</f>
        <v>0</v>
      </c>
      <c r="L1318">
        <f>Data!F1331</f>
        <v>0</v>
      </c>
      <c r="M1318">
        <f>Data!G1331</f>
        <v>0</v>
      </c>
      <c r="N1318">
        <f>Data!H1331</f>
        <v>0</v>
      </c>
      <c r="O1318">
        <f>Data!I1331</f>
        <v>0</v>
      </c>
      <c r="P1318" s="21">
        <f>Data!J1335</f>
        <v>0</v>
      </c>
      <c r="Q1318">
        <f>Data!K1335</f>
        <v>0</v>
      </c>
      <c r="R1318">
        <f>Data!L1335</f>
        <v>0</v>
      </c>
      <c r="S1318">
        <f>Data!M1335</f>
        <v>0</v>
      </c>
      <c r="T1318">
        <f>Data!N1331</f>
        <v>0</v>
      </c>
      <c r="U1318">
        <f>Data!O1335</f>
        <v>0</v>
      </c>
      <c r="V1318" s="33">
        <f>Data!P1333</f>
        <v>0</v>
      </c>
    </row>
    <row r="1319" spans="7:22" x14ac:dyDescent="0.25">
      <c r="G1319">
        <f>Data!A1332</f>
        <v>0</v>
      </c>
      <c r="H1319" s="21">
        <f>Data!B1332</f>
        <v>0</v>
      </c>
      <c r="I1319" s="21">
        <f>Data!C1332</f>
        <v>0</v>
      </c>
      <c r="J1319">
        <f>Data!D1332</f>
        <v>0</v>
      </c>
      <c r="K1319">
        <f>Data!E1332</f>
        <v>0</v>
      </c>
      <c r="L1319">
        <f>Data!F1332</f>
        <v>0</v>
      </c>
      <c r="M1319">
        <f>Data!G1332</f>
        <v>0</v>
      </c>
      <c r="N1319">
        <f>Data!H1332</f>
        <v>0</v>
      </c>
      <c r="O1319">
        <f>Data!I1332</f>
        <v>0</v>
      </c>
      <c r="P1319" s="21">
        <f>Data!J1336</f>
        <v>0</v>
      </c>
      <c r="Q1319">
        <f>Data!K1336</f>
        <v>0</v>
      </c>
      <c r="R1319">
        <f>Data!L1336</f>
        <v>0</v>
      </c>
      <c r="S1319">
        <f>Data!M1336</f>
        <v>0</v>
      </c>
      <c r="T1319">
        <f>Data!N1332</f>
        <v>0</v>
      </c>
      <c r="U1319">
        <f>Data!O1336</f>
        <v>0</v>
      </c>
      <c r="V1319" s="33">
        <f>Data!P1334</f>
        <v>0</v>
      </c>
    </row>
    <row r="1320" spans="7:22" x14ac:dyDescent="0.25">
      <c r="G1320">
        <f>Data!A1333</f>
        <v>0</v>
      </c>
      <c r="H1320" s="21">
        <f>Data!B1333</f>
        <v>0</v>
      </c>
      <c r="I1320" s="21">
        <f>Data!C1333</f>
        <v>0</v>
      </c>
      <c r="J1320">
        <f>Data!D1333</f>
        <v>0</v>
      </c>
      <c r="K1320">
        <f>Data!E1333</f>
        <v>0</v>
      </c>
      <c r="L1320">
        <f>Data!F1333</f>
        <v>0</v>
      </c>
      <c r="M1320">
        <f>Data!G1333</f>
        <v>0</v>
      </c>
      <c r="N1320">
        <f>Data!H1333</f>
        <v>0</v>
      </c>
      <c r="O1320">
        <f>Data!I1333</f>
        <v>0</v>
      </c>
      <c r="P1320" s="21">
        <f>Data!J1337</f>
        <v>0</v>
      </c>
      <c r="Q1320">
        <f>Data!K1337</f>
        <v>0</v>
      </c>
      <c r="R1320">
        <f>Data!L1337</f>
        <v>0</v>
      </c>
      <c r="S1320">
        <f>Data!M1337</f>
        <v>0</v>
      </c>
      <c r="T1320">
        <f>Data!N1333</f>
        <v>0</v>
      </c>
      <c r="U1320">
        <f>Data!O1337</f>
        <v>0</v>
      </c>
      <c r="V1320" s="33">
        <f>Data!P1335</f>
        <v>0</v>
      </c>
    </row>
    <row r="1321" spans="7:22" x14ac:dyDescent="0.25">
      <c r="G1321">
        <f>Data!A1334</f>
        <v>0</v>
      </c>
      <c r="H1321" s="21">
        <f>Data!B1334</f>
        <v>0</v>
      </c>
      <c r="I1321" s="21">
        <f>Data!C1334</f>
        <v>0</v>
      </c>
      <c r="J1321">
        <f>Data!D1334</f>
        <v>0</v>
      </c>
      <c r="K1321">
        <f>Data!E1334</f>
        <v>0</v>
      </c>
      <c r="L1321">
        <f>Data!F1334</f>
        <v>0</v>
      </c>
      <c r="M1321">
        <f>Data!G1334</f>
        <v>0</v>
      </c>
      <c r="N1321">
        <f>Data!H1334</f>
        <v>0</v>
      </c>
      <c r="O1321">
        <f>Data!I1334</f>
        <v>0</v>
      </c>
      <c r="P1321" s="21">
        <f>Data!J1338</f>
        <v>0</v>
      </c>
      <c r="Q1321">
        <f>Data!K1338</f>
        <v>0</v>
      </c>
      <c r="R1321">
        <f>Data!L1338</f>
        <v>0</v>
      </c>
      <c r="S1321">
        <f>Data!M1338</f>
        <v>0</v>
      </c>
      <c r="T1321">
        <f>Data!N1334</f>
        <v>0</v>
      </c>
      <c r="U1321">
        <f>Data!O1338</f>
        <v>0</v>
      </c>
      <c r="V1321" s="33">
        <f>Data!P1336</f>
        <v>0</v>
      </c>
    </row>
    <row r="1322" spans="7:22" x14ac:dyDescent="0.25">
      <c r="G1322">
        <f>Data!A1335</f>
        <v>0</v>
      </c>
      <c r="H1322" s="21">
        <f>Data!B1335</f>
        <v>0</v>
      </c>
      <c r="I1322" s="21">
        <f>Data!C1335</f>
        <v>0</v>
      </c>
      <c r="J1322">
        <f>Data!D1335</f>
        <v>0</v>
      </c>
      <c r="K1322">
        <f>Data!E1335</f>
        <v>0</v>
      </c>
      <c r="L1322">
        <f>Data!F1335</f>
        <v>0</v>
      </c>
      <c r="M1322">
        <f>Data!G1335</f>
        <v>0</v>
      </c>
      <c r="N1322">
        <f>Data!H1335</f>
        <v>0</v>
      </c>
      <c r="O1322">
        <f>Data!I1335</f>
        <v>0</v>
      </c>
      <c r="P1322" s="21">
        <f>Data!J1339</f>
        <v>0</v>
      </c>
      <c r="Q1322">
        <f>Data!K1339</f>
        <v>0</v>
      </c>
      <c r="R1322">
        <f>Data!L1339</f>
        <v>0</v>
      </c>
      <c r="S1322">
        <f>Data!M1339</f>
        <v>0</v>
      </c>
      <c r="T1322">
        <f>Data!N1335</f>
        <v>0</v>
      </c>
      <c r="U1322">
        <f>Data!O1339</f>
        <v>0</v>
      </c>
      <c r="V1322" s="33">
        <f>Data!P1337</f>
        <v>0</v>
      </c>
    </row>
    <row r="1323" spans="7:22" x14ac:dyDescent="0.25">
      <c r="G1323">
        <f>Data!A1336</f>
        <v>0</v>
      </c>
      <c r="H1323" s="21">
        <f>Data!B1336</f>
        <v>0</v>
      </c>
      <c r="I1323" s="21">
        <f>Data!C1336</f>
        <v>0</v>
      </c>
      <c r="J1323">
        <f>Data!D1336</f>
        <v>0</v>
      </c>
      <c r="K1323">
        <f>Data!E1336</f>
        <v>0</v>
      </c>
      <c r="L1323">
        <f>Data!F1336</f>
        <v>0</v>
      </c>
      <c r="M1323">
        <f>Data!G1336</f>
        <v>0</v>
      </c>
      <c r="N1323">
        <f>Data!H1336</f>
        <v>0</v>
      </c>
      <c r="O1323">
        <f>Data!I1336</f>
        <v>0</v>
      </c>
      <c r="P1323" s="21">
        <f>Data!J1340</f>
        <v>0</v>
      </c>
      <c r="Q1323">
        <f>Data!K1340</f>
        <v>0</v>
      </c>
      <c r="R1323">
        <f>Data!L1340</f>
        <v>0</v>
      </c>
      <c r="S1323">
        <f>Data!M1340</f>
        <v>0</v>
      </c>
      <c r="T1323">
        <f>Data!N1336</f>
        <v>0</v>
      </c>
      <c r="U1323">
        <f>Data!O1340</f>
        <v>0</v>
      </c>
      <c r="V1323" s="33">
        <f>Data!P1338</f>
        <v>0</v>
      </c>
    </row>
    <row r="1324" spans="7:22" x14ac:dyDescent="0.25">
      <c r="G1324">
        <f>Data!A1337</f>
        <v>0</v>
      </c>
      <c r="H1324" s="21">
        <f>Data!B1337</f>
        <v>0</v>
      </c>
      <c r="I1324" s="21">
        <f>Data!C1337</f>
        <v>0</v>
      </c>
      <c r="J1324">
        <f>Data!D1337</f>
        <v>0</v>
      </c>
      <c r="K1324">
        <f>Data!E1337</f>
        <v>0</v>
      </c>
      <c r="L1324">
        <f>Data!F1337</f>
        <v>0</v>
      </c>
      <c r="M1324">
        <f>Data!G1337</f>
        <v>0</v>
      </c>
      <c r="N1324">
        <f>Data!H1337</f>
        <v>0</v>
      </c>
      <c r="O1324">
        <f>Data!I1337</f>
        <v>0</v>
      </c>
      <c r="P1324" s="21">
        <f>Data!J1341</f>
        <v>0</v>
      </c>
      <c r="Q1324">
        <f>Data!K1341</f>
        <v>0</v>
      </c>
      <c r="R1324">
        <f>Data!L1341</f>
        <v>0</v>
      </c>
      <c r="S1324">
        <f>Data!M1341</f>
        <v>0</v>
      </c>
      <c r="T1324">
        <f>Data!N1337</f>
        <v>0</v>
      </c>
      <c r="U1324">
        <f>Data!O1341</f>
        <v>0</v>
      </c>
      <c r="V1324" s="33">
        <f>Data!P1339</f>
        <v>0</v>
      </c>
    </row>
    <row r="1325" spans="7:22" x14ac:dyDescent="0.25">
      <c r="G1325">
        <f>Data!A1338</f>
        <v>0</v>
      </c>
      <c r="H1325" s="21">
        <f>Data!B1338</f>
        <v>0</v>
      </c>
      <c r="I1325" s="21">
        <f>Data!C1338</f>
        <v>0</v>
      </c>
      <c r="J1325">
        <f>Data!D1338</f>
        <v>0</v>
      </c>
      <c r="K1325">
        <f>Data!E1338</f>
        <v>0</v>
      </c>
      <c r="L1325">
        <f>Data!F1338</f>
        <v>0</v>
      </c>
      <c r="M1325">
        <f>Data!G1338</f>
        <v>0</v>
      </c>
      <c r="N1325">
        <f>Data!H1338</f>
        <v>0</v>
      </c>
      <c r="O1325">
        <f>Data!I1338</f>
        <v>0</v>
      </c>
      <c r="P1325" s="21">
        <f>Data!J1342</f>
        <v>0</v>
      </c>
      <c r="Q1325">
        <f>Data!K1342</f>
        <v>0</v>
      </c>
      <c r="R1325">
        <f>Data!L1342</f>
        <v>0</v>
      </c>
      <c r="S1325">
        <f>Data!M1342</f>
        <v>0</v>
      </c>
      <c r="T1325">
        <f>Data!N1338</f>
        <v>0</v>
      </c>
      <c r="U1325">
        <f>Data!O1342</f>
        <v>0</v>
      </c>
      <c r="V1325" s="33">
        <f>Data!P1340</f>
        <v>0</v>
      </c>
    </row>
    <row r="1326" spans="7:22" x14ac:dyDescent="0.25">
      <c r="G1326">
        <f>Data!A1339</f>
        <v>0</v>
      </c>
      <c r="H1326" s="21">
        <f>Data!B1339</f>
        <v>0</v>
      </c>
      <c r="I1326" s="21">
        <f>Data!C1339</f>
        <v>0</v>
      </c>
      <c r="J1326">
        <f>Data!D1339</f>
        <v>0</v>
      </c>
      <c r="K1326">
        <f>Data!E1339</f>
        <v>0</v>
      </c>
      <c r="L1326">
        <f>Data!F1339</f>
        <v>0</v>
      </c>
      <c r="M1326">
        <f>Data!G1339</f>
        <v>0</v>
      </c>
      <c r="N1326">
        <f>Data!H1339</f>
        <v>0</v>
      </c>
      <c r="O1326">
        <f>Data!I1339</f>
        <v>0</v>
      </c>
      <c r="P1326" s="21">
        <f>Data!J1343</f>
        <v>0</v>
      </c>
      <c r="Q1326">
        <f>Data!K1343</f>
        <v>0</v>
      </c>
      <c r="R1326">
        <f>Data!L1343</f>
        <v>0</v>
      </c>
      <c r="S1326">
        <f>Data!M1343</f>
        <v>0</v>
      </c>
      <c r="T1326">
        <f>Data!N1339</f>
        <v>0</v>
      </c>
      <c r="U1326">
        <f>Data!O1343</f>
        <v>0</v>
      </c>
      <c r="V1326" s="33">
        <f>Data!P1341</f>
        <v>0</v>
      </c>
    </row>
    <row r="1327" spans="7:22" x14ac:dyDescent="0.25">
      <c r="G1327">
        <f>Data!A1340</f>
        <v>0</v>
      </c>
      <c r="H1327" s="21">
        <f>Data!B1340</f>
        <v>0</v>
      </c>
      <c r="I1327" s="21">
        <f>Data!C1340</f>
        <v>0</v>
      </c>
      <c r="J1327">
        <f>Data!D1340</f>
        <v>0</v>
      </c>
      <c r="K1327">
        <f>Data!E1340</f>
        <v>0</v>
      </c>
      <c r="L1327">
        <f>Data!F1340</f>
        <v>0</v>
      </c>
      <c r="M1327">
        <f>Data!G1340</f>
        <v>0</v>
      </c>
      <c r="N1327">
        <f>Data!H1340</f>
        <v>0</v>
      </c>
      <c r="O1327">
        <f>Data!I1340</f>
        <v>0</v>
      </c>
      <c r="P1327" s="21">
        <f>Data!J1344</f>
        <v>0</v>
      </c>
      <c r="Q1327">
        <f>Data!K1344</f>
        <v>0</v>
      </c>
      <c r="R1327">
        <f>Data!L1344</f>
        <v>0</v>
      </c>
      <c r="S1327">
        <f>Data!M1344</f>
        <v>0</v>
      </c>
      <c r="T1327">
        <f>Data!N1340</f>
        <v>0</v>
      </c>
      <c r="U1327">
        <f>Data!O1344</f>
        <v>0</v>
      </c>
      <c r="V1327" s="33">
        <f>Data!P1342</f>
        <v>0</v>
      </c>
    </row>
    <row r="1328" spans="7:22" x14ac:dyDescent="0.25">
      <c r="G1328">
        <f>Data!A1341</f>
        <v>0</v>
      </c>
      <c r="H1328" s="21">
        <f>Data!B1341</f>
        <v>0</v>
      </c>
      <c r="I1328" s="21">
        <f>Data!C1341</f>
        <v>0</v>
      </c>
      <c r="J1328">
        <f>Data!D1341</f>
        <v>0</v>
      </c>
      <c r="K1328">
        <f>Data!E1341</f>
        <v>0</v>
      </c>
      <c r="L1328">
        <f>Data!F1341</f>
        <v>0</v>
      </c>
      <c r="M1328">
        <f>Data!G1341</f>
        <v>0</v>
      </c>
      <c r="N1328">
        <f>Data!H1341</f>
        <v>0</v>
      </c>
      <c r="O1328">
        <f>Data!I1341</f>
        <v>0</v>
      </c>
      <c r="P1328" s="21">
        <f>Data!J1345</f>
        <v>0</v>
      </c>
      <c r="Q1328">
        <f>Data!K1345</f>
        <v>0</v>
      </c>
      <c r="R1328">
        <f>Data!L1345</f>
        <v>0</v>
      </c>
      <c r="S1328">
        <f>Data!M1345</f>
        <v>0</v>
      </c>
      <c r="T1328">
        <f>Data!N1341</f>
        <v>0</v>
      </c>
      <c r="U1328">
        <f>Data!O1345</f>
        <v>0</v>
      </c>
      <c r="V1328" s="33">
        <f>Data!P1343</f>
        <v>0</v>
      </c>
    </row>
    <row r="1329" spans="7:22" x14ac:dyDescent="0.25">
      <c r="G1329">
        <f>Data!A1342</f>
        <v>0</v>
      </c>
      <c r="H1329" s="21">
        <f>Data!B1342</f>
        <v>0</v>
      </c>
      <c r="I1329" s="21">
        <f>Data!C1342</f>
        <v>0</v>
      </c>
      <c r="J1329">
        <f>Data!D1342</f>
        <v>0</v>
      </c>
      <c r="K1329">
        <f>Data!E1342</f>
        <v>0</v>
      </c>
      <c r="L1329">
        <f>Data!F1342</f>
        <v>0</v>
      </c>
      <c r="M1329">
        <f>Data!G1342</f>
        <v>0</v>
      </c>
      <c r="N1329">
        <f>Data!H1342</f>
        <v>0</v>
      </c>
      <c r="O1329">
        <f>Data!I1342</f>
        <v>0</v>
      </c>
      <c r="P1329" s="21">
        <f>Data!J1346</f>
        <v>0</v>
      </c>
      <c r="Q1329">
        <f>Data!K1346</f>
        <v>0</v>
      </c>
      <c r="R1329">
        <f>Data!L1346</f>
        <v>0</v>
      </c>
      <c r="S1329">
        <f>Data!M1346</f>
        <v>0</v>
      </c>
      <c r="T1329">
        <f>Data!N1342</f>
        <v>0</v>
      </c>
      <c r="U1329">
        <f>Data!O1346</f>
        <v>0</v>
      </c>
      <c r="V1329" s="33">
        <f>Data!P1344</f>
        <v>0</v>
      </c>
    </row>
    <row r="1330" spans="7:22" x14ac:dyDescent="0.25">
      <c r="G1330">
        <f>Data!A1343</f>
        <v>0</v>
      </c>
      <c r="H1330" s="21">
        <f>Data!B1343</f>
        <v>0</v>
      </c>
      <c r="I1330" s="21">
        <f>Data!C1343</f>
        <v>0</v>
      </c>
      <c r="J1330">
        <f>Data!D1343</f>
        <v>0</v>
      </c>
      <c r="K1330">
        <f>Data!E1343</f>
        <v>0</v>
      </c>
      <c r="L1330">
        <f>Data!F1343</f>
        <v>0</v>
      </c>
      <c r="M1330">
        <f>Data!G1343</f>
        <v>0</v>
      </c>
      <c r="N1330">
        <f>Data!H1343</f>
        <v>0</v>
      </c>
      <c r="O1330">
        <f>Data!I1343</f>
        <v>0</v>
      </c>
      <c r="P1330" s="21">
        <f>Data!J1347</f>
        <v>0</v>
      </c>
      <c r="Q1330">
        <f>Data!K1347</f>
        <v>0</v>
      </c>
      <c r="R1330">
        <f>Data!L1347</f>
        <v>0</v>
      </c>
      <c r="S1330">
        <f>Data!M1347</f>
        <v>0</v>
      </c>
      <c r="T1330">
        <f>Data!N1343</f>
        <v>0</v>
      </c>
      <c r="U1330">
        <f>Data!O1347</f>
        <v>0</v>
      </c>
      <c r="V1330" s="33">
        <f>Data!P1345</f>
        <v>0</v>
      </c>
    </row>
    <row r="1331" spans="7:22" x14ac:dyDescent="0.25">
      <c r="G1331">
        <f>Data!A1344</f>
        <v>0</v>
      </c>
      <c r="H1331" s="21">
        <f>Data!B1344</f>
        <v>0</v>
      </c>
      <c r="I1331" s="21">
        <f>Data!C1344</f>
        <v>0</v>
      </c>
      <c r="J1331">
        <f>Data!D1344</f>
        <v>0</v>
      </c>
      <c r="K1331">
        <f>Data!E1344</f>
        <v>0</v>
      </c>
      <c r="L1331">
        <f>Data!F1344</f>
        <v>0</v>
      </c>
      <c r="M1331">
        <f>Data!G1344</f>
        <v>0</v>
      </c>
      <c r="N1331">
        <f>Data!H1344</f>
        <v>0</v>
      </c>
      <c r="O1331">
        <f>Data!I1344</f>
        <v>0</v>
      </c>
      <c r="P1331" s="21">
        <f>Data!J1348</f>
        <v>0</v>
      </c>
      <c r="Q1331">
        <f>Data!K1348</f>
        <v>0</v>
      </c>
      <c r="R1331">
        <f>Data!L1348</f>
        <v>0</v>
      </c>
      <c r="S1331">
        <f>Data!M1348</f>
        <v>0</v>
      </c>
      <c r="T1331">
        <f>Data!N1344</f>
        <v>0</v>
      </c>
      <c r="U1331">
        <f>Data!O1348</f>
        <v>0</v>
      </c>
      <c r="V1331" s="33">
        <f>Data!P1346</f>
        <v>0</v>
      </c>
    </row>
    <row r="1332" spans="7:22" x14ac:dyDescent="0.25">
      <c r="G1332">
        <f>Data!A1345</f>
        <v>0</v>
      </c>
      <c r="H1332" s="21">
        <f>Data!B1345</f>
        <v>0</v>
      </c>
      <c r="I1332" s="21">
        <f>Data!C1345</f>
        <v>0</v>
      </c>
      <c r="J1332">
        <f>Data!D1345</f>
        <v>0</v>
      </c>
      <c r="K1332">
        <f>Data!E1345</f>
        <v>0</v>
      </c>
      <c r="L1332">
        <f>Data!F1345</f>
        <v>0</v>
      </c>
      <c r="M1332">
        <f>Data!G1345</f>
        <v>0</v>
      </c>
      <c r="N1332">
        <f>Data!H1345</f>
        <v>0</v>
      </c>
      <c r="O1332">
        <f>Data!I1345</f>
        <v>0</v>
      </c>
      <c r="P1332" s="21">
        <f>Data!J1349</f>
        <v>0</v>
      </c>
      <c r="Q1332">
        <f>Data!K1349</f>
        <v>0</v>
      </c>
      <c r="R1332">
        <f>Data!L1349</f>
        <v>0</v>
      </c>
      <c r="S1332">
        <f>Data!M1349</f>
        <v>0</v>
      </c>
      <c r="T1332">
        <f>Data!N1345</f>
        <v>0</v>
      </c>
      <c r="U1332">
        <f>Data!O1349</f>
        <v>0</v>
      </c>
      <c r="V1332" s="33">
        <f>Data!P1347</f>
        <v>0</v>
      </c>
    </row>
    <row r="1333" spans="7:22" x14ac:dyDescent="0.25">
      <c r="G1333">
        <f>Data!A1346</f>
        <v>0</v>
      </c>
      <c r="H1333" s="21">
        <f>Data!B1346</f>
        <v>0</v>
      </c>
      <c r="I1333" s="21">
        <f>Data!C1346</f>
        <v>0</v>
      </c>
      <c r="J1333">
        <f>Data!D1346</f>
        <v>0</v>
      </c>
      <c r="K1333">
        <f>Data!E1346</f>
        <v>0</v>
      </c>
      <c r="L1333">
        <f>Data!F1346</f>
        <v>0</v>
      </c>
      <c r="M1333">
        <f>Data!G1346</f>
        <v>0</v>
      </c>
      <c r="N1333">
        <f>Data!H1346</f>
        <v>0</v>
      </c>
      <c r="O1333">
        <f>Data!I1346</f>
        <v>0</v>
      </c>
      <c r="P1333" s="21">
        <f>Data!J1350</f>
        <v>0</v>
      </c>
      <c r="Q1333">
        <f>Data!K1350</f>
        <v>0</v>
      </c>
      <c r="R1333">
        <f>Data!L1350</f>
        <v>0</v>
      </c>
      <c r="S1333">
        <f>Data!M1350</f>
        <v>0</v>
      </c>
      <c r="T1333">
        <f>Data!N1346</f>
        <v>0</v>
      </c>
      <c r="U1333">
        <f>Data!O1350</f>
        <v>0</v>
      </c>
      <c r="V1333" s="33">
        <f>Data!P1348</f>
        <v>0</v>
      </c>
    </row>
    <row r="1334" spans="7:22" x14ac:dyDescent="0.25">
      <c r="G1334">
        <f>Data!A1347</f>
        <v>0</v>
      </c>
      <c r="H1334" s="21">
        <f>Data!B1347</f>
        <v>0</v>
      </c>
      <c r="I1334" s="21">
        <f>Data!C1347</f>
        <v>0</v>
      </c>
      <c r="J1334">
        <f>Data!D1347</f>
        <v>0</v>
      </c>
      <c r="K1334">
        <f>Data!E1347</f>
        <v>0</v>
      </c>
      <c r="L1334">
        <f>Data!F1347</f>
        <v>0</v>
      </c>
      <c r="M1334">
        <f>Data!G1347</f>
        <v>0</v>
      </c>
      <c r="N1334">
        <f>Data!H1347</f>
        <v>0</v>
      </c>
      <c r="O1334">
        <f>Data!I1347</f>
        <v>0</v>
      </c>
      <c r="P1334" s="21">
        <f>Data!J1351</f>
        <v>0</v>
      </c>
      <c r="Q1334">
        <f>Data!K1351</f>
        <v>0</v>
      </c>
      <c r="R1334">
        <f>Data!L1351</f>
        <v>0</v>
      </c>
      <c r="S1334">
        <f>Data!M1351</f>
        <v>0</v>
      </c>
      <c r="T1334">
        <f>Data!N1347</f>
        <v>0</v>
      </c>
      <c r="U1334">
        <f>Data!O1351</f>
        <v>0</v>
      </c>
      <c r="V1334" s="33">
        <f>Data!P1349</f>
        <v>0</v>
      </c>
    </row>
    <row r="1335" spans="7:22" x14ac:dyDescent="0.25">
      <c r="G1335">
        <f>Data!A1348</f>
        <v>0</v>
      </c>
      <c r="H1335" s="21">
        <f>Data!B1348</f>
        <v>0</v>
      </c>
      <c r="I1335" s="21">
        <f>Data!C1348</f>
        <v>0</v>
      </c>
      <c r="J1335">
        <f>Data!D1348</f>
        <v>0</v>
      </c>
      <c r="K1335">
        <f>Data!E1348</f>
        <v>0</v>
      </c>
      <c r="L1335">
        <f>Data!F1348</f>
        <v>0</v>
      </c>
      <c r="M1335">
        <f>Data!G1348</f>
        <v>0</v>
      </c>
      <c r="N1335">
        <f>Data!H1348</f>
        <v>0</v>
      </c>
      <c r="O1335">
        <f>Data!I1348</f>
        <v>0</v>
      </c>
      <c r="P1335" s="21">
        <f>Data!J1352</f>
        <v>0</v>
      </c>
      <c r="Q1335">
        <f>Data!K1352</f>
        <v>0</v>
      </c>
      <c r="R1335">
        <f>Data!L1352</f>
        <v>0</v>
      </c>
      <c r="S1335">
        <f>Data!M1352</f>
        <v>0</v>
      </c>
      <c r="T1335">
        <f>Data!N1348</f>
        <v>0</v>
      </c>
      <c r="U1335">
        <f>Data!O1352</f>
        <v>0</v>
      </c>
      <c r="V1335" s="33">
        <f>Data!P1350</f>
        <v>0</v>
      </c>
    </row>
    <row r="1336" spans="7:22" x14ac:dyDescent="0.25">
      <c r="G1336">
        <f>Data!A1349</f>
        <v>0</v>
      </c>
      <c r="H1336" s="21">
        <f>Data!B1349</f>
        <v>0</v>
      </c>
      <c r="I1336" s="21">
        <f>Data!C1349</f>
        <v>0</v>
      </c>
      <c r="J1336">
        <f>Data!D1349</f>
        <v>0</v>
      </c>
      <c r="K1336">
        <f>Data!E1349</f>
        <v>0</v>
      </c>
      <c r="L1336">
        <f>Data!F1349</f>
        <v>0</v>
      </c>
      <c r="M1336">
        <f>Data!G1349</f>
        <v>0</v>
      </c>
      <c r="N1336">
        <f>Data!H1349</f>
        <v>0</v>
      </c>
      <c r="O1336">
        <f>Data!I1349</f>
        <v>0</v>
      </c>
      <c r="P1336" s="21">
        <f>Data!J1353</f>
        <v>0</v>
      </c>
      <c r="Q1336">
        <f>Data!K1353</f>
        <v>0</v>
      </c>
      <c r="R1336">
        <f>Data!L1353</f>
        <v>0</v>
      </c>
      <c r="S1336">
        <f>Data!M1353</f>
        <v>0</v>
      </c>
      <c r="T1336">
        <f>Data!N1349</f>
        <v>0</v>
      </c>
      <c r="U1336">
        <f>Data!O1353</f>
        <v>0</v>
      </c>
      <c r="V1336" s="33">
        <f>Data!P1351</f>
        <v>0</v>
      </c>
    </row>
    <row r="1337" spans="7:22" x14ac:dyDescent="0.25">
      <c r="G1337">
        <f>Data!A1350</f>
        <v>0</v>
      </c>
      <c r="H1337" s="21">
        <f>Data!B1350</f>
        <v>0</v>
      </c>
      <c r="I1337" s="21">
        <f>Data!C1350</f>
        <v>0</v>
      </c>
      <c r="J1337">
        <f>Data!D1350</f>
        <v>0</v>
      </c>
      <c r="K1337">
        <f>Data!E1350</f>
        <v>0</v>
      </c>
      <c r="L1337">
        <f>Data!F1350</f>
        <v>0</v>
      </c>
      <c r="M1337">
        <f>Data!G1350</f>
        <v>0</v>
      </c>
      <c r="N1337">
        <f>Data!H1350</f>
        <v>0</v>
      </c>
      <c r="O1337">
        <f>Data!I1350</f>
        <v>0</v>
      </c>
      <c r="P1337" s="21">
        <f>Data!J1354</f>
        <v>0</v>
      </c>
      <c r="Q1337">
        <f>Data!K1354</f>
        <v>0</v>
      </c>
      <c r="R1337">
        <f>Data!L1354</f>
        <v>0</v>
      </c>
      <c r="S1337">
        <f>Data!M1354</f>
        <v>0</v>
      </c>
      <c r="T1337">
        <f>Data!N1350</f>
        <v>0</v>
      </c>
      <c r="U1337">
        <f>Data!O1354</f>
        <v>0</v>
      </c>
      <c r="V1337" s="33">
        <f>Data!P1352</f>
        <v>0</v>
      </c>
    </row>
    <row r="1338" spans="7:22" x14ac:dyDescent="0.25">
      <c r="G1338">
        <f>Data!A1351</f>
        <v>0</v>
      </c>
      <c r="H1338" s="21">
        <f>Data!B1351</f>
        <v>0</v>
      </c>
      <c r="I1338" s="21">
        <f>Data!C1351</f>
        <v>0</v>
      </c>
      <c r="J1338">
        <f>Data!D1351</f>
        <v>0</v>
      </c>
      <c r="K1338">
        <f>Data!E1351</f>
        <v>0</v>
      </c>
      <c r="L1338">
        <f>Data!F1351</f>
        <v>0</v>
      </c>
      <c r="M1338">
        <f>Data!G1351</f>
        <v>0</v>
      </c>
      <c r="N1338">
        <f>Data!H1351</f>
        <v>0</v>
      </c>
      <c r="O1338">
        <f>Data!I1351</f>
        <v>0</v>
      </c>
      <c r="P1338" s="21">
        <f>Data!J1355</f>
        <v>0</v>
      </c>
      <c r="Q1338">
        <f>Data!K1355</f>
        <v>0</v>
      </c>
      <c r="R1338">
        <f>Data!L1355</f>
        <v>0</v>
      </c>
      <c r="S1338">
        <f>Data!M1355</f>
        <v>0</v>
      </c>
      <c r="T1338">
        <f>Data!N1351</f>
        <v>0</v>
      </c>
      <c r="U1338">
        <f>Data!O1355</f>
        <v>0</v>
      </c>
      <c r="V1338" s="33">
        <f>Data!P1353</f>
        <v>0</v>
      </c>
    </row>
    <row r="1339" spans="7:22" x14ac:dyDescent="0.25">
      <c r="G1339">
        <f>Data!A1352</f>
        <v>0</v>
      </c>
      <c r="H1339" s="21">
        <f>Data!B1352</f>
        <v>0</v>
      </c>
      <c r="I1339" s="21">
        <f>Data!C1352</f>
        <v>0</v>
      </c>
      <c r="J1339">
        <f>Data!D1352</f>
        <v>0</v>
      </c>
      <c r="K1339">
        <f>Data!E1352</f>
        <v>0</v>
      </c>
      <c r="L1339">
        <f>Data!F1352</f>
        <v>0</v>
      </c>
      <c r="M1339">
        <f>Data!G1352</f>
        <v>0</v>
      </c>
      <c r="N1339">
        <f>Data!H1352</f>
        <v>0</v>
      </c>
      <c r="O1339">
        <f>Data!I1352</f>
        <v>0</v>
      </c>
      <c r="P1339" s="21">
        <f>Data!J1356</f>
        <v>0</v>
      </c>
      <c r="Q1339">
        <f>Data!K1356</f>
        <v>0</v>
      </c>
      <c r="R1339">
        <f>Data!L1356</f>
        <v>0</v>
      </c>
      <c r="S1339">
        <f>Data!M1356</f>
        <v>0</v>
      </c>
      <c r="T1339">
        <f>Data!N1352</f>
        <v>0</v>
      </c>
      <c r="U1339">
        <f>Data!O1356</f>
        <v>0</v>
      </c>
      <c r="V1339" s="33">
        <f>Data!P1354</f>
        <v>0</v>
      </c>
    </row>
    <row r="1340" spans="7:22" x14ac:dyDescent="0.25">
      <c r="G1340">
        <f>Data!A1353</f>
        <v>0</v>
      </c>
      <c r="H1340" s="21">
        <f>Data!B1353</f>
        <v>0</v>
      </c>
      <c r="I1340" s="21">
        <f>Data!C1353</f>
        <v>0</v>
      </c>
      <c r="J1340">
        <f>Data!D1353</f>
        <v>0</v>
      </c>
      <c r="K1340">
        <f>Data!E1353</f>
        <v>0</v>
      </c>
      <c r="L1340">
        <f>Data!F1353</f>
        <v>0</v>
      </c>
      <c r="M1340">
        <f>Data!G1353</f>
        <v>0</v>
      </c>
      <c r="N1340">
        <f>Data!H1353</f>
        <v>0</v>
      </c>
      <c r="O1340">
        <f>Data!I1353</f>
        <v>0</v>
      </c>
      <c r="P1340" s="21">
        <f>Data!J1357</f>
        <v>0</v>
      </c>
      <c r="Q1340">
        <f>Data!K1357</f>
        <v>0</v>
      </c>
      <c r="R1340">
        <f>Data!L1357</f>
        <v>0</v>
      </c>
      <c r="S1340">
        <f>Data!M1357</f>
        <v>0</v>
      </c>
      <c r="T1340">
        <f>Data!N1353</f>
        <v>0</v>
      </c>
      <c r="U1340">
        <f>Data!O1357</f>
        <v>0</v>
      </c>
      <c r="V1340" s="33">
        <f>Data!P1355</f>
        <v>0</v>
      </c>
    </row>
    <row r="1341" spans="7:22" x14ac:dyDescent="0.25">
      <c r="G1341">
        <f>Data!A1354</f>
        <v>0</v>
      </c>
      <c r="H1341" s="21">
        <f>Data!B1354</f>
        <v>0</v>
      </c>
      <c r="I1341" s="21">
        <f>Data!C1354</f>
        <v>0</v>
      </c>
      <c r="J1341">
        <f>Data!D1354</f>
        <v>0</v>
      </c>
      <c r="K1341">
        <f>Data!E1354</f>
        <v>0</v>
      </c>
      <c r="L1341">
        <f>Data!F1354</f>
        <v>0</v>
      </c>
      <c r="M1341">
        <f>Data!G1354</f>
        <v>0</v>
      </c>
      <c r="N1341">
        <f>Data!H1354</f>
        <v>0</v>
      </c>
      <c r="O1341">
        <f>Data!I1354</f>
        <v>0</v>
      </c>
      <c r="P1341" s="21">
        <f>Data!J1358</f>
        <v>0</v>
      </c>
      <c r="Q1341">
        <f>Data!K1358</f>
        <v>0</v>
      </c>
      <c r="R1341">
        <f>Data!L1358</f>
        <v>0</v>
      </c>
      <c r="S1341">
        <f>Data!M1358</f>
        <v>0</v>
      </c>
      <c r="T1341">
        <f>Data!N1354</f>
        <v>0</v>
      </c>
      <c r="U1341">
        <f>Data!O1358</f>
        <v>0</v>
      </c>
      <c r="V1341" s="33">
        <f>Data!P1356</f>
        <v>0</v>
      </c>
    </row>
    <row r="1342" spans="7:22" x14ac:dyDescent="0.25">
      <c r="G1342">
        <f>Data!A1355</f>
        <v>0</v>
      </c>
      <c r="H1342" s="21">
        <f>Data!B1355</f>
        <v>0</v>
      </c>
      <c r="I1342" s="21">
        <f>Data!C1355</f>
        <v>0</v>
      </c>
      <c r="J1342">
        <f>Data!D1355</f>
        <v>0</v>
      </c>
      <c r="K1342">
        <f>Data!E1355</f>
        <v>0</v>
      </c>
      <c r="L1342">
        <f>Data!F1355</f>
        <v>0</v>
      </c>
      <c r="M1342">
        <f>Data!G1355</f>
        <v>0</v>
      </c>
      <c r="N1342">
        <f>Data!H1355</f>
        <v>0</v>
      </c>
      <c r="O1342">
        <f>Data!I1355</f>
        <v>0</v>
      </c>
      <c r="P1342" s="21">
        <f>Data!J1359</f>
        <v>0</v>
      </c>
      <c r="Q1342">
        <f>Data!K1359</f>
        <v>0</v>
      </c>
      <c r="R1342">
        <f>Data!L1359</f>
        <v>0</v>
      </c>
      <c r="S1342">
        <f>Data!M1359</f>
        <v>0</v>
      </c>
      <c r="T1342">
        <f>Data!N1355</f>
        <v>0</v>
      </c>
      <c r="U1342">
        <f>Data!O1359</f>
        <v>0</v>
      </c>
      <c r="V1342" s="33">
        <f>Data!P1357</f>
        <v>0</v>
      </c>
    </row>
    <row r="1343" spans="7:22" x14ac:dyDescent="0.25">
      <c r="G1343">
        <f>Data!A1356</f>
        <v>0</v>
      </c>
      <c r="H1343" s="21">
        <f>Data!B1356</f>
        <v>0</v>
      </c>
      <c r="I1343" s="21">
        <f>Data!C1356</f>
        <v>0</v>
      </c>
      <c r="J1343">
        <f>Data!D1356</f>
        <v>0</v>
      </c>
      <c r="K1343">
        <f>Data!E1356</f>
        <v>0</v>
      </c>
      <c r="L1343">
        <f>Data!F1356</f>
        <v>0</v>
      </c>
      <c r="M1343">
        <f>Data!G1356</f>
        <v>0</v>
      </c>
      <c r="N1343">
        <f>Data!H1356</f>
        <v>0</v>
      </c>
      <c r="O1343">
        <f>Data!I1356</f>
        <v>0</v>
      </c>
      <c r="P1343" s="21">
        <f>Data!J1360</f>
        <v>0</v>
      </c>
      <c r="Q1343">
        <f>Data!K1360</f>
        <v>0</v>
      </c>
      <c r="R1343">
        <f>Data!L1360</f>
        <v>0</v>
      </c>
      <c r="S1343">
        <f>Data!M1360</f>
        <v>0</v>
      </c>
      <c r="T1343">
        <f>Data!N1356</f>
        <v>0</v>
      </c>
      <c r="U1343">
        <f>Data!O1360</f>
        <v>0</v>
      </c>
      <c r="V1343" s="33">
        <f>Data!P1358</f>
        <v>0</v>
      </c>
    </row>
    <row r="1344" spans="7:22" x14ac:dyDescent="0.25">
      <c r="G1344">
        <f>Data!A1357</f>
        <v>0</v>
      </c>
      <c r="H1344" s="21">
        <f>Data!B1357</f>
        <v>0</v>
      </c>
      <c r="I1344" s="21">
        <f>Data!C1357</f>
        <v>0</v>
      </c>
      <c r="J1344">
        <f>Data!D1357</f>
        <v>0</v>
      </c>
      <c r="K1344">
        <f>Data!E1357</f>
        <v>0</v>
      </c>
      <c r="L1344">
        <f>Data!F1357</f>
        <v>0</v>
      </c>
      <c r="M1344">
        <f>Data!G1357</f>
        <v>0</v>
      </c>
      <c r="N1344">
        <f>Data!H1357</f>
        <v>0</v>
      </c>
      <c r="O1344">
        <f>Data!I1357</f>
        <v>0</v>
      </c>
      <c r="P1344" s="21">
        <f>Data!J1361</f>
        <v>0</v>
      </c>
      <c r="Q1344">
        <f>Data!K1361</f>
        <v>0</v>
      </c>
      <c r="R1344">
        <f>Data!L1361</f>
        <v>0</v>
      </c>
      <c r="S1344">
        <f>Data!M1361</f>
        <v>0</v>
      </c>
      <c r="T1344">
        <f>Data!N1357</f>
        <v>0</v>
      </c>
      <c r="U1344">
        <f>Data!O1361</f>
        <v>0</v>
      </c>
      <c r="V1344" s="33">
        <f>Data!P1359</f>
        <v>0</v>
      </c>
    </row>
    <row r="1345" spans="7:22" x14ac:dyDescent="0.25">
      <c r="G1345">
        <f>Data!A1358</f>
        <v>0</v>
      </c>
      <c r="H1345" s="21">
        <f>Data!B1358</f>
        <v>0</v>
      </c>
      <c r="I1345" s="21">
        <f>Data!C1358</f>
        <v>0</v>
      </c>
      <c r="J1345">
        <f>Data!D1358</f>
        <v>0</v>
      </c>
      <c r="K1345">
        <f>Data!E1358</f>
        <v>0</v>
      </c>
      <c r="L1345">
        <f>Data!F1358</f>
        <v>0</v>
      </c>
      <c r="M1345">
        <f>Data!G1358</f>
        <v>0</v>
      </c>
      <c r="N1345">
        <f>Data!H1358</f>
        <v>0</v>
      </c>
      <c r="O1345">
        <f>Data!I1358</f>
        <v>0</v>
      </c>
      <c r="P1345" s="21">
        <f>Data!J1362</f>
        <v>0</v>
      </c>
      <c r="Q1345">
        <f>Data!K1362</f>
        <v>0</v>
      </c>
      <c r="R1345">
        <f>Data!L1362</f>
        <v>0</v>
      </c>
      <c r="S1345">
        <f>Data!M1362</f>
        <v>0</v>
      </c>
      <c r="T1345">
        <f>Data!N1358</f>
        <v>0</v>
      </c>
      <c r="U1345">
        <f>Data!O1362</f>
        <v>0</v>
      </c>
      <c r="V1345" s="33">
        <f>Data!P1360</f>
        <v>0</v>
      </c>
    </row>
    <row r="1346" spans="7:22" x14ac:dyDescent="0.25">
      <c r="G1346">
        <f>Data!A1359</f>
        <v>0</v>
      </c>
      <c r="H1346" s="21">
        <f>Data!B1359</f>
        <v>0</v>
      </c>
      <c r="I1346" s="21">
        <f>Data!C1359</f>
        <v>0</v>
      </c>
      <c r="J1346">
        <f>Data!D1359</f>
        <v>0</v>
      </c>
      <c r="K1346">
        <f>Data!E1359</f>
        <v>0</v>
      </c>
      <c r="L1346">
        <f>Data!F1359</f>
        <v>0</v>
      </c>
      <c r="M1346">
        <f>Data!G1359</f>
        <v>0</v>
      </c>
      <c r="N1346">
        <f>Data!H1359</f>
        <v>0</v>
      </c>
      <c r="O1346">
        <f>Data!I1359</f>
        <v>0</v>
      </c>
      <c r="P1346" s="21">
        <f>Data!J1363</f>
        <v>0</v>
      </c>
      <c r="Q1346">
        <f>Data!K1363</f>
        <v>0</v>
      </c>
      <c r="R1346">
        <f>Data!L1363</f>
        <v>0</v>
      </c>
      <c r="S1346">
        <f>Data!M1363</f>
        <v>0</v>
      </c>
      <c r="T1346">
        <f>Data!N1359</f>
        <v>0</v>
      </c>
      <c r="U1346">
        <f>Data!O1363</f>
        <v>0</v>
      </c>
      <c r="V1346" s="33">
        <f>Data!P1361</f>
        <v>0</v>
      </c>
    </row>
    <row r="1347" spans="7:22" x14ac:dyDescent="0.25">
      <c r="G1347">
        <f>Data!A1360</f>
        <v>0</v>
      </c>
      <c r="H1347" s="21">
        <f>Data!B1360</f>
        <v>0</v>
      </c>
      <c r="I1347" s="21">
        <f>Data!C1360</f>
        <v>0</v>
      </c>
      <c r="J1347">
        <f>Data!D1360</f>
        <v>0</v>
      </c>
      <c r="K1347">
        <f>Data!E1360</f>
        <v>0</v>
      </c>
      <c r="L1347">
        <f>Data!F1360</f>
        <v>0</v>
      </c>
      <c r="M1347">
        <f>Data!G1360</f>
        <v>0</v>
      </c>
      <c r="N1347">
        <f>Data!H1360</f>
        <v>0</v>
      </c>
      <c r="O1347">
        <f>Data!I1360</f>
        <v>0</v>
      </c>
      <c r="P1347" s="21">
        <f>Data!J1364</f>
        <v>0</v>
      </c>
      <c r="Q1347">
        <f>Data!K1364</f>
        <v>0</v>
      </c>
      <c r="R1347">
        <f>Data!L1364</f>
        <v>0</v>
      </c>
      <c r="S1347">
        <f>Data!M1364</f>
        <v>0</v>
      </c>
      <c r="T1347">
        <f>Data!N1360</f>
        <v>0</v>
      </c>
      <c r="U1347">
        <f>Data!O1364</f>
        <v>0</v>
      </c>
      <c r="V1347" s="33">
        <f>Data!P1362</f>
        <v>0</v>
      </c>
    </row>
    <row r="1348" spans="7:22" x14ac:dyDescent="0.25">
      <c r="G1348">
        <f>Data!A1361</f>
        <v>0</v>
      </c>
      <c r="H1348" s="21">
        <f>Data!B1361</f>
        <v>0</v>
      </c>
      <c r="I1348" s="21">
        <f>Data!C1361</f>
        <v>0</v>
      </c>
      <c r="J1348">
        <f>Data!D1361</f>
        <v>0</v>
      </c>
      <c r="K1348">
        <f>Data!E1361</f>
        <v>0</v>
      </c>
      <c r="L1348">
        <f>Data!F1361</f>
        <v>0</v>
      </c>
      <c r="M1348">
        <f>Data!G1361</f>
        <v>0</v>
      </c>
      <c r="N1348">
        <f>Data!H1361</f>
        <v>0</v>
      </c>
      <c r="O1348">
        <f>Data!I1361</f>
        <v>0</v>
      </c>
      <c r="P1348" s="21">
        <f>Data!J1365</f>
        <v>0</v>
      </c>
      <c r="Q1348">
        <f>Data!K1365</f>
        <v>0</v>
      </c>
      <c r="R1348">
        <f>Data!L1365</f>
        <v>0</v>
      </c>
      <c r="S1348">
        <f>Data!M1365</f>
        <v>0</v>
      </c>
      <c r="T1348">
        <f>Data!N1361</f>
        <v>0</v>
      </c>
      <c r="U1348">
        <f>Data!O1365</f>
        <v>0</v>
      </c>
      <c r="V1348" s="33">
        <f>Data!P1363</f>
        <v>0</v>
      </c>
    </row>
    <row r="1349" spans="7:22" x14ac:dyDescent="0.25">
      <c r="G1349">
        <f>Data!A1362</f>
        <v>0</v>
      </c>
      <c r="H1349" s="21">
        <f>Data!B1362</f>
        <v>0</v>
      </c>
      <c r="I1349" s="21">
        <f>Data!C1362</f>
        <v>0</v>
      </c>
      <c r="J1349">
        <f>Data!D1362</f>
        <v>0</v>
      </c>
      <c r="K1349">
        <f>Data!E1362</f>
        <v>0</v>
      </c>
      <c r="L1349">
        <f>Data!F1362</f>
        <v>0</v>
      </c>
      <c r="M1349">
        <f>Data!G1362</f>
        <v>0</v>
      </c>
      <c r="N1349">
        <f>Data!H1362</f>
        <v>0</v>
      </c>
      <c r="O1349">
        <f>Data!I1362</f>
        <v>0</v>
      </c>
      <c r="P1349" s="21">
        <f>Data!J1366</f>
        <v>0</v>
      </c>
      <c r="Q1349">
        <f>Data!K1366</f>
        <v>0</v>
      </c>
      <c r="R1349">
        <f>Data!L1366</f>
        <v>0</v>
      </c>
      <c r="S1349">
        <f>Data!M1366</f>
        <v>0</v>
      </c>
      <c r="T1349">
        <f>Data!N1362</f>
        <v>0</v>
      </c>
      <c r="U1349">
        <f>Data!O1366</f>
        <v>0</v>
      </c>
      <c r="V1349" s="33">
        <f>Data!P1364</f>
        <v>0</v>
      </c>
    </row>
    <row r="1350" spans="7:22" x14ac:dyDescent="0.25">
      <c r="G1350">
        <f>Data!A1363</f>
        <v>0</v>
      </c>
      <c r="H1350" s="21">
        <f>Data!B1363</f>
        <v>0</v>
      </c>
      <c r="I1350" s="21">
        <f>Data!C1363</f>
        <v>0</v>
      </c>
      <c r="J1350">
        <f>Data!D1363</f>
        <v>0</v>
      </c>
      <c r="K1350">
        <f>Data!E1363</f>
        <v>0</v>
      </c>
      <c r="L1350">
        <f>Data!F1363</f>
        <v>0</v>
      </c>
      <c r="M1350">
        <f>Data!G1363</f>
        <v>0</v>
      </c>
      <c r="N1350">
        <f>Data!H1363</f>
        <v>0</v>
      </c>
      <c r="O1350">
        <f>Data!I1363</f>
        <v>0</v>
      </c>
      <c r="P1350" s="21">
        <f>Data!J1367</f>
        <v>0</v>
      </c>
      <c r="Q1350">
        <f>Data!K1367</f>
        <v>0</v>
      </c>
      <c r="R1350">
        <f>Data!L1367</f>
        <v>0</v>
      </c>
      <c r="S1350">
        <f>Data!M1367</f>
        <v>0</v>
      </c>
      <c r="T1350">
        <f>Data!N1363</f>
        <v>0</v>
      </c>
      <c r="U1350">
        <f>Data!O1367</f>
        <v>0</v>
      </c>
      <c r="V1350" s="33">
        <f>Data!P1365</f>
        <v>0</v>
      </c>
    </row>
    <row r="1351" spans="7:22" x14ac:dyDescent="0.25">
      <c r="G1351">
        <f>Data!A1364</f>
        <v>0</v>
      </c>
      <c r="H1351" s="21">
        <f>Data!B1364</f>
        <v>0</v>
      </c>
      <c r="I1351" s="21">
        <f>Data!C1364</f>
        <v>0</v>
      </c>
      <c r="J1351">
        <f>Data!D1364</f>
        <v>0</v>
      </c>
      <c r="K1351">
        <f>Data!E1364</f>
        <v>0</v>
      </c>
      <c r="L1351">
        <f>Data!F1364</f>
        <v>0</v>
      </c>
      <c r="M1351">
        <f>Data!G1364</f>
        <v>0</v>
      </c>
      <c r="N1351">
        <f>Data!H1364</f>
        <v>0</v>
      </c>
      <c r="O1351">
        <f>Data!I1364</f>
        <v>0</v>
      </c>
      <c r="P1351" s="21">
        <f>Data!J1368</f>
        <v>0</v>
      </c>
      <c r="Q1351">
        <f>Data!K1368</f>
        <v>0</v>
      </c>
      <c r="R1351">
        <f>Data!L1368</f>
        <v>0</v>
      </c>
      <c r="S1351">
        <f>Data!M1368</f>
        <v>0</v>
      </c>
      <c r="T1351">
        <f>Data!N1364</f>
        <v>0</v>
      </c>
      <c r="U1351">
        <f>Data!O1368</f>
        <v>0</v>
      </c>
      <c r="V1351" s="33">
        <f>Data!P1366</f>
        <v>0</v>
      </c>
    </row>
    <row r="1352" spans="7:22" x14ac:dyDescent="0.25">
      <c r="G1352">
        <f>Data!A1365</f>
        <v>0</v>
      </c>
      <c r="H1352" s="21">
        <f>Data!B1365</f>
        <v>0</v>
      </c>
      <c r="I1352" s="21">
        <f>Data!C1365</f>
        <v>0</v>
      </c>
      <c r="J1352">
        <f>Data!D1365</f>
        <v>0</v>
      </c>
      <c r="K1352">
        <f>Data!E1365</f>
        <v>0</v>
      </c>
      <c r="L1352">
        <f>Data!F1365</f>
        <v>0</v>
      </c>
      <c r="M1352">
        <f>Data!G1365</f>
        <v>0</v>
      </c>
      <c r="N1352">
        <f>Data!H1365</f>
        <v>0</v>
      </c>
      <c r="O1352">
        <f>Data!I1365</f>
        <v>0</v>
      </c>
      <c r="P1352" s="21">
        <f>Data!J1369</f>
        <v>0</v>
      </c>
      <c r="Q1352">
        <f>Data!K1369</f>
        <v>0</v>
      </c>
      <c r="R1352">
        <f>Data!L1369</f>
        <v>0</v>
      </c>
      <c r="S1352">
        <f>Data!M1369</f>
        <v>0</v>
      </c>
      <c r="T1352">
        <f>Data!N1365</f>
        <v>0</v>
      </c>
      <c r="U1352">
        <f>Data!O1369</f>
        <v>0</v>
      </c>
      <c r="V1352" s="33">
        <f>Data!P1367</f>
        <v>0</v>
      </c>
    </row>
    <row r="1353" spans="7:22" x14ac:dyDescent="0.25">
      <c r="G1353">
        <f>Data!A1366</f>
        <v>0</v>
      </c>
      <c r="H1353" s="21">
        <f>Data!B1366</f>
        <v>0</v>
      </c>
      <c r="I1353" s="21">
        <f>Data!C1366</f>
        <v>0</v>
      </c>
      <c r="J1353">
        <f>Data!D1366</f>
        <v>0</v>
      </c>
      <c r="K1353">
        <f>Data!E1366</f>
        <v>0</v>
      </c>
      <c r="L1353">
        <f>Data!F1366</f>
        <v>0</v>
      </c>
      <c r="M1353">
        <f>Data!G1366</f>
        <v>0</v>
      </c>
      <c r="N1353">
        <f>Data!H1366</f>
        <v>0</v>
      </c>
      <c r="O1353">
        <f>Data!I1366</f>
        <v>0</v>
      </c>
      <c r="P1353" s="21">
        <f>Data!J1370</f>
        <v>0</v>
      </c>
      <c r="Q1353">
        <f>Data!K1370</f>
        <v>0</v>
      </c>
      <c r="R1353">
        <f>Data!L1370</f>
        <v>0</v>
      </c>
      <c r="S1353">
        <f>Data!M1370</f>
        <v>0</v>
      </c>
      <c r="T1353">
        <f>Data!N1366</f>
        <v>0</v>
      </c>
      <c r="U1353">
        <f>Data!O1370</f>
        <v>0</v>
      </c>
      <c r="V1353" s="33">
        <f>Data!P1368</f>
        <v>0</v>
      </c>
    </row>
    <row r="1354" spans="7:22" x14ac:dyDescent="0.25">
      <c r="G1354">
        <f>Data!A1367</f>
        <v>0</v>
      </c>
      <c r="H1354" s="21">
        <f>Data!B1367</f>
        <v>0</v>
      </c>
      <c r="I1354" s="21">
        <f>Data!C1367</f>
        <v>0</v>
      </c>
      <c r="J1354">
        <f>Data!D1367</f>
        <v>0</v>
      </c>
      <c r="K1354">
        <f>Data!E1367</f>
        <v>0</v>
      </c>
      <c r="L1354">
        <f>Data!F1367</f>
        <v>0</v>
      </c>
      <c r="M1354">
        <f>Data!G1367</f>
        <v>0</v>
      </c>
      <c r="N1354">
        <f>Data!H1367</f>
        <v>0</v>
      </c>
      <c r="O1354">
        <f>Data!I1367</f>
        <v>0</v>
      </c>
      <c r="P1354" s="21">
        <f>Data!J1371</f>
        <v>0</v>
      </c>
      <c r="Q1354">
        <f>Data!K1371</f>
        <v>0</v>
      </c>
      <c r="R1354">
        <f>Data!L1371</f>
        <v>0</v>
      </c>
      <c r="S1354">
        <f>Data!M1371</f>
        <v>0</v>
      </c>
      <c r="T1354">
        <f>Data!N1367</f>
        <v>0</v>
      </c>
      <c r="U1354">
        <f>Data!O1371</f>
        <v>0</v>
      </c>
      <c r="V1354" s="33">
        <f>Data!P1369</f>
        <v>0</v>
      </c>
    </row>
    <row r="1355" spans="7:22" x14ac:dyDescent="0.25">
      <c r="G1355">
        <f>Data!A1368</f>
        <v>0</v>
      </c>
      <c r="H1355" s="21">
        <f>Data!B1368</f>
        <v>0</v>
      </c>
      <c r="I1355" s="21">
        <f>Data!C1368</f>
        <v>0</v>
      </c>
      <c r="J1355">
        <f>Data!D1368</f>
        <v>0</v>
      </c>
      <c r="K1355">
        <f>Data!E1368</f>
        <v>0</v>
      </c>
      <c r="L1355">
        <f>Data!F1368</f>
        <v>0</v>
      </c>
      <c r="M1355">
        <f>Data!G1368</f>
        <v>0</v>
      </c>
      <c r="N1355">
        <f>Data!H1368</f>
        <v>0</v>
      </c>
      <c r="O1355">
        <f>Data!I1368</f>
        <v>0</v>
      </c>
      <c r="P1355" s="21">
        <f>Data!J1372</f>
        <v>0</v>
      </c>
      <c r="Q1355">
        <f>Data!K1372</f>
        <v>0</v>
      </c>
      <c r="R1355">
        <f>Data!L1372</f>
        <v>0</v>
      </c>
      <c r="S1355">
        <f>Data!M1372</f>
        <v>0</v>
      </c>
      <c r="T1355">
        <f>Data!N1368</f>
        <v>0</v>
      </c>
      <c r="U1355">
        <f>Data!O1372</f>
        <v>0</v>
      </c>
      <c r="V1355" s="33">
        <f>Data!P1370</f>
        <v>0</v>
      </c>
    </row>
    <row r="1356" spans="7:22" x14ac:dyDescent="0.25">
      <c r="G1356">
        <f>Data!A1369</f>
        <v>0</v>
      </c>
      <c r="H1356" s="21">
        <f>Data!B1369</f>
        <v>0</v>
      </c>
      <c r="I1356" s="21">
        <f>Data!C1369</f>
        <v>0</v>
      </c>
      <c r="J1356">
        <f>Data!D1369</f>
        <v>0</v>
      </c>
      <c r="K1356">
        <f>Data!E1369</f>
        <v>0</v>
      </c>
      <c r="L1356">
        <f>Data!F1369</f>
        <v>0</v>
      </c>
      <c r="M1356">
        <f>Data!G1369</f>
        <v>0</v>
      </c>
      <c r="N1356">
        <f>Data!H1369</f>
        <v>0</v>
      </c>
      <c r="O1356">
        <f>Data!I1369</f>
        <v>0</v>
      </c>
      <c r="P1356" s="21">
        <f>Data!J1373</f>
        <v>0</v>
      </c>
      <c r="Q1356">
        <f>Data!K1373</f>
        <v>0</v>
      </c>
      <c r="R1356">
        <f>Data!L1373</f>
        <v>0</v>
      </c>
      <c r="S1356">
        <f>Data!M1373</f>
        <v>0</v>
      </c>
      <c r="T1356">
        <f>Data!N1369</f>
        <v>0</v>
      </c>
      <c r="U1356">
        <f>Data!O1373</f>
        <v>0</v>
      </c>
      <c r="V1356" s="33">
        <f>Data!P1371</f>
        <v>0</v>
      </c>
    </row>
    <row r="1357" spans="7:22" x14ac:dyDescent="0.25">
      <c r="G1357">
        <f>Data!A1370</f>
        <v>0</v>
      </c>
      <c r="H1357" s="21">
        <f>Data!B1370</f>
        <v>0</v>
      </c>
      <c r="I1357" s="21">
        <f>Data!C1370</f>
        <v>0</v>
      </c>
      <c r="J1357">
        <f>Data!D1370</f>
        <v>0</v>
      </c>
      <c r="K1357">
        <f>Data!E1370</f>
        <v>0</v>
      </c>
      <c r="L1357">
        <f>Data!F1370</f>
        <v>0</v>
      </c>
      <c r="M1357">
        <f>Data!G1370</f>
        <v>0</v>
      </c>
      <c r="N1357">
        <f>Data!H1370</f>
        <v>0</v>
      </c>
      <c r="O1357">
        <f>Data!I1370</f>
        <v>0</v>
      </c>
      <c r="P1357" s="21">
        <f>Data!J1374</f>
        <v>0</v>
      </c>
      <c r="Q1357">
        <f>Data!K1374</f>
        <v>0</v>
      </c>
      <c r="R1357">
        <f>Data!L1374</f>
        <v>0</v>
      </c>
      <c r="S1357">
        <f>Data!M1374</f>
        <v>0</v>
      </c>
      <c r="T1357">
        <f>Data!N1370</f>
        <v>0</v>
      </c>
      <c r="U1357">
        <f>Data!O1374</f>
        <v>0</v>
      </c>
      <c r="V1357" s="33">
        <f>Data!P1372</f>
        <v>0</v>
      </c>
    </row>
    <row r="1358" spans="7:22" x14ac:dyDescent="0.25">
      <c r="G1358">
        <f>Data!A1371</f>
        <v>0</v>
      </c>
      <c r="H1358" s="21">
        <f>Data!B1371</f>
        <v>0</v>
      </c>
      <c r="I1358" s="21">
        <f>Data!C1371</f>
        <v>0</v>
      </c>
      <c r="J1358">
        <f>Data!D1371</f>
        <v>0</v>
      </c>
      <c r="K1358">
        <f>Data!E1371</f>
        <v>0</v>
      </c>
      <c r="L1358">
        <f>Data!F1371</f>
        <v>0</v>
      </c>
      <c r="M1358">
        <f>Data!G1371</f>
        <v>0</v>
      </c>
      <c r="N1358">
        <f>Data!H1371</f>
        <v>0</v>
      </c>
      <c r="O1358">
        <f>Data!I1371</f>
        <v>0</v>
      </c>
      <c r="P1358" s="21">
        <f>Data!J1375</f>
        <v>0</v>
      </c>
      <c r="Q1358">
        <f>Data!K1375</f>
        <v>0</v>
      </c>
      <c r="R1358">
        <f>Data!L1375</f>
        <v>0</v>
      </c>
      <c r="S1358">
        <f>Data!M1375</f>
        <v>0</v>
      </c>
      <c r="T1358">
        <f>Data!N1371</f>
        <v>0</v>
      </c>
      <c r="U1358">
        <f>Data!O1375</f>
        <v>0</v>
      </c>
      <c r="V1358" s="33">
        <f>Data!P1373</f>
        <v>0</v>
      </c>
    </row>
    <row r="1359" spans="7:22" x14ac:dyDescent="0.25">
      <c r="G1359">
        <f>Data!A1372</f>
        <v>0</v>
      </c>
      <c r="H1359" s="21">
        <f>Data!B1372</f>
        <v>0</v>
      </c>
      <c r="I1359" s="21">
        <f>Data!C1372</f>
        <v>0</v>
      </c>
      <c r="J1359">
        <f>Data!D1372</f>
        <v>0</v>
      </c>
      <c r="K1359">
        <f>Data!E1372</f>
        <v>0</v>
      </c>
      <c r="L1359">
        <f>Data!F1372</f>
        <v>0</v>
      </c>
      <c r="M1359">
        <f>Data!G1372</f>
        <v>0</v>
      </c>
      <c r="N1359">
        <f>Data!H1372</f>
        <v>0</v>
      </c>
      <c r="O1359">
        <f>Data!I1372</f>
        <v>0</v>
      </c>
      <c r="P1359" s="21">
        <f>Data!J1376</f>
        <v>0</v>
      </c>
      <c r="Q1359">
        <f>Data!K1376</f>
        <v>0</v>
      </c>
      <c r="R1359">
        <f>Data!L1376</f>
        <v>0</v>
      </c>
      <c r="S1359">
        <f>Data!M1376</f>
        <v>0</v>
      </c>
      <c r="T1359">
        <f>Data!N1376</f>
        <v>0</v>
      </c>
      <c r="U1359">
        <f>Data!O1376</f>
        <v>0</v>
      </c>
      <c r="V1359" s="33">
        <f>Data!P1374</f>
        <v>0</v>
      </c>
    </row>
    <row r="1360" spans="7:22" x14ac:dyDescent="0.25">
      <c r="G1360">
        <f>Data!A1373</f>
        <v>0</v>
      </c>
      <c r="H1360" s="21">
        <f>Data!B1373</f>
        <v>0</v>
      </c>
      <c r="I1360" s="21">
        <f>Data!C1373</f>
        <v>0</v>
      </c>
      <c r="J1360">
        <f>Data!D1373</f>
        <v>0</v>
      </c>
      <c r="K1360">
        <f>Data!E1373</f>
        <v>0</v>
      </c>
      <c r="L1360">
        <f>Data!F1373</f>
        <v>0</v>
      </c>
      <c r="M1360">
        <f>Data!G1373</f>
        <v>0</v>
      </c>
      <c r="N1360">
        <f>Data!H1373</f>
        <v>0</v>
      </c>
      <c r="O1360">
        <f>Data!I1373</f>
        <v>0</v>
      </c>
      <c r="P1360" s="21">
        <f>Data!J1377</f>
        <v>0</v>
      </c>
      <c r="Q1360">
        <f>Data!K1377</f>
        <v>0</v>
      </c>
      <c r="R1360">
        <f>Data!L1377</f>
        <v>0</v>
      </c>
      <c r="S1360">
        <f>Data!M1377</f>
        <v>0</v>
      </c>
      <c r="T1360">
        <f>Data!N1377</f>
        <v>0</v>
      </c>
      <c r="U1360">
        <f>Data!O1377</f>
        <v>0</v>
      </c>
      <c r="V1360" s="33">
        <f>Data!P1375</f>
        <v>0</v>
      </c>
    </row>
    <row r="1361" spans="7:22" x14ac:dyDescent="0.25">
      <c r="G1361">
        <f>Data!A1374</f>
        <v>0</v>
      </c>
      <c r="H1361" s="21">
        <f>Data!B1374</f>
        <v>0</v>
      </c>
      <c r="I1361" s="21">
        <f>Data!C1374</f>
        <v>0</v>
      </c>
      <c r="J1361">
        <f>Data!D1374</f>
        <v>0</v>
      </c>
      <c r="K1361">
        <f>Data!E1374</f>
        <v>0</v>
      </c>
      <c r="L1361">
        <f>Data!F1374</f>
        <v>0</v>
      </c>
      <c r="M1361">
        <f>Data!G1374</f>
        <v>0</v>
      </c>
      <c r="N1361">
        <f>Data!H1374</f>
        <v>0</v>
      </c>
      <c r="O1361">
        <f>Data!I1374</f>
        <v>0</v>
      </c>
      <c r="P1361" s="21">
        <f>Data!J1378</f>
        <v>0</v>
      </c>
      <c r="Q1361">
        <f>Data!K1378</f>
        <v>0</v>
      </c>
      <c r="R1361">
        <f>Data!L1378</f>
        <v>0</v>
      </c>
      <c r="S1361">
        <f>Data!M1378</f>
        <v>0</v>
      </c>
      <c r="T1361">
        <f>Data!N1378</f>
        <v>0</v>
      </c>
      <c r="U1361">
        <f>Data!O1378</f>
        <v>0</v>
      </c>
      <c r="V1361" s="33">
        <f>Data!P1376</f>
        <v>0</v>
      </c>
    </row>
    <row r="1362" spans="7:22" x14ac:dyDescent="0.25">
      <c r="G1362">
        <f>Data!A1375</f>
        <v>0</v>
      </c>
      <c r="H1362" s="21">
        <f>Data!B1375</f>
        <v>0</v>
      </c>
      <c r="I1362" s="21">
        <f>Data!C1375</f>
        <v>0</v>
      </c>
      <c r="J1362">
        <f>Data!D1375</f>
        <v>0</v>
      </c>
      <c r="K1362">
        <f>Data!E1375</f>
        <v>0</v>
      </c>
      <c r="L1362">
        <f>Data!F1375</f>
        <v>0</v>
      </c>
      <c r="M1362">
        <f>Data!G1375</f>
        <v>0</v>
      </c>
      <c r="N1362">
        <f>Data!H1375</f>
        <v>0</v>
      </c>
      <c r="O1362">
        <f>Data!I1375</f>
        <v>0</v>
      </c>
      <c r="P1362" s="21">
        <f>Data!J1379</f>
        <v>0</v>
      </c>
      <c r="Q1362">
        <f>Data!K1379</f>
        <v>0</v>
      </c>
      <c r="R1362">
        <f>Data!L1379</f>
        <v>0</v>
      </c>
      <c r="S1362">
        <f>Data!M1379</f>
        <v>0</v>
      </c>
      <c r="T1362">
        <f>Data!N1379</f>
        <v>0</v>
      </c>
      <c r="U1362">
        <f>Data!O1379</f>
        <v>0</v>
      </c>
      <c r="V1362" s="33">
        <f>Data!P1377</f>
        <v>0</v>
      </c>
    </row>
    <row r="1363" spans="7:22" x14ac:dyDescent="0.25">
      <c r="G1363">
        <f>Data!A1376</f>
        <v>0</v>
      </c>
      <c r="H1363" s="21">
        <f>Data!B1376</f>
        <v>0</v>
      </c>
      <c r="I1363" s="21">
        <f>Data!C1376</f>
        <v>0</v>
      </c>
      <c r="J1363">
        <f>Data!D1376</f>
        <v>0</v>
      </c>
      <c r="K1363">
        <f>Data!E1376</f>
        <v>0</v>
      </c>
      <c r="L1363">
        <f>Data!F1376</f>
        <v>0</v>
      </c>
      <c r="M1363">
        <f>Data!G1376</f>
        <v>0</v>
      </c>
      <c r="N1363">
        <f>Data!H1376</f>
        <v>0</v>
      </c>
      <c r="O1363">
        <f>Data!I1376</f>
        <v>0</v>
      </c>
      <c r="P1363" s="21">
        <f>Data!J1380</f>
        <v>0</v>
      </c>
      <c r="Q1363">
        <f>Data!K1380</f>
        <v>0</v>
      </c>
      <c r="R1363">
        <f>Data!L1380</f>
        <v>0</v>
      </c>
      <c r="S1363">
        <f>Data!M1380</f>
        <v>0</v>
      </c>
      <c r="T1363">
        <f>Data!N1380</f>
        <v>0</v>
      </c>
      <c r="U1363">
        <f>Data!O1380</f>
        <v>0</v>
      </c>
      <c r="V1363" s="33">
        <f>Data!P1378</f>
        <v>0</v>
      </c>
    </row>
    <row r="1364" spans="7:22" x14ac:dyDescent="0.25">
      <c r="G1364">
        <f>Data!A1377</f>
        <v>0</v>
      </c>
      <c r="H1364" s="21">
        <f>Data!B1377</f>
        <v>0</v>
      </c>
      <c r="I1364" s="21">
        <f>Data!C1377</f>
        <v>0</v>
      </c>
      <c r="J1364">
        <f>Data!D1377</f>
        <v>0</v>
      </c>
      <c r="K1364">
        <f>Data!E1377</f>
        <v>0</v>
      </c>
      <c r="L1364">
        <f>Data!F1377</f>
        <v>0</v>
      </c>
      <c r="M1364">
        <f>Data!G1377</f>
        <v>0</v>
      </c>
      <c r="N1364">
        <f>Data!H1377</f>
        <v>0</v>
      </c>
      <c r="O1364">
        <f>Data!I1377</f>
        <v>0</v>
      </c>
      <c r="P1364" s="21">
        <f>Data!J1381</f>
        <v>0</v>
      </c>
      <c r="Q1364">
        <f>Data!K1381</f>
        <v>0</v>
      </c>
      <c r="R1364">
        <f>Data!L1381</f>
        <v>0</v>
      </c>
      <c r="S1364">
        <f>Data!M1381</f>
        <v>0</v>
      </c>
      <c r="T1364">
        <f>Data!N1381</f>
        <v>0</v>
      </c>
      <c r="U1364">
        <f>Data!O1381</f>
        <v>0</v>
      </c>
      <c r="V1364" s="33">
        <f>Data!P1379</f>
        <v>0</v>
      </c>
    </row>
    <row r="1365" spans="7:22" x14ac:dyDescent="0.25">
      <c r="G1365">
        <f>Data!A1378</f>
        <v>0</v>
      </c>
      <c r="H1365" s="21">
        <f>Data!B1378</f>
        <v>0</v>
      </c>
      <c r="I1365" s="21">
        <f>Data!C1378</f>
        <v>0</v>
      </c>
      <c r="J1365">
        <f>Data!D1378</f>
        <v>0</v>
      </c>
      <c r="K1365">
        <f>Data!E1378</f>
        <v>0</v>
      </c>
      <c r="L1365">
        <f>Data!F1378</f>
        <v>0</v>
      </c>
      <c r="M1365">
        <f>Data!G1378</f>
        <v>0</v>
      </c>
      <c r="N1365">
        <f>Data!H1378</f>
        <v>0</v>
      </c>
      <c r="O1365">
        <f>Data!I1378</f>
        <v>0</v>
      </c>
      <c r="P1365" s="21">
        <f>Data!J1382</f>
        <v>0</v>
      </c>
      <c r="Q1365">
        <f>Data!K1382</f>
        <v>0</v>
      </c>
      <c r="R1365">
        <f>Data!L1382</f>
        <v>0</v>
      </c>
      <c r="S1365">
        <f>Data!M1382</f>
        <v>0</v>
      </c>
      <c r="T1365">
        <f>Data!N1382</f>
        <v>0</v>
      </c>
      <c r="U1365">
        <f>Data!O1382</f>
        <v>0</v>
      </c>
      <c r="V1365" s="33">
        <f>Data!P1380</f>
        <v>0</v>
      </c>
    </row>
    <row r="1366" spans="7:22" x14ac:dyDescent="0.25">
      <c r="G1366">
        <f>Data!A1379</f>
        <v>0</v>
      </c>
      <c r="H1366" s="21">
        <f>Data!B1379</f>
        <v>0</v>
      </c>
      <c r="I1366" s="21">
        <f>Data!C1379</f>
        <v>0</v>
      </c>
      <c r="J1366">
        <f>Data!D1379</f>
        <v>0</v>
      </c>
      <c r="K1366">
        <f>Data!E1379</f>
        <v>0</v>
      </c>
      <c r="L1366">
        <f>Data!F1379</f>
        <v>0</v>
      </c>
      <c r="M1366">
        <f>Data!G1379</f>
        <v>0</v>
      </c>
      <c r="N1366">
        <f>Data!H1379</f>
        <v>0</v>
      </c>
      <c r="O1366">
        <f>Data!I1379</f>
        <v>0</v>
      </c>
      <c r="P1366" s="21">
        <f>Data!J1383</f>
        <v>0</v>
      </c>
      <c r="Q1366">
        <f>Data!K1383</f>
        <v>0</v>
      </c>
      <c r="R1366">
        <f>Data!L1383</f>
        <v>0</v>
      </c>
      <c r="S1366">
        <f>Data!M1383</f>
        <v>0</v>
      </c>
      <c r="T1366">
        <f>Data!N1383</f>
        <v>0</v>
      </c>
      <c r="U1366">
        <f>Data!O1383</f>
        <v>0</v>
      </c>
      <c r="V1366" s="33">
        <f>Data!P1381</f>
        <v>0</v>
      </c>
    </row>
    <row r="1367" spans="7:22" x14ac:dyDescent="0.25">
      <c r="G1367">
        <f>Data!A1380</f>
        <v>0</v>
      </c>
      <c r="H1367" s="21">
        <f>Data!B1380</f>
        <v>0</v>
      </c>
      <c r="I1367" s="21">
        <f>Data!C1380</f>
        <v>0</v>
      </c>
      <c r="J1367">
        <f>Data!D1380</f>
        <v>0</v>
      </c>
      <c r="K1367">
        <f>Data!E1380</f>
        <v>0</v>
      </c>
      <c r="L1367">
        <f>Data!F1380</f>
        <v>0</v>
      </c>
      <c r="M1367">
        <f>Data!G1380</f>
        <v>0</v>
      </c>
      <c r="N1367">
        <f>Data!H1380</f>
        <v>0</v>
      </c>
      <c r="O1367">
        <f>Data!I1380</f>
        <v>0</v>
      </c>
      <c r="P1367" s="21">
        <f>Data!J1384</f>
        <v>0</v>
      </c>
      <c r="Q1367">
        <f>Data!K1384</f>
        <v>0</v>
      </c>
      <c r="R1367">
        <f>Data!L1384</f>
        <v>0</v>
      </c>
      <c r="S1367">
        <f>Data!M1384</f>
        <v>0</v>
      </c>
      <c r="T1367">
        <f>Data!N1384</f>
        <v>0</v>
      </c>
      <c r="U1367">
        <f>Data!O1384</f>
        <v>0</v>
      </c>
      <c r="V1367" s="33">
        <f>Data!P1382</f>
        <v>0</v>
      </c>
    </row>
    <row r="1368" spans="7:22" x14ac:dyDescent="0.25">
      <c r="G1368">
        <f>Data!A1381</f>
        <v>0</v>
      </c>
      <c r="H1368" s="21">
        <f>Data!B1381</f>
        <v>0</v>
      </c>
      <c r="I1368" s="21">
        <f>Data!C1381</f>
        <v>0</v>
      </c>
      <c r="J1368">
        <f>Data!D1381</f>
        <v>0</v>
      </c>
      <c r="K1368">
        <f>Data!E1381</f>
        <v>0</v>
      </c>
      <c r="L1368">
        <f>Data!F1381</f>
        <v>0</v>
      </c>
      <c r="M1368">
        <f>Data!G1381</f>
        <v>0</v>
      </c>
      <c r="N1368">
        <f>Data!H1381</f>
        <v>0</v>
      </c>
      <c r="O1368">
        <f>Data!I1381</f>
        <v>0</v>
      </c>
      <c r="P1368" s="21">
        <f>Data!J1385</f>
        <v>0</v>
      </c>
      <c r="Q1368">
        <f>Data!K1385</f>
        <v>0</v>
      </c>
      <c r="R1368">
        <f>Data!L1385</f>
        <v>0</v>
      </c>
      <c r="S1368">
        <f>Data!M1385</f>
        <v>0</v>
      </c>
      <c r="T1368">
        <f>Data!N1385</f>
        <v>0</v>
      </c>
      <c r="U1368">
        <f>Data!O1385</f>
        <v>0</v>
      </c>
      <c r="V1368" s="33">
        <f>Data!P1383</f>
        <v>0</v>
      </c>
    </row>
    <row r="1369" spans="7:22" x14ac:dyDescent="0.25">
      <c r="G1369">
        <f>Data!A1382</f>
        <v>0</v>
      </c>
      <c r="H1369" s="21">
        <f>Data!B1382</f>
        <v>0</v>
      </c>
      <c r="I1369" s="21">
        <f>Data!C1382</f>
        <v>0</v>
      </c>
      <c r="J1369">
        <f>Data!D1382</f>
        <v>0</v>
      </c>
      <c r="K1369">
        <f>Data!E1382</f>
        <v>0</v>
      </c>
      <c r="L1369">
        <f>Data!F1382</f>
        <v>0</v>
      </c>
      <c r="M1369">
        <f>Data!G1382</f>
        <v>0</v>
      </c>
      <c r="N1369">
        <f>Data!H1382</f>
        <v>0</v>
      </c>
      <c r="O1369">
        <f>Data!I1382</f>
        <v>0</v>
      </c>
      <c r="P1369" s="21">
        <f>Data!J1386</f>
        <v>0</v>
      </c>
      <c r="Q1369">
        <f>Data!K1386</f>
        <v>0</v>
      </c>
      <c r="R1369">
        <f>Data!L1386</f>
        <v>0</v>
      </c>
      <c r="S1369">
        <f>Data!M1386</f>
        <v>0</v>
      </c>
      <c r="T1369">
        <f>Data!N1386</f>
        <v>0</v>
      </c>
      <c r="U1369">
        <f>Data!O1386</f>
        <v>0</v>
      </c>
      <c r="V1369" s="33">
        <f>Data!P1384</f>
        <v>0</v>
      </c>
    </row>
    <row r="1370" spans="7:22" x14ac:dyDescent="0.25">
      <c r="G1370">
        <f>Data!A1383</f>
        <v>0</v>
      </c>
      <c r="H1370" s="21">
        <f>Data!B1383</f>
        <v>0</v>
      </c>
      <c r="I1370" s="21">
        <f>Data!C1383</f>
        <v>0</v>
      </c>
      <c r="J1370">
        <f>Data!D1383</f>
        <v>0</v>
      </c>
      <c r="K1370">
        <f>Data!E1383</f>
        <v>0</v>
      </c>
      <c r="L1370">
        <f>Data!F1383</f>
        <v>0</v>
      </c>
      <c r="M1370">
        <f>Data!G1383</f>
        <v>0</v>
      </c>
      <c r="N1370">
        <f>Data!H1383</f>
        <v>0</v>
      </c>
      <c r="O1370">
        <f>Data!I1383</f>
        <v>0</v>
      </c>
      <c r="P1370" s="21">
        <f>Data!J1387</f>
        <v>0</v>
      </c>
      <c r="Q1370">
        <f>Data!K1387</f>
        <v>0</v>
      </c>
      <c r="R1370">
        <f>Data!L1387</f>
        <v>0</v>
      </c>
      <c r="S1370">
        <f>Data!M1387</f>
        <v>0</v>
      </c>
      <c r="T1370">
        <f>Data!N1387</f>
        <v>0</v>
      </c>
      <c r="U1370">
        <f>Data!O1387</f>
        <v>0</v>
      </c>
      <c r="V1370" s="33">
        <f>Data!P1385</f>
        <v>0</v>
      </c>
    </row>
    <row r="1371" spans="7:22" x14ac:dyDescent="0.25">
      <c r="G1371">
        <f>Data!A1384</f>
        <v>0</v>
      </c>
      <c r="H1371" s="21">
        <f>Data!B1384</f>
        <v>0</v>
      </c>
      <c r="I1371" s="21">
        <f>Data!C1384</f>
        <v>0</v>
      </c>
      <c r="J1371">
        <f>Data!D1384</f>
        <v>0</v>
      </c>
      <c r="K1371">
        <f>Data!E1384</f>
        <v>0</v>
      </c>
      <c r="L1371">
        <f>Data!F1384</f>
        <v>0</v>
      </c>
      <c r="M1371">
        <f>Data!G1384</f>
        <v>0</v>
      </c>
      <c r="N1371">
        <f>Data!H1384</f>
        <v>0</v>
      </c>
      <c r="O1371">
        <f>Data!I1384</f>
        <v>0</v>
      </c>
      <c r="P1371" s="21">
        <f>Data!J1388</f>
        <v>0</v>
      </c>
      <c r="Q1371">
        <f>Data!K1388</f>
        <v>0</v>
      </c>
      <c r="R1371">
        <f>Data!L1388</f>
        <v>0</v>
      </c>
      <c r="S1371">
        <f>Data!M1388</f>
        <v>0</v>
      </c>
      <c r="T1371">
        <f>Data!N1388</f>
        <v>0</v>
      </c>
      <c r="U1371">
        <f>Data!O1388</f>
        <v>0</v>
      </c>
      <c r="V1371" s="33">
        <f>Data!P1386</f>
        <v>0</v>
      </c>
    </row>
    <row r="1372" spans="7:22" x14ac:dyDescent="0.25">
      <c r="G1372">
        <f>Data!A1385</f>
        <v>0</v>
      </c>
      <c r="H1372" s="21">
        <f>Data!B1385</f>
        <v>0</v>
      </c>
      <c r="I1372" s="21">
        <f>Data!C1385</f>
        <v>0</v>
      </c>
      <c r="J1372">
        <f>Data!D1385</f>
        <v>0</v>
      </c>
      <c r="K1372">
        <f>Data!E1385</f>
        <v>0</v>
      </c>
      <c r="L1372">
        <f>Data!F1385</f>
        <v>0</v>
      </c>
      <c r="M1372">
        <f>Data!G1385</f>
        <v>0</v>
      </c>
      <c r="N1372">
        <f>Data!H1385</f>
        <v>0</v>
      </c>
      <c r="O1372">
        <f>Data!I1385</f>
        <v>0</v>
      </c>
      <c r="P1372" s="21">
        <f>Data!J1389</f>
        <v>0</v>
      </c>
      <c r="Q1372">
        <f>Data!K1389</f>
        <v>0</v>
      </c>
      <c r="R1372">
        <f>Data!L1389</f>
        <v>0</v>
      </c>
      <c r="S1372">
        <f>Data!M1389</f>
        <v>0</v>
      </c>
      <c r="T1372">
        <f>Data!N1389</f>
        <v>0</v>
      </c>
      <c r="U1372">
        <f>Data!O1389</f>
        <v>0</v>
      </c>
      <c r="V1372" s="33">
        <f>Data!P1387</f>
        <v>0</v>
      </c>
    </row>
    <row r="1373" spans="7:22" x14ac:dyDescent="0.25">
      <c r="G1373">
        <f>Data!A1386</f>
        <v>0</v>
      </c>
      <c r="H1373" s="21">
        <f>Data!B1386</f>
        <v>0</v>
      </c>
      <c r="I1373" s="21">
        <f>Data!C1386</f>
        <v>0</v>
      </c>
      <c r="J1373">
        <f>Data!D1386</f>
        <v>0</v>
      </c>
      <c r="K1373">
        <f>Data!E1386</f>
        <v>0</v>
      </c>
      <c r="L1373">
        <f>Data!F1386</f>
        <v>0</v>
      </c>
      <c r="M1373">
        <f>Data!G1386</f>
        <v>0</v>
      </c>
      <c r="N1373">
        <f>Data!H1386</f>
        <v>0</v>
      </c>
      <c r="O1373">
        <f>Data!I1386</f>
        <v>0</v>
      </c>
      <c r="P1373" s="21">
        <f>Data!J1390</f>
        <v>0</v>
      </c>
      <c r="Q1373">
        <f>Data!K1390</f>
        <v>0</v>
      </c>
      <c r="R1373">
        <f>Data!L1390</f>
        <v>0</v>
      </c>
      <c r="S1373">
        <f>Data!M1390</f>
        <v>0</v>
      </c>
      <c r="T1373">
        <f>Data!N1390</f>
        <v>0</v>
      </c>
      <c r="U1373">
        <f>Data!O1390</f>
        <v>0</v>
      </c>
      <c r="V1373" s="33">
        <f>Data!P1388</f>
        <v>0</v>
      </c>
    </row>
    <row r="1374" spans="7:22" x14ac:dyDescent="0.25">
      <c r="G1374">
        <f>Data!A1387</f>
        <v>0</v>
      </c>
      <c r="H1374" s="21">
        <f>Data!B1387</f>
        <v>0</v>
      </c>
      <c r="I1374" s="21">
        <f>Data!C1387</f>
        <v>0</v>
      </c>
      <c r="J1374">
        <f>Data!D1387</f>
        <v>0</v>
      </c>
      <c r="K1374">
        <f>Data!E1387</f>
        <v>0</v>
      </c>
      <c r="L1374">
        <f>Data!F1387</f>
        <v>0</v>
      </c>
      <c r="M1374">
        <f>Data!G1387</f>
        <v>0</v>
      </c>
      <c r="N1374">
        <f>Data!H1387</f>
        <v>0</v>
      </c>
      <c r="O1374">
        <f>Data!I1387</f>
        <v>0</v>
      </c>
      <c r="P1374" s="21">
        <f>Data!J1391</f>
        <v>0</v>
      </c>
      <c r="Q1374">
        <f>Data!K1391</f>
        <v>0</v>
      </c>
      <c r="R1374">
        <f>Data!L1391</f>
        <v>0</v>
      </c>
      <c r="S1374">
        <f>Data!M1391</f>
        <v>0</v>
      </c>
      <c r="T1374">
        <f>Data!N1391</f>
        <v>0</v>
      </c>
      <c r="U1374">
        <f>Data!O1391</f>
        <v>0</v>
      </c>
      <c r="V1374" s="33">
        <f>Data!P1389</f>
        <v>0</v>
      </c>
    </row>
    <row r="1375" spans="7:22" x14ac:dyDescent="0.25">
      <c r="G1375">
        <f>Data!A1388</f>
        <v>0</v>
      </c>
      <c r="H1375" s="21">
        <f>Data!B1388</f>
        <v>0</v>
      </c>
      <c r="I1375" s="21">
        <f>Data!C1388</f>
        <v>0</v>
      </c>
      <c r="J1375">
        <f>Data!D1388</f>
        <v>0</v>
      </c>
      <c r="K1375">
        <f>Data!E1388</f>
        <v>0</v>
      </c>
      <c r="L1375">
        <f>Data!F1388</f>
        <v>0</v>
      </c>
      <c r="M1375">
        <f>Data!G1388</f>
        <v>0</v>
      </c>
      <c r="N1375">
        <f>Data!H1388</f>
        <v>0</v>
      </c>
      <c r="O1375">
        <f>Data!I1388</f>
        <v>0</v>
      </c>
      <c r="P1375" s="21">
        <f>Data!J1392</f>
        <v>0</v>
      </c>
      <c r="Q1375">
        <f>Data!K1392</f>
        <v>0</v>
      </c>
      <c r="R1375">
        <f>Data!L1392</f>
        <v>0</v>
      </c>
      <c r="S1375">
        <f>Data!M1392</f>
        <v>0</v>
      </c>
      <c r="T1375">
        <f>Data!N1392</f>
        <v>0</v>
      </c>
      <c r="U1375">
        <f>Data!O1392</f>
        <v>0</v>
      </c>
      <c r="V1375" s="33">
        <f>Data!P1390</f>
        <v>0</v>
      </c>
    </row>
    <row r="1376" spans="7:22" x14ac:dyDescent="0.25">
      <c r="G1376">
        <f>Data!A1389</f>
        <v>0</v>
      </c>
      <c r="H1376" s="21">
        <f>Data!B1389</f>
        <v>0</v>
      </c>
      <c r="I1376" s="21">
        <f>Data!C1389</f>
        <v>0</v>
      </c>
      <c r="J1376">
        <f>Data!D1389</f>
        <v>0</v>
      </c>
      <c r="K1376">
        <f>Data!E1389</f>
        <v>0</v>
      </c>
      <c r="L1376">
        <f>Data!F1389</f>
        <v>0</v>
      </c>
      <c r="M1376">
        <f>Data!G1389</f>
        <v>0</v>
      </c>
      <c r="N1376">
        <f>Data!H1389</f>
        <v>0</v>
      </c>
      <c r="O1376">
        <f>Data!I1389</f>
        <v>0</v>
      </c>
      <c r="P1376" s="21">
        <f>Data!J1393</f>
        <v>0</v>
      </c>
      <c r="Q1376">
        <f>Data!K1393</f>
        <v>0</v>
      </c>
      <c r="R1376">
        <f>Data!L1393</f>
        <v>0</v>
      </c>
      <c r="S1376">
        <f>Data!M1393</f>
        <v>0</v>
      </c>
      <c r="T1376">
        <f>Data!N1393</f>
        <v>0</v>
      </c>
      <c r="U1376">
        <f>Data!O1393</f>
        <v>0</v>
      </c>
      <c r="V1376" s="33">
        <f>Data!P1391</f>
        <v>0</v>
      </c>
    </row>
    <row r="1377" spans="7:22" x14ac:dyDescent="0.25">
      <c r="G1377">
        <f>Data!A1390</f>
        <v>0</v>
      </c>
      <c r="H1377" s="21">
        <f>Data!B1390</f>
        <v>0</v>
      </c>
      <c r="I1377" s="21">
        <f>Data!C1390</f>
        <v>0</v>
      </c>
      <c r="J1377">
        <f>Data!D1390</f>
        <v>0</v>
      </c>
      <c r="K1377">
        <f>Data!E1390</f>
        <v>0</v>
      </c>
      <c r="L1377">
        <f>Data!F1390</f>
        <v>0</v>
      </c>
      <c r="M1377">
        <f>Data!G1390</f>
        <v>0</v>
      </c>
      <c r="N1377">
        <f>Data!H1390</f>
        <v>0</v>
      </c>
      <c r="O1377">
        <f>Data!I1390</f>
        <v>0</v>
      </c>
      <c r="P1377" s="21">
        <f>Data!J1394</f>
        <v>0</v>
      </c>
      <c r="Q1377">
        <f>Data!K1394</f>
        <v>0</v>
      </c>
      <c r="R1377">
        <f>Data!L1394</f>
        <v>0</v>
      </c>
      <c r="S1377">
        <f>Data!M1394</f>
        <v>0</v>
      </c>
      <c r="T1377">
        <f>Data!N1394</f>
        <v>0</v>
      </c>
      <c r="U1377">
        <f>Data!O1394</f>
        <v>0</v>
      </c>
      <c r="V1377" s="33">
        <f>Data!P1392</f>
        <v>0</v>
      </c>
    </row>
    <row r="1378" spans="7:22" x14ac:dyDescent="0.25">
      <c r="G1378">
        <f>Data!A1391</f>
        <v>0</v>
      </c>
      <c r="H1378" s="21">
        <f>Data!B1391</f>
        <v>0</v>
      </c>
      <c r="I1378" s="21">
        <f>Data!C1391</f>
        <v>0</v>
      </c>
      <c r="J1378">
        <f>Data!D1391</f>
        <v>0</v>
      </c>
      <c r="K1378">
        <f>Data!E1391</f>
        <v>0</v>
      </c>
      <c r="L1378">
        <f>Data!F1391</f>
        <v>0</v>
      </c>
      <c r="M1378">
        <f>Data!G1391</f>
        <v>0</v>
      </c>
      <c r="N1378">
        <f>Data!H1391</f>
        <v>0</v>
      </c>
      <c r="O1378">
        <f>Data!I1391</f>
        <v>0</v>
      </c>
      <c r="P1378" s="21">
        <f>Data!J1395</f>
        <v>0</v>
      </c>
      <c r="Q1378">
        <f>Data!K1395</f>
        <v>0</v>
      </c>
      <c r="R1378">
        <f>Data!L1395</f>
        <v>0</v>
      </c>
      <c r="S1378">
        <f>Data!M1395</f>
        <v>0</v>
      </c>
      <c r="T1378">
        <f>Data!N1395</f>
        <v>0</v>
      </c>
      <c r="U1378">
        <f>Data!O1395</f>
        <v>0</v>
      </c>
      <c r="V1378" s="33">
        <f>Data!P1393</f>
        <v>0</v>
      </c>
    </row>
    <row r="1379" spans="7:22" x14ac:dyDescent="0.25">
      <c r="G1379">
        <f>Data!A1392</f>
        <v>0</v>
      </c>
      <c r="H1379" s="21">
        <f>Data!B1392</f>
        <v>0</v>
      </c>
      <c r="I1379" s="21">
        <f>Data!C1392</f>
        <v>0</v>
      </c>
      <c r="J1379">
        <f>Data!D1392</f>
        <v>0</v>
      </c>
      <c r="K1379">
        <f>Data!E1392</f>
        <v>0</v>
      </c>
      <c r="L1379">
        <f>Data!F1392</f>
        <v>0</v>
      </c>
      <c r="M1379">
        <f>Data!G1392</f>
        <v>0</v>
      </c>
      <c r="N1379">
        <f>Data!H1392</f>
        <v>0</v>
      </c>
      <c r="O1379">
        <f>Data!I1392</f>
        <v>0</v>
      </c>
      <c r="P1379" s="21">
        <f>Data!J1396</f>
        <v>0</v>
      </c>
      <c r="Q1379">
        <f>Data!K1396</f>
        <v>0</v>
      </c>
      <c r="R1379">
        <f>Data!L1396</f>
        <v>0</v>
      </c>
      <c r="S1379">
        <f>Data!M1396</f>
        <v>0</v>
      </c>
      <c r="T1379">
        <f>Data!N1396</f>
        <v>0</v>
      </c>
      <c r="U1379">
        <f>Data!O1396</f>
        <v>0</v>
      </c>
      <c r="V1379" s="33">
        <f>Data!P1394</f>
        <v>0</v>
      </c>
    </row>
    <row r="1380" spans="7:22" x14ac:dyDescent="0.25">
      <c r="G1380">
        <f>Data!A1393</f>
        <v>0</v>
      </c>
      <c r="H1380" s="21">
        <f>Data!B1393</f>
        <v>0</v>
      </c>
      <c r="I1380" s="21">
        <f>Data!C1393</f>
        <v>0</v>
      </c>
      <c r="J1380">
        <f>Data!D1393</f>
        <v>0</v>
      </c>
      <c r="K1380">
        <f>Data!E1393</f>
        <v>0</v>
      </c>
      <c r="L1380">
        <f>Data!F1393</f>
        <v>0</v>
      </c>
      <c r="M1380">
        <f>Data!G1393</f>
        <v>0</v>
      </c>
      <c r="N1380">
        <f>Data!H1393</f>
        <v>0</v>
      </c>
      <c r="O1380">
        <f>Data!I1393</f>
        <v>0</v>
      </c>
      <c r="P1380" s="21">
        <f>Data!J1397</f>
        <v>0</v>
      </c>
      <c r="Q1380">
        <f>Data!K1397</f>
        <v>0</v>
      </c>
      <c r="R1380">
        <f>Data!L1397</f>
        <v>0</v>
      </c>
      <c r="S1380">
        <f>Data!M1397</f>
        <v>0</v>
      </c>
      <c r="T1380">
        <f>Data!N1397</f>
        <v>0</v>
      </c>
      <c r="U1380">
        <f>Data!O1397</f>
        <v>0</v>
      </c>
      <c r="V1380" s="33">
        <f>Data!P1395</f>
        <v>0</v>
      </c>
    </row>
    <row r="1381" spans="7:22" x14ac:dyDescent="0.25">
      <c r="G1381">
        <f>Data!A1394</f>
        <v>0</v>
      </c>
      <c r="H1381" s="21">
        <f>Data!B1394</f>
        <v>0</v>
      </c>
      <c r="I1381" s="21">
        <f>Data!C1394</f>
        <v>0</v>
      </c>
      <c r="J1381">
        <f>Data!D1394</f>
        <v>0</v>
      </c>
      <c r="K1381">
        <f>Data!E1394</f>
        <v>0</v>
      </c>
      <c r="L1381">
        <f>Data!F1394</f>
        <v>0</v>
      </c>
      <c r="M1381">
        <f>Data!G1394</f>
        <v>0</v>
      </c>
      <c r="N1381">
        <f>Data!H1394</f>
        <v>0</v>
      </c>
      <c r="O1381">
        <f>Data!I1394</f>
        <v>0</v>
      </c>
      <c r="P1381" s="21">
        <f>Data!J1398</f>
        <v>0</v>
      </c>
      <c r="Q1381">
        <f>Data!K1398</f>
        <v>0</v>
      </c>
      <c r="R1381">
        <f>Data!L1398</f>
        <v>0</v>
      </c>
      <c r="S1381">
        <f>Data!M1398</f>
        <v>0</v>
      </c>
      <c r="T1381">
        <f>Data!N1398</f>
        <v>0</v>
      </c>
      <c r="U1381">
        <f>Data!O1398</f>
        <v>0</v>
      </c>
      <c r="V1381" s="33">
        <f>Data!P1396</f>
        <v>0</v>
      </c>
    </row>
    <row r="1382" spans="7:22" x14ac:dyDescent="0.25">
      <c r="G1382">
        <f>Data!A1395</f>
        <v>0</v>
      </c>
      <c r="H1382" s="21">
        <f>Data!B1395</f>
        <v>0</v>
      </c>
      <c r="I1382" s="21">
        <f>Data!C1395</f>
        <v>0</v>
      </c>
      <c r="J1382">
        <f>Data!D1395</f>
        <v>0</v>
      </c>
      <c r="K1382">
        <f>Data!E1395</f>
        <v>0</v>
      </c>
      <c r="L1382">
        <f>Data!F1395</f>
        <v>0</v>
      </c>
      <c r="M1382">
        <f>Data!G1395</f>
        <v>0</v>
      </c>
      <c r="N1382">
        <f>Data!H1395</f>
        <v>0</v>
      </c>
      <c r="O1382">
        <f>Data!I1395</f>
        <v>0</v>
      </c>
      <c r="P1382" s="21">
        <f>Data!J1399</f>
        <v>0</v>
      </c>
      <c r="Q1382">
        <f>Data!K1399</f>
        <v>0</v>
      </c>
      <c r="R1382">
        <f>Data!L1399</f>
        <v>0</v>
      </c>
      <c r="S1382">
        <f>Data!M1399</f>
        <v>0</v>
      </c>
      <c r="T1382">
        <f>Data!N1399</f>
        <v>0</v>
      </c>
      <c r="U1382">
        <f>Data!O1399</f>
        <v>0</v>
      </c>
      <c r="V1382" s="33">
        <f>Data!P1397</f>
        <v>0</v>
      </c>
    </row>
    <row r="1383" spans="7:22" x14ac:dyDescent="0.25">
      <c r="G1383">
        <f>Data!A1396</f>
        <v>0</v>
      </c>
      <c r="H1383" s="21">
        <f>Data!B1396</f>
        <v>0</v>
      </c>
      <c r="I1383" s="21">
        <f>Data!C1396</f>
        <v>0</v>
      </c>
      <c r="J1383">
        <f>Data!D1396</f>
        <v>0</v>
      </c>
      <c r="K1383">
        <f>Data!E1396</f>
        <v>0</v>
      </c>
      <c r="L1383">
        <f>Data!F1396</f>
        <v>0</v>
      </c>
      <c r="M1383">
        <f>Data!G1396</f>
        <v>0</v>
      </c>
      <c r="N1383">
        <f>Data!H1396</f>
        <v>0</v>
      </c>
      <c r="O1383">
        <f>Data!I1396</f>
        <v>0</v>
      </c>
      <c r="P1383" s="21">
        <f>Data!J1400</f>
        <v>0</v>
      </c>
      <c r="Q1383">
        <f>Data!K1400</f>
        <v>0</v>
      </c>
      <c r="R1383">
        <f>Data!L1400</f>
        <v>0</v>
      </c>
      <c r="S1383">
        <f>Data!M1400</f>
        <v>0</v>
      </c>
      <c r="T1383">
        <f>Data!N1400</f>
        <v>0</v>
      </c>
      <c r="U1383">
        <f>Data!O1400</f>
        <v>0</v>
      </c>
      <c r="V1383" s="33">
        <f>Data!P1398</f>
        <v>0</v>
      </c>
    </row>
    <row r="1384" spans="7:22" x14ac:dyDescent="0.25">
      <c r="G1384">
        <f>Data!A1397</f>
        <v>0</v>
      </c>
      <c r="H1384" s="21">
        <f>Data!B1397</f>
        <v>0</v>
      </c>
      <c r="I1384" s="21">
        <f>Data!C1397</f>
        <v>0</v>
      </c>
      <c r="J1384">
        <f>Data!D1397</f>
        <v>0</v>
      </c>
      <c r="K1384">
        <f>Data!E1397</f>
        <v>0</v>
      </c>
      <c r="L1384">
        <f>Data!F1397</f>
        <v>0</v>
      </c>
      <c r="M1384">
        <f>Data!G1397</f>
        <v>0</v>
      </c>
      <c r="N1384">
        <f>Data!H1397</f>
        <v>0</v>
      </c>
      <c r="O1384">
        <f>Data!I1397</f>
        <v>0</v>
      </c>
      <c r="P1384" s="21">
        <f>Data!J1401</f>
        <v>0</v>
      </c>
      <c r="Q1384">
        <f>Data!K1401</f>
        <v>0</v>
      </c>
      <c r="R1384">
        <f>Data!L1401</f>
        <v>0</v>
      </c>
      <c r="S1384">
        <f>Data!M1401</f>
        <v>0</v>
      </c>
      <c r="T1384">
        <f>Data!N1401</f>
        <v>0</v>
      </c>
      <c r="U1384">
        <f>Data!O1401</f>
        <v>0</v>
      </c>
      <c r="V1384" s="33">
        <f>Data!P1399</f>
        <v>0</v>
      </c>
    </row>
    <row r="1385" spans="7:22" x14ac:dyDescent="0.25">
      <c r="G1385">
        <f>Data!A1398</f>
        <v>0</v>
      </c>
      <c r="H1385" s="21">
        <f>Data!B1398</f>
        <v>0</v>
      </c>
      <c r="I1385" s="21">
        <f>Data!C1398</f>
        <v>0</v>
      </c>
      <c r="J1385">
        <f>Data!D1398</f>
        <v>0</v>
      </c>
      <c r="K1385">
        <f>Data!E1398</f>
        <v>0</v>
      </c>
      <c r="L1385">
        <f>Data!F1398</f>
        <v>0</v>
      </c>
      <c r="M1385">
        <f>Data!G1398</f>
        <v>0</v>
      </c>
      <c r="N1385">
        <f>Data!H1398</f>
        <v>0</v>
      </c>
      <c r="O1385">
        <f>Data!I1398</f>
        <v>0</v>
      </c>
      <c r="P1385" s="21">
        <f>Data!J1402</f>
        <v>0</v>
      </c>
      <c r="Q1385">
        <f>Data!K1402</f>
        <v>0</v>
      </c>
      <c r="R1385">
        <f>Data!L1402</f>
        <v>0</v>
      </c>
      <c r="S1385">
        <f>Data!M1402</f>
        <v>0</v>
      </c>
      <c r="T1385">
        <f>Data!N1402</f>
        <v>0</v>
      </c>
      <c r="U1385">
        <f>Data!O1402</f>
        <v>0</v>
      </c>
      <c r="V1385" s="33">
        <f>Data!P1400</f>
        <v>0</v>
      </c>
    </row>
    <row r="1386" spans="7:22" x14ac:dyDescent="0.25">
      <c r="G1386">
        <f>Data!A1399</f>
        <v>0</v>
      </c>
      <c r="H1386" s="21">
        <f>Data!B1399</f>
        <v>0</v>
      </c>
      <c r="I1386" s="21">
        <f>Data!C1399</f>
        <v>0</v>
      </c>
      <c r="J1386">
        <f>Data!D1399</f>
        <v>0</v>
      </c>
      <c r="K1386">
        <f>Data!E1399</f>
        <v>0</v>
      </c>
      <c r="L1386">
        <f>Data!F1399</f>
        <v>0</v>
      </c>
      <c r="M1386">
        <f>Data!G1399</f>
        <v>0</v>
      </c>
      <c r="N1386">
        <f>Data!H1399</f>
        <v>0</v>
      </c>
      <c r="O1386">
        <f>Data!I1399</f>
        <v>0</v>
      </c>
      <c r="P1386" s="21">
        <f>Data!J1403</f>
        <v>0</v>
      </c>
      <c r="Q1386">
        <f>Data!K1403</f>
        <v>0</v>
      </c>
      <c r="R1386">
        <f>Data!L1403</f>
        <v>0</v>
      </c>
      <c r="S1386">
        <f>Data!M1403</f>
        <v>0</v>
      </c>
      <c r="T1386">
        <f>Data!N1403</f>
        <v>0</v>
      </c>
      <c r="U1386">
        <f>Data!O1403</f>
        <v>0</v>
      </c>
      <c r="V1386" s="33">
        <f>Data!P1401</f>
        <v>0</v>
      </c>
    </row>
    <row r="1387" spans="7:22" x14ac:dyDescent="0.25">
      <c r="G1387">
        <f>Data!A1400</f>
        <v>0</v>
      </c>
      <c r="H1387" s="21">
        <f>Data!B1400</f>
        <v>0</v>
      </c>
      <c r="I1387" s="21">
        <f>Data!C1400</f>
        <v>0</v>
      </c>
      <c r="J1387">
        <f>Data!D1400</f>
        <v>0</v>
      </c>
      <c r="K1387">
        <f>Data!E1400</f>
        <v>0</v>
      </c>
      <c r="L1387">
        <f>Data!F1400</f>
        <v>0</v>
      </c>
      <c r="M1387">
        <f>Data!G1400</f>
        <v>0</v>
      </c>
      <c r="N1387">
        <f>Data!H1400</f>
        <v>0</v>
      </c>
      <c r="O1387">
        <f>Data!I1400</f>
        <v>0</v>
      </c>
      <c r="P1387" s="21">
        <f>Data!J1404</f>
        <v>0</v>
      </c>
      <c r="Q1387">
        <f>Data!K1404</f>
        <v>0</v>
      </c>
      <c r="R1387">
        <f>Data!L1404</f>
        <v>0</v>
      </c>
      <c r="S1387">
        <f>Data!M1404</f>
        <v>0</v>
      </c>
      <c r="T1387">
        <f>Data!N1404</f>
        <v>0</v>
      </c>
      <c r="U1387">
        <f>Data!O1404</f>
        <v>0</v>
      </c>
      <c r="V1387" s="33">
        <f>Data!P1402</f>
        <v>0</v>
      </c>
    </row>
    <row r="1388" spans="7:22" x14ac:dyDescent="0.25">
      <c r="G1388">
        <f>Data!A1401</f>
        <v>0</v>
      </c>
      <c r="H1388" s="21">
        <f>Data!B1401</f>
        <v>0</v>
      </c>
      <c r="I1388" s="21">
        <f>Data!C1401</f>
        <v>0</v>
      </c>
      <c r="J1388">
        <f>Data!D1401</f>
        <v>0</v>
      </c>
      <c r="K1388">
        <f>Data!E1401</f>
        <v>0</v>
      </c>
      <c r="L1388">
        <f>Data!F1401</f>
        <v>0</v>
      </c>
      <c r="M1388">
        <f>Data!G1401</f>
        <v>0</v>
      </c>
      <c r="N1388">
        <f>Data!H1401</f>
        <v>0</v>
      </c>
      <c r="O1388">
        <f>Data!I1401</f>
        <v>0</v>
      </c>
      <c r="P1388" s="21">
        <f>Data!J1405</f>
        <v>0</v>
      </c>
      <c r="Q1388">
        <f>Data!K1405</f>
        <v>0</v>
      </c>
      <c r="R1388">
        <f>Data!L1405</f>
        <v>0</v>
      </c>
      <c r="S1388">
        <f>Data!M1405</f>
        <v>0</v>
      </c>
      <c r="T1388">
        <f>Data!N1405</f>
        <v>0</v>
      </c>
      <c r="U1388">
        <f>Data!O1405</f>
        <v>0</v>
      </c>
      <c r="V1388" s="33">
        <f>Data!P1403</f>
        <v>0</v>
      </c>
    </row>
    <row r="1389" spans="7:22" x14ac:dyDescent="0.25">
      <c r="G1389">
        <f>Data!A1402</f>
        <v>0</v>
      </c>
      <c r="H1389" s="21">
        <f>Data!B1402</f>
        <v>0</v>
      </c>
      <c r="I1389" s="21">
        <f>Data!C1402</f>
        <v>0</v>
      </c>
      <c r="J1389">
        <f>Data!D1402</f>
        <v>0</v>
      </c>
      <c r="K1389">
        <f>Data!E1402</f>
        <v>0</v>
      </c>
      <c r="L1389">
        <f>Data!F1402</f>
        <v>0</v>
      </c>
      <c r="M1389">
        <f>Data!G1402</f>
        <v>0</v>
      </c>
      <c r="N1389">
        <f>Data!H1402</f>
        <v>0</v>
      </c>
      <c r="O1389">
        <f>Data!I1402</f>
        <v>0</v>
      </c>
      <c r="P1389" s="21">
        <f>Data!J1406</f>
        <v>0</v>
      </c>
      <c r="Q1389">
        <f>Data!K1406</f>
        <v>0</v>
      </c>
      <c r="R1389">
        <f>Data!L1406</f>
        <v>0</v>
      </c>
      <c r="S1389">
        <f>Data!M1406</f>
        <v>0</v>
      </c>
      <c r="T1389">
        <f>Data!N1406</f>
        <v>0</v>
      </c>
      <c r="U1389">
        <f>Data!O1406</f>
        <v>0</v>
      </c>
      <c r="V1389" s="33">
        <f>Data!P1404</f>
        <v>0</v>
      </c>
    </row>
    <row r="1390" spans="7:22" x14ac:dyDescent="0.25">
      <c r="G1390">
        <f>Data!A1403</f>
        <v>0</v>
      </c>
      <c r="H1390" s="21">
        <f>Data!B1403</f>
        <v>0</v>
      </c>
      <c r="I1390" s="21">
        <f>Data!C1403</f>
        <v>0</v>
      </c>
      <c r="J1390">
        <f>Data!D1403</f>
        <v>0</v>
      </c>
      <c r="K1390">
        <f>Data!E1403</f>
        <v>0</v>
      </c>
      <c r="L1390">
        <f>Data!F1403</f>
        <v>0</v>
      </c>
      <c r="M1390">
        <f>Data!G1403</f>
        <v>0</v>
      </c>
      <c r="N1390">
        <f>Data!H1403</f>
        <v>0</v>
      </c>
      <c r="O1390">
        <f>Data!I1403</f>
        <v>0</v>
      </c>
      <c r="P1390" s="21">
        <f>Data!J1407</f>
        <v>0</v>
      </c>
      <c r="Q1390">
        <f>Data!K1407</f>
        <v>0</v>
      </c>
      <c r="R1390">
        <f>Data!L1407</f>
        <v>0</v>
      </c>
      <c r="S1390">
        <f>Data!M1407</f>
        <v>0</v>
      </c>
      <c r="T1390">
        <f>Data!N1407</f>
        <v>0</v>
      </c>
      <c r="U1390">
        <f>Data!O1407</f>
        <v>0</v>
      </c>
      <c r="V1390" s="33">
        <f>Data!P1405</f>
        <v>0</v>
      </c>
    </row>
    <row r="1391" spans="7:22" x14ac:dyDescent="0.25">
      <c r="G1391">
        <f>Data!A1404</f>
        <v>0</v>
      </c>
      <c r="H1391" s="21">
        <f>Data!B1404</f>
        <v>0</v>
      </c>
      <c r="I1391" s="21">
        <f>Data!C1404</f>
        <v>0</v>
      </c>
      <c r="J1391">
        <f>Data!D1404</f>
        <v>0</v>
      </c>
      <c r="K1391">
        <f>Data!E1404</f>
        <v>0</v>
      </c>
      <c r="L1391">
        <f>Data!F1404</f>
        <v>0</v>
      </c>
      <c r="M1391">
        <f>Data!G1404</f>
        <v>0</v>
      </c>
      <c r="N1391">
        <f>Data!H1404</f>
        <v>0</v>
      </c>
      <c r="O1391">
        <f>Data!I1404</f>
        <v>0</v>
      </c>
      <c r="P1391" s="21">
        <f>Data!J1408</f>
        <v>0</v>
      </c>
      <c r="Q1391">
        <f>Data!K1408</f>
        <v>0</v>
      </c>
      <c r="R1391">
        <f>Data!L1408</f>
        <v>0</v>
      </c>
      <c r="S1391">
        <f>Data!M1408</f>
        <v>0</v>
      </c>
      <c r="T1391">
        <f>Data!N1408</f>
        <v>0</v>
      </c>
      <c r="U1391">
        <f>Data!O1408</f>
        <v>0</v>
      </c>
      <c r="V1391" s="33">
        <f>Data!P1406</f>
        <v>0</v>
      </c>
    </row>
    <row r="1392" spans="7:22" x14ac:dyDescent="0.25">
      <c r="G1392">
        <f>Data!A1405</f>
        <v>0</v>
      </c>
      <c r="H1392" s="21">
        <f>Data!B1405</f>
        <v>0</v>
      </c>
      <c r="I1392" s="21">
        <f>Data!C1405</f>
        <v>0</v>
      </c>
      <c r="J1392">
        <f>Data!D1405</f>
        <v>0</v>
      </c>
      <c r="K1392">
        <f>Data!E1405</f>
        <v>0</v>
      </c>
      <c r="L1392">
        <f>Data!F1405</f>
        <v>0</v>
      </c>
      <c r="M1392">
        <f>Data!G1405</f>
        <v>0</v>
      </c>
      <c r="N1392">
        <f>Data!H1405</f>
        <v>0</v>
      </c>
      <c r="O1392">
        <f>Data!I1405</f>
        <v>0</v>
      </c>
      <c r="P1392" s="21">
        <f>Data!J1409</f>
        <v>0</v>
      </c>
      <c r="Q1392">
        <f>Data!K1409</f>
        <v>0</v>
      </c>
      <c r="R1392">
        <f>Data!L1409</f>
        <v>0</v>
      </c>
      <c r="S1392">
        <f>Data!M1409</f>
        <v>0</v>
      </c>
      <c r="T1392">
        <f>Data!N1409</f>
        <v>0</v>
      </c>
      <c r="U1392">
        <f>Data!O1409</f>
        <v>0</v>
      </c>
      <c r="V1392" s="33">
        <f>Data!P1407</f>
        <v>0</v>
      </c>
    </row>
    <row r="1393" spans="7:22" x14ac:dyDescent="0.25">
      <c r="G1393">
        <f>Data!A1406</f>
        <v>0</v>
      </c>
      <c r="H1393" s="21">
        <f>Data!B1406</f>
        <v>0</v>
      </c>
      <c r="I1393" s="21">
        <f>Data!C1406</f>
        <v>0</v>
      </c>
      <c r="J1393">
        <f>Data!D1406</f>
        <v>0</v>
      </c>
      <c r="K1393">
        <f>Data!E1406</f>
        <v>0</v>
      </c>
      <c r="L1393">
        <f>Data!F1406</f>
        <v>0</v>
      </c>
      <c r="M1393">
        <f>Data!G1406</f>
        <v>0</v>
      </c>
      <c r="N1393">
        <f>Data!H1406</f>
        <v>0</v>
      </c>
      <c r="O1393">
        <f>Data!I1406</f>
        <v>0</v>
      </c>
      <c r="P1393" s="21">
        <f>Data!J1410</f>
        <v>0</v>
      </c>
      <c r="Q1393">
        <f>Data!K1410</f>
        <v>0</v>
      </c>
      <c r="R1393">
        <f>Data!L1410</f>
        <v>0</v>
      </c>
      <c r="S1393">
        <f>Data!M1410</f>
        <v>0</v>
      </c>
      <c r="T1393">
        <f>Data!N1410</f>
        <v>0</v>
      </c>
      <c r="U1393">
        <f>Data!O1410</f>
        <v>0</v>
      </c>
      <c r="V1393" s="33">
        <f>Data!P1408</f>
        <v>0</v>
      </c>
    </row>
    <row r="1394" spans="7:22" x14ac:dyDescent="0.25">
      <c r="G1394">
        <f>Data!A1407</f>
        <v>0</v>
      </c>
      <c r="H1394" s="21">
        <f>Data!B1407</f>
        <v>0</v>
      </c>
      <c r="I1394" s="21">
        <f>Data!C1407</f>
        <v>0</v>
      </c>
      <c r="J1394">
        <f>Data!D1407</f>
        <v>0</v>
      </c>
      <c r="K1394">
        <f>Data!E1407</f>
        <v>0</v>
      </c>
      <c r="L1394">
        <f>Data!F1407</f>
        <v>0</v>
      </c>
      <c r="M1394">
        <f>Data!G1407</f>
        <v>0</v>
      </c>
      <c r="N1394">
        <f>Data!H1407</f>
        <v>0</v>
      </c>
      <c r="O1394">
        <f>Data!I1407</f>
        <v>0</v>
      </c>
      <c r="P1394" s="21">
        <f>Data!J1411</f>
        <v>0</v>
      </c>
      <c r="Q1394">
        <f>Data!K1411</f>
        <v>0</v>
      </c>
      <c r="R1394">
        <f>Data!L1411</f>
        <v>0</v>
      </c>
      <c r="S1394">
        <f>Data!M1411</f>
        <v>0</v>
      </c>
      <c r="T1394">
        <f>Data!N1411</f>
        <v>0</v>
      </c>
      <c r="U1394">
        <f>Data!O1411</f>
        <v>0</v>
      </c>
      <c r="V1394" s="33">
        <f>Data!P1409</f>
        <v>0</v>
      </c>
    </row>
    <row r="1395" spans="7:22" x14ac:dyDescent="0.25">
      <c r="G1395">
        <f>Data!A1408</f>
        <v>0</v>
      </c>
      <c r="H1395" s="21">
        <f>Data!B1408</f>
        <v>0</v>
      </c>
      <c r="I1395" s="21">
        <f>Data!C1408</f>
        <v>0</v>
      </c>
      <c r="J1395">
        <f>Data!D1408</f>
        <v>0</v>
      </c>
      <c r="K1395">
        <f>Data!E1408</f>
        <v>0</v>
      </c>
      <c r="L1395">
        <f>Data!F1408</f>
        <v>0</v>
      </c>
      <c r="M1395">
        <f>Data!G1408</f>
        <v>0</v>
      </c>
      <c r="N1395">
        <f>Data!H1408</f>
        <v>0</v>
      </c>
      <c r="O1395">
        <f>Data!I1408</f>
        <v>0</v>
      </c>
      <c r="P1395" s="21">
        <f>Data!J1412</f>
        <v>0</v>
      </c>
      <c r="Q1395">
        <f>Data!K1412</f>
        <v>0</v>
      </c>
      <c r="R1395">
        <f>Data!L1412</f>
        <v>0</v>
      </c>
      <c r="S1395">
        <f>Data!M1412</f>
        <v>0</v>
      </c>
      <c r="T1395">
        <f>Data!N1412</f>
        <v>0</v>
      </c>
      <c r="U1395">
        <f>Data!O1412</f>
        <v>0</v>
      </c>
      <c r="V1395" s="33">
        <f>Data!P1410</f>
        <v>0</v>
      </c>
    </row>
    <row r="1396" spans="7:22" x14ac:dyDescent="0.25">
      <c r="G1396">
        <f>Data!A1409</f>
        <v>0</v>
      </c>
      <c r="H1396" s="21">
        <f>Data!B1409</f>
        <v>0</v>
      </c>
      <c r="I1396" s="21">
        <f>Data!C1409</f>
        <v>0</v>
      </c>
      <c r="J1396">
        <f>Data!D1409</f>
        <v>0</v>
      </c>
      <c r="K1396">
        <f>Data!E1409</f>
        <v>0</v>
      </c>
      <c r="L1396">
        <f>Data!F1409</f>
        <v>0</v>
      </c>
      <c r="M1396">
        <f>Data!G1409</f>
        <v>0</v>
      </c>
      <c r="N1396">
        <f>Data!H1409</f>
        <v>0</v>
      </c>
      <c r="O1396">
        <f>Data!I1409</f>
        <v>0</v>
      </c>
      <c r="P1396" s="21">
        <f>Data!J1413</f>
        <v>0</v>
      </c>
      <c r="Q1396">
        <f>Data!K1413</f>
        <v>0</v>
      </c>
      <c r="R1396">
        <f>Data!L1413</f>
        <v>0</v>
      </c>
      <c r="S1396">
        <f>Data!M1413</f>
        <v>0</v>
      </c>
      <c r="T1396">
        <f>Data!N1413</f>
        <v>0</v>
      </c>
      <c r="U1396">
        <f>Data!O1413</f>
        <v>0</v>
      </c>
      <c r="V1396" s="33">
        <f>Data!P1411</f>
        <v>0</v>
      </c>
    </row>
    <row r="1397" spans="7:22" x14ac:dyDescent="0.25">
      <c r="G1397">
        <f>Data!A1410</f>
        <v>0</v>
      </c>
      <c r="H1397" s="21">
        <f>Data!B1410</f>
        <v>0</v>
      </c>
      <c r="I1397" s="21">
        <f>Data!C1410</f>
        <v>0</v>
      </c>
      <c r="J1397">
        <f>Data!D1410</f>
        <v>0</v>
      </c>
      <c r="K1397">
        <f>Data!E1410</f>
        <v>0</v>
      </c>
      <c r="L1397">
        <f>Data!F1410</f>
        <v>0</v>
      </c>
      <c r="M1397">
        <f>Data!G1410</f>
        <v>0</v>
      </c>
      <c r="N1397">
        <f>Data!H1410</f>
        <v>0</v>
      </c>
      <c r="O1397">
        <f>Data!I1410</f>
        <v>0</v>
      </c>
      <c r="P1397" s="21">
        <f>Data!J1414</f>
        <v>0</v>
      </c>
      <c r="Q1397">
        <f>Data!K1414</f>
        <v>0</v>
      </c>
      <c r="R1397">
        <f>Data!L1414</f>
        <v>0</v>
      </c>
      <c r="S1397">
        <f>Data!M1414</f>
        <v>0</v>
      </c>
      <c r="T1397">
        <f>Data!N1414</f>
        <v>0</v>
      </c>
      <c r="U1397">
        <f>Data!O1414</f>
        <v>0</v>
      </c>
      <c r="V1397" s="33">
        <f>Data!P1412</f>
        <v>0</v>
      </c>
    </row>
    <row r="1398" spans="7:22" x14ac:dyDescent="0.25">
      <c r="G1398">
        <f>Data!A1411</f>
        <v>0</v>
      </c>
      <c r="H1398" s="21">
        <f>Data!B1411</f>
        <v>0</v>
      </c>
      <c r="I1398" s="21">
        <f>Data!C1411</f>
        <v>0</v>
      </c>
      <c r="J1398">
        <f>Data!D1411</f>
        <v>0</v>
      </c>
      <c r="K1398">
        <f>Data!E1411</f>
        <v>0</v>
      </c>
      <c r="L1398">
        <f>Data!F1411</f>
        <v>0</v>
      </c>
      <c r="M1398">
        <f>Data!G1411</f>
        <v>0</v>
      </c>
      <c r="N1398">
        <f>Data!H1411</f>
        <v>0</v>
      </c>
      <c r="O1398">
        <f>Data!I1411</f>
        <v>0</v>
      </c>
      <c r="P1398" s="21">
        <f>Data!J1415</f>
        <v>0</v>
      </c>
      <c r="Q1398">
        <f>Data!K1415</f>
        <v>0</v>
      </c>
      <c r="R1398">
        <f>Data!L1415</f>
        <v>0</v>
      </c>
      <c r="S1398">
        <f>Data!M1415</f>
        <v>0</v>
      </c>
      <c r="T1398">
        <f>Data!N1415</f>
        <v>0</v>
      </c>
      <c r="U1398">
        <f>Data!O1415</f>
        <v>0</v>
      </c>
      <c r="V1398" s="33">
        <f>Data!P1413</f>
        <v>0</v>
      </c>
    </row>
    <row r="1399" spans="7:22" x14ac:dyDescent="0.25">
      <c r="G1399">
        <f>Data!A1412</f>
        <v>0</v>
      </c>
      <c r="H1399" s="21">
        <f>Data!B1412</f>
        <v>0</v>
      </c>
      <c r="I1399" s="21">
        <f>Data!C1412</f>
        <v>0</v>
      </c>
      <c r="J1399">
        <f>Data!D1412</f>
        <v>0</v>
      </c>
      <c r="K1399">
        <f>Data!E1412</f>
        <v>0</v>
      </c>
      <c r="L1399">
        <f>Data!F1412</f>
        <v>0</v>
      </c>
      <c r="M1399">
        <f>Data!G1412</f>
        <v>0</v>
      </c>
      <c r="N1399">
        <f>Data!H1412</f>
        <v>0</v>
      </c>
      <c r="O1399">
        <f>Data!I1412</f>
        <v>0</v>
      </c>
      <c r="P1399" s="21">
        <f>Data!J1416</f>
        <v>0</v>
      </c>
      <c r="Q1399">
        <f>Data!K1416</f>
        <v>0</v>
      </c>
      <c r="R1399">
        <f>Data!L1416</f>
        <v>0</v>
      </c>
      <c r="S1399">
        <f>Data!M1416</f>
        <v>0</v>
      </c>
      <c r="T1399">
        <f>Data!N1416</f>
        <v>0</v>
      </c>
      <c r="U1399">
        <f>Data!O1416</f>
        <v>0</v>
      </c>
      <c r="V1399" s="33">
        <f>Data!P1414</f>
        <v>0</v>
      </c>
    </row>
    <row r="1400" spans="7:22" x14ac:dyDescent="0.25">
      <c r="G1400">
        <f>Data!A1413</f>
        <v>0</v>
      </c>
      <c r="H1400" s="21">
        <f>Data!B1413</f>
        <v>0</v>
      </c>
      <c r="I1400" s="21">
        <f>Data!C1413</f>
        <v>0</v>
      </c>
      <c r="J1400">
        <f>Data!D1413</f>
        <v>0</v>
      </c>
      <c r="K1400">
        <f>Data!E1413</f>
        <v>0</v>
      </c>
      <c r="L1400">
        <f>Data!F1413</f>
        <v>0</v>
      </c>
      <c r="M1400">
        <f>Data!G1413</f>
        <v>0</v>
      </c>
      <c r="N1400">
        <f>Data!H1413</f>
        <v>0</v>
      </c>
      <c r="O1400">
        <f>Data!I1413</f>
        <v>0</v>
      </c>
      <c r="P1400" s="21">
        <f>Data!J1417</f>
        <v>0</v>
      </c>
      <c r="Q1400">
        <f>Data!K1417</f>
        <v>0</v>
      </c>
      <c r="R1400">
        <f>Data!L1417</f>
        <v>0</v>
      </c>
      <c r="S1400">
        <f>Data!M1417</f>
        <v>0</v>
      </c>
      <c r="T1400">
        <f>Data!N1417</f>
        <v>0</v>
      </c>
      <c r="U1400">
        <f>Data!O1417</f>
        <v>0</v>
      </c>
      <c r="V1400" s="33">
        <f>Data!P1415</f>
        <v>0</v>
      </c>
    </row>
    <row r="1401" spans="7:22" x14ac:dyDescent="0.25">
      <c r="G1401">
        <f>Data!A1414</f>
        <v>0</v>
      </c>
      <c r="H1401" s="21">
        <f>Data!B1414</f>
        <v>0</v>
      </c>
      <c r="I1401" s="21">
        <f>Data!C1414</f>
        <v>0</v>
      </c>
      <c r="J1401">
        <f>Data!D1414</f>
        <v>0</v>
      </c>
      <c r="K1401">
        <f>Data!E1414</f>
        <v>0</v>
      </c>
      <c r="L1401">
        <f>Data!F1414</f>
        <v>0</v>
      </c>
      <c r="M1401">
        <f>Data!G1414</f>
        <v>0</v>
      </c>
      <c r="N1401">
        <f>Data!H1414</f>
        <v>0</v>
      </c>
      <c r="O1401">
        <f>Data!I1414</f>
        <v>0</v>
      </c>
      <c r="P1401" s="21">
        <f>Data!J1418</f>
        <v>0</v>
      </c>
      <c r="Q1401">
        <f>Data!K1418</f>
        <v>0</v>
      </c>
      <c r="R1401">
        <f>Data!L1418</f>
        <v>0</v>
      </c>
      <c r="S1401">
        <f>Data!M1418</f>
        <v>0</v>
      </c>
      <c r="T1401">
        <f>Data!N1418</f>
        <v>0</v>
      </c>
      <c r="U1401">
        <f>Data!O1418</f>
        <v>0</v>
      </c>
      <c r="V1401" s="33">
        <f>Data!P1416</f>
        <v>0</v>
      </c>
    </row>
    <row r="1402" spans="7:22" x14ac:dyDescent="0.25">
      <c r="G1402">
        <f>Data!A1415</f>
        <v>0</v>
      </c>
      <c r="H1402" s="21">
        <f>Data!B1415</f>
        <v>0</v>
      </c>
      <c r="I1402" s="21">
        <f>Data!C1415</f>
        <v>0</v>
      </c>
      <c r="J1402">
        <f>Data!D1415</f>
        <v>0</v>
      </c>
      <c r="K1402">
        <f>Data!E1415</f>
        <v>0</v>
      </c>
      <c r="L1402">
        <f>Data!F1415</f>
        <v>0</v>
      </c>
      <c r="M1402">
        <f>Data!G1415</f>
        <v>0</v>
      </c>
      <c r="N1402">
        <f>Data!H1415</f>
        <v>0</v>
      </c>
      <c r="O1402">
        <f>Data!I1415</f>
        <v>0</v>
      </c>
      <c r="P1402" s="21">
        <f>Data!J1419</f>
        <v>0</v>
      </c>
      <c r="Q1402">
        <f>Data!K1419</f>
        <v>0</v>
      </c>
      <c r="R1402">
        <f>Data!L1419</f>
        <v>0</v>
      </c>
      <c r="S1402">
        <f>Data!M1419</f>
        <v>0</v>
      </c>
      <c r="T1402">
        <f>Data!N1419</f>
        <v>0</v>
      </c>
      <c r="U1402">
        <f>Data!O1419</f>
        <v>0</v>
      </c>
      <c r="V1402" s="33">
        <f>Data!P1417</f>
        <v>0</v>
      </c>
    </row>
    <row r="1403" spans="7:22" x14ac:dyDescent="0.25">
      <c r="G1403">
        <f>Data!A1416</f>
        <v>0</v>
      </c>
      <c r="H1403" s="21">
        <f>Data!B1416</f>
        <v>0</v>
      </c>
      <c r="I1403" s="21">
        <f>Data!C1416</f>
        <v>0</v>
      </c>
      <c r="J1403">
        <f>Data!D1416</f>
        <v>0</v>
      </c>
      <c r="K1403">
        <f>Data!E1416</f>
        <v>0</v>
      </c>
      <c r="L1403">
        <f>Data!F1416</f>
        <v>0</v>
      </c>
      <c r="M1403">
        <f>Data!G1416</f>
        <v>0</v>
      </c>
      <c r="N1403">
        <f>Data!H1416</f>
        <v>0</v>
      </c>
      <c r="O1403">
        <f>Data!I1416</f>
        <v>0</v>
      </c>
      <c r="P1403" s="21">
        <f>Data!J1420</f>
        <v>0</v>
      </c>
      <c r="Q1403">
        <f>Data!K1420</f>
        <v>0</v>
      </c>
      <c r="R1403">
        <f>Data!L1420</f>
        <v>0</v>
      </c>
      <c r="S1403">
        <f>Data!M1420</f>
        <v>0</v>
      </c>
      <c r="T1403">
        <f>Data!N1420</f>
        <v>0</v>
      </c>
      <c r="U1403">
        <f>Data!O1420</f>
        <v>0</v>
      </c>
      <c r="V1403" s="33">
        <f>Data!P1418</f>
        <v>0</v>
      </c>
    </row>
    <row r="1404" spans="7:22" x14ac:dyDescent="0.25">
      <c r="G1404">
        <f>Data!A1417</f>
        <v>0</v>
      </c>
      <c r="H1404" s="21">
        <f>Data!B1417</f>
        <v>0</v>
      </c>
      <c r="I1404" s="21">
        <f>Data!C1417</f>
        <v>0</v>
      </c>
      <c r="J1404">
        <f>Data!D1417</f>
        <v>0</v>
      </c>
      <c r="K1404">
        <f>Data!E1417</f>
        <v>0</v>
      </c>
      <c r="L1404">
        <f>Data!F1417</f>
        <v>0</v>
      </c>
      <c r="M1404">
        <f>Data!G1417</f>
        <v>0</v>
      </c>
      <c r="N1404">
        <f>Data!H1417</f>
        <v>0</v>
      </c>
      <c r="O1404">
        <f>Data!I1417</f>
        <v>0</v>
      </c>
      <c r="P1404" s="21">
        <f>Data!J1421</f>
        <v>0</v>
      </c>
      <c r="Q1404">
        <f>Data!K1421</f>
        <v>0</v>
      </c>
      <c r="R1404">
        <f>Data!L1421</f>
        <v>0</v>
      </c>
      <c r="S1404">
        <f>Data!M1421</f>
        <v>0</v>
      </c>
      <c r="T1404">
        <f>Data!N1421</f>
        <v>0</v>
      </c>
      <c r="U1404">
        <f>Data!O1421</f>
        <v>0</v>
      </c>
      <c r="V1404" s="33">
        <f>Data!P1419</f>
        <v>0</v>
      </c>
    </row>
    <row r="1405" spans="7:22" x14ac:dyDescent="0.25">
      <c r="G1405">
        <f>Data!A1418</f>
        <v>0</v>
      </c>
      <c r="H1405" s="21">
        <f>Data!B1418</f>
        <v>0</v>
      </c>
      <c r="I1405" s="21">
        <f>Data!C1418</f>
        <v>0</v>
      </c>
      <c r="J1405">
        <f>Data!D1418</f>
        <v>0</v>
      </c>
      <c r="K1405">
        <f>Data!E1418</f>
        <v>0</v>
      </c>
      <c r="L1405">
        <f>Data!F1418</f>
        <v>0</v>
      </c>
      <c r="M1405">
        <f>Data!G1418</f>
        <v>0</v>
      </c>
      <c r="N1405">
        <f>Data!H1418</f>
        <v>0</v>
      </c>
      <c r="O1405">
        <f>Data!I1418</f>
        <v>0</v>
      </c>
      <c r="P1405" s="21">
        <f>Data!J1422</f>
        <v>0</v>
      </c>
      <c r="Q1405">
        <f>Data!K1422</f>
        <v>0</v>
      </c>
      <c r="R1405">
        <f>Data!L1422</f>
        <v>0</v>
      </c>
      <c r="S1405">
        <f>Data!M1422</f>
        <v>0</v>
      </c>
      <c r="T1405">
        <f>Data!N1422</f>
        <v>0</v>
      </c>
      <c r="U1405">
        <f>Data!O1422</f>
        <v>0</v>
      </c>
      <c r="V1405" s="33">
        <f>Data!P1420</f>
        <v>0</v>
      </c>
    </row>
    <row r="1406" spans="7:22" x14ac:dyDescent="0.25">
      <c r="G1406">
        <f>Data!A1419</f>
        <v>0</v>
      </c>
      <c r="H1406" s="21">
        <f>Data!B1419</f>
        <v>0</v>
      </c>
      <c r="I1406" s="21">
        <f>Data!C1419</f>
        <v>0</v>
      </c>
      <c r="J1406">
        <f>Data!D1419</f>
        <v>0</v>
      </c>
      <c r="K1406">
        <f>Data!E1419</f>
        <v>0</v>
      </c>
      <c r="L1406">
        <f>Data!F1419</f>
        <v>0</v>
      </c>
      <c r="M1406">
        <f>Data!G1419</f>
        <v>0</v>
      </c>
      <c r="N1406">
        <f>Data!H1419</f>
        <v>0</v>
      </c>
      <c r="O1406">
        <f>Data!I1419</f>
        <v>0</v>
      </c>
      <c r="P1406" s="21">
        <f>Data!J1423</f>
        <v>0</v>
      </c>
      <c r="Q1406">
        <f>Data!K1423</f>
        <v>0</v>
      </c>
      <c r="R1406">
        <f>Data!L1423</f>
        <v>0</v>
      </c>
      <c r="S1406">
        <f>Data!M1423</f>
        <v>0</v>
      </c>
      <c r="T1406">
        <f>Data!N1423</f>
        <v>0</v>
      </c>
      <c r="U1406">
        <f>Data!O1423</f>
        <v>0</v>
      </c>
      <c r="V1406" s="33">
        <f>Data!P1421</f>
        <v>0</v>
      </c>
    </row>
    <row r="1407" spans="7:22" x14ac:dyDescent="0.25">
      <c r="G1407">
        <f>Data!A1420</f>
        <v>0</v>
      </c>
      <c r="H1407" s="21">
        <f>Data!B1420</f>
        <v>0</v>
      </c>
      <c r="I1407" s="21">
        <f>Data!C1420</f>
        <v>0</v>
      </c>
      <c r="J1407">
        <f>Data!D1420</f>
        <v>0</v>
      </c>
      <c r="K1407">
        <f>Data!E1420</f>
        <v>0</v>
      </c>
      <c r="L1407">
        <f>Data!F1420</f>
        <v>0</v>
      </c>
      <c r="M1407">
        <f>Data!G1420</f>
        <v>0</v>
      </c>
      <c r="N1407">
        <f>Data!H1420</f>
        <v>0</v>
      </c>
      <c r="O1407">
        <f>Data!I1420</f>
        <v>0</v>
      </c>
      <c r="P1407" s="21">
        <f>Data!J1424</f>
        <v>0</v>
      </c>
      <c r="Q1407">
        <f>Data!K1424</f>
        <v>0</v>
      </c>
      <c r="R1407">
        <f>Data!L1424</f>
        <v>0</v>
      </c>
      <c r="S1407">
        <f>Data!M1424</f>
        <v>0</v>
      </c>
      <c r="T1407">
        <f>Data!N1424</f>
        <v>0</v>
      </c>
      <c r="U1407">
        <f>Data!O1424</f>
        <v>0</v>
      </c>
      <c r="V1407" s="33">
        <f>Data!P1422</f>
        <v>0</v>
      </c>
    </row>
    <row r="1408" spans="7:22" x14ac:dyDescent="0.25">
      <c r="G1408">
        <f>Data!A1421</f>
        <v>0</v>
      </c>
      <c r="H1408" s="21">
        <f>Data!B1421</f>
        <v>0</v>
      </c>
      <c r="I1408" s="21">
        <f>Data!C1421</f>
        <v>0</v>
      </c>
      <c r="J1408">
        <f>Data!D1421</f>
        <v>0</v>
      </c>
      <c r="K1408">
        <f>Data!E1421</f>
        <v>0</v>
      </c>
      <c r="L1408">
        <f>Data!F1421</f>
        <v>0</v>
      </c>
      <c r="M1408">
        <f>Data!G1421</f>
        <v>0</v>
      </c>
      <c r="N1408">
        <f>Data!H1421</f>
        <v>0</v>
      </c>
      <c r="O1408">
        <f>Data!I1421</f>
        <v>0</v>
      </c>
      <c r="P1408" s="21">
        <f>Data!J1425</f>
        <v>0</v>
      </c>
      <c r="Q1408">
        <f>Data!K1425</f>
        <v>0</v>
      </c>
      <c r="R1408">
        <f>Data!L1425</f>
        <v>0</v>
      </c>
      <c r="S1408">
        <f>Data!M1425</f>
        <v>0</v>
      </c>
      <c r="T1408">
        <f>Data!N1425</f>
        <v>0</v>
      </c>
      <c r="U1408">
        <f>Data!O1425</f>
        <v>0</v>
      </c>
      <c r="V1408" s="33">
        <f>Data!P1423</f>
        <v>0</v>
      </c>
    </row>
    <row r="1409" spans="7:22" x14ac:dyDescent="0.25">
      <c r="G1409">
        <f>Data!A1422</f>
        <v>0</v>
      </c>
      <c r="H1409" s="21">
        <f>Data!B1422</f>
        <v>0</v>
      </c>
      <c r="I1409" s="21">
        <f>Data!C1422</f>
        <v>0</v>
      </c>
      <c r="J1409">
        <f>Data!D1422</f>
        <v>0</v>
      </c>
      <c r="K1409">
        <f>Data!E1422</f>
        <v>0</v>
      </c>
      <c r="L1409">
        <f>Data!F1422</f>
        <v>0</v>
      </c>
      <c r="M1409">
        <f>Data!G1422</f>
        <v>0</v>
      </c>
      <c r="N1409">
        <f>Data!H1422</f>
        <v>0</v>
      </c>
      <c r="O1409">
        <f>Data!I1422</f>
        <v>0</v>
      </c>
      <c r="P1409" s="21">
        <f>Data!J1426</f>
        <v>0</v>
      </c>
      <c r="Q1409">
        <f>Data!K1426</f>
        <v>0</v>
      </c>
      <c r="R1409">
        <f>Data!L1426</f>
        <v>0</v>
      </c>
      <c r="S1409">
        <f>Data!M1426</f>
        <v>0</v>
      </c>
      <c r="T1409">
        <f>Data!N1426</f>
        <v>0</v>
      </c>
      <c r="U1409">
        <f>Data!O1426</f>
        <v>0</v>
      </c>
      <c r="V1409" s="33">
        <f>Data!P1424</f>
        <v>0</v>
      </c>
    </row>
    <row r="1410" spans="7:22" x14ac:dyDescent="0.25">
      <c r="G1410">
        <f>Data!A1423</f>
        <v>0</v>
      </c>
      <c r="H1410" s="21">
        <f>Data!B1423</f>
        <v>0</v>
      </c>
      <c r="I1410" s="21">
        <f>Data!C1423</f>
        <v>0</v>
      </c>
      <c r="J1410">
        <f>Data!D1423</f>
        <v>0</v>
      </c>
      <c r="K1410">
        <f>Data!E1423</f>
        <v>0</v>
      </c>
      <c r="L1410">
        <f>Data!F1423</f>
        <v>0</v>
      </c>
      <c r="M1410">
        <f>Data!G1423</f>
        <v>0</v>
      </c>
      <c r="N1410">
        <f>Data!H1423</f>
        <v>0</v>
      </c>
      <c r="O1410">
        <f>Data!I1423</f>
        <v>0</v>
      </c>
      <c r="P1410" s="21">
        <f>Data!J1427</f>
        <v>0</v>
      </c>
      <c r="Q1410">
        <f>Data!K1427</f>
        <v>0</v>
      </c>
      <c r="R1410">
        <f>Data!L1427</f>
        <v>0</v>
      </c>
      <c r="S1410">
        <f>Data!M1427</f>
        <v>0</v>
      </c>
      <c r="T1410">
        <f>Data!N1427</f>
        <v>0</v>
      </c>
      <c r="U1410">
        <f>Data!O1427</f>
        <v>0</v>
      </c>
      <c r="V1410" s="33">
        <f>Data!P1425</f>
        <v>0</v>
      </c>
    </row>
    <row r="1411" spans="7:22" x14ac:dyDescent="0.25">
      <c r="G1411">
        <f>Data!A1424</f>
        <v>0</v>
      </c>
      <c r="H1411" s="21">
        <f>Data!B1424</f>
        <v>0</v>
      </c>
      <c r="I1411" s="21">
        <f>Data!C1424</f>
        <v>0</v>
      </c>
      <c r="J1411">
        <f>Data!D1424</f>
        <v>0</v>
      </c>
      <c r="K1411">
        <f>Data!E1424</f>
        <v>0</v>
      </c>
      <c r="L1411">
        <f>Data!F1424</f>
        <v>0</v>
      </c>
      <c r="M1411">
        <f>Data!G1424</f>
        <v>0</v>
      </c>
      <c r="N1411">
        <f>Data!H1424</f>
        <v>0</v>
      </c>
      <c r="O1411">
        <f>Data!I1424</f>
        <v>0</v>
      </c>
      <c r="P1411" s="21">
        <f>Data!J1428</f>
        <v>0</v>
      </c>
      <c r="Q1411">
        <f>Data!K1428</f>
        <v>0</v>
      </c>
      <c r="R1411">
        <f>Data!L1428</f>
        <v>0</v>
      </c>
      <c r="S1411">
        <f>Data!M1428</f>
        <v>0</v>
      </c>
      <c r="T1411">
        <f>Data!N1428</f>
        <v>0</v>
      </c>
      <c r="U1411">
        <f>Data!O1428</f>
        <v>0</v>
      </c>
      <c r="V1411" s="33">
        <f>Data!P1426</f>
        <v>0</v>
      </c>
    </row>
    <row r="1412" spans="7:22" x14ac:dyDescent="0.25">
      <c r="G1412">
        <f>Data!A1425</f>
        <v>0</v>
      </c>
      <c r="H1412" s="21">
        <f>Data!B1425</f>
        <v>0</v>
      </c>
      <c r="I1412" s="21">
        <f>Data!C1425</f>
        <v>0</v>
      </c>
      <c r="J1412">
        <f>Data!D1425</f>
        <v>0</v>
      </c>
      <c r="K1412">
        <f>Data!E1425</f>
        <v>0</v>
      </c>
      <c r="L1412">
        <f>Data!F1425</f>
        <v>0</v>
      </c>
      <c r="M1412">
        <f>Data!G1425</f>
        <v>0</v>
      </c>
      <c r="N1412">
        <f>Data!H1425</f>
        <v>0</v>
      </c>
      <c r="O1412">
        <f>Data!I1425</f>
        <v>0</v>
      </c>
      <c r="P1412" s="21">
        <f>Data!J1429</f>
        <v>0</v>
      </c>
      <c r="Q1412">
        <f>Data!K1429</f>
        <v>0</v>
      </c>
      <c r="R1412">
        <f>Data!L1429</f>
        <v>0</v>
      </c>
      <c r="S1412">
        <f>Data!M1429</f>
        <v>0</v>
      </c>
      <c r="T1412">
        <f>Data!N1429</f>
        <v>0</v>
      </c>
      <c r="U1412">
        <f>Data!O1429</f>
        <v>0</v>
      </c>
      <c r="V1412" s="33">
        <f>Data!P1427</f>
        <v>0</v>
      </c>
    </row>
    <row r="1413" spans="7:22" x14ac:dyDescent="0.25">
      <c r="G1413">
        <f>Data!A1426</f>
        <v>0</v>
      </c>
      <c r="H1413" s="21">
        <f>Data!B1426</f>
        <v>0</v>
      </c>
      <c r="I1413" s="21">
        <f>Data!C1426</f>
        <v>0</v>
      </c>
      <c r="J1413">
        <f>Data!D1426</f>
        <v>0</v>
      </c>
      <c r="K1413">
        <f>Data!E1426</f>
        <v>0</v>
      </c>
      <c r="L1413">
        <f>Data!F1426</f>
        <v>0</v>
      </c>
      <c r="M1413">
        <f>Data!G1426</f>
        <v>0</v>
      </c>
      <c r="N1413">
        <f>Data!H1426</f>
        <v>0</v>
      </c>
      <c r="O1413">
        <f>Data!I1426</f>
        <v>0</v>
      </c>
      <c r="P1413" s="21">
        <f>Data!J1430</f>
        <v>0</v>
      </c>
      <c r="Q1413">
        <f>Data!K1430</f>
        <v>0</v>
      </c>
      <c r="R1413">
        <f>Data!L1430</f>
        <v>0</v>
      </c>
      <c r="S1413">
        <f>Data!M1430</f>
        <v>0</v>
      </c>
      <c r="T1413">
        <f>Data!N1430</f>
        <v>0</v>
      </c>
      <c r="U1413">
        <f>Data!O1430</f>
        <v>0</v>
      </c>
      <c r="V1413" s="33">
        <f>Data!P1428</f>
        <v>0</v>
      </c>
    </row>
    <row r="1414" spans="7:22" x14ac:dyDescent="0.25">
      <c r="G1414">
        <f>Data!A1427</f>
        <v>0</v>
      </c>
      <c r="H1414" s="21">
        <f>Data!B1427</f>
        <v>0</v>
      </c>
      <c r="I1414" s="21">
        <f>Data!C1427</f>
        <v>0</v>
      </c>
      <c r="J1414">
        <f>Data!D1427</f>
        <v>0</v>
      </c>
      <c r="K1414">
        <f>Data!E1427</f>
        <v>0</v>
      </c>
      <c r="L1414">
        <f>Data!F1427</f>
        <v>0</v>
      </c>
      <c r="M1414">
        <f>Data!G1427</f>
        <v>0</v>
      </c>
      <c r="N1414">
        <f>Data!H1427</f>
        <v>0</v>
      </c>
      <c r="O1414">
        <f>Data!I1427</f>
        <v>0</v>
      </c>
      <c r="P1414" s="21">
        <f>Data!J1431</f>
        <v>0</v>
      </c>
      <c r="Q1414">
        <f>Data!K1431</f>
        <v>0</v>
      </c>
      <c r="R1414">
        <f>Data!L1431</f>
        <v>0</v>
      </c>
      <c r="S1414">
        <f>Data!M1431</f>
        <v>0</v>
      </c>
      <c r="T1414">
        <f>Data!N1431</f>
        <v>0</v>
      </c>
      <c r="U1414">
        <f>Data!O1431</f>
        <v>0</v>
      </c>
      <c r="V1414" s="33">
        <f>Data!P1429</f>
        <v>0</v>
      </c>
    </row>
    <row r="1415" spans="7:22" x14ac:dyDescent="0.25">
      <c r="G1415">
        <f>Data!A1428</f>
        <v>0</v>
      </c>
      <c r="H1415" s="21">
        <f>Data!B1428</f>
        <v>0</v>
      </c>
      <c r="I1415" s="21">
        <f>Data!C1428</f>
        <v>0</v>
      </c>
      <c r="J1415">
        <f>Data!D1428</f>
        <v>0</v>
      </c>
      <c r="K1415">
        <f>Data!E1428</f>
        <v>0</v>
      </c>
      <c r="L1415">
        <f>Data!F1428</f>
        <v>0</v>
      </c>
      <c r="M1415">
        <f>Data!G1428</f>
        <v>0</v>
      </c>
      <c r="N1415">
        <f>Data!H1428</f>
        <v>0</v>
      </c>
      <c r="O1415">
        <f>Data!I1428</f>
        <v>0</v>
      </c>
      <c r="P1415" s="21">
        <f>Data!J1432</f>
        <v>0</v>
      </c>
      <c r="Q1415">
        <f>Data!K1432</f>
        <v>0</v>
      </c>
      <c r="R1415">
        <f>Data!L1432</f>
        <v>0</v>
      </c>
      <c r="S1415">
        <f>Data!M1432</f>
        <v>0</v>
      </c>
      <c r="T1415">
        <f>Data!N1432</f>
        <v>0</v>
      </c>
      <c r="U1415">
        <f>Data!O1432</f>
        <v>0</v>
      </c>
      <c r="V1415" s="33">
        <f>Data!P1430</f>
        <v>0</v>
      </c>
    </row>
    <row r="1416" spans="7:22" x14ac:dyDescent="0.25">
      <c r="G1416">
        <f>Data!A1429</f>
        <v>0</v>
      </c>
      <c r="H1416" s="21">
        <f>Data!B1429</f>
        <v>0</v>
      </c>
      <c r="I1416" s="21">
        <f>Data!C1429</f>
        <v>0</v>
      </c>
      <c r="J1416">
        <f>Data!D1429</f>
        <v>0</v>
      </c>
      <c r="K1416">
        <f>Data!E1429</f>
        <v>0</v>
      </c>
      <c r="L1416">
        <f>Data!F1429</f>
        <v>0</v>
      </c>
      <c r="M1416">
        <f>Data!G1429</f>
        <v>0</v>
      </c>
      <c r="N1416">
        <f>Data!H1429</f>
        <v>0</v>
      </c>
      <c r="O1416">
        <f>Data!I1429</f>
        <v>0</v>
      </c>
      <c r="P1416" s="21">
        <f>Data!J1433</f>
        <v>0</v>
      </c>
      <c r="Q1416">
        <f>Data!K1433</f>
        <v>0</v>
      </c>
      <c r="R1416">
        <f>Data!L1433</f>
        <v>0</v>
      </c>
      <c r="S1416">
        <f>Data!M1433</f>
        <v>0</v>
      </c>
      <c r="T1416">
        <f>Data!N1433</f>
        <v>0</v>
      </c>
      <c r="U1416">
        <f>Data!O1433</f>
        <v>0</v>
      </c>
      <c r="V1416" s="33">
        <f>Data!P1431</f>
        <v>0</v>
      </c>
    </row>
    <row r="1417" spans="7:22" x14ac:dyDescent="0.25">
      <c r="G1417">
        <f>Data!A1430</f>
        <v>0</v>
      </c>
      <c r="H1417" s="21">
        <f>Data!B1430</f>
        <v>0</v>
      </c>
      <c r="I1417" s="21">
        <f>Data!C1430</f>
        <v>0</v>
      </c>
      <c r="J1417">
        <f>Data!D1430</f>
        <v>0</v>
      </c>
      <c r="K1417">
        <f>Data!E1430</f>
        <v>0</v>
      </c>
      <c r="L1417">
        <f>Data!F1430</f>
        <v>0</v>
      </c>
      <c r="M1417">
        <f>Data!G1430</f>
        <v>0</v>
      </c>
      <c r="N1417">
        <f>Data!H1430</f>
        <v>0</v>
      </c>
      <c r="O1417">
        <f>Data!I1430</f>
        <v>0</v>
      </c>
      <c r="P1417" s="21">
        <f>Data!J1434</f>
        <v>0</v>
      </c>
      <c r="Q1417">
        <f>Data!K1434</f>
        <v>0</v>
      </c>
      <c r="R1417">
        <f>Data!L1434</f>
        <v>0</v>
      </c>
      <c r="S1417">
        <f>Data!M1434</f>
        <v>0</v>
      </c>
      <c r="T1417">
        <f>Data!N1434</f>
        <v>0</v>
      </c>
      <c r="U1417">
        <f>Data!O1434</f>
        <v>0</v>
      </c>
      <c r="V1417" s="33">
        <f>Data!P1432</f>
        <v>0</v>
      </c>
    </row>
    <row r="1418" spans="7:22" x14ac:dyDescent="0.25">
      <c r="G1418">
        <f>Data!A1431</f>
        <v>0</v>
      </c>
      <c r="H1418" s="21">
        <f>Data!B1431</f>
        <v>0</v>
      </c>
      <c r="I1418" s="21">
        <f>Data!C1431</f>
        <v>0</v>
      </c>
      <c r="J1418">
        <f>Data!D1431</f>
        <v>0</v>
      </c>
      <c r="K1418">
        <f>Data!E1431</f>
        <v>0</v>
      </c>
      <c r="L1418">
        <f>Data!F1431</f>
        <v>0</v>
      </c>
      <c r="M1418">
        <f>Data!G1431</f>
        <v>0</v>
      </c>
      <c r="N1418">
        <f>Data!H1431</f>
        <v>0</v>
      </c>
      <c r="O1418">
        <f>Data!I1431</f>
        <v>0</v>
      </c>
      <c r="P1418" s="21">
        <f>Data!J1435</f>
        <v>0</v>
      </c>
      <c r="Q1418">
        <f>Data!K1435</f>
        <v>0</v>
      </c>
      <c r="R1418">
        <f>Data!L1435</f>
        <v>0</v>
      </c>
      <c r="S1418">
        <f>Data!M1435</f>
        <v>0</v>
      </c>
      <c r="T1418">
        <f>Data!N1435</f>
        <v>0</v>
      </c>
      <c r="U1418">
        <f>Data!O1435</f>
        <v>0</v>
      </c>
      <c r="V1418" s="33">
        <f>Data!P1433</f>
        <v>0</v>
      </c>
    </row>
    <row r="1419" spans="7:22" x14ac:dyDescent="0.25">
      <c r="G1419">
        <f>Data!A1432</f>
        <v>0</v>
      </c>
      <c r="H1419" s="21">
        <f>Data!B1432</f>
        <v>0</v>
      </c>
      <c r="I1419" s="21">
        <f>Data!C1432</f>
        <v>0</v>
      </c>
      <c r="J1419">
        <f>Data!D1432</f>
        <v>0</v>
      </c>
      <c r="K1419">
        <f>Data!E1432</f>
        <v>0</v>
      </c>
      <c r="L1419">
        <f>Data!F1432</f>
        <v>0</v>
      </c>
      <c r="M1419">
        <f>Data!G1432</f>
        <v>0</v>
      </c>
      <c r="N1419">
        <f>Data!H1432</f>
        <v>0</v>
      </c>
      <c r="O1419">
        <f>Data!I1432</f>
        <v>0</v>
      </c>
      <c r="P1419" s="21">
        <f>Data!J1436</f>
        <v>0</v>
      </c>
      <c r="Q1419">
        <f>Data!K1436</f>
        <v>0</v>
      </c>
      <c r="R1419">
        <f>Data!L1436</f>
        <v>0</v>
      </c>
      <c r="S1419">
        <f>Data!M1436</f>
        <v>0</v>
      </c>
      <c r="T1419">
        <f>Data!N1436</f>
        <v>0</v>
      </c>
      <c r="U1419">
        <f>Data!O1436</f>
        <v>0</v>
      </c>
      <c r="V1419" s="33">
        <f>Data!P1434</f>
        <v>0</v>
      </c>
    </row>
    <row r="1420" spans="7:22" x14ac:dyDescent="0.25">
      <c r="G1420">
        <f>Data!A1433</f>
        <v>0</v>
      </c>
      <c r="H1420" s="21">
        <f>Data!B1433</f>
        <v>0</v>
      </c>
      <c r="I1420" s="21">
        <f>Data!C1433</f>
        <v>0</v>
      </c>
      <c r="J1420">
        <f>Data!D1433</f>
        <v>0</v>
      </c>
      <c r="K1420">
        <f>Data!E1433</f>
        <v>0</v>
      </c>
      <c r="L1420">
        <f>Data!F1433</f>
        <v>0</v>
      </c>
      <c r="M1420">
        <f>Data!G1433</f>
        <v>0</v>
      </c>
      <c r="N1420">
        <f>Data!H1433</f>
        <v>0</v>
      </c>
      <c r="O1420">
        <f>Data!I1433</f>
        <v>0</v>
      </c>
      <c r="P1420" s="21">
        <f>Data!J1437</f>
        <v>0</v>
      </c>
      <c r="Q1420">
        <f>Data!K1437</f>
        <v>0</v>
      </c>
      <c r="R1420">
        <f>Data!L1437</f>
        <v>0</v>
      </c>
      <c r="S1420">
        <f>Data!M1437</f>
        <v>0</v>
      </c>
      <c r="T1420">
        <f>Data!N1437</f>
        <v>0</v>
      </c>
      <c r="U1420">
        <f>Data!O1437</f>
        <v>0</v>
      </c>
      <c r="V1420" s="33">
        <f>Data!P1435</f>
        <v>0</v>
      </c>
    </row>
    <row r="1421" spans="7:22" x14ac:dyDescent="0.25">
      <c r="G1421">
        <f>Data!A1434</f>
        <v>0</v>
      </c>
      <c r="H1421" s="21">
        <f>Data!B1434</f>
        <v>0</v>
      </c>
      <c r="I1421" s="21">
        <f>Data!C1434</f>
        <v>0</v>
      </c>
      <c r="J1421">
        <f>Data!D1434</f>
        <v>0</v>
      </c>
      <c r="K1421">
        <f>Data!E1434</f>
        <v>0</v>
      </c>
      <c r="L1421">
        <f>Data!F1434</f>
        <v>0</v>
      </c>
      <c r="M1421">
        <f>Data!G1434</f>
        <v>0</v>
      </c>
      <c r="N1421">
        <f>Data!H1434</f>
        <v>0</v>
      </c>
      <c r="O1421">
        <f>Data!I1434</f>
        <v>0</v>
      </c>
      <c r="P1421" s="21">
        <f>Data!J1438</f>
        <v>0</v>
      </c>
      <c r="Q1421">
        <f>Data!K1438</f>
        <v>0</v>
      </c>
      <c r="R1421">
        <f>Data!L1438</f>
        <v>0</v>
      </c>
      <c r="S1421">
        <f>Data!M1438</f>
        <v>0</v>
      </c>
      <c r="T1421">
        <f>Data!N1438</f>
        <v>0</v>
      </c>
      <c r="U1421">
        <f>Data!O1438</f>
        <v>0</v>
      </c>
      <c r="V1421" s="33">
        <f>Data!P1436</f>
        <v>0</v>
      </c>
    </row>
    <row r="1422" spans="7:22" x14ac:dyDescent="0.25">
      <c r="G1422">
        <f>Data!A1435</f>
        <v>0</v>
      </c>
      <c r="H1422" s="21">
        <f>Data!B1435</f>
        <v>0</v>
      </c>
      <c r="I1422" s="21">
        <f>Data!C1435</f>
        <v>0</v>
      </c>
      <c r="J1422">
        <f>Data!D1435</f>
        <v>0</v>
      </c>
      <c r="K1422">
        <f>Data!E1435</f>
        <v>0</v>
      </c>
      <c r="L1422">
        <f>Data!F1435</f>
        <v>0</v>
      </c>
      <c r="M1422">
        <f>Data!G1435</f>
        <v>0</v>
      </c>
      <c r="N1422">
        <f>Data!H1435</f>
        <v>0</v>
      </c>
      <c r="O1422">
        <f>Data!I1435</f>
        <v>0</v>
      </c>
      <c r="P1422" s="21">
        <f>Data!J1439</f>
        <v>0</v>
      </c>
      <c r="Q1422">
        <f>Data!K1439</f>
        <v>0</v>
      </c>
      <c r="R1422">
        <f>Data!L1439</f>
        <v>0</v>
      </c>
      <c r="S1422">
        <f>Data!M1439</f>
        <v>0</v>
      </c>
      <c r="T1422">
        <f>Data!N1439</f>
        <v>0</v>
      </c>
      <c r="U1422">
        <f>Data!O1439</f>
        <v>0</v>
      </c>
      <c r="V1422" s="33">
        <f>Data!P1437</f>
        <v>0</v>
      </c>
    </row>
    <row r="1423" spans="7:22" x14ac:dyDescent="0.25">
      <c r="G1423">
        <f>Data!A1436</f>
        <v>0</v>
      </c>
      <c r="H1423" s="21">
        <f>Data!B1436</f>
        <v>0</v>
      </c>
      <c r="I1423" s="21">
        <f>Data!C1436</f>
        <v>0</v>
      </c>
      <c r="J1423">
        <f>Data!D1436</f>
        <v>0</v>
      </c>
      <c r="K1423">
        <f>Data!E1436</f>
        <v>0</v>
      </c>
      <c r="L1423">
        <f>Data!F1436</f>
        <v>0</v>
      </c>
      <c r="M1423">
        <f>Data!G1436</f>
        <v>0</v>
      </c>
      <c r="N1423">
        <f>Data!H1436</f>
        <v>0</v>
      </c>
      <c r="O1423">
        <f>Data!I1436</f>
        <v>0</v>
      </c>
      <c r="P1423" s="21">
        <f>Data!J1440</f>
        <v>0</v>
      </c>
      <c r="Q1423">
        <f>Data!K1440</f>
        <v>0</v>
      </c>
      <c r="R1423">
        <f>Data!L1440</f>
        <v>0</v>
      </c>
      <c r="S1423">
        <f>Data!M1440</f>
        <v>0</v>
      </c>
      <c r="T1423">
        <f>Data!N1440</f>
        <v>0</v>
      </c>
      <c r="U1423">
        <f>Data!O1440</f>
        <v>0</v>
      </c>
      <c r="V1423" s="33">
        <f>Data!P1438</f>
        <v>0</v>
      </c>
    </row>
    <row r="1424" spans="7:22" x14ac:dyDescent="0.25">
      <c r="G1424">
        <f>Data!A1437</f>
        <v>0</v>
      </c>
      <c r="H1424" s="21">
        <f>Data!B1437</f>
        <v>0</v>
      </c>
      <c r="I1424" s="21">
        <f>Data!C1437</f>
        <v>0</v>
      </c>
      <c r="J1424">
        <f>Data!D1437</f>
        <v>0</v>
      </c>
      <c r="K1424">
        <f>Data!E1437</f>
        <v>0</v>
      </c>
      <c r="L1424">
        <f>Data!F1437</f>
        <v>0</v>
      </c>
      <c r="M1424">
        <f>Data!G1437</f>
        <v>0</v>
      </c>
      <c r="N1424">
        <f>Data!H1437</f>
        <v>0</v>
      </c>
      <c r="O1424">
        <f>Data!I1437</f>
        <v>0</v>
      </c>
      <c r="P1424" s="21">
        <f>Data!J1441</f>
        <v>0</v>
      </c>
      <c r="Q1424">
        <f>Data!K1441</f>
        <v>0</v>
      </c>
      <c r="R1424">
        <f>Data!L1441</f>
        <v>0</v>
      </c>
      <c r="S1424">
        <f>Data!M1441</f>
        <v>0</v>
      </c>
      <c r="T1424">
        <f>Data!N1441</f>
        <v>0</v>
      </c>
      <c r="U1424">
        <f>Data!O1441</f>
        <v>0</v>
      </c>
      <c r="V1424" s="33">
        <f>Data!P1439</f>
        <v>0</v>
      </c>
    </row>
    <row r="1425" spans="7:22" x14ac:dyDescent="0.25">
      <c r="G1425">
        <f>Data!A1438</f>
        <v>0</v>
      </c>
      <c r="H1425" s="21">
        <f>Data!B1438</f>
        <v>0</v>
      </c>
      <c r="I1425" s="21">
        <f>Data!C1438</f>
        <v>0</v>
      </c>
      <c r="J1425">
        <f>Data!D1438</f>
        <v>0</v>
      </c>
      <c r="K1425">
        <f>Data!E1438</f>
        <v>0</v>
      </c>
      <c r="L1425">
        <f>Data!F1438</f>
        <v>0</v>
      </c>
      <c r="M1425">
        <f>Data!G1438</f>
        <v>0</v>
      </c>
      <c r="N1425">
        <f>Data!H1438</f>
        <v>0</v>
      </c>
      <c r="O1425">
        <f>Data!I1438</f>
        <v>0</v>
      </c>
      <c r="P1425" s="21">
        <f>Data!J1442</f>
        <v>0</v>
      </c>
      <c r="Q1425">
        <f>Data!K1442</f>
        <v>0</v>
      </c>
      <c r="R1425">
        <f>Data!L1442</f>
        <v>0</v>
      </c>
      <c r="S1425">
        <f>Data!M1442</f>
        <v>0</v>
      </c>
      <c r="T1425">
        <f>Data!N1442</f>
        <v>0</v>
      </c>
      <c r="U1425">
        <f>Data!O1442</f>
        <v>0</v>
      </c>
      <c r="V1425" s="33">
        <f>Data!P1440</f>
        <v>0</v>
      </c>
    </row>
    <row r="1426" spans="7:22" x14ac:dyDescent="0.25">
      <c r="G1426">
        <f>Data!A1439</f>
        <v>0</v>
      </c>
      <c r="H1426" s="21">
        <f>Data!B1439</f>
        <v>0</v>
      </c>
      <c r="I1426" s="21">
        <f>Data!C1439</f>
        <v>0</v>
      </c>
      <c r="J1426">
        <f>Data!D1439</f>
        <v>0</v>
      </c>
      <c r="K1426">
        <f>Data!E1439</f>
        <v>0</v>
      </c>
      <c r="L1426">
        <f>Data!F1439</f>
        <v>0</v>
      </c>
      <c r="M1426">
        <f>Data!G1439</f>
        <v>0</v>
      </c>
      <c r="N1426">
        <f>Data!H1439</f>
        <v>0</v>
      </c>
      <c r="O1426">
        <f>Data!I1439</f>
        <v>0</v>
      </c>
      <c r="P1426" s="21">
        <f>Data!J1443</f>
        <v>0</v>
      </c>
      <c r="Q1426">
        <f>Data!K1443</f>
        <v>0</v>
      </c>
      <c r="R1426">
        <f>Data!L1443</f>
        <v>0</v>
      </c>
      <c r="S1426">
        <f>Data!M1443</f>
        <v>0</v>
      </c>
      <c r="T1426">
        <f>Data!N1443</f>
        <v>0</v>
      </c>
      <c r="U1426">
        <f>Data!O1443</f>
        <v>0</v>
      </c>
      <c r="V1426" s="33">
        <f>Data!P1441</f>
        <v>0</v>
      </c>
    </row>
    <row r="1427" spans="7:22" x14ac:dyDescent="0.25">
      <c r="G1427">
        <f>Data!A1440</f>
        <v>0</v>
      </c>
      <c r="H1427" s="21">
        <f>Data!B1440</f>
        <v>0</v>
      </c>
      <c r="I1427" s="21">
        <f>Data!C1440</f>
        <v>0</v>
      </c>
      <c r="J1427">
        <f>Data!D1440</f>
        <v>0</v>
      </c>
      <c r="K1427">
        <f>Data!E1440</f>
        <v>0</v>
      </c>
      <c r="L1427">
        <f>Data!F1440</f>
        <v>0</v>
      </c>
      <c r="M1427">
        <f>Data!G1440</f>
        <v>0</v>
      </c>
      <c r="N1427">
        <f>Data!H1440</f>
        <v>0</v>
      </c>
      <c r="O1427">
        <f>Data!I1440</f>
        <v>0</v>
      </c>
      <c r="P1427" s="21">
        <f>Data!J1444</f>
        <v>0</v>
      </c>
      <c r="Q1427">
        <f>Data!K1444</f>
        <v>0</v>
      </c>
      <c r="R1427">
        <f>Data!L1444</f>
        <v>0</v>
      </c>
      <c r="S1427">
        <f>Data!M1444</f>
        <v>0</v>
      </c>
      <c r="T1427">
        <f>Data!N1444</f>
        <v>0</v>
      </c>
      <c r="U1427">
        <f>Data!O1444</f>
        <v>0</v>
      </c>
      <c r="V1427" s="33">
        <f>Data!P1442</f>
        <v>0</v>
      </c>
    </row>
    <row r="1428" spans="7:22" x14ac:dyDescent="0.25">
      <c r="G1428">
        <f>Data!A1441</f>
        <v>0</v>
      </c>
      <c r="H1428" s="21">
        <f>Data!B1441</f>
        <v>0</v>
      </c>
      <c r="I1428" s="21">
        <f>Data!C1441</f>
        <v>0</v>
      </c>
      <c r="J1428">
        <f>Data!D1441</f>
        <v>0</v>
      </c>
      <c r="K1428">
        <f>Data!E1441</f>
        <v>0</v>
      </c>
      <c r="L1428">
        <f>Data!F1441</f>
        <v>0</v>
      </c>
      <c r="M1428">
        <f>Data!G1441</f>
        <v>0</v>
      </c>
      <c r="N1428">
        <f>Data!H1441</f>
        <v>0</v>
      </c>
      <c r="O1428">
        <f>Data!I1441</f>
        <v>0</v>
      </c>
      <c r="P1428" s="21">
        <f>Data!J1445</f>
        <v>0</v>
      </c>
      <c r="Q1428">
        <f>Data!K1445</f>
        <v>0</v>
      </c>
      <c r="R1428">
        <f>Data!L1445</f>
        <v>0</v>
      </c>
      <c r="S1428">
        <f>Data!M1445</f>
        <v>0</v>
      </c>
      <c r="T1428">
        <f>Data!N1445</f>
        <v>0</v>
      </c>
      <c r="U1428">
        <f>Data!O1445</f>
        <v>0</v>
      </c>
      <c r="V1428" s="33">
        <f>Data!P1443</f>
        <v>0</v>
      </c>
    </row>
    <row r="1429" spans="7:22" x14ac:dyDescent="0.25">
      <c r="G1429">
        <f>Data!A1442</f>
        <v>0</v>
      </c>
      <c r="H1429" s="21">
        <f>Data!B1442</f>
        <v>0</v>
      </c>
      <c r="I1429" s="21">
        <f>Data!C1442</f>
        <v>0</v>
      </c>
      <c r="J1429">
        <f>Data!D1442</f>
        <v>0</v>
      </c>
      <c r="K1429">
        <f>Data!E1442</f>
        <v>0</v>
      </c>
      <c r="L1429">
        <f>Data!F1442</f>
        <v>0</v>
      </c>
      <c r="M1429">
        <f>Data!G1442</f>
        <v>0</v>
      </c>
      <c r="N1429">
        <f>Data!H1442</f>
        <v>0</v>
      </c>
      <c r="O1429">
        <f>Data!I1442</f>
        <v>0</v>
      </c>
      <c r="P1429" s="21">
        <f>Data!J1446</f>
        <v>0</v>
      </c>
      <c r="Q1429">
        <f>Data!K1446</f>
        <v>0</v>
      </c>
      <c r="R1429">
        <f>Data!L1446</f>
        <v>0</v>
      </c>
      <c r="S1429">
        <f>Data!M1446</f>
        <v>0</v>
      </c>
      <c r="T1429">
        <f>Data!N1446</f>
        <v>0</v>
      </c>
      <c r="U1429">
        <f>Data!O1446</f>
        <v>0</v>
      </c>
      <c r="V1429" s="33">
        <f>Data!P1444</f>
        <v>0</v>
      </c>
    </row>
    <row r="1430" spans="7:22" x14ac:dyDescent="0.25">
      <c r="G1430">
        <f>Data!A1443</f>
        <v>0</v>
      </c>
      <c r="H1430" s="21">
        <f>Data!B1443</f>
        <v>0</v>
      </c>
      <c r="I1430" s="21">
        <f>Data!C1443</f>
        <v>0</v>
      </c>
      <c r="J1430">
        <f>Data!D1443</f>
        <v>0</v>
      </c>
      <c r="K1430">
        <f>Data!E1443</f>
        <v>0</v>
      </c>
      <c r="L1430">
        <f>Data!F1443</f>
        <v>0</v>
      </c>
      <c r="M1430">
        <f>Data!G1443</f>
        <v>0</v>
      </c>
      <c r="N1430">
        <f>Data!H1443</f>
        <v>0</v>
      </c>
      <c r="O1430">
        <f>Data!I1443</f>
        <v>0</v>
      </c>
      <c r="P1430" s="21">
        <f>Data!J1447</f>
        <v>0</v>
      </c>
      <c r="Q1430">
        <f>Data!K1447</f>
        <v>0</v>
      </c>
      <c r="R1430">
        <f>Data!L1447</f>
        <v>0</v>
      </c>
      <c r="S1430">
        <f>Data!M1447</f>
        <v>0</v>
      </c>
      <c r="T1430">
        <f>Data!N1447</f>
        <v>0</v>
      </c>
      <c r="U1430">
        <f>Data!O1447</f>
        <v>0</v>
      </c>
      <c r="V1430" s="33">
        <f>Data!P1445</f>
        <v>0</v>
      </c>
    </row>
    <row r="1431" spans="7:22" x14ac:dyDescent="0.25">
      <c r="G1431">
        <f>Data!A1444</f>
        <v>0</v>
      </c>
      <c r="H1431" s="21">
        <f>Data!B1444</f>
        <v>0</v>
      </c>
      <c r="I1431" s="21">
        <f>Data!C1444</f>
        <v>0</v>
      </c>
      <c r="J1431">
        <f>Data!D1444</f>
        <v>0</v>
      </c>
      <c r="K1431">
        <f>Data!E1444</f>
        <v>0</v>
      </c>
      <c r="L1431">
        <f>Data!F1444</f>
        <v>0</v>
      </c>
      <c r="M1431">
        <f>Data!G1444</f>
        <v>0</v>
      </c>
      <c r="N1431">
        <f>Data!H1444</f>
        <v>0</v>
      </c>
      <c r="O1431">
        <f>Data!I1444</f>
        <v>0</v>
      </c>
      <c r="P1431" s="21">
        <f>Data!J1448</f>
        <v>0</v>
      </c>
      <c r="Q1431">
        <f>Data!K1448</f>
        <v>0</v>
      </c>
      <c r="R1431">
        <f>Data!L1448</f>
        <v>0</v>
      </c>
      <c r="S1431">
        <f>Data!M1448</f>
        <v>0</v>
      </c>
      <c r="T1431">
        <f>Data!N1448</f>
        <v>0</v>
      </c>
      <c r="U1431">
        <f>Data!O1448</f>
        <v>0</v>
      </c>
      <c r="V1431" s="33">
        <f>Data!P1446</f>
        <v>0</v>
      </c>
    </row>
    <row r="1432" spans="7:22" x14ac:dyDescent="0.25">
      <c r="G1432">
        <f>Data!A1445</f>
        <v>0</v>
      </c>
      <c r="H1432" s="21">
        <f>Data!B1445</f>
        <v>0</v>
      </c>
      <c r="I1432" s="21">
        <f>Data!C1445</f>
        <v>0</v>
      </c>
      <c r="J1432">
        <f>Data!D1445</f>
        <v>0</v>
      </c>
      <c r="K1432">
        <f>Data!E1445</f>
        <v>0</v>
      </c>
      <c r="L1432">
        <f>Data!F1445</f>
        <v>0</v>
      </c>
      <c r="M1432">
        <f>Data!G1445</f>
        <v>0</v>
      </c>
      <c r="N1432">
        <f>Data!H1445</f>
        <v>0</v>
      </c>
      <c r="O1432">
        <f>Data!I1445</f>
        <v>0</v>
      </c>
      <c r="P1432" s="21">
        <f>Data!J1449</f>
        <v>0</v>
      </c>
      <c r="Q1432">
        <f>Data!K1449</f>
        <v>0</v>
      </c>
      <c r="R1432">
        <f>Data!L1449</f>
        <v>0</v>
      </c>
      <c r="S1432">
        <f>Data!M1449</f>
        <v>0</v>
      </c>
      <c r="T1432">
        <f>Data!N1449</f>
        <v>0</v>
      </c>
      <c r="U1432">
        <f>Data!O1449</f>
        <v>0</v>
      </c>
      <c r="V1432" s="33">
        <f>Data!P1447</f>
        <v>0</v>
      </c>
    </row>
    <row r="1433" spans="7:22" x14ac:dyDescent="0.25">
      <c r="G1433">
        <f>Data!A1446</f>
        <v>0</v>
      </c>
      <c r="H1433" s="21">
        <f>Data!B1446</f>
        <v>0</v>
      </c>
      <c r="I1433" s="21">
        <f>Data!C1446</f>
        <v>0</v>
      </c>
      <c r="J1433">
        <f>Data!D1446</f>
        <v>0</v>
      </c>
      <c r="K1433">
        <f>Data!E1446</f>
        <v>0</v>
      </c>
      <c r="L1433">
        <f>Data!F1446</f>
        <v>0</v>
      </c>
      <c r="M1433">
        <f>Data!G1446</f>
        <v>0</v>
      </c>
      <c r="N1433">
        <f>Data!H1446</f>
        <v>0</v>
      </c>
      <c r="O1433">
        <f>Data!I1446</f>
        <v>0</v>
      </c>
      <c r="P1433" s="21">
        <f>Data!J1450</f>
        <v>0</v>
      </c>
      <c r="Q1433">
        <f>Data!K1450</f>
        <v>0</v>
      </c>
      <c r="R1433">
        <f>Data!L1450</f>
        <v>0</v>
      </c>
      <c r="S1433">
        <f>Data!M1450</f>
        <v>0</v>
      </c>
      <c r="T1433">
        <f>Data!N1450</f>
        <v>0</v>
      </c>
      <c r="U1433">
        <f>Data!O1450</f>
        <v>0</v>
      </c>
      <c r="V1433" s="33">
        <f>Data!P1448</f>
        <v>0</v>
      </c>
    </row>
    <row r="1434" spans="7:22" x14ac:dyDescent="0.25">
      <c r="G1434">
        <f>Data!A1447</f>
        <v>0</v>
      </c>
      <c r="H1434" s="21">
        <f>Data!B1447</f>
        <v>0</v>
      </c>
      <c r="I1434" s="21">
        <f>Data!C1447</f>
        <v>0</v>
      </c>
      <c r="J1434">
        <f>Data!D1447</f>
        <v>0</v>
      </c>
      <c r="K1434">
        <f>Data!E1447</f>
        <v>0</v>
      </c>
      <c r="L1434">
        <f>Data!F1447</f>
        <v>0</v>
      </c>
      <c r="M1434">
        <f>Data!G1447</f>
        <v>0</v>
      </c>
      <c r="N1434">
        <f>Data!H1447</f>
        <v>0</v>
      </c>
      <c r="O1434">
        <f>Data!I1447</f>
        <v>0</v>
      </c>
      <c r="P1434" s="21">
        <f>Data!J1451</f>
        <v>0</v>
      </c>
      <c r="Q1434">
        <f>Data!K1451</f>
        <v>0</v>
      </c>
      <c r="R1434">
        <f>Data!L1451</f>
        <v>0</v>
      </c>
      <c r="S1434">
        <f>Data!M1451</f>
        <v>0</v>
      </c>
      <c r="T1434">
        <f>Data!N1451</f>
        <v>0</v>
      </c>
      <c r="U1434">
        <f>Data!O1451</f>
        <v>0</v>
      </c>
      <c r="V1434" s="33">
        <f>Data!P1449</f>
        <v>0</v>
      </c>
    </row>
    <row r="1435" spans="7:22" x14ac:dyDescent="0.25">
      <c r="G1435">
        <f>Data!A1448</f>
        <v>0</v>
      </c>
      <c r="H1435" s="21">
        <f>Data!B1448</f>
        <v>0</v>
      </c>
      <c r="I1435" s="21">
        <f>Data!C1448</f>
        <v>0</v>
      </c>
      <c r="J1435">
        <f>Data!D1448</f>
        <v>0</v>
      </c>
      <c r="K1435">
        <f>Data!E1448</f>
        <v>0</v>
      </c>
      <c r="L1435">
        <f>Data!F1448</f>
        <v>0</v>
      </c>
      <c r="M1435">
        <f>Data!G1448</f>
        <v>0</v>
      </c>
      <c r="N1435">
        <f>Data!H1448</f>
        <v>0</v>
      </c>
      <c r="O1435">
        <f>Data!I1448</f>
        <v>0</v>
      </c>
      <c r="P1435" s="21">
        <f>Data!J1452</f>
        <v>0</v>
      </c>
      <c r="Q1435">
        <f>Data!K1452</f>
        <v>0</v>
      </c>
      <c r="R1435">
        <f>Data!L1452</f>
        <v>0</v>
      </c>
      <c r="S1435">
        <f>Data!M1452</f>
        <v>0</v>
      </c>
      <c r="T1435">
        <f>Data!N1452</f>
        <v>0</v>
      </c>
      <c r="U1435">
        <f>Data!O1452</f>
        <v>0</v>
      </c>
      <c r="V1435" s="33">
        <f>Data!P1450</f>
        <v>0</v>
      </c>
    </row>
    <row r="1436" spans="7:22" x14ac:dyDescent="0.25">
      <c r="G1436">
        <f>Data!A1449</f>
        <v>0</v>
      </c>
      <c r="H1436" s="21">
        <f>Data!B1449</f>
        <v>0</v>
      </c>
      <c r="I1436" s="21">
        <f>Data!C1449</f>
        <v>0</v>
      </c>
      <c r="J1436">
        <f>Data!D1449</f>
        <v>0</v>
      </c>
      <c r="K1436">
        <f>Data!E1449</f>
        <v>0</v>
      </c>
      <c r="L1436">
        <f>Data!F1449</f>
        <v>0</v>
      </c>
      <c r="M1436">
        <f>Data!G1449</f>
        <v>0</v>
      </c>
      <c r="N1436">
        <f>Data!H1449</f>
        <v>0</v>
      </c>
      <c r="O1436">
        <f>Data!I1449</f>
        <v>0</v>
      </c>
      <c r="P1436" s="21">
        <f>Data!J1453</f>
        <v>0</v>
      </c>
      <c r="Q1436">
        <f>Data!K1453</f>
        <v>0</v>
      </c>
      <c r="R1436">
        <f>Data!L1453</f>
        <v>0</v>
      </c>
      <c r="S1436">
        <f>Data!M1453</f>
        <v>0</v>
      </c>
      <c r="T1436">
        <f>Data!N1453</f>
        <v>0</v>
      </c>
      <c r="U1436">
        <f>Data!O1453</f>
        <v>0</v>
      </c>
      <c r="V1436" s="33">
        <f>Data!P1451</f>
        <v>0</v>
      </c>
    </row>
    <row r="1437" spans="7:22" x14ac:dyDescent="0.25">
      <c r="G1437">
        <f>Data!A1450</f>
        <v>0</v>
      </c>
      <c r="H1437" s="21">
        <f>Data!B1450</f>
        <v>0</v>
      </c>
      <c r="I1437" s="21">
        <f>Data!C1450</f>
        <v>0</v>
      </c>
      <c r="J1437">
        <f>Data!D1450</f>
        <v>0</v>
      </c>
      <c r="K1437">
        <f>Data!E1450</f>
        <v>0</v>
      </c>
      <c r="L1437">
        <f>Data!F1450</f>
        <v>0</v>
      </c>
      <c r="M1437">
        <f>Data!G1450</f>
        <v>0</v>
      </c>
      <c r="N1437">
        <f>Data!H1450</f>
        <v>0</v>
      </c>
      <c r="O1437">
        <f>Data!I1450</f>
        <v>0</v>
      </c>
      <c r="P1437" s="21">
        <f>Data!J1454</f>
        <v>0</v>
      </c>
      <c r="Q1437">
        <f>Data!K1454</f>
        <v>0</v>
      </c>
      <c r="R1437">
        <f>Data!L1454</f>
        <v>0</v>
      </c>
      <c r="S1437">
        <f>Data!M1454</f>
        <v>0</v>
      </c>
      <c r="T1437">
        <f>Data!N1454</f>
        <v>0</v>
      </c>
      <c r="U1437">
        <f>Data!O1454</f>
        <v>0</v>
      </c>
      <c r="V1437" s="33">
        <f>Data!P1452</f>
        <v>0</v>
      </c>
    </row>
    <row r="1438" spans="7:22" x14ac:dyDescent="0.25">
      <c r="G1438">
        <f>Data!A1451</f>
        <v>0</v>
      </c>
      <c r="H1438" s="21">
        <f>Data!B1451</f>
        <v>0</v>
      </c>
      <c r="I1438" s="21">
        <f>Data!C1451</f>
        <v>0</v>
      </c>
      <c r="J1438">
        <f>Data!D1451</f>
        <v>0</v>
      </c>
      <c r="K1438">
        <f>Data!E1451</f>
        <v>0</v>
      </c>
      <c r="L1438">
        <f>Data!F1451</f>
        <v>0</v>
      </c>
      <c r="M1438">
        <f>Data!G1451</f>
        <v>0</v>
      </c>
      <c r="N1438">
        <f>Data!H1451</f>
        <v>0</v>
      </c>
      <c r="O1438">
        <f>Data!I1451</f>
        <v>0</v>
      </c>
      <c r="P1438" s="21">
        <f>Data!J1455</f>
        <v>0</v>
      </c>
      <c r="Q1438">
        <f>Data!K1455</f>
        <v>0</v>
      </c>
      <c r="R1438">
        <f>Data!L1455</f>
        <v>0</v>
      </c>
      <c r="S1438">
        <f>Data!M1455</f>
        <v>0</v>
      </c>
      <c r="T1438">
        <f>Data!N1455</f>
        <v>0</v>
      </c>
      <c r="U1438">
        <f>Data!O1455</f>
        <v>0</v>
      </c>
      <c r="V1438" s="33">
        <f>Data!P1453</f>
        <v>0</v>
      </c>
    </row>
    <row r="1439" spans="7:22" x14ac:dyDescent="0.25">
      <c r="G1439">
        <f>Data!A1452</f>
        <v>0</v>
      </c>
      <c r="H1439" s="21">
        <f>Data!B1452</f>
        <v>0</v>
      </c>
      <c r="I1439" s="21">
        <f>Data!C1452</f>
        <v>0</v>
      </c>
      <c r="J1439">
        <f>Data!D1452</f>
        <v>0</v>
      </c>
      <c r="K1439">
        <f>Data!E1452</f>
        <v>0</v>
      </c>
      <c r="L1439">
        <f>Data!F1452</f>
        <v>0</v>
      </c>
      <c r="M1439">
        <f>Data!G1452</f>
        <v>0</v>
      </c>
      <c r="N1439">
        <f>Data!H1452</f>
        <v>0</v>
      </c>
      <c r="O1439">
        <f>Data!I1452</f>
        <v>0</v>
      </c>
      <c r="P1439" s="21">
        <f>Data!J1456</f>
        <v>0</v>
      </c>
      <c r="Q1439">
        <f>Data!K1456</f>
        <v>0</v>
      </c>
      <c r="R1439">
        <f>Data!L1456</f>
        <v>0</v>
      </c>
      <c r="S1439">
        <f>Data!M1456</f>
        <v>0</v>
      </c>
      <c r="T1439">
        <f>Data!N1456</f>
        <v>0</v>
      </c>
      <c r="U1439">
        <f>Data!O1456</f>
        <v>0</v>
      </c>
      <c r="V1439" s="33">
        <f>Data!P1454</f>
        <v>0</v>
      </c>
    </row>
    <row r="1440" spans="7:22" x14ac:dyDescent="0.25">
      <c r="G1440">
        <f>Data!A1453</f>
        <v>0</v>
      </c>
      <c r="H1440" s="21">
        <f>Data!B1453</f>
        <v>0</v>
      </c>
      <c r="I1440" s="21">
        <f>Data!C1453</f>
        <v>0</v>
      </c>
      <c r="J1440">
        <f>Data!D1453</f>
        <v>0</v>
      </c>
      <c r="K1440">
        <f>Data!E1453</f>
        <v>0</v>
      </c>
      <c r="L1440">
        <f>Data!F1453</f>
        <v>0</v>
      </c>
      <c r="M1440">
        <f>Data!G1453</f>
        <v>0</v>
      </c>
      <c r="N1440">
        <f>Data!H1453</f>
        <v>0</v>
      </c>
      <c r="O1440">
        <f>Data!I1453</f>
        <v>0</v>
      </c>
      <c r="P1440" s="21">
        <f>Data!J1457</f>
        <v>0</v>
      </c>
      <c r="Q1440">
        <f>Data!K1457</f>
        <v>0</v>
      </c>
      <c r="R1440">
        <f>Data!L1457</f>
        <v>0</v>
      </c>
      <c r="S1440">
        <f>Data!M1457</f>
        <v>0</v>
      </c>
      <c r="T1440">
        <f>Data!N1457</f>
        <v>0</v>
      </c>
      <c r="U1440">
        <f>Data!O1457</f>
        <v>0</v>
      </c>
      <c r="V1440" s="33">
        <f>Data!P1455</f>
        <v>0</v>
      </c>
    </row>
    <row r="1441" spans="7:22" x14ac:dyDescent="0.25">
      <c r="G1441">
        <f>Data!A1454</f>
        <v>0</v>
      </c>
      <c r="H1441" s="21">
        <f>Data!B1454</f>
        <v>0</v>
      </c>
      <c r="I1441" s="21">
        <f>Data!C1454</f>
        <v>0</v>
      </c>
      <c r="J1441">
        <f>Data!D1454</f>
        <v>0</v>
      </c>
      <c r="K1441">
        <f>Data!E1454</f>
        <v>0</v>
      </c>
      <c r="L1441">
        <f>Data!F1454</f>
        <v>0</v>
      </c>
      <c r="M1441">
        <f>Data!G1454</f>
        <v>0</v>
      </c>
      <c r="N1441">
        <f>Data!H1454</f>
        <v>0</v>
      </c>
      <c r="O1441">
        <f>Data!I1454</f>
        <v>0</v>
      </c>
      <c r="P1441" s="21">
        <f>Data!J1458</f>
        <v>0</v>
      </c>
      <c r="Q1441">
        <f>Data!K1458</f>
        <v>0</v>
      </c>
      <c r="R1441">
        <f>Data!L1458</f>
        <v>0</v>
      </c>
      <c r="S1441">
        <f>Data!M1458</f>
        <v>0</v>
      </c>
      <c r="T1441">
        <f>Data!N1458</f>
        <v>0</v>
      </c>
      <c r="U1441">
        <f>Data!O1458</f>
        <v>0</v>
      </c>
      <c r="V1441" s="33">
        <f>Data!P1456</f>
        <v>0</v>
      </c>
    </row>
    <row r="1442" spans="7:22" x14ac:dyDescent="0.25">
      <c r="G1442">
        <f>Data!A1455</f>
        <v>0</v>
      </c>
      <c r="H1442" s="21">
        <f>Data!B1455</f>
        <v>0</v>
      </c>
      <c r="I1442" s="21">
        <f>Data!C1455</f>
        <v>0</v>
      </c>
      <c r="J1442">
        <f>Data!D1455</f>
        <v>0</v>
      </c>
      <c r="K1442">
        <f>Data!E1455</f>
        <v>0</v>
      </c>
      <c r="L1442">
        <f>Data!F1455</f>
        <v>0</v>
      </c>
      <c r="M1442">
        <f>Data!G1455</f>
        <v>0</v>
      </c>
      <c r="N1442">
        <f>Data!H1455</f>
        <v>0</v>
      </c>
      <c r="O1442">
        <f>Data!I1455</f>
        <v>0</v>
      </c>
      <c r="P1442" s="21">
        <f>Data!J1459</f>
        <v>0</v>
      </c>
      <c r="Q1442">
        <f>Data!K1459</f>
        <v>0</v>
      </c>
      <c r="R1442">
        <f>Data!L1459</f>
        <v>0</v>
      </c>
      <c r="S1442">
        <f>Data!M1459</f>
        <v>0</v>
      </c>
      <c r="T1442">
        <f>Data!N1459</f>
        <v>0</v>
      </c>
      <c r="U1442">
        <f>Data!O1459</f>
        <v>0</v>
      </c>
      <c r="V1442" s="33">
        <f>Data!P1457</f>
        <v>0</v>
      </c>
    </row>
    <row r="1443" spans="7:22" x14ac:dyDescent="0.25">
      <c r="G1443">
        <f>Data!A1456</f>
        <v>0</v>
      </c>
      <c r="H1443" s="21">
        <f>Data!B1456</f>
        <v>0</v>
      </c>
      <c r="I1443" s="21">
        <f>Data!C1456</f>
        <v>0</v>
      </c>
      <c r="J1443">
        <f>Data!D1456</f>
        <v>0</v>
      </c>
      <c r="K1443">
        <f>Data!E1456</f>
        <v>0</v>
      </c>
      <c r="L1443">
        <f>Data!F1456</f>
        <v>0</v>
      </c>
      <c r="M1443">
        <f>Data!G1456</f>
        <v>0</v>
      </c>
      <c r="N1443">
        <f>Data!H1456</f>
        <v>0</v>
      </c>
      <c r="O1443">
        <f>Data!I1456</f>
        <v>0</v>
      </c>
      <c r="P1443" s="21">
        <f>Data!J1460</f>
        <v>0</v>
      </c>
      <c r="Q1443">
        <f>Data!K1460</f>
        <v>0</v>
      </c>
      <c r="R1443">
        <f>Data!L1460</f>
        <v>0</v>
      </c>
      <c r="S1443">
        <f>Data!M1460</f>
        <v>0</v>
      </c>
      <c r="T1443">
        <f>Data!N1460</f>
        <v>0</v>
      </c>
      <c r="U1443">
        <f>Data!O1460</f>
        <v>0</v>
      </c>
      <c r="V1443" s="33">
        <f>Data!P1458</f>
        <v>0</v>
      </c>
    </row>
    <row r="1444" spans="7:22" x14ac:dyDescent="0.25">
      <c r="G1444">
        <f>Data!A1457</f>
        <v>0</v>
      </c>
      <c r="H1444" s="21">
        <f>Data!B1457</f>
        <v>0</v>
      </c>
      <c r="I1444" s="21">
        <f>Data!C1457</f>
        <v>0</v>
      </c>
      <c r="J1444">
        <f>Data!D1457</f>
        <v>0</v>
      </c>
      <c r="K1444">
        <f>Data!E1457</f>
        <v>0</v>
      </c>
      <c r="L1444">
        <f>Data!F1457</f>
        <v>0</v>
      </c>
      <c r="M1444">
        <f>Data!G1457</f>
        <v>0</v>
      </c>
      <c r="N1444">
        <f>Data!H1457</f>
        <v>0</v>
      </c>
      <c r="O1444">
        <f>Data!I1457</f>
        <v>0</v>
      </c>
      <c r="P1444" s="21">
        <f>Data!J1461</f>
        <v>0</v>
      </c>
      <c r="Q1444">
        <f>Data!K1461</f>
        <v>0</v>
      </c>
      <c r="R1444">
        <f>Data!L1461</f>
        <v>0</v>
      </c>
      <c r="S1444">
        <f>Data!M1461</f>
        <v>0</v>
      </c>
      <c r="T1444">
        <f>Data!N1461</f>
        <v>0</v>
      </c>
      <c r="U1444">
        <f>Data!O1461</f>
        <v>0</v>
      </c>
      <c r="V1444" s="33">
        <f>Data!P1459</f>
        <v>0</v>
      </c>
    </row>
    <row r="1445" spans="7:22" x14ac:dyDescent="0.25">
      <c r="G1445">
        <f>Data!A1458</f>
        <v>0</v>
      </c>
      <c r="H1445" s="21">
        <f>Data!B1458</f>
        <v>0</v>
      </c>
      <c r="I1445" s="21">
        <f>Data!C1458</f>
        <v>0</v>
      </c>
      <c r="J1445">
        <f>Data!D1458</f>
        <v>0</v>
      </c>
      <c r="K1445">
        <f>Data!E1458</f>
        <v>0</v>
      </c>
      <c r="L1445">
        <f>Data!F1458</f>
        <v>0</v>
      </c>
      <c r="M1445">
        <f>Data!G1458</f>
        <v>0</v>
      </c>
      <c r="N1445">
        <f>Data!H1458</f>
        <v>0</v>
      </c>
      <c r="O1445">
        <f>Data!I1458</f>
        <v>0</v>
      </c>
      <c r="P1445" s="21">
        <f>Data!J1462</f>
        <v>0</v>
      </c>
      <c r="Q1445">
        <f>Data!K1462</f>
        <v>0</v>
      </c>
      <c r="R1445">
        <f>Data!L1462</f>
        <v>0</v>
      </c>
      <c r="S1445">
        <f>Data!M1462</f>
        <v>0</v>
      </c>
      <c r="T1445">
        <f>Data!N1462</f>
        <v>0</v>
      </c>
      <c r="U1445">
        <f>Data!O1462</f>
        <v>0</v>
      </c>
      <c r="V1445" s="33">
        <f>Data!P1460</f>
        <v>0</v>
      </c>
    </row>
    <row r="1446" spans="7:22" x14ac:dyDescent="0.25">
      <c r="G1446">
        <f>Data!A1459</f>
        <v>0</v>
      </c>
      <c r="H1446" s="21">
        <f>Data!B1459</f>
        <v>0</v>
      </c>
      <c r="I1446" s="21">
        <f>Data!C1459</f>
        <v>0</v>
      </c>
      <c r="J1446">
        <f>Data!D1459</f>
        <v>0</v>
      </c>
      <c r="K1446">
        <f>Data!E1459</f>
        <v>0</v>
      </c>
      <c r="L1446">
        <f>Data!F1459</f>
        <v>0</v>
      </c>
      <c r="M1446">
        <f>Data!G1459</f>
        <v>0</v>
      </c>
      <c r="N1446">
        <f>Data!H1459</f>
        <v>0</v>
      </c>
      <c r="O1446">
        <f>Data!I1459</f>
        <v>0</v>
      </c>
      <c r="P1446" s="21">
        <f>Data!J1463</f>
        <v>0</v>
      </c>
      <c r="Q1446">
        <f>Data!K1463</f>
        <v>0</v>
      </c>
      <c r="R1446">
        <f>Data!L1463</f>
        <v>0</v>
      </c>
      <c r="S1446">
        <f>Data!M1463</f>
        <v>0</v>
      </c>
      <c r="T1446">
        <f>Data!N1463</f>
        <v>0</v>
      </c>
      <c r="U1446">
        <f>Data!O1463</f>
        <v>0</v>
      </c>
      <c r="V1446" s="33">
        <f>Data!P1461</f>
        <v>0</v>
      </c>
    </row>
    <row r="1447" spans="7:22" x14ac:dyDescent="0.25">
      <c r="G1447">
        <f>Data!A1460</f>
        <v>0</v>
      </c>
      <c r="H1447" s="21">
        <f>Data!B1460</f>
        <v>0</v>
      </c>
      <c r="I1447" s="21">
        <f>Data!C1460</f>
        <v>0</v>
      </c>
      <c r="J1447">
        <f>Data!D1460</f>
        <v>0</v>
      </c>
      <c r="K1447">
        <f>Data!E1460</f>
        <v>0</v>
      </c>
      <c r="L1447">
        <f>Data!F1460</f>
        <v>0</v>
      </c>
      <c r="M1447">
        <f>Data!G1460</f>
        <v>0</v>
      </c>
      <c r="N1447">
        <f>Data!H1460</f>
        <v>0</v>
      </c>
      <c r="O1447">
        <f>Data!I1460</f>
        <v>0</v>
      </c>
      <c r="P1447" s="21">
        <f>Data!J1464</f>
        <v>0</v>
      </c>
      <c r="Q1447">
        <f>Data!K1464</f>
        <v>0</v>
      </c>
      <c r="R1447">
        <f>Data!L1464</f>
        <v>0</v>
      </c>
      <c r="S1447">
        <f>Data!M1464</f>
        <v>0</v>
      </c>
      <c r="T1447">
        <f>Data!N1464</f>
        <v>0</v>
      </c>
      <c r="U1447">
        <f>Data!O1464</f>
        <v>0</v>
      </c>
      <c r="V1447" s="33">
        <f>Data!P1462</f>
        <v>0</v>
      </c>
    </row>
    <row r="1448" spans="7:22" x14ac:dyDescent="0.25">
      <c r="G1448">
        <f>Data!A1461</f>
        <v>0</v>
      </c>
      <c r="H1448" s="21">
        <f>Data!B1461</f>
        <v>0</v>
      </c>
      <c r="I1448" s="21">
        <f>Data!C1461</f>
        <v>0</v>
      </c>
      <c r="J1448">
        <f>Data!D1461</f>
        <v>0</v>
      </c>
      <c r="K1448">
        <f>Data!E1461</f>
        <v>0</v>
      </c>
      <c r="L1448">
        <f>Data!F1461</f>
        <v>0</v>
      </c>
      <c r="M1448">
        <f>Data!G1461</f>
        <v>0</v>
      </c>
      <c r="N1448">
        <f>Data!H1461</f>
        <v>0</v>
      </c>
      <c r="O1448">
        <f>Data!I1461</f>
        <v>0</v>
      </c>
      <c r="P1448" s="21">
        <f>Data!J1465</f>
        <v>0</v>
      </c>
      <c r="Q1448">
        <f>Data!K1465</f>
        <v>0</v>
      </c>
      <c r="R1448">
        <f>Data!L1465</f>
        <v>0</v>
      </c>
      <c r="S1448">
        <f>Data!M1465</f>
        <v>0</v>
      </c>
      <c r="T1448">
        <f>Data!N1465</f>
        <v>0</v>
      </c>
      <c r="U1448">
        <f>Data!O1465</f>
        <v>0</v>
      </c>
      <c r="V1448" s="33">
        <f>Data!P1463</f>
        <v>0</v>
      </c>
    </row>
    <row r="1449" spans="7:22" x14ac:dyDescent="0.25">
      <c r="G1449">
        <f>Data!A1462</f>
        <v>0</v>
      </c>
      <c r="H1449" s="21">
        <f>Data!B1462</f>
        <v>0</v>
      </c>
      <c r="I1449" s="21">
        <f>Data!C1462</f>
        <v>0</v>
      </c>
      <c r="J1449">
        <f>Data!D1462</f>
        <v>0</v>
      </c>
      <c r="K1449">
        <f>Data!E1462</f>
        <v>0</v>
      </c>
      <c r="L1449">
        <f>Data!F1462</f>
        <v>0</v>
      </c>
      <c r="M1449">
        <f>Data!G1462</f>
        <v>0</v>
      </c>
      <c r="N1449">
        <f>Data!H1462</f>
        <v>0</v>
      </c>
      <c r="O1449">
        <f>Data!I1462</f>
        <v>0</v>
      </c>
      <c r="P1449" s="21">
        <f>Data!J1466</f>
        <v>0</v>
      </c>
      <c r="Q1449">
        <f>Data!K1466</f>
        <v>0</v>
      </c>
      <c r="R1449">
        <f>Data!L1466</f>
        <v>0</v>
      </c>
      <c r="S1449">
        <f>Data!M1466</f>
        <v>0</v>
      </c>
      <c r="T1449">
        <f>Data!N1466</f>
        <v>0</v>
      </c>
      <c r="U1449">
        <f>Data!O1466</f>
        <v>0</v>
      </c>
      <c r="V1449" s="33">
        <f>Data!P1464</f>
        <v>0</v>
      </c>
    </row>
    <row r="1450" spans="7:22" x14ac:dyDescent="0.25">
      <c r="G1450">
        <f>Data!A1463</f>
        <v>0</v>
      </c>
      <c r="H1450" s="21">
        <f>Data!B1463</f>
        <v>0</v>
      </c>
      <c r="I1450" s="21">
        <f>Data!C1463</f>
        <v>0</v>
      </c>
      <c r="J1450">
        <f>Data!D1463</f>
        <v>0</v>
      </c>
      <c r="K1450">
        <f>Data!E1463</f>
        <v>0</v>
      </c>
      <c r="L1450">
        <f>Data!F1463</f>
        <v>0</v>
      </c>
      <c r="M1450">
        <f>Data!G1463</f>
        <v>0</v>
      </c>
      <c r="N1450">
        <f>Data!H1463</f>
        <v>0</v>
      </c>
      <c r="O1450">
        <f>Data!I1463</f>
        <v>0</v>
      </c>
      <c r="P1450" s="21">
        <f>Data!J1467</f>
        <v>0</v>
      </c>
      <c r="Q1450">
        <f>Data!K1467</f>
        <v>0</v>
      </c>
      <c r="R1450">
        <f>Data!L1467</f>
        <v>0</v>
      </c>
      <c r="S1450">
        <f>Data!M1467</f>
        <v>0</v>
      </c>
      <c r="T1450">
        <f>Data!N1467</f>
        <v>0</v>
      </c>
      <c r="U1450">
        <f>Data!O1467</f>
        <v>0</v>
      </c>
      <c r="V1450" s="33">
        <f>Data!P1465</f>
        <v>0</v>
      </c>
    </row>
    <row r="1451" spans="7:22" x14ac:dyDescent="0.25">
      <c r="G1451">
        <f>Data!A1464</f>
        <v>0</v>
      </c>
      <c r="H1451" s="21">
        <f>Data!B1464</f>
        <v>0</v>
      </c>
      <c r="I1451" s="21">
        <f>Data!C1464</f>
        <v>0</v>
      </c>
      <c r="J1451">
        <f>Data!D1464</f>
        <v>0</v>
      </c>
      <c r="K1451">
        <f>Data!E1464</f>
        <v>0</v>
      </c>
      <c r="L1451">
        <f>Data!F1464</f>
        <v>0</v>
      </c>
      <c r="M1451">
        <f>Data!G1464</f>
        <v>0</v>
      </c>
      <c r="N1451">
        <f>Data!H1464</f>
        <v>0</v>
      </c>
      <c r="O1451">
        <f>Data!I1464</f>
        <v>0</v>
      </c>
      <c r="P1451" s="21">
        <f>Data!J1468</f>
        <v>0</v>
      </c>
      <c r="Q1451">
        <f>Data!K1468</f>
        <v>0</v>
      </c>
      <c r="R1451">
        <f>Data!L1468</f>
        <v>0</v>
      </c>
      <c r="S1451">
        <f>Data!M1468</f>
        <v>0</v>
      </c>
      <c r="T1451">
        <f>Data!N1468</f>
        <v>0</v>
      </c>
      <c r="U1451">
        <f>Data!O1468</f>
        <v>0</v>
      </c>
      <c r="V1451" s="33">
        <f>Data!P1466</f>
        <v>0</v>
      </c>
    </row>
    <row r="1452" spans="7:22" x14ac:dyDescent="0.25">
      <c r="G1452">
        <f>Data!A1465</f>
        <v>0</v>
      </c>
      <c r="H1452" s="21">
        <f>Data!B1465</f>
        <v>0</v>
      </c>
      <c r="I1452" s="21">
        <f>Data!C1465</f>
        <v>0</v>
      </c>
      <c r="J1452">
        <f>Data!D1465</f>
        <v>0</v>
      </c>
      <c r="K1452">
        <f>Data!E1465</f>
        <v>0</v>
      </c>
      <c r="L1452">
        <f>Data!F1465</f>
        <v>0</v>
      </c>
      <c r="M1452">
        <f>Data!G1465</f>
        <v>0</v>
      </c>
      <c r="N1452">
        <f>Data!H1465</f>
        <v>0</v>
      </c>
      <c r="O1452">
        <f>Data!I1465</f>
        <v>0</v>
      </c>
      <c r="P1452" s="21">
        <f>Data!J1469</f>
        <v>0</v>
      </c>
      <c r="Q1452">
        <f>Data!K1469</f>
        <v>0</v>
      </c>
      <c r="R1452">
        <f>Data!L1469</f>
        <v>0</v>
      </c>
      <c r="S1452">
        <f>Data!M1469</f>
        <v>0</v>
      </c>
      <c r="T1452">
        <f>Data!N1469</f>
        <v>0</v>
      </c>
      <c r="U1452">
        <f>Data!O1469</f>
        <v>0</v>
      </c>
      <c r="V1452" s="33">
        <f>Data!P1467</f>
        <v>0</v>
      </c>
    </row>
    <row r="1453" spans="7:22" x14ac:dyDescent="0.25">
      <c r="G1453">
        <f>Data!A1466</f>
        <v>0</v>
      </c>
      <c r="H1453" s="21">
        <f>Data!B1466</f>
        <v>0</v>
      </c>
      <c r="I1453" s="21">
        <f>Data!C1466</f>
        <v>0</v>
      </c>
      <c r="J1453">
        <f>Data!D1466</f>
        <v>0</v>
      </c>
      <c r="K1453">
        <f>Data!E1466</f>
        <v>0</v>
      </c>
      <c r="L1453">
        <f>Data!F1466</f>
        <v>0</v>
      </c>
      <c r="M1453">
        <f>Data!G1466</f>
        <v>0</v>
      </c>
      <c r="N1453">
        <f>Data!H1466</f>
        <v>0</v>
      </c>
      <c r="O1453">
        <f>Data!I1466</f>
        <v>0</v>
      </c>
      <c r="P1453" s="21">
        <f>Data!J1470</f>
        <v>0</v>
      </c>
      <c r="Q1453">
        <f>Data!K1470</f>
        <v>0</v>
      </c>
      <c r="R1453">
        <f>Data!L1470</f>
        <v>0</v>
      </c>
      <c r="S1453">
        <f>Data!M1470</f>
        <v>0</v>
      </c>
      <c r="T1453">
        <f>Data!N1470</f>
        <v>0</v>
      </c>
      <c r="U1453">
        <f>Data!O1470</f>
        <v>0</v>
      </c>
      <c r="V1453" s="33">
        <f>Data!P1468</f>
        <v>0</v>
      </c>
    </row>
    <row r="1454" spans="7:22" x14ac:dyDescent="0.25">
      <c r="G1454">
        <f>Data!A1467</f>
        <v>0</v>
      </c>
      <c r="H1454" s="21">
        <f>Data!B1467</f>
        <v>0</v>
      </c>
      <c r="I1454" s="21">
        <f>Data!C1467</f>
        <v>0</v>
      </c>
      <c r="J1454">
        <f>Data!D1467</f>
        <v>0</v>
      </c>
      <c r="K1454">
        <f>Data!E1467</f>
        <v>0</v>
      </c>
      <c r="L1454">
        <f>Data!F1467</f>
        <v>0</v>
      </c>
      <c r="M1454">
        <f>Data!G1467</f>
        <v>0</v>
      </c>
      <c r="N1454">
        <f>Data!H1467</f>
        <v>0</v>
      </c>
      <c r="O1454">
        <f>Data!I1467</f>
        <v>0</v>
      </c>
      <c r="P1454" s="21">
        <f>Data!J1471</f>
        <v>0</v>
      </c>
      <c r="Q1454">
        <f>Data!K1471</f>
        <v>0</v>
      </c>
      <c r="R1454">
        <f>Data!L1471</f>
        <v>0</v>
      </c>
      <c r="S1454">
        <f>Data!M1471</f>
        <v>0</v>
      </c>
      <c r="T1454">
        <f>Data!N1471</f>
        <v>0</v>
      </c>
      <c r="U1454">
        <f>Data!O1471</f>
        <v>0</v>
      </c>
      <c r="V1454" s="33">
        <f>Data!P1469</f>
        <v>0</v>
      </c>
    </row>
    <row r="1455" spans="7:22" x14ac:dyDescent="0.25">
      <c r="G1455">
        <f>Data!A1468</f>
        <v>0</v>
      </c>
      <c r="H1455" s="21">
        <f>Data!B1468</f>
        <v>0</v>
      </c>
      <c r="I1455" s="21">
        <f>Data!C1468</f>
        <v>0</v>
      </c>
      <c r="J1455">
        <f>Data!D1468</f>
        <v>0</v>
      </c>
      <c r="K1455">
        <f>Data!E1468</f>
        <v>0</v>
      </c>
      <c r="L1455">
        <f>Data!F1468</f>
        <v>0</v>
      </c>
      <c r="M1455">
        <f>Data!G1468</f>
        <v>0</v>
      </c>
      <c r="N1455">
        <f>Data!H1468</f>
        <v>0</v>
      </c>
      <c r="O1455">
        <f>Data!I1468</f>
        <v>0</v>
      </c>
      <c r="P1455" s="21">
        <f>Data!J1472</f>
        <v>0</v>
      </c>
      <c r="Q1455">
        <f>Data!K1472</f>
        <v>0</v>
      </c>
      <c r="R1455">
        <f>Data!L1472</f>
        <v>0</v>
      </c>
      <c r="S1455">
        <f>Data!M1472</f>
        <v>0</v>
      </c>
      <c r="T1455">
        <f>Data!N1472</f>
        <v>0</v>
      </c>
      <c r="U1455">
        <f>Data!O1472</f>
        <v>0</v>
      </c>
      <c r="V1455" s="33">
        <f>Data!P1470</f>
        <v>0</v>
      </c>
    </row>
    <row r="1456" spans="7:22" x14ac:dyDescent="0.25">
      <c r="G1456">
        <f>Data!A1469</f>
        <v>0</v>
      </c>
      <c r="H1456" s="21">
        <f>Data!B1469</f>
        <v>0</v>
      </c>
      <c r="I1456" s="21">
        <f>Data!C1469</f>
        <v>0</v>
      </c>
      <c r="J1456">
        <f>Data!D1469</f>
        <v>0</v>
      </c>
      <c r="K1456">
        <f>Data!E1469</f>
        <v>0</v>
      </c>
      <c r="L1456">
        <f>Data!F1469</f>
        <v>0</v>
      </c>
      <c r="M1456">
        <f>Data!G1469</f>
        <v>0</v>
      </c>
      <c r="N1456">
        <f>Data!H1469</f>
        <v>0</v>
      </c>
      <c r="O1456">
        <f>Data!I1469</f>
        <v>0</v>
      </c>
      <c r="P1456" s="21">
        <f>Data!J1473</f>
        <v>0</v>
      </c>
      <c r="Q1456">
        <f>Data!K1473</f>
        <v>0</v>
      </c>
      <c r="R1456">
        <f>Data!L1473</f>
        <v>0</v>
      </c>
      <c r="S1456">
        <f>Data!M1473</f>
        <v>0</v>
      </c>
      <c r="T1456">
        <f>Data!N1473</f>
        <v>0</v>
      </c>
      <c r="U1456">
        <f>Data!O1473</f>
        <v>0</v>
      </c>
      <c r="V1456" s="33">
        <f>Data!P1471</f>
        <v>0</v>
      </c>
    </row>
    <row r="1457" spans="7:22" x14ac:dyDescent="0.25">
      <c r="G1457">
        <f>Data!A1470</f>
        <v>0</v>
      </c>
      <c r="H1457" s="21">
        <f>Data!B1470</f>
        <v>0</v>
      </c>
      <c r="I1457" s="21">
        <f>Data!C1470</f>
        <v>0</v>
      </c>
      <c r="J1457">
        <f>Data!D1470</f>
        <v>0</v>
      </c>
      <c r="K1457">
        <f>Data!E1470</f>
        <v>0</v>
      </c>
      <c r="L1457">
        <f>Data!F1470</f>
        <v>0</v>
      </c>
      <c r="M1457">
        <f>Data!G1470</f>
        <v>0</v>
      </c>
      <c r="N1457">
        <f>Data!H1470</f>
        <v>0</v>
      </c>
      <c r="O1457">
        <f>Data!I1470</f>
        <v>0</v>
      </c>
      <c r="P1457" s="21">
        <f>Data!J1474</f>
        <v>0</v>
      </c>
      <c r="Q1457">
        <f>Data!K1474</f>
        <v>0</v>
      </c>
      <c r="R1457">
        <f>Data!L1474</f>
        <v>0</v>
      </c>
      <c r="S1457">
        <f>Data!M1474</f>
        <v>0</v>
      </c>
      <c r="T1457">
        <f>Data!N1474</f>
        <v>0</v>
      </c>
      <c r="U1457">
        <f>Data!O1474</f>
        <v>0</v>
      </c>
      <c r="V1457" s="33">
        <f>Data!P1472</f>
        <v>0</v>
      </c>
    </row>
    <row r="1458" spans="7:22" x14ac:dyDescent="0.25">
      <c r="G1458">
        <f>Data!A1471</f>
        <v>0</v>
      </c>
      <c r="H1458" s="21">
        <f>Data!B1471</f>
        <v>0</v>
      </c>
      <c r="I1458" s="21">
        <f>Data!C1471</f>
        <v>0</v>
      </c>
      <c r="J1458">
        <f>Data!D1471</f>
        <v>0</v>
      </c>
      <c r="K1458">
        <f>Data!E1471</f>
        <v>0</v>
      </c>
      <c r="L1458">
        <f>Data!F1471</f>
        <v>0</v>
      </c>
      <c r="M1458">
        <f>Data!G1471</f>
        <v>0</v>
      </c>
      <c r="N1458">
        <f>Data!H1471</f>
        <v>0</v>
      </c>
      <c r="O1458">
        <f>Data!I1471</f>
        <v>0</v>
      </c>
      <c r="P1458" s="21">
        <f>Data!J1475</f>
        <v>0</v>
      </c>
      <c r="Q1458">
        <f>Data!K1475</f>
        <v>0</v>
      </c>
      <c r="R1458">
        <f>Data!L1475</f>
        <v>0</v>
      </c>
      <c r="S1458">
        <f>Data!M1475</f>
        <v>0</v>
      </c>
      <c r="T1458">
        <f>Data!N1475</f>
        <v>0</v>
      </c>
      <c r="U1458">
        <f>Data!O1475</f>
        <v>0</v>
      </c>
      <c r="V1458" s="33">
        <f>Data!P1473</f>
        <v>0</v>
      </c>
    </row>
    <row r="1459" spans="7:22" x14ac:dyDescent="0.25">
      <c r="G1459">
        <f>Data!A1472</f>
        <v>0</v>
      </c>
      <c r="H1459" s="21">
        <f>Data!B1472</f>
        <v>0</v>
      </c>
      <c r="I1459" s="21">
        <f>Data!C1472</f>
        <v>0</v>
      </c>
      <c r="J1459">
        <f>Data!D1472</f>
        <v>0</v>
      </c>
      <c r="K1459">
        <f>Data!E1472</f>
        <v>0</v>
      </c>
      <c r="L1459">
        <f>Data!F1472</f>
        <v>0</v>
      </c>
      <c r="M1459">
        <f>Data!G1472</f>
        <v>0</v>
      </c>
      <c r="N1459">
        <f>Data!H1472</f>
        <v>0</v>
      </c>
      <c r="O1459">
        <f>Data!I1472</f>
        <v>0</v>
      </c>
      <c r="P1459" s="21">
        <f>Data!J1476</f>
        <v>0</v>
      </c>
      <c r="Q1459">
        <f>Data!K1476</f>
        <v>0</v>
      </c>
      <c r="R1459">
        <f>Data!L1476</f>
        <v>0</v>
      </c>
      <c r="S1459">
        <f>Data!M1476</f>
        <v>0</v>
      </c>
      <c r="T1459">
        <f>Data!N1476</f>
        <v>0</v>
      </c>
      <c r="U1459">
        <f>Data!O1476</f>
        <v>0</v>
      </c>
      <c r="V1459" s="33">
        <f>Data!P1474</f>
        <v>0</v>
      </c>
    </row>
    <row r="1460" spans="7:22" x14ac:dyDescent="0.25">
      <c r="G1460">
        <f>Data!A1473</f>
        <v>0</v>
      </c>
      <c r="H1460" s="21">
        <f>Data!B1473</f>
        <v>0</v>
      </c>
      <c r="I1460" s="21">
        <f>Data!C1473</f>
        <v>0</v>
      </c>
      <c r="J1460">
        <f>Data!D1473</f>
        <v>0</v>
      </c>
      <c r="K1460">
        <f>Data!E1473</f>
        <v>0</v>
      </c>
      <c r="L1460">
        <f>Data!F1473</f>
        <v>0</v>
      </c>
      <c r="M1460">
        <f>Data!G1473</f>
        <v>0</v>
      </c>
      <c r="N1460">
        <f>Data!H1473</f>
        <v>0</v>
      </c>
      <c r="O1460">
        <f>Data!I1473</f>
        <v>0</v>
      </c>
      <c r="P1460" s="21">
        <f>Data!J1477</f>
        <v>0</v>
      </c>
      <c r="Q1460">
        <f>Data!K1477</f>
        <v>0</v>
      </c>
      <c r="R1460">
        <f>Data!L1477</f>
        <v>0</v>
      </c>
      <c r="S1460">
        <f>Data!M1477</f>
        <v>0</v>
      </c>
      <c r="T1460">
        <f>Data!N1477</f>
        <v>0</v>
      </c>
      <c r="U1460">
        <f>Data!O1477</f>
        <v>0</v>
      </c>
      <c r="V1460" s="33">
        <f>Data!P1475</f>
        <v>0</v>
      </c>
    </row>
    <row r="1461" spans="7:22" x14ac:dyDescent="0.25">
      <c r="G1461">
        <f>Data!A1474</f>
        <v>0</v>
      </c>
      <c r="H1461" s="21">
        <f>Data!B1474</f>
        <v>0</v>
      </c>
      <c r="I1461" s="21">
        <f>Data!C1474</f>
        <v>0</v>
      </c>
      <c r="J1461">
        <f>Data!D1474</f>
        <v>0</v>
      </c>
      <c r="K1461">
        <f>Data!E1474</f>
        <v>0</v>
      </c>
      <c r="L1461">
        <f>Data!F1474</f>
        <v>0</v>
      </c>
      <c r="M1461">
        <f>Data!G1474</f>
        <v>0</v>
      </c>
      <c r="N1461">
        <f>Data!H1474</f>
        <v>0</v>
      </c>
      <c r="O1461">
        <f>Data!I1474</f>
        <v>0</v>
      </c>
      <c r="P1461" s="21">
        <f>Data!J1478</f>
        <v>0</v>
      </c>
      <c r="Q1461">
        <f>Data!K1478</f>
        <v>0</v>
      </c>
      <c r="R1461">
        <f>Data!L1478</f>
        <v>0</v>
      </c>
      <c r="S1461">
        <f>Data!M1478</f>
        <v>0</v>
      </c>
      <c r="T1461">
        <f>Data!N1478</f>
        <v>0</v>
      </c>
      <c r="U1461">
        <f>Data!O1478</f>
        <v>0</v>
      </c>
      <c r="V1461" s="33">
        <f>Data!P1476</f>
        <v>0</v>
      </c>
    </row>
    <row r="1462" spans="7:22" x14ac:dyDescent="0.25">
      <c r="G1462">
        <f>Data!A1475</f>
        <v>0</v>
      </c>
      <c r="H1462" s="21">
        <f>Data!B1475</f>
        <v>0</v>
      </c>
      <c r="I1462" s="21">
        <f>Data!C1475</f>
        <v>0</v>
      </c>
      <c r="J1462">
        <f>Data!D1475</f>
        <v>0</v>
      </c>
      <c r="K1462">
        <f>Data!E1475</f>
        <v>0</v>
      </c>
      <c r="L1462">
        <f>Data!F1475</f>
        <v>0</v>
      </c>
      <c r="M1462">
        <f>Data!G1475</f>
        <v>0</v>
      </c>
      <c r="N1462">
        <f>Data!H1475</f>
        <v>0</v>
      </c>
      <c r="O1462">
        <f>Data!I1475</f>
        <v>0</v>
      </c>
      <c r="P1462" s="21">
        <f>Data!J1479</f>
        <v>0</v>
      </c>
      <c r="Q1462">
        <f>Data!K1479</f>
        <v>0</v>
      </c>
      <c r="R1462">
        <f>Data!L1479</f>
        <v>0</v>
      </c>
      <c r="S1462">
        <f>Data!M1479</f>
        <v>0</v>
      </c>
      <c r="T1462">
        <f>Data!N1479</f>
        <v>0</v>
      </c>
      <c r="U1462">
        <f>Data!O1479</f>
        <v>0</v>
      </c>
      <c r="V1462" s="33">
        <f>Data!P1477</f>
        <v>0</v>
      </c>
    </row>
    <row r="1463" spans="7:22" x14ac:dyDescent="0.25">
      <c r="G1463">
        <f>Data!A1476</f>
        <v>0</v>
      </c>
      <c r="H1463" s="21">
        <f>Data!B1476</f>
        <v>0</v>
      </c>
      <c r="I1463" s="21">
        <f>Data!C1476</f>
        <v>0</v>
      </c>
      <c r="J1463">
        <f>Data!D1476</f>
        <v>0</v>
      </c>
      <c r="K1463">
        <f>Data!E1476</f>
        <v>0</v>
      </c>
      <c r="L1463">
        <f>Data!F1476</f>
        <v>0</v>
      </c>
      <c r="M1463">
        <f>Data!G1476</f>
        <v>0</v>
      </c>
      <c r="N1463">
        <f>Data!H1476</f>
        <v>0</v>
      </c>
      <c r="O1463">
        <f>Data!I1476</f>
        <v>0</v>
      </c>
      <c r="P1463" s="21">
        <f>Data!J1480</f>
        <v>0</v>
      </c>
      <c r="Q1463">
        <f>Data!K1480</f>
        <v>0</v>
      </c>
      <c r="R1463">
        <f>Data!L1480</f>
        <v>0</v>
      </c>
      <c r="S1463">
        <f>Data!M1480</f>
        <v>0</v>
      </c>
      <c r="T1463">
        <f>Data!N1480</f>
        <v>0</v>
      </c>
      <c r="U1463">
        <f>Data!O1480</f>
        <v>0</v>
      </c>
      <c r="V1463" s="33">
        <f>Data!P1478</f>
        <v>0</v>
      </c>
    </row>
    <row r="1464" spans="7:22" x14ac:dyDescent="0.25">
      <c r="G1464">
        <f>Data!A1477</f>
        <v>0</v>
      </c>
      <c r="H1464" s="21">
        <f>Data!B1477</f>
        <v>0</v>
      </c>
      <c r="I1464" s="21">
        <f>Data!C1477</f>
        <v>0</v>
      </c>
      <c r="J1464">
        <f>Data!D1477</f>
        <v>0</v>
      </c>
      <c r="K1464">
        <f>Data!E1477</f>
        <v>0</v>
      </c>
      <c r="L1464">
        <f>Data!F1477</f>
        <v>0</v>
      </c>
      <c r="M1464">
        <f>Data!G1477</f>
        <v>0</v>
      </c>
      <c r="N1464">
        <f>Data!H1477</f>
        <v>0</v>
      </c>
      <c r="O1464">
        <f>Data!I1477</f>
        <v>0</v>
      </c>
      <c r="P1464" s="21">
        <f>Data!J1481</f>
        <v>0</v>
      </c>
      <c r="Q1464">
        <f>Data!K1481</f>
        <v>0</v>
      </c>
      <c r="R1464">
        <f>Data!L1481</f>
        <v>0</v>
      </c>
      <c r="S1464">
        <f>Data!M1481</f>
        <v>0</v>
      </c>
      <c r="T1464">
        <f>Data!N1481</f>
        <v>0</v>
      </c>
      <c r="U1464">
        <f>Data!O1481</f>
        <v>0</v>
      </c>
      <c r="V1464" s="33">
        <f>Data!P1479</f>
        <v>0</v>
      </c>
    </row>
    <row r="1465" spans="7:22" x14ac:dyDescent="0.25">
      <c r="G1465">
        <f>Data!A1478</f>
        <v>0</v>
      </c>
      <c r="H1465" s="21">
        <f>Data!B1478</f>
        <v>0</v>
      </c>
      <c r="I1465" s="21">
        <f>Data!C1478</f>
        <v>0</v>
      </c>
      <c r="J1465">
        <f>Data!D1478</f>
        <v>0</v>
      </c>
      <c r="K1465">
        <f>Data!E1478</f>
        <v>0</v>
      </c>
      <c r="L1465">
        <f>Data!F1478</f>
        <v>0</v>
      </c>
      <c r="M1465">
        <f>Data!G1478</f>
        <v>0</v>
      </c>
      <c r="N1465">
        <f>Data!H1478</f>
        <v>0</v>
      </c>
      <c r="O1465">
        <f>Data!I1478</f>
        <v>0</v>
      </c>
      <c r="P1465" s="21">
        <f>Data!J1482</f>
        <v>0</v>
      </c>
      <c r="Q1465">
        <f>Data!K1482</f>
        <v>0</v>
      </c>
      <c r="R1465">
        <f>Data!L1482</f>
        <v>0</v>
      </c>
      <c r="S1465">
        <f>Data!M1482</f>
        <v>0</v>
      </c>
      <c r="T1465">
        <f>Data!N1482</f>
        <v>0</v>
      </c>
      <c r="U1465">
        <f>Data!O1482</f>
        <v>0</v>
      </c>
      <c r="V1465" s="33">
        <f>Data!P1480</f>
        <v>0</v>
      </c>
    </row>
    <row r="1466" spans="7:22" x14ac:dyDescent="0.25">
      <c r="G1466">
        <f>Data!A1479</f>
        <v>0</v>
      </c>
      <c r="H1466" s="21">
        <f>Data!B1479</f>
        <v>0</v>
      </c>
      <c r="I1466" s="21">
        <f>Data!C1479</f>
        <v>0</v>
      </c>
      <c r="J1466">
        <f>Data!D1479</f>
        <v>0</v>
      </c>
      <c r="K1466">
        <f>Data!E1479</f>
        <v>0</v>
      </c>
      <c r="L1466">
        <f>Data!F1479</f>
        <v>0</v>
      </c>
      <c r="M1466">
        <f>Data!G1479</f>
        <v>0</v>
      </c>
      <c r="N1466">
        <f>Data!H1479</f>
        <v>0</v>
      </c>
      <c r="O1466">
        <f>Data!I1479</f>
        <v>0</v>
      </c>
      <c r="P1466" s="21">
        <f>Data!J1483</f>
        <v>0</v>
      </c>
      <c r="Q1466">
        <f>Data!K1483</f>
        <v>0</v>
      </c>
      <c r="R1466">
        <f>Data!L1483</f>
        <v>0</v>
      </c>
      <c r="S1466">
        <f>Data!M1483</f>
        <v>0</v>
      </c>
      <c r="T1466">
        <f>Data!N1483</f>
        <v>0</v>
      </c>
      <c r="U1466">
        <f>Data!O1483</f>
        <v>0</v>
      </c>
      <c r="V1466" s="33">
        <f>Data!P1481</f>
        <v>0</v>
      </c>
    </row>
    <row r="1467" spans="7:22" x14ac:dyDescent="0.25">
      <c r="G1467">
        <f>Data!A1480</f>
        <v>0</v>
      </c>
      <c r="H1467" s="21">
        <f>Data!B1480</f>
        <v>0</v>
      </c>
      <c r="I1467" s="21">
        <f>Data!C1480</f>
        <v>0</v>
      </c>
      <c r="J1467">
        <f>Data!D1480</f>
        <v>0</v>
      </c>
      <c r="K1467">
        <f>Data!E1480</f>
        <v>0</v>
      </c>
      <c r="L1467">
        <f>Data!F1480</f>
        <v>0</v>
      </c>
      <c r="M1467">
        <f>Data!G1480</f>
        <v>0</v>
      </c>
      <c r="N1467">
        <f>Data!H1480</f>
        <v>0</v>
      </c>
      <c r="O1467">
        <f>Data!I1480</f>
        <v>0</v>
      </c>
      <c r="P1467" s="21">
        <f>Data!J1484</f>
        <v>0</v>
      </c>
      <c r="Q1467">
        <f>Data!K1484</f>
        <v>0</v>
      </c>
      <c r="R1467">
        <f>Data!L1484</f>
        <v>0</v>
      </c>
      <c r="S1467">
        <f>Data!M1484</f>
        <v>0</v>
      </c>
      <c r="T1467">
        <f>Data!N1484</f>
        <v>0</v>
      </c>
      <c r="U1467">
        <f>Data!O1484</f>
        <v>0</v>
      </c>
      <c r="V1467" s="33">
        <f>Data!P1482</f>
        <v>0</v>
      </c>
    </row>
    <row r="1468" spans="7:22" x14ac:dyDescent="0.25">
      <c r="G1468">
        <f>Data!A1481</f>
        <v>0</v>
      </c>
      <c r="H1468" s="21">
        <f>Data!B1481</f>
        <v>0</v>
      </c>
      <c r="I1468" s="21">
        <f>Data!C1481</f>
        <v>0</v>
      </c>
      <c r="J1468">
        <f>Data!D1481</f>
        <v>0</v>
      </c>
      <c r="K1468">
        <f>Data!E1481</f>
        <v>0</v>
      </c>
      <c r="L1468">
        <f>Data!F1481</f>
        <v>0</v>
      </c>
      <c r="M1468">
        <f>Data!G1481</f>
        <v>0</v>
      </c>
      <c r="N1468">
        <f>Data!H1481</f>
        <v>0</v>
      </c>
      <c r="O1468">
        <f>Data!I1481</f>
        <v>0</v>
      </c>
      <c r="P1468" s="21">
        <f>Data!J1485</f>
        <v>0</v>
      </c>
      <c r="Q1468">
        <f>Data!K1485</f>
        <v>0</v>
      </c>
      <c r="R1468">
        <f>Data!L1485</f>
        <v>0</v>
      </c>
      <c r="S1468">
        <f>Data!M1485</f>
        <v>0</v>
      </c>
      <c r="T1468">
        <f>Data!N1485</f>
        <v>0</v>
      </c>
      <c r="U1468">
        <f>Data!O1485</f>
        <v>0</v>
      </c>
      <c r="V1468" s="33">
        <f>Data!P1483</f>
        <v>0</v>
      </c>
    </row>
    <row r="1469" spans="7:22" x14ac:dyDescent="0.25">
      <c r="G1469">
        <f>Data!A1482</f>
        <v>0</v>
      </c>
      <c r="H1469" s="21">
        <f>Data!B1482</f>
        <v>0</v>
      </c>
      <c r="I1469" s="21">
        <f>Data!C1482</f>
        <v>0</v>
      </c>
      <c r="J1469">
        <f>Data!D1482</f>
        <v>0</v>
      </c>
      <c r="K1469">
        <f>Data!E1482</f>
        <v>0</v>
      </c>
      <c r="L1469">
        <f>Data!F1482</f>
        <v>0</v>
      </c>
      <c r="M1469">
        <f>Data!G1482</f>
        <v>0</v>
      </c>
      <c r="N1469">
        <f>Data!H1482</f>
        <v>0</v>
      </c>
      <c r="O1469">
        <f>Data!I1482</f>
        <v>0</v>
      </c>
      <c r="P1469" s="21">
        <f>Data!J1486</f>
        <v>0</v>
      </c>
      <c r="Q1469">
        <f>Data!K1486</f>
        <v>0</v>
      </c>
      <c r="R1469">
        <f>Data!L1486</f>
        <v>0</v>
      </c>
      <c r="S1469">
        <f>Data!M1486</f>
        <v>0</v>
      </c>
      <c r="T1469">
        <f>Data!N1486</f>
        <v>0</v>
      </c>
      <c r="U1469">
        <f>Data!O1486</f>
        <v>0</v>
      </c>
      <c r="V1469" s="33">
        <f>Data!P1484</f>
        <v>0</v>
      </c>
    </row>
    <row r="1470" spans="7:22" x14ac:dyDescent="0.25">
      <c r="G1470">
        <f>Data!A1483</f>
        <v>0</v>
      </c>
      <c r="H1470" s="21">
        <f>Data!B1483</f>
        <v>0</v>
      </c>
      <c r="I1470" s="21">
        <f>Data!C1483</f>
        <v>0</v>
      </c>
      <c r="J1470">
        <f>Data!D1483</f>
        <v>0</v>
      </c>
      <c r="K1470">
        <f>Data!E1483</f>
        <v>0</v>
      </c>
      <c r="L1470">
        <f>Data!F1483</f>
        <v>0</v>
      </c>
      <c r="M1470">
        <f>Data!G1483</f>
        <v>0</v>
      </c>
      <c r="N1470">
        <f>Data!H1483</f>
        <v>0</v>
      </c>
      <c r="O1470">
        <f>Data!I1483</f>
        <v>0</v>
      </c>
      <c r="P1470" s="21">
        <f>Data!J1487</f>
        <v>0</v>
      </c>
      <c r="Q1470">
        <f>Data!K1487</f>
        <v>0</v>
      </c>
      <c r="R1470">
        <f>Data!L1487</f>
        <v>0</v>
      </c>
      <c r="S1470">
        <f>Data!M1487</f>
        <v>0</v>
      </c>
      <c r="T1470">
        <f>Data!N1487</f>
        <v>0</v>
      </c>
      <c r="U1470">
        <f>Data!O1487</f>
        <v>0</v>
      </c>
      <c r="V1470" s="33">
        <f>Data!P1485</f>
        <v>0</v>
      </c>
    </row>
    <row r="1471" spans="7:22" x14ac:dyDescent="0.25">
      <c r="G1471">
        <f>Data!A1484</f>
        <v>0</v>
      </c>
      <c r="H1471" s="21">
        <f>Data!B1484</f>
        <v>0</v>
      </c>
      <c r="I1471" s="21">
        <f>Data!C1484</f>
        <v>0</v>
      </c>
      <c r="J1471">
        <f>Data!D1484</f>
        <v>0</v>
      </c>
      <c r="K1471">
        <f>Data!E1484</f>
        <v>0</v>
      </c>
      <c r="L1471">
        <f>Data!F1484</f>
        <v>0</v>
      </c>
      <c r="M1471">
        <f>Data!G1484</f>
        <v>0</v>
      </c>
      <c r="N1471">
        <f>Data!H1484</f>
        <v>0</v>
      </c>
      <c r="O1471">
        <f>Data!I1484</f>
        <v>0</v>
      </c>
      <c r="P1471" s="21">
        <f>Data!J1488</f>
        <v>0</v>
      </c>
      <c r="Q1471">
        <f>Data!K1488</f>
        <v>0</v>
      </c>
      <c r="R1471">
        <f>Data!L1488</f>
        <v>0</v>
      </c>
      <c r="S1471">
        <f>Data!M1488</f>
        <v>0</v>
      </c>
      <c r="T1471">
        <f>Data!N1488</f>
        <v>0</v>
      </c>
      <c r="U1471">
        <f>Data!O1488</f>
        <v>0</v>
      </c>
      <c r="V1471" s="33">
        <f>Data!P1486</f>
        <v>0</v>
      </c>
    </row>
    <row r="1472" spans="7:22" x14ac:dyDescent="0.25">
      <c r="G1472">
        <f>Data!A1485</f>
        <v>0</v>
      </c>
      <c r="H1472" s="21">
        <f>Data!B1485</f>
        <v>0</v>
      </c>
      <c r="I1472" s="21">
        <f>Data!C1485</f>
        <v>0</v>
      </c>
      <c r="J1472">
        <f>Data!D1485</f>
        <v>0</v>
      </c>
      <c r="K1472">
        <f>Data!E1485</f>
        <v>0</v>
      </c>
      <c r="L1472">
        <f>Data!F1485</f>
        <v>0</v>
      </c>
      <c r="M1472">
        <f>Data!G1485</f>
        <v>0</v>
      </c>
      <c r="N1472">
        <f>Data!H1485</f>
        <v>0</v>
      </c>
      <c r="O1472">
        <f>Data!I1485</f>
        <v>0</v>
      </c>
      <c r="P1472" s="21">
        <f>Data!J1489</f>
        <v>0</v>
      </c>
      <c r="Q1472">
        <f>Data!K1489</f>
        <v>0</v>
      </c>
      <c r="R1472">
        <f>Data!L1489</f>
        <v>0</v>
      </c>
      <c r="S1472">
        <f>Data!M1489</f>
        <v>0</v>
      </c>
      <c r="T1472">
        <f>Data!N1489</f>
        <v>0</v>
      </c>
      <c r="U1472">
        <f>Data!O1489</f>
        <v>0</v>
      </c>
      <c r="V1472" s="33">
        <f>Data!P1487</f>
        <v>0</v>
      </c>
    </row>
    <row r="1473" spans="7:22" x14ac:dyDescent="0.25">
      <c r="G1473">
        <f>Data!A1486</f>
        <v>0</v>
      </c>
      <c r="H1473" s="21">
        <f>Data!B1486</f>
        <v>0</v>
      </c>
      <c r="I1473" s="21">
        <f>Data!C1486</f>
        <v>0</v>
      </c>
      <c r="J1473">
        <f>Data!D1486</f>
        <v>0</v>
      </c>
      <c r="K1473">
        <f>Data!E1486</f>
        <v>0</v>
      </c>
      <c r="L1473">
        <f>Data!F1486</f>
        <v>0</v>
      </c>
      <c r="M1473">
        <f>Data!G1486</f>
        <v>0</v>
      </c>
      <c r="N1473">
        <f>Data!H1486</f>
        <v>0</v>
      </c>
      <c r="O1473">
        <f>Data!I1486</f>
        <v>0</v>
      </c>
      <c r="P1473" s="21">
        <f>Data!J1490</f>
        <v>0</v>
      </c>
      <c r="Q1473">
        <f>Data!K1490</f>
        <v>0</v>
      </c>
      <c r="R1473">
        <f>Data!L1490</f>
        <v>0</v>
      </c>
      <c r="S1473">
        <f>Data!M1490</f>
        <v>0</v>
      </c>
      <c r="T1473">
        <f>Data!N1490</f>
        <v>0</v>
      </c>
      <c r="U1473">
        <f>Data!O1490</f>
        <v>0</v>
      </c>
      <c r="V1473" s="33">
        <f>Data!P1488</f>
        <v>0</v>
      </c>
    </row>
    <row r="1474" spans="7:22" x14ac:dyDescent="0.25">
      <c r="G1474">
        <f>Data!A1487</f>
        <v>0</v>
      </c>
      <c r="H1474" s="21">
        <f>Data!B1487</f>
        <v>0</v>
      </c>
      <c r="I1474" s="21">
        <f>Data!C1487</f>
        <v>0</v>
      </c>
      <c r="J1474">
        <f>Data!D1487</f>
        <v>0</v>
      </c>
      <c r="K1474">
        <f>Data!E1487</f>
        <v>0</v>
      </c>
      <c r="L1474">
        <f>Data!F1487</f>
        <v>0</v>
      </c>
      <c r="M1474">
        <f>Data!G1487</f>
        <v>0</v>
      </c>
      <c r="N1474">
        <f>Data!H1487</f>
        <v>0</v>
      </c>
      <c r="O1474">
        <f>Data!I1487</f>
        <v>0</v>
      </c>
      <c r="P1474" s="21">
        <f>Data!J1491</f>
        <v>0</v>
      </c>
      <c r="Q1474">
        <f>Data!K1491</f>
        <v>0</v>
      </c>
      <c r="R1474">
        <f>Data!L1491</f>
        <v>0</v>
      </c>
      <c r="S1474">
        <f>Data!M1491</f>
        <v>0</v>
      </c>
      <c r="T1474">
        <f>Data!N1491</f>
        <v>0</v>
      </c>
      <c r="U1474">
        <f>Data!O1491</f>
        <v>0</v>
      </c>
      <c r="V1474" s="33">
        <f>Data!P1489</f>
        <v>0</v>
      </c>
    </row>
    <row r="1475" spans="7:22" x14ac:dyDescent="0.25">
      <c r="G1475">
        <f>Data!A1488</f>
        <v>0</v>
      </c>
      <c r="H1475" s="21">
        <f>Data!B1488</f>
        <v>0</v>
      </c>
      <c r="I1475" s="21">
        <f>Data!C1488</f>
        <v>0</v>
      </c>
      <c r="J1475">
        <f>Data!D1488</f>
        <v>0</v>
      </c>
      <c r="K1475">
        <f>Data!E1488</f>
        <v>0</v>
      </c>
      <c r="L1475">
        <f>Data!F1488</f>
        <v>0</v>
      </c>
      <c r="M1475">
        <f>Data!G1488</f>
        <v>0</v>
      </c>
      <c r="N1475">
        <f>Data!H1488</f>
        <v>0</v>
      </c>
      <c r="O1475">
        <f>Data!I1488</f>
        <v>0</v>
      </c>
      <c r="P1475" s="21">
        <f>Data!J1492</f>
        <v>0</v>
      </c>
      <c r="Q1475">
        <f>Data!K1492</f>
        <v>0</v>
      </c>
      <c r="R1475">
        <f>Data!L1492</f>
        <v>0</v>
      </c>
      <c r="S1475">
        <f>Data!M1492</f>
        <v>0</v>
      </c>
      <c r="T1475">
        <f>Data!N1492</f>
        <v>0</v>
      </c>
      <c r="U1475">
        <f>Data!O1492</f>
        <v>0</v>
      </c>
      <c r="V1475" s="33">
        <f>Data!P1490</f>
        <v>0</v>
      </c>
    </row>
    <row r="1476" spans="7:22" x14ac:dyDescent="0.25">
      <c r="G1476">
        <f>Data!A1489</f>
        <v>0</v>
      </c>
      <c r="H1476" s="21">
        <f>Data!B1489</f>
        <v>0</v>
      </c>
      <c r="I1476" s="21">
        <f>Data!C1489</f>
        <v>0</v>
      </c>
      <c r="J1476">
        <f>Data!D1489</f>
        <v>0</v>
      </c>
      <c r="K1476">
        <f>Data!E1489</f>
        <v>0</v>
      </c>
      <c r="L1476">
        <f>Data!F1489</f>
        <v>0</v>
      </c>
      <c r="M1476">
        <f>Data!G1489</f>
        <v>0</v>
      </c>
      <c r="N1476">
        <f>Data!H1489</f>
        <v>0</v>
      </c>
      <c r="O1476">
        <f>Data!I1489</f>
        <v>0</v>
      </c>
      <c r="P1476" s="21">
        <f>Data!J1493</f>
        <v>0</v>
      </c>
      <c r="Q1476">
        <f>Data!K1493</f>
        <v>0</v>
      </c>
      <c r="R1476">
        <f>Data!L1493</f>
        <v>0</v>
      </c>
      <c r="S1476">
        <f>Data!M1493</f>
        <v>0</v>
      </c>
      <c r="T1476">
        <f>Data!N1493</f>
        <v>0</v>
      </c>
      <c r="U1476">
        <f>Data!O1493</f>
        <v>0</v>
      </c>
      <c r="V1476" s="33">
        <f>Data!P1491</f>
        <v>0</v>
      </c>
    </row>
    <row r="1477" spans="7:22" x14ac:dyDescent="0.25">
      <c r="G1477">
        <f>Data!A1490</f>
        <v>0</v>
      </c>
      <c r="H1477" s="21">
        <f>Data!B1490</f>
        <v>0</v>
      </c>
      <c r="I1477" s="21">
        <f>Data!C1490</f>
        <v>0</v>
      </c>
      <c r="J1477">
        <f>Data!D1490</f>
        <v>0</v>
      </c>
      <c r="K1477">
        <f>Data!E1490</f>
        <v>0</v>
      </c>
      <c r="L1477">
        <f>Data!F1490</f>
        <v>0</v>
      </c>
      <c r="M1477">
        <f>Data!G1490</f>
        <v>0</v>
      </c>
      <c r="N1477">
        <f>Data!H1490</f>
        <v>0</v>
      </c>
      <c r="O1477">
        <f>Data!I1490</f>
        <v>0</v>
      </c>
      <c r="P1477" s="21">
        <f>Data!J1494</f>
        <v>0</v>
      </c>
      <c r="Q1477">
        <f>Data!K1494</f>
        <v>0</v>
      </c>
      <c r="R1477">
        <f>Data!L1494</f>
        <v>0</v>
      </c>
      <c r="S1477">
        <f>Data!M1494</f>
        <v>0</v>
      </c>
      <c r="T1477">
        <f>Data!N1494</f>
        <v>0</v>
      </c>
      <c r="U1477">
        <f>Data!O1494</f>
        <v>0</v>
      </c>
      <c r="V1477" s="33">
        <f>Data!P1492</f>
        <v>0</v>
      </c>
    </row>
    <row r="1478" spans="7:22" x14ac:dyDescent="0.25">
      <c r="G1478">
        <f>Data!A1491</f>
        <v>0</v>
      </c>
      <c r="H1478" s="21">
        <f>Data!B1491</f>
        <v>0</v>
      </c>
      <c r="I1478" s="21">
        <f>Data!C1491</f>
        <v>0</v>
      </c>
      <c r="J1478">
        <f>Data!D1491</f>
        <v>0</v>
      </c>
      <c r="K1478">
        <f>Data!E1491</f>
        <v>0</v>
      </c>
      <c r="L1478">
        <f>Data!F1491</f>
        <v>0</v>
      </c>
      <c r="M1478">
        <f>Data!G1491</f>
        <v>0</v>
      </c>
      <c r="N1478">
        <f>Data!H1491</f>
        <v>0</v>
      </c>
      <c r="O1478">
        <f>Data!I1491</f>
        <v>0</v>
      </c>
      <c r="P1478" s="21">
        <f>Data!J1495</f>
        <v>0</v>
      </c>
      <c r="Q1478">
        <f>Data!K1495</f>
        <v>0</v>
      </c>
      <c r="R1478">
        <f>Data!L1495</f>
        <v>0</v>
      </c>
      <c r="S1478">
        <f>Data!M1495</f>
        <v>0</v>
      </c>
      <c r="T1478">
        <f>Data!N1495</f>
        <v>0</v>
      </c>
      <c r="U1478">
        <f>Data!O1495</f>
        <v>0</v>
      </c>
      <c r="V1478" s="33">
        <f>Data!P1493</f>
        <v>0</v>
      </c>
    </row>
    <row r="1479" spans="7:22" x14ac:dyDescent="0.25">
      <c r="G1479">
        <f>Data!A1492</f>
        <v>0</v>
      </c>
      <c r="H1479" s="21">
        <f>Data!B1492</f>
        <v>0</v>
      </c>
      <c r="I1479" s="21">
        <f>Data!C1492</f>
        <v>0</v>
      </c>
      <c r="J1479">
        <f>Data!D1492</f>
        <v>0</v>
      </c>
      <c r="K1479">
        <f>Data!E1492</f>
        <v>0</v>
      </c>
      <c r="L1479">
        <f>Data!F1492</f>
        <v>0</v>
      </c>
      <c r="M1479">
        <f>Data!G1492</f>
        <v>0</v>
      </c>
      <c r="N1479">
        <f>Data!H1492</f>
        <v>0</v>
      </c>
      <c r="O1479">
        <f>Data!I1492</f>
        <v>0</v>
      </c>
      <c r="P1479" s="21">
        <f>Data!J1496</f>
        <v>0</v>
      </c>
      <c r="Q1479">
        <f>Data!K1496</f>
        <v>0</v>
      </c>
      <c r="R1479">
        <f>Data!L1496</f>
        <v>0</v>
      </c>
      <c r="S1479">
        <f>Data!M1496</f>
        <v>0</v>
      </c>
      <c r="T1479">
        <f>Data!N1496</f>
        <v>0</v>
      </c>
      <c r="U1479">
        <f>Data!O1496</f>
        <v>0</v>
      </c>
      <c r="V1479" s="33">
        <f>Data!P1494</f>
        <v>0</v>
      </c>
    </row>
    <row r="1480" spans="7:22" x14ac:dyDescent="0.25">
      <c r="G1480">
        <f>Data!A1493</f>
        <v>0</v>
      </c>
      <c r="H1480" s="21">
        <f>Data!B1493</f>
        <v>0</v>
      </c>
      <c r="I1480" s="21">
        <f>Data!C1493</f>
        <v>0</v>
      </c>
      <c r="J1480">
        <f>Data!D1493</f>
        <v>0</v>
      </c>
      <c r="K1480">
        <f>Data!E1493</f>
        <v>0</v>
      </c>
      <c r="L1480">
        <f>Data!F1493</f>
        <v>0</v>
      </c>
      <c r="M1480">
        <f>Data!G1493</f>
        <v>0</v>
      </c>
      <c r="N1480">
        <f>Data!H1493</f>
        <v>0</v>
      </c>
      <c r="O1480">
        <f>Data!I1493</f>
        <v>0</v>
      </c>
      <c r="P1480" s="21">
        <f>Data!J1497</f>
        <v>0</v>
      </c>
      <c r="Q1480">
        <f>Data!K1497</f>
        <v>0</v>
      </c>
      <c r="R1480">
        <f>Data!L1497</f>
        <v>0</v>
      </c>
      <c r="S1480">
        <f>Data!M1497</f>
        <v>0</v>
      </c>
      <c r="T1480">
        <f>Data!N1497</f>
        <v>0</v>
      </c>
      <c r="U1480">
        <f>Data!O1497</f>
        <v>0</v>
      </c>
      <c r="V1480" s="33">
        <f>Data!P1495</f>
        <v>0</v>
      </c>
    </row>
    <row r="1481" spans="7:22" x14ac:dyDescent="0.25">
      <c r="G1481">
        <f>Data!A1494</f>
        <v>0</v>
      </c>
      <c r="H1481" s="21">
        <f>Data!B1494</f>
        <v>0</v>
      </c>
      <c r="I1481" s="21">
        <f>Data!C1494</f>
        <v>0</v>
      </c>
      <c r="J1481">
        <f>Data!D1494</f>
        <v>0</v>
      </c>
      <c r="K1481">
        <f>Data!E1494</f>
        <v>0</v>
      </c>
      <c r="L1481">
        <f>Data!F1494</f>
        <v>0</v>
      </c>
      <c r="M1481">
        <f>Data!G1494</f>
        <v>0</v>
      </c>
      <c r="N1481">
        <f>Data!H1494</f>
        <v>0</v>
      </c>
      <c r="O1481">
        <f>Data!I1494</f>
        <v>0</v>
      </c>
      <c r="P1481" s="21">
        <f>Data!J1498</f>
        <v>0</v>
      </c>
      <c r="Q1481">
        <f>Data!K1498</f>
        <v>0</v>
      </c>
      <c r="R1481">
        <f>Data!L1498</f>
        <v>0</v>
      </c>
      <c r="S1481">
        <f>Data!M1498</f>
        <v>0</v>
      </c>
      <c r="T1481">
        <f>Data!N1498</f>
        <v>0</v>
      </c>
      <c r="U1481">
        <f>Data!O1498</f>
        <v>0</v>
      </c>
      <c r="V1481" s="33">
        <f>Data!P1496</f>
        <v>0</v>
      </c>
    </row>
    <row r="1482" spans="7:22" x14ac:dyDescent="0.25">
      <c r="G1482">
        <f>Data!A1495</f>
        <v>0</v>
      </c>
      <c r="H1482" s="21">
        <f>Data!B1495</f>
        <v>0</v>
      </c>
      <c r="I1482" s="21">
        <f>Data!C1495</f>
        <v>0</v>
      </c>
      <c r="J1482">
        <f>Data!D1495</f>
        <v>0</v>
      </c>
      <c r="K1482">
        <f>Data!E1495</f>
        <v>0</v>
      </c>
      <c r="L1482">
        <f>Data!F1495</f>
        <v>0</v>
      </c>
      <c r="M1482">
        <f>Data!G1495</f>
        <v>0</v>
      </c>
      <c r="N1482">
        <f>Data!H1495</f>
        <v>0</v>
      </c>
      <c r="O1482">
        <f>Data!I1495</f>
        <v>0</v>
      </c>
      <c r="P1482" s="21">
        <f>Data!J1499</f>
        <v>0</v>
      </c>
      <c r="Q1482">
        <f>Data!K1499</f>
        <v>0</v>
      </c>
      <c r="R1482">
        <f>Data!L1499</f>
        <v>0</v>
      </c>
      <c r="S1482">
        <f>Data!M1499</f>
        <v>0</v>
      </c>
      <c r="T1482">
        <f>Data!N1499</f>
        <v>0</v>
      </c>
      <c r="U1482">
        <f>Data!O1499</f>
        <v>0</v>
      </c>
      <c r="V1482" s="33">
        <f>Data!P1497</f>
        <v>0</v>
      </c>
    </row>
    <row r="1483" spans="7:22" x14ac:dyDescent="0.25">
      <c r="G1483">
        <f>Data!A1496</f>
        <v>0</v>
      </c>
      <c r="H1483" s="21">
        <f>Data!B1496</f>
        <v>0</v>
      </c>
      <c r="I1483" s="21">
        <f>Data!C1496</f>
        <v>0</v>
      </c>
      <c r="J1483">
        <f>Data!D1496</f>
        <v>0</v>
      </c>
      <c r="K1483">
        <f>Data!E1496</f>
        <v>0</v>
      </c>
      <c r="L1483">
        <f>Data!F1496</f>
        <v>0</v>
      </c>
      <c r="M1483">
        <f>Data!G1496</f>
        <v>0</v>
      </c>
      <c r="N1483">
        <f>Data!H1496</f>
        <v>0</v>
      </c>
      <c r="O1483">
        <f>Data!I1496</f>
        <v>0</v>
      </c>
      <c r="P1483" s="21">
        <f>Data!J1500</f>
        <v>0</v>
      </c>
      <c r="Q1483">
        <f>Data!K1500</f>
        <v>0</v>
      </c>
      <c r="R1483">
        <f>Data!L1500</f>
        <v>0</v>
      </c>
      <c r="S1483">
        <f>Data!M1500</f>
        <v>0</v>
      </c>
      <c r="T1483">
        <f>Data!N1500</f>
        <v>0</v>
      </c>
      <c r="U1483">
        <f>Data!O1500</f>
        <v>0</v>
      </c>
      <c r="V1483" s="33">
        <f>Data!P1498</f>
        <v>0</v>
      </c>
    </row>
    <row r="1484" spans="7:22" x14ac:dyDescent="0.25">
      <c r="G1484">
        <f>Data!A1497</f>
        <v>0</v>
      </c>
      <c r="H1484" s="21">
        <f>Data!B1497</f>
        <v>0</v>
      </c>
      <c r="I1484" s="21">
        <f>Data!C1497</f>
        <v>0</v>
      </c>
      <c r="J1484">
        <f>Data!D1497</f>
        <v>0</v>
      </c>
      <c r="K1484">
        <f>Data!E1497</f>
        <v>0</v>
      </c>
      <c r="L1484">
        <f>Data!F1497</f>
        <v>0</v>
      </c>
      <c r="M1484">
        <f>Data!G1497</f>
        <v>0</v>
      </c>
      <c r="N1484">
        <f>Data!H1497</f>
        <v>0</v>
      </c>
      <c r="O1484">
        <f>Data!I1497</f>
        <v>0</v>
      </c>
      <c r="P1484" s="21">
        <f>Data!J1501</f>
        <v>0</v>
      </c>
      <c r="Q1484">
        <f>Data!K1501</f>
        <v>0</v>
      </c>
      <c r="R1484">
        <f>Data!L1501</f>
        <v>0</v>
      </c>
      <c r="S1484">
        <f>Data!M1501</f>
        <v>0</v>
      </c>
      <c r="T1484">
        <f>Data!N1501</f>
        <v>0</v>
      </c>
      <c r="U1484">
        <f>Data!O1501</f>
        <v>0</v>
      </c>
      <c r="V1484" s="33">
        <f>Data!P1499</f>
        <v>0</v>
      </c>
    </row>
    <row r="1485" spans="7:22" x14ac:dyDescent="0.25">
      <c r="G1485">
        <f>Data!A1498</f>
        <v>0</v>
      </c>
      <c r="H1485" s="21">
        <f>Data!B1498</f>
        <v>0</v>
      </c>
      <c r="I1485" s="21">
        <f>Data!C1498</f>
        <v>0</v>
      </c>
      <c r="J1485">
        <f>Data!D1498</f>
        <v>0</v>
      </c>
      <c r="K1485">
        <f>Data!E1498</f>
        <v>0</v>
      </c>
      <c r="L1485">
        <f>Data!F1498</f>
        <v>0</v>
      </c>
      <c r="M1485">
        <f>Data!G1498</f>
        <v>0</v>
      </c>
      <c r="N1485">
        <f>Data!H1498</f>
        <v>0</v>
      </c>
      <c r="O1485">
        <f>Data!I1498</f>
        <v>0</v>
      </c>
      <c r="P1485" s="21">
        <f>Data!J1502</f>
        <v>0</v>
      </c>
      <c r="Q1485">
        <f>Data!K1502</f>
        <v>0</v>
      </c>
      <c r="R1485">
        <f>Data!L1502</f>
        <v>0</v>
      </c>
      <c r="S1485">
        <f>Data!M1502</f>
        <v>0</v>
      </c>
      <c r="T1485">
        <f>Data!N1502</f>
        <v>0</v>
      </c>
      <c r="U1485">
        <f>Data!O1502</f>
        <v>0</v>
      </c>
      <c r="V1485" s="33">
        <f>Data!P1500</f>
        <v>0</v>
      </c>
    </row>
    <row r="1486" spans="7:22" x14ac:dyDescent="0.25">
      <c r="G1486">
        <f>Data!A1499</f>
        <v>0</v>
      </c>
      <c r="H1486" s="21">
        <f>Data!B1499</f>
        <v>0</v>
      </c>
      <c r="I1486" s="21">
        <f>Data!C1499</f>
        <v>0</v>
      </c>
      <c r="J1486">
        <f>Data!D1499</f>
        <v>0</v>
      </c>
      <c r="K1486">
        <f>Data!E1499</f>
        <v>0</v>
      </c>
      <c r="L1486">
        <f>Data!F1499</f>
        <v>0</v>
      </c>
      <c r="M1486">
        <f>Data!G1499</f>
        <v>0</v>
      </c>
      <c r="N1486">
        <f>Data!H1499</f>
        <v>0</v>
      </c>
      <c r="O1486">
        <f>Data!I1499</f>
        <v>0</v>
      </c>
      <c r="P1486" s="21">
        <f>Data!J1503</f>
        <v>0</v>
      </c>
      <c r="Q1486">
        <f>Data!K1503</f>
        <v>0</v>
      </c>
      <c r="R1486">
        <f>Data!L1503</f>
        <v>0</v>
      </c>
      <c r="S1486">
        <f>Data!M1503</f>
        <v>0</v>
      </c>
      <c r="T1486">
        <f>Data!N1503</f>
        <v>0</v>
      </c>
      <c r="U1486">
        <f>Data!O1503</f>
        <v>0</v>
      </c>
      <c r="V1486" s="33">
        <f>Data!P1501</f>
        <v>0</v>
      </c>
    </row>
    <row r="1487" spans="7:22" x14ac:dyDescent="0.25">
      <c r="G1487">
        <f>Data!A1500</f>
        <v>0</v>
      </c>
      <c r="H1487" s="21">
        <f>Data!B1500</f>
        <v>0</v>
      </c>
      <c r="I1487" s="21">
        <f>Data!C1500</f>
        <v>0</v>
      </c>
      <c r="J1487">
        <f>Data!D1500</f>
        <v>0</v>
      </c>
      <c r="K1487">
        <f>Data!E1500</f>
        <v>0</v>
      </c>
      <c r="L1487">
        <f>Data!F1500</f>
        <v>0</v>
      </c>
      <c r="M1487">
        <f>Data!G1500</f>
        <v>0</v>
      </c>
      <c r="N1487">
        <f>Data!H1500</f>
        <v>0</v>
      </c>
      <c r="O1487">
        <f>Data!I1500</f>
        <v>0</v>
      </c>
      <c r="P1487" s="21">
        <f>Data!J1504</f>
        <v>0</v>
      </c>
      <c r="Q1487">
        <f>Data!K1504</f>
        <v>0</v>
      </c>
      <c r="R1487">
        <f>Data!L1504</f>
        <v>0</v>
      </c>
      <c r="S1487">
        <f>Data!M1504</f>
        <v>0</v>
      </c>
      <c r="T1487">
        <f>Data!N1504</f>
        <v>0</v>
      </c>
      <c r="U1487">
        <f>Data!O1504</f>
        <v>0</v>
      </c>
      <c r="V1487" s="33">
        <f>Data!P1502</f>
        <v>0</v>
      </c>
    </row>
    <row r="1488" spans="7:22" x14ac:dyDescent="0.25">
      <c r="G1488">
        <f>Data!A1501</f>
        <v>0</v>
      </c>
      <c r="H1488" s="21">
        <f>Data!B1501</f>
        <v>0</v>
      </c>
      <c r="I1488" s="21">
        <f>Data!C1501</f>
        <v>0</v>
      </c>
      <c r="J1488">
        <f>Data!D1501</f>
        <v>0</v>
      </c>
      <c r="K1488">
        <f>Data!E1501</f>
        <v>0</v>
      </c>
      <c r="L1488">
        <f>Data!F1501</f>
        <v>0</v>
      </c>
      <c r="M1488">
        <f>Data!G1501</f>
        <v>0</v>
      </c>
      <c r="N1488">
        <f>Data!H1501</f>
        <v>0</v>
      </c>
      <c r="O1488">
        <f>Data!I1501</f>
        <v>0</v>
      </c>
      <c r="P1488" s="21">
        <f>Data!J1505</f>
        <v>0</v>
      </c>
      <c r="Q1488">
        <f>Data!K1505</f>
        <v>0</v>
      </c>
      <c r="R1488">
        <f>Data!L1505</f>
        <v>0</v>
      </c>
      <c r="S1488">
        <f>Data!M1505</f>
        <v>0</v>
      </c>
      <c r="T1488">
        <f>Data!N1505</f>
        <v>0</v>
      </c>
      <c r="U1488">
        <f>Data!O1505</f>
        <v>0</v>
      </c>
      <c r="V1488" s="33">
        <f>Data!P1503</f>
        <v>0</v>
      </c>
    </row>
    <row r="1489" spans="7:22" x14ac:dyDescent="0.25">
      <c r="G1489">
        <f>Data!A1502</f>
        <v>0</v>
      </c>
      <c r="H1489" s="21">
        <f>Data!B1502</f>
        <v>0</v>
      </c>
      <c r="I1489" s="21">
        <f>Data!C1502</f>
        <v>0</v>
      </c>
      <c r="J1489">
        <f>Data!D1502</f>
        <v>0</v>
      </c>
      <c r="K1489">
        <f>Data!E1502</f>
        <v>0</v>
      </c>
      <c r="L1489">
        <f>Data!F1502</f>
        <v>0</v>
      </c>
      <c r="M1489">
        <f>Data!G1502</f>
        <v>0</v>
      </c>
      <c r="N1489">
        <f>Data!H1502</f>
        <v>0</v>
      </c>
      <c r="O1489">
        <f>Data!I1502</f>
        <v>0</v>
      </c>
      <c r="P1489" s="21">
        <f>Data!J1506</f>
        <v>0</v>
      </c>
      <c r="Q1489">
        <f>Data!K1506</f>
        <v>0</v>
      </c>
      <c r="R1489">
        <f>Data!L1506</f>
        <v>0</v>
      </c>
      <c r="S1489">
        <f>Data!M1506</f>
        <v>0</v>
      </c>
      <c r="T1489">
        <f>Data!N1506</f>
        <v>0</v>
      </c>
      <c r="U1489">
        <f>Data!O1506</f>
        <v>0</v>
      </c>
      <c r="V1489" s="33">
        <f>Data!P1504</f>
        <v>0</v>
      </c>
    </row>
    <row r="1490" spans="7:22" x14ac:dyDescent="0.25">
      <c r="G1490">
        <f>Data!A1503</f>
        <v>0</v>
      </c>
      <c r="H1490" s="21">
        <f>Data!B1503</f>
        <v>0</v>
      </c>
      <c r="I1490" s="21">
        <f>Data!C1503</f>
        <v>0</v>
      </c>
      <c r="J1490">
        <f>Data!D1503</f>
        <v>0</v>
      </c>
      <c r="K1490">
        <f>Data!E1503</f>
        <v>0</v>
      </c>
      <c r="L1490">
        <f>Data!F1503</f>
        <v>0</v>
      </c>
      <c r="M1490">
        <f>Data!G1503</f>
        <v>0</v>
      </c>
      <c r="N1490">
        <f>Data!H1503</f>
        <v>0</v>
      </c>
      <c r="O1490">
        <f>Data!I1503</f>
        <v>0</v>
      </c>
      <c r="P1490" s="21">
        <f>Data!J1507</f>
        <v>0</v>
      </c>
      <c r="Q1490">
        <f>Data!K1507</f>
        <v>0</v>
      </c>
      <c r="R1490">
        <f>Data!L1507</f>
        <v>0</v>
      </c>
      <c r="S1490">
        <f>Data!M1507</f>
        <v>0</v>
      </c>
      <c r="T1490">
        <f>Data!N1507</f>
        <v>0</v>
      </c>
      <c r="U1490">
        <f>Data!O1507</f>
        <v>0</v>
      </c>
      <c r="V1490" s="33">
        <f>Data!P1505</f>
        <v>0</v>
      </c>
    </row>
    <row r="1491" spans="7:22" x14ac:dyDescent="0.25">
      <c r="G1491">
        <f>Data!A1504</f>
        <v>0</v>
      </c>
      <c r="H1491" s="21">
        <f>Data!B1504</f>
        <v>0</v>
      </c>
      <c r="I1491" s="21">
        <f>Data!C1504</f>
        <v>0</v>
      </c>
      <c r="J1491">
        <f>Data!D1504</f>
        <v>0</v>
      </c>
      <c r="K1491">
        <f>Data!E1504</f>
        <v>0</v>
      </c>
      <c r="L1491">
        <f>Data!F1504</f>
        <v>0</v>
      </c>
      <c r="M1491">
        <f>Data!G1504</f>
        <v>0</v>
      </c>
      <c r="N1491">
        <f>Data!H1504</f>
        <v>0</v>
      </c>
      <c r="O1491">
        <f>Data!I1504</f>
        <v>0</v>
      </c>
      <c r="P1491" s="21">
        <f>Data!J1508</f>
        <v>0</v>
      </c>
      <c r="Q1491">
        <f>Data!K1508</f>
        <v>0</v>
      </c>
      <c r="R1491">
        <f>Data!L1508</f>
        <v>0</v>
      </c>
      <c r="S1491">
        <f>Data!M1508</f>
        <v>0</v>
      </c>
      <c r="T1491">
        <f>Data!N1508</f>
        <v>0</v>
      </c>
      <c r="U1491">
        <f>Data!O1508</f>
        <v>0</v>
      </c>
      <c r="V1491" s="33">
        <f>Data!P1506</f>
        <v>0</v>
      </c>
    </row>
    <row r="1492" spans="7:22" x14ac:dyDescent="0.25">
      <c r="G1492">
        <f>Data!A1505</f>
        <v>0</v>
      </c>
      <c r="H1492" s="21">
        <f>Data!B1505</f>
        <v>0</v>
      </c>
      <c r="I1492" s="21">
        <f>Data!C1505</f>
        <v>0</v>
      </c>
      <c r="J1492">
        <f>Data!D1505</f>
        <v>0</v>
      </c>
      <c r="K1492">
        <f>Data!E1505</f>
        <v>0</v>
      </c>
      <c r="L1492">
        <f>Data!F1505</f>
        <v>0</v>
      </c>
      <c r="M1492">
        <f>Data!G1505</f>
        <v>0</v>
      </c>
      <c r="N1492">
        <f>Data!H1505</f>
        <v>0</v>
      </c>
      <c r="O1492">
        <f>Data!I1505</f>
        <v>0</v>
      </c>
      <c r="P1492" s="21">
        <f>Data!J1509</f>
        <v>0</v>
      </c>
      <c r="Q1492">
        <f>Data!K1509</f>
        <v>0</v>
      </c>
      <c r="R1492">
        <f>Data!L1509</f>
        <v>0</v>
      </c>
      <c r="S1492">
        <f>Data!M1509</f>
        <v>0</v>
      </c>
      <c r="T1492">
        <f>Data!N1509</f>
        <v>0</v>
      </c>
      <c r="U1492">
        <f>Data!O1509</f>
        <v>0</v>
      </c>
      <c r="V1492" s="33">
        <f>Data!P1507</f>
        <v>0</v>
      </c>
    </row>
    <row r="1493" spans="7:22" x14ac:dyDescent="0.25">
      <c r="G1493">
        <f>Data!A1506</f>
        <v>0</v>
      </c>
      <c r="H1493" s="21">
        <f>Data!B1506</f>
        <v>0</v>
      </c>
      <c r="I1493" s="21">
        <f>Data!C1506</f>
        <v>0</v>
      </c>
      <c r="J1493">
        <f>Data!D1506</f>
        <v>0</v>
      </c>
      <c r="K1493">
        <f>Data!E1506</f>
        <v>0</v>
      </c>
      <c r="L1493">
        <f>Data!F1506</f>
        <v>0</v>
      </c>
      <c r="M1493">
        <f>Data!G1506</f>
        <v>0</v>
      </c>
      <c r="N1493">
        <f>Data!H1506</f>
        <v>0</v>
      </c>
      <c r="O1493">
        <f>Data!I1506</f>
        <v>0</v>
      </c>
      <c r="P1493" s="21">
        <f>Data!J1510</f>
        <v>0</v>
      </c>
      <c r="Q1493">
        <f>Data!K1510</f>
        <v>0</v>
      </c>
      <c r="R1493">
        <f>Data!L1510</f>
        <v>0</v>
      </c>
      <c r="S1493">
        <f>Data!M1510</f>
        <v>0</v>
      </c>
      <c r="T1493">
        <f>Data!N1510</f>
        <v>0</v>
      </c>
      <c r="U1493">
        <f>Data!O1510</f>
        <v>0</v>
      </c>
      <c r="V1493" s="33">
        <f>Data!P1508</f>
        <v>0</v>
      </c>
    </row>
    <row r="1494" spans="7:22" x14ac:dyDescent="0.25">
      <c r="G1494">
        <f>Data!A1507</f>
        <v>0</v>
      </c>
      <c r="H1494" s="21">
        <f>Data!B1507</f>
        <v>0</v>
      </c>
      <c r="I1494" s="21">
        <f>Data!C1507</f>
        <v>0</v>
      </c>
      <c r="J1494">
        <f>Data!D1507</f>
        <v>0</v>
      </c>
      <c r="K1494">
        <f>Data!E1507</f>
        <v>0</v>
      </c>
      <c r="L1494">
        <f>Data!F1507</f>
        <v>0</v>
      </c>
      <c r="M1494">
        <f>Data!G1507</f>
        <v>0</v>
      </c>
      <c r="N1494">
        <f>Data!H1507</f>
        <v>0</v>
      </c>
      <c r="O1494">
        <f>Data!I1507</f>
        <v>0</v>
      </c>
      <c r="P1494" s="21">
        <f>Data!J1511</f>
        <v>0</v>
      </c>
      <c r="Q1494">
        <f>Data!K1511</f>
        <v>0</v>
      </c>
      <c r="R1494">
        <f>Data!L1511</f>
        <v>0</v>
      </c>
      <c r="S1494">
        <f>Data!M1511</f>
        <v>0</v>
      </c>
      <c r="T1494">
        <f>Data!N1511</f>
        <v>0</v>
      </c>
      <c r="U1494">
        <f>Data!O1511</f>
        <v>0</v>
      </c>
      <c r="V1494" s="33">
        <f>Data!P1509</f>
        <v>0</v>
      </c>
    </row>
    <row r="1495" spans="7:22" x14ac:dyDescent="0.25">
      <c r="G1495">
        <f>Data!A1508</f>
        <v>0</v>
      </c>
      <c r="H1495" s="21">
        <f>Data!B1508</f>
        <v>0</v>
      </c>
      <c r="I1495" s="21">
        <f>Data!C1508</f>
        <v>0</v>
      </c>
      <c r="J1495">
        <f>Data!D1508</f>
        <v>0</v>
      </c>
      <c r="K1495">
        <f>Data!E1508</f>
        <v>0</v>
      </c>
      <c r="L1495">
        <f>Data!F1508</f>
        <v>0</v>
      </c>
      <c r="M1495">
        <f>Data!G1508</f>
        <v>0</v>
      </c>
      <c r="N1495">
        <f>Data!H1508</f>
        <v>0</v>
      </c>
      <c r="O1495">
        <f>Data!I1508</f>
        <v>0</v>
      </c>
      <c r="P1495" s="21">
        <f>Data!J1512</f>
        <v>0</v>
      </c>
      <c r="Q1495">
        <f>Data!K1512</f>
        <v>0</v>
      </c>
      <c r="R1495">
        <f>Data!L1512</f>
        <v>0</v>
      </c>
      <c r="S1495">
        <f>Data!M1512</f>
        <v>0</v>
      </c>
      <c r="T1495">
        <f>Data!N1512</f>
        <v>0</v>
      </c>
      <c r="U1495">
        <f>Data!O1512</f>
        <v>0</v>
      </c>
      <c r="V1495" s="33">
        <f>Data!P1510</f>
        <v>0</v>
      </c>
    </row>
    <row r="1496" spans="7:22" x14ac:dyDescent="0.25">
      <c r="G1496">
        <f>Data!A1509</f>
        <v>0</v>
      </c>
      <c r="H1496" s="21">
        <f>Data!B1509</f>
        <v>0</v>
      </c>
      <c r="I1496" s="21">
        <f>Data!C1509</f>
        <v>0</v>
      </c>
      <c r="J1496">
        <f>Data!D1509</f>
        <v>0</v>
      </c>
      <c r="K1496">
        <f>Data!E1509</f>
        <v>0</v>
      </c>
      <c r="L1496">
        <f>Data!F1509</f>
        <v>0</v>
      </c>
      <c r="M1496">
        <f>Data!G1509</f>
        <v>0</v>
      </c>
      <c r="N1496">
        <f>Data!H1509</f>
        <v>0</v>
      </c>
      <c r="O1496">
        <f>Data!I1509</f>
        <v>0</v>
      </c>
      <c r="P1496" s="21">
        <f>Data!J1513</f>
        <v>0</v>
      </c>
      <c r="Q1496">
        <f>Data!K1513</f>
        <v>0</v>
      </c>
      <c r="R1496">
        <f>Data!L1513</f>
        <v>0</v>
      </c>
      <c r="S1496">
        <f>Data!M1513</f>
        <v>0</v>
      </c>
      <c r="T1496">
        <f>Data!N1513</f>
        <v>0</v>
      </c>
      <c r="U1496">
        <f>Data!O1513</f>
        <v>0</v>
      </c>
      <c r="V1496" s="33">
        <f>Data!P1511</f>
        <v>0</v>
      </c>
    </row>
    <row r="1497" spans="7:22" x14ac:dyDescent="0.25">
      <c r="G1497">
        <f>Data!A1510</f>
        <v>0</v>
      </c>
      <c r="H1497" s="21">
        <f>Data!B1510</f>
        <v>0</v>
      </c>
      <c r="I1497" s="21">
        <f>Data!C1510</f>
        <v>0</v>
      </c>
      <c r="J1497">
        <f>Data!D1510</f>
        <v>0</v>
      </c>
      <c r="K1497">
        <f>Data!E1510</f>
        <v>0</v>
      </c>
      <c r="L1497">
        <f>Data!F1510</f>
        <v>0</v>
      </c>
      <c r="M1497">
        <f>Data!G1510</f>
        <v>0</v>
      </c>
      <c r="N1497">
        <f>Data!H1510</f>
        <v>0</v>
      </c>
      <c r="O1497">
        <f>Data!I1510</f>
        <v>0</v>
      </c>
      <c r="P1497" s="21">
        <f>Data!J1514</f>
        <v>0</v>
      </c>
      <c r="Q1497">
        <f>Data!K1514</f>
        <v>0</v>
      </c>
      <c r="R1497">
        <f>Data!L1514</f>
        <v>0</v>
      </c>
      <c r="S1497">
        <f>Data!M1514</f>
        <v>0</v>
      </c>
      <c r="T1497">
        <f>Data!N1514</f>
        <v>0</v>
      </c>
      <c r="U1497">
        <f>Data!O1514</f>
        <v>0</v>
      </c>
      <c r="V1497" s="33">
        <f>Data!P1512</f>
        <v>0</v>
      </c>
    </row>
    <row r="1498" spans="7:22" x14ac:dyDescent="0.25">
      <c r="G1498">
        <f>Data!A1511</f>
        <v>0</v>
      </c>
      <c r="H1498" s="21">
        <f>Data!B1511</f>
        <v>0</v>
      </c>
      <c r="I1498" s="21">
        <f>Data!C1511</f>
        <v>0</v>
      </c>
      <c r="J1498">
        <f>Data!D1511</f>
        <v>0</v>
      </c>
      <c r="K1498">
        <f>Data!E1511</f>
        <v>0</v>
      </c>
      <c r="L1498">
        <f>Data!F1511</f>
        <v>0</v>
      </c>
      <c r="M1498">
        <f>Data!G1511</f>
        <v>0</v>
      </c>
      <c r="N1498">
        <f>Data!H1511</f>
        <v>0</v>
      </c>
      <c r="O1498">
        <f>Data!I1511</f>
        <v>0</v>
      </c>
      <c r="P1498" s="21">
        <f>Data!J1515</f>
        <v>0</v>
      </c>
      <c r="Q1498">
        <f>Data!K1515</f>
        <v>0</v>
      </c>
      <c r="R1498">
        <f>Data!L1515</f>
        <v>0</v>
      </c>
      <c r="S1498">
        <f>Data!M1515</f>
        <v>0</v>
      </c>
      <c r="T1498">
        <f>Data!N1515</f>
        <v>0</v>
      </c>
      <c r="U1498">
        <f>Data!O1515</f>
        <v>0</v>
      </c>
      <c r="V1498" s="33">
        <f>Data!P1513</f>
        <v>0</v>
      </c>
    </row>
    <row r="1499" spans="7:22" x14ac:dyDescent="0.25">
      <c r="G1499">
        <f>Data!A1512</f>
        <v>0</v>
      </c>
      <c r="H1499" s="21">
        <f>Data!B1512</f>
        <v>0</v>
      </c>
      <c r="I1499" s="21">
        <f>Data!C1512</f>
        <v>0</v>
      </c>
      <c r="J1499">
        <f>Data!D1512</f>
        <v>0</v>
      </c>
      <c r="K1499">
        <f>Data!E1512</f>
        <v>0</v>
      </c>
      <c r="L1499">
        <f>Data!F1512</f>
        <v>0</v>
      </c>
      <c r="M1499">
        <f>Data!G1512</f>
        <v>0</v>
      </c>
      <c r="N1499">
        <f>Data!H1512</f>
        <v>0</v>
      </c>
      <c r="O1499">
        <f>Data!I1512</f>
        <v>0</v>
      </c>
      <c r="P1499" s="21">
        <f>Data!J1516</f>
        <v>0</v>
      </c>
      <c r="Q1499">
        <f>Data!K1516</f>
        <v>0</v>
      </c>
      <c r="R1499">
        <f>Data!L1516</f>
        <v>0</v>
      </c>
      <c r="S1499">
        <f>Data!M1516</f>
        <v>0</v>
      </c>
      <c r="T1499">
        <f>Data!N1516</f>
        <v>0</v>
      </c>
      <c r="U1499">
        <f>Data!O1516</f>
        <v>0</v>
      </c>
      <c r="V1499" s="33">
        <f>Data!P1514</f>
        <v>0</v>
      </c>
    </row>
    <row r="1500" spans="7:22" x14ac:dyDescent="0.25">
      <c r="G1500">
        <f>Data!A1513</f>
        <v>0</v>
      </c>
      <c r="H1500" s="21">
        <f>Data!B1513</f>
        <v>0</v>
      </c>
      <c r="I1500" s="21">
        <f>Data!C1513</f>
        <v>0</v>
      </c>
      <c r="J1500">
        <f>Data!D1513</f>
        <v>0</v>
      </c>
      <c r="K1500">
        <f>Data!E1513</f>
        <v>0</v>
      </c>
      <c r="L1500">
        <f>Data!F1513</f>
        <v>0</v>
      </c>
      <c r="M1500">
        <f>Data!G1513</f>
        <v>0</v>
      </c>
      <c r="N1500">
        <f>Data!H1513</f>
        <v>0</v>
      </c>
      <c r="O1500">
        <f>Data!I1513</f>
        <v>0</v>
      </c>
      <c r="P1500" s="21">
        <f>Data!J1517</f>
        <v>0</v>
      </c>
      <c r="Q1500">
        <f>Data!K1517</f>
        <v>0</v>
      </c>
      <c r="R1500">
        <f>Data!L1517</f>
        <v>0</v>
      </c>
      <c r="S1500">
        <f>Data!M1517</f>
        <v>0</v>
      </c>
      <c r="T1500">
        <f>Data!N1517</f>
        <v>0</v>
      </c>
      <c r="U1500">
        <f>Data!O1517</f>
        <v>0</v>
      </c>
      <c r="V1500" s="33">
        <f>Data!P1515</f>
        <v>0</v>
      </c>
    </row>
    <row r="1501" spans="7:22" x14ac:dyDescent="0.25">
      <c r="G1501">
        <f>Data!A1514</f>
        <v>0</v>
      </c>
      <c r="H1501" s="21">
        <f>Data!B1514</f>
        <v>0</v>
      </c>
      <c r="I1501" s="21">
        <f>Data!C1514</f>
        <v>0</v>
      </c>
      <c r="J1501">
        <f>Data!D1514</f>
        <v>0</v>
      </c>
      <c r="K1501">
        <f>Data!E1514</f>
        <v>0</v>
      </c>
      <c r="L1501">
        <f>Data!F1514</f>
        <v>0</v>
      </c>
      <c r="M1501">
        <f>Data!G1514</f>
        <v>0</v>
      </c>
      <c r="N1501">
        <f>Data!H1514</f>
        <v>0</v>
      </c>
      <c r="O1501">
        <f>Data!I1514</f>
        <v>0</v>
      </c>
      <c r="P1501" s="21">
        <f>Data!J1518</f>
        <v>0</v>
      </c>
      <c r="Q1501">
        <f>Data!K1518</f>
        <v>0</v>
      </c>
      <c r="R1501">
        <f>Data!L1518</f>
        <v>0</v>
      </c>
      <c r="S1501">
        <f>Data!M1518</f>
        <v>0</v>
      </c>
      <c r="T1501">
        <f>Data!N1518</f>
        <v>0</v>
      </c>
      <c r="U1501">
        <f>Data!O1518</f>
        <v>0</v>
      </c>
      <c r="V1501" s="33">
        <f>Data!P1516</f>
        <v>0</v>
      </c>
    </row>
    <row r="1502" spans="7:22" x14ac:dyDescent="0.25">
      <c r="G1502">
        <f>Data!A1515</f>
        <v>0</v>
      </c>
      <c r="H1502" s="21">
        <f>Data!B1515</f>
        <v>0</v>
      </c>
      <c r="I1502" s="21">
        <f>Data!C1515</f>
        <v>0</v>
      </c>
      <c r="J1502">
        <f>Data!D1515</f>
        <v>0</v>
      </c>
      <c r="K1502">
        <f>Data!E1515</f>
        <v>0</v>
      </c>
      <c r="L1502">
        <f>Data!F1515</f>
        <v>0</v>
      </c>
      <c r="M1502">
        <f>Data!G1515</f>
        <v>0</v>
      </c>
      <c r="N1502">
        <f>Data!H1515</f>
        <v>0</v>
      </c>
      <c r="O1502">
        <f>Data!I1515</f>
        <v>0</v>
      </c>
      <c r="P1502" s="21">
        <f>Data!J1519</f>
        <v>0</v>
      </c>
      <c r="Q1502">
        <f>Data!K1519</f>
        <v>0</v>
      </c>
      <c r="R1502">
        <f>Data!L1519</f>
        <v>0</v>
      </c>
      <c r="S1502">
        <f>Data!M1519</f>
        <v>0</v>
      </c>
      <c r="T1502">
        <f>Data!N1519</f>
        <v>0</v>
      </c>
      <c r="U1502">
        <f>Data!O1519</f>
        <v>0</v>
      </c>
      <c r="V1502" s="33">
        <f>Data!P1517</f>
        <v>0</v>
      </c>
    </row>
    <row r="1503" spans="7:22" x14ac:dyDescent="0.25">
      <c r="G1503">
        <f>Data!A1516</f>
        <v>0</v>
      </c>
      <c r="H1503" s="21">
        <f>Data!B1516</f>
        <v>0</v>
      </c>
      <c r="I1503" s="21">
        <f>Data!C1516</f>
        <v>0</v>
      </c>
      <c r="J1503">
        <f>Data!D1516</f>
        <v>0</v>
      </c>
      <c r="K1503">
        <f>Data!E1516</f>
        <v>0</v>
      </c>
      <c r="L1503">
        <f>Data!F1516</f>
        <v>0</v>
      </c>
      <c r="M1503">
        <f>Data!G1516</f>
        <v>0</v>
      </c>
      <c r="N1503">
        <f>Data!H1516</f>
        <v>0</v>
      </c>
      <c r="O1503">
        <f>Data!I1516</f>
        <v>0</v>
      </c>
      <c r="P1503" s="21">
        <f>Data!J1520</f>
        <v>0</v>
      </c>
      <c r="Q1503">
        <f>Data!K1520</f>
        <v>0</v>
      </c>
      <c r="R1503">
        <f>Data!L1520</f>
        <v>0</v>
      </c>
      <c r="S1503">
        <f>Data!M1520</f>
        <v>0</v>
      </c>
      <c r="T1503">
        <f>Data!N1520</f>
        <v>0</v>
      </c>
      <c r="U1503">
        <f>Data!O1520</f>
        <v>0</v>
      </c>
      <c r="V1503" s="33">
        <f>Data!P1518</f>
        <v>0</v>
      </c>
    </row>
    <row r="1504" spans="7:22" x14ac:dyDescent="0.25">
      <c r="G1504">
        <f>Data!A1517</f>
        <v>0</v>
      </c>
      <c r="H1504" s="21">
        <f>Data!B1517</f>
        <v>0</v>
      </c>
      <c r="I1504" s="21">
        <f>Data!C1517</f>
        <v>0</v>
      </c>
      <c r="J1504">
        <f>Data!D1517</f>
        <v>0</v>
      </c>
      <c r="K1504">
        <f>Data!E1517</f>
        <v>0</v>
      </c>
      <c r="L1504">
        <f>Data!F1517</f>
        <v>0</v>
      </c>
      <c r="M1504">
        <f>Data!G1517</f>
        <v>0</v>
      </c>
      <c r="N1504">
        <f>Data!H1517</f>
        <v>0</v>
      </c>
      <c r="O1504">
        <f>Data!I1517</f>
        <v>0</v>
      </c>
      <c r="P1504" s="21">
        <f>Data!J1521</f>
        <v>0</v>
      </c>
      <c r="Q1504">
        <f>Data!K1521</f>
        <v>0</v>
      </c>
      <c r="R1504">
        <f>Data!L1521</f>
        <v>0</v>
      </c>
      <c r="S1504">
        <f>Data!M1521</f>
        <v>0</v>
      </c>
      <c r="T1504">
        <f>Data!N1521</f>
        <v>0</v>
      </c>
      <c r="U1504">
        <f>Data!O1521</f>
        <v>0</v>
      </c>
      <c r="V1504" s="33">
        <f>Data!P1519</f>
        <v>0</v>
      </c>
    </row>
    <row r="1505" spans="7:22" x14ac:dyDescent="0.25">
      <c r="G1505">
        <f>Data!A1518</f>
        <v>0</v>
      </c>
      <c r="H1505" s="21">
        <f>Data!B1518</f>
        <v>0</v>
      </c>
      <c r="I1505" s="21">
        <f>Data!C1518</f>
        <v>0</v>
      </c>
      <c r="J1505">
        <f>Data!D1518</f>
        <v>0</v>
      </c>
      <c r="K1505">
        <f>Data!E1518</f>
        <v>0</v>
      </c>
      <c r="L1505">
        <f>Data!F1518</f>
        <v>0</v>
      </c>
      <c r="M1505">
        <f>Data!G1518</f>
        <v>0</v>
      </c>
      <c r="N1505">
        <f>Data!H1518</f>
        <v>0</v>
      </c>
      <c r="O1505">
        <f>Data!I1518</f>
        <v>0</v>
      </c>
      <c r="P1505" s="21">
        <f>Data!J1522</f>
        <v>0</v>
      </c>
      <c r="Q1505">
        <f>Data!K1522</f>
        <v>0</v>
      </c>
      <c r="R1505">
        <f>Data!L1522</f>
        <v>0</v>
      </c>
      <c r="S1505">
        <f>Data!M1522</f>
        <v>0</v>
      </c>
      <c r="T1505">
        <f>Data!N1522</f>
        <v>0</v>
      </c>
      <c r="U1505">
        <f>Data!O1522</f>
        <v>0</v>
      </c>
      <c r="V1505" s="33">
        <f>Data!P1520</f>
        <v>0</v>
      </c>
    </row>
    <row r="1506" spans="7:22" x14ac:dyDescent="0.25">
      <c r="G1506">
        <f>Data!A1519</f>
        <v>0</v>
      </c>
      <c r="H1506" s="21">
        <f>Data!B1519</f>
        <v>0</v>
      </c>
      <c r="I1506" s="21">
        <f>Data!C1519</f>
        <v>0</v>
      </c>
      <c r="J1506">
        <f>Data!D1519</f>
        <v>0</v>
      </c>
      <c r="K1506">
        <f>Data!E1519</f>
        <v>0</v>
      </c>
      <c r="L1506">
        <f>Data!F1519</f>
        <v>0</v>
      </c>
      <c r="M1506">
        <f>Data!G1519</f>
        <v>0</v>
      </c>
      <c r="N1506">
        <f>Data!H1519</f>
        <v>0</v>
      </c>
      <c r="O1506">
        <f>Data!I1519</f>
        <v>0</v>
      </c>
      <c r="P1506" s="21">
        <f>Data!J1523</f>
        <v>0</v>
      </c>
      <c r="Q1506">
        <f>Data!K1523</f>
        <v>0</v>
      </c>
      <c r="R1506">
        <f>Data!L1523</f>
        <v>0</v>
      </c>
      <c r="S1506">
        <f>Data!M1523</f>
        <v>0</v>
      </c>
      <c r="T1506">
        <f>Data!N1523</f>
        <v>0</v>
      </c>
      <c r="U1506">
        <f>Data!O1523</f>
        <v>0</v>
      </c>
      <c r="V1506" s="33">
        <f>Data!P1521</f>
        <v>0</v>
      </c>
    </row>
    <row r="1507" spans="7:22" x14ac:dyDescent="0.25">
      <c r="G1507">
        <f>Data!A1520</f>
        <v>0</v>
      </c>
      <c r="H1507" s="21">
        <f>Data!B1520</f>
        <v>0</v>
      </c>
      <c r="I1507" s="21">
        <f>Data!C1520</f>
        <v>0</v>
      </c>
      <c r="J1507">
        <f>Data!D1520</f>
        <v>0</v>
      </c>
      <c r="K1507">
        <f>Data!E1520</f>
        <v>0</v>
      </c>
      <c r="L1507">
        <f>Data!F1520</f>
        <v>0</v>
      </c>
      <c r="M1507">
        <f>Data!G1520</f>
        <v>0</v>
      </c>
      <c r="N1507">
        <f>Data!H1520</f>
        <v>0</v>
      </c>
      <c r="O1507">
        <f>Data!I1520</f>
        <v>0</v>
      </c>
      <c r="P1507" s="21">
        <f>Data!J1524</f>
        <v>0</v>
      </c>
      <c r="Q1507">
        <f>Data!K1524</f>
        <v>0</v>
      </c>
      <c r="R1507">
        <f>Data!L1524</f>
        <v>0</v>
      </c>
      <c r="S1507">
        <f>Data!M1524</f>
        <v>0</v>
      </c>
      <c r="T1507">
        <f>Data!N1524</f>
        <v>0</v>
      </c>
      <c r="U1507">
        <f>Data!O1524</f>
        <v>0</v>
      </c>
      <c r="V1507" s="33">
        <f>Data!P1522</f>
        <v>0</v>
      </c>
    </row>
    <row r="1508" spans="7:22" x14ac:dyDescent="0.25">
      <c r="G1508">
        <f>Data!A1521</f>
        <v>0</v>
      </c>
      <c r="H1508" s="21">
        <f>Data!B1521</f>
        <v>0</v>
      </c>
      <c r="I1508" s="21">
        <f>Data!C1521</f>
        <v>0</v>
      </c>
      <c r="J1508">
        <f>Data!D1521</f>
        <v>0</v>
      </c>
      <c r="K1508">
        <f>Data!E1521</f>
        <v>0</v>
      </c>
      <c r="L1508">
        <f>Data!F1521</f>
        <v>0</v>
      </c>
      <c r="M1508">
        <f>Data!G1521</f>
        <v>0</v>
      </c>
      <c r="N1508">
        <f>Data!H1521</f>
        <v>0</v>
      </c>
      <c r="O1508">
        <f>Data!I1521</f>
        <v>0</v>
      </c>
      <c r="P1508" s="21">
        <f>Data!J1525</f>
        <v>0</v>
      </c>
      <c r="Q1508">
        <f>Data!K1525</f>
        <v>0</v>
      </c>
      <c r="R1508">
        <f>Data!L1525</f>
        <v>0</v>
      </c>
      <c r="S1508">
        <f>Data!M1525</f>
        <v>0</v>
      </c>
      <c r="T1508">
        <f>Data!N1525</f>
        <v>0</v>
      </c>
      <c r="U1508">
        <f>Data!O1525</f>
        <v>0</v>
      </c>
      <c r="V1508" s="33">
        <f>Data!P1523</f>
        <v>0</v>
      </c>
    </row>
    <row r="1509" spans="7:22" x14ac:dyDescent="0.25">
      <c r="G1509">
        <f>Data!A1522</f>
        <v>0</v>
      </c>
      <c r="H1509" s="21">
        <f>Data!B1522</f>
        <v>0</v>
      </c>
      <c r="I1509" s="21">
        <f>Data!C1522</f>
        <v>0</v>
      </c>
      <c r="J1509">
        <f>Data!D1522</f>
        <v>0</v>
      </c>
      <c r="K1509">
        <f>Data!E1522</f>
        <v>0</v>
      </c>
      <c r="L1509">
        <f>Data!F1522</f>
        <v>0</v>
      </c>
      <c r="M1509">
        <f>Data!G1522</f>
        <v>0</v>
      </c>
      <c r="N1509">
        <f>Data!H1522</f>
        <v>0</v>
      </c>
      <c r="O1509">
        <f>Data!I1522</f>
        <v>0</v>
      </c>
      <c r="P1509" s="21">
        <f>Data!J1526</f>
        <v>0</v>
      </c>
      <c r="Q1509">
        <f>Data!K1526</f>
        <v>0</v>
      </c>
      <c r="R1509">
        <f>Data!L1526</f>
        <v>0</v>
      </c>
      <c r="S1509">
        <f>Data!M1526</f>
        <v>0</v>
      </c>
      <c r="T1509">
        <f>Data!N1526</f>
        <v>0</v>
      </c>
      <c r="U1509">
        <f>Data!O1526</f>
        <v>0</v>
      </c>
      <c r="V1509" s="33">
        <f>Data!P1524</f>
        <v>0</v>
      </c>
    </row>
    <row r="1510" spans="7:22" x14ac:dyDescent="0.25">
      <c r="G1510">
        <f>Data!A1523</f>
        <v>0</v>
      </c>
      <c r="H1510" s="21">
        <f>Data!B1523</f>
        <v>0</v>
      </c>
      <c r="I1510" s="21">
        <f>Data!C1523</f>
        <v>0</v>
      </c>
      <c r="J1510">
        <f>Data!D1523</f>
        <v>0</v>
      </c>
      <c r="K1510">
        <f>Data!E1523</f>
        <v>0</v>
      </c>
      <c r="L1510">
        <f>Data!F1523</f>
        <v>0</v>
      </c>
      <c r="M1510">
        <f>Data!G1523</f>
        <v>0</v>
      </c>
      <c r="N1510">
        <f>Data!H1523</f>
        <v>0</v>
      </c>
      <c r="O1510">
        <f>Data!I1523</f>
        <v>0</v>
      </c>
      <c r="P1510" s="21">
        <f>Data!J1527</f>
        <v>0</v>
      </c>
      <c r="Q1510">
        <f>Data!K1527</f>
        <v>0</v>
      </c>
      <c r="R1510">
        <f>Data!L1527</f>
        <v>0</v>
      </c>
      <c r="S1510">
        <f>Data!M1527</f>
        <v>0</v>
      </c>
      <c r="T1510">
        <f>Data!N1527</f>
        <v>0</v>
      </c>
      <c r="U1510">
        <f>Data!O1527</f>
        <v>0</v>
      </c>
      <c r="V1510" s="33">
        <f>Data!P1525</f>
        <v>0</v>
      </c>
    </row>
    <row r="1511" spans="7:22" x14ac:dyDescent="0.25">
      <c r="G1511">
        <f>Data!A1524</f>
        <v>0</v>
      </c>
      <c r="H1511" s="21">
        <f>Data!B1524</f>
        <v>0</v>
      </c>
      <c r="I1511" s="21">
        <f>Data!C1524</f>
        <v>0</v>
      </c>
      <c r="J1511">
        <f>Data!D1524</f>
        <v>0</v>
      </c>
      <c r="K1511">
        <f>Data!E1524</f>
        <v>0</v>
      </c>
      <c r="L1511">
        <f>Data!F1524</f>
        <v>0</v>
      </c>
      <c r="M1511">
        <f>Data!G1524</f>
        <v>0</v>
      </c>
      <c r="N1511">
        <f>Data!H1524</f>
        <v>0</v>
      </c>
      <c r="O1511">
        <f>Data!I1524</f>
        <v>0</v>
      </c>
      <c r="P1511" s="21">
        <f>Data!J1528</f>
        <v>0</v>
      </c>
      <c r="Q1511">
        <f>Data!K1528</f>
        <v>0</v>
      </c>
      <c r="R1511">
        <f>Data!L1528</f>
        <v>0</v>
      </c>
      <c r="S1511">
        <f>Data!M1528</f>
        <v>0</v>
      </c>
      <c r="T1511">
        <f>Data!N1528</f>
        <v>0</v>
      </c>
      <c r="U1511">
        <f>Data!O1528</f>
        <v>0</v>
      </c>
      <c r="V1511" s="33">
        <f>Data!P1526</f>
        <v>0</v>
      </c>
    </row>
    <row r="1512" spans="7:22" x14ac:dyDescent="0.25">
      <c r="G1512">
        <f>Data!A1525</f>
        <v>0</v>
      </c>
      <c r="H1512" s="21">
        <f>Data!B1525</f>
        <v>0</v>
      </c>
      <c r="I1512" s="21">
        <f>Data!C1525</f>
        <v>0</v>
      </c>
      <c r="J1512">
        <f>Data!D1525</f>
        <v>0</v>
      </c>
      <c r="K1512">
        <f>Data!E1525</f>
        <v>0</v>
      </c>
      <c r="L1512">
        <f>Data!F1525</f>
        <v>0</v>
      </c>
      <c r="M1512">
        <f>Data!G1525</f>
        <v>0</v>
      </c>
      <c r="N1512">
        <f>Data!H1525</f>
        <v>0</v>
      </c>
      <c r="O1512">
        <f>Data!I1525</f>
        <v>0</v>
      </c>
      <c r="P1512" s="21">
        <f>Data!J1529</f>
        <v>0</v>
      </c>
      <c r="Q1512">
        <f>Data!K1529</f>
        <v>0</v>
      </c>
      <c r="R1512">
        <f>Data!L1529</f>
        <v>0</v>
      </c>
      <c r="S1512">
        <f>Data!M1529</f>
        <v>0</v>
      </c>
      <c r="T1512">
        <f>Data!N1529</f>
        <v>0</v>
      </c>
      <c r="U1512">
        <f>Data!O1529</f>
        <v>0</v>
      </c>
      <c r="V1512" s="33">
        <f>Data!P1527</f>
        <v>0</v>
      </c>
    </row>
    <row r="1513" spans="7:22" x14ac:dyDescent="0.25">
      <c r="G1513">
        <f>Data!A1526</f>
        <v>0</v>
      </c>
      <c r="H1513" s="21">
        <f>Data!B1526</f>
        <v>0</v>
      </c>
      <c r="I1513" s="21">
        <f>Data!C1526</f>
        <v>0</v>
      </c>
      <c r="J1513">
        <f>Data!D1526</f>
        <v>0</v>
      </c>
      <c r="K1513">
        <f>Data!E1526</f>
        <v>0</v>
      </c>
      <c r="L1513">
        <f>Data!F1526</f>
        <v>0</v>
      </c>
      <c r="M1513">
        <f>Data!G1526</f>
        <v>0</v>
      </c>
      <c r="N1513">
        <f>Data!H1526</f>
        <v>0</v>
      </c>
      <c r="O1513">
        <f>Data!I1526</f>
        <v>0</v>
      </c>
      <c r="P1513" s="21">
        <f>Data!J1530</f>
        <v>0</v>
      </c>
      <c r="Q1513">
        <f>Data!K1530</f>
        <v>0</v>
      </c>
      <c r="R1513">
        <f>Data!L1530</f>
        <v>0</v>
      </c>
      <c r="S1513">
        <f>Data!M1530</f>
        <v>0</v>
      </c>
      <c r="T1513">
        <f>Data!N1530</f>
        <v>0</v>
      </c>
      <c r="U1513">
        <f>Data!O1530</f>
        <v>0</v>
      </c>
      <c r="V1513" s="33">
        <f>Data!P1528</f>
        <v>0</v>
      </c>
    </row>
    <row r="1514" spans="7:22" x14ac:dyDescent="0.25">
      <c r="G1514">
        <f>Data!A1527</f>
        <v>0</v>
      </c>
      <c r="H1514" s="21">
        <f>Data!B1527</f>
        <v>0</v>
      </c>
      <c r="I1514" s="21">
        <f>Data!C1527</f>
        <v>0</v>
      </c>
      <c r="J1514">
        <f>Data!D1527</f>
        <v>0</v>
      </c>
      <c r="K1514">
        <f>Data!E1527</f>
        <v>0</v>
      </c>
      <c r="L1514">
        <f>Data!F1527</f>
        <v>0</v>
      </c>
      <c r="M1514">
        <f>Data!G1527</f>
        <v>0</v>
      </c>
      <c r="N1514">
        <f>Data!H1527</f>
        <v>0</v>
      </c>
      <c r="O1514">
        <f>Data!I1527</f>
        <v>0</v>
      </c>
      <c r="P1514" s="21">
        <f>Data!J1531</f>
        <v>0</v>
      </c>
      <c r="Q1514">
        <f>Data!K1531</f>
        <v>0</v>
      </c>
      <c r="R1514">
        <f>Data!L1531</f>
        <v>0</v>
      </c>
      <c r="S1514">
        <f>Data!M1531</f>
        <v>0</v>
      </c>
      <c r="T1514">
        <f>Data!N1531</f>
        <v>0</v>
      </c>
      <c r="U1514">
        <f>Data!O1531</f>
        <v>0</v>
      </c>
      <c r="V1514" s="33">
        <f>Data!P1529</f>
        <v>0</v>
      </c>
    </row>
    <row r="1515" spans="7:22" x14ac:dyDescent="0.25">
      <c r="G1515">
        <f>Data!A1528</f>
        <v>0</v>
      </c>
      <c r="H1515" s="21">
        <f>Data!B1528</f>
        <v>0</v>
      </c>
      <c r="I1515" s="21">
        <f>Data!C1528</f>
        <v>0</v>
      </c>
      <c r="J1515">
        <f>Data!D1528</f>
        <v>0</v>
      </c>
      <c r="K1515">
        <f>Data!E1528</f>
        <v>0</v>
      </c>
      <c r="L1515">
        <f>Data!F1528</f>
        <v>0</v>
      </c>
      <c r="M1515">
        <f>Data!G1528</f>
        <v>0</v>
      </c>
      <c r="N1515">
        <f>Data!H1528</f>
        <v>0</v>
      </c>
      <c r="O1515">
        <f>Data!I1528</f>
        <v>0</v>
      </c>
      <c r="P1515" s="21">
        <f>Data!J1532</f>
        <v>0</v>
      </c>
      <c r="Q1515">
        <f>Data!K1532</f>
        <v>0</v>
      </c>
      <c r="R1515">
        <f>Data!L1532</f>
        <v>0</v>
      </c>
      <c r="S1515">
        <f>Data!M1532</f>
        <v>0</v>
      </c>
      <c r="T1515">
        <f>Data!N1532</f>
        <v>0</v>
      </c>
      <c r="U1515">
        <f>Data!O1532</f>
        <v>0</v>
      </c>
      <c r="V1515" s="33">
        <f>Data!P1530</f>
        <v>0</v>
      </c>
    </row>
    <row r="1516" spans="7:22" x14ac:dyDescent="0.25">
      <c r="G1516">
        <f>Data!A1529</f>
        <v>0</v>
      </c>
      <c r="H1516" s="21">
        <f>Data!B1529</f>
        <v>0</v>
      </c>
      <c r="I1516" s="21">
        <f>Data!C1529</f>
        <v>0</v>
      </c>
      <c r="J1516">
        <f>Data!D1529</f>
        <v>0</v>
      </c>
      <c r="K1516">
        <f>Data!E1529</f>
        <v>0</v>
      </c>
      <c r="L1516">
        <f>Data!F1529</f>
        <v>0</v>
      </c>
      <c r="M1516">
        <f>Data!G1529</f>
        <v>0</v>
      </c>
      <c r="N1516">
        <f>Data!H1529</f>
        <v>0</v>
      </c>
      <c r="O1516">
        <f>Data!I1529</f>
        <v>0</v>
      </c>
      <c r="P1516" s="21">
        <f>Data!J1533</f>
        <v>0</v>
      </c>
      <c r="Q1516">
        <f>Data!K1533</f>
        <v>0</v>
      </c>
      <c r="R1516">
        <f>Data!L1533</f>
        <v>0</v>
      </c>
      <c r="S1516">
        <f>Data!M1533</f>
        <v>0</v>
      </c>
      <c r="T1516">
        <f>Data!N1533</f>
        <v>0</v>
      </c>
      <c r="U1516">
        <f>Data!O1533</f>
        <v>0</v>
      </c>
      <c r="V1516" s="33">
        <f>Data!P1531</f>
        <v>0</v>
      </c>
    </row>
    <row r="1517" spans="7:22" x14ac:dyDescent="0.25">
      <c r="G1517">
        <f>Data!A1530</f>
        <v>0</v>
      </c>
      <c r="H1517" s="21">
        <f>Data!B1530</f>
        <v>0</v>
      </c>
      <c r="I1517" s="21">
        <f>Data!C1530</f>
        <v>0</v>
      </c>
      <c r="J1517">
        <f>Data!D1530</f>
        <v>0</v>
      </c>
      <c r="K1517">
        <f>Data!E1530</f>
        <v>0</v>
      </c>
      <c r="L1517">
        <f>Data!F1530</f>
        <v>0</v>
      </c>
      <c r="M1517">
        <f>Data!G1530</f>
        <v>0</v>
      </c>
      <c r="N1517">
        <f>Data!H1530</f>
        <v>0</v>
      </c>
      <c r="O1517">
        <f>Data!I1530</f>
        <v>0</v>
      </c>
      <c r="P1517" s="21">
        <f>Data!J1534</f>
        <v>0</v>
      </c>
      <c r="Q1517">
        <f>Data!K1534</f>
        <v>0</v>
      </c>
      <c r="R1517">
        <f>Data!L1534</f>
        <v>0</v>
      </c>
      <c r="S1517">
        <f>Data!M1534</f>
        <v>0</v>
      </c>
      <c r="T1517">
        <f>Data!N1534</f>
        <v>0</v>
      </c>
      <c r="U1517">
        <f>Data!O1534</f>
        <v>0</v>
      </c>
      <c r="V1517" s="33">
        <f>Data!P1532</f>
        <v>0</v>
      </c>
    </row>
    <row r="1518" spans="7:22" x14ac:dyDescent="0.25">
      <c r="G1518">
        <f>Data!A1531</f>
        <v>0</v>
      </c>
      <c r="H1518" s="21">
        <f>Data!B1531</f>
        <v>0</v>
      </c>
      <c r="I1518" s="21">
        <f>Data!C1531</f>
        <v>0</v>
      </c>
      <c r="J1518">
        <f>Data!D1531</f>
        <v>0</v>
      </c>
      <c r="K1518">
        <f>Data!E1531</f>
        <v>0</v>
      </c>
      <c r="L1518">
        <f>Data!F1531</f>
        <v>0</v>
      </c>
      <c r="M1518">
        <f>Data!G1531</f>
        <v>0</v>
      </c>
      <c r="N1518">
        <f>Data!H1531</f>
        <v>0</v>
      </c>
      <c r="O1518">
        <f>Data!I1531</f>
        <v>0</v>
      </c>
      <c r="P1518" s="21">
        <f>Data!J1535</f>
        <v>0</v>
      </c>
      <c r="Q1518">
        <f>Data!K1535</f>
        <v>0</v>
      </c>
      <c r="R1518">
        <f>Data!L1535</f>
        <v>0</v>
      </c>
      <c r="S1518">
        <f>Data!M1535</f>
        <v>0</v>
      </c>
      <c r="T1518">
        <f>Data!N1535</f>
        <v>0</v>
      </c>
      <c r="U1518">
        <f>Data!O1535</f>
        <v>0</v>
      </c>
      <c r="V1518" s="33">
        <f>Data!P1533</f>
        <v>0</v>
      </c>
    </row>
    <row r="1519" spans="7:22" x14ac:dyDescent="0.25">
      <c r="G1519">
        <f>Data!A1532</f>
        <v>0</v>
      </c>
      <c r="H1519" s="21">
        <f>Data!B1532</f>
        <v>0</v>
      </c>
      <c r="I1519" s="21">
        <f>Data!C1532</f>
        <v>0</v>
      </c>
      <c r="J1519">
        <f>Data!D1532</f>
        <v>0</v>
      </c>
      <c r="K1519">
        <f>Data!E1532</f>
        <v>0</v>
      </c>
      <c r="L1519">
        <f>Data!F1532</f>
        <v>0</v>
      </c>
      <c r="M1519">
        <f>Data!G1532</f>
        <v>0</v>
      </c>
      <c r="N1519">
        <f>Data!H1532</f>
        <v>0</v>
      </c>
      <c r="O1519">
        <f>Data!I1532</f>
        <v>0</v>
      </c>
      <c r="P1519" s="21">
        <f>Data!J1536</f>
        <v>0</v>
      </c>
      <c r="Q1519">
        <f>Data!K1536</f>
        <v>0</v>
      </c>
      <c r="R1519">
        <f>Data!L1536</f>
        <v>0</v>
      </c>
      <c r="S1519">
        <f>Data!M1536</f>
        <v>0</v>
      </c>
      <c r="T1519">
        <f>Data!N1536</f>
        <v>0</v>
      </c>
      <c r="U1519">
        <f>Data!O1536</f>
        <v>0</v>
      </c>
      <c r="V1519" s="33">
        <f>Data!P1534</f>
        <v>0</v>
      </c>
    </row>
    <row r="1520" spans="7:22" x14ac:dyDescent="0.25">
      <c r="G1520">
        <f>Data!A1533</f>
        <v>0</v>
      </c>
      <c r="H1520" s="21">
        <f>Data!B1533</f>
        <v>0</v>
      </c>
      <c r="I1520" s="21">
        <f>Data!C1533</f>
        <v>0</v>
      </c>
      <c r="J1520">
        <f>Data!D1533</f>
        <v>0</v>
      </c>
      <c r="K1520">
        <f>Data!E1533</f>
        <v>0</v>
      </c>
      <c r="L1520">
        <f>Data!F1533</f>
        <v>0</v>
      </c>
      <c r="M1520">
        <f>Data!G1533</f>
        <v>0</v>
      </c>
      <c r="N1520">
        <f>Data!H1533</f>
        <v>0</v>
      </c>
      <c r="O1520">
        <f>Data!I1533</f>
        <v>0</v>
      </c>
      <c r="P1520" s="21">
        <f>Data!J1537</f>
        <v>0</v>
      </c>
      <c r="Q1520">
        <f>Data!K1537</f>
        <v>0</v>
      </c>
      <c r="R1520">
        <f>Data!L1537</f>
        <v>0</v>
      </c>
      <c r="S1520">
        <f>Data!M1537</f>
        <v>0</v>
      </c>
      <c r="T1520">
        <f>Data!N1537</f>
        <v>0</v>
      </c>
      <c r="U1520">
        <f>Data!O1537</f>
        <v>0</v>
      </c>
      <c r="V1520" s="33">
        <f>Data!P1535</f>
        <v>0</v>
      </c>
    </row>
    <row r="1521" spans="7:22" x14ac:dyDescent="0.25">
      <c r="G1521">
        <f>Data!A1534</f>
        <v>0</v>
      </c>
      <c r="H1521" s="21">
        <f>Data!B1534</f>
        <v>0</v>
      </c>
      <c r="I1521" s="21">
        <f>Data!C1534</f>
        <v>0</v>
      </c>
      <c r="J1521">
        <f>Data!D1534</f>
        <v>0</v>
      </c>
      <c r="K1521">
        <f>Data!E1534</f>
        <v>0</v>
      </c>
      <c r="L1521">
        <f>Data!F1534</f>
        <v>0</v>
      </c>
      <c r="M1521">
        <f>Data!G1534</f>
        <v>0</v>
      </c>
      <c r="N1521">
        <f>Data!H1534</f>
        <v>0</v>
      </c>
      <c r="O1521">
        <f>Data!I1534</f>
        <v>0</v>
      </c>
      <c r="P1521" s="21">
        <f>Data!J1538</f>
        <v>0</v>
      </c>
      <c r="Q1521">
        <f>Data!K1538</f>
        <v>0</v>
      </c>
      <c r="R1521">
        <f>Data!L1538</f>
        <v>0</v>
      </c>
      <c r="S1521">
        <f>Data!M1538</f>
        <v>0</v>
      </c>
      <c r="T1521">
        <f>Data!N1538</f>
        <v>0</v>
      </c>
      <c r="U1521">
        <f>Data!O1538</f>
        <v>0</v>
      </c>
      <c r="V1521" s="33">
        <f>Data!P1536</f>
        <v>0</v>
      </c>
    </row>
    <row r="1522" spans="7:22" x14ac:dyDescent="0.25">
      <c r="G1522">
        <f>Data!A1535</f>
        <v>0</v>
      </c>
      <c r="H1522" s="21">
        <f>Data!B1535</f>
        <v>0</v>
      </c>
      <c r="I1522" s="21">
        <f>Data!C1535</f>
        <v>0</v>
      </c>
      <c r="J1522">
        <f>Data!D1535</f>
        <v>0</v>
      </c>
      <c r="K1522">
        <f>Data!E1535</f>
        <v>0</v>
      </c>
      <c r="L1522">
        <f>Data!F1535</f>
        <v>0</v>
      </c>
      <c r="M1522">
        <f>Data!G1535</f>
        <v>0</v>
      </c>
      <c r="N1522">
        <f>Data!H1535</f>
        <v>0</v>
      </c>
      <c r="O1522">
        <f>Data!I1535</f>
        <v>0</v>
      </c>
      <c r="P1522" s="21">
        <f>Data!J1539</f>
        <v>0</v>
      </c>
      <c r="Q1522">
        <f>Data!K1539</f>
        <v>0</v>
      </c>
      <c r="R1522">
        <f>Data!L1539</f>
        <v>0</v>
      </c>
      <c r="S1522">
        <f>Data!M1539</f>
        <v>0</v>
      </c>
      <c r="T1522">
        <f>Data!N1539</f>
        <v>0</v>
      </c>
      <c r="U1522">
        <f>Data!O1539</f>
        <v>0</v>
      </c>
      <c r="V1522" s="33">
        <f>Data!P1537</f>
        <v>0</v>
      </c>
    </row>
    <row r="1523" spans="7:22" x14ac:dyDescent="0.25">
      <c r="G1523">
        <f>Data!A1536</f>
        <v>0</v>
      </c>
      <c r="H1523" s="21">
        <f>Data!B1536</f>
        <v>0</v>
      </c>
      <c r="I1523" s="21">
        <f>Data!C1536</f>
        <v>0</v>
      </c>
      <c r="J1523">
        <f>Data!D1536</f>
        <v>0</v>
      </c>
      <c r="K1523">
        <f>Data!E1536</f>
        <v>0</v>
      </c>
      <c r="L1523">
        <f>Data!F1536</f>
        <v>0</v>
      </c>
      <c r="M1523">
        <f>Data!G1536</f>
        <v>0</v>
      </c>
      <c r="N1523">
        <f>Data!H1536</f>
        <v>0</v>
      </c>
      <c r="O1523">
        <f>Data!I1536</f>
        <v>0</v>
      </c>
      <c r="P1523" s="21">
        <f>Data!J1540</f>
        <v>0</v>
      </c>
      <c r="Q1523">
        <f>Data!K1540</f>
        <v>0</v>
      </c>
      <c r="R1523">
        <f>Data!L1540</f>
        <v>0</v>
      </c>
      <c r="S1523">
        <f>Data!M1540</f>
        <v>0</v>
      </c>
      <c r="T1523">
        <f>Data!N1540</f>
        <v>0</v>
      </c>
      <c r="U1523">
        <f>Data!O1540</f>
        <v>0</v>
      </c>
      <c r="V1523" s="33">
        <f>Data!P1538</f>
        <v>0</v>
      </c>
    </row>
    <row r="1524" spans="7:22" x14ac:dyDescent="0.25">
      <c r="G1524">
        <f>Data!A1537</f>
        <v>0</v>
      </c>
      <c r="H1524" s="21">
        <f>Data!B1537</f>
        <v>0</v>
      </c>
      <c r="I1524" s="21">
        <f>Data!C1537</f>
        <v>0</v>
      </c>
      <c r="J1524">
        <f>Data!D1537</f>
        <v>0</v>
      </c>
      <c r="K1524">
        <f>Data!E1537</f>
        <v>0</v>
      </c>
      <c r="L1524">
        <f>Data!F1537</f>
        <v>0</v>
      </c>
      <c r="M1524">
        <f>Data!G1537</f>
        <v>0</v>
      </c>
      <c r="N1524">
        <f>Data!H1537</f>
        <v>0</v>
      </c>
      <c r="O1524">
        <f>Data!I1537</f>
        <v>0</v>
      </c>
      <c r="P1524" s="21">
        <f>Data!J1541</f>
        <v>0</v>
      </c>
      <c r="Q1524">
        <f>Data!K1541</f>
        <v>0</v>
      </c>
      <c r="R1524">
        <f>Data!L1541</f>
        <v>0</v>
      </c>
      <c r="S1524">
        <f>Data!M1541</f>
        <v>0</v>
      </c>
      <c r="T1524">
        <f>Data!N1541</f>
        <v>0</v>
      </c>
      <c r="U1524">
        <f>Data!O1541</f>
        <v>0</v>
      </c>
      <c r="V1524" s="33">
        <f>Data!P1539</f>
        <v>0</v>
      </c>
    </row>
    <row r="1525" spans="7:22" x14ac:dyDescent="0.25">
      <c r="G1525">
        <f>Data!A1538</f>
        <v>0</v>
      </c>
      <c r="H1525" s="21">
        <f>Data!B1538</f>
        <v>0</v>
      </c>
      <c r="I1525" s="21">
        <f>Data!C1538</f>
        <v>0</v>
      </c>
      <c r="J1525">
        <f>Data!D1538</f>
        <v>0</v>
      </c>
      <c r="K1525">
        <f>Data!E1538</f>
        <v>0</v>
      </c>
      <c r="L1525">
        <f>Data!F1538</f>
        <v>0</v>
      </c>
      <c r="M1525">
        <f>Data!G1538</f>
        <v>0</v>
      </c>
      <c r="N1525">
        <f>Data!H1538</f>
        <v>0</v>
      </c>
      <c r="O1525">
        <f>Data!I1538</f>
        <v>0</v>
      </c>
      <c r="P1525" s="21">
        <f>Data!J1542</f>
        <v>0</v>
      </c>
      <c r="Q1525">
        <f>Data!K1542</f>
        <v>0</v>
      </c>
      <c r="R1525">
        <f>Data!L1542</f>
        <v>0</v>
      </c>
      <c r="S1525">
        <f>Data!M1542</f>
        <v>0</v>
      </c>
      <c r="T1525">
        <f>Data!N1542</f>
        <v>0</v>
      </c>
      <c r="U1525">
        <f>Data!O1542</f>
        <v>0</v>
      </c>
      <c r="V1525" s="33">
        <f>Data!P1540</f>
        <v>0</v>
      </c>
    </row>
    <row r="1526" spans="7:22" x14ac:dyDescent="0.25">
      <c r="G1526">
        <f>Data!A1539</f>
        <v>0</v>
      </c>
      <c r="H1526" s="21">
        <f>Data!B1539</f>
        <v>0</v>
      </c>
      <c r="I1526" s="21">
        <f>Data!C1539</f>
        <v>0</v>
      </c>
      <c r="J1526">
        <f>Data!D1539</f>
        <v>0</v>
      </c>
      <c r="K1526">
        <f>Data!E1539</f>
        <v>0</v>
      </c>
      <c r="L1526">
        <f>Data!F1539</f>
        <v>0</v>
      </c>
      <c r="M1526">
        <f>Data!G1539</f>
        <v>0</v>
      </c>
      <c r="N1526">
        <f>Data!H1539</f>
        <v>0</v>
      </c>
      <c r="O1526">
        <f>Data!I1539</f>
        <v>0</v>
      </c>
      <c r="P1526" s="21">
        <f>Data!J1543</f>
        <v>0</v>
      </c>
      <c r="Q1526">
        <f>Data!K1543</f>
        <v>0</v>
      </c>
      <c r="R1526">
        <f>Data!L1543</f>
        <v>0</v>
      </c>
      <c r="S1526">
        <f>Data!M1543</f>
        <v>0</v>
      </c>
      <c r="T1526">
        <f>Data!N1543</f>
        <v>0</v>
      </c>
      <c r="U1526">
        <f>Data!O1543</f>
        <v>0</v>
      </c>
      <c r="V1526" s="33">
        <f>Data!P1541</f>
        <v>0</v>
      </c>
    </row>
    <row r="1527" spans="7:22" x14ac:dyDescent="0.25">
      <c r="G1527">
        <f>Data!A1540</f>
        <v>0</v>
      </c>
      <c r="H1527" s="21">
        <f>Data!B1540</f>
        <v>0</v>
      </c>
      <c r="I1527" s="21">
        <f>Data!C1540</f>
        <v>0</v>
      </c>
      <c r="J1527">
        <f>Data!D1540</f>
        <v>0</v>
      </c>
      <c r="K1527">
        <f>Data!E1540</f>
        <v>0</v>
      </c>
      <c r="L1527">
        <f>Data!F1540</f>
        <v>0</v>
      </c>
      <c r="M1527">
        <f>Data!G1540</f>
        <v>0</v>
      </c>
      <c r="N1527">
        <f>Data!H1540</f>
        <v>0</v>
      </c>
      <c r="O1527">
        <f>Data!I1540</f>
        <v>0</v>
      </c>
      <c r="P1527" s="21">
        <f>Data!J1544</f>
        <v>0</v>
      </c>
      <c r="Q1527">
        <f>Data!K1544</f>
        <v>0</v>
      </c>
      <c r="R1527">
        <f>Data!L1544</f>
        <v>0</v>
      </c>
      <c r="S1527">
        <f>Data!M1544</f>
        <v>0</v>
      </c>
      <c r="T1527">
        <f>Data!N1544</f>
        <v>0</v>
      </c>
      <c r="U1527">
        <f>Data!O1544</f>
        <v>0</v>
      </c>
      <c r="V1527" s="33">
        <f>Data!P1542</f>
        <v>0</v>
      </c>
    </row>
    <row r="1528" spans="7:22" x14ac:dyDescent="0.25">
      <c r="G1528">
        <f>Data!A1541</f>
        <v>0</v>
      </c>
      <c r="H1528" s="21">
        <f>Data!B1541</f>
        <v>0</v>
      </c>
      <c r="I1528" s="21">
        <f>Data!C1541</f>
        <v>0</v>
      </c>
      <c r="J1528">
        <f>Data!D1541</f>
        <v>0</v>
      </c>
      <c r="K1528">
        <f>Data!E1541</f>
        <v>0</v>
      </c>
      <c r="L1528">
        <f>Data!F1541</f>
        <v>0</v>
      </c>
      <c r="M1528">
        <f>Data!G1541</f>
        <v>0</v>
      </c>
      <c r="N1528">
        <f>Data!H1541</f>
        <v>0</v>
      </c>
      <c r="O1528">
        <f>Data!I1541</f>
        <v>0</v>
      </c>
      <c r="P1528" s="21">
        <f>Data!J1545</f>
        <v>0</v>
      </c>
      <c r="Q1528">
        <f>Data!K1545</f>
        <v>0</v>
      </c>
      <c r="R1528">
        <f>Data!L1545</f>
        <v>0</v>
      </c>
      <c r="S1528">
        <f>Data!M1545</f>
        <v>0</v>
      </c>
      <c r="T1528">
        <f>Data!N1545</f>
        <v>0</v>
      </c>
      <c r="U1528">
        <f>Data!O1545</f>
        <v>0</v>
      </c>
      <c r="V1528" s="33">
        <f>Data!P1543</f>
        <v>0</v>
      </c>
    </row>
    <row r="1529" spans="7:22" x14ac:dyDescent="0.25">
      <c r="G1529">
        <f>Data!A1542</f>
        <v>0</v>
      </c>
      <c r="H1529" s="21">
        <f>Data!B1542</f>
        <v>0</v>
      </c>
      <c r="I1529" s="21">
        <f>Data!C1542</f>
        <v>0</v>
      </c>
      <c r="J1529">
        <f>Data!D1542</f>
        <v>0</v>
      </c>
      <c r="K1529">
        <f>Data!E1542</f>
        <v>0</v>
      </c>
      <c r="L1529">
        <f>Data!F1542</f>
        <v>0</v>
      </c>
      <c r="M1529">
        <f>Data!G1542</f>
        <v>0</v>
      </c>
      <c r="N1529">
        <f>Data!H1542</f>
        <v>0</v>
      </c>
      <c r="O1529">
        <f>Data!I1542</f>
        <v>0</v>
      </c>
      <c r="P1529" s="21">
        <f>Data!J1546</f>
        <v>0</v>
      </c>
      <c r="Q1529">
        <f>Data!K1546</f>
        <v>0</v>
      </c>
      <c r="R1529">
        <f>Data!L1546</f>
        <v>0</v>
      </c>
      <c r="S1529">
        <f>Data!M1546</f>
        <v>0</v>
      </c>
      <c r="T1529">
        <f>Data!N1546</f>
        <v>0</v>
      </c>
      <c r="U1529">
        <f>Data!O1546</f>
        <v>0</v>
      </c>
      <c r="V1529" s="33">
        <f>Data!P1544</f>
        <v>0</v>
      </c>
    </row>
    <row r="1530" spans="7:22" x14ac:dyDescent="0.25">
      <c r="G1530">
        <f>Data!A1543</f>
        <v>0</v>
      </c>
      <c r="H1530" s="21">
        <f>Data!B1543</f>
        <v>0</v>
      </c>
      <c r="I1530" s="21">
        <f>Data!C1543</f>
        <v>0</v>
      </c>
      <c r="J1530">
        <f>Data!D1543</f>
        <v>0</v>
      </c>
      <c r="K1530">
        <f>Data!E1543</f>
        <v>0</v>
      </c>
      <c r="L1530">
        <f>Data!F1543</f>
        <v>0</v>
      </c>
      <c r="M1530">
        <f>Data!G1543</f>
        <v>0</v>
      </c>
      <c r="N1530">
        <f>Data!H1543</f>
        <v>0</v>
      </c>
      <c r="O1530">
        <f>Data!I1543</f>
        <v>0</v>
      </c>
      <c r="P1530" s="21">
        <f>Data!J1547</f>
        <v>0</v>
      </c>
      <c r="Q1530">
        <f>Data!K1547</f>
        <v>0</v>
      </c>
      <c r="R1530">
        <f>Data!L1547</f>
        <v>0</v>
      </c>
      <c r="S1530">
        <f>Data!M1547</f>
        <v>0</v>
      </c>
      <c r="T1530">
        <f>Data!N1547</f>
        <v>0</v>
      </c>
      <c r="U1530">
        <f>Data!O1547</f>
        <v>0</v>
      </c>
      <c r="V1530" s="33">
        <f>Data!P1545</f>
        <v>0</v>
      </c>
    </row>
    <row r="1531" spans="7:22" x14ac:dyDescent="0.25">
      <c r="G1531">
        <f>Data!A1544</f>
        <v>0</v>
      </c>
      <c r="H1531" s="21">
        <f>Data!B1544</f>
        <v>0</v>
      </c>
      <c r="I1531" s="21">
        <f>Data!C1544</f>
        <v>0</v>
      </c>
      <c r="J1531">
        <f>Data!D1544</f>
        <v>0</v>
      </c>
      <c r="K1531">
        <f>Data!E1544</f>
        <v>0</v>
      </c>
      <c r="L1531">
        <f>Data!F1544</f>
        <v>0</v>
      </c>
      <c r="M1531">
        <f>Data!G1544</f>
        <v>0</v>
      </c>
      <c r="N1531">
        <f>Data!H1544</f>
        <v>0</v>
      </c>
      <c r="O1531">
        <f>Data!I1544</f>
        <v>0</v>
      </c>
      <c r="P1531" s="21">
        <f>Data!J1548</f>
        <v>0</v>
      </c>
      <c r="Q1531">
        <f>Data!K1548</f>
        <v>0</v>
      </c>
      <c r="R1531">
        <f>Data!L1548</f>
        <v>0</v>
      </c>
      <c r="S1531">
        <f>Data!M1548</f>
        <v>0</v>
      </c>
      <c r="T1531">
        <f>Data!N1548</f>
        <v>0</v>
      </c>
      <c r="U1531">
        <f>Data!O1548</f>
        <v>0</v>
      </c>
      <c r="V1531" s="33">
        <f>Data!P1546</f>
        <v>0</v>
      </c>
    </row>
    <row r="1532" spans="7:22" x14ac:dyDescent="0.25">
      <c r="G1532">
        <f>Data!A1545</f>
        <v>0</v>
      </c>
      <c r="H1532" s="21">
        <f>Data!B1545</f>
        <v>0</v>
      </c>
      <c r="I1532" s="21">
        <f>Data!C1545</f>
        <v>0</v>
      </c>
      <c r="J1532">
        <f>Data!D1545</f>
        <v>0</v>
      </c>
      <c r="K1532">
        <f>Data!E1545</f>
        <v>0</v>
      </c>
      <c r="L1532">
        <f>Data!F1545</f>
        <v>0</v>
      </c>
      <c r="M1532">
        <f>Data!G1545</f>
        <v>0</v>
      </c>
      <c r="N1532">
        <f>Data!H1545</f>
        <v>0</v>
      </c>
      <c r="O1532">
        <f>Data!I1545</f>
        <v>0</v>
      </c>
      <c r="P1532" s="21">
        <f>Data!J1549</f>
        <v>0</v>
      </c>
      <c r="Q1532">
        <f>Data!K1549</f>
        <v>0</v>
      </c>
      <c r="R1532">
        <f>Data!L1549</f>
        <v>0</v>
      </c>
      <c r="S1532">
        <f>Data!M1549</f>
        <v>0</v>
      </c>
      <c r="T1532">
        <f>Data!N1549</f>
        <v>0</v>
      </c>
      <c r="U1532">
        <f>Data!O1549</f>
        <v>0</v>
      </c>
      <c r="V1532" s="33">
        <f>Data!P1547</f>
        <v>0</v>
      </c>
    </row>
    <row r="1533" spans="7:22" x14ac:dyDescent="0.25">
      <c r="G1533">
        <f>Data!A1546</f>
        <v>0</v>
      </c>
      <c r="H1533" s="21">
        <f>Data!B1546</f>
        <v>0</v>
      </c>
      <c r="I1533" s="21">
        <f>Data!C1546</f>
        <v>0</v>
      </c>
      <c r="J1533">
        <f>Data!D1546</f>
        <v>0</v>
      </c>
      <c r="K1533">
        <f>Data!E1546</f>
        <v>0</v>
      </c>
      <c r="L1533">
        <f>Data!F1546</f>
        <v>0</v>
      </c>
      <c r="M1533">
        <f>Data!G1546</f>
        <v>0</v>
      </c>
      <c r="N1533">
        <f>Data!H1546</f>
        <v>0</v>
      </c>
      <c r="O1533">
        <f>Data!I1546</f>
        <v>0</v>
      </c>
      <c r="P1533" s="21">
        <f>Data!J1550</f>
        <v>0</v>
      </c>
      <c r="Q1533">
        <f>Data!K1550</f>
        <v>0</v>
      </c>
      <c r="R1533">
        <f>Data!L1550</f>
        <v>0</v>
      </c>
      <c r="S1533">
        <f>Data!M1550</f>
        <v>0</v>
      </c>
      <c r="T1533">
        <f>Data!N1550</f>
        <v>0</v>
      </c>
      <c r="U1533">
        <f>Data!O1550</f>
        <v>0</v>
      </c>
      <c r="V1533" s="33">
        <f>Data!P1548</f>
        <v>0</v>
      </c>
    </row>
    <row r="1534" spans="7:22" x14ac:dyDescent="0.25">
      <c r="G1534">
        <f>Data!A1547</f>
        <v>0</v>
      </c>
      <c r="H1534" s="21">
        <f>Data!B1547</f>
        <v>0</v>
      </c>
      <c r="I1534" s="21">
        <f>Data!C1547</f>
        <v>0</v>
      </c>
      <c r="J1534">
        <f>Data!D1547</f>
        <v>0</v>
      </c>
      <c r="K1534">
        <f>Data!E1547</f>
        <v>0</v>
      </c>
      <c r="L1534">
        <f>Data!F1547</f>
        <v>0</v>
      </c>
      <c r="M1534">
        <f>Data!G1547</f>
        <v>0</v>
      </c>
      <c r="N1534">
        <f>Data!H1547</f>
        <v>0</v>
      </c>
      <c r="O1534">
        <f>Data!I1547</f>
        <v>0</v>
      </c>
      <c r="P1534" s="21">
        <f>Data!J1551</f>
        <v>0</v>
      </c>
      <c r="Q1534">
        <f>Data!K1551</f>
        <v>0</v>
      </c>
      <c r="R1534">
        <f>Data!L1551</f>
        <v>0</v>
      </c>
      <c r="S1534">
        <f>Data!M1551</f>
        <v>0</v>
      </c>
      <c r="T1534">
        <f>Data!N1551</f>
        <v>0</v>
      </c>
      <c r="U1534">
        <f>Data!O1551</f>
        <v>0</v>
      </c>
      <c r="V1534" s="33">
        <f>Data!P1549</f>
        <v>0</v>
      </c>
    </row>
    <row r="1535" spans="7:22" x14ac:dyDescent="0.25">
      <c r="G1535">
        <f>Data!A1548</f>
        <v>0</v>
      </c>
      <c r="H1535" s="21">
        <f>Data!B1548</f>
        <v>0</v>
      </c>
      <c r="I1535" s="21">
        <f>Data!C1548</f>
        <v>0</v>
      </c>
      <c r="J1535">
        <f>Data!D1548</f>
        <v>0</v>
      </c>
      <c r="K1535">
        <f>Data!E1548</f>
        <v>0</v>
      </c>
      <c r="L1535">
        <f>Data!F1548</f>
        <v>0</v>
      </c>
      <c r="M1535">
        <f>Data!G1548</f>
        <v>0</v>
      </c>
      <c r="N1535">
        <f>Data!H1548</f>
        <v>0</v>
      </c>
      <c r="O1535">
        <f>Data!I1548</f>
        <v>0</v>
      </c>
      <c r="P1535" s="21">
        <f>Data!J1552</f>
        <v>0</v>
      </c>
      <c r="Q1535">
        <f>Data!K1552</f>
        <v>0</v>
      </c>
      <c r="R1535">
        <f>Data!L1552</f>
        <v>0</v>
      </c>
      <c r="S1535">
        <f>Data!M1552</f>
        <v>0</v>
      </c>
      <c r="T1535">
        <f>Data!N1552</f>
        <v>0</v>
      </c>
      <c r="U1535">
        <f>Data!O1552</f>
        <v>0</v>
      </c>
      <c r="V1535" s="33">
        <f>Data!P1550</f>
        <v>0</v>
      </c>
    </row>
    <row r="1536" spans="7:22" x14ac:dyDescent="0.25">
      <c r="G1536">
        <f>Data!A1549</f>
        <v>0</v>
      </c>
      <c r="H1536" s="21">
        <f>Data!B1549</f>
        <v>0</v>
      </c>
      <c r="I1536" s="21">
        <f>Data!C1549</f>
        <v>0</v>
      </c>
      <c r="J1536">
        <f>Data!D1549</f>
        <v>0</v>
      </c>
      <c r="K1536">
        <f>Data!E1549</f>
        <v>0</v>
      </c>
      <c r="L1536">
        <f>Data!F1549</f>
        <v>0</v>
      </c>
      <c r="M1536">
        <f>Data!G1549</f>
        <v>0</v>
      </c>
      <c r="N1536">
        <f>Data!H1549</f>
        <v>0</v>
      </c>
      <c r="O1536">
        <f>Data!I1549</f>
        <v>0</v>
      </c>
      <c r="P1536" s="21">
        <f>Data!J1553</f>
        <v>0</v>
      </c>
      <c r="Q1536">
        <f>Data!K1553</f>
        <v>0</v>
      </c>
      <c r="R1536">
        <f>Data!L1553</f>
        <v>0</v>
      </c>
      <c r="S1536">
        <f>Data!M1553</f>
        <v>0</v>
      </c>
      <c r="T1536">
        <f>Data!N1553</f>
        <v>0</v>
      </c>
      <c r="U1536">
        <f>Data!O1553</f>
        <v>0</v>
      </c>
      <c r="V1536" s="33">
        <f>Data!P1551</f>
        <v>0</v>
      </c>
    </row>
    <row r="1537" spans="7:22" x14ac:dyDescent="0.25">
      <c r="G1537">
        <f>Data!A1550</f>
        <v>0</v>
      </c>
      <c r="H1537" s="21">
        <f>Data!B1550</f>
        <v>0</v>
      </c>
      <c r="I1537" s="21">
        <f>Data!C1550</f>
        <v>0</v>
      </c>
      <c r="J1537">
        <f>Data!D1550</f>
        <v>0</v>
      </c>
      <c r="K1537">
        <f>Data!E1550</f>
        <v>0</v>
      </c>
      <c r="L1537">
        <f>Data!F1550</f>
        <v>0</v>
      </c>
      <c r="M1537">
        <f>Data!G1550</f>
        <v>0</v>
      </c>
      <c r="N1537">
        <f>Data!H1550</f>
        <v>0</v>
      </c>
      <c r="O1537">
        <f>Data!I1550</f>
        <v>0</v>
      </c>
      <c r="P1537" s="21">
        <f>Data!J1554</f>
        <v>0</v>
      </c>
      <c r="Q1537">
        <f>Data!K1554</f>
        <v>0</v>
      </c>
      <c r="R1537">
        <f>Data!L1554</f>
        <v>0</v>
      </c>
      <c r="S1537">
        <f>Data!M1554</f>
        <v>0</v>
      </c>
      <c r="T1537">
        <f>Data!N1554</f>
        <v>0</v>
      </c>
      <c r="U1537">
        <f>Data!O1554</f>
        <v>0</v>
      </c>
      <c r="V1537" s="33">
        <f>Data!P1552</f>
        <v>0</v>
      </c>
    </row>
    <row r="1538" spans="7:22" x14ac:dyDescent="0.25">
      <c r="G1538">
        <f>Data!A1551</f>
        <v>0</v>
      </c>
      <c r="H1538" s="21">
        <f>Data!B1551</f>
        <v>0</v>
      </c>
      <c r="I1538" s="21">
        <f>Data!C1551</f>
        <v>0</v>
      </c>
      <c r="J1538">
        <f>Data!D1551</f>
        <v>0</v>
      </c>
      <c r="K1538">
        <f>Data!E1551</f>
        <v>0</v>
      </c>
      <c r="L1538">
        <f>Data!F1551</f>
        <v>0</v>
      </c>
      <c r="M1538">
        <f>Data!G1551</f>
        <v>0</v>
      </c>
      <c r="N1538">
        <f>Data!H1551</f>
        <v>0</v>
      </c>
      <c r="O1538">
        <f>Data!I1551</f>
        <v>0</v>
      </c>
      <c r="P1538" s="21">
        <f>Data!J1555</f>
        <v>0</v>
      </c>
      <c r="Q1538">
        <f>Data!K1555</f>
        <v>0</v>
      </c>
      <c r="R1538">
        <f>Data!L1555</f>
        <v>0</v>
      </c>
      <c r="S1538">
        <f>Data!M1555</f>
        <v>0</v>
      </c>
      <c r="T1538">
        <f>Data!N1555</f>
        <v>0</v>
      </c>
      <c r="U1538">
        <f>Data!O1555</f>
        <v>0</v>
      </c>
      <c r="V1538" s="33">
        <f>Data!P1553</f>
        <v>0</v>
      </c>
    </row>
    <row r="1539" spans="7:22" x14ac:dyDescent="0.25">
      <c r="G1539">
        <f>Data!A1552</f>
        <v>0</v>
      </c>
      <c r="H1539" s="21">
        <f>Data!B1552</f>
        <v>0</v>
      </c>
      <c r="I1539" s="21">
        <f>Data!C1552</f>
        <v>0</v>
      </c>
      <c r="J1539">
        <f>Data!D1552</f>
        <v>0</v>
      </c>
      <c r="K1539">
        <f>Data!E1552</f>
        <v>0</v>
      </c>
      <c r="L1539">
        <f>Data!F1552</f>
        <v>0</v>
      </c>
      <c r="M1539">
        <f>Data!G1552</f>
        <v>0</v>
      </c>
      <c r="N1539">
        <f>Data!H1552</f>
        <v>0</v>
      </c>
      <c r="O1539">
        <f>Data!I1552</f>
        <v>0</v>
      </c>
      <c r="P1539" s="21">
        <f>Data!J1556</f>
        <v>0</v>
      </c>
      <c r="Q1539">
        <f>Data!K1556</f>
        <v>0</v>
      </c>
      <c r="R1539">
        <f>Data!L1556</f>
        <v>0</v>
      </c>
      <c r="S1539">
        <f>Data!M1556</f>
        <v>0</v>
      </c>
      <c r="T1539">
        <f>Data!N1556</f>
        <v>0</v>
      </c>
      <c r="U1539">
        <f>Data!O1556</f>
        <v>0</v>
      </c>
      <c r="V1539" s="33">
        <f>Data!P1554</f>
        <v>0</v>
      </c>
    </row>
    <row r="1540" spans="7:22" x14ac:dyDescent="0.25">
      <c r="G1540">
        <f>Data!A1553</f>
        <v>0</v>
      </c>
      <c r="H1540" s="21">
        <f>Data!B1553</f>
        <v>0</v>
      </c>
      <c r="I1540" s="21">
        <f>Data!C1553</f>
        <v>0</v>
      </c>
      <c r="J1540">
        <f>Data!D1553</f>
        <v>0</v>
      </c>
      <c r="K1540">
        <f>Data!E1553</f>
        <v>0</v>
      </c>
      <c r="L1540">
        <f>Data!F1553</f>
        <v>0</v>
      </c>
      <c r="M1540">
        <f>Data!G1553</f>
        <v>0</v>
      </c>
      <c r="N1540">
        <f>Data!H1553</f>
        <v>0</v>
      </c>
      <c r="O1540">
        <f>Data!I1553</f>
        <v>0</v>
      </c>
      <c r="P1540" s="21">
        <f>Data!J1557</f>
        <v>0</v>
      </c>
      <c r="Q1540">
        <f>Data!K1557</f>
        <v>0</v>
      </c>
      <c r="R1540">
        <f>Data!L1557</f>
        <v>0</v>
      </c>
      <c r="S1540">
        <f>Data!M1557</f>
        <v>0</v>
      </c>
      <c r="T1540">
        <f>Data!N1557</f>
        <v>0</v>
      </c>
      <c r="U1540">
        <f>Data!O1557</f>
        <v>0</v>
      </c>
      <c r="V1540" s="33">
        <f>Data!P1555</f>
        <v>0</v>
      </c>
    </row>
    <row r="1541" spans="7:22" x14ac:dyDescent="0.25">
      <c r="G1541">
        <f>Data!A1554</f>
        <v>0</v>
      </c>
      <c r="H1541" s="21">
        <f>Data!B1554</f>
        <v>0</v>
      </c>
      <c r="I1541" s="21">
        <f>Data!C1554</f>
        <v>0</v>
      </c>
      <c r="J1541">
        <f>Data!D1554</f>
        <v>0</v>
      </c>
      <c r="K1541">
        <f>Data!E1554</f>
        <v>0</v>
      </c>
      <c r="L1541">
        <f>Data!F1554</f>
        <v>0</v>
      </c>
      <c r="M1541">
        <f>Data!G1554</f>
        <v>0</v>
      </c>
      <c r="N1541">
        <f>Data!H1554</f>
        <v>0</v>
      </c>
      <c r="O1541">
        <f>Data!I1554</f>
        <v>0</v>
      </c>
      <c r="P1541" s="21">
        <f>Data!J1558</f>
        <v>0</v>
      </c>
      <c r="Q1541">
        <f>Data!K1558</f>
        <v>0</v>
      </c>
      <c r="R1541">
        <f>Data!L1558</f>
        <v>0</v>
      </c>
      <c r="S1541">
        <f>Data!M1558</f>
        <v>0</v>
      </c>
      <c r="T1541">
        <f>Data!N1558</f>
        <v>0</v>
      </c>
      <c r="U1541">
        <f>Data!O1558</f>
        <v>0</v>
      </c>
      <c r="V1541" s="33">
        <f>Data!P1556</f>
        <v>0</v>
      </c>
    </row>
    <row r="1542" spans="7:22" x14ac:dyDescent="0.25">
      <c r="G1542">
        <f>Data!A1555</f>
        <v>0</v>
      </c>
      <c r="H1542" s="21">
        <f>Data!B1555</f>
        <v>0</v>
      </c>
      <c r="I1542" s="21">
        <f>Data!C1555</f>
        <v>0</v>
      </c>
      <c r="J1542">
        <f>Data!D1555</f>
        <v>0</v>
      </c>
      <c r="K1542">
        <f>Data!E1555</f>
        <v>0</v>
      </c>
      <c r="L1542">
        <f>Data!F1555</f>
        <v>0</v>
      </c>
      <c r="M1542">
        <f>Data!G1555</f>
        <v>0</v>
      </c>
      <c r="N1542">
        <f>Data!H1555</f>
        <v>0</v>
      </c>
      <c r="O1542">
        <f>Data!I1555</f>
        <v>0</v>
      </c>
      <c r="P1542" s="21">
        <f>Data!J1559</f>
        <v>0</v>
      </c>
      <c r="Q1542">
        <f>Data!K1559</f>
        <v>0</v>
      </c>
      <c r="R1542">
        <f>Data!L1559</f>
        <v>0</v>
      </c>
      <c r="S1542">
        <f>Data!M1559</f>
        <v>0</v>
      </c>
      <c r="T1542">
        <f>Data!N1559</f>
        <v>0</v>
      </c>
      <c r="U1542">
        <f>Data!O1559</f>
        <v>0</v>
      </c>
      <c r="V1542" s="33">
        <f>Data!P1557</f>
        <v>0</v>
      </c>
    </row>
    <row r="1543" spans="7:22" x14ac:dyDescent="0.25">
      <c r="G1543">
        <f>Data!A1556</f>
        <v>0</v>
      </c>
      <c r="H1543" s="21">
        <f>Data!B1556</f>
        <v>0</v>
      </c>
      <c r="I1543" s="21">
        <f>Data!C1556</f>
        <v>0</v>
      </c>
      <c r="J1543">
        <f>Data!D1556</f>
        <v>0</v>
      </c>
      <c r="K1543">
        <f>Data!E1556</f>
        <v>0</v>
      </c>
      <c r="L1543">
        <f>Data!F1556</f>
        <v>0</v>
      </c>
      <c r="M1543">
        <f>Data!G1556</f>
        <v>0</v>
      </c>
      <c r="N1543">
        <f>Data!H1556</f>
        <v>0</v>
      </c>
      <c r="O1543">
        <f>Data!I1556</f>
        <v>0</v>
      </c>
      <c r="P1543" s="21">
        <f>Data!J1560</f>
        <v>0</v>
      </c>
      <c r="Q1543">
        <f>Data!K1560</f>
        <v>0</v>
      </c>
      <c r="R1543">
        <f>Data!L1560</f>
        <v>0</v>
      </c>
      <c r="S1543">
        <f>Data!M1560</f>
        <v>0</v>
      </c>
      <c r="T1543">
        <f>Data!N1560</f>
        <v>0</v>
      </c>
      <c r="U1543">
        <f>Data!O1560</f>
        <v>0</v>
      </c>
      <c r="V1543" s="33">
        <f>Data!P1558</f>
        <v>0</v>
      </c>
    </row>
    <row r="1544" spans="7:22" x14ac:dyDescent="0.25">
      <c r="G1544">
        <f>Data!A1557</f>
        <v>0</v>
      </c>
      <c r="H1544" s="21">
        <f>Data!B1557</f>
        <v>0</v>
      </c>
      <c r="I1544" s="21">
        <f>Data!C1557</f>
        <v>0</v>
      </c>
      <c r="J1544">
        <f>Data!D1557</f>
        <v>0</v>
      </c>
      <c r="K1544">
        <f>Data!E1557</f>
        <v>0</v>
      </c>
      <c r="L1544">
        <f>Data!F1557</f>
        <v>0</v>
      </c>
      <c r="M1544">
        <f>Data!G1557</f>
        <v>0</v>
      </c>
      <c r="N1544">
        <f>Data!H1557</f>
        <v>0</v>
      </c>
      <c r="O1544">
        <f>Data!I1557</f>
        <v>0</v>
      </c>
      <c r="P1544" s="21">
        <f>Data!J1561</f>
        <v>0</v>
      </c>
      <c r="Q1544">
        <f>Data!K1561</f>
        <v>0</v>
      </c>
      <c r="R1544">
        <f>Data!L1561</f>
        <v>0</v>
      </c>
      <c r="S1544">
        <f>Data!M1561</f>
        <v>0</v>
      </c>
      <c r="T1544">
        <f>Data!N1561</f>
        <v>0</v>
      </c>
      <c r="U1544">
        <f>Data!O1561</f>
        <v>0</v>
      </c>
      <c r="V1544" s="33">
        <f>Data!P1559</f>
        <v>0</v>
      </c>
    </row>
    <row r="1545" spans="7:22" x14ac:dyDescent="0.25">
      <c r="G1545">
        <f>Data!A1558</f>
        <v>0</v>
      </c>
      <c r="H1545" s="21">
        <f>Data!B1558</f>
        <v>0</v>
      </c>
      <c r="I1545" s="21">
        <f>Data!C1558</f>
        <v>0</v>
      </c>
      <c r="J1545">
        <f>Data!D1558</f>
        <v>0</v>
      </c>
      <c r="K1545">
        <f>Data!E1558</f>
        <v>0</v>
      </c>
      <c r="L1545">
        <f>Data!F1558</f>
        <v>0</v>
      </c>
      <c r="M1545">
        <f>Data!G1558</f>
        <v>0</v>
      </c>
      <c r="N1545">
        <f>Data!H1558</f>
        <v>0</v>
      </c>
      <c r="O1545">
        <f>Data!I1558</f>
        <v>0</v>
      </c>
      <c r="P1545" s="21">
        <f>Data!J1562</f>
        <v>0</v>
      </c>
      <c r="Q1545">
        <f>Data!K1562</f>
        <v>0</v>
      </c>
      <c r="R1545">
        <f>Data!L1562</f>
        <v>0</v>
      </c>
      <c r="S1545">
        <f>Data!M1562</f>
        <v>0</v>
      </c>
      <c r="T1545">
        <f>Data!N1562</f>
        <v>0</v>
      </c>
      <c r="U1545">
        <f>Data!O1562</f>
        <v>0</v>
      </c>
      <c r="V1545" s="33">
        <f>Data!P1560</f>
        <v>0</v>
      </c>
    </row>
    <row r="1546" spans="7:22" x14ac:dyDescent="0.25">
      <c r="G1546">
        <f>Data!A1559</f>
        <v>0</v>
      </c>
      <c r="H1546" s="21">
        <f>Data!B1559</f>
        <v>0</v>
      </c>
      <c r="I1546" s="21">
        <f>Data!C1559</f>
        <v>0</v>
      </c>
      <c r="J1546">
        <f>Data!D1559</f>
        <v>0</v>
      </c>
      <c r="K1546">
        <f>Data!E1559</f>
        <v>0</v>
      </c>
      <c r="L1546">
        <f>Data!F1559</f>
        <v>0</v>
      </c>
      <c r="M1546">
        <f>Data!G1559</f>
        <v>0</v>
      </c>
      <c r="N1546">
        <f>Data!H1559</f>
        <v>0</v>
      </c>
      <c r="O1546">
        <f>Data!I1559</f>
        <v>0</v>
      </c>
      <c r="P1546" s="21">
        <f>Data!J1563</f>
        <v>0</v>
      </c>
      <c r="Q1546">
        <f>Data!K1563</f>
        <v>0</v>
      </c>
      <c r="R1546">
        <f>Data!L1563</f>
        <v>0</v>
      </c>
      <c r="S1546">
        <f>Data!M1563</f>
        <v>0</v>
      </c>
      <c r="T1546">
        <f>Data!N1563</f>
        <v>0</v>
      </c>
      <c r="U1546">
        <f>Data!O1563</f>
        <v>0</v>
      </c>
      <c r="V1546" s="33">
        <f>Data!P1561</f>
        <v>0</v>
      </c>
    </row>
    <row r="1547" spans="7:22" x14ac:dyDescent="0.25">
      <c r="G1547">
        <f>Data!A1560</f>
        <v>0</v>
      </c>
      <c r="H1547" s="21">
        <f>Data!B1560</f>
        <v>0</v>
      </c>
      <c r="I1547" s="21">
        <f>Data!C1560</f>
        <v>0</v>
      </c>
      <c r="J1547">
        <f>Data!D1560</f>
        <v>0</v>
      </c>
      <c r="K1547">
        <f>Data!E1560</f>
        <v>0</v>
      </c>
      <c r="L1547">
        <f>Data!F1560</f>
        <v>0</v>
      </c>
      <c r="M1547">
        <f>Data!G1560</f>
        <v>0</v>
      </c>
      <c r="N1547">
        <f>Data!H1560</f>
        <v>0</v>
      </c>
      <c r="O1547">
        <f>Data!I1560</f>
        <v>0</v>
      </c>
      <c r="P1547" s="21">
        <f>Data!J1564</f>
        <v>0</v>
      </c>
      <c r="Q1547">
        <f>Data!K1564</f>
        <v>0</v>
      </c>
      <c r="R1547">
        <f>Data!L1564</f>
        <v>0</v>
      </c>
      <c r="S1547">
        <f>Data!M1564</f>
        <v>0</v>
      </c>
      <c r="T1547">
        <f>Data!N1564</f>
        <v>0</v>
      </c>
      <c r="U1547">
        <f>Data!O1564</f>
        <v>0</v>
      </c>
      <c r="V1547" s="33">
        <f>Data!P1562</f>
        <v>0</v>
      </c>
    </row>
    <row r="1548" spans="7:22" x14ac:dyDescent="0.25">
      <c r="G1548">
        <f>Data!A1561</f>
        <v>0</v>
      </c>
      <c r="H1548" s="21">
        <f>Data!B1561</f>
        <v>0</v>
      </c>
      <c r="I1548" s="21">
        <f>Data!C1561</f>
        <v>0</v>
      </c>
      <c r="J1548">
        <f>Data!D1561</f>
        <v>0</v>
      </c>
      <c r="K1548">
        <f>Data!E1561</f>
        <v>0</v>
      </c>
      <c r="L1548">
        <f>Data!F1561</f>
        <v>0</v>
      </c>
      <c r="M1548">
        <f>Data!G1561</f>
        <v>0</v>
      </c>
      <c r="N1548">
        <f>Data!H1561</f>
        <v>0</v>
      </c>
      <c r="O1548">
        <f>Data!I1561</f>
        <v>0</v>
      </c>
      <c r="P1548" s="21">
        <f>Data!J1565</f>
        <v>0</v>
      </c>
      <c r="Q1548">
        <f>Data!K1565</f>
        <v>0</v>
      </c>
      <c r="R1548">
        <f>Data!L1565</f>
        <v>0</v>
      </c>
      <c r="S1548">
        <f>Data!M1565</f>
        <v>0</v>
      </c>
      <c r="T1548">
        <f>Data!N1565</f>
        <v>0</v>
      </c>
      <c r="U1548">
        <f>Data!O1565</f>
        <v>0</v>
      </c>
      <c r="V1548" s="33">
        <f>Data!P1563</f>
        <v>0</v>
      </c>
    </row>
    <row r="1549" spans="7:22" x14ac:dyDescent="0.25">
      <c r="G1549">
        <f>Data!A1562</f>
        <v>0</v>
      </c>
      <c r="H1549" s="21">
        <f>Data!B1562</f>
        <v>0</v>
      </c>
      <c r="I1549" s="21">
        <f>Data!C1562</f>
        <v>0</v>
      </c>
      <c r="J1549">
        <f>Data!D1562</f>
        <v>0</v>
      </c>
      <c r="K1549">
        <f>Data!E1562</f>
        <v>0</v>
      </c>
      <c r="L1549">
        <f>Data!F1562</f>
        <v>0</v>
      </c>
      <c r="M1549">
        <f>Data!G1562</f>
        <v>0</v>
      </c>
      <c r="N1549">
        <f>Data!H1562</f>
        <v>0</v>
      </c>
      <c r="O1549">
        <f>Data!I1562</f>
        <v>0</v>
      </c>
      <c r="P1549" s="21">
        <f>Data!J1566</f>
        <v>0</v>
      </c>
      <c r="Q1549">
        <f>Data!K1566</f>
        <v>0</v>
      </c>
      <c r="R1549">
        <f>Data!L1566</f>
        <v>0</v>
      </c>
      <c r="S1549">
        <f>Data!M1566</f>
        <v>0</v>
      </c>
      <c r="T1549">
        <f>Data!N1566</f>
        <v>0</v>
      </c>
      <c r="U1549">
        <f>Data!O1566</f>
        <v>0</v>
      </c>
      <c r="V1549" s="33">
        <f>Data!P1564</f>
        <v>0</v>
      </c>
    </row>
    <row r="1550" spans="7:22" x14ac:dyDescent="0.25">
      <c r="G1550">
        <f>Data!A1563</f>
        <v>0</v>
      </c>
      <c r="H1550" s="21">
        <f>Data!B1563</f>
        <v>0</v>
      </c>
      <c r="I1550" s="21">
        <f>Data!C1563</f>
        <v>0</v>
      </c>
      <c r="J1550">
        <f>Data!D1563</f>
        <v>0</v>
      </c>
      <c r="K1550">
        <f>Data!E1563</f>
        <v>0</v>
      </c>
      <c r="L1550">
        <f>Data!F1563</f>
        <v>0</v>
      </c>
      <c r="M1550">
        <f>Data!G1563</f>
        <v>0</v>
      </c>
      <c r="N1550">
        <f>Data!H1563</f>
        <v>0</v>
      </c>
      <c r="O1550">
        <f>Data!I1563</f>
        <v>0</v>
      </c>
      <c r="P1550" s="21">
        <f>Data!J1567</f>
        <v>0</v>
      </c>
      <c r="Q1550">
        <f>Data!K1567</f>
        <v>0</v>
      </c>
      <c r="R1550">
        <f>Data!L1567</f>
        <v>0</v>
      </c>
      <c r="S1550">
        <f>Data!M1567</f>
        <v>0</v>
      </c>
      <c r="T1550">
        <f>Data!N1567</f>
        <v>0</v>
      </c>
      <c r="U1550">
        <f>Data!O1567</f>
        <v>0</v>
      </c>
      <c r="V1550" s="33">
        <f>Data!P1565</f>
        <v>0</v>
      </c>
    </row>
    <row r="1551" spans="7:22" x14ac:dyDescent="0.25">
      <c r="G1551">
        <f>Data!A1564</f>
        <v>0</v>
      </c>
      <c r="H1551" s="21">
        <f>Data!B1564</f>
        <v>0</v>
      </c>
      <c r="I1551" s="21">
        <f>Data!C1564</f>
        <v>0</v>
      </c>
      <c r="J1551">
        <f>Data!D1564</f>
        <v>0</v>
      </c>
      <c r="K1551">
        <f>Data!E1564</f>
        <v>0</v>
      </c>
      <c r="L1551">
        <f>Data!F1564</f>
        <v>0</v>
      </c>
      <c r="M1551">
        <f>Data!G1564</f>
        <v>0</v>
      </c>
      <c r="N1551">
        <f>Data!H1564</f>
        <v>0</v>
      </c>
      <c r="O1551">
        <f>Data!I1564</f>
        <v>0</v>
      </c>
      <c r="P1551" s="21">
        <f>Data!J1568</f>
        <v>0</v>
      </c>
      <c r="Q1551">
        <f>Data!K1568</f>
        <v>0</v>
      </c>
      <c r="R1551">
        <f>Data!L1568</f>
        <v>0</v>
      </c>
      <c r="S1551">
        <f>Data!M1568</f>
        <v>0</v>
      </c>
      <c r="T1551">
        <f>Data!N1568</f>
        <v>0</v>
      </c>
      <c r="U1551">
        <f>Data!O1568</f>
        <v>0</v>
      </c>
      <c r="V1551" s="33">
        <f>Data!P1566</f>
        <v>0</v>
      </c>
    </row>
    <row r="1552" spans="7:22" x14ac:dyDescent="0.25">
      <c r="G1552">
        <f>Data!A1565</f>
        <v>0</v>
      </c>
      <c r="H1552" s="21">
        <f>Data!B1565</f>
        <v>0</v>
      </c>
      <c r="I1552" s="21">
        <f>Data!C1565</f>
        <v>0</v>
      </c>
      <c r="J1552">
        <f>Data!D1565</f>
        <v>0</v>
      </c>
      <c r="K1552">
        <f>Data!E1565</f>
        <v>0</v>
      </c>
      <c r="L1552">
        <f>Data!F1565</f>
        <v>0</v>
      </c>
      <c r="M1552">
        <f>Data!G1565</f>
        <v>0</v>
      </c>
      <c r="N1552">
        <f>Data!H1565</f>
        <v>0</v>
      </c>
      <c r="O1552">
        <f>Data!I1565</f>
        <v>0</v>
      </c>
      <c r="P1552" s="21">
        <f>Data!J1569</f>
        <v>0</v>
      </c>
      <c r="Q1552">
        <f>Data!K1569</f>
        <v>0</v>
      </c>
      <c r="R1552">
        <f>Data!L1569</f>
        <v>0</v>
      </c>
      <c r="S1552">
        <f>Data!M1569</f>
        <v>0</v>
      </c>
      <c r="T1552">
        <f>Data!N1569</f>
        <v>0</v>
      </c>
      <c r="U1552">
        <f>Data!O1569</f>
        <v>0</v>
      </c>
      <c r="V1552" s="33">
        <f>Data!P1567</f>
        <v>0</v>
      </c>
    </row>
    <row r="1553" spans="7:22" x14ac:dyDescent="0.25">
      <c r="G1553">
        <f>Data!A1566</f>
        <v>0</v>
      </c>
      <c r="H1553" s="21">
        <f>Data!B1566</f>
        <v>0</v>
      </c>
      <c r="I1553" s="21">
        <f>Data!C1566</f>
        <v>0</v>
      </c>
      <c r="J1553">
        <f>Data!D1566</f>
        <v>0</v>
      </c>
      <c r="K1553">
        <f>Data!E1566</f>
        <v>0</v>
      </c>
      <c r="L1553">
        <f>Data!F1566</f>
        <v>0</v>
      </c>
      <c r="M1553">
        <f>Data!G1566</f>
        <v>0</v>
      </c>
      <c r="N1553">
        <f>Data!H1566</f>
        <v>0</v>
      </c>
      <c r="O1553">
        <f>Data!I1566</f>
        <v>0</v>
      </c>
      <c r="P1553" s="21">
        <f>Data!J1570</f>
        <v>0</v>
      </c>
      <c r="Q1553">
        <f>Data!K1570</f>
        <v>0</v>
      </c>
      <c r="R1553">
        <f>Data!L1570</f>
        <v>0</v>
      </c>
      <c r="S1553">
        <f>Data!M1570</f>
        <v>0</v>
      </c>
      <c r="T1553">
        <f>Data!N1570</f>
        <v>0</v>
      </c>
      <c r="U1553">
        <f>Data!O1570</f>
        <v>0</v>
      </c>
      <c r="V1553" s="33">
        <f>Data!P1568</f>
        <v>0</v>
      </c>
    </row>
    <row r="1554" spans="7:22" x14ac:dyDescent="0.25">
      <c r="G1554">
        <f>Data!A1567</f>
        <v>0</v>
      </c>
      <c r="H1554" s="21">
        <f>Data!B1567</f>
        <v>0</v>
      </c>
      <c r="I1554" s="21">
        <f>Data!C1567</f>
        <v>0</v>
      </c>
      <c r="J1554">
        <f>Data!D1567</f>
        <v>0</v>
      </c>
      <c r="K1554">
        <f>Data!E1567</f>
        <v>0</v>
      </c>
      <c r="L1554">
        <f>Data!F1567</f>
        <v>0</v>
      </c>
      <c r="M1554">
        <f>Data!G1567</f>
        <v>0</v>
      </c>
      <c r="N1554">
        <f>Data!H1567</f>
        <v>0</v>
      </c>
      <c r="O1554">
        <f>Data!I1567</f>
        <v>0</v>
      </c>
      <c r="P1554" s="21">
        <f>Data!J1571</f>
        <v>0</v>
      </c>
      <c r="Q1554">
        <f>Data!K1571</f>
        <v>0</v>
      </c>
      <c r="R1554">
        <f>Data!L1571</f>
        <v>0</v>
      </c>
      <c r="S1554">
        <f>Data!M1571</f>
        <v>0</v>
      </c>
      <c r="T1554">
        <f>Data!N1571</f>
        <v>0</v>
      </c>
      <c r="U1554">
        <f>Data!O1571</f>
        <v>0</v>
      </c>
      <c r="V1554" s="33">
        <f>Data!P1569</f>
        <v>0</v>
      </c>
    </row>
    <row r="1555" spans="7:22" x14ac:dyDescent="0.25">
      <c r="G1555">
        <f>Data!A1568</f>
        <v>0</v>
      </c>
      <c r="H1555" s="21">
        <f>Data!B1568</f>
        <v>0</v>
      </c>
      <c r="I1555" s="21">
        <f>Data!C1568</f>
        <v>0</v>
      </c>
      <c r="J1555">
        <f>Data!D1568</f>
        <v>0</v>
      </c>
      <c r="K1555">
        <f>Data!E1568</f>
        <v>0</v>
      </c>
      <c r="L1555">
        <f>Data!F1568</f>
        <v>0</v>
      </c>
      <c r="M1555">
        <f>Data!G1568</f>
        <v>0</v>
      </c>
      <c r="N1555">
        <f>Data!H1568</f>
        <v>0</v>
      </c>
      <c r="O1555">
        <f>Data!I1568</f>
        <v>0</v>
      </c>
      <c r="P1555" s="21">
        <f>Data!J1572</f>
        <v>0</v>
      </c>
      <c r="Q1555">
        <f>Data!K1572</f>
        <v>0</v>
      </c>
      <c r="R1555">
        <f>Data!L1572</f>
        <v>0</v>
      </c>
      <c r="S1555">
        <f>Data!M1572</f>
        <v>0</v>
      </c>
      <c r="T1555">
        <f>Data!N1572</f>
        <v>0</v>
      </c>
      <c r="U1555">
        <f>Data!O1572</f>
        <v>0</v>
      </c>
      <c r="V1555" s="33">
        <f>Data!P1570</f>
        <v>0</v>
      </c>
    </row>
    <row r="1556" spans="7:22" x14ac:dyDescent="0.25">
      <c r="G1556">
        <f>Data!A1569</f>
        <v>0</v>
      </c>
      <c r="H1556" s="21">
        <f>Data!B1569</f>
        <v>0</v>
      </c>
      <c r="I1556" s="21">
        <f>Data!C1569</f>
        <v>0</v>
      </c>
      <c r="J1556">
        <f>Data!D1569</f>
        <v>0</v>
      </c>
      <c r="K1556">
        <f>Data!E1569</f>
        <v>0</v>
      </c>
      <c r="L1556">
        <f>Data!F1569</f>
        <v>0</v>
      </c>
      <c r="M1556">
        <f>Data!G1569</f>
        <v>0</v>
      </c>
      <c r="N1556">
        <f>Data!H1569</f>
        <v>0</v>
      </c>
      <c r="O1556">
        <f>Data!I1569</f>
        <v>0</v>
      </c>
      <c r="P1556" s="21">
        <f>Data!J1573</f>
        <v>0</v>
      </c>
      <c r="Q1556">
        <f>Data!K1573</f>
        <v>0</v>
      </c>
      <c r="R1556">
        <f>Data!L1573</f>
        <v>0</v>
      </c>
      <c r="S1556">
        <f>Data!M1573</f>
        <v>0</v>
      </c>
      <c r="T1556">
        <f>Data!N1573</f>
        <v>0</v>
      </c>
      <c r="U1556">
        <f>Data!O1573</f>
        <v>0</v>
      </c>
      <c r="V1556" s="33">
        <f>Data!P1571</f>
        <v>0</v>
      </c>
    </row>
    <row r="1557" spans="7:22" x14ac:dyDescent="0.25">
      <c r="G1557">
        <f>Data!A1570</f>
        <v>0</v>
      </c>
      <c r="H1557" s="21">
        <f>Data!B1570</f>
        <v>0</v>
      </c>
      <c r="I1557" s="21">
        <f>Data!C1570</f>
        <v>0</v>
      </c>
      <c r="J1557">
        <f>Data!D1570</f>
        <v>0</v>
      </c>
      <c r="K1557">
        <f>Data!E1570</f>
        <v>0</v>
      </c>
      <c r="L1557">
        <f>Data!F1570</f>
        <v>0</v>
      </c>
      <c r="M1557">
        <f>Data!G1570</f>
        <v>0</v>
      </c>
      <c r="N1557">
        <f>Data!H1570</f>
        <v>0</v>
      </c>
      <c r="O1557">
        <f>Data!I1570</f>
        <v>0</v>
      </c>
      <c r="P1557" s="21">
        <f>Data!J1574</f>
        <v>0</v>
      </c>
      <c r="Q1557">
        <f>Data!K1574</f>
        <v>0</v>
      </c>
      <c r="R1557">
        <f>Data!L1574</f>
        <v>0</v>
      </c>
      <c r="S1557">
        <f>Data!M1574</f>
        <v>0</v>
      </c>
      <c r="T1557">
        <f>Data!N1574</f>
        <v>0</v>
      </c>
      <c r="U1557">
        <f>Data!O1574</f>
        <v>0</v>
      </c>
      <c r="V1557" s="33">
        <f>Data!P1572</f>
        <v>0</v>
      </c>
    </row>
    <row r="1558" spans="7:22" x14ac:dyDescent="0.25">
      <c r="G1558">
        <f>Data!A1571</f>
        <v>0</v>
      </c>
      <c r="H1558" s="21">
        <f>Data!B1571</f>
        <v>0</v>
      </c>
      <c r="I1558" s="21">
        <f>Data!C1571</f>
        <v>0</v>
      </c>
      <c r="J1558">
        <f>Data!D1571</f>
        <v>0</v>
      </c>
      <c r="K1558">
        <f>Data!E1571</f>
        <v>0</v>
      </c>
      <c r="L1558">
        <f>Data!F1571</f>
        <v>0</v>
      </c>
      <c r="M1558">
        <f>Data!G1571</f>
        <v>0</v>
      </c>
      <c r="N1558">
        <f>Data!H1571</f>
        <v>0</v>
      </c>
      <c r="O1558">
        <f>Data!I1571</f>
        <v>0</v>
      </c>
      <c r="P1558" s="21">
        <f>Data!J1575</f>
        <v>0</v>
      </c>
      <c r="Q1558">
        <f>Data!K1575</f>
        <v>0</v>
      </c>
      <c r="R1558">
        <f>Data!L1575</f>
        <v>0</v>
      </c>
      <c r="S1558">
        <f>Data!M1575</f>
        <v>0</v>
      </c>
      <c r="T1558">
        <f>Data!N1575</f>
        <v>0</v>
      </c>
      <c r="U1558">
        <f>Data!O1575</f>
        <v>0</v>
      </c>
      <c r="V1558" s="33">
        <f>Data!P1573</f>
        <v>0</v>
      </c>
    </row>
    <row r="1559" spans="7:22" x14ac:dyDescent="0.25">
      <c r="G1559">
        <f>Data!A1572</f>
        <v>0</v>
      </c>
      <c r="H1559" s="21">
        <f>Data!B1572</f>
        <v>0</v>
      </c>
      <c r="I1559" s="21">
        <f>Data!C1572</f>
        <v>0</v>
      </c>
      <c r="J1559">
        <f>Data!D1572</f>
        <v>0</v>
      </c>
      <c r="K1559">
        <f>Data!E1572</f>
        <v>0</v>
      </c>
      <c r="L1559">
        <f>Data!F1572</f>
        <v>0</v>
      </c>
      <c r="M1559">
        <f>Data!G1572</f>
        <v>0</v>
      </c>
      <c r="N1559">
        <f>Data!H1572</f>
        <v>0</v>
      </c>
      <c r="O1559">
        <f>Data!I1572</f>
        <v>0</v>
      </c>
      <c r="P1559" s="21">
        <f>Data!J1576</f>
        <v>0</v>
      </c>
      <c r="Q1559">
        <f>Data!K1576</f>
        <v>0</v>
      </c>
      <c r="R1559">
        <f>Data!L1576</f>
        <v>0</v>
      </c>
      <c r="S1559">
        <f>Data!M1576</f>
        <v>0</v>
      </c>
      <c r="T1559">
        <f>Data!N1576</f>
        <v>0</v>
      </c>
      <c r="U1559">
        <f>Data!O1576</f>
        <v>0</v>
      </c>
      <c r="V1559" s="33">
        <f>Data!P1574</f>
        <v>0</v>
      </c>
    </row>
    <row r="1560" spans="7:22" x14ac:dyDescent="0.25">
      <c r="G1560">
        <f>Data!A1573</f>
        <v>0</v>
      </c>
      <c r="H1560" s="21">
        <f>Data!B1573</f>
        <v>0</v>
      </c>
      <c r="I1560" s="21">
        <f>Data!C1573</f>
        <v>0</v>
      </c>
      <c r="J1560">
        <f>Data!D1573</f>
        <v>0</v>
      </c>
      <c r="K1560">
        <f>Data!E1573</f>
        <v>0</v>
      </c>
      <c r="L1560">
        <f>Data!F1573</f>
        <v>0</v>
      </c>
      <c r="M1560">
        <f>Data!G1573</f>
        <v>0</v>
      </c>
      <c r="N1560">
        <f>Data!H1573</f>
        <v>0</v>
      </c>
      <c r="O1560">
        <f>Data!I1573</f>
        <v>0</v>
      </c>
      <c r="P1560" s="21">
        <f>Data!J1577</f>
        <v>0</v>
      </c>
      <c r="Q1560">
        <f>Data!K1577</f>
        <v>0</v>
      </c>
      <c r="R1560">
        <f>Data!L1577</f>
        <v>0</v>
      </c>
      <c r="S1560">
        <f>Data!M1577</f>
        <v>0</v>
      </c>
      <c r="T1560">
        <f>Data!N1577</f>
        <v>0</v>
      </c>
      <c r="U1560">
        <f>Data!O1577</f>
        <v>0</v>
      </c>
      <c r="V1560" s="33">
        <f>Data!P1575</f>
        <v>0</v>
      </c>
    </row>
    <row r="1561" spans="7:22" x14ac:dyDescent="0.25">
      <c r="G1561">
        <f>Data!A1574</f>
        <v>0</v>
      </c>
      <c r="H1561" s="21">
        <f>Data!B1574</f>
        <v>0</v>
      </c>
      <c r="I1561" s="21">
        <f>Data!C1574</f>
        <v>0</v>
      </c>
      <c r="J1561">
        <f>Data!D1574</f>
        <v>0</v>
      </c>
      <c r="K1561">
        <f>Data!E1574</f>
        <v>0</v>
      </c>
      <c r="L1561">
        <f>Data!F1574</f>
        <v>0</v>
      </c>
      <c r="M1561">
        <f>Data!G1574</f>
        <v>0</v>
      </c>
      <c r="N1561">
        <f>Data!H1574</f>
        <v>0</v>
      </c>
      <c r="O1561">
        <f>Data!I1574</f>
        <v>0</v>
      </c>
      <c r="P1561" s="21">
        <f>Data!J1578</f>
        <v>0</v>
      </c>
      <c r="Q1561">
        <f>Data!K1578</f>
        <v>0</v>
      </c>
      <c r="R1561">
        <f>Data!L1578</f>
        <v>0</v>
      </c>
      <c r="S1561">
        <f>Data!M1578</f>
        <v>0</v>
      </c>
      <c r="T1561">
        <f>Data!N1578</f>
        <v>0</v>
      </c>
      <c r="U1561">
        <f>Data!O1578</f>
        <v>0</v>
      </c>
      <c r="V1561" s="33">
        <f>Data!P1576</f>
        <v>0</v>
      </c>
    </row>
    <row r="1562" spans="7:22" x14ac:dyDescent="0.25">
      <c r="G1562">
        <f>Data!A1575</f>
        <v>0</v>
      </c>
      <c r="H1562" s="21">
        <f>Data!B1575</f>
        <v>0</v>
      </c>
      <c r="I1562" s="21">
        <f>Data!C1575</f>
        <v>0</v>
      </c>
      <c r="J1562">
        <f>Data!D1575</f>
        <v>0</v>
      </c>
      <c r="K1562">
        <f>Data!E1575</f>
        <v>0</v>
      </c>
      <c r="L1562">
        <f>Data!F1575</f>
        <v>0</v>
      </c>
      <c r="M1562">
        <f>Data!G1575</f>
        <v>0</v>
      </c>
      <c r="N1562">
        <f>Data!H1575</f>
        <v>0</v>
      </c>
      <c r="O1562">
        <f>Data!I1575</f>
        <v>0</v>
      </c>
      <c r="P1562" s="21">
        <f>Data!J1579</f>
        <v>0</v>
      </c>
      <c r="Q1562">
        <f>Data!K1579</f>
        <v>0</v>
      </c>
      <c r="R1562">
        <f>Data!L1579</f>
        <v>0</v>
      </c>
      <c r="S1562">
        <f>Data!M1579</f>
        <v>0</v>
      </c>
      <c r="T1562">
        <f>Data!N1579</f>
        <v>0</v>
      </c>
      <c r="U1562">
        <f>Data!O1579</f>
        <v>0</v>
      </c>
      <c r="V1562" s="33">
        <f>Data!P1577</f>
        <v>0</v>
      </c>
    </row>
    <row r="1563" spans="7:22" x14ac:dyDescent="0.25">
      <c r="G1563">
        <f>Data!A1576</f>
        <v>0</v>
      </c>
      <c r="H1563" s="21">
        <f>Data!B1576</f>
        <v>0</v>
      </c>
      <c r="I1563" s="21">
        <f>Data!C1576</f>
        <v>0</v>
      </c>
      <c r="J1563">
        <f>Data!D1576</f>
        <v>0</v>
      </c>
      <c r="K1563">
        <f>Data!E1576</f>
        <v>0</v>
      </c>
      <c r="L1563">
        <f>Data!F1576</f>
        <v>0</v>
      </c>
      <c r="M1563">
        <f>Data!G1576</f>
        <v>0</v>
      </c>
      <c r="N1563">
        <f>Data!H1576</f>
        <v>0</v>
      </c>
      <c r="O1563">
        <f>Data!I1576</f>
        <v>0</v>
      </c>
      <c r="P1563" s="21">
        <f>Data!J1580</f>
        <v>0</v>
      </c>
      <c r="Q1563">
        <f>Data!K1580</f>
        <v>0</v>
      </c>
      <c r="R1563">
        <f>Data!L1580</f>
        <v>0</v>
      </c>
      <c r="S1563">
        <f>Data!M1580</f>
        <v>0</v>
      </c>
      <c r="T1563">
        <f>Data!N1580</f>
        <v>0</v>
      </c>
      <c r="U1563">
        <f>Data!O1580</f>
        <v>0</v>
      </c>
      <c r="V1563" s="33">
        <f>Data!P1578</f>
        <v>0</v>
      </c>
    </row>
    <row r="1564" spans="7:22" x14ac:dyDescent="0.25">
      <c r="G1564">
        <f>Data!A1577</f>
        <v>0</v>
      </c>
      <c r="H1564" s="21">
        <f>Data!B1577</f>
        <v>0</v>
      </c>
      <c r="I1564" s="21">
        <f>Data!C1577</f>
        <v>0</v>
      </c>
      <c r="J1564">
        <f>Data!D1577</f>
        <v>0</v>
      </c>
      <c r="K1564">
        <f>Data!E1577</f>
        <v>0</v>
      </c>
      <c r="L1564">
        <f>Data!F1577</f>
        <v>0</v>
      </c>
      <c r="M1564">
        <f>Data!G1577</f>
        <v>0</v>
      </c>
      <c r="N1564">
        <f>Data!H1577</f>
        <v>0</v>
      </c>
      <c r="O1564">
        <f>Data!I1577</f>
        <v>0</v>
      </c>
      <c r="P1564" s="21">
        <f>Data!J1581</f>
        <v>0</v>
      </c>
      <c r="Q1564">
        <f>Data!K1581</f>
        <v>0</v>
      </c>
      <c r="R1564">
        <f>Data!L1581</f>
        <v>0</v>
      </c>
      <c r="S1564">
        <f>Data!M1581</f>
        <v>0</v>
      </c>
      <c r="T1564">
        <f>Data!N1581</f>
        <v>0</v>
      </c>
      <c r="U1564">
        <f>Data!O1581</f>
        <v>0</v>
      </c>
      <c r="V1564" s="33">
        <f>Data!P1579</f>
        <v>0</v>
      </c>
    </row>
    <row r="1565" spans="7:22" x14ac:dyDescent="0.25">
      <c r="G1565">
        <f>Data!A1578</f>
        <v>0</v>
      </c>
      <c r="H1565" s="21">
        <f>Data!B1578</f>
        <v>0</v>
      </c>
      <c r="I1565" s="21">
        <f>Data!C1578</f>
        <v>0</v>
      </c>
      <c r="J1565">
        <f>Data!D1578</f>
        <v>0</v>
      </c>
      <c r="K1565">
        <f>Data!E1578</f>
        <v>0</v>
      </c>
      <c r="L1565">
        <f>Data!F1578</f>
        <v>0</v>
      </c>
      <c r="M1565">
        <f>Data!G1578</f>
        <v>0</v>
      </c>
      <c r="N1565">
        <f>Data!H1578</f>
        <v>0</v>
      </c>
      <c r="O1565">
        <f>Data!I1578</f>
        <v>0</v>
      </c>
      <c r="P1565" s="21">
        <f>Data!J1582</f>
        <v>0</v>
      </c>
      <c r="Q1565">
        <f>Data!K1582</f>
        <v>0</v>
      </c>
      <c r="R1565">
        <f>Data!L1582</f>
        <v>0</v>
      </c>
      <c r="S1565">
        <f>Data!M1582</f>
        <v>0</v>
      </c>
      <c r="T1565">
        <f>Data!N1582</f>
        <v>0</v>
      </c>
      <c r="U1565">
        <f>Data!O1582</f>
        <v>0</v>
      </c>
      <c r="V1565" s="33">
        <f>Data!P1580</f>
        <v>0</v>
      </c>
    </row>
    <row r="1566" spans="7:22" x14ac:dyDescent="0.25">
      <c r="G1566">
        <f>Data!A1579</f>
        <v>0</v>
      </c>
      <c r="H1566" s="21">
        <f>Data!B1579</f>
        <v>0</v>
      </c>
      <c r="I1566" s="21">
        <f>Data!C1579</f>
        <v>0</v>
      </c>
      <c r="J1566">
        <f>Data!D1579</f>
        <v>0</v>
      </c>
      <c r="K1566">
        <f>Data!E1579</f>
        <v>0</v>
      </c>
      <c r="L1566">
        <f>Data!F1579</f>
        <v>0</v>
      </c>
      <c r="M1566">
        <f>Data!G1579</f>
        <v>0</v>
      </c>
      <c r="N1566">
        <f>Data!H1579</f>
        <v>0</v>
      </c>
      <c r="O1566">
        <f>Data!I1579</f>
        <v>0</v>
      </c>
      <c r="P1566" s="21">
        <f>Data!J1583</f>
        <v>0</v>
      </c>
      <c r="Q1566">
        <f>Data!K1583</f>
        <v>0</v>
      </c>
      <c r="R1566">
        <f>Data!L1583</f>
        <v>0</v>
      </c>
      <c r="S1566">
        <f>Data!M1583</f>
        <v>0</v>
      </c>
      <c r="T1566">
        <f>Data!N1583</f>
        <v>0</v>
      </c>
      <c r="U1566">
        <f>Data!O1583</f>
        <v>0</v>
      </c>
      <c r="V1566" s="33">
        <f>Data!P1581</f>
        <v>0</v>
      </c>
    </row>
    <row r="1567" spans="7:22" x14ac:dyDescent="0.25">
      <c r="G1567">
        <f>Data!A1580</f>
        <v>0</v>
      </c>
      <c r="H1567" s="21">
        <f>Data!B1580</f>
        <v>0</v>
      </c>
      <c r="I1567" s="21">
        <f>Data!C1580</f>
        <v>0</v>
      </c>
      <c r="J1567">
        <f>Data!D1580</f>
        <v>0</v>
      </c>
      <c r="K1567">
        <f>Data!E1580</f>
        <v>0</v>
      </c>
      <c r="L1567">
        <f>Data!F1580</f>
        <v>0</v>
      </c>
      <c r="M1567">
        <f>Data!G1580</f>
        <v>0</v>
      </c>
      <c r="N1567">
        <f>Data!H1580</f>
        <v>0</v>
      </c>
      <c r="O1567">
        <f>Data!I1580</f>
        <v>0</v>
      </c>
      <c r="P1567" s="21">
        <f>Data!J1584</f>
        <v>0</v>
      </c>
      <c r="Q1567">
        <f>Data!K1584</f>
        <v>0</v>
      </c>
      <c r="R1567">
        <f>Data!L1584</f>
        <v>0</v>
      </c>
      <c r="S1567">
        <f>Data!M1584</f>
        <v>0</v>
      </c>
      <c r="T1567">
        <f>Data!N1584</f>
        <v>0</v>
      </c>
      <c r="U1567">
        <f>Data!O1584</f>
        <v>0</v>
      </c>
      <c r="V1567" s="33">
        <f>Data!P1582</f>
        <v>0</v>
      </c>
    </row>
    <row r="1568" spans="7:22" x14ac:dyDescent="0.25">
      <c r="G1568">
        <f>Data!A1581</f>
        <v>0</v>
      </c>
      <c r="H1568" s="21">
        <f>Data!B1581</f>
        <v>0</v>
      </c>
      <c r="I1568" s="21">
        <f>Data!C1581</f>
        <v>0</v>
      </c>
      <c r="J1568">
        <f>Data!D1581</f>
        <v>0</v>
      </c>
      <c r="K1568">
        <f>Data!E1581</f>
        <v>0</v>
      </c>
      <c r="L1568">
        <f>Data!F1581</f>
        <v>0</v>
      </c>
      <c r="M1568">
        <f>Data!G1581</f>
        <v>0</v>
      </c>
      <c r="N1568">
        <f>Data!H1581</f>
        <v>0</v>
      </c>
      <c r="O1568">
        <f>Data!I1581</f>
        <v>0</v>
      </c>
      <c r="P1568" s="21">
        <f>Data!J1585</f>
        <v>0</v>
      </c>
      <c r="Q1568">
        <f>Data!K1585</f>
        <v>0</v>
      </c>
      <c r="R1568">
        <f>Data!L1585</f>
        <v>0</v>
      </c>
      <c r="S1568">
        <f>Data!M1585</f>
        <v>0</v>
      </c>
      <c r="T1568">
        <f>Data!N1585</f>
        <v>0</v>
      </c>
      <c r="U1568">
        <f>Data!O1585</f>
        <v>0</v>
      </c>
      <c r="V1568" s="33">
        <f>Data!P1583</f>
        <v>0</v>
      </c>
    </row>
    <row r="1569" spans="7:22" x14ac:dyDescent="0.25">
      <c r="G1569">
        <f>Data!A1582</f>
        <v>0</v>
      </c>
      <c r="H1569" s="21">
        <f>Data!B1582</f>
        <v>0</v>
      </c>
      <c r="I1569" s="21">
        <f>Data!C1582</f>
        <v>0</v>
      </c>
      <c r="J1569">
        <f>Data!D1582</f>
        <v>0</v>
      </c>
      <c r="K1569">
        <f>Data!E1582</f>
        <v>0</v>
      </c>
      <c r="L1569">
        <f>Data!F1582</f>
        <v>0</v>
      </c>
      <c r="M1569">
        <f>Data!G1582</f>
        <v>0</v>
      </c>
      <c r="N1569">
        <f>Data!H1582</f>
        <v>0</v>
      </c>
      <c r="O1569">
        <f>Data!I1582</f>
        <v>0</v>
      </c>
      <c r="P1569" s="21">
        <f>Data!J1586</f>
        <v>0</v>
      </c>
      <c r="Q1569">
        <f>Data!K1586</f>
        <v>0</v>
      </c>
      <c r="R1569">
        <f>Data!L1586</f>
        <v>0</v>
      </c>
      <c r="S1569">
        <f>Data!M1586</f>
        <v>0</v>
      </c>
      <c r="T1569">
        <f>Data!N1586</f>
        <v>0</v>
      </c>
      <c r="U1569">
        <f>Data!O1586</f>
        <v>0</v>
      </c>
      <c r="V1569" s="33">
        <f>Data!P1584</f>
        <v>0</v>
      </c>
    </row>
    <row r="1570" spans="7:22" x14ac:dyDescent="0.25">
      <c r="G1570">
        <f>Data!A1583</f>
        <v>0</v>
      </c>
      <c r="H1570" s="21">
        <f>Data!B1583</f>
        <v>0</v>
      </c>
      <c r="I1570" s="21">
        <f>Data!C1583</f>
        <v>0</v>
      </c>
      <c r="J1570">
        <f>Data!D1583</f>
        <v>0</v>
      </c>
      <c r="K1570">
        <f>Data!E1583</f>
        <v>0</v>
      </c>
      <c r="L1570">
        <f>Data!F1583</f>
        <v>0</v>
      </c>
      <c r="M1570">
        <f>Data!G1583</f>
        <v>0</v>
      </c>
      <c r="N1570">
        <f>Data!H1583</f>
        <v>0</v>
      </c>
      <c r="O1570">
        <f>Data!I1583</f>
        <v>0</v>
      </c>
      <c r="P1570" s="21">
        <f>Data!J1587</f>
        <v>0</v>
      </c>
      <c r="Q1570">
        <f>Data!K1587</f>
        <v>0</v>
      </c>
      <c r="R1570">
        <f>Data!L1587</f>
        <v>0</v>
      </c>
      <c r="S1570">
        <f>Data!M1587</f>
        <v>0</v>
      </c>
      <c r="T1570">
        <f>Data!N1587</f>
        <v>0</v>
      </c>
      <c r="U1570">
        <f>Data!O1587</f>
        <v>0</v>
      </c>
      <c r="V1570" s="33">
        <f>Data!P1585</f>
        <v>0</v>
      </c>
    </row>
    <row r="1571" spans="7:22" x14ac:dyDescent="0.25">
      <c r="G1571">
        <f>Data!A1584</f>
        <v>0</v>
      </c>
      <c r="H1571" s="21">
        <f>Data!B1584</f>
        <v>0</v>
      </c>
      <c r="I1571" s="21">
        <f>Data!C1584</f>
        <v>0</v>
      </c>
      <c r="J1571">
        <f>Data!D1584</f>
        <v>0</v>
      </c>
      <c r="K1571">
        <f>Data!E1584</f>
        <v>0</v>
      </c>
      <c r="L1571">
        <f>Data!F1584</f>
        <v>0</v>
      </c>
      <c r="M1571">
        <f>Data!G1584</f>
        <v>0</v>
      </c>
      <c r="N1571">
        <f>Data!H1584</f>
        <v>0</v>
      </c>
      <c r="O1571">
        <f>Data!I1584</f>
        <v>0</v>
      </c>
      <c r="P1571" s="21">
        <f>Data!J1588</f>
        <v>0</v>
      </c>
      <c r="Q1571">
        <f>Data!K1588</f>
        <v>0</v>
      </c>
      <c r="R1571">
        <f>Data!L1588</f>
        <v>0</v>
      </c>
      <c r="S1571">
        <f>Data!M1588</f>
        <v>0</v>
      </c>
      <c r="T1571">
        <f>Data!N1588</f>
        <v>0</v>
      </c>
      <c r="U1571">
        <f>Data!O1588</f>
        <v>0</v>
      </c>
      <c r="V1571" s="33">
        <f>Data!P1586</f>
        <v>0</v>
      </c>
    </row>
    <row r="1572" spans="7:22" x14ac:dyDescent="0.25">
      <c r="G1572">
        <f>Data!A1585</f>
        <v>0</v>
      </c>
      <c r="H1572" s="21">
        <f>Data!B1585</f>
        <v>0</v>
      </c>
      <c r="I1572" s="21">
        <f>Data!C1585</f>
        <v>0</v>
      </c>
      <c r="J1572">
        <f>Data!D1585</f>
        <v>0</v>
      </c>
      <c r="K1572">
        <f>Data!E1585</f>
        <v>0</v>
      </c>
      <c r="L1572">
        <f>Data!F1585</f>
        <v>0</v>
      </c>
      <c r="M1572">
        <f>Data!G1585</f>
        <v>0</v>
      </c>
      <c r="N1572">
        <f>Data!H1585</f>
        <v>0</v>
      </c>
      <c r="O1572">
        <f>Data!I1585</f>
        <v>0</v>
      </c>
      <c r="P1572" s="21">
        <f>Data!J1589</f>
        <v>0</v>
      </c>
      <c r="Q1572">
        <f>Data!K1589</f>
        <v>0</v>
      </c>
      <c r="R1572">
        <f>Data!L1589</f>
        <v>0</v>
      </c>
      <c r="S1572">
        <f>Data!M1589</f>
        <v>0</v>
      </c>
      <c r="T1572">
        <f>Data!N1589</f>
        <v>0</v>
      </c>
      <c r="U1572">
        <f>Data!O1589</f>
        <v>0</v>
      </c>
      <c r="V1572" s="33">
        <f>Data!P1587</f>
        <v>0</v>
      </c>
    </row>
    <row r="1573" spans="7:22" x14ac:dyDescent="0.25">
      <c r="G1573">
        <f>Data!A1586</f>
        <v>0</v>
      </c>
      <c r="H1573" s="21">
        <f>Data!B1586</f>
        <v>0</v>
      </c>
      <c r="I1573" s="21">
        <f>Data!C1586</f>
        <v>0</v>
      </c>
      <c r="J1573">
        <f>Data!D1586</f>
        <v>0</v>
      </c>
      <c r="K1573">
        <f>Data!E1586</f>
        <v>0</v>
      </c>
      <c r="L1573">
        <f>Data!F1586</f>
        <v>0</v>
      </c>
      <c r="M1573">
        <f>Data!G1586</f>
        <v>0</v>
      </c>
      <c r="N1573">
        <f>Data!H1586</f>
        <v>0</v>
      </c>
      <c r="O1573">
        <f>Data!I1586</f>
        <v>0</v>
      </c>
      <c r="P1573" s="21">
        <f>Data!J1590</f>
        <v>0</v>
      </c>
      <c r="Q1573">
        <f>Data!K1590</f>
        <v>0</v>
      </c>
      <c r="R1573">
        <f>Data!L1590</f>
        <v>0</v>
      </c>
      <c r="S1573">
        <f>Data!M1590</f>
        <v>0</v>
      </c>
      <c r="T1573">
        <f>Data!N1590</f>
        <v>0</v>
      </c>
      <c r="U1573">
        <f>Data!O1590</f>
        <v>0</v>
      </c>
      <c r="V1573" s="33">
        <f>Data!P1588</f>
        <v>0</v>
      </c>
    </row>
    <row r="1574" spans="7:22" x14ac:dyDescent="0.25">
      <c r="G1574">
        <f>Data!A1587</f>
        <v>0</v>
      </c>
      <c r="H1574" s="21">
        <f>Data!B1587</f>
        <v>0</v>
      </c>
      <c r="I1574" s="21">
        <f>Data!C1587</f>
        <v>0</v>
      </c>
      <c r="J1574">
        <f>Data!D1587</f>
        <v>0</v>
      </c>
      <c r="K1574">
        <f>Data!E1587</f>
        <v>0</v>
      </c>
      <c r="L1574">
        <f>Data!F1587</f>
        <v>0</v>
      </c>
      <c r="M1574">
        <f>Data!G1587</f>
        <v>0</v>
      </c>
      <c r="N1574">
        <f>Data!H1587</f>
        <v>0</v>
      </c>
      <c r="O1574">
        <f>Data!I1587</f>
        <v>0</v>
      </c>
      <c r="P1574" s="21">
        <f>Data!J1591</f>
        <v>0</v>
      </c>
      <c r="Q1574">
        <f>Data!K1591</f>
        <v>0</v>
      </c>
      <c r="R1574">
        <f>Data!L1591</f>
        <v>0</v>
      </c>
      <c r="S1574">
        <f>Data!M1591</f>
        <v>0</v>
      </c>
      <c r="T1574">
        <f>Data!N1591</f>
        <v>0</v>
      </c>
      <c r="U1574">
        <f>Data!O1591</f>
        <v>0</v>
      </c>
      <c r="V1574" s="33">
        <f>Data!P1589</f>
        <v>0</v>
      </c>
    </row>
    <row r="1575" spans="7:22" x14ac:dyDescent="0.25">
      <c r="G1575">
        <f>Data!A1588</f>
        <v>0</v>
      </c>
      <c r="H1575" s="21">
        <f>Data!B1588</f>
        <v>0</v>
      </c>
      <c r="I1575" s="21">
        <f>Data!C1588</f>
        <v>0</v>
      </c>
      <c r="J1575">
        <f>Data!D1588</f>
        <v>0</v>
      </c>
      <c r="K1575">
        <f>Data!E1588</f>
        <v>0</v>
      </c>
      <c r="L1575">
        <f>Data!F1588</f>
        <v>0</v>
      </c>
      <c r="M1575">
        <f>Data!G1588</f>
        <v>0</v>
      </c>
      <c r="N1575">
        <f>Data!H1588</f>
        <v>0</v>
      </c>
      <c r="O1575">
        <f>Data!I1588</f>
        <v>0</v>
      </c>
      <c r="P1575" s="21">
        <f>Data!J1592</f>
        <v>0</v>
      </c>
      <c r="Q1575">
        <f>Data!K1592</f>
        <v>0</v>
      </c>
      <c r="R1575">
        <f>Data!L1592</f>
        <v>0</v>
      </c>
      <c r="S1575">
        <f>Data!M1592</f>
        <v>0</v>
      </c>
      <c r="T1575">
        <f>Data!N1592</f>
        <v>0</v>
      </c>
      <c r="U1575">
        <f>Data!O1592</f>
        <v>0</v>
      </c>
      <c r="V1575" s="33">
        <f>Data!P1590</f>
        <v>0</v>
      </c>
    </row>
    <row r="1576" spans="7:22" x14ac:dyDescent="0.25">
      <c r="G1576">
        <f>Data!A1589</f>
        <v>0</v>
      </c>
      <c r="H1576" s="21">
        <f>Data!B1589</f>
        <v>0</v>
      </c>
      <c r="I1576" s="21">
        <f>Data!C1589</f>
        <v>0</v>
      </c>
      <c r="J1576">
        <f>Data!D1589</f>
        <v>0</v>
      </c>
      <c r="K1576">
        <f>Data!E1589</f>
        <v>0</v>
      </c>
      <c r="L1576">
        <f>Data!F1589</f>
        <v>0</v>
      </c>
      <c r="M1576">
        <f>Data!G1589</f>
        <v>0</v>
      </c>
      <c r="N1576">
        <f>Data!H1589</f>
        <v>0</v>
      </c>
      <c r="O1576">
        <f>Data!I1589</f>
        <v>0</v>
      </c>
      <c r="P1576" s="21">
        <f>Data!J1593</f>
        <v>0</v>
      </c>
      <c r="Q1576">
        <f>Data!K1593</f>
        <v>0</v>
      </c>
      <c r="R1576">
        <f>Data!L1593</f>
        <v>0</v>
      </c>
      <c r="S1576">
        <f>Data!M1593</f>
        <v>0</v>
      </c>
      <c r="T1576">
        <f>Data!N1593</f>
        <v>0</v>
      </c>
      <c r="U1576">
        <f>Data!O1593</f>
        <v>0</v>
      </c>
      <c r="V1576" s="33">
        <f>Data!P1591</f>
        <v>0</v>
      </c>
    </row>
    <row r="1577" spans="7:22" x14ac:dyDescent="0.25">
      <c r="G1577">
        <f>Data!A1590</f>
        <v>0</v>
      </c>
      <c r="H1577" s="21">
        <f>Data!B1590</f>
        <v>0</v>
      </c>
      <c r="I1577" s="21">
        <f>Data!C1590</f>
        <v>0</v>
      </c>
      <c r="J1577">
        <f>Data!D1590</f>
        <v>0</v>
      </c>
      <c r="K1577">
        <f>Data!E1590</f>
        <v>0</v>
      </c>
      <c r="L1577">
        <f>Data!F1590</f>
        <v>0</v>
      </c>
      <c r="M1577">
        <f>Data!G1590</f>
        <v>0</v>
      </c>
      <c r="N1577">
        <f>Data!H1590</f>
        <v>0</v>
      </c>
      <c r="O1577">
        <f>Data!I1590</f>
        <v>0</v>
      </c>
      <c r="P1577" s="21">
        <f>Data!J1594</f>
        <v>0</v>
      </c>
      <c r="Q1577">
        <f>Data!K1594</f>
        <v>0</v>
      </c>
      <c r="R1577">
        <f>Data!L1594</f>
        <v>0</v>
      </c>
      <c r="S1577">
        <f>Data!M1594</f>
        <v>0</v>
      </c>
      <c r="T1577">
        <f>Data!N1594</f>
        <v>0</v>
      </c>
      <c r="U1577">
        <f>Data!O1594</f>
        <v>0</v>
      </c>
      <c r="V1577" s="33">
        <f>Data!P1592</f>
        <v>0</v>
      </c>
    </row>
    <row r="1578" spans="7:22" x14ac:dyDescent="0.25">
      <c r="G1578">
        <f>Data!A1591</f>
        <v>0</v>
      </c>
      <c r="H1578" s="21">
        <f>Data!B1591</f>
        <v>0</v>
      </c>
      <c r="I1578" s="21">
        <f>Data!C1591</f>
        <v>0</v>
      </c>
      <c r="J1578">
        <f>Data!D1591</f>
        <v>0</v>
      </c>
      <c r="K1578">
        <f>Data!E1591</f>
        <v>0</v>
      </c>
      <c r="L1578">
        <f>Data!F1591</f>
        <v>0</v>
      </c>
      <c r="M1578">
        <f>Data!G1591</f>
        <v>0</v>
      </c>
      <c r="N1578">
        <f>Data!H1591</f>
        <v>0</v>
      </c>
      <c r="O1578">
        <f>Data!I1591</f>
        <v>0</v>
      </c>
      <c r="P1578" s="21">
        <f>Data!J1595</f>
        <v>0</v>
      </c>
      <c r="Q1578">
        <f>Data!K1595</f>
        <v>0</v>
      </c>
      <c r="R1578">
        <f>Data!L1595</f>
        <v>0</v>
      </c>
      <c r="S1578">
        <f>Data!M1595</f>
        <v>0</v>
      </c>
      <c r="T1578">
        <f>Data!N1595</f>
        <v>0</v>
      </c>
      <c r="U1578">
        <f>Data!O1595</f>
        <v>0</v>
      </c>
      <c r="V1578" s="33">
        <f>Data!P1593</f>
        <v>0</v>
      </c>
    </row>
    <row r="1579" spans="7:22" x14ac:dyDescent="0.25">
      <c r="G1579">
        <f>Data!A1592</f>
        <v>0</v>
      </c>
      <c r="H1579" s="21">
        <f>Data!B1592</f>
        <v>0</v>
      </c>
      <c r="I1579" s="21">
        <f>Data!C1592</f>
        <v>0</v>
      </c>
      <c r="J1579">
        <f>Data!D1592</f>
        <v>0</v>
      </c>
      <c r="K1579">
        <f>Data!E1592</f>
        <v>0</v>
      </c>
      <c r="L1579">
        <f>Data!F1592</f>
        <v>0</v>
      </c>
      <c r="M1579">
        <f>Data!G1592</f>
        <v>0</v>
      </c>
      <c r="N1579">
        <f>Data!H1592</f>
        <v>0</v>
      </c>
      <c r="O1579">
        <f>Data!I1592</f>
        <v>0</v>
      </c>
      <c r="P1579" s="21">
        <f>Data!J1596</f>
        <v>0</v>
      </c>
      <c r="Q1579">
        <f>Data!K1596</f>
        <v>0</v>
      </c>
      <c r="R1579">
        <f>Data!L1596</f>
        <v>0</v>
      </c>
      <c r="S1579">
        <f>Data!M1596</f>
        <v>0</v>
      </c>
      <c r="T1579">
        <f>Data!N1596</f>
        <v>0</v>
      </c>
      <c r="U1579">
        <f>Data!O1596</f>
        <v>0</v>
      </c>
      <c r="V1579" s="33">
        <f>Data!P1594</f>
        <v>0</v>
      </c>
    </row>
    <row r="1580" spans="7:22" x14ac:dyDescent="0.25">
      <c r="G1580">
        <f>Data!A1593</f>
        <v>0</v>
      </c>
      <c r="H1580" s="21">
        <f>Data!B1593</f>
        <v>0</v>
      </c>
      <c r="I1580" s="21">
        <f>Data!C1593</f>
        <v>0</v>
      </c>
      <c r="J1580">
        <f>Data!D1593</f>
        <v>0</v>
      </c>
      <c r="K1580">
        <f>Data!E1593</f>
        <v>0</v>
      </c>
      <c r="L1580">
        <f>Data!F1593</f>
        <v>0</v>
      </c>
      <c r="M1580">
        <f>Data!G1593</f>
        <v>0</v>
      </c>
      <c r="N1580">
        <f>Data!H1593</f>
        <v>0</v>
      </c>
      <c r="O1580">
        <f>Data!I1593</f>
        <v>0</v>
      </c>
      <c r="P1580" s="21">
        <f>Data!J1597</f>
        <v>0</v>
      </c>
      <c r="Q1580">
        <f>Data!K1597</f>
        <v>0</v>
      </c>
      <c r="R1580">
        <f>Data!L1597</f>
        <v>0</v>
      </c>
      <c r="S1580">
        <f>Data!M1597</f>
        <v>0</v>
      </c>
      <c r="T1580">
        <f>Data!N1597</f>
        <v>0</v>
      </c>
      <c r="U1580">
        <f>Data!O1597</f>
        <v>0</v>
      </c>
      <c r="V1580" s="33">
        <f>Data!P1595</f>
        <v>0</v>
      </c>
    </row>
    <row r="1581" spans="7:22" x14ac:dyDescent="0.25">
      <c r="G1581">
        <f>Data!A1594</f>
        <v>0</v>
      </c>
      <c r="H1581" s="21">
        <f>Data!B1594</f>
        <v>0</v>
      </c>
      <c r="I1581" s="21">
        <f>Data!C1594</f>
        <v>0</v>
      </c>
      <c r="J1581">
        <f>Data!D1594</f>
        <v>0</v>
      </c>
      <c r="K1581">
        <f>Data!E1594</f>
        <v>0</v>
      </c>
      <c r="L1581">
        <f>Data!F1594</f>
        <v>0</v>
      </c>
      <c r="M1581">
        <f>Data!G1594</f>
        <v>0</v>
      </c>
      <c r="N1581">
        <f>Data!H1594</f>
        <v>0</v>
      </c>
      <c r="O1581">
        <f>Data!I1594</f>
        <v>0</v>
      </c>
      <c r="P1581" s="21">
        <f>Data!J1598</f>
        <v>0</v>
      </c>
      <c r="Q1581">
        <f>Data!K1598</f>
        <v>0</v>
      </c>
      <c r="R1581">
        <f>Data!L1598</f>
        <v>0</v>
      </c>
      <c r="S1581">
        <f>Data!M1598</f>
        <v>0</v>
      </c>
      <c r="T1581">
        <f>Data!N1598</f>
        <v>0</v>
      </c>
      <c r="U1581">
        <f>Data!O1598</f>
        <v>0</v>
      </c>
      <c r="V1581" s="33">
        <f>Data!P1596</f>
        <v>0</v>
      </c>
    </row>
    <row r="1582" spans="7:22" x14ac:dyDescent="0.25">
      <c r="G1582">
        <f>Data!A1595</f>
        <v>0</v>
      </c>
      <c r="H1582" s="21">
        <f>Data!B1595</f>
        <v>0</v>
      </c>
      <c r="I1582" s="21">
        <f>Data!C1595</f>
        <v>0</v>
      </c>
      <c r="J1582">
        <f>Data!D1595</f>
        <v>0</v>
      </c>
      <c r="K1582">
        <f>Data!E1595</f>
        <v>0</v>
      </c>
      <c r="L1582">
        <f>Data!F1595</f>
        <v>0</v>
      </c>
      <c r="M1582">
        <f>Data!G1595</f>
        <v>0</v>
      </c>
      <c r="N1582">
        <f>Data!H1595</f>
        <v>0</v>
      </c>
      <c r="O1582">
        <f>Data!I1595</f>
        <v>0</v>
      </c>
      <c r="P1582" s="21">
        <f>Data!J1599</f>
        <v>0</v>
      </c>
      <c r="Q1582">
        <f>Data!K1599</f>
        <v>0</v>
      </c>
      <c r="R1582">
        <f>Data!L1599</f>
        <v>0</v>
      </c>
      <c r="S1582">
        <f>Data!M1599</f>
        <v>0</v>
      </c>
      <c r="T1582">
        <f>Data!N1599</f>
        <v>0</v>
      </c>
      <c r="U1582">
        <f>Data!O1599</f>
        <v>0</v>
      </c>
      <c r="V1582" s="33">
        <f>Data!P1597</f>
        <v>0</v>
      </c>
    </row>
    <row r="1583" spans="7:22" x14ac:dyDescent="0.25">
      <c r="G1583">
        <f>Data!A1596</f>
        <v>0</v>
      </c>
      <c r="H1583" s="21">
        <f>Data!B1596</f>
        <v>0</v>
      </c>
      <c r="I1583" s="21">
        <f>Data!C1596</f>
        <v>0</v>
      </c>
      <c r="J1583">
        <f>Data!D1596</f>
        <v>0</v>
      </c>
      <c r="K1583">
        <f>Data!E1596</f>
        <v>0</v>
      </c>
      <c r="L1583">
        <f>Data!F1596</f>
        <v>0</v>
      </c>
      <c r="M1583">
        <f>Data!G1596</f>
        <v>0</v>
      </c>
      <c r="N1583">
        <f>Data!H1596</f>
        <v>0</v>
      </c>
      <c r="O1583">
        <f>Data!I1596</f>
        <v>0</v>
      </c>
      <c r="P1583" s="21">
        <f>Data!J1600</f>
        <v>0</v>
      </c>
      <c r="Q1583">
        <f>Data!K1600</f>
        <v>0</v>
      </c>
      <c r="R1583">
        <f>Data!L1600</f>
        <v>0</v>
      </c>
      <c r="S1583">
        <f>Data!M1600</f>
        <v>0</v>
      </c>
      <c r="T1583">
        <f>Data!N1600</f>
        <v>0</v>
      </c>
      <c r="U1583">
        <f>Data!O1600</f>
        <v>0</v>
      </c>
      <c r="V1583" s="33">
        <f>Data!P1598</f>
        <v>0</v>
      </c>
    </row>
    <row r="1584" spans="7:22" x14ac:dyDescent="0.25">
      <c r="G1584">
        <f>Data!A1597</f>
        <v>0</v>
      </c>
      <c r="H1584" s="21">
        <f>Data!B1597</f>
        <v>0</v>
      </c>
      <c r="I1584" s="21">
        <f>Data!C1597</f>
        <v>0</v>
      </c>
      <c r="J1584">
        <f>Data!D1597</f>
        <v>0</v>
      </c>
      <c r="K1584">
        <f>Data!E1597</f>
        <v>0</v>
      </c>
      <c r="L1584">
        <f>Data!F1597</f>
        <v>0</v>
      </c>
      <c r="M1584">
        <f>Data!G1597</f>
        <v>0</v>
      </c>
      <c r="N1584">
        <f>Data!H1597</f>
        <v>0</v>
      </c>
      <c r="O1584">
        <f>Data!I1597</f>
        <v>0</v>
      </c>
      <c r="P1584" s="21">
        <f>Data!J1601</f>
        <v>0</v>
      </c>
      <c r="Q1584">
        <f>Data!K1601</f>
        <v>0</v>
      </c>
      <c r="R1584">
        <f>Data!L1601</f>
        <v>0</v>
      </c>
      <c r="S1584">
        <f>Data!M1601</f>
        <v>0</v>
      </c>
      <c r="T1584">
        <f>Data!N1601</f>
        <v>0</v>
      </c>
      <c r="U1584">
        <f>Data!O1601</f>
        <v>0</v>
      </c>
      <c r="V1584" s="33">
        <f>Data!P1599</f>
        <v>0</v>
      </c>
    </row>
    <row r="1585" spans="7:22" x14ac:dyDescent="0.25">
      <c r="G1585">
        <f>Data!A1598</f>
        <v>0</v>
      </c>
      <c r="H1585" s="21">
        <f>Data!B1598</f>
        <v>0</v>
      </c>
      <c r="I1585" s="21">
        <f>Data!C1598</f>
        <v>0</v>
      </c>
      <c r="J1585">
        <f>Data!D1598</f>
        <v>0</v>
      </c>
      <c r="K1585">
        <f>Data!E1598</f>
        <v>0</v>
      </c>
      <c r="L1585">
        <f>Data!F1598</f>
        <v>0</v>
      </c>
      <c r="M1585">
        <f>Data!G1598</f>
        <v>0</v>
      </c>
      <c r="N1585">
        <f>Data!H1598</f>
        <v>0</v>
      </c>
      <c r="O1585">
        <f>Data!I1598</f>
        <v>0</v>
      </c>
      <c r="P1585" s="21">
        <f>Data!J1602</f>
        <v>0</v>
      </c>
      <c r="Q1585">
        <f>Data!K1602</f>
        <v>0</v>
      </c>
      <c r="R1585">
        <f>Data!L1602</f>
        <v>0</v>
      </c>
      <c r="S1585">
        <f>Data!M1602</f>
        <v>0</v>
      </c>
      <c r="T1585">
        <f>Data!N1602</f>
        <v>0</v>
      </c>
      <c r="U1585">
        <f>Data!O1602</f>
        <v>0</v>
      </c>
      <c r="V1585" s="33">
        <f>Data!P1600</f>
        <v>0</v>
      </c>
    </row>
    <row r="1586" spans="7:22" x14ac:dyDescent="0.25">
      <c r="G1586">
        <f>Data!A1599</f>
        <v>0</v>
      </c>
      <c r="H1586" s="21">
        <f>Data!B1599</f>
        <v>0</v>
      </c>
      <c r="I1586" s="21">
        <f>Data!C1599</f>
        <v>0</v>
      </c>
      <c r="J1586">
        <f>Data!D1599</f>
        <v>0</v>
      </c>
      <c r="K1586">
        <f>Data!E1599</f>
        <v>0</v>
      </c>
      <c r="L1586">
        <f>Data!F1599</f>
        <v>0</v>
      </c>
      <c r="M1586">
        <f>Data!G1599</f>
        <v>0</v>
      </c>
      <c r="N1586">
        <f>Data!H1599</f>
        <v>0</v>
      </c>
      <c r="O1586">
        <f>Data!I1599</f>
        <v>0</v>
      </c>
      <c r="P1586" s="21">
        <f>Data!J1603</f>
        <v>0</v>
      </c>
      <c r="Q1586">
        <f>Data!K1603</f>
        <v>0</v>
      </c>
      <c r="R1586">
        <f>Data!L1603</f>
        <v>0</v>
      </c>
      <c r="S1586">
        <f>Data!M1603</f>
        <v>0</v>
      </c>
      <c r="T1586">
        <f>Data!N1603</f>
        <v>0</v>
      </c>
      <c r="U1586">
        <f>Data!O1603</f>
        <v>0</v>
      </c>
      <c r="V1586" s="33">
        <f>Data!P1601</f>
        <v>0</v>
      </c>
    </row>
    <row r="1587" spans="7:22" x14ac:dyDescent="0.25">
      <c r="G1587">
        <f>Data!A1600</f>
        <v>0</v>
      </c>
      <c r="H1587" s="21">
        <f>Data!B1600</f>
        <v>0</v>
      </c>
      <c r="I1587" s="21">
        <f>Data!C1600</f>
        <v>0</v>
      </c>
      <c r="J1587">
        <f>Data!D1600</f>
        <v>0</v>
      </c>
      <c r="K1587">
        <f>Data!E1600</f>
        <v>0</v>
      </c>
      <c r="L1587">
        <f>Data!F1600</f>
        <v>0</v>
      </c>
      <c r="M1587">
        <f>Data!G1600</f>
        <v>0</v>
      </c>
      <c r="N1587">
        <f>Data!H1600</f>
        <v>0</v>
      </c>
      <c r="O1587">
        <f>Data!I1600</f>
        <v>0</v>
      </c>
      <c r="P1587" s="21">
        <f>Data!J1604</f>
        <v>0</v>
      </c>
      <c r="Q1587">
        <f>Data!K1604</f>
        <v>0</v>
      </c>
      <c r="R1587">
        <f>Data!L1604</f>
        <v>0</v>
      </c>
      <c r="S1587">
        <f>Data!M1604</f>
        <v>0</v>
      </c>
      <c r="T1587">
        <f>Data!N1604</f>
        <v>0</v>
      </c>
      <c r="U1587">
        <f>Data!O1604</f>
        <v>0</v>
      </c>
      <c r="V1587" s="33">
        <f>Data!P1602</f>
        <v>0</v>
      </c>
    </row>
    <row r="1588" spans="7:22" x14ac:dyDescent="0.25">
      <c r="G1588">
        <f>Data!A1601</f>
        <v>0</v>
      </c>
      <c r="H1588" s="21">
        <f>Data!B1601</f>
        <v>0</v>
      </c>
      <c r="I1588" s="21">
        <f>Data!C1601</f>
        <v>0</v>
      </c>
      <c r="J1588">
        <f>Data!D1601</f>
        <v>0</v>
      </c>
      <c r="K1588">
        <f>Data!E1601</f>
        <v>0</v>
      </c>
      <c r="L1588">
        <f>Data!F1601</f>
        <v>0</v>
      </c>
      <c r="M1588">
        <f>Data!G1601</f>
        <v>0</v>
      </c>
      <c r="N1588">
        <f>Data!H1601</f>
        <v>0</v>
      </c>
      <c r="O1588">
        <f>Data!I1601</f>
        <v>0</v>
      </c>
      <c r="P1588" s="21">
        <f>Data!J1605</f>
        <v>0</v>
      </c>
      <c r="Q1588">
        <f>Data!K1605</f>
        <v>0</v>
      </c>
      <c r="R1588">
        <f>Data!L1605</f>
        <v>0</v>
      </c>
      <c r="S1588">
        <f>Data!M1605</f>
        <v>0</v>
      </c>
      <c r="T1588">
        <f>Data!N1605</f>
        <v>0</v>
      </c>
      <c r="U1588">
        <f>Data!O1605</f>
        <v>0</v>
      </c>
      <c r="V1588" s="33">
        <f>Data!P1603</f>
        <v>0</v>
      </c>
    </row>
    <row r="1589" spans="7:22" x14ac:dyDescent="0.25">
      <c r="G1589">
        <f>Data!A1602</f>
        <v>0</v>
      </c>
      <c r="H1589" s="21">
        <f>Data!B1602</f>
        <v>0</v>
      </c>
      <c r="I1589" s="21">
        <f>Data!C1602</f>
        <v>0</v>
      </c>
      <c r="J1589">
        <f>Data!D1602</f>
        <v>0</v>
      </c>
      <c r="K1589">
        <f>Data!E1602</f>
        <v>0</v>
      </c>
      <c r="L1589">
        <f>Data!F1602</f>
        <v>0</v>
      </c>
      <c r="M1589">
        <f>Data!G1602</f>
        <v>0</v>
      </c>
      <c r="N1589">
        <f>Data!H1602</f>
        <v>0</v>
      </c>
      <c r="O1589">
        <f>Data!I1602</f>
        <v>0</v>
      </c>
      <c r="P1589" s="21">
        <f>Data!J1606</f>
        <v>0</v>
      </c>
      <c r="Q1589">
        <f>Data!K1606</f>
        <v>0</v>
      </c>
      <c r="R1589">
        <f>Data!L1606</f>
        <v>0</v>
      </c>
      <c r="S1589">
        <f>Data!M1606</f>
        <v>0</v>
      </c>
      <c r="T1589">
        <f>Data!N1606</f>
        <v>0</v>
      </c>
      <c r="U1589">
        <f>Data!O1606</f>
        <v>0</v>
      </c>
      <c r="V1589" s="33">
        <f>Data!P1604</f>
        <v>0</v>
      </c>
    </row>
    <row r="1590" spans="7:22" x14ac:dyDescent="0.25">
      <c r="G1590">
        <f>Data!A1603</f>
        <v>0</v>
      </c>
      <c r="H1590" s="21">
        <f>Data!B1603</f>
        <v>0</v>
      </c>
      <c r="I1590" s="21">
        <f>Data!C1603</f>
        <v>0</v>
      </c>
      <c r="J1590">
        <f>Data!D1603</f>
        <v>0</v>
      </c>
      <c r="K1590">
        <f>Data!E1603</f>
        <v>0</v>
      </c>
      <c r="L1590">
        <f>Data!F1603</f>
        <v>0</v>
      </c>
      <c r="M1590">
        <f>Data!G1603</f>
        <v>0</v>
      </c>
      <c r="N1590">
        <f>Data!H1603</f>
        <v>0</v>
      </c>
      <c r="O1590">
        <f>Data!I1603</f>
        <v>0</v>
      </c>
      <c r="P1590" s="21">
        <f>Data!J1607</f>
        <v>0</v>
      </c>
      <c r="Q1590">
        <f>Data!K1607</f>
        <v>0</v>
      </c>
      <c r="R1590">
        <f>Data!L1607</f>
        <v>0</v>
      </c>
      <c r="S1590">
        <f>Data!M1607</f>
        <v>0</v>
      </c>
      <c r="T1590">
        <f>Data!N1607</f>
        <v>0</v>
      </c>
      <c r="U1590">
        <f>Data!O1607</f>
        <v>0</v>
      </c>
      <c r="V1590" s="33">
        <f>Data!P1605</f>
        <v>0</v>
      </c>
    </row>
    <row r="1591" spans="7:22" x14ac:dyDescent="0.25">
      <c r="G1591">
        <f>Data!A1604</f>
        <v>0</v>
      </c>
      <c r="H1591" s="21">
        <f>Data!B1604</f>
        <v>0</v>
      </c>
      <c r="I1591" s="21">
        <f>Data!C1604</f>
        <v>0</v>
      </c>
      <c r="J1591">
        <f>Data!D1604</f>
        <v>0</v>
      </c>
      <c r="K1591">
        <f>Data!E1604</f>
        <v>0</v>
      </c>
      <c r="L1591">
        <f>Data!F1604</f>
        <v>0</v>
      </c>
      <c r="M1591">
        <f>Data!G1604</f>
        <v>0</v>
      </c>
      <c r="N1591">
        <f>Data!H1604</f>
        <v>0</v>
      </c>
      <c r="O1591">
        <f>Data!I1604</f>
        <v>0</v>
      </c>
      <c r="P1591" s="21">
        <f>Data!J1608</f>
        <v>0</v>
      </c>
      <c r="Q1591">
        <f>Data!K1608</f>
        <v>0</v>
      </c>
      <c r="R1591">
        <f>Data!L1608</f>
        <v>0</v>
      </c>
      <c r="S1591">
        <f>Data!M1608</f>
        <v>0</v>
      </c>
      <c r="T1591">
        <f>Data!N1608</f>
        <v>0</v>
      </c>
      <c r="U1591">
        <f>Data!O1608</f>
        <v>0</v>
      </c>
      <c r="V1591" s="33">
        <f>Data!P1606</f>
        <v>0</v>
      </c>
    </row>
    <row r="1592" spans="7:22" x14ac:dyDescent="0.25">
      <c r="G1592">
        <f>Data!A1605</f>
        <v>0</v>
      </c>
      <c r="H1592" s="21">
        <f>Data!B1605</f>
        <v>0</v>
      </c>
      <c r="I1592" s="21">
        <f>Data!C1605</f>
        <v>0</v>
      </c>
      <c r="J1592">
        <f>Data!D1605</f>
        <v>0</v>
      </c>
      <c r="K1592">
        <f>Data!E1605</f>
        <v>0</v>
      </c>
      <c r="L1592">
        <f>Data!F1605</f>
        <v>0</v>
      </c>
      <c r="M1592">
        <f>Data!G1605</f>
        <v>0</v>
      </c>
      <c r="N1592">
        <f>Data!H1605</f>
        <v>0</v>
      </c>
      <c r="O1592">
        <f>Data!I1605</f>
        <v>0</v>
      </c>
      <c r="P1592" s="21">
        <f>Data!J1609</f>
        <v>0</v>
      </c>
      <c r="Q1592">
        <f>Data!K1609</f>
        <v>0</v>
      </c>
      <c r="R1592">
        <f>Data!L1609</f>
        <v>0</v>
      </c>
      <c r="S1592">
        <f>Data!M1609</f>
        <v>0</v>
      </c>
      <c r="T1592">
        <f>Data!N1609</f>
        <v>0</v>
      </c>
      <c r="U1592">
        <f>Data!O1609</f>
        <v>0</v>
      </c>
      <c r="V1592" s="33">
        <f>Data!P1607</f>
        <v>0</v>
      </c>
    </row>
    <row r="1593" spans="7:22" x14ac:dyDescent="0.25">
      <c r="G1593">
        <f>Data!A1606</f>
        <v>0</v>
      </c>
      <c r="H1593" s="21">
        <f>Data!B1606</f>
        <v>0</v>
      </c>
      <c r="I1593" s="21">
        <f>Data!C1606</f>
        <v>0</v>
      </c>
      <c r="J1593">
        <f>Data!D1606</f>
        <v>0</v>
      </c>
      <c r="K1593">
        <f>Data!E1606</f>
        <v>0</v>
      </c>
      <c r="L1593">
        <f>Data!F1606</f>
        <v>0</v>
      </c>
      <c r="M1593">
        <f>Data!G1606</f>
        <v>0</v>
      </c>
      <c r="N1593">
        <f>Data!H1606</f>
        <v>0</v>
      </c>
      <c r="O1593">
        <f>Data!I1606</f>
        <v>0</v>
      </c>
      <c r="P1593" s="21">
        <f>Data!J1610</f>
        <v>0</v>
      </c>
      <c r="Q1593">
        <f>Data!K1610</f>
        <v>0</v>
      </c>
      <c r="R1593">
        <f>Data!L1610</f>
        <v>0</v>
      </c>
      <c r="S1593">
        <f>Data!M1610</f>
        <v>0</v>
      </c>
      <c r="T1593">
        <f>Data!N1610</f>
        <v>0</v>
      </c>
      <c r="U1593">
        <f>Data!O1610</f>
        <v>0</v>
      </c>
      <c r="V1593" s="33">
        <f>Data!P1608</f>
        <v>0</v>
      </c>
    </row>
    <row r="1594" spans="7:22" x14ac:dyDescent="0.25">
      <c r="G1594">
        <f>Data!A1607</f>
        <v>0</v>
      </c>
      <c r="H1594" s="21">
        <f>Data!B1607</f>
        <v>0</v>
      </c>
      <c r="I1594" s="21">
        <f>Data!C1607</f>
        <v>0</v>
      </c>
      <c r="J1594">
        <f>Data!D1607</f>
        <v>0</v>
      </c>
      <c r="K1594">
        <f>Data!E1607</f>
        <v>0</v>
      </c>
      <c r="L1594">
        <f>Data!F1607</f>
        <v>0</v>
      </c>
      <c r="M1594">
        <f>Data!G1607</f>
        <v>0</v>
      </c>
      <c r="N1594">
        <f>Data!H1607</f>
        <v>0</v>
      </c>
      <c r="O1594">
        <f>Data!I1607</f>
        <v>0</v>
      </c>
      <c r="P1594" s="21">
        <f>Data!J1611</f>
        <v>0</v>
      </c>
      <c r="Q1594">
        <f>Data!K1611</f>
        <v>0</v>
      </c>
      <c r="R1594">
        <f>Data!L1611</f>
        <v>0</v>
      </c>
      <c r="S1594">
        <f>Data!M1611</f>
        <v>0</v>
      </c>
      <c r="T1594">
        <f>Data!N1611</f>
        <v>0</v>
      </c>
      <c r="U1594">
        <f>Data!O1611</f>
        <v>0</v>
      </c>
      <c r="V1594" s="33">
        <f>Data!P1609</f>
        <v>0</v>
      </c>
    </row>
    <row r="1595" spans="7:22" x14ac:dyDescent="0.25">
      <c r="G1595">
        <f>Data!A1608</f>
        <v>0</v>
      </c>
      <c r="H1595" s="21">
        <f>Data!B1608</f>
        <v>0</v>
      </c>
      <c r="I1595" s="21">
        <f>Data!C1608</f>
        <v>0</v>
      </c>
      <c r="J1595">
        <f>Data!D1608</f>
        <v>0</v>
      </c>
      <c r="K1595">
        <f>Data!E1608</f>
        <v>0</v>
      </c>
      <c r="L1595">
        <f>Data!F1608</f>
        <v>0</v>
      </c>
      <c r="M1595">
        <f>Data!G1608</f>
        <v>0</v>
      </c>
      <c r="N1595">
        <f>Data!H1608</f>
        <v>0</v>
      </c>
      <c r="O1595">
        <f>Data!I1608</f>
        <v>0</v>
      </c>
      <c r="P1595" s="21">
        <f>Data!J1612</f>
        <v>0</v>
      </c>
      <c r="Q1595">
        <f>Data!K1612</f>
        <v>0</v>
      </c>
      <c r="R1595">
        <f>Data!L1612</f>
        <v>0</v>
      </c>
      <c r="S1595">
        <f>Data!M1612</f>
        <v>0</v>
      </c>
      <c r="T1595">
        <f>Data!N1612</f>
        <v>0</v>
      </c>
      <c r="U1595">
        <f>Data!O1612</f>
        <v>0</v>
      </c>
      <c r="V1595" s="33">
        <f>Data!P1610</f>
        <v>0</v>
      </c>
    </row>
    <row r="1596" spans="7:22" x14ac:dyDescent="0.25">
      <c r="G1596">
        <f>Data!A1609</f>
        <v>0</v>
      </c>
      <c r="H1596" s="21">
        <f>Data!B1609</f>
        <v>0</v>
      </c>
      <c r="I1596" s="21">
        <f>Data!C1609</f>
        <v>0</v>
      </c>
      <c r="J1596">
        <f>Data!D1609</f>
        <v>0</v>
      </c>
      <c r="K1596">
        <f>Data!E1609</f>
        <v>0</v>
      </c>
      <c r="L1596">
        <f>Data!F1609</f>
        <v>0</v>
      </c>
      <c r="M1596">
        <f>Data!G1609</f>
        <v>0</v>
      </c>
      <c r="N1596">
        <f>Data!H1609</f>
        <v>0</v>
      </c>
      <c r="O1596">
        <f>Data!I1609</f>
        <v>0</v>
      </c>
      <c r="P1596" s="21">
        <f>Data!J1613</f>
        <v>0</v>
      </c>
      <c r="Q1596">
        <f>Data!K1613</f>
        <v>0</v>
      </c>
      <c r="R1596">
        <f>Data!L1613</f>
        <v>0</v>
      </c>
      <c r="S1596">
        <f>Data!M1613</f>
        <v>0</v>
      </c>
      <c r="T1596">
        <f>Data!N1613</f>
        <v>0</v>
      </c>
      <c r="U1596">
        <f>Data!O1613</f>
        <v>0</v>
      </c>
      <c r="V1596" s="33">
        <f>Data!P1611</f>
        <v>0</v>
      </c>
    </row>
    <row r="1597" spans="7:22" x14ac:dyDescent="0.25">
      <c r="G1597">
        <f>Data!A1610</f>
        <v>0</v>
      </c>
      <c r="H1597" s="21">
        <f>Data!B1610</f>
        <v>0</v>
      </c>
      <c r="I1597" s="21">
        <f>Data!C1610</f>
        <v>0</v>
      </c>
      <c r="J1597">
        <f>Data!D1610</f>
        <v>0</v>
      </c>
      <c r="K1597">
        <f>Data!E1610</f>
        <v>0</v>
      </c>
      <c r="L1597">
        <f>Data!F1610</f>
        <v>0</v>
      </c>
      <c r="M1597">
        <f>Data!G1610</f>
        <v>0</v>
      </c>
      <c r="N1597">
        <f>Data!H1610</f>
        <v>0</v>
      </c>
      <c r="O1597">
        <f>Data!I1610</f>
        <v>0</v>
      </c>
      <c r="P1597" s="21">
        <f>Data!J1614</f>
        <v>0</v>
      </c>
      <c r="Q1597">
        <f>Data!K1614</f>
        <v>0</v>
      </c>
      <c r="R1597">
        <f>Data!L1614</f>
        <v>0</v>
      </c>
      <c r="S1597">
        <f>Data!M1614</f>
        <v>0</v>
      </c>
      <c r="T1597">
        <f>Data!N1614</f>
        <v>0</v>
      </c>
      <c r="U1597">
        <f>Data!O1614</f>
        <v>0</v>
      </c>
      <c r="V1597" s="33">
        <f>Data!P1612</f>
        <v>0</v>
      </c>
    </row>
    <row r="1598" spans="7:22" x14ac:dyDescent="0.25">
      <c r="G1598">
        <f>Data!A1611</f>
        <v>0</v>
      </c>
      <c r="H1598" s="21">
        <f>Data!B1611</f>
        <v>0</v>
      </c>
      <c r="I1598" s="21">
        <f>Data!C1611</f>
        <v>0</v>
      </c>
      <c r="J1598">
        <f>Data!D1611</f>
        <v>0</v>
      </c>
      <c r="K1598">
        <f>Data!E1611</f>
        <v>0</v>
      </c>
      <c r="L1598">
        <f>Data!F1611</f>
        <v>0</v>
      </c>
      <c r="M1598">
        <f>Data!G1611</f>
        <v>0</v>
      </c>
      <c r="N1598">
        <f>Data!H1611</f>
        <v>0</v>
      </c>
      <c r="O1598">
        <f>Data!I1611</f>
        <v>0</v>
      </c>
      <c r="P1598" s="21">
        <f>Data!J1615</f>
        <v>0</v>
      </c>
      <c r="Q1598">
        <f>Data!K1615</f>
        <v>0</v>
      </c>
      <c r="R1598">
        <f>Data!L1615</f>
        <v>0</v>
      </c>
      <c r="S1598">
        <f>Data!M1615</f>
        <v>0</v>
      </c>
      <c r="T1598">
        <f>Data!N1615</f>
        <v>0</v>
      </c>
      <c r="U1598">
        <f>Data!O1615</f>
        <v>0</v>
      </c>
      <c r="V1598" s="33">
        <f>Data!P1613</f>
        <v>0</v>
      </c>
    </row>
    <row r="1599" spans="7:22" x14ac:dyDescent="0.25">
      <c r="G1599">
        <f>Data!A1612</f>
        <v>0</v>
      </c>
      <c r="H1599" s="21">
        <f>Data!B1612</f>
        <v>0</v>
      </c>
      <c r="I1599" s="21">
        <f>Data!C1612</f>
        <v>0</v>
      </c>
      <c r="J1599">
        <f>Data!D1612</f>
        <v>0</v>
      </c>
      <c r="K1599">
        <f>Data!E1612</f>
        <v>0</v>
      </c>
      <c r="L1599">
        <f>Data!F1612</f>
        <v>0</v>
      </c>
      <c r="M1599">
        <f>Data!G1612</f>
        <v>0</v>
      </c>
      <c r="N1599">
        <f>Data!H1612</f>
        <v>0</v>
      </c>
      <c r="O1599">
        <f>Data!I1612</f>
        <v>0</v>
      </c>
      <c r="P1599" s="21">
        <f>Data!J1616</f>
        <v>0</v>
      </c>
      <c r="Q1599">
        <f>Data!K1616</f>
        <v>0</v>
      </c>
      <c r="R1599">
        <f>Data!L1616</f>
        <v>0</v>
      </c>
      <c r="S1599">
        <f>Data!M1616</f>
        <v>0</v>
      </c>
      <c r="T1599">
        <f>Data!N1616</f>
        <v>0</v>
      </c>
      <c r="U1599">
        <f>Data!O1616</f>
        <v>0</v>
      </c>
      <c r="V1599" s="33">
        <f>Data!P1614</f>
        <v>0</v>
      </c>
    </row>
    <row r="1600" spans="7:22" x14ac:dyDescent="0.25">
      <c r="G1600">
        <f>Data!A1613</f>
        <v>0</v>
      </c>
      <c r="H1600" s="21">
        <f>Data!B1613</f>
        <v>0</v>
      </c>
      <c r="I1600" s="21">
        <f>Data!C1613</f>
        <v>0</v>
      </c>
      <c r="J1600">
        <f>Data!D1613</f>
        <v>0</v>
      </c>
      <c r="K1600">
        <f>Data!E1613</f>
        <v>0</v>
      </c>
      <c r="L1600">
        <f>Data!F1613</f>
        <v>0</v>
      </c>
      <c r="M1600">
        <f>Data!G1613</f>
        <v>0</v>
      </c>
      <c r="N1600">
        <f>Data!H1613</f>
        <v>0</v>
      </c>
      <c r="O1600">
        <f>Data!I1613</f>
        <v>0</v>
      </c>
      <c r="P1600" s="21">
        <f>Data!J1617</f>
        <v>0</v>
      </c>
      <c r="Q1600">
        <f>Data!K1617</f>
        <v>0</v>
      </c>
      <c r="R1600">
        <f>Data!L1617</f>
        <v>0</v>
      </c>
      <c r="S1600">
        <f>Data!M1617</f>
        <v>0</v>
      </c>
      <c r="T1600">
        <f>Data!N1617</f>
        <v>0</v>
      </c>
      <c r="U1600">
        <f>Data!O1617</f>
        <v>0</v>
      </c>
      <c r="V1600" s="33">
        <f>Data!P1615</f>
        <v>0</v>
      </c>
    </row>
    <row r="1601" spans="7:22" x14ac:dyDescent="0.25">
      <c r="G1601">
        <f>Data!A1614</f>
        <v>0</v>
      </c>
      <c r="H1601" s="21">
        <f>Data!B1614</f>
        <v>0</v>
      </c>
      <c r="I1601" s="21">
        <f>Data!C1614</f>
        <v>0</v>
      </c>
      <c r="J1601">
        <f>Data!D1614</f>
        <v>0</v>
      </c>
      <c r="K1601">
        <f>Data!E1614</f>
        <v>0</v>
      </c>
      <c r="L1601">
        <f>Data!F1614</f>
        <v>0</v>
      </c>
      <c r="M1601">
        <f>Data!G1614</f>
        <v>0</v>
      </c>
      <c r="N1601">
        <f>Data!H1614</f>
        <v>0</v>
      </c>
      <c r="O1601">
        <f>Data!I1614</f>
        <v>0</v>
      </c>
      <c r="P1601" s="21">
        <f>Data!J1618</f>
        <v>0</v>
      </c>
      <c r="Q1601">
        <f>Data!K1618</f>
        <v>0</v>
      </c>
      <c r="R1601">
        <f>Data!L1618</f>
        <v>0</v>
      </c>
      <c r="S1601">
        <f>Data!M1618</f>
        <v>0</v>
      </c>
      <c r="T1601">
        <f>Data!N1618</f>
        <v>0</v>
      </c>
      <c r="U1601">
        <f>Data!O1618</f>
        <v>0</v>
      </c>
      <c r="V1601" s="33">
        <f>Data!P1616</f>
        <v>0</v>
      </c>
    </row>
    <row r="1602" spans="7:22" x14ac:dyDescent="0.25">
      <c r="G1602">
        <f>Data!A1615</f>
        <v>0</v>
      </c>
      <c r="H1602" s="21">
        <f>Data!B1615</f>
        <v>0</v>
      </c>
      <c r="I1602" s="21">
        <f>Data!C1615</f>
        <v>0</v>
      </c>
      <c r="J1602">
        <f>Data!D1615</f>
        <v>0</v>
      </c>
      <c r="K1602">
        <f>Data!E1615</f>
        <v>0</v>
      </c>
      <c r="L1602">
        <f>Data!F1615</f>
        <v>0</v>
      </c>
      <c r="M1602">
        <f>Data!G1615</f>
        <v>0</v>
      </c>
      <c r="N1602">
        <f>Data!H1615</f>
        <v>0</v>
      </c>
      <c r="O1602">
        <f>Data!I1615</f>
        <v>0</v>
      </c>
      <c r="P1602" s="21">
        <f>Data!J1619</f>
        <v>0</v>
      </c>
      <c r="Q1602">
        <f>Data!K1619</f>
        <v>0</v>
      </c>
      <c r="R1602">
        <f>Data!L1619</f>
        <v>0</v>
      </c>
      <c r="S1602">
        <f>Data!M1619</f>
        <v>0</v>
      </c>
      <c r="T1602">
        <f>Data!N1619</f>
        <v>0</v>
      </c>
      <c r="U1602">
        <f>Data!O1619</f>
        <v>0</v>
      </c>
      <c r="V1602" s="33">
        <f>Data!P1617</f>
        <v>0</v>
      </c>
    </row>
    <row r="1603" spans="7:22" x14ac:dyDescent="0.25">
      <c r="G1603">
        <f>Data!A1616</f>
        <v>0</v>
      </c>
      <c r="H1603" s="21">
        <f>Data!B1616</f>
        <v>0</v>
      </c>
      <c r="I1603" s="21">
        <f>Data!C1616</f>
        <v>0</v>
      </c>
      <c r="J1603">
        <f>Data!D1616</f>
        <v>0</v>
      </c>
      <c r="K1603">
        <f>Data!E1616</f>
        <v>0</v>
      </c>
      <c r="L1603">
        <f>Data!F1616</f>
        <v>0</v>
      </c>
      <c r="M1603">
        <f>Data!G1616</f>
        <v>0</v>
      </c>
      <c r="N1603">
        <f>Data!H1616</f>
        <v>0</v>
      </c>
      <c r="O1603">
        <f>Data!I1616</f>
        <v>0</v>
      </c>
      <c r="P1603" s="21">
        <f>Data!J1620</f>
        <v>0</v>
      </c>
      <c r="Q1603">
        <f>Data!K1620</f>
        <v>0</v>
      </c>
      <c r="R1603">
        <f>Data!L1620</f>
        <v>0</v>
      </c>
      <c r="S1603">
        <f>Data!M1620</f>
        <v>0</v>
      </c>
      <c r="T1603">
        <f>Data!N1620</f>
        <v>0</v>
      </c>
      <c r="U1603">
        <f>Data!O1620</f>
        <v>0</v>
      </c>
      <c r="V1603" s="33">
        <f>Data!P1618</f>
        <v>0</v>
      </c>
    </row>
    <row r="1604" spans="7:22" x14ac:dyDescent="0.25">
      <c r="G1604">
        <f>Data!A1617</f>
        <v>0</v>
      </c>
      <c r="H1604" s="21">
        <f>Data!B1617</f>
        <v>0</v>
      </c>
      <c r="I1604" s="21">
        <f>Data!C1617</f>
        <v>0</v>
      </c>
      <c r="J1604">
        <f>Data!D1617</f>
        <v>0</v>
      </c>
      <c r="K1604">
        <f>Data!E1617</f>
        <v>0</v>
      </c>
      <c r="L1604">
        <f>Data!F1617</f>
        <v>0</v>
      </c>
      <c r="M1604">
        <f>Data!G1617</f>
        <v>0</v>
      </c>
      <c r="N1604">
        <f>Data!H1617</f>
        <v>0</v>
      </c>
      <c r="O1604">
        <f>Data!I1617</f>
        <v>0</v>
      </c>
      <c r="P1604" s="21">
        <f>Data!J1621</f>
        <v>0</v>
      </c>
      <c r="Q1604">
        <f>Data!K1621</f>
        <v>0</v>
      </c>
      <c r="R1604">
        <f>Data!L1621</f>
        <v>0</v>
      </c>
      <c r="S1604">
        <f>Data!M1621</f>
        <v>0</v>
      </c>
      <c r="T1604">
        <f>Data!N1621</f>
        <v>0</v>
      </c>
      <c r="U1604">
        <f>Data!O1621</f>
        <v>0</v>
      </c>
      <c r="V1604" s="33">
        <f>Data!P1619</f>
        <v>0</v>
      </c>
    </row>
    <row r="1605" spans="7:22" x14ac:dyDescent="0.25">
      <c r="G1605">
        <f>Data!A1618</f>
        <v>0</v>
      </c>
      <c r="H1605" s="21">
        <f>Data!B1618</f>
        <v>0</v>
      </c>
      <c r="I1605" s="21">
        <f>Data!C1618</f>
        <v>0</v>
      </c>
      <c r="J1605">
        <f>Data!D1618</f>
        <v>0</v>
      </c>
      <c r="K1605">
        <f>Data!E1618</f>
        <v>0</v>
      </c>
      <c r="L1605">
        <f>Data!F1618</f>
        <v>0</v>
      </c>
      <c r="M1605">
        <f>Data!G1618</f>
        <v>0</v>
      </c>
      <c r="N1605">
        <f>Data!H1618</f>
        <v>0</v>
      </c>
      <c r="O1605">
        <f>Data!I1618</f>
        <v>0</v>
      </c>
      <c r="P1605" s="21">
        <f>Data!J1622</f>
        <v>0</v>
      </c>
      <c r="Q1605">
        <f>Data!K1622</f>
        <v>0</v>
      </c>
      <c r="R1605">
        <f>Data!L1622</f>
        <v>0</v>
      </c>
      <c r="S1605">
        <f>Data!M1622</f>
        <v>0</v>
      </c>
      <c r="T1605">
        <f>Data!N1622</f>
        <v>0</v>
      </c>
      <c r="U1605">
        <f>Data!O1622</f>
        <v>0</v>
      </c>
      <c r="V1605" s="33">
        <f>Data!P1620</f>
        <v>0</v>
      </c>
    </row>
    <row r="1606" spans="7:22" x14ac:dyDescent="0.25">
      <c r="G1606">
        <f>Data!A1619</f>
        <v>0</v>
      </c>
      <c r="H1606" s="21">
        <f>Data!B1619</f>
        <v>0</v>
      </c>
      <c r="I1606" s="21">
        <f>Data!C1619</f>
        <v>0</v>
      </c>
      <c r="J1606">
        <f>Data!D1619</f>
        <v>0</v>
      </c>
      <c r="K1606">
        <f>Data!E1619</f>
        <v>0</v>
      </c>
      <c r="L1606">
        <f>Data!F1619</f>
        <v>0</v>
      </c>
      <c r="M1606">
        <f>Data!G1619</f>
        <v>0</v>
      </c>
      <c r="N1606">
        <f>Data!H1619</f>
        <v>0</v>
      </c>
      <c r="O1606">
        <f>Data!I1619</f>
        <v>0</v>
      </c>
      <c r="P1606" s="21">
        <f>Data!J1623</f>
        <v>0</v>
      </c>
      <c r="Q1606">
        <f>Data!K1623</f>
        <v>0</v>
      </c>
      <c r="R1606">
        <f>Data!L1623</f>
        <v>0</v>
      </c>
      <c r="S1606">
        <f>Data!M1623</f>
        <v>0</v>
      </c>
      <c r="T1606">
        <f>Data!N1623</f>
        <v>0</v>
      </c>
      <c r="U1606">
        <f>Data!O1623</f>
        <v>0</v>
      </c>
      <c r="V1606" s="33">
        <f>Data!P1621</f>
        <v>0</v>
      </c>
    </row>
    <row r="1607" spans="7:22" x14ac:dyDescent="0.25">
      <c r="G1607">
        <f>Data!A1620</f>
        <v>0</v>
      </c>
      <c r="H1607" s="21">
        <f>Data!B1620</f>
        <v>0</v>
      </c>
      <c r="I1607" s="21">
        <f>Data!C1620</f>
        <v>0</v>
      </c>
      <c r="J1607">
        <f>Data!D1620</f>
        <v>0</v>
      </c>
      <c r="K1607">
        <f>Data!E1620</f>
        <v>0</v>
      </c>
      <c r="L1607">
        <f>Data!F1620</f>
        <v>0</v>
      </c>
      <c r="M1607">
        <f>Data!G1620</f>
        <v>0</v>
      </c>
      <c r="N1607">
        <f>Data!H1620</f>
        <v>0</v>
      </c>
      <c r="O1607">
        <f>Data!I1620</f>
        <v>0</v>
      </c>
      <c r="P1607" s="21">
        <f>Data!J1624</f>
        <v>0</v>
      </c>
      <c r="Q1607">
        <f>Data!K1624</f>
        <v>0</v>
      </c>
      <c r="R1607">
        <f>Data!L1624</f>
        <v>0</v>
      </c>
      <c r="S1607">
        <f>Data!M1624</f>
        <v>0</v>
      </c>
      <c r="T1607">
        <f>Data!N1624</f>
        <v>0</v>
      </c>
      <c r="U1607">
        <f>Data!O1624</f>
        <v>0</v>
      </c>
      <c r="V1607" s="33">
        <f>Data!P1622</f>
        <v>0</v>
      </c>
    </row>
    <row r="1608" spans="7:22" x14ac:dyDescent="0.25">
      <c r="G1608">
        <f>Data!A1621</f>
        <v>0</v>
      </c>
      <c r="H1608" s="21">
        <f>Data!B1621</f>
        <v>0</v>
      </c>
      <c r="I1608" s="21">
        <f>Data!C1621</f>
        <v>0</v>
      </c>
      <c r="J1608">
        <f>Data!D1621</f>
        <v>0</v>
      </c>
      <c r="K1608">
        <f>Data!E1621</f>
        <v>0</v>
      </c>
      <c r="L1608">
        <f>Data!F1621</f>
        <v>0</v>
      </c>
      <c r="M1608">
        <f>Data!G1621</f>
        <v>0</v>
      </c>
      <c r="N1608">
        <f>Data!H1621</f>
        <v>0</v>
      </c>
      <c r="O1608">
        <f>Data!I1621</f>
        <v>0</v>
      </c>
      <c r="P1608" s="21">
        <f>Data!J1625</f>
        <v>0</v>
      </c>
      <c r="Q1608">
        <f>Data!K1625</f>
        <v>0</v>
      </c>
      <c r="R1608">
        <f>Data!L1625</f>
        <v>0</v>
      </c>
      <c r="S1608">
        <f>Data!M1625</f>
        <v>0</v>
      </c>
      <c r="T1608">
        <f>Data!N1625</f>
        <v>0</v>
      </c>
      <c r="U1608">
        <f>Data!O1625</f>
        <v>0</v>
      </c>
      <c r="V1608" s="33">
        <f>Data!P1623</f>
        <v>0</v>
      </c>
    </row>
    <row r="1609" spans="7:22" x14ac:dyDescent="0.25">
      <c r="G1609">
        <f>Data!A1622</f>
        <v>0</v>
      </c>
      <c r="H1609" s="21">
        <f>Data!B1622</f>
        <v>0</v>
      </c>
      <c r="I1609" s="21">
        <f>Data!C1622</f>
        <v>0</v>
      </c>
      <c r="J1609">
        <f>Data!D1622</f>
        <v>0</v>
      </c>
      <c r="K1609">
        <f>Data!E1622</f>
        <v>0</v>
      </c>
      <c r="L1609">
        <f>Data!F1622</f>
        <v>0</v>
      </c>
      <c r="M1609">
        <f>Data!G1622</f>
        <v>0</v>
      </c>
      <c r="N1609">
        <f>Data!H1622</f>
        <v>0</v>
      </c>
      <c r="O1609">
        <f>Data!I1622</f>
        <v>0</v>
      </c>
      <c r="P1609" s="21">
        <f>Data!J1626</f>
        <v>0</v>
      </c>
      <c r="Q1609">
        <f>Data!K1626</f>
        <v>0</v>
      </c>
      <c r="R1609">
        <f>Data!L1626</f>
        <v>0</v>
      </c>
      <c r="S1609">
        <f>Data!M1626</f>
        <v>0</v>
      </c>
      <c r="T1609">
        <f>Data!N1626</f>
        <v>0</v>
      </c>
      <c r="U1609">
        <f>Data!O1626</f>
        <v>0</v>
      </c>
      <c r="V1609" s="33">
        <f>Data!P1624</f>
        <v>0</v>
      </c>
    </row>
    <row r="1610" spans="7:22" x14ac:dyDescent="0.25">
      <c r="G1610">
        <f>Data!A1623</f>
        <v>0</v>
      </c>
      <c r="H1610" s="21">
        <f>Data!B1623</f>
        <v>0</v>
      </c>
      <c r="I1610" s="21">
        <f>Data!C1623</f>
        <v>0</v>
      </c>
      <c r="J1610">
        <f>Data!D1623</f>
        <v>0</v>
      </c>
      <c r="K1610">
        <f>Data!E1623</f>
        <v>0</v>
      </c>
      <c r="L1610">
        <f>Data!F1623</f>
        <v>0</v>
      </c>
      <c r="M1610">
        <f>Data!G1623</f>
        <v>0</v>
      </c>
      <c r="N1610">
        <f>Data!H1623</f>
        <v>0</v>
      </c>
      <c r="O1610">
        <f>Data!I1623</f>
        <v>0</v>
      </c>
      <c r="P1610" s="21">
        <f>Data!J1627</f>
        <v>0</v>
      </c>
      <c r="Q1610">
        <f>Data!K1627</f>
        <v>0</v>
      </c>
      <c r="R1610">
        <f>Data!L1627</f>
        <v>0</v>
      </c>
      <c r="S1610">
        <f>Data!M1627</f>
        <v>0</v>
      </c>
      <c r="T1610">
        <f>Data!N1627</f>
        <v>0</v>
      </c>
      <c r="U1610">
        <f>Data!O1627</f>
        <v>0</v>
      </c>
      <c r="V1610" s="33">
        <f>Data!P1625</f>
        <v>0</v>
      </c>
    </row>
    <row r="1611" spans="7:22" x14ac:dyDescent="0.25">
      <c r="G1611">
        <f>Data!A1624</f>
        <v>0</v>
      </c>
      <c r="H1611" s="21">
        <f>Data!B1624</f>
        <v>0</v>
      </c>
      <c r="I1611" s="21">
        <f>Data!C1624</f>
        <v>0</v>
      </c>
      <c r="J1611">
        <f>Data!D1624</f>
        <v>0</v>
      </c>
      <c r="K1611">
        <f>Data!E1624</f>
        <v>0</v>
      </c>
      <c r="L1611">
        <f>Data!F1624</f>
        <v>0</v>
      </c>
      <c r="M1611">
        <f>Data!G1624</f>
        <v>0</v>
      </c>
      <c r="N1611">
        <f>Data!H1624</f>
        <v>0</v>
      </c>
      <c r="O1611">
        <f>Data!I1624</f>
        <v>0</v>
      </c>
      <c r="P1611" s="21">
        <f>Data!J1628</f>
        <v>0</v>
      </c>
      <c r="Q1611">
        <f>Data!K1628</f>
        <v>0</v>
      </c>
      <c r="R1611">
        <f>Data!L1628</f>
        <v>0</v>
      </c>
      <c r="S1611">
        <f>Data!M1628</f>
        <v>0</v>
      </c>
      <c r="T1611">
        <f>Data!N1628</f>
        <v>0</v>
      </c>
      <c r="U1611">
        <f>Data!O1628</f>
        <v>0</v>
      </c>
      <c r="V1611" s="33">
        <f>Data!P1626</f>
        <v>0</v>
      </c>
    </row>
    <row r="1612" spans="7:22" x14ac:dyDescent="0.25">
      <c r="G1612">
        <f>Data!A1625</f>
        <v>0</v>
      </c>
      <c r="H1612" s="21">
        <f>Data!B1625</f>
        <v>0</v>
      </c>
      <c r="I1612" s="21">
        <f>Data!C1625</f>
        <v>0</v>
      </c>
      <c r="J1612">
        <f>Data!D1625</f>
        <v>0</v>
      </c>
      <c r="K1612">
        <f>Data!E1625</f>
        <v>0</v>
      </c>
      <c r="L1612">
        <f>Data!F1625</f>
        <v>0</v>
      </c>
      <c r="M1612">
        <f>Data!G1625</f>
        <v>0</v>
      </c>
      <c r="N1612">
        <f>Data!H1625</f>
        <v>0</v>
      </c>
      <c r="O1612">
        <f>Data!I1625</f>
        <v>0</v>
      </c>
      <c r="P1612" s="21">
        <f>Data!J1629</f>
        <v>0</v>
      </c>
      <c r="Q1612">
        <f>Data!K1629</f>
        <v>0</v>
      </c>
      <c r="R1612">
        <f>Data!L1629</f>
        <v>0</v>
      </c>
      <c r="S1612">
        <f>Data!M1629</f>
        <v>0</v>
      </c>
      <c r="T1612">
        <f>Data!N1629</f>
        <v>0</v>
      </c>
      <c r="U1612">
        <f>Data!O1629</f>
        <v>0</v>
      </c>
      <c r="V1612" s="33">
        <f>Data!P1627</f>
        <v>0</v>
      </c>
    </row>
    <row r="1613" spans="7:22" x14ac:dyDescent="0.25">
      <c r="G1613">
        <f>Data!A1626</f>
        <v>0</v>
      </c>
      <c r="H1613" s="21">
        <f>Data!B1626</f>
        <v>0</v>
      </c>
      <c r="I1613" s="21">
        <f>Data!C1626</f>
        <v>0</v>
      </c>
      <c r="J1613">
        <f>Data!D1626</f>
        <v>0</v>
      </c>
      <c r="K1613">
        <f>Data!E1626</f>
        <v>0</v>
      </c>
      <c r="L1613">
        <f>Data!F1626</f>
        <v>0</v>
      </c>
      <c r="M1613">
        <f>Data!G1626</f>
        <v>0</v>
      </c>
      <c r="N1613">
        <f>Data!H1626</f>
        <v>0</v>
      </c>
      <c r="O1613">
        <f>Data!I1626</f>
        <v>0</v>
      </c>
      <c r="P1613" s="21">
        <f>Data!J1630</f>
        <v>0</v>
      </c>
      <c r="Q1613">
        <f>Data!K1630</f>
        <v>0</v>
      </c>
      <c r="R1613">
        <f>Data!L1630</f>
        <v>0</v>
      </c>
      <c r="S1613">
        <f>Data!M1630</f>
        <v>0</v>
      </c>
      <c r="T1613">
        <f>Data!N1630</f>
        <v>0</v>
      </c>
      <c r="U1613">
        <f>Data!O1630</f>
        <v>0</v>
      </c>
      <c r="V1613" s="33">
        <f>Data!P1628</f>
        <v>0</v>
      </c>
    </row>
    <row r="1614" spans="7:22" x14ac:dyDescent="0.25">
      <c r="G1614">
        <f>Data!A1627</f>
        <v>0</v>
      </c>
      <c r="H1614" s="21">
        <f>Data!B1627</f>
        <v>0</v>
      </c>
      <c r="I1614" s="21">
        <f>Data!C1627</f>
        <v>0</v>
      </c>
      <c r="J1614">
        <f>Data!D1627</f>
        <v>0</v>
      </c>
      <c r="K1614">
        <f>Data!E1627</f>
        <v>0</v>
      </c>
      <c r="L1614">
        <f>Data!F1627</f>
        <v>0</v>
      </c>
      <c r="M1614">
        <f>Data!G1627</f>
        <v>0</v>
      </c>
      <c r="N1614">
        <f>Data!H1627</f>
        <v>0</v>
      </c>
      <c r="O1614">
        <f>Data!I1627</f>
        <v>0</v>
      </c>
      <c r="P1614" s="21">
        <f>Data!J1631</f>
        <v>0</v>
      </c>
      <c r="Q1614">
        <f>Data!K1631</f>
        <v>0</v>
      </c>
      <c r="R1614">
        <f>Data!L1631</f>
        <v>0</v>
      </c>
      <c r="S1614">
        <f>Data!M1631</f>
        <v>0</v>
      </c>
      <c r="T1614">
        <f>Data!N1631</f>
        <v>0</v>
      </c>
      <c r="U1614">
        <f>Data!O1631</f>
        <v>0</v>
      </c>
      <c r="V1614" s="33">
        <f>Data!P1629</f>
        <v>0</v>
      </c>
    </row>
    <row r="1615" spans="7:22" x14ac:dyDescent="0.25">
      <c r="G1615">
        <f>Data!A1628</f>
        <v>0</v>
      </c>
      <c r="H1615" s="21">
        <f>Data!B1628</f>
        <v>0</v>
      </c>
      <c r="I1615" s="21">
        <f>Data!C1628</f>
        <v>0</v>
      </c>
      <c r="J1615">
        <f>Data!D1628</f>
        <v>0</v>
      </c>
      <c r="K1615">
        <f>Data!E1628</f>
        <v>0</v>
      </c>
      <c r="L1615">
        <f>Data!F1628</f>
        <v>0</v>
      </c>
      <c r="M1615">
        <f>Data!G1628</f>
        <v>0</v>
      </c>
      <c r="N1615">
        <f>Data!H1628</f>
        <v>0</v>
      </c>
      <c r="O1615">
        <f>Data!I1628</f>
        <v>0</v>
      </c>
      <c r="P1615" s="21">
        <f>Data!J1632</f>
        <v>0</v>
      </c>
      <c r="Q1615">
        <f>Data!K1632</f>
        <v>0</v>
      </c>
      <c r="R1615">
        <f>Data!L1632</f>
        <v>0</v>
      </c>
      <c r="S1615">
        <f>Data!M1632</f>
        <v>0</v>
      </c>
      <c r="T1615">
        <f>Data!N1632</f>
        <v>0</v>
      </c>
      <c r="U1615">
        <f>Data!O1632</f>
        <v>0</v>
      </c>
      <c r="V1615" s="33">
        <f>Data!P1630</f>
        <v>0</v>
      </c>
    </row>
    <row r="1616" spans="7:22" x14ac:dyDescent="0.25">
      <c r="G1616">
        <f>Data!A1629</f>
        <v>0</v>
      </c>
      <c r="H1616" s="21">
        <f>Data!B1629</f>
        <v>0</v>
      </c>
      <c r="I1616" s="21">
        <f>Data!C1629</f>
        <v>0</v>
      </c>
      <c r="J1616">
        <f>Data!D1629</f>
        <v>0</v>
      </c>
      <c r="K1616">
        <f>Data!E1629</f>
        <v>0</v>
      </c>
      <c r="L1616">
        <f>Data!F1629</f>
        <v>0</v>
      </c>
      <c r="M1616">
        <f>Data!G1629</f>
        <v>0</v>
      </c>
      <c r="N1616">
        <f>Data!H1629</f>
        <v>0</v>
      </c>
      <c r="O1616">
        <f>Data!I1629</f>
        <v>0</v>
      </c>
      <c r="P1616" s="21">
        <f>Data!J1633</f>
        <v>0</v>
      </c>
      <c r="Q1616">
        <f>Data!K1633</f>
        <v>0</v>
      </c>
      <c r="R1616">
        <f>Data!L1633</f>
        <v>0</v>
      </c>
      <c r="S1616">
        <f>Data!M1633</f>
        <v>0</v>
      </c>
      <c r="T1616">
        <f>Data!N1633</f>
        <v>0</v>
      </c>
      <c r="U1616">
        <f>Data!O1633</f>
        <v>0</v>
      </c>
      <c r="V1616" s="33">
        <f>Data!P1631</f>
        <v>0</v>
      </c>
    </row>
    <row r="1617" spans="7:22" x14ac:dyDescent="0.25">
      <c r="G1617">
        <f>Data!A1630</f>
        <v>0</v>
      </c>
      <c r="H1617" s="21">
        <f>Data!B1630</f>
        <v>0</v>
      </c>
      <c r="I1617" s="21">
        <f>Data!C1630</f>
        <v>0</v>
      </c>
      <c r="J1617">
        <f>Data!D1630</f>
        <v>0</v>
      </c>
      <c r="K1617">
        <f>Data!E1630</f>
        <v>0</v>
      </c>
      <c r="L1617">
        <f>Data!F1630</f>
        <v>0</v>
      </c>
      <c r="M1617">
        <f>Data!G1630</f>
        <v>0</v>
      </c>
      <c r="N1617">
        <f>Data!H1630</f>
        <v>0</v>
      </c>
      <c r="O1617">
        <f>Data!I1630</f>
        <v>0</v>
      </c>
      <c r="P1617" s="21">
        <f>Data!J1634</f>
        <v>0</v>
      </c>
      <c r="Q1617">
        <f>Data!K1634</f>
        <v>0</v>
      </c>
      <c r="R1617">
        <f>Data!L1634</f>
        <v>0</v>
      </c>
      <c r="S1617">
        <f>Data!M1634</f>
        <v>0</v>
      </c>
      <c r="T1617">
        <f>Data!N1634</f>
        <v>0</v>
      </c>
      <c r="U1617">
        <f>Data!O1634</f>
        <v>0</v>
      </c>
      <c r="V1617" s="33">
        <f>Data!P1632</f>
        <v>0</v>
      </c>
    </row>
    <row r="1618" spans="7:22" x14ac:dyDescent="0.25">
      <c r="G1618">
        <f>Data!A1631</f>
        <v>0</v>
      </c>
      <c r="H1618" s="21">
        <f>Data!B1631</f>
        <v>0</v>
      </c>
      <c r="I1618" s="21">
        <f>Data!C1631</f>
        <v>0</v>
      </c>
      <c r="J1618">
        <f>Data!D1631</f>
        <v>0</v>
      </c>
      <c r="K1618">
        <f>Data!E1631</f>
        <v>0</v>
      </c>
      <c r="L1618">
        <f>Data!F1631</f>
        <v>0</v>
      </c>
      <c r="M1618">
        <f>Data!G1631</f>
        <v>0</v>
      </c>
      <c r="N1618">
        <f>Data!H1631</f>
        <v>0</v>
      </c>
      <c r="O1618">
        <f>Data!I1631</f>
        <v>0</v>
      </c>
      <c r="P1618" s="21">
        <f>Data!J1635</f>
        <v>0</v>
      </c>
      <c r="Q1618">
        <f>Data!K1635</f>
        <v>0</v>
      </c>
      <c r="R1618">
        <f>Data!L1635</f>
        <v>0</v>
      </c>
      <c r="S1618">
        <f>Data!M1635</f>
        <v>0</v>
      </c>
      <c r="T1618">
        <f>Data!N1635</f>
        <v>0</v>
      </c>
      <c r="U1618">
        <f>Data!O1635</f>
        <v>0</v>
      </c>
      <c r="V1618" s="33">
        <f>Data!P1633</f>
        <v>0</v>
      </c>
    </row>
    <row r="1619" spans="7:22" x14ac:dyDescent="0.25">
      <c r="G1619">
        <f>Data!A1632</f>
        <v>0</v>
      </c>
      <c r="H1619" s="21">
        <f>Data!B1632</f>
        <v>0</v>
      </c>
      <c r="I1619" s="21">
        <f>Data!C1632</f>
        <v>0</v>
      </c>
      <c r="J1619">
        <f>Data!D1632</f>
        <v>0</v>
      </c>
      <c r="K1619">
        <f>Data!E1632</f>
        <v>0</v>
      </c>
      <c r="L1619">
        <f>Data!F1632</f>
        <v>0</v>
      </c>
      <c r="M1619">
        <f>Data!G1632</f>
        <v>0</v>
      </c>
      <c r="N1619">
        <f>Data!H1632</f>
        <v>0</v>
      </c>
      <c r="O1619">
        <f>Data!I1632</f>
        <v>0</v>
      </c>
      <c r="P1619" s="21">
        <f>Data!J1636</f>
        <v>0</v>
      </c>
      <c r="Q1619">
        <f>Data!K1636</f>
        <v>0</v>
      </c>
      <c r="R1619">
        <f>Data!L1636</f>
        <v>0</v>
      </c>
      <c r="S1619">
        <f>Data!M1636</f>
        <v>0</v>
      </c>
      <c r="T1619">
        <f>Data!N1636</f>
        <v>0</v>
      </c>
      <c r="U1619">
        <f>Data!O1636</f>
        <v>0</v>
      </c>
      <c r="V1619" s="33">
        <f>Data!P1634</f>
        <v>0</v>
      </c>
    </row>
    <row r="1620" spans="7:22" x14ac:dyDescent="0.25">
      <c r="G1620">
        <f>Data!A1633</f>
        <v>0</v>
      </c>
      <c r="H1620" s="21">
        <f>Data!B1633</f>
        <v>0</v>
      </c>
      <c r="I1620" s="21">
        <f>Data!C1633</f>
        <v>0</v>
      </c>
      <c r="J1620">
        <f>Data!D1633</f>
        <v>0</v>
      </c>
      <c r="K1620">
        <f>Data!E1633</f>
        <v>0</v>
      </c>
      <c r="L1620">
        <f>Data!F1633</f>
        <v>0</v>
      </c>
      <c r="M1620">
        <f>Data!G1633</f>
        <v>0</v>
      </c>
      <c r="N1620">
        <f>Data!H1633</f>
        <v>0</v>
      </c>
      <c r="O1620">
        <f>Data!I1633</f>
        <v>0</v>
      </c>
      <c r="P1620" s="21">
        <f>Data!J1637</f>
        <v>0</v>
      </c>
      <c r="Q1620">
        <f>Data!K1637</f>
        <v>0</v>
      </c>
      <c r="R1620">
        <f>Data!L1637</f>
        <v>0</v>
      </c>
      <c r="S1620">
        <f>Data!M1637</f>
        <v>0</v>
      </c>
      <c r="T1620">
        <f>Data!N1637</f>
        <v>0</v>
      </c>
      <c r="U1620">
        <f>Data!O1637</f>
        <v>0</v>
      </c>
      <c r="V1620" s="33">
        <f>Data!P1635</f>
        <v>0</v>
      </c>
    </row>
    <row r="1621" spans="7:22" x14ac:dyDescent="0.25">
      <c r="G1621">
        <f>Data!A1634</f>
        <v>0</v>
      </c>
      <c r="H1621" s="21">
        <f>Data!B1634</f>
        <v>0</v>
      </c>
      <c r="I1621" s="21">
        <f>Data!C1634</f>
        <v>0</v>
      </c>
      <c r="J1621">
        <f>Data!D1634</f>
        <v>0</v>
      </c>
      <c r="K1621">
        <f>Data!E1634</f>
        <v>0</v>
      </c>
      <c r="L1621">
        <f>Data!F1634</f>
        <v>0</v>
      </c>
      <c r="M1621">
        <f>Data!G1634</f>
        <v>0</v>
      </c>
      <c r="N1621">
        <f>Data!H1634</f>
        <v>0</v>
      </c>
      <c r="O1621">
        <f>Data!I1634</f>
        <v>0</v>
      </c>
      <c r="P1621" s="21">
        <f>Data!J1638</f>
        <v>0</v>
      </c>
      <c r="Q1621">
        <f>Data!K1638</f>
        <v>0</v>
      </c>
      <c r="R1621">
        <f>Data!L1638</f>
        <v>0</v>
      </c>
      <c r="S1621">
        <f>Data!M1638</f>
        <v>0</v>
      </c>
      <c r="T1621">
        <f>Data!N1638</f>
        <v>0</v>
      </c>
      <c r="U1621">
        <f>Data!O1638</f>
        <v>0</v>
      </c>
      <c r="V1621" s="33">
        <f>Data!P1636</f>
        <v>0</v>
      </c>
    </row>
    <row r="1622" spans="7:22" x14ac:dyDescent="0.25">
      <c r="G1622">
        <f>Data!A1635</f>
        <v>0</v>
      </c>
      <c r="H1622" s="21">
        <f>Data!B1635</f>
        <v>0</v>
      </c>
      <c r="I1622" s="21">
        <f>Data!C1635</f>
        <v>0</v>
      </c>
      <c r="J1622">
        <f>Data!D1635</f>
        <v>0</v>
      </c>
      <c r="K1622">
        <f>Data!E1635</f>
        <v>0</v>
      </c>
      <c r="L1622">
        <f>Data!F1635</f>
        <v>0</v>
      </c>
      <c r="M1622">
        <f>Data!G1635</f>
        <v>0</v>
      </c>
      <c r="N1622">
        <f>Data!H1635</f>
        <v>0</v>
      </c>
      <c r="O1622">
        <f>Data!I1635</f>
        <v>0</v>
      </c>
      <c r="P1622" s="21">
        <f>Data!J1639</f>
        <v>0</v>
      </c>
      <c r="Q1622">
        <f>Data!K1639</f>
        <v>0</v>
      </c>
      <c r="R1622">
        <f>Data!L1639</f>
        <v>0</v>
      </c>
      <c r="S1622">
        <f>Data!M1639</f>
        <v>0</v>
      </c>
      <c r="T1622">
        <f>Data!N1639</f>
        <v>0</v>
      </c>
      <c r="U1622">
        <f>Data!O1639</f>
        <v>0</v>
      </c>
      <c r="V1622" s="33">
        <f>Data!P1637</f>
        <v>0</v>
      </c>
    </row>
    <row r="1623" spans="7:22" x14ac:dyDescent="0.25">
      <c r="G1623">
        <f>Data!A1636</f>
        <v>0</v>
      </c>
      <c r="H1623" s="21">
        <f>Data!B1636</f>
        <v>0</v>
      </c>
      <c r="I1623" s="21">
        <f>Data!C1636</f>
        <v>0</v>
      </c>
      <c r="J1623">
        <f>Data!D1636</f>
        <v>0</v>
      </c>
      <c r="K1623">
        <f>Data!E1636</f>
        <v>0</v>
      </c>
      <c r="L1623">
        <f>Data!F1636</f>
        <v>0</v>
      </c>
      <c r="M1623">
        <f>Data!G1636</f>
        <v>0</v>
      </c>
      <c r="N1623">
        <f>Data!H1636</f>
        <v>0</v>
      </c>
      <c r="O1623">
        <f>Data!I1636</f>
        <v>0</v>
      </c>
      <c r="P1623" s="21">
        <f>Data!J1640</f>
        <v>0</v>
      </c>
      <c r="Q1623">
        <f>Data!K1640</f>
        <v>0</v>
      </c>
      <c r="R1623">
        <f>Data!L1640</f>
        <v>0</v>
      </c>
      <c r="S1623">
        <f>Data!M1640</f>
        <v>0</v>
      </c>
      <c r="T1623">
        <f>Data!N1640</f>
        <v>0</v>
      </c>
      <c r="U1623">
        <f>Data!O1640</f>
        <v>0</v>
      </c>
      <c r="V1623" s="33">
        <f>Data!P1638</f>
        <v>0</v>
      </c>
    </row>
    <row r="1624" spans="7:22" x14ac:dyDescent="0.25">
      <c r="G1624">
        <f>Data!A1637</f>
        <v>0</v>
      </c>
      <c r="H1624" s="21">
        <f>Data!B1637</f>
        <v>0</v>
      </c>
      <c r="I1624" s="21">
        <f>Data!C1637</f>
        <v>0</v>
      </c>
      <c r="J1624">
        <f>Data!D1637</f>
        <v>0</v>
      </c>
      <c r="K1624">
        <f>Data!E1637</f>
        <v>0</v>
      </c>
      <c r="L1624">
        <f>Data!F1637</f>
        <v>0</v>
      </c>
      <c r="M1624">
        <f>Data!G1637</f>
        <v>0</v>
      </c>
      <c r="N1624">
        <f>Data!H1637</f>
        <v>0</v>
      </c>
      <c r="O1624">
        <f>Data!I1637</f>
        <v>0</v>
      </c>
      <c r="P1624" s="21">
        <f>Data!J1641</f>
        <v>0</v>
      </c>
      <c r="Q1624">
        <f>Data!K1641</f>
        <v>0</v>
      </c>
      <c r="R1624">
        <f>Data!L1641</f>
        <v>0</v>
      </c>
      <c r="S1624">
        <f>Data!M1641</f>
        <v>0</v>
      </c>
      <c r="T1624">
        <f>Data!N1641</f>
        <v>0</v>
      </c>
      <c r="U1624">
        <f>Data!O1641</f>
        <v>0</v>
      </c>
      <c r="V1624" s="33">
        <f>Data!P1639</f>
        <v>0</v>
      </c>
    </row>
    <row r="1625" spans="7:22" x14ac:dyDescent="0.25">
      <c r="G1625">
        <f>Data!A1638</f>
        <v>0</v>
      </c>
      <c r="H1625" s="21">
        <f>Data!B1638</f>
        <v>0</v>
      </c>
      <c r="I1625" s="21">
        <f>Data!C1638</f>
        <v>0</v>
      </c>
      <c r="J1625">
        <f>Data!D1638</f>
        <v>0</v>
      </c>
      <c r="K1625">
        <f>Data!E1638</f>
        <v>0</v>
      </c>
      <c r="L1625">
        <f>Data!F1638</f>
        <v>0</v>
      </c>
      <c r="M1625">
        <f>Data!G1638</f>
        <v>0</v>
      </c>
      <c r="N1625">
        <f>Data!H1638</f>
        <v>0</v>
      </c>
      <c r="O1625">
        <f>Data!I1638</f>
        <v>0</v>
      </c>
      <c r="P1625" s="21">
        <f>Data!J1642</f>
        <v>0</v>
      </c>
      <c r="Q1625">
        <f>Data!K1642</f>
        <v>0</v>
      </c>
      <c r="R1625">
        <f>Data!L1642</f>
        <v>0</v>
      </c>
      <c r="S1625">
        <f>Data!M1642</f>
        <v>0</v>
      </c>
      <c r="T1625">
        <f>Data!N1642</f>
        <v>0</v>
      </c>
      <c r="U1625">
        <f>Data!O1642</f>
        <v>0</v>
      </c>
      <c r="V1625" s="33">
        <f>Data!P1640</f>
        <v>0</v>
      </c>
    </row>
    <row r="1626" spans="7:22" x14ac:dyDescent="0.25">
      <c r="G1626">
        <f>Data!A1639</f>
        <v>0</v>
      </c>
      <c r="H1626" s="21">
        <f>Data!B1639</f>
        <v>0</v>
      </c>
      <c r="I1626" s="21">
        <f>Data!C1639</f>
        <v>0</v>
      </c>
      <c r="J1626">
        <f>Data!D1639</f>
        <v>0</v>
      </c>
      <c r="K1626">
        <f>Data!E1639</f>
        <v>0</v>
      </c>
      <c r="L1626">
        <f>Data!F1639</f>
        <v>0</v>
      </c>
      <c r="M1626">
        <f>Data!G1639</f>
        <v>0</v>
      </c>
      <c r="N1626">
        <f>Data!H1639</f>
        <v>0</v>
      </c>
      <c r="O1626">
        <f>Data!I1639</f>
        <v>0</v>
      </c>
      <c r="P1626" s="21">
        <f>Data!J1643</f>
        <v>0</v>
      </c>
      <c r="Q1626">
        <f>Data!K1643</f>
        <v>0</v>
      </c>
      <c r="R1626">
        <f>Data!L1643</f>
        <v>0</v>
      </c>
      <c r="S1626">
        <f>Data!M1643</f>
        <v>0</v>
      </c>
      <c r="T1626">
        <f>Data!N1643</f>
        <v>0</v>
      </c>
      <c r="U1626">
        <f>Data!O1643</f>
        <v>0</v>
      </c>
      <c r="V1626" s="33">
        <f>Data!P1641</f>
        <v>0</v>
      </c>
    </row>
    <row r="1627" spans="7:22" x14ac:dyDescent="0.25">
      <c r="G1627">
        <f>Data!A1640</f>
        <v>0</v>
      </c>
      <c r="H1627" s="21">
        <f>Data!B1640</f>
        <v>0</v>
      </c>
      <c r="I1627" s="21">
        <f>Data!C1640</f>
        <v>0</v>
      </c>
      <c r="J1627">
        <f>Data!D1640</f>
        <v>0</v>
      </c>
      <c r="K1627">
        <f>Data!E1640</f>
        <v>0</v>
      </c>
      <c r="L1627">
        <f>Data!F1640</f>
        <v>0</v>
      </c>
      <c r="M1627">
        <f>Data!G1640</f>
        <v>0</v>
      </c>
      <c r="N1627">
        <f>Data!H1640</f>
        <v>0</v>
      </c>
      <c r="O1627">
        <f>Data!I1640</f>
        <v>0</v>
      </c>
      <c r="P1627" s="21">
        <f>Data!J1644</f>
        <v>0</v>
      </c>
      <c r="Q1627">
        <f>Data!K1644</f>
        <v>0</v>
      </c>
      <c r="R1627">
        <f>Data!L1644</f>
        <v>0</v>
      </c>
      <c r="S1627">
        <f>Data!M1644</f>
        <v>0</v>
      </c>
      <c r="T1627">
        <f>Data!N1644</f>
        <v>0</v>
      </c>
      <c r="U1627">
        <f>Data!O1644</f>
        <v>0</v>
      </c>
      <c r="V1627" s="33">
        <f>Data!P1642</f>
        <v>0</v>
      </c>
    </row>
    <row r="1628" spans="7:22" x14ac:dyDescent="0.25">
      <c r="G1628">
        <f>Data!A1641</f>
        <v>0</v>
      </c>
      <c r="H1628" s="21">
        <f>Data!B1641</f>
        <v>0</v>
      </c>
      <c r="I1628" s="21">
        <f>Data!C1641</f>
        <v>0</v>
      </c>
      <c r="J1628">
        <f>Data!D1641</f>
        <v>0</v>
      </c>
      <c r="K1628">
        <f>Data!E1641</f>
        <v>0</v>
      </c>
      <c r="L1628">
        <f>Data!F1641</f>
        <v>0</v>
      </c>
      <c r="M1628">
        <f>Data!G1641</f>
        <v>0</v>
      </c>
      <c r="N1628">
        <f>Data!H1641</f>
        <v>0</v>
      </c>
      <c r="O1628">
        <f>Data!I1641</f>
        <v>0</v>
      </c>
      <c r="P1628" s="21">
        <f>Data!J1645</f>
        <v>0</v>
      </c>
      <c r="Q1628">
        <f>Data!K1645</f>
        <v>0</v>
      </c>
      <c r="R1628">
        <f>Data!L1645</f>
        <v>0</v>
      </c>
      <c r="S1628">
        <f>Data!M1645</f>
        <v>0</v>
      </c>
      <c r="T1628">
        <f>Data!N1645</f>
        <v>0</v>
      </c>
      <c r="U1628">
        <f>Data!O1645</f>
        <v>0</v>
      </c>
      <c r="V1628" s="33">
        <f>Data!P1643</f>
        <v>0</v>
      </c>
    </row>
    <row r="1629" spans="7:22" x14ac:dyDescent="0.25">
      <c r="G1629">
        <f>Data!A1642</f>
        <v>0</v>
      </c>
      <c r="H1629" s="21">
        <f>Data!B1642</f>
        <v>0</v>
      </c>
      <c r="I1629" s="21">
        <f>Data!C1642</f>
        <v>0</v>
      </c>
      <c r="J1629">
        <f>Data!D1642</f>
        <v>0</v>
      </c>
      <c r="K1629">
        <f>Data!E1642</f>
        <v>0</v>
      </c>
      <c r="L1629">
        <f>Data!F1642</f>
        <v>0</v>
      </c>
      <c r="M1629">
        <f>Data!G1642</f>
        <v>0</v>
      </c>
      <c r="N1629">
        <f>Data!H1642</f>
        <v>0</v>
      </c>
      <c r="O1629">
        <f>Data!I1642</f>
        <v>0</v>
      </c>
      <c r="P1629" s="21">
        <f>Data!J1646</f>
        <v>0</v>
      </c>
      <c r="Q1629">
        <f>Data!K1646</f>
        <v>0</v>
      </c>
      <c r="R1629">
        <f>Data!L1646</f>
        <v>0</v>
      </c>
      <c r="S1629">
        <f>Data!M1646</f>
        <v>0</v>
      </c>
      <c r="T1629">
        <f>Data!N1646</f>
        <v>0</v>
      </c>
      <c r="U1629">
        <f>Data!O1646</f>
        <v>0</v>
      </c>
      <c r="V1629" s="33">
        <f>Data!P1644</f>
        <v>0</v>
      </c>
    </row>
    <row r="1630" spans="7:22" x14ac:dyDescent="0.25">
      <c r="G1630">
        <f>Data!A1643</f>
        <v>0</v>
      </c>
      <c r="H1630" s="21">
        <f>Data!B1643</f>
        <v>0</v>
      </c>
      <c r="I1630" s="21">
        <f>Data!C1643</f>
        <v>0</v>
      </c>
      <c r="J1630">
        <f>Data!D1643</f>
        <v>0</v>
      </c>
      <c r="K1630">
        <f>Data!E1643</f>
        <v>0</v>
      </c>
      <c r="L1630">
        <f>Data!F1643</f>
        <v>0</v>
      </c>
      <c r="M1630">
        <f>Data!G1643</f>
        <v>0</v>
      </c>
      <c r="N1630">
        <f>Data!H1643</f>
        <v>0</v>
      </c>
      <c r="O1630">
        <f>Data!I1643</f>
        <v>0</v>
      </c>
      <c r="P1630" s="21">
        <f>Data!J1647</f>
        <v>0</v>
      </c>
      <c r="Q1630">
        <f>Data!K1647</f>
        <v>0</v>
      </c>
      <c r="R1630">
        <f>Data!L1647</f>
        <v>0</v>
      </c>
      <c r="S1630">
        <f>Data!M1647</f>
        <v>0</v>
      </c>
      <c r="T1630">
        <f>Data!N1647</f>
        <v>0</v>
      </c>
      <c r="U1630">
        <f>Data!O1647</f>
        <v>0</v>
      </c>
      <c r="V1630" s="33">
        <f>Data!P1645</f>
        <v>0</v>
      </c>
    </row>
    <row r="1631" spans="7:22" x14ac:dyDescent="0.25">
      <c r="G1631">
        <f>Data!A1644</f>
        <v>0</v>
      </c>
      <c r="H1631" s="21">
        <f>Data!B1644</f>
        <v>0</v>
      </c>
      <c r="I1631" s="21">
        <f>Data!C1644</f>
        <v>0</v>
      </c>
      <c r="J1631">
        <f>Data!D1644</f>
        <v>0</v>
      </c>
      <c r="K1631">
        <f>Data!E1644</f>
        <v>0</v>
      </c>
      <c r="L1631">
        <f>Data!F1644</f>
        <v>0</v>
      </c>
      <c r="M1631">
        <f>Data!G1644</f>
        <v>0</v>
      </c>
      <c r="N1631">
        <f>Data!H1644</f>
        <v>0</v>
      </c>
      <c r="O1631">
        <f>Data!I1644</f>
        <v>0</v>
      </c>
      <c r="P1631" s="21">
        <f>Data!J1648</f>
        <v>0</v>
      </c>
      <c r="Q1631">
        <f>Data!K1648</f>
        <v>0</v>
      </c>
      <c r="R1631">
        <f>Data!L1648</f>
        <v>0</v>
      </c>
      <c r="S1631">
        <f>Data!M1648</f>
        <v>0</v>
      </c>
      <c r="T1631">
        <f>Data!N1648</f>
        <v>0</v>
      </c>
      <c r="U1631">
        <f>Data!O1648</f>
        <v>0</v>
      </c>
      <c r="V1631" s="33">
        <f>Data!P1646</f>
        <v>0</v>
      </c>
    </row>
    <row r="1632" spans="7:22" x14ac:dyDescent="0.25">
      <c r="G1632">
        <f>Data!A1645</f>
        <v>0</v>
      </c>
      <c r="H1632" s="21">
        <f>Data!B1645</f>
        <v>0</v>
      </c>
      <c r="I1632" s="21">
        <f>Data!C1645</f>
        <v>0</v>
      </c>
      <c r="J1632">
        <f>Data!D1645</f>
        <v>0</v>
      </c>
      <c r="K1632">
        <f>Data!E1645</f>
        <v>0</v>
      </c>
      <c r="L1632">
        <f>Data!F1645</f>
        <v>0</v>
      </c>
      <c r="M1632">
        <f>Data!G1645</f>
        <v>0</v>
      </c>
      <c r="N1632">
        <f>Data!H1645</f>
        <v>0</v>
      </c>
      <c r="O1632">
        <f>Data!I1645</f>
        <v>0</v>
      </c>
      <c r="P1632" s="21">
        <f>Data!J1649</f>
        <v>0</v>
      </c>
      <c r="Q1632">
        <f>Data!K1649</f>
        <v>0</v>
      </c>
      <c r="R1632">
        <f>Data!L1649</f>
        <v>0</v>
      </c>
      <c r="S1632">
        <f>Data!M1649</f>
        <v>0</v>
      </c>
      <c r="T1632">
        <f>Data!N1649</f>
        <v>0</v>
      </c>
      <c r="U1632">
        <f>Data!O1649</f>
        <v>0</v>
      </c>
      <c r="V1632" s="33">
        <f>Data!P1647</f>
        <v>0</v>
      </c>
    </row>
    <row r="1633" spans="7:22" x14ac:dyDescent="0.25">
      <c r="G1633">
        <f>Data!A1646</f>
        <v>0</v>
      </c>
      <c r="H1633" s="21">
        <f>Data!B1646</f>
        <v>0</v>
      </c>
      <c r="I1633" s="21">
        <f>Data!C1646</f>
        <v>0</v>
      </c>
      <c r="J1633">
        <f>Data!D1646</f>
        <v>0</v>
      </c>
      <c r="K1633">
        <f>Data!E1646</f>
        <v>0</v>
      </c>
      <c r="L1633">
        <f>Data!F1646</f>
        <v>0</v>
      </c>
      <c r="M1633">
        <f>Data!G1646</f>
        <v>0</v>
      </c>
      <c r="N1633">
        <f>Data!H1646</f>
        <v>0</v>
      </c>
      <c r="O1633">
        <f>Data!I1646</f>
        <v>0</v>
      </c>
      <c r="P1633" s="21">
        <f>Data!J1650</f>
        <v>0</v>
      </c>
      <c r="Q1633">
        <f>Data!K1650</f>
        <v>0</v>
      </c>
      <c r="R1633">
        <f>Data!L1650</f>
        <v>0</v>
      </c>
      <c r="S1633">
        <f>Data!M1650</f>
        <v>0</v>
      </c>
      <c r="T1633">
        <f>Data!N1650</f>
        <v>0</v>
      </c>
      <c r="U1633">
        <f>Data!O1650</f>
        <v>0</v>
      </c>
      <c r="V1633" s="33">
        <f>Data!P1648</f>
        <v>0</v>
      </c>
    </row>
    <row r="1634" spans="7:22" x14ac:dyDescent="0.25">
      <c r="G1634">
        <f>Data!A1647</f>
        <v>0</v>
      </c>
      <c r="H1634" s="21">
        <f>Data!B1647</f>
        <v>0</v>
      </c>
      <c r="I1634" s="21">
        <f>Data!C1647</f>
        <v>0</v>
      </c>
      <c r="J1634">
        <f>Data!D1647</f>
        <v>0</v>
      </c>
      <c r="K1634">
        <f>Data!E1647</f>
        <v>0</v>
      </c>
      <c r="L1634">
        <f>Data!F1647</f>
        <v>0</v>
      </c>
      <c r="M1634">
        <f>Data!G1647</f>
        <v>0</v>
      </c>
      <c r="N1634">
        <f>Data!H1647</f>
        <v>0</v>
      </c>
      <c r="O1634">
        <f>Data!I1647</f>
        <v>0</v>
      </c>
      <c r="P1634" s="21">
        <f>Data!J1651</f>
        <v>0</v>
      </c>
      <c r="Q1634">
        <f>Data!K1651</f>
        <v>0</v>
      </c>
      <c r="R1634">
        <f>Data!L1651</f>
        <v>0</v>
      </c>
      <c r="S1634">
        <f>Data!M1651</f>
        <v>0</v>
      </c>
      <c r="T1634">
        <f>Data!N1651</f>
        <v>0</v>
      </c>
      <c r="U1634">
        <f>Data!O1651</f>
        <v>0</v>
      </c>
      <c r="V1634" s="33">
        <f>Data!P1649</f>
        <v>0</v>
      </c>
    </row>
    <row r="1635" spans="7:22" x14ac:dyDescent="0.25">
      <c r="G1635">
        <f>Data!A1648</f>
        <v>0</v>
      </c>
      <c r="H1635" s="21">
        <f>Data!B1648</f>
        <v>0</v>
      </c>
      <c r="I1635" s="21">
        <f>Data!C1648</f>
        <v>0</v>
      </c>
      <c r="J1635">
        <f>Data!D1648</f>
        <v>0</v>
      </c>
      <c r="K1635">
        <f>Data!E1648</f>
        <v>0</v>
      </c>
      <c r="L1635">
        <f>Data!F1648</f>
        <v>0</v>
      </c>
      <c r="M1635">
        <f>Data!G1648</f>
        <v>0</v>
      </c>
      <c r="N1635">
        <f>Data!H1648</f>
        <v>0</v>
      </c>
      <c r="O1635">
        <f>Data!I1648</f>
        <v>0</v>
      </c>
      <c r="P1635" s="21">
        <f>Data!J1652</f>
        <v>0</v>
      </c>
      <c r="Q1635">
        <f>Data!K1652</f>
        <v>0</v>
      </c>
      <c r="R1635">
        <f>Data!L1652</f>
        <v>0</v>
      </c>
      <c r="S1635">
        <f>Data!M1652</f>
        <v>0</v>
      </c>
      <c r="T1635">
        <f>Data!N1652</f>
        <v>0</v>
      </c>
      <c r="U1635">
        <f>Data!O1652</f>
        <v>0</v>
      </c>
      <c r="V1635" s="33">
        <f>Data!P1650</f>
        <v>0</v>
      </c>
    </row>
    <row r="1636" spans="7:22" x14ac:dyDescent="0.25">
      <c r="G1636">
        <f>Data!A1649</f>
        <v>0</v>
      </c>
      <c r="H1636" s="21">
        <f>Data!B1649</f>
        <v>0</v>
      </c>
      <c r="I1636" s="21">
        <f>Data!C1649</f>
        <v>0</v>
      </c>
      <c r="J1636">
        <f>Data!D1649</f>
        <v>0</v>
      </c>
      <c r="K1636">
        <f>Data!E1649</f>
        <v>0</v>
      </c>
      <c r="L1636">
        <f>Data!F1649</f>
        <v>0</v>
      </c>
      <c r="M1636">
        <f>Data!G1649</f>
        <v>0</v>
      </c>
      <c r="N1636">
        <f>Data!H1649</f>
        <v>0</v>
      </c>
      <c r="O1636">
        <f>Data!I1649</f>
        <v>0</v>
      </c>
      <c r="P1636" s="21">
        <f>Data!J1653</f>
        <v>0</v>
      </c>
      <c r="Q1636">
        <f>Data!K1653</f>
        <v>0</v>
      </c>
      <c r="R1636">
        <f>Data!L1653</f>
        <v>0</v>
      </c>
      <c r="S1636">
        <f>Data!M1653</f>
        <v>0</v>
      </c>
      <c r="T1636">
        <f>Data!N1653</f>
        <v>0</v>
      </c>
      <c r="U1636">
        <f>Data!O1653</f>
        <v>0</v>
      </c>
      <c r="V1636" s="33">
        <f>Data!P1651</f>
        <v>0</v>
      </c>
    </row>
    <row r="1637" spans="7:22" x14ac:dyDescent="0.25">
      <c r="G1637">
        <f>Data!A1650</f>
        <v>0</v>
      </c>
      <c r="H1637" s="21">
        <f>Data!B1650</f>
        <v>0</v>
      </c>
      <c r="I1637" s="21">
        <f>Data!C1650</f>
        <v>0</v>
      </c>
      <c r="J1637">
        <f>Data!D1650</f>
        <v>0</v>
      </c>
      <c r="K1637">
        <f>Data!E1650</f>
        <v>0</v>
      </c>
      <c r="L1637">
        <f>Data!F1650</f>
        <v>0</v>
      </c>
      <c r="M1637">
        <f>Data!G1650</f>
        <v>0</v>
      </c>
      <c r="N1637">
        <f>Data!H1650</f>
        <v>0</v>
      </c>
      <c r="O1637">
        <f>Data!I1650</f>
        <v>0</v>
      </c>
      <c r="P1637" s="21">
        <f>Data!J1654</f>
        <v>0</v>
      </c>
      <c r="Q1637">
        <f>Data!K1654</f>
        <v>0</v>
      </c>
      <c r="R1637">
        <f>Data!L1654</f>
        <v>0</v>
      </c>
      <c r="S1637">
        <f>Data!M1654</f>
        <v>0</v>
      </c>
      <c r="T1637">
        <f>Data!N1654</f>
        <v>0</v>
      </c>
      <c r="U1637">
        <f>Data!O1654</f>
        <v>0</v>
      </c>
      <c r="V1637" s="33">
        <f>Data!P1652</f>
        <v>0</v>
      </c>
    </row>
    <row r="1638" spans="7:22" x14ac:dyDescent="0.25">
      <c r="G1638">
        <f>Data!A1651</f>
        <v>0</v>
      </c>
      <c r="H1638" s="21">
        <f>Data!B1651</f>
        <v>0</v>
      </c>
      <c r="I1638" s="21">
        <f>Data!C1651</f>
        <v>0</v>
      </c>
      <c r="J1638">
        <f>Data!D1651</f>
        <v>0</v>
      </c>
      <c r="K1638">
        <f>Data!E1651</f>
        <v>0</v>
      </c>
      <c r="L1638">
        <f>Data!F1651</f>
        <v>0</v>
      </c>
      <c r="M1638">
        <f>Data!G1651</f>
        <v>0</v>
      </c>
      <c r="N1638">
        <f>Data!H1651</f>
        <v>0</v>
      </c>
      <c r="O1638">
        <f>Data!I1651</f>
        <v>0</v>
      </c>
      <c r="P1638" s="21">
        <f>Data!J1655</f>
        <v>0</v>
      </c>
      <c r="Q1638">
        <f>Data!K1655</f>
        <v>0</v>
      </c>
      <c r="R1638">
        <f>Data!L1655</f>
        <v>0</v>
      </c>
      <c r="S1638">
        <f>Data!M1655</f>
        <v>0</v>
      </c>
      <c r="T1638">
        <f>Data!N1655</f>
        <v>0</v>
      </c>
      <c r="U1638">
        <f>Data!O1655</f>
        <v>0</v>
      </c>
      <c r="V1638" s="33">
        <f>Data!P1653</f>
        <v>0</v>
      </c>
    </row>
    <row r="1639" spans="7:22" x14ac:dyDescent="0.25">
      <c r="G1639">
        <f>Data!A1652</f>
        <v>0</v>
      </c>
      <c r="H1639" s="21">
        <f>Data!B1652</f>
        <v>0</v>
      </c>
      <c r="I1639" s="21">
        <f>Data!C1652</f>
        <v>0</v>
      </c>
      <c r="J1639">
        <f>Data!D1652</f>
        <v>0</v>
      </c>
      <c r="K1639">
        <f>Data!E1652</f>
        <v>0</v>
      </c>
      <c r="L1639">
        <f>Data!F1652</f>
        <v>0</v>
      </c>
      <c r="M1639">
        <f>Data!G1652</f>
        <v>0</v>
      </c>
      <c r="N1639">
        <f>Data!H1652</f>
        <v>0</v>
      </c>
      <c r="O1639">
        <f>Data!I1652</f>
        <v>0</v>
      </c>
      <c r="P1639" s="21">
        <f>Data!J1656</f>
        <v>0</v>
      </c>
      <c r="Q1639">
        <f>Data!K1656</f>
        <v>0</v>
      </c>
      <c r="R1639">
        <f>Data!L1656</f>
        <v>0</v>
      </c>
      <c r="S1639">
        <f>Data!M1656</f>
        <v>0</v>
      </c>
      <c r="T1639">
        <f>Data!N1656</f>
        <v>0</v>
      </c>
      <c r="U1639">
        <f>Data!O1656</f>
        <v>0</v>
      </c>
      <c r="V1639" s="33">
        <f>Data!P1654</f>
        <v>0</v>
      </c>
    </row>
    <row r="1640" spans="7:22" x14ac:dyDescent="0.25">
      <c r="G1640">
        <f>Data!A1653</f>
        <v>0</v>
      </c>
      <c r="H1640" s="21">
        <f>Data!B1653</f>
        <v>0</v>
      </c>
      <c r="I1640" s="21">
        <f>Data!C1653</f>
        <v>0</v>
      </c>
      <c r="J1640">
        <f>Data!D1653</f>
        <v>0</v>
      </c>
      <c r="K1640">
        <f>Data!E1653</f>
        <v>0</v>
      </c>
      <c r="L1640">
        <f>Data!F1653</f>
        <v>0</v>
      </c>
      <c r="M1640">
        <f>Data!G1653</f>
        <v>0</v>
      </c>
      <c r="N1640">
        <f>Data!H1653</f>
        <v>0</v>
      </c>
      <c r="O1640">
        <f>Data!I1653</f>
        <v>0</v>
      </c>
      <c r="P1640" s="21">
        <f>Data!J1657</f>
        <v>0</v>
      </c>
      <c r="Q1640">
        <f>Data!K1657</f>
        <v>0</v>
      </c>
      <c r="R1640">
        <f>Data!L1657</f>
        <v>0</v>
      </c>
      <c r="S1640">
        <f>Data!M1657</f>
        <v>0</v>
      </c>
      <c r="T1640">
        <f>Data!N1657</f>
        <v>0</v>
      </c>
      <c r="U1640">
        <f>Data!O1657</f>
        <v>0</v>
      </c>
      <c r="V1640" s="33">
        <f>Data!P1655</f>
        <v>0</v>
      </c>
    </row>
    <row r="1641" spans="7:22" x14ac:dyDescent="0.25">
      <c r="G1641">
        <f>Data!A1654</f>
        <v>0</v>
      </c>
      <c r="H1641" s="21">
        <f>Data!B1654</f>
        <v>0</v>
      </c>
      <c r="I1641" s="21">
        <f>Data!C1654</f>
        <v>0</v>
      </c>
      <c r="J1641">
        <f>Data!D1654</f>
        <v>0</v>
      </c>
      <c r="K1641">
        <f>Data!E1654</f>
        <v>0</v>
      </c>
      <c r="L1641">
        <f>Data!F1654</f>
        <v>0</v>
      </c>
      <c r="M1641">
        <f>Data!G1654</f>
        <v>0</v>
      </c>
      <c r="N1641">
        <f>Data!H1654</f>
        <v>0</v>
      </c>
      <c r="O1641">
        <f>Data!I1654</f>
        <v>0</v>
      </c>
      <c r="P1641" s="21">
        <f>Data!J1658</f>
        <v>0</v>
      </c>
      <c r="Q1641">
        <f>Data!K1658</f>
        <v>0</v>
      </c>
      <c r="R1641">
        <f>Data!L1658</f>
        <v>0</v>
      </c>
      <c r="S1641">
        <f>Data!M1658</f>
        <v>0</v>
      </c>
      <c r="T1641">
        <f>Data!N1658</f>
        <v>0</v>
      </c>
      <c r="U1641">
        <f>Data!O1658</f>
        <v>0</v>
      </c>
      <c r="V1641" s="33">
        <f>Data!P1656</f>
        <v>0</v>
      </c>
    </row>
    <row r="1642" spans="7:22" x14ac:dyDescent="0.25">
      <c r="G1642">
        <f>Data!A1655</f>
        <v>0</v>
      </c>
      <c r="H1642" s="21">
        <f>Data!B1655</f>
        <v>0</v>
      </c>
      <c r="I1642" s="21">
        <f>Data!C1655</f>
        <v>0</v>
      </c>
      <c r="J1642">
        <f>Data!D1655</f>
        <v>0</v>
      </c>
      <c r="K1642">
        <f>Data!E1655</f>
        <v>0</v>
      </c>
      <c r="L1642">
        <f>Data!F1655</f>
        <v>0</v>
      </c>
      <c r="M1642">
        <f>Data!G1655</f>
        <v>0</v>
      </c>
      <c r="N1642">
        <f>Data!H1655</f>
        <v>0</v>
      </c>
      <c r="O1642">
        <f>Data!I1655</f>
        <v>0</v>
      </c>
      <c r="P1642" s="21">
        <f>Data!J1659</f>
        <v>0</v>
      </c>
      <c r="Q1642">
        <f>Data!K1659</f>
        <v>0</v>
      </c>
      <c r="R1642">
        <f>Data!L1659</f>
        <v>0</v>
      </c>
      <c r="S1642">
        <f>Data!M1659</f>
        <v>0</v>
      </c>
      <c r="T1642">
        <f>Data!N1659</f>
        <v>0</v>
      </c>
      <c r="U1642">
        <f>Data!O1659</f>
        <v>0</v>
      </c>
      <c r="V1642" s="33">
        <f>Data!P1657</f>
        <v>0</v>
      </c>
    </row>
    <row r="1643" spans="7:22" x14ac:dyDescent="0.25">
      <c r="G1643">
        <f>Data!A1656</f>
        <v>0</v>
      </c>
      <c r="H1643" s="21">
        <f>Data!B1656</f>
        <v>0</v>
      </c>
      <c r="I1643" s="21">
        <f>Data!C1656</f>
        <v>0</v>
      </c>
      <c r="J1643">
        <f>Data!D1656</f>
        <v>0</v>
      </c>
      <c r="K1643">
        <f>Data!E1656</f>
        <v>0</v>
      </c>
      <c r="L1643">
        <f>Data!F1656</f>
        <v>0</v>
      </c>
      <c r="M1643">
        <f>Data!G1656</f>
        <v>0</v>
      </c>
      <c r="N1643">
        <f>Data!H1656</f>
        <v>0</v>
      </c>
      <c r="O1643">
        <f>Data!I1656</f>
        <v>0</v>
      </c>
      <c r="P1643" s="21">
        <f>Data!J1660</f>
        <v>0</v>
      </c>
      <c r="Q1643">
        <f>Data!K1660</f>
        <v>0</v>
      </c>
      <c r="R1643">
        <f>Data!L1660</f>
        <v>0</v>
      </c>
      <c r="S1643">
        <f>Data!M1660</f>
        <v>0</v>
      </c>
      <c r="T1643">
        <f>Data!N1660</f>
        <v>0</v>
      </c>
      <c r="U1643">
        <f>Data!O1660</f>
        <v>0</v>
      </c>
      <c r="V1643" s="33">
        <f>Data!P1658</f>
        <v>0</v>
      </c>
    </row>
    <row r="1644" spans="7:22" x14ac:dyDescent="0.25">
      <c r="G1644">
        <f>Data!A1657</f>
        <v>0</v>
      </c>
      <c r="H1644" s="21">
        <f>Data!B1657</f>
        <v>0</v>
      </c>
      <c r="I1644" s="21">
        <f>Data!C1657</f>
        <v>0</v>
      </c>
      <c r="J1644">
        <f>Data!D1657</f>
        <v>0</v>
      </c>
      <c r="K1644">
        <f>Data!E1657</f>
        <v>0</v>
      </c>
      <c r="L1644">
        <f>Data!F1657</f>
        <v>0</v>
      </c>
      <c r="M1644">
        <f>Data!G1657</f>
        <v>0</v>
      </c>
      <c r="N1644">
        <f>Data!H1657</f>
        <v>0</v>
      </c>
      <c r="O1644">
        <f>Data!I1657</f>
        <v>0</v>
      </c>
      <c r="P1644" s="21">
        <f>Data!J1661</f>
        <v>0</v>
      </c>
      <c r="Q1644">
        <f>Data!K1661</f>
        <v>0</v>
      </c>
      <c r="R1644">
        <f>Data!L1661</f>
        <v>0</v>
      </c>
      <c r="S1644">
        <f>Data!M1661</f>
        <v>0</v>
      </c>
      <c r="T1644">
        <f>Data!N1661</f>
        <v>0</v>
      </c>
      <c r="U1644">
        <f>Data!O1661</f>
        <v>0</v>
      </c>
      <c r="V1644" s="33">
        <f>Data!P1659</f>
        <v>0</v>
      </c>
    </row>
    <row r="1645" spans="7:22" x14ac:dyDescent="0.25">
      <c r="G1645">
        <f>Data!A1658</f>
        <v>0</v>
      </c>
      <c r="H1645" s="21">
        <f>Data!B1658</f>
        <v>0</v>
      </c>
      <c r="I1645" s="21">
        <f>Data!C1658</f>
        <v>0</v>
      </c>
      <c r="J1645">
        <f>Data!D1658</f>
        <v>0</v>
      </c>
      <c r="K1645">
        <f>Data!E1658</f>
        <v>0</v>
      </c>
      <c r="L1645">
        <f>Data!F1658</f>
        <v>0</v>
      </c>
      <c r="M1645">
        <f>Data!G1658</f>
        <v>0</v>
      </c>
      <c r="N1645">
        <f>Data!H1658</f>
        <v>0</v>
      </c>
      <c r="O1645">
        <f>Data!I1658</f>
        <v>0</v>
      </c>
      <c r="P1645" s="21">
        <f>Data!J1662</f>
        <v>0</v>
      </c>
      <c r="Q1645">
        <f>Data!K1662</f>
        <v>0</v>
      </c>
      <c r="R1645">
        <f>Data!L1662</f>
        <v>0</v>
      </c>
      <c r="S1645">
        <f>Data!M1662</f>
        <v>0</v>
      </c>
      <c r="T1645">
        <f>Data!N1662</f>
        <v>0</v>
      </c>
      <c r="U1645">
        <f>Data!O1662</f>
        <v>0</v>
      </c>
      <c r="V1645" s="33">
        <f>Data!P1660</f>
        <v>0</v>
      </c>
    </row>
    <row r="1646" spans="7:22" x14ac:dyDescent="0.25">
      <c r="G1646">
        <f>Data!A1659</f>
        <v>0</v>
      </c>
      <c r="H1646" s="21">
        <f>Data!B1659</f>
        <v>0</v>
      </c>
      <c r="I1646" s="21">
        <f>Data!C1659</f>
        <v>0</v>
      </c>
      <c r="J1646">
        <f>Data!D1659</f>
        <v>0</v>
      </c>
      <c r="K1646">
        <f>Data!E1659</f>
        <v>0</v>
      </c>
      <c r="L1646">
        <f>Data!F1659</f>
        <v>0</v>
      </c>
      <c r="M1646">
        <f>Data!G1659</f>
        <v>0</v>
      </c>
      <c r="N1646">
        <f>Data!H1659</f>
        <v>0</v>
      </c>
      <c r="O1646">
        <f>Data!I1659</f>
        <v>0</v>
      </c>
      <c r="P1646" s="21">
        <f>Data!J1663</f>
        <v>0</v>
      </c>
      <c r="Q1646">
        <f>Data!K1663</f>
        <v>0</v>
      </c>
      <c r="R1646">
        <f>Data!L1663</f>
        <v>0</v>
      </c>
      <c r="S1646">
        <f>Data!M1663</f>
        <v>0</v>
      </c>
      <c r="T1646">
        <f>Data!N1663</f>
        <v>0</v>
      </c>
      <c r="U1646">
        <f>Data!O1663</f>
        <v>0</v>
      </c>
      <c r="V1646" s="33">
        <f>Data!P1661</f>
        <v>0</v>
      </c>
    </row>
    <row r="1647" spans="7:22" x14ac:dyDescent="0.25">
      <c r="G1647">
        <f>Data!A1660</f>
        <v>0</v>
      </c>
      <c r="H1647" s="21">
        <f>Data!B1660</f>
        <v>0</v>
      </c>
      <c r="I1647" s="21">
        <f>Data!C1660</f>
        <v>0</v>
      </c>
      <c r="J1647">
        <f>Data!D1660</f>
        <v>0</v>
      </c>
      <c r="K1647">
        <f>Data!E1660</f>
        <v>0</v>
      </c>
      <c r="L1647">
        <f>Data!F1660</f>
        <v>0</v>
      </c>
      <c r="M1647">
        <f>Data!G1660</f>
        <v>0</v>
      </c>
      <c r="N1647">
        <f>Data!H1660</f>
        <v>0</v>
      </c>
      <c r="O1647">
        <f>Data!I1660</f>
        <v>0</v>
      </c>
      <c r="P1647" s="21">
        <f>Data!J1664</f>
        <v>0</v>
      </c>
      <c r="Q1647">
        <f>Data!K1664</f>
        <v>0</v>
      </c>
      <c r="R1647">
        <f>Data!L1664</f>
        <v>0</v>
      </c>
      <c r="S1647">
        <f>Data!M1664</f>
        <v>0</v>
      </c>
      <c r="T1647">
        <f>Data!N1664</f>
        <v>0</v>
      </c>
      <c r="U1647">
        <f>Data!O1664</f>
        <v>0</v>
      </c>
      <c r="V1647" s="33">
        <f>Data!P1662</f>
        <v>0</v>
      </c>
    </row>
    <row r="1648" spans="7:22" x14ac:dyDescent="0.25">
      <c r="G1648">
        <f>Data!A1661</f>
        <v>0</v>
      </c>
      <c r="H1648" s="21">
        <f>Data!B1661</f>
        <v>0</v>
      </c>
      <c r="I1648" s="21">
        <f>Data!C1661</f>
        <v>0</v>
      </c>
      <c r="J1648">
        <f>Data!D1661</f>
        <v>0</v>
      </c>
      <c r="K1648">
        <f>Data!E1661</f>
        <v>0</v>
      </c>
      <c r="L1648">
        <f>Data!F1661</f>
        <v>0</v>
      </c>
      <c r="M1648">
        <f>Data!G1661</f>
        <v>0</v>
      </c>
      <c r="N1648">
        <f>Data!H1661</f>
        <v>0</v>
      </c>
      <c r="O1648">
        <f>Data!I1661</f>
        <v>0</v>
      </c>
      <c r="P1648" s="21">
        <f>Data!J1665</f>
        <v>0</v>
      </c>
      <c r="Q1648">
        <f>Data!K1665</f>
        <v>0</v>
      </c>
      <c r="R1648">
        <f>Data!L1665</f>
        <v>0</v>
      </c>
      <c r="S1648">
        <f>Data!M1665</f>
        <v>0</v>
      </c>
      <c r="T1648">
        <f>Data!N1665</f>
        <v>0</v>
      </c>
      <c r="U1648">
        <f>Data!O1665</f>
        <v>0</v>
      </c>
      <c r="V1648" s="33">
        <f>Data!P1663</f>
        <v>0</v>
      </c>
    </row>
    <row r="1649" spans="7:22" x14ac:dyDescent="0.25">
      <c r="G1649">
        <f>Data!A1662</f>
        <v>0</v>
      </c>
      <c r="H1649" s="21">
        <f>Data!B1662</f>
        <v>0</v>
      </c>
      <c r="I1649" s="21">
        <f>Data!C1662</f>
        <v>0</v>
      </c>
      <c r="J1649">
        <f>Data!D1662</f>
        <v>0</v>
      </c>
      <c r="K1649">
        <f>Data!E1662</f>
        <v>0</v>
      </c>
      <c r="L1649">
        <f>Data!F1662</f>
        <v>0</v>
      </c>
      <c r="M1649">
        <f>Data!G1662</f>
        <v>0</v>
      </c>
      <c r="N1649">
        <f>Data!H1662</f>
        <v>0</v>
      </c>
      <c r="O1649">
        <f>Data!I1662</f>
        <v>0</v>
      </c>
      <c r="P1649" s="21">
        <f>Data!J1666</f>
        <v>0</v>
      </c>
      <c r="Q1649">
        <f>Data!K1666</f>
        <v>0</v>
      </c>
      <c r="R1649">
        <f>Data!L1666</f>
        <v>0</v>
      </c>
      <c r="S1649">
        <f>Data!M1666</f>
        <v>0</v>
      </c>
      <c r="T1649">
        <f>Data!N1666</f>
        <v>0</v>
      </c>
      <c r="U1649">
        <f>Data!O1666</f>
        <v>0</v>
      </c>
      <c r="V1649" s="33">
        <f>Data!P1664</f>
        <v>0</v>
      </c>
    </row>
    <row r="1650" spans="7:22" x14ac:dyDescent="0.25">
      <c r="G1650">
        <f>Data!A1663</f>
        <v>0</v>
      </c>
      <c r="H1650" s="21">
        <f>Data!B1663</f>
        <v>0</v>
      </c>
      <c r="I1650" s="21">
        <f>Data!C1663</f>
        <v>0</v>
      </c>
      <c r="J1650">
        <f>Data!D1663</f>
        <v>0</v>
      </c>
      <c r="K1650">
        <f>Data!E1663</f>
        <v>0</v>
      </c>
      <c r="L1650">
        <f>Data!F1663</f>
        <v>0</v>
      </c>
      <c r="M1650">
        <f>Data!G1663</f>
        <v>0</v>
      </c>
      <c r="N1650">
        <f>Data!H1663</f>
        <v>0</v>
      </c>
      <c r="O1650">
        <f>Data!I1663</f>
        <v>0</v>
      </c>
      <c r="P1650" s="21">
        <f>Data!J1667</f>
        <v>0</v>
      </c>
      <c r="Q1650">
        <f>Data!K1667</f>
        <v>0</v>
      </c>
      <c r="R1650">
        <f>Data!L1667</f>
        <v>0</v>
      </c>
      <c r="S1650">
        <f>Data!M1667</f>
        <v>0</v>
      </c>
      <c r="T1650">
        <f>Data!N1667</f>
        <v>0</v>
      </c>
      <c r="U1650">
        <f>Data!O1667</f>
        <v>0</v>
      </c>
      <c r="V1650" s="33">
        <f>Data!P1665</f>
        <v>0</v>
      </c>
    </row>
    <row r="1651" spans="7:22" x14ac:dyDescent="0.25">
      <c r="G1651">
        <f>Data!A1664</f>
        <v>0</v>
      </c>
      <c r="H1651" s="21">
        <f>Data!B1664</f>
        <v>0</v>
      </c>
      <c r="I1651" s="21">
        <f>Data!C1664</f>
        <v>0</v>
      </c>
      <c r="J1651">
        <f>Data!D1664</f>
        <v>0</v>
      </c>
      <c r="K1651">
        <f>Data!E1664</f>
        <v>0</v>
      </c>
      <c r="L1651">
        <f>Data!F1664</f>
        <v>0</v>
      </c>
      <c r="M1651">
        <f>Data!G1664</f>
        <v>0</v>
      </c>
      <c r="N1651">
        <f>Data!H1664</f>
        <v>0</v>
      </c>
      <c r="O1651">
        <f>Data!I1664</f>
        <v>0</v>
      </c>
      <c r="P1651" s="21">
        <f>Data!J1668</f>
        <v>0</v>
      </c>
      <c r="Q1651">
        <f>Data!K1668</f>
        <v>0</v>
      </c>
      <c r="R1651">
        <f>Data!L1668</f>
        <v>0</v>
      </c>
      <c r="S1651">
        <f>Data!M1668</f>
        <v>0</v>
      </c>
      <c r="T1651">
        <f>Data!N1668</f>
        <v>0</v>
      </c>
      <c r="U1651">
        <f>Data!O1668</f>
        <v>0</v>
      </c>
      <c r="V1651" s="33">
        <f>Data!P1666</f>
        <v>0</v>
      </c>
    </row>
    <row r="1652" spans="7:22" x14ac:dyDescent="0.25">
      <c r="G1652">
        <f>Data!A1665</f>
        <v>0</v>
      </c>
      <c r="H1652" s="21">
        <f>Data!B1665</f>
        <v>0</v>
      </c>
      <c r="I1652" s="21">
        <f>Data!C1665</f>
        <v>0</v>
      </c>
      <c r="J1652">
        <f>Data!D1665</f>
        <v>0</v>
      </c>
      <c r="K1652">
        <f>Data!E1665</f>
        <v>0</v>
      </c>
      <c r="L1652">
        <f>Data!F1665</f>
        <v>0</v>
      </c>
      <c r="M1652">
        <f>Data!G1665</f>
        <v>0</v>
      </c>
      <c r="N1652">
        <f>Data!H1665</f>
        <v>0</v>
      </c>
      <c r="O1652">
        <f>Data!I1665</f>
        <v>0</v>
      </c>
      <c r="P1652" s="21">
        <f>Data!J1669</f>
        <v>0</v>
      </c>
      <c r="Q1652">
        <f>Data!K1669</f>
        <v>0</v>
      </c>
      <c r="R1652">
        <f>Data!L1669</f>
        <v>0</v>
      </c>
      <c r="S1652">
        <f>Data!M1669</f>
        <v>0</v>
      </c>
      <c r="T1652">
        <f>Data!N1669</f>
        <v>0</v>
      </c>
      <c r="U1652">
        <f>Data!O1669</f>
        <v>0</v>
      </c>
      <c r="V1652" s="33">
        <f>Data!P1667</f>
        <v>0</v>
      </c>
    </row>
    <row r="1653" spans="7:22" x14ac:dyDescent="0.25">
      <c r="G1653">
        <f>Data!A1666</f>
        <v>0</v>
      </c>
      <c r="H1653" s="21">
        <f>Data!B1666</f>
        <v>0</v>
      </c>
      <c r="I1653" s="21">
        <f>Data!C1666</f>
        <v>0</v>
      </c>
      <c r="J1653">
        <f>Data!D1666</f>
        <v>0</v>
      </c>
      <c r="K1653">
        <f>Data!E1666</f>
        <v>0</v>
      </c>
      <c r="L1653">
        <f>Data!F1666</f>
        <v>0</v>
      </c>
      <c r="M1653">
        <f>Data!G1666</f>
        <v>0</v>
      </c>
      <c r="N1653">
        <f>Data!H1666</f>
        <v>0</v>
      </c>
      <c r="O1653">
        <f>Data!I1666</f>
        <v>0</v>
      </c>
      <c r="P1653" s="21">
        <f>Data!J1670</f>
        <v>0</v>
      </c>
      <c r="Q1653">
        <f>Data!K1670</f>
        <v>0</v>
      </c>
      <c r="R1653">
        <f>Data!L1670</f>
        <v>0</v>
      </c>
      <c r="S1653">
        <f>Data!M1670</f>
        <v>0</v>
      </c>
      <c r="T1653">
        <f>Data!N1670</f>
        <v>0</v>
      </c>
      <c r="U1653">
        <f>Data!O1670</f>
        <v>0</v>
      </c>
      <c r="V1653" s="33">
        <f>Data!P1668</f>
        <v>0</v>
      </c>
    </row>
    <row r="1654" spans="7:22" x14ac:dyDescent="0.25">
      <c r="G1654">
        <f>Data!A1667</f>
        <v>0</v>
      </c>
      <c r="H1654" s="21">
        <f>Data!B1667</f>
        <v>0</v>
      </c>
      <c r="I1654" s="21">
        <f>Data!C1667</f>
        <v>0</v>
      </c>
      <c r="J1654">
        <f>Data!D1667</f>
        <v>0</v>
      </c>
      <c r="K1654">
        <f>Data!E1667</f>
        <v>0</v>
      </c>
      <c r="L1654">
        <f>Data!F1667</f>
        <v>0</v>
      </c>
      <c r="M1654">
        <f>Data!G1667</f>
        <v>0</v>
      </c>
      <c r="N1654">
        <f>Data!H1667</f>
        <v>0</v>
      </c>
      <c r="O1654">
        <f>Data!I1667</f>
        <v>0</v>
      </c>
      <c r="P1654" s="21">
        <f>Data!J1671</f>
        <v>0</v>
      </c>
      <c r="Q1654">
        <f>Data!K1671</f>
        <v>0</v>
      </c>
      <c r="R1654">
        <f>Data!L1671</f>
        <v>0</v>
      </c>
      <c r="S1654">
        <f>Data!M1671</f>
        <v>0</v>
      </c>
      <c r="T1654">
        <f>Data!N1671</f>
        <v>0</v>
      </c>
      <c r="U1654">
        <f>Data!O1671</f>
        <v>0</v>
      </c>
      <c r="V1654" s="33">
        <f>Data!P1669</f>
        <v>0</v>
      </c>
    </row>
    <row r="1655" spans="7:22" x14ac:dyDescent="0.25">
      <c r="G1655">
        <f>Data!A1668</f>
        <v>0</v>
      </c>
      <c r="H1655" s="21">
        <f>Data!B1668</f>
        <v>0</v>
      </c>
      <c r="I1655" s="21">
        <f>Data!C1668</f>
        <v>0</v>
      </c>
      <c r="J1655">
        <f>Data!D1668</f>
        <v>0</v>
      </c>
      <c r="K1655">
        <f>Data!E1668</f>
        <v>0</v>
      </c>
      <c r="L1655">
        <f>Data!F1668</f>
        <v>0</v>
      </c>
      <c r="M1655">
        <f>Data!G1668</f>
        <v>0</v>
      </c>
      <c r="N1655">
        <f>Data!H1668</f>
        <v>0</v>
      </c>
      <c r="O1655">
        <f>Data!I1668</f>
        <v>0</v>
      </c>
      <c r="P1655" s="21">
        <f>Data!J1672</f>
        <v>0</v>
      </c>
      <c r="Q1655">
        <f>Data!K1672</f>
        <v>0</v>
      </c>
      <c r="R1655">
        <f>Data!L1672</f>
        <v>0</v>
      </c>
      <c r="S1655">
        <f>Data!M1672</f>
        <v>0</v>
      </c>
      <c r="T1655">
        <f>Data!N1672</f>
        <v>0</v>
      </c>
      <c r="U1655">
        <f>Data!O1672</f>
        <v>0</v>
      </c>
      <c r="V1655" s="33">
        <f>Data!P1670</f>
        <v>0</v>
      </c>
    </row>
    <row r="1656" spans="7:22" x14ac:dyDescent="0.25">
      <c r="G1656">
        <f>Data!A1669</f>
        <v>0</v>
      </c>
      <c r="H1656" s="21">
        <f>Data!B1669</f>
        <v>0</v>
      </c>
      <c r="I1656" s="21">
        <f>Data!C1669</f>
        <v>0</v>
      </c>
      <c r="J1656">
        <f>Data!D1669</f>
        <v>0</v>
      </c>
      <c r="K1656">
        <f>Data!E1669</f>
        <v>0</v>
      </c>
      <c r="L1656">
        <f>Data!F1669</f>
        <v>0</v>
      </c>
      <c r="M1656">
        <f>Data!G1669</f>
        <v>0</v>
      </c>
      <c r="N1656">
        <f>Data!H1669</f>
        <v>0</v>
      </c>
      <c r="O1656">
        <f>Data!I1669</f>
        <v>0</v>
      </c>
      <c r="P1656" s="21">
        <f>Data!J1673</f>
        <v>0</v>
      </c>
      <c r="Q1656">
        <f>Data!K1673</f>
        <v>0</v>
      </c>
      <c r="R1656">
        <f>Data!L1673</f>
        <v>0</v>
      </c>
      <c r="S1656">
        <f>Data!M1673</f>
        <v>0</v>
      </c>
      <c r="T1656">
        <f>Data!N1673</f>
        <v>0</v>
      </c>
      <c r="U1656">
        <f>Data!O1673</f>
        <v>0</v>
      </c>
      <c r="V1656" s="33">
        <f>Data!P1671</f>
        <v>0</v>
      </c>
    </row>
    <row r="1657" spans="7:22" x14ac:dyDescent="0.25">
      <c r="G1657">
        <f>Data!A1670</f>
        <v>0</v>
      </c>
      <c r="H1657" s="21">
        <f>Data!B1670</f>
        <v>0</v>
      </c>
      <c r="I1657" s="21">
        <f>Data!C1670</f>
        <v>0</v>
      </c>
      <c r="J1657">
        <f>Data!D1670</f>
        <v>0</v>
      </c>
      <c r="K1657">
        <f>Data!E1670</f>
        <v>0</v>
      </c>
      <c r="L1657">
        <f>Data!F1670</f>
        <v>0</v>
      </c>
      <c r="M1657">
        <f>Data!G1670</f>
        <v>0</v>
      </c>
      <c r="N1657">
        <f>Data!H1670</f>
        <v>0</v>
      </c>
      <c r="O1657">
        <f>Data!I1670</f>
        <v>0</v>
      </c>
      <c r="P1657" s="21">
        <f>Data!J1674</f>
        <v>0</v>
      </c>
      <c r="Q1657">
        <f>Data!K1674</f>
        <v>0</v>
      </c>
      <c r="R1657">
        <f>Data!L1674</f>
        <v>0</v>
      </c>
      <c r="S1657">
        <f>Data!M1674</f>
        <v>0</v>
      </c>
      <c r="T1657">
        <f>Data!N1674</f>
        <v>0</v>
      </c>
      <c r="U1657">
        <f>Data!O1674</f>
        <v>0</v>
      </c>
      <c r="V1657" s="33">
        <f>Data!P1672</f>
        <v>0</v>
      </c>
    </row>
    <row r="1658" spans="7:22" x14ac:dyDescent="0.25">
      <c r="G1658">
        <f>Data!A1671</f>
        <v>0</v>
      </c>
      <c r="H1658" s="21">
        <f>Data!B1671</f>
        <v>0</v>
      </c>
      <c r="I1658" s="21">
        <f>Data!C1671</f>
        <v>0</v>
      </c>
      <c r="J1658">
        <f>Data!D1671</f>
        <v>0</v>
      </c>
      <c r="K1658">
        <f>Data!E1671</f>
        <v>0</v>
      </c>
      <c r="L1658">
        <f>Data!F1671</f>
        <v>0</v>
      </c>
      <c r="M1658">
        <f>Data!G1671</f>
        <v>0</v>
      </c>
      <c r="N1658">
        <f>Data!H1671</f>
        <v>0</v>
      </c>
      <c r="O1658">
        <f>Data!I1671</f>
        <v>0</v>
      </c>
      <c r="P1658" s="21">
        <f>Data!J1675</f>
        <v>0</v>
      </c>
      <c r="Q1658">
        <f>Data!K1675</f>
        <v>0</v>
      </c>
      <c r="R1658">
        <f>Data!L1675</f>
        <v>0</v>
      </c>
      <c r="S1658">
        <f>Data!M1675</f>
        <v>0</v>
      </c>
      <c r="T1658">
        <f>Data!N1675</f>
        <v>0</v>
      </c>
      <c r="U1658">
        <f>Data!O1675</f>
        <v>0</v>
      </c>
      <c r="V1658" s="33">
        <f>Data!P1673</f>
        <v>0</v>
      </c>
    </row>
    <row r="1659" spans="7:22" x14ac:dyDescent="0.25">
      <c r="G1659">
        <f>Data!A1672</f>
        <v>0</v>
      </c>
      <c r="H1659" s="21">
        <f>Data!B1672</f>
        <v>0</v>
      </c>
      <c r="I1659" s="21">
        <f>Data!C1672</f>
        <v>0</v>
      </c>
      <c r="J1659">
        <f>Data!D1672</f>
        <v>0</v>
      </c>
      <c r="K1659">
        <f>Data!E1672</f>
        <v>0</v>
      </c>
      <c r="L1659">
        <f>Data!F1672</f>
        <v>0</v>
      </c>
      <c r="M1659">
        <f>Data!G1672</f>
        <v>0</v>
      </c>
      <c r="N1659">
        <f>Data!H1672</f>
        <v>0</v>
      </c>
      <c r="O1659">
        <f>Data!I1672</f>
        <v>0</v>
      </c>
      <c r="P1659" s="21">
        <f>Data!J1676</f>
        <v>0</v>
      </c>
      <c r="Q1659">
        <f>Data!K1676</f>
        <v>0</v>
      </c>
      <c r="R1659">
        <f>Data!L1676</f>
        <v>0</v>
      </c>
      <c r="S1659">
        <f>Data!M1676</f>
        <v>0</v>
      </c>
      <c r="T1659">
        <f>Data!N1676</f>
        <v>0</v>
      </c>
      <c r="U1659">
        <f>Data!O1676</f>
        <v>0</v>
      </c>
      <c r="V1659" s="33">
        <f>Data!P1674</f>
        <v>0</v>
      </c>
    </row>
    <row r="1660" spans="7:22" x14ac:dyDescent="0.25">
      <c r="G1660">
        <f>Data!A1673</f>
        <v>0</v>
      </c>
      <c r="H1660" s="21">
        <f>Data!B1673</f>
        <v>0</v>
      </c>
      <c r="I1660" s="21">
        <f>Data!C1673</f>
        <v>0</v>
      </c>
      <c r="J1660">
        <f>Data!D1673</f>
        <v>0</v>
      </c>
      <c r="K1660">
        <f>Data!E1673</f>
        <v>0</v>
      </c>
      <c r="L1660">
        <f>Data!F1673</f>
        <v>0</v>
      </c>
      <c r="M1660">
        <f>Data!G1673</f>
        <v>0</v>
      </c>
      <c r="N1660">
        <f>Data!H1673</f>
        <v>0</v>
      </c>
      <c r="O1660">
        <f>Data!I1673</f>
        <v>0</v>
      </c>
      <c r="P1660" s="21">
        <f>Data!J1677</f>
        <v>0</v>
      </c>
      <c r="Q1660">
        <f>Data!K1677</f>
        <v>0</v>
      </c>
      <c r="R1660">
        <f>Data!L1677</f>
        <v>0</v>
      </c>
      <c r="S1660">
        <f>Data!M1677</f>
        <v>0</v>
      </c>
      <c r="T1660">
        <f>Data!N1677</f>
        <v>0</v>
      </c>
      <c r="U1660">
        <f>Data!O1677</f>
        <v>0</v>
      </c>
      <c r="V1660" s="33">
        <f>Data!P1675</f>
        <v>0</v>
      </c>
    </row>
    <row r="1661" spans="7:22" x14ac:dyDescent="0.25">
      <c r="G1661">
        <f>Data!A1674</f>
        <v>0</v>
      </c>
      <c r="H1661" s="21">
        <f>Data!B1674</f>
        <v>0</v>
      </c>
      <c r="I1661" s="21">
        <f>Data!C1674</f>
        <v>0</v>
      </c>
      <c r="J1661">
        <f>Data!D1674</f>
        <v>0</v>
      </c>
      <c r="K1661">
        <f>Data!E1674</f>
        <v>0</v>
      </c>
      <c r="L1661">
        <f>Data!F1674</f>
        <v>0</v>
      </c>
      <c r="M1661">
        <f>Data!G1674</f>
        <v>0</v>
      </c>
      <c r="N1661">
        <f>Data!H1674</f>
        <v>0</v>
      </c>
      <c r="O1661">
        <f>Data!I1674</f>
        <v>0</v>
      </c>
      <c r="P1661" s="21">
        <f>Data!J1678</f>
        <v>0</v>
      </c>
      <c r="Q1661">
        <f>Data!K1678</f>
        <v>0</v>
      </c>
      <c r="R1661">
        <f>Data!L1678</f>
        <v>0</v>
      </c>
      <c r="S1661">
        <f>Data!M1678</f>
        <v>0</v>
      </c>
      <c r="T1661">
        <f>Data!N1678</f>
        <v>0</v>
      </c>
      <c r="U1661">
        <f>Data!O1678</f>
        <v>0</v>
      </c>
      <c r="V1661" s="33">
        <f>Data!P1676</f>
        <v>0</v>
      </c>
    </row>
    <row r="1662" spans="7:22" x14ac:dyDescent="0.25">
      <c r="G1662">
        <f>Data!A1675</f>
        <v>0</v>
      </c>
      <c r="H1662" s="21">
        <f>Data!B1675</f>
        <v>0</v>
      </c>
      <c r="I1662" s="21">
        <f>Data!C1675</f>
        <v>0</v>
      </c>
      <c r="J1662">
        <f>Data!D1675</f>
        <v>0</v>
      </c>
      <c r="K1662">
        <f>Data!E1675</f>
        <v>0</v>
      </c>
      <c r="L1662">
        <f>Data!F1675</f>
        <v>0</v>
      </c>
      <c r="M1662">
        <f>Data!G1675</f>
        <v>0</v>
      </c>
      <c r="N1662">
        <f>Data!H1675</f>
        <v>0</v>
      </c>
      <c r="O1662">
        <f>Data!I1675</f>
        <v>0</v>
      </c>
      <c r="P1662" s="21">
        <f>Data!J1679</f>
        <v>0</v>
      </c>
      <c r="Q1662">
        <f>Data!K1679</f>
        <v>0</v>
      </c>
      <c r="R1662">
        <f>Data!L1679</f>
        <v>0</v>
      </c>
      <c r="S1662">
        <f>Data!M1679</f>
        <v>0</v>
      </c>
      <c r="T1662">
        <f>Data!N1679</f>
        <v>0</v>
      </c>
      <c r="U1662">
        <f>Data!O1679</f>
        <v>0</v>
      </c>
      <c r="V1662" s="33">
        <f>Data!P1677</f>
        <v>0</v>
      </c>
    </row>
    <row r="1663" spans="7:22" x14ac:dyDescent="0.25">
      <c r="G1663">
        <f>Data!A1676</f>
        <v>0</v>
      </c>
      <c r="H1663" s="21">
        <f>Data!B1676</f>
        <v>0</v>
      </c>
      <c r="I1663" s="21">
        <f>Data!C1676</f>
        <v>0</v>
      </c>
      <c r="J1663">
        <f>Data!D1676</f>
        <v>0</v>
      </c>
      <c r="K1663">
        <f>Data!E1676</f>
        <v>0</v>
      </c>
      <c r="L1663">
        <f>Data!F1676</f>
        <v>0</v>
      </c>
      <c r="M1663">
        <f>Data!G1676</f>
        <v>0</v>
      </c>
      <c r="N1663">
        <f>Data!H1676</f>
        <v>0</v>
      </c>
      <c r="O1663">
        <f>Data!I1676</f>
        <v>0</v>
      </c>
      <c r="P1663" s="21">
        <f>Data!J1680</f>
        <v>0</v>
      </c>
      <c r="Q1663">
        <f>Data!K1680</f>
        <v>0</v>
      </c>
      <c r="R1663">
        <f>Data!L1680</f>
        <v>0</v>
      </c>
      <c r="S1663">
        <f>Data!M1680</f>
        <v>0</v>
      </c>
      <c r="T1663">
        <f>Data!N1680</f>
        <v>0</v>
      </c>
      <c r="U1663">
        <f>Data!O1680</f>
        <v>0</v>
      </c>
      <c r="V1663" s="33">
        <f>Data!P1678</f>
        <v>0</v>
      </c>
    </row>
    <row r="1664" spans="7:22" x14ac:dyDescent="0.25">
      <c r="G1664">
        <f>Data!A1677</f>
        <v>0</v>
      </c>
      <c r="H1664" s="21">
        <f>Data!B1677</f>
        <v>0</v>
      </c>
      <c r="I1664" s="21">
        <f>Data!C1677</f>
        <v>0</v>
      </c>
      <c r="J1664">
        <f>Data!D1677</f>
        <v>0</v>
      </c>
      <c r="K1664">
        <f>Data!E1677</f>
        <v>0</v>
      </c>
      <c r="L1664">
        <f>Data!F1677</f>
        <v>0</v>
      </c>
      <c r="M1664">
        <f>Data!G1677</f>
        <v>0</v>
      </c>
      <c r="N1664">
        <f>Data!H1677</f>
        <v>0</v>
      </c>
      <c r="O1664">
        <f>Data!I1677</f>
        <v>0</v>
      </c>
      <c r="P1664" s="21">
        <f>Data!J1681</f>
        <v>0</v>
      </c>
      <c r="Q1664">
        <f>Data!K1681</f>
        <v>0</v>
      </c>
      <c r="R1664">
        <f>Data!L1681</f>
        <v>0</v>
      </c>
      <c r="S1664">
        <f>Data!M1681</f>
        <v>0</v>
      </c>
      <c r="T1664">
        <f>Data!N1681</f>
        <v>0</v>
      </c>
      <c r="U1664">
        <f>Data!O1681</f>
        <v>0</v>
      </c>
      <c r="V1664" s="33">
        <f>Data!P1679</f>
        <v>0</v>
      </c>
    </row>
    <row r="1665" spans="7:22" x14ac:dyDescent="0.25">
      <c r="G1665">
        <f>Data!A1678</f>
        <v>0</v>
      </c>
      <c r="H1665" s="21">
        <f>Data!B1678</f>
        <v>0</v>
      </c>
      <c r="I1665" s="21">
        <f>Data!C1678</f>
        <v>0</v>
      </c>
      <c r="J1665">
        <f>Data!D1678</f>
        <v>0</v>
      </c>
      <c r="K1665">
        <f>Data!E1678</f>
        <v>0</v>
      </c>
      <c r="L1665">
        <f>Data!F1678</f>
        <v>0</v>
      </c>
      <c r="M1665">
        <f>Data!G1678</f>
        <v>0</v>
      </c>
      <c r="N1665">
        <f>Data!H1678</f>
        <v>0</v>
      </c>
      <c r="O1665">
        <f>Data!I1678</f>
        <v>0</v>
      </c>
      <c r="P1665" s="21">
        <f>Data!J1682</f>
        <v>0</v>
      </c>
      <c r="Q1665">
        <f>Data!K1682</f>
        <v>0</v>
      </c>
      <c r="R1665">
        <f>Data!L1682</f>
        <v>0</v>
      </c>
      <c r="S1665">
        <f>Data!M1682</f>
        <v>0</v>
      </c>
      <c r="T1665">
        <f>Data!N1682</f>
        <v>0</v>
      </c>
      <c r="U1665">
        <f>Data!O1682</f>
        <v>0</v>
      </c>
      <c r="V1665" s="33">
        <f>Data!P1680</f>
        <v>0</v>
      </c>
    </row>
    <row r="1666" spans="7:22" x14ac:dyDescent="0.25">
      <c r="G1666">
        <f>Data!A1679</f>
        <v>0</v>
      </c>
      <c r="H1666" s="21">
        <f>Data!B1679</f>
        <v>0</v>
      </c>
      <c r="I1666" s="21">
        <f>Data!C1679</f>
        <v>0</v>
      </c>
      <c r="J1666">
        <f>Data!D1679</f>
        <v>0</v>
      </c>
      <c r="K1666">
        <f>Data!E1679</f>
        <v>0</v>
      </c>
      <c r="L1666">
        <f>Data!F1679</f>
        <v>0</v>
      </c>
      <c r="M1666">
        <f>Data!G1679</f>
        <v>0</v>
      </c>
      <c r="N1666">
        <f>Data!H1679</f>
        <v>0</v>
      </c>
      <c r="O1666">
        <f>Data!I1679</f>
        <v>0</v>
      </c>
      <c r="P1666" s="21">
        <f>Data!J1683</f>
        <v>0</v>
      </c>
      <c r="Q1666">
        <f>Data!K1683</f>
        <v>0</v>
      </c>
      <c r="R1666">
        <f>Data!L1683</f>
        <v>0</v>
      </c>
      <c r="S1666">
        <f>Data!M1683</f>
        <v>0</v>
      </c>
      <c r="T1666">
        <f>Data!N1683</f>
        <v>0</v>
      </c>
      <c r="U1666">
        <f>Data!O1683</f>
        <v>0</v>
      </c>
      <c r="V1666" s="33">
        <f>Data!P1681</f>
        <v>0</v>
      </c>
    </row>
    <row r="1667" spans="7:22" x14ac:dyDescent="0.25">
      <c r="G1667">
        <f>Data!A1680</f>
        <v>0</v>
      </c>
      <c r="H1667" s="21">
        <f>Data!B1680</f>
        <v>0</v>
      </c>
      <c r="I1667" s="21">
        <f>Data!C1680</f>
        <v>0</v>
      </c>
      <c r="J1667">
        <f>Data!D1680</f>
        <v>0</v>
      </c>
      <c r="K1667">
        <f>Data!E1680</f>
        <v>0</v>
      </c>
      <c r="L1667">
        <f>Data!F1680</f>
        <v>0</v>
      </c>
      <c r="M1667">
        <f>Data!G1680</f>
        <v>0</v>
      </c>
      <c r="N1667">
        <f>Data!H1680</f>
        <v>0</v>
      </c>
      <c r="O1667">
        <f>Data!I1680</f>
        <v>0</v>
      </c>
      <c r="P1667" s="21">
        <f>Data!J1684</f>
        <v>0</v>
      </c>
      <c r="Q1667">
        <f>Data!K1684</f>
        <v>0</v>
      </c>
      <c r="R1667">
        <f>Data!L1684</f>
        <v>0</v>
      </c>
      <c r="S1667">
        <f>Data!M1684</f>
        <v>0</v>
      </c>
      <c r="T1667">
        <f>Data!N1684</f>
        <v>0</v>
      </c>
      <c r="U1667">
        <f>Data!O1684</f>
        <v>0</v>
      </c>
      <c r="V1667" s="33">
        <f>Data!P1682</f>
        <v>0</v>
      </c>
    </row>
    <row r="1668" spans="7:22" x14ac:dyDescent="0.25">
      <c r="G1668">
        <f>Data!A1681</f>
        <v>0</v>
      </c>
      <c r="H1668" s="21">
        <f>Data!B1681</f>
        <v>0</v>
      </c>
      <c r="I1668" s="21">
        <f>Data!C1681</f>
        <v>0</v>
      </c>
      <c r="J1668">
        <f>Data!D1681</f>
        <v>0</v>
      </c>
      <c r="K1668">
        <f>Data!E1681</f>
        <v>0</v>
      </c>
      <c r="L1668">
        <f>Data!F1681</f>
        <v>0</v>
      </c>
      <c r="M1668">
        <f>Data!G1681</f>
        <v>0</v>
      </c>
      <c r="N1668">
        <f>Data!H1681</f>
        <v>0</v>
      </c>
      <c r="O1668">
        <f>Data!I1681</f>
        <v>0</v>
      </c>
      <c r="P1668" s="21">
        <f>Data!J1685</f>
        <v>0</v>
      </c>
      <c r="Q1668">
        <f>Data!K1685</f>
        <v>0</v>
      </c>
      <c r="R1668">
        <f>Data!L1685</f>
        <v>0</v>
      </c>
      <c r="S1668">
        <f>Data!M1685</f>
        <v>0</v>
      </c>
      <c r="T1668">
        <f>Data!N1685</f>
        <v>0</v>
      </c>
      <c r="U1668">
        <f>Data!O1685</f>
        <v>0</v>
      </c>
      <c r="V1668" s="33">
        <f>Data!P1683</f>
        <v>0</v>
      </c>
    </row>
    <row r="1669" spans="7:22" x14ac:dyDescent="0.25">
      <c r="G1669">
        <f>Data!A1682</f>
        <v>0</v>
      </c>
      <c r="H1669" s="21">
        <f>Data!B1682</f>
        <v>0</v>
      </c>
      <c r="I1669" s="21">
        <f>Data!C1682</f>
        <v>0</v>
      </c>
      <c r="J1669">
        <f>Data!D1682</f>
        <v>0</v>
      </c>
      <c r="K1669">
        <f>Data!E1682</f>
        <v>0</v>
      </c>
      <c r="L1669">
        <f>Data!F1682</f>
        <v>0</v>
      </c>
      <c r="M1669">
        <f>Data!G1682</f>
        <v>0</v>
      </c>
      <c r="N1669">
        <f>Data!H1682</f>
        <v>0</v>
      </c>
      <c r="O1669">
        <f>Data!I1682</f>
        <v>0</v>
      </c>
      <c r="P1669" s="21">
        <f>Data!J1686</f>
        <v>0</v>
      </c>
      <c r="Q1669">
        <f>Data!K1686</f>
        <v>0</v>
      </c>
      <c r="R1669">
        <f>Data!L1686</f>
        <v>0</v>
      </c>
      <c r="S1669">
        <f>Data!M1686</f>
        <v>0</v>
      </c>
      <c r="T1669">
        <f>Data!N1686</f>
        <v>0</v>
      </c>
      <c r="U1669">
        <f>Data!O1686</f>
        <v>0</v>
      </c>
      <c r="V1669" s="33">
        <f>Data!P1684</f>
        <v>0</v>
      </c>
    </row>
    <row r="1670" spans="7:22" x14ac:dyDescent="0.25">
      <c r="G1670">
        <f>Data!A1683</f>
        <v>0</v>
      </c>
      <c r="H1670" s="21">
        <f>Data!B1683</f>
        <v>0</v>
      </c>
      <c r="I1670" s="21">
        <f>Data!C1683</f>
        <v>0</v>
      </c>
      <c r="J1670">
        <f>Data!D1683</f>
        <v>0</v>
      </c>
      <c r="K1670">
        <f>Data!E1683</f>
        <v>0</v>
      </c>
      <c r="L1670">
        <f>Data!F1683</f>
        <v>0</v>
      </c>
      <c r="M1670">
        <f>Data!G1683</f>
        <v>0</v>
      </c>
      <c r="N1670">
        <f>Data!H1683</f>
        <v>0</v>
      </c>
      <c r="O1670">
        <f>Data!I1683</f>
        <v>0</v>
      </c>
      <c r="P1670" s="21">
        <f>Data!J1687</f>
        <v>0</v>
      </c>
      <c r="Q1670">
        <f>Data!K1687</f>
        <v>0</v>
      </c>
      <c r="R1670">
        <f>Data!L1687</f>
        <v>0</v>
      </c>
      <c r="S1670">
        <f>Data!M1687</f>
        <v>0</v>
      </c>
      <c r="T1670">
        <f>Data!N1687</f>
        <v>0</v>
      </c>
      <c r="U1670">
        <f>Data!O1687</f>
        <v>0</v>
      </c>
      <c r="V1670" s="33">
        <f>Data!P1685</f>
        <v>0</v>
      </c>
    </row>
    <row r="1671" spans="7:22" x14ac:dyDescent="0.25">
      <c r="G1671">
        <f>Data!A1684</f>
        <v>0</v>
      </c>
      <c r="H1671" s="21">
        <f>Data!B1684</f>
        <v>0</v>
      </c>
      <c r="I1671" s="21">
        <f>Data!C1684</f>
        <v>0</v>
      </c>
      <c r="J1671">
        <f>Data!D1684</f>
        <v>0</v>
      </c>
      <c r="K1671">
        <f>Data!E1684</f>
        <v>0</v>
      </c>
      <c r="L1671">
        <f>Data!F1684</f>
        <v>0</v>
      </c>
      <c r="M1671">
        <f>Data!G1684</f>
        <v>0</v>
      </c>
      <c r="N1671">
        <f>Data!H1684</f>
        <v>0</v>
      </c>
      <c r="O1671">
        <f>Data!I1684</f>
        <v>0</v>
      </c>
      <c r="P1671" s="21">
        <f>Data!J1688</f>
        <v>0</v>
      </c>
      <c r="Q1671">
        <f>Data!K1688</f>
        <v>0</v>
      </c>
      <c r="R1671">
        <f>Data!L1688</f>
        <v>0</v>
      </c>
      <c r="S1671">
        <f>Data!M1688</f>
        <v>0</v>
      </c>
      <c r="T1671">
        <f>Data!N1688</f>
        <v>0</v>
      </c>
      <c r="U1671">
        <f>Data!O1688</f>
        <v>0</v>
      </c>
      <c r="V1671" s="33">
        <f>Data!P1686</f>
        <v>0</v>
      </c>
    </row>
    <row r="1672" spans="7:22" x14ac:dyDescent="0.25">
      <c r="G1672">
        <f>Data!A1685</f>
        <v>0</v>
      </c>
      <c r="H1672" s="21">
        <f>Data!B1685</f>
        <v>0</v>
      </c>
      <c r="I1672" s="21">
        <f>Data!C1685</f>
        <v>0</v>
      </c>
      <c r="J1672">
        <f>Data!D1685</f>
        <v>0</v>
      </c>
      <c r="K1672">
        <f>Data!E1685</f>
        <v>0</v>
      </c>
      <c r="L1672">
        <f>Data!F1685</f>
        <v>0</v>
      </c>
      <c r="M1672">
        <f>Data!G1685</f>
        <v>0</v>
      </c>
      <c r="N1672">
        <f>Data!H1685</f>
        <v>0</v>
      </c>
      <c r="O1672">
        <f>Data!I1685</f>
        <v>0</v>
      </c>
      <c r="P1672" s="21">
        <f>Data!J1689</f>
        <v>0</v>
      </c>
      <c r="Q1672">
        <f>Data!K1689</f>
        <v>0</v>
      </c>
      <c r="R1672">
        <f>Data!L1689</f>
        <v>0</v>
      </c>
      <c r="S1672">
        <f>Data!M1689</f>
        <v>0</v>
      </c>
      <c r="T1672">
        <f>Data!N1689</f>
        <v>0</v>
      </c>
      <c r="U1672">
        <f>Data!O1689</f>
        <v>0</v>
      </c>
      <c r="V1672" s="33">
        <f>Data!P1687</f>
        <v>0</v>
      </c>
    </row>
    <row r="1673" spans="7:22" x14ac:dyDescent="0.25">
      <c r="G1673">
        <f>Data!A1686</f>
        <v>0</v>
      </c>
      <c r="H1673" s="21">
        <f>Data!B1686</f>
        <v>0</v>
      </c>
      <c r="I1673" s="21">
        <f>Data!C1686</f>
        <v>0</v>
      </c>
      <c r="J1673">
        <f>Data!D1686</f>
        <v>0</v>
      </c>
      <c r="K1673">
        <f>Data!E1686</f>
        <v>0</v>
      </c>
      <c r="L1673">
        <f>Data!F1686</f>
        <v>0</v>
      </c>
      <c r="M1673">
        <f>Data!G1686</f>
        <v>0</v>
      </c>
      <c r="N1673">
        <f>Data!H1686</f>
        <v>0</v>
      </c>
      <c r="O1673">
        <f>Data!I1686</f>
        <v>0</v>
      </c>
      <c r="P1673" s="21">
        <f>Data!J1690</f>
        <v>0</v>
      </c>
      <c r="Q1673">
        <f>Data!K1690</f>
        <v>0</v>
      </c>
      <c r="R1673">
        <f>Data!L1690</f>
        <v>0</v>
      </c>
      <c r="S1673">
        <f>Data!M1690</f>
        <v>0</v>
      </c>
      <c r="T1673">
        <f>Data!N1690</f>
        <v>0</v>
      </c>
      <c r="U1673">
        <f>Data!O1690</f>
        <v>0</v>
      </c>
      <c r="V1673" s="33">
        <f>Data!P1688</f>
        <v>0</v>
      </c>
    </row>
    <row r="1674" spans="7:22" x14ac:dyDescent="0.25">
      <c r="G1674">
        <f>Data!A1687</f>
        <v>0</v>
      </c>
      <c r="H1674" s="21">
        <f>Data!B1687</f>
        <v>0</v>
      </c>
      <c r="I1674" s="21">
        <f>Data!C1687</f>
        <v>0</v>
      </c>
      <c r="J1674">
        <f>Data!D1687</f>
        <v>0</v>
      </c>
      <c r="K1674">
        <f>Data!E1687</f>
        <v>0</v>
      </c>
      <c r="L1674">
        <f>Data!F1687</f>
        <v>0</v>
      </c>
      <c r="M1674">
        <f>Data!G1687</f>
        <v>0</v>
      </c>
      <c r="N1674">
        <f>Data!H1687</f>
        <v>0</v>
      </c>
      <c r="O1674">
        <f>Data!I1687</f>
        <v>0</v>
      </c>
      <c r="P1674" s="21">
        <f>Data!J1691</f>
        <v>0</v>
      </c>
      <c r="Q1674">
        <f>Data!K1691</f>
        <v>0</v>
      </c>
      <c r="R1674">
        <f>Data!L1691</f>
        <v>0</v>
      </c>
      <c r="S1674">
        <f>Data!M1691</f>
        <v>0</v>
      </c>
      <c r="T1674">
        <f>Data!N1691</f>
        <v>0</v>
      </c>
      <c r="U1674">
        <f>Data!O1691</f>
        <v>0</v>
      </c>
      <c r="V1674" s="33">
        <f>Data!P1689</f>
        <v>0</v>
      </c>
    </row>
    <row r="1675" spans="7:22" x14ac:dyDescent="0.25">
      <c r="G1675">
        <f>Data!A1688</f>
        <v>0</v>
      </c>
      <c r="H1675" s="21">
        <f>Data!B1688</f>
        <v>0</v>
      </c>
      <c r="I1675" s="21">
        <f>Data!C1688</f>
        <v>0</v>
      </c>
      <c r="J1675">
        <f>Data!D1688</f>
        <v>0</v>
      </c>
      <c r="K1675">
        <f>Data!E1688</f>
        <v>0</v>
      </c>
      <c r="L1675">
        <f>Data!F1688</f>
        <v>0</v>
      </c>
      <c r="M1675">
        <f>Data!G1688</f>
        <v>0</v>
      </c>
      <c r="N1675">
        <f>Data!H1688</f>
        <v>0</v>
      </c>
      <c r="O1675">
        <f>Data!I1688</f>
        <v>0</v>
      </c>
      <c r="P1675" s="21">
        <f>Data!J1692</f>
        <v>0</v>
      </c>
      <c r="Q1675">
        <f>Data!K1692</f>
        <v>0</v>
      </c>
      <c r="R1675">
        <f>Data!L1692</f>
        <v>0</v>
      </c>
      <c r="S1675">
        <f>Data!M1692</f>
        <v>0</v>
      </c>
      <c r="T1675">
        <f>Data!N1692</f>
        <v>0</v>
      </c>
      <c r="U1675">
        <f>Data!O1692</f>
        <v>0</v>
      </c>
      <c r="V1675" s="33">
        <f>Data!P1690</f>
        <v>0</v>
      </c>
    </row>
    <row r="1676" spans="7:22" x14ac:dyDescent="0.25">
      <c r="G1676">
        <f>Data!A1689</f>
        <v>0</v>
      </c>
      <c r="H1676" s="21">
        <f>Data!B1689</f>
        <v>0</v>
      </c>
      <c r="I1676" s="21">
        <f>Data!C1689</f>
        <v>0</v>
      </c>
      <c r="J1676">
        <f>Data!D1689</f>
        <v>0</v>
      </c>
      <c r="K1676">
        <f>Data!E1689</f>
        <v>0</v>
      </c>
      <c r="L1676">
        <f>Data!F1689</f>
        <v>0</v>
      </c>
      <c r="M1676">
        <f>Data!G1689</f>
        <v>0</v>
      </c>
      <c r="N1676">
        <f>Data!H1689</f>
        <v>0</v>
      </c>
      <c r="O1676">
        <f>Data!I1689</f>
        <v>0</v>
      </c>
      <c r="P1676" s="21">
        <f>Data!J1693</f>
        <v>0</v>
      </c>
      <c r="Q1676">
        <f>Data!K1693</f>
        <v>0</v>
      </c>
      <c r="R1676">
        <f>Data!L1693</f>
        <v>0</v>
      </c>
      <c r="S1676">
        <f>Data!M1693</f>
        <v>0</v>
      </c>
      <c r="T1676">
        <f>Data!N1693</f>
        <v>0</v>
      </c>
      <c r="U1676">
        <f>Data!O1693</f>
        <v>0</v>
      </c>
      <c r="V1676" s="33">
        <f>Data!P1691</f>
        <v>0</v>
      </c>
    </row>
    <row r="1677" spans="7:22" x14ac:dyDescent="0.25">
      <c r="G1677">
        <f>Data!A1690</f>
        <v>0</v>
      </c>
      <c r="H1677" s="21">
        <f>Data!B1690</f>
        <v>0</v>
      </c>
      <c r="I1677" s="21">
        <f>Data!C1690</f>
        <v>0</v>
      </c>
      <c r="J1677">
        <f>Data!D1690</f>
        <v>0</v>
      </c>
      <c r="K1677">
        <f>Data!E1690</f>
        <v>0</v>
      </c>
      <c r="L1677">
        <f>Data!F1690</f>
        <v>0</v>
      </c>
      <c r="M1677">
        <f>Data!G1690</f>
        <v>0</v>
      </c>
      <c r="N1677">
        <f>Data!H1690</f>
        <v>0</v>
      </c>
      <c r="O1677">
        <f>Data!I1690</f>
        <v>0</v>
      </c>
      <c r="P1677" s="21">
        <f>Data!J1694</f>
        <v>0</v>
      </c>
      <c r="Q1677">
        <f>Data!K1694</f>
        <v>0</v>
      </c>
      <c r="R1677">
        <f>Data!L1694</f>
        <v>0</v>
      </c>
      <c r="S1677">
        <f>Data!M1694</f>
        <v>0</v>
      </c>
      <c r="T1677">
        <f>Data!N1694</f>
        <v>0</v>
      </c>
      <c r="U1677">
        <f>Data!O1694</f>
        <v>0</v>
      </c>
      <c r="V1677" s="33">
        <f>Data!P1692</f>
        <v>0</v>
      </c>
    </row>
    <row r="1678" spans="7:22" x14ac:dyDescent="0.25">
      <c r="G1678">
        <f>Data!A1691</f>
        <v>0</v>
      </c>
      <c r="H1678" s="21">
        <f>Data!B1691</f>
        <v>0</v>
      </c>
      <c r="I1678" s="21">
        <f>Data!C1691</f>
        <v>0</v>
      </c>
      <c r="J1678">
        <f>Data!D1691</f>
        <v>0</v>
      </c>
      <c r="K1678">
        <f>Data!E1691</f>
        <v>0</v>
      </c>
      <c r="L1678">
        <f>Data!F1691</f>
        <v>0</v>
      </c>
      <c r="M1678">
        <f>Data!G1691</f>
        <v>0</v>
      </c>
      <c r="N1678">
        <f>Data!H1691</f>
        <v>0</v>
      </c>
      <c r="O1678">
        <f>Data!I1691</f>
        <v>0</v>
      </c>
      <c r="P1678" s="21">
        <f>Data!J1695</f>
        <v>0</v>
      </c>
      <c r="Q1678">
        <f>Data!K1695</f>
        <v>0</v>
      </c>
      <c r="R1678">
        <f>Data!L1695</f>
        <v>0</v>
      </c>
      <c r="S1678">
        <f>Data!M1695</f>
        <v>0</v>
      </c>
      <c r="T1678">
        <f>Data!N1695</f>
        <v>0</v>
      </c>
      <c r="U1678">
        <f>Data!O1695</f>
        <v>0</v>
      </c>
      <c r="V1678" s="33">
        <f>Data!P1693</f>
        <v>0</v>
      </c>
    </row>
    <row r="1679" spans="7:22" x14ac:dyDescent="0.25">
      <c r="G1679">
        <f>Data!A1692</f>
        <v>0</v>
      </c>
      <c r="H1679" s="21">
        <f>Data!B1692</f>
        <v>0</v>
      </c>
      <c r="I1679" s="21">
        <f>Data!C1692</f>
        <v>0</v>
      </c>
      <c r="J1679">
        <f>Data!D1692</f>
        <v>0</v>
      </c>
      <c r="K1679">
        <f>Data!E1692</f>
        <v>0</v>
      </c>
      <c r="L1679">
        <f>Data!F1692</f>
        <v>0</v>
      </c>
      <c r="M1679">
        <f>Data!G1692</f>
        <v>0</v>
      </c>
      <c r="N1679">
        <f>Data!H1692</f>
        <v>0</v>
      </c>
      <c r="O1679">
        <f>Data!I1692</f>
        <v>0</v>
      </c>
      <c r="P1679" s="21">
        <f>Data!J1696</f>
        <v>0</v>
      </c>
      <c r="Q1679">
        <f>Data!K1696</f>
        <v>0</v>
      </c>
      <c r="R1679">
        <f>Data!L1696</f>
        <v>0</v>
      </c>
      <c r="S1679">
        <f>Data!M1696</f>
        <v>0</v>
      </c>
      <c r="T1679">
        <f>Data!N1696</f>
        <v>0</v>
      </c>
      <c r="U1679">
        <f>Data!O1696</f>
        <v>0</v>
      </c>
      <c r="V1679" s="33">
        <f>Data!P1694</f>
        <v>0</v>
      </c>
    </row>
    <row r="1680" spans="7:22" x14ac:dyDescent="0.25">
      <c r="G1680">
        <f>Data!A1693</f>
        <v>0</v>
      </c>
      <c r="H1680" s="21">
        <f>Data!B1693</f>
        <v>0</v>
      </c>
      <c r="I1680" s="21">
        <f>Data!C1693</f>
        <v>0</v>
      </c>
      <c r="J1680">
        <f>Data!D1693</f>
        <v>0</v>
      </c>
      <c r="K1680">
        <f>Data!E1693</f>
        <v>0</v>
      </c>
      <c r="L1680">
        <f>Data!F1693</f>
        <v>0</v>
      </c>
      <c r="M1680">
        <f>Data!G1693</f>
        <v>0</v>
      </c>
      <c r="N1680">
        <f>Data!H1693</f>
        <v>0</v>
      </c>
      <c r="O1680">
        <f>Data!I1693</f>
        <v>0</v>
      </c>
      <c r="P1680" s="21">
        <f>Data!J1697</f>
        <v>0</v>
      </c>
      <c r="Q1680">
        <f>Data!K1697</f>
        <v>0</v>
      </c>
      <c r="R1680">
        <f>Data!L1697</f>
        <v>0</v>
      </c>
      <c r="S1680">
        <f>Data!M1697</f>
        <v>0</v>
      </c>
      <c r="T1680">
        <f>Data!N1697</f>
        <v>0</v>
      </c>
      <c r="U1680">
        <f>Data!O1697</f>
        <v>0</v>
      </c>
      <c r="V1680" s="33">
        <f>Data!P1695</f>
        <v>0</v>
      </c>
    </row>
    <row r="1681" spans="7:22" x14ac:dyDescent="0.25">
      <c r="G1681">
        <f>Data!A1694</f>
        <v>0</v>
      </c>
      <c r="H1681" s="21">
        <f>Data!B1694</f>
        <v>0</v>
      </c>
      <c r="I1681" s="21">
        <f>Data!C1694</f>
        <v>0</v>
      </c>
      <c r="J1681">
        <f>Data!D1694</f>
        <v>0</v>
      </c>
      <c r="K1681">
        <f>Data!E1694</f>
        <v>0</v>
      </c>
      <c r="L1681">
        <f>Data!F1694</f>
        <v>0</v>
      </c>
      <c r="M1681">
        <f>Data!G1694</f>
        <v>0</v>
      </c>
      <c r="N1681">
        <f>Data!H1694</f>
        <v>0</v>
      </c>
      <c r="O1681">
        <f>Data!I1694</f>
        <v>0</v>
      </c>
      <c r="P1681" s="21">
        <f>Data!J1698</f>
        <v>0</v>
      </c>
      <c r="Q1681">
        <f>Data!K1698</f>
        <v>0</v>
      </c>
      <c r="R1681">
        <f>Data!L1698</f>
        <v>0</v>
      </c>
      <c r="S1681">
        <f>Data!M1698</f>
        <v>0</v>
      </c>
      <c r="T1681">
        <f>Data!N1698</f>
        <v>0</v>
      </c>
      <c r="U1681">
        <f>Data!O1698</f>
        <v>0</v>
      </c>
      <c r="V1681" s="33">
        <f>Data!P1696</f>
        <v>0</v>
      </c>
    </row>
    <row r="1682" spans="7:22" x14ac:dyDescent="0.25">
      <c r="G1682">
        <f>Data!A1695</f>
        <v>0</v>
      </c>
      <c r="H1682" s="21">
        <f>Data!B1695</f>
        <v>0</v>
      </c>
      <c r="I1682" s="21">
        <f>Data!C1695</f>
        <v>0</v>
      </c>
      <c r="J1682">
        <f>Data!D1695</f>
        <v>0</v>
      </c>
      <c r="K1682">
        <f>Data!E1695</f>
        <v>0</v>
      </c>
      <c r="L1682">
        <f>Data!F1695</f>
        <v>0</v>
      </c>
      <c r="M1682">
        <f>Data!G1695</f>
        <v>0</v>
      </c>
      <c r="N1682">
        <f>Data!H1695</f>
        <v>0</v>
      </c>
      <c r="O1682">
        <f>Data!I1695</f>
        <v>0</v>
      </c>
      <c r="P1682" s="21">
        <f>Data!J1699</f>
        <v>0</v>
      </c>
      <c r="Q1682">
        <f>Data!K1699</f>
        <v>0</v>
      </c>
      <c r="R1682">
        <f>Data!L1699</f>
        <v>0</v>
      </c>
      <c r="S1682">
        <f>Data!M1699</f>
        <v>0</v>
      </c>
      <c r="T1682">
        <f>Data!N1699</f>
        <v>0</v>
      </c>
      <c r="U1682">
        <f>Data!O1699</f>
        <v>0</v>
      </c>
      <c r="V1682" s="33">
        <f>Data!P1697</f>
        <v>0</v>
      </c>
    </row>
    <row r="1683" spans="7:22" x14ac:dyDescent="0.25">
      <c r="G1683">
        <f>Data!A1696</f>
        <v>0</v>
      </c>
      <c r="H1683" s="21">
        <f>Data!B1696</f>
        <v>0</v>
      </c>
      <c r="I1683" s="21">
        <f>Data!C1696</f>
        <v>0</v>
      </c>
      <c r="J1683">
        <f>Data!D1696</f>
        <v>0</v>
      </c>
      <c r="K1683">
        <f>Data!E1696</f>
        <v>0</v>
      </c>
      <c r="L1683">
        <f>Data!F1696</f>
        <v>0</v>
      </c>
      <c r="M1683">
        <f>Data!G1696</f>
        <v>0</v>
      </c>
      <c r="N1683">
        <f>Data!H1696</f>
        <v>0</v>
      </c>
      <c r="O1683">
        <f>Data!I1696</f>
        <v>0</v>
      </c>
      <c r="P1683" s="21">
        <f>Data!J1700</f>
        <v>0</v>
      </c>
      <c r="Q1683">
        <f>Data!K1700</f>
        <v>0</v>
      </c>
      <c r="R1683">
        <f>Data!L1700</f>
        <v>0</v>
      </c>
      <c r="S1683">
        <f>Data!M1700</f>
        <v>0</v>
      </c>
      <c r="T1683">
        <f>Data!N1700</f>
        <v>0</v>
      </c>
      <c r="U1683">
        <f>Data!O1700</f>
        <v>0</v>
      </c>
      <c r="V1683" s="33">
        <f>Data!P1698</f>
        <v>0</v>
      </c>
    </row>
    <row r="1684" spans="7:22" x14ac:dyDescent="0.25">
      <c r="G1684">
        <f>Data!A1697</f>
        <v>0</v>
      </c>
      <c r="H1684" s="21">
        <f>Data!B1697</f>
        <v>0</v>
      </c>
      <c r="I1684" s="21">
        <f>Data!C1697</f>
        <v>0</v>
      </c>
      <c r="J1684">
        <f>Data!D1697</f>
        <v>0</v>
      </c>
      <c r="K1684">
        <f>Data!E1697</f>
        <v>0</v>
      </c>
      <c r="L1684">
        <f>Data!F1697</f>
        <v>0</v>
      </c>
      <c r="M1684">
        <f>Data!G1697</f>
        <v>0</v>
      </c>
      <c r="N1684">
        <f>Data!H1697</f>
        <v>0</v>
      </c>
      <c r="O1684">
        <f>Data!I1697</f>
        <v>0</v>
      </c>
      <c r="P1684" s="21">
        <f>Data!J1701</f>
        <v>0</v>
      </c>
      <c r="Q1684">
        <f>Data!K1701</f>
        <v>0</v>
      </c>
      <c r="R1684">
        <f>Data!L1701</f>
        <v>0</v>
      </c>
      <c r="S1684">
        <f>Data!M1701</f>
        <v>0</v>
      </c>
      <c r="T1684">
        <f>Data!N1701</f>
        <v>0</v>
      </c>
      <c r="U1684">
        <f>Data!O1701</f>
        <v>0</v>
      </c>
      <c r="V1684" s="33">
        <f>Data!P1699</f>
        <v>0</v>
      </c>
    </row>
    <row r="1685" spans="7:22" x14ac:dyDescent="0.25">
      <c r="G1685">
        <f>Data!A1698</f>
        <v>0</v>
      </c>
      <c r="H1685" s="21">
        <f>Data!B1698</f>
        <v>0</v>
      </c>
      <c r="I1685" s="21">
        <f>Data!C1698</f>
        <v>0</v>
      </c>
      <c r="J1685">
        <f>Data!D1698</f>
        <v>0</v>
      </c>
      <c r="K1685">
        <f>Data!E1698</f>
        <v>0</v>
      </c>
      <c r="L1685">
        <f>Data!F1698</f>
        <v>0</v>
      </c>
      <c r="M1685">
        <f>Data!G1698</f>
        <v>0</v>
      </c>
      <c r="N1685">
        <f>Data!H1698</f>
        <v>0</v>
      </c>
      <c r="O1685">
        <f>Data!I1698</f>
        <v>0</v>
      </c>
      <c r="P1685" s="21">
        <f>Data!J1702</f>
        <v>0</v>
      </c>
      <c r="Q1685">
        <f>Data!K1702</f>
        <v>0</v>
      </c>
      <c r="R1685">
        <f>Data!L1702</f>
        <v>0</v>
      </c>
      <c r="S1685">
        <f>Data!M1702</f>
        <v>0</v>
      </c>
      <c r="T1685">
        <f>Data!N1702</f>
        <v>0</v>
      </c>
      <c r="U1685">
        <f>Data!O1702</f>
        <v>0</v>
      </c>
      <c r="V1685" s="33">
        <f>Data!P1700</f>
        <v>0</v>
      </c>
    </row>
    <row r="1686" spans="7:22" x14ac:dyDescent="0.25">
      <c r="G1686">
        <f>Data!A1699</f>
        <v>0</v>
      </c>
      <c r="H1686" s="21">
        <f>Data!B1699</f>
        <v>0</v>
      </c>
      <c r="I1686" s="21">
        <f>Data!C1699</f>
        <v>0</v>
      </c>
      <c r="J1686">
        <f>Data!D1699</f>
        <v>0</v>
      </c>
      <c r="K1686">
        <f>Data!E1699</f>
        <v>0</v>
      </c>
      <c r="L1686">
        <f>Data!F1699</f>
        <v>0</v>
      </c>
      <c r="M1686">
        <f>Data!G1699</f>
        <v>0</v>
      </c>
      <c r="N1686">
        <f>Data!H1699</f>
        <v>0</v>
      </c>
      <c r="O1686">
        <f>Data!I1699</f>
        <v>0</v>
      </c>
      <c r="P1686" s="21">
        <f>Data!J1703</f>
        <v>0</v>
      </c>
      <c r="Q1686">
        <f>Data!K1703</f>
        <v>0</v>
      </c>
      <c r="R1686">
        <f>Data!L1703</f>
        <v>0</v>
      </c>
      <c r="S1686">
        <f>Data!M1703</f>
        <v>0</v>
      </c>
      <c r="T1686">
        <f>Data!N1703</f>
        <v>0</v>
      </c>
      <c r="U1686">
        <f>Data!O1703</f>
        <v>0</v>
      </c>
      <c r="V1686" s="33">
        <f>Data!P1701</f>
        <v>0</v>
      </c>
    </row>
    <row r="1687" spans="7:22" x14ac:dyDescent="0.25">
      <c r="G1687">
        <f>Data!A1700</f>
        <v>0</v>
      </c>
      <c r="H1687" s="21">
        <f>Data!B1700</f>
        <v>0</v>
      </c>
      <c r="I1687" s="21">
        <f>Data!C1700</f>
        <v>0</v>
      </c>
      <c r="J1687">
        <f>Data!D1700</f>
        <v>0</v>
      </c>
      <c r="K1687">
        <f>Data!E1700</f>
        <v>0</v>
      </c>
      <c r="L1687">
        <f>Data!F1700</f>
        <v>0</v>
      </c>
      <c r="M1687">
        <f>Data!G1700</f>
        <v>0</v>
      </c>
      <c r="N1687">
        <f>Data!H1700</f>
        <v>0</v>
      </c>
      <c r="O1687">
        <f>Data!I1700</f>
        <v>0</v>
      </c>
      <c r="P1687" s="21">
        <f>Data!J1704</f>
        <v>0</v>
      </c>
      <c r="Q1687">
        <f>Data!K1704</f>
        <v>0</v>
      </c>
      <c r="R1687">
        <f>Data!L1704</f>
        <v>0</v>
      </c>
      <c r="S1687">
        <f>Data!M1704</f>
        <v>0</v>
      </c>
      <c r="T1687">
        <f>Data!N1704</f>
        <v>0</v>
      </c>
      <c r="U1687">
        <f>Data!O1704</f>
        <v>0</v>
      </c>
      <c r="V1687" s="33">
        <f>Data!P1702</f>
        <v>0</v>
      </c>
    </row>
    <row r="1688" spans="7:22" x14ac:dyDescent="0.25">
      <c r="G1688">
        <f>Data!A1701</f>
        <v>0</v>
      </c>
      <c r="H1688" s="21">
        <f>Data!B1701</f>
        <v>0</v>
      </c>
      <c r="I1688" s="21">
        <f>Data!C1701</f>
        <v>0</v>
      </c>
      <c r="J1688">
        <f>Data!D1701</f>
        <v>0</v>
      </c>
      <c r="K1688">
        <f>Data!E1701</f>
        <v>0</v>
      </c>
      <c r="L1688">
        <f>Data!F1701</f>
        <v>0</v>
      </c>
      <c r="M1688">
        <f>Data!G1701</f>
        <v>0</v>
      </c>
      <c r="N1688">
        <f>Data!H1701</f>
        <v>0</v>
      </c>
      <c r="O1688">
        <f>Data!I1701</f>
        <v>0</v>
      </c>
      <c r="P1688" s="21">
        <f>Data!J1705</f>
        <v>0</v>
      </c>
      <c r="Q1688">
        <f>Data!K1705</f>
        <v>0</v>
      </c>
      <c r="R1688">
        <f>Data!L1705</f>
        <v>0</v>
      </c>
      <c r="S1688">
        <f>Data!M1705</f>
        <v>0</v>
      </c>
      <c r="T1688">
        <f>Data!N1705</f>
        <v>0</v>
      </c>
      <c r="U1688">
        <f>Data!O1705</f>
        <v>0</v>
      </c>
      <c r="V1688" s="33">
        <f>Data!P1703</f>
        <v>0</v>
      </c>
    </row>
    <row r="1689" spans="7:22" x14ac:dyDescent="0.25">
      <c r="G1689">
        <f>Data!A1702</f>
        <v>0</v>
      </c>
      <c r="H1689" s="21">
        <f>Data!B1702</f>
        <v>0</v>
      </c>
      <c r="I1689" s="21">
        <f>Data!C1702</f>
        <v>0</v>
      </c>
      <c r="J1689">
        <f>Data!D1702</f>
        <v>0</v>
      </c>
      <c r="K1689">
        <f>Data!E1702</f>
        <v>0</v>
      </c>
      <c r="L1689">
        <f>Data!F1702</f>
        <v>0</v>
      </c>
      <c r="M1689">
        <f>Data!G1702</f>
        <v>0</v>
      </c>
      <c r="N1689">
        <f>Data!H1702</f>
        <v>0</v>
      </c>
      <c r="O1689">
        <f>Data!I1702</f>
        <v>0</v>
      </c>
      <c r="P1689" s="21">
        <f>Data!J1706</f>
        <v>0</v>
      </c>
      <c r="Q1689">
        <f>Data!K1706</f>
        <v>0</v>
      </c>
      <c r="R1689">
        <f>Data!L1706</f>
        <v>0</v>
      </c>
      <c r="S1689">
        <f>Data!M1706</f>
        <v>0</v>
      </c>
      <c r="T1689">
        <f>Data!N1706</f>
        <v>0</v>
      </c>
      <c r="U1689">
        <f>Data!O1706</f>
        <v>0</v>
      </c>
      <c r="V1689" s="33">
        <f>Data!P1704</f>
        <v>0</v>
      </c>
    </row>
    <row r="1690" spans="7:22" x14ac:dyDescent="0.25">
      <c r="G1690">
        <f>Data!A1703</f>
        <v>0</v>
      </c>
      <c r="H1690" s="21">
        <f>Data!B1703</f>
        <v>0</v>
      </c>
      <c r="I1690" s="21">
        <f>Data!C1703</f>
        <v>0</v>
      </c>
      <c r="J1690">
        <f>Data!D1703</f>
        <v>0</v>
      </c>
      <c r="K1690">
        <f>Data!E1703</f>
        <v>0</v>
      </c>
      <c r="L1690">
        <f>Data!F1703</f>
        <v>0</v>
      </c>
      <c r="M1690">
        <f>Data!G1703</f>
        <v>0</v>
      </c>
      <c r="N1690">
        <f>Data!H1703</f>
        <v>0</v>
      </c>
      <c r="O1690">
        <f>Data!I1703</f>
        <v>0</v>
      </c>
      <c r="P1690" s="21">
        <f>Data!J1707</f>
        <v>0</v>
      </c>
      <c r="Q1690">
        <f>Data!K1707</f>
        <v>0</v>
      </c>
      <c r="R1690">
        <f>Data!L1707</f>
        <v>0</v>
      </c>
      <c r="S1690">
        <f>Data!M1707</f>
        <v>0</v>
      </c>
      <c r="T1690">
        <f>Data!N1707</f>
        <v>0</v>
      </c>
      <c r="U1690">
        <f>Data!O1707</f>
        <v>0</v>
      </c>
      <c r="V1690" s="33">
        <f>Data!P1705</f>
        <v>0</v>
      </c>
    </row>
    <row r="1691" spans="7:22" x14ac:dyDescent="0.25">
      <c r="G1691">
        <f>Data!A1704</f>
        <v>0</v>
      </c>
      <c r="H1691" s="21">
        <f>Data!B1704</f>
        <v>0</v>
      </c>
      <c r="I1691" s="21">
        <f>Data!C1704</f>
        <v>0</v>
      </c>
      <c r="J1691">
        <f>Data!D1704</f>
        <v>0</v>
      </c>
      <c r="K1691">
        <f>Data!E1704</f>
        <v>0</v>
      </c>
      <c r="L1691">
        <f>Data!F1704</f>
        <v>0</v>
      </c>
      <c r="M1691">
        <f>Data!G1704</f>
        <v>0</v>
      </c>
      <c r="N1691">
        <f>Data!H1704</f>
        <v>0</v>
      </c>
      <c r="O1691">
        <f>Data!I1704</f>
        <v>0</v>
      </c>
      <c r="P1691" s="21">
        <f>Data!J1708</f>
        <v>0</v>
      </c>
      <c r="Q1691">
        <f>Data!K1708</f>
        <v>0</v>
      </c>
      <c r="R1691">
        <f>Data!L1708</f>
        <v>0</v>
      </c>
      <c r="S1691">
        <f>Data!M1708</f>
        <v>0</v>
      </c>
      <c r="T1691">
        <f>Data!N1708</f>
        <v>0</v>
      </c>
      <c r="U1691">
        <f>Data!O1708</f>
        <v>0</v>
      </c>
      <c r="V1691" s="33">
        <f>Data!P1706</f>
        <v>0</v>
      </c>
    </row>
    <row r="1692" spans="7:22" x14ac:dyDescent="0.25">
      <c r="G1692">
        <f>Data!A1705</f>
        <v>0</v>
      </c>
      <c r="H1692" s="21">
        <f>Data!B1705</f>
        <v>0</v>
      </c>
      <c r="I1692" s="21">
        <f>Data!C1705</f>
        <v>0</v>
      </c>
      <c r="J1692">
        <f>Data!D1705</f>
        <v>0</v>
      </c>
      <c r="K1692">
        <f>Data!E1705</f>
        <v>0</v>
      </c>
      <c r="L1692">
        <f>Data!F1705</f>
        <v>0</v>
      </c>
      <c r="M1692">
        <f>Data!G1705</f>
        <v>0</v>
      </c>
      <c r="N1692">
        <f>Data!H1705</f>
        <v>0</v>
      </c>
      <c r="O1692">
        <f>Data!I1705</f>
        <v>0</v>
      </c>
      <c r="P1692" s="21">
        <f>Data!J1709</f>
        <v>0</v>
      </c>
      <c r="Q1692">
        <f>Data!K1709</f>
        <v>0</v>
      </c>
      <c r="R1692">
        <f>Data!L1709</f>
        <v>0</v>
      </c>
      <c r="S1692">
        <f>Data!M1709</f>
        <v>0</v>
      </c>
      <c r="T1692">
        <f>Data!N1709</f>
        <v>0</v>
      </c>
      <c r="U1692">
        <f>Data!O1709</f>
        <v>0</v>
      </c>
      <c r="V1692" s="33">
        <f>Data!P1707</f>
        <v>0</v>
      </c>
    </row>
    <row r="1693" spans="7:22" x14ac:dyDescent="0.25">
      <c r="G1693">
        <f>Data!A1706</f>
        <v>0</v>
      </c>
      <c r="H1693" s="21">
        <f>Data!B1706</f>
        <v>0</v>
      </c>
      <c r="I1693" s="21">
        <f>Data!C1706</f>
        <v>0</v>
      </c>
      <c r="J1693">
        <f>Data!D1706</f>
        <v>0</v>
      </c>
      <c r="K1693">
        <f>Data!E1706</f>
        <v>0</v>
      </c>
      <c r="L1693">
        <f>Data!F1706</f>
        <v>0</v>
      </c>
      <c r="M1693">
        <f>Data!G1706</f>
        <v>0</v>
      </c>
      <c r="N1693">
        <f>Data!H1706</f>
        <v>0</v>
      </c>
      <c r="O1693">
        <f>Data!I1706</f>
        <v>0</v>
      </c>
      <c r="P1693" s="21">
        <f>Data!J1710</f>
        <v>0</v>
      </c>
      <c r="Q1693">
        <f>Data!K1710</f>
        <v>0</v>
      </c>
      <c r="R1693">
        <f>Data!L1710</f>
        <v>0</v>
      </c>
      <c r="S1693">
        <f>Data!M1710</f>
        <v>0</v>
      </c>
      <c r="T1693">
        <f>Data!N1710</f>
        <v>0</v>
      </c>
      <c r="U1693">
        <f>Data!O1710</f>
        <v>0</v>
      </c>
      <c r="V1693" s="33">
        <f>Data!P1708</f>
        <v>0</v>
      </c>
    </row>
    <row r="1694" spans="7:22" x14ac:dyDescent="0.25">
      <c r="G1694">
        <f>Data!A1707</f>
        <v>0</v>
      </c>
      <c r="H1694" s="21">
        <f>Data!B1707</f>
        <v>0</v>
      </c>
      <c r="I1694" s="21">
        <f>Data!C1707</f>
        <v>0</v>
      </c>
      <c r="J1694">
        <f>Data!D1707</f>
        <v>0</v>
      </c>
      <c r="K1694">
        <f>Data!E1707</f>
        <v>0</v>
      </c>
      <c r="L1694">
        <f>Data!F1707</f>
        <v>0</v>
      </c>
      <c r="M1694">
        <f>Data!G1707</f>
        <v>0</v>
      </c>
      <c r="N1694">
        <f>Data!H1707</f>
        <v>0</v>
      </c>
      <c r="O1694">
        <f>Data!I1707</f>
        <v>0</v>
      </c>
      <c r="P1694" s="21">
        <f>Data!J1711</f>
        <v>0</v>
      </c>
      <c r="Q1694">
        <f>Data!K1711</f>
        <v>0</v>
      </c>
      <c r="R1694">
        <f>Data!L1711</f>
        <v>0</v>
      </c>
      <c r="S1694">
        <f>Data!M1711</f>
        <v>0</v>
      </c>
      <c r="T1694">
        <f>Data!N1711</f>
        <v>0</v>
      </c>
      <c r="U1694">
        <f>Data!O1711</f>
        <v>0</v>
      </c>
      <c r="V1694" s="33">
        <f>Data!P1709</f>
        <v>0</v>
      </c>
    </row>
    <row r="1695" spans="7:22" x14ac:dyDescent="0.25">
      <c r="G1695">
        <f>Data!A1708</f>
        <v>0</v>
      </c>
      <c r="H1695" s="21">
        <f>Data!B1708</f>
        <v>0</v>
      </c>
      <c r="I1695" s="21">
        <f>Data!C1708</f>
        <v>0</v>
      </c>
      <c r="J1695">
        <f>Data!D1708</f>
        <v>0</v>
      </c>
      <c r="K1695">
        <f>Data!E1708</f>
        <v>0</v>
      </c>
      <c r="L1695">
        <f>Data!F1708</f>
        <v>0</v>
      </c>
      <c r="M1695">
        <f>Data!G1708</f>
        <v>0</v>
      </c>
      <c r="N1695">
        <f>Data!H1708</f>
        <v>0</v>
      </c>
      <c r="O1695">
        <f>Data!I1708</f>
        <v>0</v>
      </c>
      <c r="P1695" s="21">
        <f>Data!J1712</f>
        <v>0</v>
      </c>
      <c r="Q1695">
        <f>Data!K1712</f>
        <v>0</v>
      </c>
      <c r="R1695">
        <f>Data!L1712</f>
        <v>0</v>
      </c>
      <c r="S1695">
        <f>Data!M1712</f>
        <v>0</v>
      </c>
      <c r="T1695">
        <f>Data!N1712</f>
        <v>0</v>
      </c>
      <c r="U1695">
        <f>Data!O1712</f>
        <v>0</v>
      </c>
      <c r="V1695" s="33">
        <f>Data!P1710</f>
        <v>0</v>
      </c>
    </row>
    <row r="1696" spans="7:22" x14ac:dyDescent="0.25">
      <c r="G1696">
        <f>Data!A1709</f>
        <v>0</v>
      </c>
      <c r="H1696" s="21">
        <f>Data!B1709</f>
        <v>0</v>
      </c>
      <c r="I1696" s="21">
        <f>Data!C1709</f>
        <v>0</v>
      </c>
      <c r="J1696">
        <f>Data!D1709</f>
        <v>0</v>
      </c>
      <c r="K1696">
        <f>Data!E1709</f>
        <v>0</v>
      </c>
      <c r="L1696">
        <f>Data!F1709</f>
        <v>0</v>
      </c>
      <c r="M1696">
        <f>Data!G1709</f>
        <v>0</v>
      </c>
      <c r="N1696">
        <f>Data!H1709</f>
        <v>0</v>
      </c>
      <c r="O1696">
        <f>Data!I1709</f>
        <v>0</v>
      </c>
      <c r="P1696" s="21">
        <f>Data!J1713</f>
        <v>0</v>
      </c>
      <c r="Q1696">
        <f>Data!K1713</f>
        <v>0</v>
      </c>
      <c r="R1696">
        <f>Data!L1713</f>
        <v>0</v>
      </c>
      <c r="S1696">
        <f>Data!M1713</f>
        <v>0</v>
      </c>
      <c r="T1696">
        <f>Data!N1713</f>
        <v>0</v>
      </c>
      <c r="U1696">
        <f>Data!O1713</f>
        <v>0</v>
      </c>
      <c r="V1696" s="33">
        <f>Data!P1711</f>
        <v>0</v>
      </c>
    </row>
    <row r="1697" spans="7:22" x14ac:dyDescent="0.25">
      <c r="G1697">
        <f>Data!A1710</f>
        <v>0</v>
      </c>
      <c r="H1697" s="21">
        <f>Data!B1710</f>
        <v>0</v>
      </c>
      <c r="I1697" s="21">
        <f>Data!C1710</f>
        <v>0</v>
      </c>
      <c r="J1697">
        <f>Data!D1710</f>
        <v>0</v>
      </c>
      <c r="K1697">
        <f>Data!E1710</f>
        <v>0</v>
      </c>
      <c r="L1697">
        <f>Data!F1710</f>
        <v>0</v>
      </c>
      <c r="M1697">
        <f>Data!G1710</f>
        <v>0</v>
      </c>
      <c r="N1697">
        <f>Data!H1710</f>
        <v>0</v>
      </c>
      <c r="O1697">
        <f>Data!I1710</f>
        <v>0</v>
      </c>
      <c r="P1697" s="21">
        <f>Data!J1714</f>
        <v>0</v>
      </c>
      <c r="Q1697">
        <f>Data!K1714</f>
        <v>0</v>
      </c>
      <c r="R1697">
        <f>Data!L1714</f>
        <v>0</v>
      </c>
      <c r="S1697">
        <f>Data!M1714</f>
        <v>0</v>
      </c>
      <c r="T1697">
        <f>Data!N1714</f>
        <v>0</v>
      </c>
      <c r="U1697">
        <f>Data!O1714</f>
        <v>0</v>
      </c>
      <c r="V1697" s="33">
        <f>Data!P1712</f>
        <v>0</v>
      </c>
    </row>
    <row r="1698" spans="7:22" x14ac:dyDescent="0.25">
      <c r="G1698">
        <f>Data!A1711</f>
        <v>0</v>
      </c>
      <c r="H1698" s="21">
        <f>Data!B1711</f>
        <v>0</v>
      </c>
      <c r="I1698" s="21">
        <f>Data!C1711</f>
        <v>0</v>
      </c>
      <c r="J1698">
        <f>Data!D1711</f>
        <v>0</v>
      </c>
      <c r="K1698">
        <f>Data!E1711</f>
        <v>0</v>
      </c>
      <c r="L1698">
        <f>Data!F1711</f>
        <v>0</v>
      </c>
      <c r="M1698">
        <f>Data!G1711</f>
        <v>0</v>
      </c>
      <c r="N1698">
        <f>Data!H1711</f>
        <v>0</v>
      </c>
      <c r="O1698">
        <f>Data!I1711</f>
        <v>0</v>
      </c>
      <c r="P1698" s="21">
        <f>Data!J1715</f>
        <v>0</v>
      </c>
      <c r="Q1698">
        <f>Data!K1715</f>
        <v>0</v>
      </c>
      <c r="R1698">
        <f>Data!L1715</f>
        <v>0</v>
      </c>
      <c r="S1698">
        <f>Data!M1715</f>
        <v>0</v>
      </c>
      <c r="T1698">
        <f>Data!N1715</f>
        <v>0</v>
      </c>
      <c r="U1698">
        <f>Data!O1715</f>
        <v>0</v>
      </c>
      <c r="V1698" s="33">
        <f>Data!P1713</f>
        <v>0</v>
      </c>
    </row>
    <row r="1699" spans="7:22" x14ac:dyDescent="0.25">
      <c r="G1699">
        <f>Data!A1712</f>
        <v>0</v>
      </c>
      <c r="H1699" s="21">
        <f>Data!B1712</f>
        <v>0</v>
      </c>
      <c r="I1699" s="21">
        <f>Data!C1712</f>
        <v>0</v>
      </c>
      <c r="J1699">
        <f>Data!D1712</f>
        <v>0</v>
      </c>
      <c r="K1699">
        <f>Data!E1712</f>
        <v>0</v>
      </c>
      <c r="L1699">
        <f>Data!F1712</f>
        <v>0</v>
      </c>
      <c r="M1699">
        <f>Data!G1712</f>
        <v>0</v>
      </c>
      <c r="N1699">
        <f>Data!H1712</f>
        <v>0</v>
      </c>
      <c r="O1699">
        <f>Data!I1712</f>
        <v>0</v>
      </c>
      <c r="P1699" s="21">
        <f>Data!J1716</f>
        <v>0</v>
      </c>
      <c r="Q1699">
        <f>Data!K1716</f>
        <v>0</v>
      </c>
      <c r="R1699">
        <f>Data!L1716</f>
        <v>0</v>
      </c>
      <c r="S1699">
        <f>Data!M1716</f>
        <v>0</v>
      </c>
      <c r="T1699">
        <f>Data!N1716</f>
        <v>0</v>
      </c>
      <c r="U1699">
        <f>Data!O1716</f>
        <v>0</v>
      </c>
      <c r="V1699" s="33">
        <f>Data!P1714</f>
        <v>0</v>
      </c>
    </row>
    <row r="1700" spans="7:22" x14ac:dyDescent="0.25">
      <c r="G1700">
        <f>Data!A1713</f>
        <v>0</v>
      </c>
      <c r="H1700" s="21">
        <f>Data!B1713</f>
        <v>0</v>
      </c>
      <c r="I1700" s="21">
        <f>Data!C1713</f>
        <v>0</v>
      </c>
      <c r="J1700">
        <f>Data!D1713</f>
        <v>0</v>
      </c>
      <c r="K1700">
        <f>Data!E1713</f>
        <v>0</v>
      </c>
      <c r="L1700">
        <f>Data!F1713</f>
        <v>0</v>
      </c>
      <c r="M1700">
        <f>Data!G1713</f>
        <v>0</v>
      </c>
      <c r="N1700">
        <f>Data!H1713</f>
        <v>0</v>
      </c>
      <c r="O1700">
        <f>Data!I1713</f>
        <v>0</v>
      </c>
      <c r="P1700" s="21">
        <f>Data!J1717</f>
        <v>0</v>
      </c>
      <c r="Q1700">
        <f>Data!K1717</f>
        <v>0</v>
      </c>
      <c r="R1700">
        <f>Data!L1717</f>
        <v>0</v>
      </c>
      <c r="S1700">
        <f>Data!M1717</f>
        <v>0</v>
      </c>
      <c r="T1700">
        <f>Data!N1717</f>
        <v>0</v>
      </c>
      <c r="U1700">
        <f>Data!O1717</f>
        <v>0</v>
      </c>
      <c r="V1700" s="33">
        <f>Data!P1715</f>
        <v>0</v>
      </c>
    </row>
    <row r="1701" spans="7:22" x14ac:dyDescent="0.25">
      <c r="G1701">
        <f>Data!A1714</f>
        <v>0</v>
      </c>
      <c r="H1701" s="21">
        <f>Data!B1714</f>
        <v>0</v>
      </c>
      <c r="I1701" s="21">
        <f>Data!C1714</f>
        <v>0</v>
      </c>
      <c r="J1701">
        <f>Data!D1714</f>
        <v>0</v>
      </c>
      <c r="K1701">
        <f>Data!E1714</f>
        <v>0</v>
      </c>
      <c r="L1701">
        <f>Data!F1714</f>
        <v>0</v>
      </c>
      <c r="M1701">
        <f>Data!G1714</f>
        <v>0</v>
      </c>
      <c r="N1701">
        <f>Data!H1714</f>
        <v>0</v>
      </c>
      <c r="O1701">
        <f>Data!I1714</f>
        <v>0</v>
      </c>
      <c r="P1701" s="21">
        <f>Data!J1718</f>
        <v>0</v>
      </c>
      <c r="Q1701">
        <f>Data!K1718</f>
        <v>0</v>
      </c>
      <c r="R1701">
        <f>Data!L1718</f>
        <v>0</v>
      </c>
      <c r="S1701">
        <f>Data!M1718</f>
        <v>0</v>
      </c>
      <c r="T1701">
        <f>Data!N1718</f>
        <v>0</v>
      </c>
      <c r="U1701">
        <f>Data!O1718</f>
        <v>0</v>
      </c>
      <c r="V1701" s="33">
        <f>Data!P1716</f>
        <v>0</v>
      </c>
    </row>
    <row r="1702" spans="7:22" x14ac:dyDescent="0.25">
      <c r="G1702">
        <f>Data!A1715</f>
        <v>0</v>
      </c>
      <c r="H1702" s="21">
        <f>Data!B1715</f>
        <v>0</v>
      </c>
      <c r="I1702" s="21">
        <f>Data!C1715</f>
        <v>0</v>
      </c>
      <c r="J1702">
        <f>Data!D1715</f>
        <v>0</v>
      </c>
      <c r="K1702">
        <f>Data!E1715</f>
        <v>0</v>
      </c>
      <c r="L1702">
        <f>Data!F1715</f>
        <v>0</v>
      </c>
      <c r="M1702">
        <f>Data!G1715</f>
        <v>0</v>
      </c>
      <c r="N1702">
        <f>Data!H1715</f>
        <v>0</v>
      </c>
      <c r="O1702">
        <f>Data!I1715</f>
        <v>0</v>
      </c>
      <c r="P1702" s="21">
        <f>Data!J1719</f>
        <v>0</v>
      </c>
      <c r="Q1702">
        <f>Data!K1719</f>
        <v>0</v>
      </c>
      <c r="R1702">
        <f>Data!L1719</f>
        <v>0</v>
      </c>
      <c r="S1702">
        <f>Data!M1719</f>
        <v>0</v>
      </c>
      <c r="T1702">
        <f>Data!N1719</f>
        <v>0</v>
      </c>
      <c r="U1702">
        <f>Data!O1719</f>
        <v>0</v>
      </c>
      <c r="V1702" s="33">
        <f>Data!P1717</f>
        <v>0</v>
      </c>
    </row>
    <row r="1703" spans="7:22" x14ac:dyDescent="0.25">
      <c r="G1703">
        <f>Data!A1716</f>
        <v>0</v>
      </c>
      <c r="H1703" s="21">
        <f>Data!B1716</f>
        <v>0</v>
      </c>
      <c r="I1703" s="21">
        <f>Data!C1716</f>
        <v>0</v>
      </c>
      <c r="J1703">
        <f>Data!D1716</f>
        <v>0</v>
      </c>
      <c r="K1703">
        <f>Data!E1716</f>
        <v>0</v>
      </c>
      <c r="L1703">
        <f>Data!F1716</f>
        <v>0</v>
      </c>
      <c r="M1703">
        <f>Data!G1716</f>
        <v>0</v>
      </c>
      <c r="N1703">
        <f>Data!H1716</f>
        <v>0</v>
      </c>
      <c r="O1703">
        <f>Data!I1716</f>
        <v>0</v>
      </c>
      <c r="P1703" s="21">
        <f>Data!J1720</f>
        <v>0</v>
      </c>
      <c r="Q1703">
        <f>Data!K1720</f>
        <v>0</v>
      </c>
      <c r="R1703">
        <f>Data!L1720</f>
        <v>0</v>
      </c>
      <c r="S1703">
        <f>Data!M1720</f>
        <v>0</v>
      </c>
      <c r="T1703">
        <f>Data!N1720</f>
        <v>0</v>
      </c>
      <c r="U1703">
        <f>Data!O1720</f>
        <v>0</v>
      </c>
      <c r="V1703" s="33">
        <f>Data!P1718</f>
        <v>0</v>
      </c>
    </row>
    <row r="1704" spans="7:22" x14ac:dyDescent="0.25">
      <c r="G1704">
        <f>Data!A1717</f>
        <v>0</v>
      </c>
      <c r="H1704" s="21">
        <f>Data!B1717</f>
        <v>0</v>
      </c>
      <c r="I1704" s="21">
        <f>Data!C1717</f>
        <v>0</v>
      </c>
      <c r="J1704">
        <f>Data!D1717</f>
        <v>0</v>
      </c>
      <c r="K1704">
        <f>Data!E1717</f>
        <v>0</v>
      </c>
      <c r="L1704">
        <f>Data!F1717</f>
        <v>0</v>
      </c>
      <c r="M1704">
        <f>Data!G1717</f>
        <v>0</v>
      </c>
      <c r="N1704">
        <f>Data!H1717</f>
        <v>0</v>
      </c>
      <c r="O1704">
        <f>Data!I1717</f>
        <v>0</v>
      </c>
      <c r="P1704" s="21">
        <f>Data!J1721</f>
        <v>0</v>
      </c>
      <c r="Q1704">
        <f>Data!K1721</f>
        <v>0</v>
      </c>
      <c r="R1704">
        <f>Data!L1721</f>
        <v>0</v>
      </c>
      <c r="S1704">
        <f>Data!M1721</f>
        <v>0</v>
      </c>
      <c r="T1704">
        <f>Data!N1721</f>
        <v>0</v>
      </c>
      <c r="U1704">
        <f>Data!O1721</f>
        <v>0</v>
      </c>
      <c r="V1704" s="33">
        <f>Data!P1719</f>
        <v>0</v>
      </c>
    </row>
    <row r="1705" spans="7:22" x14ac:dyDescent="0.25">
      <c r="G1705">
        <f>Data!A1718</f>
        <v>0</v>
      </c>
      <c r="H1705" s="21">
        <f>Data!B1718</f>
        <v>0</v>
      </c>
      <c r="I1705" s="21">
        <f>Data!C1718</f>
        <v>0</v>
      </c>
      <c r="J1705">
        <f>Data!D1718</f>
        <v>0</v>
      </c>
      <c r="K1705">
        <f>Data!E1718</f>
        <v>0</v>
      </c>
      <c r="L1705">
        <f>Data!F1718</f>
        <v>0</v>
      </c>
      <c r="M1705">
        <f>Data!G1718</f>
        <v>0</v>
      </c>
      <c r="N1705">
        <f>Data!H1718</f>
        <v>0</v>
      </c>
      <c r="O1705">
        <f>Data!I1718</f>
        <v>0</v>
      </c>
      <c r="P1705" s="21">
        <f>Data!J1722</f>
        <v>0</v>
      </c>
      <c r="Q1705">
        <f>Data!K1722</f>
        <v>0</v>
      </c>
      <c r="R1705">
        <f>Data!L1722</f>
        <v>0</v>
      </c>
      <c r="S1705">
        <f>Data!M1722</f>
        <v>0</v>
      </c>
      <c r="T1705">
        <f>Data!N1722</f>
        <v>0</v>
      </c>
      <c r="U1705">
        <f>Data!O1722</f>
        <v>0</v>
      </c>
      <c r="V1705" s="33">
        <f>Data!P1720</f>
        <v>0</v>
      </c>
    </row>
    <row r="1706" spans="7:22" x14ac:dyDescent="0.25">
      <c r="G1706">
        <f>Data!A1719</f>
        <v>0</v>
      </c>
      <c r="H1706" s="21">
        <f>Data!B1719</f>
        <v>0</v>
      </c>
      <c r="I1706" s="21">
        <f>Data!C1719</f>
        <v>0</v>
      </c>
      <c r="J1706">
        <f>Data!D1719</f>
        <v>0</v>
      </c>
      <c r="K1706">
        <f>Data!E1719</f>
        <v>0</v>
      </c>
      <c r="L1706">
        <f>Data!F1719</f>
        <v>0</v>
      </c>
      <c r="M1706">
        <f>Data!G1719</f>
        <v>0</v>
      </c>
      <c r="N1706">
        <f>Data!H1719</f>
        <v>0</v>
      </c>
      <c r="O1706">
        <f>Data!I1719</f>
        <v>0</v>
      </c>
      <c r="P1706" s="21">
        <f>Data!J1723</f>
        <v>0</v>
      </c>
      <c r="Q1706">
        <f>Data!K1723</f>
        <v>0</v>
      </c>
      <c r="R1706">
        <f>Data!L1723</f>
        <v>0</v>
      </c>
      <c r="S1706">
        <f>Data!M1723</f>
        <v>0</v>
      </c>
      <c r="T1706">
        <f>Data!N1723</f>
        <v>0</v>
      </c>
      <c r="U1706">
        <f>Data!O1723</f>
        <v>0</v>
      </c>
      <c r="V1706" s="33">
        <f>Data!P1721</f>
        <v>0</v>
      </c>
    </row>
    <row r="1707" spans="7:22" x14ac:dyDescent="0.25">
      <c r="G1707">
        <f>Data!A1720</f>
        <v>0</v>
      </c>
      <c r="H1707" s="21">
        <f>Data!B1720</f>
        <v>0</v>
      </c>
      <c r="I1707" s="21">
        <f>Data!C1720</f>
        <v>0</v>
      </c>
      <c r="J1707">
        <f>Data!D1720</f>
        <v>0</v>
      </c>
      <c r="K1707">
        <f>Data!E1720</f>
        <v>0</v>
      </c>
      <c r="L1707">
        <f>Data!F1720</f>
        <v>0</v>
      </c>
      <c r="M1707">
        <f>Data!G1720</f>
        <v>0</v>
      </c>
      <c r="N1707">
        <f>Data!H1720</f>
        <v>0</v>
      </c>
      <c r="O1707">
        <f>Data!I1720</f>
        <v>0</v>
      </c>
      <c r="P1707" s="21">
        <f>Data!J1724</f>
        <v>0</v>
      </c>
      <c r="Q1707">
        <f>Data!K1724</f>
        <v>0</v>
      </c>
      <c r="R1707">
        <f>Data!L1724</f>
        <v>0</v>
      </c>
      <c r="S1707">
        <f>Data!M1724</f>
        <v>0</v>
      </c>
      <c r="T1707">
        <f>Data!N1724</f>
        <v>0</v>
      </c>
      <c r="U1707">
        <f>Data!O1724</f>
        <v>0</v>
      </c>
      <c r="V1707" s="33">
        <f>Data!P1722</f>
        <v>0</v>
      </c>
    </row>
    <row r="1708" spans="7:22" x14ac:dyDescent="0.25">
      <c r="G1708">
        <f>Data!A1721</f>
        <v>0</v>
      </c>
      <c r="H1708" s="21">
        <f>Data!B1721</f>
        <v>0</v>
      </c>
      <c r="I1708" s="21">
        <f>Data!C1721</f>
        <v>0</v>
      </c>
      <c r="J1708">
        <f>Data!D1721</f>
        <v>0</v>
      </c>
      <c r="K1708">
        <f>Data!E1721</f>
        <v>0</v>
      </c>
      <c r="L1708">
        <f>Data!F1721</f>
        <v>0</v>
      </c>
      <c r="M1708">
        <f>Data!G1721</f>
        <v>0</v>
      </c>
      <c r="N1708">
        <f>Data!H1721</f>
        <v>0</v>
      </c>
      <c r="O1708">
        <f>Data!I1721</f>
        <v>0</v>
      </c>
      <c r="P1708" s="21">
        <f>Data!J1725</f>
        <v>0</v>
      </c>
      <c r="Q1708">
        <f>Data!K1725</f>
        <v>0</v>
      </c>
      <c r="R1708">
        <f>Data!L1725</f>
        <v>0</v>
      </c>
      <c r="S1708">
        <f>Data!M1725</f>
        <v>0</v>
      </c>
      <c r="T1708">
        <f>Data!N1725</f>
        <v>0</v>
      </c>
      <c r="U1708">
        <f>Data!O1725</f>
        <v>0</v>
      </c>
      <c r="V1708" s="33">
        <f>Data!P1723</f>
        <v>0</v>
      </c>
    </row>
    <row r="1709" spans="7:22" x14ac:dyDescent="0.25">
      <c r="G1709">
        <f>Data!A1722</f>
        <v>0</v>
      </c>
      <c r="H1709" s="21">
        <f>Data!B1722</f>
        <v>0</v>
      </c>
      <c r="I1709" s="21">
        <f>Data!C1722</f>
        <v>0</v>
      </c>
      <c r="J1709">
        <f>Data!D1722</f>
        <v>0</v>
      </c>
      <c r="K1709">
        <f>Data!E1722</f>
        <v>0</v>
      </c>
      <c r="L1709">
        <f>Data!F1722</f>
        <v>0</v>
      </c>
      <c r="M1709">
        <f>Data!G1722</f>
        <v>0</v>
      </c>
      <c r="N1709">
        <f>Data!H1722</f>
        <v>0</v>
      </c>
      <c r="O1709">
        <f>Data!I1722</f>
        <v>0</v>
      </c>
      <c r="P1709" s="21">
        <f>Data!J1726</f>
        <v>0</v>
      </c>
      <c r="Q1709">
        <f>Data!K1726</f>
        <v>0</v>
      </c>
      <c r="R1709">
        <f>Data!L1726</f>
        <v>0</v>
      </c>
      <c r="S1709">
        <f>Data!M1726</f>
        <v>0</v>
      </c>
      <c r="T1709">
        <f>Data!N1726</f>
        <v>0</v>
      </c>
      <c r="U1709">
        <f>Data!O1726</f>
        <v>0</v>
      </c>
      <c r="V1709" s="33">
        <f>Data!P1724</f>
        <v>0</v>
      </c>
    </row>
    <row r="1710" spans="7:22" x14ac:dyDescent="0.25">
      <c r="G1710">
        <f>Data!A1723</f>
        <v>0</v>
      </c>
      <c r="H1710" s="21">
        <f>Data!B1723</f>
        <v>0</v>
      </c>
      <c r="I1710" s="21">
        <f>Data!C1723</f>
        <v>0</v>
      </c>
      <c r="J1710">
        <f>Data!D1723</f>
        <v>0</v>
      </c>
      <c r="K1710">
        <f>Data!E1723</f>
        <v>0</v>
      </c>
      <c r="L1710">
        <f>Data!F1723</f>
        <v>0</v>
      </c>
      <c r="M1710">
        <f>Data!G1723</f>
        <v>0</v>
      </c>
      <c r="N1710">
        <f>Data!H1723</f>
        <v>0</v>
      </c>
      <c r="O1710">
        <f>Data!I1723</f>
        <v>0</v>
      </c>
      <c r="P1710" s="21">
        <f>Data!J1727</f>
        <v>0</v>
      </c>
      <c r="Q1710">
        <f>Data!K1727</f>
        <v>0</v>
      </c>
      <c r="R1710">
        <f>Data!L1727</f>
        <v>0</v>
      </c>
      <c r="S1710">
        <f>Data!M1727</f>
        <v>0</v>
      </c>
      <c r="T1710">
        <f>Data!N1727</f>
        <v>0</v>
      </c>
      <c r="U1710">
        <f>Data!O1727</f>
        <v>0</v>
      </c>
      <c r="V1710" s="33">
        <f>Data!P1725</f>
        <v>0</v>
      </c>
    </row>
    <row r="1711" spans="7:22" x14ac:dyDescent="0.25">
      <c r="G1711">
        <f>Data!A1724</f>
        <v>0</v>
      </c>
      <c r="H1711" s="21">
        <f>Data!B1724</f>
        <v>0</v>
      </c>
      <c r="I1711" s="21">
        <f>Data!C1724</f>
        <v>0</v>
      </c>
      <c r="J1711">
        <f>Data!D1724</f>
        <v>0</v>
      </c>
      <c r="K1711">
        <f>Data!E1724</f>
        <v>0</v>
      </c>
      <c r="L1711">
        <f>Data!F1724</f>
        <v>0</v>
      </c>
      <c r="M1711">
        <f>Data!G1724</f>
        <v>0</v>
      </c>
      <c r="N1711">
        <f>Data!H1724</f>
        <v>0</v>
      </c>
      <c r="O1711">
        <f>Data!I1724</f>
        <v>0</v>
      </c>
      <c r="P1711" s="21">
        <f>Data!J1728</f>
        <v>0</v>
      </c>
      <c r="Q1711">
        <f>Data!K1728</f>
        <v>0</v>
      </c>
      <c r="R1711">
        <f>Data!L1728</f>
        <v>0</v>
      </c>
      <c r="S1711">
        <f>Data!M1728</f>
        <v>0</v>
      </c>
      <c r="T1711">
        <f>Data!N1728</f>
        <v>0</v>
      </c>
      <c r="U1711">
        <f>Data!O1728</f>
        <v>0</v>
      </c>
      <c r="V1711" s="33">
        <f>Data!P1726</f>
        <v>0</v>
      </c>
    </row>
    <row r="1712" spans="7:22" x14ac:dyDescent="0.25">
      <c r="G1712">
        <f>Data!A1725</f>
        <v>0</v>
      </c>
      <c r="H1712" s="21">
        <f>Data!B1725</f>
        <v>0</v>
      </c>
      <c r="I1712" s="21">
        <f>Data!C1725</f>
        <v>0</v>
      </c>
      <c r="J1712">
        <f>Data!D1725</f>
        <v>0</v>
      </c>
      <c r="K1712">
        <f>Data!E1725</f>
        <v>0</v>
      </c>
      <c r="L1712">
        <f>Data!F1725</f>
        <v>0</v>
      </c>
      <c r="M1712">
        <f>Data!G1725</f>
        <v>0</v>
      </c>
      <c r="N1712">
        <f>Data!H1725</f>
        <v>0</v>
      </c>
      <c r="O1712">
        <f>Data!I1725</f>
        <v>0</v>
      </c>
      <c r="P1712" s="21">
        <f>Data!J1729</f>
        <v>0</v>
      </c>
      <c r="Q1712">
        <f>Data!K1729</f>
        <v>0</v>
      </c>
      <c r="R1712">
        <f>Data!L1729</f>
        <v>0</v>
      </c>
      <c r="S1712">
        <f>Data!M1729</f>
        <v>0</v>
      </c>
      <c r="T1712">
        <f>Data!N1729</f>
        <v>0</v>
      </c>
      <c r="U1712">
        <f>Data!O1729</f>
        <v>0</v>
      </c>
      <c r="V1712" s="33">
        <f>Data!P1727</f>
        <v>0</v>
      </c>
    </row>
    <row r="1713" spans="7:22" x14ac:dyDescent="0.25">
      <c r="G1713">
        <f>Data!A1726</f>
        <v>0</v>
      </c>
      <c r="H1713" s="21">
        <f>Data!B1726</f>
        <v>0</v>
      </c>
      <c r="I1713" s="21">
        <f>Data!C1726</f>
        <v>0</v>
      </c>
      <c r="J1713">
        <f>Data!D1726</f>
        <v>0</v>
      </c>
      <c r="K1713">
        <f>Data!E1726</f>
        <v>0</v>
      </c>
      <c r="L1713">
        <f>Data!F1726</f>
        <v>0</v>
      </c>
      <c r="M1713">
        <f>Data!G1726</f>
        <v>0</v>
      </c>
      <c r="N1713">
        <f>Data!H1726</f>
        <v>0</v>
      </c>
      <c r="O1713">
        <f>Data!I1726</f>
        <v>0</v>
      </c>
      <c r="P1713" s="21">
        <f>Data!J1730</f>
        <v>0</v>
      </c>
      <c r="Q1713">
        <f>Data!K1730</f>
        <v>0</v>
      </c>
      <c r="R1713">
        <f>Data!L1730</f>
        <v>0</v>
      </c>
      <c r="S1713">
        <f>Data!M1730</f>
        <v>0</v>
      </c>
      <c r="T1713">
        <f>Data!N1730</f>
        <v>0</v>
      </c>
      <c r="U1713">
        <f>Data!O1730</f>
        <v>0</v>
      </c>
      <c r="V1713" s="33">
        <f>Data!P1728</f>
        <v>0</v>
      </c>
    </row>
    <row r="1714" spans="7:22" x14ac:dyDescent="0.25">
      <c r="G1714">
        <f>Data!A1727</f>
        <v>0</v>
      </c>
      <c r="H1714" s="21">
        <f>Data!B1727</f>
        <v>0</v>
      </c>
      <c r="I1714" s="21">
        <f>Data!C1727</f>
        <v>0</v>
      </c>
      <c r="J1714">
        <f>Data!D1727</f>
        <v>0</v>
      </c>
      <c r="K1714">
        <f>Data!E1727</f>
        <v>0</v>
      </c>
      <c r="L1714">
        <f>Data!F1727</f>
        <v>0</v>
      </c>
      <c r="M1714">
        <f>Data!G1727</f>
        <v>0</v>
      </c>
      <c r="N1714">
        <f>Data!H1727</f>
        <v>0</v>
      </c>
      <c r="O1714">
        <f>Data!I1727</f>
        <v>0</v>
      </c>
      <c r="P1714" s="21">
        <f>Data!J1731</f>
        <v>0</v>
      </c>
      <c r="Q1714">
        <f>Data!K1731</f>
        <v>0</v>
      </c>
      <c r="R1714">
        <f>Data!L1731</f>
        <v>0</v>
      </c>
      <c r="S1714">
        <f>Data!M1731</f>
        <v>0</v>
      </c>
      <c r="T1714">
        <f>Data!N1731</f>
        <v>0</v>
      </c>
      <c r="U1714">
        <f>Data!O1731</f>
        <v>0</v>
      </c>
      <c r="V1714" s="33">
        <f>Data!P1729</f>
        <v>0</v>
      </c>
    </row>
    <row r="1715" spans="7:22" x14ac:dyDescent="0.25">
      <c r="G1715">
        <f>Data!A1728</f>
        <v>0</v>
      </c>
      <c r="H1715" s="21">
        <f>Data!B1728</f>
        <v>0</v>
      </c>
      <c r="I1715" s="21">
        <f>Data!C1728</f>
        <v>0</v>
      </c>
      <c r="J1715">
        <f>Data!D1728</f>
        <v>0</v>
      </c>
      <c r="K1715">
        <f>Data!E1728</f>
        <v>0</v>
      </c>
      <c r="L1715">
        <f>Data!F1728</f>
        <v>0</v>
      </c>
      <c r="M1715">
        <f>Data!G1728</f>
        <v>0</v>
      </c>
      <c r="N1715">
        <f>Data!H1728</f>
        <v>0</v>
      </c>
      <c r="O1715">
        <f>Data!I1728</f>
        <v>0</v>
      </c>
      <c r="P1715" s="21">
        <f>Data!J1732</f>
        <v>0</v>
      </c>
      <c r="Q1715">
        <f>Data!K1732</f>
        <v>0</v>
      </c>
      <c r="R1715">
        <f>Data!L1732</f>
        <v>0</v>
      </c>
      <c r="S1715">
        <f>Data!M1732</f>
        <v>0</v>
      </c>
      <c r="T1715">
        <f>Data!N1732</f>
        <v>0</v>
      </c>
      <c r="U1715">
        <f>Data!O1732</f>
        <v>0</v>
      </c>
      <c r="V1715" s="33">
        <f>Data!P1730</f>
        <v>0</v>
      </c>
    </row>
    <row r="1716" spans="7:22" x14ac:dyDescent="0.25">
      <c r="G1716">
        <f>Data!A1729</f>
        <v>0</v>
      </c>
      <c r="H1716" s="21">
        <f>Data!B1729</f>
        <v>0</v>
      </c>
      <c r="I1716" s="21">
        <f>Data!C1729</f>
        <v>0</v>
      </c>
      <c r="J1716">
        <f>Data!D1729</f>
        <v>0</v>
      </c>
      <c r="K1716">
        <f>Data!E1729</f>
        <v>0</v>
      </c>
      <c r="L1716">
        <f>Data!F1729</f>
        <v>0</v>
      </c>
      <c r="M1716">
        <f>Data!G1729</f>
        <v>0</v>
      </c>
      <c r="N1716">
        <f>Data!H1729</f>
        <v>0</v>
      </c>
      <c r="O1716">
        <f>Data!I1729</f>
        <v>0</v>
      </c>
      <c r="P1716" s="21">
        <f>Data!J1733</f>
        <v>0</v>
      </c>
      <c r="Q1716">
        <f>Data!K1733</f>
        <v>0</v>
      </c>
      <c r="R1716">
        <f>Data!L1733</f>
        <v>0</v>
      </c>
      <c r="S1716">
        <f>Data!M1733</f>
        <v>0</v>
      </c>
      <c r="T1716">
        <f>Data!N1733</f>
        <v>0</v>
      </c>
      <c r="U1716">
        <f>Data!O1733</f>
        <v>0</v>
      </c>
      <c r="V1716" s="33">
        <f>Data!P1731</f>
        <v>0</v>
      </c>
    </row>
    <row r="1717" spans="7:22" x14ac:dyDescent="0.25">
      <c r="G1717">
        <f>Data!A1730</f>
        <v>0</v>
      </c>
      <c r="H1717" s="21">
        <f>Data!B1730</f>
        <v>0</v>
      </c>
      <c r="I1717" s="21">
        <f>Data!C1730</f>
        <v>0</v>
      </c>
      <c r="J1717">
        <f>Data!D1730</f>
        <v>0</v>
      </c>
      <c r="K1717">
        <f>Data!E1730</f>
        <v>0</v>
      </c>
      <c r="L1717">
        <f>Data!F1730</f>
        <v>0</v>
      </c>
      <c r="M1717">
        <f>Data!G1730</f>
        <v>0</v>
      </c>
      <c r="N1717">
        <f>Data!H1730</f>
        <v>0</v>
      </c>
      <c r="O1717">
        <f>Data!I1730</f>
        <v>0</v>
      </c>
      <c r="P1717" s="21">
        <f>Data!J1734</f>
        <v>0</v>
      </c>
      <c r="Q1717">
        <f>Data!K1734</f>
        <v>0</v>
      </c>
      <c r="R1717">
        <f>Data!L1734</f>
        <v>0</v>
      </c>
      <c r="S1717">
        <f>Data!M1734</f>
        <v>0</v>
      </c>
      <c r="T1717">
        <f>Data!N1734</f>
        <v>0</v>
      </c>
      <c r="U1717">
        <f>Data!O1734</f>
        <v>0</v>
      </c>
      <c r="V1717" s="33">
        <f>Data!P1732</f>
        <v>0</v>
      </c>
    </row>
    <row r="1718" spans="7:22" x14ac:dyDescent="0.25">
      <c r="G1718">
        <f>Data!A1731</f>
        <v>0</v>
      </c>
      <c r="H1718" s="21">
        <f>Data!B1731</f>
        <v>0</v>
      </c>
      <c r="I1718" s="21">
        <f>Data!C1731</f>
        <v>0</v>
      </c>
      <c r="J1718">
        <f>Data!D1731</f>
        <v>0</v>
      </c>
      <c r="K1718">
        <f>Data!E1731</f>
        <v>0</v>
      </c>
      <c r="L1718">
        <f>Data!F1731</f>
        <v>0</v>
      </c>
      <c r="M1718">
        <f>Data!G1731</f>
        <v>0</v>
      </c>
      <c r="N1718">
        <f>Data!H1731</f>
        <v>0</v>
      </c>
      <c r="O1718">
        <f>Data!I1731</f>
        <v>0</v>
      </c>
      <c r="P1718" s="21">
        <f>Data!J1735</f>
        <v>0</v>
      </c>
      <c r="Q1718">
        <f>Data!K1735</f>
        <v>0</v>
      </c>
      <c r="R1718">
        <f>Data!L1735</f>
        <v>0</v>
      </c>
      <c r="S1718">
        <f>Data!M1735</f>
        <v>0</v>
      </c>
      <c r="T1718">
        <f>Data!N1735</f>
        <v>0</v>
      </c>
      <c r="U1718">
        <f>Data!O1735</f>
        <v>0</v>
      </c>
      <c r="V1718" s="33">
        <f>Data!P1733</f>
        <v>0</v>
      </c>
    </row>
    <row r="1719" spans="7:22" x14ac:dyDescent="0.25">
      <c r="G1719">
        <f>Data!A1732</f>
        <v>0</v>
      </c>
      <c r="H1719" s="21">
        <f>Data!B1732</f>
        <v>0</v>
      </c>
      <c r="I1719" s="21">
        <f>Data!C1732</f>
        <v>0</v>
      </c>
      <c r="J1719">
        <f>Data!D1732</f>
        <v>0</v>
      </c>
      <c r="K1719">
        <f>Data!E1732</f>
        <v>0</v>
      </c>
      <c r="L1719">
        <f>Data!F1732</f>
        <v>0</v>
      </c>
      <c r="M1719">
        <f>Data!G1732</f>
        <v>0</v>
      </c>
      <c r="N1719">
        <f>Data!H1732</f>
        <v>0</v>
      </c>
      <c r="O1719">
        <f>Data!I1732</f>
        <v>0</v>
      </c>
      <c r="P1719" s="21">
        <f>Data!J1736</f>
        <v>0</v>
      </c>
      <c r="Q1719">
        <f>Data!K1736</f>
        <v>0</v>
      </c>
      <c r="R1719">
        <f>Data!L1736</f>
        <v>0</v>
      </c>
      <c r="S1719">
        <f>Data!M1736</f>
        <v>0</v>
      </c>
      <c r="T1719">
        <f>Data!N1736</f>
        <v>0</v>
      </c>
      <c r="U1719">
        <f>Data!O1736</f>
        <v>0</v>
      </c>
      <c r="V1719" s="33">
        <f>Data!P1734</f>
        <v>0</v>
      </c>
    </row>
    <row r="1720" spans="7:22" x14ac:dyDescent="0.25">
      <c r="G1720">
        <f>Data!A1733</f>
        <v>0</v>
      </c>
      <c r="H1720" s="21">
        <f>Data!B1733</f>
        <v>0</v>
      </c>
      <c r="I1720" s="21">
        <f>Data!C1733</f>
        <v>0</v>
      </c>
      <c r="J1720">
        <f>Data!D1733</f>
        <v>0</v>
      </c>
      <c r="K1720">
        <f>Data!E1733</f>
        <v>0</v>
      </c>
      <c r="L1720">
        <f>Data!F1733</f>
        <v>0</v>
      </c>
      <c r="M1720">
        <f>Data!G1733</f>
        <v>0</v>
      </c>
      <c r="N1720">
        <f>Data!H1733</f>
        <v>0</v>
      </c>
      <c r="O1720">
        <f>Data!I1733</f>
        <v>0</v>
      </c>
      <c r="P1720" s="21">
        <f>Data!J1737</f>
        <v>0</v>
      </c>
      <c r="Q1720">
        <f>Data!K1737</f>
        <v>0</v>
      </c>
      <c r="R1720">
        <f>Data!L1737</f>
        <v>0</v>
      </c>
      <c r="S1720">
        <f>Data!M1737</f>
        <v>0</v>
      </c>
      <c r="T1720">
        <f>Data!N1737</f>
        <v>0</v>
      </c>
      <c r="U1720">
        <f>Data!O1737</f>
        <v>0</v>
      </c>
      <c r="V1720" s="33">
        <f>Data!P1735</f>
        <v>0</v>
      </c>
    </row>
    <row r="1721" spans="7:22" x14ac:dyDescent="0.25">
      <c r="G1721">
        <f>Data!A1734</f>
        <v>0</v>
      </c>
      <c r="H1721" s="21">
        <f>Data!B1734</f>
        <v>0</v>
      </c>
      <c r="I1721" s="21">
        <f>Data!C1734</f>
        <v>0</v>
      </c>
      <c r="J1721">
        <f>Data!D1734</f>
        <v>0</v>
      </c>
      <c r="K1721">
        <f>Data!E1734</f>
        <v>0</v>
      </c>
      <c r="L1721">
        <f>Data!F1734</f>
        <v>0</v>
      </c>
      <c r="M1721">
        <f>Data!G1734</f>
        <v>0</v>
      </c>
      <c r="N1721">
        <f>Data!H1734</f>
        <v>0</v>
      </c>
      <c r="O1721">
        <f>Data!I1734</f>
        <v>0</v>
      </c>
      <c r="P1721" s="21">
        <f>Data!J1738</f>
        <v>0</v>
      </c>
      <c r="Q1721">
        <f>Data!K1738</f>
        <v>0</v>
      </c>
      <c r="R1721">
        <f>Data!L1738</f>
        <v>0</v>
      </c>
      <c r="S1721">
        <f>Data!M1738</f>
        <v>0</v>
      </c>
      <c r="T1721">
        <f>Data!N1738</f>
        <v>0</v>
      </c>
      <c r="U1721">
        <f>Data!O1738</f>
        <v>0</v>
      </c>
      <c r="V1721" s="33">
        <f>Data!P1736</f>
        <v>0</v>
      </c>
    </row>
    <row r="1722" spans="7:22" x14ac:dyDescent="0.25">
      <c r="G1722">
        <f>Data!A1735</f>
        <v>0</v>
      </c>
      <c r="H1722" s="21">
        <f>Data!B1735</f>
        <v>0</v>
      </c>
      <c r="I1722" s="21">
        <f>Data!C1735</f>
        <v>0</v>
      </c>
      <c r="J1722">
        <f>Data!D1735</f>
        <v>0</v>
      </c>
      <c r="K1722">
        <f>Data!E1735</f>
        <v>0</v>
      </c>
      <c r="L1722">
        <f>Data!F1735</f>
        <v>0</v>
      </c>
      <c r="M1722">
        <f>Data!G1735</f>
        <v>0</v>
      </c>
      <c r="N1722">
        <f>Data!H1735</f>
        <v>0</v>
      </c>
      <c r="O1722">
        <f>Data!I1735</f>
        <v>0</v>
      </c>
      <c r="P1722" s="21">
        <f>Data!J1739</f>
        <v>0</v>
      </c>
      <c r="Q1722">
        <f>Data!K1739</f>
        <v>0</v>
      </c>
      <c r="R1722">
        <f>Data!L1739</f>
        <v>0</v>
      </c>
      <c r="S1722">
        <f>Data!M1739</f>
        <v>0</v>
      </c>
      <c r="T1722">
        <f>Data!N1739</f>
        <v>0</v>
      </c>
      <c r="U1722">
        <f>Data!O1739</f>
        <v>0</v>
      </c>
      <c r="V1722" s="33">
        <f>Data!P1737</f>
        <v>0</v>
      </c>
    </row>
    <row r="1723" spans="7:22" x14ac:dyDescent="0.25">
      <c r="G1723">
        <f>Data!A1736</f>
        <v>0</v>
      </c>
      <c r="H1723" s="21">
        <f>Data!B1736</f>
        <v>0</v>
      </c>
      <c r="I1723" s="21">
        <f>Data!C1736</f>
        <v>0</v>
      </c>
      <c r="J1723">
        <f>Data!D1736</f>
        <v>0</v>
      </c>
      <c r="K1723">
        <f>Data!E1736</f>
        <v>0</v>
      </c>
      <c r="L1723">
        <f>Data!F1736</f>
        <v>0</v>
      </c>
      <c r="M1723">
        <f>Data!G1736</f>
        <v>0</v>
      </c>
      <c r="N1723">
        <f>Data!H1736</f>
        <v>0</v>
      </c>
      <c r="O1723">
        <f>Data!I1736</f>
        <v>0</v>
      </c>
      <c r="P1723" s="21">
        <f>Data!J1740</f>
        <v>0</v>
      </c>
      <c r="Q1723">
        <f>Data!K1740</f>
        <v>0</v>
      </c>
      <c r="R1723">
        <f>Data!L1740</f>
        <v>0</v>
      </c>
      <c r="S1723">
        <f>Data!M1740</f>
        <v>0</v>
      </c>
      <c r="T1723">
        <f>Data!N1740</f>
        <v>0</v>
      </c>
      <c r="U1723">
        <f>Data!O1740</f>
        <v>0</v>
      </c>
      <c r="V1723" s="33">
        <f>Data!P1738</f>
        <v>0</v>
      </c>
    </row>
    <row r="1724" spans="7:22" x14ac:dyDescent="0.25">
      <c r="G1724">
        <f>Data!A1737</f>
        <v>0</v>
      </c>
      <c r="H1724" s="21">
        <f>Data!B1737</f>
        <v>0</v>
      </c>
      <c r="I1724" s="21">
        <f>Data!C1737</f>
        <v>0</v>
      </c>
      <c r="J1724">
        <f>Data!D1737</f>
        <v>0</v>
      </c>
      <c r="K1724">
        <f>Data!E1737</f>
        <v>0</v>
      </c>
      <c r="L1724">
        <f>Data!F1737</f>
        <v>0</v>
      </c>
      <c r="M1724">
        <f>Data!G1737</f>
        <v>0</v>
      </c>
      <c r="N1724">
        <f>Data!H1737</f>
        <v>0</v>
      </c>
      <c r="O1724">
        <f>Data!I1737</f>
        <v>0</v>
      </c>
      <c r="P1724" s="21">
        <f>Data!J1741</f>
        <v>0</v>
      </c>
      <c r="Q1724">
        <f>Data!K1741</f>
        <v>0</v>
      </c>
      <c r="R1724">
        <f>Data!L1741</f>
        <v>0</v>
      </c>
      <c r="S1724">
        <f>Data!M1741</f>
        <v>0</v>
      </c>
      <c r="T1724">
        <f>Data!N1741</f>
        <v>0</v>
      </c>
      <c r="U1724">
        <f>Data!O1741</f>
        <v>0</v>
      </c>
      <c r="V1724" s="33">
        <f>Data!P1739</f>
        <v>0</v>
      </c>
    </row>
    <row r="1725" spans="7:22" x14ac:dyDescent="0.25">
      <c r="G1725">
        <f>Data!A1738</f>
        <v>0</v>
      </c>
      <c r="H1725" s="21">
        <f>Data!B1738</f>
        <v>0</v>
      </c>
      <c r="I1725" s="21">
        <f>Data!C1738</f>
        <v>0</v>
      </c>
      <c r="J1725">
        <f>Data!D1738</f>
        <v>0</v>
      </c>
      <c r="K1725">
        <f>Data!E1738</f>
        <v>0</v>
      </c>
      <c r="L1725">
        <f>Data!F1738</f>
        <v>0</v>
      </c>
      <c r="M1725">
        <f>Data!G1738</f>
        <v>0</v>
      </c>
      <c r="N1725">
        <f>Data!H1738</f>
        <v>0</v>
      </c>
      <c r="O1725">
        <f>Data!I1738</f>
        <v>0</v>
      </c>
      <c r="P1725" s="21">
        <f>Data!J1742</f>
        <v>0</v>
      </c>
      <c r="Q1725">
        <f>Data!K1742</f>
        <v>0</v>
      </c>
      <c r="R1725">
        <f>Data!L1742</f>
        <v>0</v>
      </c>
      <c r="S1725">
        <f>Data!M1742</f>
        <v>0</v>
      </c>
      <c r="T1725">
        <f>Data!N1742</f>
        <v>0</v>
      </c>
      <c r="U1725">
        <f>Data!O1742</f>
        <v>0</v>
      </c>
      <c r="V1725" s="33">
        <f>Data!P1740</f>
        <v>0</v>
      </c>
    </row>
    <row r="1726" spans="7:22" x14ac:dyDescent="0.25">
      <c r="G1726">
        <f>Data!A1739</f>
        <v>0</v>
      </c>
      <c r="H1726" s="21">
        <f>Data!B1739</f>
        <v>0</v>
      </c>
      <c r="I1726" s="21">
        <f>Data!C1739</f>
        <v>0</v>
      </c>
      <c r="J1726">
        <f>Data!D1739</f>
        <v>0</v>
      </c>
      <c r="K1726">
        <f>Data!E1739</f>
        <v>0</v>
      </c>
      <c r="L1726">
        <f>Data!F1739</f>
        <v>0</v>
      </c>
      <c r="M1726">
        <f>Data!G1739</f>
        <v>0</v>
      </c>
      <c r="N1726">
        <f>Data!H1739</f>
        <v>0</v>
      </c>
      <c r="O1726">
        <f>Data!I1739</f>
        <v>0</v>
      </c>
      <c r="P1726" s="21">
        <f>Data!J1743</f>
        <v>0</v>
      </c>
      <c r="Q1726">
        <f>Data!K1743</f>
        <v>0</v>
      </c>
      <c r="R1726">
        <f>Data!L1743</f>
        <v>0</v>
      </c>
      <c r="S1726">
        <f>Data!M1743</f>
        <v>0</v>
      </c>
      <c r="T1726">
        <f>Data!N1743</f>
        <v>0</v>
      </c>
      <c r="U1726">
        <f>Data!O1743</f>
        <v>0</v>
      </c>
      <c r="V1726" s="33">
        <f>Data!P1741</f>
        <v>0</v>
      </c>
    </row>
    <row r="1727" spans="7:22" x14ac:dyDescent="0.25">
      <c r="G1727">
        <f>Data!A1740</f>
        <v>0</v>
      </c>
      <c r="H1727" s="21">
        <f>Data!B1740</f>
        <v>0</v>
      </c>
      <c r="I1727" s="21">
        <f>Data!C1740</f>
        <v>0</v>
      </c>
      <c r="J1727">
        <f>Data!D1740</f>
        <v>0</v>
      </c>
      <c r="K1727">
        <f>Data!E1740</f>
        <v>0</v>
      </c>
      <c r="L1727">
        <f>Data!F1740</f>
        <v>0</v>
      </c>
      <c r="M1727">
        <f>Data!G1740</f>
        <v>0</v>
      </c>
      <c r="N1727">
        <f>Data!H1740</f>
        <v>0</v>
      </c>
      <c r="O1727">
        <f>Data!I1740</f>
        <v>0</v>
      </c>
      <c r="P1727" s="21">
        <f>Data!J1744</f>
        <v>0</v>
      </c>
      <c r="Q1727">
        <f>Data!K1744</f>
        <v>0</v>
      </c>
      <c r="R1727">
        <f>Data!L1744</f>
        <v>0</v>
      </c>
      <c r="S1727">
        <f>Data!M1744</f>
        <v>0</v>
      </c>
      <c r="T1727">
        <f>Data!N1744</f>
        <v>0</v>
      </c>
      <c r="U1727">
        <f>Data!O1744</f>
        <v>0</v>
      </c>
      <c r="V1727" s="33">
        <f>Data!P1742</f>
        <v>0</v>
      </c>
    </row>
    <row r="1728" spans="7:22" x14ac:dyDescent="0.25">
      <c r="G1728">
        <f>Data!A1741</f>
        <v>0</v>
      </c>
      <c r="H1728" s="21">
        <f>Data!B1741</f>
        <v>0</v>
      </c>
      <c r="I1728" s="21">
        <f>Data!C1741</f>
        <v>0</v>
      </c>
      <c r="J1728">
        <f>Data!D1741</f>
        <v>0</v>
      </c>
      <c r="K1728">
        <f>Data!E1741</f>
        <v>0</v>
      </c>
      <c r="L1728">
        <f>Data!F1741</f>
        <v>0</v>
      </c>
      <c r="M1728">
        <f>Data!G1741</f>
        <v>0</v>
      </c>
      <c r="N1728">
        <f>Data!H1741</f>
        <v>0</v>
      </c>
      <c r="O1728">
        <f>Data!I1741</f>
        <v>0</v>
      </c>
      <c r="P1728" s="21">
        <f>Data!J1745</f>
        <v>0</v>
      </c>
      <c r="Q1728">
        <f>Data!K1745</f>
        <v>0</v>
      </c>
      <c r="R1728">
        <f>Data!L1745</f>
        <v>0</v>
      </c>
      <c r="S1728">
        <f>Data!M1745</f>
        <v>0</v>
      </c>
      <c r="T1728">
        <f>Data!N1745</f>
        <v>0</v>
      </c>
      <c r="U1728">
        <f>Data!O1745</f>
        <v>0</v>
      </c>
      <c r="V1728" s="33">
        <f>Data!P1743</f>
        <v>0</v>
      </c>
    </row>
    <row r="1729" spans="7:22" x14ac:dyDescent="0.25">
      <c r="G1729">
        <f>Data!A1742</f>
        <v>0</v>
      </c>
      <c r="H1729" s="21">
        <f>Data!B1742</f>
        <v>0</v>
      </c>
      <c r="I1729" s="21">
        <f>Data!C1742</f>
        <v>0</v>
      </c>
      <c r="J1729">
        <f>Data!D1742</f>
        <v>0</v>
      </c>
      <c r="K1729">
        <f>Data!E1742</f>
        <v>0</v>
      </c>
      <c r="L1729">
        <f>Data!F1742</f>
        <v>0</v>
      </c>
      <c r="M1729">
        <f>Data!G1742</f>
        <v>0</v>
      </c>
      <c r="N1729">
        <f>Data!H1742</f>
        <v>0</v>
      </c>
      <c r="O1729">
        <f>Data!I1742</f>
        <v>0</v>
      </c>
      <c r="P1729" s="21">
        <f>Data!J1746</f>
        <v>0</v>
      </c>
      <c r="Q1729">
        <f>Data!K1746</f>
        <v>0</v>
      </c>
      <c r="R1729">
        <f>Data!L1746</f>
        <v>0</v>
      </c>
      <c r="S1729">
        <f>Data!M1746</f>
        <v>0</v>
      </c>
      <c r="T1729">
        <f>Data!N1746</f>
        <v>0</v>
      </c>
      <c r="U1729">
        <f>Data!O1746</f>
        <v>0</v>
      </c>
      <c r="V1729" s="33">
        <f>Data!P1744</f>
        <v>0</v>
      </c>
    </row>
    <row r="1730" spans="7:22" x14ac:dyDescent="0.25">
      <c r="G1730">
        <f>Data!A1743</f>
        <v>0</v>
      </c>
      <c r="H1730" s="21">
        <f>Data!B1743</f>
        <v>0</v>
      </c>
      <c r="I1730" s="21">
        <f>Data!C1743</f>
        <v>0</v>
      </c>
      <c r="J1730">
        <f>Data!D1743</f>
        <v>0</v>
      </c>
      <c r="K1730">
        <f>Data!E1743</f>
        <v>0</v>
      </c>
      <c r="L1730">
        <f>Data!F1743</f>
        <v>0</v>
      </c>
      <c r="M1730">
        <f>Data!G1743</f>
        <v>0</v>
      </c>
      <c r="N1730">
        <f>Data!H1743</f>
        <v>0</v>
      </c>
      <c r="O1730">
        <f>Data!I1743</f>
        <v>0</v>
      </c>
      <c r="P1730" s="21">
        <f>Data!J1747</f>
        <v>0</v>
      </c>
      <c r="Q1730">
        <f>Data!K1747</f>
        <v>0</v>
      </c>
      <c r="R1730">
        <f>Data!L1747</f>
        <v>0</v>
      </c>
      <c r="S1730">
        <f>Data!M1747</f>
        <v>0</v>
      </c>
      <c r="T1730">
        <f>Data!N1747</f>
        <v>0</v>
      </c>
      <c r="U1730">
        <f>Data!O1747</f>
        <v>0</v>
      </c>
      <c r="V1730" s="33">
        <f>Data!P1745</f>
        <v>0</v>
      </c>
    </row>
    <row r="1731" spans="7:22" x14ac:dyDescent="0.25">
      <c r="G1731">
        <f>Data!A1744</f>
        <v>0</v>
      </c>
      <c r="H1731" s="21">
        <f>Data!B1744</f>
        <v>0</v>
      </c>
      <c r="I1731" s="21">
        <f>Data!C1744</f>
        <v>0</v>
      </c>
      <c r="J1731">
        <f>Data!D1744</f>
        <v>0</v>
      </c>
      <c r="K1731">
        <f>Data!E1744</f>
        <v>0</v>
      </c>
      <c r="L1731">
        <f>Data!F1744</f>
        <v>0</v>
      </c>
      <c r="M1731">
        <f>Data!G1744</f>
        <v>0</v>
      </c>
      <c r="N1731">
        <f>Data!H1744</f>
        <v>0</v>
      </c>
      <c r="O1731">
        <f>Data!I1744</f>
        <v>0</v>
      </c>
      <c r="P1731" s="21">
        <f>Data!J1748</f>
        <v>0</v>
      </c>
      <c r="Q1731">
        <f>Data!K1748</f>
        <v>0</v>
      </c>
      <c r="R1731">
        <f>Data!L1748</f>
        <v>0</v>
      </c>
      <c r="S1731">
        <f>Data!M1748</f>
        <v>0</v>
      </c>
      <c r="T1731">
        <f>Data!N1748</f>
        <v>0</v>
      </c>
      <c r="U1731">
        <f>Data!O1748</f>
        <v>0</v>
      </c>
      <c r="V1731" s="33">
        <f>Data!P1746</f>
        <v>0</v>
      </c>
    </row>
    <row r="1732" spans="7:22" x14ac:dyDescent="0.25">
      <c r="G1732">
        <f>Data!A1745</f>
        <v>0</v>
      </c>
      <c r="H1732" s="21">
        <f>Data!B1745</f>
        <v>0</v>
      </c>
      <c r="I1732" s="21">
        <f>Data!C1745</f>
        <v>0</v>
      </c>
      <c r="J1732">
        <f>Data!D1745</f>
        <v>0</v>
      </c>
      <c r="K1732">
        <f>Data!E1745</f>
        <v>0</v>
      </c>
      <c r="L1732">
        <f>Data!F1745</f>
        <v>0</v>
      </c>
      <c r="M1732">
        <f>Data!G1745</f>
        <v>0</v>
      </c>
      <c r="N1732">
        <f>Data!H1745</f>
        <v>0</v>
      </c>
      <c r="O1732">
        <f>Data!I1745</f>
        <v>0</v>
      </c>
      <c r="P1732" s="21">
        <f>Data!J1749</f>
        <v>0</v>
      </c>
      <c r="Q1732">
        <f>Data!K1749</f>
        <v>0</v>
      </c>
      <c r="R1732">
        <f>Data!L1749</f>
        <v>0</v>
      </c>
      <c r="S1732">
        <f>Data!M1749</f>
        <v>0</v>
      </c>
      <c r="T1732">
        <f>Data!N1749</f>
        <v>0</v>
      </c>
      <c r="U1732">
        <f>Data!O1749</f>
        <v>0</v>
      </c>
      <c r="V1732" s="33">
        <f>Data!P1747</f>
        <v>0</v>
      </c>
    </row>
    <row r="1733" spans="7:22" x14ac:dyDescent="0.25">
      <c r="G1733">
        <f>Data!A1746</f>
        <v>0</v>
      </c>
      <c r="H1733" s="21">
        <f>Data!B1746</f>
        <v>0</v>
      </c>
      <c r="I1733" s="21">
        <f>Data!C1746</f>
        <v>0</v>
      </c>
      <c r="J1733">
        <f>Data!D1746</f>
        <v>0</v>
      </c>
      <c r="K1733">
        <f>Data!E1746</f>
        <v>0</v>
      </c>
      <c r="L1733">
        <f>Data!F1746</f>
        <v>0</v>
      </c>
      <c r="M1733">
        <f>Data!G1746</f>
        <v>0</v>
      </c>
      <c r="N1733">
        <f>Data!H1746</f>
        <v>0</v>
      </c>
      <c r="O1733">
        <f>Data!I1746</f>
        <v>0</v>
      </c>
      <c r="P1733" s="21">
        <f>Data!J1750</f>
        <v>0</v>
      </c>
      <c r="Q1733">
        <f>Data!K1750</f>
        <v>0</v>
      </c>
      <c r="R1733">
        <f>Data!L1750</f>
        <v>0</v>
      </c>
      <c r="S1733">
        <f>Data!M1750</f>
        <v>0</v>
      </c>
      <c r="T1733">
        <f>Data!N1750</f>
        <v>0</v>
      </c>
      <c r="U1733">
        <f>Data!O1750</f>
        <v>0</v>
      </c>
      <c r="V1733" s="33">
        <f>Data!P1748</f>
        <v>0</v>
      </c>
    </row>
    <row r="1734" spans="7:22" x14ac:dyDescent="0.25">
      <c r="G1734">
        <f>Data!A1747</f>
        <v>0</v>
      </c>
      <c r="H1734" s="21">
        <f>Data!B1747</f>
        <v>0</v>
      </c>
      <c r="I1734" s="21">
        <f>Data!C1747</f>
        <v>0</v>
      </c>
      <c r="J1734">
        <f>Data!D1747</f>
        <v>0</v>
      </c>
      <c r="K1734">
        <f>Data!E1747</f>
        <v>0</v>
      </c>
      <c r="L1734">
        <f>Data!F1747</f>
        <v>0</v>
      </c>
      <c r="M1734">
        <f>Data!G1747</f>
        <v>0</v>
      </c>
      <c r="N1734">
        <f>Data!H1747</f>
        <v>0</v>
      </c>
      <c r="O1734">
        <f>Data!I1747</f>
        <v>0</v>
      </c>
      <c r="P1734" s="21">
        <f>Data!J1751</f>
        <v>0</v>
      </c>
      <c r="Q1734">
        <f>Data!K1751</f>
        <v>0</v>
      </c>
      <c r="R1734">
        <f>Data!L1751</f>
        <v>0</v>
      </c>
      <c r="S1734">
        <f>Data!M1751</f>
        <v>0</v>
      </c>
      <c r="T1734">
        <f>Data!N1751</f>
        <v>0</v>
      </c>
      <c r="U1734">
        <f>Data!O1751</f>
        <v>0</v>
      </c>
      <c r="V1734" s="33">
        <f>Data!P1749</f>
        <v>0</v>
      </c>
    </row>
    <row r="1735" spans="7:22" x14ac:dyDescent="0.25">
      <c r="G1735">
        <f>Data!A1748</f>
        <v>0</v>
      </c>
      <c r="H1735" s="21">
        <f>Data!B1748</f>
        <v>0</v>
      </c>
      <c r="I1735" s="21">
        <f>Data!C1748</f>
        <v>0</v>
      </c>
      <c r="J1735">
        <f>Data!D1748</f>
        <v>0</v>
      </c>
      <c r="K1735">
        <f>Data!E1748</f>
        <v>0</v>
      </c>
      <c r="L1735">
        <f>Data!F1748</f>
        <v>0</v>
      </c>
      <c r="M1735">
        <f>Data!G1748</f>
        <v>0</v>
      </c>
      <c r="N1735">
        <f>Data!H1748</f>
        <v>0</v>
      </c>
      <c r="O1735">
        <f>Data!I1748</f>
        <v>0</v>
      </c>
      <c r="P1735" s="21">
        <f>Data!J1752</f>
        <v>0</v>
      </c>
      <c r="Q1735">
        <f>Data!K1752</f>
        <v>0</v>
      </c>
      <c r="R1735">
        <f>Data!L1752</f>
        <v>0</v>
      </c>
      <c r="S1735">
        <f>Data!M1752</f>
        <v>0</v>
      </c>
      <c r="T1735">
        <f>Data!N1752</f>
        <v>0</v>
      </c>
      <c r="U1735">
        <f>Data!O1752</f>
        <v>0</v>
      </c>
      <c r="V1735" s="33">
        <f>Data!P1750</f>
        <v>0</v>
      </c>
    </row>
    <row r="1736" spans="7:22" x14ac:dyDescent="0.25">
      <c r="G1736">
        <f>Data!A1749</f>
        <v>0</v>
      </c>
      <c r="H1736" s="21">
        <f>Data!B1749</f>
        <v>0</v>
      </c>
      <c r="I1736" s="21">
        <f>Data!C1749</f>
        <v>0</v>
      </c>
      <c r="J1736">
        <f>Data!D1749</f>
        <v>0</v>
      </c>
      <c r="K1736">
        <f>Data!E1749</f>
        <v>0</v>
      </c>
      <c r="L1736">
        <f>Data!F1749</f>
        <v>0</v>
      </c>
      <c r="M1736">
        <f>Data!G1749</f>
        <v>0</v>
      </c>
      <c r="N1736">
        <f>Data!H1749</f>
        <v>0</v>
      </c>
      <c r="O1736">
        <f>Data!I1749</f>
        <v>0</v>
      </c>
      <c r="P1736" s="21">
        <f>Data!J1753</f>
        <v>0</v>
      </c>
      <c r="Q1736">
        <f>Data!K1753</f>
        <v>0</v>
      </c>
      <c r="R1736">
        <f>Data!L1753</f>
        <v>0</v>
      </c>
      <c r="S1736">
        <f>Data!M1753</f>
        <v>0</v>
      </c>
      <c r="T1736">
        <f>Data!N1753</f>
        <v>0</v>
      </c>
      <c r="U1736">
        <f>Data!O1753</f>
        <v>0</v>
      </c>
      <c r="V1736" s="33">
        <f>Data!P1751</f>
        <v>0</v>
      </c>
    </row>
    <row r="1737" spans="7:22" x14ac:dyDescent="0.25">
      <c r="G1737">
        <f>Data!A1750</f>
        <v>0</v>
      </c>
      <c r="H1737" s="21">
        <f>Data!B1750</f>
        <v>0</v>
      </c>
      <c r="I1737" s="21">
        <f>Data!C1750</f>
        <v>0</v>
      </c>
      <c r="J1737">
        <f>Data!D1750</f>
        <v>0</v>
      </c>
      <c r="K1737">
        <f>Data!E1750</f>
        <v>0</v>
      </c>
      <c r="L1737">
        <f>Data!F1750</f>
        <v>0</v>
      </c>
      <c r="M1737">
        <f>Data!G1750</f>
        <v>0</v>
      </c>
      <c r="N1737">
        <f>Data!H1750</f>
        <v>0</v>
      </c>
      <c r="O1737">
        <f>Data!I1750</f>
        <v>0</v>
      </c>
      <c r="P1737" s="21">
        <f>Data!J1754</f>
        <v>0</v>
      </c>
      <c r="Q1737">
        <f>Data!K1754</f>
        <v>0</v>
      </c>
      <c r="R1737">
        <f>Data!L1754</f>
        <v>0</v>
      </c>
      <c r="S1737">
        <f>Data!M1754</f>
        <v>0</v>
      </c>
      <c r="T1737">
        <f>Data!N1754</f>
        <v>0</v>
      </c>
      <c r="U1737">
        <f>Data!O1754</f>
        <v>0</v>
      </c>
      <c r="V1737" s="33">
        <f>Data!P1752</f>
        <v>0</v>
      </c>
    </row>
    <row r="1738" spans="7:22" x14ac:dyDescent="0.25">
      <c r="G1738">
        <f>Data!A1751</f>
        <v>0</v>
      </c>
      <c r="H1738" s="21">
        <f>Data!B1751</f>
        <v>0</v>
      </c>
      <c r="I1738" s="21">
        <f>Data!C1751</f>
        <v>0</v>
      </c>
      <c r="J1738">
        <f>Data!D1751</f>
        <v>0</v>
      </c>
      <c r="K1738">
        <f>Data!E1751</f>
        <v>0</v>
      </c>
      <c r="L1738">
        <f>Data!F1751</f>
        <v>0</v>
      </c>
      <c r="M1738">
        <f>Data!G1751</f>
        <v>0</v>
      </c>
      <c r="N1738">
        <f>Data!H1751</f>
        <v>0</v>
      </c>
      <c r="O1738">
        <f>Data!I1751</f>
        <v>0</v>
      </c>
      <c r="P1738" s="21">
        <f>Data!J1755</f>
        <v>0</v>
      </c>
      <c r="Q1738">
        <f>Data!K1755</f>
        <v>0</v>
      </c>
      <c r="R1738">
        <f>Data!L1755</f>
        <v>0</v>
      </c>
      <c r="S1738">
        <f>Data!M1755</f>
        <v>0</v>
      </c>
      <c r="T1738">
        <f>Data!N1755</f>
        <v>0</v>
      </c>
      <c r="U1738">
        <f>Data!O1755</f>
        <v>0</v>
      </c>
      <c r="V1738" s="33">
        <f>Data!P1753</f>
        <v>0</v>
      </c>
    </row>
    <row r="1739" spans="7:22" x14ac:dyDescent="0.25">
      <c r="G1739">
        <f>Data!A1752</f>
        <v>0</v>
      </c>
      <c r="H1739" s="21">
        <f>Data!B1752</f>
        <v>0</v>
      </c>
      <c r="I1739" s="21">
        <f>Data!C1752</f>
        <v>0</v>
      </c>
      <c r="J1739">
        <f>Data!D1752</f>
        <v>0</v>
      </c>
      <c r="K1739">
        <f>Data!E1752</f>
        <v>0</v>
      </c>
      <c r="L1739">
        <f>Data!F1752</f>
        <v>0</v>
      </c>
      <c r="M1739">
        <f>Data!G1752</f>
        <v>0</v>
      </c>
      <c r="N1739">
        <f>Data!H1752</f>
        <v>0</v>
      </c>
      <c r="O1739">
        <f>Data!I1752</f>
        <v>0</v>
      </c>
      <c r="P1739" s="21">
        <f>Data!J1756</f>
        <v>0</v>
      </c>
      <c r="Q1739">
        <f>Data!K1756</f>
        <v>0</v>
      </c>
      <c r="R1739">
        <f>Data!L1756</f>
        <v>0</v>
      </c>
      <c r="S1739">
        <f>Data!M1756</f>
        <v>0</v>
      </c>
      <c r="T1739">
        <f>Data!N1756</f>
        <v>0</v>
      </c>
      <c r="U1739">
        <f>Data!O1756</f>
        <v>0</v>
      </c>
      <c r="V1739" s="33">
        <f>Data!P1754</f>
        <v>0</v>
      </c>
    </row>
    <row r="1740" spans="7:22" x14ac:dyDescent="0.25">
      <c r="G1740">
        <f>Data!A1753</f>
        <v>0</v>
      </c>
      <c r="H1740" s="21">
        <f>Data!B1753</f>
        <v>0</v>
      </c>
      <c r="I1740" s="21">
        <f>Data!C1753</f>
        <v>0</v>
      </c>
      <c r="J1740">
        <f>Data!D1753</f>
        <v>0</v>
      </c>
      <c r="K1740">
        <f>Data!E1753</f>
        <v>0</v>
      </c>
      <c r="L1740">
        <f>Data!F1753</f>
        <v>0</v>
      </c>
      <c r="M1740">
        <f>Data!G1753</f>
        <v>0</v>
      </c>
      <c r="N1740">
        <f>Data!H1753</f>
        <v>0</v>
      </c>
      <c r="O1740">
        <f>Data!I1753</f>
        <v>0</v>
      </c>
      <c r="P1740" s="21">
        <f>Data!J1757</f>
        <v>0</v>
      </c>
      <c r="Q1740">
        <f>Data!K1757</f>
        <v>0</v>
      </c>
      <c r="R1740">
        <f>Data!L1757</f>
        <v>0</v>
      </c>
      <c r="S1740">
        <f>Data!M1757</f>
        <v>0</v>
      </c>
      <c r="T1740">
        <f>Data!N1757</f>
        <v>0</v>
      </c>
      <c r="U1740">
        <f>Data!O1757</f>
        <v>0</v>
      </c>
      <c r="V1740" s="33">
        <f>Data!P1755</f>
        <v>0</v>
      </c>
    </row>
    <row r="1741" spans="7:22" x14ac:dyDescent="0.25">
      <c r="G1741">
        <f>Data!A1754</f>
        <v>0</v>
      </c>
      <c r="H1741" s="21">
        <f>Data!B1754</f>
        <v>0</v>
      </c>
      <c r="I1741" s="21">
        <f>Data!C1754</f>
        <v>0</v>
      </c>
      <c r="J1741">
        <f>Data!D1754</f>
        <v>0</v>
      </c>
      <c r="K1741">
        <f>Data!E1754</f>
        <v>0</v>
      </c>
      <c r="L1741">
        <f>Data!F1754</f>
        <v>0</v>
      </c>
      <c r="M1741">
        <f>Data!G1754</f>
        <v>0</v>
      </c>
      <c r="N1741">
        <f>Data!H1754</f>
        <v>0</v>
      </c>
      <c r="O1741">
        <f>Data!I1754</f>
        <v>0</v>
      </c>
      <c r="P1741" s="21">
        <f>Data!J1758</f>
        <v>0</v>
      </c>
      <c r="Q1741">
        <f>Data!K1758</f>
        <v>0</v>
      </c>
      <c r="R1741">
        <f>Data!L1758</f>
        <v>0</v>
      </c>
      <c r="S1741">
        <f>Data!M1758</f>
        <v>0</v>
      </c>
      <c r="T1741">
        <f>Data!N1758</f>
        <v>0</v>
      </c>
      <c r="U1741">
        <f>Data!O1758</f>
        <v>0</v>
      </c>
      <c r="V1741" s="33">
        <f>Data!P1756</f>
        <v>0</v>
      </c>
    </row>
    <row r="1742" spans="7:22" x14ac:dyDescent="0.25">
      <c r="G1742">
        <f>Data!A1755</f>
        <v>0</v>
      </c>
      <c r="H1742" s="21">
        <f>Data!B1755</f>
        <v>0</v>
      </c>
      <c r="I1742" s="21">
        <f>Data!C1755</f>
        <v>0</v>
      </c>
      <c r="J1742">
        <f>Data!D1755</f>
        <v>0</v>
      </c>
      <c r="K1742">
        <f>Data!E1755</f>
        <v>0</v>
      </c>
      <c r="L1742">
        <f>Data!F1755</f>
        <v>0</v>
      </c>
      <c r="M1742">
        <f>Data!G1755</f>
        <v>0</v>
      </c>
      <c r="N1742">
        <f>Data!H1755</f>
        <v>0</v>
      </c>
      <c r="O1742">
        <f>Data!I1755</f>
        <v>0</v>
      </c>
      <c r="P1742" s="21">
        <f>Data!J1759</f>
        <v>0</v>
      </c>
      <c r="Q1742">
        <f>Data!K1759</f>
        <v>0</v>
      </c>
      <c r="R1742">
        <f>Data!L1759</f>
        <v>0</v>
      </c>
      <c r="S1742">
        <f>Data!M1759</f>
        <v>0</v>
      </c>
      <c r="T1742">
        <f>Data!N1759</f>
        <v>0</v>
      </c>
      <c r="U1742">
        <f>Data!O1759</f>
        <v>0</v>
      </c>
      <c r="V1742" s="33">
        <f>Data!P1757</f>
        <v>0</v>
      </c>
    </row>
    <row r="1743" spans="7:22" x14ac:dyDescent="0.25">
      <c r="G1743">
        <f>Data!A1756</f>
        <v>0</v>
      </c>
      <c r="H1743" s="21">
        <f>Data!B1756</f>
        <v>0</v>
      </c>
      <c r="I1743" s="21">
        <f>Data!C1756</f>
        <v>0</v>
      </c>
      <c r="J1743">
        <f>Data!D1756</f>
        <v>0</v>
      </c>
      <c r="K1743">
        <f>Data!E1756</f>
        <v>0</v>
      </c>
      <c r="L1743">
        <f>Data!F1756</f>
        <v>0</v>
      </c>
      <c r="M1743">
        <f>Data!G1756</f>
        <v>0</v>
      </c>
      <c r="N1743">
        <f>Data!H1756</f>
        <v>0</v>
      </c>
      <c r="O1743">
        <f>Data!I1756</f>
        <v>0</v>
      </c>
      <c r="P1743" s="21">
        <f>Data!J1760</f>
        <v>0</v>
      </c>
      <c r="Q1743">
        <f>Data!K1760</f>
        <v>0</v>
      </c>
      <c r="R1743">
        <f>Data!L1760</f>
        <v>0</v>
      </c>
      <c r="S1743">
        <f>Data!M1760</f>
        <v>0</v>
      </c>
      <c r="T1743">
        <f>Data!N1760</f>
        <v>0</v>
      </c>
      <c r="U1743">
        <f>Data!O1760</f>
        <v>0</v>
      </c>
      <c r="V1743" s="33">
        <f>Data!P1758</f>
        <v>0</v>
      </c>
    </row>
    <row r="1744" spans="7:22" x14ac:dyDescent="0.25">
      <c r="G1744">
        <f>Data!A1757</f>
        <v>0</v>
      </c>
      <c r="H1744" s="21">
        <f>Data!B1757</f>
        <v>0</v>
      </c>
      <c r="I1744" s="21">
        <f>Data!C1757</f>
        <v>0</v>
      </c>
      <c r="J1744">
        <f>Data!D1757</f>
        <v>0</v>
      </c>
      <c r="K1744">
        <f>Data!E1757</f>
        <v>0</v>
      </c>
      <c r="L1744">
        <f>Data!F1757</f>
        <v>0</v>
      </c>
      <c r="M1744">
        <f>Data!G1757</f>
        <v>0</v>
      </c>
      <c r="N1744">
        <f>Data!H1757</f>
        <v>0</v>
      </c>
      <c r="O1744">
        <f>Data!I1757</f>
        <v>0</v>
      </c>
      <c r="P1744" s="21">
        <f>Data!J1761</f>
        <v>0</v>
      </c>
      <c r="Q1744">
        <f>Data!K1761</f>
        <v>0</v>
      </c>
      <c r="R1744">
        <f>Data!L1761</f>
        <v>0</v>
      </c>
      <c r="S1744">
        <f>Data!M1761</f>
        <v>0</v>
      </c>
      <c r="T1744">
        <f>Data!N1761</f>
        <v>0</v>
      </c>
      <c r="U1744">
        <f>Data!O1761</f>
        <v>0</v>
      </c>
      <c r="V1744" s="33">
        <f>Data!P1759</f>
        <v>0</v>
      </c>
    </row>
    <row r="1745" spans="7:22" x14ac:dyDescent="0.25">
      <c r="G1745">
        <f>Data!A1758</f>
        <v>0</v>
      </c>
      <c r="H1745" s="21">
        <f>Data!B1758</f>
        <v>0</v>
      </c>
      <c r="I1745" s="21">
        <f>Data!C1758</f>
        <v>0</v>
      </c>
      <c r="J1745">
        <f>Data!D1758</f>
        <v>0</v>
      </c>
      <c r="K1745">
        <f>Data!E1758</f>
        <v>0</v>
      </c>
      <c r="L1745">
        <f>Data!F1758</f>
        <v>0</v>
      </c>
      <c r="M1745">
        <f>Data!G1758</f>
        <v>0</v>
      </c>
      <c r="N1745">
        <f>Data!H1758</f>
        <v>0</v>
      </c>
      <c r="O1745">
        <f>Data!I1758</f>
        <v>0</v>
      </c>
      <c r="P1745" s="21">
        <f>Data!J1762</f>
        <v>0</v>
      </c>
      <c r="Q1745">
        <f>Data!K1762</f>
        <v>0</v>
      </c>
      <c r="R1745">
        <f>Data!L1762</f>
        <v>0</v>
      </c>
      <c r="S1745">
        <f>Data!M1762</f>
        <v>0</v>
      </c>
      <c r="T1745">
        <f>Data!N1762</f>
        <v>0</v>
      </c>
      <c r="U1745">
        <f>Data!O1762</f>
        <v>0</v>
      </c>
      <c r="V1745" s="33">
        <f>Data!P1760</f>
        <v>0</v>
      </c>
    </row>
    <row r="1746" spans="7:22" x14ac:dyDescent="0.25">
      <c r="G1746">
        <f>Data!A1759</f>
        <v>0</v>
      </c>
      <c r="H1746" s="21">
        <f>Data!B1759</f>
        <v>0</v>
      </c>
      <c r="I1746" s="21">
        <f>Data!C1759</f>
        <v>0</v>
      </c>
      <c r="J1746">
        <f>Data!D1759</f>
        <v>0</v>
      </c>
      <c r="K1746">
        <f>Data!E1759</f>
        <v>0</v>
      </c>
      <c r="L1746">
        <f>Data!F1759</f>
        <v>0</v>
      </c>
      <c r="M1746">
        <f>Data!G1759</f>
        <v>0</v>
      </c>
      <c r="N1746">
        <f>Data!H1759</f>
        <v>0</v>
      </c>
      <c r="O1746">
        <f>Data!I1759</f>
        <v>0</v>
      </c>
      <c r="P1746" s="21">
        <f>Data!J1763</f>
        <v>0</v>
      </c>
      <c r="Q1746">
        <f>Data!K1763</f>
        <v>0</v>
      </c>
      <c r="R1746">
        <f>Data!L1763</f>
        <v>0</v>
      </c>
      <c r="S1746">
        <f>Data!M1763</f>
        <v>0</v>
      </c>
      <c r="T1746">
        <f>Data!N1763</f>
        <v>0</v>
      </c>
      <c r="U1746">
        <f>Data!O1763</f>
        <v>0</v>
      </c>
      <c r="V1746" s="33">
        <f>Data!P1761</f>
        <v>0</v>
      </c>
    </row>
    <row r="1747" spans="7:22" x14ac:dyDescent="0.25">
      <c r="G1747">
        <f>Data!A1760</f>
        <v>0</v>
      </c>
      <c r="H1747" s="21">
        <f>Data!B1760</f>
        <v>0</v>
      </c>
      <c r="I1747" s="21">
        <f>Data!C1760</f>
        <v>0</v>
      </c>
      <c r="J1747">
        <f>Data!D1760</f>
        <v>0</v>
      </c>
      <c r="K1747">
        <f>Data!E1760</f>
        <v>0</v>
      </c>
      <c r="L1747">
        <f>Data!F1760</f>
        <v>0</v>
      </c>
      <c r="M1747">
        <f>Data!G1760</f>
        <v>0</v>
      </c>
      <c r="N1747">
        <f>Data!H1760</f>
        <v>0</v>
      </c>
      <c r="O1747">
        <f>Data!I1760</f>
        <v>0</v>
      </c>
      <c r="P1747" s="21">
        <f>Data!J1764</f>
        <v>0</v>
      </c>
      <c r="Q1747">
        <f>Data!K1764</f>
        <v>0</v>
      </c>
      <c r="R1747">
        <f>Data!L1764</f>
        <v>0</v>
      </c>
      <c r="S1747">
        <f>Data!M1764</f>
        <v>0</v>
      </c>
      <c r="T1747">
        <f>Data!N1764</f>
        <v>0</v>
      </c>
      <c r="U1747">
        <f>Data!O1764</f>
        <v>0</v>
      </c>
      <c r="V1747" s="33">
        <f>Data!P1762</f>
        <v>0</v>
      </c>
    </row>
    <row r="1748" spans="7:22" x14ac:dyDescent="0.25">
      <c r="G1748">
        <f>Data!A1761</f>
        <v>0</v>
      </c>
      <c r="H1748" s="21">
        <f>Data!B1761</f>
        <v>0</v>
      </c>
      <c r="I1748" s="21">
        <f>Data!C1761</f>
        <v>0</v>
      </c>
      <c r="J1748">
        <f>Data!D1761</f>
        <v>0</v>
      </c>
      <c r="K1748">
        <f>Data!E1761</f>
        <v>0</v>
      </c>
      <c r="L1748">
        <f>Data!F1761</f>
        <v>0</v>
      </c>
      <c r="M1748">
        <f>Data!G1761</f>
        <v>0</v>
      </c>
      <c r="N1748">
        <f>Data!H1761</f>
        <v>0</v>
      </c>
      <c r="O1748">
        <f>Data!I1761</f>
        <v>0</v>
      </c>
      <c r="P1748" s="21">
        <f>Data!J1765</f>
        <v>0</v>
      </c>
      <c r="Q1748">
        <f>Data!K1765</f>
        <v>0</v>
      </c>
      <c r="R1748">
        <f>Data!L1765</f>
        <v>0</v>
      </c>
      <c r="S1748">
        <f>Data!M1765</f>
        <v>0</v>
      </c>
      <c r="T1748">
        <f>Data!N1765</f>
        <v>0</v>
      </c>
      <c r="U1748">
        <f>Data!O1765</f>
        <v>0</v>
      </c>
      <c r="V1748" s="33">
        <f>Data!P1763</f>
        <v>0</v>
      </c>
    </row>
    <row r="1749" spans="7:22" x14ac:dyDescent="0.25">
      <c r="G1749">
        <f>Data!A1762</f>
        <v>0</v>
      </c>
      <c r="H1749" s="21">
        <f>Data!B1762</f>
        <v>0</v>
      </c>
      <c r="I1749" s="21">
        <f>Data!C1762</f>
        <v>0</v>
      </c>
      <c r="J1749">
        <f>Data!D1762</f>
        <v>0</v>
      </c>
      <c r="K1749">
        <f>Data!E1762</f>
        <v>0</v>
      </c>
      <c r="L1749">
        <f>Data!F1762</f>
        <v>0</v>
      </c>
      <c r="M1749">
        <f>Data!G1762</f>
        <v>0</v>
      </c>
      <c r="N1749">
        <f>Data!H1762</f>
        <v>0</v>
      </c>
      <c r="O1749">
        <f>Data!I1762</f>
        <v>0</v>
      </c>
      <c r="P1749" s="21">
        <f>Data!J1766</f>
        <v>0</v>
      </c>
      <c r="Q1749">
        <f>Data!K1766</f>
        <v>0</v>
      </c>
      <c r="R1749">
        <f>Data!L1766</f>
        <v>0</v>
      </c>
      <c r="S1749">
        <f>Data!M1766</f>
        <v>0</v>
      </c>
      <c r="T1749">
        <f>Data!N1766</f>
        <v>0</v>
      </c>
      <c r="U1749">
        <f>Data!O1766</f>
        <v>0</v>
      </c>
      <c r="V1749" s="33">
        <f>Data!P1764</f>
        <v>0</v>
      </c>
    </row>
    <row r="1750" spans="7:22" x14ac:dyDescent="0.25">
      <c r="G1750">
        <f>Data!A1763</f>
        <v>0</v>
      </c>
      <c r="H1750" s="21">
        <f>Data!B1763</f>
        <v>0</v>
      </c>
      <c r="I1750" s="21">
        <f>Data!C1763</f>
        <v>0</v>
      </c>
      <c r="J1750">
        <f>Data!D1763</f>
        <v>0</v>
      </c>
      <c r="K1750">
        <f>Data!E1763</f>
        <v>0</v>
      </c>
      <c r="L1750">
        <f>Data!F1763</f>
        <v>0</v>
      </c>
      <c r="M1750">
        <f>Data!G1763</f>
        <v>0</v>
      </c>
      <c r="N1750">
        <f>Data!H1763</f>
        <v>0</v>
      </c>
      <c r="O1750">
        <f>Data!I1763</f>
        <v>0</v>
      </c>
      <c r="P1750" s="21">
        <f>Data!J1767</f>
        <v>0</v>
      </c>
      <c r="Q1750">
        <f>Data!K1767</f>
        <v>0</v>
      </c>
      <c r="R1750">
        <f>Data!L1767</f>
        <v>0</v>
      </c>
      <c r="S1750">
        <f>Data!M1767</f>
        <v>0</v>
      </c>
      <c r="T1750">
        <f>Data!N1767</f>
        <v>0</v>
      </c>
      <c r="U1750">
        <f>Data!O1767</f>
        <v>0</v>
      </c>
      <c r="V1750" s="33">
        <f>Data!P1765</f>
        <v>0</v>
      </c>
    </row>
    <row r="1751" spans="7:22" x14ac:dyDescent="0.25">
      <c r="G1751">
        <f>Data!A1764</f>
        <v>0</v>
      </c>
      <c r="H1751" s="21">
        <f>Data!B1764</f>
        <v>0</v>
      </c>
      <c r="I1751" s="21">
        <f>Data!C1764</f>
        <v>0</v>
      </c>
      <c r="J1751">
        <f>Data!D1764</f>
        <v>0</v>
      </c>
      <c r="K1751">
        <f>Data!E1764</f>
        <v>0</v>
      </c>
      <c r="L1751">
        <f>Data!F1764</f>
        <v>0</v>
      </c>
      <c r="M1751">
        <f>Data!G1764</f>
        <v>0</v>
      </c>
      <c r="N1751">
        <f>Data!H1764</f>
        <v>0</v>
      </c>
      <c r="O1751">
        <f>Data!I1764</f>
        <v>0</v>
      </c>
      <c r="P1751" s="21">
        <f>Data!J1768</f>
        <v>0</v>
      </c>
      <c r="Q1751">
        <f>Data!K1768</f>
        <v>0</v>
      </c>
      <c r="R1751">
        <f>Data!L1768</f>
        <v>0</v>
      </c>
      <c r="S1751">
        <f>Data!M1768</f>
        <v>0</v>
      </c>
      <c r="T1751">
        <f>Data!N1768</f>
        <v>0</v>
      </c>
      <c r="U1751">
        <f>Data!O1768</f>
        <v>0</v>
      </c>
      <c r="V1751" s="33">
        <f>Data!P1766</f>
        <v>0</v>
      </c>
    </row>
    <row r="1752" spans="7:22" x14ac:dyDescent="0.25">
      <c r="G1752">
        <f>Data!A1765</f>
        <v>0</v>
      </c>
      <c r="H1752" s="21">
        <f>Data!B1765</f>
        <v>0</v>
      </c>
      <c r="I1752" s="21">
        <f>Data!C1765</f>
        <v>0</v>
      </c>
      <c r="J1752">
        <f>Data!D1765</f>
        <v>0</v>
      </c>
      <c r="K1752">
        <f>Data!E1765</f>
        <v>0</v>
      </c>
      <c r="L1752">
        <f>Data!F1765</f>
        <v>0</v>
      </c>
      <c r="M1752">
        <f>Data!G1765</f>
        <v>0</v>
      </c>
      <c r="N1752">
        <f>Data!H1765</f>
        <v>0</v>
      </c>
      <c r="O1752">
        <f>Data!I1765</f>
        <v>0</v>
      </c>
      <c r="P1752" s="21">
        <f>Data!J1769</f>
        <v>0</v>
      </c>
      <c r="Q1752">
        <f>Data!K1769</f>
        <v>0</v>
      </c>
      <c r="R1752">
        <f>Data!L1769</f>
        <v>0</v>
      </c>
      <c r="S1752">
        <f>Data!M1769</f>
        <v>0</v>
      </c>
      <c r="T1752">
        <f>Data!N1769</f>
        <v>0</v>
      </c>
      <c r="U1752">
        <f>Data!O1769</f>
        <v>0</v>
      </c>
      <c r="V1752" s="33">
        <f>Data!P1767</f>
        <v>0</v>
      </c>
    </row>
    <row r="1753" spans="7:22" x14ac:dyDescent="0.25">
      <c r="G1753">
        <f>Data!A1766</f>
        <v>0</v>
      </c>
      <c r="H1753" s="21">
        <f>Data!B1766</f>
        <v>0</v>
      </c>
      <c r="I1753" s="21">
        <f>Data!C1766</f>
        <v>0</v>
      </c>
      <c r="J1753">
        <f>Data!D1766</f>
        <v>0</v>
      </c>
      <c r="K1753">
        <f>Data!E1766</f>
        <v>0</v>
      </c>
      <c r="L1753">
        <f>Data!F1766</f>
        <v>0</v>
      </c>
      <c r="M1753">
        <f>Data!G1766</f>
        <v>0</v>
      </c>
      <c r="N1753">
        <f>Data!H1766</f>
        <v>0</v>
      </c>
      <c r="O1753">
        <f>Data!I1766</f>
        <v>0</v>
      </c>
      <c r="P1753" s="21">
        <f>Data!J1770</f>
        <v>0</v>
      </c>
      <c r="Q1753">
        <f>Data!K1770</f>
        <v>0</v>
      </c>
      <c r="R1753">
        <f>Data!L1770</f>
        <v>0</v>
      </c>
      <c r="S1753">
        <f>Data!M1770</f>
        <v>0</v>
      </c>
      <c r="T1753">
        <f>Data!N1770</f>
        <v>0</v>
      </c>
      <c r="U1753">
        <f>Data!O1770</f>
        <v>0</v>
      </c>
      <c r="V1753" s="33">
        <f>Data!P1768</f>
        <v>0</v>
      </c>
    </row>
    <row r="1754" spans="7:22" x14ac:dyDescent="0.25">
      <c r="G1754">
        <f>Data!A1767</f>
        <v>0</v>
      </c>
      <c r="H1754" s="21">
        <f>Data!B1767</f>
        <v>0</v>
      </c>
      <c r="I1754" s="21">
        <f>Data!C1767</f>
        <v>0</v>
      </c>
      <c r="J1754">
        <f>Data!D1767</f>
        <v>0</v>
      </c>
      <c r="K1754">
        <f>Data!E1767</f>
        <v>0</v>
      </c>
      <c r="L1754">
        <f>Data!F1767</f>
        <v>0</v>
      </c>
      <c r="M1754">
        <f>Data!G1767</f>
        <v>0</v>
      </c>
      <c r="N1754">
        <f>Data!H1767</f>
        <v>0</v>
      </c>
      <c r="O1754">
        <f>Data!I1767</f>
        <v>0</v>
      </c>
      <c r="P1754" s="21">
        <f>Data!J1771</f>
        <v>0</v>
      </c>
      <c r="Q1754">
        <f>Data!K1771</f>
        <v>0</v>
      </c>
      <c r="R1754">
        <f>Data!L1771</f>
        <v>0</v>
      </c>
      <c r="S1754">
        <f>Data!M1771</f>
        <v>0</v>
      </c>
      <c r="T1754">
        <f>Data!N1771</f>
        <v>0</v>
      </c>
      <c r="U1754">
        <f>Data!O1771</f>
        <v>0</v>
      </c>
      <c r="V1754" s="33">
        <f>Data!P1769</f>
        <v>0</v>
      </c>
    </row>
    <row r="1755" spans="7:22" x14ac:dyDescent="0.25">
      <c r="G1755">
        <f>Data!A1768</f>
        <v>0</v>
      </c>
      <c r="H1755" s="21">
        <f>Data!B1768</f>
        <v>0</v>
      </c>
      <c r="I1755" s="21">
        <f>Data!C1768</f>
        <v>0</v>
      </c>
      <c r="J1755">
        <f>Data!D1768</f>
        <v>0</v>
      </c>
      <c r="K1755">
        <f>Data!E1768</f>
        <v>0</v>
      </c>
      <c r="L1755">
        <f>Data!F1768</f>
        <v>0</v>
      </c>
      <c r="M1755">
        <f>Data!G1768</f>
        <v>0</v>
      </c>
      <c r="N1755">
        <f>Data!H1768</f>
        <v>0</v>
      </c>
      <c r="O1755">
        <f>Data!I1768</f>
        <v>0</v>
      </c>
      <c r="P1755" s="21">
        <f>Data!J1772</f>
        <v>0</v>
      </c>
      <c r="Q1755">
        <f>Data!K1772</f>
        <v>0</v>
      </c>
      <c r="R1755">
        <f>Data!L1772</f>
        <v>0</v>
      </c>
      <c r="S1755">
        <f>Data!M1772</f>
        <v>0</v>
      </c>
      <c r="T1755">
        <f>Data!N1772</f>
        <v>0</v>
      </c>
      <c r="U1755">
        <f>Data!O1772</f>
        <v>0</v>
      </c>
      <c r="V1755" s="33">
        <f>Data!P1770</f>
        <v>0</v>
      </c>
    </row>
    <row r="1756" spans="7:22" x14ac:dyDescent="0.25">
      <c r="G1756">
        <f>Data!A1769</f>
        <v>0</v>
      </c>
      <c r="H1756" s="21">
        <f>Data!B1769</f>
        <v>0</v>
      </c>
      <c r="I1756" s="21">
        <f>Data!C1769</f>
        <v>0</v>
      </c>
      <c r="J1756">
        <f>Data!D1769</f>
        <v>0</v>
      </c>
      <c r="K1756">
        <f>Data!E1769</f>
        <v>0</v>
      </c>
      <c r="L1756">
        <f>Data!F1769</f>
        <v>0</v>
      </c>
      <c r="M1756">
        <f>Data!G1769</f>
        <v>0</v>
      </c>
      <c r="N1756">
        <f>Data!H1769</f>
        <v>0</v>
      </c>
      <c r="O1756">
        <f>Data!I1769</f>
        <v>0</v>
      </c>
      <c r="P1756" s="21">
        <f>Data!J1773</f>
        <v>0</v>
      </c>
      <c r="Q1756">
        <f>Data!K1773</f>
        <v>0</v>
      </c>
      <c r="R1756">
        <f>Data!L1773</f>
        <v>0</v>
      </c>
      <c r="S1756">
        <f>Data!M1773</f>
        <v>0</v>
      </c>
      <c r="T1756">
        <f>Data!N1773</f>
        <v>0</v>
      </c>
      <c r="U1756">
        <f>Data!O1773</f>
        <v>0</v>
      </c>
      <c r="V1756" s="33">
        <f>Data!P1771</f>
        <v>0</v>
      </c>
    </row>
    <row r="1757" spans="7:22" x14ac:dyDescent="0.25">
      <c r="G1757">
        <f>Data!A1770</f>
        <v>0</v>
      </c>
      <c r="H1757" s="21">
        <f>Data!B1770</f>
        <v>0</v>
      </c>
      <c r="I1757" s="21">
        <f>Data!C1770</f>
        <v>0</v>
      </c>
      <c r="J1757">
        <f>Data!D1770</f>
        <v>0</v>
      </c>
      <c r="K1757">
        <f>Data!E1770</f>
        <v>0</v>
      </c>
      <c r="L1757">
        <f>Data!F1770</f>
        <v>0</v>
      </c>
      <c r="M1757">
        <f>Data!G1770</f>
        <v>0</v>
      </c>
      <c r="N1757">
        <f>Data!H1770</f>
        <v>0</v>
      </c>
      <c r="O1757">
        <f>Data!I1770</f>
        <v>0</v>
      </c>
      <c r="P1757" s="21">
        <f>Data!J1774</f>
        <v>0</v>
      </c>
      <c r="Q1757">
        <f>Data!K1774</f>
        <v>0</v>
      </c>
      <c r="R1757">
        <f>Data!L1774</f>
        <v>0</v>
      </c>
      <c r="S1757">
        <f>Data!M1774</f>
        <v>0</v>
      </c>
      <c r="T1757">
        <f>Data!N1774</f>
        <v>0</v>
      </c>
      <c r="U1757">
        <f>Data!O1774</f>
        <v>0</v>
      </c>
      <c r="V1757" s="33">
        <f>Data!P1772</f>
        <v>0</v>
      </c>
    </row>
    <row r="1758" spans="7:22" x14ac:dyDescent="0.25">
      <c r="G1758">
        <f>Data!A1771</f>
        <v>0</v>
      </c>
      <c r="H1758" s="21">
        <f>Data!B1771</f>
        <v>0</v>
      </c>
      <c r="I1758" s="21">
        <f>Data!C1771</f>
        <v>0</v>
      </c>
      <c r="J1758">
        <f>Data!D1771</f>
        <v>0</v>
      </c>
      <c r="K1758">
        <f>Data!E1771</f>
        <v>0</v>
      </c>
      <c r="L1758">
        <f>Data!F1771</f>
        <v>0</v>
      </c>
      <c r="M1758">
        <f>Data!G1771</f>
        <v>0</v>
      </c>
      <c r="N1758">
        <f>Data!H1771</f>
        <v>0</v>
      </c>
      <c r="O1758">
        <f>Data!I1771</f>
        <v>0</v>
      </c>
      <c r="P1758" s="21">
        <f>Data!J1775</f>
        <v>0</v>
      </c>
      <c r="Q1758">
        <f>Data!K1775</f>
        <v>0</v>
      </c>
      <c r="R1758">
        <f>Data!L1775</f>
        <v>0</v>
      </c>
      <c r="S1758">
        <f>Data!M1775</f>
        <v>0</v>
      </c>
      <c r="T1758">
        <f>Data!N1775</f>
        <v>0</v>
      </c>
      <c r="U1758">
        <f>Data!O1775</f>
        <v>0</v>
      </c>
      <c r="V1758" s="33">
        <f>Data!P1773</f>
        <v>0</v>
      </c>
    </row>
    <row r="1759" spans="7:22" x14ac:dyDescent="0.25">
      <c r="G1759">
        <f>Data!A1772</f>
        <v>0</v>
      </c>
      <c r="H1759" s="21">
        <f>Data!B1772</f>
        <v>0</v>
      </c>
      <c r="I1759" s="21">
        <f>Data!C1772</f>
        <v>0</v>
      </c>
      <c r="J1759">
        <f>Data!D1772</f>
        <v>0</v>
      </c>
      <c r="K1759">
        <f>Data!E1772</f>
        <v>0</v>
      </c>
      <c r="L1759">
        <f>Data!F1772</f>
        <v>0</v>
      </c>
      <c r="M1759">
        <f>Data!G1772</f>
        <v>0</v>
      </c>
      <c r="N1759">
        <f>Data!H1772</f>
        <v>0</v>
      </c>
      <c r="O1759">
        <f>Data!I1772</f>
        <v>0</v>
      </c>
      <c r="P1759" s="21">
        <f>Data!J1776</f>
        <v>0</v>
      </c>
      <c r="Q1759">
        <f>Data!K1776</f>
        <v>0</v>
      </c>
      <c r="R1759">
        <f>Data!L1776</f>
        <v>0</v>
      </c>
      <c r="S1759">
        <f>Data!M1776</f>
        <v>0</v>
      </c>
      <c r="T1759">
        <f>Data!N1776</f>
        <v>0</v>
      </c>
      <c r="U1759">
        <f>Data!O1776</f>
        <v>0</v>
      </c>
      <c r="V1759" s="33">
        <f>Data!P1774</f>
        <v>0</v>
      </c>
    </row>
    <row r="1760" spans="7:22" x14ac:dyDescent="0.25">
      <c r="G1760">
        <f>Data!A1773</f>
        <v>0</v>
      </c>
      <c r="H1760" s="21">
        <f>Data!B1773</f>
        <v>0</v>
      </c>
      <c r="I1760" s="21">
        <f>Data!C1773</f>
        <v>0</v>
      </c>
      <c r="J1760">
        <f>Data!D1773</f>
        <v>0</v>
      </c>
      <c r="K1760">
        <f>Data!E1773</f>
        <v>0</v>
      </c>
      <c r="L1760">
        <f>Data!F1773</f>
        <v>0</v>
      </c>
      <c r="M1760">
        <f>Data!G1773</f>
        <v>0</v>
      </c>
      <c r="N1760">
        <f>Data!H1773</f>
        <v>0</v>
      </c>
      <c r="O1760">
        <f>Data!I1773</f>
        <v>0</v>
      </c>
      <c r="P1760" s="21">
        <f>Data!J1777</f>
        <v>0</v>
      </c>
      <c r="Q1760">
        <f>Data!K1777</f>
        <v>0</v>
      </c>
      <c r="R1760">
        <f>Data!L1777</f>
        <v>0</v>
      </c>
      <c r="S1760">
        <f>Data!M1777</f>
        <v>0</v>
      </c>
      <c r="T1760">
        <f>Data!N1777</f>
        <v>0</v>
      </c>
      <c r="U1760">
        <f>Data!O1777</f>
        <v>0</v>
      </c>
      <c r="V1760" s="33">
        <f>Data!P1775</f>
        <v>0</v>
      </c>
    </row>
    <row r="1761" spans="7:22" x14ac:dyDescent="0.25">
      <c r="G1761">
        <f>Data!A1774</f>
        <v>0</v>
      </c>
      <c r="H1761" s="21">
        <f>Data!B1774</f>
        <v>0</v>
      </c>
      <c r="I1761" s="21">
        <f>Data!C1774</f>
        <v>0</v>
      </c>
      <c r="J1761">
        <f>Data!D1774</f>
        <v>0</v>
      </c>
      <c r="K1761">
        <f>Data!E1774</f>
        <v>0</v>
      </c>
      <c r="L1761">
        <f>Data!F1774</f>
        <v>0</v>
      </c>
      <c r="M1761">
        <f>Data!G1774</f>
        <v>0</v>
      </c>
      <c r="N1761">
        <f>Data!H1774</f>
        <v>0</v>
      </c>
      <c r="O1761">
        <f>Data!I1774</f>
        <v>0</v>
      </c>
      <c r="P1761" s="21">
        <f>Data!J1778</f>
        <v>0</v>
      </c>
      <c r="Q1761">
        <f>Data!K1778</f>
        <v>0</v>
      </c>
      <c r="R1761">
        <f>Data!L1778</f>
        <v>0</v>
      </c>
      <c r="S1761">
        <f>Data!M1778</f>
        <v>0</v>
      </c>
      <c r="T1761">
        <f>Data!N1778</f>
        <v>0</v>
      </c>
      <c r="U1761">
        <f>Data!O1778</f>
        <v>0</v>
      </c>
      <c r="V1761" s="33">
        <f>Data!P1776</f>
        <v>0</v>
      </c>
    </row>
    <row r="1762" spans="7:22" x14ac:dyDescent="0.25">
      <c r="G1762">
        <f>Data!A1775</f>
        <v>0</v>
      </c>
      <c r="H1762" s="21">
        <f>Data!B1775</f>
        <v>0</v>
      </c>
      <c r="I1762" s="21">
        <f>Data!C1775</f>
        <v>0</v>
      </c>
      <c r="J1762">
        <f>Data!D1775</f>
        <v>0</v>
      </c>
      <c r="K1762">
        <f>Data!E1775</f>
        <v>0</v>
      </c>
      <c r="L1762">
        <f>Data!F1775</f>
        <v>0</v>
      </c>
      <c r="M1762">
        <f>Data!G1775</f>
        <v>0</v>
      </c>
      <c r="N1762">
        <f>Data!H1775</f>
        <v>0</v>
      </c>
      <c r="O1762">
        <f>Data!I1775</f>
        <v>0</v>
      </c>
      <c r="P1762" s="21">
        <f>Data!J1779</f>
        <v>0</v>
      </c>
      <c r="Q1762">
        <f>Data!K1779</f>
        <v>0</v>
      </c>
      <c r="R1762">
        <f>Data!L1779</f>
        <v>0</v>
      </c>
      <c r="S1762">
        <f>Data!M1779</f>
        <v>0</v>
      </c>
      <c r="T1762">
        <f>Data!N1779</f>
        <v>0</v>
      </c>
      <c r="U1762">
        <f>Data!O1779</f>
        <v>0</v>
      </c>
      <c r="V1762" s="33">
        <f>Data!P1777</f>
        <v>0</v>
      </c>
    </row>
    <row r="1763" spans="7:22" x14ac:dyDescent="0.25">
      <c r="G1763">
        <f>Data!A1776</f>
        <v>0</v>
      </c>
      <c r="H1763" s="21">
        <f>Data!B1776</f>
        <v>0</v>
      </c>
      <c r="I1763" s="21">
        <f>Data!C1776</f>
        <v>0</v>
      </c>
      <c r="J1763">
        <f>Data!D1776</f>
        <v>0</v>
      </c>
      <c r="K1763">
        <f>Data!E1776</f>
        <v>0</v>
      </c>
      <c r="L1763">
        <f>Data!F1776</f>
        <v>0</v>
      </c>
      <c r="M1763">
        <f>Data!G1776</f>
        <v>0</v>
      </c>
      <c r="N1763">
        <f>Data!H1776</f>
        <v>0</v>
      </c>
      <c r="O1763">
        <f>Data!I1776</f>
        <v>0</v>
      </c>
      <c r="P1763" s="21">
        <f>Data!J1780</f>
        <v>0</v>
      </c>
      <c r="Q1763">
        <f>Data!K1780</f>
        <v>0</v>
      </c>
      <c r="R1763">
        <f>Data!L1780</f>
        <v>0</v>
      </c>
      <c r="S1763">
        <f>Data!M1780</f>
        <v>0</v>
      </c>
      <c r="T1763">
        <f>Data!N1780</f>
        <v>0</v>
      </c>
      <c r="U1763">
        <f>Data!O1780</f>
        <v>0</v>
      </c>
      <c r="V1763" s="33">
        <f>Data!P1778</f>
        <v>0</v>
      </c>
    </row>
    <row r="1764" spans="7:22" x14ac:dyDescent="0.25">
      <c r="G1764">
        <f>Data!A1777</f>
        <v>0</v>
      </c>
      <c r="H1764" s="21">
        <f>Data!B1777</f>
        <v>0</v>
      </c>
      <c r="I1764" s="21">
        <f>Data!C1777</f>
        <v>0</v>
      </c>
      <c r="J1764">
        <f>Data!D1777</f>
        <v>0</v>
      </c>
      <c r="K1764">
        <f>Data!E1777</f>
        <v>0</v>
      </c>
      <c r="L1764">
        <f>Data!F1777</f>
        <v>0</v>
      </c>
      <c r="M1764">
        <f>Data!G1777</f>
        <v>0</v>
      </c>
      <c r="N1764">
        <f>Data!H1777</f>
        <v>0</v>
      </c>
      <c r="O1764">
        <f>Data!I1777</f>
        <v>0</v>
      </c>
      <c r="P1764" s="21">
        <f>Data!J1781</f>
        <v>0</v>
      </c>
      <c r="Q1764">
        <f>Data!K1781</f>
        <v>0</v>
      </c>
      <c r="R1764">
        <f>Data!L1781</f>
        <v>0</v>
      </c>
      <c r="S1764">
        <f>Data!M1781</f>
        <v>0</v>
      </c>
      <c r="T1764">
        <f>Data!N1781</f>
        <v>0</v>
      </c>
      <c r="U1764">
        <f>Data!O1781</f>
        <v>0</v>
      </c>
      <c r="V1764" s="33">
        <f>Data!P1779</f>
        <v>0</v>
      </c>
    </row>
    <row r="1765" spans="7:22" x14ac:dyDescent="0.25">
      <c r="G1765">
        <f>Data!A1778</f>
        <v>0</v>
      </c>
      <c r="H1765" s="21">
        <f>Data!B1778</f>
        <v>0</v>
      </c>
      <c r="I1765" s="21">
        <f>Data!C1778</f>
        <v>0</v>
      </c>
      <c r="J1765">
        <f>Data!D1778</f>
        <v>0</v>
      </c>
      <c r="K1765">
        <f>Data!E1778</f>
        <v>0</v>
      </c>
      <c r="L1765">
        <f>Data!F1778</f>
        <v>0</v>
      </c>
      <c r="M1765">
        <f>Data!G1778</f>
        <v>0</v>
      </c>
      <c r="N1765">
        <f>Data!H1778</f>
        <v>0</v>
      </c>
      <c r="O1765">
        <f>Data!I1778</f>
        <v>0</v>
      </c>
      <c r="P1765" s="21">
        <f>Data!J1782</f>
        <v>0</v>
      </c>
      <c r="Q1765">
        <f>Data!K1782</f>
        <v>0</v>
      </c>
      <c r="R1765">
        <f>Data!L1782</f>
        <v>0</v>
      </c>
      <c r="S1765">
        <f>Data!M1782</f>
        <v>0</v>
      </c>
      <c r="T1765">
        <f>Data!N1782</f>
        <v>0</v>
      </c>
      <c r="U1765">
        <f>Data!O1782</f>
        <v>0</v>
      </c>
      <c r="V1765" s="33">
        <f>Data!P1780</f>
        <v>0</v>
      </c>
    </row>
    <row r="1766" spans="7:22" x14ac:dyDescent="0.25">
      <c r="G1766">
        <f>Data!A1779</f>
        <v>0</v>
      </c>
      <c r="H1766" s="21">
        <f>Data!B1779</f>
        <v>0</v>
      </c>
      <c r="I1766" s="21">
        <f>Data!C1779</f>
        <v>0</v>
      </c>
      <c r="J1766">
        <f>Data!D1779</f>
        <v>0</v>
      </c>
      <c r="K1766">
        <f>Data!E1779</f>
        <v>0</v>
      </c>
      <c r="L1766">
        <f>Data!F1779</f>
        <v>0</v>
      </c>
      <c r="M1766">
        <f>Data!G1779</f>
        <v>0</v>
      </c>
      <c r="N1766">
        <f>Data!H1779</f>
        <v>0</v>
      </c>
      <c r="O1766">
        <f>Data!I1779</f>
        <v>0</v>
      </c>
      <c r="P1766" s="21">
        <f>Data!J1783</f>
        <v>0</v>
      </c>
      <c r="Q1766">
        <f>Data!K1783</f>
        <v>0</v>
      </c>
      <c r="R1766">
        <f>Data!L1783</f>
        <v>0</v>
      </c>
      <c r="S1766">
        <f>Data!M1783</f>
        <v>0</v>
      </c>
      <c r="T1766">
        <f>Data!N1783</f>
        <v>0</v>
      </c>
      <c r="U1766">
        <f>Data!O1783</f>
        <v>0</v>
      </c>
      <c r="V1766" s="33">
        <f>Data!P1781</f>
        <v>0</v>
      </c>
    </row>
    <row r="1767" spans="7:22" x14ac:dyDescent="0.25">
      <c r="G1767">
        <f>Data!A1780</f>
        <v>0</v>
      </c>
      <c r="H1767" s="21">
        <f>Data!B1780</f>
        <v>0</v>
      </c>
      <c r="I1767" s="21">
        <f>Data!C1780</f>
        <v>0</v>
      </c>
      <c r="J1767">
        <f>Data!D1780</f>
        <v>0</v>
      </c>
      <c r="K1767">
        <f>Data!E1780</f>
        <v>0</v>
      </c>
      <c r="L1767">
        <f>Data!F1780</f>
        <v>0</v>
      </c>
      <c r="M1767">
        <f>Data!G1780</f>
        <v>0</v>
      </c>
      <c r="N1767">
        <f>Data!H1780</f>
        <v>0</v>
      </c>
      <c r="O1767">
        <f>Data!I1780</f>
        <v>0</v>
      </c>
      <c r="P1767" s="21">
        <f>Data!J1784</f>
        <v>0</v>
      </c>
      <c r="Q1767">
        <f>Data!K1784</f>
        <v>0</v>
      </c>
      <c r="R1767">
        <f>Data!L1784</f>
        <v>0</v>
      </c>
      <c r="S1767">
        <f>Data!M1784</f>
        <v>0</v>
      </c>
      <c r="T1767">
        <f>Data!N1784</f>
        <v>0</v>
      </c>
      <c r="U1767">
        <f>Data!O1784</f>
        <v>0</v>
      </c>
      <c r="V1767" s="33">
        <f>Data!P1782</f>
        <v>0</v>
      </c>
    </row>
    <row r="1768" spans="7:22" x14ac:dyDescent="0.25">
      <c r="G1768">
        <f>Data!A1781</f>
        <v>0</v>
      </c>
      <c r="H1768" s="21">
        <f>Data!B1781</f>
        <v>0</v>
      </c>
      <c r="I1768" s="21">
        <f>Data!C1781</f>
        <v>0</v>
      </c>
      <c r="J1768">
        <f>Data!D1781</f>
        <v>0</v>
      </c>
      <c r="K1768">
        <f>Data!E1781</f>
        <v>0</v>
      </c>
      <c r="L1768">
        <f>Data!F1781</f>
        <v>0</v>
      </c>
      <c r="M1768">
        <f>Data!G1781</f>
        <v>0</v>
      </c>
      <c r="N1768">
        <f>Data!H1781</f>
        <v>0</v>
      </c>
      <c r="O1768">
        <f>Data!I1781</f>
        <v>0</v>
      </c>
      <c r="P1768" s="21">
        <f>Data!J1785</f>
        <v>0</v>
      </c>
      <c r="Q1768">
        <f>Data!K1785</f>
        <v>0</v>
      </c>
      <c r="R1768">
        <f>Data!L1785</f>
        <v>0</v>
      </c>
      <c r="S1768">
        <f>Data!M1785</f>
        <v>0</v>
      </c>
      <c r="T1768">
        <f>Data!N1785</f>
        <v>0</v>
      </c>
      <c r="U1768">
        <f>Data!O1785</f>
        <v>0</v>
      </c>
      <c r="V1768" s="33">
        <f>Data!P1783</f>
        <v>0</v>
      </c>
    </row>
    <row r="1769" spans="7:22" x14ac:dyDescent="0.25">
      <c r="G1769">
        <f>Data!A1782</f>
        <v>0</v>
      </c>
      <c r="H1769" s="21">
        <f>Data!B1782</f>
        <v>0</v>
      </c>
      <c r="I1769" s="21">
        <f>Data!C1782</f>
        <v>0</v>
      </c>
      <c r="J1769">
        <f>Data!D1782</f>
        <v>0</v>
      </c>
      <c r="K1769">
        <f>Data!E1782</f>
        <v>0</v>
      </c>
      <c r="L1769">
        <f>Data!F1782</f>
        <v>0</v>
      </c>
      <c r="M1769">
        <f>Data!G1782</f>
        <v>0</v>
      </c>
      <c r="N1769">
        <f>Data!H1782</f>
        <v>0</v>
      </c>
      <c r="O1769">
        <f>Data!I1782</f>
        <v>0</v>
      </c>
      <c r="P1769" s="21">
        <f>Data!J1786</f>
        <v>0</v>
      </c>
      <c r="Q1769">
        <f>Data!K1786</f>
        <v>0</v>
      </c>
      <c r="R1769">
        <f>Data!L1786</f>
        <v>0</v>
      </c>
      <c r="S1769">
        <f>Data!M1786</f>
        <v>0</v>
      </c>
      <c r="T1769">
        <f>Data!N1786</f>
        <v>0</v>
      </c>
      <c r="U1769">
        <f>Data!O1786</f>
        <v>0</v>
      </c>
      <c r="V1769" s="33">
        <f>Data!P1784</f>
        <v>0</v>
      </c>
    </row>
    <row r="1770" spans="7:22" x14ac:dyDescent="0.25">
      <c r="G1770">
        <f>Data!A1783</f>
        <v>0</v>
      </c>
      <c r="H1770" s="21">
        <f>Data!B1783</f>
        <v>0</v>
      </c>
      <c r="I1770" s="21">
        <f>Data!C1783</f>
        <v>0</v>
      </c>
      <c r="J1770">
        <f>Data!D1783</f>
        <v>0</v>
      </c>
      <c r="K1770">
        <f>Data!E1783</f>
        <v>0</v>
      </c>
      <c r="L1770">
        <f>Data!F1783</f>
        <v>0</v>
      </c>
      <c r="M1770">
        <f>Data!G1783</f>
        <v>0</v>
      </c>
      <c r="N1770">
        <f>Data!H1783</f>
        <v>0</v>
      </c>
      <c r="O1770">
        <f>Data!I1783</f>
        <v>0</v>
      </c>
      <c r="P1770" s="21">
        <f>Data!J1787</f>
        <v>0</v>
      </c>
      <c r="Q1770">
        <f>Data!K1787</f>
        <v>0</v>
      </c>
      <c r="R1770">
        <f>Data!L1787</f>
        <v>0</v>
      </c>
      <c r="S1770">
        <f>Data!M1787</f>
        <v>0</v>
      </c>
      <c r="T1770">
        <f>Data!N1787</f>
        <v>0</v>
      </c>
      <c r="U1770">
        <f>Data!O1787</f>
        <v>0</v>
      </c>
      <c r="V1770" s="33">
        <f>Data!P1785</f>
        <v>0</v>
      </c>
    </row>
    <row r="1771" spans="7:22" x14ac:dyDescent="0.25">
      <c r="G1771">
        <f>Data!A1784</f>
        <v>0</v>
      </c>
      <c r="H1771" s="21">
        <f>Data!B1784</f>
        <v>0</v>
      </c>
      <c r="I1771" s="21">
        <f>Data!C1784</f>
        <v>0</v>
      </c>
      <c r="J1771">
        <f>Data!D1784</f>
        <v>0</v>
      </c>
      <c r="K1771">
        <f>Data!E1784</f>
        <v>0</v>
      </c>
      <c r="L1771">
        <f>Data!F1784</f>
        <v>0</v>
      </c>
      <c r="M1771">
        <f>Data!G1784</f>
        <v>0</v>
      </c>
      <c r="N1771">
        <f>Data!H1784</f>
        <v>0</v>
      </c>
      <c r="O1771">
        <f>Data!I1784</f>
        <v>0</v>
      </c>
      <c r="P1771" s="21">
        <f>Data!J1788</f>
        <v>0</v>
      </c>
      <c r="Q1771">
        <f>Data!K1788</f>
        <v>0</v>
      </c>
      <c r="R1771">
        <f>Data!L1788</f>
        <v>0</v>
      </c>
      <c r="S1771">
        <f>Data!M1788</f>
        <v>0</v>
      </c>
      <c r="T1771">
        <f>Data!N1788</f>
        <v>0</v>
      </c>
      <c r="U1771">
        <f>Data!O1788</f>
        <v>0</v>
      </c>
      <c r="V1771" s="33">
        <f>Data!P1786</f>
        <v>0</v>
      </c>
    </row>
    <row r="1772" spans="7:22" x14ac:dyDescent="0.25">
      <c r="G1772">
        <f>Data!A1785</f>
        <v>0</v>
      </c>
      <c r="H1772" s="21">
        <f>Data!B1785</f>
        <v>0</v>
      </c>
      <c r="I1772" s="21">
        <f>Data!C1785</f>
        <v>0</v>
      </c>
      <c r="J1772">
        <f>Data!D1785</f>
        <v>0</v>
      </c>
      <c r="K1772">
        <f>Data!E1785</f>
        <v>0</v>
      </c>
      <c r="L1772">
        <f>Data!F1785</f>
        <v>0</v>
      </c>
      <c r="M1772">
        <f>Data!G1785</f>
        <v>0</v>
      </c>
      <c r="N1772">
        <f>Data!H1785</f>
        <v>0</v>
      </c>
      <c r="O1772">
        <f>Data!I1785</f>
        <v>0</v>
      </c>
      <c r="P1772" s="21">
        <f>Data!J1789</f>
        <v>0</v>
      </c>
      <c r="Q1772">
        <f>Data!K1789</f>
        <v>0</v>
      </c>
      <c r="R1772">
        <f>Data!L1789</f>
        <v>0</v>
      </c>
      <c r="S1772">
        <f>Data!M1789</f>
        <v>0</v>
      </c>
      <c r="T1772">
        <f>Data!N1789</f>
        <v>0</v>
      </c>
      <c r="U1772">
        <f>Data!O1789</f>
        <v>0</v>
      </c>
      <c r="V1772" s="33">
        <f>Data!P1787</f>
        <v>0</v>
      </c>
    </row>
    <row r="1773" spans="7:22" x14ac:dyDescent="0.25">
      <c r="G1773">
        <f>Data!A1786</f>
        <v>0</v>
      </c>
      <c r="H1773" s="21">
        <f>Data!B1786</f>
        <v>0</v>
      </c>
      <c r="I1773" s="21">
        <f>Data!C1786</f>
        <v>0</v>
      </c>
      <c r="J1773">
        <f>Data!D1786</f>
        <v>0</v>
      </c>
      <c r="K1773">
        <f>Data!E1786</f>
        <v>0</v>
      </c>
      <c r="L1773">
        <f>Data!F1786</f>
        <v>0</v>
      </c>
      <c r="M1773">
        <f>Data!G1786</f>
        <v>0</v>
      </c>
      <c r="N1773">
        <f>Data!H1786</f>
        <v>0</v>
      </c>
      <c r="O1773">
        <f>Data!I1786</f>
        <v>0</v>
      </c>
      <c r="P1773" s="21">
        <f>Data!J1790</f>
        <v>0</v>
      </c>
      <c r="Q1773">
        <f>Data!K1790</f>
        <v>0</v>
      </c>
      <c r="R1773">
        <f>Data!L1790</f>
        <v>0</v>
      </c>
      <c r="S1773">
        <f>Data!M1790</f>
        <v>0</v>
      </c>
      <c r="T1773">
        <f>Data!N1790</f>
        <v>0</v>
      </c>
      <c r="U1773">
        <f>Data!O1790</f>
        <v>0</v>
      </c>
      <c r="V1773" s="33">
        <f>Data!P1788</f>
        <v>0</v>
      </c>
    </row>
    <row r="1774" spans="7:22" x14ac:dyDescent="0.25">
      <c r="G1774">
        <f>Data!A1787</f>
        <v>0</v>
      </c>
      <c r="H1774" s="21">
        <f>Data!B1787</f>
        <v>0</v>
      </c>
      <c r="I1774" s="21">
        <f>Data!C1787</f>
        <v>0</v>
      </c>
      <c r="J1774">
        <f>Data!D1787</f>
        <v>0</v>
      </c>
      <c r="K1774">
        <f>Data!E1787</f>
        <v>0</v>
      </c>
      <c r="L1774">
        <f>Data!F1787</f>
        <v>0</v>
      </c>
      <c r="M1774">
        <f>Data!G1787</f>
        <v>0</v>
      </c>
      <c r="N1774">
        <f>Data!H1787</f>
        <v>0</v>
      </c>
      <c r="O1774">
        <f>Data!I1787</f>
        <v>0</v>
      </c>
      <c r="P1774" s="21">
        <f>Data!J1791</f>
        <v>0</v>
      </c>
      <c r="Q1774">
        <f>Data!K1791</f>
        <v>0</v>
      </c>
      <c r="R1774">
        <f>Data!L1791</f>
        <v>0</v>
      </c>
      <c r="S1774">
        <f>Data!M1791</f>
        <v>0</v>
      </c>
      <c r="T1774">
        <f>Data!N1791</f>
        <v>0</v>
      </c>
      <c r="U1774">
        <f>Data!O1791</f>
        <v>0</v>
      </c>
      <c r="V1774" s="33">
        <f>Data!P1789</f>
        <v>0</v>
      </c>
    </row>
    <row r="1775" spans="7:22" x14ac:dyDescent="0.25">
      <c r="G1775">
        <f>Data!A1788</f>
        <v>0</v>
      </c>
      <c r="H1775" s="21">
        <f>Data!B1788</f>
        <v>0</v>
      </c>
      <c r="I1775" s="21">
        <f>Data!C1788</f>
        <v>0</v>
      </c>
      <c r="J1775">
        <f>Data!D1788</f>
        <v>0</v>
      </c>
      <c r="K1775">
        <f>Data!E1788</f>
        <v>0</v>
      </c>
      <c r="L1775">
        <f>Data!F1788</f>
        <v>0</v>
      </c>
      <c r="M1775">
        <f>Data!G1788</f>
        <v>0</v>
      </c>
      <c r="N1775">
        <f>Data!H1788</f>
        <v>0</v>
      </c>
      <c r="O1775">
        <f>Data!I1788</f>
        <v>0</v>
      </c>
      <c r="P1775" s="21">
        <f>Data!J1792</f>
        <v>0</v>
      </c>
      <c r="Q1775">
        <f>Data!K1792</f>
        <v>0</v>
      </c>
      <c r="R1775">
        <f>Data!L1792</f>
        <v>0</v>
      </c>
      <c r="S1775">
        <f>Data!M1792</f>
        <v>0</v>
      </c>
      <c r="T1775">
        <f>Data!N1792</f>
        <v>0</v>
      </c>
      <c r="U1775">
        <f>Data!O1792</f>
        <v>0</v>
      </c>
      <c r="V1775" s="33">
        <f>Data!P1790</f>
        <v>0</v>
      </c>
    </row>
    <row r="1776" spans="7:22" x14ac:dyDescent="0.25">
      <c r="G1776">
        <f>Data!A1789</f>
        <v>0</v>
      </c>
      <c r="H1776" s="21">
        <f>Data!B1789</f>
        <v>0</v>
      </c>
      <c r="I1776" s="21">
        <f>Data!C1789</f>
        <v>0</v>
      </c>
      <c r="J1776">
        <f>Data!D1789</f>
        <v>0</v>
      </c>
      <c r="K1776">
        <f>Data!E1789</f>
        <v>0</v>
      </c>
      <c r="L1776">
        <f>Data!F1789</f>
        <v>0</v>
      </c>
      <c r="M1776">
        <f>Data!G1789</f>
        <v>0</v>
      </c>
      <c r="N1776">
        <f>Data!H1789</f>
        <v>0</v>
      </c>
      <c r="O1776">
        <f>Data!I1789</f>
        <v>0</v>
      </c>
      <c r="P1776" s="21">
        <f>Data!J1793</f>
        <v>0</v>
      </c>
      <c r="Q1776">
        <f>Data!K1793</f>
        <v>0</v>
      </c>
      <c r="R1776">
        <f>Data!L1793</f>
        <v>0</v>
      </c>
      <c r="S1776">
        <f>Data!M1793</f>
        <v>0</v>
      </c>
      <c r="T1776">
        <f>Data!N1793</f>
        <v>0</v>
      </c>
      <c r="U1776">
        <f>Data!O1793</f>
        <v>0</v>
      </c>
      <c r="V1776" s="33">
        <f>Data!P1791</f>
        <v>0</v>
      </c>
    </row>
    <row r="1777" spans="7:22" x14ac:dyDescent="0.25">
      <c r="G1777">
        <f>Data!A1790</f>
        <v>0</v>
      </c>
      <c r="H1777" s="21">
        <f>Data!B1790</f>
        <v>0</v>
      </c>
      <c r="I1777" s="21">
        <f>Data!C1790</f>
        <v>0</v>
      </c>
      <c r="J1777">
        <f>Data!D1790</f>
        <v>0</v>
      </c>
      <c r="K1777">
        <f>Data!E1790</f>
        <v>0</v>
      </c>
      <c r="L1777">
        <f>Data!F1790</f>
        <v>0</v>
      </c>
      <c r="M1777">
        <f>Data!G1790</f>
        <v>0</v>
      </c>
      <c r="N1777">
        <f>Data!H1790</f>
        <v>0</v>
      </c>
      <c r="O1777">
        <f>Data!I1790</f>
        <v>0</v>
      </c>
      <c r="P1777" s="21">
        <f>Data!J1794</f>
        <v>0</v>
      </c>
      <c r="Q1777">
        <f>Data!K1794</f>
        <v>0</v>
      </c>
      <c r="R1777">
        <f>Data!L1794</f>
        <v>0</v>
      </c>
      <c r="S1777">
        <f>Data!M1794</f>
        <v>0</v>
      </c>
      <c r="T1777">
        <f>Data!N1794</f>
        <v>0</v>
      </c>
      <c r="U1777">
        <f>Data!O1794</f>
        <v>0</v>
      </c>
      <c r="V1777" s="33">
        <f>Data!P1792</f>
        <v>0</v>
      </c>
    </row>
    <row r="1778" spans="7:22" x14ac:dyDescent="0.25">
      <c r="G1778">
        <f>Data!A1791</f>
        <v>0</v>
      </c>
      <c r="H1778" s="21">
        <f>Data!B1791</f>
        <v>0</v>
      </c>
      <c r="I1778" s="21">
        <f>Data!C1791</f>
        <v>0</v>
      </c>
      <c r="J1778">
        <f>Data!D1791</f>
        <v>0</v>
      </c>
      <c r="K1778">
        <f>Data!E1791</f>
        <v>0</v>
      </c>
      <c r="L1778">
        <f>Data!F1791</f>
        <v>0</v>
      </c>
      <c r="M1778">
        <f>Data!G1791</f>
        <v>0</v>
      </c>
      <c r="N1778">
        <f>Data!H1791</f>
        <v>0</v>
      </c>
      <c r="O1778">
        <f>Data!I1791</f>
        <v>0</v>
      </c>
      <c r="P1778" s="21">
        <f>Data!J1795</f>
        <v>0</v>
      </c>
      <c r="Q1778">
        <f>Data!K1795</f>
        <v>0</v>
      </c>
      <c r="R1778">
        <f>Data!L1795</f>
        <v>0</v>
      </c>
      <c r="S1778">
        <f>Data!M1795</f>
        <v>0</v>
      </c>
      <c r="T1778">
        <f>Data!N1795</f>
        <v>0</v>
      </c>
      <c r="U1778">
        <f>Data!O1795</f>
        <v>0</v>
      </c>
      <c r="V1778" s="33">
        <f>Data!P1793</f>
        <v>0</v>
      </c>
    </row>
    <row r="1779" spans="7:22" x14ac:dyDescent="0.25">
      <c r="G1779">
        <f>Data!A1792</f>
        <v>0</v>
      </c>
      <c r="H1779" s="21">
        <f>Data!B1792</f>
        <v>0</v>
      </c>
      <c r="I1779" s="21">
        <f>Data!C1792</f>
        <v>0</v>
      </c>
      <c r="J1779">
        <f>Data!D1792</f>
        <v>0</v>
      </c>
      <c r="K1779">
        <f>Data!E1792</f>
        <v>0</v>
      </c>
      <c r="L1779">
        <f>Data!F1792</f>
        <v>0</v>
      </c>
      <c r="M1779">
        <f>Data!G1792</f>
        <v>0</v>
      </c>
      <c r="N1779">
        <f>Data!H1792</f>
        <v>0</v>
      </c>
      <c r="O1779">
        <f>Data!I1792</f>
        <v>0</v>
      </c>
      <c r="P1779" s="21">
        <f>Data!J1796</f>
        <v>0</v>
      </c>
      <c r="Q1779">
        <f>Data!K1796</f>
        <v>0</v>
      </c>
      <c r="R1779">
        <f>Data!L1796</f>
        <v>0</v>
      </c>
      <c r="S1779">
        <f>Data!M1796</f>
        <v>0</v>
      </c>
      <c r="T1779">
        <f>Data!N1796</f>
        <v>0</v>
      </c>
      <c r="U1779">
        <f>Data!O1796</f>
        <v>0</v>
      </c>
      <c r="V1779" s="33">
        <f>Data!P1794</f>
        <v>0</v>
      </c>
    </row>
    <row r="1780" spans="7:22" x14ac:dyDescent="0.25">
      <c r="G1780">
        <f>Data!A1793</f>
        <v>0</v>
      </c>
      <c r="H1780" s="21">
        <f>Data!B1793</f>
        <v>0</v>
      </c>
      <c r="I1780" s="21">
        <f>Data!C1793</f>
        <v>0</v>
      </c>
      <c r="J1780">
        <f>Data!D1793</f>
        <v>0</v>
      </c>
      <c r="K1780">
        <f>Data!E1793</f>
        <v>0</v>
      </c>
      <c r="L1780">
        <f>Data!F1793</f>
        <v>0</v>
      </c>
      <c r="M1780">
        <f>Data!G1793</f>
        <v>0</v>
      </c>
      <c r="N1780">
        <f>Data!H1793</f>
        <v>0</v>
      </c>
      <c r="O1780">
        <f>Data!I1793</f>
        <v>0</v>
      </c>
      <c r="P1780" s="21">
        <f>Data!J1797</f>
        <v>0</v>
      </c>
      <c r="Q1780">
        <f>Data!K1797</f>
        <v>0</v>
      </c>
      <c r="R1780">
        <f>Data!L1797</f>
        <v>0</v>
      </c>
      <c r="S1780">
        <f>Data!M1797</f>
        <v>0</v>
      </c>
      <c r="T1780">
        <f>Data!N1797</f>
        <v>0</v>
      </c>
      <c r="U1780">
        <f>Data!O1797</f>
        <v>0</v>
      </c>
      <c r="V1780" s="33">
        <f>Data!P1795</f>
        <v>0</v>
      </c>
    </row>
    <row r="1781" spans="7:22" x14ac:dyDescent="0.25">
      <c r="G1781">
        <f>Data!A1794</f>
        <v>0</v>
      </c>
      <c r="H1781" s="21">
        <f>Data!B1794</f>
        <v>0</v>
      </c>
      <c r="I1781" s="21">
        <f>Data!C1794</f>
        <v>0</v>
      </c>
      <c r="J1781">
        <f>Data!D1794</f>
        <v>0</v>
      </c>
      <c r="K1781">
        <f>Data!E1794</f>
        <v>0</v>
      </c>
      <c r="L1781">
        <f>Data!F1794</f>
        <v>0</v>
      </c>
      <c r="M1781">
        <f>Data!G1794</f>
        <v>0</v>
      </c>
      <c r="N1781">
        <f>Data!H1794</f>
        <v>0</v>
      </c>
      <c r="O1781">
        <f>Data!I1794</f>
        <v>0</v>
      </c>
      <c r="P1781" s="21">
        <f>Data!J1798</f>
        <v>0</v>
      </c>
      <c r="Q1781">
        <f>Data!K1798</f>
        <v>0</v>
      </c>
      <c r="R1781">
        <f>Data!L1798</f>
        <v>0</v>
      </c>
      <c r="S1781">
        <f>Data!M1798</f>
        <v>0</v>
      </c>
      <c r="T1781">
        <f>Data!N1798</f>
        <v>0</v>
      </c>
      <c r="U1781">
        <f>Data!O1798</f>
        <v>0</v>
      </c>
      <c r="V1781" s="33">
        <f>Data!P1796</f>
        <v>0</v>
      </c>
    </row>
    <row r="1782" spans="7:22" x14ac:dyDescent="0.25">
      <c r="G1782">
        <f>Data!A1795</f>
        <v>0</v>
      </c>
      <c r="H1782" s="21">
        <f>Data!B1795</f>
        <v>0</v>
      </c>
      <c r="I1782" s="21">
        <f>Data!C1795</f>
        <v>0</v>
      </c>
      <c r="J1782">
        <f>Data!D1795</f>
        <v>0</v>
      </c>
      <c r="K1782">
        <f>Data!E1795</f>
        <v>0</v>
      </c>
      <c r="L1782">
        <f>Data!F1795</f>
        <v>0</v>
      </c>
      <c r="M1782">
        <f>Data!G1795</f>
        <v>0</v>
      </c>
      <c r="N1782">
        <f>Data!H1795</f>
        <v>0</v>
      </c>
      <c r="O1782">
        <f>Data!I1795</f>
        <v>0</v>
      </c>
      <c r="P1782" s="21">
        <f>Data!J1799</f>
        <v>0</v>
      </c>
      <c r="Q1782">
        <f>Data!K1799</f>
        <v>0</v>
      </c>
      <c r="R1782">
        <f>Data!L1799</f>
        <v>0</v>
      </c>
      <c r="S1782">
        <f>Data!M1799</f>
        <v>0</v>
      </c>
      <c r="T1782">
        <f>Data!N1799</f>
        <v>0</v>
      </c>
      <c r="U1782">
        <f>Data!O1799</f>
        <v>0</v>
      </c>
      <c r="V1782" s="33">
        <f>Data!P1797</f>
        <v>0</v>
      </c>
    </row>
    <row r="1783" spans="7:22" x14ac:dyDescent="0.25">
      <c r="G1783">
        <f>Data!A1796</f>
        <v>0</v>
      </c>
      <c r="H1783" s="21">
        <f>Data!B1796</f>
        <v>0</v>
      </c>
      <c r="I1783" s="21">
        <f>Data!C1796</f>
        <v>0</v>
      </c>
      <c r="J1783">
        <f>Data!D1796</f>
        <v>0</v>
      </c>
      <c r="K1783">
        <f>Data!E1796</f>
        <v>0</v>
      </c>
      <c r="L1783">
        <f>Data!F1796</f>
        <v>0</v>
      </c>
      <c r="M1783">
        <f>Data!G1796</f>
        <v>0</v>
      </c>
      <c r="N1783">
        <f>Data!H1796</f>
        <v>0</v>
      </c>
      <c r="O1783">
        <f>Data!I1796</f>
        <v>0</v>
      </c>
      <c r="P1783" s="21">
        <f>Data!J1800</f>
        <v>0</v>
      </c>
      <c r="Q1783">
        <f>Data!K1800</f>
        <v>0</v>
      </c>
      <c r="R1783">
        <f>Data!L1800</f>
        <v>0</v>
      </c>
      <c r="S1783">
        <f>Data!M1800</f>
        <v>0</v>
      </c>
      <c r="T1783">
        <f>Data!N1800</f>
        <v>0</v>
      </c>
      <c r="U1783">
        <f>Data!O1800</f>
        <v>0</v>
      </c>
      <c r="V1783" s="33">
        <f>Data!P1798</f>
        <v>0</v>
      </c>
    </row>
    <row r="1784" spans="7:22" x14ac:dyDescent="0.25">
      <c r="G1784">
        <f>Data!A1797</f>
        <v>0</v>
      </c>
      <c r="H1784" s="21">
        <f>Data!B1797</f>
        <v>0</v>
      </c>
      <c r="I1784" s="21">
        <f>Data!C1797</f>
        <v>0</v>
      </c>
      <c r="J1784">
        <f>Data!D1797</f>
        <v>0</v>
      </c>
      <c r="K1784">
        <f>Data!E1797</f>
        <v>0</v>
      </c>
      <c r="L1784">
        <f>Data!F1797</f>
        <v>0</v>
      </c>
      <c r="M1784">
        <f>Data!G1797</f>
        <v>0</v>
      </c>
      <c r="N1784">
        <f>Data!H1797</f>
        <v>0</v>
      </c>
      <c r="O1784">
        <f>Data!I1797</f>
        <v>0</v>
      </c>
      <c r="P1784" s="21">
        <f>Data!J1801</f>
        <v>0</v>
      </c>
      <c r="Q1784">
        <f>Data!K1801</f>
        <v>0</v>
      </c>
      <c r="R1784">
        <f>Data!L1801</f>
        <v>0</v>
      </c>
      <c r="S1784">
        <f>Data!M1801</f>
        <v>0</v>
      </c>
      <c r="T1784">
        <f>Data!N1801</f>
        <v>0</v>
      </c>
      <c r="U1784">
        <f>Data!O1801</f>
        <v>0</v>
      </c>
      <c r="V1784" s="33">
        <f>Data!P1799</f>
        <v>0</v>
      </c>
    </row>
    <row r="1785" spans="7:22" x14ac:dyDescent="0.25">
      <c r="G1785">
        <f>Data!A1798</f>
        <v>0</v>
      </c>
      <c r="H1785" s="21">
        <f>Data!B1798</f>
        <v>0</v>
      </c>
      <c r="I1785" s="21">
        <f>Data!C1798</f>
        <v>0</v>
      </c>
      <c r="J1785">
        <f>Data!D1798</f>
        <v>0</v>
      </c>
      <c r="K1785">
        <f>Data!E1798</f>
        <v>0</v>
      </c>
      <c r="L1785">
        <f>Data!F1798</f>
        <v>0</v>
      </c>
      <c r="M1785">
        <f>Data!G1798</f>
        <v>0</v>
      </c>
      <c r="N1785">
        <f>Data!H1798</f>
        <v>0</v>
      </c>
      <c r="O1785">
        <f>Data!I1798</f>
        <v>0</v>
      </c>
      <c r="P1785" s="21">
        <f>Data!J1802</f>
        <v>0</v>
      </c>
      <c r="Q1785">
        <f>Data!K1802</f>
        <v>0</v>
      </c>
      <c r="R1785">
        <f>Data!L1802</f>
        <v>0</v>
      </c>
      <c r="S1785">
        <f>Data!M1802</f>
        <v>0</v>
      </c>
      <c r="T1785">
        <f>Data!N1802</f>
        <v>0</v>
      </c>
      <c r="U1785">
        <f>Data!O1802</f>
        <v>0</v>
      </c>
      <c r="V1785" s="33">
        <f>Data!P1800</f>
        <v>0</v>
      </c>
    </row>
    <row r="1786" spans="7:22" x14ac:dyDescent="0.25">
      <c r="G1786">
        <f>Data!A1799</f>
        <v>0</v>
      </c>
      <c r="H1786" s="21">
        <f>Data!B1799</f>
        <v>0</v>
      </c>
      <c r="I1786" s="21">
        <f>Data!C1799</f>
        <v>0</v>
      </c>
      <c r="J1786">
        <f>Data!D1799</f>
        <v>0</v>
      </c>
      <c r="K1786">
        <f>Data!E1799</f>
        <v>0</v>
      </c>
      <c r="L1786">
        <f>Data!F1799</f>
        <v>0</v>
      </c>
      <c r="M1786">
        <f>Data!G1799</f>
        <v>0</v>
      </c>
      <c r="N1786">
        <f>Data!H1799</f>
        <v>0</v>
      </c>
      <c r="O1786">
        <f>Data!I1799</f>
        <v>0</v>
      </c>
      <c r="P1786" s="21">
        <f>Data!J1803</f>
        <v>0</v>
      </c>
      <c r="Q1786">
        <f>Data!K1803</f>
        <v>0</v>
      </c>
      <c r="R1786">
        <f>Data!L1803</f>
        <v>0</v>
      </c>
      <c r="S1786">
        <f>Data!M1803</f>
        <v>0</v>
      </c>
      <c r="T1786">
        <f>Data!N1803</f>
        <v>0</v>
      </c>
      <c r="U1786">
        <f>Data!O1803</f>
        <v>0</v>
      </c>
      <c r="V1786" s="33">
        <f>Data!P1801</f>
        <v>0</v>
      </c>
    </row>
    <row r="1787" spans="7:22" x14ac:dyDescent="0.25">
      <c r="G1787">
        <f>Data!A1800</f>
        <v>0</v>
      </c>
      <c r="H1787" s="21">
        <f>Data!B1800</f>
        <v>0</v>
      </c>
      <c r="I1787" s="21">
        <f>Data!C1800</f>
        <v>0</v>
      </c>
      <c r="J1787">
        <f>Data!D1800</f>
        <v>0</v>
      </c>
      <c r="K1787">
        <f>Data!E1800</f>
        <v>0</v>
      </c>
      <c r="L1787">
        <f>Data!F1800</f>
        <v>0</v>
      </c>
      <c r="M1787">
        <f>Data!G1800</f>
        <v>0</v>
      </c>
      <c r="N1787">
        <f>Data!H1800</f>
        <v>0</v>
      </c>
      <c r="O1787">
        <f>Data!I1800</f>
        <v>0</v>
      </c>
      <c r="P1787" s="21">
        <f>Data!J1804</f>
        <v>0</v>
      </c>
      <c r="Q1787">
        <f>Data!K1804</f>
        <v>0</v>
      </c>
      <c r="R1787">
        <f>Data!L1804</f>
        <v>0</v>
      </c>
      <c r="S1787">
        <f>Data!M1804</f>
        <v>0</v>
      </c>
      <c r="T1787">
        <f>Data!N1804</f>
        <v>0</v>
      </c>
      <c r="U1787">
        <f>Data!O1804</f>
        <v>0</v>
      </c>
      <c r="V1787" s="33">
        <f>Data!P1802</f>
        <v>0</v>
      </c>
    </row>
    <row r="1788" spans="7:22" x14ac:dyDescent="0.25">
      <c r="G1788">
        <f>Data!A1801</f>
        <v>0</v>
      </c>
      <c r="H1788" s="21">
        <f>Data!B1801</f>
        <v>0</v>
      </c>
      <c r="I1788" s="21">
        <f>Data!C1801</f>
        <v>0</v>
      </c>
      <c r="J1788">
        <f>Data!D1801</f>
        <v>0</v>
      </c>
      <c r="K1788">
        <f>Data!E1801</f>
        <v>0</v>
      </c>
      <c r="L1788">
        <f>Data!F1801</f>
        <v>0</v>
      </c>
      <c r="M1788">
        <f>Data!G1801</f>
        <v>0</v>
      </c>
      <c r="N1788">
        <f>Data!H1801</f>
        <v>0</v>
      </c>
      <c r="O1788">
        <f>Data!I1801</f>
        <v>0</v>
      </c>
      <c r="P1788" s="21">
        <f>Data!J1805</f>
        <v>0</v>
      </c>
      <c r="Q1788">
        <f>Data!K1805</f>
        <v>0</v>
      </c>
      <c r="R1788">
        <f>Data!L1805</f>
        <v>0</v>
      </c>
      <c r="S1788">
        <f>Data!M1805</f>
        <v>0</v>
      </c>
      <c r="T1788">
        <f>Data!N1805</f>
        <v>0</v>
      </c>
      <c r="U1788">
        <f>Data!O1805</f>
        <v>0</v>
      </c>
      <c r="V1788" s="33">
        <f>Data!P1803</f>
        <v>0</v>
      </c>
    </row>
    <row r="1789" spans="7:22" x14ac:dyDescent="0.25">
      <c r="G1789">
        <f>Data!A1802</f>
        <v>0</v>
      </c>
      <c r="H1789" s="21">
        <f>Data!B1802</f>
        <v>0</v>
      </c>
      <c r="I1789" s="21">
        <f>Data!C1802</f>
        <v>0</v>
      </c>
      <c r="J1789">
        <f>Data!D1802</f>
        <v>0</v>
      </c>
      <c r="K1789">
        <f>Data!E1802</f>
        <v>0</v>
      </c>
      <c r="L1789">
        <f>Data!F1802</f>
        <v>0</v>
      </c>
      <c r="M1789">
        <f>Data!G1802</f>
        <v>0</v>
      </c>
      <c r="N1789">
        <f>Data!H1802</f>
        <v>0</v>
      </c>
      <c r="O1789">
        <f>Data!I1802</f>
        <v>0</v>
      </c>
      <c r="P1789" s="21">
        <f>Data!J1806</f>
        <v>0</v>
      </c>
      <c r="Q1789">
        <f>Data!K1806</f>
        <v>0</v>
      </c>
      <c r="R1789">
        <f>Data!L1806</f>
        <v>0</v>
      </c>
      <c r="S1789">
        <f>Data!M1806</f>
        <v>0</v>
      </c>
      <c r="T1789">
        <f>Data!N1806</f>
        <v>0</v>
      </c>
      <c r="U1789">
        <f>Data!O1806</f>
        <v>0</v>
      </c>
      <c r="V1789" s="33">
        <f>Data!P1804</f>
        <v>0</v>
      </c>
    </row>
    <row r="1790" spans="7:22" x14ac:dyDescent="0.25">
      <c r="G1790">
        <f>Data!A1803</f>
        <v>0</v>
      </c>
      <c r="H1790" s="21">
        <f>Data!B1803</f>
        <v>0</v>
      </c>
      <c r="I1790" s="21">
        <f>Data!C1803</f>
        <v>0</v>
      </c>
      <c r="J1790">
        <f>Data!D1803</f>
        <v>0</v>
      </c>
      <c r="K1790">
        <f>Data!E1803</f>
        <v>0</v>
      </c>
      <c r="L1790">
        <f>Data!F1803</f>
        <v>0</v>
      </c>
      <c r="M1790">
        <f>Data!G1803</f>
        <v>0</v>
      </c>
      <c r="N1790">
        <f>Data!H1803</f>
        <v>0</v>
      </c>
      <c r="O1790">
        <f>Data!I1803</f>
        <v>0</v>
      </c>
      <c r="P1790" s="21">
        <f>Data!J1807</f>
        <v>0</v>
      </c>
      <c r="Q1790">
        <f>Data!K1807</f>
        <v>0</v>
      </c>
      <c r="R1790">
        <f>Data!L1807</f>
        <v>0</v>
      </c>
      <c r="S1790">
        <f>Data!M1807</f>
        <v>0</v>
      </c>
      <c r="T1790">
        <f>Data!N1807</f>
        <v>0</v>
      </c>
      <c r="U1790">
        <f>Data!O1807</f>
        <v>0</v>
      </c>
      <c r="V1790" s="33">
        <f>Data!P1805</f>
        <v>0</v>
      </c>
    </row>
    <row r="1791" spans="7:22" x14ac:dyDescent="0.25">
      <c r="G1791">
        <f>Data!A1804</f>
        <v>0</v>
      </c>
      <c r="H1791" s="21">
        <f>Data!B1804</f>
        <v>0</v>
      </c>
      <c r="I1791" s="21">
        <f>Data!C1804</f>
        <v>0</v>
      </c>
      <c r="J1791">
        <f>Data!D1804</f>
        <v>0</v>
      </c>
      <c r="K1791">
        <f>Data!E1804</f>
        <v>0</v>
      </c>
      <c r="L1791">
        <f>Data!F1804</f>
        <v>0</v>
      </c>
      <c r="M1791">
        <f>Data!G1804</f>
        <v>0</v>
      </c>
      <c r="N1791">
        <f>Data!H1804</f>
        <v>0</v>
      </c>
      <c r="O1791">
        <f>Data!I1804</f>
        <v>0</v>
      </c>
      <c r="P1791" s="21">
        <f>Data!J1808</f>
        <v>0</v>
      </c>
      <c r="Q1791">
        <f>Data!K1808</f>
        <v>0</v>
      </c>
      <c r="R1791">
        <f>Data!L1808</f>
        <v>0</v>
      </c>
      <c r="S1791">
        <f>Data!M1808</f>
        <v>0</v>
      </c>
      <c r="T1791">
        <f>Data!N1808</f>
        <v>0</v>
      </c>
      <c r="U1791">
        <f>Data!O1808</f>
        <v>0</v>
      </c>
      <c r="V1791" s="33">
        <f>Data!P1806</f>
        <v>0</v>
      </c>
    </row>
    <row r="1792" spans="7:22" x14ac:dyDescent="0.25">
      <c r="G1792">
        <f>Data!A1805</f>
        <v>0</v>
      </c>
      <c r="H1792" s="21">
        <f>Data!B1805</f>
        <v>0</v>
      </c>
      <c r="I1792" s="21">
        <f>Data!C1805</f>
        <v>0</v>
      </c>
      <c r="J1792">
        <f>Data!D1805</f>
        <v>0</v>
      </c>
      <c r="K1792">
        <f>Data!E1805</f>
        <v>0</v>
      </c>
      <c r="L1792">
        <f>Data!F1805</f>
        <v>0</v>
      </c>
      <c r="M1792">
        <f>Data!G1805</f>
        <v>0</v>
      </c>
      <c r="N1792">
        <f>Data!H1805</f>
        <v>0</v>
      </c>
      <c r="O1792">
        <f>Data!I1805</f>
        <v>0</v>
      </c>
      <c r="P1792" s="21">
        <f>Data!J1809</f>
        <v>0</v>
      </c>
      <c r="Q1792">
        <f>Data!K1809</f>
        <v>0</v>
      </c>
      <c r="R1792">
        <f>Data!L1809</f>
        <v>0</v>
      </c>
      <c r="S1792">
        <f>Data!M1809</f>
        <v>0</v>
      </c>
      <c r="T1792">
        <f>Data!N1809</f>
        <v>0</v>
      </c>
      <c r="U1792">
        <f>Data!O1809</f>
        <v>0</v>
      </c>
      <c r="V1792" s="33">
        <f>Data!P1807</f>
        <v>0</v>
      </c>
    </row>
    <row r="1793" spans="7:22" x14ac:dyDescent="0.25">
      <c r="G1793">
        <f>Data!A1806</f>
        <v>0</v>
      </c>
      <c r="H1793" s="21">
        <f>Data!B1806</f>
        <v>0</v>
      </c>
      <c r="I1793" s="21">
        <f>Data!C1806</f>
        <v>0</v>
      </c>
      <c r="J1793">
        <f>Data!D1806</f>
        <v>0</v>
      </c>
      <c r="K1793">
        <f>Data!E1806</f>
        <v>0</v>
      </c>
      <c r="L1793">
        <f>Data!F1806</f>
        <v>0</v>
      </c>
      <c r="M1793">
        <f>Data!G1806</f>
        <v>0</v>
      </c>
      <c r="N1793">
        <f>Data!H1806</f>
        <v>0</v>
      </c>
      <c r="O1793">
        <f>Data!I1806</f>
        <v>0</v>
      </c>
      <c r="P1793" s="21">
        <f>Data!J1810</f>
        <v>0</v>
      </c>
      <c r="Q1793">
        <f>Data!K1810</f>
        <v>0</v>
      </c>
      <c r="R1793">
        <f>Data!L1810</f>
        <v>0</v>
      </c>
      <c r="S1793">
        <f>Data!M1810</f>
        <v>0</v>
      </c>
      <c r="T1793">
        <f>Data!N1810</f>
        <v>0</v>
      </c>
      <c r="U1793">
        <f>Data!O1810</f>
        <v>0</v>
      </c>
      <c r="V1793" s="33">
        <f>Data!P1808</f>
        <v>0</v>
      </c>
    </row>
    <row r="1794" spans="7:22" x14ac:dyDescent="0.25">
      <c r="G1794">
        <f>Data!A1807</f>
        <v>0</v>
      </c>
      <c r="H1794" s="21">
        <f>Data!B1807</f>
        <v>0</v>
      </c>
      <c r="I1794" s="21">
        <f>Data!C1807</f>
        <v>0</v>
      </c>
      <c r="J1794">
        <f>Data!D1807</f>
        <v>0</v>
      </c>
      <c r="K1794">
        <f>Data!E1807</f>
        <v>0</v>
      </c>
      <c r="L1794">
        <f>Data!F1807</f>
        <v>0</v>
      </c>
      <c r="M1794">
        <f>Data!G1807</f>
        <v>0</v>
      </c>
      <c r="N1794">
        <f>Data!H1807</f>
        <v>0</v>
      </c>
      <c r="O1794">
        <f>Data!I1807</f>
        <v>0</v>
      </c>
      <c r="P1794" s="21">
        <f>Data!J1811</f>
        <v>0</v>
      </c>
      <c r="Q1794">
        <f>Data!K1811</f>
        <v>0</v>
      </c>
      <c r="R1794">
        <f>Data!L1811</f>
        <v>0</v>
      </c>
      <c r="S1794">
        <f>Data!M1811</f>
        <v>0</v>
      </c>
      <c r="T1794">
        <f>Data!N1811</f>
        <v>0</v>
      </c>
      <c r="U1794">
        <f>Data!O1811</f>
        <v>0</v>
      </c>
      <c r="V1794" s="33">
        <f>Data!P1809</f>
        <v>0</v>
      </c>
    </row>
    <row r="1795" spans="7:22" x14ac:dyDescent="0.25">
      <c r="G1795">
        <f>Data!A1808</f>
        <v>0</v>
      </c>
      <c r="H1795" s="21">
        <f>Data!B1808</f>
        <v>0</v>
      </c>
      <c r="I1795" s="21">
        <f>Data!C1808</f>
        <v>0</v>
      </c>
      <c r="J1795">
        <f>Data!D1808</f>
        <v>0</v>
      </c>
      <c r="K1795">
        <f>Data!E1808</f>
        <v>0</v>
      </c>
      <c r="L1795">
        <f>Data!F1808</f>
        <v>0</v>
      </c>
      <c r="M1795">
        <f>Data!G1808</f>
        <v>0</v>
      </c>
      <c r="N1795">
        <f>Data!H1808</f>
        <v>0</v>
      </c>
      <c r="O1795">
        <f>Data!I1808</f>
        <v>0</v>
      </c>
      <c r="P1795" s="21">
        <f>Data!J1812</f>
        <v>0</v>
      </c>
      <c r="Q1795">
        <f>Data!K1812</f>
        <v>0</v>
      </c>
      <c r="R1795">
        <f>Data!L1812</f>
        <v>0</v>
      </c>
      <c r="S1795">
        <f>Data!M1812</f>
        <v>0</v>
      </c>
      <c r="T1795">
        <f>Data!N1812</f>
        <v>0</v>
      </c>
      <c r="U1795">
        <f>Data!O1812</f>
        <v>0</v>
      </c>
      <c r="V1795" s="33">
        <f>Data!P1810</f>
        <v>0</v>
      </c>
    </row>
    <row r="1796" spans="7:22" x14ac:dyDescent="0.25">
      <c r="G1796">
        <f>Data!A1809</f>
        <v>0</v>
      </c>
      <c r="H1796" s="21">
        <f>Data!B1809</f>
        <v>0</v>
      </c>
      <c r="I1796" s="21">
        <f>Data!C1809</f>
        <v>0</v>
      </c>
      <c r="J1796">
        <f>Data!D1809</f>
        <v>0</v>
      </c>
      <c r="K1796">
        <f>Data!E1809</f>
        <v>0</v>
      </c>
      <c r="L1796">
        <f>Data!F1809</f>
        <v>0</v>
      </c>
      <c r="M1796">
        <f>Data!G1809</f>
        <v>0</v>
      </c>
      <c r="N1796">
        <f>Data!H1809</f>
        <v>0</v>
      </c>
      <c r="O1796">
        <f>Data!I1809</f>
        <v>0</v>
      </c>
      <c r="P1796" s="21">
        <f>Data!J1813</f>
        <v>0</v>
      </c>
      <c r="Q1796">
        <f>Data!K1813</f>
        <v>0</v>
      </c>
      <c r="R1796">
        <f>Data!L1813</f>
        <v>0</v>
      </c>
      <c r="S1796">
        <f>Data!M1813</f>
        <v>0</v>
      </c>
      <c r="T1796">
        <f>Data!N1813</f>
        <v>0</v>
      </c>
      <c r="U1796">
        <f>Data!O1813</f>
        <v>0</v>
      </c>
      <c r="V1796" s="33">
        <f>Data!P1811</f>
        <v>0</v>
      </c>
    </row>
    <row r="1797" spans="7:22" x14ac:dyDescent="0.25">
      <c r="G1797">
        <f>Data!A1810</f>
        <v>0</v>
      </c>
      <c r="H1797" s="21">
        <f>Data!B1810</f>
        <v>0</v>
      </c>
      <c r="I1797" s="21">
        <f>Data!C1810</f>
        <v>0</v>
      </c>
      <c r="J1797">
        <f>Data!D1810</f>
        <v>0</v>
      </c>
      <c r="K1797">
        <f>Data!E1810</f>
        <v>0</v>
      </c>
      <c r="L1797">
        <f>Data!F1810</f>
        <v>0</v>
      </c>
      <c r="M1797">
        <f>Data!G1810</f>
        <v>0</v>
      </c>
      <c r="N1797">
        <f>Data!H1810</f>
        <v>0</v>
      </c>
      <c r="O1797">
        <f>Data!I1810</f>
        <v>0</v>
      </c>
      <c r="P1797" s="21">
        <f>Data!J1814</f>
        <v>0</v>
      </c>
      <c r="Q1797">
        <f>Data!K1814</f>
        <v>0</v>
      </c>
      <c r="R1797">
        <f>Data!L1814</f>
        <v>0</v>
      </c>
      <c r="S1797">
        <f>Data!M1814</f>
        <v>0</v>
      </c>
      <c r="T1797">
        <f>Data!N1814</f>
        <v>0</v>
      </c>
      <c r="U1797">
        <f>Data!O1814</f>
        <v>0</v>
      </c>
      <c r="V1797" s="33">
        <f>Data!P1812</f>
        <v>0</v>
      </c>
    </row>
    <row r="1798" spans="7:22" x14ac:dyDescent="0.25">
      <c r="G1798">
        <f>Data!A1811</f>
        <v>0</v>
      </c>
      <c r="H1798" s="21">
        <f>Data!B1811</f>
        <v>0</v>
      </c>
      <c r="I1798" s="21">
        <f>Data!C1811</f>
        <v>0</v>
      </c>
      <c r="J1798">
        <f>Data!D1811</f>
        <v>0</v>
      </c>
      <c r="K1798">
        <f>Data!E1811</f>
        <v>0</v>
      </c>
      <c r="L1798">
        <f>Data!F1811</f>
        <v>0</v>
      </c>
      <c r="M1798">
        <f>Data!G1811</f>
        <v>0</v>
      </c>
      <c r="N1798">
        <f>Data!H1811</f>
        <v>0</v>
      </c>
      <c r="O1798">
        <f>Data!I1811</f>
        <v>0</v>
      </c>
      <c r="P1798" s="21">
        <f>Data!J1815</f>
        <v>0</v>
      </c>
      <c r="Q1798">
        <f>Data!K1815</f>
        <v>0</v>
      </c>
      <c r="R1798">
        <f>Data!L1815</f>
        <v>0</v>
      </c>
      <c r="S1798">
        <f>Data!M1815</f>
        <v>0</v>
      </c>
      <c r="T1798">
        <f>Data!N1815</f>
        <v>0</v>
      </c>
      <c r="U1798">
        <f>Data!O1815</f>
        <v>0</v>
      </c>
      <c r="V1798" s="33">
        <f>Data!P1813</f>
        <v>0</v>
      </c>
    </row>
    <row r="1799" spans="7:22" x14ac:dyDescent="0.25">
      <c r="G1799">
        <f>Data!A1812</f>
        <v>0</v>
      </c>
      <c r="H1799" s="21">
        <f>Data!B1812</f>
        <v>0</v>
      </c>
      <c r="I1799" s="21">
        <f>Data!C1812</f>
        <v>0</v>
      </c>
      <c r="J1799">
        <f>Data!D1812</f>
        <v>0</v>
      </c>
      <c r="K1799">
        <f>Data!E1812</f>
        <v>0</v>
      </c>
      <c r="L1799">
        <f>Data!F1812</f>
        <v>0</v>
      </c>
      <c r="M1799">
        <f>Data!G1812</f>
        <v>0</v>
      </c>
      <c r="N1799">
        <f>Data!H1812</f>
        <v>0</v>
      </c>
      <c r="O1799">
        <f>Data!I1812</f>
        <v>0</v>
      </c>
      <c r="P1799" s="21">
        <f>Data!J1816</f>
        <v>0</v>
      </c>
      <c r="Q1799">
        <f>Data!K1816</f>
        <v>0</v>
      </c>
      <c r="R1799">
        <f>Data!L1816</f>
        <v>0</v>
      </c>
      <c r="S1799">
        <f>Data!M1816</f>
        <v>0</v>
      </c>
      <c r="T1799">
        <f>Data!N1816</f>
        <v>0</v>
      </c>
      <c r="U1799">
        <f>Data!O1816</f>
        <v>0</v>
      </c>
      <c r="V1799" s="33">
        <f>Data!P1814</f>
        <v>0</v>
      </c>
    </row>
    <row r="1800" spans="7:22" x14ac:dyDescent="0.25">
      <c r="G1800">
        <f>Data!A1813</f>
        <v>0</v>
      </c>
      <c r="H1800" s="21">
        <f>Data!B1813</f>
        <v>0</v>
      </c>
      <c r="I1800" s="21">
        <f>Data!C1813</f>
        <v>0</v>
      </c>
      <c r="J1800">
        <f>Data!D1813</f>
        <v>0</v>
      </c>
      <c r="K1800">
        <f>Data!E1813</f>
        <v>0</v>
      </c>
      <c r="L1800">
        <f>Data!F1813</f>
        <v>0</v>
      </c>
      <c r="M1800">
        <f>Data!G1813</f>
        <v>0</v>
      </c>
      <c r="N1800">
        <f>Data!H1813</f>
        <v>0</v>
      </c>
      <c r="O1800">
        <f>Data!I1813</f>
        <v>0</v>
      </c>
      <c r="P1800" s="21">
        <f>Data!J1817</f>
        <v>0</v>
      </c>
      <c r="Q1800">
        <f>Data!K1817</f>
        <v>0</v>
      </c>
      <c r="R1800">
        <f>Data!L1817</f>
        <v>0</v>
      </c>
      <c r="S1800">
        <f>Data!M1817</f>
        <v>0</v>
      </c>
      <c r="T1800">
        <f>Data!N1817</f>
        <v>0</v>
      </c>
      <c r="U1800">
        <f>Data!O1817</f>
        <v>0</v>
      </c>
      <c r="V1800" s="33">
        <f>Data!P1815</f>
        <v>0</v>
      </c>
    </row>
    <row r="1801" spans="7:22" x14ac:dyDescent="0.25">
      <c r="G1801">
        <f>Data!A1814</f>
        <v>0</v>
      </c>
      <c r="H1801" s="21">
        <f>Data!B1814</f>
        <v>0</v>
      </c>
      <c r="I1801" s="21">
        <f>Data!C1814</f>
        <v>0</v>
      </c>
      <c r="J1801">
        <f>Data!D1814</f>
        <v>0</v>
      </c>
      <c r="K1801">
        <f>Data!E1814</f>
        <v>0</v>
      </c>
      <c r="L1801">
        <f>Data!F1814</f>
        <v>0</v>
      </c>
      <c r="M1801">
        <f>Data!G1814</f>
        <v>0</v>
      </c>
      <c r="N1801">
        <f>Data!H1814</f>
        <v>0</v>
      </c>
      <c r="O1801">
        <f>Data!I1814</f>
        <v>0</v>
      </c>
      <c r="P1801" s="21">
        <f>Data!J1818</f>
        <v>0</v>
      </c>
      <c r="Q1801">
        <f>Data!K1818</f>
        <v>0</v>
      </c>
      <c r="R1801">
        <f>Data!L1818</f>
        <v>0</v>
      </c>
      <c r="S1801">
        <f>Data!M1818</f>
        <v>0</v>
      </c>
      <c r="T1801">
        <f>Data!N1818</f>
        <v>0</v>
      </c>
      <c r="U1801">
        <f>Data!O1818</f>
        <v>0</v>
      </c>
      <c r="V1801" s="33">
        <f>Data!P1816</f>
        <v>0</v>
      </c>
    </row>
    <row r="1802" spans="7:22" x14ac:dyDescent="0.25">
      <c r="G1802">
        <f>Data!A1815</f>
        <v>0</v>
      </c>
      <c r="H1802" s="21">
        <f>Data!B1815</f>
        <v>0</v>
      </c>
      <c r="I1802" s="21">
        <f>Data!C1815</f>
        <v>0</v>
      </c>
      <c r="J1802">
        <f>Data!D1815</f>
        <v>0</v>
      </c>
      <c r="K1802">
        <f>Data!E1815</f>
        <v>0</v>
      </c>
      <c r="L1802">
        <f>Data!F1815</f>
        <v>0</v>
      </c>
      <c r="M1802">
        <f>Data!G1815</f>
        <v>0</v>
      </c>
      <c r="N1802">
        <f>Data!H1815</f>
        <v>0</v>
      </c>
      <c r="O1802">
        <f>Data!I1815</f>
        <v>0</v>
      </c>
      <c r="P1802" s="21">
        <f>Data!J1819</f>
        <v>0</v>
      </c>
      <c r="Q1802">
        <f>Data!K1819</f>
        <v>0</v>
      </c>
      <c r="R1802">
        <f>Data!L1819</f>
        <v>0</v>
      </c>
      <c r="S1802">
        <f>Data!M1819</f>
        <v>0</v>
      </c>
      <c r="T1802">
        <f>Data!N1819</f>
        <v>0</v>
      </c>
      <c r="U1802">
        <f>Data!O1819</f>
        <v>0</v>
      </c>
      <c r="V1802" s="33">
        <f>Data!P1817</f>
        <v>0</v>
      </c>
    </row>
    <row r="1803" spans="7:22" x14ac:dyDescent="0.25">
      <c r="G1803">
        <f>Data!A1816</f>
        <v>0</v>
      </c>
      <c r="H1803" s="21">
        <f>Data!B1816</f>
        <v>0</v>
      </c>
      <c r="I1803" s="21">
        <f>Data!C1816</f>
        <v>0</v>
      </c>
      <c r="J1803">
        <f>Data!D1816</f>
        <v>0</v>
      </c>
      <c r="K1803">
        <f>Data!E1816</f>
        <v>0</v>
      </c>
      <c r="L1803">
        <f>Data!F1816</f>
        <v>0</v>
      </c>
      <c r="M1803">
        <f>Data!G1816</f>
        <v>0</v>
      </c>
      <c r="N1803">
        <f>Data!H1816</f>
        <v>0</v>
      </c>
      <c r="O1803">
        <f>Data!I1816</f>
        <v>0</v>
      </c>
      <c r="P1803" s="21">
        <f>Data!J1820</f>
        <v>0</v>
      </c>
      <c r="Q1803">
        <f>Data!K1820</f>
        <v>0</v>
      </c>
      <c r="R1803">
        <f>Data!L1820</f>
        <v>0</v>
      </c>
      <c r="S1803">
        <f>Data!M1820</f>
        <v>0</v>
      </c>
      <c r="T1803">
        <f>Data!N1820</f>
        <v>0</v>
      </c>
      <c r="U1803">
        <f>Data!O1820</f>
        <v>0</v>
      </c>
      <c r="V1803" s="33">
        <f>Data!P1818</f>
        <v>0</v>
      </c>
    </row>
    <row r="1804" spans="7:22" x14ac:dyDescent="0.25">
      <c r="G1804">
        <f>Data!A1817</f>
        <v>0</v>
      </c>
      <c r="H1804" s="21">
        <f>Data!B1817</f>
        <v>0</v>
      </c>
      <c r="I1804" s="21">
        <f>Data!C1817</f>
        <v>0</v>
      </c>
      <c r="J1804">
        <f>Data!D1817</f>
        <v>0</v>
      </c>
      <c r="K1804">
        <f>Data!E1817</f>
        <v>0</v>
      </c>
      <c r="L1804">
        <f>Data!F1817</f>
        <v>0</v>
      </c>
      <c r="M1804">
        <f>Data!G1817</f>
        <v>0</v>
      </c>
      <c r="N1804">
        <f>Data!H1817</f>
        <v>0</v>
      </c>
      <c r="O1804">
        <f>Data!I1817</f>
        <v>0</v>
      </c>
      <c r="P1804" s="21">
        <f>Data!J1821</f>
        <v>0</v>
      </c>
      <c r="Q1804">
        <f>Data!K1821</f>
        <v>0</v>
      </c>
      <c r="R1804">
        <f>Data!L1821</f>
        <v>0</v>
      </c>
      <c r="S1804">
        <f>Data!M1821</f>
        <v>0</v>
      </c>
      <c r="T1804">
        <f>Data!N1821</f>
        <v>0</v>
      </c>
      <c r="U1804">
        <f>Data!O1821</f>
        <v>0</v>
      </c>
      <c r="V1804" s="33">
        <f>Data!P1819</f>
        <v>0</v>
      </c>
    </row>
    <row r="1805" spans="7:22" x14ac:dyDescent="0.25">
      <c r="G1805">
        <f>Data!A1818</f>
        <v>0</v>
      </c>
      <c r="H1805" s="21">
        <f>Data!B1818</f>
        <v>0</v>
      </c>
      <c r="I1805" s="21">
        <f>Data!C1818</f>
        <v>0</v>
      </c>
      <c r="J1805">
        <f>Data!D1818</f>
        <v>0</v>
      </c>
      <c r="K1805">
        <f>Data!E1818</f>
        <v>0</v>
      </c>
      <c r="L1805">
        <f>Data!F1818</f>
        <v>0</v>
      </c>
      <c r="M1805">
        <f>Data!G1818</f>
        <v>0</v>
      </c>
      <c r="N1805">
        <f>Data!H1818</f>
        <v>0</v>
      </c>
      <c r="O1805">
        <f>Data!I1818</f>
        <v>0</v>
      </c>
      <c r="P1805" s="21">
        <f>Data!J1822</f>
        <v>0</v>
      </c>
      <c r="Q1805">
        <f>Data!K1822</f>
        <v>0</v>
      </c>
      <c r="R1805">
        <f>Data!L1822</f>
        <v>0</v>
      </c>
      <c r="S1805">
        <f>Data!M1822</f>
        <v>0</v>
      </c>
      <c r="T1805">
        <f>Data!N1822</f>
        <v>0</v>
      </c>
      <c r="U1805">
        <f>Data!O1822</f>
        <v>0</v>
      </c>
      <c r="V1805" s="33">
        <f>Data!P1820</f>
        <v>0</v>
      </c>
    </row>
    <row r="1806" spans="7:22" x14ac:dyDescent="0.25">
      <c r="G1806">
        <f>Data!A1819</f>
        <v>0</v>
      </c>
      <c r="H1806" s="21">
        <f>Data!B1819</f>
        <v>0</v>
      </c>
      <c r="I1806" s="21">
        <f>Data!C1819</f>
        <v>0</v>
      </c>
      <c r="J1806">
        <f>Data!D1819</f>
        <v>0</v>
      </c>
      <c r="K1806">
        <f>Data!E1819</f>
        <v>0</v>
      </c>
      <c r="L1806">
        <f>Data!F1819</f>
        <v>0</v>
      </c>
      <c r="M1806">
        <f>Data!G1819</f>
        <v>0</v>
      </c>
      <c r="N1806">
        <f>Data!H1819</f>
        <v>0</v>
      </c>
      <c r="O1806">
        <f>Data!I1819</f>
        <v>0</v>
      </c>
      <c r="P1806" s="21">
        <f>Data!J1823</f>
        <v>0</v>
      </c>
      <c r="Q1806">
        <f>Data!K1823</f>
        <v>0</v>
      </c>
      <c r="R1806">
        <f>Data!L1823</f>
        <v>0</v>
      </c>
      <c r="S1806">
        <f>Data!M1823</f>
        <v>0</v>
      </c>
      <c r="T1806">
        <f>Data!N1823</f>
        <v>0</v>
      </c>
      <c r="U1806">
        <f>Data!O1823</f>
        <v>0</v>
      </c>
      <c r="V1806" s="33">
        <f>Data!P1821</f>
        <v>0</v>
      </c>
    </row>
    <row r="1807" spans="7:22" x14ac:dyDescent="0.25">
      <c r="G1807">
        <f>Data!A1820</f>
        <v>0</v>
      </c>
      <c r="H1807" s="21">
        <f>Data!B1820</f>
        <v>0</v>
      </c>
      <c r="I1807" s="21">
        <f>Data!C1820</f>
        <v>0</v>
      </c>
      <c r="J1807">
        <f>Data!D1820</f>
        <v>0</v>
      </c>
      <c r="K1807">
        <f>Data!E1820</f>
        <v>0</v>
      </c>
      <c r="L1807">
        <f>Data!F1820</f>
        <v>0</v>
      </c>
      <c r="M1807">
        <f>Data!G1820</f>
        <v>0</v>
      </c>
      <c r="N1807">
        <f>Data!H1820</f>
        <v>0</v>
      </c>
      <c r="O1807">
        <f>Data!I1820</f>
        <v>0</v>
      </c>
      <c r="P1807" s="21">
        <f>Data!J1824</f>
        <v>0</v>
      </c>
      <c r="Q1807">
        <f>Data!K1824</f>
        <v>0</v>
      </c>
      <c r="R1807">
        <f>Data!L1824</f>
        <v>0</v>
      </c>
      <c r="S1807">
        <f>Data!M1824</f>
        <v>0</v>
      </c>
      <c r="T1807">
        <f>Data!N1824</f>
        <v>0</v>
      </c>
      <c r="U1807">
        <f>Data!O1824</f>
        <v>0</v>
      </c>
      <c r="V1807" s="33">
        <f>Data!P1822</f>
        <v>0</v>
      </c>
    </row>
    <row r="1808" spans="7:22" x14ac:dyDescent="0.25">
      <c r="G1808">
        <f>Data!A1821</f>
        <v>0</v>
      </c>
      <c r="H1808" s="21">
        <f>Data!B1821</f>
        <v>0</v>
      </c>
      <c r="I1808" s="21">
        <f>Data!C1821</f>
        <v>0</v>
      </c>
      <c r="J1808">
        <f>Data!D1821</f>
        <v>0</v>
      </c>
      <c r="K1808">
        <f>Data!E1821</f>
        <v>0</v>
      </c>
      <c r="L1808">
        <f>Data!F1821</f>
        <v>0</v>
      </c>
      <c r="M1808">
        <f>Data!G1821</f>
        <v>0</v>
      </c>
      <c r="N1808">
        <f>Data!H1821</f>
        <v>0</v>
      </c>
      <c r="O1808">
        <f>Data!I1821</f>
        <v>0</v>
      </c>
      <c r="P1808" s="21">
        <f>Data!J1825</f>
        <v>0</v>
      </c>
      <c r="Q1808">
        <f>Data!K1825</f>
        <v>0</v>
      </c>
      <c r="R1808">
        <f>Data!L1825</f>
        <v>0</v>
      </c>
      <c r="S1808">
        <f>Data!M1825</f>
        <v>0</v>
      </c>
      <c r="T1808">
        <f>Data!N1825</f>
        <v>0</v>
      </c>
      <c r="U1808">
        <f>Data!O1825</f>
        <v>0</v>
      </c>
      <c r="V1808" s="33">
        <f>Data!P1823</f>
        <v>0</v>
      </c>
    </row>
    <row r="1809" spans="7:22" x14ac:dyDescent="0.25">
      <c r="G1809">
        <f>Data!A1822</f>
        <v>0</v>
      </c>
      <c r="H1809" s="21">
        <f>Data!B1822</f>
        <v>0</v>
      </c>
      <c r="I1809" s="21">
        <f>Data!C1822</f>
        <v>0</v>
      </c>
      <c r="J1809">
        <f>Data!D1822</f>
        <v>0</v>
      </c>
      <c r="K1809">
        <f>Data!E1822</f>
        <v>0</v>
      </c>
      <c r="L1809">
        <f>Data!F1822</f>
        <v>0</v>
      </c>
      <c r="M1809">
        <f>Data!G1822</f>
        <v>0</v>
      </c>
      <c r="N1809">
        <f>Data!H1822</f>
        <v>0</v>
      </c>
      <c r="O1809">
        <f>Data!I1822</f>
        <v>0</v>
      </c>
      <c r="P1809" s="21">
        <f>Data!J1826</f>
        <v>0</v>
      </c>
      <c r="Q1809">
        <f>Data!K1826</f>
        <v>0</v>
      </c>
      <c r="R1809">
        <f>Data!L1826</f>
        <v>0</v>
      </c>
      <c r="S1809">
        <f>Data!M1826</f>
        <v>0</v>
      </c>
      <c r="T1809">
        <f>Data!N1826</f>
        <v>0</v>
      </c>
      <c r="U1809">
        <f>Data!O1826</f>
        <v>0</v>
      </c>
      <c r="V1809" s="33">
        <f>Data!P1824</f>
        <v>0</v>
      </c>
    </row>
    <row r="1810" spans="7:22" x14ac:dyDescent="0.25">
      <c r="G1810">
        <f>Data!A1823</f>
        <v>0</v>
      </c>
      <c r="H1810" s="21">
        <f>Data!B1823</f>
        <v>0</v>
      </c>
      <c r="I1810" s="21">
        <f>Data!C1823</f>
        <v>0</v>
      </c>
      <c r="J1810">
        <f>Data!D1823</f>
        <v>0</v>
      </c>
      <c r="K1810">
        <f>Data!E1823</f>
        <v>0</v>
      </c>
      <c r="L1810">
        <f>Data!F1823</f>
        <v>0</v>
      </c>
      <c r="M1810">
        <f>Data!G1823</f>
        <v>0</v>
      </c>
      <c r="N1810">
        <f>Data!H1823</f>
        <v>0</v>
      </c>
      <c r="O1810">
        <f>Data!I1823</f>
        <v>0</v>
      </c>
      <c r="P1810" s="21">
        <f>Data!J1827</f>
        <v>0</v>
      </c>
      <c r="Q1810">
        <f>Data!K1827</f>
        <v>0</v>
      </c>
      <c r="R1810">
        <f>Data!L1827</f>
        <v>0</v>
      </c>
      <c r="S1810">
        <f>Data!M1827</f>
        <v>0</v>
      </c>
      <c r="T1810">
        <f>Data!N1827</f>
        <v>0</v>
      </c>
      <c r="U1810">
        <f>Data!O1827</f>
        <v>0</v>
      </c>
      <c r="V1810" s="33">
        <f>Data!P1825</f>
        <v>0</v>
      </c>
    </row>
    <row r="1811" spans="7:22" x14ac:dyDescent="0.25">
      <c r="G1811">
        <f>Data!A1824</f>
        <v>0</v>
      </c>
      <c r="H1811" s="21">
        <f>Data!B1824</f>
        <v>0</v>
      </c>
      <c r="I1811" s="21">
        <f>Data!C1824</f>
        <v>0</v>
      </c>
      <c r="J1811">
        <f>Data!D1824</f>
        <v>0</v>
      </c>
      <c r="K1811">
        <f>Data!E1824</f>
        <v>0</v>
      </c>
      <c r="L1811">
        <f>Data!F1824</f>
        <v>0</v>
      </c>
      <c r="M1811">
        <f>Data!G1824</f>
        <v>0</v>
      </c>
      <c r="N1811">
        <f>Data!H1824</f>
        <v>0</v>
      </c>
      <c r="O1811">
        <f>Data!I1824</f>
        <v>0</v>
      </c>
      <c r="P1811" s="21">
        <f>Data!J1828</f>
        <v>0</v>
      </c>
      <c r="Q1811">
        <f>Data!K1828</f>
        <v>0</v>
      </c>
      <c r="R1811">
        <f>Data!L1828</f>
        <v>0</v>
      </c>
      <c r="S1811">
        <f>Data!M1828</f>
        <v>0</v>
      </c>
      <c r="T1811">
        <f>Data!N1828</f>
        <v>0</v>
      </c>
      <c r="U1811">
        <f>Data!O1828</f>
        <v>0</v>
      </c>
      <c r="V1811" s="33">
        <f>Data!P1826</f>
        <v>0</v>
      </c>
    </row>
    <row r="1812" spans="7:22" x14ac:dyDescent="0.25">
      <c r="G1812">
        <f>Data!A1825</f>
        <v>0</v>
      </c>
      <c r="H1812" s="21">
        <f>Data!B1825</f>
        <v>0</v>
      </c>
      <c r="I1812" s="21">
        <f>Data!C1825</f>
        <v>0</v>
      </c>
      <c r="J1812">
        <f>Data!D1825</f>
        <v>0</v>
      </c>
      <c r="K1812">
        <f>Data!E1825</f>
        <v>0</v>
      </c>
      <c r="L1812">
        <f>Data!F1825</f>
        <v>0</v>
      </c>
      <c r="M1812">
        <f>Data!G1825</f>
        <v>0</v>
      </c>
      <c r="N1812">
        <f>Data!H1825</f>
        <v>0</v>
      </c>
      <c r="O1812">
        <f>Data!I1825</f>
        <v>0</v>
      </c>
      <c r="P1812" s="21">
        <f>Data!J1829</f>
        <v>0</v>
      </c>
      <c r="Q1812">
        <f>Data!K1829</f>
        <v>0</v>
      </c>
      <c r="R1812">
        <f>Data!L1829</f>
        <v>0</v>
      </c>
      <c r="S1812">
        <f>Data!M1829</f>
        <v>0</v>
      </c>
      <c r="T1812">
        <f>Data!N1829</f>
        <v>0</v>
      </c>
      <c r="U1812">
        <f>Data!O1829</f>
        <v>0</v>
      </c>
      <c r="V1812" s="33">
        <f>Data!P1827</f>
        <v>0</v>
      </c>
    </row>
    <row r="1813" spans="7:22" x14ac:dyDescent="0.25">
      <c r="G1813">
        <f>Data!A1826</f>
        <v>0</v>
      </c>
      <c r="H1813" s="21">
        <f>Data!B1826</f>
        <v>0</v>
      </c>
      <c r="I1813" s="21">
        <f>Data!C1826</f>
        <v>0</v>
      </c>
      <c r="J1813">
        <f>Data!D1826</f>
        <v>0</v>
      </c>
      <c r="K1813">
        <f>Data!E1826</f>
        <v>0</v>
      </c>
      <c r="L1813">
        <f>Data!F1826</f>
        <v>0</v>
      </c>
      <c r="M1813">
        <f>Data!G1826</f>
        <v>0</v>
      </c>
      <c r="N1813">
        <f>Data!H1826</f>
        <v>0</v>
      </c>
      <c r="O1813">
        <f>Data!I1826</f>
        <v>0</v>
      </c>
      <c r="P1813" s="21">
        <f>Data!J1830</f>
        <v>0</v>
      </c>
      <c r="Q1813">
        <f>Data!K1830</f>
        <v>0</v>
      </c>
      <c r="R1813">
        <f>Data!L1830</f>
        <v>0</v>
      </c>
      <c r="S1813">
        <f>Data!M1830</f>
        <v>0</v>
      </c>
      <c r="T1813">
        <f>Data!N1830</f>
        <v>0</v>
      </c>
      <c r="U1813">
        <f>Data!O1830</f>
        <v>0</v>
      </c>
      <c r="V1813" s="33">
        <f>Data!P1828</f>
        <v>0</v>
      </c>
    </row>
    <row r="1814" spans="7:22" x14ac:dyDescent="0.25">
      <c r="G1814">
        <f>Data!A1827</f>
        <v>0</v>
      </c>
      <c r="H1814" s="21">
        <f>Data!B1827</f>
        <v>0</v>
      </c>
      <c r="I1814" s="21">
        <f>Data!C1827</f>
        <v>0</v>
      </c>
      <c r="J1814">
        <f>Data!D1827</f>
        <v>0</v>
      </c>
      <c r="K1814">
        <f>Data!E1827</f>
        <v>0</v>
      </c>
      <c r="L1814">
        <f>Data!F1827</f>
        <v>0</v>
      </c>
      <c r="M1814">
        <f>Data!G1827</f>
        <v>0</v>
      </c>
      <c r="N1814">
        <f>Data!H1827</f>
        <v>0</v>
      </c>
      <c r="O1814">
        <f>Data!I1827</f>
        <v>0</v>
      </c>
      <c r="P1814" s="21">
        <f>Data!J1831</f>
        <v>0</v>
      </c>
      <c r="Q1814">
        <f>Data!K1831</f>
        <v>0</v>
      </c>
      <c r="R1814">
        <f>Data!L1831</f>
        <v>0</v>
      </c>
      <c r="S1814">
        <f>Data!M1831</f>
        <v>0</v>
      </c>
      <c r="T1814">
        <f>Data!N1831</f>
        <v>0</v>
      </c>
      <c r="U1814">
        <f>Data!O1831</f>
        <v>0</v>
      </c>
      <c r="V1814" s="33">
        <f>Data!P1829</f>
        <v>0</v>
      </c>
    </row>
    <row r="1815" spans="7:22" x14ac:dyDescent="0.25">
      <c r="G1815">
        <f>Data!A1828</f>
        <v>0</v>
      </c>
      <c r="H1815" s="21">
        <f>Data!B1828</f>
        <v>0</v>
      </c>
      <c r="I1815" s="21">
        <f>Data!C1828</f>
        <v>0</v>
      </c>
      <c r="J1815">
        <f>Data!D1828</f>
        <v>0</v>
      </c>
      <c r="K1815">
        <f>Data!E1828</f>
        <v>0</v>
      </c>
      <c r="L1815">
        <f>Data!F1828</f>
        <v>0</v>
      </c>
      <c r="M1815">
        <f>Data!G1828</f>
        <v>0</v>
      </c>
      <c r="N1815">
        <f>Data!H1828</f>
        <v>0</v>
      </c>
      <c r="O1815">
        <f>Data!I1828</f>
        <v>0</v>
      </c>
      <c r="P1815" s="21">
        <f>Data!J1832</f>
        <v>0</v>
      </c>
      <c r="Q1815">
        <f>Data!K1832</f>
        <v>0</v>
      </c>
      <c r="R1815">
        <f>Data!L1832</f>
        <v>0</v>
      </c>
      <c r="S1815">
        <f>Data!M1832</f>
        <v>0</v>
      </c>
      <c r="T1815">
        <f>Data!N1832</f>
        <v>0</v>
      </c>
      <c r="U1815">
        <f>Data!O1832</f>
        <v>0</v>
      </c>
      <c r="V1815" s="33">
        <f>Data!P1830</f>
        <v>0</v>
      </c>
    </row>
    <row r="1816" spans="7:22" x14ac:dyDescent="0.25">
      <c r="G1816">
        <f>Data!A1829</f>
        <v>0</v>
      </c>
      <c r="H1816" s="21">
        <f>Data!B1829</f>
        <v>0</v>
      </c>
      <c r="I1816" s="21">
        <f>Data!C1829</f>
        <v>0</v>
      </c>
      <c r="J1816">
        <f>Data!D1829</f>
        <v>0</v>
      </c>
      <c r="K1816">
        <f>Data!E1829</f>
        <v>0</v>
      </c>
      <c r="L1816">
        <f>Data!F1829</f>
        <v>0</v>
      </c>
      <c r="M1816">
        <f>Data!G1829</f>
        <v>0</v>
      </c>
      <c r="N1816">
        <f>Data!H1829</f>
        <v>0</v>
      </c>
      <c r="O1816">
        <f>Data!I1829</f>
        <v>0</v>
      </c>
      <c r="P1816" s="21">
        <f>Data!J1833</f>
        <v>0</v>
      </c>
      <c r="Q1816">
        <f>Data!K1833</f>
        <v>0</v>
      </c>
      <c r="R1816">
        <f>Data!L1833</f>
        <v>0</v>
      </c>
      <c r="S1816">
        <f>Data!M1833</f>
        <v>0</v>
      </c>
      <c r="T1816">
        <f>Data!N1833</f>
        <v>0</v>
      </c>
      <c r="U1816">
        <f>Data!O1833</f>
        <v>0</v>
      </c>
      <c r="V1816" s="33">
        <f>Data!P1831</f>
        <v>0</v>
      </c>
    </row>
    <row r="1817" spans="7:22" x14ac:dyDescent="0.25">
      <c r="G1817">
        <f>Data!A1830</f>
        <v>0</v>
      </c>
      <c r="H1817" s="21">
        <f>Data!B1830</f>
        <v>0</v>
      </c>
      <c r="I1817" s="21">
        <f>Data!C1830</f>
        <v>0</v>
      </c>
      <c r="J1817">
        <f>Data!D1830</f>
        <v>0</v>
      </c>
      <c r="K1817">
        <f>Data!E1830</f>
        <v>0</v>
      </c>
      <c r="L1817">
        <f>Data!F1830</f>
        <v>0</v>
      </c>
      <c r="M1817">
        <f>Data!G1830</f>
        <v>0</v>
      </c>
      <c r="N1817">
        <f>Data!H1830</f>
        <v>0</v>
      </c>
      <c r="O1817">
        <f>Data!I1830</f>
        <v>0</v>
      </c>
      <c r="P1817" s="21">
        <f>Data!J1834</f>
        <v>0</v>
      </c>
      <c r="Q1817">
        <f>Data!K1834</f>
        <v>0</v>
      </c>
      <c r="R1817">
        <f>Data!L1834</f>
        <v>0</v>
      </c>
      <c r="S1817">
        <f>Data!M1834</f>
        <v>0</v>
      </c>
      <c r="T1817">
        <f>Data!N1834</f>
        <v>0</v>
      </c>
      <c r="U1817">
        <f>Data!O1834</f>
        <v>0</v>
      </c>
      <c r="V1817" s="33">
        <f>Data!P1832</f>
        <v>0</v>
      </c>
    </row>
    <row r="1818" spans="7:22" x14ac:dyDescent="0.25">
      <c r="G1818">
        <f>Data!A1831</f>
        <v>0</v>
      </c>
      <c r="H1818" s="21">
        <f>Data!B1831</f>
        <v>0</v>
      </c>
      <c r="I1818" s="21">
        <f>Data!C1831</f>
        <v>0</v>
      </c>
      <c r="J1818">
        <f>Data!D1831</f>
        <v>0</v>
      </c>
      <c r="K1818">
        <f>Data!E1831</f>
        <v>0</v>
      </c>
      <c r="L1818">
        <f>Data!F1831</f>
        <v>0</v>
      </c>
      <c r="M1818">
        <f>Data!G1831</f>
        <v>0</v>
      </c>
      <c r="N1818">
        <f>Data!H1831</f>
        <v>0</v>
      </c>
      <c r="O1818">
        <f>Data!I1831</f>
        <v>0</v>
      </c>
      <c r="P1818" s="21">
        <f>Data!J1835</f>
        <v>0</v>
      </c>
      <c r="Q1818">
        <f>Data!K1835</f>
        <v>0</v>
      </c>
      <c r="R1818">
        <f>Data!L1835</f>
        <v>0</v>
      </c>
      <c r="S1818">
        <f>Data!M1835</f>
        <v>0</v>
      </c>
      <c r="T1818">
        <f>Data!N1835</f>
        <v>0</v>
      </c>
      <c r="U1818">
        <f>Data!O1835</f>
        <v>0</v>
      </c>
      <c r="V1818" s="33">
        <f>Data!P1833</f>
        <v>0</v>
      </c>
    </row>
    <row r="1819" spans="7:22" x14ac:dyDescent="0.25">
      <c r="G1819">
        <f>Data!A1832</f>
        <v>0</v>
      </c>
      <c r="H1819" s="21">
        <f>Data!B1832</f>
        <v>0</v>
      </c>
      <c r="I1819" s="21">
        <f>Data!C1832</f>
        <v>0</v>
      </c>
      <c r="J1819">
        <f>Data!D1832</f>
        <v>0</v>
      </c>
      <c r="K1819">
        <f>Data!E1832</f>
        <v>0</v>
      </c>
      <c r="L1819">
        <f>Data!F1832</f>
        <v>0</v>
      </c>
      <c r="M1819">
        <f>Data!G1832</f>
        <v>0</v>
      </c>
      <c r="N1819">
        <f>Data!H1832</f>
        <v>0</v>
      </c>
      <c r="O1819">
        <f>Data!I1832</f>
        <v>0</v>
      </c>
      <c r="P1819" s="21">
        <f>Data!J1836</f>
        <v>0</v>
      </c>
      <c r="Q1819">
        <f>Data!K1836</f>
        <v>0</v>
      </c>
      <c r="R1819">
        <f>Data!L1836</f>
        <v>0</v>
      </c>
      <c r="S1819">
        <f>Data!M1836</f>
        <v>0</v>
      </c>
      <c r="T1819">
        <f>Data!N1836</f>
        <v>0</v>
      </c>
      <c r="U1819">
        <f>Data!O1836</f>
        <v>0</v>
      </c>
      <c r="V1819" s="33">
        <f>Data!P1834</f>
        <v>0</v>
      </c>
    </row>
    <row r="1820" spans="7:22" x14ac:dyDescent="0.25">
      <c r="G1820">
        <f>Data!A1833</f>
        <v>0</v>
      </c>
      <c r="H1820" s="21">
        <f>Data!B1833</f>
        <v>0</v>
      </c>
      <c r="I1820" s="21">
        <f>Data!C1833</f>
        <v>0</v>
      </c>
      <c r="J1820">
        <f>Data!D1833</f>
        <v>0</v>
      </c>
      <c r="K1820">
        <f>Data!E1833</f>
        <v>0</v>
      </c>
      <c r="L1820">
        <f>Data!F1833</f>
        <v>0</v>
      </c>
      <c r="M1820">
        <f>Data!G1833</f>
        <v>0</v>
      </c>
      <c r="N1820">
        <f>Data!H1833</f>
        <v>0</v>
      </c>
      <c r="O1820">
        <f>Data!I1833</f>
        <v>0</v>
      </c>
      <c r="P1820" s="21">
        <f>Data!J1837</f>
        <v>0</v>
      </c>
      <c r="Q1820">
        <f>Data!K1837</f>
        <v>0</v>
      </c>
      <c r="R1820">
        <f>Data!L1837</f>
        <v>0</v>
      </c>
      <c r="S1820">
        <f>Data!M1837</f>
        <v>0</v>
      </c>
      <c r="T1820">
        <f>Data!N1837</f>
        <v>0</v>
      </c>
      <c r="U1820">
        <f>Data!O1837</f>
        <v>0</v>
      </c>
      <c r="V1820" s="33">
        <f>Data!P1835</f>
        <v>0</v>
      </c>
    </row>
    <row r="1821" spans="7:22" x14ac:dyDescent="0.25">
      <c r="G1821">
        <f>Data!A1834</f>
        <v>0</v>
      </c>
      <c r="H1821" s="21">
        <f>Data!B1834</f>
        <v>0</v>
      </c>
      <c r="I1821" s="21">
        <f>Data!C1834</f>
        <v>0</v>
      </c>
      <c r="J1821">
        <f>Data!D1834</f>
        <v>0</v>
      </c>
      <c r="K1821">
        <f>Data!E1834</f>
        <v>0</v>
      </c>
      <c r="L1821">
        <f>Data!F1834</f>
        <v>0</v>
      </c>
      <c r="M1821">
        <f>Data!G1834</f>
        <v>0</v>
      </c>
      <c r="N1821">
        <f>Data!H1834</f>
        <v>0</v>
      </c>
      <c r="O1821">
        <f>Data!I1834</f>
        <v>0</v>
      </c>
      <c r="P1821" s="21">
        <f>Data!J1838</f>
        <v>0</v>
      </c>
      <c r="Q1821">
        <f>Data!K1838</f>
        <v>0</v>
      </c>
      <c r="R1821">
        <f>Data!L1838</f>
        <v>0</v>
      </c>
      <c r="S1821">
        <f>Data!M1838</f>
        <v>0</v>
      </c>
      <c r="T1821">
        <f>Data!N1838</f>
        <v>0</v>
      </c>
      <c r="U1821">
        <f>Data!O1838</f>
        <v>0</v>
      </c>
      <c r="V1821" s="33">
        <f>Data!P1836</f>
        <v>0</v>
      </c>
    </row>
    <row r="1822" spans="7:22" x14ac:dyDescent="0.25">
      <c r="G1822">
        <f>Data!A1835</f>
        <v>0</v>
      </c>
      <c r="H1822" s="21">
        <f>Data!B1835</f>
        <v>0</v>
      </c>
      <c r="I1822" s="21">
        <f>Data!C1835</f>
        <v>0</v>
      </c>
      <c r="J1822">
        <f>Data!D1835</f>
        <v>0</v>
      </c>
      <c r="K1822">
        <f>Data!E1835</f>
        <v>0</v>
      </c>
      <c r="L1822">
        <f>Data!F1835</f>
        <v>0</v>
      </c>
      <c r="M1822">
        <f>Data!G1835</f>
        <v>0</v>
      </c>
      <c r="N1822">
        <f>Data!H1835</f>
        <v>0</v>
      </c>
      <c r="O1822">
        <f>Data!I1835</f>
        <v>0</v>
      </c>
      <c r="P1822" s="21">
        <f>Data!J1839</f>
        <v>0</v>
      </c>
      <c r="Q1822">
        <f>Data!K1839</f>
        <v>0</v>
      </c>
      <c r="R1822">
        <f>Data!L1839</f>
        <v>0</v>
      </c>
      <c r="S1822">
        <f>Data!M1839</f>
        <v>0</v>
      </c>
      <c r="T1822">
        <f>Data!N1839</f>
        <v>0</v>
      </c>
      <c r="U1822">
        <f>Data!O1839</f>
        <v>0</v>
      </c>
      <c r="V1822" s="33">
        <f>Data!P1837</f>
        <v>0</v>
      </c>
    </row>
    <row r="1823" spans="7:22" x14ac:dyDescent="0.25">
      <c r="G1823">
        <f>Data!A1836</f>
        <v>0</v>
      </c>
      <c r="H1823" s="21">
        <f>Data!B1836</f>
        <v>0</v>
      </c>
      <c r="I1823" s="21">
        <f>Data!C1836</f>
        <v>0</v>
      </c>
      <c r="J1823">
        <f>Data!D1836</f>
        <v>0</v>
      </c>
      <c r="K1823">
        <f>Data!E1836</f>
        <v>0</v>
      </c>
      <c r="L1823">
        <f>Data!F1836</f>
        <v>0</v>
      </c>
      <c r="M1823">
        <f>Data!G1836</f>
        <v>0</v>
      </c>
      <c r="N1823">
        <f>Data!H1836</f>
        <v>0</v>
      </c>
      <c r="O1823">
        <f>Data!I1836</f>
        <v>0</v>
      </c>
      <c r="P1823" s="21">
        <f>Data!J1840</f>
        <v>0</v>
      </c>
      <c r="Q1823">
        <f>Data!K1840</f>
        <v>0</v>
      </c>
      <c r="R1823">
        <f>Data!L1840</f>
        <v>0</v>
      </c>
      <c r="S1823">
        <f>Data!M1840</f>
        <v>0</v>
      </c>
      <c r="T1823">
        <f>Data!N1840</f>
        <v>0</v>
      </c>
      <c r="U1823">
        <f>Data!O1840</f>
        <v>0</v>
      </c>
      <c r="V1823" s="33">
        <f>Data!P1838</f>
        <v>0</v>
      </c>
    </row>
    <row r="1824" spans="7:22" x14ac:dyDescent="0.25">
      <c r="G1824">
        <f>Data!A1837</f>
        <v>0</v>
      </c>
      <c r="H1824" s="21">
        <f>Data!B1837</f>
        <v>0</v>
      </c>
      <c r="I1824" s="21">
        <f>Data!C1837</f>
        <v>0</v>
      </c>
      <c r="J1824">
        <f>Data!D1837</f>
        <v>0</v>
      </c>
      <c r="K1824">
        <f>Data!E1837</f>
        <v>0</v>
      </c>
      <c r="L1824">
        <f>Data!F1837</f>
        <v>0</v>
      </c>
      <c r="M1824">
        <f>Data!G1837</f>
        <v>0</v>
      </c>
      <c r="N1824">
        <f>Data!H1837</f>
        <v>0</v>
      </c>
      <c r="O1824">
        <f>Data!I1837</f>
        <v>0</v>
      </c>
      <c r="P1824" s="21">
        <f>Data!J1841</f>
        <v>0</v>
      </c>
      <c r="Q1824">
        <f>Data!K1841</f>
        <v>0</v>
      </c>
      <c r="R1824">
        <f>Data!L1841</f>
        <v>0</v>
      </c>
      <c r="S1824">
        <f>Data!M1841</f>
        <v>0</v>
      </c>
      <c r="T1824">
        <f>Data!N1841</f>
        <v>0</v>
      </c>
      <c r="U1824">
        <f>Data!O1841</f>
        <v>0</v>
      </c>
      <c r="V1824" s="33">
        <f>Data!P1839</f>
        <v>0</v>
      </c>
    </row>
    <row r="1825" spans="7:22" x14ac:dyDescent="0.25">
      <c r="G1825">
        <f>Data!A1838</f>
        <v>0</v>
      </c>
      <c r="H1825" s="21">
        <f>Data!B1838</f>
        <v>0</v>
      </c>
      <c r="I1825" s="21">
        <f>Data!C1838</f>
        <v>0</v>
      </c>
      <c r="J1825">
        <f>Data!D1838</f>
        <v>0</v>
      </c>
      <c r="K1825">
        <f>Data!E1838</f>
        <v>0</v>
      </c>
      <c r="L1825">
        <f>Data!F1838</f>
        <v>0</v>
      </c>
      <c r="M1825">
        <f>Data!G1838</f>
        <v>0</v>
      </c>
      <c r="N1825">
        <f>Data!H1838</f>
        <v>0</v>
      </c>
      <c r="O1825">
        <f>Data!I1838</f>
        <v>0</v>
      </c>
      <c r="P1825" s="21">
        <f>Data!J1842</f>
        <v>0</v>
      </c>
      <c r="Q1825">
        <f>Data!K1842</f>
        <v>0</v>
      </c>
      <c r="R1825">
        <f>Data!L1842</f>
        <v>0</v>
      </c>
      <c r="S1825">
        <f>Data!M1842</f>
        <v>0</v>
      </c>
      <c r="T1825">
        <f>Data!N1842</f>
        <v>0</v>
      </c>
      <c r="U1825">
        <f>Data!O1842</f>
        <v>0</v>
      </c>
      <c r="V1825" s="33">
        <f>Data!P1840</f>
        <v>0</v>
      </c>
    </row>
    <row r="1826" spans="7:22" x14ac:dyDescent="0.25">
      <c r="G1826">
        <f>Data!A1839</f>
        <v>0</v>
      </c>
      <c r="H1826" s="21">
        <f>Data!B1839</f>
        <v>0</v>
      </c>
      <c r="I1826" s="21">
        <f>Data!C1839</f>
        <v>0</v>
      </c>
      <c r="J1826">
        <f>Data!D1839</f>
        <v>0</v>
      </c>
      <c r="K1826">
        <f>Data!E1839</f>
        <v>0</v>
      </c>
      <c r="L1826">
        <f>Data!F1839</f>
        <v>0</v>
      </c>
      <c r="M1826">
        <f>Data!G1839</f>
        <v>0</v>
      </c>
      <c r="N1826">
        <f>Data!H1839</f>
        <v>0</v>
      </c>
      <c r="O1826">
        <f>Data!I1839</f>
        <v>0</v>
      </c>
      <c r="P1826" s="21">
        <f>Data!J1843</f>
        <v>0</v>
      </c>
      <c r="Q1826">
        <f>Data!K1843</f>
        <v>0</v>
      </c>
      <c r="R1826">
        <f>Data!L1843</f>
        <v>0</v>
      </c>
      <c r="S1826">
        <f>Data!M1843</f>
        <v>0</v>
      </c>
      <c r="T1826">
        <f>Data!N1843</f>
        <v>0</v>
      </c>
      <c r="U1826">
        <f>Data!O1843</f>
        <v>0</v>
      </c>
      <c r="V1826" s="33">
        <f>Data!P1841</f>
        <v>0</v>
      </c>
    </row>
    <row r="1827" spans="7:22" x14ac:dyDescent="0.25">
      <c r="G1827">
        <f>Data!A1840</f>
        <v>0</v>
      </c>
      <c r="H1827" s="21">
        <f>Data!B1840</f>
        <v>0</v>
      </c>
      <c r="I1827" s="21">
        <f>Data!C1840</f>
        <v>0</v>
      </c>
      <c r="J1827">
        <f>Data!D1840</f>
        <v>0</v>
      </c>
      <c r="K1827">
        <f>Data!E1840</f>
        <v>0</v>
      </c>
      <c r="L1827">
        <f>Data!F1840</f>
        <v>0</v>
      </c>
      <c r="M1827">
        <f>Data!G1840</f>
        <v>0</v>
      </c>
      <c r="N1827">
        <f>Data!H1840</f>
        <v>0</v>
      </c>
      <c r="O1827">
        <f>Data!I1840</f>
        <v>0</v>
      </c>
      <c r="P1827" s="21">
        <f>Data!J1844</f>
        <v>0</v>
      </c>
      <c r="Q1827">
        <f>Data!K1844</f>
        <v>0</v>
      </c>
      <c r="R1827">
        <f>Data!L1844</f>
        <v>0</v>
      </c>
      <c r="S1827">
        <f>Data!M1844</f>
        <v>0</v>
      </c>
      <c r="T1827">
        <f>Data!N1844</f>
        <v>0</v>
      </c>
      <c r="U1827">
        <f>Data!O1844</f>
        <v>0</v>
      </c>
      <c r="V1827" s="33">
        <f>Data!P1842</f>
        <v>0</v>
      </c>
    </row>
    <row r="1828" spans="7:22" x14ac:dyDescent="0.25">
      <c r="G1828">
        <f>Data!A1841</f>
        <v>0</v>
      </c>
      <c r="H1828" s="21">
        <f>Data!B1841</f>
        <v>0</v>
      </c>
      <c r="I1828" s="21">
        <f>Data!C1841</f>
        <v>0</v>
      </c>
      <c r="J1828">
        <f>Data!D1841</f>
        <v>0</v>
      </c>
      <c r="K1828">
        <f>Data!E1841</f>
        <v>0</v>
      </c>
      <c r="L1828">
        <f>Data!F1841</f>
        <v>0</v>
      </c>
      <c r="M1828">
        <f>Data!G1841</f>
        <v>0</v>
      </c>
      <c r="N1828">
        <f>Data!H1841</f>
        <v>0</v>
      </c>
      <c r="O1828">
        <f>Data!I1841</f>
        <v>0</v>
      </c>
      <c r="P1828" s="21">
        <f>Data!J1845</f>
        <v>0</v>
      </c>
      <c r="Q1828">
        <f>Data!K1845</f>
        <v>0</v>
      </c>
      <c r="R1828">
        <f>Data!L1845</f>
        <v>0</v>
      </c>
      <c r="S1828">
        <f>Data!M1845</f>
        <v>0</v>
      </c>
      <c r="T1828">
        <f>Data!N1845</f>
        <v>0</v>
      </c>
      <c r="U1828">
        <f>Data!O1845</f>
        <v>0</v>
      </c>
      <c r="V1828" s="33">
        <f>Data!P1843</f>
        <v>0</v>
      </c>
    </row>
    <row r="1829" spans="7:22" x14ac:dyDescent="0.25">
      <c r="G1829">
        <f>Data!A1842</f>
        <v>0</v>
      </c>
      <c r="H1829" s="21">
        <f>Data!B1842</f>
        <v>0</v>
      </c>
      <c r="I1829" s="21">
        <f>Data!C1842</f>
        <v>0</v>
      </c>
      <c r="J1829">
        <f>Data!D1842</f>
        <v>0</v>
      </c>
      <c r="K1829">
        <f>Data!E1842</f>
        <v>0</v>
      </c>
      <c r="L1829">
        <f>Data!F1842</f>
        <v>0</v>
      </c>
      <c r="M1829">
        <f>Data!G1842</f>
        <v>0</v>
      </c>
      <c r="N1829">
        <f>Data!H1842</f>
        <v>0</v>
      </c>
      <c r="O1829">
        <f>Data!I1842</f>
        <v>0</v>
      </c>
      <c r="P1829" s="21">
        <f>Data!J1846</f>
        <v>0</v>
      </c>
      <c r="Q1829">
        <f>Data!K1846</f>
        <v>0</v>
      </c>
      <c r="R1829">
        <f>Data!L1846</f>
        <v>0</v>
      </c>
      <c r="S1829">
        <f>Data!M1846</f>
        <v>0</v>
      </c>
      <c r="T1829">
        <f>Data!N1846</f>
        <v>0</v>
      </c>
      <c r="U1829">
        <f>Data!O1846</f>
        <v>0</v>
      </c>
      <c r="V1829" s="33">
        <f>Data!P1844</f>
        <v>0</v>
      </c>
    </row>
    <row r="1830" spans="7:22" x14ac:dyDescent="0.25">
      <c r="G1830">
        <f>Data!A1843</f>
        <v>0</v>
      </c>
      <c r="H1830" s="21">
        <f>Data!B1843</f>
        <v>0</v>
      </c>
      <c r="I1830" s="21">
        <f>Data!C1843</f>
        <v>0</v>
      </c>
      <c r="J1830">
        <f>Data!D1843</f>
        <v>0</v>
      </c>
      <c r="K1830">
        <f>Data!E1843</f>
        <v>0</v>
      </c>
      <c r="L1830">
        <f>Data!F1843</f>
        <v>0</v>
      </c>
      <c r="M1830">
        <f>Data!G1843</f>
        <v>0</v>
      </c>
      <c r="N1830">
        <f>Data!H1843</f>
        <v>0</v>
      </c>
      <c r="O1830">
        <f>Data!I1843</f>
        <v>0</v>
      </c>
      <c r="P1830" s="21">
        <f>Data!J1847</f>
        <v>0</v>
      </c>
      <c r="Q1830">
        <f>Data!K1847</f>
        <v>0</v>
      </c>
      <c r="R1830">
        <f>Data!L1847</f>
        <v>0</v>
      </c>
      <c r="S1830">
        <f>Data!M1847</f>
        <v>0</v>
      </c>
      <c r="T1830">
        <f>Data!N1847</f>
        <v>0</v>
      </c>
      <c r="U1830">
        <f>Data!O1847</f>
        <v>0</v>
      </c>
      <c r="V1830" s="33">
        <f>Data!P1845</f>
        <v>0</v>
      </c>
    </row>
    <row r="1831" spans="7:22" x14ac:dyDescent="0.25">
      <c r="G1831">
        <f>Data!A1844</f>
        <v>0</v>
      </c>
      <c r="H1831" s="21">
        <f>Data!B1844</f>
        <v>0</v>
      </c>
      <c r="I1831" s="21">
        <f>Data!C1844</f>
        <v>0</v>
      </c>
      <c r="J1831">
        <f>Data!D1844</f>
        <v>0</v>
      </c>
      <c r="K1831">
        <f>Data!E1844</f>
        <v>0</v>
      </c>
      <c r="L1831">
        <f>Data!F1844</f>
        <v>0</v>
      </c>
      <c r="M1831">
        <f>Data!G1844</f>
        <v>0</v>
      </c>
      <c r="N1831">
        <f>Data!H1844</f>
        <v>0</v>
      </c>
      <c r="O1831">
        <f>Data!I1844</f>
        <v>0</v>
      </c>
      <c r="P1831" s="21">
        <f>Data!J1848</f>
        <v>0</v>
      </c>
      <c r="Q1831">
        <f>Data!K1848</f>
        <v>0</v>
      </c>
      <c r="R1831">
        <f>Data!L1848</f>
        <v>0</v>
      </c>
      <c r="S1831">
        <f>Data!M1848</f>
        <v>0</v>
      </c>
      <c r="T1831">
        <f>Data!N1848</f>
        <v>0</v>
      </c>
      <c r="U1831">
        <f>Data!O1848</f>
        <v>0</v>
      </c>
      <c r="V1831" s="33">
        <f>Data!P1846</f>
        <v>0</v>
      </c>
    </row>
    <row r="1832" spans="7:22" x14ac:dyDescent="0.25">
      <c r="G1832">
        <f>Data!A1845</f>
        <v>0</v>
      </c>
      <c r="H1832" s="21">
        <f>Data!B1845</f>
        <v>0</v>
      </c>
      <c r="I1832" s="21">
        <f>Data!C1845</f>
        <v>0</v>
      </c>
      <c r="J1832">
        <f>Data!D1845</f>
        <v>0</v>
      </c>
      <c r="K1832">
        <f>Data!E1845</f>
        <v>0</v>
      </c>
      <c r="L1832">
        <f>Data!F1845</f>
        <v>0</v>
      </c>
      <c r="M1832">
        <f>Data!G1845</f>
        <v>0</v>
      </c>
      <c r="N1832">
        <f>Data!H1845</f>
        <v>0</v>
      </c>
      <c r="O1832">
        <f>Data!I1845</f>
        <v>0</v>
      </c>
      <c r="P1832" s="21">
        <f>Data!J1849</f>
        <v>0</v>
      </c>
      <c r="Q1832">
        <f>Data!K1849</f>
        <v>0</v>
      </c>
      <c r="R1832">
        <f>Data!L1849</f>
        <v>0</v>
      </c>
      <c r="S1832">
        <f>Data!M1849</f>
        <v>0</v>
      </c>
      <c r="T1832">
        <f>Data!N1849</f>
        <v>0</v>
      </c>
      <c r="U1832">
        <f>Data!O1849</f>
        <v>0</v>
      </c>
      <c r="V1832" s="33">
        <f>Data!P1847</f>
        <v>0</v>
      </c>
    </row>
    <row r="1833" spans="7:22" x14ac:dyDescent="0.25">
      <c r="G1833">
        <f>Data!A1846</f>
        <v>0</v>
      </c>
      <c r="H1833" s="21">
        <f>Data!B1846</f>
        <v>0</v>
      </c>
      <c r="I1833" s="21">
        <f>Data!C1846</f>
        <v>0</v>
      </c>
      <c r="J1833">
        <f>Data!D1846</f>
        <v>0</v>
      </c>
      <c r="K1833">
        <f>Data!E1846</f>
        <v>0</v>
      </c>
      <c r="L1833">
        <f>Data!F1846</f>
        <v>0</v>
      </c>
      <c r="M1833">
        <f>Data!G1846</f>
        <v>0</v>
      </c>
      <c r="N1833">
        <f>Data!H1846</f>
        <v>0</v>
      </c>
      <c r="O1833">
        <f>Data!I1846</f>
        <v>0</v>
      </c>
      <c r="P1833" s="21">
        <f>Data!J1850</f>
        <v>0</v>
      </c>
      <c r="Q1833">
        <f>Data!K1850</f>
        <v>0</v>
      </c>
      <c r="R1833">
        <f>Data!L1850</f>
        <v>0</v>
      </c>
      <c r="S1833">
        <f>Data!M1850</f>
        <v>0</v>
      </c>
      <c r="T1833">
        <f>Data!N1850</f>
        <v>0</v>
      </c>
      <c r="U1833">
        <f>Data!O1850</f>
        <v>0</v>
      </c>
      <c r="V1833" s="33">
        <f>Data!P1848</f>
        <v>0</v>
      </c>
    </row>
    <row r="1834" spans="7:22" x14ac:dyDescent="0.25">
      <c r="G1834">
        <f>Data!A1847</f>
        <v>0</v>
      </c>
      <c r="H1834" s="21">
        <f>Data!B1847</f>
        <v>0</v>
      </c>
      <c r="I1834" s="21">
        <f>Data!C1847</f>
        <v>0</v>
      </c>
      <c r="J1834">
        <f>Data!D1847</f>
        <v>0</v>
      </c>
      <c r="K1834">
        <f>Data!E1847</f>
        <v>0</v>
      </c>
      <c r="L1834">
        <f>Data!F1847</f>
        <v>0</v>
      </c>
      <c r="M1834">
        <f>Data!G1847</f>
        <v>0</v>
      </c>
      <c r="N1834">
        <f>Data!H1847</f>
        <v>0</v>
      </c>
      <c r="O1834">
        <f>Data!I1847</f>
        <v>0</v>
      </c>
      <c r="P1834" s="21">
        <f>Data!J1851</f>
        <v>0</v>
      </c>
      <c r="Q1834">
        <f>Data!K1851</f>
        <v>0</v>
      </c>
      <c r="R1834">
        <f>Data!L1851</f>
        <v>0</v>
      </c>
      <c r="S1834">
        <f>Data!M1851</f>
        <v>0</v>
      </c>
      <c r="T1834">
        <f>Data!N1851</f>
        <v>0</v>
      </c>
      <c r="U1834">
        <f>Data!O1851</f>
        <v>0</v>
      </c>
      <c r="V1834" s="33">
        <f>Data!P1849</f>
        <v>0</v>
      </c>
    </row>
    <row r="1835" spans="7:22" x14ac:dyDescent="0.25">
      <c r="G1835">
        <f>Data!A1848</f>
        <v>0</v>
      </c>
      <c r="H1835" s="21">
        <f>Data!B1848</f>
        <v>0</v>
      </c>
      <c r="I1835" s="21">
        <f>Data!C1848</f>
        <v>0</v>
      </c>
      <c r="J1835">
        <f>Data!D1848</f>
        <v>0</v>
      </c>
      <c r="K1835">
        <f>Data!E1848</f>
        <v>0</v>
      </c>
      <c r="L1835">
        <f>Data!F1848</f>
        <v>0</v>
      </c>
      <c r="M1835">
        <f>Data!G1848</f>
        <v>0</v>
      </c>
      <c r="N1835">
        <f>Data!H1848</f>
        <v>0</v>
      </c>
      <c r="O1835">
        <f>Data!I1848</f>
        <v>0</v>
      </c>
      <c r="P1835" s="21">
        <f>Data!J1852</f>
        <v>0</v>
      </c>
      <c r="Q1835">
        <f>Data!K1852</f>
        <v>0</v>
      </c>
      <c r="R1835">
        <f>Data!L1852</f>
        <v>0</v>
      </c>
      <c r="S1835">
        <f>Data!M1852</f>
        <v>0</v>
      </c>
      <c r="T1835">
        <f>Data!N1852</f>
        <v>0</v>
      </c>
      <c r="U1835">
        <f>Data!O1852</f>
        <v>0</v>
      </c>
      <c r="V1835" s="33">
        <f>Data!P1850</f>
        <v>0</v>
      </c>
    </row>
    <row r="1836" spans="7:22" x14ac:dyDescent="0.25">
      <c r="G1836">
        <f>Data!A1849</f>
        <v>0</v>
      </c>
      <c r="H1836" s="21">
        <f>Data!B1849</f>
        <v>0</v>
      </c>
      <c r="I1836" s="21">
        <f>Data!C1849</f>
        <v>0</v>
      </c>
      <c r="J1836">
        <f>Data!D1849</f>
        <v>0</v>
      </c>
      <c r="K1836">
        <f>Data!E1849</f>
        <v>0</v>
      </c>
      <c r="L1836">
        <f>Data!F1849</f>
        <v>0</v>
      </c>
      <c r="M1836">
        <f>Data!G1849</f>
        <v>0</v>
      </c>
      <c r="N1836">
        <f>Data!H1849</f>
        <v>0</v>
      </c>
      <c r="O1836">
        <f>Data!I1849</f>
        <v>0</v>
      </c>
      <c r="P1836" s="21">
        <f>Data!J1853</f>
        <v>0</v>
      </c>
      <c r="Q1836">
        <f>Data!K1853</f>
        <v>0</v>
      </c>
      <c r="R1836">
        <f>Data!L1853</f>
        <v>0</v>
      </c>
      <c r="S1836">
        <f>Data!M1853</f>
        <v>0</v>
      </c>
      <c r="T1836">
        <f>Data!N1853</f>
        <v>0</v>
      </c>
      <c r="U1836">
        <f>Data!O1853</f>
        <v>0</v>
      </c>
      <c r="V1836" s="33">
        <f>Data!P1851</f>
        <v>0</v>
      </c>
    </row>
    <row r="1837" spans="7:22" x14ac:dyDescent="0.25">
      <c r="G1837">
        <f>Data!A1850</f>
        <v>0</v>
      </c>
      <c r="H1837" s="21">
        <f>Data!B1850</f>
        <v>0</v>
      </c>
      <c r="I1837" s="21">
        <f>Data!C1850</f>
        <v>0</v>
      </c>
      <c r="J1837">
        <f>Data!D1850</f>
        <v>0</v>
      </c>
      <c r="K1837">
        <f>Data!E1850</f>
        <v>0</v>
      </c>
      <c r="L1837">
        <f>Data!F1850</f>
        <v>0</v>
      </c>
      <c r="M1837">
        <f>Data!G1850</f>
        <v>0</v>
      </c>
      <c r="N1837">
        <f>Data!H1850</f>
        <v>0</v>
      </c>
      <c r="O1837">
        <f>Data!I1850</f>
        <v>0</v>
      </c>
      <c r="P1837" s="21">
        <f>Data!J1854</f>
        <v>0</v>
      </c>
      <c r="Q1837">
        <f>Data!K1854</f>
        <v>0</v>
      </c>
      <c r="R1837">
        <f>Data!L1854</f>
        <v>0</v>
      </c>
      <c r="S1837">
        <f>Data!M1854</f>
        <v>0</v>
      </c>
      <c r="T1837">
        <f>Data!N1854</f>
        <v>0</v>
      </c>
      <c r="U1837">
        <f>Data!O1854</f>
        <v>0</v>
      </c>
      <c r="V1837" s="33">
        <f>Data!P1852</f>
        <v>0</v>
      </c>
    </row>
    <row r="1838" spans="7:22" x14ac:dyDescent="0.25">
      <c r="G1838">
        <f>Data!A1851</f>
        <v>0</v>
      </c>
      <c r="H1838" s="21">
        <f>Data!B1851</f>
        <v>0</v>
      </c>
      <c r="I1838" s="21">
        <f>Data!C1851</f>
        <v>0</v>
      </c>
      <c r="J1838">
        <f>Data!D1851</f>
        <v>0</v>
      </c>
      <c r="K1838">
        <f>Data!E1851</f>
        <v>0</v>
      </c>
      <c r="L1838">
        <f>Data!F1851</f>
        <v>0</v>
      </c>
      <c r="M1838">
        <f>Data!G1851</f>
        <v>0</v>
      </c>
      <c r="N1838">
        <f>Data!H1851</f>
        <v>0</v>
      </c>
      <c r="O1838">
        <f>Data!I1851</f>
        <v>0</v>
      </c>
      <c r="P1838" s="21">
        <f>Data!J1855</f>
        <v>0</v>
      </c>
      <c r="Q1838">
        <f>Data!K1855</f>
        <v>0</v>
      </c>
      <c r="R1838">
        <f>Data!L1855</f>
        <v>0</v>
      </c>
      <c r="S1838">
        <f>Data!M1855</f>
        <v>0</v>
      </c>
      <c r="T1838">
        <f>Data!N1855</f>
        <v>0</v>
      </c>
      <c r="U1838">
        <f>Data!O1855</f>
        <v>0</v>
      </c>
      <c r="V1838" s="33">
        <f>Data!P1853</f>
        <v>0</v>
      </c>
    </row>
    <row r="1839" spans="7:22" x14ac:dyDescent="0.25">
      <c r="G1839">
        <f>Data!A1852</f>
        <v>0</v>
      </c>
      <c r="H1839" s="21">
        <f>Data!B1852</f>
        <v>0</v>
      </c>
      <c r="I1839" s="21">
        <f>Data!C1852</f>
        <v>0</v>
      </c>
      <c r="J1839">
        <f>Data!D1852</f>
        <v>0</v>
      </c>
      <c r="K1839">
        <f>Data!E1852</f>
        <v>0</v>
      </c>
      <c r="L1839">
        <f>Data!F1852</f>
        <v>0</v>
      </c>
      <c r="M1839">
        <f>Data!G1852</f>
        <v>0</v>
      </c>
      <c r="N1839">
        <f>Data!H1852</f>
        <v>0</v>
      </c>
      <c r="O1839">
        <f>Data!I1852</f>
        <v>0</v>
      </c>
      <c r="P1839" s="21">
        <f>Data!J1856</f>
        <v>0</v>
      </c>
      <c r="Q1839">
        <f>Data!K1856</f>
        <v>0</v>
      </c>
      <c r="R1839">
        <f>Data!L1856</f>
        <v>0</v>
      </c>
      <c r="S1839">
        <f>Data!M1856</f>
        <v>0</v>
      </c>
      <c r="T1839">
        <f>Data!N1856</f>
        <v>0</v>
      </c>
      <c r="U1839">
        <f>Data!O1856</f>
        <v>0</v>
      </c>
      <c r="V1839" s="33">
        <f>Data!P1854</f>
        <v>0</v>
      </c>
    </row>
    <row r="1840" spans="7:22" x14ac:dyDescent="0.25">
      <c r="G1840">
        <f>Data!A1853</f>
        <v>0</v>
      </c>
      <c r="H1840" s="21">
        <f>Data!B1853</f>
        <v>0</v>
      </c>
      <c r="I1840" s="21">
        <f>Data!C1853</f>
        <v>0</v>
      </c>
      <c r="J1840">
        <f>Data!D1853</f>
        <v>0</v>
      </c>
      <c r="K1840">
        <f>Data!E1853</f>
        <v>0</v>
      </c>
      <c r="L1840">
        <f>Data!F1853</f>
        <v>0</v>
      </c>
      <c r="M1840">
        <f>Data!G1853</f>
        <v>0</v>
      </c>
      <c r="N1840">
        <f>Data!H1853</f>
        <v>0</v>
      </c>
      <c r="O1840">
        <f>Data!I1853</f>
        <v>0</v>
      </c>
      <c r="P1840" s="21">
        <f>Data!J1857</f>
        <v>0</v>
      </c>
      <c r="Q1840">
        <f>Data!K1857</f>
        <v>0</v>
      </c>
      <c r="R1840">
        <f>Data!L1857</f>
        <v>0</v>
      </c>
      <c r="S1840">
        <f>Data!M1857</f>
        <v>0</v>
      </c>
      <c r="T1840">
        <f>Data!N1857</f>
        <v>0</v>
      </c>
      <c r="U1840">
        <f>Data!O1857</f>
        <v>0</v>
      </c>
      <c r="V1840" s="33">
        <f>Data!P1855</f>
        <v>0</v>
      </c>
    </row>
    <row r="1841" spans="7:22" x14ac:dyDescent="0.25">
      <c r="G1841">
        <f>Data!A1854</f>
        <v>0</v>
      </c>
      <c r="H1841" s="21">
        <f>Data!B1854</f>
        <v>0</v>
      </c>
      <c r="I1841" s="21">
        <f>Data!C1854</f>
        <v>0</v>
      </c>
      <c r="J1841">
        <f>Data!D1854</f>
        <v>0</v>
      </c>
      <c r="K1841">
        <f>Data!E1854</f>
        <v>0</v>
      </c>
      <c r="L1841">
        <f>Data!F1854</f>
        <v>0</v>
      </c>
      <c r="M1841">
        <f>Data!G1854</f>
        <v>0</v>
      </c>
      <c r="N1841">
        <f>Data!H1854</f>
        <v>0</v>
      </c>
      <c r="O1841">
        <f>Data!I1854</f>
        <v>0</v>
      </c>
      <c r="P1841" s="21">
        <f>Data!J1858</f>
        <v>0</v>
      </c>
      <c r="Q1841">
        <f>Data!K1858</f>
        <v>0</v>
      </c>
      <c r="R1841">
        <f>Data!L1858</f>
        <v>0</v>
      </c>
      <c r="S1841">
        <f>Data!M1858</f>
        <v>0</v>
      </c>
      <c r="T1841">
        <f>Data!N1858</f>
        <v>0</v>
      </c>
      <c r="U1841">
        <f>Data!O1858</f>
        <v>0</v>
      </c>
      <c r="V1841" s="33">
        <f>Data!P1856</f>
        <v>0</v>
      </c>
    </row>
    <row r="1842" spans="7:22" x14ac:dyDescent="0.25">
      <c r="G1842">
        <f>Data!A1855</f>
        <v>0</v>
      </c>
      <c r="H1842" s="21">
        <f>Data!B1855</f>
        <v>0</v>
      </c>
      <c r="I1842" s="21">
        <f>Data!C1855</f>
        <v>0</v>
      </c>
      <c r="J1842">
        <f>Data!D1855</f>
        <v>0</v>
      </c>
      <c r="K1842">
        <f>Data!E1855</f>
        <v>0</v>
      </c>
      <c r="L1842">
        <f>Data!F1855</f>
        <v>0</v>
      </c>
      <c r="M1842">
        <f>Data!G1855</f>
        <v>0</v>
      </c>
      <c r="N1842">
        <f>Data!H1855</f>
        <v>0</v>
      </c>
      <c r="O1842">
        <f>Data!I1855</f>
        <v>0</v>
      </c>
      <c r="P1842" s="21">
        <f>Data!J1859</f>
        <v>0</v>
      </c>
      <c r="Q1842">
        <f>Data!K1859</f>
        <v>0</v>
      </c>
      <c r="R1842">
        <f>Data!L1859</f>
        <v>0</v>
      </c>
      <c r="S1842">
        <f>Data!M1859</f>
        <v>0</v>
      </c>
      <c r="T1842">
        <f>Data!N1859</f>
        <v>0</v>
      </c>
      <c r="U1842">
        <f>Data!O1859</f>
        <v>0</v>
      </c>
      <c r="V1842" s="33">
        <f>Data!P1857</f>
        <v>0</v>
      </c>
    </row>
    <row r="1843" spans="7:22" x14ac:dyDescent="0.25">
      <c r="G1843">
        <f>Data!A1856</f>
        <v>0</v>
      </c>
      <c r="H1843" s="21">
        <f>Data!B1856</f>
        <v>0</v>
      </c>
      <c r="I1843" s="21">
        <f>Data!C1856</f>
        <v>0</v>
      </c>
      <c r="J1843">
        <f>Data!D1856</f>
        <v>0</v>
      </c>
      <c r="K1843">
        <f>Data!E1856</f>
        <v>0</v>
      </c>
      <c r="L1843">
        <f>Data!F1856</f>
        <v>0</v>
      </c>
      <c r="M1843">
        <f>Data!G1856</f>
        <v>0</v>
      </c>
      <c r="N1843">
        <f>Data!H1856</f>
        <v>0</v>
      </c>
      <c r="O1843">
        <f>Data!I1856</f>
        <v>0</v>
      </c>
      <c r="P1843" s="21">
        <f>Data!J1860</f>
        <v>0</v>
      </c>
      <c r="Q1843">
        <f>Data!K1860</f>
        <v>0</v>
      </c>
      <c r="R1843">
        <f>Data!L1860</f>
        <v>0</v>
      </c>
      <c r="S1843">
        <f>Data!M1860</f>
        <v>0</v>
      </c>
      <c r="T1843">
        <f>Data!N1860</f>
        <v>0</v>
      </c>
      <c r="U1843">
        <f>Data!O1860</f>
        <v>0</v>
      </c>
      <c r="V1843" s="33">
        <f>Data!P1858</f>
        <v>0</v>
      </c>
    </row>
    <row r="1844" spans="7:22" x14ac:dyDescent="0.25">
      <c r="G1844">
        <f>Data!A1857</f>
        <v>0</v>
      </c>
      <c r="H1844" s="21">
        <f>Data!B1857</f>
        <v>0</v>
      </c>
      <c r="I1844" s="21">
        <f>Data!C1857</f>
        <v>0</v>
      </c>
      <c r="J1844">
        <f>Data!D1857</f>
        <v>0</v>
      </c>
      <c r="K1844">
        <f>Data!E1857</f>
        <v>0</v>
      </c>
      <c r="L1844">
        <f>Data!F1857</f>
        <v>0</v>
      </c>
      <c r="M1844">
        <f>Data!G1857</f>
        <v>0</v>
      </c>
      <c r="N1844">
        <f>Data!H1857</f>
        <v>0</v>
      </c>
      <c r="O1844">
        <f>Data!I1857</f>
        <v>0</v>
      </c>
      <c r="P1844" s="21">
        <f>Data!J1861</f>
        <v>0</v>
      </c>
      <c r="Q1844">
        <f>Data!K1861</f>
        <v>0</v>
      </c>
      <c r="R1844">
        <f>Data!L1861</f>
        <v>0</v>
      </c>
      <c r="S1844">
        <f>Data!M1861</f>
        <v>0</v>
      </c>
      <c r="T1844">
        <f>Data!N1861</f>
        <v>0</v>
      </c>
      <c r="U1844">
        <f>Data!O1861</f>
        <v>0</v>
      </c>
      <c r="V1844" s="33">
        <f>Data!P1859</f>
        <v>0</v>
      </c>
    </row>
    <row r="1845" spans="7:22" x14ac:dyDescent="0.25">
      <c r="G1845">
        <f>Data!A1858</f>
        <v>0</v>
      </c>
      <c r="H1845" s="21">
        <f>Data!B1858</f>
        <v>0</v>
      </c>
      <c r="I1845" s="21">
        <f>Data!C1858</f>
        <v>0</v>
      </c>
      <c r="J1845">
        <f>Data!D1858</f>
        <v>0</v>
      </c>
      <c r="K1845">
        <f>Data!E1858</f>
        <v>0</v>
      </c>
      <c r="L1845">
        <f>Data!F1858</f>
        <v>0</v>
      </c>
      <c r="M1845">
        <f>Data!G1858</f>
        <v>0</v>
      </c>
      <c r="N1845">
        <f>Data!H1858</f>
        <v>0</v>
      </c>
      <c r="O1845">
        <f>Data!I1858</f>
        <v>0</v>
      </c>
      <c r="P1845" s="21">
        <f>Data!J1862</f>
        <v>0</v>
      </c>
      <c r="Q1845">
        <f>Data!K1862</f>
        <v>0</v>
      </c>
      <c r="R1845">
        <f>Data!L1862</f>
        <v>0</v>
      </c>
      <c r="S1845">
        <f>Data!M1862</f>
        <v>0</v>
      </c>
      <c r="T1845">
        <f>Data!N1862</f>
        <v>0</v>
      </c>
      <c r="U1845">
        <f>Data!O1862</f>
        <v>0</v>
      </c>
      <c r="V1845" s="33">
        <f>Data!P1860</f>
        <v>0</v>
      </c>
    </row>
    <row r="1846" spans="7:22" x14ac:dyDescent="0.25">
      <c r="G1846">
        <f>Data!A1859</f>
        <v>0</v>
      </c>
      <c r="H1846" s="21">
        <f>Data!B1859</f>
        <v>0</v>
      </c>
      <c r="I1846" s="21">
        <f>Data!C1859</f>
        <v>0</v>
      </c>
      <c r="J1846">
        <f>Data!D1859</f>
        <v>0</v>
      </c>
      <c r="K1846">
        <f>Data!E1859</f>
        <v>0</v>
      </c>
      <c r="L1846">
        <f>Data!F1859</f>
        <v>0</v>
      </c>
      <c r="M1846">
        <f>Data!G1859</f>
        <v>0</v>
      </c>
      <c r="N1846">
        <f>Data!H1859</f>
        <v>0</v>
      </c>
      <c r="O1846">
        <f>Data!I1859</f>
        <v>0</v>
      </c>
      <c r="P1846" s="21">
        <f>Data!J1863</f>
        <v>0</v>
      </c>
      <c r="Q1846">
        <f>Data!K1863</f>
        <v>0</v>
      </c>
      <c r="R1846">
        <f>Data!L1863</f>
        <v>0</v>
      </c>
      <c r="S1846">
        <f>Data!M1863</f>
        <v>0</v>
      </c>
      <c r="T1846">
        <f>Data!N1863</f>
        <v>0</v>
      </c>
      <c r="U1846">
        <f>Data!O1863</f>
        <v>0</v>
      </c>
      <c r="V1846" s="33">
        <f>Data!P1861</f>
        <v>0</v>
      </c>
    </row>
    <row r="1847" spans="7:22" x14ac:dyDescent="0.25">
      <c r="G1847">
        <f>Data!A1860</f>
        <v>0</v>
      </c>
      <c r="H1847" s="21">
        <f>Data!B1860</f>
        <v>0</v>
      </c>
      <c r="I1847" s="21">
        <f>Data!C1860</f>
        <v>0</v>
      </c>
      <c r="J1847">
        <f>Data!D1860</f>
        <v>0</v>
      </c>
      <c r="K1847">
        <f>Data!E1860</f>
        <v>0</v>
      </c>
      <c r="L1847">
        <f>Data!F1860</f>
        <v>0</v>
      </c>
      <c r="M1847">
        <f>Data!G1860</f>
        <v>0</v>
      </c>
      <c r="N1847">
        <f>Data!H1860</f>
        <v>0</v>
      </c>
      <c r="O1847">
        <f>Data!I1860</f>
        <v>0</v>
      </c>
      <c r="P1847" s="21">
        <f>Data!J1864</f>
        <v>0</v>
      </c>
      <c r="Q1847">
        <f>Data!K1864</f>
        <v>0</v>
      </c>
      <c r="R1847">
        <f>Data!L1864</f>
        <v>0</v>
      </c>
      <c r="S1847">
        <f>Data!M1864</f>
        <v>0</v>
      </c>
      <c r="T1847">
        <f>Data!N1864</f>
        <v>0</v>
      </c>
      <c r="U1847">
        <f>Data!O1864</f>
        <v>0</v>
      </c>
      <c r="V1847" s="33">
        <f>Data!P1862</f>
        <v>0</v>
      </c>
    </row>
    <row r="1848" spans="7:22" x14ac:dyDescent="0.25">
      <c r="G1848">
        <f>Data!A1861</f>
        <v>0</v>
      </c>
      <c r="H1848" s="21">
        <f>Data!B1861</f>
        <v>0</v>
      </c>
      <c r="I1848" s="21">
        <f>Data!C1861</f>
        <v>0</v>
      </c>
      <c r="J1848">
        <f>Data!D1861</f>
        <v>0</v>
      </c>
      <c r="K1848">
        <f>Data!E1861</f>
        <v>0</v>
      </c>
      <c r="L1848">
        <f>Data!F1861</f>
        <v>0</v>
      </c>
      <c r="M1848">
        <f>Data!G1861</f>
        <v>0</v>
      </c>
      <c r="N1848">
        <f>Data!H1861</f>
        <v>0</v>
      </c>
      <c r="O1848">
        <f>Data!I1861</f>
        <v>0</v>
      </c>
      <c r="P1848" s="21">
        <f>Data!J1865</f>
        <v>0</v>
      </c>
      <c r="Q1848">
        <f>Data!K1865</f>
        <v>0</v>
      </c>
      <c r="R1848">
        <f>Data!L1865</f>
        <v>0</v>
      </c>
      <c r="S1848">
        <f>Data!M1865</f>
        <v>0</v>
      </c>
      <c r="T1848">
        <f>Data!N1865</f>
        <v>0</v>
      </c>
      <c r="U1848">
        <f>Data!O1865</f>
        <v>0</v>
      </c>
      <c r="V1848" s="33">
        <f>Data!P1863</f>
        <v>0</v>
      </c>
    </row>
    <row r="1849" spans="7:22" x14ac:dyDescent="0.25">
      <c r="G1849">
        <f>Data!A1862</f>
        <v>0</v>
      </c>
      <c r="H1849" s="21">
        <f>Data!B1862</f>
        <v>0</v>
      </c>
      <c r="I1849" s="21">
        <f>Data!C1862</f>
        <v>0</v>
      </c>
      <c r="J1849">
        <f>Data!D1862</f>
        <v>0</v>
      </c>
      <c r="K1849">
        <f>Data!E1862</f>
        <v>0</v>
      </c>
      <c r="L1849">
        <f>Data!F1862</f>
        <v>0</v>
      </c>
      <c r="M1849">
        <f>Data!G1862</f>
        <v>0</v>
      </c>
      <c r="N1849">
        <f>Data!H1862</f>
        <v>0</v>
      </c>
      <c r="O1849">
        <f>Data!I1862</f>
        <v>0</v>
      </c>
      <c r="P1849" s="21">
        <f>Data!J1866</f>
        <v>0</v>
      </c>
      <c r="Q1849">
        <f>Data!K1866</f>
        <v>0</v>
      </c>
      <c r="R1849">
        <f>Data!L1866</f>
        <v>0</v>
      </c>
      <c r="S1849">
        <f>Data!M1866</f>
        <v>0</v>
      </c>
      <c r="T1849">
        <f>Data!N1866</f>
        <v>0</v>
      </c>
      <c r="U1849">
        <f>Data!O1866</f>
        <v>0</v>
      </c>
      <c r="V1849" s="33">
        <f>Data!P1864</f>
        <v>0</v>
      </c>
    </row>
    <row r="1850" spans="7:22" x14ac:dyDescent="0.25">
      <c r="G1850">
        <f>Data!A1863</f>
        <v>0</v>
      </c>
      <c r="H1850" s="21">
        <f>Data!B1863</f>
        <v>0</v>
      </c>
      <c r="I1850" s="21">
        <f>Data!C1863</f>
        <v>0</v>
      </c>
      <c r="J1850">
        <f>Data!D1863</f>
        <v>0</v>
      </c>
      <c r="K1850">
        <f>Data!E1863</f>
        <v>0</v>
      </c>
      <c r="L1850">
        <f>Data!F1863</f>
        <v>0</v>
      </c>
      <c r="M1850">
        <f>Data!G1863</f>
        <v>0</v>
      </c>
      <c r="N1850">
        <f>Data!H1863</f>
        <v>0</v>
      </c>
      <c r="O1850">
        <f>Data!I1863</f>
        <v>0</v>
      </c>
      <c r="P1850" s="21">
        <f>Data!J1867</f>
        <v>0</v>
      </c>
      <c r="Q1850">
        <f>Data!K1867</f>
        <v>0</v>
      </c>
      <c r="R1850">
        <f>Data!L1867</f>
        <v>0</v>
      </c>
      <c r="S1850">
        <f>Data!M1867</f>
        <v>0</v>
      </c>
      <c r="T1850">
        <f>Data!N1867</f>
        <v>0</v>
      </c>
      <c r="U1850">
        <f>Data!O1867</f>
        <v>0</v>
      </c>
      <c r="V1850" s="33">
        <f>Data!P1865</f>
        <v>0</v>
      </c>
    </row>
    <row r="1851" spans="7:22" x14ac:dyDescent="0.25">
      <c r="G1851">
        <f>Data!A1864</f>
        <v>0</v>
      </c>
      <c r="H1851" s="21">
        <f>Data!B1864</f>
        <v>0</v>
      </c>
      <c r="I1851" s="21">
        <f>Data!C1864</f>
        <v>0</v>
      </c>
      <c r="J1851">
        <f>Data!D1864</f>
        <v>0</v>
      </c>
      <c r="K1851">
        <f>Data!E1864</f>
        <v>0</v>
      </c>
      <c r="L1851">
        <f>Data!F1864</f>
        <v>0</v>
      </c>
      <c r="M1851">
        <f>Data!G1864</f>
        <v>0</v>
      </c>
      <c r="N1851">
        <f>Data!H1864</f>
        <v>0</v>
      </c>
      <c r="O1851">
        <f>Data!I1864</f>
        <v>0</v>
      </c>
      <c r="P1851" s="21">
        <f>Data!J1868</f>
        <v>0</v>
      </c>
      <c r="Q1851">
        <f>Data!K1868</f>
        <v>0</v>
      </c>
      <c r="R1851">
        <f>Data!L1868</f>
        <v>0</v>
      </c>
      <c r="S1851">
        <f>Data!M1868</f>
        <v>0</v>
      </c>
      <c r="T1851">
        <f>Data!N1868</f>
        <v>0</v>
      </c>
      <c r="U1851">
        <f>Data!O1868</f>
        <v>0</v>
      </c>
      <c r="V1851" s="33">
        <f>Data!P1866</f>
        <v>0</v>
      </c>
    </row>
    <row r="1852" spans="7:22" x14ac:dyDescent="0.25">
      <c r="G1852">
        <f>Data!A1865</f>
        <v>0</v>
      </c>
      <c r="H1852" s="21">
        <f>Data!B1865</f>
        <v>0</v>
      </c>
      <c r="I1852" s="21">
        <f>Data!C1865</f>
        <v>0</v>
      </c>
      <c r="J1852">
        <f>Data!D1865</f>
        <v>0</v>
      </c>
      <c r="K1852">
        <f>Data!E1865</f>
        <v>0</v>
      </c>
      <c r="L1852">
        <f>Data!F1865</f>
        <v>0</v>
      </c>
      <c r="M1852">
        <f>Data!G1865</f>
        <v>0</v>
      </c>
      <c r="N1852">
        <f>Data!H1865</f>
        <v>0</v>
      </c>
      <c r="O1852">
        <f>Data!I1865</f>
        <v>0</v>
      </c>
      <c r="P1852" s="21">
        <f>Data!J1869</f>
        <v>0</v>
      </c>
      <c r="Q1852">
        <f>Data!K1869</f>
        <v>0</v>
      </c>
      <c r="R1852">
        <f>Data!L1869</f>
        <v>0</v>
      </c>
      <c r="S1852">
        <f>Data!M1869</f>
        <v>0</v>
      </c>
      <c r="T1852">
        <f>Data!N1869</f>
        <v>0</v>
      </c>
      <c r="U1852">
        <f>Data!O1869</f>
        <v>0</v>
      </c>
      <c r="V1852" s="33">
        <f>Data!P1867</f>
        <v>0</v>
      </c>
    </row>
    <row r="1853" spans="7:22" x14ac:dyDescent="0.25">
      <c r="G1853">
        <f>Data!A1866</f>
        <v>0</v>
      </c>
      <c r="H1853" s="21">
        <f>Data!B1866</f>
        <v>0</v>
      </c>
      <c r="I1853" s="21">
        <f>Data!C1866</f>
        <v>0</v>
      </c>
      <c r="J1853">
        <f>Data!D1866</f>
        <v>0</v>
      </c>
      <c r="K1853">
        <f>Data!E1866</f>
        <v>0</v>
      </c>
      <c r="L1853">
        <f>Data!F1866</f>
        <v>0</v>
      </c>
      <c r="M1853">
        <f>Data!G1866</f>
        <v>0</v>
      </c>
      <c r="N1853">
        <f>Data!H1866</f>
        <v>0</v>
      </c>
      <c r="O1853">
        <f>Data!I1866</f>
        <v>0</v>
      </c>
      <c r="P1853" s="21">
        <f>Data!J1870</f>
        <v>0</v>
      </c>
      <c r="Q1853">
        <f>Data!K1870</f>
        <v>0</v>
      </c>
      <c r="R1853">
        <f>Data!L1870</f>
        <v>0</v>
      </c>
      <c r="S1853">
        <f>Data!M1870</f>
        <v>0</v>
      </c>
      <c r="T1853">
        <f>Data!N1870</f>
        <v>0</v>
      </c>
      <c r="U1853">
        <f>Data!O1870</f>
        <v>0</v>
      </c>
      <c r="V1853" s="33">
        <f>Data!P1868</f>
        <v>0</v>
      </c>
    </row>
    <row r="1854" spans="7:22" x14ac:dyDescent="0.25">
      <c r="G1854">
        <f>Data!A1867</f>
        <v>0</v>
      </c>
      <c r="H1854" s="21">
        <f>Data!B1867</f>
        <v>0</v>
      </c>
      <c r="I1854" s="21">
        <f>Data!C1867</f>
        <v>0</v>
      </c>
      <c r="J1854">
        <f>Data!D1867</f>
        <v>0</v>
      </c>
      <c r="K1854">
        <f>Data!E1867</f>
        <v>0</v>
      </c>
      <c r="L1854">
        <f>Data!F1867</f>
        <v>0</v>
      </c>
      <c r="M1854">
        <f>Data!G1867</f>
        <v>0</v>
      </c>
      <c r="N1854">
        <f>Data!H1867</f>
        <v>0</v>
      </c>
      <c r="O1854">
        <f>Data!I1867</f>
        <v>0</v>
      </c>
      <c r="P1854" s="21">
        <f>Data!J1871</f>
        <v>0</v>
      </c>
      <c r="Q1854">
        <f>Data!K1871</f>
        <v>0</v>
      </c>
      <c r="R1854">
        <f>Data!L1871</f>
        <v>0</v>
      </c>
      <c r="S1854">
        <f>Data!M1871</f>
        <v>0</v>
      </c>
      <c r="T1854">
        <f>Data!N1871</f>
        <v>0</v>
      </c>
      <c r="U1854">
        <f>Data!O1871</f>
        <v>0</v>
      </c>
      <c r="V1854" s="33">
        <f>Data!P1869</f>
        <v>0</v>
      </c>
    </row>
    <row r="1855" spans="7:22" x14ac:dyDescent="0.25">
      <c r="G1855">
        <f>Data!A1868</f>
        <v>0</v>
      </c>
      <c r="H1855" s="21">
        <f>Data!B1868</f>
        <v>0</v>
      </c>
      <c r="I1855" s="21">
        <f>Data!C1868</f>
        <v>0</v>
      </c>
      <c r="J1855">
        <f>Data!D1868</f>
        <v>0</v>
      </c>
      <c r="K1855">
        <f>Data!E1868</f>
        <v>0</v>
      </c>
      <c r="L1855">
        <f>Data!F1868</f>
        <v>0</v>
      </c>
      <c r="M1855">
        <f>Data!G1868</f>
        <v>0</v>
      </c>
      <c r="N1855">
        <f>Data!H1868</f>
        <v>0</v>
      </c>
      <c r="O1855">
        <f>Data!I1868</f>
        <v>0</v>
      </c>
      <c r="P1855" s="21">
        <f>Data!J1872</f>
        <v>0</v>
      </c>
      <c r="Q1855">
        <f>Data!K1872</f>
        <v>0</v>
      </c>
      <c r="R1855">
        <f>Data!L1872</f>
        <v>0</v>
      </c>
      <c r="S1855">
        <f>Data!M1872</f>
        <v>0</v>
      </c>
      <c r="T1855">
        <f>Data!N1872</f>
        <v>0</v>
      </c>
      <c r="U1855">
        <f>Data!O1872</f>
        <v>0</v>
      </c>
      <c r="V1855" s="33">
        <f>Data!P1870</f>
        <v>0</v>
      </c>
    </row>
    <row r="1856" spans="7:22" x14ac:dyDescent="0.25">
      <c r="G1856">
        <f>Data!A1869</f>
        <v>0</v>
      </c>
      <c r="H1856" s="21">
        <f>Data!B1869</f>
        <v>0</v>
      </c>
      <c r="I1856" s="21">
        <f>Data!C1869</f>
        <v>0</v>
      </c>
      <c r="J1856">
        <f>Data!D1869</f>
        <v>0</v>
      </c>
      <c r="K1856">
        <f>Data!E1869</f>
        <v>0</v>
      </c>
      <c r="L1856">
        <f>Data!F1869</f>
        <v>0</v>
      </c>
      <c r="M1856">
        <f>Data!G1869</f>
        <v>0</v>
      </c>
      <c r="N1856">
        <f>Data!H1869</f>
        <v>0</v>
      </c>
      <c r="O1856">
        <f>Data!I1869</f>
        <v>0</v>
      </c>
      <c r="P1856" s="21">
        <f>Data!J1873</f>
        <v>0</v>
      </c>
      <c r="Q1856">
        <f>Data!K1873</f>
        <v>0</v>
      </c>
      <c r="R1856">
        <f>Data!L1873</f>
        <v>0</v>
      </c>
      <c r="S1856">
        <f>Data!M1873</f>
        <v>0</v>
      </c>
      <c r="T1856">
        <f>Data!N1873</f>
        <v>0</v>
      </c>
      <c r="U1856">
        <f>Data!O1873</f>
        <v>0</v>
      </c>
      <c r="V1856" s="33">
        <f>Data!P1871</f>
        <v>0</v>
      </c>
    </row>
    <row r="1857" spans="7:22" x14ac:dyDescent="0.25">
      <c r="G1857">
        <f>Data!A1870</f>
        <v>0</v>
      </c>
      <c r="H1857" s="21">
        <f>Data!B1870</f>
        <v>0</v>
      </c>
      <c r="I1857" s="21">
        <f>Data!C1870</f>
        <v>0</v>
      </c>
      <c r="J1857">
        <f>Data!D1870</f>
        <v>0</v>
      </c>
      <c r="K1857">
        <f>Data!E1870</f>
        <v>0</v>
      </c>
      <c r="L1857">
        <f>Data!F1870</f>
        <v>0</v>
      </c>
      <c r="M1857">
        <f>Data!G1870</f>
        <v>0</v>
      </c>
      <c r="N1857">
        <f>Data!H1870</f>
        <v>0</v>
      </c>
      <c r="O1857">
        <f>Data!I1870</f>
        <v>0</v>
      </c>
      <c r="P1857" s="21">
        <f>Data!J1874</f>
        <v>0</v>
      </c>
      <c r="Q1857">
        <f>Data!K1874</f>
        <v>0</v>
      </c>
      <c r="R1857">
        <f>Data!L1874</f>
        <v>0</v>
      </c>
      <c r="S1857">
        <f>Data!M1874</f>
        <v>0</v>
      </c>
      <c r="T1857">
        <f>Data!N1874</f>
        <v>0</v>
      </c>
      <c r="U1857">
        <f>Data!O1874</f>
        <v>0</v>
      </c>
      <c r="V1857" s="33">
        <f>Data!P1872</f>
        <v>0</v>
      </c>
    </row>
    <row r="1858" spans="7:22" x14ac:dyDescent="0.25">
      <c r="G1858">
        <f>Data!A1871</f>
        <v>0</v>
      </c>
      <c r="H1858" s="21">
        <f>Data!B1871</f>
        <v>0</v>
      </c>
      <c r="I1858" s="21">
        <f>Data!C1871</f>
        <v>0</v>
      </c>
      <c r="J1858">
        <f>Data!D1871</f>
        <v>0</v>
      </c>
      <c r="K1858">
        <f>Data!E1871</f>
        <v>0</v>
      </c>
      <c r="L1858">
        <f>Data!F1871</f>
        <v>0</v>
      </c>
      <c r="M1858">
        <f>Data!G1871</f>
        <v>0</v>
      </c>
      <c r="N1858">
        <f>Data!H1871</f>
        <v>0</v>
      </c>
      <c r="O1858">
        <f>Data!I1871</f>
        <v>0</v>
      </c>
      <c r="P1858" s="21">
        <f>Data!J1875</f>
        <v>0</v>
      </c>
      <c r="Q1858">
        <f>Data!K1875</f>
        <v>0</v>
      </c>
      <c r="R1858">
        <f>Data!L1875</f>
        <v>0</v>
      </c>
      <c r="S1858">
        <f>Data!M1875</f>
        <v>0</v>
      </c>
      <c r="T1858">
        <f>Data!N1875</f>
        <v>0</v>
      </c>
      <c r="U1858">
        <f>Data!O1875</f>
        <v>0</v>
      </c>
      <c r="V1858" s="33">
        <f>Data!P1873</f>
        <v>0</v>
      </c>
    </row>
    <row r="1859" spans="7:22" x14ac:dyDescent="0.25">
      <c r="G1859">
        <f>Data!A1872</f>
        <v>0</v>
      </c>
      <c r="H1859" s="21">
        <f>Data!B1872</f>
        <v>0</v>
      </c>
      <c r="I1859" s="21">
        <f>Data!C1872</f>
        <v>0</v>
      </c>
      <c r="J1859">
        <f>Data!D1872</f>
        <v>0</v>
      </c>
      <c r="K1859">
        <f>Data!E1872</f>
        <v>0</v>
      </c>
      <c r="L1859">
        <f>Data!F1872</f>
        <v>0</v>
      </c>
      <c r="M1859">
        <f>Data!G1872</f>
        <v>0</v>
      </c>
      <c r="N1859">
        <f>Data!H1872</f>
        <v>0</v>
      </c>
      <c r="O1859">
        <f>Data!I1872</f>
        <v>0</v>
      </c>
      <c r="P1859" s="21">
        <f>Data!J1876</f>
        <v>0</v>
      </c>
      <c r="Q1859">
        <f>Data!K1876</f>
        <v>0</v>
      </c>
      <c r="R1859">
        <f>Data!L1876</f>
        <v>0</v>
      </c>
      <c r="S1859">
        <f>Data!M1876</f>
        <v>0</v>
      </c>
      <c r="T1859">
        <f>Data!N1876</f>
        <v>0</v>
      </c>
      <c r="U1859">
        <f>Data!O1876</f>
        <v>0</v>
      </c>
      <c r="V1859" s="33">
        <f>Data!P1874</f>
        <v>0</v>
      </c>
    </row>
    <row r="1860" spans="7:22" x14ac:dyDescent="0.25">
      <c r="G1860">
        <f>Data!A1873</f>
        <v>0</v>
      </c>
      <c r="H1860" s="21">
        <f>Data!B1873</f>
        <v>0</v>
      </c>
      <c r="I1860" s="21">
        <f>Data!C1873</f>
        <v>0</v>
      </c>
      <c r="J1860">
        <f>Data!D1873</f>
        <v>0</v>
      </c>
      <c r="K1860">
        <f>Data!E1873</f>
        <v>0</v>
      </c>
      <c r="L1860">
        <f>Data!F1873</f>
        <v>0</v>
      </c>
      <c r="M1860">
        <f>Data!G1873</f>
        <v>0</v>
      </c>
      <c r="N1860">
        <f>Data!H1873</f>
        <v>0</v>
      </c>
      <c r="O1860">
        <f>Data!I1873</f>
        <v>0</v>
      </c>
      <c r="P1860" s="21">
        <f>Data!J1877</f>
        <v>0</v>
      </c>
      <c r="Q1860">
        <f>Data!K1877</f>
        <v>0</v>
      </c>
      <c r="R1860">
        <f>Data!L1877</f>
        <v>0</v>
      </c>
      <c r="S1860">
        <f>Data!M1877</f>
        <v>0</v>
      </c>
      <c r="T1860">
        <f>Data!N1877</f>
        <v>0</v>
      </c>
      <c r="U1860">
        <f>Data!O1877</f>
        <v>0</v>
      </c>
      <c r="V1860" s="33">
        <f>Data!P1875</f>
        <v>0</v>
      </c>
    </row>
    <row r="1861" spans="7:22" x14ac:dyDescent="0.25">
      <c r="G1861">
        <f>Data!A1874</f>
        <v>0</v>
      </c>
      <c r="H1861" s="21">
        <f>Data!B1874</f>
        <v>0</v>
      </c>
      <c r="I1861" s="21">
        <f>Data!C1874</f>
        <v>0</v>
      </c>
      <c r="J1861">
        <f>Data!D1874</f>
        <v>0</v>
      </c>
      <c r="K1861">
        <f>Data!E1874</f>
        <v>0</v>
      </c>
      <c r="L1861">
        <f>Data!F1874</f>
        <v>0</v>
      </c>
      <c r="M1861">
        <f>Data!G1874</f>
        <v>0</v>
      </c>
      <c r="N1861">
        <f>Data!H1874</f>
        <v>0</v>
      </c>
      <c r="O1861">
        <f>Data!I1874</f>
        <v>0</v>
      </c>
      <c r="P1861" s="21">
        <f>Data!J1878</f>
        <v>0</v>
      </c>
      <c r="Q1861">
        <f>Data!K1878</f>
        <v>0</v>
      </c>
      <c r="R1861">
        <f>Data!L1878</f>
        <v>0</v>
      </c>
      <c r="S1861">
        <f>Data!M1878</f>
        <v>0</v>
      </c>
      <c r="T1861">
        <f>Data!N1878</f>
        <v>0</v>
      </c>
      <c r="U1861">
        <f>Data!O1878</f>
        <v>0</v>
      </c>
      <c r="V1861" s="33">
        <f>Data!P1876</f>
        <v>0</v>
      </c>
    </row>
    <row r="1862" spans="7:22" x14ac:dyDescent="0.25">
      <c r="G1862">
        <f>Data!A1875</f>
        <v>0</v>
      </c>
      <c r="H1862" s="21">
        <f>Data!B1875</f>
        <v>0</v>
      </c>
      <c r="I1862" s="21">
        <f>Data!C1875</f>
        <v>0</v>
      </c>
      <c r="J1862">
        <f>Data!D1875</f>
        <v>0</v>
      </c>
      <c r="K1862">
        <f>Data!E1875</f>
        <v>0</v>
      </c>
      <c r="L1862">
        <f>Data!F1875</f>
        <v>0</v>
      </c>
      <c r="M1862">
        <f>Data!G1875</f>
        <v>0</v>
      </c>
      <c r="N1862">
        <f>Data!H1875</f>
        <v>0</v>
      </c>
      <c r="O1862">
        <f>Data!I1875</f>
        <v>0</v>
      </c>
      <c r="P1862" s="21">
        <f>Data!J1879</f>
        <v>0</v>
      </c>
      <c r="Q1862">
        <f>Data!K1879</f>
        <v>0</v>
      </c>
      <c r="R1862">
        <f>Data!L1879</f>
        <v>0</v>
      </c>
      <c r="S1862">
        <f>Data!M1879</f>
        <v>0</v>
      </c>
      <c r="T1862">
        <f>Data!N1879</f>
        <v>0</v>
      </c>
      <c r="U1862">
        <f>Data!O1879</f>
        <v>0</v>
      </c>
      <c r="V1862" s="33">
        <f>Data!P1877</f>
        <v>0</v>
      </c>
    </row>
    <row r="1863" spans="7:22" x14ac:dyDescent="0.25">
      <c r="G1863">
        <f>Data!A1876</f>
        <v>0</v>
      </c>
      <c r="H1863" s="21">
        <f>Data!B1876</f>
        <v>0</v>
      </c>
      <c r="I1863" s="21">
        <f>Data!C1876</f>
        <v>0</v>
      </c>
      <c r="J1863">
        <f>Data!D1876</f>
        <v>0</v>
      </c>
      <c r="K1863">
        <f>Data!E1876</f>
        <v>0</v>
      </c>
      <c r="L1863">
        <f>Data!F1876</f>
        <v>0</v>
      </c>
      <c r="M1863">
        <f>Data!G1876</f>
        <v>0</v>
      </c>
      <c r="N1863">
        <f>Data!H1876</f>
        <v>0</v>
      </c>
      <c r="O1863">
        <f>Data!I1876</f>
        <v>0</v>
      </c>
      <c r="P1863" s="21">
        <f>Data!J1880</f>
        <v>0</v>
      </c>
      <c r="Q1863">
        <f>Data!K1880</f>
        <v>0</v>
      </c>
      <c r="R1863">
        <f>Data!L1880</f>
        <v>0</v>
      </c>
      <c r="S1863">
        <f>Data!M1880</f>
        <v>0</v>
      </c>
      <c r="T1863">
        <f>Data!N1880</f>
        <v>0</v>
      </c>
      <c r="U1863">
        <f>Data!O1880</f>
        <v>0</v>
      </c>
      <c r="V1863" s="33">
        <f>Data!P1878</f>
        <v>0</v>
      </c>
    </row>
    <row r="1864" spans="7:22" x14ac:dyDescent="0.25">
      <c r="G1864">
        <f>Data!A1877</f>
        <v>0</v>
      </c>
      <c r="H1864" s="21">
        <f>Data!B1877</f>
        <v>0</v>
      </c>
      <c r="I1864" s="21">
        <f>Data!C1877</f>
        <v>0</v>
      </c>
      <c r="J1864">
        <f>Data!D1877</f>
        <v>0</v>
      </c>
      <c r="K1864">
        <f>Data!E1877</f>
        <v>0</v>
      </c>
      <c r="L1864">
        <f>Data!F1877</f>
        <v>0</v>
      </c>
      <c r="M1864">
        <f>Data!G1877</f>
        <v>0</v>
      </c>
      <c r="N1864">
        <f>Data!H1877</f>
        <v>0</v>
      </c>
      <c r="O1864">
        <f>Data!I1877</f>
        <v>0</v>
      </c>
      <c r="P1864" s="21">
        <f>Data!J1881</f>
        <v>0</v>
      </c>
      <c r="Q1864">
        <f>Data!K1881</f>
        <v>0</v>
      </c>
      <c r="R1864">
        <f>Data!L1881</f>
        <v>0</v>
      </c>
      <c r="S1864">
        <f>Data!M1881</f>
        <v>0</v>
      </c>
      <c r="T1864">
        <f>Data!N1881</f>
        <v>0</v>
      </c>
      <c r="U1864">
        <f>Data!O1881</f>
        <v>0</v>
      </c>
      <c r="V1864" s="33">
        <f>Data!P1879</f>
        <v>0</v>
      </c>
    </row>
    <row r="1865" spans="7:22" x14ac:dyDescent="0.25">
      <c r="G1865">
        <f>Data!A1878</f>
        <v>0</v>
      </c>
      <c r="H1865" s="21">
        <f>Data!B1878</f>
        <v>0</v>
      </c>
      <c r="I1865" s="21">
        <f>Data!C1878</f>
        <v>0</v>
      </c>
      <c r="J1865">
        <f>Data!D1878</f>
        <v>0</v>
      </c>
      <c r="K1865">
        <f>Data!E1878</f>
        <v>0</v>
      </c>
      <c r="L1865">
        <f>Data!F1878</f>
        <v>0</v>
      </c>
      <c r="M1865">
        <f>Data!G1878</f>
        <v>0</v>
      </c>
      <c r="N1865">
        <f>Data!H1878</f>
        <v>0</v>
      </c>
      <c r="O1865">
        <f>Data!I1878</f>
        <v>0</v>
      </c>
      <c r="P1865" s="21">
        <f>Data!J1882</f>
        <v>0</v>
      </c>
      <c r="Q1865">
        <f>Data!K1882</f>
        <v>0</v>
      </c>
      <c r="R1865">
        <f>Data!L1882</f>
        <v>0</v>
      </c>
      <c r="S1865">
        <f>Data!M1882</f>
        <v>0</v>
      </c>
      <c r="T1865">
        <f>Data!N1882</f>
        <v>0</v>
      </c>
      <c r="U1865">
        <f>Data!O1882</f>
        <v>0</v>
      </c>
      <c r="V1865" s="33">
        <f>Data!P1880</f>
        <v>0</v>
      </c>
    </row>
    <row r="1866" spans="7:22" x14ac:dyDescent="0.25">
      <c r="G1866">
        <f>Data!A1879</f>
        <v>0</v>
      </c>
      <c r="H1866" s="21">
        <f>Data!B1879</f>
        <v>0</v>
      </c>
      <c r="I1866" s="21">
        <f>Data!C1879</f>
        <v>0</v>
      </c>
      <c r="J1866">
        <f>Data!D1879</f>
        <v>0</v>
      </c>
      <c r="K1866">
        <f>Data!E1879</f>
        <v>0</v>
      </c>
      <c r="L1866">
        <f>Data!F1879</f>
        <v>0</v>
      </c>
      <c r="M1866">
        <f>Data!G1879</f>
        <v>0</v>
      </c>
      <c r="N1866">
        <f>Data!H1879</f>
        <v>0</v>
      </c>
      <c r="O1866">
        <f>Data!I1879</f>
        <v>0</v>
      </c>
      <c r="P1866" s="21">
        <f>Data!J1883</f>
        <v>0</v>
      </c>
      <c r="Q1866">
        <f>Data!K1883</f>
        <v>0</v>
      </c>
      <c r="R1866">
        <f>Data!L1883</f>
        <v>0</v>
      </c>
      <c r="S1866">
        <f>Data!M1883</f>
        <v>0</v>
      </c>
      <c r="T1866">
        <f>Data!N1883</f>
        <v>0</v>
      </c>
      <c r="U1866">
        <f>Data!O1883</f>
        <v>0</v>
      </c>
      <c r="V1866" s="33">
        <f>Data!P1881</f>
        <v>0</v>
      </c>
    </row>
    <row r="1867" spans="7:22" x14ac:dyDescent="0.25">
      <c r="G1867">
        <f>Data!A1880</f>
        <v>0</v>
      </c>
      <c r="H1867" s="21">
        <f>Data!B1880</f>
        <v>0</v>
      </c>
      <c r="I1867" s="21">
        <f>Data!C1880</f>
        <v>0</v>
      </c>
      <c r="J1867">
        <f>Data!D1880</f>
        <v>0</v>
      </c>
      <c r="K1867">
        <f>Data!E1880</f>
        <v>0</v>
      </c>
      <c r="L1867">
        <f>Data!F1880</f>
        <v>0</v>
      </c>
      <c r="M1867">
        <f>Data!G1880</f>
        <v>0</v>
      </c>
      <c r="N1867">
        <f>Data!H1880</f>
        <v>0</v>
      </c>
      <c r="O1867">
        <f>Data!I1880</f>
        <v>0</v>
      </c>
      <c r="P1867" s="21">
        <f>Data!J1884</f>
        <v>0</v>
      </c>
      <c r="Q1867">
        <f>Data!K1884</f>
        <v>0</v>
      </c>
      <c r="R1867">
        <f>Data!L1884</f>
        <v>0</v>
      </c>
      <c r="S1867">
        <f>Data!M1884</f>
        <v>0</v>
      </c>
      <c r="T1867">
        <f>Data!N1884</f>
        <v>0</v>
      </c>
      <c r="U1867">
        <f>Data!O1884</f>
        <v>0</v>
      </c>
      <c r="V1867" s="33">
        <f>Data!P1882</f>
        <v>0</v>
      </c>
    </row>
    <row r="1868" spans="7:22" x14ac:dyDescent="0.25">
      <c r="G1868">
        <f>Data!A1881</f>
        <v>0</v>
      </c>
      <c r="H1868" s="21">
        <f>Data!B1881</f>
        <v>0</v>
      </c>
      <c r="I1868" s="21">
        <f>Data!C1881</f>
        <v>0</v>
      </c>
      <c r="J1868">
        <f>Data!D1881</f>
        <v>0</v>
      </c>
      <c r="K1868">
        <f>Data!E1881</f>
        <v>0</v>
      </c>
      <c r="L1868">
        <f>Data!F1881</f>
        <v>0</v>
      </c>
      <c r="M1868">
        <f>Data!G1881</f>
        <v>0</v>
      </c>
      <c r="N1868">
        <f>Data!H1881</f>
        <v>0</v>
      </c>
      <c r="O1868">
        <f>Data!I1881</f>
        <v>0</v>
      </c>
      <c r="P1868" s="21">
        <f>Data!J1885</f>
        <v>0</v>
      </c>
      <c r="Q1868">
        <f>Data!K1885</f>
        <v>0</v>
      </c>
      <c r="R1868">
        <f>Data!L1885</f>
        <v>0</v>
      </c>
      <c r="S1868">
        <f>Data!M1885</f>
        <v>0</v>
      </c>
      <c r="T1868">
        <f>Data!N1885</f>
        <v>0</v>
      </c>
      <c r="U1868">
        <f>Data!O1885</f>
        <v>0</v>
      </c>
      <c r="V1868" s="33">
        <f>Data!P1883</f>
        <v>0</v>
      </c>
    </row>
    <row r="1869" spans="7:22" x14ac:dyDescent="0.25">
      <c r="G1869">
        <f>Data!A1882</f>
        <v>0</v>
      </c>
      <c r="H1869" s="21">
        <f>Data!B1882</f>
        <v>0</v>
      </c>
      <c r="I1869" s="21">
        <f>Data!C1882</f>
        <v>0</v>
      </c>
      <c r="J1869">
        <f>Data!D1882</f>
        <v>0</v>
      </c>
      <c r="K1869">
        <f>Data!E1882</f>
        <v>0</v>
      </c>
      <c r="L1869">
        <f>Data!F1882</f>
        <v>0</v>
      </c>
      <c r="M1869">
        <f>Data!G1882</f>
        <v>0</v>
      </c>
      <c r="N1869">
        <f>Data!H1882</f>
        <v>0</v>
      </c>
      <c r="O1869">
        <f>Data!I1882</f>
        <v>0</v>
      </c>
      <c r="P1869" s="21">
        <f>Data!J1886</f>
        <v>0</v>
      </c>
      <c r="Q1869">
        <f>Data!K1886</f>
        <v>0</v>
      </c>
      <c r="R1869">
        <f>Data!L1886</f>
        <v>0</v>
      </c>
      <c r="S1869">
        <f>Data!M1886</f>
        <v>0</v>
      </c>
      <c r="T1869">
        <f>Data!N1886</f>
        <v>0</v>
      </c>
      <c r="U1869">
        <f>Data!O1886</f>
        <v>0</v>
      </c>
      <c r="V1869" s="33">
        <f>Data!P1884</f>
        <v>0</v>
      </c>
    </row>
    <row r="1870" spans="7:22" x14ac:dyDescent="0.25">
      <c r="G1870">
        <f>Data!A1883</f>
        <v>0</v>
      </c>
      <c r="H1870" s="21">
        <f>Data!B1883</f>
        <v>0</v>
      </c>
      <c r="I1870" s="21">
        <f>Data!C1883</f>
        <v>0</v>
      </c>
      <c r="J1870">
        <f>Data!D1883</f>
        <v>0</v>
      </c>
      <c r="K1870">
        <f>Data!E1883</f>
        <v>0</v>
      </c>
      <c r="L1870">
        <f>Data!F1883</f>
        <v>0</v>
      </c>
      <c r="M1870">
        <f>Data!G1883</f>
        <v>0</v>
      </c>
      <c r="N1870">
        <f>Data!H1883</f>
        <v>0</v>
      </c>
      <c r="O1870">
        <f>Data!I1883</f>
        <v>0</v>
      </c>
      <c r="P1870" s="21">
        <f>Data!J1887</f>
        <v>0</v>
      </c>
      <c r="Q1870">
        <f>Data!K1887</f>
        <v>0</v>
      </c>
      <c r="R1870">
        <f>Data!L1887</f>
        <v>0</v>
      </c>
      <c r="S1870">
        <f>Data!M1887</f>
        <v>0</v>
      </c>
      <c r="T1870">
        <f>Data!N1887</f>
        <v>0</v>
      </c>
      <c r="U1870">
        <f>Data!O1887</f>
        <v>0</v>
      </c>
      <c r="V1870" s="33">
        <f>Data!P1885</f>
        <v>0</v>
      </c>
    </row>
    <row r="1871" spans="7:22" x14ac:dyDescent="0.25">
      <c r="G1871">
        <f>Data!A1884</f>
        <v>0</v>
      </c>
      <c r="H1871" s="21">
        <f>Data!B1884</f>
        <v>0</v>
      </c>
      <c r="I1871" s="21">
        <f>Data!C1884</f>
        <v>0</v>
      </c>
      <c r="J1871">
        <f>Data!D1884</f>
        <v>0</v>
      </c>
      <c r="K1871">
        <f>Data!E1884</f>
        <v>0</v>
      </c>
      <c r="L1871">
        <f>Data!F1884</f>
        <v>0</v>
      </c>
      <c r="M1871">
        <f>Data!G1884</f>
        <v>0</v>
      </c>
      <c r="N1871">
        <f>Data!H1884</f>
        <v>0</v>
      </c>
      <c r="O1871">
        <f>Data!I1884</f>
        <v>0</v>
      </c>
      <c r="P1871" s="21">
        <f>Data!J1888</f>
        <v>0</v>
      </c>
      <c r="Q1871">
        <f>Data!K1888</f>
        <v>0</v>
      </c>
      <c r="R1871">
        <f>Data!L1888</f>
        <v>0</v>
      </c>
      <c r="S1871">
        <f>Data!M1888</f>
        <v>0</v>
      </c>
      <c r="T1871">
        <f>Data!N1888</f>
        <v>0</v>
      </c>
      <c r="U1871">
        <f>Data!O1888</f>
        <v>0</v>
      </c>
      <c r="V1871" s="33">
        <f>Data!P1886</f>
        <v>0</v>
      </c>
    </row>
    <row r="1872" spans="7:22" x14ac:dyDescent="0.25">
      <c r="G1872">
        <f>Data!A1885</f>
        <v>0</v>
      </c>
      <c r="H1872" s="21">
        <f>Data!B1885</f>
        <v>0</v>
      </c>
      <c r="I1872" s="21">
        <f>Data!C1885</f>
        <v>0</v>
      </c>
      <c r="J1872">
        <f>Data!D1885</f>
        <v>0</v>
      </c>
      <c r="K1872">
        <f>Data!E1885</f>
        <v>0</v>
      </c>
      <c r="L1872">
        <f>Data!F1885</f>
        <v>0</v>
      </c>
      <c r="M1872">
        <f>Data!G1885</f>
        <v>0</v>
      </c>
      <c r="N1872">
        <f>Data!H1885</f>
        <v>0</v>
      </c>
      <c r="O1872">
        <f>Data!I1885</f>
        <v>0</v>
      </c>
      <c r="P1872" s="21">
        <f>Data!J1889</f>
        <v>0</v>
      </c>
      <c r="Q1872">
        <f>Data!K1889</f>
        <v>0</v>
      </c>
      <c r="R1872">
        <f>Data!L1889</f>
        <v>0</v>
      </c>
      <c r="S1872">
        <f>Data!M1889</f>
        <v>0</v>
      </c>
      <c r="T1872">
        <f>Data!N1889</f>
        <v>0</v>
      </c>
      <c r="U1872">
        <f>Data!O1889</f>
        <v>0</v>
      </c>
      <c r="V1872" s="33">
        <f>Data!P1887</f>
        <v>0</v>
      </c>
    </row>
    <row r="1873" spans="7:22" x14ac:dyDescent="0.25">
      <c r="G1873">
        <f>Data!A1886</f>
        <v>0</v>
      </c>
      <c r="H1873" s="21">
        <f>Data!B1886</f>
        <v>0</v>
      </c>
      <c r="I1873" s="21">
        <f>Data!C1886</f>
        <v>0</v>
      </c>
      <c r="J1873">
        <f>Data!D1886</f>
        <v>0</v>
      </c>
      <c r="K1873">
        <f>Data!E1886</f>
        <v>0</v>
      </c>
      <c r="L1873">
        <f>Data!F1886</f>
        <v>0</v>
      </c>
      <c r="M1873">
        <f>Data!G1886</f>
        <v>0</v>
      </c>
      <c r="N1873">
        <f>Data!H1886</f>
        <v>0</v>
      </c>
      <c r="O1873">
        <f>Data!I1886</f>
        <v>0</v>
      </c>
      <c r="P1873" s="21">
        <f>Data!J1890</f>
        <v>0</v>
      </c>
      <c r="Q1873">
        <f>Data!K1890</f>
        <v>0</v>
      </c>
      <c r="R1873">
        <f>Data!L1890</f>
        <v>0</v>
      </c>
      <c r="S1873">
        <f>Data!M1890</f>
        <v>0</v>
      </c>
      <c r="T1873">
        <f>Data!N1890</f>
        <v>0</v>
      </c>
      <c r="U1873">
        <f>Data!O1890</f>
        <v>0</v>
      </c>
      <c r="V1873" s="33">
        <f>Data!P1888</f>
        <v>0</v>
      </c>
    </row>
    <row r="1874" spans="7:22" x14ac:dyDescent="0.25">
      <c r="G1874">
        <f>Data!A1887</f>
        <v>0</v>
      </c>
      <c r="H1874" s="21">
        <f>Data!B1887</f>
        <v>0</v>
      </c>
      <c r="I1874" s="21">
        <f>Data!C1887</f>
        <v>0</v>
      </c>
      <c r="J1874">
        <f>Data!D1887</f>
        <v>0</v>
      </c>
      <c r="K1874">
        <f>Data!E1887</f>
        <v>0</v>
      </c>
      <c r="L1874">
        <f>Data!F1887</f>
        <v>0</v>
      </c>
      <c r="M1874">
        <f>Data!G1887</f>
        <v>0</v>
      </c>
      <c r="N1874">
        <f>Data!H1887</f>
        <v>0</v>
      </c>
      <c r="O1874">
        <f>Data!I1887</f>
        <v>0</v>
      </c>
      <c r="P1874" s="21">
        <f>Data!J1891</f>
        <v>0</v>
      </c>
      <c r="Q1874">
        <f>Data!K1891</f>
        <v>0</v>
      </c>
      <c r="R1874">
        <f>Data!L1891</f>
        <v>0</v>
      </c>
      <c r="S1874">
        <f>Data!M1891</f>
        <v>0</v>
      </c>
      <c r="T1874">
        <f>Data!N1891</f>
        <v>0</v>
      </c>
      <c r="U1874">
        <f>Data!O1891</f>
        <v>0</v>
      </c>
      <c r="V1874" s="33">
        <f>Data!P1889</f>
        <v>0</v>
      </c>
    </row>
    <row r="1875" spans="7:22" x14ac:dyDescent="0.25">
      <c r="G1875">
        <f>Data!A1888</f>
        <v>0</v>
      </c>
      <c r="H1875" s="21">
        <f>Data!B1888</f>
        <v>0</v>
      </c>
      <c r="I1875" s="21">
        <f>Data!C1888</f>
        <v>0</v>
      </c>
      <c r="J1875">
        <f>Data!D1888</f>
        <v>0</v>
      </c>
      <c r="K1875">
        <f>Data!E1888</f>
        <v>0</v>
      </c>
      <c r="L1875">
        <f>Data!F1888</f>
        <v>0</v>
      </c>
      <c r="M1875">
        <f>Data!G1888</f>
        <v>0</v>
      </c>
      <c r="N1875">
        <f>Data!H1888</f>
        <v>0</v>
      </c>
      <c r="O1875">
        <f>Data!I1888</f>
        <v>0</v>
      </c>
      <c r="P1875" s="21">
        <f>Data!J1892</f>
        <v>0</v>
      </c>
      <c r="Q1875">
        <f>Data!K1892</f>
        <v>0</v>
      </c>
      <c r="R1875">
        <f>Data!L1892</f>
        <v>0</v>
      </c>
      <c r="S1875">
        <f>Data!M1892</f>
        <v>0</v>
      </c>
      <c r="T1875">
        <f>Data!N1892</f>
        <v>0</v>
      </c>
      <c r="U1875">
        <f>Data!O1892</f>
        <v>0</v>
      </c>
      <c r="V1875" s="33">
        <f>Data!P1890</f>
        <v>0</v>
      </c>
    </row>
    <row r="1876" spans="7:22" x14ac:dyDescent="0.25">
      <c r="G1876">
        <f>Data!A1889</f>
        <v>0</v>
      </c>
      <c r="H1876" s="21">
        <f>Data!B1889</f>
        <v>0</v>
      </c>
      <c r="I1876" s="21">
        <f>Data!C1889</f>
        <v>0</v>
      </c>
      <c r="J1876">
        <f>Data!D1889</f>
        <v>0</v>
      </c>
      <c r="K1876">
        <f>Data!E1889</f>
        <v>0</v>
      </c>
      <c r="L1876">
        <f>Data!F1889</f>
        <v>0</v>
      </c>
      <c r="M1876">
        <f>Data!G1889</f>
        <v>0</v>
      </c>
      <c r="N1876">
        <f>Data!H1889</f>
        <v>0</v>
      </c>
      <c r="O1876">
        <f>Data!I1889</f>
        <v>0</v>
      </c>
      <c r="P1876" s="21">
        <f>Data!J1893</f>
        <v>0</v>
      </c>
      <c r="Q1876">
        <f>Data!K1893</f>
        <v>0</v>
      </c>
      <c r="R1876">
        <f>Data!L1893</f>
        <v>0</v>
      </c>
      <c r="S1876">
        <f>Data!M1893</f>
        <v>0</v>
      </c>
      <c r="T1876">
        <f>Data!N1893</f>
        <v>0</v>
      </c>
      <c r="U1876">
        <f>Data!O1893</f>
        <v>0</v>
      </c>
      <c r="V1876" s="33">
        <f>Data!P1891</f>
        <v>0</v>
      </c>
    </row>
    <row r="1877" spans="7:22" x14ac:dyDescent="0.25">
      <c r="G1877">
        <f>Data!A1890</f>
        <v>0</v>
      </c>
      <c r="H1877" s="21">
        <f>Data!B1890</f>
        <v>0</v>
      </c>
      <c r="I1877" s="21">
        <f>Data!C1890</f>
        <v>0</v>
      </c>
      <c r="J1877">
        <f>Data!D1890</f>
        <v>0</v>
      </c>
      <c r="K1877">
        <f>Data!E1890</f>
        <v>0</v>
      </c>
      <c r="L1877">
        <f>Data!F1890</f>
        <v>0</v>
      </c>
      <c r="M1877">
        <f>Data!G1890</f>
        <v>0</v>
      </c>
      <c r="N1877">
        <f>Data!H1890</f>
        <v>0</v>
      </c>
      <c r="O1877">
        <f>Data!I1890</f>
        <v>0</v>
      </c>
      <c r="P1877" s="21">
        <f>Data!J1894</f>
        <v>0</v>
      </c>
      <c r="Q1877">
        <f>Data!K1894</f>
        <v>0</v>
      </c>
      <c r="R1877">
        <f>Data!L1894</f>
        <v>0</v>
      </c>
      <c r="S1877">
        <f>Data!M1894</f>
        <v>0</v>
      </c>
      <c r="T1877">
        <f>Data!N1894</f>
        <v>0</v>
      </c>
      <c r="U1877">
        <f>Data!O1894</f>
        <v>0</v>
      </c>
      <c r="V1877" s="33">
        <f>Data!P1892</f>
        <v>0</v>
      </c>
    </row>
    <row r="1878" spans="7:22" x14ac:dyDescent="0.25">
      <c r="G1878">
        <f>Data!A1891</f>
        <v>0</v>
      </c>
      <c r="H1878" s="21">
        <f>Data!B1891</f>
        <v>0</v>
      </c>
      <c r="I1878" s="21">
        <f>Data!C1891</f>
        <v>0</v>
      </c>
      <c r="J1878">
        <f>Data!D1891</f>
        <v>0</v>
      </c>
      <c r="K1878">
        <f>Data!E1891</f>
        <v>0</v>
      </c>
      <c r="L1878">
        <f>Data!F1891</f>
        <v>0</v>
      </c>
      <c r="M1878">
        <f>Data!G1891</f>
        <v>0</v>
      </c>
      <c r="N1878">
        <f>Data!H1891</f>
        <v>0</v>
      </c>
      <c r="O1878">
        <f>Data!I1891</f>
        <v>0</v>
      </c>
      <c r="P1878" s="21">
        <f>Data!J1895</f>
        <v>0</v>
      </c>
      <c r="Q1878">
        <f>Data!K1895</f>
        <v>0</v>
      </c>
      <c r="R1878">
        <f>Data!L1895</f>
        <v>0</v>
      </c>
      <c r="S1878">
        <f>Data!M1895</f>
        <v>0</v>
      </c>
      <c r="T1878">
        <f>Data!N1895</f>
        <v>0</v>
      </c>
      <c r="U1878">
        <f>Data!O1895</f>
        <v>0</v>
      </c>
      <c r="V1878" s="33">
        <f>Data!P1893</f>
        <v>0</v>
      </c>
    </row>
    <row r="1879" spans="7:22" x14ac:dyDescent="0.25">
      <c r="G1879">
        <f>Data!A1892</f>
        <v>0</v>
      </c>
      <c r="H1879" s="21">
        <f>Data!B1892</f>
        <v>0</v>
      </c>
      <c r="I1879" s="21">
        <f>Data!C1892</f>
        <v>0</v>
      </c>
      <c r="J1879">
        <f>Data!D1892</f>
        <v>0</v>
      </c>
      <c r="K1879">
        <f>Data!E1892</f>
        <v>0</v>
      </c>
      <c r="L1879">
        <f>Data!F1892</f>
        <v>0</v>
      </c>
      <c r="M1879">
        <f>Data!G1892</f>
        <v>0</v>
      </c>
      <c r="N1879">
        <f>Data!H1892</f>
        <v>0</v>
      </c>
      <c r="O1879">
        <f>Data!I1892</f>
        <v>0</v>
      </c>
      <c r="P1879" s="21">
        <f>Data!J1896</f>
        <v>0</v>
      </c>
      <c r="Q1879">
        <f>Data!K1896</f>
        <v>0</v>
      </c>
      <c r="R1879">
        <f>Data!L1896</f>
        <v>0</v>
      </c>
      <c r="S1879">
        <f>Data!M1896</f>
        <v>0</v>
      </c>
      <c r="T1879">
        <f>Data!N1896</f>
        <v>0</v>
      </c>
      <c r="U1879">
        <f>Data!O1896</f>
        <v>0</v>
      </c>
      <c r="V1879" s="33">
        <f>Data!P1894</f>
        <v>0</v>
      </c>
    </row>
    <row r="1880" spans="7:22" x14ac:dyDescent="0.25">
      <c r="G1880">
        <f>Data!A1893</f>
        <v>0</v>
      </c>
      <c r="H1880" s="21">
        <f>Data!B1893</f>
        <v>0</v>
      </c>
      <c r="I1880" s="21">
        <f>Data!C1893</f>
        <v>0</v>
      </c>
      <c r="J1880">
        <f>Data!D1893</f>
        <v>0</v>
      </c>
      <c r="K1880">
        <f>Data!E1893</f>
        <v>0</v>
      </c>
      <c r="L1880">
        <f>Data!F1893</f>
        <v>0</v>
      </c>
      <c r="M1880">
        <f>Data!G1893</f>
        <v>0</v>
      </c>
      <c r="N1880">
        <f>Data!H1893</f>
        <v>0</v>
      </c>
      <c r="O1880">
        <f>Data!I1893</f>
        <v>0</v>
      </c>
      <c r="P1880" s="21">
        <f>Data!J1897</f>
        <v>0</v>
      </c>
      <c r="Q1880">
        <f>Data!K1897</f>
        <v>0</v>
      </c>
      <c r="R1880">
        <f>Data!L1897</f>
        <v>0</v>
      </c>
      <c r="S1880">
        <f>Data!M1897</f>
        <v>0</v>
      </c>
      <c r="T1880">
        <f>Data!N1897</f>
        <v>0</v>
      </c>
      <c r="U1880">
        <f>Data!O1897</f>
        <v>0</v>
      </c>
      <c r="V1880" s="33">
        <f>Data!P1895</f>
        <v>0</v>
      </c>
    </row>
    <row r="1881" spans="7:22" x14ac:dyDescent="0.25">
      <c r="G1881">
        <f>Data!A1894</f>
        <v>0</v>
      </c>
      <c r="H1881" s="21">
        <f>Data!B1894</f>
        <v>0</v>
      </c>
      <c r="I1881" s="21">
        <f>Data!C1894</f>
        <v>0</v>
      </c>
      <c r="J1881">
        <f>Data!D1894</f>
        <v>0</v>
      </c>
      <c r="K1881">
        <f>Data!E1894</f>
        <v>0</v>
      </c>
      <c r="L1881">
        <f>Data!F1894</f>
        <v>0</v>
      </c>
      <c r="M1881">
        <f>Data!G1894</f>
        <v>0</v>
      </c>
      <c r="N1881">
        <f>Data!H1894</f>
        <v>0</v>
      </c>
      <c r="O1881">
        <f>Data!I1894</f>
        <v>0</v>
      </c>
      <c r="P1881" s="21">
        <f>Data!J1898</f>
        <v>0</v>
      </c>
      <c r="Q1881">
        <f>Data!K1898</f>
        <v>0</v>
      </c>
      <c r="R1881">
        <f>Data!L1898</f>
        <v>0</v>
      </c>
      <c r="S1881">
        <f>Data!M1898</f>
        <v>0</v>
      </c>
      <c r="T1881">
        <f>Data!N1898</f>
        <v>0</v>
      </c>
      <c r="U1881">
        <f>Data!O1898</f>
        <v>0</v>
      </c>
      <c r="V1881" s="33">
        <f>Data!P1896</f>
        <v>0</v>
      </c>
    </row>
    <row r="1882" spans="7:22" x14ac:dyDescent="0.25">
      <c r="G1882">
        <f>Data!A1895</f>
        <v>0</v>
      </c>
      <c r="H1882" s="21">
        <f>Data!B1895</f>
        <v>0</v>
      </c>
      <c r="I1882" s="21">
        <f>Data!C1895</f>
        <v>0</v>
      </c>
      <c r="J1882">
        <f>Data!D1895</f>
        <v>0</v>
      </c>
      <c r="K1882">
        <f>Data!E1895</f>
        <v>0</v>
      </c>
      <c r="L1882">
        <f>Data!F1895</f>
        <v>0</v>
      </c>
      <c r="M1882">
        <f>Data!G1895</f>
        <v>0</v>
      </c>
      <c r="N1882">
        <f>Data!H1895</f>
        <v>0</v>
      </c>
      <c r="O1882">
        <f>Data!I1895</f>
        <v>0</v>
      </c>
      <c r="P1882" s="21">
        <f>Data!J1899</f>
        <v>0</v>
      </c>
      <c r="Q1882">
        <f>Data!K1899</f>
        <v>0</v>
      </c>
      <c r="R1882">
        <f>Data!L1899</f>
        <v>0</v>
      </c>
      <c r="S1882">
        <f>Data!M1899</f>
        <v>0</v>
      </c>
      <c r="T1882">
        <f>Data!N1899</f>
        <v>0</v>
      </c>
      <c r="U1882">
        <f>Data!O1899</f>
        <v>0</v>
      </c>
      <c r="V1882" s="33">
        <f>Data!P1897</f>
        <v>0</v>
      </c>
    </row>
    <row r="1883" spans="7:22" x14ac:dyDescent="0.25">
      <c r="G1883">
        <f>Data!A1896</f>
        <v>0</v>
      </c>
      <c r="H1883" s="21">
        <f>Data!B1896</f>
        <v>0</v>
      </c>
      <c r="I1883" s="21">
        <f>Data!C1896</f>
        <v>0</v>
      </c>
      <c r="J1883">
        <f>Data!D1896</f>
        <v>0</v>
      </c>
      <c r="K1883">
        <f>Data!E1896</f>
        <v>0</v>
      </c>
      <c r="L1883">
        <f>Data!F1896</f>
        <v>0</v>
      </c>
      <c r="M1883">
        <f>Data!G1896</f>
        <v>0</v>
      </c>
      <c r="N1883">
        <f>Data!H1896</f>
        <v>0</v>
      </c>
      <c r="O1883">
        <f>Data!I1896</f>
        <v>0</v>
      </c>
      <c r="P1883" s="21">
        <f>Data!J1900</f>
        <v>0</v>
      </c>
      <c r="Q1883">
        <f>Data!K1900</f>
        <v>0</v>
      </c>
      <c r="R1883">
        <f>Data!L1900</f>
        <v>0</v>
      </c>
      <c r="S1883">
        <f>Data!M1900</f>
        <v>0</v>
      </c>
      <c r="T1883">
        <f>Data!N1900</f>
        <v>0</v>
      </c>
      <c r="U1883">
        <f>Data!O1900</f>
        <v>0</v>
      </c>
      <c r="V1883" s="33">
        <f>Data!P1898</f>
        <v>0</v>
      </c>
    </row>
    <row r="1884" spans="7:22" x14ac:dyDescent="0.25">
      <c r="G1884">
        <f>Data!A1897</f>
        <v>0</v>
      </c>
      <c r="H1884" s="21">
        <f>Data!B1897</f>
        <v>0</v>
      </c>
      <c r="I1884" s="21">
        <f>Data!C1897</f>
        <v>0</v>
      </c>
      <c r="J1884">
        <f>Data!D1897</f>
        <v>0</v>
      </c>
      <c r="K1884">
        <f>Data!E1897</f>
        <v>0</v>
      </c>
      <c r="L1884">
        <f>Data!F1897</f>
        <v>0</v>
      </c>
      <c r="M1884">
        <f>Data!G1897</f>
        <v>0</v>
      </c>
      <c r="N1884">
        <f>Data!H1897</f>
        <v>0</v>
      </c>
      <c r="O1884">
        <f>Data!I1897</f>
        <v>0</v>
      </c>
      <c r="P1884" s="21">
        <f>Data!J1901</f>
        <v>0</v>
      </c>
      <c r="Q1884">
        <f>Data!K1901</f>
        <v>0</v>
      </c>
      <c r="R1884">
        <f>Data!L1901</f>
        <v>0</v>
      </c>
      <c r="S1884">
        <f>Data!M1901</f>
        <v>0</v>
      </c>
      <c r="T1884">
        <f>Data!N1901</f>
        <v>0</v>
      </c>
      <c r="U1884">
        <f>Data!O1901</f>
        <v>0</v>
      </c>
      <c r="V1884" s="33">
        <f>Data!P1899</f>
        <v>0</v>
      </c>
    </row>
    <row r="1885" spans="7:22" x14ac:dyDescent="0.25">
      <c r="G1885">
        <f>Data!A1898</f>
        <v>0</v>
      </c>
      <c r="H1885" s="21">
        <f>Data!B1898</f>
        <v>0</v>
      </c>
      <c r="I1885" s="21">
        <f>Data!C1898</f>
        <v>0</v>
      </c>
      <c r="J1885">
        <f>Data!D1898</f>
        <v>0</v>
      </c>
      <c r="K1885">
        <f>Data!E1898</f>
        <v>0</v>
      </c>
      <c r="L1885">
        <f>Data!F1898</f>
        <v>0</v>
      </c>
      <c r="M1885">
        <f>Data!G1898</f>
        <v>0</v>
      </c>
      <c r="N1885">
        <f>Data!H1898</f>
        <v>0</v>
      </c>
      <c r="O1885">
        <f>Data!I1898</f>
        <v>0</v>
      </c>
      <c r="P1885" s="21">
        <f>Data!J1902</f>
        <v>0</v>
      </c>
      <c r="Q1885">
        <f>Data!K1902</f>
        <v>0</v>
      </c>
      <c r="R1885">
        <f>Data!L1902</f>
        <v>0</v>
      </c>
      <c r="S1885">
        <f>Data!M1902</f>
        <v>0</v>
      </c>
      <c r="T1885">
        <f>Data!N1902</f>
        <v>0</v>
      </c>
      <c r="U1885">
        <f>Data!O1902</f>
        <v>0</v>
      </c>
      <c r="V1885" s="33">
        <f>Data!P1900</f>
        <v>0</v>
      </c>
    </row>
    <row r="1886" spans="7:22" x14ac:dyDescent="0.25">
      <c r="G1886">
        <f>Data!A1899</f>
        <v>0</v>
      </c>
      <c r="H1886" s="21">
        <f>Data!B1899</f>
        <v>0</v>
      </c>
      <c r="I1886" s="21">
        <f>Data!C1899</f>
        <v>0</v>
      </c>
      <c r="J1886">
        <f>Data!D1899</f>
        <v>0</v>
      </c>
      <c r="K1886">
        <f>Data!E1899</f>
        <v>0</v>
      </c>
      <c r="L1886">
        <f>Data!F1899</f>
        <v>0</v>
      </c>
      <c r="M1886">
        <f>Data!G1899</f>
        <v>0</v>
      </c>
      <c r="N1886">
        <f>Data!H1899</f>
        <v>0</v>
      </c>
      <c r="O1886">
        <f>Data!I1899</f>
        <v>0</v>
      </c>
      <c r="P1886" s="21">
        <f>Data!J1903</f>
        <v>0</v>
      </c>
      <c r="Q1886">
        <f>Data!K1903</f>
        <v>0</v>
      </c>
      <c r="R1886">
        <f>Data!L1903</f>
        <v>0</v>
      </c>
      <c r="S1886">
        <f>Data!M1903</f>
        <v>0</v>
      </c>
      <c r="T1886">
        <f>Data!N1903</f>
        <v>0</v>
      </c>
      <c r="U1886">
        <f>Data!O1903</f>
        <v>0</v>
      </c>
      <c r="V1886" s="33">
        <f>Data!P1901</f>
        <v>0</v>
      </c>
    </row>
    <row r="1887" spans="7:22" x14ac:dyDescent="0.25">
      <c r="G1887">
        <f>Data!A1900</f>
        <v>0</v>
      </c>
      <c r="H1887" s="21">
        <f>Data!B1900</f>
        <v>0</v>
      </c>
      <c r="I1887" s="21">
        <f>Data!C1900</f>
        <v>0</v>
      </c>
      <c r="J1887">
        <f>Data!D1900</f>
        <v>0</v>
      </c>
      <c r="K1887">
        <f>Data!E1900</f>
        <v>0</v>
      </c>
      <c r="L1887">
        <f>Data!F1900</f>
        <v>0</v>
      </c>
      <c r="M1887">
        <f>Data!G1900</f>
        <v>0</v>
      </c>
      <c r="N1887">
        <f>Data!H1900</f>
        <v>0</v>
      </c>
      <c r="O1887">
        <f>Data!I1900</f>
        <v>0</v>
      </c>
      <c r="P1887" s="21">
        <f>Data!J1904</f>
        <v>0</v>
      </c>
      <c r="Q1887">
        <f>Data!K1904</f>
        <v>0</v>
      </c>
      <c r="R1887">
        <f>Data!L1904</f>
        <v>0</v>
      </c>
      <c r="S1887">
        <f>Data!M1904</f>
        <v>0</v>
      </c>
      <c r="T1887">
        <f>Data!N1904</f>
        <v>0</v>
      </c>
      <c r="U1887">
        <f>Data!O1904</f>
        <v>0</v>
      </c>
      <c r="V1887" s="33">
        <f>Data!P1902</f>
        <v>0</v>
      </c>
    </row>
    <row r="1888" spans="7:22" x14ac:dyDescent="0.25">
      <c r="G1888">
        <f>Data!A1901</f>
        <v>0</v>
      </c>
      <c r="H1888" s="21">
        <f>Data!B1901</f>
        <v>0</v>
      </c>
      <c r="I1888" s="21">
        <f>Data!C1901</f>
        <v>0</v>
      </c>
      <c r="J1888">
        <f>Data!D1901</f>
        <v>0</v>
      </c>
      <c r="K1888">
        <f>Data!E1901</f>
        <v>0</v>
      </c>
      <c r="L1888">
        <f>Data!F1901</f>
        <v>0</v>
      </c>
      <c r="M1888">
        <f>Data!G1901</f>
        <v>0</v>
      </c>
      <c r="N1888">
        <f>Data!H1901</f>
        <v>0</v>
      </c>
      <c r="O1888">
        <f>Data!I1901</f>
        <v>0</v>
      </c>
      <c r="P1888" s="21">
        <f>Data!J1905</f>
        <v>0</v>
      </c>
      <c r="Q1888">
        <f>Data!K1905</f>
        <v>0</v>
      </c>
      <c r="R1888">
        <f>Data!L1905</f>
        <v>0</v>
      </c>
      <c r="S1888">
        <f>Data!M1905</f>
        <v>0</v>
      </c>
      <c r="T1888">
        <f>Data!N1905</f>
        <v>0</v>
      </c>
      <c r="U1888">
        <f>Data!O1905</f>
        <v>0</v>
      </c>
      <c r="V1888" s="33">
        <f>Data!P1903</f>
        <v>0</v>
      </c>
    </row>
    <row r="1889" spans="7:22" x14ac:dyDescent="0.25">
      <c r="G1889">
        <f>Data!A1902</f>
        <v>0</v>
      </c>
      <c r="H1889" s="21">
        <f>Data!B1902</f>
        <v>0</v>
      </c>
      <c r="I1889" s="21">
        <f>Data!C1902</f>
        <v>0</v>
      </c>
      <c r="J1889">
        <f>Data!D1902</f>
        <v>0</v>
      </c>
      <c r="K1889">
        <f>Data!E1902</f>
        <v>0</v>
      </c>
      <c r="L1889">
        <f>Data!F1902</f>
        <v>0</v>
      </c>
      <c r="M1889">
        <f>Data!G1902</f>
        <v>0</v>
      </c>
      <c r="N1889">
        <f>Data!H1902</f>
        <v>0</v>
      </c>
      <c r="O1889">
        <f>Data!I1902</f>
        <v>0</v>
      </c>
      <c r="P1889" s="21">
        <f>Data!J1906</f>
        <v>0</v>
      </c>
      <c r="Q1889">
        <f>Data!K1906</f>
        <v>0</v>
      </c>
      <c r="R1889">
        <f>Data!L1906</f>
        <v>0</v>
      </c>
      <c r="S1889">
        <f>Data!M1906</f>
        <v>0</v>
      </c>
      <c r="T1889">
        <f>Data!N1906</f>
        <v>0</v>
      </c>
      <c r="U1889">
        <f>Data!O1906</f>
        <v>0</v>
      </c>
      <c r="V1889" s="33">
        <f>Data!P1904</f>
        <v>0</v>
      </c>
    </row>
    <row r="1890" spans="7:22" x14ac:dyDescent="0.25">
      <c r="G1890">
        <f>Data!A1903</f>
        <v>0</v>
      </c>
      <c r="H1890" s="21">
        <f>Data!B1903</f>
        <v>0</v>
      </c>
      <c r="I1890" s="21">
        <f>Data!C1903</f>
        <v>0</v>
      </c>
      <c r="J1890">
        <f>Data!D1903</f>
        <v>0</v>
      </c>
      <c r="K1890">
        <f>Data!E1903</f>
        <v>0</v>
      </c>
      <c r="L1890">
        <f>Data!F1903</f>
        <v>0</v>
      </c>
      <c r="M1890">
        <f>Data!G1903</f>
        <v>0</v>
      </c>
      <c r="N1890">
        <f>Data!H1903</f>
        <v>0</v>
      </c>
      <c r="O1890">
        <f>Data!I1903</f>
        <v>0</v>
      </c>
      <c r="P1890" s="21">
        <f>Data!J1907</f>
        <v>0</v>
      </c>
      <c r="Q1890">
        <f>Data!K1907</f>
        <v>0</v>
      </c>
      <c r="R1890">
        <f>Data!L1907</f>
        <v>0</v>
      </c>
      <c r="S1890">
        <f>Data!M1907</f>
        <v>0</v>
      </c>
      <c r="T1890">
        <f>Data!N1907</f>
        <v>0</v>
      </c>
      <c r="U1890">
        <f>Data!O1907</f>
        <v>0</v>
      </c>
      <c r="V1890" s="33">
        <f>Data!P1905</f>
        <v>0</v>
      </c>
    </row>
    <row r="1891" spans="7:22" x14ac:dyDescent="0.25">
      <c r="G1891">
        <f>Data!A1904</f>
        <v>0</v>
      </c>
      <c r="H1891" s="21">
        <f>Data!B1904</f>
        <v>0</v>
      </c>
      <c r="I1891" s="21">
        <f>Data!C1904</f>
        <v>0</v>
      </c>
      <c r="J1891">
        <f>Data!D1904</f>
        <v>0</v>
      </c>
      <c r="K1891">
        <f>Data!E1904</f>
        <v>0</v>
      </c>
      <c r="L1891">
        <f>Data!F1904</f>
        <v>0</v>
      </c>
      <c r="M1891">
        <f>Data!G1904</f>
        <v>0</v>
      </c>
      <c r="N1891">
        <f>Data!H1904</f>
        <v>0</v>
      </c>
      <c r="O1891">
        <f>Data!I1904</f>
        <v>0</v>
      </c>
      <c r="P1891" s="21">
        <f>Data!J1908</f>
        <v>0</v>
      </c>
      <c r="Q1891">
        <f>Data!K1908</f>
        <v>0</v>
      </c>
      <c r="R1891">
        <f>Data!L1908</f>
        <v>0</v>
      </c>
      <c r="S1891">
        <f>Data!M1908</f>
        <v>0</v>
      </c>
      <c r="T1891">
        <f>Data!N1908</f>
        <v>0</v>
      </c>
      <c r="U1891">
        <f>Data!O1908</f>
        <v>0</v>
      </c>
      <c r="V1891" s="33">
        <f>Data!P1906</f>
        <v>0</v>
      </c>
    </row>
    <row r="1892" spans="7:22" x14ac:dyDescent="0.25">
      <c r="G1892">
        <f>Data!A1905</f>
        <v>0</v>
      </c>
      <c r="H1892" s="21">
        <f>Data!B1905</f>
        <v>0</v>
      </c>
      <c r="I1892" s="21">
        <f>Data!C1905</f>
        <v>0</v>
      </c>
      <c r="J1892">
        <f>Data!D1905</f>
        <v>0</v>
      </c>
      <c r="K1892">
        <f>Data!E1905</f>
        <v>0</v>
      </c>
      <c r="L1892">
        <f>Data!F1905</f>
        <v>0</v>
      </c>
      <c r="M1892">
        <f>Data!G1905</f>
        <v>0</v>
      </c>
      <c r="N1892">
        <f>Data!H1905</f>
        <v>0</v>
      </c>
      <c r="O1892">
        <f>Data!I1905</f>
        <v>0</v>
      </c>
      <c r="P1892" s="21">
        <f>Data!J1909</f>
        <v>0</v>
      </c>
      <c r="Q1892">
        <f>Data!K1909</f>
        <v>0</v>
      </c>
      <c r="R1892">
        <f>Data!L1909</f>
        <v>0</v>
      </c>
      <c r="S1892">
        <f>Data!M1909</f>
        <v>0</v>
      </c>
      <c r="T1892">
        <f>Data!N1909</f>
        <v>0</v>
      </c>
      <c r="U1892">
        <f>Data!O1909</f>
        <v>0</v>
      </c>
      <c r="V1892" s="33">
        <f>Data!P1907</f>
        <v>0</v>
      </c>
    </row>
    <row r="1893" spans="7:22" x14ac:dyDescent="0.25">
      <c r="G1893">
        <f>Data!A1906</f>
        <v>0</v>
      </c>
      <c r="H1893" s="21">
        <f>Data!B1906</f>
        <v>0</v>
      </c>
      <c r="I1893" s="21">
        <f>Data!C1906</f>
        <v>0</v>
      </c>
      <c r="J1893">
        <f>Data!D1906</f>
        <v>0</v>
      </c>
      <c r="K1893">
        <f>Data!E1906</f>
        <v>0</v>
      </c>
      <c r="L1893">
        <f>Data!F1906</f>
        <v>0</v>
      </c>
      <c r="M1893">
        <f>Data!G1906</f>
        <v>0</v>
      </c>
      <c r="N1893">
        <f>Data!H1906</f>
        <v>0</v>
      </c>
      <c r="O1893">
        <f>Data!I1906</f>
        <v>0</v>
      </c>
      <c r="P1893" s="21">
        <f>Data!J1910</f>
        <v>0</v>
      </c>
      <c r="Q1893">
        <f>Data!K1910</f>
        <v>0</v>
      </c>
      <c r="R1893">
        <f>Data!L1910</f>
        <v>0</v>
      </c>
      <c r="S1893">
        <f>Data!M1910</f>
        <v>0</v>
      </c>
      <c r="T1893">
        <f>Data!N1910</f>
        <v>0</v>
      </c>
      <c r="U1893">
        <f>Data!O1910</f>
        <v>0</v>
      </c>
      <c r="V1893" s="33">
        <f>Data!P1908</f>
        <v>0</v>
      </c>
    </row>
    <row r="1894" spans="7:22" x14ac:dyDescent="0.25">
      <c r="G1894">
        <f>Data!A1907</f>
        <v>0</v>
      </c>
      <c r="H1894" s="21">
        <f>Data!B1907</f>
        <v>0</v>
      </c>
      <c r="I1894" s="21">
        <f>Data!C1907</f>
        <v>0</v>
      </c>
      <c r="J1894">
        <f>Data!D1907</f>
        <v>0</v>
      </c>
      <c r="K1894">
        <f>Data!E1907</f>
        <v>0</v>
      </c>
      <c r="L1894">
        <f>Data!F1907</f>
        <v>0</v>
      </c>
      <c r="M1894">
        <f>Data!G1907</f>
        <v>0</v>
      </c>
      <c r="N1894">
        <f>Data!H1907</f>
        <v>0</v>
      </c>
      <c r="O1894">
        <f>Data!I1907</f>
        <v>0</v>
      </c>
      <c r="P1894" s="21">
        <f>Data!J1911</f>
        <v>0</v>
      </c>
      <c r="Q1894">
        <f>Data!K1911</f>
        <v>0</v>
      </c>
      <c r="R1894">
        <f>Data!L1911</f>
        <v>0</v>
      </c>
      <c r="S1894">
        <f>Data!M1911</f>
        <v>0</v>
      </c>
      <c r="T1894">
        <f>Data!N1911</f>
        <v>0</v>
      </c>
      <c r="U1894">
        <f>Data!O1911</f>
        <v>0</v>
      </c>
      <c r="V1894" s="33">
        <f>Data!P1909</f>
        <v>0</v>
      </c>
    </row>
    <row r="1895" spans="7:22" x14ac:dyDescent="0.25">
      <c r="G1895">
        <f>Data!A1908</f>
        <v>0</v>
      </c>
      <c r="H1895" s="21">
        <f>Data!B1908</f>
        <v>0</v>
      </c>
      <c r="I1895" s="21">
        <f>Data!C1908</f>
        <v>0</v>
      </c>
      <c r="J1895">
        <f>Data!D1908</f>
        <v>0</v>
      </c>
      <c r="K1895">
        <f>Data!E1908</f>
        <v>0</v>
      </c>
      <c r="L1895">
        <f>Data!F1908</f>
        <v>0</v>
      </c>
      <c r="M1895">
        <f>Data!G1908</f>
        <v>0</v>
      </c>
      <c r="N1895">
        <f>Data!H1908</f>
        <v>0</v>
      </c>
      <c r="O1895">
        <f>Data!I1908</f>
        <v>0</v>
      </c>
      <c r="P1895" s="21">
        <f>Data!J1912</f>
        <v>0</v>
      </c>
      <c r="Q1895">
        <f>Data!K1912</f>
        <v>0</v>
      </c>
      <c r="R1895">
        <f>Data!L1912</f>
        <v>0</v>
      </c>
      <c r="S1895">
        <f>Data!M1912</f>
        <v>0</v>
      </c>
      <c r="T1895">
        <f>Data!N1912</f>
        <v>0</v>
      </c>
      <c r="U1895">
        <f>Data!O1912</f>
        <v>0</v>
      </c>
      <c r="V1895" s="33">
        <f>Data!P1910</f>
        <v>0</v>
      </c>
    </row>
    <row r="1896" spans="7:22" x14ac:dyDescent="0.25">
      <c r="G1896">
        <f>Data!A1909</f>
        <v>0</v>
      </c>
      <c r="H1896" s="21">
        <f>Data!B1909</f>
        <v>0</v>
      </c>
      <c r="I1896" s="21">
        <f>Data!C1909</f>
        <v>0</v>
      </c>
      <c r="J1896">
        <f>Data!D1909</f>
        <v>0</v>
      </c>
      <c r="K1896">
        <f>Data!E1909</f>
        <v>0</v>
      </c>
      <c r="L1896">
        <f>Data!F1909</f>
        <v>0</v>
      </c>
      <c r="M1896">
        <f>Data!G1909</f>
        <v>0</v>
      </c>
      <c r="N1896">
        <f>Data!H1909</f>
        <v>0</v>
      </c>
      <c r="O1896">
        <f>Data!I1909</f>
        <v>0</v>
      </c>
      <c r="P1896" s="21">
        <f>Data!J1913</f>
        <v>0</v>
      </c>
      <c r="Q1896">
        <f>Data!K1913</f>
        <v>0</v>
      </c>
      <c r="R1896">
        <f>Data!L1913</f>
        <v>0</v>
      </c>
      <c r="S1896">
        <f>Data!M1913</f>
        <v>0</v>
      </c>
      <c r="T1896">
        <f>Data!N1913</f>
        <v>0</v>
      </c>
      <c r="U1896">
        <f>Data!O1913</f>
        <v>0</v>
      </c>
      <c r="V1896" s="33">
        <f>Data!P1911</f>
        <v>0</v>
      </c>
    </row>
    <row r="1897" spans="7:22" x14ac:dyDescent="0.25">
      <c r="G1897">
        <f>Data!A1910</f>
        <v>0</v>
      </c>
      <c r="H1897" s="21">
        <f>Data!B1910</f>
        <v>0</v>
      </c>
      <c r="I1897" s="21">
        <f>Data!C1910</f>
        <v>0</v>
      </c>
      <c r="J1897">
        <f>Data!D1910</f>
        <v>0</v>
      </c>
      <c r="K1897">
        <f>Data!E1910</f>
        <v>0</v>
      </c>
      <c r="L1897">
        <f>Data!F1910</f>
        <v>0</v>
      </c>
      <c r="M1897">
        <f>Data!G1910</f>
        <v>0</v>
      </c>
      <c r="N1897">
        <f>Data!H1910</f>
        <v>0</v>
      </c>
      <c r="O1897">
        <f>Data!I1910</f>
        <v>0</v>
      </c>
      <c r="P1897" s="21">
        <f>Data!J1914</f>
        <v>0</v>
      </c>
      <c r="Q1897">
        <f>Data!K1914</f>
        <v>0</v>
      </c>
      <c r="R1897">
        <f>Data!L1914</f>
        <v>0</v>
      </c>
      <c r="S1897">
        <f>Data!M1914</f>
        <v>0</v>
      </c>
      <c r="T1897">
        <f>Data!N1914</f>
        <v>0</v>
      </c>
      <c r="U1897">
        <f>Data!O1914</f>
        <v>0</v>
      </c>
      <c r="V1897" s="33">
        <f>Data!P1912</f>
        <v>0</v>
      </c>
    </row>
    <row r="1898" spans="7:22" x14ac:dyDescent="0.25">
      <c r="G1898">
        <f>Data!A1911</f>
        <v>0</v>
      </c>
      <c r="H1898" s="21">
        <f>Data!B1911</f>
        <v>0</v>
      </c>
      <c r="I1898" s="21">
        <f>Data!C1911</f>
        <v>0</v>
      </c>
      <c r="J1898">
        <f>Data!D1911</f>
        <v>0</v>
      </c>
      <c r="K1898">
        <f>Data!E1911</f>
        <v>0</v>
      </c>
      <c r="L1898">
        <f>Data!F1911</f>
        <v>0</v>
      </c>
      <c r="M1898">
        <f>Data!G1911</f>
        <v>0</v>
      </c>
      <c r="N1898">
        <f>Data!H1911</f>
        <v>0</v>
      </c>
      <c r="O1898">
        <f>Data!I1911</f>
        <v>0</v>
      </c>
      <c r="P1898" s="21">
        <f>Data!J1915</f>
        <v>0</v>
      </c>
      <c r="Q1898">
        <f>Data!K1915</f>
        <v>0</v>
      </c>
      <c r="R1898">
        <f>Data!L1915</f>
        <v>0</v>
      </c>
      <c r="S1898">
        <f>Data!M1915</f>
        <v>0</v>
      </c>
      <c r="T1898">
        <f>Data!N1915</f>
        <v>0</v>
      </c>
      <c r="U1898">
        <f>Data!O1915</f>
        <v>0</v>
      </c>
      <c r="V1898" s="33">
        <f>Data!P1913</f>
        <v>0</v>
      </c>
    </row>
    <row r="1899" spans="7:22" x14ac:dyDescent="0.25">
      <c r="G1899">
        <f>Data!A1912</f>
        <v>0</v>
      </c>
      <c r="H1899" s="21">
        <f>Data!B1912</f>
        <v>0</v>
      </c>
      <c r="I1899" s="21">
        <f>Data!C1912</f>
        <v>0</v>
      </c>
      <c r="J1899">
        <f>Data!D1912</f>
        <v>0</v>
      </c>
      <c r="K1899">
        <f>Data!E1912</f>
        <v>0</v>
      </c>
      <c r="L1899">
        <f>Data!F1912</f>
        <v>0</v>
      </c>
      <c r="M1899">
        <f>Data!G1912</f>
        <v>0</v>
      </c>
      <c r="N1899">
        <f>Data!H1912</f>
        <v>0</v>
      </c>
      <c r="O1899">
        <f>Data!I1912</f>
        <v>0</v>
      </c>
      <c r="P1899" s="21">
        <f>Data!J1916</f>
        <v>0</v>
      </c>
      <c r="Q1899">
        <f>Data!K1916</f>
        <v>0</v>
      </c>
      <c r="R1899">
        <f>Data!L1916</f>
        <v>0</v>
      </c>
      <c r="S1899">
        <f>Data!M1916</f>
        <v>0</v>
      </c>
      <c r="T1899">
        <f>Data!N1916</f>
        <v>0</v>
      </c>
      <c r="U1899">
        <f>Data!O1916</f>
        <v>0</v>
      </c>
      <c r="V1899" s="33">
        <f>Data!P1914</f>
        <v>0</v>
      </c>
    </row>
    <row r="1900" spans="7:22" x14ac:dyDescent="0.25">
      <c r="G1900">
        <f>Data!A1913</f>
        <v>0</v>
      </c>
      <c r="H1900" s="21">
        <f>Data!B1913</f>
        <v>0</v>
      </c>
      <c r="I1900" s="21">
        <f>Data!C1913</f>
        <v>0</v>
      </c>
      <c r="J1900">
        <f>Data!D1913</f>
        <v>0</v>
      </c>
      <c r="K1900">
        <f>Data!E1913</f>
        <v>0</v>
      </c>
      <c r="L1900">
        <f>Data!F1913</f>
        <v>0</v>
      </c>
      <c r="M1900">
        <f>Data!G1913</f>
        <v>0</v>
      </c>
      <c r="N1900">
        <f>Data!H1913</f>
        <v>0</v>
      </c>
      <c r="O1900">
        <f>Data!I1913</f>
        <v>0</v>
      </c>
      <c r="P1900" s="21">
        <f>Data!J1917</f>
        <v>0</v>
      </c>
      <c r="Q1900">
        <f>Data!K1917</f>
        <v>0</v>
      </c>
      <c r="R1900">
        <f>Data!L1917</f>
        <v>0</v>
      </c>
      <c r="S1900">
        <f>Data!M1917</f>
        <v>0</v>
      </c>
      <c r="T1900">
        <f>Data!N1917</f>
        <v>0</v>
      </c>
      <c r="U1900">
        <f>Data!O1917</f>
        <v>0</v>
      </c>
      <c r="V1900" s="33">
        <f>Data!P1915</f>
        <v>0</v>
      </c>
    </row>
    <row r="1901" spans="7:22" x14ac:dyDescent="0.25">
      <c r="G1901">
        <f>Data!A1914</f>
        <v>0</v>
      </c>
      <c r="H1901" s="21">
        <f>Data!B1914</f>
        <v>0</v>
      </c>
      <c r="I1901" s="21">
        <f>Data!C1914</f>
        <v>0</v>
      </c>
      <c r="J1901">
        <f>Data!D1914</f>
        <v>0</v>
      </c>
      <c r="K1901">
        <f>Data!E1914</f>
        <v>0</v>
      </c>
      <c r="L1901">
        <f>Data!F1914</f>
        <v>0</v>
      </c>
      <c r="M1901">
        <f>Data!G1914</f>
        <v>0</v>
      </c>
      <c r="N1901">
        <f>Data!H1914</f>
        <v>0</v>
      </c>
      <c r="O1901">
        <f>Data!I1914</f>
        <v>0</v>
      </c>
      <c r="P1901" s="21">
        <f>Data!J1918</f>
        <v>0</v>
      </c>
      <c r="Q1901">
        <f>Data!K1918</f>
        <v>0</v>
      </c>
      <c r="R1901">
        <f>Data!L1918</f>
        <v>0</v>
      </c>
      <c r="S1901">
        <f>Data!M1918</f>
        <v>0</v>
      </c>
      <c r="T1901">
        <f>Data!N1918</f>
        <v>0</v>
      </c>
      <c r="U1901">
        <f>Data!O1918</f>
        <v>0</v>
      </c>
      <c r="V1901" s="33">
        <f>Data!P1916</f>
        <v>0</v>
      </c>
    </row>
    <row r="1902" spans="7:22" x14ac:dyDescent="0.25">
      <c r="G1902">
        <f>Data!A1915</f>
        <v>0</v>
      </c>
      <c r="H1902" s="21">
        <f>Data!B1915</f>
        <v>0</v>
      </c>
      <c r="I1902" s="21">
        <f>Data!C1915</f>
        <v>0</v>
      </c>
      <c r="J1902">
        <f>Data!D1915</f>
        <v>0</v>
      </c>
      <c r="K1902">
        <f>Data!E1915</f>
        <v>0</v>
      </c>
      <c r="L1902">
        <f>Data!F1915</f>
        <v>0</v>
      </c>
      <c r="M1902">
        <f>Data!G1915</f>
        <v>0</v>
      </c>
      <c r="N1902">
        <f>Data!H1915</f>
        <v>0</v>
      </c>
      <c r="O1902">
        <f>Data!I1915</f>
        <v>0</v>
      </c>
      <c r="P1902" s="21">
        <f>Data!J1919</f>
        <v>0</v>
      </c>
      <c r="Q1902">
        <f>Data!K1919</f>
        <v>0</v>
      </c>
      <c r="R1902">
        <f>Data!L1919</f>
        <v>0</v>
      </c>
      <c r="S1902">
        <f>Data!M1919</f>
        <v>0</v>
      </c>
      <c r="T1902">
        <f>Data!N1919</f>
        <v>0</v>
      </c>
      <c r="U1902">
        <f>Data!O1919</f>
        <v>0</v>
      </c>
      <c r="V1902" s="33">
        <f>Data!P1917</f>
        <v>0</v>
      </c>
    </row>
    <row r="1903" spans="7:22" x14ac:dyDescent="0.25">
      <c r="G1903">
        <f>Data!A1916</f>
        <v>0</v>
      </c>
      <c r="H1903" s="21">
        <f>Data!B1916</f>
        <v>0</v>
      </c>
      <c r="I1903" s="21">
        <f>Data!C1916</f>
        <v>0</v>
      </c>
      <c r="J1903">
        <f>Data!D1916</f>
        <v>0</v>
      </c>
      <c r="K1903">
        <f>Data!E1916</f>
        <v>0</v>
      </c>
      <c r="L1903">
        <f>Data!F1916</f>
        <v>0</v>
      </c>
      <c r="M1903">
        <f>Data!G1916</f>
        <v>0</v>
      </c>
      <c r="N1903">
        <f>Data!H1916</f>
        <v>0</v>
      </c>
      <c r="O1903">
        <f>Data!I1916</f>
        <v>0</v>
      </c>
      <c r="P1903" s="21">
        <f>Data!J1920</f>
        <v>0</v>
      </c>
      <c r="Q1903">
        <f>Data!K1920</f>
        <v>0</v>
      </c>
      <c r="R1903">
        <f>Data!L1920</f>
        <v>0</v>
      </c>
      <c r="S1903">
        <f>Data!M1920</f>
        <v>0</v>
      </c>
      <c r="T1903">
        <f>Data!N1920</f>
        <v>0</v>
      </c>
      <c r="U1903">
        <f>Data!O1920</f>
        <v>0</v>
      </c>
      <c r="V1903" s="33">
        <f>Data!P1918</f>
        <v>0</v>
      </c>
    </row>
    <row r="1904" spans="7:22" x14ac:dyDescent="0.25">
      <c r="G1904">
        <f>Data!A1917</f>
        <v>0</v>
      </c>
      <c r="H1904" s="21">
        <f>Data!B1917</f>
        <v>0</v>
      </c>
      <c r="I1904" s="21">
        <f>Data!C1917</f>
        <v>0</v>
      </c>
      <c r="J1904">
        <f>Data!D1917</f>
        <v>0</v>
      </c>
      <c r="K1904">
        <f>Data!E1917</f>
        <v>0</v>
      </c>
      <c r="L1904">
        <f>Data!F1917</f>
        <v>0</v>
      </c>
      <c r="M1904">
        <f>Data!G1917</f>
        <v>0</v>
      </c>
      <c r="N1904">
        <f>Data!H1917</f>
        <v>0</v>
      </c>
      <c r="O1904">
        <f>Data!I1917</f>
        <v>0</v>
      </c>
      <c r="P1904" s="21">
        <f>Data!J1921</f>
        <v>0</v>
      </c>
      <c r="Q1904">
        <f>Data!K1921</f>
        <v>0</v>
      </c>
      <c r="R1904">
        <f>Data!L1921</f>
        <v>0</v>
      </c>
      <c r="S1904">
        <f>Data!M1921</f>
        <v>0</v>
      </c>
      <c r="T1904">
        <f>Data!N1921</f>
        <v>0</v>
      </c>
      <c r="U1904">
        <f>Data!O1921</f>
        <v>0</v>
      </c>
      <c r="V1904" s="33">
        <f>Data!P1919</f>
        <v>0</v>
      </c>
    </row>
    <row r="1905" spans="7:22" x14ac:dyDescent="0.25">
      <c r="G1905">
        <f>Data!A1918</f>
        <v>0</v>
      </c>
      <c r="H1905" s="21">
        <f>Data!B1918</f>
        <v>0</v>
      </c>
      <c r="I1905" s="21">
        <f>Data!C1918</f>
        <v>0</v>
      </c>
      <c r="J1905">
        <f>Data!D1918</f>
        <v>0</v>
      </c>
      <c r="K1905">
        <f>Data!E1918</f>
        <v>0</v>
      </c>
      <c r="L1905">
        <f>Data!F1918</f>
        <v>0</v>
      </c>
      <c r="M1905">
        <f>Data!G1918</f>
        <v>0</v>
      </c>
      <c r="N1905">
        <f>Data!H1918</f>
        <v>0</v>
      </c>
      <c r="O1905">
        <f>Data!I1918</f>
        <v>0</v>
      </c>
      <c r="P1905" s="21">
        <f>Data!J1922</f>
        <v>0</v>
      </c>
      <c r="Q1905">
        <f>Data!K1922</f>
        <v>0</v>
      </c>
      <c r="R1905">
        <f>Data!L1922</f>
        <v>0</v>
      </c>
      <c r="S1905">
        <f>Data!M1922</f>
        <v>0</v>
      </c>
      <c r="T1905">
        <f>Data!N1922</f>
        <v>0</v>
      </c>
      <c r="U1905">
        <f>Data!O1922</f>
        <v>0</v>
      </c>
      <c r="V1905" s="33">
        <f>Data!P1920</f>
        <v>0</v>
      </c>
    </row>
    <row r="1906" spans="7:22" x14ac:dyDescent="0.25">
      <c r="G1906">
        <f>Data!A1919</f>
        <v>0</v>
      </c>
      <c r="H1906" s="21">
        <f>Data!B1919</f>
        <v>0</v>
      </c>
      <c r="I1906" s="21">
        <f>Data!C1919</f>
        <v>0</v>
      </c>
      <c r="J1906">
        <f>Data!D1919</f>
        <v>0</v>
      </c>
      <c r="K1906">
        <f>Data!E1919</f>
        <v>0</v>
      </c>
      <c r="L1906">
        <f>Data!F1919</f>
        <v>0</v>
      </c>
      <c r="M1906">
        <f>Data!G1919</f>
        <v>0</v>
      </c>
      <c r="N1906">
        <f>Data!H1919</f>
        <v>0</v>
      </c>
      <c r="O1906">
        <f>Data!I1919</f>
        <v>0</v>
      </c>
      <c r="P1906" s="21">
        <f>Data!J1923</f>
        <v>0</v>
      </c>
      <c r="Q1906">
        <f>Data!K1923</f>
        <v>0</v>
      </c>
      <c r="R1906">
        <f>Data!L1923</f>
        <v>0</v>
      </c>
      <c r="S1906">
        <f>Data!M1923</f>
        <v>0</v>
      </c>
      <c r="T1906">
        <f>Data!N1923</f>
        <v>0</v>
      </c>
      <c r="U1906">
        <f>Data!O1923</f>
        <v>0</v>
      </c>
      <c r="V1906" s="33">
        <f>Data!P1921</f>
        <v>0</v>
      </c>
    </row>
    <row r="1907" spans="7:22" x14ac:dyDescent="0.25">
      <c r="G1907">
        <f>Data!A1920</f>
        <v>0</v>
      </c>
      <c r="H1907" s="21">
        <f>Data!B1920</f>
        <v>0</v>
      </c>
      <c r="I1907" s="21">
        <f>Data!C1920</f>
        <v>0</v>
      </c>
      <c r="J1907">
        <f>Data!D1920</f>
        <v>0</v>
      </c>
      <c r="K1907">
        <f>Data!E1920</f>
        <v>0</v>
      </c>
      <c r="L1907">
        <f>Data!F1920</f>
        <v>0</v>
      </c>
      <c r="M1907">
        <f>Data!G1920</f>
        <v>0</v>
      </c>
      <c r="N1907">
        <f>Data!H1920</f>
        <v>0</v>
      </c>
      <c r="O1907">
        <f>Data!I1920</f>
        <v>0</v>
      </c>
      <c r="P1907" s="21">
        <f>Data!J1924</f>
        <v>0</v>
      </c>
      <c r="Q1907">
        <f>Data!K1924</f>
        <v>0</v>
      </c>
      <c r="R1907">
        <f>Data!L1924</f>
        <v>0</v>
      </c>
      <c r="S1907">
        <f>Data!M1924</f>
        <v>0</v>
      </c>
      <c r="T1907">
        <f>Data!N1924</f>
        <v>0</v>
      </c>
      <c r="U1907">
        <f>Data!O1924</f>
        <v>0</v>
      </c>
      <c r="V1907" s="33">
        <f>Data!P1922</f>
        <v>0</v>
      </c>
    </row>
    <row r="1908" spans="7:22" x14ac:dyDescent="0.25">
      <c r="G1908">
        <f>Data!A1921</f>
        <v>0</v>
      </c>
      <c r="H1908" s="21">
        <f>Data!B1921</f>
        <v>0</v>
      </c>
      <c r="I1908" s="21">
        <f>Data!C1921</f>
        <v>0</v>
      </c>
      <c r="J1908">
        <f>Data!D1921</f>
        <v>0</v>
      </c>
      <c r="K1908">
        <f>Data!E1921</f>
        <v>0</v>
      </c>
      <c r="L1908">
        <f>Data!F1921</f>
        <v>0</v>
      </c>
      <c r="M1908">
        <f>Data!G1921</f>
        <v>0</v>
      </c>
      <c r="N1908">
        <f>Data!H1921</f>
        <v>0</v>
      </c>
      <c r="O1908">
        <f>Data!I1921</f>
        <v>0</v>
      </c>
      <c r="P1908" s="21">
        <f>Data!J1925</f>
        <v>0</v>
      </c>
      <c r="Q1908">
        <f>Data!K1925</f>
        <v>0</v>
      </c>
      <c r="R1908">
        <f>Data!L1925</f>
        <v>0</v>
      </c>
      <c r="S1908">
        <f>Data!M1925</f>
        <v>0</v>
      </c>
      <c r="T1908">
        <f>Data!N1925</f>
        <v>0</v>
      </c>
      <c r="U1908">
        <f>Data!O1925</f>
        <v>0</v>
      </c>
      <c r="V1908" s="33">
        <f>Data!P1923</f>
        <v>0</v>
      </c>
    </row>
    <row r="1909" spans="7:22" x14ac:dyDescent="0.25">
      <c r="G1909">
        <f>Data!A1922</f>
        <v>0</v>
      </c>
      <c r="H1909" s="21">
        <f>Data!B1922</f>
        <v>0</v>
      </c>
      <c r="I1909" s="21">
        <f>Data!C1922</f>
        <v>0</v>
      </c>
      <c r="J1909">
        <f>Data!D1922</f>
        <v>0</v>
      </c>
      <c r="K1909">
        <f>Data!E1922</f>
        <v>0</v>
      </c>
      <c r="L1909">
        <f>Data!F1922</f>
        <v>0</v>
      </c>
      <c r="M1909">
        <f>Data!G1922</f>
        <v>0</v>
      </c>
      <c r="N1909">
        <f>Data!H1922</f>
        <v>0</v>
      </c>
      <c r="O1909">
        <f>Data!I1922</f>
        <v>0</v>
      </c>
      <c r="P1909" s="21">
        <f>Data!J1926</f>
        <v>0</v>
      </c>
      <c r="Q1909">
        <f>Data!K1926</f>
        <v>0</v>
      </c>
      <c r="R1909">
        <f>Data!L1926</f>
        <v>0</v>
      </c>
      <c r="S1909">
        <f>Data!M1926</f>
        <v>0</v>
      </c>
      <c r="T1909">
        <f>Data!N1926</f>
        <v>0</v>
      </c>
      <c r="U1909">
        <f>Data!O1926</f>
        <v>0</v>
      </c>
      <c r="V1909" s="33">
        <f>Data!P1924</f>
        <v>0</v>
      </c>
    </row>
    <row r="1910" spans="7:22" x14ac:dyDescent="0.25">
      <c r="G1910">
        <f>Data!A1923</f>
        <v>0</v>
      </c>
      <c r="H1910" s="21">
        <f>Data!B1923</f>
        <v>0</v>
      </c>
      <c r="I1910" s="21">
        <f>Data!C1923</f>
        <v>0</v>
      </c>
      <c r="J1910">
        <f>Data!D1923</f>
        <v>0</v>
      </c>
      <c r="K1910">
        <f>Data!E1923</f>
        <v>0</v>
      </c>
      <c r="L1910">
        <f>Data!F1923</f>
        <v>0</v>
      </c>
      <c r="M1910">
        <f>Data!G1923</f>
        <v>0</v>
      </c>
      <c r="N1910">
        <f>Data!H1923</f>
        <v>0</v>
      </c>
      <c r="O1910">
        <f>Data!I1923</f>
        <v>0</v>
      </c>
      <c r="P1910" s="21">
        <f>Data!J1927</f>
        <v>0</v>
      </c>
      <c r="Q1910">
        <f>Data!K1927</f>
        <v>0</v>
      </c>
      <c r="R1910">
        <f>Data!L1927</f>
        <v>0</v>
      </c>
      <c r="S1910">
        <f>Data!M1927</f>
        <v>0</v>
      </c>
      <c r="T1910">
        <f>Data!N1927</f>
        <v>0</v>
      </c>
      <c r="U1910">
        <f>Data!O1927</f>
        <v>0</v>
      </c>
      <c r="V1910" s="33">
        <f>Data!P1925</f>
        <v>0</v>
      </c>
    </row>
    <row r="1911" spans="7:22" x14ac:dyDescent="0.25">
      <c r="G1911">
        <f>Data!A1924</f>
        <v>0</v>
      </c>
      <c r="H1911" s="21">
        <f>Data!B1924</f>
        <v>0</v>
      </c>
      <c r="I1911" s="21">
        <f>Data!C1924</f>
        <v>0</v>
      </c>
      <c r="J1911">
        <f>Data!D1924</f>
        <v>0</v>
      </c>
      <c r="K1911">
        <f>Data!E1924</f>
        <v>0</v>
      </c>
      <c r="L1911">
        <f>Data!F1924</f>
        <v>0</v>
      </c>
      <c r="M1911">
        <f>Data!G1924</f>
        <v>0</v>
      </c>
      <c r="N1911">
        <f>Data!H1924</f>
        <v>0</v>
      </c>
      <c r="O1911">
        <f>Data!I1924</f>
        <v>0</v>
      </c>
      <c r="P1911" s="21">
        <f>Data!J1928</f>
        <v>0</v>
      </c>
      <c r="Q1911">
        <f>Data!K1928</f>
        <v>0</v>
      </c>
      <c r="R1911">
        <f>Data!L1928</f>
        <v>0</v>
      </c>
      <c r="S1911">
        <f>Data!M1928</f>
        <v>0</v>
      </c>
      <c r="T1911">
        <f>Data!N1928</f>
        <v>0</v>
      </c>
      <c r="U1911">
        <f>Data!O1928</f>
        <v>0</v>
      </c>
      <c r="V1911" s="33">
        <f>Data!P1926</f>
        <v>0</v>
      </c>
    </row>
    <row r="1912" spans="7:22" x14ac:dyDescent="0.25">
      <c r="G1912">
        <f>Data!A1925</f>
        <v>0</v>
      </c>
      <c r="H1912" s="21">
        <f>Data!B1925</f>
        <v>0</v>
      </c>
      <c r="I1912" s="21">
        <f>Data!C1925</f>
        <v>0</v>
      </c>
      <c r="J1912">
        <f>Data!D1925</f>
        <v>0</v>
      </c>
      <c r="K1912">
        <f>Data!E1925</f>
        <v>0</v>
      </c>
      <c r="L1912">
        <f>Data!F1925</f>
        <v>0</v>
      </c>
      <c r="M1912">
        <f>Data!G1925</f>
        <v>0</v>
      </c>
      <c r="N1912">
        <f>Data!H1925</f>
        <v>0</v>
      </c>
      <c r="O1912">
        <f>Data!I1925</f>
        <v>0</v>
      </c>
      <c r="P1912" s="21">
        <f>Data!J1929</f>
        <v>0</v>
      </c>
      <c r="Q1912">
        <f>Data!K1929</f>
        <v>0</v>
      </c>
      <c r="R1912">
        <f>Data!L1929</f>
        <v>0</v>
      </c>
      <c r="S1912">
        <f>Data!M1929</f>
        <v>0</v>
      </c>
      <c r="T1912">
        <f>Data!N1929</f>
        <v>0</v>
      </c>
      <c r="U1912">
        <f>Data!O1929</f>
        <v>0</v>
      </c>
      <c r="V1912" s="33">
        <f>Data!P1927</f>
        <v>0</v>
      </c>
    </row>
    <row r="1913" spans="7:22" x14ac:dyDescent="0.25">
      <c r="G1913">
        <f>Data!A1926</f>
        <v>0</v>
      </c>
      <c r="H1913" s="21">
        <f>Data!B1926</f>
        <v>0</v>
      </c>
      <c r="I1913" s="21">
        <f>Data!C1926</f>
        <v>0</v>
      </c>
      <c r="J1913">
        <f>Data!D1926</f>
        <v>0</v>
      </c>
      <c r="K1913">
        <f>Data!E1926</f>
        <v>0</v>
      </c>
      <c r="L1913">
        <f>Data!F1926</f>
        <v>0</v>
      </c>
      <c r="M1913">
        <f>Data!G1926</f>
        <v>0</v>
      </c>
      <c r="N1913">
        <f>Data!H1926</f>
        <v>0</v>
      </c>
      <c r="O1913">
        <f>Data!I1926</f>
        <v>0</v>
      </c>
      <c r="P1913" s="21">
        <f>Data!J1930</f>
        <v>0</v>
      </c>
      <c r="Q1913">
        <f>Data!K1930</f>
        <v>0</v>
      </c>
      <c r="R1913">
        <f>Data!L1930</f>
        <v>0</v>
      </c>
      <c r="S1913">
        <f>Data!M1930</f>
        <v>0</v>
      </c>
      <c r="T1913">
        <f>Data!N1930</f>
        <v>0</v>
      </c>
      <c r="U1913">
        <f>Data!O1930</f>
        <v>0</v>
      </c>
      <c r="V1913" s="33">
        <f>Data!P1928</f>
        <v>0</v>
      </c>
    </row>
    <row r="1914" spans="7:22" x14ac:dyDescent="0.25">
      <c r="G1914">
        <f>Data!A1927</f>
        <v>0</v>
      </c>
      <c r="H1914" s="21">
        <f>Data!B1927</f>
        <v>0</v>
      </c>
      <c r="I1914" s="21">
        <f>Data!C1927</f>
        <v>0</v>
      </c>
      <c r="J1914">
        <f>Data!D1927</f>
        <v>0</v>
      </c>
      <c r="K1914">
        <f>Data!E1927</f>
        <v>0</v>
      </c>
      <c r="L1914">
        <f>Data!F1927</f>
        <v>0</v>
      </c>
      <c r="M1914">
        <f>Data!G1927</f>
        <v>0</v>
      </c>
      <c r="N1914">
        <f>Data!H1927</f>
        <v>0</v>
      </c>
      <c r="O1914">
        <f>Data!I1927</f>
        <v>0</v>
      </c>
      <c r="P1914" s="21">
        <f>Data!J1931</f>
        <v>0</v>
      </c>
      <c r="Q1914">
        <f>Data!K1931</f>
        <v>0</v>
      </c>
      <c r="R1914">
        <f>Data!L1931</f>
        <v>0</v>
      </c>
      <c r="S1914">
        <f>Data!M1931</f>
        <v>0</v>
      </c>
      <c r="T1914">
        <f>Data!N1931</f>
        <v>0</v>
      </c>
      <c r="U1914">
        <f>Data!O1931</f>
        <v>0</v>
      </c>
      <c r="V1914" s="33">
        <f>Data!P1929</f>
        <v>0</v>
      </c>
    </row>
    <row r="1915" spans="7:22" x14ac:dyDescent="0.25">
      <c r="G1915">
        <f>Data!A1928</f>
        <v>0</v>
      </c>
      <c r="H1915" s="21">
        <f>Data!B1928</f>
        <v>0</v>
      </c>
      <c r="I1915" s="21">
        <f>Data!C1928</f>
        <v>0</v>
      </c>
      <c r="J1915">
        <f>Data!D1928</f>
        <v>0</v>
      </c>
      <c r="K1915">
        <f>Data!E1928</f>
        <v>0</v>
      </c>
      <c r="L1915">
        <f>Data!F1928</f>
        <v>0</v>
      </c>
      <c r="M1915">
        <f>Data!G1928</f>
        <v>0</v>
      </c>
      <c r="N1915">
        <f>Data!H1928</f>
        <v>0</v>
      </c>
      <c r="O1915">
        <f>Data!I1928</f>
        <v>0</v>
      </c>
      <c r="P1915" s="21">
        <f>Data!J1932</f>
        <v>0</v>
      </c>
      <c r="Q1915">
        <f>Data!K1932</f>
        <v>0</v>
      </c>
      <c r="R1915">
        <f>Data!L1932</f>
        <v>0</v>
      </c>
      <c r="S1915">
        <f>Data!M1932</f>
        <v>0</v>
      </c>
      <c r="T1915">
        <f>Data!N1932</f>
        <v>0</v>
      </c>
      <c r="U1915">
        <f>Data!O1932</f>
        <v>0</v>
      </c>
      <c r="V1915" s="33">
        <f>Data!P1930</f>
        <v>0</v>
      </c>
    </row>
    <row r="1916" spans="7:22" x14ac:dyDescent="0.25">
      <c r="G1916">
        <f>Data!A1929</f>
        <v>0</v>
      </c>
      <c r="H1916" s="21">
        <f>Data!B1929</f>
        <v>0</v>
      </c>
      <c r="I1916" s="21">
        <f>Data!C1929</f>
        <v>0</v>
      </c>
      <c r="J1916">
        <f>Data!D1929</f>
        <v>0</v>
      </c>
      <c r="K1916">
        <f>Data!E1929</f>
        <v>0</v>
      </c>
      <c r="L1916">
        <f>Data!F1929</f>
        <v>0</v>
      </c>
      <c r="M1916">
        <f>Data!G1929</f>
        <v>0</v>
      </c>
      <c r="N1916">
        <f>Data!H1929</f>
        <v>0</v>
      </c>
      <c r="O1916">
        <f>Data!I1929</f>
        <v>0</v>
      </c>
      <c r="P1916" s="21">
        <f>Data!J1933</f>
        <v>0</v>
      </c>
      <c r="Q1916">
        <f>Data!K1933</f>
        <v>0</v>
      </c>
      <c r="R1916">
        <f>Data!L1933</f>
        <v>0</v>
      </c>
      <c r="S1916">
        <f>Data!M1933</f>
        <v>0</v>
      </c>
      <c r="T1916">
        <f>Data!N1933</f>
        <v>0</v>
      </c>
      <c r="U1916">
        <f>Data!O1933</f>
        <v>0</v>
      </c>
      <c r="V1916" s="33">
        <f>Data!P1931</f>
        <v>0</v>
      </c>
    </row>
    <row r="1917" spans="7:22" x14ac:dyDescent="0.25">
      <c r="G1917">
        <f>Data!A1930</f>
        <v>0</v>
      </c>
      <c r="H1917" s="21">
        <f>Data!B1930</f>
        <v>0</v>
      </c>
      <c r="I1917" s="21">
        <f>Data!C1930</f>
        <v>0</v>
      </c>
      <c r="J1917">
        <f>Data!D1930</f>
        <v>0</v>
      </c>
      <c r="K1917">
        <f>Data!E1930</f>
        <v>0</v>
      </c>
      <c r="L1917">
        <f>Data!F1930</f>
        <v>0</v>
      </c>
      <c r="M1917">
        <f>Data!G1930</f>
        <v>0</v>
      </c>
      <c r="N1917">
        <f>Data!H1930</f>
        <v>0</v>
      </c>
      <c r="O1917">
        <f>Data!I1930</f>
        <v>0</v>
      </c>
      <c r="P1917" s="21">
        <f>Data!J1934</f>
        <v>0</v>
      </c>
      <c r="Q1917">
        <f>Data!K1934</f>
        <v>0</v>
      </c>
      <c r="R1917">
        <f>Data!L1934</f>
        <v>0</v>
      </c>
      <c r="S1917">
        <f>Data!M1934</f>
        <v>0</v>
      </c>
      <c r="T1917">
        <f>Data!N1934</f>
        <v>0</v>
      </c>
      <c r="U1917">
        <f>Data!O1934</f>
        <v>0</v>
      </c>
      <c r="V1917" s="33">
        <f>Data!P1932</f>
        <v>0</v>
      </c>
    </row>
    <row r="1918" spans="7:22" x14ac:dyDescent="0.25">
      <c r="G1918">
        <f>Data!A1931</f>
        <v>0</v>
      </c>
      <c r="H1918" s="21">
        <f>Data!B1931</f>
        <v>0</v>
      </c>
      <c r="I1918" s="21">
        <f>Data!C1931</f>
        <v>0</v>
      </c>
      <c r="J1918">
        <f>Data!D1931</f>
        <v>0</v>
      </c>
      <c r="K1918">
        <f>Data!E1931</f>
        <v>0</v>
      </c>
      <c r="L1918">
        <f>Data!F1931</f>
        <v>0</v>
      </c>
      <c r="M1918">
        <f>Data!G1931</f>
        <v>0</v>
      </c>
      <c r="N1918">
        <f>Data!H1931</f>
        <v>0</v>
      </c>
      <c r="O1918">
        <f>Data!I1931</f>
        <v>0</v>
      </c>
      <c r="P1918" s="21">
        <f>Data!J1935</f>
        <v>0</v>
      </c>
      <c r="Q1918">
        <f>Data!K1935</f>
        <v>0</v>
      </c>
      <c r="R1918">
        <f>Data!L1935</f>
        <v>0</v>
      </c>
      <c r="S1918">
        <f>Data!M1935</f>
        <v>0</v>
      </c>
      <c r="T1918">
        <f>Data!N1935</f>
        <v>0</v>
      </c>
      <c r="U1918">
        <f>Data!O1935</f>
        <v>0</v>
      </c>
      <c r="V1918" s="33">
        <f>Data!P1933</f>
        <v>0</v>
      </c>
    </row>
    <row r="1919" spans="7:22" x14ac:dyDescent="0.25">
      <c r="G1919">
        <f>Data!A1932</f>
        <v>0</v>
      </c>
      <c r="H1919" s="21">
        <f>Data!B1932</f>
        <v>0</v>
      </c>
      <c r="I1919" s="21">
        <f>Data!C1932</f>
        <v>0</v>
      </c>
      <c r="J1919">
        <f>Data!D1932</f>
        <v>0</v>
      </c>
      <c r="K1919">
        <f>Data!E1932</f>
        <v>0</v>
      </c>
      <c r="L1919">
        <f>Data!F1932</f>
        <v>0</v>
      </c>
      <c r="M1919">
        <f>Data!G1932</f>
        <v>0</v>
      </c>
      <c r="N1919">
        <f>Data!H1932</f>
        <v>0</v>
      </c>
      <c r="O1919">
        <f>Data!I1932</f>
        <v>0</v>
      </c>
      <c r="P1919" s="21">
        <f>Data!J1936</f>
        <v>0</v>
      </c>
      <c r="Q1919">
        <f>Data!K1936</f>
        <v>0</v>
      </c>
      <c r="R1919">
        <f>Data!L1936</f>
        <v>0</v>
      </c>
      <c r="S1919">
        <f>Data!M1936</f>
        <v>0</v>
      </c>
      <c r="T1919">
        <f>Data!N1936</f>
        <v>0</v>
      </c>
      <c r="U1919">
        <f>Data!O1936</f>
        <v>0</v>
      </c>
      <c r="V1919" s="33">
        <f>Data!P1934</f>
        <v>0</v>
      </c>
    </row>
    <row r="1920" spans="7:22" x14ac:dyDescent="0.25">
      <c r="G1920">
        <f>Data!A1933</f>
        <v>0</v>
      </c>
      <c r="H1920" s="21">
        <f>Data!B1933</f>
        <v>0</v>
      </c>
      <c r="I1920" s="21">
        <f>Data!C1933</f>
        <v>0</v>
      </c>
      <c r="J1920">
        <f>Data!D1933</f>
        <v>0</v>
      </c>
      <c r="K1920">
        <f>Data!E1933</f>
        <v>0</v>
      </c>
      <c r="L1920">
        <f>Data!F1933</f>
        <v>0</v>
      </c>
      <c r="M1920">
        <f>Data!G1933</f>
        <v>0</v>
      </c>
      <c r="N1920">
        <f>Data!H1933</f>
        <v>0</v>
      </c>
      <c r="O1920">
        <f>Data!I1933</f>
        <v>0</v>
      </c>
      <c r="P1920" s="21">
        <f>Data!J1937</f>
        <v>0</v>
      </c>
      <c r="Q1920">
        <f>Data!K1937</f>
        <v>0</v>
      </c>
      <c r="R1920">
        <f>Data!L1937</f>
        <v>0</v>
      </c>
      <c r="S1920">
        <f>Data!M1937</f>
        <v>0</v>
      </c>
      <c r="T1920">
        <f>Data!N1937</f>
        <v>0</v>
      </c>
      <c r="U1920">
        <f>Data!O1937</f>
        <v>0</v>
      </c>
      <c r="V1920" s="33">
        <f>Data!P1935</f>
        <v>0</v>
      </c>
    </row>
    <row r="1921" spans="7:22" x14ac:dyDescent="0.25">
      <c r="G1921">
        <f>Data!A1934</f>
        <v>0</v>
      </c>
      <c r="H1921" s="21">
        <f>Data!B1934</f>
        <v>0</v>
      </c>
      <c r="I1921" s="21">
        <f>Data!C1934</f>
        <v>0</v>
      </c>
      <c r="J1921">
        <f>Data!D1934</f>
        <v>0</v>
      </c>
      <c r="K1921">
        <f>Data!E1934</f>
        <v>0</v>
      </c>
      <c r="L1921">
        <f>Data!F1934</f>
        <v>0</v>
      </c>
      <c r="M1921">
        <f>Data!G1934</f>
        <v>0</v>
      </c>
      <c r="N1921">
        <f>Data!H1934</f>
        <v>0</v>
      </c>
      <c r="O1921">
        <f>Data!I1934</f>
        <v>0</v>
      </c>
      <c r="P1921" s="21">
        <f>Data!J1938</f>
        <v>0</v>
      </c>
      <c r="Q1921">
        <f>Data!K1938</f>
        <v>0</v>
      </c>
      <c r="R1921">
        <f>Data!L1938</f>
        <v>0</v>
      </c>
      <c r="S1921">
        <f>Data!M1938</f>
        <v>0</v>
      </c>
      <c r="T1921">
        <f>Data!N1938</f>
        <v>0</v>
      </c>
      <c r="U1921">
        <f>Data!O1938</f>
        <v>0</v>
      </c>
      <c r="V1921" s="33">
        <f>Data!P1936</f>
        <v>0</v>
      </c>
    </row>
    <row r="1922" spans="7:22" x14ac:dyDescent="0.25">
      <c r="G1922">
        <f>Data!A1935</f>
        <v>0</v>
      </c>
      <c r="H1922" s="21">
        <f>Data!B1935</f>
        <v>0</v>
      </c>
      <c r="I1922" s="21">
        <f>Data!C1935</f>
        <v>0</v>
      </c>
      <c r="J1922">
        <f>Data!D1935</f>
        <v>0</v>
      </c>
      <c r="K1922">
        <f>Data!E1935</f>
        <v>0</v>
      </c>
      <c r="L1922">
        <f>Data!F1935</f>
        <v>0</v>
      </c>
      <c r="M1922">
        <f>Data!G1935</f>
        <v>0</v>
      </c>
      <c r="N1922">
        <f>Data!H1935</f>
        <v>0</v>
      </c>
      <c r="O1922">
        <f>Data!I1935</f>
        <v>0</v>
      </c>
      <c r="P1922" s="21">
        <f>Data!J1939</f>
        <v>0</v>
      </c>
      <c r="Q1922">
        <f>Data!K1939</f>
        <v>0</v>
      </c>
      <c r="R1922">
        <f>Data!L1939</f>
        <v>0</v>
      </c>
      <c r="S1922">
        <f>Data!M1939</f>
        <v>0</v>
      </c>
      <c r="T1922">
        <f>Data!N1939</f>
        <v>0</v>
      </c>
      <c r="U1922">
        <f>Data!O1939</f>
        <v>0</v>
      </c>
      <c r="V1922" s="33">
        <f>Data!P1937</f>
        <v>0</v>
      </c>
    </row>
    <row r="1923" spans="7:22" x14ac:dyDescent="0.25">
      <c r="G1923">
        <f>Data!A1936</f>
        <v>0</v>
      </c>
      <c r="H1923" s="21">
        <f>Data!B1936</f>
        <v>0</v>
      </c>
      <c r="I1923" s="21">
        <f>Data!C1936</f>
        <v>0</v>
      </c>
      <c r="J1923">
        <f>Data!D1936</f>
        <v>0</v>
      </c>
      <c r="K1923">
        <f>Data!E1936</f>
        <v>0</v>
      </c>
      <c r="L1923">
        <f>Data!F1936</f>
        <v>0</v>
      </c>
      <c r="M1923">
        <f>Data!G1936</f>
        <v>0</v>
      </c>
      <c r="N1923">
        <f>Data!H1936</f>
        <v>0</v>
      </c>
      <c r="O1923">
        <f>Data!I1936</f>
        <v>0</v>
      </c>
      <c r="P1923" s="21">
        <f>Data!J1940</f>
        <v>0</v>
      </c>
      <c r="Q1923">
        <f>Data!K1940</f>
        <v>0</v>
      </c>
      <c r="R1923">
        <f>Data!L1940</f>
        <v>0</v>
      </c>
      <c r="S1923">
        <f>Data!M1940</f>
        <v>0</v>
      </c>
      <c r="T1923">
        <f>Data!N1940</f>
        <v>0</v>
      </c>
      <c r="U1923">
        <f>Data!O1940</f>
        <v>0</v>
      </c>
      <c r="V1923" s="33">
        <f>Data!P1938</f>
        <v>0</v>
      </c>
    </row>
    <row r="1924" spans="7:22" x14ac:dyDescent="0.25">
      <c r="G1924">
        <f>Data!A1937</f>
        <v>0</v>
      </c>
      <c r="H1924" s="21">
        <f>Data!B1937</f>
        <v>0</v>
      </c>
      <c r="I1924" s="21">
        <f>Data!C1937</f>
        <v>0</v>
      </c>
      <c r="J1924">
        <f>Data!D1937</f>
        <v>0</v>
      </c>
      <c r="K1924">
        <f>Data!E1937</f>
        <v>0</v>
      </c>
      <c r="L1924">
        <f>Data!F1937</f>
        <v>0</v>
      </c>
      <c r="M1924">
        <f>Data!G1937</f>
        <v>0</v>
      </c>
      <c r="N1924">
        <f>Data!H1937</f>
        <v>0</v>
      </c>
      <c r="O1924">
        <f>Data!I1937</f>
        <v>0</v>
      </c>
      <c r="P1924" s="21">
        <f>Data!J1941</f>
        <v>0</v>
      </c>
      <c r="Q1924">
        <f>Data!K1941</f>
        <v>0</v>
      </c>
      <c r="R1924">
        <f>Data!L1941</f>
        <v>0</v>
      </c>
      <c r="S1924">
        <f>Data!M1941</f>
        <v>0</v>
      </c>
      <c r="T1924">
        <f>Data!N1941</f>
        <v>0</v>
      </c>
      <c r="U1924">
        <f>Data!O1941</f>
        <v>0</v>
      </c>
      <c r="V1924" s="33">
        <f>Data!P1939</f>
        <v>0</v>
      </c>
    </row>
    <row r="1925" spans="7:22" x14ac:dyDescent="0.25">
      <c r="G1925">
        <f>Data!A1938</f>
        <v>0</v>
      </c>
      <c r="H1925" s="21">
        <f>Data!B1938</f>
        <v>0</v>
      </c>
      <c r="I1925" s="21">
        <f>Data!C1938</f>
        <v>0</v>
      </c>
      <c r="J1925">
        <f>Data!D1938</f>
        <v>0</v>
      </c>
      <c r="K1925">
        <f>Data!E1938</f>
        <v>0</v>
      </c>
      <c r="L1925">
        <f>Data!F1938</f>
        <v>0</v>
      </c>
      <c r="M1925">
        <f>Data!G1938</f>
        <v>0</v>
      </c>
      <c r="N1925">
        <f>Data!H1938</f>
        <v>0</v>
      </c>
      <c r="O1925">
        <f>Data!I1938</f>
        <v>0</v>
      </c>
      <c r="P1925" s="21">
        <f>Data!J1942</f>
        <v>0</v>
      </c>
      <c r="Q1925">
        <f>Data!K1942</f>
        <v>0</v>
      </c>
      <c r="R1925">
        <f>Data!L1942</f>
        <v>0</v>
      </c>
      <c r="S1925">
        <f>Data!M1942</f>
        <v>0</v>
      </c>
      <c r="T1925">
        <f>Data!N1942</f>
        <v>0</v>
      </c>
      <c r="U1925">
        <f>Data!O1942</f>
        <v>0</v>
      </c>
      <c r="V1925" s="33">
        <f>Data!P1940</f>
        <v>0</v>
      </c>
    </row>
    <row r="1926" spans="7:22" x14ac:dyDescent="0.25">
      <c r="G1926">
        <f>Data!A1939</f>
        <v>0</v>
      </c>
      <c r="H1926" s="21">
        <f>Data!B1939</f>
        <v>0</v>
      </c>
      <c r="I1926" s="21">
        <f>Data!C1939</f>
        <v>0</v>
      </c>
      <c r="J1926">
        <f>Data!D1939</f>
        <v>0</v>
      </c>
      <c r="K1926">
        <f>Data!E1939</f>
        <v>0</v>
      </c>
      <c r="L1926">
        <f>Data!F1939</f>
        <v>0</v>
      </c>
      <c r="M1926">
        <f>Data!G1939</f>
        <v>0</v>
      </c>
      <c r="N1926">
        <f>Data!H1939</f>
        <v>0</v>
      </c>
      <c r="O1926">
        <f>Data!I1939</f>
        <v>0</v>
      </c>
      <c r="P1926" s="21">
        <f>Data!J1943</f>
        <v>0</v>
      </c>
      <c r="Q1926">
        <f>Data!K1943</f>
        <v>0</v>
      </c>
      <c r="R1926">
        <f>Data!L1943</f>
        <v>0</v>
      </c>
      <c r="S1926">
        <f>Data!M1943</f>
        <v>0</v>
      </c>
      <c r="T1926">
        <f>Data!N1943</f>
        <v>0</v>
      </c>
      <c r="U1926">
        <f>Data!O1943</f>
        <v>0</v>
      </c>
      <c r="V1926" s="33">
        <f>Data!P1941</f>
        <v>0</v>
      </c>
    </row>
    <row r="1927" spans="7:22" x14ac:dyDescent="0.25">
      <c r="G1927">
        <f>Data!A1940</f>
        <v>0</v>
      </c>
      <c r="H1927" s="21">
        <f>Data!B1940</f>
        <v>0</v>
      </c>
      <c r="I1927" s="21">
        <f>Data!C1940</f>
        <v>0</v>
      </c>
      <c r="J1927">
        <f>Data!D1940</f>
        <v>0</v>
      </c>
      <c r="K1927">
        <f>Data!E1940</f>
        <v>0</v>
      </c>
      <c r="L1927">
        <f>Data!F1940</f>
        <v>0</v>
      </c>
      <c r="M1927">
        <f>Data!G1940</f>
        <v>0</v>
      </c>
      <c r="N1927">
        <f>Data!H1940</f>
        <v>0</v>
      </c>
      <c r="O1927">
        <f>Data!I1940</f>
        <v>0</v>
      </c>
      <c r="P1927" s="21">
        <f>Data!J1944</f>
        <v>0</v>
      </c>
      <c r="Q1927">
        <f>Data!K1944</f>
        <v>0</v>
      </c>
      <c r="R1927">
        <f>Data!L1944</f>
        <v>0</v>
      </c>
      <c r="S1927">
        <f>Data!M1944</f>
        <v>0</v>
      </c>
      <c r="T1927">
        <f>Data!N1944</f>
        <v>0</v>
      </c>
      <c r="U1927">
        <f>Data!O1944</f>
        <v>0</v>
      </c>
      <c r="V1927" s="33">
        <f>Data!P1942</f>
        <v>0</v>
      </c>
    </row>
    <row r="1928" spans="7:22" x14ac:dyDescent="0.25">
      <c r="G1928">
        <f>Data!A1941</f>
        <v>0</v>
      </c>
      <c r="H1928" s="21">
        <f>Data!B1941</f>
        <v>0</v>
      </c>
      <c r="I1928" s="21">
        <f>Data!C1941</f>
        <v>0</v>
      </c>
      <c r="J1928">
        <f>Data!D1941</f>
        <v>0</v>
      </c>
      <c r="K1928">
        <f>Data!E1941</f>
        <v>0</v>
      </c>
      <c r="L1928">
        <f>Data!F1941</f>
        <v>0</v>
      </c>
      <c r="M1928">
        <f>Data!G1941</f>
        <v>0</v>
      </c>
      <c r="N1928">
        <f>Data!H1941</f>
        <v>0</v>
      </c>
      <c r="O1928">
        <f>Data!I1941</f>
        <v>0</v>
      </c>
      <c r="P1928" s="21">
        <f>Data!J1945</f>
        <v>0</v>
      </c>
      <c r="Q1928">
        <f>Data!K1945</f>
        <v>0</v>
      </c>
      <c r="R1928">
        <f>Data!L1945</f>
        <v>0</v>
      </c>
      <c r="S1928">
        <f>Data!M1945</f>
        <v>0</v>
      </c>
      <c r="T1928">
        <f>Data!N1945</f>
        <v>0</v>
      </c>
      <c r="U1928">
        <f>Data!O1945</f>
        <v>0</v>
      </c>
      <c r="V1928" s="33">
        <f>Data!P1943</f>
        <v>0</v>
      </c>
    </row>
    <row r="1929" spans="7:22" x14ac:dyDescent="0.25">
      <c r="G1929">
        <f>Data!A1942</f>
        <v>0</v>
      </c>
      <c r="H1929" s="21">
        <f>Data!B1942</f>
        <v>0</v>
      </c>
      <c r="I1929" s="21">
        <f>Data!C1942</f>
        <v>0</v>
      </c>
      <c r="J1929">
        <f>Data!D1942</f>
        <v>0</v>
      </c>
      <c r="K1929">
        <f>Data!E1942</f>
        <v>0</v>
      </c>
      <c r="L1929">
        <f>Data!F1942</f>
        <v>0</v>
      </c>
      <c r="M1929">
        <f>Data!G1942</f>
        <v>0</v>
      </c>
      <c r="N1929">
        <f>Data!H1942</f>
        <v>0</v>
      </c>
      <c r="O1929">
        <f>Data!I1942</f>
        <v>0</v>
      </c>
      <c r="P1929" s="21">
        <f>Data!J1946</f>
        <v>0</v>
      </c>
      <c r="Q1929">
        <f>Data!K1946</f>
        <v>0</v>
      </c>
      <c r="R1929">
        <f>Data!L1946</f>
        <v>0</v>
      </c>
      <c r="S1929">
        <f>Data!M1946</f>
        <v>0</v>
      </c>
      <c r="T1929">
        <f>Data!N1946</f>
        <v>0</v>
      </c>
      <c r="U1929">
        <f>Data!O1946</f>
        <v>0</v>
      </c>
      <c r="V1929" s="33">
        <f>Data!P1944</f>
        <v>0</v>
      </c>
    </row>
    <row r="1930" spans="7:22" x14ac:dyDescent="0.25">
      <c r="G1930">
        <f>Data!A1943</f>
        <v>0</v>
      </c>
      <c r="H1930" s="21">
        <f>Data!B1943</f>
        <v>0</v>
      </c>
      <c r="I1930" s="21">
        <f>Data!C1943</f>
        <v>0</v>
      </c>
      <c r="J1930">
        <f>Data!D1943</f>
        <v>0</v>
      </c>
      <c r="K1930">
        <f>Data!E1943</f>
        <v>0</v>
      </c>
      <c r="L1930">
        <f>Data!F1943</f>
        <v>0</v>
      </c>
      <c r="M1930">
        <f>Data!G1943</f>
        <v>0</v>
      </c>
      <c r="N1930">
        <f>Data!H1943</f>
        <v>0</v>
      </c>
      <c r="O1930">
        <f>Data!I1943</f>
        <v>0</v>
      </c>
      <c r="P1930" s="21">
        <f>Data!J1947</f>
        <v>0</v>
      </c>
      <c r="Q1930">
        <f>Data!K1947</f>
        <v>0</v>
      </c>
      <c r="R1930">
        <f>Data!L1947</f>
        <v>0</v>
      </c>
      <c r="S1930">
        <f>Data!M1947</f>
        <v>0</v>
      </c>
      <c r="T1930">
        <f>Data!N1947</f>
        <v>0</v>
      </c>
      <c r="U1930">
        <f>Data!O1947</f>
        <v>0</v>
      </c>
      <c r="V1930" s="33">
        <f>Data!P1945</f>
        <v>0</v>
      </c>
    </row>
    <row r="1931" spans="7:22" x14ac:dyDescent="0.25">
      <c r="G1931">
        <f>Data!A1944</f>
        <v>0</v>
      </c>
      <c r="H1931" s="21">
        <f>Data!B1944</f>
        <v>0</v>
      </c>
      <c r="I1931" s="21">
        <f>Data!C1944</f>
        <v>0</v>
      </c>
      <c r="J1931">
        <f>Data!D1944</f>
        <v>0</v>
      </c>
      <c r="K1931">
        <f>Data!E1944</f>
        <v>0</v>
      </c>
      <c r="L1931">
        <f>Data!F1944</f>
        <v>0</v>
      </c>
      <c r="M1931">
        <f>Data!G1944</f>
        <v>0</v>
      </c>
      <c r="N1931">
        <f>Data!H1944</f>
        <v>0</v>
      </c>
      <c r="O1931">
        <f>Data!I1944</f>
        <v>0</v>
      </c>
      <c r="P1931" s="21">
        <f>Data!J1948</f>
        <v>0</v>
      </c>
      <c r="Q1931">
        <f>Data!K1948</f>
        <v>0</v>
      </c>
      <c r="R1931">
        <f>Data!L1948</f>
        <v>0</v>
      </c>
      <c r="S1931">
        <f>Data!M1948</f>
        <v>0</v>
      </c>
      <c r="T1931">
        <f>Data!N1948</f>
        <v>0</v>
      </c>
      <c r="U1931">
        <f>Data!O1948</f>
        <v>0</v>
      </c>
      <c r="V1931" s="33">
        <f>Data!P1946</f>
        <v>0</v>
      </c>
    </row>
    <row r="1932" spans="7:22" x14ac:dyDescent="0.25">
      <c r="G1932">
        <f>Data!A1945</f>
        <v>0</v>
      </c>
      <c r="H1932" s="21">
        <f>Data!B1945</f>
        <v>0</v>
      </c>
      <c r="I1932" s="21">
        <f>Data!C1945</f>
        <v>0</v>
      </c>
      <c r="J1932">
        <f>Data!D1945</f>
        <v>0</v>
      </c>
      <c r="K1932">
        <f>Data!E1945</f>
        <v>0</v>
      </c>
      <c r="L1932">
        <f>Data!F1945</f>
        <v>0</v>
      </c>
      <c r="M1932">
        <f>Data!G1945</f>
        <v>0</v>
      </c>
      <c r="N1932">
        <f>Data!H1945</f>
        <v>0</v>
      </c>
      <c r="O1932">
        <f>Data!I1945</f>
        <v>0</v>
      </c>
      <c r="P1932" s="21">
        <f>Data!J1949</f>
        <v>0</v>
      </c>
      <c r="Q1932">
        <f>Data!K1949</f>
        <v>0</v>
      </c>
      <c r="R1932">
        <f>Data!L1949</f>
        <v>0</v>
      </c>
      <c r="S1932">
        <f>Data!M1949</f>
        <v>0</v>
      </c>
      <c r="T1932">
        <f>Data!N1949</f>
        <v>0</v>
      </c>
      <c r="U1932">
        <f>Data!O1949</f>
        <v>0</v>
      </c>
      <c r="V1932" s="33">
        <f>Data!P1947</f>
        <v>0</v>
      </c>
    </row>
    <row r="1933" spans="7:22" x14ac:dyDescent="0.25">
      <c r="G1933">
        <f>Data!A1946</f>
        <v>0</v>
      </c>
      <c r="H1933" s="21">
        <f>Data!B1946</f>
        <v>0</v>
      </c>
      <c r="I1933" s="21">
        <f>Data!C1946</f>
        <v>0</v>
      </c>
      <c r="J1933">
        <f>Data!D1946</f>
        <v>0</v>
      </c>
      <c r="K1933">
        <f>Data!E1946</f>
        <v>0</v>
      </c>
      <c r="L1933">
        <f>Data!F1946</f>
        <v>0</v>
      </c>
      <c r="M1933">
        <f>Data!G1946</f>
        <v>0</v>
      </c>
      <c r="N1933">
        <f>Data!H1946</f>
        <v>0</v>
      </c>
      <c r="O1933">
        <f>Data!I1946</f>
        <v>0</v>
      </c>
      <c r="P1933" s="21">
        <f>Data!J1950</f>
        <v>0</v>
      </c>
      <c r="Q1933">
        <f>Data!K1950</f>
        <v>0</v>
      </c>
      <c r="R1933">
        <f>Data!L1950</f>
        <v>0</v>
      </c>
      <c r="S1933">
        <f>Data!M1950</f>
        <v>0</v>
      </c>
      <c r="T1933">
        <f>Data!N1950</f>
        <v>0</v>
      </c>
      <c r="U1933">
        <f>Data!O1950</f>
        <v>0</v>
      </c>
      <c r="V1933" s="33">
        <f>Data!P1948</f>
        <v>0</v>
      </c>
    </row>
    <row r="1934" spans="7:22" x14ac:dyDescent="0.25">
      <c r="G1934">
        <f>Data!A1947</f>
        <v>0</v>
      </c>
      <c r="H1934" s="21">
        <f>Data!B1947</f>
        <v>0</v>
      </c>
      <c r="I1934" s="21">
        <f>Data!C1947</f>
        <v>0</v>
      </c>
      <c r="J1934">
        <f>Data!D1947</f>
        <v>0</v>
      </c>
      <c r="K1934">
        <f>Data!E1947</f>
        <v>0</v>
      </c>
      <c r="L1934">
        <f>Data!F1947</f>
        <v>0</v>
      </c>
      <c r="M1934">
        <f>Data!G1947</f>
        <v>0</v>
      </c>
      <c r="N1934">
        <f>Data!H1947</f>
        <v>0</v>
      </c>
      <c r="O1934">
        <f>Data!I1947</f>
        <v>0</v>
      </c>
      <c r="P1934" s="21">
        <f>Data!J1951</f>
        <v>0</v>
      </c>
      <c r="Q1934">
        <f>Data!K1951</f>
        <v>0</v>
      </c>
      <c r="R1934">
        <f>Data!L1951</f>
        <v>0</v>
      </c>
      <c r="S1934">
        <f>Data!M1951</f>
        <v>0</v>
      </c>
      <c r="T1934">
        <f>Data!N1951</f>
        <v>0</v>
      </c>
      <c r="U1934">
        <f>Data!O1951</f>
        <v>0</v>
      </c>
      <c r="V1934" s="33">
        <f>Data!P1949</f>
        <v>0</v>
      </c>
    </row>
    <row r="1935" spans="7:22" x14ac:dyDescent="0.25">
      <c r="G1935">
        <f>Data!A1948</f>
        <v>0</v>
      </c>
      <c r="H1935" s="21">
        <f>Data!B1948</f>
        <v>0</v>
      </c>
      <c r="I1935" s="21">
        <f>Data!C1948</f>
        <v>0</v>
      </c>
      <c r="J1935">
        <f>Data!D1948</f>
        <v>0</v>
      </c>
      <c r="K1935">
        <f>Data!E1948</f>
        <v>0</v>
      </c>
      <c r="L1935">
        <f>Data!F1948</f>
        <v>0</v>
      </c>
      <c r="M1935">
        <f>Data!G1948</f>
        <v>0</v>
      </c>
      <c r="N1935">
        <f>Data!H1948</f>
        <v>0</v>
      </c>
      <c r="O1935">
        <f>Data!I1948</f>
        <v>0</v>
      </c>
      <c r="P1935" s="21">
        <f>Data!J1952</f>
        <v>0</v>
      </c>
      <c r="Q1935">
        <f>Data!K1952</f>
        <v>0</v>
      </c>
      <c r="R1935">
        <f>Data!L1952</f>
        <v>0</v>
      </c>
      <c r="S1935">
        <f>Data!M1952</f>
        <v>0</v>
      </c>
      <c r="T1935">
        <f>Data!N1952</f>
        <v>0</v>
      </c>
      <c r="U1935">
        <f>Data!O1952</f>
        <v>0</v>
      </c>
      <c r="V1935" s="33">
        <f>Data!P1950</f>
        <v>0</v>
      </c>
    </row>
    <row r="1936" spans="7:22" x14ac:dyDescent="0.25">
      <c r="G1936">
        <f>Data!A1949</f>
        <v>0</v>
      </c>
      <c r="H1936" s="21">
        <f>Data!B1949</f>
        <v>0</v>
      </c>
      <c r="I1936" s="21">
        <f>Data!C1949</f>
        <v>0</v>
      </c>
      <c r="J1936">
        <f>Data!D1949</f>
        <v>0</v>
      </c>
      <c r="K1936">
        <f>Data!E1949</f>
        <v>0</v>
      </c>
      <c r="L1936">
        <f>Data!F1949</f>
        <v>0</v>
      </c>
      <c r="M1936">
        <f>Data!G1949</f>
        <v>0</v>
      </c>
      <c r="N1936">
        <f>Data!H1949</f>
        <v>0</v>
      </c>
      <c r="O1936">
        <f>Data!I1949</f>
        <v>0</v>
      </c>
      <c r="P1936" s="21">
        <f>Data!J1953</f>
        <v>0</v>
      </c>
      <c r="Q1936">
        <f>Data!K1953</f>
        <v>0</v>
      </c>
      <c r="R1936">
        <f>Data!L1953</f>
        <v>0</v>
      </c>
      <c r="S1936">
        <f>Data!M1953</f>
        <v>0</v>
      </c>
      <c r="T1936">
        <f>Data!N1953</f>
        <v>0</v>
      </c>
      <c r="U1936">
        <f>Data!O1953</f>
        <v>0</v>
      </c>
      <c r="V1936" s="33">
        <f>Data!P1951</f>
        <v>0</v>
      </c>
    </row>
    <row r="1937" spans="7:22" x14ac:dyDescent="0.25">
      <c r="G1937">
        <f>Data!A1950</f>
        <v>0</v>
      </c>
      <c r="H1937" s="21">
        <f>Data!B1950</f>
        <v>0</v>
      </c>
      <c r="I1937" s="21">
        <f>Data!C1950</f>
        <v>0</v>
      </c>
      <c r="J1937">
        <f>Data!D1950</f>
        <v>0</v>
      </c>
      <c r="K1937">
        <f>Data!E1950</f>
        <v>0</v>
      </c>
      <c r="L1937">
        <f>Data!F1950</f>
        <v>0</v>
      </c>
      <c r="M1937">
        <f>Data!G1950</f>
        <v>0</v>
      </c>
      <c r="N1937">
        <f>Data!H1950</f>
        <v>0</v>
      </c>
      <c r="O1937">
        <f>Data!I1950</f>
        <v>0</v>
      </c>
      <c r="P1937" s="21">
        <f>Data!J1954</f>
        <v>0</v>
      </c>
      <c r="Q1937">
        <f>Data!K1954</f>
        <v>0</v>
      </c>
      <c r="R1937">
        <f>Data!L1954</f>
        <v>0</v>
      </c>
      <c r="S1937">
        <f>Data!M1954</f>
        <v>0</v>
      </c>
      <c r="T1937">
        <f>Data!N1954</f>
        <v>0</v>
      </c>
      <c r="U1937">
        <f>Data!O1954</f>
        <v>0</v>
      </c>
      <c r="V1937" s="33">
        <f>Data!P1952</f>
        <v>0</v>
      </c>
    </row>
    <row r="1938" spans="7:22" x14ac:dyDescent="0.25">
      <c r="G1938">
        <f>Data!A1951</f>
        <v>0</v>
      </c>
      <c r="H1938" s="21">
        <f>Data!B1951</f>
        <v>0</v>
      </c>
      <c r="I1938" s="21">
        <f>Data!C1951</f>
        <v>0</v>
      </c>
      <c r="J1938">
        <f>Data!D1951</f>
        <v>0</v>
      </c>
      <c r="K1938">
        <f>Data!E1951</f>
        <v>0</v>
      </c>
      <c r="L1938">
        <f>Data!F1951</f>
        <v>0</v>
      </c>
      <c r="M1938">
        <f>Data!G1951</f>
        <v>0</v>
      </c>
      <c r="N1938">
        <f>Data!H1951</f>
        <v>0</v>
      </c>
      <c r="O1938">
        <f>Data!I1951</f>
        <v>0</v>
      </c>
      <c r="P1938" s="21">
        <f>Data!J1955</f>
        <v>0</v>
      </c>
      <c r="Q1938">
        <f>Data!K1955</f>
        <v>0</v>
      </c>
      <c r="R1938">
        <f>Data!L1955</f>
        <v>0</v>
      </c>
      <c r="S1938">
        <f>Data!M1955</f>
        <v>0</v>
      </c>
      <c r="T1938">
        <f>Data!N1955</f>
        <v>0</v>
      </c>
      <c r="U1938">
        <f>Data!O1955</f>
        <v>0</v>
      </c>
      <c r="V1938" s="33">
        <f>Data!P1953</f>
        <v>0</v>
      </c>
    </row>
    <row r="1939" spans="7:22" x14ac:dyDescent="0.25">
      <c r="G1939">
        <f>Data!A1952</f>
        <v>0</v>
      </c>
      <c r="H1939" s="21">
        <f>Data!B1952</f>
        <v>0</v>
      </c>
      <c r="I1939" s="21">
        <f>Data!C1952</f>
        <v>0</v>
      </c>
      <c r="J1939">
        <f>Data!D1952</f>
        <v>0</v>
      </c>
      <c r="K1939">
        <f>Data!E1952</f>
        <v>0</v>
      </c>
      <c r="L1939">
        <f>Data!F1952</f>
        <v>0</v>
      </c>
      <c r="M1939">
        <f>Data!G1952</f>
        <v>0</v>
      </c>
      <c r="N1939">
        <f>Data!H1952</f>
        <v>0</v>
      </c>
      <c r="O1939">
        <f>Data!I1952</f>
        <v>0</v>
      </c>
      <c r="P1939" s="21">
        <f>Data!J1956</f>
        <v>0</v>
      </c>
      <c r="Q1939">
        <f>Data!K1956</f>
        <v>0</v>
      </c>
      <c r="R1939">
        <f>Data!L1956</f>
        <v>0</v>
      </c>
      <c r="S1939">
        <f>Data!M1956</f>
        <v>0</v>
      </c>
      <c r="T1939">
        <f>Data!N1956</f>
        <v>0</v>
      </c>
      <c r="U1939">
        <f>Data!O1956</f>
        <v>0</v>
      </c>
      <c r="V1939" s="33">
        <f>Data!P1954</f>
        <v>0</v>
      </c>
    </row>
    <row r="1940" spans="7:22" x14ac:dyDescent="0.25">
      <c r="G1940">
        <f>Data!A1953</f>
        <v>0</v>
      </c>
      <c r="H1940" s="21">
        <f>Data!B1953</f>
        <v>0</v>
      </c>
      <c r="I1940" s="21">
        <f>Data!C1953</f>
        <v>0</v>
      </c>
      <c r="J1940">
        <f>Data!D1953</f>
        <v>0</v>
      </c>
      <c r="K1940">
        <f>Data!E1953</f>
        <v>0</v>
      </c>
      <c r="L1940">
        <f>Data!F1953</f>
        <v>0</v>
      </c>
      <c r="M1940">
        <f>Data!G1953</f>
        <v>0</v>
      </c>
      <c r="N1940">
        <f>Data!H1953</f>
        <v>0</v>
      </c>
      <c r="O1940">
        <f>Data!I1953</f>
        <v>0</v>
      </c>
      <c r="P1940" s="21">
        <f>Data!J1957</f>
        <v>0</v>
      </c>
      <c r="Q1940">
        <f>Data!K1957</f>
        <v>0</v>
      </c>
      <c r="R1940">
        <f>Data!L1957</f>
        <v>0</v>
      </c>
      <c r="S1940">
        <f>Data!M1957</f>
        <v>0</v>
      </c>
      <c r="T1940">
        <f>Data!N1957</f>
        <v>0</v>
      </c>
      <c r="U1940">
        <f>Data!O1957</f>
        <v>0</v>
      </c>
      <c r="V1940" s="33">
        <f>Data!P1955</f>
        <v>0</v>
      </c>
    </row>
    <row r="1941" spans="7:22" x14ac:dyDescent="0.25">
      <c r="G1941">
        <f>Data!A1954</f>
        <v>0</v>
      </c>
      <c r="H1941" s="21">
        <f>Data!B1954</f>
        <v>0</v>
      </c>
      <c r="I1941" s="21">
        <f>Data!C1954</f>
        <v>0</v>
      </c>
      <c r="J1941">
        <f>Data!D1954</f>
        <v>0</v>
      </c>
      <c r="K1941">
        <f>Data!E1954</f>
        <v>0</v>
      </c>
      <c r="L1941">
        <f>Data!F1954</f>
        <v>0</v>
      </c>
      <c r="M1941">
        <f>Data!G1954</f>
        <v>0</v>
      </c>
      <c r="N1941">
        <f>Data!H1954</f>
        <v>0</v>
      </c>
      <c r="O1941">
        <f>Data!I1954</f>
        <v>0</v>
      </c>
      <c r="P1941" s="21">
        <f>Data!J1958</f>
        <v>0</v>
      </c>
      <c r="Q1941">
        <f>Data!K1958</f>
        <v>0</v>
      </c>
      <c r="R1941">
        <f>Data!L1958</f>
        <v>0</v>
      </c>
      <c r="S1941">
        <f>Data!M1958</f>
        <v>0</v>
      </c>
      <c r="T1941">
        <f>Data!N1958</f>
        <v>0</v>
      </c>
      <c r="U1941">
        <f>Data!O1958</f>
        <v>0</v>
      </c>
      <c r="V1941" s="33">
        <f>Data!P1956</f>
        <v>0</v>
      </c>
    </row>
    <row r="1942" spans="7:22" x14ac:dyDescent="0.25">
      <c r="G1942">
        <f>Data!A1955</f>
        <v>0</v>
      </c>
      <c r="H1942" s="21">
        <f>Data!B1955</f>
        <v>0</v>
      </c>
      <c r="I1942" s="21">
        <f>Data!C1955</f>
        <v>0</v>
      </c>
      <c r="J1942">
        <f>Data!D1955</f>
        <v>0</v>
      </c>
      <c r="K1942">
        <f>Data!E1955</f>
        <v>0</v>
      </c>
      <c r="L1942">
        <f>Data!F1955</f>
        <v>0</v>
      </c>
      <c r="M1942">
        <f>Data!G1955</f>
        <v>0</v>
      </c>
      <c r="N1942">
        <f>Data!H1955</f>
        <v>0</v>
      </c>
      <c r="O1942">
        <f>Data!I1955</f>
        <v>0</v>
      </c>
      <c r="P1942" s="21">
        <f>Data!J1959</f>
        <v>0</v>
      </c>
      <c r="Q1942">
        <f>Data!K1959</f>
        <v>0</v>
      </c>
      <c r="R1942">
        <f>Data!L1959</f>
        <v>0</v>
      </c>
      <c r="S1942">
        <f>Data!M1959</f>
        <v>0</v>
      </c>
      <c r="T1942">
        <f>Data!N1959</f>
        <v>0</v>
      </c>
      <c r="U1942">
        <f>Data!O1959</f>
        <v>0</v>
      </c>
      <c r="V1942" s="33">
        <f>Data!P1957</f>
        <v>0</v>
      </c>
    </row>
    <row r="1943" spans="7:22" x14ac:dyDescent="0.25">
      <c r="G1943">
        <f>Data!A1956</f>
        <v>0</v>
      </c>
      <c r="H1943" s="21">
        <f>Data!B1956</f>
        <v>0</v>
      </c>
      <c r="I1943" s="21">
        <f>Data!C1956</f>
        <v>0</v>
      </c>
      <c r="J1943">
        <f>Data!D1956</f>
        <v>0</v>
      </c>
      <c r="K1943">
        <f>Data!E1956</f>
        <v>0</v>
      </c>
      <c r="L1943">
        <f>Data!F1956</f>
        <v>0</v>
      </c>
      <c r="M1943">
        <f>Data!G1956</f>
        <v>0</v>
      </c>
      <c r="N1943">
        <f>Data!H1956</f>
        <v>0</v>
      </c>
      <c r="O1943">
        <f>Data!I1956</f>
        <v>0</v>
      </c>
      <c r="P1943" s="21">
        <f>Data!J1960</f>
        <v>0</v>
      </c>
      <c r="Q1943">
        <f>Data!K1960</f>
        <v>0</v>
      </c>
      <c r="R1943">
        <f>Data!L1960</f>
        <v>0</v>
      </c>
      <c r="S1943">
        <f>Data!M1960</f>
        <v>0</v>
      </c>
      <c r="T1943">
        <f>Data!N1960</f>
        <v>0</v>
      </c>
      <c r="U1943">
        <f>Data!O1960</f>
        <v>0</v>
      </c>
      <c r="V1943" s="33">
        <f>Data!P1958</f>
        <v>0</v>
      </c>
    </row>
    <row r="1944" spans="7:22" x14ac:dyDescent="0.25">
      <c r="G1944">
        <f>Data!A1957</f>
        <v>0</v>
      </c>
      <c r="H1944" s="21">
        <f>Data!B1957</f>
        <v>0</v>
      </c>
      <c r="I1944" s="21">
        <f>Data!C1957</f>
        <v>0</v>
      </c>
      <c r="J1944">
        <f>Data!D1957</f>
        <v>0</v>
      </c>
      <c r="K1944">
        <f>Data!E1957</f>
        <v>0</v>
      </c>
      <c r="L1944">
        <f>Data!F1957</f>
        <v>0</v>
      </c>
      <c r="M1944">
        <f>Data!G1957</f>
        <v>0</v>
      </c>
      <c r="N1944">
        <f>Data!H1957</f>
        <v>0</v>
      </c>
      <c r="O1944">
        <f>Data!I1957</f>
        <v>0</v>
      </c>
      <c r="P1944" s="21">
        <f>Data!J1961</f>
        <v>0</v>
      </c>
      <c r="Q1944">
        <f>Data!K1961</f>
        <v>0</v>
      </c>
      <c r="R1944">
        <f>Data!L1961</f>
        <v>0</v>
      </c>
      <c r="S1944">
        <f>Data!M1961</f>
        <v>0</v>
      </c>
      <c r="T1944">
        <f>Data!N1961</f>
        <v>0</v>
      </c>
      <c r="U1944">
        <f>Data!O1961</f>
        <v>0</v>
      </c>
      <c r="V1944" s="33">
        <f>Data!P1959</f>
        <v>0</v>
      </c>
    </row>
    <row r="1945" spans="7:22" x14ac:dyDescent="0.25">
      <c r="G1945">
        <f>Data!A1958</f>
        <v>0</v>
      </c>
      <c r="H1945" s="21">
        <f>Data!B1958</f>
        <v>0</v>
      </c>
      <c r="I1945" s="21">
        <f>Data!C1958</f>
        <v>0</v>
      </c>
      <c r="J1945">
        <f>Data!D1958</f>
        <v>0</v>
      </c>
      <c r="K1945">
        <f>Data!E1958</f>
        <v>0</v>
      </c>
      <c r="L1945">
        <f>Data!F1958</f>
        <v>0</v>
      </c>
      <c r="M1945">
        <f>Data!G1958</f>
        <v>0</v>
      </c>
      <c r="N1945">
        <f>Data!H1958</f>
        <v>0</v>
      </c>
      <c r="O1945">
        <f>Data!I1958</f>
        <v>0</v>
      </c>
      <c r="P1945" s="21">
        <f>Data!J1962</f>
        <v>0</v>
      </c>
      <c r="Q1945">
        <f>Data!K1962</f>
        <v>0</v>
      </c>
      <c r="R1945">
        <f>Data!L1962</f>
        <v>0</v>
      </c>
      <c r="S1945">
        <f>Data!M1962</f>
        <v>0</v>
      </c>
      <c r="T1945">
        <f>Data!N1962</f>
        <v>0</v>
      </c>
      <c r="U1945">
        <f>Data!O1962</f>
        <v>0</v>
      </c>
      <c r="V1945" s="33">
        <f>Data!P1960</f>
        <v>0</v>
      </c>
    </row>
    <row r="1946" spans="7:22" x14ac:dyDescent="0.25">
      <c r="G1946">
        <f>Data!A1959</f>
        <v>0</v>
      </c>
      <c r="H1946" s="21">
        <f>Data!B1959</f>
        <v>0</v>
      </c>
      <c r="I1946" s="21">
        <f>Data!C1959</f>
        <v>0</v>
      </c>
      <c r="J1946">
        <f>Data!D1959</f>
        <v>0</v>
      </c>
      <c r="K1946">
        <f>Data!E1959</f>
        <v>0</v>
      </c>
      <c r="L1946">
        <f>Data!F1959</f>
        <v>0</v>
      </c>
      <c r="M1946">
        <f>Data!G1959</f>
        <v>0</v>
      </c>
      <c r="N1946">
        <f>Data!H1959</f>
        <v>0</v>
      </c>
      <c r="O1946">
        <f>Data!I1959</f>
        <v>0</v>
      </c>
      <c r="P1946" s="21">
        <f>Data!J1963</f>
        <v>0</v>
      </c>
      <c r="Q1946">
        <f>Data!K1963</f>
        <v>0</v>
      </c>
      <c r="R1946">
        <f>Data!L1963</f>
        <v>0</v>
      </c>
      <c r="S1946">
        <f>Data!M1963</f>
        <v>0</v>
      </c>
      <c r="T1946">
        <f>Data!N1963</f>
        <v>0</v>
      </c>
      <c r="U1946">
        <f>Data!O1963</f>
        <v>0</v>
      </c>
      <c r="V1946" s="33">
        <f>Data!P1961</f>
        <v>0</v>
      </c>
    </row>
    <row r="1947" spans="7:22" x14ac:dyDescent="0.25">
      <c r="G1947">
        <f>Data!A1960</f>
        <v>0</v>
      </c>
      <c r="H1947" s="21">
        <f>Data!B1960</f>
        <v>0</v>
      </c>
      <c r="I1947" s="21">
        <f>Data!C1960</f>
        <v>0</v>
      </c>
      <c r="J1947">
        <f>Data!D1960</f>
        <v>0</v>
      </c>
      <c r="K1947">
        <f>Data!E1960</f>
        <v>0</v>
      </c>
      <c r="L1947">
        <f>Data!F1960</f>
        <v>0</v>
      </c>
      <c r="M1947">
        <f>Data!G1960</f>
        <v>0</v>
      </c>
      <c r="N1947">
        <f>Data!H1960</f>
        <v>0</v>
      </c>
      <c r="O1947">
        <f>Data!I1960</f>
        <v>0</v>
      </c>
      <c r="P1947" s="21">
        <f>Data!J1964</f>
        <v>0</v>
      </c>
      <c r="Q1947">
        <f>Data!K1964</f>
        <v>0</v>
      </c>
      <c r="R1947">
        <f>Data!L1964</f>
        <v>0</v>
      </c>
      <c r="S1947">
        <f>Data!M1964</f>
        <v>0</v>
      </c>
      <c r="T1947">
        <f>Data!N1964</f>
        <v>0</v>
      </c>
      <c r="U1947">
        <f>Data!O1964</f>
        <v>0</v>
      </c>
      <c r="V1947" s="33">
        <f>Data!P1962</f>
        <v>0</v>
      </c>
    </row>
    <row r="1948" spans="7:22" x14ac:dyDescent="0.25">
      <c r="G1948">
        <f>Data!A1961</f>
        <v>0</v>
      </c>
      <c r="H1948" s="21">
        <f>Data!B1961</f>
        <v>0</v>
      </c>
      <c r="I1948" s="21">
        <f>Data!C1961</f>
        <v>0</v>
      </c>
      <c r="J1948">
        <f>Data!D1961</f>
        <v>0</v>
      </c>
      <c r="K1948">
        <f>Data!E1961</f>
        <v>0</v>
      </c>
      <c r="L1948">
        <f>Data!F1961</f>
        <v>0</v>
      </c>
      <c r="M1948">
        <f>Data!G1961</f>
        <v>0</v>
      </c>
      <c r="N1948">
        <f>Data!H1961</f>
        <v>0</v>
      </c>
      <c r="O1948">
        <f>Data!I1961</f>
        <v>0</v>
      </c>
      <c r="P1948" s="21">
        <f>Data!J1965</f>
        <v>0</v>
      </c>
      <c r="Q1948">
        <f>Data!K1965</f>
        <v>0</v>
      </c>
      <c r="R1948">
        <f>Data!L1965</f>
        <v>0</v>
      </c>
      <c r="S1948">
        <f>Data!M1965</f>
        <v>0</v>
      </c>
      <c r="T1948">
        <f>Data!N1965</f>
        <v>0</v>
      </c>
      <c r="U1948">
        <f>Data!O1965</f>
        <v>0</v>
      </c>
      <c r="V1948" s="33">
        <f>Data!P1963</f>
        <v>0</v>
      </c>
    </row>
    <row r="1949" spans="7:22" x14ac:dyDescent="0.25">
      <c r="G1949">
        <f>Data!A1962</f>
        <v>0</v>
      </c>
      <c r="H1949" s="21">
        <f>Data!B1962</f>
        <v>0</v>
      </c>
      <c r="I1949" s="21">
        <f>Data!C1962</f>
        <v>0</v>
      </c>
      <c r="J1949">
        <f>Data!D1962</f>
        <v>0</v>
      </c>
      <c r="K1949">
        <f>Data!E1962</f>
        <v>0</v>
      </c>
      <c r="L1949">
        <f>Data!F1962</f>
        <v>0</v>
      </c>
      <c r="M1949">
        <f>Data!G1962</f>
        <v>0</v>
      </c>
      <c r="N1949">
        <f>Data!H1962</f>
        <v>0</v>
      </c>
      <c r="O1949">
        <f>Data!I1962</f>
        <v>0</v>
      </c>
      <c r="P1949" s="21">
        <f>Data!J1966</f>
        <v>0</v>
      </c>
      <c r="Q1949">
        <f>Data!K1966</f>
        <v>0</v>
      </c>
      <c r="R1949">
        <f>Data!L1966</f>
        <v>0</v>
      </c>
      <c r="S1949">
        <f>Data!M1966</f>
        <v>0</v>
      </c>
      <c r="T1949">
        <f>Data!N1966</f>
        <v>0</v>
      </c>
      <c r="U1949">
        <f>Data!O1966</f>
        <v>0</v>
      </c>
      <c r="V1949" s="33">
        <f>Data!P1964</f>
        <v>0</v>
      </c>
    </row>
    <row r="1950" spans="7:22" x14ac:dyDescent="0.25">
      <c r="G1950">
        <f>Data!A1963</f>
        <v>0</v>
      </c>
      <c r="H1950" s="21">
        <f>Data!B1963</f>
        <v>0</v>
      </c>
      <c r="I1950" s="21">
        <f>Data!C1963</f>
        <v>0</v>
      </c>
      <c r="J1950">
        <f>Data!D1963</f>
        <v>0</v>
      </c>
      <c r="K1950">
        <f>Data!E1963</f>
        <v>0</v>
      </c>
      <c r="L1950">
        <f>Data!F1963</f>
        <v>0</v>
      </c>
      <c r="M1950">
        <f>Data!G1963</f>
        <v>0</v>
      </c>
      <c r="N1950">
        <f>Data!H1963</f>
        <v>0</v>
      </c>
      <c r="O1950">
        <f>Data!I1963</f>
        <v>0</v>
      </c>
      <c r="P1950" s="21">
        <f>Data!J1967</f>
        <v>0</v>
      </c>
      <c r="Q1950">
        <f>Data!K1967</f>
        <v>0</v>
      </c>
      <c r="R1950">
        <f>Data!L1967</f>
        <v>0</v>
      </c>
      <c r="S1950">
        <f>Data!M1967</f>
        <v>0</v>
      </c>
      <c r="T1950">
        <f>Data!N1967</f>
        <v>0</v>
      </c>
      <c r="U1950">
        <f>Data!O1967</f>
        <v>0</v>
      </c>
      <c r="V1950" s="33">
        <f>Data!P1965</f>
        <v>0</v>
      </c>
    </row>
    <row r="1951" spans="7:22" x14ac:dyDescent="0.25">
      <c r="G1951">
        <f>Data!A1964</f>
        <v>0</v>
      </c>
      <c r="H1951" s="21">
        <f>Data!B1964</f>
        <v>0</v>
      </c>
      <c r="I1951" s="21">
        <f>Data!C1964</f>
        <v>0</v>
      </c>
      <c r="J1951">
        <f>Data!D1964</f>
        <v>0</v>
      </c>
      <c r="K1951">
        <f>Data!E1964</f>
        <v>0</v>
      </c>
      <c r="L1951">
        <f>Data!F1964</f>
        <v>0</v>
      </c>
      <c r="M1951">
        <f>Data!G1964</f>
        <v>0</v>
      </c>
      <c r="N1951">
        <f>Data!H1964</f>
        <v>0</v>
      </c>
      <c r="O1951">
        <f>Data!I1964</f>
        <v>0</v>
      </c>
      <c r="P1951" s="21">
        <f>Data!J1968</f>
        <v>0</v>
      </c>
      <c r="Q1951">
        <f>Data!K1968</f>
        <v>0</v>
      </c>
      <c r="R1951">
        <f>Data!L1968</f>
        <v>0</v>
      </c>
      <c r="S1951">
        <f>Data!M1968</f>
        <v>0</v>
      </c>
      <c r="T1951">
        <f>Data!N1968</f>
        <v>0</v>
      </c>
      <c r="U1951">
        <f>Data!O1968</f>
        <v>0</v>
      </c>
      <c r="V1951" s="33">
        <f>Data!P1966</f>
        <v>0</v>
      </c>
    </row>
    <row r="1952" spans="7:22" x14ac:dyDescent="0.25">
      <c r="G1952">
        <f>Data!A1965</f>
        <v>0</v>
      </c>
      <c r="H1952" s="21">
        <f>Data!B1965</f>
        <v>0</v>
      </c>
      <c r="I1952" s="21">
        <f>Data!C1965</f>
        <v>0</v>
      </c>
      <c r="J1952">
        <f>Data!D1965</f>
        <v>0</v>
      </c>
      <c r="K1952">
        <f>Data!E1965</f>
        <v>0</v>
      </c>
      <c r="L1952">
        <f>Data!F1965</f>
        <v>0</v>
      </c>
      <c r="M1952">
        <f>Data!G1965</f>
        <v>0</v>
      </c>
      <c r="N1952">
        <f>Data!H1965</f>
        <v>0</v>
      </c>
      <c r="O1952">
        <f>Data!I1965</f>
        <v>0</v>
      </c>
      <c r="P1952" s="21">
        <f>Data!J1969</f>
        <v>0</v>
      </c>
      <c r="Q1952">
        <f>Data!K1969</f>
        <v>0</v>
      </c>
      <c r="R1952">
        <f>Data!L1969</f>
        <v>0</v>
      </c>
      <c r="S1952">
        <f>Data!M1969</f>
        <v>0</v>
      </c>
      <c r="T1952">
        <f>Data!N1969</f>
        <v>0</v>
      </c>
      <c r="U1952">
        <f>Data!O1969</f>
        <v>0</v>
      </c>
      <c r="V1952" s="33">
        <f>Data!P1967</f>
        <v>0</v>
      </c>
    </row>
    <row r="1953" spans="7:22" x14ac:dyDescent="0.25">
      <c r="G1953">
        <f>Data!A1966</f>
        <v>0</v>
      </c>
      <c r="H1953" s="21">
        <f>Data!B1966</f>
        <v>0</v>
      </c>
      <c r="I1953" s="21">
        <f>Data!C1966</f>
        <v>0</v>
      </c>
      <c r="J1953">
        <f>Data!D1966</f>
        <v>0</v>
      </c>
      <c r="K1953">
        <f>Data!E1966</f>
        <v>0</v>
      </c>
      <c r="L1953">
        <f>Data!F1966</f>
        <v>0</v>
      </c>
      <c r="M1953">
        <f>Data!G1966</f>
        <v>0</v>
      </c>
      <c r="N1953">
        <f>Data!H1966</f>
        <v>0</v>
      </c>
      <c r="O1953">
        <f>Data!I1966</f>
        <v>0</v>
      </c>
      <c r="P1953" s="21">
        <f>Data!J1970</f>
        <v>0</v>
      </c>
      <c r="Q1953">
        <f>Data!K1970</f>
        <v>0</v>
      </c>
      <c r="R1953">
        <f>Data!L1970</f>
        <v>0</v>
      </c>
      <c r="S1953">
        <f>Data!M1970</f>
        <v>0</v>
      </c>
      <c r="T1953">
        <f>Data!N1970</f>
        <v>0</v>
      </c>
      <c r="U1953">
        <f>Data!O1970</f>
        <v>0</v>
      </c>
      <c r="V1953" s="33">
        <f>Data!P1968</f>
        <v>0</v>
      </c>
    </row>
    <row r="1954" spans="7:22" x14ac:dyDescent="0.25">
      <c r="G1954">
        <f>Data!A1967</f>
        <v>0</v>
      </c>
      <c r="H1954" s="21">
        <f>Data!B1967</f>
        <v>0</v>
      </c>
      <c r="I1954" s="21">
        <f>Data!C1967</f>
        <v>0</v>
      </c>
      <c r="J1954">
        <f>Data!D1967</f>
        <v>0</v>
      </c>
      <c r="K1954">
        <f>Data!E1967</f>
        <v>0</v>
      </c>
      <c r="L1954">
        <f>Data!F1967</f>
        <v>0</v>
      </c>
      <c r="M1954">
        <f>Data!G1967</f>
        <v>0</v>
      </c>
      <c r="N1954">
        <f>Data!H1967</f>
        <v>0</v>
      </c>
      <c r="O1954">
        <f>Data!I1967</f>
        <v>0</v>
      </c>
      <c r="P1954" s="21">
        <f>Data!J1971</f>
        <v>0</v>
      </c>
      <c r="Q1954">
        <f>Data!K1971</f>
        <v>0</v>
      </c>
      <c r="R1954">
        <f>Data!L1971</f>
        <v>0</v>
      </c>
      <c r="S1954">
        <f>Data!M1971</f>
        <v>0</v>
      </c>
      <c r="T1954">
        <f>Data!N1971</f>
        <v>0</v>
      </c>
      <c r="U1954">
        <f>Data!O1971</f>
        <v>0</v>
      </c>
      <c r="V1954" s="33">
        <f>Data!P1969</f>
        <v>0</v>
      </c>
    </row>
    <row r="1955" spans="7:22" x14ac:dyDescent="0.25">
      <c r="G1955">
        <f>Data!A1968</f>
        <v>0</v>
      </c>
      <c r="H1955" s="21">
        <f>Data!B1968</f>
        <v>0</v>
      </c>
      <c r="I1955" s="21">
        <f>Data!C1968</f>
        <v>0</v>
      </c>
      <c r="J1955">
        <f>Data!D1968</f>
        <v>0</v>
      </c>
      <c r="K1955">
        <f>Data!E1968</f>
        <v>0</v>
      </c>
      <c r="L1955">
        <f>Data!F1968</f>
        <v>0</v>
      </c>
      <c r="M1955">
        <f>Data!G1968</f>
        <v>0</v>
      </c>
      <c r="N1955">
        <f>Data!H1968</f>
        <v>0</v>
      </c>
      <c r="O1955">
        <f>Data!I1968</f>
        <v>0</v>
      </c>
      <c r="P1955" s="21">
        <f>Data!J1972</f>
        <v>0</v>
      </c>
      <c r="Q1955">
        <f>Data!K1972</f>
        <v>0</v>
      </c>
      <c r="R1955">
        <f>Data!L1972</f>
        <v>0</v>
      </c>
      <c r="S1955">
        <f>Data!M1972</f>
        <v>0</v>
      </c>
      <c r="T1955">
        <f>Data!N1972</f>
        <v>0</v>
      </c>
      <c r="U1955">
        <f>Data!O1972</f>
        <v>0</v>
      </c>
      <c r="V1955" s="33">
        <f>Data!P1970</f>
        <v>0</v>
      </c>
    </row>
    <row r="1956" spans="7:22" x14ac:dyDescent="0.25">
      <c r="G1956">
        <f>Data!A1969</f>
        <v>0</v>
      </c>
      <c r="H1956" s="21">
        <f>Data!B1969</f>
        <v>0</v>
      </c>
      <c r="I1956" s="21">
        <f>Data!C1969</f>
        <v>0</v>
      </c>
      <c r="J1956">
        <f>Data!D1969</f>
        <v>0</v>
      </c>
      <c r="K1956">
        <f>Data!E1969</f>
        <v>0</v>
      </c>
      <c r="L1956">
        <f>Data!F1969</f>
        <v>0</v>
      </c>
      <c r="M1956">
        <f>Data!G1969</f>
        <v>0</v>
      </c>
      <c r="N1956">
        <f>Data!H1969</f>
        <v>0</v>
      </c>
      <c r="O1956">
        <f>Data!I1969</f>
        <v>0</v>
      </c>
      <c r="P1956" s="21">
        <f>Data!J1973</f>
        <v>0</v>
      </c>
      <c r="Q1956">
        <f>Data!K1973</f>
        <v>0</v>
      </c>
      <c r="R1956">
        <f>Data!L1973</f>
        <v>0</v>
      </c>
      <c r="S1956">
        <f>Data!M1973</f>
        <v>0</v>
      </c>
      <c r="T1956">
        <f>Data!N1973</f>
        <v>0</v>
      </c>
      <c r="U1956">
        <f>Data!O1973</f>
        <v>0</v>
      </c>
      <c r="V1956" s="33">
        <f>Data!P1971</f>
        <v>0</v>
      </c>
    </row>
    <row r="1957" spans="7:22" x14ac:dyDescent="0.25">
      <c r="G1957">
        <f>Data!A1970</f>
        <v>0</v>
      </c>
      <c r="H1957" s="21">
        <f>Data!B1970</f>
        <v>0</v>
      </c>
      <c r="I1957" s="21">
        <f>Data!C1970</f>
        <v>0</v>
      </c>
      <c r="J1957">
        <f>Data!D1970</f>
        <v>0</v>
      </c>
      <c r="K1957">
        <f>Data!E1970</f>
        <v>0</v>
      </c>
      <c r="L1957">
        <f>Data!F1970</f>
        <v>0</v>
      </c>
      <c r="M1957">
        <f>Data!G1970</f>
        <v>0</v>
      </c>
      <c r="N1957">
        <f>Data!H1970</f>
        <v>0</v>
      </c>
      <c r="O1957">
        <f>Data!I1970</f>
        <v>0</v>
      </c>
      <c r="P1957" s="21">
        <f>Data!J1974</f>
        <v>0</v>
      </c>
      <c r="Q1957">
        <f>Data!K1974</f>
        <v>0</v>
      </c>
      <c r="R1957">
        <f>Data!L1974</f>
        <v>0</v>
      </c>
      <c r="S1957">
        <f>Data!M1974</f>
        <v>0</v>
      </c>
      <c r="T1957">
        <f>Data!N1974</f>
        <v>0</v>
      </c>
      <c r="U1957">
        <f>Data!O1974</f>
        <v>0</v>
      </c>
      <c r="V1957" s="33">
        <f>Data!P1972</f>
        <v>0</v>
      </c>
    </row>
    <row r="1958" spans="7:22" x14ac:dyDescent="0.25">
      <c r="G1958">
        <f>Data!A1971</f>
        <v>0</v>
      </c>
      <c r="H1958" s="21">
        <f>Data!B1971</f>
        <v>0</v>
      </c>
      <c r="I1958" s="21">
        <f>Data!C1971</f>
        <v>0</v>
      </c>
      <c r="J1958">
        <f>Data!D1971</f>
        <v>0</v>
      </c>
      <c r="K1958">
        <f>Data!E1971</f>
        <v>0</v>
      </c>
      <c r="L1958">
        <f>Data!F1971</f>
        <v>0</v>
      </c>
      <c r="M1958">
        <f>Data!G1971</f>
        <v>0</v>
      </c>
      <c r="N1958">
        <f>Data!H1971</f>
        <v>0</v>
      </c>
      <c r="O1958">
        <f>Data!I1971</f>
        <v>0</v>
      </c>
      <c r="P1958" s="21">
        <f>Data!J1975</f>
        <v>0</v>
      </c>
      <c r="Q1958">
        <f>Data!K1975</f>
        <v>0</v>
      </c>
      <c r="R1958">
        <f>Data!L1975</f>
        <v>0</v>
      </c>
      <c r="S1958">
        <f>Data!M1975</f>
        <v>0</v>
      </c>
      <c r="T1958">
        <f>Data!N1975</f>
        <v>0</v>
      </c>
      <c r="U1958">
        <f>Data!O1975</f>
        <v>0</v>
      </c>
      <c r="V1958" s="33">
        <f>Data!P1973</f>
        <v>0</v>
      </c>
    </row>
    <row r="1959" spans="7:22" x14ac:dyDescent="0.25">
      <c r="G1959">
        <f>Data!A1972</f>
        <v>0</v>
      </c>
      <c r="H1959" s="21">
        <f>Data!B1972</f>
        <v>0</v>
      </c>
      <c r="I1959" s="21">
        <f>Data!C1972</f>
        <v>0</v>
      </c>
      <c r="J1959">
        <f>Data!D1972</f>
        <v>0</v>
      </c>
      <c r="K1959">
        <f>Data!E1972</f>
        <v>0</v>
      </c>
      <c r="L1959">
        <f>Data!F1972</f>
        <v>0</v>
      </c>
      <c r="M1959">
        <f>Data!G1972</f>
        <v>0</v>
      </c>
      <c r="N1959">
        <f>Data!H1972</f>
        <v>0</v>
      </c>
      <c r="O1959">
        <f>Data!I1972</f>
        <v>0</v>
      </c>
      <c r="P1959" s="21">
        <f>Data!J1976</f>
        <v>0</v>
      </c>
      <c r="Q1959">
        <f>Data!K1976</f>
        <v>0</v>
      </c>
      <c r="R1959">
        <f>Data!L1976</f>
        <v>0</v>
      </c>
      <c r="S1959">
        <f>Data!M1976</f>
        <v>0</v>
      </c>
      <c r="T1959">
        <f>Data!N1976</f>
        <v>0</v>
      </c>
      <c r="U1959">
        <f>Data!O1976</f>
        <v>0</v>
      </c>
      <c r="V1959" s="33">
        <f>Data!P1974</f>
        <v>0</v>
      </c>
    </row>
    <row r="1960" spans="7:22" x14ac:dyDescent="0.25">
      <c r="G1960">
        <f>Data!A1973</f>
        <v>0</v>
      </c>
      <c r="H1960" s="21">
        <f>Data!B1973</f>
        <v>0</v>
      </c>
      <c r="I1960" s="21">
        <f>Data!C1973</f>
        <v>0</v>
      </c>
      <c r="J1960">
        <f>Data!D1973</f>
        <v>0</v>
      </c>
      <c r="K1960">
        <f>Data!E1973</f>
        <v>0</v>
      </c>
      <c r="L1960">
        <f>Data!F1973</f>
        <v>0</v>
      </c>
      <c r="M1960">
        <f>Data!G1973</f>
        <v>0</v>
      </c>
      <c r="N1960">
        <f>Data!H1973</f>
        <v>0</v>
      </c>
      <c r="O1960">
        <f>Data!I1973</f>
        <v>0</v>
      </c>
      <c r="P1960" s="21">
        <f>Data!J1977</f>
        <v>0</v>
      </c>
      <c r="Q1960">
        <f>Data!K1977</f>
        <v>0</v>
      </c>
      <c r="R1960">
        <f>Data!L1977</f>
        <v>0</v>
      </c>
      <c r="S1960">
        <f>Data!M1977</f>
        <v>0</v>
      </c>
      <c r="T1960">
        <f>Data!N1977</f>
        <v>0</v>
      </c>
      <c r="U1960">
        <f>Data!O1977</f>
        <v>0</v>
      </c>
      <c r="V1960" s="33">
        <f>Data!P1975</f>
        <v>0</v>
      </c>
    </row>
    <row r="1961" spans="7:22" x14ac:dyDescent="0.25">
      <c r="G1961">
        <f>Data!A1974</f>
        <v>0</v>
      </c>
      <c r="H1961" s="21">
        <f>Data!B1974</f>
        <v>0</v>
      </c>
      <c r="I1961" s="21">
        <f>Data!C1974</f>
        <v>0</v>
      </c>
      <c r="J1961">
        <f>Data!D1974</f>
        <v>0</v>
      </c>
      <c r="K1961">
        <f>Data!E1974</f>
        <v>0</v>
      </c>
      <c r="L1961">
        <f>Data!F1974</f>
        <v>0</v>
      </c>
      <c r="M1961">
        <f>Data!G1974</f>
        <v>0</v>
      </c>
      <c r="N1961">
        <f>Data!H1974</f>
        <v>0</v>
      </c>
      <c r="O1961">
        <f>Data!I1974</f>
        <v>0</v>
      </c>
      <c r="P1961" s="21">
        <f>Data!J1978</f>
        <v>0</v>
      </c>
      <c r="Q1961">
        <f>Data!K1978</f>
        <v>0</v>
      </c>
      <c r="R1961">
        <f>Data!L1978</f>
        <v>0</v>
      </c>
      <c r="S1961">
        <f>Data!M1978</f>
        <v>0</v>
      </c>
      <c r="T1961">
        <f>Data!N1978</f>
        <v>0</v>
      </c>
      <c r="U1961">
        <f>Data!O1978</f>
        <v>0</v>
      </c>
      <c r="V1961" s="33">
        <f>Data!P1976</f>
        <v>0</v>
      </c>
    </row>
    <row r="1962" spans="7:22" x14ac:dyDescent="0.25">
      <c r="G1962">
        <f>Data!A1975</f>
        <v>0</v>
      </c>
      <c r="H1962" s="21">
        <f>Data!B1975</f>
        <v>0</v>
      </c>
      <c r="I1962" s="21">
        <f>Data!C1975</f>
        <v>0</v>
      </c>
      <c r="J1962">
        <f>Data!D1975</f>
        <v>0</v>
      </c>
      <c r="K1962">
        <f>Data!E1975</f>
        <v>0</v>
      </c>
      <c r="L1962">
        <f>Data!F1975</f>
        <v>0</v>
      </c>
      <c r="M1962">
        <f>Data!G1975</f>
        <v>0</v>
      </c>
      <c r="N1962">
        <f>Data!H1975</f>
        <v>0</v>
      </c>
      <c r="O1962">
        <f>Data!I1975</f>
        <v>0</v>
      </c>
      <c r="P1962" s="21">
        <f>Data!J1979</f>
        <v>0</v>
      </c>
      <c r="Q1962">
        <f>Data!K1979</f>
        <v>0</v>
      </c>
      <c r="R1962">
        <f>Data!L1979</f>
        <v>0</v>
      </c>
      <c r="S1962">
        <f>Data!M1979</f>
        <v>0</v>
      </c>
      <c r="T1962">
        <f>Data!N1979</f>
        <v>0</v>
      </c>
      <c r="U1962">
        <f>Data!O1979</f>
        <v>0</v>
      </c>
      <c r="V1962" s="33">
        <f>Data!P1977</f>
        <v>0</v>
      </c>
    </row>
    <row r="1963" spans="7:22" x14ac:dyDescent="0.25">
      <c r="G1963">
        <f>Data!A1976</f>
        <v>0</v>
      </c>
      <c r="H1963" s="21">
        <f>Data!B1976</f>
        <v>0</v>
      </c>
      <c r="I1963" s="21">
        <f>Data!C1976</f>
        <v>0</v>
      </c>
      <c r="J1963">
        <f>Data!D1976</f>
        <v>0</v>
      </c>
      <c r="K1963">
        <f>Data!E1976</f>
        <v>0</v>
      </c>
      <c r="L1963">
        <f>Data!F1976</f>
        <v>0</v>
      </c>
      <c r="M1963">
        <f>Data!G1976</f>
        <v>0</v>
      </c>
      <c r="N1963">
        <f>Data!H1976</f>
        <v>0</v>
      </c>
      <c r="O1963">
        <f>Data!I1976</f>
        <v>0</v>
      </c>
      <c r="P1963" s="21">
        <f>Data!J1980</f>
        <v>0</v>
      </c>
      <c r="Q1963">
        <f>Data!K1980</f>
        <v>0</v>
      </c>
      <c r="R1963">
        <f>Data!L1980</f>
        <v>0</v>
      </c>
      <c r="S1963">
        <f>Data!M1980</f>
        <v>0</v>
      </c>
      <c r="T1963">
        <f>Data!N1980</f>
        <v>0</v>
      </c>
      <c r="U1963">
        <f>Data!O1980</f>
        <v>0</v>
      </c>
      <c r="V1963" s="33">
        <f>Data!P1978</f>
        <v>0</v>
      </c>
    </row>
    <row r="1964" spans="7:22" x14ac:dyDescent="0.25">
      <c r="G1964">
        <f>Data!A1977</f>
        <v>0</v>
      </c>
      <c r="H1964" s="21">
        <f>Data!B1977</f>
        <v>0</v>
      </c>
      <c r="I1964" s="21">
        <f>Data!C1977</f>
        <v>0</v>
      </c>
      <c r="J1964">
        <f>Data!D1977</f>
        <v>0</v>
      </c>
      <c r="K1964">
        <f>Data!E1977</f>
        <v>0</v>
      </c>
      <c r="L1964">
        <f>Data!F1977</f>
        <v>0</v>
      </c>
      <c r="M1964">
        <f>Data!G1977</f>
        <v>0</v>
      </c>
      <c r="N1964">
        <f>Data!H1977</f>
        <v>0</v>
      </c>
      <c r="O1964">
        <f>Data!I1977</f>
        <v>0</v>
      </c>
      <c r="P1964" s="21">
        <f>Data!J1981</f>
        <v>0</v>
      </c>
      <c r="Q1964">
        <f>Data!K1981</f>
        <v>0</v>
      </c>
      <c r="R1964">
        <f>Data!L1981</f>
        <v>0</v>
      </c>
      <c r="S1964">
        <f>Data!M1981</f>
        <v>0</v>
      </c>
      <c r="T1964">
        <f>Data!N1981</f>
        <v>0</v>
      </c>
      <c r="U1964">
        <f>Data!O1981</f>
        <v>0</v>
      </c>
      <c r="V1964" s="33">
        <f>Data!P1979</f>
        <v>0</v>
      </c>
    </row>
    <row r="1965" spans="7:22" x14ac:dyDescent="0.25">
      <c r="G1965">
        <f>Data!A1978</f>
        <v>0</v>
      </c>
      <c r="H1965" s="21">
        <f>Data!B1978</f>
        <v>0</v>
      </c>
      <c r="I1965" s="21">
        <f>Data!C1978</f>
        <v>0</v>
      </c>
      <c r="J1965">
        <f>Data!D1978</f>
        <v>0</v>
      </c>
      <c r="K1965">
        <f>Data!E1978</f>
        <v>0</v>
      </c>
      <c r="L1965">
        <f>Data!F1978</f>
        <v>0</v>
      </c>
      <c r="M1965">
        <f>Data!G1978</f>
        <v>0</v>
      </c>
      <c r="N1965">
        <f>Data!H1978</f>
        <v>0</v>
      </c>
      <c r="O1965">
        <f>Data!I1978</f>
        <v>0</v>
      </c>
      <c r="P1965" s="21">
        <f>Data!J1982</f>
        <v>0</v>
      </c>
      <c r="Q1965">
        <f>Data!K1982</f>
        <v>0</v>
      </c>
      <c r="R1965">
        <f>Data!L1982</f>
        <v>0</v>
      </c>
      <c r="S1965">
        <f>Data!M1982</f>
        <v>0</v>
      </c>
      <c r="T1965">
        <f>Data!N1982</f>
        <v>0</v>
      </c>
      <c r="U1965">
        <f>Data!O1982</f>
        <v>0</v>
      </c>
      <c r="V1965" s="33">
        <f>Data!P1980</f>
        <v>0</v>
      </c>
    </row>
    <row r="1966" spans="7:22" x14ac:dyDescent="0.25">
      <c r="G1966">
        <f>Data!A1979</f>
        <v>0</v>
      </c>
      <c r="H1966" s="21">
        <f>Data!B1979</f>
        <v>0</v>
      </c>
      <c r="I1966" s="21">
        <f>Data!C1979</f>
        <v>0</v>
      </c>
      <c r="J1966">
        <f>Data!D1979</f>
        <v>0</v>
      </c>
      <c r="K1966">
        <f>Data!E1979</f>
        <v>0</v>
      </c>
      <c r="L1966">
        <f>Data!F1979</f>
        <v>0</v>
      </c>
      <c r="M1966">
        <f>Data!G1979</f>
        <v>0</v>
      </c>
      <c r="N1966">
        <f>Data!H1979</f>
        <v>0</v>
      </c>
      <c r="O1966">
        <f>Data!I1979</f>
        <v>0</v>
      </c>
      <c r="P1966" s="21">
        <f>Data!J1983</f>
        <v>0</v>
      </c>
      <c r="Q1966">
        <f>Data!K1983</f>
        <v>0</v>
      </c>
      <c r="R1966">
        <f>Data!L1983</f>
        <v>0</v>
      </c>
      <c r="S1966">
        <f>Data!M1983</f>
        <v>0</v>
      </c>
      <c r="T1966">
        <f>Data!N1983</f>
        <v>0</v>
      </c>
      <c r="U1966">
        <f>Data!O1983</f>
        <v>0</v>
      </c>
      <c r="V1966" s="33">
        <f>Data!P1981</f>
        <v>0</v>
      </c>
    </row>
    <row r="1967" spans="7:22" x14ac:dyDescent="0.25">
      <c r="G1967">
        <f>Data!A1980</f>
        <v>0</v>
      </c>
      <c r="H1967" s="21">
        <f>Data!B1980</f>
        <v>0</v>
      </c>
      <c r="I1967" s="21">
        <f>Data!C1980</f>
        <v>0</v>
      </c>
      <c r="J1967">
        <f>Data!D1980</f>
        <v>0</v>
      </c>
      <c r="K1967">
        <f>Data!E1980</f>
        <v>0</v>
      </c>
      <c r="L1967">
        <f>Data!F1980</f>
        <v>0</v>
      </c>
      <c r="M1967">
        <f>Data!G1980</f>
        <v>0</v>
      </c>
      <c r="N1967">
        <f>Data!H1980</f>
        <v>0</v>
      </c>
      <c r="O1967">
        <f>Data!I1980</f>
        <v>0</v>
      </c>
      <c r="P1967" s="21">
        <f>Data!J1984</f>
        <v>0</v>
      </c>
      <c r="Q1967">
        <f>Data!K1984</f>
        <v>0</v>
      </c>
      <c r="R1967">
        <f>Data!L1984</f>
        <v>0</v>
      </c>
      <c r="S1967">
        <f>Data!M1984</f>
        <v>0</v>
      </c>
      <c r="T1967">
        <f>Data!N1984</f>
        <v>0</v>
      </c>
      <c r="U1967">
        <f>Data!O1984</f>
        <v>0</v>
      </c>
      <c r="V1967" s="33">
        <f>Data!P1982</f>
        <v>0</v>
      </c>
    </row>
    <row r="1968" spans="7:22" x14ac:dyDescent="0.25">
      <c r="G1968">
        <f>Data!A1981</f>
        <v>0</v>
      </c>
      <c r="H1968" s="21">
        <f>Data!B1981</f>
        <v>0</v>
      </c>
      <c r="I1968" s="21">
        <f>Data!C1981</f>
        <v>0</v>
      </c>
      <c r="J1968">
        <f>Data!D1981</f>
        <v>0</v>
      </c>
      <c r="K1968">
        <f>Data!E1981</f>
        <v>0</v>
      </c>
      <c r="L1968">
        <f>Data!F1981</f>
        <v>0</v>
      </c>
      <c r="M1968">
        <f>Data!G1981</f>
        <v>0</v>
      </c>
      <c r="N1968">
        <f>Data!H1981</f>
        <v>0</v>
      </c>
      <c r="O1968">
        <f>Data!I1981</f>
        <v>0</v>
      </c>
      <c r="P1968" s="21">
        <f>Data!J1985</f>
        <v>0</v>
      </c>
      <c r="Q1968">
        <f>Data!K1985</f>
        <v>0</v>
      </c>
      <c r="R1968">
        <f>Data!L1985</f>
        <v>0</v>
      </c>
      <c r="S1968">
        <f>Data!M1985</f>
        <v>0</v>
      </c>
      <c r="T1968">
        <f>Data!N1985</f>
        <v>0</v>
      </c>
      <c r="U1968">
        <f>Data!O1985</f>
        <v>0</v>
      </c>
      <c r="V1968" s="33">
        <f>Data!P1983</f>
        <v>0</v>
      </c>
    </row>
    <row r="1969" spans="7:22" x14ac:dyDescent="0.25">
      <c r="G1969">
        <f>Data!A1982</f>
        <v>0</v>
      </c>
      <c r="H1969" s="21">
        <f>Data!B1982</f>
        <v>0</v>
      </c>
      <c r="I1969" s="21">
        <f>Data!C1982</f>
        <v>0</v>
      </c>
      <c r="J1969">
        <f>Data!D1982</f>
        <v>0</v>
      </c>
      <c r="K1969">
        <f>Data!E1982</f>
        <v>0</v>
      </c>
      <c r="L1969">
        <f>Data!F1982</f>
        <v>0</v>
      </c>
      <c r="M1969">
        <f>Data!G1982</f>
        <v>0</v>
      </c>
      <c r="N1969">
        <f>Data!H1982</f>
        <v>0</v>
      </c>
      <c r="O1969">
        <f>Data!I1982</f>
        <v>0</v>
      </c>
      <c r="P1969" s="21">
        <f>Data!J1986</f>
        <v>0</v>
      </c>
      <c r="Q1969">
        <f>Data!K1986</f>
        <v>0</v>
      </c>
      <c r="R1969">
        <f>Data!L1986</f>
        <v>0</v>
      </c>
      <c r="S1969">
        <f>Data!M1986</f>
        <v>0</v>
      </c>
      <c r="T1969">
        <f>Data!N1986</f>
        <v>0</v>
      </c>
      <c r="U1969">
        <f>Data!O1986</f>
        <v>0</v>
      </c>
      <c r="V1969" s="33">
        <f>Data!P1984</f>
        <v>0</v>
      </c>
    </row>
    <row r="1970" spans="7:22" x14ac:dyDescent="0.25">
      <c r="G1970">
        <f>Data!A1983</f>
        <v>0</v>
      </c>
      <c r="H1970" s="21">
        <f>Data!B1983</f>
        <v>0</v>
      </c>
      <c r="I1970" s="21">
        <f>Data!C1983</f>
        <v>0</v>
      </c>
      <c r="J1970">
        <f>Data!D1983</f>
        <v>0</v>
      </c>
      <c r="K1970">
        <f>Data!E1983</f>
        <v>0</v>
      </c>
      <c r="L1970">
        <f>Data!F1983</f>
        <v>0</v>
      </c>
      <c r="M1970">
        <f>Data!G1983</f>
        <v>0</v>
      </c>
      <c r="N1970">
        <f>Data!H1983</f>
        <v>0</v>
      </c>
      <c r="O1970">
        <f>Data!I1983</f>
        <v>0</v>
      </c>
      <c r="P1970" s="21">
        <f>Data!J1987</f>
        <v>0</v>
      </c>
      <c r="Q1970">
        <f>Data!K1987</f>
        <v>0</v>
      </c>
      <c r="R1970">
        <f>Data!L1987</f>
        <v>0</v>
      </c>
      <c r="S1970">
        <f>Data!M1987</f>
        <v>0</v>
      </c>
      <c r="T1970">
        <f>Data!N1987</f>
        <v>0</v>
      </c>
      <c r="U1970">
        <f>Data!O1987</f>
        <v>0</v>
      </c>
      <c r="V1970" s="33">
        <f>Data!P1985</f>
        <v>0</v>
      </c>
    </row>
    <row r="1971" spans="7:22" x14ac:dyDescent="0.25">
      <c r="G1971">
        <f>Data!A1984</f>
        <v>0</v>
      </c>
      <c r="H1971" s="21">
        <f>Data!B1984</f>
        <v>0</v>
      </c>
      <c r="I1971" s="21">
        <f>Data!C1984</f>
        <v>0</v>
      </c>
      <c r="J1971">
        <f>Data!D1984</f>
        <v>0</v>
      </c>
      <c r="K1971">
        <f>Data!E1984</f>
        <v>0</v>
      </c>
      <c r="L1971">
        <f>Data!F1984</f>
        <v>0</v>
      </c>
      <c r="M1971">
        <f>Data!G1984</f>
        <v>0</v>
      </c>
      <c r="N1971">
        <f>Data!H1984</f>
        <v>0</v>
      </c>
      <c r="O1971">
        <f>Data!I1984</f>
        <v>0</v>
      </c>
      <c r="P1971" s="21">
        <f>Data!J1988</f>
        <v>0</v>
      </c>
      <c r="Q1971">
        <f>Data!K1988</f>
        <v>0</v>
      </c>
      <c r="R1971">
        <f>Data!L1988</f>
        <v>0</v>
      </c>
      <c r="S1971">
        <f>Data!M1988</f>
        <v>0</v>
      </c>
      <c r="T1971">
        <f>Data!N1988</f>
        <v>0</v>
      </c>
      <c r="U1971">
        <f>Data!O1988</f>
        <v>0</v>
      </c>
      <c r="V1971" s="33">
        <f>Data!P1986</f>
        <v>0</v>
      </c>
    </row>
    <row r="1972" spans="7:22" x14ac:dyDescent="0.25">
      <c r="G1972">
        <f>Data!A1985</f>
        <v>0</v>
      </c>
      <c r="H1972" s="21">
        <f>Data!B1985</f>
        <v>0</v>
      </c>
      <c r="I1972" s="21">
        <f>Data!C1985</f>
        <v>0</v>
      </c>
      <c r="J1972">
        <f>Data!D1985</f>
        <v>0</v>
      </c>
      <c r="K1972">
        <f>Data!E1985</f>
        <v>0</v>
      </c>
      <c r="L1972">
        <f>Data!F1985</f>
        <v>0</v>
      </c>
      <c r="M1972">
        <f>Data!G1985</f>
        <v>0</v>
      </c>
      <c r="N1972">
        <f>Data!H1985</f>
        <v>0</v>
      </c>
      <c r="O1972">
        <f>Data!I1985</f>
        <v>0</v>
      </c>
      <c r="P1972" s="21">
        <f>Data!J1989</f>
        <v>0</v>
      </c>
      <c r="Q1972">
        <f>Data!K1989</f>
        <v>0</v>
      </c>
      <c r="R1972">
        <f>Data!L1989</f>
        <v>0</v>
      </c>
      <c r="S1972">
        <f>Data!M1989</f>
        <v>0</v>
      </c>
      <c r="T1972">
        <f>Data!N1989</f>
        <v>0</v>
      </c>
      <c r="U1972">
        <f>Data!O1989</f>
        <v>0</v>
      </c>
      <c r="V1972" s="33">
        <f>Data!P1987</f>
        <v>0</v>
      </c>
    </row>
    <row r="1973" spans="7:22" x14ac:dyDescent="0.25">
      <c r="G1973">
        <f>Data!A1986</f>
        <v>0</v>
      </c>
      <c r="H1973" s="21">
        <f>Data!B1986</f>
        <v>0</v>
      </c>
      <c r="I1973" s="21">
        <f>Data!C1986</f>
        <v>0</v>
      </c>
      <c r="J1973">
        <f>Data!D1986</f>
        <v>0</v>
      </c>
      <c r="K1973">
        <f>Data!E1986</f>
        <v>0</v>
      </c>
      <c r="L1973">
        <f>Data!F1986</f>
        <v>0</v>
      </c>
      <c r="M1973">
        <f>Data!G1986</f>
        <v>0</v>
      </c>
      <c r="N1973">
        <f>Data!H1986</f>
        <v>0</v>
      </c>
      <c r="O1973">
        <f>Data!I1986</f>
        <v>0</v>
      </c>
      <c r="P1973" s="21">
        <f>Data!J1990</f>
        <v>0</v>
      </c>
      <c r="Q1973">
        <f>Data!K1990</f>
        <v>0</v>
      </c>
      <c r="R1973">
        <f>Data!L1990</f>
        <v>0</v>
      </c>
      <c r="S1973">
        <f>Data!M1990</f>
        <v>0</v>
      </c>
      <c r="T1973">
        <f>Data!N1990</f>
        <v>0</v>
      </c>
      <c r="U1973">
        <f>Data!O1990</f>
        <v>0</v>
      </c>
      <c r="V1973" s="33">
        <f>Data!P1988</f>
        <v>0</v>
      </c>
    </row>
    <row r="1974" spans="7:22" x14ac:dyDescent="0.25">
      <c r="G1974">
        <f>Data!A1987</f>
        <v>0</v>
      </c>
      <c r="H1974" s="21">
        <f>Data!B1987</f>
        <v>0</v>
      </c>
      <c r="I1974" s="21">
        <f>Data!C1987</f>
        <v>0</v>
      </c>
      <c r="J1974">
        <f>Data!D1987</f>
        <v>0</v>
      </c>
      <c r="K1974">
        <f>Data!E1987</f>
        <v>0</v>
      </c>
      <c r="L1974">
        <f>Data!F1987</f>
        <v>0</v>
      </c>
      <c r="M1974">
        <f>Data!G1987</f>
        <v>0</v>
      </c>
      <c r="N1974">
        <f>Data!H1987</f>
        <v>0</v>
      </c>
      <c r="O1974">
        <f>Data!I1987</f>
        <v>0</v>
      </c>
      <c r="P1974" s="21">
        <f>Data!J1991</f>
        <v>0</v>
      </c>
      <c r="Q1974">
        <f>Data!K1991</f>
        <v>0</v>
      </c>
      <c r="R1974">
        <f>Data!L1991</f>
        <v>0</v>
      </c>
      <c r="S1974">
        <f>Data!M1991</f>
        <v>0</v>
      </c>
      <c r="T1974">
        <f>Data!N1991</f>
        <v>0</v>
      </c>
      <c r="U1974">
        <f>Data!O1991</f>
        <v>0</v>
      </c>
      <c r="V1974" s="33">
        <f>Data!P1989</f>
        <v>0</v>
      </c>
    </row>
    <row r="1975" spans="7:22" x14ac:dyDescent="0.25">
      <c r="G1975">
        <f>Data!A1988</f>
        <v>0</v>
      </c>
      <c r="H1975" s="21">
        <f>Data!B1988</f>
        <v>0</v>
      </c>
      <c r="I1975" s="21">
        <f>Data!C1988</f>
        <v>0</v>
      </c>
      <c r="J1975">
        <f>Data!D1988</f>
        <v>0</v>
      </c>
      <c r="K1975">
        <f>Data!E1988</f>
        <v>0</v>
      </c>
      <c r="L1975">
        <f>Data!F1988</f>
        <v>0</v>
      </c>
      <c r="M1975">
        <f>Data!G1988</f>
        <v>0</v>
      </c>
      <c r="N1975">
        <f>Data!H1988</f>
        <v>0</v>
      </c>
      <c r="O1975">
        <f>Data!I1988</f>
        <v>0</v>
      </c>
      <c r="P1975" s="21">
        <f>Data!J1992</f>
        <v>0</v>
      </c>
      <c r="Q1975">
        <f>Data!K1992</f>
        <v>0</v>
      </c>
      <c r="R1975">
        <f>Data!L1992</f>
        <v>0</v>
      </c>
      <c r="S1975">
        <f>Data!M1992</f>
        <v>0</v>
      </c>
      <c r="T1975">
        <f>Data!N1992</f>
        <v>0</v>
      </c>
      <c r="U1975">
        <f>Data!O1992</f>
        <v>0</v>
      </c>
      <c r="V1975" s="33">
        <f>Data!P1990</f>
        <v>0</v>
      </c>
    </row>
    <row r="1976" spans="7:22" x14ac:dyDescent="0.25">
      <c r="G1976">
        <f>Data!A1989</f>
        <v>0</v>
      </c>
      <c r="H1976" s="21">
        <f>Data!B1989</f>
        <v>0</v>
      </c>
      <c r="I1976" s="21">
        <f>Data!C1989</f>
        <v>0</v>
      </c>
      <c r="J1976">
        <f>Data!D1989</f>
        <v>0</v>
      </c>
      <c r="K1976">
        <f>Data!E1989</f>
        <v>0</v>
      </c>
      <c r="L1976">
        <f>Data!F1989</f>
        <v>0</v>
      </c>
      <c r="M1976">
        <f>Data!G1989</f>
        <v>0</v>
      </c>
      <c r="N1976">
        <f>Data!H1989</f>
        <v>0</v>
      </c>
      <c r="O1976">
        <f>Data!I1989</f>
        <v>0</v>
      </c>
      <c r="P1976" s="21">
        <f>Data!J1993</f>
        <v>0</v>
      </c>
      <c r="Q1976">
        <f>Data!K1993</f>
        <v>0</v>
      </c>
      <c r="R1976">
        <f>Data!L1993</f>
        <v>0</v>
      </c>
      <c r="S1976">
        <f>Data!M1993</f>
        <v>0</v>
      </c>
      <c r="T1976">
        <f>Data!N1993</f>
        <v>0</v>
      </c>
      <c r="U1976">
        <f>Data!O1993</f>
        <v>0</v>
      </c>
      <c r="V1976" s="33">
        <f>Data!P1991</f>
        <v>0</v>
      </c>
    </row>
    <row r="1977" spans="7:22" x14ac:dyDescent="0.25">
      <c r="G1977">
        <f>Data!A1990</f>
        <v>0</v>
      </c>
      <c r="H1977" s="21">
        <f>Data!B1990</f>
        <v>0</v>
      </c>
      <c r="I1977" s="21">
        <f>Data!C1990</f>
        <v>0</v>
      </c>
      <c r="J1977">
        <f>Data!D1990</f>
        <v>0</v>
      </c>
      <c r="K1977">
        <f>Data!E1990</f>
        <v>0</v>
      </c>
      <c r="L1977">
        <f>Data!F1990</f>
        <v>0</v>
      </c>
      <c r="M1977">
        <f>Data!G1990</f>
        <v>0</v>
      </c>
      <c r="N1977">
        <f>Data!H1990</f>
        <v>0</v>
      </c>
      <c r="O1977">
        <f>Data!I1990</f>
        <v>0</v>
      </c>
      <c r="P1977" s="21">
        <f>Data!J1994</f>
        <v>0</v>
      </c>
      <c r="Q1977">
        <f>Data!K1994</f>
        <v>0</v>
      </c>
      <c r="R1977">
        <f>Data!L1994</f>
        <v>0</v>
      </c>
      <c r="S1977">
        <f>Data!M1994</f>
        <v>0</v>
      </c>
      <c r="T1977">
        <f>Data!N1994</f>
        <v>0</v>
      </c>
      <c r="U1977">
        <f>Data!O1994</f>
        <v>0</v>
      </c>
      <c r="V1977" s="33">
        <f>Data!P1992</f>
        <v>0</v>
      </c>
    </row>
    <row r="1978" spans="7:22" x14ac:dyDescent="0.25">
      <c r="G1978">
        <f>Data!A1991</f>
        <v>0</v>
      </c>
      <c r="H1978" s="21">
        <f>Data!B1991</f>
        <v>0</v>
      </c>
      <c r="I1978" s="21">
        <f>Data!C1991</f>
        <v>0</v>
      </c>
      <c r="J1978">
        <f>Data!D1991</f>
        <v>0</v>
      </c>
      <c r="K1978">
        <f>Data!E1991</f>
        <v>0</v>
      </c>
      <c r="L1978">
        <f>Data!F1991</f>
        <v>0</v>
      </c>
      <c r="M1978">
        <f>Data!G1991</f>
        <v>0</v>
      </c>
      <c r="N1978">
        <f>Data!H1991</f>
        <v>0</v>
      </c>
      <c r="O1978">
        <f>Data!I1991</f>
        <v>0</v>
      </c>
      <c r="P1978" s="21">
        <f>Data!J1995</f>
        <v>0</v>
      </c>
      <c r="Q1978">
        <f>Data!K1995</f>
        <v>0</v>
      </c>
      <c r="R1978">
        <f>Data!L1995</f>
        <v>0</v>
      </c>
      <c r="S1978">
        <f>Data!M1995</f>
        <v>0</v>
      </c>
      <c r="T1978">
        <f>Data!N1995</f>
        <v>0</v>
      </c>
      <c r="U1978">
        <f>Data!O1995</f>
        <v>0</v>
      </c>
      <c r="V1978" s="33">
        <f>Data!P1993</f>
        <v>0</v>
      </c>
    </row>
    <row r="1979" spans="7:22" x14ac:dyDescent="0.25">
      <c r="G1979">
        <f>Data!A1992</f>
        <v>0</v>
      </c>
      <c r="H1979" s="21">
        <f>Data!B1992</f>
        <v>0</v>
      </c>
      <c r="I1979" s="21">
        <f>Data!C1992</f>
        <v>0</v>
      </c>
      <c r="J1979">
        <f>Data!D1992</f>
        <v>0</v>
      </c>
      <c r="K1979">
        <f>Data!E1992</f>
        <v>0</v>
      </c>
      <c r="L1979">
        <f>Data!F1992</f>
        <v>0</v>
      </c>
      <c r="M1979">
        <f>Data!G1992</f>
        <v>0</v>
      </c>
      <c r="N1979">
        <f>Data!H1992</f>
        <v>0</v>
      </c>
      <c r="O1979">
        <f>Data!I1992</f>
        <v>0</v>
      </c>
      <c r="P1979" s="21">
        <f>Data!J1996</f>
        <v>0</v>
      </c>
      <c r="Q1979">
        <f>Data!K1996</f>
        <v>0</v>
      </c>
      <c r="R1979">
        <f>Data!L1996</f>
        <v>0</v>
      </c>
      <c r="S1979">
        <f>Data!M1996</f>
        <v>0</v>
      </c>
      <c r="T1979">
        <f>Data!N1996</f>
        <v>0</v>
      </c>
      <c r="U1979">
        <f>Data!O1996</f>
        <v>0</v>
      </c>
      <c r="V1979" s="33">
        <f>Data!P1994</f>
        <v>0</v>
      </c>
    </row>
    <row r="1980" spans="7:22" x14ac:dyDescent="0.25">
      <c r="G1980">
        <f>Data!A1993</f>
        <v>0</v>
      </c>
      <c r="H1980" s="21">
        <f>Data!B1993</f>
        <v>0</v>
      </c>
      <c r="I1980" s="21">
        <f>Data!C1993</f>
        <v>0</v>
      </c>
      <c r="J1980">
        <f>Data!D1993</f>
        <v>0</v>
      </c>
      <c r="K1980">
        <f>Data!E1993</f>
        <v>0</v>
      </c>
      <c r="L1980">
        <f>Data!F1993</f>
        <v>0</v>
      </c>
      <c r="M1980">
        <f>Data!G1993</f>
        <v>0</v>
      </c>
      <c r="N1980">
        <f>Data!H1993</f>
        <v>0</v>
      </c>
      <c r="O1980">
        <f>Data!I1993</f>
        <v>0</v>
      </c>
      <c r="P1980" s="21">
        <f>Data!J1997</f>
        <v>0</v>
      </c>
      <c r="Q1980">
        <f>Data!K1997</f>
        <v>0</v>
      </c>
      <c r="R1980">
        <f>Data!L1997</f>
        <v>0</v>
      </c>
      <c r="S1980">
        <f>Data!M1997</f>
        <v>0</v>
      </c>
      <c r="T1980">
        <f>Data!N1997</f>
        <v>0</v>
      </c>
      <c r="U1980">
        <f>Data!O1997</f>
        <v>0</v>
      </c>
      <c r="V1980" s="33">
        <f>Data!P1995</f>
        <v>0</v>
      </c>
    </row>
    <row r="1981" spans="7:22" x14ac:dyDescent="0.25">
      <c r="G1981">
        <f>Data!A1994</f>
        <v>0</v>
      </c>
      <c r="H1981" s="21">
        <f>Data!B1994</f>
        <v>0</v>
      </c>
      <c r="I1981" s="21">
        <f>Data!C1994</f>
        <v>0</v>
      </c>
      <c r="J1981">
        <f>Data!D1994</f>
        <v>0</v>
      </c>
      <c r="K1981">
        <f>Data!E1994</f>
        <v>0</v>
      </c>
      <c r="L1981">
        <f>Data!F1994</f>
        <v>0</v>
      </c>
      <c r="M1981">
        <f>Data!G1994</f>
        <v>0</v>
      </c>
      <c r="N1981">
        <f>Data!H1994</f>
        <v>0</v>
      </c>
      <c r="O1981">
        <f>Data!I1994</f>
        <v>0</v>
      </c>
      <c r="P1981" s="21">
        <f>Data!J1998</f>
        <v>0</v>
      </c>
      <c r="Q1981">
        <f>Data!K1998</f>
        <v>0</v>
      </c>
      <c r="R1981">
        <f>Data!L1998</f>
        <v>0</v>
      </c>
      <c r="S1981">
        <f>Data!M1998</f>
        <v>0</v>
      </c>
      <c r="T1981">
        <f>Data!N1998</f>
        <v>0</v>
      </c>
      <c r="U1981">
        <f>Data!O1998</f>
        <v>0</v>
      </c>
      <c r="V1981" s="33">
        <f>Data!P1996</f>
        <v>0</v>
      </c>
    </row>
    <row r="1982" spans="7:22" x14ac:dyDescent="0.25">
      <c r="G1982">
        <f>Data!A1995</f>
        <v>0</v>
      </c>
      <c r="H1982" s="21">
        <f>Data!B1995</f>
        <v>0</v>
      </c>
      <c r="I1982" s="21">
        <f>Data!C1995</f>
        <v>0</v>
      </c>
      <c r="J1982">
        <f>Data!D1995</f>
        <v>0</v>
      </c>
      <c r="K1982">
        <f>Data!E1995</f>
        <v>0</v>
      </c>
      <c r="L1982">
        <f>Data!F1995</f>
        <v>0</v>
      </c>
      <c r="M1982">
        <f>Data!G1995</f>
        <v>0</v>
      </c>
      <c r="N1982">
        <f>Data!H1995</f>
        <v>0</v>
      </c>
      <c r="O1982">
        <f>Data!I1995</f>
        <v>0</v>
      </c>
      <c r="P1982" s="21">
        <f>Data!J1999</f>
        <v>0</v>
      </c>
      <c r="Q1982">
        <f>Data!K1999</f>
        <v>0</v>
      </c>
      <c r="R1982">
        <f>Data!L1999</f>
        <v>0</v>
      </c>
      <c r="S1982">
        <f>Data!M1999</f>
        <v>0</v>
      </c>
      <c r="T1982">
        <f>Data!N1999</f>
        <v>0</v>
      </c>
      <c r="U1982">
        <f>Data!O1999</f>
        <v>0</v>
      </c>
      <c r="V1982" s="33">
        <f>Data!P1997</f>
        <v>0</v>
      </c>
    </row>
    <row r="1983" spans="7:22" x14ac:dyDescent="0.25">
      <c r="G1983">
        <f>Data!A1996</f>
        <v>0</v>
      </c>
      <c r="H1983" s="21">
        <f>Data!B1996</f>
        <v>0</v>
      </c>
      <c r="I1983" s="21">
        <f>Data!C1996</f>
        <v>0</v>
      </c>
      <c r="J1983">
        <f>Data!D1996</f>
        <v>0</v>
      </c>
      <c r="K1983">
        <f>Data!E1996</f>
        <v>0</v>
      </c>
      <c r="L1983">
        <f>Data!F1996</f>
        <v>0</v>
      </c>
      <c r="M1983">
        <f>Data!G1996</f>
        <v>0</v>
      </c>
      <c r="N1983">
        <f>Data!H1996</f>
        <v>0</v>
      </c>
      <c r="O1983">
        <f>Data!I1996</f>
        <v>0</v>
      </c>
      <c r="P1983" s="21">
        <f>Data!J2000</f>
        <v>0</v>
      </c>
      <c r="Q1983">
        <f>Data!K2000</f>
        <v>0</v>
      </c>
      <c r="R1983">
        <f>Data!L2000</f>
        <v>0</v>
      </c>
      <c r="S1983">
        <f>Data!M2000</f>
        <v>0</v>
      </c>
      <c r="T1983">
        <f>Data!N2000</f>
        <v>0</v>
      </c>
      <c r="U1983">
        <f>Data!O2000</f>
        <v>0</v>
      </c>
      <c r="V1983" s="33">
        <f>Data!P1998</f>
        <v>0</v>
      </c>
    </row>
    <row r="1984" spans="7:22" x14ac:dyDescent="0.25">
      <c r="G1984">
        <f>Data!A1997</f>
        <v>0</v>
      </c>
      <c r="H1984" s="21">
        <f>Data!B1997</f>
        <v>0</v>
      </c>
      <c r="I1984" s="21">
        <f>Data!C1997</f>
        <v>0</v>
      </c>
      <c r="J1984">
        <f>Data!D1997</f>
        <v>0</v>
      </c>
      <c r="K1984">
        <f>Data!E1997</f>
        <v>0</v>
      </c>
      <c r="L1984">
        <f>Data!F1997</f>
        <v>0</v>
      </c>
      <c r="M1984">
        <f>Data!G1997</f>
        <v>0</v>
      </c>
      <c r="N1984">
        <f>Data!H1997</f>
        <v>0</v>
      </c>
      <c r="O1984">
        <f>Data!I1997</f>
        <v>0</v>
      </c>
      <c r="P1984" s="21">
        <f>Data!J2001</f>
        <v>0</v>
      </c>
      <c r="Q1984">
        <f>Data!K2001</f>
        <v>0</v>
      </c>
      <c r="R1984">
        <f>Data!L2001</f>
        <v>0</v>
      </c>
      <c r="S1984">
        <f>Data!M2001</f>
        <v>0</v>
      </c>
      <c r="T1984">
        <f>Data!N2001</f>
        <v>0</v>
      </c>
      <c r="U1984">
        <f>Data!O2001</f>
        <v>0</v>
      </c>
      <c r="V1984" s="33">
        <f>Data!P1999</f>
        <v>0</v>
      </c>
    </row>
    <row r="1985" spans="7:22" x14ac:dyDescent="0.25">
      <c r="G1985">
        <f>Data!A1998</f>
        <v>0</v>
      </c>
      <c r="H1985" s="21">
        <f>Data!B1998</f>
        <v>0</v>
      </c>
      <c r="I1985" s="21">
        <f>Data!C1998</f>
        <v>0</v>
      </c>
      <c r="J1985">
        <f>Data!D1998</f>
        <v>0</v>
      </c>
      <c r="K1985">
        <f>Data!E1998</f>
        <v>0</v>
      </c>
      <c r="L1985">
        <f>Data!F1998</f>
        <v>0</v>
      </c>
      <c r="M1985">
        <f>Data!G1998</f>
        <v>0</v>
      </c>
      <c r="N1985">
        <f>Data!H1998</f>
        <v>0</v>
      </c>
      <c r="O1985">
        <f>Data!I1998</f>
        <v>0</v>
      </c>
      <c r="P1985" s="21">
        <f>Data!J2002</f>
        <v>0</v>
      </c>
      <c r="Q1985">
        <f>Data!K2002</f>
        <v>0</v>
      </c>
      <c r="R1985">
        <f>Data!L2002</f>
        <v>0</v>
      </c>
      <c r="S1985">
        <f>Data!M2002</f>
        <v>0</v>
      </c>
      <c r="T1985">
        <f>Data!N2002</f>
        <v>0</v>
      </c>
      <c r="U1985">
        <f>Data!O2002</f>
        <v>0</v>
      </c>
      <c r="V1985" s="33">
        <f>Data!P2000</f>
        <v>0</v>
      </c>
    </row>
    <row r="1986" spans="7:22" x14ac:dyDescent="0.25">
      <c r="G1986">
        <f>Data!A1999</f>
        <v>0</v>
      </c>
      <c r="H1986" s="21">
        <f>Data!B1999</f>
        <v>0</v>
      </c>
      <c r="I1986" s="21">
        <f>Data!C1999</f>
        <v>0</v>
      </c>
      <c r="J1986">
        <f>Data!D1999</f>
        <v>0</v>
      </c>
      <c r="K1986">
        <f>Data!E1999</f>
        <v>0</v>
      </c>
      <c r="L1986">
        <f>Data!F1999</f>
        <v>0</v>
      </c>
      <c r="M1986">
        <f>Data!G1999</f>
        <v>0</v>
      </c>
      <c r="N1986">
        <f>Data!H1999</f>
        <v>0</v>
      </c>
      <c r="O1986">
        <f>Data!I1999</f>
        <v>0</v>
      </c>
      <c r="P1986" s="21">
        <f>Data!J2003</f>
        <v>0</v>
      </c>
      <c r="Q1986">
        <f>Data!K2003</f>
        <v>0</v>
      </c>
      <c r="R1986">
        <f>Data!L2003</f>
        <v>0</v>
      </c>
      <c r="S1986">
        <f>Data!M2003</f>
        <v>0</v>
      </c>
      <c r="T1986">
        <f>Data!N2003</f>
        <v>0</v>
      </c>
      <c r="U1986">
        <f>Data!O2003</f>
        <v>0</v>
      </c>
      <c r="V1986" s="33">
        <f>Data!P2001</f>
        <v>0</v>
      </c>
    </row>
    <row r="1987" spans="7:22" x14ac:dyDescent="0.25">
      <c r="G1987">
        <f>Data!A2000</f>
        <v>0</v>
      </c>
      <c r="H1987" s="21">
        <f>Data!B2000</f>
        <v>0</v>
      </c>
      <c r="I1987" s="21">
        <f>Data!C2000</f>
        <v>0</v>
      </c>
      <c r="J1987">
        <f>Data!D2000</f>
        <v>0</v>
      </c>
      <c r="K1987">
        <f>Data!E2000</f>
        <v>0</v>
      </c>
      <c r="L1987">
        <f>Data!F2000</f>
        <v>0</v>
      </c>
      <c r="M1987">
        <f>Data!G2000</f>
        <v>0</v>
      </c>
      <c r="N1987">
        <f>Data!H2000</f>
        <v>0</v>
      </c>
      <c r="O1987">
        <f>Data!I2000</f>
        <v>0</v>
      </c>
      <c r="P1987" s="21">
        <f>Data!J2004</f>
        <v>0</v>
      </c>
      <c r="Q1987">
        <f>Data!K2004</f>
        <v>0</v>
      </c>
      <c r="R1987">
        <f>Data!L2004</f>
        <v>0</v>
      </c>
      <c r="S1987">
        <f>Data!M2004</f>
        <v>0</v>
      </c>
      <c r="T1987">
        <f>Data!N2004</f>
        <v>0</v>
      </c>
      <c r="U1987">
        <f>Data!O2004</f>
        <v>0</v>
      </c>
      <c r="V1987" s="33">
        <f>Data!P2002</f>
        <v>0</v>
      </c>
    </row>
    <row r="1988" spans="7:22" x14ac:dyDescent="0.25">
      <c r="G1988">
        <f>Data!A2001</f>
        <v>0</v>
      </c>
      <c r="H1988" s="21">
        <f>Data!B2001</f>
        <v>0</v>
      </c>
      <c r="I1988" s="21">
        <f>Data!C2001</f>
        <v>0</v>
      </c>
      <c r="J1988">
        <f>Data!D2001</f>
        <v>0</v>
      </c>
      <c r="K1988">
        <f>Data!E2001</f>
        <v>0</v>
      </c>
      <c r="L1988">
        <f>Data!F2001</f>
        <v>0</v>
      </c>
      <c r="M1988">
        <f>Data!G2001</f>
        <v>0</v>
      </c>
      <c r="N1988">
        <f>Data!H2001</f>
        <v>0</v>
      </c>
      <c r="O1988">
        <f>Data!I2001</f>
        <v>0</v>
      </c>
      <c r="P1988" s="21">
        <f>Data!J2005</f>
        <v>0</v>
      </c>
      <c r="Q1988">
        <f>Data!K2005</f>
        <v>0</v>
      </c>
      <c r="R1988">
        <f>Data!L2005</f>
        <v>0</v>
      </c>
      <c r="S1988">
        <f>Data!M2005</f>
        <v>0</v>
      </c>
      <c r="T1988">
        <f>Data!N2005</f>
        <v>0</v>
      </c>
      <c r="U1988">
        <f>Data!O2005</f>
        <v>0</v>
      </c>
      <c r="V1988" s="33">
        <f>Data!P2003</f>
        <v>0</v>
      </c>
    </row>
    <row r="1989" spans="7:22" x14ac:dyDescent="0.25">
      <c r="G1989">
        <f>Data!A2002</f>
        <v>0</v>
      </c>
      <c r="H1989" s="21">
        <f>Data!B2002</f>
        <v>0</v>
      </c>
      <c r="I1989" s="21">
        <f>Data!C2002</f>
        <v>0</v>
      </c>
      <c r="J1989">
        <f>Data!D2002</f>
        <v>0</v>
      </c>
      <c r="K1989">
        <f>Data!E2002</f>
        <v>0</v>
      </c>
      <c r="L1989">
        <f>Data!F2002</f>
        <v>0</v>
      </c>
      <c r="M1989">
        <f>Data!G2002</f>
        <v>0</v>
      </c>
      <c r="N1989">
        <f>Data!H2002</f>
        <v>0</v>
      </c>
      <c r="O1989">
        <f>Data!I2002</f>
        <v>0</v>
      </c>
      <c r="P1989" s="21">
        <f>Data!J2006</f>
        <v>0</v>
      </c>
      <c r="Q1989">
        <f>Data!K2006</f>
        <v>0</v>
      </c>
      <c r="R1989">
        <f>Data!L2006</f>
        <v>0</v>
      </c>
      <c r="S1989">
        <f>Data!M2006</f>
        <v>0</v>
      </c>
      <c r="T1989">
        <f>Data!N2006</f>
        <v>0</v>
      </c>
      <c r="U1989">
        <f>Data!O2006</f>
        <v>0</v>
      </c>
      <c r="V1989" s="33">
        <f>Data!P2004</f>
        <v>0</v>
      </c>
    </row>
    <row r="1990" spans="7:22" x14ac:dyDescent="0.25">
      <c r="G1990">
        <f>Data!A2003</f>
        <v>0</v>
      </c>
      <c r="H1990" s="21">
        <f>Data!B2003</f>
        <v>0</v>
      </c>
      <c r="I1990" s="21">
        <f>Data!C2003</f>
        <v>0</v>
      </c>
      <c r="J1990">
        <f>Data!D2003</f>
        <v>0</v>
      </c>
      <c r="K1990">
        <f>Data!E2003</f>
        <v>0</v>
      </c>
      <c r="L1990">
        <f>Data!F2003</f>
        <v>0</v>
      </c>
      <c r="M1990">
        <f>Data!G2003</f>
        <v>0</v>
      </c>
      <c r="N1990">
        <f>Data!H2003</f>
        <v>0</v>
      </c>
      <c r="O1990">
        <f>Data!I2003</f>
        <v>0</v>
      </c>
      <c r="P1990" s="21">
        <f>Data!J2007</f>
        <v>0</v>
      </c>
      <c r="Q1990">
        <f>Data!K2007</f>
        <v>0</v>
      </c>
      <c r="R1990">
        <f>Data!L2007</f>
        <v>0</v>
      </c>
      <c r="S1990">
        <f>Data!M2007</f>
        <v>0</v>
      </c>
      <c r="T1990">
        <f>Data!N2007</f>
        <v>0</v>
      </c>
      <c r="U1990">
        <f>Data!O2007</f>
        <v>0</v>
      </c>
      <c r="V1990" s="33">
        <f>Data!P2005</f>
        <v>0</v>
      </c>
    </row>
    <row r="1991" spans="7:22" x14ac:dyDescent="0.25">
      <c r="G1991">
        <f>Data!A2004</f>
        <v>0</v>
      </c>
      <c r="H1991" s="21">
        <f>Data!B2004</f>
        <v>0</v>
      </c>
      <c r="I1991" s="21">
        <f>Data!C2004</f>
        <v>0</v>
      </c>
      <c r="J1991">
        <f>Data!D2004</f>
        <v>0</v>
      </c>
      <c r="K1991">
        <f>Data!E2004</f>
        <v>0</v>
      </c>
      <c r="L1991">
        <f>Data!F2004</f>
        <v>0</v>
      </c>
      <c r="M1991">
        <f>Data!G2004</f>
        <v>0</v>
      </c>
      <c r="N1991">
        <f>Data!H2004</f>
        <v>0</v>
      </c>
      <c r="O1991">
        <f>Data!I2004</f>
        <v>0</v>
      </c>
      <c r="P1991" s="21">
        <f>Data!J2008</f>
        <v>0</v>
      </c>
      <c r="Q1991">
        <f>Data!K2008</f>
        <v>0</v>
      </c>
      <c r="R1991">
        <f>Data!L2008</f>
        <v>0</v>
      </c>
      <c r="S1991">
        <f>Data!M2008</f>
        <v>0</v>
      </c>
      <c r="T1991">
        <f>Data!N2008</f>
        <v>0</v>
      </c>
      <c r="U1991">
        <f>Data!O2008</f>
        <v>0</v>
      </c>
      <c r="V1991" s="33">
        <f>Data!P2006</f>
        <v>0</v>
      </c>
    </row>
    <row r="1992" spans="7:22" x14ac:dyDescent="0.25">
      <c r="G1992">
        <f>Data!A2005</f>
        <v>0</v>
      </c>
      <c r="H1992" s="21">
        <f>Data!B2005</f>
        <v>0</v>
      </c>
      <c r="I1992" s="21">
        <f>Data!C2005</f>
        <v>0</v>
      </c>
      <c r="J1992">
        <f>Data!D2005</f>
        <v>0</v>
      </c>
      <c r="K1992">
        <f>Data!E2005</f>
        <v>0</v>
      </c>
      <c r="L1992">
        <f>Data!F2005</f>
        <v>0</v>
      </c>
      <c r="M1992">
        <f>Data!G2005</f>
        <v>0</v>
      </c>
      <c r="N1992">
        <f>Data!H2005</f>
        <v>0</v>
      </c>
      <c r="O1992">
        <f>Data!I2005</f>
        <v>0</v>
      </c>
      <c r="P1992" s="21">
        <f>Data!J2009</f>
        <v>0</v>
      </c>
      <c r="Q1992">
        <f>Data!K2009</f>
        <v>0</v>
      </c>
      <c r="R1992">
        <f>Data!L2009</f>
        <v>0</v>
      </c>
      <c r="S1992">
        <f>Data!M2009</f>
        <v>0</v>
      </c>
      <c r="T1992">
        <f>Data!N2009</f>
        <v>0</v>
      </c>
      <c r="U1992">
        <f>Data!O2009</f>
        <v>0</v>
      </c>
      <c r="V1992" s="33">
        <f>Data!P2007</f>
        <v>0</v>
      </c>
    </row>
    <row r="1993" spans="7:22" x14ac:dyDescent="0.25">
      <c r="G1993">
        <f>Data!A2006</f>
        <v>0</v>
      </c>
      <c r="H1993" s="21">
        <f>Data!B2006</f>
        <v>0</v>
      </c>
      <c r="I1993" s="21">
        <f>Data!C2006</f>
        <v>0</v>
      </c>
      <c r="J1993">
        <f>Data!D2006</f>
        <v>0</v>
      </c>
      <c r="K1993">
        <f>Data!E2006</f>
        <v>0</v>
      </c>
      <c r="L1993">
        <f>Data!F2006</f>
        <v>0</v>
      </c>
      <c r="M1993">
        <f>Data!G2006</f>
        <v>0</v>
      </c>
      <c r="N1993">
        <f>Data!H2006</f>
        <v>0</v>
      </c>
      <c r="O1993">
        <f>Data!I2006</f>
        <v>0</v>
      </c>
      <c r="P1993" s="21">
        <f>Data!J2010</f>
        <v>0</v>
      </c>
      <c r="Q1993">
        <f>Data!K2010</f>
        <v>0</v>
      </c>
      <c r="R1993">
        <f>Data!L2010</f>
        <v>0</v>
      </c>
      <c r="S1993">
        <f>Data!M2010</f>
        <v>0</v>
      </c>
      <c r="T1993">
        <f>Data!N2010</f>
        <v>0</v>
      </c>
      <c r="U1993">
        <f>Data!O2010</f>
        <v>0</v>
      </c>
      <c r="V1993" s="33">
        <f>Data!P2008</f>
        <v>0</v>
      </c>
    </row>
    <row r="1994" spans="7:22" x14ac:dyDescent="0.25">
      <c r="G1994">
        <f>Data!A2007</f>
        <v>0</v>
      </c>
      <c r="H1994" s="21">
        <f>Data!B2007</f>
        <v>0</v>
      </c>
      <c r="I1994" s="21">
        <f>Data!C2007</f>
        <v>0</v>
      </c>
      <c r="J1994">
        <f>Data!D2007</f>
        <v>0</v>
      </c>
      <c r="K1994">
        <f>Data!E2007</f>
        <v>0</v>
      </c>
      <c r="L1994">
        <f>Data!F2007</f>
        <v>0</v>
      </c>
      <c r="M1994">
        <f>Data!G2007</f>
        <v>0</v>
      </c>
      <c r="N1994">
        <f>Data!H2007</f>
        <v>0</v>
      </c>
      <c r="O1994">
        <f>Data!I2007</f>
        <v>0</v>
      </c>
      <c r="P1994" s="21">
        <f>Data!J2011</f>
        <v>0</v>
      </c>
      <c r="Q1994">
        <f>Data!K2011</f>
        <v>0</v>
      </c>
      <c r="R1994">
        <f>Data!L2011</f>
        <v>0</v>
      </c>
      <c r="S1994">
        <f>Data!M2011</f>
        <v>0</v>
      </c>
      <c r="T1994">
        <f>Data!N2011</f>
        <v>0</v>
      </c>
      <c r="U1994">
        <f>Data!O2011</f>
        <v>0</v>
      </c>
      <c r="V1994" s="33">
        <f>Data!P2009</f>
        <v>0</v>
      </c>
    </row>
    <row r="1995" spans="7:22" x14ac:dyDescent="0.25">
      <c r="G1995">
        <f>Data!A2008</f>
        <v>0</v>
      </c>
      <c r="H1995" s="21">
        <f>Data!B2008</f>
        <v>0</v>
      </c>
      <c r="I1995" s="21">
        <f>Data!C2008</f>
        <v>0</v>
      </c>
      <c r="J1995">
        <f>Data!D2008</f>
        <v>0</v>
      </c>
      <c r="K1995">
        <f>Data!E2008</f>
        <v>0</v>
      </c>
      <c r="L1995">
        <f>Data!F2008</f>
        <v>0</v>
      </c>
      <c r="M1995">
        <f>Data!G2008</f>
        <v>0</v>
      </c>
      <c r="N1995">
        <f>Data!H2008</f>
        <v>0</v>
      </c>
      <c r="O1995">
        <f>Data!I2008</f>
        <v>0</v>
      </c>
      <c r="P1995" s="21">
        <f>Data!J2012</f>
        <v>0</v>
      </c>
      <c r="Q1995">
        <f>Data!K2012</f>
        <v>0</v>
      </c>
      <c r="R1995">
        <f>Data!L2012</f>
        <v>0</v>
      </c>
      <c r="S1995">
        <f>Data!M2012</f>
        <v>0</v>
      </c>
      <c r="T1995">
        <f>Data!N2012</f>
        <v>0</v>
      </c>
      <c r="U1995">
        <f>Data!O2012</f>
        <v>0</v>
      </c>
      <c r="V1995" s="33">
        <f>Data!P2010</f>
        <v>0</v>
      </c>
    </row>
    <row r="1996" spans="7:22" x14ac:dyDescent="0.25">
      <c r="G1996">
        <f>Data!A2009</f>
        <v>0</v>
      </c>
      <c r="H1996" s="21">
        <f>Data!B2009</f>
        <v>0</v>
      </c>
      <c r="I1996" s="21">
        <f>Data!C2009</f>
        <v>0</v>
      </c>
      <c r="J1996">
        <f>Data!D2009</f>
        <v>0</v>
      </c>
      <c r="K1996">
        <f>Data!E2009</f>
        <v>0</v>
      </c>
      <c r="L1996">
        <f>Data!F2009</f>
        <v>0</v>
      </c>
      <c r="M1996">
        <f>Data!G2009</f>
        <v>0</v>
      </c>
      <c r="N1996">
        <f>Data!H2009</f>
        <v>0</v>
      </c>
      <c r="O1996">
        <f>Data!I2009</f>
        <v>0</v>
      </c>
      <c r="P1996" s="21">
        <f>Data!J2013</f>
        <v>0</v>
      </c>
      <c r="Q1996">
        <f>Data!K2013</f>
        <v>0</v>
      </c>
      <c r="R1996">
        <f>Data!L2013</f>
        <v>0</v>
      </c>
      <c r="S1996">
        <f>Data!M2013</f>
        <v>0</v>
      </c>
      <c r="T1996">
        <f>Data!N2013</f>
        <v>0</v>
      </c>
      <c r="U1996">
        <f>Data!O2013</f>
        <v>0</v>
      </c>
      <c r="V1996" s="33">
        <f>Data!P2011</f>
        <v>0</v>
      </c>
    </row>
    <row r="1997" spans="7:22" x14ac:dyDescent="0.25">
      <c r="G1997">
        <f>Data!A2010</f>
        <v>0</v>
      </c>
      <c r="H1997" s="21">
        <f>Data!B2010</f>
        <v>0</v>
      </c>
      <c r="I1997" s="21">
        <f>Data!C2010</f>
        <v>0</v>
      </c>
      <c r="J1997">
        <f>Data!D2010</f>
        <v>0</v>
      </c>
      <c r="K1997">
        <f>Data!E2010</f>
        <v>0</v>
      </c>
      <c r="L1997">
        <f>Data!F2010</f>
        <v>0</v>
      </c>
      <c r="M1997">
        <f>Data!G2010</f>
        <v>0</v>
      </c>
      <c r="N1997">
        <f>Data!H2010</f>
        <v>0</v>
      </c>
      <c r="O1997">
        <f>Data!I2010</f>
        <v>0</v>
      </c>
      <c r="P1997" s="21">
        <f>Data!J2014</f>
        <v>0</v>
      </c>
      <c r="Q1997">
        <f>Data!K2014</f>
        <v>0</v>
      </c>
      <c r="R1997">
        <f>Data!L2014</f>
        <v>0</v>
      </c>
      <c r="S1997">
        <f>Data!M2014</f>
        <v>0</v>
      </c>
      <c r="T1997">
        <f>Data!N2014</f>
        <v>0</v>
      </c>
      <c r="U1997">
        <f>Data!O2014</f>
        <v>0</v>
      </c>
      <c r="V1997" s="33">
        <f>Data!P2012</f>
        <v>0</v>
      </c>
    </row>
    <row r="1998" spans="7:22" x14ac:dyDescent="0.25">
      <c r="G1998">
        <f>Data!A2011</f>
        <v>0</v>
      </c>
      <c r="H1998" s="21">
        <f>Data!B2011</f>
        <v>0</v>
      </c>
      <c r="I1998" s="21">
        <f>Data!C2011</f>
        <v>0</v>
      </c>
      <c r="J1998">
        <f>Data!D2011</f>
        <v>0</v>
      </c>
      <c r="K1998">
        <f>Data!E2011</f>
        <v>0</v>
      </c>
      <c r="L1998">
        <f>Data!F2011</f>
        <v>0</v>
      </c>
      <c r="M1998">
        <f>Data!G2011</f>
        <v>0</v>
      </c>
      <c r="N1998">
        <f>Data!H2011</f>
        <v>0</v>
      </c>
      <c r="O1998">
        <f>Data!I2011</f>
        <v>0</v>
      </c>
      <c r="P1998" s="21">
        <f>Data!J2015</f>
        <v>0</v>
      </c>
      <c r="Q1998">
        <f>Data!K2015</f>
        <v>0</v>
      </c>
      <c r="R1998">
        <f>Data!L2015</f>
        <v>0</v>
      </c>
      <c r="S1998">
        <f>Data!M2015</f>
        <v>0</v>
      </c>
      <c r="T1998">
        <f>Data!N2015</f>
        <v>0</v>
      </c>
      <c r="U1998">
        <f>Data!O2015</f>
        <v>0</v>
      </c>
      <c r="V1998" s="33">
        <f>Data!P2013</f>
        <v>0</v>
      </c>
    </row>
    <row r="1999" spans="7:22" x14ac:dyDescent="0.25">
      <c r="G1999">
        <f>Data!A2012</f>
        <v>0</v>
      </c>
      <c r="H1999" s="21">
        <f>Data!B2012</f>
        <v>0</v>
      </c>
      <c r="I1999" s="21">
        <f>Data!C2012</f>
        <v>0</v>
      </c>
      <c r="J1999">
        <f>Data!D2012</f>
        <v>0</v>
      </c>
      <c r="K1999">
        <f>Data!E2012</f>
        <v>0</v>
      </c>
      <c r="L1999">
        <f>Data!F2012</f>
        <v>0</v>
      </c>
      <c r="M1999">
        <f>Data!G2012</f>
        <v>0</v>
      </c>
      <c r="N1999">
        <f>Data!H2012</f>
        <v>0</v>
      </c>
      <c r="O1999">
        <f>Data!I2012</f>
        <v>0</v>
      </c>
      <c r="P1999" s="21">
        <f>Data!J2016</f>
        <v>0</v>
      </c>
      <c r="Q1999">
        <f>Data!K2016</f>
        <v>0</v>
      </c>
      <c r="R1999">
        <f>Data!L2016</f>
        <v>0</v>
      </c>
      <c r="S1999">
        <f>Data!M2016</f>
        <v>0</v>
      </c>
      <c r="T1999">
        <f>Data!N2016</f>
        <v>0</v>
      </c>
      <c r="U1999">
        <f>Data!O2016</f>
        <v>0</v>
      </c>
      <c r="V1999" s="33">
        <f>Data!P2014</f>
        <v>0</v>
      </c>
    </row>
    <row r="2000" spans="7:22" x14ac:dyDescent="0.25">
      <c r="G2000">
        <f>Data!A2013</f>
        <v>0</v>
      </c>
      <c r="H2000" s="21">
        <f>Data!B2013</f>
        <v>0</v>
      </c>
      <c r="I2000" s="21">
        <f>Data!C2013</f>
        <v>0</v>
      </c>
      <c r="J2000">
        <f>Data!D2013</f>
        <v>0</v>
      </c>
      <c r="K2000">
        <f>Data!E2013</f>
        <v>0</v>
      </c>
      <c r="L2000">
        <f>Data!F2013</f>
        <v>0</v>
      </c>
      <c r="M2000">
        <f>Data!G2013</f>
        <v>0</v>
      </c>
      <c r="N2000">
        <f>Data!H2013</f>
        <v>0</v>
      </c>
      <c r="O2000">
        <f>Data!I2013</f>
        <v>0</v>
      </c>
      <c r="P2000" s="21">
        <f>Data!J2017</f>
        <v>0</v>
      </c>
      <c r="Q2000">
        <f>Data!K2017</f>
        <v>0</v>
      </c>
      <c r="R2000">
        <f>Data!L2017</f>
        <v>0</v>
      </c>
      <c r="S2000">
        <f>Data!M2017</f>
        <v>0</v>
      </c>
      <c r="T2000">
        <f>Data!N2017</f>
        <v>0</v>
      </c>
      <c r="U2000">
        <f>Data!O2017</f>
        <v>0</v>
      </c>
      <c r="V2000" s="33">
        <f>Data!P2015</f>
        <v>0</v>
      </c>
    </row>
    <row r="2001" spans="7:22" x14ac:dyDescent="0.25">
      <c r="G2001">
        <f>Data!A2014</f>
        <v>0</v>
      </c>
      <c r="H2001" s="21">
        <f>Data!B2014</f>
        <v>0</v>
      </c>
      <c r="I2001" s="21">
        <f>Data!C2014</f>
        <v>0</v>
      </c>
      <c r="J2001">
        <f>Data!D2014</f>
        <v>0</v>
      </c>
      <c r="K2001">
        <f>Data!E2014</f>
        <v>0</v>
      </c>
      <c r="L2001">
        <f>Data!F2014</f>
        <v>0</v>
      </c>
      <c r="M2001">
        <f>Data!G2014</f>
        <v>0</v>
      </c>
      <c r="N2001">
        <f>Data!H2014</f>
        <v>0</v>
      </c>
      <c r="O2001">
        <f>Data!I2014</f>
        <v>0</v>
      </c>
      <c r="P2001" s="21">
        <f>Data!J2018</f>
        <v>0</v>
      </c>
      <c r="Q2001">
        <f>Data!K2018</f>
        <v>0</v>
      </c>
      <c r="R2001">
        <f>Data!L2018</f>
        <v>0</v>
      </c>
      <c r="S2001">
        <f>Data!M2018</f>
        <v>0</v>
      </c>
      <c r="T2001">
        <f>Data!N2018</f>
        <v>0</v>
      </c>
      <c r="U2001">
        <f>Data!O2018</f>
        <v>0</v>
      </c>
      <c r="V2001" s="33">
        <f>Data!P2016</f>
        <v>0</v>
      </c>
    </row>
    <row r="2002" spans="7:22" x14ac:dyDescent="0.25">
      <c r="G2002">
        <f>Data!A2015</f>
        <v>0</v>
      </c>
      <c r="H2002" s="21">
        <f>Data!B2015</f>
        <v>0</v>
      </c>
      <c r="I2002" s="21">
        <f>Data!C2015</f>
        <v>0</v>
      </c>
      <c r="J2002">
        <f>Data!D2015</f>
        <v>0</v>
      </c>
      <c r="K2002">
        <f>Data!E2015</f>
        <v>0</v>
      </c>
      <c r="L2002">
        <f>Data!F2015</f>
        <v>0</v>
      </c>
      <c r="M2002">
        <f>Data!G2015</f>
        <v>0</v>
      </c>
      <c r="N2002">
        <f>Data!H2015</f>
        <v>0</v>
      </c>
      <c r="O2002">
        <f>Data!I2015</f>
        <v>0</v>
      </c>
      <c r="P2002" s="21">
        <f>Data!J2019</f>
        <v>0</v>
      </c>
      <c r="Q2002">
        <f>Data!K2019</f>
        <v>0</v>
      </c>
      <c r="R2002">
        <f>Data!L2019</f>
        <v>0</v>
      </c>
      <c r="S2002">
        <f>Data!M2019</f>
        <v>0</v>
      </c>
      <c r="T2002">
        <f>Data!N2019</f>
        <v>0</v>
      </c>
      <c r="U2002">
        <f>Data!O2019</f>
        <v>0</v>
      </c>
      <c r="V2002" s="33">
        <f>Data!P2017</f>
        <v>0</v>
      </c>
    </row>
    <row r="2003" spans="7:22" x14ac:dyDescent="0.25">
      <c r="G2003">
        <f>Data!A2016</f>
        <v>0</v>
      </c>
      <c r="H2003" s="21">
        <f>Data!B2016</f>
        <v>0</v>
      </c>
      <c r="I2003" s="21">
        <f>Data!C2016</f>
        <v>0</v>
      </c>
      <c r="J2003">
        <f>Data!D2016</f>
        <v>0</v>
      </c>
      <c r="K2003">
        <f>Data!E2016</f>
        <v>0</v>
      </c>
      <c r="L2003">
        <f>Data!F2016</f>
        <v>0</v>
      </c>
      <c r="M2003">
        <f>Data!G2016</f>
        <v>0</v>
      </c>
      <c r="N2003">
        <f>Data!H2016</f>
        <v>0</v>
      </c>
      <c r="O2003">
        <f>Data!I2016</f>
        <v>0</v>
      </c>
      <c r="P2003" s="21">
        <f>Data!J2020</f>
        <v>0</v>
      </c>
      <c r="Q2003">
        <f>Data!K2020</f>
        <v>0</v>
      </c>
      <c r="R2003">
        <f>Data!L2020</f>
        <v>0</v>
      </c>
      <c r="S2003">
        <f>Data!M2020</f>
        <v>0</v>
      </c>
      <c r="T2003">
        <f>Data!N2020</f>
        <v>0</v>
      </c>
      <c r="U2003">
        <f>Data!O2020</f>
        <v>0</v>
      </c>
      <c r="V2003" s="33">
        <f>Data!P2018</f>
        <v>0</v>
      </c>
    </row>
    <row r="2004" spans="7:22" x14ac:dyDescent="0.25">
      <c r="G2004">
        <f>Data!A2017</f>
        <v>0</v>
      </c>
      <c r="H2004" s="21">
        <f>Data!B2017</f>
        <v>0</v>
      </c>
      <c r="I2004" s="21">
        <f>Data!C2017</f>
        <v>0</v>
      </c>
      <c r="J2004">
        <f>Data!D2017</f>
        <v>0</v>
      </c>
      <c r="K2004">
        <f>Data!E2017</f>
        <v>0</v>
      </c>
      <c r="L2004">
        <f>Data!F2017</f>
        <v>0</v>
      </c>
      <c r="M2004">
        <f>Data!G2017</f>
        <v>0</v>
      </c>
      <c r="N2004">
        <f>Data!H2017</f>
        <v>0</v>
      </c>
      <c r="O2004">
        <f>Data!I2017</f>
        <v>0</v>
      </c>
      <c r="P2004" s="21">
        <f>Data!J2021</f>
        <v>0</v>
      </c>
      <c r="Q2004">
        <f>Data!K2021</f>
        <v>0</v>
      </c>
      <c r="R2004">
        <f>Data!L2021</f>
        <v>0</v>
      </c>
      <c r="S2004">
        <f>Data!M2021</f>
        <v>0</v>
      </c>
      <c r="T2004">
        <f>Data!N2021</f>
        <v>0</v>
      </c>
      <c r="U2004">
        <f>Data!O2021</f>
        <v>0</v>
      </c>
      <c r="V2004" s="33">
        <f>Data!P2019</f>
        <v>0</v>
      </c>
    </row>
    <row r="2005" spans="7:22" x14ac:dyDescent="0.25">
      <c r="G2005">
        <f>Data!A2018</f>
        <v>0</v>
      </c>
      <c r="H2005" s="21">
        <f>Data!B2018</f>
        <v>0</v>
      </c>
      <c r="I2005" s="21">
        <f>Data!C2018</f>
        <v>0</v>
      </c>
      <c r="J2005">
        <f>Data!D2018</f>
        <v>0</v>
      </c>
      <c r="K2005">
        <f>Data!E2018</f>
        <v>0</v>
      </c>
      <c r="L2005">
        <f>Data!F2018</f>
        <v>0</v>
      </c>
      <c r="M2005">
        <f>Data!G2018</f>
        <v>0</v>
      </c>
      <c r="N2005">
        <f>Data!H2018</f>
        <v>0</v>
      </c>
      <c r="O2005">
        <f>Data!I2018</f>
        <v>0</v>
      </c>
      <c r="P2005" s="21">
        <f>Data!J2022</f>
        <v>0</v>
      </c>
      <c r="Q2005">
        <f>Data!K2022</f>
        <v>0</v>
      </c>
      <c r="R2005">
        <f>Data!L2022</f>
        <v>0</v>
      </c>
      <c r="S2005">
        <f>Data!M2022</f>
        <v>0</v>
      </c>
      <c r="T2005">
        <f>Data!N2022</f>
        <v>0</v>
      </c>
      <c r="U2005">
        <f>Data!O2022</f>
        <v>0</v>
      </c>
      <c r="V2005" s="33">
        <f>Data!P2020</f>
        <v>0</v>
      </c>
    </row>
    <row r="2006" spans="7:22" x14ac:dyDescent="0.25">
      <c r="G2006">
        <f>Data!A2019</f>
        <v>0</v>
      </c>
      <c r="H2006" s="21">
        <f>Data!B2019</f>
        <v>0</v>
      </c>
      <c r="I2006" s="21">
        <f>Data!C2019</f>
        <v>0</v>
      </c>
      <c r="J2006">
        <f>Data!D2019</f>
        <v>0</v>
      </c>
      <c r="K2006">
        <f>Data!E2019</f>
        <v>0</v>
      </c>
      <c r="L2006">
        <f>Data!F2019</f>
        <v>0</v>
      </c>
      <c r="M2006">
        <f>Data!G2019</f>
        <v>0</v>
      </c>
      <c r="N2006">
        <f>Data!H2019</f>
        <v>0</v>
      </c>
      <c r="O2006">
        <f>Data!I2019</f>
        <v>0</v>
      </c>
      <c r="P2006" s="21">
        <f>Data!J2023</f>
        <v>0</v>
      </c>
      <c r="Q2006">
        <f>Data!K2023</f>
        <v>0</v>
      </c>
      <c r="R2006">
        <f>Data!L2023</f>
        <v>0</v>
      </c>
      <c r="S2006">
        <f>Data!M2023</f>
        <v>0</v>
      </c>
      <c r="T2006">
        <f>Data!N2023</f>
        <v>0</v>
      </c>
      <c r="U2006">
        <f>Data!O2023</f>
        <v>0</v>
      </c>
      <c r="V2006" s="33">
        <f>Data!P2021</f>
        <v>0</v>
      </c>
    </row>
    <row r="2007" spans="7:22" x14ac:dyDescent="0.25">
      <c r="G2007">
        <f>Data!A2020</f>
        <v>0</v>
      </c>
      <c r="H2007" s="21">
        <f>Data!B2020</f>
        <v>0</v>
      </c>
      <c r="I2007" s="21">
        <f>Data!C2020</f>
        <v>0</v>
      </c>
      <c r="J2007">
        <f>Data!D2020</f>
        <v>0</v>
      </c>
      <c r="K2007">
        <f>Data!E2020</f>
        <v>0</v>
      </c>
      <c r="L2007">
        <f>Data!F2020</f>
        <v>0</v>
      </c>
      <c r="M2007">
        <f>Data!G2020</f>
        <v>0</v>
      </c>
      <c r="N2007">
        <f>Data!H2020</f>
        <v>0</v>
      </c>
      <c r="O2007">
        <f>Data!I2020</f>
        <v>0</v>
      </c>
      <c r="P2007" s="21">
        <f>Data!J2024</f>
        <v>0</v>
      </c>
      <c r="Q2007">
        <f>Data!K2024</f>
        <v>0</v>
      </c>
      <c r="R2007">
        <f>Data!L2024</f>
        <v>0</v>
      </c>
      <c r="S2007">
        <f>Data!M2024</f>
        <v>0</v>
      </c>
      <c r="T2007">
        <f>Data!N2024</f>
        <v>0</v>
      </c>
      <c r="U2007">
        <f>Data!O2024</f>
        <v>0</v>
      </c>
      <c r="V2007" s="33">
        <f>Data!P2022</f>
        <v>0</v>
      </c>
    </row>
    <row r="2008" spans="7:22" x14ac:dyDescent="0.25">
      <c r="G2008">
        <f>Data!A2021</f>
        <v>0</v>
      </c>
      <c r="H2008" s="21">
        <f>Data!B2021</f>
        <v>0</v>
      </c>
      <c r="I2008" s="21">
        <f>Data!C2021</f>
        <v>0</v>
      </c>
      <c r="J2008">
        <f>Data!D2021</f>
        <v>0</v>
      </c>
      <c r="K2008">
        <f>Data!E2021</f>
        <v>0</v>
      </c>
      <c r="L2008">
        <f>Data!F2021</f>
        <v>0</v>
      </c>
      <c r="M2008">
        <f>Data!G2021</f>
        <v>0</v>
      </c>
      <c r="N2008">
        <f>Data!H2021</f>
        <v>0</v>
      </c>
      <c r="O2008">
        <f>Data!I2021</f>
        <v>0</v>
      </c>
      <c r="P2008" s="21">
        <f>Data!J2025</f>
        <v>0</v>
      </c>
      <c r="Q2008">
        <f>Data!K2025</f>
        <v>0</v>
      </c>
      <c r="R2008">
        <f>Data!L2025</f>
        <v>0</v>
      </c>
      <c r="S2008">
        <f>Data!M2025</f>
        <v>0</v>
      </c>
      <c r="T2008">
        <f>Data!N2025</f>
        <v>0</v>
      </c>
      <c r="U2008">
        <f>Data!O2025</f>
        <v>0</v>
      </c>
      <c r="V2008" s="33">
        <f>Data!P2023</f>
        <v>0</v>
      </c>
    </row>
    <row r="2009" spans="7:22" x14ac:dyDescent="0.25">
      <c r="G2009">
        <f>Data!A2022</f>
        <v>0</v>
      </c>
      <c r="H2009" s="21">
        <f>Data!B2022</f>
        <v>0</v>
      </c>
      <c r="I2009" s="21">
        <f>Data!C2022</f>
        <v>0</v>
      </c>
      <c r="J2009">
        <f>Data!D2022</f>
        <v>0</v>
      </c>
      <c r="K2009">
        <f>Data!E2022</f>
        <v>0</v>
      </c>
      <c r="L2009">
        <f>Data!F2022</f>
        <v>0</v>
      </c>
      <c r="M2009">
        <f>Data!G2022</f>
        <v>0</v>
      </c>
      <c r="N2009">
        <f>Data!H2022</f>
        <v>0</v>
      </c>
      <c r="O2009">
        <f>Data!I2022</f>
        <v>0</v>
      </c>
      <c r="P2009" s="21">
        <f>Data!J2026</f>
        <v>0</v>
      </c>
      <c r="Q2009">
        <f>Data!K2026</f>
        <v>0</v>
      </c>
      <c r="R2009">
        <f>Data!L2026</f>
        <v>0</v>
      </c>
      <c r="S2009">
        <f>Data!M2026</f>
        <v>0</v>
      </c>
      <c r="T2009">
        <f>Data!N2026</f>
        <v>0</v>
      </c>
      <c r="U2009">
        <f>Data!O2026</f>
        <v>0</v>
      </c>
      <c r="V2009" s="33">
        <f>Data!P2024</f>
        <v>0</v>
      </c>
    </row>
    <row r="2010" spans="7:22" x14ac:dyDescent="0.25">
      <c r="G2010">
        <f>Data!A2023</f>
        <v>0</v>
      </c>
      <c r="H2010" s="21">
        <f>Data!B2023</f>
        <v>0</v>
      </c>
      <c r="I2010" s="21">
        <f>Data!C2023</f>
        <v>0</v>
      </c>
      <c r="J2010">
        <f>Data!D2023</f>
        <v>0</v>
      </c>
      <c r="K2010">
        <f>Data!E2023</f>
        <v>0</v>
      </c>
      <c r="L2010">
        <f>Data!F2023</f>
        <v>0</v>
      </c>
      <c r="M2010">
        <f>Data!G2023</f>
        <v>0</v>
      </c>
      <c r="N2010">
        <f>Data!H2023</f>
        <v>0</v>
      </c>
      <c r="O2010">
        <f>Data!I2023</f>
        <v>0</v>
      </c>
      <c r="P2010" s="21">
        <f>Data!J2027</f>
        <v>0</v>
      </c>
      <c r="Q2010">
        <f>Data!K2027</f>
        <v>0</v>
      </c>
      <c r="R2010">
        <f>Data!L2027</f>
        <v>0</v>
      </c>
      <c r="S2010">
        <f>Data!M2027</f>
        <v>0</v>
      </c>
      <c r="T2010">
        <f>Data!N2027</f>
        <v>0</v>
      </c>
      <c r="U2010">
        <f>Data!O2027</f>
        <v>0</v>
      </c>
      <c r="V2010" s="33">
        <f>Data!P2025</f>
        <v>0</v>
      </c>
    </row>
    <row r="2011" spans="7:22" x14ac:dyDescent="0.25">
      <c r="G2011">
        <f>Data!A2024</f>
        <v>0</v>
      </c>
      <c r="H2011" s="21">
        <f>Data!B2024</f>
        <v>0</v>
      </c>
      <c r="I2011" s="21">
        <f>Data!C2024</f>
        <v>0</v>
      </c>
      <c r="J2011">
        <f>Data!D2024</f>
        <v>0</v>
      </c>
      <c r="K2011">
        <f>Data!E2024</f>
        <v>0</v>
      </c>
      <c r="L2011">
        <f>Data!F2024</f>
        <v>0</v>
      </c>
      <c r="M2011">
        <f>Data!G2024</f>
        <v>0</v>
      </c>
      <c r="N2011">
        <f>Data!H2024</f>
        <v>0</v>
      </c>
      <c r="O2011">
        <f>Data!I2024</f>
        <v>0</v>
      </c>
      <c r="P2011" s="21">
        <f>Data!J2028</f>
        <v>0</v>
      </c>
      <c r="Q2011">
        <f>Data!K2028</f>
        <v>0</v>
      </c>
      <c r="R2011">
        <f>Data!L2028</f>
        <v>0</v>
      </c>
      <c r="S2011">
        <f>Data!M2028</f>
        <v>0</v>
      </c>
      <c r="T2011">
        <f>Data!N2028</f>
        <v>0</v>
      </c>
      <c r="U2011">
        <f>Data!O2028</f>
        <v>0</v>
      </c>
      <c r="V2011" s="33">
        <f>Data!P2026</f>
        <v>0</v>
      </c>
    </row>
    <row r="2012" spans="7:22" x14ac:dyDescent="0.25">
      <c r="G2012">
        <f>Data!A2025</f>
        <v>0</v>
      </c>
      <c r="H2012" s="21">
        <f>Data!B2025</f>
        <v>0</v>
      </c>
      <c r="I2012" s="21">
        <f>Data!C2025</f>
        <v>0</v>
      </c>
      <c r="J2012">
        <f>Data!D2025</f>
        <v>0</v>
      </c>
      <c r="K2012">
        <f>Data!E2025</f>
        <v>0</v>
      </c>
      <c r="L2012">
        <f>Data!F2025</f>
        <v>0</v>
      </c>
      <c r="M2012">
        <f>Data!G2025</f>
        <v>0</v>
      </c>
      <c r="N2012">
        <f>Data!H2025</f>
        <v>0</v>
      </c>
      <c r="O2012">
        <f>Data!I2025</f>
        <v>0</v>
      </c>
      <c r="P2012" s="21">
        <f>Data!J2029</f>
        <v>0</v>
      </c>
      <c r="Q2012">
        <f>Data!K2029</f>
        <v>0</v>
      </c>
      <c r="R2012">
        <f>Data!L2029</f>
        <v>0</v>
      </c>
      <c r="S2012">
        <f>Data!M2029</f>
        <v>0</v>
      </c>
      <c r="T2012">
        <f>Data!N2029</f>
        <v>0</v>
      </c>
      <c r="U2012">
        <f>Data!O2029</f>
        <v>0</v>
      </c>
      <c r="V2012" s="33">
        <f>Data!P2027</f>
        <v>0</v>
      </c>
    </row>
    <row r="2013" spans="7:22" x14ac:dyDescent="0.25">
      <c r="G2013">
        <f>Data!A2026</f>
        <v>0</v>
      </c>
      <c r="H2013" s="21">
        <f>Data!B2026</f>
        <v>0</v>
      </c>
      <c r="I2013" s="21">
        <f>Data!C2026</f>
        <v>0</v>
      </c>
      <c r="J2013">
        <f>Data!D2026</f>
        <v>0</v>
      </c>
      <c r="K2013">
        <f>Data!E2026</f>
        <v>0</v>
      </c>
      <c r="L2013">
        <f>Data!F2026</f>
        <v>0</v>
      </c>
      <c r="M2013">
        <f>Data!G2026</f>
        <v>0</v>
      </c>
      <c r="N2013">
        <f>Data!H2026</f>
        <v>0</v>
      </c>
      <c r="O2013">
        <f>Data!I2026</f>
        <v>0</v>
      </c>
      <c r="P2013" s="21">
        <f>Data!J2030</f>
        <v>0</v>
      </c>
      <c r="Q2013">
        <f>Data!K2030</f>
        <v>0</v>
      </c>
      <c r="R2013">
        <f>Data!L2030</f>
        <v>0</v>
      </c>
      <c r="S2013">
        <f>Data!M2030</f>
        <v>0</v>
      </c>
      <c r="T2013">
        <f>Data!N2030</f>
        <v>0</v>
      </c>
      <c r="U2013">
        <f>Data!O2030</f>
        <v>0</v>
      </c>
      <c r="V2013" s="33">
        <f>Data!P2028</f>
        <v>0</v>
      </c>
    </row>
    <row r="2014" spans="7:22" x14ac:dyDescent="0.25">
      <c r="G2014">
        <f>Data!A2027</f>
        <v>0</v>
      </c>
      <c r="H2014" s="21">
        <f>Data!B2027</f>
        <v>0</v>
      </c>
      <c r="I2014" s="21">
        <f>Data!C2027</f>
        <v>0</v>
      </c>
      <c r="J2014">
        <f>Data!D2027</f>
        <v>0</v>
      </c>
      <c r="K2014">
        <f>Data!E2027</f>
        <v>0</v>
      </c>
      <c r="L2014">
        <f>Data!F2027</f>
        <v>0</v>
      </c>
      <c r="M2014">
        <f>Data!G2027</f>
        <v>0</v>
      </c>
      <c r="N2014">
        <f>Data!H2027</f>
        <v>0</v>
      </c>
      <c r="O2014">
        <f>Data!I2027</f>
        <v>0</v>
      </c>
      <c r="P2014" s="21">
        <f>Data!J2031</f>
        <v>0</v>
      </c>
      <c r="Q2014">
        <f>Data!K2031</f>
        <v>0</v>
      </c>
      <c r="R2014">
        <f>Data!L2031</f>
        <v>0</v>
      </c>
      <c r="S2014">
        <f>Data!M2031</f>
        <v>0</v>
      </c>
      <c r="T2014">
        <f>Data!N2031</f>
        <v>0</v>
      </c>
      <c r="U2014">
        <f>Data!O2031</f>
        <v>0</v>
      </c>
      <c r="V2014" s="33">
        <f>Data!P2029</f>
        <v>0</v>
      </c>
    </row>
    <row r="2015" spans="7:22" x14ac:dyDescent="0.25">
      <c r="G2015">
        <f>Data!A2028</f>
        <v>0</v>
      </c>
      <c r="H2015" s="21">
        <f>Data!B2028</f>
        <v>0</v>
      </c>
      <c r="I2015" s="21">
        <f>Data!C2028</f>
        <v>0</v>
      </c>
      <c r="J2015">
        <f>Data!D2028</f>
        <v>0</v>
      </c>
      <c r="K2015">
        <f>Data!E2028</f>
        <v>0</v>
      </c>
      <c r="L2015">
        <f>Data!F2028</f>
        <v>0</v>
      </c>
      <c r="M2015">
        <f>Data!G2028</f>
        <v>0</v>
      </c>
      <c r="N2015">
        <f>Data!H2028</f>
        <v>0</v>
      </c>
      <c r="O2015">
        <f>Data!I2028</f>
        <v>0</v>
      </c>
      <c r="P2015" s="21">
        <f>Data!J2032</f>
        <v>0</v>
      </c>
      <c r="Q2015">
        <f>Data!K2032</f>
        <v>0</v>
      </c>
      <c r="R2015">
        <f>Data!L2032</f>
        <v>0</v>
      </c>
      <c r="S2015">
        <f>Data!M2032</f>
        <v>0</v>
      </c>
      <c r="T2015">
        <f>Data!N2032</f>
        <v>0</v>
      </c>
      <c r="U2015">
        <f>Data!O2032</f>
        <v>0</v>
      </c>
      <c r="V2015" s="33">
        <f>Data!P2030</f>
        <v>0</v>
      </c>
    </row>
    <row r="2016" spans="7:22" x14ac:dyDescent="0.25">
      <c r="G2016">
        <f>Data!A2029</f>
        <v>0</v>
      </c>
      <c r="H2016" s="21">
        <f>Data!B2029</f>
        <v>0</v>
      </c>
      <c r="I2016" s="21">
        <f>Data!C2029</f>
        <v>0</v>
      </c>
      <c r="J2016">
        <f>Data!D2029</f>
        <v>0</v>
      </c>
      <c r="K2016">
        <f>Data!E2029</f>
        <v>0</v>
      </c>
      <c r="L2016">
        <f>Data!F2029</f>
        <v>0</v>
      </c>
      <c r="M2016">
        <f>Data!G2029</f>
        <v>0</v>
      </c>
      <c r="N2016">
        <f>Data!H2029</f>
        <v>0</v>
      </c>
      <c r="O2016">
        <f>Data!I2029</f>
        <v>0</v>
      </c>
      <c r="P2016" s="21">
        <f>Data!J2033</f>
        <v>0</v>
      </c>
      <c r="Q2016">
        <f>Data!K2033</f>
        <v>0</v>
      </c>
      <c r="R2016">
        <f>Data!L2033</f>
        <v>0</v>
      </c>
      <c r="S2016">
        <f>Data!M2033</f>
        <v>0</v>
      </c>
      <c r="T2016">
        <f>Data!N2033</f>
        <v>0</v>
      </c>
      <c r="U2016">
        <f>Data!O2033</f>
        <v>0</v>
      </c>
      <c r="V2016" s="33">
        <f>Data!P2031</f>
        <v>0</v>
      </c>
    </row>
    <row r="2017" spans="7:22" x14ac:dyDescent="0.25">
      <c r="G2017">
        <f>Data!A2030</f>
        <v>0</v>
      </c>
      <c r="H2017" s="21">
        <f>Data!B2030</f>
        <v>0</v>
      </c>
      <c r="I2017" s="21">
        <f>Data!C2030</f>
        <v>0</v>
      </c>
      <c r="J2017">
        <f>Data!D2030</f>
        <v>0</v>
      </c>
      <c r="K2017">
        <f>Data!E2030</f>
        <v>0</v>
      </c>
      <c r="L2017">
        <f>Data!F2030</f>
        <v>0</v>
      </c>
      <c r="M2017">
        <f>Data!G2030</f>
        <v>0</v>
      </c>
      <c r="N2017">
        <f>Data!H2030</f>
        <v>0</v>
      </c>
      <c r="O2017">
        <f>Data!I2030</f>
        <v>0</v>
      </c>
      <c r="P2017" s="21">
        <f>Data!J2034</f>
        <v>0</v>
      </c>
      <c r="Q2017">
        <f>Data!K2034</f>
        <v>0</v>
      </c>
      <c r="R2017">
        <f>Data!L2034</f>
        <v>0</v>
      </c>
      <c r="S2017">
        <f>Data!M2034</f>
        <v>0</v>
      </c>
      <c r="T2017">
        <f>Data!N2034</f>
        <v>0</v>
      </c>
      <c r="U2017">
        <f>Data!O2034</f>
        <v>0</v>
      </c>
      <c r="V2017" s="33">
        <f>Data!P2032</f>
        <v>0</v>
      </c>
    </row>
    <row r="2018" spans="7:22" x14ac:dyDescent="0.25">
      <c r="G2018">
        <f>Data!A2031</f>
        <v>0</v>
      </c>
      <c r="H2018" s="21">
        <f>Data!B2031</f>
        <v>0</v>
      </c>
      <c r="I2018" s="21">
        <f>Data!C2031</f>
        <v>0</v>
      </c>
      <c r="J2018">
        <f>Data!D2031</f>
        <v>0</v>
      </c>
      <c r="K2018">
        <f>Data!E2031</f>
        <v>0</v>
      </c>
      <c r="L2018">
        <f>Data!F2031</f>
        <v>0</v>
      </c>
      <c r="M2018">
        <f>Data!G2031</f>
        <v>0</v>
      </c>
      <c r="N2018">
        <f>Data!H2031</f>
        <v>0</v>
      </c>
      <c r="O2018">
        <f>Data!I2031</f>
        <v>0</v>
      </c>
      <c r="P2018" s="21">
        <f>Data!J2035</f>
        <v>0</v>
      </c>
      <c r="Q2018">
        <f>Data!K2035</f>
        <v>0</v>
      </c>
      <c r="R2018">
        <f>Data!L2035</f>
        <v>0</v>
      </c>
      <c r="S2018">
        <f>Data!M2035</f>
        <v>0</v>
      </c>
      <c r="T2018">
        <f>Data!N2035</f>
        <v>0</v>
      </c>
      <c r="U2018">
        <f>Data!O2035</f>
        <v>0</v>
      </c>
      <c r="V2018" s="33">
        <f>Data!P2033</f>
        <v>0</v>
      </c>
    </row>
    <row r="2019" spans="7:22" x14ac:dyDescent="0.25">
      <c r="G2019">
        <f>Data!A2032</f>
        <v>0</v>
      </c>
      <c r="H2019" s="21">
        <f>Data!B2032</f>
        <v>0</v>
      </c>
      <c r="I2019" s="21">
        <f>Data!C2032</f>
        <v>0</v>
      </c>
      <c r="J2019">
        <f>Data!D2032</f>
        <v>0</v>
      </c>
      <c r="K2019">
        <f>Data!E2032</f>
        <v>0</v>
      </c>
      <c r="L2019">
        <f>Data!F2032</f>
        <v>0</v>
      </c>
      <c r="M2019">
        <f>Data!G2032</f>
        <v>0</v>
      </c>
      <c r="N2019">
        <f>Data!H2032</f>
        <v>0</v>
      </c>
      <c r="O2019">
        <f>Data!I2032</f>
        <v>0</v>
      </c>
      <c r="P2019" s="21">
        <f>Data!J2036</f>
        <v>0</v>
      </c>
      <c r="Q2019">
        <f>Data!K2036</f>
        <v>0</v>
      </c>
      <c r="R2019">
        <f>Data!L2036</f>
        <v>0</v>
      </c>
      <c r="S2019">
        <f>Data!M2036</f>
        <v>0</v>
      </c>
      <c r="T2019">
        <f>Data!N2036</f>
        <v>0</v>
      </c>
      <c r="U2019">
        <f>Data!O2036</f>
        <v>0</v>
      </c>
      <c r="V2019" s="33">
        <f>Data!P2034</f>
        <v>0</v>
      </c>
    </row>
    <row r="2020" spans="7:22" x14ac:dyDescent="0.25">
      <c r="G2020">
        <f>Data!A2033</f>
        <v>0</v>
      </c>
      <c r="H2020" s="21">
        <f>Data!B2033</f>
        <v>0</v>
      </c>
      <c r="I2020" s="21">
        <f>Data!C2033</f>
        <v>0</v>
      </c>
      <c r="J2020">
        <f>Data!D2033</f>
        <v>0</v>
      </c>
      <c r="K2020">
        <f>Data!E2033</f>
        <v>0</v>
      </c>
      <c r="L2020">
        <f>Data!F2033</f>
        <v>0</v>
      </c>
      <c r="M2020">
        <f>Data!G2033</f>
        <v>0</v>
      </c>
      <c r="N2020">
        <f>Data!H2033</f>
        <v>0</v>
      </c>
      <c r="O2020">
        <f>Data!I2033</f>
        <v>0</v>
      </c>
      <c r="P2020" s="21">
        <f>Data!J2037</f>
        <v>0</v>
      </c>
      <c r="Q2020">
        <f>Data!K2037</f>
        <v>0</v>
      </c>
      <c r="R2020">
        <f>Data!L2037</f>
        <v>0</v>
      </c>
      <c r="S2020">
        <f>Data!M2037</f>
        <v>0</v>
      </c>
      <c r="T2020">
        <f>Data!N2037</f>
        <v>0</v>
      </c>
      <c r="U2020">
        <f>Data!O2037</f>
        <v>0</v>
      </c>
      <c r="V2020" s="33">
        <f>Data!P2035</f>
        <v>0</v>
      </c>
    </row>
    <row r="2021" spans="7:22" x14ac:dyDescent="0.25">
      <c r="G2021">
        <f>Data!A2034</f>
        <v>0</v>
      </c>
      <c r="H2021" s="21">
        <f>Data!B2034</f>
        <v>0</v>
      </c>
      <c r="I2021" s="21">
        <f>Data!C2034</f>
        <v>0</v>
      </c>
      <c r="J2021">
        <f>Data!D2034</f>
        <v>0</v>
      </c>
      <c r="K2021">
        <f>Data!E2034</f>
        <v>0</v>
      </c>
      <c r="L2021">
        <f>Data!F2034</f>
        <v>0</v>
      </c>
      <c r="M2021">
        <f>Data!G2034</f>
        <v>0</v>
      </c>
      <c r="N2021">
        <f>Data!H2034</f>
        <v>0</v>
      </c>
      <c r="O2021">
        <f>Data!I2034</f>
        <v>0</v>
      </c>
      <c r="P2021" s="21">
        <f>Data!J2038</f>
        <v>0</v>
      </c>
      <c r="Q2021">
        <f>Data!K2038</f>
        <v>0</v>
      </c>
      <c r="R2021">
        <f>Data!L2038</f>
        <v>0</v>
      </c>
      <c r="S2021">
        <f>Data!M2038</f>
        <v>0</v>
      </c>
      <c r="T2021">
        <f>Data!N2038</f>
        <v>0</v>
      </c>
      <c r="U2021">
        <f>Data!O2038</f>
        <v>0</v>
      </c>
      <c r="V2021" s="33">
        <f>Data!P2036</f>
        <v>0</v>
      </c>
    </row>
    <row r="2022" spans="7:22" x14ac:dyDescent="0.25">
      <c r="G2022">
        <f>Data!A2035</f>
        <v>0</v>
      </c>
      <c r="H2022" s="21">
        <f>Data!B2035</f>
        <v>0</v>
      </c>
      <c r="I2022" s="21">
        <f>Data!C2035</f>
        <v>0</v>
      </c>
      <c r="J2022">
        <f>Data!D2035</f>
        <v>0</v>
      </c>
      <c r="K2022">
        <f>Data!E2035</f>
        <v>0</v>
      </c>
      <c r="L2022">
        <f>Data!F2035</f>
        <v>0</v>
      </c>
      <c r="M2022">
        <f>Data!G2035</f>
        <v>0</v>
      </c>
      <c r="N2022">
        <f>Data!H2035</f>
        <v>0</v>
      </c>
      <c r="O2022">
        <f>Data!I2035</f>
        <v>0</v>
      </c>
      <c r="P2022" s="21">
        <f>Data!J2039</f>
        <v>0</v>
      </c>
      <c r="Q2022">
        <f>Data!K2039</f>
        <v>0</v>
      </c>
      <c r="R2022">
        <f>Data!L2039</f>
        <v>0</v>
      </c>
      <c r="S2022">
        <f>Data!M2039</f>
        <v>0</v>
      </c>
      <c r="T2022">
        <f>Data!N2039</f>
        <v>0</v>
      </c>
      <c r="U2022">
        <f>Data!O2039</f>
        <v>0</v>
      </c>
      <c r="V2022" s="33">
        <f>Data!P2037</f>
        <v>0</v>
      </c>
    </row>
    <row r="2023" spans="7:22" x14ac:dyDescent="0.25">
      <c r="G2023">
        <f>Data!A2036</f>
        <v>0</v>
      </c>
      <c r="H2023" s="21">
        <f>Data!B2036</f>
        <v>0</v>
      </c>
      <c r="I2023" s="21">
        <f>Data!C2036</f>
        <v>0</v>
      </c>
      <c r="J2023">
        <f>Data!D2036</f>
        <v>0</v>
      </c>
      <c r="K2023">
        <f>Data!E2036</f>
        <v>0</v>
      </c>
      <c r="L2023">
        <f>Data!F2036</f>
        <v>0</v>
      </c>
      <c r="M2023">
        <f>Data!G2036</f>
        <v>0</v>
      </c>
      <c r="N2023">
        <f>Data!H2036</f>
        <v>0</v>
      </c>
      <c r="O2023">
        <f>Data!I2036</f>
        <v>0</v>
      </c>
      <c r="P2023" s="21">
        <f>Data!J2040</f>
        <v>0</v>
      </c>
      <c r="Q2023">
        <f>Data!K2040</f>
        <v>0</v>
      </c>
      <c r="R2023">
        <f>Data!L2040</f>
        <v>0</v>
      </c>
      <c r="S2023">
        <f>Data!M2040</f>
        <v>0</v>
      </c>
      <c r="T2023">
        <f>Data!N2040</f>
        <v>0</v>
      </c>
      <c r="U2023">
        <f>Data!O2040</f>
        <v>0</v>
      </c>
      <c r="V2023" s="33">
        <f>Data!P2038</f>
        <v>0</v>
      </c>
    </row>
    <row r="2024" spans="7:22" x14ac:dyDescent="0.25">
      <c r="G2024">
        <f>Data!A2037</f>
        <v>0</v>
      </c>
      <c r="H2024" s="21">
        <f>Data!B2037</f>
        <v>0</v>
      </c>
      <c r="I2024" s="21">
        <f>Data!C2037</f>
        <v>0</v>
      </c>
      <c r="J2024">
        <f>Data!D2037</f>
        <v>0</v>
      </c>
      <c r="K2024">
        <f>Data!E2037</f>
        <v>0</v>
      </c>
      <c r="L2024">
        <f>Data!F2037</f>
        <v>0</v>
      </c>
      <c r="M2024">
        <f>Data!G2037</f>
        <v>0</v>
      </c>
      <c r="N2024">
        <f>Data!H2037</f>
        <v>0</v>
      </c>
      <c r="O2024">
        <f>Data!I2037</f>
        <v>0</v>
      </c>
      <c r="P2024" s="21">
        <f>Data!J2041</f>
        <v>0</v>
      </c>
      <c r="Q2024">
        <f>Data!K2041</f>
        <v>0</v>
      </c>
      <c r="R2024">
        <f>Data!L2041</f>
        <v>0</v>
      </c>
      <c r="S2024">
        <f>Data!M2041</f>
        <v>0</v>
      </c>
      <c r="T2024">
        <f>Data!N2041</f>
        <v>0</v>
      </c>
      <c r="U2024">
        <f>Data!O2041</f>
        <v>0</v>
      </c>
      <c r="V2024" s="33">
        <f>Data!P2039</f>
        <v>0</v>
      </c>
    </row>
    <row r="2025" spans="7:22" x14ac:dyDescent="0.25">
      <c r="G2025">
        <f>Data!A2038</f>
        <v>0</v>
      </c>
      <c r="H2025" s="21">
        <f>Data!B2038</f>
        <v>0</v>
      </c>
      <c r="I2025" s="21">
        <f>Data!C2038</f>
        <v>0</v>
      </c>
      <c r="J2025">
        <f>Data!D2038</f>
        <v>0</v>
      </c>
      <c r="K2025">
        <f>Data!E2038</f>
        <v>0</v>
      </c>
      <c r="L2025">
        <f>Data!F2038</f>
        <v>0</v>
      </c>
      <c r="M2025">
        <f>Data!G2038</f>
        <v>0</v>
      </c>
      <c r="N2025">
        <f>Data!H2038</f>
        <v>0</v>
      </c>
      <c r="O2025">
        <f>Data!I2038</f>
        <v>0</v>
      </c>
      <c r="P2025" s="21">
        <f>Data!J2042</f>
        <v>0</v>
      </c>
      <c r="Q2025">
        <f>Data!K2042</f>
        <v>0</v>
      </c>
      <c r="R2025">
        <f>Data!L2042</f>
        <v>0</v>
      </c>
      <c r="S2025">
        <f>Data!M2042</f>
        <v>0</v>
      </c>
      <c r="T2025">
        <f>Data!N2042</f>
        <v>0</v>
      </c>
      <c r="U2025">
        <f>Data!O2042</f>
        <v>0</v>
      </c>
      <c r="V2025" s="33">
        <f>Data!P2040</f>
        <v>0</v>
      </c>
    </row>
    <row r="2026" spans="7:22" x14ac:dyDescent="0.25">
      <c r="G2026">
        <f>Data!A2039</f>
        <v>0</v>
      </c>
      <c r="H2026" s="21">
        <f>Data!B2039</f>
        <v>0</v>
      </c>
      <c r="I2026" s="21">
        <f>Data!C2039</f>
        <v>0</v>
      </c>
      <c r="J2026">
        <f>Data!D2039</f>
        <v>0</v>
      </c>
      <c r="K2026">
        <f>Data!E2039</f>
        <v>0</v>
      </c>
      <c r="L2026">
        <f>Data!F2039</f>
        <v>0</v>
      </c>
      <c r="M2026">
        <f>Data!G2039</f>
        <v>0</v>
      </c>
      <c r="N2026">
        <f>Data!H2039</f>
        <v>0</v>
      </c>
      <c r="O2026">
        <f>Data!I2039</f>
        <v>0</v>
      </c>
      <c r="P2026" s="21">
        <f>Data!J2043</f>
        <v>0</v>
      </c>
      <c r="Q2026">
        <f>Data!K2043</f>
        <v>0</v>
      </c>
      <c r="R2026">
        <f>Data!L2043</f>
        <v>0</v>
      </c>
      <c r="S2026">
        <f>Data!M2043</f>
        <v>0</v>
      </c>
      <c r="T2026">
        <f>Data!N2043</f>
        <v>0</v>
      </c>
      <c r="U2026">
        <f>Data!O2043</f>
        <v>0</v>
      </c>
      <c r="V2026" s="33">
        <f>Data!P2041</f>
        <v>0</v>
      </c>
    </row>
    <row r="2027" spans="7:22" x14ac:dyDescent="0.25">
      <c r="G2027">
        <f>Data!A2040</f>
        <v>0</v>
      </c>
      <c r="H2027" s="21">
        <f>Data!B2040</f>
        <v>0</v>
      </c>
      <c r="I2027" s="21">
        <f>Data!C2040</f>
        <v>0</v>
      </c>
      <c r="J2027">
        <f>Data!D2040</f>
        <v>0</v>
      </c>
      <c r="K2027">
        <f>Data!E2040</f>
        <v>0</v>
      </c>
      <c r="L2027">
        <f>Data!F2040</f>
        <v>0</v>
      </c>
      <c r="M2027">
        <f>Data!G2040</f>
        <v>0</v>
      </c>
      <c r="N2027">
        <f>Data!H2040</f>
        <v>0</v>
      </c>
      <c r="O2027">
        <f>Data!I2040</f>
        <v>0</v>
      </c>
      <c r="P2027" s="21">
        <f>Data!J2044</f>
        <v>0</v>
      </c>
      <c r="Q2027">
        <f>Data!K2044</f>
        <v>0</v>
      </c>
      <c r="R2027">
        <f>Data!L2044</f>
        <v>0</v>
      </c>
      <c r="S2027">
        <f>Data!M2044</f>
        <v>0</v>
      </c>
      <c r="T2027">
        <f>Data!N2044</f>
        <v>0</v>
      </c>
      <c r="U2027">
        <f>Data!O2044</f>
        <v>0</v>
      </c>
      <c r="V2027" s="33">
        <f>Data!P2042</f>
        <v>0</v>
      </c>
    </row>
    <row r="2028" spans="7:22" x14ac:dyDescent="0.25">
      <c r="G2028">
        <f>Data!A2041</f>
        <v>0</v>
      </c>
      <c r="H2028" s="21">
        <f>Data!B2041</f>
        <v>0</v>
      </c>
      <c r="I2028" s="21">
        <f>Data!C2041</f>
        <v>0</v>
      </c>
      <c r="J2028">
        <f>Data!D2041</f>
        <v>0</v>
      </c>
      <c r="K2028">
        <f>Data!E2041</f>
        <v>0</v>
      </c>
      <c r="L2028">
        <f>Data!F2041</f>
        <v>0</v>
      </c>
      <c r="M2028">
        <f>Data!G2041</f>
        <v>0</v>
      </c>
      <c r="N2028">
        <f>Data!H2041</f>
        <v>0</v>
      </c>
      <c r="O2028">
        <f>Data!I2041</f>
        <v>0</v>
      </c>
      <c r="P2028" s="21">
        <f>Data!J2045</f>
        <v>0</v>
      </c>
      <c r="Q2028">
        <f>Data!K2045</f>
        <v>0</v>
      </c>
      <c r="R2028">
        <f>Data!L2045</f>
        <v>0</v>
      </c>
      <c r="S2028">
        <f>Data!M2045</f>
        <v>0</v>
      </c>
      <c r="T2028">
        <f>Data!N2045</f>
        <v>0</v>
      </c>
      <c r="U2028">
        <f>Data!O2045</f>
        <v>0</v>
      </c>
      <c r="V2028" s="33">
        <f>Data!P2043</f>
        <v>0</v>
      </c>
    </row>
    <row r="2029" spans="7:22" x14ac:dyDescent="0.25">
      <c r="G2029">
        <f>Data!A2042</f>
        <v>0</v>
      </c>
      <c r="H2029" s="21">
        <f>Data!B2042</f>
        <v>0</v>
      </c>
      <c r="I2029" s="21">
        <f>Data!C2042</f>
        <v>0</v>
      </c>
      <c r="J2029">
        <f>Data!D2042</f>
        <v>0</v>
      </c>
      <c r="K2029">
        <f>Data!E2042</f>
        <v>0</v>
      </c>
      <c r="L2029">
        <f>Data!F2042</f>
        <v>0</v>
      </c>
      <c r="M2029">
        <f>Data!G2042</f>
        <v>0</v>
      </c>
      <c r="N2029">
        <f>Data!H2042</f>
        <v>0</v>
      </c>
      <c r="O2029">
        <f>Data!I2042</f>
        <v>0</v>
      </c>
      <c r="P2029" s="21">
        <f>Data!J2046</f>
        <v>0</v>
      </c>
      <c r="Q2029">
        <f>Data!K2046</f>
        <v>0</v>
      </c>
      <c r="R2029">
        <f>Data!L2046</f>
        <v>0</v>
      </c>
      <c r="S2029">
        <f>Data!M2046</f>
        <v>0</v>
      </c>
      <c r="T2029">
        <f>Data!N2046</f>
        <v>0</v>
      </c>
      <c r="U2029">
        <f>Data!O2046</f>
        <v>0</v>
      </c>
      <c r="V2029" s="33">
        <f>Data!P2044</f>
        <v>0</v>
      </c>
    </row>
    <row r="2030" spans="7:22" x14ac:dyDescent="0.25">
      <c r="G2030">
        <f>Data!A2043</f>
        <v>0</v>
      </c>
      <c r="H2030" s="21">
        <f>Data!B2043</f>
        <v>0</v>
      </c>
      <c r="I2030" s="21">
        <f>Data!C2043</f>
        <v>0</v>
      </c>
      <c r="J2030">
        <f>Data!D2043</f>
        <v>0</v>
      </c>
      <c r="K2030">
        <f>Data!E2043</f>
        <v>0</v>
      </c>
      <c r="L2030">
        <f>Data!F2043</f>
        <v>0</v>
      </c>
      <c r="M2030">
        <f>Data!G2043</f>
        <v>0</v>
      </c>
      <c r="N2030">
        <f>Data!H2043</f>
        <v>0</v>
      </c>
      <c r="O2030">
        <f>Data!I2043</f>
        <v>0</v>
      </c>
      <c r="P2030" s="21">
        <f>Data!J2047</f>
        <v>0</v>
      </c>
      <c r="Q2030">
        <f>Data!K2047</f>
        <v>0</v>
      </c>
      <c r="R2030">
        <f>Data!L2047</f>
        <v>0</v>
      </c>
      <c r="S2030">
        <f>Data!M2047</f>
        <v>0</v>
      </c>
      <c r="T2030">
        <f>Data!N2047</f>
        <v>0</v>
      </c>
      <c r="U2030">
        <f>Data!O2047</f>
        <v>0</v>
      </c>
      <c r="V2030" s="33">
        <f>Data!P2045</f>
        <v>0</v>
      </c>
    </row>
    <row r="2031" spans="7:22" x14ac:dyDescent="0.25">
      <c r="G2031">
        <f>Data!A2044</f>
        <v>0</v>
      </c>
      <c r="H2031" s="21">
        <f>Data!B2044</f>
        <v>0</v>
      </c>
      <c r="I2031" s="21">
        <f>Data!C2044</f>
        <v>0</v>
      </c>
      <c r="J2031">
        <f>Data!D2044</f>
        <v>0</v>
      </c>
      <c r="K2031">
        <f>Data!E2044</f>
        <v>0</v>
      </c>
      <c r="L2031">
        <f>Data!F2044</f>
        <v>0</v>
      </c>
      <c r="M2031">
        <f>Data!G2044</f>
        <v>0</v>
      </c>
      <c r="N2031">
        <f>Data!H2044</f>
        <v>0</v>
      </c>
      <c r="O2031">
        <f>Data!I2044</f>
        <v>0</v>
      </c>
      <c r="P2031" s="21">
        <f>Data!J2048</f>
        <v>0</v>
      </c>
      <c r="Q2031">
        <f>Data!K2048</f>
        <v>0</v>
      </c>
      <c r="R2031">
        <f>Data!L2048</f>
        <v>0</v>
      </c>
      <c r="S2031">
        <f>Data!M2048</f>
        <v>0</v>
      </c>
      <c r="T2031">
        <f>Data!N2048</f>
        <v>0</v>
      </c>
      <c r="U2031">
        <f>Data!O2048</f>
        <v>0</v>
      </c>
      <c r="V2031" s="33">
        <f>Data!P2046</f>
        <v>0</v>
      </c>
    </row>
    <row r="2032" spans="7:22" x14ac:dyDescent="0.25">
      <c r="G2032">
        <f>Data!A2045</f>
        <v>0</v>
      </c>
      <c r="H2032" s="21">
        <f>Data!B2045</f>
        <v>0</v>
      </c>
      <c r="I2032" s="21">
        <f>Data!C2045</f>
        <v>0</v>
      </c>
      <c r="J2032">
        <f>Data!D2045</f>
        <v>0</v>
      </c>
      <c r="K2032">
        <f>Data!E2045</f>
        <v>0</v>
      </c>
      <c r="L2032">
        <f>Data!F2045</f>
        <v>0</v>
      </c>
      <c r="M2032">
        <f>Data!G2045</f>
        <v>0</v>
      </c>
      <c r="N2032">
        <f>Data!H2045</f>
        <v>0</v>
      </c>
      <c r="O2032">
        <f>Data!I2045</f>
        <v>0</v>
      </c>
      <c r="P2032" s="21">
        <f>Data!J2049</f>
        <v>0</v>
      </c>
      <c r="Q2032">
        <f>Data!K2049</f>
        <v>0</v>
      </c>
      <c r="R2032">
        <f>Data!L2049</f>
        <v>0</v>
      </c>
      <c r="S2032">
        <f>Data!M2049</f>
        <v>0</v>
      </c>
      <c r="T2032">
        <f>Data!N2049</f>
        <v>0</v>
      </c>
      <c r="U2032">
        <f>Data!O2049</f>
        <v>0</v>
      </c>
      <c r="V2032" s="33">
        <f>Data!P2047</f>
        <v>0</v>
      </c>
    </row>
    <row r="2033" spans="7:22" x14ac:dyDescent="0.25">
      <c r="G2033">
        <f>Data!A2046</f>
        <v>0</v>
      </c>
      <c r="H2033" s="21">
        <f>Data!B2046</f>
        <v>0</v>
      </c>
      <c r="I2033" s="21">
        <f>Data!C2046</f>
        <v>0</v>
      </c>
      <c r="J2033">
        <f>Data!D2046</f>
        <v>0</v>
      </c>
      <c r="K2033">
        <f>Data!E2046</f>
        <v>0</v>
      </c>
      <c r="L2033">
        <f>Data!F2046</f>
        <v>0</v>
      </c>
      <c r="M2033">
        <f>Data!G2046</f>
        <v>0</v>
      </c>
      <c r="N2033">
        <f>Data!H2046</f>
        <v>0</v>
      </c>
      <c r="O2033">
        <f>Data!I2046</f>
        <v>0</v>
      </c>
      <c r="P2033" s="21">
        <f>Data!J2050</f>
        <v>0</v>
      </c>
      <c r="Q2033">
        <f>Data!K2050</f>
        <v>0</v>
      </c>
      <c r="R2033">
        <f>Data!L2050</f>
        <v>0</v>
      </c>
      <c r="S2033">
        <f>Data!M2050</f>
        <v>0</v>
      </c>
      <c r="T2033">
        <f>Data!N2050</f>
        <v>0</v>
      </c>
      <c r="U2033">
        <f>Data!O2050</f>
        <v>0</v>
      </c>
      <c r="V2033" s="33">
        <f>Data!P2048</f>
        <v>0</v>
      </c>
    </row>
    <row r="2034" spans="7:22" x14ac:dyDescent="0.25">
      <c r="G2034">
        <f>Data!A2047</f>
        <v>0</v>
      </c>
      <c r="H2034" s="21">
        <f>Data!B2047</f>
        <v>0</v>
      </c>
      <c r="I2034" s="21">
        <f>Data!C2047</f>
        <v>0</v>
      </c>
      <c r="J2034">
        <f>Data!D2047</f>
        <v>0</v>
      </c>
      <c r="K2034">
        <f>Data!E2047</f>
        <v>0</v>
      </c>
      <c r="L2034">
        <f>Data!F2047</f>
        <v>0</v>
      </c>
      <c r="M2034">
        <f>Data!G2047</f>
        <v>0</v>
      </c>
      <c r="N2034">
        <f>Data!H2047</f>
        <v>0</v>
      </c>
      <c r="O2034">
        <f>Data!I2047</f>
        <v>0</v>
      </c>
      <c r="P2034" s="21">
        <f>Data!J2051</f>
        <v>0</v>
      </c>
      <c r="Q2034">
        <f>Data!K2051</f>
        <v>0</v>
      </c>
      <c r="R2034">
        <f>Data!L2051</f>
        <v>0</v>
      </c>
      <c r="S2034">
        <f>Data!M2051</f>
        <v>0</v>
      </c>
      <c r="T2034">
        <f>Data!N2051</f>
        <v>0</v>
      </c>
      <c r="U2034">
        <f>Data!O2051</f>
        <v>0</v>
      </c>
      <c r="V2034" s="33">
        <f>Data!P2049</f>
        <v>0</v>
      </c>
    </row>
    <row r="2035" spans="7:22" x14ac:dyDescent="0.25">
      <c r="G2035">
        <f>Data!A2048</f>
        <v>0</v>
      </c>
      <c r="H2035" s="21">
        <f>Data!B2048</f>
        <v>0</v>
      </c>
      <c r="I2035" s="21">
        <f>Data!C2048</f>
        <v>0</v>
      </c>
      <c r="J2035">
        <f>Data!D2048</f>
        <v>0</v>
      </c>
      <c r="K2035">
        <f>Data!E2048</f>
        <v>0</v>
      </c>
      <c r="L2035">
        <f>Data!F2048</f>
        <v>0</v>
      </c>
      <c r="M2035">
        <f>Data!G2048</f>
        <v>0</v>
      </c>
      <c r="N2035">
        <f>Data!H2048</f>
        <v>0</v>
      </c>
      <c r="O2035">
        <f>Data!I2048</f>
        <v>0</v>
      </c>
      <c r="P2035" s="21">
        <f>Data!J2052</f>
        <v>0</v>
      </c>
      <c r="Q2035">
        <f>Data!K2052</f>
        <v>0</v>
      </c>
      <c r="R2035">
        <f>Data!L2052</f>
        <v>0</v>
      </c>
      <c r="S2035">
        <f>Data!M2052</f>
        <v>0</v>
      </c>
      <c r="T2035">
        <f>Data!N2052</f>
        <v>0</v>
      </c>
      <c r="U2035">
        <f>Data!O2052</f>
        <v>0</v>
      </c>
      <c r="V2035" s="33">
        <f>Data!P2050</f>
        <v>0</v>
      </c>
    </row>
    <row r="2036" spans="7:22" x14ac:dyDescent="0.25">
      <c r="G2036">
        <f>Data!A2049</f>
        <v>0</v>
      </c>
      <c r="H2036" s="21">
        <f>Data!B2049</f>
        <v>0</v>
      </c>
      <c r="I2036" s="21">
        <f>Data!C2049</f>
        <v>0</v>
      </c>
      <c r="J2036">
        <f>Data!D2049</f>
        <v>0</v>
      </c>
      <c r="K2036">
        <f>Data!E2049</f>
        <v>0</v>
      </c>
      <c r="L2036">
        <f>Data!F2049</f>
        <v>0</v>
      </c>
      <c r="M2036">
        <f>Data!G2049</f>
        <v>0</v>
      </c>
      <c r="N2036">
        <f>Data!H2049</f>
        <v>0</v>
      </c>
      <c r="O2036">
        <f>Data!I2049</f>
        <v>0</v>
      </c>
      <c r="P2036" s="21">
        <f>Data!J2053</f>
        <v>0</v>
      </c>
      <c r="Q2036">
        <f>Data!K2053</f>
        <v>0</v>
      </c>
      <c r="R2036">
        <f>Data!L2053</f>
        <v>0</v>
      </c>
      <c r="S2036">
        <f>Data!M2053</f>
        <v>0</v>
      </c>
      <c r="T2036">
        <f>Data!N2053</f>
        <v>0</v>
      </c>
      <c r="U2036">
        <f>Data!O2053</f>
        <v>0</v>
      </c>
      <c r="V2036" s="33">
        <f>Data!P2051</f>
        <v>0</v>
      </c>
    </row>
    <row r="2037" spans="7:22" x14ac:dyDescent="0.25">
      <c r="G2037">
        <f>Data!A2050</f>
        <v>0</v>
      </c>
      <c r="H2037" s="21">
        <f>Data!B2050</f>
        <v>0</v>
      </c>
      <c r="I2037" s="21">
        <f>Data!C2050</f>
        <v>0</v>
      </c>
      <c r="J2037">
        <f>Data!D2050</f>
        <v>0</v>
      </c>
      <c r="K2037">
        <f>Data!E2050</f>
        <v>0</v>
      </c>
      <c r="L2037">
        <f>Data!F2050</f>
        <v>0</v>
      </c>
      <c r="M2037">
        <f>Data!G2050</f>
        <v>0</v>
      </c>
      <c r="N2037">
        <f>Data!H2050</f>
        <v>0</v>
      </c>
      <c r="O2037">
        <f>Data!I2050</f>
        <v>0</v>
      </c>
      <c r="P2037" s="21">
        <f>Data!J2054</f>
        <v>0</v>
      </c>
      <c r="Q2037">
        <f>Data!K2054</f>
        <v>0</v>
      </c>
      <c r="R2037">
        <f>Data!L2054</f>
        <v>0</v>
      </c>
      <c r="S2037">
        <f>Data!M2054</f>
        <v>0</v>
      </c>
      <c r="T2037">
        <f>Data!N2054</f>
        <v>0</v>
      </c>
      <c r="U2037">
        <f>Data!O2054</f>
        <v>0</v>
      </c>
      <c r="V2037" s="33">
        <f>Data!P2052</f>
        <v>0</v>
      </c>
    </row>
    <row r="2038" spans="7:22" x14ac:dyDescent="0.25">
      <c r="G2038">
        <f>Data!A2051</f>
        <v>0</v>
      </c>
      <c r="H2038" s="21">
        <f>Data!B2051</f>
        <v>0</v>
      </c>
      <c r="I2038" s="21">
        <f>Data!C2051</f>
        <v>0</v>
      </c>
      <c r="J2038">
        <f>Data!D2051</f>
        <v>0</v>
      </c>
      <c r="K2038">
        <f>Data!E2051</f>
        <v>0</v>
      </c>
      <c r="L2038">
        <f>Data!F2051</f>
        <v>0</v>
      </c>
      <c r="M2038">
        <f>Data!G2051</f>
        <v>0</v>
      </c>
      <c r="N2038">
        <f>Data!H2051</f>
        <v>0</v>
      </c>
      <c r="O2038">
        <f>Data!I2051</f>
        <v>0</v>
      </c>
      <c r="P2038" s="21">
        <f>Data!J2055</f>
        <v>0</v>
      </c>
      <c r="Q2038">
        <f>Data!K2055</f>
        <v>0</v>
      </c>
      <c r="R2038">
        <f>Data!L2055</f>
        <v>0</v>
      </c>
      <c r="S2038">
        <f>Data!M2055</f>
        <v>0</v>
      </c>
      <c r="T2038">
        <f>Data!N2055</f>
        <v>0</v>
      </c>
      <c r="U2038">
        <f>Data!O2055</f>
        <v>0</v>
      </c>
      <c r="V2038" s="33">
        <f>Data!P2053</f>
        <v>0</v>
      </c>
    </row>
    <row r="2039" spans="7:22" x14ac:dyDescent="0.25">
      <c r="G2039">
        <f>Data!A2052</f>
        <v>0</v>
      </c>
      <c r="H2039" s="21">
        <f>Data!B2052</f>
        <v>0</v>
      </c>
      <c r="I2039" s="21">
        <f>Data!C2052</f>
        <v>0</v>
      </c>
      <c r="J2039">
        <f>Data!D2052</f>
        <v>0</v>
      </c>
      <c r="K2039">
        <f>Data!E2052</f>
        <v>0</v>
      </c>
      <c r="L2039">
        <f>Data!F2052</f>
        <v>0</v>
      </c>
      <c r="M2039">
        <f>Data!G2052</f>
        <v>0</v>
      </c>
      <c r="N2039">
        <f>Data!H2052</f>
        <v>0</v>
      </c>
      <c r="O2039">
        <f>Data!I2052</f>
        <v>0</v>
      </c>
      <c r="P2039" s="21">
        <f>Data!J2056</f>
        <v>0</v>
      </c>
      <c r="Q2039">
        <f>Data!K2056</f>
        <v>0</v>
      </c>
      <c r="R2039">
        <f>Data!L2056</f>
        <v>0</v>
      </c>
      <c r="S2039">
        <f>Data!M2056</f>
        <v>0</v>
      </c>
      <c r="T2039">
        <f>Data!N2056</f>
        <v>0</v>
      </c>
      <c r="U2039">
        <f>Data!O2056</f>
        <v>0</v>
      </c>
      <c r="V2039" s="33">
        <f>Data!P2054</f>
        <v>0</v>
      </c>
    </row>
    <row r="2040" spans="7:22" x14ac:dyDescent="0.25">
      <c r="G2040">
        <f>Data!A2053</f>
        <v>0</v>
      </c>
      <c r="H2040" s="21">
        <f>Data!B2053</f>
        <v>0</v>
      </c>
      <c r="I2040" s="21">
        <f>Data!C2053</f>
        <v>0</v>
      </c>
      <c r="J2040">
        <f>Data!D2053</f>
        <v>0</v>
      </c>
      <c r="K2040">
        <f>Data!E2053</f>
        <v>0</v>
      </c>
      <c r="L2040">
        <f>Data!F2053</f>
        <v>0</v>
      </c>
      <c r="M2040">
        <f>Data!G2053</f>
        <v>0</v>
      </c>
      <c r="N2040">
        <f>Data!H2053</f>
        <v>0</v>
      </c>
      <c r="O2040">
        <f>Data!I2053</f>
        <v>0</v>
      </c>
      <c r="P2040" s="21">
        <f>Data!J2057</f>
        <v>0</v>
      </c>
      <c r="Q2040">
        <f>Data!K2057</f>
        <v>0</v>
      </c>
      <c r="R2040">
        <f>Data!L2057</f>
        <v>0</v>
      </c>
      <c r="S2040">
        <f>Data!M2057</f>
        <v>0</v>
      </c>
      <c r="T2040">
        <f>Data!N2057</f>
        <v>0</v>
      </c>
      <c r="U2040">
        <f>Data!O2057</f>
        <v>0</v>
      </c>
      <c r="V2040" s="33">
        <f>Data!P2055</f>
        <v>0</v>
      </c>
    </row>
    <row r="2041" spans="7:22" x14ac:dyDescent="0.25">
      <c r="G2041">
        <f>Data!A2054</f>
        <v>0</v>
      </c>
      <c r="H2041" s="21">
        <f>Data!B2054</f>
        <v>0</v>
      </c>
      <c r="I2041" s="21">
        <f>Data!C2054</f>
        <v>0</v>
      </c>
      <c r="J2041">
        <f>Data!D2054</f>
        <v>0</v>
      </c>
      <c r="K2041">
        <f>Data!E2054</f>
        <v>0</v>
      </c>
      <c r="L2041">
        <f>Data!F2054</f>
        <v>0</v>
      </c>
      <c r="M2041">
        <f>Data!G2054</f>
        <v>0</v>
      </c>
      <c r="N2041">
        <f>Data!H2054</f>
        <v>0</v>
      </c>
      <c r="O2041">
        <f>Data!I2054</f>
        <v>0</v>
      </c>
      <c r="P2041" s="21">
        <f>Data!J2058</f>
        <v>0</v>
      </c>
      <c r="Q2041">
        <f>Data!K2058</f>
        <v>0</v>
      </c>
      <c r="R2041">
        <f>Data!L2058</f>
        <v>0</v>
      </c>
      <c r="S2041">
        <f>Data!M2058</f>
        <v>0</v>
      </c>
      <c r="T2041">
        <f>Data!N2058</f>
        <v>0</v>
      </c>
      <c r="U2041">
        <f>Data!O2058</f>
        <v>0</v>
      </c>
      <c r="V2041" s="33">
        <f>Data!P2056</f>
        <v>0</v>
      </c>
    </row>
    <row r="2042" spans="7:22" x14ac:dyDescent="0.25">
      <c r="G2042">
        <f>Data!A2055</f>
        <v>0</v>
      </c>
      <c r="H2042" s="21">
        <f>Data!B2055</f>
        <v>0</v>
      </c>
      <c r="I2042" s="21">
        <f>Data!C2055</f>
        <v>0</v>
      </c>
      <c r="J2042">
        <f>Data!D2055</f>
        <v>0</v>
      </c>
      <c r="K2042">
        <f>Data!E2055</f>
        <v>0</v>
      </c>
      <c r="L2042">
        <f>Data!F2055</f>
        <v>0</v>
      </c>
      <c r="M2042">
        <f>Data!G2055</f>
        <v>0</v>
      </c>
      <c r="N2042">
        <f>Data!H2055</f>
        <v>0</v>
      </c>
      <c r="O2042">
        <f>Data!I2055</f>
        <v>0</v>
      </c>
      <c r="P2042" s="21">
        <f>Data!J2059</f>
        <v>0</v>
      </c>
      <c r="Q2042">
        <f>Data!K2059</f>
        <v>0</v>
      </c>
      <c r="R2042">
        <f>Data!L2059</f>
        <v>0</v>
      </c>
      <c r="S2042">
        <f>Data!M2059</f>
        <v>0</v>
      </c>
      <c r="T2042">
        <f>Data!N2059</f>
        <v>0</v>
      </c>
      <c r="U2042">
        <f>Data!O2059</f>
        <v>0</v>
      </c>
      <c r="V2042" s="33">
        <f>Data!P2057</f>
        <v>0</v>
      </c>
    </row>
    <row r="2043" spans="7:22" x14ac:dyDescent="0.25">
      <c r="G2043">
        <f>Data!A2056</f>
        <v>0</v>
      </c>
      <c r="H2043" s="21">
        <f>Data!B2056</f>
        <v>0</v>
      </c>
      <c r="I2043" s="21">
        <f>Data!C2056</f>
        <v>0</v>
      </c>
      <c r="J2043">
        <f>Data!D2056</f>
        <v>0</v>
      </c>
      <c r="K2043">
        <f>Data!E2056</f>
        <v>0</v>
      </c>
      <c r="L2043">
        <f>Data!F2056</f>
        <v>0</v>
      </c>
      <c r="M2043">
        <f>Data!G2056</f>
        <v>0</v>
      </c>
      <c r="N2043">
        <f>Data!H2056</f>
        <v>0</v>
      </c>
      <c r="O2043">
        <f>Data!I2056</f>
        <v>0</v>
      </c>
      <c r="P2043" s="21">
        <f>Data!J2060</f>
        <v>0</v>
      </c>
      <c r="Q2043">
        <f>Data!K2060</f>
        <v>0</v>
      </c>
      <c r="R2043">
        <f>Data!L2060</f>
        <v>0</v>
      </c>
      <c r="S2043">
        <f>Data!M2060</f>
        <v>0</v>
      </c>
      <c r="T2043">
        <f>Data!N2060</f>
        <v>0</v>
      </c>
      <c r="U2043">
        <f>Data!O2060</f>
        <v>0</v>
      </c>
      <c r="V2043" s="33">
        <f>Data!P2058</f>
        <v>0</v>
      </c>
    </row>
    <row r="2044" spans="7:22" x14ac:dyDescent="0.25">
      <c r="G2044">
        <f>Data!A2057</f>
        <v>0</v>
      </c>
      <c r="H2044" s="21">
        <f>Data!B2057</f>
        <v>0</v>
      </c>
      <c r="I2044" s="21">
        <f>Data!C2057</f>
        <v>0</v>
      </c>
      <c r="J2044">
        <f>Data!D2057</f>
        <v>0</v>
      </c>
      <c r="K2044">
        <f>Data!E2057</f>
        <v>0</v>
      </c>
      <c r="L2044">
        <f>Data!F2057</f>
        <v>0</v>
      </c>
      <c r="M2044">
        <f>Data!G2057</f>
        <v>0</v>
      </c>
      <c r="N2044">
        <f>Data!H2057</f>
        <v>0</v>
      </c>
      <c r="O2044">
        <f>Data!I2057</f>
        <v>0</v>
      </c>
      <c r="P2044" s="21">
        <f>Data!J2061</f>
        <v>0</v>
      </c>
      <c r="Q2044">
        <f>Data!K2061</f>
        <v>0</v>
      </c>
      <c r="R2044">
        <f>Data!L2061</f>
        <v>0</v>
      </c>
      <c r="S2044">
        <f>Data!M2061</f>
        <v>0</v>
      </c>
      <c r="T2044">
        <f>Data!N2061</f>
        <v>0</v>
      </c>
      <c r="U2044">
        <f>Data!O2061</f>
        <v>0</v>
      </c>
      <c r="V2044" s="33">
        <f>Data!P2059</f>
        <v>0</v>
      </c>
    </row>
    <row r="2045" spans="7:22" x14ac:dyDescent="0.25">
      <c r="G2045">
        <f>Data!A2058</f>
        <v>0</v>
      </c>
      <c r="H2045" s="21">
        <f>Data!B2058</f>
        <v>0</v>
      </c>
      <c r="I2045" s="21">
        <f>Data!C2058</f>
        <v>0</v>
      </c>
      <c r="J2045">
        <f>Data!D2058</f>
        <v>0</v>
      </c>
      <c r="K2045">
        <f>Data!E2058</f>
        <v>0</v>
      </c>
      <c r="L2045">
        <f>Data!F2058</f>
        <v>0</v>
      </c>
      <c r="M2045">
        <f>Data!G2058</f>
        <v>0</v>
      </c>
      <c r="N2045">
        <f>Data!H2058</f>
        <v>0</v>
      </c>
      <c r="O2045">
        <f>Data!I2058</f>
        <v>0</v>
      </c>
      <c r="P2045" s="21">
        <f>Data!J2062</f>
        <v>0</v>
      </c>
      <c r="Q2045">
        <f>Data!K2062</f>
        <v>0</v>
      </c>
      <c r="R2045">
        <f>Data!L2062</f>
        <v>0</v>
      </c>
      <c r="S2045">
        <f>Data!M2062</f>
        <v>0</v>
      </c>
      <c r="T2045">
        <f>Data!N2062</f>
        <v>0</v>
      </c>
      <c r="U2045">
        <f>Data!O2062</f>
        <v>0</v>
      </c>
      <c r="V2045" s="33">
        <f>Data!P2060</f>
        <v>0</v>
      </c>
    </row>
    <row r="2046" spans="7:22" x14ac:dyDescent="0.25">
      <c r="G2046">
        <f>Data!A2059</f>
        <v>0</v>
      </c>
      <c r="H2046" s="21">
        <f>Data!B2059</f>
        <v>0</v>
      </c>
      <c r="I2046" s="21">
        <f>Data!C2059</f>
        <v>0</v>
      </c>
      <c r="J2046">
        <f>Data!D2059</f>
        <v>0</v>
      </c>
      <c r="K2046">
        <f>Data!E2059</f>
        <v>0</v>
      </c>
      <c r="L2046">
        <f>Data!F2059</f>
        <v>0</v>
      </c>
      <c r="M2046">
        <f>Data!G2059</f>
        <v>0</v>
      </c>
      <c r="N2046">
        <f>Data!H2059</f>
        <v>0</v>
      </c>
      <c r="O2046">
        <f>Data!I2059</f>
        <v>0</v>
      </c>
      <c r="P2046" s="21">
        <f>Data!J2063</f>
        <v>0</v>
      </c>
      <c r="Q2046">
        <f>Data!K2063</f>
        <v>0</v>
      </c>
      <c r="R2046">
        <f>Data!L2063</f>
        <v>0</v>
      </c>
      <c r="S2046">
        <f>Data!M2063</f>
        <v>0</v>
      </c>
      <c r="T2046">
        <f>Data!N2063</f>
        <v>0</v>
      </c>
      <c r="U2046">
        <f>Data!O2063</f>
        <v>0</v>
      </c>
      <c r="V2046" s="33">
        <f>Data!P2061</f>
        <v>0</v>
      </c>
    </row>
    <row r="2047" spans="7:22" x14ac:dyDescent="0.25">
      <c r="G2047">
        <f>Data!A2060</f>
        <v>0</v>
      </c>
      <c r="H2047" s="21">
        <f>Data!B2060</f>
        <v>0</v>
      </c>
      <c r="I2047" s="21">
        <f>Data!C2060</f>
        <v>0</v>
      </c>
      <c r="J2047">
        <f>Data!D2060</f>
        <v>0</v>
      </c>
      <c r="K2047">
        <f>Data!E2060</f>
        <v>0</v>
      </c>
      <c r="L2047">
        <f>Data!F2060</f>
        <v>0</v>
      </c>
      <c r="M2047">
        <f>Data!G2060</f>
        <v>0</v>
      </c>
      <c r="N2047">
        <f>Data!H2060</f>
        <v>0</v>
      </c>
      <c r="O2047">
        <f>Data!I2060</f>
        <v>0</v>
      </c>
      <c r="P2047" s="21">
        <f>Data!J2064</f>
        <v>0</v>
      </c>
      <c r="Q2047">
        <f>Data!K2064</f>
        <v>0</v>
      </c>
      <c r="R2047">
        <f>Data!L2064</f>
        <v>0</v>
      </c>
      <c r="S2047">
        <f>Data!M2064</f>
        <v>0</v>
      </c>
      <c r="T2047">
        <f>Data!N2064</f>
        <v>0</v>
      </c>
      <c r="U2047">
        <f>Data!O2064</f>
        <v>0</v>
      </c>
      <c r="V2047" s="33">
        <f>Data!P2062</f>
        <v>0</v>
      </c>
    </row>
    <row r="2048" spans="7:22" x14ac:dyDescent="0.25">
      <c r="G2048">
        <f>Data!A2061</f>
        <v>0</v>
      </c>
      <c r="H2048" s="21">
        <f>Data!B2061</f>
        <v>0</v>
      </c>
      <c r="I2048" s="21">
        <f>Data!C2061</f>
        <v>0</v>
      </c>
      <c r="J2048">
        <f>Data!D2061</f>
        <v>0</v>
      </c>
      <c r="K2048">
        <f>Data!E2061</f>
        <v>0</v>
      </c>
      <c r="L2048">
        <f>Data!F2061</f>
        <v>0</v>
      </c>
      <c r="M2048">
        <f>Data!G2061</f>
        <v>0</v>
      </c>
      <c r="N2048">
        <f>Data!H2061</f>
        <v>0</v>
      </c>
      <c r="O2048">
        <f>Data!I2061</f>
        <v>0</v>
      </c>
      <c r="P2048" s="21">
        <f>Data!J2065</f>
        <v>0</v>
      </c>
      <c r="Q2048">
        <f>Data!K2065</f>
        <v>0</v>
      </c>
      <c r="R2048">
        <f>Data!L2065</f>
        <v>0</v>
      </c>
      <c r="S2048">
        <f>Data!M2065</f>
        <v>0</v>
      </c>
      <c r="T2048">
        <f>Data!N2065</f>
        <v>0</v>
      </c>
      <c r="U2048">
        <f>Data!O2065</f>
        <v>0</v>
      </c>
      <c r="V2048" s="33">
        <f>Data!P2063</f>
        <v>0</v>
      </c>
    </row>
    <row r="2049" spans="7:22" x14ac:dyDescent="0.25">
      <c r="G2049">
        <f>Data!A2062</f>
        <v>0</v>
      </c>
      <c r="H2049" s="21">
        <f>Data!B2062</f>
        <v>0</v>
      </c>
      <c r="I2049" s="21">
        <f>Data!C2062</f>
        <v>0</v>
      </c>
      <c r="J2049">
        <f>Data!D2062</f>
        <v>0</v>
      </c>
      <c r="K2049">
        <f>Data!E2062</f>
        <v>0</v>
      </c>
      <c r="L2049">
        <f>Data!F2062</f>
        <v>0</v>
      </c>
      <c r="M2049">
        <f>Data!G2062</f>
        <v>0</v>
      </c>
      <c r="N2049">
        <f>Data!H2062</f>
        <v>0</v>
      </c>
      <c r="O2049">
        <f>Data!I2062</f>
        <v>0</v>
      </c>
      <c r="P2049" s="21">
        <f>Data!J2066</f>
        <v>0</v>
      </c>
      <c r="Q2049">
        <f>Data!K2066</f>
        <v>0</v>
      </c>
      <c r="R2049">
        <f>Data!L2066</f>
        <v>0</v>
      </c>
      <c r="S2049">
        <f>Data!M2066</f>
        <v>0</v>
      </c>
      <c r="T2049">
        <f>Data!N2066</f>
        <v>0</v>
      </c>
      <c r="U2049">
        <f>Data!O2066</f>
        <v>0</v>
      </c>
      <c r="V2049" s="33">
        <f>Data!P2064</f>
        <v>0</v>
      </c>
    </row>
    <row r="2050" spans="7:22" x14ac:dyDescent="0.25">
      <c r="G2050">
        <f>Data!A2063</f>
        <v>0</v>
      </c>
      <c r="H2050" s="21">
        <f>Data!B2063</f>
        <v>0</v>
      </c>
      <c r="I2050" s="21">
        <f>Data!C2063</f>
        <v>0</v>
      </c>
      <c r="J2050">
        <f>Data!D2063</f>
        <v>0</v>
      </c>
      <c r="K2050">
        <f>Data!E2063</f>
        <v>0</v>
      </c>
      <c r="L2050">
        <f>Data!F2063</f>
        <v>0</v>
      </c>
      <c r="M2050">
        <f>Data!G2063</f>
        <v>0</v>
      </c>
      <c r="N2050">
        <f>Data!H2063</f>
        <v>0</v>
      </c>
      <c r="O2050">
        <f>Data!I2063</f>
        <v>0</v>
      </c>
      <c r="P2050" s="21">
        <f>Data!J2067</f>
        <v>0</v>
      </c>
      <c r="Q2050">
        <f>Data!K2067</f>
        <v>0</v>
      </c>
      <c r="R2050">
        <f>Data!L2067</f>
        <v>0</v>
      </c>
      <c r="S2050">
        <f>Data!M2067</f>
        <v>0</v>
      </c>
      <c r="T2050">
        <f>Data!N2067</f>
        <v>0</v>
      </c>
      <c r="U2050">
        <f>Data!O2067</f>
        <v>0</v>
      </c>
      <c r="V2050" s="33">
        <f>Data!P2065</f>
        <v>0</v>
      </c>
    </row>
    <row r="2051" spans="7:22" x14ac:dyDescent="0.25">
      <c r="G2051">
        <f>Data!A2064</f>
        <v>0</v>
      </c>
      <c r="H2051" s="21">
        <f>Data!B2064</f>
        <v>0</v>
      </c>
      <c r="I2051" s="21">
        <f>Data!C2064</f>
        <v>0</v>
      </c>
      <c r="J2051">
        <f>Data!D2064</f>
        <v>0</v>
      </c>
      <c r="K2051">
        <f>Data!E2064</f>
        <v>0</v>
      </c>
      <c r="L2051">
        <f>Data!F2064</f>
        <v>0</v>
      </c>
      <c r="M2051">
        <f>Data!G2064</f>
        <v>0</v>
      </c>
      <c r="N2051">
        <f>Data!H2064</f>
        <v>0</v>
      </c>
      <c r="O2051">
        <f>Data!I2064</f>
        <v>0</v>
      </c>
      <c r="P2051" s="21">
        <f>Data!J2068</f>
        <v>0</v>
      </c>
      <c r="Q2051">
        <f>Data!K2068</f>
        <v>0</v>
      </c>
      <c r="R2051">
        <f>Data!L2068</f>
        <v>0</v>
      </c>
      <c r="S2051">
        <f>Data!M2068</f>
        <v>0</v>
      </c>
      <c r="T2051">
        <f>Data!N2068</f>
        <v>0</v>
      </c>
      <c r="U2051">
        <f>Data!O2068</f>
        <v>0</v>
      </c>
      <c r="V2051" s="33">
        <f>Data!P2066</f>
        <v>0</v>
      </c>
    </row>
    <row r="2052" spans="7:22" x14ac:dyDescent="0.25">
      <c r="G2052">
        <f>Data!A2065</f>
        <v>0</v>
      </c>
      <c r="H2052" s="21">
        <f>Data!B2065</f>
        <v>0</v>
      </c>
      <c r="I2052" s="21">
        <f>Data!C2065</f>
        <v>0</v>
      </c>
      <c r="J2052">
        <f>Data!D2065</f>
        <v>0</v>
      </c>
      <c r="K2052">
        <f>Data!E2065</f>
        <v>0</v>
      </c>
      <c r="L2052">
        <f>Data!F2065</f>
        <v>0</v>
      </c>
      <c r="M2052">
        <f>Data!G2065</f>
        <v>0</v>
      </c>
      <c r="N2052">
        <f>Data!H2065</f>
        <v>0</v>
      </c>
      <c r="O2052">
        <f>Data!I2065</f>
        <v>0</v>
      </c>
      <c r="P2052" s="21">
        <f>Data!J2069</f>
        <v>0</v>
      </c>
      <c r="Q2052">
        <f>Data!K2069</f>
        <v>0</v>
      </c>
      <c r="R2052">
        <f>Data!L2069</f>
        <v>0</v>
      </c>
      <c r="S2052">
        <f>Data!M2069</f>
        <v>0</v>
      </c>
      <c r="T2052">
        <f>Data!N2069</f>
        <v>0</v>
      </c>
      <c r="U2052">
        <f>Data!O2069</f>
        <v>0</v>
      </c>
      <c r="V2052" s="33">
        <f>Data!P2067</f>
        <v>0</v>
      </c>
    </row>
    <row r="2053" spans="7:22" x14ac:dyDescent="0.25">
      <c r="G2053">
        <f>Data!A2066</f>
        <v>0</v>
      </c>
      <c r="H2053" s="21">
        <f>Data!B2066</f>
        <v>0</v>
      </c>
      <c r="I2053" s="21">
        <f>Data!C2066</f>
        <v>0</v>
      </c>
      <c r="J2053">
        <f>Data!D2066</f>
        <v>0</v>
      </c>
      <c r="K2053">
        <f>Data!E2066</f>
        <v>0</v>
      </c>
      <c r="L2053">
        <f>Data!F2066</f>
        <v>0</v>
      </c>
      <c r="M2053">
        <f>Data!G2066</f>
        <v>0</v>
      </c>
      <c r="N2053">
        <f>Data!H2066</f>
        <v>0</v>
      </c>
      <c r="O2053">
        <f>Data!I2066</f>
        <v>0</v>
      </c>
      <c r="P2053" s="21">
        <f>Data!J2070</f>
        <v>0</v>
      </c>
      <c r="Q2053">
        <f>Data!K2070</f>
        <v>0</v>
      </c>
      <c r="R2053">
        <f>Data!L2070</f>
        <v>0</v>
      </c>
      <c r="S2053">
        <f>Data!M2070</f>
        <v>0</v>
      </c>
      <c r="T2053">
        <f>Data!N2070</f>
        <v>0</v>
      </c>
      <c r="U2053">
        <f>Data!O2070</f>
        <v>0</v>
      </c>
      <c r="V2053" s="33">
        <f>Data!P2068</f>
        <v>0</v>
      </c>
    </row>
    <row r="2054" spans="7:22" x14ac:dyDescent="0.25">
      <c r="G2054">
        <f>Data!A2067</f>
        <v>0</v>
      </c>
      <c r="H2054" s="21">
        <f>Data!B2067</f>
        <v>0</v>
      </c>
      <c r="I2054" s="21">
        <f>Data!C2067</f>
        <v>0</v>
      </c>
      <c r="J2054">
        <f>Data!D2067</f>
        <v>0</v>
      </c>
      <c r="K2054">
        <f>Data!E2067</f>
        <v>0</v>
      </c>
      <c r="L2054">
        <f>Data!F2067</f>
        <v>0</v>
      </c>
      <c r="M2054">
        <f>Data!G2067</f>
        <v>0</v>
      </c>
      <c r="N2054">
        <f>Data!H2067</f>
        <v>0</v>
      </c>
      <c r="O2054">
        <f>Data!I2067</f>
        <v>0</v>
      </c>
      <c r="P2054" s="21">
        <f>Data!J2071</f>
        <v>0</v>
      </c>
      <c r="Q2054">
        <f>Data!K2071</f>
        <v>0</v>
      </c>
      <c r="R2054">
        <f>Data!L2071</f>
        <v>0</v>
      </c>
      <c r="S2054">
        <f>Data!M2071</f>
        <v>0</v>
      </c>
      <c r="T2054">
        <f>Data!N2071</f>
        <v>0</v>
      </c>
      <c r="U2054">
        <f>Data!O2071</f>
        <v>0</v>
      </c>
      <c r="V2054" s="33">
        <f>Data!P2069</f>
        <v>0</v>
      </c>
    </row>
    <row r="2055" spans="7:22" x14ac:dyDescent="0.25">
      <c r="G2055">
        <f>Data!A2068</f>
        <v>0</v>
      </c>
      <c r="H2055" s="21">
        <f>Data!B2068</f>
        <v>0</v>
      </c>
      <c r="I2055" s="21">
        <f>Data!C2068</f>
        <v>0</v>
      </c>
      <c r="J2055">
        <f>Data!D2068</f>
        <v>0</v>
      </c>
      <c r="K2055">
        <f>Data!E2068</f>
        <v>0</v>
      </c>
      <c r="L2055">
        <f>Data!F2068</f>
        <v>0</v>
      </c>
      <c r="M2055">
        <f>Data!G2068</f>
        <v>0</v>
      </c>
      <c r="N2055">
        <f>Data!H2068</f>
        <v>0</v>
      </c>
      <c r="O2055">
        <f>Data!I2068</f>
        <v>0</v>
      </c>
      <c r="P2055" s="21">
        <f>Data!J2072</f>
        <v>0</v>
      </c>
      <c r="Q2055">
        <f>Data!K2072</f>
        <v>0</v>
      </c>
      <c r="R2055">
        <f>Data!L2072</f>
        <v>0</v>
      </c>
      <c r="S2055">
        <f>Data!M2072</f>
        <v>0</v>
      </c>
      <c r="T2055">
        <f>Data!N2072</f>
        <v>0</v>
      </c>
      <c r="U2055">
        <f>Data!O2072</f>
        <v>0</v>
      </c>
      <c r="V2055" s="33">
        <f>Data!P2070</f>
        <v>0</v>
      </c>
    </row>
    <row r="2056" spans="7:22" x14ac:dyDescent="0.25">
      <c r="G2056">
        <f>Data!A2069</f>
        <v>0</v>
      </c>
      <c r="H2056" s="21">
        <f>Data!B2069</f>
        <v>0</v>
      </c>
      <c r="I2056" s="21">
        <f>Data!C2069</f>
        <v>0</v>
      </c>
      <c r="J2056">
        <f>Data!D2069</f>
        <v>0</v>
      </c>
      <c r="K2056">
        <f>Data!E2069</f>
        <v>0</v>
      </c>
      <c r="L2056">
        <f>Data!F2069</f>
        <v>0</v>
      </c>
      <c r="M2056">
        <f>Data!G2069</f>
        <v>0</v>
      </c>
      <c r="N2056">
        <f>Data!H2069</f>
        <v>0</v>
      </c>
      <c r="O2056">
        <f>Data!I2069</f>
        <v>0</v>
      </c>
      <c r="P2056" s="21">
        <f>Data!J2073</f>
        <v>0</v>
      </c>
      <c r="Q2056">
        <f>Data!K2073</f>
        <v>0</v>
      </c>
      <c r="R2056">
        <f>Data!L2073</f>
        <v>0</v>
      </c>
      <c r="S2056">
        <f>Data!M2073</f>
        <v>0</v>
      </c>
      <c r="T2056">
        <f>Data!N2073</f>
        <v>0</v>
      </c>
      <c r="U2056">
        <f>Data!O2073</f>
        <v>0</v>
      </c>
      <c r="V2056" s="33">
        <f>Data!P2071</f>
        <v>0</v>
      </c>
    </row>
    <row r="2057" spans="7:22" x14ac:dyDescent="0.25">
      <c r="G2057">
        <f>Data!A2070</f>
        <v>0</v>
      </c>
      <c r="H2057" s="21">
        <f>Data!B2070</f>
        <v>0</v>
      </c>
      <c r="I2057" s="21">
        <f>Data!C2070</f>
        <v>0</v>
      </c>
      <c r="J2057">
        <f>Data!D2070</f>
        <v>0</v>
      </c>
      <c r="K2057">
        <f>Data!E2070</f>
        <v>0</v>
      </c>
      <c r="L2057">
        <f>Data!F2070</f>
        <v>0</v>
      </c>
      <c r="M2057">
        <f>Data!G2070</f>
        <v>0</v>
      </c>
      <c r="N2057">
        <f>Data!H2070</f>
        <v>0</v>
      </c>
      <c r="O2057">
        <f>Data!I2070</f>
        <v>0</v>
      </c>
      <c r="P2057" s="21">
        <f>Data!J2074</f>
        <v>0</v>
      </c>
      <c r="Q2057">
        <f>Data!K2074</f>
        <v>0</v>
      </c>
      <c r="R2057">
        <f>Data!L2074</f>
        <v>0</v>
      </c>
      <c r="S2057">
        <f>Data!M2074</f>
        <v>0</v>
      </c>
      <c r="T2057">
        <f>Data!N2074</f>
        <v>0</v>
      </c>
      <c r="U2057">
        <f>Data!O2074</f>
        <v>0</v>
      </c>
      <c r="V2057" s="33">
        <f>Data!P2072</f>
        <v>0</v>
      </c>
    </row>
    <row r="2058" spans="7:22" x14ac:dyDescent="0.25">
      <c r="G2058">
        <f>Data!A2071</f>
        <v>0</v>
      </c>
      <c r="H2058" s="21">
        <f>Data!B2071</f>
        <v>0</v>
      </c>
      <c r="I2058" s="21">
        <f>Data!C2071</f>
        <v>0</v>
      </c>
      <c r="J2058">
        <f>Data!D2071</f>
        <v>0</v>
      </c>
      <c r="K2058">
        <f>Data!E2071</f>
        <v>0</v>
      </c>
      <c r="L2058">
        <f>Data!F2071</f>
        <v>0</v>
      </c>
      <c r="M2058">
        <f>Data!G2071</f>
        <v>0</v>
      </c>
      <c r="N2058">
        <f>Data!H2071</f>
        <v>0</v>
      </c>
      <c r="O2058">
        <f>Data!I2071</f>
        <v>0</v>
      </c>
      <c r="P2058" s="21">
        <f>Data!J2075</f>
        <v>0</v>
      </c>
      <c r="Q2058">
        <f>Data!K2075</f>
        <v>0</v>
      </c>
      <c r="R2058">
        <f>Data!L2075</f>
        <v>0</v>
      </c>
      <c r="S2058">
        <f>Data!M2075</f>
        <v>0</v>
      </c>
      <c r="T2058">
        <f>Data!N2075</f>
        <v>0</v>
      </c>
      <c r="U2058">
        <f>Data!O2075</f>
        <v>0</v>
      </c>
      <c r="V2058" s="33">
        <f>Data!P2073</f>
        <v>0</v>
      </c>
    </row>
    <row r="2059" spans="7:22" x14ac:dyDescent="0.25">
      <c r="G2059">
        <f>Data!A2072</f>
        <v>0</v>
      </c>
      <c r="H2059" s="21">
        <f>Data!B2072</f>
        <v>0</v>
      </c>
      <c r="I2059" s="21">
        <f>Data!C2072</f>
        <v>0</v>
      </c>
      <c r="J2059">
        <f>Data!D2072</f>
        <v>0</v>
      </c>
      <c r="K2059">
        <f>Data!E2072</f>
        <v>0</v>
      </c>
      <c r="L2059">
        <f>Data!F2072</f>
        <v>0</v>
      </c>
      <c r="M2059">
        <f>Data!G2072</f>
        <v>0</v>
      </c>
      <c r="N2059">
        <f>Data!H2072</f>
        <v>0</v>
      </c>
      <c r="O2059">
        <f>Data!I2072</f>
        <v>0</v>
      </c>
      <c r="P2059" s="21">
        <f>Data!J2076</f>
        <v>0</v>
      </c>
      <c r="Q2059">
        <f>Data!K2076</f>
        <v>0</v>
      </c>
      <c r="R2059">
        <f>Data!L2076</f>
        <v>0</v>
      </c>
      <c r="S2059">
        <f>Data!M2076</f>
        <v>0</v>
      </c>
      <c r="T2059">
        <f>Data!N2076</f>
        <v>0</v>
      </c>
      <c r="U2059">
        <f>Data!O2076</f>
        <v>0</v>
      </c>
      <c r="V2059" s="33">
        <f>Data!P2074</f>
        <v>0</v>
      </c>
    </row>
    <row r="2060" spans="7:22" x14ac:dyDescent="0.25">
      <c r="G2060">
        <f>Data!A2073</f>
        <v>0</v>
      </c>
      <c r="H2060" s="21">
        <f>Data!B2073</f>
        <v>0</v>
      </c>
      <c r="I2060" s="21">
        <f>Data!C2073</f>
        <v>0</v>
      </c>
      <c r="J2060">
        <f>Data!D2073</f>
        <v>0</v>
      </c>
      <c r="K2060">
        <f>Data!E2073</f>
        <v>0</v>
      </c>
      <c r="L2060">
        <f>Data!F2073</f>
        <v>0</v>
      </c>
      <c r="M2060">
        <f>Data!G2073</f>
        <v>0</v>
      </c>
      <c r="N2060">
        <f>Data!H2073</f>
        <v>0</v>
      </c>
      <c r="O2060">
        <f>Data!I2073</f>
        <v>0</v>
      </c>
      <c r="P2060" s="21">
        <f>Data!J2077</f>
        <v>0</v>
      </c>
      <c r="Q2060">
        <f>Data!K2077</f>
        <v>0</v>
      </c>
      <c r="R2060">
        <f>Data!L2077</f>
        <v>0</v>
      </c>
      <c r="S2060">
        <f>Data!M2077</f>
        <v>0</v>
      </c>
      <c r="T2060">
        <f>Data!N2077</f>
        <v>0</v>
      </c>
      <c r="U2060">
        <f>Data!O2077</f>
        <v>0</v>
      </c>
      <c r="V2060" s="33">
        <f>Data!P2075</f>
        <v>0</v>
      </c>
    </row>
    <row r="2061" spans="7:22" x14ac:dyDescent="0.25">
      <c r="G2061">
        <f>Data!A2074</f>
        <v>0</v>
      </c>
      <c r="H2061" s="21">
        <f>Data!B2074</f>
        <v>0</v>
      </c>
      <c r="I2061" s="21">
        <f>Data!C2074</f>
        <v>0</v>
      </c>
      <c r="J2061">
        <f>Data!D2074</f>
        <v>0</v>
      </c>
      <c r="K2061">
        <f>Data!E2074</f>
        <v>0</v>
      </c>
      <c r="L2061">
        <f>Data!F2074</f>
        <v>0</v>
      </c>
      <c r="M2061">
        <f>Data!G2074</f>
        <v>0</v>
      </c>
      <c r="N2061">
        <f>Data!H2074</f>
        <v>0</v>
      </c>
      <c r="O2061">
        <f>Data!I2074</f>
        <v>0</v>
      </c>
      <c r="P2061" s="21">
        <f>Data!J2078</f>
        <v>0</v>
      </c>
      <c r="Q2061">
        <f>Data!K2078</f>
        <v>0</v>
      </c>
      <c r="R2061">
        <f>Data!L2078</f>
        <v>0</v>
      </c>
      <c r="S2061">
        <f>Data!M2078</f>
        <v>0</v>
      </c>
      <c r="T2061">
        <f>Data!N2078</f>
        <v>0</v>
      </c>
      <c r="U2061">
        <f>Data!O2078</f>
        <v>0</v>
      </c>
      <c r="V2061" s="33">
        <f>Data!P2076</f>
        <v>0</v>
      </c>
    </row>
    <row r="2062" spans="7:22" x14ac:dyDescent="0.25">
      <c r="G2062">
        <f>Data!A2075</f>
        <v>0</v>
      </c>
      <c r="H2062" s="21">
        <f>Data!B2075</f>
        <v>0</v>
      </c>
      <c r="I2062" s="21">
        <f>Data!C2075</f>
        <v>0</v>
      </c>
      <c r="J2062">
        <f>Data!D2075</f>
        <v>0</v>
      </c>
      <c r="K2062">
        <f>Data!E2075</f>
        <v>0</v>
      </c>
      <c r="L2062">
        <f>Data!F2075</f>
        <v>0</v>
      </c>
      <c r="M2062">
        <f>Data!G2075</f>
        <v>0</v>
      </c>
      <c r="N2062">
        <f>Data!H2075</f>
        <v>0</v>
      </c>
      <c r="O2062">
        <f>Data!I2075</f>
        <v>0</v>
      </c>
      <c r="P2062" s="21">
        <f>Data!J2079</f>
        <v>0</v>
      </c>
      <c r="Q2062">
        <f>Data!K2079</f>
        <v>0</v>
      </c>
      <c r="R2062">
        <f>Data!L2079</f>
        <v>0</v>
      </c>
      <c r="S2062">
        <f>Data!M2079</f>
        <v>0</v>
      </c>
      <c r="T2062">
        <f>Data!N2079</f>
        <v>0</v>
      </c>
      <c r="U2062">
        <f>Data!O2079</f>
        <v>0</v>
      </c>
      <c r="V2062" s="33">
        <f>Data!P2077</f>
        <v>0</v>
      </c>
    </row>
    <row r="2063" spans="7:22" x14ac:dyDescent="0.25">
      <c r="G2063">
        <f>Data!A2076</f>
        <v>0</v>
      </c>
      <c r="H2063" s="21">
        <f>Data!B2076</f>
        <v>0</v>
      </c>
      <c r="I2063" s="21">
        <f>Data!C2076</f>
        <v>0</v>
      </c>
      <c r="J2063">
        <f>Data!D2076</f>
        <v>0</v>
      </c>
      <c r="K2063">
        <f>Data!E2076</f>
        <v>0</v>
      </c>
      <c r="L2063">
        <f>Data!F2076</f>
        <v>0</v>
      </c>
      <c r="M2063">
        <f>Data!G2076</f>
        <v>0</v>
      </c>
      <c r="N2063">
        <f>Data!H2076</f>
        <v>0</v>
      </c>
      <c r="O2063">
        <f>Data!I2076</f>
        <v>0</v>
      </c>
      <c r="P2063" s="21">
        <f>Data!J2080</f>
        <v>0</v>
      </c>
      <c r="Q2063">
        <f>Data!K2080</f>
        <v>0</v>
      </c>
      <c r="R2063">
        <f>Data!L2080</f>
        <v>0</v>
      </c>
      <c r="S2063">
        <f>Data!M2080</f>
        <v>0</v>
      </c>
      <c r="T2063">
        <f>Data!N2080</f>
        <v>0</v>
      </c>
      <c r="U2063">
        <f>Data!O2080</f>
        <v>0</v>
      </c>
      <c r="V2063" s="33">
        <f>Data!P2078</f>
        <v>0</v>
      </c>
    </row>
    <row r="2064" spans="7:22" x14ac:dyDescent="0.25">
      <c r="G2064">
        <f>Data!A2077</f>
        <v>0</v>
      </c>
      <c r="H2064" s="21">
        <f>Data!B2077</f>
        <v>0</v>
      </c>
      <c r="I2064" s="21">
        <f>Data!C2077</f>
        <v>0</v>
      </c>
      <c r="J2064">
        <f>Data!D2077</f>
        <v>0</v>
      </c>
      <c r="K2064">
        <f>Data!E2077</f>
        <v>0</v>
      </c>
      <c r="L2064">
        <f>Data!F2077</f>
        <v>0</v>
      </c>
      <c r="M2064">
        <f>Data!G2077</f>
        <v>0</v>
      </c>
      <c r="N2064">
        <f>Data!H2077</f>
        <v>0</v>
      </c>
      <c r="O2064">
        <f>Data!I2077</f>
        <v>0</v>
      </c>
      <c r="P2064" s="21">
        <f>Data!J2081</f>
        <v>0</v>
      </c>
      <c r="Q2064">
        <f>Data!K2081</f>
        <v>0</v>
      </c>
      <c r="R2064">
        <f>Data!L2081</f>
        <v>0</v>
      </c>
      <c r="S2064">
        <f>Data!M2081</f>
        <v>0</v>
      </c>
      <c r="T2064">
        <f>Data!N2081</f>
        <v>0</v>
      </c>
      <c r="U2064">
        <f>Data!O2081</f>
        <v>0</v>
      </c>
      <c r="V2064" s="33">
        <f>Data!P2079</f>
        <v>0</v>
      </c>
    </row>
    <row r="2065" spans="7:22" x14ac:dyDescent="0.25">
      <c r="G2065">
        <f>Data!A2078</f>
        <v>0</v>
      </c>
      <c r="H2065" s="21">
        <f>Data!B2078</f>
        <v>0</v>
      </c>
      <c r="I2065" s="21">
        <f>Data!C2078</f>
        <v>0</v>
      </c>
      <c r="J2065">
        <f>Data!D2078</f>
        <v>0</v>
      </c>
      <c r="K2065">
        <f>Data!E2078</f>
        <v>0</v>
      </c>
      <c r="L2065">
        <f>Data!F2078</f>
        <v>0</v>
      </c>
      <c r="M2065">
        <f>Data!G2078</f>
        <v>0</v>
      </c>
      <c r="N2065">
        <f>Data!H2078</f>
        <v>0</v>
      </c>
      <c r="O2065">
        <f>Data!I2078</f>
        <v>0</v>
      </c>
      <c r="P2065" s="21">
        <f>Data!J2082</f>
        <v>0</v>
      </c>
      <c r="Q2065">
        <f>Data!K2082</f>
        <v>0</v>
      </c>
      <c r="R2065">
        <f>Data!L2082</f>
        <v>0</v>
      </c>
      <c r="S2065">
        <f>Data!M2082</f>
        <v>0</v>
      </c>
      <c r="T2065">
        <f>Data!N2082</f>
        <v>0</v>
      </c>
      <c r="U2065">
        <f>Data!O2082</f>
        <v>0</v>
      </c>
      <c r="V2065" s="33">
        <f>Data!P2080</f>
        <v>0</v>
      </c>
    </row>
    <row r="2066" spans="7:22" x14ac:dyDescent="0.25">
      <c r="G2066">
        <f>Data!A2079</f>
        <v>0</v>
      </c>
      <c r="H2066" s="21">
        <f>Data!B2079</f>
        <v>0</v>
      </c>
      <c r="I2066" s="21">
        <f>Data!C2079</f>
        <v>0</v>
      </c>
      <c r="J2066">
        <f>Data!D2079</f>
        <v>0</v>
      </c>
      <c r="K2066">
        <f>Data!E2079</f>
        <v>0</v>
      </c>
      <c r="L2066">
        <f>Data!F2079</f>
        <v>0</v>
      </c>
      <c r="M2066">
        <f>Data!G2079</f>
        <v>0</v>
      </c>
      <c r="N2066">
        <f>Data!H2079</f>
        <v>0</v>
      </c>
      <c r="O2066">
        <f>Data!I2079</f>
        <v>0</v>
      </c>
      <c r="P2066" s="21">
        <f>Data!J2083</f>
        <v>0</v>
      </c>
      <c r="Q2066">
        <f>Data!K2083</f>
        <v>0</v>
      </c>
      <c r="R2066">
        <f>Data!L2083</f>
        <v>0</v>
      </c>
      <c r="S2066">
        <f>Data!M2083</f>
        <v>0</v>
      </c>
      <c r="T2066">
        <f>Data!N2083</f>
        <v>0</v>
      </c>
      <c r="U2066">
        <f>Data!O2083</f>
        <v>0</v>
      </c>
      <c r="V2066" s="33">
        <f>Data!P2081</f>
        <v>0</v>
      </c>
    </row>
    <row r="2067" spans="7:22" x14ac:dyDescent="0.25">
      <c r="G2067">
        <f>Data!A2080</f>
        <v>0</v>
      </c>
      <c r="H2067" s="21">
        <f>Data!B2080</f>
        <v>0</v>
      </c>
      <c r="I2067" s="21">
        <f>Data!C2080</f>
        <v>0</v>
      </c>
      <c r="J2067">
        <f>Data!D2080</f>
        <v>0</v>
      </c>
      <c r="K2067">
        <f>Data!E2080</f>
        <v>0</v>
      </c>
      <c r="L2067">
        <f>Data!F2080</f>
        <v>0</v>
      </c>
      <c r="M2067">
        <f>Data!G2080</f>
        <v>0</v>
      </c>
      <c r="N2067">
        <f>Data!H2080</f>
        <v>0</v>
      </c>
      <c r="O2067">
        <f>Data!I2080</f>
        <v>0</v>
      </c>
      <c r="P2067" s="21">
        <f>Data!J2084</f>
        <v>0</v>
      </c>
      <c r="Q2067">
        <f>Data!K2084</f>
        <v>0</v>
      </c>
      <c r="R2067">
        <f>Data!L2084</f>
        <v>0</v>
      </c>
      <c r="S2067">
        <f>Data!M2084</f>
        <v>0</v>
      </c>
      <c r="T2067">
        <f>Data!N2084</f>
        <v>0</v>
      </c>
      <c r="U2067">
        <f>Data!O2084</f>
        <v>0</v>
      </c>
      <c r="V2067" s="33">
        <f>Data!P2082</f>
        <v>0</v>
      </c>
    </row>
    <row r="2068" spans="7:22" x14ac:dyDescent="0.25">
      <c r="G2068">
        <f>Data!A2081</f>
        <v>0</v>
      </c>
      <c r="H2068" s="21">
        <f>Data!B2081</f>
        <v>0</v>
      </c>
      <c r="I2068" s="21">
        <f>Data!C2081</f>
        <v>0</v>
      </c>
      <c r="J2068">
        <f>Data!D2081</f>
        <v>0</v>
      </c>
      <c r="K2068">
        <f>Data!E2081</f>
        <v>0</v>
      </c>
      <c r="L2068">
        <f>Data!F2081</f>
        <v>0</v>
      </c>
      <c r="M2068">
        <f>Data!G2081</f>
        <v>0</v>
      </c>
      <c r="N2068">
        <f>Data!H2081</f>
        <v>0</v>
      </c>
      <c r="O2068">
        <f>Data!I2081</f>
        <v>0</v>
      </c>
      <c r="P2068" s="21">
        <f>Data!J2085</f>
        <v>0</v>
      </c>
      <c r="Q2068">
        <f>Data!K2085</f>
        <v>0</v>
      </c>
      <c r="R2068">
        <f>Data!L2085</f>
        <v>0</v>
      </c>
      <c r="S2068">
        <f>Data!M2085</f>
        <v>0</v>
      </c>
      <c r="T2068">
        <f>Data!N2085</f>
        <v>0</v>
      </c>
      <c r="U2068">
        <f>Data!O2085</f>
        <v>0</v>
      </c>
      <c r="V2068" s="33">
        <f>Data!P2083</f>
        <v>0</v>
      </c>
    </row>
    <row r="2069" spans="7:22" x14ac:dyDescent="0.25">
      <c r="G2069">
        <f>Data!A2082</f>
        <v>0</v>
      </c>
      <c r="H2069" s="21">
        <f>Data!B2082</f>
        <v>0</v>
      </c>
      <c r="I2069" s="21">
        <f>Data!C2082</f>
        <v>0</v>
      </c>
      <c r="J2069">
        <f>Data!D2082</f>
        <v>0</v>
      </c>
      <c r="K2069">
        <f>Data!E2082</f>
        <v>0</v>
      </c>
      <c r="L2069">
        <f>Data!F2082</f>
        <v>0</v>
      </c>
      <c r="M2069">
        <f>Data!G2082</f>
        <v>0</v>
      </c>
      <c r="N2069">
        <f>Data!H2082</f>
        <v>0</v>
      </c>
      <c r="O2069">
        <f>Data!I2082</f>
        <v>0</v>
      </c>
      <c r="P2069" s="21">
        <f>Data!J2086</f>
        <v>0</v>
      </c>
      <c r="Q2069">
        <f>Data!K2086</f>
        <v>0</v>
      </c>
      <c r="R2069">
        <f>Data!L2086</f>
        <v>0</v>
      </c>
      <c r="S2069">
        <f>Data!M2086</f>
        <v>0</v>
      </c>
      <c r="T2069">
        <f>Data!N2086</f>
        <v>0</v>
      </c>
      <c r="U2069">
        <f>Data!O2086</f>
        <v>0</v>
      </c>
      <c r="V2069" s="33">
        <f>Data!P2084</f>
        <v>0</v>
      </c>
    </row>
    <row r="2070" spans="7:22" x14ac:dyDescent="0.25">
      <c r="G2070">
        <f>Data!A2083</f>
        <v>0</v>
      </c>
      <c r="H2070" s="21">
        <f>Data!B2083</f>
        <v>0</v>
      </c>
      <c r="I2070" s="21">
        <f>Data!C2083</f>
        <v>0</v>
      </c>
      <c r="J2070">
        <f>Data!D2083</f>
        <v>0</v>
      </c>
      <c r="K2070">
        <f>Data!E2083</f>
        <v>0</v>
      </c>
      <c r="L2070">
        <f>Data!F2083</f>
        <v>0</v>
      </c>
      <c r="M2070">
        <f>Data!G2083</f>
        <v>0</v>
      </c>
      <c r="N2070">
        <f>Data!H2083</f>
        <v>0</v>
      </c>
      <c r="O2070">
        <f>Data!I2083</f>
        <v>0</v>
      </c>
      <c r="P2070" s="21">
        <f>Data!J2087</f>
        <v>0</v>
      </c>
      <c r="Q2070">
        <f>Data!K2087</f>
        <v>0</v>
      </c>
      <c r="R2070">
        <f>Data!L2087</f>
        <v>0</v>
      </c>
      <c r="S2070">
        <f>Data!M2087</f>
        <v>0</v>
      </c>
      <c r="T2070">
        <f>Data!N2087</f>
        <v>0</v>
      </c>
      <c r="U2070">
        <f>Data!O2087</f>
        <v>0</v>
      </c>
      <c r="V2070" s="33">
        <f>Data!P2085</f>
        <v>0</v>
      </c>
    </row>
    <row r="2071" spans="7:22" x14ac:dyDescent="0.25">
      <c r="G2071">
        <f>Data!A2084</f>
        <v>0</v>
      </c>
      <c r="H2071" s="21">
        <f>Data!B2084</f>
        <v>0</v>
      </c>
      <c r="I2071" s="21">
        <f>Data!C2084</f>
        <v>0</v>
      </c>
      <c r="J2071">
        <f>Data!D2084</f>
        <v>0</v>
      </c>
      <c r="K2071">
        <f>Data!E2084</f>
        <v>0</v>
      </c>
      <c r="L2071">
        <f>Data!F2084</f>
        <v>0</v>
      </c>
      <c r="M2071">
        <f>Data!G2084</f>
        <v>0</v>
      </c>
      <c r="N2071">
        <f>Data!H2084</f>
        <v>0</v>
      </c>
      <c r="O2071">
        <f>Data!I2084</f>
        <v>0</v>
      </c>
      <c r="P2071" s="21">
        <f>Data!J2088</f>
        <v>0</v>
      </c>
      <c r="Q2071">
        <f>Data!K2088</f>
        <v>0</v>
      </c>
      <c r="R2071">
        <f>Data!L2088</f>
        <v>0</v>
      </c>
      <c r="S2071">
        <f>Data!M2088</f>
        <v>0</v>
      </c>
      <c r="T2071">
        <f>Data!N2088</f>
        <v>0</v>
      </c>
      <c r="U2071">
        <f>Data!O2088</f>
        <v>0</v>
      </c>
      <c r="V2071" s="33">
        <f>Data!P2086</f>
        <v>0</v>
      </c>
    </row>
    <row r="2072" spans="7:22" x14ac:dyDescent="0.25">
      <c r="G2072">
        <f>Data!A2085</f>
        <v>0</v>
      </c>
      <c r="H2072" s="21">
        <f>Data!B2085</f>
        <v>0</v>
      </c>
      <c r="I2072" s="21">
        <f>Data!C2085</f>
        <v>0</v>
      </c>
      <c r="J2072">
        <f>Data!D2085</f>
        <v>0</v>
      </c>
      <c r="K2072">
        <f>Data!E2085</f>
        <v>0</v>
      </c>
      <c r="L2072">
        <f>Data!F2085</f>
        <v>0</v>
      </c>
      <c r="M2072">
        <f>Data!G2085</f>
        <v>0</v>
      </c>
      <c r="N2072">
        <f>Data!H2085</f>
        <v>0</v>
      </c>
      <c r="O2072">
        <f>Data!I2085</f>
        <v>0</v>
      </c>
      <c r="P2072" s="21">
        <f>Data!J2089</f>
        <v>0</v>
      </c>
      <c r="Q2072">
        <f>Data!K2089</f>
        <v>0</v>
      </c>
      <c r="R2072">
        <f>Data!L2089</f>
        <v>0</v>
      </c>
      <c r="S2072">
        <f>Data!M2089</f>
        <v>0</v>
      </c>
      <c r="T2072">
        <f>Data!N2089</f>
        <v>0</v>
      </c>
      <c r="U2072">
        <f>Data!O2089</f>
        <v>0</v>
      </c>
      <c r="V2072" s="33">
        <f>Data!P2087</f>
        <v>0</v>
      </c>
    </row>
    <row r="2073" spans="7:22" x14ac:dyDescent="0.25">
      <c r="G2073">
        <f>Data!A2086</f>
        <v>0</v>
      </c>
      <c r="H2073" s="21">
        <f>Data!B2086</f>
        <v>0</v>
      </c>
      <c r="I2073" s="21">
        <f>Data!C2086</f>
        <v>0</v>
      </c>
      <c r="J2073">
        <f>Data!D2086</f>
        <v>0</v>
      </c>
      <c r="K2073">
        <f>Data!E2086</f>
        <v>0</v>
      </c>
      <c r="L2073">
        <f>Data!F2086</f>
        <v>0</v>
      </c>
      <c r="M2073">
        <f>Data!G2086</f>
        <v>0</v>
      </c>
      <c r="N2073">
        <f>Data!H2086</f>
        <v>0</v>
      </c>
      <c r="O2073">
        <f>Data!I2086</f>
        <v>0</v>
      </c>
      <c r="P2073" s="21">
        <f>Data!J2090</f>
        <v>0</v>
      </c>
      <c r="Q2073">
        <f>Data!K2090</f>
        <v>0</v>
      </c>
      <c r="R2073">
        <f>Data!L2090</f>
        <v>0</v>
      </c>
      <c r="S2073">
        <f>Data!M2090</f>
        <v>0</v>
      </c>
      <c r="T2073">
        <f>Data!N2090</f>
        <v>0</v>
      </c>
      <c r="U2073">
        <f>Data!O2090</f>
        <v>0</v>
      </c>
      <c r="V2073" s="33">
        <f>Data!P2088</f>
        <v>0</v>
      </c>
    </row>
    <row r="2074" spans="7:22" x14ac:dyDescent="0.25">
      <c r="G2074">
        <f>Data!A2087</f>
        <v>0</v>
      </c>
      <c r="H2074" s="21">
        <f>Data!B2087</f>
        <v>0</v>
      </c>
      <c r="I2074" s="21">
        <f>Data!C2087</f>
        <v>0</v>
      </c>
      <c r="J2074">
        <f>Data!D2087</f>
        <v>0</v>
      </c>
      <c r="K2074">
        <f>Data!E2087</f>
        <v>0</v>
      </c>
      <c r="L2074">
        <f>Data!F2087</f>
        <v>0</v>
      </c>
      <c r="M2074">
        <f>Data!G2087</f>
        <v>0</v>
      </c>
      <c r="N2074">
        <f>Data!H2087</f>
        <v>0</v>
      </c>
      <c r="O2074">
        <f>Data!I2087</f>
        <v>0</v>
      </c>
      <c r="P2074" s="21">
        <f>Data!J2091</f>
        <v>0</v>
      </c>
      <c r="Q2074">
        <f>Data!K2091</f>
        <v>0</v>
      </c>
      <c r="R2074">
        <f>Data!L2091</f>
        <v>0</v>
      </c>
      <c r="S2074">
        <f>Data!M2091</f>
        <v>0</v>
      </c>
      <c r="T2074">
        <f>Data!N2091</f>
        <v>0</v>
      </c>
      <c r="U2074">
        <f>Data!O2091</f>
        <v>0</v>
      </c>
      <c r="V2074" s="33">
        <f>Data!P2089</f>
        <v>0</v>
      </c>
    </row>
    <row r="2075" spans="7:22" x14ac:dyDescent="0.25">
      <c r="G2075">
        <f>Data!A2088</f>
        <v>0</v>
      </c>
      <c r="H2075" s="21">
        <f>Data!B2088</f>
        <v>0</v>
      </c>
      <c r="I2075" s="21">
        <f>Data!C2088</f>
        <v>0</v>
      </c>
      <c r="J2075">
        <f>Data!D2088</f>
        <v>0</v>
      </c>
      <c r="K2075">
        <f>Data!E2088</f>
        <v>0</v>
      </c>
      <c r="L2075">
        <f>Data!F2088</f>
        <v>0</v>
      </c>
      <c r="M2075">
        <f>Data!G2088</f>
        <v>0</v>
      </c>
      <c r="N2075">
        <f>Data!H2088</f>
        <v>0</v>
      </c>
      <c r="O2075">
        <f>Data!I2088</f>
        <v>0</v>
      </c>
      <c r="P2075" s="21">
        <f>Data!J2092</f>
        <v>0</v>
      </c>
      <c r="Q2075">
        <f>Data!K2092</f>
        <v>0</v>
      </c>
      <c r="R2075">
        <f>Data!L2092</f>
        <v>0</v>
      </c>
      <c r="S2075">
        <f>Data!M2092</f>
        <v>0</v>
      </c>
      <c r="T2075">
        <f>Data!N2092</f>
        <v>0</v>
      </c>
      <c r="U2075">
        <f>Data!O2092</f>
        <v>0</v>
      </c>
      <c r="V2075" s="33">
        <f>Data!P2090</f>
        <v>0</v>
      </c>
    </row>
    <row r="2076" spans="7:22" x14ac:dyDescent="0.25">
      <c r="G2076">
        <f>Data!A2089</f>
        <v>0</v>
      </c>
      <c r="H2076" s="21">
        <f>Data!B2089</f>
        <v>0</v>
      </c>
      <c r="I2076" s="21">
        <f>Data!C2089</f>
        <v>0</v>
      </c>
      <c r="J2076">
        <f>Data!D2089</f>
        <v>0</v>
      </c>
      <c r="K2076">
        <f>Data!E2089</f>
        <v>0</v>
      </c>
      <c r="L2076">
        <f>Data!F2089</f>
        <v>0</v>
      </c>
      <c r="M2076">
        <f>Data!G2089</f>
        <v>0</v>
      </c>
      <c r="N2076">
        <f>Data!H2089</f>
        <v>0</v>
      </c>
      <c r="O2076">
        <f>Data!I2089</f>
        <v>0</v>
      </c>
      <c r="P2076" s="21">
        <f>Data!J2093</f>
        <v>0</v>
      </c>
      <c r="Q2076">
        <f>Data!K2093</f>
        <v>0</v>
      </c>
      <c r="R2076">
        <f>Data!L2093</f>
        <v>0</v>
      </c>
      <c r="S2076">
        <f>Data!M2093</f>
        <v>0</v>
      </c>
      <c r="T2076">
        <f>Data!N2093</f>
        <v>0</v>
      </c>
      <c r="U2076">
        <f>Data!O2093</f>
        <v>0</v>
      </c>
      <c r="V2076" s="33">
        <f>Data!P2091</f>
        <v>0</v>
      </c>
    </row>
    <row r="2077" spans="7:22" x14ac:dyDescent="0.25">
      <c r="G2077">
        <f>Data!A2090</f>
        <v>0</v>
      </c>
      <c r="H2077" s="21">
        <f>Data!B2090</f>
        <v>0</v>
      </c>
      <c r="I2077" s="21">
        <f>Data!C2090</f>
        <v>0</v>
      </c>
      <c r="J2077">
        <f>Data!D2090</f>
        <v>0</v>
      </c>
      <c r="K2077">
        <f>Data!E2090</f>
        <v>0</v>
      </c>
      <c r="L2077">
        <f>Data!F2090</f>
        <v>0</v>
      </c>
      <c r="M2077">
        <f>Data!G2090</f>
        <v>0</v>
      </c>
      <c r="N2077">
        <f>Data!H2090</f>
        <v>0</v>
      </c>
      <c r="O2077">
        <f>Data!I2090</f>
        <v>0</v>
      </c>
      <c r="P2077" s="21">
        <f>Data!J2094</f>
        <v>0</v>
      </c>
      <c r="Q2077">
        <f>Data!K2094</f>
        <v>0</v>
      </c>
      <c r="R2077">
        <f>Data!L2094</f>
        <v>0</v>
      </c>
      <c r="S2077">
        <f>Data!M2094</f>
        <v>0</v>
      </c>
      <c r="T2077">
        <f>Data!N2094</f>
        <v>0</v>
      </c>
      <c r="U2077">
        <f>Data!O2094</f>
        <v>0</v>
      </c>
      <c r="V2077" s="33">
        <f>Data!P2092</f>
        <v>0</v>
      </c>
    </row>
    <row r="2078" spans="7:22" x14ac:dyDescent="0.25">
      <c r="G2078">
        <f>Data!A2091</f>
        <v>0</v>
      </c>
      <c r="H2078" s="21">
        <f>Data!B2091</f>
        <v>0</v>
      </c>
      <c r="I2078" s="21">
        <f>Data!C2091</f>
        <v>0</v>
      </c>
      <c r="J2078">
        <f>Data!D2091</f>
        <v>0</v>
      </c>
      <c r="K2078">
        <f>Data!E2091</f>
        <v>0</v>
      </c>
      <c r="L2078">
        <f>Data!F2091</f>
        <v>0</v>
      </c>
      <c r="M2078">
        <f>Data!G2091</f>
        <v>0</v>
      </c>
      <c r="N2078">
        <f>Data!H2091</f>
        <v>0</v>
      </c>
      <c r="O2078">
        <f>Data!I2091</f>
        <v>0</v>
      </c>
      <c r="P2078" s="21">
        <f>Data!J2095</f>
        <v>0</v>
      </c>
      <c r="Q2078">
        <f>Data!K2095</f>
        <v>0</v>
      </c>
      <c r="R2078">
        <f>Data!L2095</f>
        <v>0</v>
      </c>
      <c r="S2078">
        <f>Data!M2095</f>
        <v>0</v>
      </c>
      <c r="T2078">
        <f>Data!N2095</f>
        <v>0</v>
      </c>
      <c r="U2078">
        <f>Data!O2095</f>
        <v>0</v>
      </c>
      <c r="V2078" s="33">
        <f>Data!P2093</f>
        <v>0</v>
      </c>
    </row>
    <row r="2079" spans="7:22" x14ac:dyDescent="0.25">
      <c r="G2079">
        <f>Data!A2092</f>
        <v>0</v>
      </c>
      <c r="H2079" s="21">
        <f>Data!B2092</f>
        <v>0</v>
      </c>
      <c r="I2079" s="21">
        <f>Data!C2092</f>
        <v>0</v>
      </c>
      <c r="J2079">
        <f>Data!D2092</f>
        <v>0</v>
      </c>
      <c r="K2079">
        <f>Data!E2092</f>
        <v>0</v>
      </c>
      <c r="L2079">
        <f>Data!F2092</f>
        <v>0</v>
      </c>
      <c r="M2079">
        <f>Data!G2092</f>
        <v>0</v>
      </c>
      <c r="N2079">
        <f>Data!H2092</f>
        <v>0</v>
      </c>
      <c r="O2079">
        <f>Data!I2092</f>
        <v>0</v>
      </c>
      <c r="P2079" s="21">
        <f>Data!J2096</f>
        <v>0</v>
      </c>
      <c r="Q2079">
        <f>Data!K2096</f>
        <v>0</v>
      </c>
      <c r="R2079">
        <f>Data!L2096</f>
        <v>0</v>
      </c>
      <c r="S2079">
        <f>Data!M2096</f>
        <v>0</v>
      </c>
      <c r="T2079">
        <f>Data!N2096</f>
        <v>0</v>
      </c>
      <c r="U2079">
        <f>Data!O2096</f>
        <v>0</v>
      </c>
      <c r="V2079" s="33">
        <f>Data!P2094</f>
        <v>0</v>
      </c>
    </row>
    <row r="2080" spans="7:22" x14ac:dyDescent="0.25">
      <c r="G2080">
        <f>Data!A2093</f>
        <v>0</v>
      </c>
      <c r="H2080" s="21">
        <f>Data!B2093</f>
        <v>0</v>
      </c>
      <c r="I2080" s="21">
        <f>Data!C2093</f>
        <v>0</v>
      </c>
      <c r="J2080">
        <f>Data!D2093</f>
        <v>0</v>
      </c>
      <c r="K2080">
        <f>Data!E2093</f>
        <v>0</v>
      </c>
      <c r="L2080">
        <f>Data!F2093</f>
        <v>0</v>
      </c>
      <c r="M2080">
        <f>Data!G2093</f>
        <v>0</v>
      </c>
      <c r="N2080">
        <f>Data!H2093</f>
        <v>0</v>
      </c>
      <c r="O2080">
        <f>Data!I2093</f>
        <v>0</v>
      </c>
      <c r="P2080" s="21">
        <f>Data!J2097</f>
        <v>0</v>
      </c>
      <c r="Q2080">
        <f>Data!K2097</f>
        <v>0</v>
      </c>
      <c r="R2080">
        <f>Data!L2097</f>
        <v>0</v>
      </c>
      <c r="S2080">
        <f>Data!M2097</f>
        <v>0</v>
      </c>
      <c r="T2080">
        <f>Data!N2097</f>
        <v>0</v>
      </c>
      <c r="U2080">
        <f>Data!O2097</f>
        <v>0</v>
      </c>
      <c r="V2080" s="33">
        <f>Data!P2095</f>
        <v>0</v>
      </c>
    </row>
    <row r="2081" spans="7:22" x14ac:dyDescent="0.25">
      <c r="G2081">
        <f>Data!A2094</f>
        <v>0</v>
      </c>
      <c r="H2081" s="21">
        <f>Data!B2094</f>
        <v>0</v>
      </c>
      <c r="I2081" s="21">
        <f>Data!C2094</f>
        <v>0</v>
      </c>
      <c r="J2081">
        <f>Data!D2094</f>
        <v>0</v>
      </c>
      <c r="K2081">
        <f>Data!E2094</f>
        <v>0</v>
      </c>
      <c r="L2081">
        <f>Data!F2094</f>
        <v>0</v>
      </c>
      <c r="M2081">
        <f>Data!G2094</f>
        <v>0</v>
      </c>
      <c r="N2081">
        <f>Data!H2094</f>
        <v>0</v>
      </c>
      <c r="O2081">
        <f>Data!I2094</f>
        <v>0</v>
      </c>
      <c r="P2081" s="21">
        <f>Data!J2098</f>
        <v>0</v>
      </c>
      <c r="Q2081">
        <f>Data!K2098</f>
        <v>0</v>
      </c>
      <c r="R2081">
        <f>Data!L2098</f>
        <v>0</v>
      </c>
      <c r="S2081">
        <f>Data!M2098</f>
        <v>0</v>
      </c>
      <c r="T2081">
        <f>Data!N2098</f>
        <v>0</v>
      </c>
      <c r="U2081">
        <f>Data!O2098</f>
        <v>0</v>
      </c>
      <c r="V2081" s="33">
        <f>Data!P2096</f>
        <v>0</v>
      </c>
    </row>
    <row r="2082" spans="7:22" x14ac:dyDescent="0.25">
      <c r="G2082">
        <f>Data!A2095</f>
        <v>0</v>
      </c>
      <c r="H2082" s="21">
        <f>Data!B2095</f>
        <v>0</v>
      </c>
      <c r="I2082" s="21">
        <f>Data!C2095</f>
        <v>0</v>
      </c>
      <c r="J2082">
        <f>Data!D2095</f>
        <v>0</v>
      </c>
      <c r="K2082">
        <f>Data!E2095</f>
        <v>0</v>
      </c>
      <c r="L2082">
        <f>Data!F2095</f>
        <v>0</v>
      </c>
      <c r="M2082">
        <f>Data!G2095</f>
        <v>0</v>
      </c>
      <c r="N2082">
        <f>Data!H2095</f>
        <v>0</v>
      </c>
      <c r="O2082">
        <f>Data!I2095</f>
        <v>0</v>
      </c>
      <c r="P2082" s="21">
        <f>Data!J2099</f>
        <v>0</v>
      </c>
      <c r="Q2082">
        <f>Data!K2099</f>
        <v>0</v>
      </c>
      <c r="R2082">
        <f>Data!L2099</f>
        <v>0</v>
      </c>
      <c r="S2082">
        <f>Data!M2099</f>
        <v>0</v>
      </c>
      <c r="T2082">
        <f>Data!N2099</f>
        <v>0</v>
      </c>
      <c r="U2082">
        <f>Data!O2099</f>
        <v>0</v>
      </c>
      <c r="V2082" s="33">
        <f>Data!P2097</f>
        <v>0</v>
      </c>
    </row>
    <row r="2083" spans="7:22" x14ac:dyDescent="0.25">
      <c r="G2083">
        <f>Data!A2096</f>
        <v>0</v>
      </c>
      <c r="H2083" s="21">
        <f>Data!B2096</f>
        <v>0</v>
      </c>
      <c r="I2083" s="21">
        <f>Data!C2096</f>
        <v>0</v>
      </c>
      <c r="J2083">
        <f>Data!D2096</f>
        <v>0</v>
      </c>
      <c r="K2083">
        <f>Data!E2096</f>
        <v>0</v>
      </c>
      <c r="L2083">
        <f>Data!F2096</f>
        <v>0</v>
      </c>
      <c r="M2083">
        <f>Data!G2096</f>
        <v>0</v>
      </c>
      <c r="N2083">
        <f>Data!H2096</f>
        <v>0</v>
      </c>
      <c r="O2083">
        <f>Data!I2096</f>
        <v>0</v>
      </c>
      <c r="P2083" s="21">
        <f>Data!J2100</f>
        <v>0</v>
      </c>
      <c r="Q2083">
        <f>Data!K2100</f>
        <v>0</v>
      </c>
      <c r="R2083">
        <f>Data!L2100</f>
        <v>0</v>
      </c>
      <c r="S2083">
        <f>Data!M2100</f>
        <v>0</v>
      </c>
      <c r="T2083">
        <f>Data!N2100</f>
        <v>0</v>
      </c>
      <c r="U2083">
        <f>Data!O2100</f>
        <v>0</v>
      </c>
      <c r="V2083" s="33">
        <f>Data!P2098</f>
        <v>0</v>
      </c>
    </row>
    <row r="2084" spans="7:22" x14ac:dyDescent="0.25">
      <c r="G2084">
        <f>Data!A2097</f>
        <v>0</v>
      </c>
      <c r="H2084" s="21">
        <f>Data!B2097</f>
        <v>0</v>
      </c>
      <c r="I2084" s="21">
        <f>Data!C2097</f>
        <v>0</v>
      </c>
      <c r="J2084">
        <f>Data!D2097</f>
        <v>0</v>
      </c>
      <c r="K2084">
        <f>Data!E2097</f>
        <v>0</v>
      </c>
      <c r="L2084">
        <f>Data!F2097</f>
        <v>0</v>
      </c>
      <c r="M2084">
        <f>Data!G2097</f>
        <v>0</v>
      </c>
      <c r="N2084">
        <f>Data!H2097</f>
        <v>0</v>
      </c>
      <c r="O2084">
        <f>Data!I2097</f>
        <v>0</v>
      </c>
      <c r="P2084" s="21">
        <f>Data!J2101</f>
        <v>0</v>
      </c>
      <c r="Q2084">
        <f>Data!K2101</f>
        <v>0</v>
      </c>
      <c r="R2084">
        <f>Data!L2101</f>
        <v>0</v>
      </c>
      <c r="S2084">
        <f>Data!M2101</f>
        <v>0</v>
      </c>
      <c r="T2084">
        <f>Data!N2101</f>
        <v>0</v>
      </c>
      <c r="U2084">
        <f>Data!O2101</f>
        <v>0</v>
      </c>
      <c r="V2084" s="33">
        <f>Data!P2099</f>
        <v>0</v>
      </c>
    </row>
    <row r="2085" spans="7:22" x14ac:dyDescent="0.25">
      <c r="G2085">
        <f>Data!A2098</f>
        <v>0</v>
      </c>
      <c r="H2085" s="21">
        <f>Data!B2098</f>
        <v>0</v>
      </c>
      <c r="I2085" s="21">
        <f>Data!C2098</f>
        <v>0</v>
      </c>
      <c r="J2085">
        <f>Data!D2098</f>
        <v>0</v>
      </c>
      <c r="K2085">
        <f>Data!E2098</f>
        <v>0</v>
      </c>
      <c r="L2085">
        <f>Data!F2098</f>
        <v>0</v>
      </c>
      <c r="M2085">
        <f>Data!G2098</f>
        <v>0</v>
      </c>
      <c r="N2085">
        <f>Data!H2098</f>
        <v>0</v>
      </c>
      <c r="O2085">
        <f>Data!I2098</f>
        <v>0</v>
      </c>
      <c r="P2085" s="21">
        <f>Data!J2102</f>
        <v>0</v>
      </c>
      <c r="Q2085">
        <f>Data!K2102</f>
        <v>0</v>
      </c>
      <c r="R2085">
        <f>Data!L2102</f>
        <v>0</v>
      </c>
      <c r="S2085">
        <f>Data!M2102</f>
        <v>0</v>
      </c>
      <c r="T2085">
        <f>Data!N2102</f>
        <v>0</v>
      </c>
      <c r="U2085">
        <f>Data!O2102</f>
        <v>0</v>
      </c>
      <c r="V2085" s="33">
        <f>Data!P2100</f>
        <v>0</v>
      </c>
    </row>
    <row r="2086" spans="7:22" x14ac:dyDescent="0.25">
      <c r="G2086">
        <f>Data!A2099</f>
        <v>0</v>
      </c>
      <c r="H2086" s="21">
        <f>Data!B2099</f>
        <v>0</v>
      </c>
      <c r="I2086" s="21">
        <f>Data!C2099</f>
        <v>0</v>
      </c>
      <c r="J2086">
        <f>Data!D2099</f>
        <v>0</v>
      </c>
      <c r="K2086">
        <f>Data!E2099</f>
        <v>0</v>
      </c>
      <c r="L2086">
        <f>Data!F2099</f>
        <v>0</v>
      </c>
      <c r="M2086">
        <f>Data!G2099</f>
        <v>0</v>
      </c>
      <c r="N2086">
        <f>Data!H2099</f>
        <v>0</v>
      </c>
      <c r="O2086">
        <f>Data!I2099</f>
        <v>0</v>
      </c>
      <c r="P2086" s="21">
        <f>Data!J2103</f>
        <v>0</v>
      </c>
      <c r="Q2086">
        <f>Data!K2103</f>
        <v>0</v>
      </c>
      <c r="R2086">
        <f>Data!L2103</f>
        <v>0</v>
      </c>
      <c r="S2086">
        <f>Data!M2103</f>
        <v>0</v>
      </c>
      <c r="T2086">
        <f>Data!N2103</f>
        <v>0</v>
      </c>
      <c r="U2086">
        <f>Data!O2103</f>
        <v>0</v>
      </c>
      <c r="V2086" s="33">
        <f>Data!P2101</f>
        <v>0</v>
      </c>
    </row>
    <row r="2087" spans="7:22" x14ac:dyDescent="0.25">
      <c r="G2087">
        <f>Data!A2100</f>
        <v>0</v>
      </c>
      <c r="H2087" s="21">
        <f>Data!B2100</f>
        <v>0</v>
      </c>
      <c r="I2087" s="21">
        <f>Data!C2100</f>
        <v>0</v>
      </c>
      <c r="J2087">
        <f>Data!D2100</f>
        <v>0</v>
      </c>
      <c r="K2087">
        <f>Data!E2100</f>
        <v>0</v>
      </c>
      <c r="L2087">
        <f>Data!F2100</f>
        <v>0</v>
      </c>
      <c r="M2087">
        <f>Data!G2100</f>
        <v>0</v>
      </c>
      <c r="N2087">
        <f>Data!H2100</f>
        <v>0</v>
      </c>
      <c r="O2087">
        <f>Data!I2100</f>
        <v>0</v>
      </c>
      <c r="P2087" s="21">
        <f>Data!J2104</f>
        <v>0</v>
      </c>
      <c r="Q2087">
        <f>Data!K2104</f>
        <v>0</v>
      </c>
      <c r="R2087">
        <f>Data!L2104</f>
        <v>0</v>
      </c>
      <c r="S2087">
        <f>Data!M2104</f>
        <v>0</v>
      </c>
      <c r="T2087">
        <f>Data!N2104</f>
        <v>0</v>
      </c>
      <c r="U2087">
        <f>Data!O2104</f>
        <v>0</v>
      </c>
      <c r="V2087" s="33">
        <f>Data!P2102</f>
        <v>0</v>
      </c>
    </row>
    <row r="2088" spans="7:22" x14ac:dyDescent="0.25">
      <c r="G2088">
        <f>Data!A2101</f>
        <v>0</v>
      </c>
      <c r="H2088" s="21">
        <f>Data!B2101</f>
        <v>0</v>
      </c>
      <c r="I2088" s="21">
        <f>Data!C2101</f>
        <v>0</v>
      </c>
      <c r="J2088">
        <f>Data!D2101</f>
        <v>0</v>
      </c>
      <c r="K2088">
        <f>Data!E2101</f>
        <v>0</v>
      </c>
      <c r="L2088">
        <f>Data!F2101</f>
        <v>0</v>
      </c>
      <c r="M2088">
        <f>Data!G2101</f>
        <v>0</v>
      </c>
      <c r="N2088">
        <f>Data!H2101</f>
        <v>0</v>
      </c>
      <c r="O2088">
        <f>Data!I2101</f>
        <v>0</v>
      </c>
      <c r="P2088" s="21">
        <f>Data!J2105</f>
        <v>0</v>
      </c>
      <c r="Q2088">
        <f>Data!K2105</f>
        <v>0</v>
      </c>
      <c r="R2088">
        <f>Data!L2105</f>
        <v>0</v>
      </c>
      <c r="S2088">
        <f>Data!M2105</f>
        <v>0</v>
      </c>
      <c r="T2088">
        <f>Data!N2105</f>
        <v>0</v>
      </c>
      <c r="U2088">
        <f>Data!O2105</f>
        <v>0</v>
      </c>
      <c r="V2088" s="33">
        <f>Data!P2103</f>
        <v>0</v>
      </c>
    </row>
    <row r="2089" spans="7:22" x14ac:dyDescent="0.25">
      <c r="G2089">
        <f>Data!A2102</f>
        <v>0</v>
      </c>
      <c r="H2089" s="21">
        <f>Data!B2102</f>
        <v>0</v>
      </c>
      <c r="I2089" s="21">
        <f>Data!C2102</f>
        <v>0</v>
      </c>
      <c r="J2089">
        <f>Data!D2102</f>
        <v>0</v>
      </c>
      <c r="K2089">
        <f>Data!E2102</f>
        <v>0</v>
      </c>
      <c r="L2089">
        <f>Data!F2102</f>
        <v>0</v>
      </c>
      <c r="M2089">
        <f>Data!G2102</f>
        <v>0</v>
      </c>
      <c r="N2089">
        <f>Data!H2102</f>
        <v>0</v>
      </c>
      <c r="O2089">
        <f>Data!I2102</f>
        <v>0</v>
      </c>
      <c r="P2089" s="21">
        <f>Data!J2106</f>
        <v>0</v>
      </c>
      <c r="Q2089">
        <f>Data!K2106</f>
        <v>0</v>
      </c>
      <c r="R2089">
        <f>Data!L2106</f>
        <v>0</v>
      </c>
      <c r="S2089">
        <f>Data!M2106</f>
        <v>0</v>
      </c>
      <c r="T2089">
        <f>Data!N2106</f>
        <v>0</v>
      </c>
      <c r="U2089">
        <f>Data!O2106</f>
        <v>0</v>
      </c>
      <c r="V2089" s="33">
        <f>Data!P2104</f>
        <v>0</v>
      </c>
    </row>
    <row r="2090" spans="7:22" x14ac:dyDescent="0.25">
      <c r="G2090">
        <f>Data!A2103</f>
        <v>0</v>
      </c>
      <c r="H2090" s="21">
        <f>Data!B2103</f>
        <v>0</v>
      </c>
      <c r="I2090" s="21">
        <f>Data!C2103</f>
        <v>0</v>
      </c>
      <c r="J2090">
        <f>Data!D2103</f>
        <v>0</v>
      </c>
      <c r="K2090">
        <f>Data!E2103</f>
        <v>0</v>
      </c>
      <c r="L2090">
        <f>Data!F2103</f>
        <v>0</v>
      </c>
      <c r="M2090">
        <f>Data!G2103</f>
        <v>0</v>
      </c>
      <c r="N2090">
        <f>Data!H2103</f>
        <v>0</v>
      </c>
      <c r="O2090">
        <f>Data!I2103</f>
        <v>0</v>
      </c>
      <c r="P2090" s="21">
        <f>Data!J2107</f>
        <v>0</v>
      </c>
      <c r="Q2090">
        <f>Data!K2107</f>
        <v>0</v>
      </c>
      <c r="R2090">
        <f>Data!L2107</f>
        <v>0</v>
      </c>
      <c r="S2090">
        <f>Data!M2107</f>
        <v>0</v>
      </c>
      <c r="T2090">
        <f>Data!N2107</f>
        <v>0</v>
      </c>
      <c r="U2090">
        <f>Data!O2107</f>
        <v>0</v>
      </c>
      <c r="V2090" s="33">
        <f>Data!P2105</f>
        <v>0</v>
      </c>
    </row>
    <row r="2091" spans="7:22" x14ac:dyDescent="0.25">
      <c r="G2091">
        <f>Data!A2104</f>
        <v>0</v>
      </c>
      <c r="H2091" s="21">
        <f>Data!B2104</f>
        <v>0</v>
      </c>
      <c r="I2091" s="21">
        <f>Data!C2104</f>
        <v>0</v>
      </c>
      <c r="J2091">
        <f>Data!D2104</f>
        <v>0</v>
      </c>
      <c r="K2091">
        <f>Data!E2104</f>
        <v>0</v>
      </c>
      <c r="L2091">
        <f>Data!F2104</f>
        <v>0</v>
      </c>
      <c r="M2091">
        <f>Data!G2104</f>
        <v>0</v>
      </c>
      <c r="N2091">
        <f>Data!H2104</f>
        <v>0</v>
      </c>
      <c r="O2091">
        <f>Data!I2104</f>
        <v>0</v>
      </c>
      <c r="P2091" s="21">
        <f>Data!J2108</f>
        <v>0</v>
      </c>
      <c r="Q2091">
        <f>Data!K2108</f>
        <v>0</v>
      </c>
      <c r="R2091">
        <f>Data!L2108</f>
        <v>0</v>
      </c>
      <c r="S2091">
        <f>Data!M2108</f>
        <v>0</v>
      </c>
      <c r="T2091">
        <f>Data!N2108</f>
        <v>0</v>
      </c>
      <c r="U2091">
        <f>Data!O2108</f>
        <v>0</v>
      </c>
      <c r="V2091" s="33">
        <f>Data!P2106</f>
        <v>0</v>
      </c>
    </row>
    <row r="2092" spans="7:22" x14ac:dyDescent="0.25">
      <c r="G2092">
        <f>Data!A2105</f>
        <v>0</v>
      </c>
      <c r="H2092" s="21">
        <f>Data!B2105</f>
        <v>0</v>
      </c>
      <c r="I2092" s="21">
        <f>Data!C2105</f>
        <v>0</v>
      </c>
      <c r="J2092">
        <f>Data!D2105</f>
        <v>0</v>
      </c>
      <c r="K2092">
        <f>Data!E2105</f>
        <v>0</v>
      </c>
      <c r="L2092">
        <f>Data!F2105</f>
        <v>0</v>
      </c>
      <c r="M2092">
        <f>Data!G2105</f>
        <v>0</v>
      </c>
      <c r="N2092">
        <f>Data!H2105</f>
        <v>0</v>
      </c>
      <c r="O2092">
        <f>Data!I2105</f>
        <v>0</v>
      </c>
      <c r="P2092" s="21">
        <f>Data!J2109</f>
        <v>0</v>
      </c>
      <c r="Q2092">
        <f>Data!K2109</f>
        <v>0</v>
      </c>
      <c r="R2092">
        <f>Data!L2109</f>
        <v>0</v>
      </c>
      <c r="S2092">
        <f>Data!M2109</f>
        <v>0</v>
      </c>
      <c r="T2092">
        <f>Data!N2109</f>
        <v>0</v>
      </c>
      <c r="U2092">
        <f>Data!O2109</f>
        <v>0</v>
      </c>
      <c r="V2092" s="33">
        <f>Data!P2107</f>
        <v>0</v>
      </c>
    </row>
    <row r="2093" spans="7:22" x14ac:dyDescent="0.25">
      <c r="G2093">
        <f>Data!A2106</f>
        <v>0</v>
      </c>
      <c r="H2093" s="21">
        <f>Data!B2106</f>
        <v>0</v>
      </c>
      <c r="I2093" s="21">
        <f>Data!C2106</f>
        <v>0</v>
      </c>
      <c r="J2093">
        <f>Data!D2106</f>
        <v>0</v>
      </c>
      <c r="K2093">
        <f>Data!E2106</f>
        <v>0</v>
      </c>
      <c r="L2093">
        <f>Data!F2106</f>
        <v>0</v>
      </c>
      <c r="M2093">
        <f>Data!G2106</f>
        <v>0</v>
      </c>
      <c r="N2093">
        <f>Data!H2106</f>
        <v>0</v>
      </c>
      <c r="O2093">
        <f>Data!I2106</f>
        <v>0</v>
      </c>
      <c r="P2093" s="21">
        <f>Data!J2110</f>
        <v>0</v>
      </c>
      <c r="Q2093">
        <f>Data!K2110</f>
        <v>0</v>
      </c>
      <c r="R2093">
        <f>Data!L2110</f>
        <v>0</v>
      </c>
      <c r="S2093">
        <f>Data!M2110</f>
        <v>0</v>
      </c>
      <c r="T2093">
        <f>Data!N2110</f>
        <v>0</v>
      </c>
      <c r="U2093">
        <f>Data!O2110</f>
        <v>0</v>
      </c>
      <c r="V2093" s="33">
        <f>Data!P2108</f>
        <v>0</v>
      </c>
    </row>
    <row r="2094" spans="7:22" x14ac:dyDescent="0.25">
      <c r="G2094">
        <f>Data!A2107</f>
        <v>0</v>
      </c>
      <c r="H2094" s="21">
        <f>Data!B2107</f>
        <v>0</v>
      </c>
      <c r="I2094" s="21">
        <f>Data!C2107</f>
        <v>0</v>
      </c>
      <c r="J2094">
        <f>Data!D2107</f>
        <v>0</v>
      </c>
      <c r="K2094">
        <f>Data!E2107</f>
        <v>0</v>
      </c>
      <c r="L2094">
        <f>Data!F2107</f>
        <v>0</v>
      </c>
      <c r="M2094">
        <f>Data!G2107</f>
        <v>0</v>
      </c>
      <c r="N2094">
        <f>Data!H2107</f>
        <v>0</v>
      </c>
      <c r="O2094">
        <f>Data!I2107</f>
        <v>0</v>
      </c>
      <c r="P2094" s="21">
        <f>Data!J2111</f>
        <v>0</v>
      </c>
      <c r="Q2094">
        <f>Data!K2111</f>
        <v>0</v>
      </c>
      <c r="R2094">
        <f>Data!L2111</f>
        <v>0</v>
      </c>
      <c r="S2094">
        <f>Data!M2111</f>
        <v>0</v>
      </c>
      <c r="T2094">
        <f>Data!N2111</f>
        <v>0</v>
      </c>
      <c r="U2094">
        <f>Data!O2111</f>
        <v>0</v>
      </c>
      <c r="V2094" s="33">
        <f>Data!P2109</f>
        <v>0</v>
      </c>
    </row>
    <row r="2095" spans="7:22" x14ac:dyDescent="0.25">
      <c r="G2095">
        <f>Data!A2108</f>
        <v>0</v>
      </c>
      <c r="H2095" s="21">
        <f>Data!B2108</f>
        <v>0</v>
      </c>
      <c r="I2095" s="21">
        <f>Data!C2108</f>
        <v>0</v>
      </c>
      <c r="J2095">
        <f>Data!D2108</f>
        <v>0</v>
      </c>
      <c r="K2095">
        <f>Data!E2108</f>
        <v>0</v>
      </c>
      <c r="L2095">
        <f>Data!F2108</f>
        <v>0</v>
      </c>
      <c r="M2095">
        <f>Data!G2108</f>
        <v>0</v>
      </c>
      <c r="N2095">
        <f>Data!H2108</f>
        <v>0</v>
      </c>
      <c r="O2095">
        <f>Data!I2108</f>
        <v>0</v>
      </c>
      <c r="P2095" s="21">
        <f>Data!J2112</f>
        <v>0</v>
      </c>
      <c r="Q2095">
        <f>Data!K2112</f>
        <v>0</v>
      </c>
      <c r="R2095">
        <f>Data!L2112</f>
        <v>0</v>
      </c>
      <c r="S2095">
        <f>Data!M2112</f>
        <v>0</v>
      </c>
      <c r="T2095">
        <f>Data!N2112</f>
        <v>0</v>
      </c>
      <c r="U2095">
        <f>Data!O2112</f>
        <v>0</v>
      </c>
      <c r="V2095" s="33">
        <f>Data!P2110</f>
        <v>0</v>
      </c>
    </row>
    <row r="2096" spans="7:22" x14ac:dyDescent="0.25">
      <c r="G2096">
        <f>Data!A2109</f>
        <v>0</v>
      </c>
      <c r="H2096" s="21">
        <f>Data!B2109</f>
        <v>0</v>
      </c>
      <c r="I2096" s="21">
        <f>Data!C2109</f>
        <v>0</v>
      </c>
      <c r="J2096">
        <f>Data!D2109</f>
        <v>0</v>
      </c>
      <c r="K2096">
        <f>Data!E2109</f>
        <v>0</v>
      </c>
      <c r="L2096">
        <f>Data!F2109</f>
        <v>0</v>
      </c>
      <c r="M2096">
        <f>Data!G2109</f>
        <v>0</v>
      </c>
      <c r="N2096">
        <f>Data!H2109</f>
        <v>0</v>
      </c>
      <c r="O2096">
        <f>Data!I2109</f>
        <v>0</v>
      </c>
      <c r="P2096" s="21">
        <f>Data!J2113</f>
        <v>0</v>
      </c>
      <c r="Q2096">
        <f>Data!K2113</f>
        <v>0</v>
      </c>
      <c r="R2096">
        <f>Data!L2113</f>
        <v>0</v>
      </c>
      <c r="S2096">
        <f>Data!M2113</f>
        <v>0</v>
      </c>
      <c r="T2096">
        <f>Data!N2113</f>
        <v>0</v>
      </c>
      <c r="U2096">
        <f>Data!O2113</f>
        <v>0</v>
      </c>
      <c r="V2096" s="33">
        <f>Data!P2111</f>
        <v>0</v>
      </c>
    </row>
    <row r="2097" spans="7:22" x14ac:dyDescent="0.25">
      <c r="G2097">
        <f>Data!A2110</f>
        <v>0</v>
      </c>
      <c r="H2097" s="21">
        <f>Data!B2110</f>
        <v>0</v>
      </c>
      <c r="I2097" s="21">
        <f>Data!C2110</f>
        <v>0</v>
      </c>
      <c r="J2097">
        <f>Data!D2110</f>
        <v>0</v>
      </c>
      <c r="K2097">
        <f>Data!E2110</f>
        <v>0</v>
      </c>
      <c r="L2097">
        <f>Data!F2110</f>
        <v>0</v>
      </c>
      <c r="M2097">
        <f>Data!G2110</f>
        <v>0</v>
      </c>
      <c r="N2097">
        <f>Data!H2110</f>
        <v>0</v>
      </c>
      <c r="O2097">
        <f>Data!I2110</f>
        <v>0</v>
      </c>
      <c r="P2097" s="21">
        <f>Data!J2114</f>
        <v>0</v>
      </c>
      <c r="Q2097">
        <f>Data!K2114</f>
        <v>0</v>
      </c>
      <c r="R2097">
        <f>Data!L2114</f>
        <v>0</v>
      </c>
      <c r="S2097">
        <f>Data!M2114</f>
        <v>0</v>
      </c>
      <c r="T2097">
        <f>Data!N2114</f>
        <v>0</v>
      </c>
      <c r="U2097">
        <f>Data!O2114</f>
        <v>0</v>
      </c>
      <c r="V2097" s="33">
        <f>Data!P2112</f>
        <v>0</v>
      </c>
    </row>
    <row r="2098" spans="7:22" x14ac:dyDescent="0.25">
      <c r="G2098">
        <f>Data!A2111</f>
        <v>0</v>
      </c>
      <c r="H2098" s="21">
        <f>Data!B2111</f>
        <v>0</v>
      </c>
      <c r="I2098" s="21">
        <f>Data!C2111</f>
        <v>0</v>
      </c>
      <c r="J2098">
        <f>Data!D2111</f>
        <v>0</v>
      </c>
      <c r="K2098">
        <f>Data!E2111</f>
        <v>0</v>
      </c>
      <c r="L2098">
        <f>Data!F2111</f>
        <v>0</v>
      </c>
      <c r="M2098">
        <f>Data!G2111</f>
        <v>0</v>
      </c>
      <c r="N2098">
        <f>Data!H2111</f>
        <v>0</v>
      </c>
      <c r="O2098">
        <f>Data!I2111</f>
        <v>0</v>
      </c>
      <c r="P2098" s="21">
        <f>Data!J2115</f>
        <v>0</v>
      </c>
      <c r="Q2098">
        <f>Data!K2115</f>
        <v>0</v>
      </c>
      <c r="R2098">
        <f>Data!L2115</f>
        <v>0</v>
      </c>
      <c r="S2098">
        <f>Data!M2115</f>
        <v>0</v>
      </c>
      <c r="T2098">
        <f>Data!N2115</f>
        <v>0</v>
      </c>
      <c r="U2098">
        <f>Data!O2115</f>
        <v>0</v>
      </c>
      <c r="V2098" s="33">
        <f>Data!P2113</f>
        <v>0</v>
      </c>
    </row>
    <row r="2099" spans="7:22" x14ac:dyDescent="0.25">
      <c r="G2099">
        <f>Data!A2112</f>
        <v>0</v>
      </c>
      <c r="H2099" s="21">
        <f>Data!B2112</f>
        <v>0</v>
      </c>
      <c r="I2099" s="21">
        <f>Data!C2112</f>
        <v>0</v>
      </c>
      <c r="J2099">
        <f>Data!D2112</f>
        <v>0</v>
      </c>
      <c r="K2099">
        <f>Data!E2112</f>
        <v>0</v>
      </c>
      <c r="L2099">
        <f>Data!F2112</f>
        <v>0</v>
      </c>
      <c r="M2099">
        <f>Data!G2112</f>
        <v>0</v>
      </c>
      <c r="N2099">
        <f>Data!H2112</f>
        <v>0</v>
      </c>
      <c r="O2099">
        <f>Data!I2112</f>
        <v>0</v>
      </c>
      <c r="P2099" s="21">
        <f>Data!J2116</f>
        <v>0</v>
      </c>
      <c r="Q2099">
        <f>Data!K2116</f>
        <v>0</v>
      </c>
      <c r="R2099">
        <f>Data!L2116</f>
        <v>0</v>
      </c>
      <c r="S2099">
        <f>Data!M2116</f>
        <v>0</v>
      </c>
      <c r="T2099">
        <f>Data!N2116</f>
        <v>0</v>
      </c>
      <c r="U2099">
        <f>Data!O2116</f>
        <v>0</v>
      </c>
      <c r="V2099" s="33">
        <f>Data!P2114</f>
        <v>0</v>
      </c>
    </row>
    <row r="2100" spans="7:22" x14ac:dyDescent="0.25">
      <c r="G2100">
        <f>Data!A2113</f>
        <v>0</v>
      </c>
      <c r="H2100" s="21">
        <f>Data!B2113</f>
        <v>0</v>
      </c>
      <c r="I2100" s="21">
        <f>Data!C2113</f>
        <v>0</v>
      </c>
      <c r="J2100">
        <f>Data!D2113</f>
        <v>0</v>
      </c>
      <c r="K2100">
        <f>Data!E2113</f>
        <v>0</v>
      </c>
      <c r="L2100">
        <f>Data!F2113</f>
        <v>0</v>
      </c>
      <c r="M2100">
        <f>Data!G2113</f>
        <v>0</v>
      </c>
      <c r="N2100">
        <f>Data!H2113</f>
        <v>0</v>
      </c>
      <c r="O2100">
        <f>Data!I2113</f>
        <v>0</v>
      </c>
      <c r="P2100" s="21">
        <f>Data!J2117</f>
        <v>0</v>
      </c>
      <c r="Q2100">
        <f>Data!K2117</f>
        <v>0</v>
      </c>
      <c r="R2100">
        <f>Data!L2117</f>
        <v>0</v>
      </c>
      <c r="S2100">
        <f>Data!M2117</f>
        <v>0</v>
      </c>
      <c r="T2100">
        <f>Data!N2117</f>
        <v>0</v>
      </c>
      <c r="U2100">
        <f>Data!O2117</f>
        <v>0</v>
      </c>
      <c r="V2100" s="33">
        <f>Data!P2115</f>
        <v>0</v>
      </c>
    </row>
    <row r="2101" spans="7:22" x14ac:dyDescent="0.25">
      <c r="G2101">
        <f>Data!A2114</f>
        <v>0</v>
      </c>
      <c r="H2101" s="21">
        <f>Data!B2114</f>
        <v>0</v>
      </c>
      <c r="I2101" s="21">
        <f>Data!C2114</f>
        <v>0</v>
      </c>
      <c r="J2101">
        <f>Data!D2114</f>
        <v>0</v>
      </c>
      <c r="K2101">
        <f>Data!E2114</f>
        <v>0</v>
      </c>
      <c r="L2101">
        <f>Data!F2114</f>
        <v>0</v>
      </c>
      <c r="M2101">
        <f>Data!G2114</f>
        <v>0</v>
      </c>
      <c r="N2101">
        <f>Data!H2114</f>
        <v>0</v>
      </c>
      <c r="O2101">
        <f>Data!I2114</f>
        <v>0</v>
      </c>
      <c r="P2101" s="21">
        <f>Data!J2118</f>
        <v>0</v>
      </c>
      <c r="Q2101">
        <f>Data!K2118</f>
        <v>0</v>
      </c>
      <c r="R2101">
        <f>Data!L2118</f>
        <v>0</v>
      </c>
      <c r="S2101">
        <f>Data!M2118</f>
        <v>0</v>
      </c>
      <c r="T2101">
        <f>Data!N2118</f>
        <v>0</v>
      </c>
      <c r="U2101">
        <f>Data!O2118</f>
        <v>0</v>
      </c>
      <c r="V2101" s="33">
        <f>Data!P2116</f>
        <v>0</v>
      </c>
    </row>
    <row r="2102" spans="7:22" x14ac:dyDescent="0.25">
      <c r="G2102">
        <f>Data!A2115</f>
        <v>0</v>
      </c>
      <c r="H2102" s="21">
        <f>Data!B2115</f>
        <v>0</v>
      </c>
      <c r="I2102" s="21">
        <f>Data!C2115</f>
        <v>0</v>
      </c>
      <c r="J2102">
        <f>Data!D2115</f>
        <v>0</v>
      </c>
      <c r="K2102">
        <f>Data!E2115</f>
        <v>0</v>
      </c>
      <c r="L2102">
        <f>Data!F2115</f>
        <v>0</v>
      </c>
      <c r="M2102">
        <f>Data!G2115</f>
        <v>0</v>
      </c>
      <c r="N2102">
        <f>Data!H2115</f>
        <v>0</v>
      </c>
      <c r="O2102">
        <f>Data!I2115</f>
        <v>0</v>
      </c>
      <c r="P2102" s="21">
        <f>Data!J2119</f>
        <v>0</v>
      </c>
      <c r="Q2102">
        <f>Data!K2119</f>
        <v>0</v>
      </c>
      <c r="R2102">
        <f>Data!L2119</f>
        <v>0</v>
      </c>
      <c r="S2102">
        <f>Data!M2119</f>
        <v>0</v>
      </c>
      <c r="T2102">
        <f>Data!N2119</f>
        <v>0</v>
      </c>
      <c r="U2102">
        <f>Data!O2119</f>
        <v>0</v>
      </c>
      <c r="V2102" s="33">
        <f>Data!P2117</f>
        <v>0</v>
      </c>
    </row>
    <row r="2103" spans="7:22" x14ac:dyDescent="0.25">
      <c r="G2103">
        <f>Data!A2116</f>
        <v>0</v>
      </c>
      <c r="H2103" s="21">
        <f>Data!B2116</f>
        <v>0</v>
      </c>
      <c r="I2103" s="21">
        <f>Data!C2116</f>
        <v>0</v>
      </c>
      <c r="J2103">
        <f>Data!D2116</f>
        <v>0</v>
      </c>
      <c r="K2103">
        <f>Data!E2116</f>
        <v>0</v>
      </c>
      <c r="L2103">
        <f>Data!F2116</f>
        <v>0</v>
      </c>
      <c r="M2103">
        <f>Data!G2116</f>
        <v>0</v>
      </c>
      <c r="N2103">
        <f>Data!H2116</f>
        <v>0</v>
      </c>
      <c r="O2103">
        <f>Data!I2116</f>
        <v>0</v>
      </c>
      <c r="P2103" s="21">
        <f>Data!J2120</f>
        <v>0</v>
      </c>
      <c r="Q2103">
        <f>Data!K2120</f>
        <v>0</v>
      </c>
      <c r="R2103">
        <f>Data!L2120</f>
        <v>0</v>
      </c>
      <c r="S2103">
        <f>Data!M2120</f>
        <v>0</v>
      </c>
      <c r="T2103">
        <f>Data!N2120</f>
        <v>0</v>
      </c>
      <c r="U2103">
        <f>Data!O2120</f>
        <v>0</v>
      </c>
      <c r="V2103" s="33">
        <f>Data!P2118</f>
        <v>0</v>
      </c>
    </row>
    <row r="2104" spans="7:22" x14ac:dyDescent="0.25">
      <c r="G2104">
        <f>Data!A2117</f>
        <v>0</v>
      </c>
      <c r="H2104" s="21">
        <f>Data!B2117</f>
        <v>0</v>
      </c>
      <c r="I2104" s="21">
        <f>Data!C2117</f>
        <v>0</v>
      </c>
      <c r="J2104">
        <f>Data!D2117</f>
        <v>0</v>
      </c>
      <c r="K2104">
        <f>Data!E2117</f>
        <v>0</v>
      </c>
      <c r="L2104">
        <f>Data!F2117</f>
        <v>0</v>
      </c>
      <c r="M2104">
        <f>Data!G2117</f>
        <v>0</v>
      </c>
      <c r="N2104">
        <f>Data!H2117</f>
        <v>0</v>
      </c>
      <c r="O2104">
        <f>Data!I2117</f>
        <v>0</v>
      </c>
      <c r="P2104" s="21">
        <f>Data!J2121</f>
        <v>0</v>
      </c>
      <c r="Q2104">
        <f>Data!K2121</f>
        <v>0</v>
      </c>
      <c r="R2104">
        <f>Data!L2121</f>
        <v>0</v>
      </c>
      <c r="S2104">
        <f>Data!M2121</f>
        <v>0</v>
      </c>
      <c r="T2104">
        <f>Data!N2121</f>
        <v>0</v>
      </c>
      <c r="U2104">
        <f>Data!O2121</f>
        <v>0</v>
      </c>
      <c r="V2104" s="33">
        <f>Data!P2119</f>
        <v>0</v>
      </c>
    </row>
    <row r="2105" spans="7:22" x14ac:dyDescent="0.25">
      <c r="G2105">
        <f>Data!A2118</f>
        <v>0</v>
      </c>
      <c r="H2105" s="21">
        <f>Data!B2118</f>
        <v>0</v>
      </c>
      <c r="I2105" s="21">
        <f>Data!C2118</f>
        <v>0</v>
      </c>
      <c r="J2105">
        <f>Data!D2118</f>
        <v>0</v>
      </c>
      <c r="K2105">
        <f>Data!E2118</f>
        <v>0</v>
      </c>
      <c r="L2105">
        <f>Data!F2118</f>
        <v>0</v>
      </c>
      <c r="M2105">
        <f>Data!G2118</f>
        <v>0</v>
      </c>
      <c r="N2105">
        <f>Data!H2118</f>
        <v>0</v>
      </c>
      <c r="O2105">
        <f>Data!I2118</f>
        <v>0</v>
      </c>
      <c r="P2105" s="21">
        <f>Data!J2122</f>
        <v>0</v>
      </c>
      <c r="Q2105">
        <f>Data!K2122</f>
        <v>0</v>
      </c>
      <c r="R2105">
        <f>Data!L2122</f>
        <v>0</v>
      </c>
      <c r="S2105">
        <f>Data!M2122</f>
        <v>0</v>
      </c>
      <c r="T2105">
        <f>Data!N2122</f>
        <v>0</v>
      </c>
      <c r="U2105">
        <f>Data!O2122</f>
        <v>0</v>
      </c>
      <c r="V2105" s="33">
        <f>Data!P2120</f>
        <v>0</v>
      </c>
    </row>
    <row r="2106" spans="7:22" x14ac:dyDescent="0.25">
      <c r="G2106">
        <f>Data!A2119</f>
        <v>0</v>
      </c>
      <c r="H2106" s="21">
        <f>Data!B2119</f>
        <v>0</v>
      </c>
      <c r="I2106" s="21">
        <f>Data!C2119</f>
        <v>0</v>
      </c>
      <c r="J2106">
        <f>Data!D2119</f>
        <v>0</v>
      </c>
      <c r="K2106">
        <f>Data!E2119</f>
        <v>0</v>
      </c>
      <c r="L2106">
        <f>Data!F2119</f>
        <v>0</v>
      </c>
      <c r="M2106">
        <f>Data!G2119</f>
        <v>0</v>
      </c>
      <c r="N2106">
        <f>Data!H2119</f>
        <v>0</v>
      </c>
      <c r="O2106">
        <f>Data!I2119</f>
        <v>0</v>
      </c>
      <c r="P2106" s="21">
        <f>Data!J2123</f>
        <v>0</v>
      </c>
      <c r="Q2106">
        <f>Data!K2123</f>
        <v>0</v>
      </c>
      <c r="R2106">
        <f>Data!L2123</f>
        <v>0</v>
      </c>
      <c r="S2106">
        <f>Data!M2123</f>
        <v>0</v>
      </c>
      <c r="T2106">
        <f>Data!N2123</f>
        <v>0</v>
      </c>
      <c r="U2106">
        <f>Data!O2123</f>
        <v>0</v>
      </c>
      <c r="V2106" s="33">
        <f>Data!P2121</f>
        <v>0</v>
      </c>
    </row>
    <row r="2107" spans="7:22" x14ac:dyDescent="0.25">
      <c r="G2107">
        <f>Data!A2120</f>
        <v>0</v>
      </c>
      <c r="H2107" s="21">
        <f>Data!B2120</f>
        <v>0</v>
      </c>
      <c r="I2107" s="21">
        <f>Data!C2120</f>
        <v>0</v>
      </c>
      <c r="J2107">
        <f>Data!D2120</f>
        <v>0</v>
      </c>
      <c r="K2107">
        <f>Data!E2120</f>
        <v>0</v>
      </c>
      <c r="L2107">
        <f>Data!F2120</f>
        <v>0</v>
      </c>
      <c r="M2107">
        <f>Data!G2120</f>
        <v>0</v>
      </c>
      <c r="N2107">
        <f>Data!H2120</f>
        <v>0</v>
      </c>
      <c r="O2107">
        <f>Data!I2120</f>
        <v>0</v>
      </c>
      <c r="P2107" s="21">
        <f>Data!J2124</f>
        <v>0</v>
      </c>
      <c r="Q2107">
        <f>Data!K2124</f>
        <v>0</v>
      </c>
      <c r="R2107">
        <f>Data!L2124</f>
        <v>0</v>
      </c>
      <c r="S2107">
        <f>Data!M2124</f>
        <v>0</v>
      </c>
      <c r="T2107">
        <f>Data!N2124</f>
        <v>0</v>
      </c>
      <c r="U2107">
        <f>Data!O2124</f>
        <v>0</v>
      </c>
      <c r="V2107" s="33">
        <f>Data!P2122</f>
        <v>0</v>
      </c>
    </row>
    <row r="2108" spans="7:22" x14ac:dyDescent="0.25">
      <c r="G2108">
        <f>Data!A2121</f>
        <v>0</v>
      </c>
      <c r="H2108" s="21">
        <f>Data!B2121</f>
        <v>0</v>
      </c>
      <c r="I2108" s="21">
        <f>Data!C2121</f>
        <v>0</v>
      </c>
      <c r="J2108">
        <f>Data!D2121</f>
        <v>0</v>
      </c>
      <c r="K2108">
        <f>Data!E2121</f>
        <v>0</v>
      </c>
      <c r="L2108">
        <f>Data!F2121</f>
        <v>0</v>
      </c>
      <c r="M2108">
        <f>Data!G2121</f>
        <v>0</v>
      </c>
      <c r="N2108">
        <f>Data!H2121</f>
        <v>0</v>
      </c>
      <c r="O2108">
        <f>Data!I2121</f>
        <v>0</v>
      </c>
      <c r="P2108" s="21">
        <f>Data!J2125</f>
        <v>0</v>
      </c>
      <c r="Q2108">
        <f>Data!K2125</f>
        <v>0</v>
      </c>
      <c r="R2108">
        <f>Data!L2125</f>
        <v>0</v>
      </c>
      <c r="S2108">
        <f>Data!M2125</f>
        <v>0</v>
      </c>
      <c r="T2108">
        <f>Data!N2125</f>
        <v>0</v>
      </c>
      <c r="U2108">
        <f>Data!O2125</f>
        <v>0</v>
      </c>
      <c r="V2108" s="33">
        <f>Data!P2123</f>
        <v>0</v>
      </c>
    </row>
    <row r="2109" spans="7:22" x14ac:dyDescent="0.25">
      <c r="G2109">
        <f>Data!A2122</f>
        <v>0</v>
      </c>
      <c r="H2109" s="21">
        <f>Data!B2122</f>
        <v>0</v>
      </c>
      <c r="I2109" s="21">
        <f>Data!C2122</f>
        <v>0</v>
      </c>
      <c r="J2109">
        <f>Data!D2122</f>
        <v>0</v>
      </c>
      <c r="K2109">
        <f>Data!E2122</f>
        <v>0</v>
      </c>
      <c r="L2109">
        <f>Data!F2122</f>
        <v>0</v>
      </c>
      <c r="M2109">
        <f>Data!G2122</f>
        <v>0</v>
      </c>
      <c r="N2109">
        <f>Data!H2122</f>
        <v>0</v>
      </c>
      <c r="O2109">
        <f>Data!I2122</f>
        <v>0</v>
      </c>
      <c r="P2109" s="21">
        <f>Data!J2126</f>
        <v>0</v>
      </c>
      <c r="Q2109">
        <f>Data!K2126</f>
        <v>0</v>
      </c>
      <c r="R2109">
        <f>Data!L2126</f>
        <v>0</v>
      </c>
      <c r="S2109">
        <f>Data!M2126</f>
        <v>0</v>
      </c>
      <c r="T2109">
        <f>Data!N2126</f>
        <v>0</v>
      </c>
      <c r="U2109">
        <f>Data!O2126</f>
        <v>0</v>
      </c>
      <c r="V2109" s="33">
        <f>Data!P2124</f>
        <v>0</v>
      </c>
    </row>
    <row r="2110" spans="7:22" x14ac:dyDescent="0.25">
      <c r="G2110">
        <f>Data!A2123</f>
        <v>0</v>
      </c>
      <c r="H2110" s="21">
        <f>Data!B2123</f>
        <v>0</v>
      </c>
      <c r="I2110" s="21">
        <f>Data!C2123</f>
        <v>0</v>
      </c>
      <c r="J2110">
        <f>Data!D2123</f>
        <v>0</v>
      </c>
      <c r="K2110">
        <f>Data!E2123</f>
        <v>0</v>
      </c>
      <c r="L2110">
        <f>Data!F2123</f>
        <v>0</v>
      </c>
      <c r="M2110">
        <f>Data!G2123</f>
        <v>0</v>
      </c>
      <c r="N2110">
        <f>Data!H2123</f>
        <v>0</v>
      </c>
      <c r="O2110">
        <f>Data!I2123</f>
        <v>0</v>
      </c>
      <c r="P2110" s="21">
        <f>Data!J2127</f>
        <v>0</v>
      </c>
      <c r="Q2110">
        <f>Data!K2127</f>
        <v>0</v>
      </c>
      <c r="R2110">
        <f>Data!L2127</f>
        <v>0</v>
      </c>
      <c r="S2110">
        <f>Data!M2127</f>
        <v>0</v>
      </c>
      <c r="T2110">
        <f>Data!N2127</f>
        <v>0</v>
      </c>
      <c r="U2110">
        <f>Data!O2127</f>
        <v>0</v>
      </c>
      <c r="V2110" s="33">
        <f>Data!P2125</f>
        <v>0</v>
      </c>
    </row>
    <row r="2111" spans="7:22" x14ac:dyDescent="0.25">
      <c r="G2111">
        <f>Data!A2124</f>
        <v>0</v>
      </c>
      <c r="H2111" s="21">
        <f>Data!B2124</f>
        <v>0</v>
      </c>
      <c r="I2111" s="21">
        <f>Data!C2124</f>
        <v>0</v>
      </c>
      <c r="J2111">
        <f>Data!D2124</f>
        <v>0</v>
      </c>
      <c r="K2111">
        <f>Data!E2124</f>
        <v>0</v>
      </c>
      <c r="L2111">
        <f>Data!F2124</f>
        <v>0</v>
      </c>
      <c r="M2111">
        <f>Data!G2124</f>
        <v>0</v>
      </c>
      <c r="N2111">
        <f>Data!H2124</f>
        <v>0</v>
      </c>
      <c r="O2111">
        <f>Data!I2124</f>
        <v>0</v>
      </c>
      <c r="P2111" s="21">
        <f>Data!J2128</f>
        <v>0</v>
      </c>
      <c r="Q2111">
        <f>Data!K2128</f>
        <v>0</v>
      </c>
      <c r="R2111">
        <f>Data!L2128</f>
        <v>0</v>
      </c>
      <c r="S2111">
        <f>Data!M2128</f>
        <v>0</v>
      </c>
      <c r="T2111">
        <f>Data!N2128</f>
        <v>0</v>
      </c>
      <c r="U2111">
        <f>Data!O2128</f>
        <v>0</v>
      </c>
      <c r="V2111" s="33">
        <f>Data!P2126</f>
        <v>0</v>
      </c>
    </row>
    <row r="2112" spans="7:22" x14ac:dyDescent="0.25">
      <c r="G2112">
        <f>Data!A2125</f>
        <v>0</v>
      </c>
      <c r="H2112" s="21">
        <f>Data!B2125</f>
        <v>0</v>
      </c>
      <c r="I2112" s="21">
        <f>Data!C2125</f>
        <v>0</v>
      </c>
      <c r="J2112">
        <f>Data!D2125</f>
        <v>0</v>
      </c>
      <c r="K2112">
        <f>Data!E2125</f>
        <v>0</v>
      </c>
      <c r="L2112">
        <f>Data!F2125</f>
        <v>0</v>
      </c>
      <c r="M2112">
        <f>Data!G2125</f>
        <v>0</v>
      </c>
      <c r="N2112">
        <f>Data!H2125</f>
        <v>0</v>
      </c>
      <c r="O2112">
        <f>Data!I2125</f>
        <v>0</v>
      </c>
      <c r="P2112" s="21">
        <f>Data!J2129</f>
        <v>0</v>
      </c>
      <c r="Q2112">
        <f>Data!K2129</f>
        <v>0</v>
      </c>
      <c r="R2112">
        <f>Data!L2129</f>
        <v>0</v>
      </c>
      <c r="S2112">
        <f>Data!M2129</f>
        <v>0</v>
      </c>
      <c r="T2112">
        <f>Data!N2129</f>
        <v>0</v>
      </c>
      <c r="U2112">
        <f>Data!O2129</f>
        <v>0</v>
      </c>
      <c r="V2112" s="33">
        <f>Data!P2127</f>
        <v>0</v>
      </c>
    </row>
    <row r="2113" spans="7:22" x14ac:dyDescent="0.25">
      <c r="G2113">
        <f>Data!A2126</f>
        <v>0</v>
      </c>
      <c r="H2113" s="21">
        <f>Data!B2126</f>
        <v>0</v>
      </c>
      <c r="I2113" s="21">
        <f>Data!C2126</f>
        <v>0</v>
      </c>
      <c r="J2113">
        <f>Data!D2126</f>
        <v>0</v>
      </c>
      <c r="K2113">
        <f>Data!E2126</f>
        <v>0</v>
      </c>
      <c r="L2113">
        <f>Data!F2126</f>
        <v>0</v>
      </c>
      <c r="M2113">
        <f>Data!G2126</f>
        <v>0</v>
      </c>
      <c r="N2113">
        <f>Data!H2126</f>
        <v>0</v>
      </c>
      <c r="O2113">
        <f>Data!I2126</f>
        <v>0</v>
      </c>
      <c r="P2113" s="21">
        <f>Data!J2130</f>
        <v>0</v>
      </c>
      <c r="Q2113">
        <f>Data!K2130</f>
        <v>0</v>
      </c>
      <c r="R2113">
        <f>Data!L2130</f>
        <v>0</v>
      </c>
      <c r="S2113">
        <f>Data!M2130</f>
        <v>0</v>
      </c>
      <c r="T2113">
        <f>Data!N2130</f>
        <v>0</v>
      </c>
      <c r="U2113">
        <f>Data!O2130</f>
        <v>0</v>
      </c>
      <c r="V2113" s="33">
        <f>Data!P2128</f>
        <v>0</v>
      </c>
    </row>
    <row r="2114" spans="7:22" x14ac:dyDescent="0.25">
      <c r="G2114">
        <f>Data!A2127</f>
        <v>0</v>
      </c>
      <c r="H2114" s="21">
        <f>Data!B2127</f>
        <v>0</v>
      </c>
      <c r="I2114" s="21">
        <f>Data!C2127</f>
        <v>0</v>
      </c>
      <c r="J2114">
        <f>Data!D2127</f>
        <v>0</v>
      </c>
      <c r="K2114">
        <f>Data!E2127</f>
        <v>0</v>
      </c>
      <c r="L2114">
        <f>Data!F2127</f>
        <v>0</v>
      </c>
      <c r="M2114">
        <f>Data!G2127</f>
        <v>0</v>
      </c>
      <c r="N2114">
        <f>Data!H2127</f>
        <v>0</v>
      </c>
      <c r="O2114">
        <f>Data!I2127</f>
        <v>0</v>
      </c>
      <c r="P2114" s="21">
        <f>Data!J2131</f>
        <v>0</v>
      </c>
      <c r="Q2114">
        <f>Data!K2131</f>
        <v>0</v>
      </c>
      <c r="R2114">
        <f>Data!L2131</f>
        <v>0</v>
      </c>
      <c r="S2114">
        <f>Data!M2131</f>
        <v>0</v>
      </c>
      <c r="T2114">
        <f>Data!N2131</f>
        <v>0</v>
      </c>
      <c r="U2114">
        <f>Data!O2131</f>
        <v>0</v>
      </c>
      <c r="V2114" s="33">
        <f>Data!P2129</f>
        <v>0</v>
      </c>
    </row>
    <row r="2115" spans="7:22" x14ac:dyDescent="0.25">
      <c r="G2115">
        <f>Data!A2128</f>
        <v>0</v>
      </c>
      <c r="H2115" s="21">
        <f>Data!B2128</f>
        <v>0</v>
      </c>
      <c r="I2115" s="21">
        <f>Data!C2128</f>
        <v>0</v>
      </c>
      <c r="J2115">
        <f>Data!D2128</f>
        <v>0</v>
      </c>
      <c r="K2115">
        <f>Data!E2128</f>
        <v>0</v>
      </c>
      <c r="L2115">
        <f>Data!F2128</f>
        <v>0</v>
      </c>
      <c r="M2115">
        <f>Data!G2128</f>
        <v>0</v>
      </c>
      <c r="N2115">
        <f>Data!H2128</f>
        <v>0</v>
      </c>
      <c r="O2115">
        <f>Data!I2128</f>
        <v>0</v>
      </c>
      <c r="P2115" s="21">
        <f>Data!J2132</f>
        <v>0</v>
      </c>
      <c r="Q2115">
        <f>Data!K2132</f>
        <v>0</v>
      </c>
      <c r="R2115">
        <f>Data!L2132</f>
        <v>0</v>
      </c>
      <c r="S2115">
        <f>Data!M2132</f>
        <v>0</v>
      </c>
      <c r="T2115">
        <f>Data!N2132</f>
        <v>0</v>
      </c>
      <c r="U2115">
        <f>Data!O2132</f>
        <v>0</v>
      </c>
      <c r="V2115" s="33">
        <f>Data!P2130</f>
        <v>0</v>
      </c>
    </row>
    <row r="2116" spans="7:22" x14ac:dyDescent="0.25">
      <c r="G2116">
        <f>Data!A2129</f>
        <v>0</v>
      </c>
      <c r="H2116" s="21">
        <f>Data!B2129</f>
        <v>0</v>
      </c>
      <c r="I2116" s="21">
        <f>Data!C2129</f>
        <v>0</v>
      </c>
      <c r="J2116">
        <f>Data!D2129</f>
        <v>0</v>
      </c>
      <c r="K2116">
        <f>Data!E2129</f>
        <v>0</v>
      </c>
      <c r="L2116">
        <f>Data!F2129</f>
        <v>0</v>
      </c>
      <c r="M2116">
        <f>Data!G2129</f>
        <v>0</v>
      </c>
      <c r="N2116">
        <f>Data!H2129</f>
        <v>0</v>
      </c>
      <c r="O2116">
        <f>Data!I2129</f>
        <v>0</v>
      </c>
      <c r="P2116" s="21">
        <f>Data!J2133</f>
        <v>0</v>
      </c>
      <c r="Q2116">
        <f>Data!K2133</f>
        <v>0</v>
      </c>
      <c r="R2116">
        <f>Data!L2133</f>
        <v>0</v>
      </c>
      <c r="S2116">
        <f>Data!M2133</f>
        <v>0</v>
      </c>
      <c r="T2116">
        <f>Data!N2133</f>
        <v>0</v>
      </c>
      <c r="U2116">
        <f>Data!O2133</f>
        <v>0</v>
      </c>
      <c r="V2116" s="33">
        <f>Data!P2131</f>
        <v>0</v>
      </c>
    </row>
    <row r="2117" spans="7:22" x14ac:dyDescent="0.25">
      <c r="G2117">
        <f>Data!A2130</f>
        <v>0</v>
      </c>
      <c r="H2117" s="21">
        <f>Data!B2130</f>
        <v>0</v>
      </c>
      <c r="I2117" s="21">
        <f>Data!C2130</f>
        <v>0</v>
      </c>
      <c r="J2117">
        <f>Data!D2130</f>
        <v>0</v>
      </c>
      <c r="K2117">
        <f>Data!E2130</f>
        <v>0</v>
      </c>
      <c r="L2117">
        <f>Data!F2130</f>
        <v>0</v>
      </c>
      <c r="M2117">
        <f>Data!G2130</f>
        <v>0</v>
      </c>
      <c r="N2117">
        <f>Data!H2130</f>
        <v>0</v>
      </c>
      <c r="O2117">
        <f>Data!I2130</f>
        <v>0</v>
      </c>
      <c r="P2117" s="21">
        <f>Data!J2134</f>
        <v>0</v>
      </c>
      <c r="Q2117">
        <f>Data!K2134</f>
        <v>0</v>
      </c>
      <c r="R2117">
        <f>Data!L2134</f>
        <v>0</v>
      </c>
      <c r="S2117">
        <f>Data!M2134</f>
        <v>0</v>
      </c>
      <c r="T2117">
        <f>Data!N2134</f>
        <v>0</v>
      </c>
      <c r="U2117">
        <f>Data!O2134</f>
        <v>0</v>
      </c>
      <c r="V2117" s="33">
        <f>Data!P2132</f>
        <v>0</v>
      </c>
    </row>
    <row r="2118" spans="7:22" x14ac:dyDescent="0.25">
      <c r="G2118">
        <f>Data!A2131</f>
        <v>0</v>
      </c>
      <c r="H2118" s="21">
        <f>Data!B2131</f>
        <v>0</v>
      </c>
      <c r="I2118" s="21">
        <f>Data!C2131</f>
        <v>0</v>
      </c>
      <c r="J2118">
        <f>Data!D2131</f>
        <v>0</v>
      </c>
      <c r="K2118">
        <f>Data!E2131</f>
        <v>0</v>
      </c>
      <c r="L2118">
        <f>Data!F2131</f>
        <v>0</v>
      </c>
      <c r="M2118">
        <f>Data!G2131</f>
        <v>0</v>
      </c>
      <c r="N2118">
        <f>Data!H2131</f>
        <v>0</v>
      </c>
      <c r="O2118">
        <f>Data!I2131</f>
        <v>0</v>
      </c>
      <c r="P2118" s="21">
        <f>Data!J2135</f>
        <v>0</v>
      </c>
      <c r="Q2118">
        <f>Data!K2135</f>
        <v>0</v>
      </c>
      <c r="R2118">
        <f>Data!L2135</f>
        <v>0</v>
      </c>
      <c r="S2118">
        <f>Data!M2135</f>
        <v>0</v>
      </c>
      <c r="T2118">
        <f>Data!N2135</f>
        <v>0</v>
      </c>
      <c r="U2118">
        <f>Data!O2135</f>
        <v>0</v>
      </c>
      <c r="V2118" s="33">
        <f>Data!P2133</f>
        <v>0</v>
      </c>
    </row>
    <row r="2119" spans="7:22" x14ac:dyDescent="0.25">
      <c r="G2119">
        <f>Data!A2132</f>
        <v>0</v>
      </c>
      <c r="H2119" s="21">
        <f>Data!B2132</f>
        <v>0</v>
      </c>
      <c r="I2119" s="21">
        <f>Data!C2132</f>
        <v>0</v>
      </c>
      <c r="J2119">
        <f>Data!D2132</f>
        <v>0</v>
      </c>
      <c r="K2119">
        <f>Data!E2132</f>
        <v>0</v>
      </c>
      <c r="L2119">
        <f>Data!F2132</f>
        <v>0</v>
      </c>
      <c r="M2119">
        <f>Data!G2132</f>
        <v>0</v>
      </c>
      <c r="N2119">
        <f>Data!H2132</f>
        <v>0</v>
      </c>
      <c r="O2119">
        <f>Data!I2132</f>
        <v>0</v>
      </c>
      <c r="P2119" s="21">
        <f>Data!J2136</f>
        <v>0</v>
      </c>
      <c r="Q2119">
        <f>Data!K2136</f>
        <v>0</v>
      </c>
      <c r="R2119">
        <f>Data!L2136</f>
        <v>0</v>
      </c>
      <c r="S2119">
        <f>Data!M2136</f>
        <v>0</v>
      </c>
      <c r="T2119">
        <f>Data!N2136</f>
        <v>0</v>
      </c>
      <c r="U2119">
        <f>Data!O2136</f>
        <v>0</v>
      </c>
      <c r="V2119" s="33">
        <f>Data!P2134</f>
        <v>0</v>
      </c>
    </row>
    <row r="2120" spans="7:22" x14ac:dyDescent="0.25">
      <c r="G2120">
        <f>Data!A2133</f>
        <v>0</v>
      </c>
      <c r="H2120" s="21">
        <f>Data!B2133</f>
        <v>0</v>
      </c>
      <c r="I2120" s="21">
        <f>Data!C2133</f>
        <v>0</v>
      </c>
      <c r="J2120">
        <f>Data!D2133</f>
        <v>0</v>
      </c>
      <c r="K2120">
        <f>Data!E2133</f>
        <v>0</v>
      </c>
      <c r="L2120">
        <f>Data!F2133</f>
        <v>0</v>
      </c>
      <c r="M2120">
        <f>Data!G2133</f>
        <v>0</v>
      </c>
      <c r="N2120">
        <f>Data!H2133</f>
        <v>0</v>
      </c>
      <c r="O2120">
        <f>Data!I2133</f>
        <v>0</v>
      </c>
      <c r="P2120" s="21">
        <f>Data!J2137</f>
        <v>0</v>
      </c>
      <c r="Q2120">
        <f>Data!K2137</f>
        <v>0</v>
      </c>
      <c r="R2120">
        <f>Data!L2137</f>
        <v>0</v>
      </c>
      <c r="S2120">
        <f>Data!M2137</f>
        <v>0</v>
      </c>
      <c r="T2120">
        <f>Data!N2137</f>
        <v>0</v>
      </c>
      <c r="U2120">
        <f>Data!O2137</f>
        <v>0</v>
      </c>
      <c r="V2120" s="33">
        <f>Data!P2135</f>
        <v>0</v>
      </c>
    </row>
    <row r="2121" spans="7:22" x14ac:dyDescent="0.25">
      <c r="G2121">
        <f>Data!A2134</f>
        <v>0</v>
      </c>
      <c r="H2121" s="21">
        <f>Data!B2134</f>
        <v>0</v>
      </c>
      <c r="I2121" s="21">
        <f>Data!C2134</f>
        <v>0</v>
      </c>
      <c r="J2121">
        <f>Data!D2134</f>
        <v>0</v>
      </c>
      <c r="K2121">
        <f>Data!E2134</f>
        <v>0</v>
      </c>
      <c r="L2121">
        <f>Data!F2134</f>
        <v>0</v>
      </c>
      <c r="M2121">
        <f>Data!G2134</f>
        <v>0</v>
      </c>
      <c r="N2121">
        <f>Data!H2134</f>
        <v>0</v>
      </c>
      <c r="O2121">
        <f>Data!I2134</f>
        <v>0</v>
      </c>
      <c r="P2121" s="21">
        <f>Data!J2138</f>
        <v>0</v>
      </c>
      <c r="Q2121">
        <f>Data!K2138</f>
        <v>0</v>
      </c>
      <c r="R2121">
        <f>Data!L2138</f>
        <v>0</v>
      </c>
      <c r="S2121">
        <f>Data!M2138</f>
        <v>0</v>
      </c>
      <c r="T2121">
        <f>Data!N2138</f>
        <v>0</v>
      </c>
      <c r="U2121">
        <f>Data!O2138</f>
        <v>0</v>
      </c>
      <c r="V2121" s="33">
        <f>Data!P2136</f>
        <v>0</v>
      </c>
    </row>
    <row r="2122" spans="7:22" x14ac:dyDescent="0.25">
      <c r="G2122">
        <f>Data!A2135</f>
        <v>0</v>
      </c>
      <c r="H2122" s="21">
        <f>Data!B2135</f>
        <v>0</v>
      </c>
      <c r="I2122" s="21">
        <f>Data!C2135</f>
        <v>0</v>
      </c>
      <c r="J2122">
        <f>Data!D2135</f>
        <v>0</v>
      </c>
      <c r="K2122">
        <f>Data!E2135</f>
        <v>0</v>
      </c>
      <c r="L2122">
        <f>Data!F2135</f>
        <v>0</v>
      </c>
      <c r="M2122">
        <f>Data!G2135</f>
        <v>0</v>
      </c>
      <c r="N2122">
        <f>Data!H2135</f>
        <v>0</v>
      </c>
      <c r="O2122">
        <f>Data!I2135</f>
        <v>0</v>
      </c>
      <c r="P2122" s="21">
        <f>Data!J2139</f>
        <v>0</v>
      </c>
      <c r="Q2122">
        <f>Data!K2139</f>
        <v>0</v>
      </c>
      <c r="R2122">
        <f>Data!L2139</f>
        <v>0</v>
      </c>
      <c r="S2122">
        <f>Data!M2139</f>
        <v>0</v>
      </c>
      <c r="T2122">
        <f>Data!N2139</f>
        <v>0</v>
      </c>
      <c r="U2122">
        <f>Data!O2139</f>
        <v>0</v>
      </c>
      <c r="V2122" s="33">
        <f>Data!P2137</f>
        <v>0</v>
      </c>
    </row>
    <row r="2123" spans="7:22" x14ac:dyDescent="0.25">
      <c r="G2123">
        <f>Data!A2136</f>
        <v>0</v>
      </c>
      <c r="H2123" s="21">
        <f>Data!B2136</f>
        <v>0</v>
      </c>
      <c r="I2123" s="21">
        <f>Data!C2136</f>
        <v>0</v>
      </c>
      <c r="J2123">
        <f>Data!D2136</f>
        <v>0</v>
      </c>
      <c r="K2123">
        <f>Data!E2136</f>
        <v>0</v>
      </c>
      <c r="L2123">
        <f>Data!F2136</f>
        <v>0</v>
      </c>
      <c r="M2123">
        <f>Data!G2136</f>
        <v>0</v>
      </c>
      <c r="N2123">
        <f>Data!H2136</f>
        <v>0</v>
      </c>
      <c r="O2123">
        <f>Data!I2136</f>
        <v>0</v>
      </c>
      <c r="P2123" s="21">
        <f>Data!J2140</f>
        <v>0</v>
      </c>
      <c r="Q2123">
        <f>Data!K2140</f>
        <v>0</v>
      </c>
      <c r="R2123">
        <f>Data!L2140</f>
        <v>0</v>
      </c>
      <c r="S2123">
        <f>Data!M2140</f>
        <v>0</v>
      </c>
      <c r="T2123">
        <f>Data!N2140</f>
        <v>0</v>
      </c>
      <c r="U2123">
        <f>Data!O2140</f>
        <v>0</v>
      </c>
      <c r="V2123" s="33">
        <f>Data!P2138</f>
        <v>0</v>
      </c>
    </row>
    <row r="2124" spans="7:22" x14ac:dyDescent="0.25">
      <c r="G2124">
        <f>Data!A2137</f>
        <v>0</v>
      </c>
      <c r="H2124" s="21">
        <f>Data!B2137</f>
        <v>0</v>
      </c>
      <c r="I2124" s="21">
        <f>Data!C2137</f>
        <v>0</v>
      </c>
      <c r="J2124">
        <f>Data!D2137</f>
        <v>0</v>
      </c>
      <c r="K2124">
        <f>Data!E2137</f>
        <v>0</v>
      </c>
      <c r="L2124">
        <f>Data!F2137</f>
        <v>0</v>
      </c>
      <c r="M2124">
        <f>Data!G2137</f>
        <v>0</v>
      </c>
      <c r="N2124">
        <f>Data!H2137</f>
        <v>0</v>
      </c>
      <c r="O2124">
        <f>Data!I2137</f>
        <v>0</v>
      </c>
      <c r="P2124" s="21">
        <f>Data!J2141</f>
        <v>0</v>
      </c>
      <c r="Q2124">
        <f>Data!K2141</f>
        <v>0</v>
      </c>
      <c r="R2124">
        <f>Data!L2141</f>
        <v>0</v>
      </c>
      <c r="S2124">
        <f>Data!M2141</f>
        <v>0</v>
      </c>
      <c r="T2124">
        <f>Data!N2141</f>
        <v>0</v>
      </c>
      <c r="U2124">
        <f>Data!O2141</f>
        <v>0</v>
      </c>
      <c r="V2124" s="33">
        <f>Data!P2139</f>
        <v>0</v>
      </c>
    </row>
    <row r="2125" spans="7:22" x14ac:dyDescent="0.25">
      <c r="G2125">
        <f>Data!A2138</f>
        <v>0</v>
      </c>
      <c r="H2125" s="21">
        <f>Data!B2138</f>
        <v>0</v>
      </c>
      <c r="I2125" s="21">
        <f>Data!C2138</f>
        <v>0</v>
      </c>
      <c r="J2125">
        <f>Data!D2138</f>
        <v>0</v>
      </c>
      <c r="K2125">
        <f>Data!E2138</f>
        <v>0</v>
      </c>
      <c r="L2125">
        <f>Data!F2138</f>
        <v>0</v>
      </c>
      <c r="M2125">
        <f>Data!G2138</f>
        <v>0</v>
      </c>
      <c r="N2125">
        <f>Data!H2138</f>
        <v>0</v>
      </c>
      <c r="O2125">
        <f>Data!I2138</f>
        <v>0</v>
      </c>
      <c r="P2125" s="21">
        <f>Data!J2142</f>
        <v>0</v>
      </c>
      <c r="Q2125">
        <f>Data!K2142</f>
        <v>0</v>
      </c>
      <c r="R2125">
        <f>Data!L2142</f>
        <v>0</v>
      </c>
      <c r="S2125">
        <f>Data!M2142</f>
        <v>0</v>
      </c>
      <c r="T2125">
        <f>Data!N2142</f>
        <v>0</v>
      </c>
      <c r="U2125">
        <f>Data!O2142</f>
        <v>0</v>
      </c>
      <c r="V2125" s="33">
        <f>Data!P2140</f>
        <v>0</v>
      </c>
    </row>
    <row r="2126" spans="7:22" x14ac:dyDescent="0.25">
      <c r="G2126">
        <f>Data!A2139</f>
        <v>0</v>
      </c>
      <c r="H2126" s="21">
        <f>Data!B2139</f>
        <v>0</v>
      </c>
      <c r="I2126" s="21">
        <f>Data!C2139</f>
        <v>0</v>
      </c>
      <c r="J2126">
        <f>Data!D2139</f>
        <v>0</v>
      </c>
      <c r="K2126">
        <f>Data!E2139</f>
        <v>0</v>
      </c>
      <c r="L2126">
        <f>Data!F2139</f>
        <v>0</v>
      </c>
      <c r="M2126">
        <f>Data!G2139</f>
        <v>0</v>
      </c>
      <c r="N2126">
        <f>Data!H2139</f>
        <v>0</v>
      </c>
      <c r="O2126">
        <f>Data!I2139</f>
        <v>0</v>
      </c>
      <c r="P2126" s="21">
        <f>Data!J2143</f>
        <v>0</v>
      </c>
      <c r="Q2126">
        <f>Data!K2143</f>
        <v>0</v>
      </c>
      <c r="R2126">
        <f>Data!L2143</f>
        <v>0</v>
      </c>
      <c r="S2126">
        <f>Data!M2143</f>
        <v>0</v>
      </c>
      <c r="T2126">
        <f>Data!N2143</f>
        <v>0</v>
      </c>
      <c r="U2126">
        <f>Data!O2143</f>
        <v>0</v>
      </c>
      <c r="V2126" s="33">
        <f>Data!P2141</f>
        <v>0</v>
      </c>
    </row>
    <row r="2127" spans="7:22" x14ac:dyDescent="0.25">
      <c r="G2127">
        <f>Data!A2140</f>
        <v>0</v>
      </c>
      <c r="H2127" s="21">
        <f>Data!B2140</f>
        <v>0</v>
      </c>
      <c r="I2127" s="21">
        <f>Data!C2140</f>
        <v>0</v>
      </c>
      <c r="J2127">
        <f>Data!D2140</f>
        <v>0</v>
      </c>
      <c r="K2127">
        <f>Data!E2140</f>
        <v>0</v>
      </c>
      <c r="L2127">
        <f>Data!F2140</f>
        <v>0</v>
      </c>
      <c r="M2127">
        <f>Data!G2140</f>
        <v>0</v>
      </c>
      <c r="N2127">
        <f>Data!H2140</f>
        <v>0</v>
      </c>
      <c r="O2127">
        <f>Data!I2140</f>
        <v>0</v>
      </c>
      <c r="P2127" s="21">
        <f>Data!J2144</f>
        <v>0</v>
      </c>
      <c r="Q2127">
        <f>Data!K2144</f>
        <v>0</v>
      </c>
      <c r="R2127">
        <f>Data!L2144</f>
        <v>0</v>
      </c>
      <c r="S2127">
        <f>Data!M2144</f>
        <v>0</v>
      </c>
      <c r="T2127">
        <f>Data!N2144</f>
        <v>0</v>
      </c>
      <c r="U2127">
        <f>Data!O2144</f>
        <v>0</v>
      </c>
      <c r="V2127" s="33">
        <f>Data!P2142</f>
        <v>0</v>
      </c>
    </row>
    <row r="2128" spans="7:22" x14ac:dyDescent="0.25">
      <c r="G2128">
        <f>Data!A2141</f>
        <v>0</v>
      </c>
      <c r="H2128" s="21">
        <f>Data!B2141</f>
        <v>0</v>
      </c>
      <c r="I2128" s="21">
        <f>Data!C2141</f>
        <v>0</v>
      </c>
      <c r="J2128">
        <f>Data!D2141</f>
        <v>0</v>
      </c>
      <c r="K2128">
        <f>Data!E2141</f>
        <v>0</v>
      </c>
      <c r="L2128">
        <f>Data!F2141</f>
        <v>0</v>
      </c>
      <c r="M2128">
        <f>Data!G2141</f>
        <v>0</v>
      </c>
      <c r="N2128">
        <f>Data!H2141</f>
        <v>0</v>
      </c>
      <c r="O2128">
        <f>Data!I2141</f>
        <v>0</v>
      </c>
      <c r="P2128" s="21">
        <f>Data!J2145</f>
        <v>0</v>
      </c>
      <c r="Q2128">
        <f>Data!K2145</f>
        <v>0</v>
      </c>
      <c r="R2128">
        <f>Data!L2145</f>
        <v>0</v>
      </c>
      <c r="S2128">
        <f>Data!M2145</f>
        <v>0</v>
      </c>
      <c r="T2128">
        <f>Data!N2145</f>
        <v>0</v>
      </c>
      <c r="U2128">
        <f>Data!O2145</f>
        <v>0</v>
      </c>
      <c r="V2128" s="33">
        <f>Data!P2143</f>
        <v>0</v>
      </c>
    </row>
    <row r="2129" spans="7:22" x14ac:dyDescent="0.25">
      <c r="G2129">
        <f>Data!A2142</f>
        <v>0</v>
      </c>
      <c r="H2129" s="21">
        <f>Data!B2142</f>
        <v>0</v>
      </c>
      <c r="I2129" s="21">
        <f>Data!C2142</f>
        <v>0</v>
      </c>
      <c r="J2129">
        <f>Data!D2142</f>
        <v>0</v>
      </c>
      <c r="K2129">
        <f>Data!E2142</f>
        <v>0</v>
      </c>
      <c r="L2129">
        <f>Data!F2142</f>
        <v>0</v>
      </c>
      <c r="M2129">
        <f>Data!G2142</f>
        <v>0</v>
      </c>
      <c r="N2129">
        <f>Data!H2142</f>
        <v>0</v>
      </c>
      <c r="O2129">
        <f>Data!I2142</f>
        <v>0</v>
      </c>
      <c r="P2129" s="21">
        <f>Data!J2146</f>
        <v>0</v>
      </c>
      <c r="Q2129">
        <f>Data!K2146</f>
        <v>0</v>
      </c>
      <c r="R2129">
        <f>Data!L2146</f>
        <v>0</v>
      </c>
      <c r="S2129">
        <f>Data!M2146</f>
        <v>0</v>
      </c>
      <c r="T2129">
        <f>Data!N2146</f>
        <v>0</v>
      </c>
      <c r="U2129">
        <f>Data!O2146</f>
        <v>0</v>
      </c>
      <c r="V2129" s="33">
        <f>Data!P2144</f>
        <v>0</v>
      </c>
    </row>
    <row r="2130" spans="7:22" x14ac:dyDescent="0.25">
      <c r="G2130">
        <f>Data!A2143</f>
        <v>0</v>
      </c>
      <c r="H2130" s="21">
        <f>Data!B2143</f>
        <v>0</v>
      </c>
      <c r="I2130" s="21">
        <f>Data!C2143</f>
        <v>0</v>
      </c>
      <c r="J2130">
        <f>Data!D2143</f>
        <v>0</v>
      </c>
      <c r="K2130">
        <f>Data!E2143</f>
        <v>0</v>
      </c>
      <c r="L2130">
        <f>Data!F2143</f>
        <v>0</v>
      </c>
      <c r="M2130">
        <f>Data!G2143</f>
        <v>0</v>
      </c>
      <c r="N2130">
        <f>Data!H2143</f>
        <v>0</v>
      </c>
      <c r="O2130">
        <f>Data!I2143</f>
        <v>0</v>
      </c>
      <c r="P2130" s="21">
        <f>Data!J2147</f>
        <v>0</v>
      </c>
      <c r="Q2130">
        <f>Data!K2147</f>
        <v>0</v>
      </c>
      <c r="R2130">
        <f>Data!L2147</f>
        <v>0</v>
      </c>
      <c r="S2130">
        <f>Data!M2147</f>
        <v>0</v>
      </c>
      <c r="T2130">
        <f>Data!N2147</f>
        <v>0</v>
      </c>
      <c r="U2130">
        <f>Data!O2147</f>
        <v>0</v>
      </c>
      <c r="V2130" s="33">
        <f>Data!P2145</f>
        <v>0</v>
      </c>
    </row>
    <row r="2131" spans="7:22" x14ac:dyDescent="0.25">
      <c r="G2131">
        <f>Data!A2144</f>
        <v>0</v>
      </c>
      <c r="H2131" s="21">
        <f>Data!B2144</f>
        <v>0</v>
      </c>
      <c r="I2131" s="21">
        <f>Data!C2144</f>
        <v>0</v>
      </c>
      <c r="J2131">
        <f>Data!D2144</f>
        <v>0</v>
      </c>
      <c r="K2131">
        <f>Data!E2144</f>
        <v>0</v>
      </c>
      <c r="L2131">
        <f>Data!F2144</f>
        <v>0</v>
      </c>
      <c r="M2131">
        <f>Data!G2144</f>
        <v>0</v>
      </c>
      <c r="N2131">
        <f>Data!H2144</f>
        <v>0</v>
      </c>
      <c r="O2131">
        <f>Data!I2144</f>
        <v>0</v>
      </c>
      <c r="P2131" s="21">
        <f>Data!J2148</f>
        <v>0</v>
      </c>
      <c r="Q2131">
        <f>Data!K2148</f>
        <v>0</v>
      </c>
      <c r="R2131">
        <f>Data!L2148</f>
        <v>0</v>
      </c>
      <c r="S2131">
        <f>Data!M2148</f>
        <v>0</v>
      </c>
      <c r="T2131">
        <f>Data!N2148</f>
        <v>0</v>
      </c>
      <c r="U2131">
        <f>Data!O2148</f>
        <v>0</v>
      </c>
      <c r="V2131" s="33">
        <f>Data!P2146</f>
        <v>0</v>
      </c>
    </row>
    <row r="2132" spans="7:22" x14ac:dyDescent="0.25">
      <c r="G2132">
        <f>Data!A2145</f>
        <v>0</v>
      </c>
      <c r="H2132" s="21">
        <f>Data!B2145</f>
        <v>0</v>
      </c>
      <c r="I2132" s="21">
        <f>Data!C2145</f>
        <v>0</v>
      </c>
      <c r="J2132">
        <f>Data!D2145</f>
        <v>0</v>
      </c>
      <c r="K2132">
        <f>Data!E2145</f>
        <v>0</v>
      </c>
      <c r="L2132">
        <f>Data!F2145</f>
        <v>0</v>
      </c>
      <c r="M2132">
        <f>Data!G2145</f>
        <v>0</v>
      </c>
      <c r="N2132">
        <f>Data!H2145</f>
        <v>0</v>
      </c>
      <c r="O2132">
        <f>Data!I2145</f>
        <v>0</v>
      </c>
      <c r="P2132" s="21">
        <f>Data!J2149</f>
        <v>0</v>
      </c>
      <c r="Q2132">
        <f>Data!K2149</f>
        <v>0</v>
      </c>
      <c r="R2132">
        <f>Data!L2149</f>
        <v>0</v>
      </c>
      <c r="S2132">
        <f>Data!M2149</f>
        <v>0</v>
      </c>
      <c r="T2132">
        <f>Data!N2149</f>
        <v>0</v>
      </c>
      <c r="U2132">
        <f>Data!O2149</f>
        <v>0</v>
      </c>
      <c r="V2132" s="33">
        <f>Data!P2147</f>
        <v>0</v>
      </c>
    </row>
    <row r="2133" spans="7:22" x14ac:dyDescent="0.25">
      <c r="G2133">
        <f>Data!A2146</f>
        <v>0</v>
      </c>
      <c r="H2133" s="21">
        <f>Data!B2146</f>
        <v>0</v>
      </c>
      <c r="I2133" s="21">
        <f>Data!C2146</f>
        <v>0</v>
      </c>
      <c r="J2133">
        <f>Data!D2146</f>
        <v>0</v>
      </c>
      <c r="K2133">
        <f>Data!E2146</f>
        <v>0</v>
      </c>
      <c r="L2133">
        <f>Data!F2146</f>
        <v>0</v>
      </c>
      <c r="M2133">
        <f>Data!G2146</f>
        <v>0</v>
      </c>
      <c r="N2133">
        <f>Data!H2146</f>
        <v>0</v>
      </c>
      <c r="O2133">
        <f>Data!I2146</f>
        <v>0</v>
      </c>
      <c r="P2133" s="21">
        <f>Data!J2150</f>
        <v>0</v>
      </c>
      <c r="Q2133">
        <f>Data!K2150</f>
        <v>0</v>
      </c>
      <c r="R2133">
        <f>Data!L2150</f>
        <v>0</v>
      </c>
      <c r="S2133">
        <f>Data!M2150</f>
        <v>0</v>
      </c>
      <c r="T2133">
        <f>Data!N2150</f>
        <v>0</v>
      </c>
      <c r="U2133">
        <f>Data!O2150</f>
        <v>0</v>
      </c>
      <c r="V2133" s="33">
        <f>Data!P2148</f>
        <v>0</v>
      </c>
    </row>
    <row r="2134" spans="7:22" x14ac:dyDescent="0.25">
      <c r="G2134">
        <f>Data!A2147</f>
        <v>0</v>
      </c>
      <c r="H2134" s="21">
        <f>Data!B2147</f>
        <v>0</v>
      </c>
      <c r="I2134" s="21">
        <f>Data!C2147</f>
        <v>0</v>
      </c>
      <c r="J2134">
        <f>Data!D2147</f>
        <v>0</v>
      </c>
      <c r="K2134">
        <f>Data!E2147</f>
        <v>0</v>
      </c>
      <c r="L2134">
        <f>Data!F2147</f>
        <v>0</v>
      </c>
      <c r="M2134">
        <f>Data!G2147</f>
        <v>0</v>
      </c>
      <c r="N2134">
        <f>Data!H2147</f>
        <v>0</v>
      </c>
      <c r="O2134">
        <f>Data!I2147</f>
        <v>0</v>
      </c>
      <c r="P2134" s="21">
        <f>Data!J2151</f>
        <v>0</v>
      </c>
      <c r="Q2134">
        <f>Data!K2151</f>
        <v>0</v>
      </c>
      <c r="R2134">
        <f>Data!L2151</f>
        <v>0</v>
      </c>
      <c r="S2134">
        <f>Data!M2151</f>
        <v>0</v>
      </c>
      <c r="T2134">
        <f>Data!N2151</f>
        <v>0</v>
      </c>
      <c r="U2134">
        <f>Data!O2151</f>
        <v>0</v>
      </c>
      <c r="V2134" s="33">
        <f>Data!P2149</f>
        <v>0</v>
      </c>
    </row>
    <row r="2135" spans="7:22" x14ac:dyDescent="0.25">
      <c r="G2135">
        <f>Data!A2148</f>
        <v>0</v>
      </c>
      <c r="H2135" s="21">
        <f>Data!B2148</f>
        <v>0</v>
      </c>
      <c r="I2135" s="21">
        <f>Data!C2148</f>
        <v>0</v>
      </c>
      <c r="J2135">
        <f>Data!D2148</f>
        <v>0</v>
      </c>
      <c r="K2135">
        <f>Data!E2148</f>
        <v>0</v>
      </c>
      <c r="L2135">
        <f>Data!F2148</f>
        <v>0</v>
      </c>
      <c r="M2135">
        <f>Data!G2148</f>
        <v>0</v>
      </c>
      <c r="N2135">
        <f>Data!H2148</f>
        <v>0</v>
      </c>
      <c r="O2135">
        <f>Data!I2148</f>
        <v>0</v>
      </c>
      <c r="P2135" s="21">
        <f>Data!J2152</f>
        <v>0</v>
      </c>
      <c r="Q2135">
        <f>Data!K2152</f>
        <v>0</v>
      </c>
      <c r="R2135">
        <f>Data!L2152</f>
        <v>0</v>
      </c>
      <c r="S2135">
        <f>Data!M2152</f>
        <v>0</v>
      </c>
      <c r="T2135">
        <f>Data!N2152</f>
        <v>0</v>
      </c>
      <c r="U2135">
        <f>Data!O2152</f>
        <v>0</v>
      </c>
      <c r="V2135" s="33">
        <f>Data!P2150</f>
        <v>0</v>
      </c>
    </row>
    <row r="2136" spans="7:22" x14ac:dyDescent="0.25">
      <c r="G2136">
        <f>Data!A2149</f>
        <v>0</v>
      </c>
      <c r="H2136" s="21">
        <f>Data!B2149</f>
        <v>0</v>
      </c>
      <c r="I2136" s="21">
        <f>Data!C2149</f>
        <v>0</v>
      </c>
      <c r="J2136">
        <f>Data!D2149</f>
        <v>0</v>
      </c>
      <c r="K2136">
        <f>Data!E2149</f>
        <v>0</v>
      </c>
      <c r="L2136">
        <f>Data!F2149</f>
        <v>0</v>
      </c>
      <c r="M2136">
        <f>Data!G2149</f>
        <v>0</v>
      </c>
      <c r="N2136">
        <f>Data!H2149</f>
        <v>0</v>
      </c>
      <c r="O2136">
        <f>Data!I2149</f>
        <v>0</v>
      </c>
      <c r="P2136" s="21">
        <f>Data!J2153</f>
        <v>0</v>
      </c>
      <c r="Q2136">
        <f>Data!K2153</f>
        <v>0</v>
      </c>
      <c r="R2136">
        <f>Data!L2153</f>
        <v>0</v>
      </c>
      <c r="S2136">
        <f>Data!M2153</f>
        <v>0</v>
      </c>
      <c r="T2136">
        <f>Data!N2153</f>
        <v>0</v>
      </c>
      <c r="U2136">
        <f>Data!O2153</f>
        <v>0</v>
      </c>
      <c r="V2136" s="33">
        <f>Data!P2151</f>
        <v>0</v>
      </c>
    </row>
    <row r="2137" spans="7:22" x14ac:dyDescent="0.25">
      <c r="G2137">
        <f>Data!A2150</f>
        <v>0</v>
      </c>
      <c r="H2137" s="21">
        <f>Data!B2150</f>
        <v>0</v>
      </c>
      <c r="I2137" s="21">
        <f>Data!C2150</f>
        <v>0</v>
      </c>
      <c r="J2137">
        <f>Data!D2150</f>
        <v>0</v>
      </c>
      <c r="K2137">
        <f>Data!E2150</f>
        <v>0</v>
      </c>
      <c r="L2137">
        <f>Data!F2150</f>
        <v>0</v>
      </c>
      <c r="M2137">
        <f>Data!G2150</f>
        <v>0</v>
      </c>
      <c r="N2137">
        <f>Data!H2150</f>
        <v>0</v>
      </c>
      <c r="O2137">
        <f>Data!I2150</f>
        <v>0</v>
      </c>
      <c r="P2137" s="21">
        <f>Data!J2154</f>
        <v>0</v>
      </c>
      <c r="Q2137">
        <f>Data!K2154</f>
        <v>0</v>
      </c>
      <c r="R2137">
        <f>Data!L2154</f>
        <v>0</v>
      </c>
      <c r="S2137">
        <f>Data!M2154</f>
        <v>0</v>
      </c>
      <c r="T2137">
        <f>Data!N2154</f>
        <v>0</v>
      </c>
      <c r="U2137">
        <f>Data!O2154</f>
        <v>0</v>
      </c>
      <c r="V2137" s="33">
        <f>Data!P2152</f>
        <v>0</v>
      </c>
    </row>
    <row r="2138" spans="7:22" x14ac:dyDescent="0.25">
      <c r="G2138">
        <f>Data!A2151</f>
        <v>0</v>
      </c>
      <c r="H2138" s="21">
        <f>Data!B2151</f>
        <v>0</v>
      </c>
      <c r="I2138" s="21">
        <f>Data!C2151</f>
        <v>0</v>
      </c>
      <c r="J2138">
        <f>Data!D2151</f>
        <v>0</v>
      </c>
      <c r="K2138">
        <f>Data!E2151</f>
        <v>0</v>
      </c>
      <c r="L2138">
        <f>Data!F2151</f>
        <v>0</v>
      </c>
      <c r="M2138">
        <f>Data!G2151</f>
        <v>0</v>
      </c>
      <c r="N2138">
        <f>Data!H2151</f>
        <v>0</v>
      </c>
      <c r="O2138">
        <f>Data!I2151</f>
        <v>0</v>
      </c>
      <c r="P2138" s="21">
        <f>Data!J2155</f>
        <v>0</v>
      </c>
      <c r="Q2138">
        <f>Data!K2155</f>
        <v>0</v>
      </c>
      <c r="R2138">
        <f>Data!L2155</f>
        <v>0</v>
      </c>
      <c r="S2138">
        <f>Data!M2155</f>
        <v>0</v>
      </c>
      <c r="T2138">
        <f>Data!N2155</f>
        <v>0</v>
      </c>
      <c r="U2138">
        <f>Data!O2155</f>
        <v>0</v>
      </c>
      <c r="V2138" s="33">
        <f>Data!P2153</f>
        <v>0</v>
      </c>
    </row>
    <row r="2139" spans="7:22" x14ac:dyDescent="0.25">
      <c r="G2139">
        <f>Data!A2152</f>
        <v>0</v>
      </c>
      <c r="H2139" s="21">
        <f>Data!B2152</f>
        <v>0</v>
      </c>
      <c r="I2139" s="21">
        <f>Data!C2152</f>
        <v>0</v>
      </c>
      <c r="J2139">
        <f>Data!D2152</f>
        <v>0</v>
      </c>
      <c r="K2139">
        <f>Data!E2152</f>
        <v>0</v>
      </c>
      <c r="L2139">
        <f>Data!F2152</f>
        <v>0</v>
      </c>
      <c r="M2139">
        <f>Data!G2152</f>
        <v>0</v>
      </c>
      <c r="N2139">
        <f>Data!H2152</f>
        <v>0</v>
      </c>
      <c r="O2139">
        <f>Data!I2152</f>
        <v>0</v>
      </c>
      <c r="P2139" s="21">
        <f>Data!J2156</f>
        <v>0</v>
      </c>
      <c r="Q2139">
        <f>Data!K2156</f>
        <v>0</v>
      </c>
      <c r="R2139">
        <f>Data!L2156</f>
        <v>0</v>
      </c>
      <c r="S2139">
        <f>Data!M2156</f>
        <v>0</v>
      </c>
      <c r="T2139">
        <f>Data!N2156</f>
        <v>0</v>
      </c>
      <c r="U2139">
        <f>Data!O2156</f>
        <v>0</v>
      </c>
      <c r="V2139" s="33">
        <f>Data!P2154</f>
        <v>0</v>
      </c>
    </row>
    <row r="2140" spans="7:22" x14ac:dyDescent="0.25">
      <c r="G2140">
        <f>Data!A2153</f>
        <v>0</v>
      </c>
      <c r="H2140" s="21">
        <f>Data!B2153</f>
        <v>0</v>
      </c>
      <c r="I2140" s="21">
        <f>Data!C2153</f>
        <v>0</v>
      </c>
      <c r="J2140">
        <f>Data!D2153</f>
        <v>0</v>
      </c>
      <c r="K2140">
        <f>Data!E2153</f>
        <v>0</v>
      </c>
      <c r="L2140">
        <f>Data!F2153</f>
        <v>0</v>
      </c>
      <c r="M2140">
        <f>Data!G2153</f>
        <v>0</v>
      </c>
      <c r="N2140">
        <f>Data!H2153</f>
        <v>0</v>
      </c>
      <c r="O2140">
        <f>Data!I2153</f>
        <v>0</v>
      </c>
      <c r="P2140" s="21">
        <f>Data!J2157</f>
        <v>0</v>
      </c>
      <c r="Q2140">
        <f>Data!K2157</f>
        <v>0</v>
      </c>
      <c r="R2140">
        <f>Data!L2157</f>
        <v>0</v>
      </c>
      <c r="S2140">
        <f>Data!M2157</f>
        <v>0</v>
      </c>
      <c r="T2140">
        <f>Data!N2157</f>
        <v>0</v>
      </c>
      <c r="U2140">
        <f>Data!O2157</f>
        <v>0</v>
      </c>
      <c r="V2140" s="33">
        <f>Data!P2155</f>
        <v>0</v>
      </c>
    </row>
    <row r="2141" spans="7:22" x14ac:dyDescent="0.25">
      <c r="G2141">
        <f>Data!A2154</f>
        <v>0</v>
      </c>
      <c r="H2141" s="21">
        <f>Data!B2154</f>
        <v>0</v>
      </c>
      <c r="I2141" s="21">
        <f>Data!C2154</f>
        <v>0</v>
      </c>
      <c r="J2141">
        <f>Data!D2154</f>
        <v>0</v>
      </c>
      <c r="K2141">
        <f>Data!E2154</f>
        <v>0</v>
      </c>
      <c r="L2141">
        <f>Data!F2154</f>
        <v>0</v>
      </c>
      <c r="M2141">
        <f>Data!G2154</f>
        <v>0</v>
      </c>
      <c r="N2141">
        <f>Data!H2154</f>
        <v>0</v>
      </c>
      <c r="O2141">
        <f>Data!I2154</f>
        <v>0</v>
      </c>
      <c r="P2141" s="21">
        <f>Data!J2158</f>
        <v>0</v>
      </c>
      <c r="Q2141">
        <f>Data!K2158</f>
        <v>0</v>
      </c>
      <c r="R2141">
        <f>Data!L2158</f>
        <v>0</v>
      </c>
      <c r="S2141">
        <f>Data!M2158</f>
        <v>0</v>
      </c>
      <c r="T2141">
        <f>Data!N2158</f>
        <v>0</v>
      </c>
      <c r="U2141">
        <f>Data!O2158</f>
        <v>0</v>
      </c>
      <c r="V2141" s="33">
        <f>Data!P2156</f>
        <v>0</v>
      </c>
    </row>
    <row r="2142" spans="7:22" x14ac:dyDescent="0.25">
      <c r="G2142">
        <f>Data!A2155</f>
        <v>0</v>
      </c>
      <c r="H2142" s="21">
        <f>Data!B2155</f>
        <v>0</v>
      </c>
      <c r="I2142" s="21">
        <f>Data!C2155</f>
        <v>0</v>
      </c>
      <c r="J2142">
        <f>Data!D2155</f>
        <v>0</v>
      </c>
      <c r="K2142">
        <f>Data!E2155</f>
        <v>0</v>
      </c>
      <c r="L2142">
        <f>Data!F2155</f>
        <v>0</v>
      </c>
      <c r="M2142">
        <f>Data!G2155</f>
        <v>0</v>
      </c>
      <c r="N2142">
        <f>Data!H2155</f>
        <v>0</v>
      </c>
      <c r="O2142">
        <f>Data!I2155</f>
        <v>0</v>
      </c>
      <c r="P2142" s="21">
        <f>Data!J2159</f>
        <v>0</v>
      </c>
      <c r="Q2142">
        <f>Data!K2159</f>
        <v>0</v>
      </c>
      <c r="R2142">
        <f>Data!L2159</f>
        <v>0</v>
      </c>
      <c r="S2142">
        <f>Data!M2159</f>
        <v>0</v>
      </c>
      <c r="T2142">
        <f>Data!N2159</f>
        <v>0</v>
      </c>
      <c r="U2142">
        <f>Data!O2159</f>
        <v>0</v>
      </c>
      <c r="V2142" s="33">
        <f>Data!P2157</f>
        <v>0</v>
      </c>
    </row>
    <row r="2143" spans="7:22" x14ac:dyDescent="0.25">
      <c r="G2143">
        <f>Data!A2156</f>
        <v>0</v>
      </c>
      <c r="H2143" s="21">
        <f>Data!B2156</f>
        <v>0</v>
      </c>
      <c r="I2143" s="21">
        <f>Data!C2156</f>
        <v>0</v>
      </c>
      <c r="J2143">
        <f>Data!D2156</f>
        <v>0</v>
      </c>
      <c r="K2143">
        <f>Data!E2156</f>
        <v>0</v>
      </c>
      <c r="L2143">
        <f>Data!F2156</f>
        <v>0</v>
      </c>
      <c r="M2143">
        <f>Data!G2156</f>
        <v>0</v>
      </c>
      <c r="N2143">
        <f>Data!H2156</f>
        <v>0</v>
      </c>
      <c r="O2143">
        <f>Data!I2156</f>
        <v>0</v>
      </c>
      <c r="P2143" s="21">
        <f>Data!J2160</f>
        <v>0</v>
      </c>
      <c r="Q2143">
        <f>Data!K2160</f>
        <v>0</v>
      </c>
      <c r="R2143">
        <f>Data!L2160</f>
        <v>0</v>
      </c>
      <c r="S2143">
        <f>Data!M2160</f>
        <v>0</v>
      </c>
      <c r="T2143">
        <f>Data!N2160</f>
        <v>0</v>
      </c>
      <c r="U2143">
        <f>Data!O2160</f>
        <v>0</v>
      </c>
      <c r="V2143" s="33">
        <f>Data!P2158</f>
        <v>0</v>
      </c>
    </row>
    <row r="2144" spans="7:22" x14ac:dyDescent="0.25">
      <c r="G2144">
        <f>Data!A2157</f>
        <v>0</v>
      </c>
      <c r="H2144" s="21">
        <f>Data!B2157</f>
        <v>0</v>
      </c>
      <c r="I2144" s="21">
        <f>Data!C2157</f>
        <v>0</v>
      </c>
      <c r="J2144">
        <f>Data!D2157</f>
        <v>0</v>
      </c>
      <c r="K2144">
        <f>Data!E2157</f>
        <v>0</v>
      </c>
      <c r="L2144">
        <f>Data!F2157</f>
        <v>0</v>
      </c>
      <c r="M2144">
        <f>Data!G2157</f>
        <v>0</v>
      </c>
      <c r="N2144">
        <f>Data!H2157</f>
        <v>0</v>
      </c>
      <c r="O2144">
        <f>Data!I2157</f>
        <v>0</v>
      </c>
      <c r="P2144" s="21">
        <f>Data!J2161</f>
        <v>0</v>
      </c>
      <c r="Q2144">
        <f>Data!K2161</f>
        <v>0</v>
      </c>
      <c r="R2144">
        <f>Data!L2161</f>
        <v>0</v>
      </c>
      <c r="S2144">
        <f>Data!M2161</f>
        <v>0</v>
      </c>
      <c r="T2144">
        <f>Data!N2161</f>
        <v>0</v>
      </c>
      <c r="U2144">
        <f>Data!O2161</f>
        <v>0</v>
      </c>
      <c r="V2144" s="33">
        <f>Data!P2159</f>
        <v>0</v>
      </c>
    </row>
    <row r="2145" spans="7:22" x14ac:dyDescent="0.25">
      <c r="G2145">
        <f>Data!A2158</f>
        <v>0</v>
      </c>
      <c r="H2145" s="21">
        <f>Data!B2158</f>
        <v>0</v>
      </c>
      <c r="I2145" s="21">
        <f>Data!C2158</f>
        <v>0</v>
      </c>
      <c r="J2145">
        <f>Data!D2158</f>
        <v>0</v>
      </c>
      <c r="K2145">
        <f>Data!E2158</f>
        <v>0</v>
      </c>
      <c r="L2145">
        <f>Data!F2158</f>
        <v>0</v>
      </c>
      <c r="M2145">
        <f>Data!G2158</f>
        <v>0</v>
      </c>
      <c r="N2145">
        <f>Data!H2158</f>
        <v>0</v>
      </c>
      <c r="O2145">
        <f>Data!I2158</f>
        <v>0</v>
      </c>
      <c r="P2145" s="21">
        <f>Data!J2162</f>
        <v>0</v>
      </c>
      <c r="Q2145">
        <f>Data!K2162</f>
        <v>0</v>
      </c>
      <c r="R2145">
        <f>Data!L2162</f>
        <v>0</v>
      </c>
      <c r="S2145">
        <f>Data!M2162</f>
        <v>0</v>
      </c>
      <c r="T2145">
        <f>Data!N2162</f>
        <v>0</v>
      </c>
      <c r="U2145">
        <f>Data!O2162</f>
        <v>0</v>
      </c>
      <c r="V2145" s="33">
        <f>Data!P2160</f>
        <v>0</v>
      </c>
    </row>
    <row r="2146" spans="7:22" x14ac:dyDescent="0.25">
      <c r="G2146">
        <f>Data!A2159</f>
        <v>0</v>
      </c>
      <c r="H2146" s="21">
        <f>Data!B2159</f>
        <v>0</v>
      </c>
      <c r="I2146" s="21">
        <f>Data!C2159</f>
        <v>0</v>
      </c>
      <c r="J2146">
        <f>Data!D2159</f>
        <v>0</v>
      </c>
      <c r="K2146">
        <f>Data!E2159</f>
        <v>0</v>
      </c>
      <c r="L2146">
        <f>Data!F2159</f>
        <v>0</v>
      </c>
      <c r="M2146">
        <f>Data!G2159</f>
        <v>0</v>
      </c>
      <c r="N2146">
        <f>Data!H2159</f>
        <v>0</v>
      </c>
      <c r="O2146">
        <f>Data!I2159</f>
        <v>0</v>
      </c>
      <c r="P2146" s="21">
        <f>Data!J2163</f>
        <v>0</v>
      </c>
      <c r="Q2146">
        <f>Data!K2163</f>
        <v>0</v>
      </c>
      <c r="R2146">
        <f>Data!L2163</f>
        <v>0</v>
      </c>
      <c r="S2146">
        <f>Data!M2163</f>
        <v>0</v>
      </c>
      <c r="T2146">
        <f>Data!N2163</f>
        <v>0</v>
      </c>
      <c r="U2146">
        <f>Data!O2163</f>
        <v>0</v>
      </c>
      <c r="V2146" s="33">
        <f>Data!P2161</f>
        <v>0</v>
      </c>
    </row>
    <row r="2147" spans="7:22" x14ac:dyDescent="0.25">
      <c r="G2147">
        <f>Data!A2160</f>
        <v>0</v>
      </c>
      <c r="H2147" s="21">
        <f>Data!B2160</f>
        <v>0</v>
      </c>
      <c r="I2147" s="21">
        <f>Data!C2160</f>
        <v>0</v>
      </c>
      <c r="J2147">
        <f>Data!D2160</f>
        <v>0</v>
      </c>
      <c r="K2147">
        <f>Data!E2160</f>
        <v>0</v>
      </c>
      <c r="L2147">
        <f>Data!F2160</f>
        <v>0</v>
      </c>
      <c r="M2147">
        <f>Data!G2160</f>
        <v>0</v>
      </c>
      <c r="N2147">
        <f>Data!H2160</f>
        <v>0</v>
      </c>
      <c r="O2147">
        <f>Data!I2160</f>
        <v>0</v>
      </c>
      <c r="P2147" s="21">
        <f>Data!J2164</f>
        <v>0</v>
      </c>
      <c r="Q2147">
        <f>Data!K2164</f>
        <v>0</v>
      </c>
      <c r="R2147">
        <f>Data!L2164</f>
        <v>0</v>
      </c>
      <c r="S2147">
        <f>Data!M2164</f>
        <v>0</v>
      </c>
      <c r="T2147">
        <f>Data!N2164</f>
        <v>0</v>
      </c>
      <c r="U2147">
        <f>Data!O2164</f>
        <v>0</v>
      </c>
      <c r="V2147" s="33">
        <f>Data!P2162</f>
        <v>0</v>
      </c>
    </row>
    <row r="2148" spans="7:22" x14ac:dyDescent="0.25">
      <c r="G2148">
        <f>Data!A2161</f>
        <v>0</v>
      </c>
      <c r="H2148" s="21">
        <f>Data!B2161</f>
        <v>0</v>
      </c>
      <c r="I2148" s="21">
        <f>Data!C2161</f>
        <v>0</v>
      </c>
      <c r="J2148">
        <f>Data!D2161</f>
        <v>0</v>
      </c>
      <c r="K2148">
        <f>Data!E2161</f>
        <v>0</v>
      </c>
      <c r="L2148">
        <f>Data!F2161</f>
        <v>0</v>
      </c>
      <c r="M2148">
        <f>Data!G2161</f>
        <v>0</v>
      </c>
      <c r="N2148">
        <f>Data!H2161</f>
        <v>0</v>
      </c>
      <c r="O2148">
        <f>Data!I2161</f>
        <v>0</v>
      </c>
      <c r="P2148" s="21">
        <f>Data!J2165</f>
        <v>0</v>
      </c>
      <c r="Q2148">
        <f>Data!K2165</f>
        <v>0</v>
      </c>
      <c r="R2148">
        <f>Data!L2165</f>
        <v>0</v>
      </c>
      <c r="S2148">
        <f>Data!M2165</f>
        <v>0</v>
      </c>
      <c r="T2148">
        <f>Data!N2165</f>
        <v>0</v>
      </c>
      <c r="U2148">
        <f>Data!O2165</f>
        <v>0</v>
      </c>
      <c r="V2148" s="33">
        <f>Data!P2163</f>
        <v>0</v>
      </c>
    </row>
    <row r="2149" spans="7:22" x14ac:dyDescent="0.25">
      <c r="G2149">
        <f>Data!A2162</f>
        <v>0</v>
      </c>
      <c r="H2149" s="21">
        <f>Data!B2162</f>
        <v>0</v>
      </c>
      <c r="I2149" s="21">
        <f>Data!C2162</f>
        <v>0</v>
      </c>
      <c r="J2149">
        <f>Data!D2162</f>
        <v>0</v>
      </c>
      <c r="K2149">
        <f>Data!E2162</f>
        <v>0</v>
      </c>
      <c r="L2149">
        <f>Data!F2162</f>
        <v>0</v>
      </c>
      <c r="M2149">
        <f>Data!G2162</f>
        <v>0</v>
      </c>
      <c r="N2149">
        <f>Data!H2162</f>
        <v>0</v>
      </c>
      <c r="O2149">
        <f>Data!I2162</f>
        <v>0</v>
      </c>
      <c r="P2149" s="21">
        <f>Data!J2166</f>
        <v>0</v>
      </c>
      <c r="Q2149">
        <f>Data!K2166</f>
        <v>0</v>
      </c>
      <c r="R2149">
        <f>Data!L2166</f>
        <v>0</v>
      </c>
      <c r="S2149">
        <f>Data!M2166</f>
        <v>0</v>
      </c>
      <c r="T2149">
        <f>Data!N2166</f>
        <v>0</v>
      </c>
      <c r="U2149">
        <f>Data!O2166</f>
        <v>0</v>
      </c>
      <c r="V2149" s="33">
        <f>Data!P2164</f>
        <v>0</v>
      </c>
    </row>
    <row r="2150" spans="7:22" x14ac:dyDescent="0.25">
      <c r="G2150">
        <f>Data!A2163</f>
        <v>0</v>
      </c>
      <c r="H2150" s="21">
        <f>Data!B2163</f>
        <v>0</v>
      </c>
      <c r="I2150" s="21">
        <f>Data!C2163</f>
        <v>0</v>
      </c>
      <c r="J2150">
        <f>Data!D2163</f>
        <v>0</v>
      </c>
      <c r="K2150">
        <f>Data!E2163</f>
        <v>0</v>
      </c>
      <c r="L2150">
        <f>Data!F2163</f>
        <v>0</v>
      </c>
      <c r="M2150">
        <f>Data!G2163</f>
        <v>0</v>
      </c>
      <c r="N2150">
        <f>Data!H2163</f>
        <v>0</v>
      </c>
      <c r="O2150">
        <f>Data!I2163</f>
        <v>0</v>
      </c>
      <c r="P2150" s="21">
        <f>Data!J2167</f>
        <v>0</v>
      </c>
      <c r="Q2150">
        <f>Data!K2167</f>
        <v>0</v>
      </c>
      <c r="R2150">
        <f>Data!L2167</f>
        <v>0</v>
      </c>
      <c r="S2150">
        <f>Data!M2167</f>
        <v>0</v>
      </c>
      <c r="T2150">
        <f>Data!N2167</f>
        <v>0</v>
      </c>
      <c r="U2150">
        <f>Data!O2167</f>
        <v>0</v>
      </c>
      <c r="V2150" s="33">
        <f>Data!P2165</f>
        <v>0</v>
      </c>
    </row>
    <row r="2151" spans="7:22" x14ac:dyDescent="0.25">
      <c r="G2151">
        <f>Data!A2164</f>
        <v>0</v>
      </c>
      <c r="H2151" s="21">
        <f>Data!B2164</f>
        <v>0</v>
      </c>
      <c r="I2151" s="21">
        <f>Data!C2164</f>
        <v>0</v>
      </c>
      <c r="J2151">
        <f>Data!D2164</f>
        <v>0</v>
      </c>
      <c r="K2151">
        <f>Data!E2164</f>
        <v>0</v>
      </c>
      <c r="L2151">
        <f>Data!F2164</f>
        <v>0</v>
      </c>
      <c r="M2151">
        <f>Data!G2164</f>
        <v>0</v>
      </c>
      <c r="N2151">
        <f>Data!H2164</f>
        <v>0</v>
      </c>
      <c r="O2151">
        <f>Data!I2164</f>
        <v>0</v>
      </c>
      <c r="P2151" s="21">
        <f>Data!J2168</f>
        <v>0</v>
      </c>
      <c r="Q2151">
        <f>Data!K2168</f>
        <v>0</v>
      </c>
      <c r="R2151">
        <f>Data!L2168</f>
        <v>0</v>
      </c>
      <c r="S2151">
        <f>Data!M2168</f>
        <v>0</v>
      </c>
      <c r="T2151">
        <f>Data!N2168</f>
        <v>0</v>
      </c>
      <c r="U2151">
        <f>Data!O2168</f>
        <v>0</v>
      </c>
      <c r="V2151" s="33">
        <f>Data!P2166</f>
        <v>0</v>
      </c>
    </row>
    <row r="2152" spans="7:22" x14ac:dyDescent="0.25">
      <c r="G2152">
        <f>Data!A2165</f>
        <v>0</v>
      </c>
      <c r="H2152" s="21">
        <f>Data!B2165</f>
        <v>0</v>
      </c>
      <c r="I2152" s="21">
        <f>Data!C2165</f>
        <v>0</v>
      </c>
      <c r="J2152">
        <f>Data!D2165</f>
        <v>0</v>
      </c>
      <c r="K2152">
        <f>Data!E2165</f>
        <v>0</v>
      </c>
      <c r="L2152">
        <f>Data!F2165</f>
        <v>0</v>
      </c>
      <c r="M2152">
        <f>Data!G2165</f>
        <v>0</v>
      </c>
      <c r="N2152">
        <f>Data!H2165</f>
        <v>0</v>
      </c>
      <c r="O2152">
        <f>Data!I2165</f>
        <v>0</v>
      </c>
      <c r="P2152" s="21">
        <f>Data!J2169</f>
        <v>0</v>
      </c>
      <c r="Q2152">
        <f>Data!K2169</f>
        <v>0</v>
      </c>
      <c r="R2152">
        <f>Data!L2169</f>
        <v>0</v>
      </c>
      <c r="S2152">
        <f>Data!M2169</f>
        <v>0</v>
      </c>
      <c r="T2152">
        <f>Data!N2169</f>
        <v>0</v>
      </c>
      <c r="U2152">
        <f>Data!O2169</f>
        <v>0</v>
      </c>
      <c r="V2152" s="33">
        <f>Data!P2167</f>
        <v>0</v>
      </c>
    </row>
    <row r="2153" spans="7:22" x14ac:dyDescent="0.25">
      <c r="G2153">
        <f>Data!A2166</f>
        <v>0</v>
      </c>
      <c r="H2153" s="21">
        <f>Data!B2166</f>
        <v>0</v>
      </c>
      <c r="I2153" s="21">
        <f>Data!C2166</f>
        <v>0</v>
      </c>
      <c r="J2153">
        <f>Data!D2166</f>
        <v>0</v>
      </c>
      <c r="K2153">
        <f>Data!E2166</f>
        <v>0</v>
      </c>
      <c r="L2153">
        <f>Data!F2166</f>
        <v>0</v>
      </c>
      <c r="M2153">
        <f>Data!G2166</f>
        <v>0</v>
      </c>
      <c r="N2153">
        <f>Data!H2166</f>
        <v>0</v>
      </c>
      <c r="O2153">
        <f>Data!I2166</f>
        <v>0</v>
      </c>
      <c r="P2153" s="21">
        <f>Data!J2170</f>
        <v>0</v>
      </c>
      <c r="Q2153">
        <f>Data!K2170</f>
        <v>0</v>
      </c>
      <c r="R2153">
        <f>Data!L2170</f>
        <v>0</v>
      </c>
      <c r="S2153">
        <f>Data!M2170</f>
        <v>0</v>
      </c>
      <c r="T2153">
        <f>Data!N2170</f>
        <v>0</v>
      </c>
      <c r="U2153">
        <f>Data!O2170</f>
        <v>0</v>
      </c>
      <c r="V2153" s="33">
        <f>Data!P2168</f>
        <v>0</v>
      </c>
    </row>
    <row r="2154" spans="7:22" x14ac:dyDescent="0.25">
      <c r="G2154">
        <f>Data!A2167</f>
        <v>0</v>
      </c>
      <c r="H2154" s="21">
        <f>Data!B2167</f>
        <v>0</v>
      </c>
      <c r="I2154" s="21">
        <f>Data!C2167</f>
        <v>0</v>
      </c>
      <c r="J2154">
        <f>Data!D2167</f>
        <v>0</v>
      </c>
      <c r="K2154">
        <f>Data!E2167</f>
        <v>0</v>
      </c>
      <c r="L2154">
        <f>Data!F2167</f>
        <v>0</v>
      </c>
      <c r="M2154">
        <f>Data!G2167</f>
        <v>0</v>
      </c>
      <c r="N2154">
        <f>Data!H2167</f>
        <v>0</v>
      </c>
      <c r="O2154">
        <f>Data!I2167</f>
        <v>0</v>
      </c>
      <c r="P2154" s="21">
        <f>Data!J2171</f>
        <v>0</v>
      </c>
      <c r="Q2154">
        <f>Data!K2171</f>
        <v>0</v>
      </c>
      <c r="R2154">
        <f>Data!L2171</f>
        <v>0</v>
      </c>
      <c r="S2154">
        <f>Data!M2171</f>
        <v>0</v>
      </c>
      <c r="T2154">
        <f>Data!N2171</f>
        <v>0</v>
      </c>
      <c r="U2154">
        <f>Data!O2171</f>
        <v>0</v>
      </c>
      <c r="V2154" s="33">
        <f>Data!P2169</f>
        <v>0</v>
      </c>
    </row>
    <row r="2155" spans="7:22" x14ac:dyDescent="0.25">
      <c r="G2155">
        <f>Data!A2168</f>
        <v>0</v>
      </c>
      <c r="H2155" s="21">
        <f>Data!B2168</f>
        <v>0</v>
      </c>
      <c r="I2155" s="21">
        <f>Data!C2168</f>
        <v>0</v>
      </c>
      <c r="J2155">
        <f>Data!D2168</f>
        <v>0</v>
      </c>
      <c r="K2155">
        <f>Data!E2168</f>
        <v>0</v>
      </c>
      <c r="L2155">
        <f>Data!F2168</f>
        <v>0</v>
      </c>
      <c r="M2155">
        <f>Data!G2168</f>
        <v>0</v>
      </c>
      <c r="N2155">
        <f>Data!H2168</f>
        <v>0</v>
      </c>
      <c r="O2155">
        <f>Data!I2168</f>
        <v>0</v>
      </c>
      <c r="P2155" s="21">
        <f>Data!J2172</f>
        <v>0</v>
      </c>
      <c r="Q2155">
        <f>Data!K2172</f>
        <v>0</v>
      </c>
      <c r="R2155">
        <f>Data!L2172</f>
        <v>0</v>
      </c>
      <c r="S2155">
        <f>Data!M2172</f>
        <v>0</v>
      </c>
      <c r="T2155">
        <f>Data!N2172</f>
        <v>0</v>
      </c>
      <c r="U2155">
        <f>Data!O2172</f>
        <v>0</v>
      </c>
      <c r="V2155" s="33">
        <f>Data!P2170</f>
        <v>0</v>
      </c>
    </row>
    <row r="2156" spans="7:22" x14ac:dyDescent="0.25">
      <c r="G2156">
        <f>Data!A2169</f>
        <v>0</v>
      </c>
      <c r="H2156" s="21">
        <f>Data!B2169</f>
        <v>0</v>
      </c>
      <c r="I2156" s="21">
        <f>Data!C2169</f>
        <v>0</v>
      </c>
      <c r="J2156">
        <f>Data!D2169</f>
        <v>0</v>
      </c>
      <c r="K2156">
        <f>Data!E2169</f>
        <v>0</v>
      </c>
      <c r="L2156">
        <f>Data!F2169</f>
        <v>0</v>
      </c>
      <c r="M2156">
        <f>Data!G2169</f>
        <v>0</v>
      </c>
      <c r="N2156">
        <f>Data!H2169</f>
        <v>0</v>
      </c>
      <c r="O2156">
        <f>Data!I2169</f>
        <v>0</v>
      </c>
      <c r="P2156" s="21">
        <f>Data!J2173</f>
        <v>0</v>
      </c>
      <c r="Q2156">
        <f>Data!K2173</f>
        <v>0</v>
      </c>
      <c r="R2156">
        <f>Data!L2173</f>
        <v>0</v>
      </c>
      <c r="S2156">
        <f>Data!M2173</f>
        <v>0</v>
      </c>
      <c r="T2156">
        <f>Data!N2173</f>
        <v>0</v>
      </c>
      <c r="U2156">
        <f>Data!O2173</f>
        <v>0</v>
      </c>
      <c r="V2156" s="33">
        <f>Data!P2171</f>
        <v>0</v>
      </c>
    </row>
    <row r="2157" spans="7:22" x14ac:dyDescent="0.25">
      <c r="G2157">
        <f>Data!A2170</f>
        <v>0</v>
      </c>
      <c r="H2157" s="21">
        <f>Data!B2170</f>
        <v>0</v>
      </c>
      <c r="I2157" s="21">
        <f>Data!C2170</f>
        <v>0</v>
      </c>
      <c r="J2157">
        <f>Data!D2170</f>
        <v>0</v>
      </c>
      <c r="K2157">
        <f>Data!E2170</f>
        <v>0</v>
      </c>
      <c r="L2157">
        <f>Data!F2170</f>
        <v>0</v>
      </c>
      <c r="M2157">
        <f>Data!G2170</f>
        <v>0</v>
      </c>
      <c r="N2157">
        <f>Data!H2170</f>
        <v>0</v>
      </c>
      <c r="O2157">
        <f>Data!I2170</f>
        <v>0</v>
      </c>
      <c r="P2157" s="21">
        <f>Data!J2174</f>
        <v>0</v>
      </c>
      <c r="Q2157">
        <f>Data!K2174</f>
        <v>0</v>
      </c>
      <c r="R2157">
        <f>Data!L2174</f>
        <v>0</v>
      </c>
      <c r="S2157">
        <f>Data!M2174</f>
        <v>0</v>
      </c>
      <c r="T2157">
        <f>Data!N2174</f>
        <v>0</v>
      </c>
      <c r="U2157">
        <f>Data!O2174</f>
        <v>0</v>
      </c>
      <c r="V2157" s="33">
        <f>Data!P2172</f>
        <v>0</v>
      </c>
    </row>
    <row r="2158" spans="7:22" x14ac:dyDescent="0.25">
      <c r="G2158">
        <f>Data!A2171</f>
        <v>0</v>
      </c>
      <c r="H2158" s="21">
        <f>Data!B2171</f>
        <v>0</v>
      </c>
      <c r="I2158" s="21">
        <f>Data!C2171</f>
        <v>0</v>
      </c>
      <c r="J2158">
        <f>Data!D2171</f>
        <v>0</v>
      </c>
      <c r="K2158">
        <f>Data!E2171</f>
        <v>0</v>
      </c>
      <c r="L2158">
        <f>Data!F2171</f>
        <v>0</v>
      </c>
      <c r="M2158">
        <f>Data!G2171</f>
        <v>0</v>
      </c>
      <c r="N2158">
        <f>Data!H2171</f>
        <v>0</v>
      </c>
      <c r="O2158">
        <f>Data!I2171</f>
        <v>0</v>
      </c>
      <c r="P2158" s="21">
        <f>Data!J2175</f>
        <v>0</v>
      </c>
      <c r="Q2158">
        <f>Data!K2175</f>
        <v>0</v>
      </c>
      <c r="R2158">
        <f>Data!L2175</f>
        <v>0</v>
      </c>
      <c r="S2158">
        <f>Data!M2175</f>
        <v>0</v>
      </c>
      <c r="T2158">
        <f>Data!N2175</f>
        <v>0</v>
      </c>
      <c r="U2158">
        <f>Data!O2175</f>
        <v>0</v>
      </c>
      <c r="V2158" s="33">
        <f>Data!P2173</f>
        <v>0</v>
      </c>
    </row>
    <row r="2159" spans="7:22" x14ac:dyDescent="0.25">
      <c r="G2159">
        <f>Data!A2172</f>
        <v>0</v>
      </c>
      <c r="H2159" s="21">
        <f>Data!B2172</f>
        <v>0</v>
      </c>
      <c r="I2159" s="21">
        <f>Data!C2172</f>
        <v>0</v>
      </c>
      <c r="J2159">
        <f>Data!D2172</f>
        <v>0</v>
      </c>
      <c r="K2159">
        <f>Data!E2172</f>
        <v>0</v>
      </c>
      <c r="L2159">
        <f>Data!F2172</f>
        <v>0</v>
      </c>
      <c r="M2159">
        <f>Data!G2172</f>
        <v>0</v>
      </c>
      <c r="N2159">
        <f>Data!H2172</f>
        <v>0</v>
      </c>
      <c r="O2159">
        <f>Data!I2172</f>
        <v>0</v>
      </c>
      <c r="P2159" s="21">
        <f>Data!J2176</f>
        <v>0</v>
      </c>
      <c r="Q2159">
        <f>Data!K2176</f>
        <v>0</v>
      </c>
      <c r="R2159">
        <f>Data!L2176</f>
        <v>0</v>
      </c>
      <c r="S2159">
        <f>Data!M2176</f>
        <v>0</v>
      </c>
      <c r="T2159">
        <f>Data!N2176</f>
        <v>0</v>
      </c>
      <c r="U2159">
        <f>Data!O2176</f>
        <v>0</v>
      </c>
      <c r="V2159" s="33">
        <f>Data!P2174</f>
        <v>0</v>
      </c>
    </row>
    <row r="2160" spans="7:22" x14ac:dyDescent="0.25">
      <c r="G2160">
        <f>Data!A2173</f>
        <v>0</v>
      </c>
      <c r="H2160" s="21">
        <f>Data!B2173</f>
        <v>0</v>
      </c>
      <c r="I2160" s="21">
        <f>Data!C2173</f>
        <v>0</v>
      </c>
      <c r="J2160">
        <f>Data!D2173</f>
        <v>0</v>
      </c>
      <c r="K2160">
        <f>Data!E2173</f>
        <v>0</v>
      </c>
      <c r="L2160">
        <f>Data!F2173</f>
        <v>0</v>
      </c>
      <c r="M2160">
        <f>Data!G2173</f>
        <v>0</v>
      </c>
      <c r="N2160">
        <f>Data!H2173</f>
        <v>0</v>
      </c>
      <c r="O2160">
        <f>Data!I2173</f>
        <v>0</v>
      </c>
      <c r="P2160" s="21">
        <f>Data!J2177</f>
        <v>0</v>
      </c>
      <c r="Q2160">
        <f>Data!K2177</f>
        <v>0</v>
      </c>
      <c r="R2160">
        <f>Data!L2177</f>
        <v>0</v>
      </c>
      <c r="S2160">
        <f>Data!M2177</f>
        <v>0</v>
      </c>
      <c r="T2160">
        <f>Data!N2177</f>
        <v>0</v>
      </c>
      <c r="U2160">
        <f>Data!O2177</f>
        <v>0</v>
      </c>
      <c r="V2160" s="33">
        <f>Data!P2175</f>
        <v>0</v>
      </c>
    </row>
    <row r="2161" spans="7:22" x14ac:dyDescent="0.25">
      <c r="G2161">
        <f>Data!A2174</f>
        <v>0</v>
      </c>
      <c r="H2161" s="21">
        <f>Data!B2174</f>
        <v>0</v>
      </c>
      <c r="I2161" s="21">
        <f>Data!C2174</f>
        <v>0</v>
      </c>
      <c r="J2161">
        <f>Data!D2174</f>
        <v>0</v>
      </c>
      <c r="K2161">
        <f>Data!E2174</f>
        <v>0</v>
      </c>
      <c r="L2161">
        <f>Data!F2174</f>
        <v>0</v>
      </c>
      <c r="M2161">
        <f>Data!G2174</f>
        <v>0</v>
      </c>
      <c r="N2161">
        <f>Data!H2174</f>
        <v>0</v>
      </c>
      <c r="O2161">
        <f>Data!I2174</f>
        <v>0</v>
      </c>
      <c r="P2161" s="21">
        <f>Data!J2178</f>
        <v>0</v>
      </c>
      <c r="Q2161">
        <f>Data!K2178</f>
        <v>0</v>
      </c>
      <c r="R2161">
        <f>Data!L2178</f>
        <v>0</v>
      </c>
      <c r="S2161">
        <f>Data!M2178</f>
        <v>0</v>
      </c>
      <c r="T2161">
        <f>Data!N2178</f>
        <v>0</v>
      </c>
      <c r="U2161">
        <f>Data!O2178</f>
        <v>0</v>
      </c>
      <c r="V2161" s="33">
        <f>Data!P2176</f>
        <v>0</v>
      </c>
    </row>
    <row r="2162" spans="7:22" x14ac:dyDescent="0.25">
      <c r="G2162">
        <f>Data!A2175</f>
        <v>0</v>
      </c>
      <c r="H2162" s="21">
        <f>Data!B2175</f>
        <v>0</v>
      </c>
      <c r="I2162" s="21">
        <f>Data!C2175</f>
        <v>0</v>
      </c>
      <c r="J2162">
        <f>Data!D2175</f>
        <v>0</v>
      </c>
      <c r="K2162">
        <f>Data!E2175</f>
        <v>0</v>
      </c>
      <c r="L2162">
        <f>Data!F2175</f>
        <v>0</v>
      </c>
      <c r="M2162">
        <f>Data!G2175</f>
        <v>0</v>
      </c>
      <c r="N2162">
        <f>Data!H2175</f>
        <v>0</v>
      </c>
      <c r="O2162">
        <f>Data!I2175</f>
        <v>0</v>
      </c>
      <c r="P2162" s="21">
        <f>Data!J2179</f>
        <v>0</v>
      </c>
      <c r="Q2162">
        <f>Data!K2179</f>
        <v>0</v>
      </c>
      <c r="R2162">
        <f>Data!L2179</f>
        <v>0</v>
      </c>
      <c r="S2162">
        <f>Data!M2179</f>
        <v>0</v>
      </c>
      <c r="T2162">
        <f>Data!N2179</f>
        <v>0</v>
      </c>
      <c r="U2162">
        <f>Data!O2179</f>
        <v>0</v>
      </c>
      <c r="V2162" s="33">
        <f>Data!P2177</f>
        <v>0</v>
      </c>
    </row>
    <row r="2163" spans="7:22" x14ac:dyDescent="0.25">
      <c r="G2163">
        <f>Data!A2176</f>
        <v>0</v>
      </c>
      <c r="H2163" s="21">
        <f>Data!B2176</f>
        <v>0</v>
      </c>
      <c r="I2163" s="21">
        <f>Data!C2176</f>
        <v>0</v>
      </c>
      <c r="J2163">
        <f>Data!D2176</f>
        <v>0</v>
      </c>
      <c r="K2163">
        <f>Data!E2176</f>
        <v>0</v>
      </c>
      <c r="L2163">
        <f>Data!F2176</f>
        <v>0</v>
      </c>
      <c r="M2163">
        <f>Data!G2176</f>
        <v>0</v>
      </c>
      <c r="N2163">
        <f>Data!H2176</f>
        <v>0</v>
      </c>
      <c r="O2163">
        <f>Data!I2176</f>
        <v>0</v>
      </c>
      <c r="P2163" s="21">
        <f>Data!J2180</f>
        <v>0</v>
      </c>
      <c r="Q2163">
        <f>Data!K2180</f>
        <v>0</v>
      </c>
      <c r="R2163">
        <f>Data!L2180</f>
        <v>0</v>
      </c>
      <c r="S2163">
        <f>Data!M2180</f>
        <v>0</v>
      </c>
      <c r="T2163">
        <f>Data!N2180</f>
        <v>0</v>
      </c>
      <c r="U2163">
        <f>Data!O2180</f>
        <v>0</v>
      </c>
      <c r="V2163" s="33">
        <f>Data!P2178</f>
        <v>0</v>
      </c>
    </row>
    <row r="2164" spans="7:22" x14ac:dyDescent="0.25">
      <c r="G2164">
        <f>Data!A2177</f>
        <v>0</v>
      </c>
      <c r="H2164" s="21">
        <f>Data!B2177</f>
        <v>0</v>
      </c>
      <c r="I2164" s="21">
        <f>Data!C2177</f>
        <v>0</v>
      </c>
      <c r="J2164">
        <f>Data!D2177</f>
        <v>0</v>
      </c>
      <c r="K2164">
        <f>Data!E2177</f>
        <v>0</v>
      </c>
      <c r="L2164">
        <f>Data!F2177</f>
        <v>0</v>
      </c>
      <c r="M2164">
        <f>Data!G2177</f>
        <v>0</v>
      </c>
      <c r="N2164">
        <f>Data!H2177</f>
        <v>0</v>
      </c>
      <c r="O2164">
        <f>Data!I2177</f>
        <v>0</v>
      </c>
      <c r="P2164" s="21">
        <f>Data!J2181</f>
        <v>0</v>
      </c>
      <c r="Q2164">
        <f>Data!K2181</f>
        <v>0</v>
      </c>
      <c r="R2164">
        <f>Data!L2181</f>
        <v>0</v>
      </c>
      <c r="S2164">
        <f>Data!M2181</f>
        <v>0</v>
      </c>
      <c r="T2164">
        <f>Data!N2181</f>
        <v>0</v>
      </c>
      <c r="U2164">
        <f>Data!O2181</f>
        <v>0</v>
      </c>
      <c r="V2164" s="33">
        <f>Data!P2179</f>
        <v>0</v>
      </c>
    </row>
    <row r="2165" spans="7:22" x14ac:dyDescent="0.25">
      <c r="G2165">
        <f>Data!A2178</f>
        <v>0</v>
      </c>
      <c r="H2165" s="21">
        <f>Data!B2178</f>
        <v>0</v>
      </c>
      <c r="I2165" s="21">
        <f>Data!C2178</f>
        <v>0</v>
      </c>
      <c r="J2165">
        <f>Data!D2178</f>
        <v>0</v>
      </c>
      <c r="K2165">
        <f>Data!E2178</f>
        <v>0</v>
      </c>
      <c r="L2165">
        <f>Data!F2178</f>
        <v>0</v>
      </c>
      <c r="M2165">
        <f>Data!G2178</f>
        <v>0</v>
      </c>
      <c r="N2165">
        <f>Data!H2178</f>
        <v>0</v>
      </c>
      <c r="O2165">
        <f>Data!I2178</f>
        <v>0</v>
      </c>
      <c r="P2165" s="21">
        <f>Data!J2182</f>
        <v>0</v>
      </c>
      <c r="Q2165">
        <f>Data!K2182</f>
        <v>0</v>
      </c>
      <c r="R2165">
        <f>Data!L2182</f>
        <v>0</v>
      </c>
      <c r="S2165">
        <f>Data!M2182</f>
        <v>0</v>
      </c>
      <c r="T2165">
        <f>Data!N2182</f>
        <v>0</v>
      </c>
      <c r="U2165">
        <f>Data!O2182</f>
        <v>0</v>
      </c>
      <c r="V2165" s="33">
        <f>Data!P2180</f>
        <v>0</v>
      </c>
    </row>
    <row r="2166" spans="7:22" x14ac:dyDescent="0.25">
      <c r="G2166">
        <f>Data!A2179</f>
        <v>0</v>
      </c>
      <c r="H2166" s="21">
        <f>Data!B2179</f>
        <v>0</v>
      </c>
      <c r="I2166" s="21">
        <f>Data!C2179</f>
        <v>0</v>
      </c>
      <c r="J2166">
        <f>Data!D2179</f>
        <v>0</v>
      </c>
      <c r="K2166">
        <f>Data!E2179</f>
        <v>0</v>
      </c>
      <c r="L2166">
        <f>Data!F2179</f>
        <v>0</v>
      </c>
      <c r="M2166">
        <f>Data!G2179</f>
        <v>0</v>
      </c>
      <c r="N2166">
        <f>Data!H2179</f>
        <v>0</v>
      </c>
      <c r="O2166">
        <f>Data!I2179</f>
        <v>0</v>
      </c>
      <c r="P2166" s="21">
        <f>Data!J2183</f>
        <v>0</v>
      </c>
      <c r="Q2166">
        <f>Data!K2183</f>
        <v>0</v>
      </c>
      <c r="R2166">
        <f>Data!L2183</f>
        <v>0</v>
      </c>
      <c r="S2166">
        <f>Data!M2183</f>
        <v>0</v>
      </c>
      <c r="T2166">
        <f>Data!N2183</f>
        <v>0</v>
      </c>
      <c r="U2166">
        <f>Data!O2183</f>
        <v>0</v>
      </c>
      <c r="V2166" s="33">
        <f>Data!P2181</f>
        <v>0</v>
      </c>
    </row>
    <row r="2167" spans="7:22" x14ac:dyDescent="0.25">
      <c r="G2167">
        <f>Data!A2180</f>
        <v>0</v>
      </c>
      <c r="H2167" s="21">
        <f>Data!B2180</f>
        <v>0</v>
      </c>
      <c r="I2167" s="21">
        <f>Data!C2180</f>
        <v>0</v>
      </c>
      <c r="J2167">
        <f>Data!D2180</f>
        <v>0</v>
      </c>
      <c r="K2167">
        <f>Data!E2180</f>
        <v>0</v>
      </c>
      <c r="L2167">
        <f>Data!F2180</f>
        <v>0</v>
      </c>
      <c r="M2167">
        <f>Data!G2180</f>
        <v>0</v>
      </c>
      <c r="N2167">
        <f>Data!H2180</f>
        <v>0</v>
      </c>
      <c r="O2167">
        <f>Data!I2180</f>
        <v>0</v>
      </c>
      <c r="P2167" s="21">
        <f>Data!J2184</f>
        <v>0</v>
      </c>
      <c r="Q2167">
        <f>Data!K2184</f>
        <v>0</v>
      </c>
      <c r="R2167">
        <f>Data!L2184</f>
        <v>0</v>
      </c>
      <c r="S2167">
        <f>Data!M2184</f>
        <v>0</v>
      </c>
      <c r="T2167">
        <f>Data!N2184</f>
        <v>0</v>
      </c>
      <c r="U2167">
        <f>Data!O2184</f>
        <v>0</v>
      </c>
      <c r="V2167" s="33">
        <f>Data!P2182</f>
        <v>0</v>
      </c>
    </row>
    <row r="2168" spans="7:22" x14ac:dyDescent="0.25">
      <c r="G2168">
        <f>Data!A2181</f>
        <v>0</v>
      </c>
      <c r="H2168" s="21">
        <f>Data!B2181</f>
        <v>0</v>
      </c>
      <c r="I2168" s="21">
        <f>Data!C2181</f>
        <v>0</v>
      </c>
      <c r="J2168">
        <f>Data!D2181</f>
        <v>0</v>
      </c>
      <c r="K2168">
        <f>Data!E2181</f>
        <v>0</v>
      </c>
      <c r="L2168">
        <f>Data!F2181</f>
        <v>0</v>
      </c>
      <c r="M2168">
        <f>Data!G2181</f>
        <v>0</v>
      </c>
      <c r="N2168">
        <f>Data!H2181</f>
        <v>0</v>
      </c>
      <c r="O2168">
        <f>Data!I2181</f>
        <v>0</v>
      </c>
      <c r="P2168" s="21">
        <f>Data!J2185</f>
        <v>0</v>
      </c>
      <c r="Q2168">
        <f>Data!K2185</f>
        <v>0</v>
      </c>
      <c r="R2168">
        <f>Data!L2185</f>
        <v>0</v>
      </c>
      <c r="S2168">
        <f>Data!M2185</f>
        <v>0</v>
      </c>
      <c r="T2168">
        <f>Data!N2185</f>
        <v>0</v>
      </c>
      <c r="U2168">
        <f>Data!O2185</f>
        <v>0</v>
      </c>
      <c r="V2168" s="33">
        <f>Data!P2183</f>
        <v>0</v>
      </c>
    </row>
    <row r="2169" spans="7:22" x14ac:dyDescent="0.25">
      <c r="G2169">
        <f>Data!A2182</f>
        <v>0</v>
      </c>
      <c r="H2169" s="21">
        <f>Data!B2182</f>
        <v>0</v>
      </c>
      <c r="I2169" s="21">
        <f>Data!C2182</f>
        <v>0</v>
      </c>
      <c r="J2169">
        <f>Data!D2182</f>
        <v>0</v>
      </c>
      <c r="K2169">
        <f>Data!E2182</f>
        <v>0</v>
      </c>
      <c r="L2169">
        <f>Data!F2182</f>
        <v>0</v>
      </c>
      <c r="M2169">
        <f>Data!G2182</f>
        <v>0</v>
      </c>
      <c r="N2169">
        <f>Data!H2182</f>
        <v>0</v>
      </c>
      <c r="O2169">
        <f>Data!I2182</f>
        <v>0</v>
      </c>
      <c r="P2169" s="21">
        <f>Data!J2186</f>
        <v>0</v>
      </c>
      <c r="Q2169">
        <f>Data!K2186</f>
        <v>0</v>
      </c>
      <c r="R2169">
        <f>Data!L2186</f>
        <v>0</v>
      </c>
      <c r="S2169">
        <f>Data!M2186</f>
        <v>0</v>
      </c>
      <c r="T2169">
        <f>Data!N2186</f>
        <v>0</v>
      </c>
      <c r="U2169">
        <f>Data!O2186</f>
        <v>0</v>
      </c>
      <c r="V2169" s="33">
        <f>Data!P2184</f>
        <v>0</v>
      </c>
    </row>
    <row r="2170" spans="7:22" x14ac:dyDescent="0.25">
      <c r="G2170">
        <f>Data!A2183</f>
        <v>0</v>
      </c>
      <c r="H2170" s="21">
        <f>Data!B2183</f>
        <v>0</v>
      </c>
      <c r="I2170" s="21">
        <f>Data!C2183</f>
        <v>0</v>
      </c>
      <c r="J2170">
        <f>Data!D2183</f>
        <v>0</v>
      </c>
      <c r="K2170">
        <f>Data!E2183</f>
        <v>0</v>
      </c>
      <c r="L2170">
        <f>Data!F2183</f>
        <v>0</v>
      </c>
      <c r="M2170">
        <f>Data!G2183</f>
        <v>0</v>
      </c>
      <c r="N2170">
        <f>Data!H2183</f>
        <v>0</v>
      </c>
      <c r="O2170">
        <f>Data!I2183</f>
        <v>0</v>
      </c>
      <c r="P2170" s="21">
        <f>Data!J2187</f>
        <v>0</v>
      </c>
      <c r="Q2170">
        <f>Data!K2187</f>
        <v>0</v>
      </c>
      <c r="R2170">
        <f>Data!L2187</f>
        <v>0</v>
      </c>
      <c r="S2170">
        <f>Data!M2187</f>
        <v>0</v>
      </c>
      <c r="T2170">
        <f>Data!N2187</f>
        <v>0</v>
      </c>
      <c r="U2170">
        <f>Data!O2187</f>
        <v>0</v>
      </c>
      <c r="V2170" s="33">
        <f>Data!P2185</f>
        <v>0</v>
      </c>
    </row>
    <row r="2171" spans="7:22" x14ac:dyDescent="0.25">
      <c r="G2171">
        <f>Data!A2184</f>
        <v>0</v>
      </c>
      <c r="H2171" s="21">
        <f>Data!B2184</f>
        <v>0</v>
      </c>
      <c r="I2171" s="21">
        <f>Data!C2184</f>
        <v>0</v>
      </c>
      <c r="J2171">
        <f>Data!D2184</f>
        <v>0</v>
      </c>
      <c r="K2171">
        <f>Data!E2184</f>
        <v>0</v>
      </c>
      <c r="L2171">
        <f>Data!F2184</f>
        <v>0</v>
      </c>
      <c r="M2171">
        <f>Data!G2184</f>
        <v>0</v>
      </c>
      <c r="N2171">
        <f>Data!H2184</f>
        <v>0</v>
      </c>
      <c r="O2171">
        <f>Data!I2184</f>
        <v>0</v>
      </c>
      <c r="P2171" s="21">
        <f>Data!J2188</f>
        <v>0</v>
      </c>
      <c r="Q2171">
        <f>Data!K2188</f>
        <v>0</v>
      </c>
      <c r="R2171">
        <f>Data!L2188</f>
        <v>0</v>
      </c>
      <c r="S2171">
        <f>Data!M2188</f>
        <v>0</v>
      </c>
      <c r="T2171">
        <f>Data!N2188</f>
        <v>0</v>
      </c>
      <c r="U2171">
        <f>Data!O2188</f>
        <v>0</v>
      </c>
      <c r="V2171" s="33">
        <f>Data!P2186</f>
        <v>0</v>
      </c>
    </row>
    <row r="2172" spans="7:22" x14ac:dyDescent="0.25">
      <c r="G2172">
        <f>Data!A2185</f>
        <v>0</v>
      </c>
      <c r="H2172" s="21">
        <f>Data!B2185</f>
        <v>0</v>
      </c>
      <c r="I2172" s="21">
        <f>Data!C2185</f>
        <v>0</v>
      </c>
      <c r="J2172">
        <f>Data!D2185</f>
        <v>0</v>
      </c>
      <c r="K2172">
        <f>Data!E2185</f>
        <v>0</v>
      </c>
      <c r="L2172">
        <f>Data!F2185</f>
        <v>0</v>
      </c>
      <c r="M2172">
        <f>Data!G2185</f>
        <v>0</v>
      </c>
      <c r="N2172">
        <f>Data!H2185</f>
        <v>0</v>
      </c>
      <c r="O2172">
        <f>Data!I2185</f>
        <v>0</v>
      </c>
      <c r="P2172" s="21">
        <f>Data!J2189</f>
        <v>0</v>
      </c>
      <c r="Q2172">
        <f>Data!K2189</f>
        <v>0</v>
      </c>
      <c r="R2172">
        <f>Data!L2189</f>
        <v>0</v>
      </c>
      <c r="S2172">
        <f>Data!M2189</f>
        <v>0</v>
      </c>
      <c r="T2172">
        <f>Data!N2189</f>
        <v>0</v>
      </c>
      <c r="U2172">
        <f>Data!O2189</f>
        <v>0</v>
      </c>
      <c r="V2172" s="33">
        <f>Data!P2187</f>
        <v>0</v>
      </c>
    </row>
    <row r="2173" spans="7:22" x14ac:dyDescent="0.25">
      <c r="G2173">
        <f>Data!A2186</f>
        <v>0</v>
      </c>
      <c r="H2173" s="21">
        <f>Data!B2186</f>
        <v>0</v>
      </c>
      <c r="I2173" s="21">
        <f>Data!C2186</f>
        <v>0</v>
      </c>
      <c r="J2173">
        <f>Data!D2186</f>
        <v>0</v>
      </c>
      <c r="K2173">
        <f>Data!E2186</f>
        <v>0</v>
      </c>
      <c r="L2173">
        <f>Data!F2186</f>
        <v>0</v>
      </c>
      <c r="M2173">
        <f>Data!G2186</f>
        <v>0</v>
      </c>
      <c r="N2173">
        <f>Data!H2186</f>
        <v>0</v>
      </c>
      <c r="O2173">
        <f>Data!I2186</f>
        <v>0</v>
      </c>
      <c r="P2173" s="21">
        <f>Data!J2190</f>
        <v>0</v>
      </c>
      <c r="Q2173">
        <f>Data!K2190</f>
        <v>0</v>
      </c>
      <c r="R2173">
        <f>Data!L2190</f>
        <v>0</v>
      </c>
      <c r="S2173">
        <f>Data!M2190</f>
        <v>0</v>
      </c>
      <c r="T2173">
        <f>Data!N2190</f>
        <v>0</v>
      </c>
      <c r="U2173">
        <f>Data!O2190</f>
        <v>0</v>
      </c>
      <c r="V2173" s="33">
        <f>Data!P2188</f>
        <v>0</v>
      </c>
    </row>
    <row r="2174" spans="7:22" x14ac:dyDescent="0.25">
      <c r="G2174">
        <f>Data!A2187</f>
        <v>0</v>
      </c>
      <c r="H2174" s="21">
        <f>Data!B2187</f>
        <v>0</v>
      </c>
      <c r="I2174" s="21">
        <f>Data!C2187</f>
        <v>0</v>
      </c>
      <c r="J2174">
        <f>Data!D2187</f>
        <v>0</v>
      </c>
      <c r="K2174">
        <f>Data!E2187</f>
        <v>0</v>
      </c>
      <c r="L2174">
        <f>Data!F2187</f>
        <v>0</v>
      </c>
      <c r="M2174">
        <f>Data!G2187</f>
        <v>0</v>
      </c>
      <c r="N2174">
        <f>Data!H2187</f>
        <v>0</v>
      </c>
      <c r="O2174">
        <f>Data!I2187</f>
        <v>0</v>
      </c>
      <c r="P2174" s="21">
        <f>Data!J2191</f>
        <v>0</v>
      </c>
      <c r="Q2174">
        <f>Data!K2191</f>
        <v>0</v>
      </c>
      <c r="R2174">
        <f>Data!L2191</f>
        <v>0</v>
      </c>
      <c r="S2174">
        <f>Data!M2191</f>
        <v>0</v>
      </c>
      <c r="T2174">
        <f>Data!N2191</f>
        <v>0</v>
      </c>
      <c r="U2174">
        <f>Data!O2191</f>
        <v>0</v>
      </c>
      <c r="V2174" s="33">
        <f>Data!P2189</f>
        <v>0</v>
      </c>
    </row>
    <row r="2175" spans="7:22" x14ac:dyDescent="0.25">
      <c r="G2175">
        <f>Data!A2188</f>
        <v>0</v>
      </c>
      <c r="H2175" s="21">
        <f>Data!B2188</f>
        <v>0</v>
      </c>
      <c r="I2175" s="21">
        <f>Data!C2188</f>
        <v>0</v>
      </c>
      <c r="J2175">
        <f>Data!D2188</f>
        <v>0</v>
      </c>
      <c r="K2175">
        <f>Data!E2188</f>
        <v>0</v>
      </c>
      <c r="L2175">
        <f>Data!F2188</f>
        <v>0</v>
      </c>
      <c r="M2175">
        <f>Data!G2188</f>
        <v>0</v>
      </c>
      <c r="N2175">
        <f>Data!H2188</f>
        <v>0</v>
      </c>
      <c r="O2175">
        <f>Data!I2188</f>
        <v>0</v>
      </c>
      <c r="P2175" s="21">
        <f>Data!J2192</f>
        <v>0</v>
      </c>
      <c r="Q2175">
        <f>Data!K2192</f>
        <v>0</v>
      </c>
      <c r="R2175">
        <f>Data!L2192</f>
        <v>0</v>
      </c>
      <c r="S2175">
        <f>Data!M2192</f>
        <v>0</v>
      </c>
      <c r="T2175">
        <f>Data!N2192</f>
        <v>0</v>
      </c>
      <c r="U2175">
        <f>Data!O2192</f>
        <v>0</v>
      </c>
      <c r="V2175" s="33">
        <f>Data!P2190</f>
        <v>0</v>
      </c>
    </row>
    <row r="2176" spans="7:22" x14ac:dyDescent="0.25">
      <c r="G2176">
        <f>Data!A2189</f>
        <v>0</v>
      </c>
      <c r="H2176" s="21">
        <f>Data!B2189</f>
        <v>0</v>
      </c>
      <c r="I2176" s="21">
        <f>Data!C2189</f>
        <v>0</v>
      </c>
      <c r="J2176">
        <f>Data!D2189</f>
        <v>0</v>
      </c>
      <c r="K2176">
        <f>Data!E2189</f>
        <v>0</v>
      </c>
      <c r="L2176">
        <f>Data!F2189</f>
        <v>0</v>
      </c>
      <c r="M2176">
        <f>Data!G2189</f>
        <v>0</v>
      </c>
      <c r="N2176">
        <f>Data!H2189</f>
        <v>0</v>
      </c>
      <c r="O2176">
        <f>Data!I2189</f>
        <v>0</v>
      </c>
      <c r="P2176" s="21">
        <f>Data!J2193</f>
        <v>0</v>
      </c>
      <c r="Q2176">
        <f>Data!K2193</f>
        <v>0</v>
      </c>
      <c r="R2176">
        <f>Data!L2193</f>
        <v>0</v>
      </c>
      <c r="S2176">
        <f>Data!M2193</f>
        <v>0</v>
      </c>
      <c r="T2176">
        <f>Data!N2193</f>
        <v>0</v>
      </c>
      <c r="U2176">
        <f>Data!O2193</f>
        <v>0</v>
      </c>
      <c r="V2176" s="33">
        <f>Data!P2191</f>
        <v>0</v>
      </c>
    </row>
    <row r="2177" spans="7:22" x14ac:dyDescent="0.25">
      <c r="G2177">
        <f>Data!A2190</f>
        <v>0</v>
      </c>
      <c r="H2177" s="21">
        <f>Data!B2190</f>
        <v>0</v>
      </c>
      <c r="I2177" s="21">
        <f>Data!C2190</f>
        <v>0</v>
      </c>
      <c r="J2177">
        <f>Data!D2190</f>
        <v>0</v>
      </c>
      <c r="K2177">
        <f>Data!E2190</f>
        <v>0</v>
      </c>
      <c r="L2177">
        <f>Data!F2190</f>
        <v>0</v>
      </c>
      <c r="M2177">
        <f>Data!G2190</f>
        <v>0</v>
      </c>
      <c r="N2177">
        <f>Data!H2190</f>
        <v>0</v>
      </c>
      <c r="O2177">
        <f>Data!I2190</f>
        <v>0</v>
      </c>
      <c r="P2177" s="21">
        <f>Data!J2194</f>
        <v>0</v>
      </c>
      <c r="Q2177">
        <f>Data!K2194</f>
        <v>0</v>
      </c>
      <c r="R2177">
        <f>Data!L2194</f>
        <v>0</v>
      </c>
      <c r="S2177">
        <f>Data!M2194</f>
        <v>0</v>
      </c>
      <c r="T2177">
        <f>Data!N2194</f>
        <v>0</v>
      </c>
      <c r="U2177">
        <f>Data!O2194</f>
        <v>0</v>
      </c>
      <c r="V2177" s="33">
        <f>Data!P2192</f>
        <v>0</v>
      </c>
    </row>
    <row r="2178" spans="7:22" x14ac:dyDescent="0.25">
      <c r="G2178">
        <f>Data!A2191</f>
        <v>0</v>
      </c>
      <c r="H2178" s="21">
        <f>Data!B2191</f>
        <v>0</v>
      </c>
      <c r="I2178" s="21">
        <f>Data!C2191</f>
        <v>0</v>
      </c>
      <c r="J2178">
        <f>Data!D2191</f>
        <v>0</v>
      </c>
      <c r="K2178">
        <f>Data!E2191</f>
        <v>0</v>
      </c>
      <c r="L2178">
        <f>Data!F2191</f>
        <v>0</v>
      </c>
      <c r="M2178">
        <f>Data!G2191</f>
        <v>0</v>
      </c>
      <c r="N2178">
        <f>Data!H2191</f>
        <v>0</v>
      </c>
      <c r="O2178">
        <f>Data!I2191</f>
        <v>0</v>
      </c>
      <c r="P2178" s="21">
        <f>Data!J2195</f>
        <v>0</v>
      </c>
      <c r="Q2178">
        <f>Data!K2195</f>
        <v>0</v>
      </c>
      <c r="R2178">
        <f>Data!L2195</f>
        <v>0</v>
      </c>
      <c r="S2178">
        <f>Data!M2195</f>
        <v>0</v>
      </c>
      <c r="T2178">
        <f>Data!N2195</f>
        <v>0</v>
      </c>
      <c r="U2178">
        <f>Data!O2195</f>
        <v>0</v>
      </c>
      <c r="V2178" s="33">
        <f>Data!P2193</f>
        <v>0</v>
      </c>
    </row>
    <row r="2179" spans="7:22" x14ac:dyDescent="0.25">
      <c r="G2179">
        <f>Data!A2192</f>
        <v>0</v>
      </c>
      <c r="H2179" s="21">
        <f>Data!B2192</f>
        <v>0</v>
      </c>
      <c r="I2179" s="21">
        <f>Data!C2192</f>
        <v>0</v>
      </c>
      <c r="J2179">
        <f>Data!D2192</f>
        <v>0</v>
      </c>
      <c r="K2179">
        <f>Data!E2192</f>
        <v>0</v>
      </c>
      <c r="L2179">
        <f>Data!F2192</f>
        <v>0</v>
      </c>
      <c r="M2179">
        <f>Data!G2192</f>
        <v>0</v>
      </c>
      <c r="N2179">
        <f>Data!H2192</f>
        <v>0</v>
      </c>
      <c r="O2179">
        <f>Data!I2192</f>
        <v>0</v>
      </c>
      <c r="P2179" s="21">
        <f>Data!J2196</f>
        <v>0</v>
      </c>
      <c r="Q2179">
        <f>Data!K2196</f>
        <v>0</v>
      </c>
      <c r="R2179">
        <f>Data!L2196</f>
        <v>0</v>
      </c>
      <c r="S2179">
        <f>Data!M2196</f>
        <v>0</v>
      </c>
      <c r="T2179">
        <f>Data!N2196</f>
        <v>0</v>
      </c>
      <c r="U2179">
        <f>Data!O2196</f>
        <v>0</v>
      </c>
      <c r="V2179" s="33">
        <f>Data!P2194</f>
        <v>0</v>
      </c>
    </row>
    <row r="2180" spans="7:22" x14ac:dyDescent="0.25">
      <c r="G2180">
        <f>Data!A2193</f>
        <v>0</v>
      </c>
      <c r="H2180" s="21">
        <f>Data!B2193</f>
        <v>0</v>
      </c>
      <c r="I2180" s="21">
        <f>Data!C2193</f>
        <v>0</v>
      </c>
      <c r="J2180">
        <f>Data!D2193</f>
        <v>0</v>
      </c>
      <c r="K2180">
        <f>Data!E2193</f>
        <v>0</v>
      </c>
      <c r="L2180">
        <f>Data!F2193</f>
        <v>0</v>
      </c>
      <c r="M2180">
        <f>Data!G2193</f>
        <v>0</v>
      </c>
      <c r="N2180">
        <f>Data!H2193</f>
        <v>0</v>
      </c>
      <c r="O2180">
        <f>Data!I2193</f>
        <v>0</v>
      </c>
      <c r="P2180" s="21">
        <f>Data!J2197</f>
        <v>0</v>
      </c>
      <c r="Q2180">
        <f>Data!K2197</f>
        <v>0</v>
      </c>
      <c r="R2180">
        <f>Data!L2197</f>
        <v>0</v>
      </c>
      <c r="S2180">
        <f>Data!M2197</f>
        <v>0</v>
      </c>
      <c r="T2180">
        <f>Data!N2197</f>
        <v>0</v>
      </c>
      <c r="U2180">
        <f>Data!O2197</f>
        <v>0</v>
      </c>
      <c r="V2180" s="33">
        <f>Data!P2195</f>
        <v>0</v>
      </c>
    </row>
    <row r="2181" spans="7:22" x14ac:dyDescent="0.25">
      <c r="G2181">
        <f>Data!A2194</f>
        <v>0</v>
      </c>
      <c r="H2181" s="21">
        <f>Data!B2194</f>
        <v>0</v>
      </c>
      <c r="I2181" s="21">
        <f>Data!C2194</f>
        <v>0</v>
      </c>
      <c r="J2181">
        <f>Data!D2194</f>
        <v>0</v>
      </c>
      <c r="K2181">
        <f>Data!E2194</f>
        <v>0</v>
      </c>
      <c r="L2181">
        <f>Data!F2194</f>
        <v>0</v>
      </c>
      <c r="M2181">
        <f>Data!G2194</f>
        <v>0</v>
      </c>
      <c r="N2181">
        <f>Data!H2194</f>
        <v>0</v>
      </c>
      <c r="O2181">
        <f>Data!I2194</f>
        <v>0</v>
      </c>
      <c r="P2181" s="21">
        <f>Data!J2198</f>
        <v>0</v>
      </c>
      <c r="Q2181">
        <f>Data!K2198</f>
        <v>0</v>
      </c>
      <c r="R2181">
        <f>Data!L2198</f>
        <v>0</v>
      </c>
      <c r="S2181">
        <f>Data!M2198</f>
        <v>0</v>
      </c>
      <c r="T2181">
        <f>Data!N2198</f>
        <v>0</v>
      </c>
      <c r="U2181">
        <f>Data!O2198</f>
        <v>0</v>
      </c>
      <c r="V2181" s="33">
        <f>Data!P2196</f>
        <v>0</v>
      </c>
    </row>
    <row r="2182" spans="7:22" x14ac:dyDescent="0.25">
      <c r="G2182">
        <f>Data!A2195</f>
        <v>0</v>
      </c>
      <c r="H2182" s="21">
        <f>Data!B2195</f>
        <v>0</v>
      </c>
      <c r="I2182" s="21">
        <f>Data!C2195</f>
        <v>0</v>
      </c>
      <c r="J2182">
        <f>Data!D2195</f>
        <v>0</v>
      </c>
      <c r="K2182">
        <f>Data!E2195</f>
        <v>0</v>
      </c>
      <c r="L2182">
        <f>Data!F2195</f>
        <v>0</v>
      </c>
      <c r="M2182">
        <f>Data!G2195</f>
        <v>0</v>
      </c>
      <c r="N2182">
        <f>Data!H2195</f>
        <v>0</v>
      </c>
      <c r="O2182">
        <f>Data!I2195</f>
        <v>0</v>
      </c>
      <c r="P2182" s="21">
        <f>Data!J2199</f>
        <v>0</v>
      </c>
      <c r="Q2182">
        <f>Data!K2199</f>
        <v>0</v>
      </c>
      <c r="R2182">
        <f>Data!L2199</f>
        <v>0</v>
      </c>
      <c r="S2182">
        <f>Data!M2199</f>
        <v>0</v>
      </c>
      <c r="T2182">
        <f>Data!N2199</f>
        <v>0</v>
      </c>
      <c r="U2182">
        <f>Data!O2199</f>
        <v>0</v>
      </c>
      <c r="V2182" s="33">
        <f>Data!P2197</f>
        <v>0</v>
      </c>
    </row>
    <row r="2183" spans="7:22" x14ac:dyDescent="0.25">
      <c r="G2183">
        <f>Data!A2196</f>
        <v>0</v>
      </c>
      <c r="H2183" s="21">
        <f>Data!B2196</f>
        <v>0</v>
      </c>
      <c r="I2183" s="21">
        <f>Data!C2196</f>
        <v>0</v>
      </c>
      <c r="J2183">
        <f>Data!D2196</f>
        <v>0</v>
      </c>
      <c r="K2183">
        <f>Data!E2196</f>
        <v>0</v>
      </c>
      <c r="L2183">
        <f>Data!F2196</f>
        <v>0</v>
      </c>
      <c r="M2183">
        <f>Data!G2196</f>
        <v>0</v>
      </c>
      <c r="N2183">
        <f>Data!H2196</f>
        <v>0</v>
      </c>
      <c r="O2183">
        <f>Data!I2196</f>
        <v>0</v>
      </c>
      <c r="P2183" s="21">
        <f>Data!J2200</f>
        <v>0</v>
      </c>
      <c r="Q2183">
        <f>Data!K2200</f>
        <v>0</v>
      </c>
      <c r="R2183">
        <f>Data!L2200</f>
        <v>0</v>
      </c>
      <c r="S2183">
        <f>Data!M2200</f>
        <v>0</v>
      </c>
      <c r="T2183">
        <f>Data!N2200</f>
        <v>0</v>
      </c>
      <c r="U2183">
        <f>Data!O2200</f>
        <v>0</v>
      </c>
      <c r="V2183" s="33">
        <f>Data!P2198</f>
        <v>0</v>
      </c>
    </row>
    <row r="2184" spans="7:22" x14ac:dyDescent="0.25">
      <c r="G2184">
        <f>Data!A2197</f>
        <v>0</v>
      </c>
      <c r="H2184" s="21">
        <f>Data!B2197</f>
        <v>0</v>
      </c>
      <c r="I2184" s="21">
        <f>Data!C2197</f>
        <v>0</v>
      </c>
      <c r="J2184">
        <f>Data!D2197</f>
        <v>0</v>
      </c>
      <c r="K2184">
        <f>Data!E2197</f>
        <v>0</v>
      </c>
      <c r="L2184">
        <f>Data!F2197</f>
        <v>0</v>
      </c>
      <c r="M2184">
        <f>Data!G2197</f>
        <v>0</v>
      </c>
      <c r="N2184">
        <f>Data!H2197</f>
        <v>0</v>
      </c>
      <c r="O2184">
        <f>Data!I2197</f>
        <v>0</v>
      </c>
      <c r="P2184" s="21">
        <f>Data!J2201</f>
        <v>0</v>
      </c>
      <c r="Q2184">
        <f>Data!K2201</f>
        <v>0</v>
      </c>
      <c r="R2184">
        <f>Data!L2201</f>
        <v>0</v>
      </c>
      <c r="S2184">
        <f>Data!M2201</f>
        <v>0</v>
      </c>
      <c r="T2184">
        <f>Data!N2201</f>
        <v>0</v>
      </c>
      <c r="U2184">
        <f>Data!O2201</f>
        <v>0</v>
      </c>
      <c r="V2184" s="33">
        <f>Data!P2199</f>
        <v>0</v>
      </c>
    </row>
    <row r="2185" spans="7:22" x14ac:dyDescent="0.25">
      <c r="G2185">
        <f>Data!A2198</f>
        <v>0</v>
      </c>
      <c r="H2185" s="21">
        <f>Data!B2198</f>
        <v>0</v>
      </c>
      <c r="I2185" s="21">
        <f>Data!C2198</f>
        <v>0</v>
      </c>
      <c r="J2185">
        <f>Data!D2198</f>
        <v>0</v>
      </c>
      <c r="K2185">
        <f>Data!E2198</f>
        <v>0</v>
      </c>
      <c r="L2185">
        <f>Data!F2198</f>
        <v>0</v>
      </c>
      <c r="M2185">
        <f>Data!G2198</f>
        <v>0</v>
      </c>
      <c r="N2185">
        <f>Data!H2198</f>
        <v>0</v>
      </c>
      <c r="O2185">
        <f>Data!I2198</f>
        <v>0</v>
      </c>
      <c r="P2185" s="21">
        <f>Data!J2202</f>
        <v>0</v>
      </c>
      <c r="Q2185">
        <f>Data!K2202</f>
        <v>0</v>
      </c>
      <c r="R2185">
        <f>Data!L2202</f>
        <v>0</v>
      </c>
      <c r="S2185">
        <f>Data!M2202</f>
        <v>0</v>
      </c>
      <c r="T2185">
        <f>Data!N2202</f>
        <v>0</v>
      </c>
      <c r="U2185">
        <f>Data!O2202</f>
        <v>0</v>
      </c>
      <c r="V2185" s="33">
        <f>Data!P2200</f>
        <v>0</v>
      </c>
    </row>
    <row r="2186" spans="7:22" x14ac:dyDescent="0.25">
      <c r="G2186">
        <f>Data!A2199</f>
        <v>0</v>
      </c>
      <c r="H2186" s="21">
        <f>Data!B2199</f>
        <v>0</v>
      </c>
      <c r="I2186" s="21">
        <f>Data!C2199</f>
        <v>0</v>
      </c>
      <c r="J2186">
        <f>Data!D2199</f>
        <v>0</v>
      </c>
      <c r="K2186">
        <f>Data!E2199</f>
        <v>0</v>
      </c>
      <c r="L2186">
        <f>Data!F2199</f>
        <v>0</v>
      </c>
      <c r="M2186">
        <f>Data!G2199</f>
        <v>0</v>
      </c>
      <c r="N2186">
        <f>Data!H2199</f>
        <v>0</v>
      </c>
      <c r="O2186">
        <f>Data!I2199</f>
        <v>0</v>
      </c>
      <c r="P2186" s="21">
        <f>Data!J2203</f>
        <v>0</v>
      </c>
      <c r="Q2186">
        <f>Data!K2203</f>
        <v>0</v>
      </c>
      <c r="R2186">
        <f>Data!L2203</f>
        <v>0</v>
      </c>
      <c r="S2186">
        <f>Data!M2203</f>
        <v>0</v>
      </c>
      <c r="T2186">
        <f>Data!N2203</f>
        <v>0</v>
      </c>
      <c r="U2186">
        <f>Data!O2203</f>
        <v>0</v>
      </c>
      <c r="V2186" s="33">
        <f>Data!P2201</f>
        <v>0</v>
      </c>
    </row>
    <row r="2187" spans="7:22" x14ac:dyDescent="0.25">
      <c r="G2187">
        <f>Data!A2200</f>
        <v>0</v>
      </c>
      <c r="H2187" s="21">
        <f>Data!B2200</f>
        <v>0</v>
      </c>
      <c r="I2187" s="21">
        <f>Data!C2200</f>
        <v>0</v>
      </c>
      <c r="J2187">
        <f>Data!D2200</f>
        <v>0</v>
      </c>
      <c r="K2187">
        <f>Data!E2200</f>
        <v>0</v>
      </c>
      <c r="L2187">
        <f>Data!F2200</f>
        <v>0</v>
      </c>
      <c r="M2187">
        <f>Data!G2200</f>
        <v>0</v>
      </c>
      <c r="N2187">
        <f>Data!H2200</f>
        <v>0</v>
      </c>
      <c r="O2187">
        <f>Data!I2200</f>
        <v>0</v>
      </c>
      <c r="P2187" s="21">
        <f>Data!J2204</f>
        <v>0</v>
      </c>
      <c r="Q2187">
        <f>Data!K2204</f>
        <v>0</v>
      </c>
      <c r="R2187">
        <f>Data!L2204</f>
        <v>0</v>
      </c>
      <c r="S2187">
        <f>Data!M2204</f>
        <v>0</v>
      </c>
      <c r="T2187">
        <f>Data!N2204</f>
        <v>0</v>
      </c>
      <c r="U2187">
        <f>Data!O2204</f>
        <v>0</v>
      </c>
      <c r="V2187" s="33">
        <f>Data!P2202</f>
        <v>0</v>
      </c>
    </row>
    <row r="2188" spans="7:22" x14ac:dyDescent="0.25">
      <c r="G2188">
        <f>Data!A2201</f>
        <v>0</v>
      </c>
      <c r="H2188" s="21">
        <f>Data!B2201</f>
        <v>0</v>
      </c>
      <c r="I2188" s="21">
        <f>Data!C2201</f>
        <v>0</v>
      </c>
      <c r="J2188">
        <f>Data!D2201</f>
        <v>0</v>
      </c>
      <c r="K2188">
        <f>Data!E2201</f>
        <v>0</v>
      </c>
      <c r="L2188">
        <f>Data!F2201</f>
        <v>0</v>
      </c>
      <c r="M2188">
        <f>Data!G2201</f>
        <v>0</v>
      </c>
      <c r="N2188">
        <f>Data!H2201</f>
        <v>0</v>
      </c>
      <c r="O2188">
        <f>Data!I2201</f>
        <v>0</v>
      </c>
      <c r="P2188" s="21">
        <f>Data!J2205</f>
        <v>0</v>
      </c>
      <c r="Q2188">
        <f>Data!K2205</f>
        <v>0</v>
      </c>
      <c r="R2188">
        <f>Data!L2205</f>
        <v>0</v>
      </c>
      <c r="S2188">
        <f>Data!M2205</f>
        <v>0</v>
      </c>
      <c r="T2188">
        <f>Data!N2205</f>
        <v>0</v>
      </c>
      <c r="U2188">
        <f>Data!O2205</f>
        <v>0</v>
      </c>
      <c r="V2188" s="33">
        <f>Data!P2203</f>
        <v>0</v>
      </c>
    </row>
    <row r="2189" spans="7:22" x14ac:dyDescent="0.25">
      <c r="G2189">
        <f>Data!A2202</f>
        <v>0</v>
      </c>
      <c r="H2189" s="21">
        <f>Data!B2202</f>
        <v>0</v>
      </c>
      <c r="I2189" s="21">
        <f>Data!C2202</f>
        <v>0</v>
      </c>
      <c r="J2189">
        <f>Data!D2202</f>
        <v>0</v>
      </c>
      <c r="K2189">
        <f>Data!E2202</f>
        <v>0</v>
      </c>
      <c r="L2189">
        <f>Data!F2202</f>
        <v>0</v>
      </c>
      <c r="M2189">
        <f>Data!G2202</f>
        <v>0</v>
      </c>
      <c r="N2189">
        <f>Data!H2202</f>
        <v>0</v>
      </c>
      <c r="O2189">
        <f>Data!I2202</f>
        <v>0</v>
      </c>
      <c r="P2189" s="21">
        <f>Data!J2206</f>
        <v>0</v>
      </c>
      <c r="Q2189">
        <f>Data!K2206</f>
        <v>0</v>
      </c>
      <c r="R2189">
        <f>Data!L2206</f>
        <v>0</v>
      </c>
      <c r="S2189">
        <f>Data!M2206</f>
        <v>0</v>
      </c>
      <c r="T2189">
        <f>Data!N2206</f>
        <v>0</v>
      </c>
      <c r="U2189">
        <f>Data!O2206</f>
        <v>0</v>
      </c>
      <c r="V2189" s="33">
        <f>Data!P2204</f>
        <v>0</v>
      </c>
    </row>
    <row r="2190" spans="7:22" x14ac:dyDescent="0.25">
      <c r="G2190">
        <f>Data!A2203</f>
        <v>0</v>
      </c>
      <c r="H2190" s="21">
        <f>Data!B2203</f>
        <v>0</v>
      </c>
      <c r="I2190" s="21">
        <f>Data!C2203</f>
        <v>0</v>
      </c>
      <c r="J2190">
        <f>Data!D2203</f>
        <v>0</v>
      </c>
      <c r="K2190">
        <f>Data!E2203</f>
        <v>0</v>
      </c>
      <c r="L2190">
        <f>Data!F2203</f>
        <v>0</v>
      </c>
      <c r="M2190">
        <f>Data!G2203</f>
        <v>0</v>
      </c>
      <c r="N2190">
        <f>Data!H2203</f>
        <v>0</v>
      </c>
      <c r="O2190">
        <f>Data!I2203</f>
        <v>0</v>
      </c>
      <c r="P2190" s="21">
        <f>Data!J2207</f>
        <v>0</v>
      </c>
      <c r="Q2190">
        <f>Data!K2207</f>
        <v>0</v>
      </c>
      <c r="R2190">
        <f>Data!L2207</f>
        <v>0</v>
      </c>
      <c r="S2190">
        <f>Data!M2207</f>
        <v>0</v>
      </c>
      <c r="T2190">
        <f>Data!N2207</f>
        <v>0</v>
      </c>
      <c r="U2190">
        <f>Data!O2207</f>
        <v>0</v>
      </c>
      <c r="V2190" s="33">
        <f>Data!P2205</f>
        <v>0</v>
      </c>
    </row>
    <row r="2191" spans="7:22" x14ac:dyDescent="0.25">
      <c r="G2191">
        <f>Data!A2204</f>
        <v>0</v>
      </c>
      <c r="H2191" s="21">
        <f>Data!B2204</f>
        <v>0</v>
      </c>
      <c r="I2191" s="21">
        <f>Data!C2204</f>
        <v>0</v>
      </c>
      <c r="J2191">
        <f>Data!D2204</f>
        <v>0</v>
      </c>
      <c r="K2191">
        <f>Data!E2204</f>
        <v>0</v>
      </c>
      <c r="L2191">
        <f>Data!F2204</f>
        <v>0</v>
      </c>
      <c r="M2191">
        <f>Data!G2204</f>
        <v>0</v>
      </c>
      <c r="N2191">
        <f>Data!H2204</f>
        <v>0</v>
      </c>
      <c r="O2191">
        <f>Data!I2204</f>
        <v>0</v>
      </c>
      <c r="P2191" s="21">
        <f>Data!J2208</f>
        <v>0</v>
      </c>
      <c r="Q2191">
        <f>Data!K2208</f>
        <v>0</v>
      </c>
      <c r="R2191">
        <f>Data!L2208</f>
        <v>0</v>
      </c>
      <c r="S2191">
        <f>Data!M2208</f>
        <v>0</v>
      </c>
      <c r="T2191">
        <f>Data!N2208</f>
        <v>0</v>
      </c>
      <c r="U2191">
        <f>Data!O2208</f>
        <v>0</v>
      </c>
      <c r="V2191" s="33">
        <f>Data!P2206</f>
        <v>0</v>
      </c>
    </row>
    <row r="2192" spans="7:22" x14ac:dyDescent="0.25">
      <c r="G2192">
        <f>Data!A2205</f>
        <v>0</v>
      </c>
      <c r="H2192" s="21">
        <f>Data!B2205</f>
        <v>0</v>
      </c>
      <c r="I2192" s="21">
        <f>Data!C2205</f>
        <v>0</v>
      </c>
      <c r="J2192">
        <f>Data!D2205</f>
        <v>0</v>
      </c>
      <c r="K2192">
        <f>Data!E2205</f>
        <v>0</v>
      </c>
      <c r="L2192">
        <f>Data!F2205</f>
        <v>0</v>
      </c>
      <c r="M2192">
        <f>Data!G2205</f>
        <v>0</v>
      </c>
      <c r="N2192">
        <f>Data!H2205</f>
        <v>0</v>
      </c>
      <c r="O2192">
        <f>Data!I2205</f>
        <v>0</v>
      </c>
      <c r="P2192" s="21">
        <f>Data!J2209</f>
        <v>0</v>
      </c>
      <c r="Q2192">
        <f>Data!K2209</f>
        <v>0</v>
      </c>
      <c r="R2192">
        <f>Data!L2209</f>
        <v>0</v>
      </c>
      <c r="S2192">
        <f>Data!M2209</f>
        <v>0</v>
      </c>
      <c r="T2192">
        <f>Data!N2209</f>
        <v>0</v>
      </c>
      <c r="U2192">
        <f>Data!O2209</f>
        <v>0</v>
      </c>
      <c r="V2192" s="33">
        <f>Data!P2207</f>
        <v>0</v>
      </c>
    </row>
    <row r="2193" spans="7:22" x14ac:dyDescent="0.25">
      <c r="G2193">
        <f>Data!A2206</f>
        <v>0</v>
      </c>
      <c r="H2193" s="21">
        <f>Data!B2206</f>
        <v>0</v>
      </c>
      <c r="I2193" s="21">
        <f>Data!C2206</f>
        <v>0</v>
      </c>
      <c r="J2193">
        <f>Data!D2206</f>
        <v>0</v>
      </c>
      <c r="K2193">
        <f>Data!E2206</f>
        <v>0</v>
      </c>
      <c r="L2193">
        <f>Data!F2206</f>
        <v>0</v>
      </c>
      <c r="M2193">
        <f>Data!G2206</f>
        <v>0</v>
      </c>
      <c r="N2193">
        <f>Data!H2206</f>
        <v>0</v>
      </c>
      <c r="O2193">
        <f>Data!I2206</f>
        <v>0</v>
      </c>
      <c r="P2193" s="21">
        <f>Data!J2210</f>
        <v>0</v>
      </c>
      <c r="Q2193">
        <f>Data!K2210</f>
        <v>0</v>
      </c>
      <c r="R2193">
        <f>Data!L2210</f>
        <v>0</v>
      </c>
      <c r="S2193">
        <f>Data!M2210</f>
        <v>0</v>
      </c>
      <c r="T2193">
        <f>Data!N2210</f>
        <v>0</v>
      </c>
      <c r="U2193">
        <f>Data!O2210</f>
        <v>0</v>
      </c>
      <c r="V2193" s="33">
        <f>Data!P2208</f>
        <v>0</v>
      </c>
    </row>
    <row r="2194" spans="7:22" x14ac:dyDescent="0.25">
      <c r="G2194">
        <f>Data!A2207</f>
        <v>0</v>
      </c>
      <c r="H2194" s="21">
        <f>Data!B2207</f>
        <v>0</v>
      </c>
      <c r="I2194" s="21">
        <f>Data!C2207</f>
        <v>0</v>
      </c>
      <c r="J2194">
        <f>Data!D2207</f>
        <v>0</v>
      </c>
      <c r="K2194">
        <f>Data!E2207</f>
        <v>0</v>
      </c>
      <c r="L2194">
        <f>Data!F2207</f>
        <v>0</v>
      </c>
      <c r="M2194">
        <f>Data!G2207</f>
        <v>0</v>
      </c>
      <c r="N2194">
        <f>Data!H2207</f>
        <v>0</v>
      </c>
      <c r="O2194">
        <f>Data!I2207</f>
        <v>0</v>
      </c>
      <c r="P2194" s="21">
        <f>Data!J2211</f>
        <v>0</v>
      </c>
      <c r="Q2194">
        <f>Data!K2211</f>
        <v>0</v>
      </c>
      <c r="R2194">
        <f>Data!L2211</f>
        <v>0</v>
      </c>
      <c r="S2194">
        <f>Data!M2211</f>
        <v>0</v>
      </c>
      <c r="T2194">
        <f>Data!N2211</f>
        <v>0</v>
      </c>
      <c r="U2194">
        <f>Data!O2211</f>
        <v>0</v>
      </c>
      <c r="V2194" s="33">
        <f>Data!P2209</f>
        <v>0</v>
      </c>
    </row>
    <row r="2195" spans="7:22" x14ac:dyDescent="0.25">
      <c r="G2195">
        <f>Data!A2208</f>
        <v>0</v>
      </c>
      <c r="H2195" s="21">
        <f>Data!B2208</f>
        <v>0</v>
      </c>
      <c r="I2195" s="21">
        <f>Data!C2208</f>
        <v>0</v>
      </c>
      <c r="J2195">
        <f>Data!D2208</f>
        <v>0</v>
      </c>
      <c r="K2195">
        <f>Data!E2208</f>
        <v>0</v>
      </c>
      <c r="L2195">
        <f>Data!F2208</f>
        <v>0</v>
      </c>
      <c r="M2195">
        <f>Data!G2208</f>
        <v>0</v>
      </c>
      <c r="N2195">
        <f>Data!H2208</f>
        <v>0</v>
      </c>
      <c r="O2195">
        <f>Data!I2208</f>
        <v>0</v>
      </c>
      <c r="P2195" s="21">
        <f>Data!J2212</f>
        <v>0</v>
      </c>
      <c r="Q2195">
        <f>Data!K2212</f>
        <v>0</v>
      </c>
      <c r="R2195">
        <f>Data!L2212</f>
        <v>0</v>
      </c>
      <c r="S2195">
        <f>Data!M2212</f>
        <v>0</v>
      </c>
      <c r="T2195">
        <f>Data!N2212</f>
        <v>0</v>
      </c>
      <c r="U2195">
        <f>Data!O2212</f>
        <v>0</v>
      </c>
      <c r="V2195" s="33">
        <f>Data!P2210</f>
        <v>0</v>
      </c>
    </row>
    <row r="2196" spans="7:22" x14ac:dyDescent="0.25">
      <c r="G2196">
        <f>Data!A2209</f>
        <v>0</v>
      </c>
      <c r="H2196" s="21">
        <f>Data!B2209</f>
        <v>0</v>
      </c>
      <c r="I2196" s="21">
        <f>Data!C2209</f>
        <v>0</v>
      </c>
      <c r="J2196">
        <f>Data!D2209</f>
        <v>0</v>
      </c>
      <c r="K2196">
        <f>Data!E2209</f>
        <v>0</v>
      </c>
      <c r="L2196">
        <f>Data!F2209</f>
        <v>0</v>
      </c>
      <c r="M2196">
        <f>Data!G2209</f>
        <v>0</v>
      </c>
      <c r="N2196">
        <f>Data!H2209</f>
        <v>0</v>
      </c>
      <c r="O2196">
        <f>Data!I2209</f>
        <v>0</v>
      </c>
      <c r="P2196" s="21">
        <f>Data!J2213</f>
        <v>0</v>
      </c>
      <c r="Q2196">
        <f>Data!K2213</f>
        <v>0</v>
      </c>
      <c r="R2196">
        <f>Data!L2213</f>
        <v>0</v>
      </c>
      <c r="S2196">
        <f>Data!M2213</f>
        <v>0</v>
      </c>
      <c r="T2196">
        <f>Data!N2213</f>
        <v>0</v>
      </c>
      <c r="U2196">
        <f>Data!O2213</f>
        <v>0</v>
      </c>
      <c r="V2196" s="33">
        <f>Data!P2211</f>
        <v>0</v>
      </c>
    </row>
    <row r="2197" spans="7:22" x14ac:dyDescent="0.25">
      <c r="G2197">
        <f>Data!A2210</f>
        <v>0</v>
      </c>
      <c r="H2197" s="21">
        <f>Data!B2210</f>
        <v>0</v>
      </c>
      <c r="I2197" s="21">
        <f>Data!C2210</f>
        <v>0</v>
      </c>
      <c r="J2197">
        <f>Data!D2210</f>
        <v>0</v>
      </c>
      <c r="K2197">
        <f>Data!E2210</f>
        <v>0</v>
      </c>
      <c r="L2197">
        <f>Data!F2210</f>
        <v>0</v>
      </c>
      <c r="M2197">
        <f>Data!G2210</f>
        <v>0</v>
      </c>
      <c r="N2197">
        <f>Data!H2210</f>
        <v>0</v>
      </c>
      <c r="O2197">
        <f>Data!I2210</f>
        <v>0</v>
      </c>
      <c r="P2197" s="21">
        <f>Data!J2214</f>
        <v>0</v>
      </c>
      <c r="Q2197">
        <f>Data!K2214</f>
        <v>0</v>
      </c>
      <c r="R2197">
        <f>Data!L2214</f>
        <v>0</v>
      </c>
      <c r="S2197">
        <f>Data!M2214</f>
        <v>0</v>
      </c>
      <c r="T2197">
        <f>Data!N2214</f>
        <v>0</v>
      </c>
      <c r="U2197">
        <f>Data!O2214</f>
        <v>0</v>
      </c>
      <c r="V2197" s="33">
        <f>Data!P2212</f>
        <v>0</v>
      </c>
    </row>
    <row r="2198" spans="7:22" x14ac:dyDescent="0.25">
      <c r="G2198">
        <f>Data!A2211</f>
        <v>0</v>
      </c>
      <c r="H2198" s="21">
        <f>Data!B2211</f>
        <v>0</v>
      </c>
      <c r="I2198" s="21">
        <f>Data!C2211</f>
        <v>0</v>
      </c>
      <c r="J2198">
        <f>Data!D2211</f>
        <v>0</v>
      </c>
      <c r="K2198">
        <f>Data!E2211</f>
        <v>0</v>
      </c>
      <c r="L2198">
        <f>Data!F2211</f>
        <v>0</v>
      </c>
      <c r="M2198">
        <f>Data!G2211</f>
        <v>0</v>
      </c>
      <c r="N2198">
        <f>Data!H2211</f>
        <v>0</v>
      </c>
      <c r="O2198">
        <f>Data!I2211</f>
        <v>0</v>
      </c>
      <c r="P2198" s="21">
        <f>Data!J2215</f>
        <v>0</v>
      </c>
      <c r="Q2198">
        <f>Data!K2215</f>
        <v>0</v>
      </c>
      <c r="R2198">
        <f>Data!L2215</f>
        <v>0</v>
      </c>
      <c r="S2198">
        <f>Data!M2215</f>
        <v>0</v>
      </c>
      <c r="T2198">
        <f>Data!N2215</f>
        <v>0</v>
      </c>
      <c r="U2198">
        <f>Data!O2215</f>
        <v>0</v>
      </c>
      <c r="V2198" s="33">
        <f>Data!P2213</f>
        <v>0</v>
      </c>
    </row>
    <row r="2199" spans="7:22" x14ac:dyDescent="0.25">
      <c r="G2199">
        <f>Data!A2212</f>
        <v>0</v>
      </c>
      <c r="H2199" s="21">
        <f>Data!B2212</f>
        <v>0</v>
      </c>
      <c r="I2199" s="21">
        <f>Data!C2212</f>
        <v>0</v>
      </c>
      <c r="J2199">
        <f>Data!D2212</f>
        <v>0</v>
      </c>
      <c r="K2199">
        <f>Data!E2212</f>
        <v>0</v>
      </c>
      <c r="L2199">
        <f>Data!F2212</f>
        <v>0</v>
      </c>
      <c r="M2199">
        <f>Data!G2212</f>
        <v>0</v>
      </c>
      <c r="N2199">
        <f>Data!H2212</f>
        <v>0</v>
      </c>
      <c r="O2199">
        <f>Data!I2212</f>
        <v>0</v>
      </c>
      <c r="P2199" s="21">
        <f>Data!J2216</f>
        <v>0</v>
      </c>
      <c r="Q2199">
        <f>Data!K2216</f>
        <v>0</v>
      </c>
      <c r="R2199">
        <f>Data!L2216</f>
        <v>0</v>
      </c>
      <c r="S2199">
        <f>Data!M2216</f>
        <v>0</v>
      </c>
      <c r="T2199">
        <f>Data!N2216</f>
        <v>0</v>
      </c>
      <c r="U2199">
        <f>Data!O2216</f>
        <v>0</v>
      </c>
      <c r="V2199" s="33">
        <f>Data!P2214</f>
        <v>0</v>
      </c>
    </row>
    <row r="2200" spans="7:22" x14ac:dyDescent="0.25">
      <c r="G2200">
        <f>Data!A2213</f>
        <v>0</v>
      </c>
      <c r="H2200" s="21">
        <f>Data!B2213</f>
        <v>0</v>
      </c>
      <c r="I2200" s="21">
        <f>Data!C2213</f>
        <v>0</v>
      </c>
      <c r="J2200">
        <f>Data!D2213</f>
        <v>0</v>
      </c>
      <c r="K2200">
        <f>Data!E2213</f>
        <v>0</v>
      </c>
      <c r="L2200">
        <f>Data!F2213</f>
        <v>0</v>
      </c>
      <c r="M2200">
        <f>Data!G2213</f>
        <v>0</v>
      </c>
      <c r="N2200">
        <f>Data!H2213</f>
        <v>0</v>
      </c>
      <c r="O2200">
        <f>Data!I2213</f>
        <v>0</v>
      </c>
      <c r="P2200" s="21">
        <f>Data!J2217</f>
        <v>0</v>
      </c>
      <c r="Q2200">
        <f>Data!K2217</f>
        <v>0</v>
      </c>
      <c r="R2200">
        <f>Data!L2217</f>
        <v>0</v>
      </c>
      <c r="S2200">
        <f>Data!M2217</f>
        <v>0</v>
      </c>
      <c r="T2200">
        <f>Data!N2217</f>
        <v>0</v>
      </c>
      <c r="U2200">
        <f>Data!O2217</f>
        <v>0</v>
      </c>
      <c r="V2200" s="33">
        <f>Data!P2215</f>
        <v>0</v>
      </c>
    </row>
    <row r="2201" spans="7:22" x14ac:dyDescent="0.25">
      <c r="G2201">
        <f>Data!A2214</f>
        <v>0</v>
      </c>
      <c r="H2201" s="21">
        <f>Data!B2214</f>
        <v>0</v>
      </c>
      <c r="I2201" s="21">
        <f>Data!C2214</f>
        <v>0</v>
      </c>
      <c r="J2201">
        <f>Data!D2214</f>
        <v>0</v>
      </c>
      <c r="K2201">
        <f>Data!E2214</f>
        <v>0</v>
      </c>
      <c r="L2201">
        <f>Data!F2214</f>
        <v>0</v>
      </c>
      <c r="M2201">
        <f>Data!G2214</f>
        <v>0</v>
      </c>
      <c r="N2201">
        <f>Data!H2214</f>
        <v>0</v>
      </c>
      <c r="O2201">
        <f>Data!I2214</f>
        <v>0</v>
      </c>
      <c r="P2201" s="21">
        <f>Data!J2218</f>
        <v>0</v>
      </c>
      <c r="Q2201">
        <f>Data!K2218</f>
        <v>0</v>
      </c>
      <c r="R2201">
        <f>Data!L2218</f>
        <v>0</v>
      </c>
      <c r="S2201">
        <f>Data!M2218</f>
        <v>0</v>
      </c>
      <c r="T2201">
        <f>Data!N2218</f>
        <v>0</v>
      </c>
      <c r="U2201">
        <f>Data!O2218</f>
        <v>0</v>
      </c>
      <c r="V2201" s="33">
        <f>Data!P2216</f>
        <v>0</v>
      </c>
    </row>
    <row r="2202" spans="7:22" x14ac:dyDescent="0.25">
      <c r="G2202">
        <f>Data!A2215</f>
        <v>0</v>
      </c>
      <c r="H2202" s="21">
        <f>Data!B2215</f>
        <v>0</v>
      </c>
      <c r="I2202" s="21">
        <f>Data!C2215</f>
        <v>0</v>
      </c>
      <c r="J2202">
        <f>Data!D2215</f>
        <v>0</v>
      </c>
      <c r="K2202">
        <f>Data!E2215</f>
        <v>0</v>
      </c>
      <c r="L2202">
        <f>Data!F2215</f>
        <v>0</v>
      </c>
      <c r="M2202">
        <f>Data!G2215</f>
        <v>0</v>
      </c>
      <c r="N2202">
        <f>Data!H2215</f>
        <v>0</v>
      </c>
      <c r="O2202">
        <f>Data!I2215</f>
        <v>0</v>
      </c>
      <c r="P2202" s="21">
        <f>Data!J2219</f>
        <v>0</v>
      </c>
      <c r="Q2202">
        <f>Data!K2219</f>
        <v>0</v>
      </c>
      <c r="R2202">
        <f>Data!L2219</f>
        <v>0</v>
      </c>
      <c r="S2202">
        <f>Data!M2219</f>
        <v>0</v>
      </c>
      <c r="T2202">
        <f>Data!N2219</f>
        <v>0</v>
      </c>
      <c r="U2202">
        <f>Data!O2219</f>
        <v>0</v>
      </c>
      <c r="V2202" s="33">
        <f>Data!P2217</f>
        <v>0</v>
      </c>
    </row>
    <row r="2203" spans="7:22" x14ac:dyDescent="0.25">
      <c r="G2203">
        <f>Data!A2216</f>
        <v>0</v>
      </c>
      <c r="H2203" s="21">
        <f>Data!B2216</f>
        <v>0</v>
      </c>
      <c r="I2203" s="21">
        <f>Data!C2216</f>
        <v>0</v>
      </c>
      <c r="J2203">
        <f>Data!D2216</f>
        <v>0</v>
      </c>
      <c r="K2203">
        <f>Data!E2216</f>
        <v>0</v>
      </c>
      <c r="L2203">
        <f>Data!F2216</f>
        <v>0</v>
      </c>
      <c r="M2203">
        <f>Data!G2216</f>
        <v>0</v>
      </c>
      <c r="N2203">
        <f>Data!H2216</f>
        <v>0</v>
      </c>
      <c r="O2203">
        <f>Data!I2216</f>
        <v>0</v>
      </c>
      <c r="P2203" s="21">
        <f>Data!J2220</f>
        <v>0</v>
      </c>
      <c r="Q2203">
        <f>Data!K2220</f>
        <v>0</v>
      </c>
      <c r="R2203">
        <f>Data!L2220</f>
        <v>0</v>
      </c>
      <c r="S2203">
        <f>Data!M2220</f>
        <v>0</v>
      </c>
      <c r="T2203">
        <f>Data!N2220</f>
        <v>0</v>
      </c>
      <c r="U2203">
        <f>Data!O2220</f>
        <v>0</v>
      </c>
      <c r="V2203" s="33">
        <f>Data!P2218</f>
        <v>0</v>
      </c>
    </row>
    <row r="2204" spans="7:22" x14ac:dyDescent="0.25">
      <c r="G2204">
        <f>Data!A2217</f>
        <v>0</v>
      </c>
      <c r="H2204" s="21">
        <f>Data!B2217</f>
        <v>0</v>
      </c>
      <c r="I2204" s="21">
        <f>Data!C2217</f>
        <v>0</v>
      </c>
      <c r="J2204">
        <f>Data!D2217</f>
        <v>0</v>
      </c>
      <c r="K2204">
        <f>Data!E2217</f>
        <v>0</v>
      </c>
      <c r="L2204">
        <f>Data!F2217</f>
        <v>0</v>
      </c>
      <c r="M2204">
        <f>Data!G2217</f>
        <v>0</v>
      </c>
      <c r="N2204">
        <f>Data!H2217</f>
        <v>0</v>
      </c>
      <c r="O2204">
        <f>Data!I2217</f>
        <v>0</v>
      </c>
      <c r="P2204" s="21">
        <f>Data!J2221</f>
        <v>0</v>
      </c>
      <c r="Q2204">
        <f>Data!K2221</f>
        <v>0</v>
      </c>
      <c r="R2204">
        <f>Data!L2221</f>
        <v>0</v>
      </c>
      <c r="S2204">
        <f>Data!M2221</f>
        <v>0</v>
      </c>
      <c r="T2204">
        <f>Data!N2221</f>
        <v>0</v>
      </c>
      <c r="U2204">
        <f>Data!O2221</f>
        <v>0</v>
      </c>
      <c r="V2204" s="33">
        <f>Data!P2219</f>
        <v>0</v>
      </c>
    </row>
    <row r="2205" spans="7:22" x14ac:dyDescent="0.25">
      <c r="G2205">
        <f>Data!A2218</f>
        <v>0</v>
      </c>
      <c r="H2205" s="21">
        <f>Data!B2218</f>
        <v>0</v>
      </c>
      <c r="I2205" s="21">
        <f>Data!C2218</f>
        <v>0</v>
      </c>
      <c r="J2205">
        <f>Data!D2218</f>
        <v>0</v>
      </c>
      <c r="K2205">
        <f>Data!E2218</f>
        <v>0</v>
      </c>
      <c r="L2205">
        <f>Data!F2218</f>
        <v>0</v>
      </c>
      <c r="M2205">
        <f>Data!G2218</f>
        <v>0</v>
      </c>
      <c r="N2205">
        <f>Data!H2218</f>
        <v>0</v>
      </c>
      <c r="O2205">
        <f>Data!I2218</f>
        <v>0</v>
      </c>
      <c r="P2205" s="21">
        <f>Data!J2222</f>
        <v>0</v>
      </c>
      <c r="Q2205">
        <f>Data!K2222</f>
        <v>0</v>
      </c>
      <c r="R2205">
        <f>Data!L2222</f>
        <v>0</v>
      </c>
      <c r="S2205">
        <f>Data!M2222</f>
        <v>0</v>
      </c>
      <c r="T2205">
        <f>Data!N2222</f>
        <v>0</v>
      </c>
      <c r="U2205">
        <f>Data!O2222</f>
        <v>0</v>
      </c>
      <c r="V2205" s="33">
        <f>Data!P2220</f>
        <v>0</v>
      </c>
    </row>
    <row r="2206" spans="7:22" x14ac:dyDescent="0.25">
      <c r="G2206">
        <f>Data!A2219</f>
        <v>0</v>
      </c>
      <c r="H2206" s="21">
        <f>Data!B2219</f>
        <v>0</v>
      </c>
      <c r="I2206" s="21">
        <f>Data!C2219</f>
        <v>0</v>
      </c>
      <c r="J2206">
        <f>Data!D2219</f>
        <v>0</v>
      </c>
      <c r="K2206">
        <f>Data!E2219</f>
        <v>0</v>
      </c>
      <c r="L2206">
        <f>Data!F2219</f>
        <v>0</v>
      </c>
      <c r="M2206">
        <f>Data!G2219</f>
        <v>0</v>
      </c>
      <c r="N2206">
        <f>Data!H2219</f>
        <v>0</v>
      </c>
      <c r="O2206">
        <f>Data!I2219</f>
        <v>0</v>
      </c>
      <c r="P2206" s="21">
        <f>Data!J2223</f>
        <v>0</v>
      </c>
      <c r="Q2206">
        <f>Data!K2223</f>
        <v>0</v>
      </c>
      <c r="R2206">
        <f>Data!L2223</f>
        <v>0</v>
      </c>
      <c r="S2206">
        <f>Data!M2223</f>
        <v>0</v>
      </c>
      <c r="T2206">
        <f>Data!N2223</f>
        <v>0</v>
      </c>
      <c r="U2206">
        <f>Data!O2223</f>
        <v>0</v>
      </c>
      <c r="V2206" s="33">
        <f>Data!P2221</f>
        <v>0</v>
      </c>
    </row>
    <row r="2207" spans="7:22" x14ac:dyDescent="0.25">
      <c r="G2207">
        <f>Data!A2220</f>
        <v>0</v>
      </c>
      <c r="H2207" s="21">
        <f>Data!B2220</f>
        <v>0</v>
      </c>
      <c r="I2207" s="21">
        <f>Data!C2220</f>
        <v>0</v>
      </c>
      <c r="J2207">
        <f>Data!D2220</f>
        <v>0</v>
      </c>
      <c r="K2207">
        <f>Data!E2220</f>
        <v>0</v>
      </c>
      <c r="L2207">
        <f>Data!F2220</f>
        <v>0</v>
      </c>
      <c r="M2207">
        <f>Data!G2220</f>
        <v>0</v>
      </c>
      <c r="N2207">
        <f>Data!H2220</f>
        <v>0</v>
      </c>
      <c r="O2207">
        <f>Data!I2220</f>
        <v>0</v>
      </c>
      <c r="P2207" s="21">
        <f>Data!J2224</f>
        <v>0</v>
      </c>
      <c r="Q2207">
        <f>Data!K2224</f>
        <v>0</v>
      </c>
      <c r="R2207">
        <f>Data!L2224</f>
        <v>0</v>
      </c>
      <c r="S2207">
        <f>Data!M2224</f>
        <v>0</v>
      </c>
      <c r="T2207">
        <f>Data!N2224</f>
        <v>0</v>
      </c>
      <c r="U2207">
        <f>Data!O2224</f>
        <v>0</v>
      </c>
      <c r="V2207" s="33">
        <f>Data!P2222</f>
        <v>0</v>
      </c>
    </row>
    <row r="2208" spans="7:22" x14ac:dyDescent="0.25">
      <c r="G2208">
        <f>Data!A2221</f>
        <v>0</v>
      </c>
      <c r="H2208" s="21">
        <f>Data!B2221</f>
        <v>0</v>
      </c>
      <c r="I2208" s="21">
        <f>Data!C2221</f>
        <v>0</v>
      </c>
      <c r="J2208">
        <f>Data!D2221</f>
        <v>0</v>
      </c>
      <c r="K2208">
        <f>Data!E2221</f>
        <v>0</v>
      </c>
      <c r="L2208">
        <f>Data!F2221</f>
        <v>0</v>
      </c>
      <c r="M2208">
        <f>Data!G2221</f>
        <v>0</v>
      </c>
      <c r="N2208">
        <f>Data!H2221</f>
        <v>0</v>
      </c>
      <c r="O2208">
        <f>Data!I2221</f>
        <v>0</v>
      </c>
      <c r="P2208" s="21">
        <f>Data!J2225</f>
        <v>0</v>
      </c>
      <c r="Q2208">
        <f>Data!K2225</f>
        <v>0</v>
      </c>
      <c r="R2208">
        <f>Data!L2225</f>
        <v>0</v>
      </c>
      <c r="S2208">
        <f>Data!M2225</f>
        <v>0</v>
      </c>
      <c r="T2208">
        <f>Data!N2225</f>
        <v>0</v>
      </c>
      <c r="U2208">
        <f>Data!O2225</f>
        <v>0</v>
      </c>
      <c r="V2208" s="33">
        <f>Data!P2223</f>
        <v>0</v>
      </c>
    </row>
    <row r="2209" spans="7:22" x14ac:dyDescent="0.25">
      <c r="G2209">
        <f>Data!A2222</f>
        <v>0</v>
      </c>
      <c r="H2209" s="21">
        <f>Data!B2222</f>
        <v>0</v>
      </c>
      <c r="I2209" s="21">
        <f>Data!C2222</f>
        <v>0</v>
      </c>
      <c r="J2209">
        <f>Data!D2222</f>
        <v>0</v>
      </c>
      <c r="K2209">
        <f>Data!E2222</f>
        <v>0</v>
      </c>
      <c r="L2209">
        <f>Data!F2222</f>
        <v>0</v>
      </c>
      <c r="M2209">
        <f>Data!G2222</f>
        <v>0</v>
      </c>
      <c r="N2209">
        <f>Data!H2222</f>
        <v>0</v>
      </c>
      <c r="O2209">
        <f>Data!I2222</f>
        <v>0</v>
      </c>
      <c r="P2209" s="21">
        <f>Data!J2226</f>
        <v>0</v>
      </c>
      <c r="Q2209">
        <f>Data!K2226</f>
        <v>0</v>
      </c>
      <c r="R2209">
        <f>Data!L2226</f>
        <v>0</v>
      </c>
      <c r="S2209">
        <f>Data!M2226</f>
        <v>0</v>
      </c>
      <c r="T2209">
        <f>Data!N2226</f>
        <v>0</v>
      </c>
      <c r="U2209">
        <f>Data!O2226</f>
        <v>0</v>
      </c>
      <c r="V2209" s="33">
        <f>Data!P2224</f>
        <v>0</v>
      </c>
    </row>
    <row r="2210" spans="7:22" x14ac:dyDescent="0.25">
      <c r="G2210">
        <f>Data!A2223</f>
        <v>0</v>
      </c>
      <c r="H2210" s="21">
        <f>Data!B2223</f>
        <v>0</v>
      </c>
      <c r="I2210" s="21">
        <f>Data!C2223</f>
        <v>0</v>
      </c>
      <c r="J2210">
        <f>Data!D2223</f>
        <v>0</v>
      </c>
      <c r="K2210">
        <f>Data!E2223</f>
        <v>0</v>
      </c>
      <c r="L2210">
        <f>Data!F2223</f>
        <v>0</v>
      </c>
      <c r="M2210">
        <f>Data!G2223</f>
        <v>0</v>
      </c>
      <c r="N2210">
        <f>Data!H2223</f>
        <v>0</v>
      </c>
      <c r="O2210">
        <f>Data!I2223</f>
        <v>0</v>
      </c>
      <c r="P2210" s="21">
        <f>Data!J2227</f>
        <v>0</v>
      </c>
      <c r="Q2210">
        <f>Data!K2227</f>
        <v>0</v>
      </c>
      <c r="R2210">
        <f>Data!L2227</f>
        <v>0</v>
      </c>
      <c r="S2210">
        <f>Data!M2227</f>
        <v>0</v>
      </c>
      <c r="T2210">
        <f>Data!N2227</f>
        <v>0</v>
      </c>
      <c r="U2210">
        <f>Data!O2227</f>
        <v>0</v>
      </c>
      <c r="V2210" s="33">
        <f>Data!P2225</f>
        <v>0</v>
      </c>
    </row>
    <row r="2211" spans="7:22" x14ac:dyDescent="0.25">
      <c r="G2211">
        <f>Data!A2224</f>
        <v>0</v>
      </c>
      <c r="H2211" s="21">
        <f>Data!B2224</f>
        <v>0</v>
      </c>
      <c r="I2211" s="21">
        <f>Data!C2224</f>
        <v>0</v>
      </c>
      <c r="J2211">
        <f>Data!D2224</f>
        <v>0</v>
      </c>
      <c r="K2211">
        <f>Data!E2224</f>
        <v>0</v>
      </c>
      <c r="L2211">
        <f>Data!F2224</f>
        <v>0</v>
      </c>
      <c r="M2211">
        <f>Data!G2224</f>
        <v>0</v>
      </c>
      <c r="N2211">
        <f>Data!H2224</f>
        <v>0</v>
      </c>
      <c r="O2211">
        <f>Data!I2224</f>
        <v>0</v>
      </c>
      <c r="P2211" s="21">
        <f>Data!J2228</f>
        <v>0</v>
      </c>
      <c r="Q2211">
        <f>Data!K2228</f>
        <v>0</v>
      </c>
      <c r="R2211">
        <f>Data!L2228</f>
        <v>0</v>
      </c>
      <c r="S2211">
        <f>Data!M2228</f>
        <v>0</v>
      </c>
      <c r="T2211">
        <f>Data!N2228</f>
        <v>0</v>
      </c>
      <c r="U2211">
        <f>Data!O2228</f>
        <v>0</v>
      </c>
      <c r="V2211" s="33">
        <f>Data!P2226</f>
        <v>0</v>
      </c>
    </row>
    <row r="2212" spans="7:22" x14ac:dyDescent="0.25">
      <c r="G2212">
        <f>Data!A2225</f>
        <v>0</v>
      </c>
      <c r="H2212" s="21">
        <f>Data!B2225</f>
        <v>0</v>
      </c>
      <c r="I2212" s="21">
        <f>Data!C2225</f>
        <v>0</v>
      </c>
      <c r="J2212">
        <f>Data!D2225</f>
        <v>0</v>
      </c>
      <c r="K2212">
        <f>Data!E2225</f>
        <v>0</v>
      </c>
      <c r="L2212">
        <f>Data!F2225</f>
        <v>0</v>
      </c>
      <c r="M2212">
        <f>Data!G2225</f>
        <v>0</v>
      </c>
      <c r="N2212">
        <f>Data!H2225</f>
        <v>0</v>
      </c>
      <c r="O2212">
        <f>Data!I2225</f>
        <v>0</v>
      </c>
      <c r="P2212" s="21">
        <f>Data!J2229</f>
        <v>0</v>
      </c>
      <c r="Q2212">
        <f>Data!K2229</f>
        <v>0</v>
      </c>
      <c r="R2212">
        <f>Data!L2229</f>
        <v>0</v>
      </c>
      <c r="S2212">
        <f>Data!M2229</f>
        <v>0</v>
      </c>
      <c r="T2212">
        <f>Data!N2229</f>
        <v>0</v>
      </c>
      <c r="U2212">
        <f>Data!O2229</f>
        <v>0</v>
      </c>
      <c r="V2212" s="33">
        <f>Data!P2227</f>
        <v>0</v>
      </c>
    </row>
    <row r="2213" spans="7:22" x14ac:dyDescent="0.25">
      <c r="G2213">
        <f>Data!A2226</f>
        <v>0</v>
      </c>
      <c r="H2213" s="21">
        <f>Data!B2226</f>
        <v>0</v>
      </c>
      <c r="I2213" s="21">
        <f>Data!C2226</f>
        <v>0</v>
      </c>
      <c r="J2213">
        <f>Data!D2226</f>
        <v>0</v>
      </c>
      <c r="K2213">
        <f>Data!E2226</f>
        <v>0</v>
      </c>
      <c r="L2213">
        <f>Data!F2226</f>
        <v>0</v>
      </c>
      <c r="M2213">
        <f>Data!G2226</f>
        <v>0</v>
      </c>
      <c r="N2213">
        <f>Data!H2226</f>
        <v>0</v>
      </c>
      <c r="O2213">
        <f>Data!I2226</f>
        <v>0</v>
      </c>
      <c r="P2213" s="21">
        <f>Data!J2230</f>
        <v>0</v>
      </c>
      <c r="Q2213">
        <f>Data!K2230</f>
        <v>0</v>
      </c>
      <c r="R2213">
        <f>Data!L2230</f>
        <v>0</v>
      </c>
      <c r="S2213">
        <f>Data!M2230</f>
        <v>0</v>
      </c>
      <c r="T2213">
        <f>Data!N2230</f>
        <v>0</v>
      </c>
      <c r="U2213">
        <f>Data!O2230</f>
        <v>0</v>
      </c>
      <c r="V2213" s="33">
        <f>Data!P2228</f>
        <v>0</v>
      </c>
    </row>
    <row r="2214" spans="7:22" x14ac:dyDescent="0.25">
      <c r="G2214">
        <f>Data!A2227</f>
        <v>0</v>
      </c>
      <c r="H2214" s="21">
        <f>Data!B2227</f>
        <v>0</v>
      </c>
      <c r="I2214" s="21">
        <f>Data!C2227</f>
        <v>0</v>
      </c>
      <c r="J2214">
        <f>Data!D2227</f>
        <v>0</v>
      </c>
      <c r="K2214">
        <f>Data!E2227</f>
        <v>0</v>
      </c>
      <c r="L2214">
        <f>Data!F2227</f>
        <v>0</v>
      </c>
      <c r="M2214">
        <f>Data!G2227</f>
        <v>0</v>
      </c>
      <c r="N2214">
        <f>Data!H2227</f>
        <v>0</v>
      </c>
      <c r="O2214">
        <f>Data!I2227</f>
        <v>0</v>
      </c>
      <c r="P2214" s="21">
        <f>Data!J2231</f>
        <v>0</v>
      </c>
      <c r="Q2214">
        <f>Data!K2231</f>
        <v>0</v>
      </c>
      <c r="R2214">
        <f>Data!L2231</f>
        <v>0</v>
      </c>
      <c r="S2214">
        <f>Data!M2231</f>
        <v>0</v>
      </c>
      <c r="T2214">
        <f>Data!N2231</f>
        <v>0</v>
      </c>
      <c r="U2214">
        <f>Data!O2231</f>
        <v>0</v>
      </c>
      <c r="V2214" s="33">
        <f>Data!P2229</f>
        <v>0</v>
      </c>
    </row>
    <row r="2215" spans="7:22" x14ac:dyDescent="0.25">
      <c r="G2215">
        <f>Data!A2228</f>
        <v>0</v>
      </c>
      <c r="H2215" s="21">
        <f>Data!B2228</f>
        <v>0</v>
      </c>
      <c r="I2215" s="21">
        <f>Data!C2228</f>
        <v>0</v>
      </c>
      <c r="J2215">
        <f>Data!D2228</f>
        <v>0</v>
      </c>
      <c r="K2215">
        <f>Data!E2228</f>
        <v>0</v>
      </c>
      <c r="L2215">
        <f>Data!F2228</f>
        <v>0</v>
      </c>
      <c r="M2215">
        <f>Data!G2228</f>
        <v>0</v>
      </c>
      <c r="N2215">
        <f>Data!H2228</f>
        <v>0</v>
      </c>
      <c r="O2215">
        <f>Data!I2228</f>
        <v>0</v>
      </c>
      <c r="P2215" s="21">
        <f>Data!J2232</f>
        <v>0</v>
      </c>
      <c r="Q2215">
        <f>Data!K2232</f>
        <v>0</v>
      </c>
      <c r="R2215">
        <f>Data!L2232</f>
        <v>0</v>
      </c>
      <c r="S2215">
        <f>Data!M2232</f>
        <v>0</v>
      </c>
      <c r="T2215">
        <f>Data!N2232</f>
        <v>0</v>
      </c>
      <c r="U2215">
        <f>Data!O2232</f>
        <v>0</v>
      </c>
      <c r="V2215" s="33">
        <f>Data!P2230</f>
        <v>0</v>
      </c>
    </row>
    <row r="2216" spans="7:22" x14ac:dyDescent="0.25">
      <c r="G2216">
        <f>Data!A2229</f>
        <v>0</v>
      </c>
      <c r="H2216" s="21">
        <f>Data!B2229</f>
        <v>0</v>
      </c>
      <c r="I2216" s="21">
        <f>Data!C2229</f>
        <v>0</v>
      </c>
      <c r="J2216">
        <f>Data!D2229</f>
        <v>0</v>
      </c>
      <c r="K2216">
        <f>Data!E2229</f>
        <v>0</v>
      </c>
      <c r="L2216">
        <f>Data!F2229</f>
        <v>0</v>
      </c>
      <c r="M2216">
        <f>Data!G2229</f>
        <v>0</v>
      </c>
      <c r="N2216">
        <f>Data!H2229</f>
        <v>0</v>
      </c>
      <c r="O2216">
        <f>Data!I2229</f>
        <v>0</v>
      </c>
      <c r="P2216" s="21">
        <f>Data!J2233</f>
        <v>0</v>
      </c>
      <c r="Q2216">
        <f>Data!K2233</f>
        <v>0</v>
      </c>
      <c r="R2216">
        <f>Data!L2233</f>
        <v>0</v>
      </c>
      <c r="S2216">
        <f>Data!M2233</f>
        <v>0</v>
      </c>
      <c r="T2216">
        <f>Data!N2233</f>
        <v>0</v>
      </c>
      <c r="U2216">
        <f>Data!O2233</f>
        <v>0</v>
      </c>
      <c r="V2216" s="33">
        <f>Data!P2231</f>
        <v>0</v>
      </c>
    </row>
    <row r="2217" spans="7:22" x14ac:dyDescent="0.25">
      <c r="G2217">
        <f>Data!A2230</f>
        <v>0</v>
      </c>
      <c r="H2217" s="21">
        <f>Data!B2230</f>
        <v>0</v>
      </c>
      <c r="I2217" s="21">
        <f>Data!C2230</f>
        <v>0</v>
      </c>
      <c r="J2217">
        <f>Data!D2230</f>
        <v>0</v>
      </c>
      <c r="K2217">
        <f>Data!E2230</f>
        <v>0</v>
      </c>
      <c r="L2217">
        <f>Data!F2230</f>
        <v>0</v>
      </c>
      <c r="M2217">
        <f>Data!G2230</f>
        <v>0</v>
      </c>
      <c r="N2217">
        <f>Data!H2230</f>
        <v>0</v>
      </c>
      <c r="O2217">
        <f>Data!I2230</f>
        <v>0</v>
      </c>
      <c r="P2217" s="21">
        <f>Data!J2234</f>
        <v>0</v>
      </c>
      <c r="Q2217">
        <f>Data!K2234</f>
        <v>0</v>
      </c>
      <c r="R2217">
        <f>Data!L2234</f>
        <v>0</v>
      </c>
      <c r="S2217">
        <f>Data!M2234</f>
        <v>0</v>
      </c>
      <c r="T2217">
        <f>Data!N2234</f>
        <v>0</v>
      </c>
      <c r="U2217">
        <f>Data!O2234</f>
        <v>0</v>
      </c>
      <c r="V2217" s="33">
        <f>Data!P2232</f>
        <v>0</v>
      </c>
    </row>
    <row r="2218" spans="7:22" x14ac:dyDescent="0.25">
      <c r="G2218">
        <f>Data!A2231</f>
        <v>0</v>
      </c>
      <c r="H2218" s="21">
        <f>Data!B2231</f>
        <v>0</v>
      </c>
      <c r="I2218" s="21">
        <f>Data!C2231</f>
        <v>0</v>
      </c>
      <c r="J2218">
        <f>Data!D2231</f>
        <v>0</v>
      </c>
      <c r="K2218">
        <f>Data!E2231</f>
        <v>0</v>
      </c>
      <c r="L2218">
        <f>Data!F2231</f>
        <v>0</v>
      </c>
      <c r="M2218">
        <f>Data!G2231</f>
        <v>0</v>
      </c>
      <c r="N2218">
        <f>Data!H2231</f>
        <v>0</v>
      </c>
      <c r="O2218">
        <f>Data!I2231</f>
        <v>0</v>
      </c>
      <c r="P2218" s="21">
        <f>Data!J2235</f>
        <v>0</v>
      </c>
      <c r="Q2218">
        <f>Data!K2235</f>
        <v>0</v>
      </c>
      <c r="R2218">
        <f>Data!L2235</f>
        <v>0</v>
      </c>
      <c r="S2218">
        <f>Data!M2235</f>
        <v>0</v>
      </c>
      <c r="T2218">
        <f>Data!N2235</f>
        <v>0</v>
      </c>
      <c r="U2218">
        <f>Data!O2235</f>
        <v>0</v>
      </c>
      <c r="V2218" s="33">
        <f>Data!P2233</f>
        <v>0</v>
      </c>
    </row>
    <row r="2219" spans="7:22" x14ac:dyDescent="0.25">
      <c r="G2219">
        <f>Data!A2232</f>
        <v>0</v>
      </c>
      <c r="H2219" s="21">
        <f>Data!B2232</f>
        <v>0</v>
      </c>
      <c r="I2219" s="21">
        <f>Data!C2232</f>
        <v>0</v>
      </c>
      <c r="J2219">
        <f>Data!D2232</f>
        <v>0</v>
      </c>
      <c r="K2219">
        <f>Data!E2232</f>
        <v>0</v>
      </c>
      <c r="L2219">
        <f>Data!F2232</f>
        <v>0</v>
      </c>
      <c r="M2219">
        <f>Data!G2232</f>
        <v>0</v>
      </c>
      <c r="N2219">
        <f>Data!H2232</f>
        <v>0</v>
      </c>
      <c r="O2219">
        <f>Data!I2232</f>
        <v>0</v>
      </c>
      <c r="P2219" s="21">
        <f>Data!J2236</f>
        <v>0</v>
      </c>
      <c r="Q2219">
        <f>Data!K2236</f>
        <v>0</v>
      </c>
      <c r="R2219">
        <f>Data!L2236</f>
        <v>0</v>
      </c>
      <c r="S2219">
        <f>Data!M2236</f>
        <v>0</v>
      </c>
      <c r="T2219">
        <f>Data!N2236</f>
        <v>0</v>
      </c>
      <c r="U2219">
        <f>Data!O2236</f>
        <v>0</v>
      </c>
      <c r="V2219" s="33">
        <f>Data!P2234</f>
        <v>0</v>
      </c>
    </row>
    <row r="2220" spans="7:22" x14ac:dyDescent="0.25">
      <c r="G2220">
        <f>Data!A2233</f>
        <v>0</v>
      </c>
      <c r="H2220" s="21">
        <f>Data!B2233</f>
        <v>0</v>
      </c>
      <c r="I2220" s="21">
        <f>Data!C2233</f>
        <v>0</v>
      </c>
      <c r="J2220">
        <f>Data!D2233</f>
        <v>0</v>
      </c>
      <c r="K2220">
        <f>Data!E2233</f>
        <v>0</v>
      </c>
      <c r="L2220">
        <f>Data!F2233</f>
        <v>0</v>
      </c>
      <c r="M2220">
        <f>Data!G2233</f>
        <v>0</v>
      </c>
      <c r="N2220">
        <f>Data!H2233</f>
        <v>0</v>
      </c>
      <c r="O2220">
        <f>Data!I2233</f>
        <v>0</v>
      </c>
      <c r="P2220" s="21">
        <f>Data!J2237</f>
        <v>0</v>
      </c>
      <c r="Q2220">
        <f>Data!K2237</f>
        <v>0</v>
      </c>
      <c r="R2220">
        <f>Data!L2237</f>
        <v>0</v>
      </c>
      <c r="S2220">
        <f>Data!M2237</f>
        <v>0</v>
      </c>
      <c r="T2220">
        <f>Data!N2237</f>
        <v>0</v>
      </c>
      <c r="U2220">
        <f>Data!O2237</f>
        <v>0</v>
      </c>
      <c r="V2220" s="33">
        <f>Data!P2235</f>
        <v>0</v>
      </c>
    </row>
    <row r="2221" spans="7:22" x14ac:dyDescent="0.25">
      <c r="G2221">
        <f>Data!A2234</f>
        <v>0</v>
      </c>
      <c r="H2221" s="21">
        <f>Data!B2234</f>
        <v>0</v>
      </c>
      <c r="I2221" s="21">
        <f>Data!C2234</f>
        <v>0</v>
      </c>
      <c r="J2221">
        <f>Data!D2234</f>
        <v>0</v>
      </c>
      <c r="K2221">
        <f>Data!E2234</f>
        <v>0</v>
      </c>
      <c r="L2221">
        <f>Data!F2234</f>
        <v>0</v>
      </c>
      <c r="M2221">
        <f>Data!G2234</f>
        <v>0</v>
      </c>
      <c r="N2221">
        <f>Data!H2234</f>
        <v>0</v>
      </c>
      <c r="O2221">
        <f>Data!I2234</f>
        <v>0</v>
      </c>
      <c r="P2221" s="21">
        <f>Data!J2238</f>
        <v>0</v>
      </c>
      <c r="Q2221">
        <f>Data!K2238</f>
        <v>0</v>
      </c>
      <c r="R2221">
        <f>Data!L2238</f>
        <v>0</v>
      </c>
      <c r="S2221">
        <f>Data!M2238</f>
        <v>0</v>
      </c>
      <c r="T2221">
        <f>Data!N2238</f>
        <v>0</v>
      </c>
      <c r="U2221">
        <f>Data!O2238</f>
        <v>0</v>
      </c>
      <c r="V2221" s="33">
        <f>Data!P2236</f>
        <v>0</v>
      </c>
    </row>
    <row r="2222" spans="7:22" x14ac:dyDescent="0.25">
      <c r="G2222">
        <f>Data!A2235</f>
        <v>0</v>
      </c>
      <c r="H2222" s="21">
        <f>Data!B2235</f>
        <v>0</v>
      </c>
      <c r="I2222" s="21">
        <f>Data!C2235</f>
        <v>0</v>
      </c>
      <c r="J2222">
        <f>Data!D2235</f>
        <v>0</v>
      </c>
      <c r="K2222">
        <f>Data!E2235</f>
        <v>0</v>
      </c>
      <c r="L2222">
        <f>Data!F2235</f>
        <v>0</v>
      </c>
      <c r="M2222">
        <f>Data!G2235</f>
        <v>0</v>
      </c>
      <c r="N2222">
        <f>Data!H2235</f>
        <v>0</v>
      </c>
      <c r="O2222">
        <f>Data!I2235</f>
        <v>0</v>
      </c>
      <c r="P2222" s="21">
        <f>Data!J2239</f>
        <v>0</v>
      </c>
      <c r="Q2222">
        <f>Data!K2239</f>
        <v>0</v>
      </c>
      <c r="R2222">
        <f>Data!L2239</f>
        <v>0</v>
      </c>
      <c r="S2222">
        <f>Data!M2239</f>
        <v>0</v>
      </c>
      <c r="T2222">
        <f>Data!N2239</f>
        <v>0</v>
      </c>
      <c r="U2222">
        <f>Data!O2239</f>
        <v>0</v>
      </c>
      <c r="V2222" s="33">
        <f>Data!P2237</f>
        <v>0</v>
      </c>
    </row>
    <row r="2223" spans="7:22" x14ac:dyDescent="0.25">
      <c r="G2223">
        <f>Data!A2236</f>
        <v>0</v>
      </c>
      <c r="H2223" s="21">
        <f>Data!B2236</f>
        <v>0</v>
      </c>
      <c r="I2223" s="21">
        <f>Data!C2236</f>
        <v>0</v>
      </c>
      <c r="J2223">
        <f>Data!D2236</f>
        <v>0</v>
      </c>
      <c r="K2223">
        <f>Data!E2236</f>
        <v>0</v>
      </c>
      <c r="L2223">
        <f>Data!F2236</f>
        <v>0</v>
      </c>
      <c r="M2223">
        <f>Data!G2236</f>
        <v>0</v>
      </c>
      <c r="N2223">
        <f>Data!H2236</f>
        <v>0</v>
      </c>
      <c r="O2223">
        <f>Data!I2236</f>
        <v>0</v>
      </c>
      <c r="P2223" s="21">
        <f>Data!J2240</f>
        <v>0</v>
      </c>
      <c r="Q2223">
        <f>Data!K2240</f>
        <v>0</v>
      </c>
      <c r="R2223">
        <f>Data!L2240</f>
        <v>0</v>
      </c>
      <c r="S2223">
        <f>Data!M2240</f>
        <v>0</v>
      </c>
      <c r="T2223">
        <f>Data!N2240</f>
        <v>0</v>
      </c>
      <c r="U2223">
        <f>Data!O2240</f>
        <v>0</v>
      </c>
      <c r="V2223" s="33">
        <f>Data!P2238</f>
        <v>0</v>
      </c>
    </row>
    <row r="2224" spans="7:22" x14ac:dyDescent="0.25">
      <c r="G2224">
        <f>Data!A2237</f>
        <v>0</v>
      </c>
      <c r="H2224" s="21">
        <f>Data!B2237</f>
        <v>0</v>
      </c>
      <c r="I2224" s="21">
        <f>Data!C2237</f>
        <v>0</v>
      </c>
      <c r="J2224">
        <f>Data!D2237</f>
        <v>0</v>
      </c>
      <c r="K2224">
        <f>Data!E2237</f>
        <v>0</v>
      </c>
      <c r="L2224">
        <f>Data!F2237</f>
        <v>0</v>
      </c>
      <c r="M2224">
        <f>Data!G2237</f>
        <v>0</v>
      </c>
      <c r="N2224">
        <f>Data!H2237</f>
        <v>0</v>
      </c>
      <c r="O2224">
        <f>Data!I2237</f>
        <v>0</v>
      </c>
      <c r="P2224" s="21">
        <f>Data!J2241</f>
        <v>0</v>
      </c>
      <c r="Q2224">
        <f>Data!K2241</f>
        <v>0</v>
      </c>
      <c r="R2224">
        <f>Data!L2241</f>
        <v>0</v>
      </c>
      <c r="S2224">
        <f>Data!M2241</f>
        <v>0</v>
      </c>
      <c r="T2224">
        <f>Data!N2241</f>
        <v>0</v>
      </c>
      <c r="U2224">
        <f>Data!O2241</f>
        <v>0</v>
      </c>
      <c r="V2224" s="33">
        <f>Data!P2239</f>
        <v>0</v>
      </c>
    </row>
    <row r="2225" spans="7:22" x14ac:dyDescent="0.25">
      <c r="G2225">
        <f>Data!A2238</f>
        <v>0</v>
      </c>
      <c r="H2225" s="21">
        <f>Data!B2238</f>
        <v>0</v>
      </c>
      <c r="I2225" s="21">
        <f>Data!C2238</f>
        <v>0</v>
      </c>
      <c r="J2225">
        <f>Data!D2238</f>
        <v>0</v>
      </c>
      <c r="K2225">
        <f>Data!E2238</f>
        <v>0</v>
      </c>
      <c r="L2225">
        <f>Data!F2238</f>
        <v>0</v>
      </c>
      <c r="M2225">
        <f>Data!G2238</f>
        <v>0</v>
      </c>
      <c r="N2225">
        <f>Data!H2238</f>
        <v>0</v>
      </c>
      <c r="O2225">
        <f>Data!I2238</f>
        <v>0</v>
      </c>
      <c r="P2225" s="21">
        <f>Data!J2242</f>
        <v>0</v>
      </c>
      <c r="Q2225">
        <f>Data!K2242</f>
        <v>0</v>
      </c>
      <c r="R2225">
        <f>Data!L2242</f>
        <v>0</v>
      </c>
      <c r="S2225">
        <f>Data!M2242</f>
        <v>0</v>
      </c>
      <c r="T2225">
        <f>Data!N2242</f>
        <v>0</v>
      </c>
      <c r="U2225">
        <f>Data!O2242</f>
        <v>0</v>
      </c>
      <c r="V2225" s="33">
        <f>Data!P2240</f>
        <v>0</v>
      </c>
    </row>
    <row r="2226" spans="7:22" x14ac:dyDescent="0.25">
      <c r="G2226">
        <f>Data!A2239</f>
        <v>0</v>
      </c>
      <c r="H2226" s="21">
        <f>Data!B2239</f>
        <v>0</v>
      </c>
      <c r="I2226" s="21">
        <f>Data!C2239</f>
        <v>0</v>
      </c>
      <c r="J2226">
        <f>Data!D2239</f>
        <v>0</v>
      </c>
      <c r="K2226">
        <f>Data!E2239</f>
        <v>0</v>
      </c>
      <c r="L2226">
        <f>Data!F2239</f>
        <v>0</v>
      </c>
      <c r="M2226">
        <f>Data!G2239</f>
        <v>0</v>
      </c>
      <c r="N2226">
        <f>Data!H2239</f>
        <v>0</v>
      </c>
      <c r="O2226">
        <f>Data!I2239</f>
        <v>0</v>
      </c>
      <c r="P2226" s="21">
        <f>Data!J2243</f>
        <v>0</v>
      </c>
      <c r="Q2226">
        <f>Data!K2243</f>
        <v>0</v>
      </c>
      <c r="R2226">
        <f>Data!L2243</f>
        <v>0</v>
      </c>
      <c r="S2226">
        <f>Data!M2243</f>
        <v>0</v>
      </c>
      <c r="T2226">
        <f>Data!N2243</f>
        <v>0</v>
      </c>
      <c r="U2226">
        <f>Data!O2243</f>
        <v>0</v>
      </c>
      <c r="V2226" s="33">
        <f>Data!P2241</f>
        <v>0</v>
      </c>
    </row>
    <row r="2227" spans="7:22" x14ac:dyDescent="0.25">
      <c r="G2227">
        <f>Data!A2240</f>
        <v>0</v>
      </c>
      <c r="H2227" s="21">
        <f>Data!B2240</f>
        <v>0</v>
      </c>
      <c r="I2227" s="21">
        <f>Data!C2240</f>
        <v>0</v>
      </c>
      <c r="J2227">
        <f>Data!D2240</f>
        <v>0</v>
      </c>
      <c r="K2227">
        <f>Data!E2240</f>
        <v>0</v>
      </c>
      <c r="L2227">
        <f>Data!F2240</f>
        <v>0</v>
      </c>
      <c r="M2227">
        <f>Data!G2240</f>
        <v>0</v>
      </c>
      <c r="N2227">
        <f>Data!H2240</f>
        <v>0</v>
      </c>
      <c r="O2227">
        <f>Data!I2240</f>
        <v>0</v>
      </c>
      <c r="P2227" s="21">
        <f>Data!J2244</f>
        <v>0</v>
      </c>
      <c r="Q2227">
        <f>Data!K2244</f>
        <v>0</v>
      </c>
      <c r="R2227">
        <f>Data!L2244</f>
        <v>0</v>
      </c>
      <c r="S2227">
        <f>Data!M2244</f>
        <v>0</v>
      </c>
      <c r="T2227">
        <f>Data!N2244</f>
        <v>0</v>
      </c>
      <c r="U2227">
        <f>Data!O2244</f>
        <v>0</v>
      </c>
      <c r="V2227" s="33">
        <f>Data!P2242</f>
        <v>0</v>
      </c>
    </row>
    <row r="2228" spans="7:22" x14ac:dyDescent="0.25">
      <c r="G2228">
        <f>Data!A2241</f>
        <v>0</v>
      </c>
      <c r="H2228" s="21">
        <f>Data!B2241</f>
        <v>0</v>
      </c>
      <c r="I2228" s="21">
        <f>Data!C2241</f>
        <v>0</v>
      </c>
      <c r="J2228">
        <f>Data!D2241</f>
        <v>0</v>
      </c>
      <c r="K2228">
        <f>Data!E2241</f>
        <v>0</v>
      </c>
      <c r="L2228">
        <f>Data!F2241</f>
        <v>0</v>
      </c>
      <c r="M2228">
        <f>Data!G2241</f>
        <v>0</v>
      </c>
      <c r="N2228">
        <f>Data!H2241</f>
        <v>0</v>
      </c>
      <c r="O2228">
        <f>Data!I2241</f>
        <v>0</v>
      </c>
      <c r="P2228" s="21">
        <f>Data!J2245</f>
        <v>0</v>
      </c>
      <c r="Q2228">
        <f>Data!K2245</f>
        <v>0</v>
      </c>
      <c r="R2228">
        <f>Data!L2245</f>
        <v>0</v>
      </c>
      <c r="S2228">
        <f>Data!M2245</f>
        <v>0</v>
      </c>
      <c r="T2228">
        <f>Data!N2245</f>
        <v>0</v>
      </c>
      <c r="U2228">
        <f>Data!O2245</f>
        <v>0</v>
      </c>
      <c r="V2228" s="33">
        <f>Data!P2243</f>
        <v>0</v>
      </c>
    </row>
    <row r="2229" spans="7:22" x14ac:dyDescent="0.25">
      <c r="G2229">
        <f>Data!A2242</f>
        <v>0</v>
      </c>
      <c r="H2229" s="21">
        <f>Data!B2242</f>
        <v>0</v>
      </c>
      <c r="I2229" s="21">
        <f>Data!C2242</f>
        <v>0</v>
      </c>
      <c r="J2229">
        <f>Data!D2242</f>
        <v>0</v>
      </c>
      <c r="K2229">
        <f>Data!E2242</f>
        <v>0</v>
      </c>
      <c r="L2229">
        <f>Data!F2242</f>
        <v>0</v>
      </c>
      <c r="M2229">
        <f>Data!G2242</f>
        <v>0</v>
      </c>
      <c r="N2229">
        <f>Data!H2242</f>
        <v>0</v>
      </c>
      <c r="O2229">
        <f>Data!I2242</f>
        <v>0</v>
      </c>
      <c r="P2229" s="21">
        <f>Data!J2246</f>
        <v>0</v>
      </c>
      <c r="Q2229">
        <f>Data!K2246</f>
        <v>0</v>
      </c>
      <c r="R2229">
        <f>Data!L2246</f>
        <v>0</v>
      </c>
      <c r="S2229">
        <f>Data!M2246</f>
        <v>0</v>
      </c>
      <c r="T2229">
        <f>Data!N2246</f>
        <v>0</v>
      </c>
      <c r="U2229">
        <f>Data!O2246</f>
        <v>0</v>
      </c>
      <c r="V2229" s="33">
        <f>Data!P2244</f>
        <v>0</v>
      </c>
    </row>
    <row r="2230" spans="7:22" x14ac:dyDescent="0.25">
      <c r="G2230">
        <f>Data!A2243</f>
        <v>0</v>
      </c>
      <c r="H2230" s="21">
        <f>Data!B2243</f>
        <v>0</v>
      </c>
      <c r="I2230" s="21">
        <f>Data!C2243</f>
        <v>0</v>
      </c>
      <c r="J2230">
        <f>Data!D2243</f>
        <v>0</v>
      </c>
      <c r="K2230">
        <f>Data!E2243</f>
        <v>0</v>
      </c>
      <c r="L2230">
        <f>Data!F2243</f>
        <v>0</v>
      </c>
      <c r="M2230">
        <f>Data!G2243</f>
        <v>0</v>
      </c>
      <c r="N2230">
        <f>Data!H2243</f>
        <v>0</v>
      </c>
      <c r="O2230">
        <f>Data!I2243</f>
        <v>0</v>
      </c>
      <c r="P2230" s="21">
        <f>Data!J2247</f>
        <v>0</v>
      </c>
      <c r="Q2230">
        <f>Data!K2247</f>
        <v>0</v>
      </c>
      <c r="R2230">
        <f>Data!L2247</f>
        <v>0</v>
      </c>
      <c r="S2230">
        <f>Data!M2247</f>
        <v>0</v>
      </c>
      <c r="T2230">
        <f>Data!N2247</f>
        <v>0</v>
      </c>
      <c r="U2230">
        <f>Data!O2247</f>
        <v>0</v>
      </c>
      <c r="V2230" s="33">
        <f>Data!P2245</f>
        <v>0</v>
      </c>
    </row>
    <row r="2231" spans="7:22" x14ac:dyDescent="0.25">
      <c r="G2231">
        <f>Data!A2244</f>
        <v>0</v>
      </c>
      <c r="H2231" s="21">
        <f>Data!B2244</f>
        <v>0</v>
      </c>
      <c r="I2231" s="21">
        <f>Data!C2244</f>
        <v>0</v>
      </c>
      <c r="J2231">
        <f>Data!D2244</f>
        <v>0</v>
      </c>
      <c r="K2231">
        <f>Data!E2244</f>
        <v>0</v>
      </c>
      <c r="L2231">
        <f>Data!F2244</f>
        <v>0</v>
      </c>
      <c r="M2231">
        <f>Data!G2244</f>
        <v>0</v>
      </c>
      <c r="N2231">
        <f>Data!H2244</f>
        <v>0</v>
      </c>
      <c r="O2231">
        <f>Data!I2244</f>
        <v>0</v>
      </c>
      <c r="P2231" s="21">
        <f>Data!J2248</f>
        <v>0</v>
      </c>
      <c r="Q2231">
        <f>Data!K2248</f>
        <v>0</v>
      </c>
      <c r="R2231">
        <f>Data!L2248</f>
        <v>0</v>
      </c>
      <c r="S2231">
        <f>Data!M2248</f>
        <v>0</v>
      </c>
      <c r="T2231">
        <f>Data!N2248</f>
        <v>0</v>
      </c>
      <c r="U2231">
        <f>Data!O2248</f>
        <v>0</v>
      </c>
      <c r="V2231" s="33">
        <f>Data!P2246</f>
        <v>0</v>
      </c>
    </row>
    <row r="2232" spans="7:22" x14ac:dyDescent="0.25">
      <c r="G2232">
        <f>Data!A2245</f>
        <v>0</v>
      </c>
      <c r="H2232" s="21">
        <f>Data!B2245</f>
        <v>0</v>
      </c>
      <c r="I2232" s="21">
        <f>Data!C2245</f>
        <v>0</v>
      </c>
      <c r="J2232">
        <f>Data!D2245</f>
        <v>0</v>
      </c>
      <c r="K2232">
        <f>Data!E2245</f>
        <v>0</v>
      </c>
      <c r="L2232">
        <f>Data!F2245</f>
        <v>0</v>
      </c>
      <c r="M2232">
        <f>Data!G2245</f>
        <v>0</v>
      </c>
      <c r="N2232">
        <f>Data!H2245</f>
        <v>0</v>
      </c>
      <c r="O2232">
        <f>Data!I2245</f>
        <v>0</v>
      </c>
      <c r="P2232" s="21">
        <f>Data!J2249</f>
        <v>0</v>
      </c>
      <c r="Q2232">
        <f>Data!K2249</f>
        <v>0</v>
      </c>
      <c r="R2232">
        <f>Data!L2249</f>
        <v>0</v>
      </c>
      <c r="S2232">
        <f>Data!M2249</f>
        <v>0</v>
      </c>
      <c r="T2232">
        <f>Data!N2249</f>
        <v>0</v>
      </c>
      <c r="U2232">
        <f>Data!O2249</f>
        <v>0</v>
      </c>
      <c r="V2232" s="33">
        <f>Data!P2247</f>
        <v>0</v>
      </c>
    </row>
    <row r="2233" spans="7:22" x14ac:dyDescent="0.25">
      <c r="G2233">
        <f>Data!A2246</f>
        <v>0</v>
      </c>
      <c r="H2233" s="21">
        <f>Data!B2246</f>
        <v>0</v>
      </c>
      <c r="I2233" s="21">
        <f>Data!C2246</f>
        <v>0</v>
      </c>
      <c r="J2233">
        <f>Data!D2246</f>
        <v>0</v>
      </c>
      <c r="K2233">
        <f>Data!E2246</f>
        <v>0</v>
      </c>
      <c r="L2233">
        <f>Data!F2246</f>
        <v>0</v>
      </c>
      <c r="M2233">
        <f>Data!G2246</f>
        <v>0</v>
      </c>
      <c r="N2233">
        <f>Data!H2246</f>
        <v>0</v>
      </c>
      <c r="O2233">
        <f>Data!I2246</f>
        <v>0</v>
      </c>
      <c r="P2233" s="21">
        <f>Data!J2250</f>
        <v>0</v>
      </c>
      <c r="Q2233">
        <f>Data!K2250</f>
        <v>0</v>
      </c>
      <c r="R2233">
        <f>Data!L2250</f>
        <v>0</v>
      </c>
      <c r="S2233">
        <f>Data!M2250</f>
        <v>0</v>
      </c>
      <c r="T2233">
        <f>Data!N2250</f>
        <v>0</v>
      </c>
      <c r="U2233">
        <f>Data!O2250</f>
        <v>0</v>
      </c>
      <c r="V2233" s="33">
        <f>Data!P2248</f>
        <v>0</v>
      </c>
    </row>
    <row r="2234" spans="7:22" x14ac:dyDescent="0.25">
      <c r="G2234">
        <f>Data!A2247</f>
        <v>0</v>
      </c>
      <c r="H2234" s="21">
        <f>Data!B2247</f>
        <v>0</v>
      </c>
      <c r="I2234" s="21">
        <f>Data!C2247</f>
        <v>0</v>
      </c>
      <c r="J2234">
        <f>Data!D2247</f>
        <v>0</v>
      </c>
      <c r="K2234">
        <f>Data!E2247</f>
        <v>0</v>
      </c>
      <c r="L2234">
        <f>Data!F2247</f>
        <v>0</v>
      </c>
      <c r="M2234">
        <f>Data!G2247</f>
        <v>0</v>
      </c>
      <c r="N2234">
        <f>Data!H2247</f>
        <v>0</v>
      </c>
      <c r="O2234">
        <f>Data!I2247</f>
        <v>0</v>
      </c>
      <c r="P2234" s="21">
        <f>Data!J2251</f>
        <v>0</v>
      </c>
      <c r="Q2234">
        <f>Data!K2251</f>
        <v>0</v>
      </c>
      <c r="R2234">
        <f>Data!L2251</f>
        <v>0</v>
      </c>
      <c r="S2234">
        <f>Data!M2251</f>
        <v>0</v>
      </c>
      <c r="T2234">
        <f>Data!N2251</f>
        <v>0</v>
      </c>
      <c r="U2234">
        <f>Data!O2251</f>
        <v>0</v>
      </c>
      <c r="V2234" s="33">
        <f>Data!P2249</f>
        <v>0</v>
      </c>
    </row>
    <row r="2235" spans="7:22" x14ac:dyDescent="0.25">
      <c r="G2235">
        <f>Data!A2248</f>
        <v>0</v>
      </c>
      <c r="H2235" s="21">
        <f>Data!B2248</f>
        <v>0</v>
      </c>
      <c r="I2235" s="21">
        <f>Data!C2248</f>
        <v>0</v>
      </c>
      <c r="J2235">
        <f>Data!D2248</f>
        <v>0</v>
      </c>
      <c r="K2235">
        <f>Data!E2248</f>
        <v>0</v>
      </c>
      <c r="L2235">
        <f>Data!F2248</f>
        <v>0</v>
      </c>
      <c r="M2235">
        <f>Data!G2248</f>
        <v>0</v>
      </c>
      <c r="N2235">
        <f>Data!H2248</f>
        <v>0</v>
      </c>
      <c r="O2235">
        <f>Data!I2248</f>
        <v>0</v>
      </c>
      <c r="P2235" s="21">
        <f>Data!J2252</f>
        <v>0</v>
      </c>
      <c r="Q2235">
        <f>Data!K2252</f>
        <v>0</v>
      </c>
      <c r="R2235">
        <f>Data!L2252</f>
        <v>0</v>
      </c>
      <c r="S2235">
        <f>Data!M2252</f>
        <v>0</v>
      </c>
      <c r="T2235">
        <f>Data!N2252</f>
        <v>0</v>
      </c>
      <c r="U2235">
        <f>Data!O2252</f>
        <v>0</v>
      </c>
      <c r="V2235" s="33">
        <f>Data!P2250</f>
        <v>0</v>
      </c>
    </row>
    <row r="2236" spans="7:22" x14ac:dyDescent="0.25">
      <c r="G2236">
        <f>Data!A2249</f>
        <v>0</v>
      </c>
      <c r="H2236" s="21">
        <f>Data!B2249</f>
        <v>0</v>
      </c>
      <c r="I2236" s="21">
        <f>Data!C2249</f>
        <v>0</v>
      </c>
      <c r="J2236">
        <f>Data!D2249</f>
        <v>0</v>
      </c>
      <c r="K2236">
        <f>Data!E2249</f>
        <v>0</v>
      </c>
      <c r="L2236">
        <f>Data!F2249</f>
        <v>0</v>
      </c>
      <c r="M2236">
        <f>Data!G2249</f>
        <v>0</v>
      </c>
      <c r="N2236">
        <f>Data!H2249</f>
        <v>0</v>
      </c>
      <c r="O2236">
        <f>Data!I2249</f>
        <v>0</v>
      </c>
      <c r="P2236" s="21">
        <f>Data!J2253</f>
        <v>0</v>
      </c>
      <c r="Q2236">
        <f>Data!K2253</f>
        <v>0</v>
      </c>
      <c r="R2236">
        <f>Data!L2253</f>
        <v>0</v>
      </c>
      <c r="S2236">
        <f>Data!M2253</f>
        <v>0</v>
      </c>
      <c r="T2236">
        <f>Data!N2253</f>
        <v>0</v>
      </c>
      <c r="U2236">
        <f>Data!O2253</f>
        <v>0</v>
      </c>
      <c r="V2236" s="33">
        <f>Data!P2251</f>
        <v>0</v>
      </c>
    </row>
    <row r="2237" spans="7:22" x14ac:dyDescent="0.25">
      <c r="G2237">
        <f>Data!A2250</f>
        <v>0</v>
      </c>
      <c r="H2237" s="21">
        <f>Data!B2250</f>
        <v>0</v>
      </c>
      <c r="I2237" s="21">
        <f>Data!C2250</f>
        <v>0</v>
      </c>
      <c r="J2237">
        <f>Data!D2250</f>
        <v>0</v>
      </c>
      <c r="K2237">
        <f>Data!E2250</f>
        <v>0</v>
      </c>
      <c r="L2237">
        <f>Data!F2250</f>
        <v>0</v>
      </c>
      <c r="M2237">
        <f>Data!G2250</f>
        <v>0</v>
      </c>
      <c r="N2237">
        <f>Data!H2250</f>
        <v>0</v>
      </c>
      <c r="O2237">
        <f>Data!I2250</f>
        <v>0</v>
      </c>
      <c r="P2237" s="21">
        <f>Data!J2254</f>
        <v>0</v>
      </c>
      <c r="Q2237">
        <f>Data!K2254</f>
        <v>0</v>
      </c>
      <c r="R2237">
        <f>Data!L2254</f>
        <v>0</v>
      </c>
      <c r="S2237">
        <f>Data!M2254</f>
        <v>0</v>
      </c>
      <c r="T2237">
        <f>Data!N2254</f>
        <v>0</v>
      </c>
      <c r="U2237">
        <f>Data!O2254</f>
        <v>0</v>
      </c>
      <c r="V2237" s="33">
        <f>Data!P2252</f>
        <v>0</v>
      </c>
    </row>
    <row r="2238" spans="7:22" x14ac:dyDescent="0.25">
      <c r="G2238">
        <f>Data!A2251</f>
        <v>0</v>
      </c>
      <c r="H2238" s="21">
        <f>Data!B2251</f>
        <v>0</v>
      </c>
      <c r="I2238" s="21">
        <f>Data!C2251</f>
        <v>0</v>
      </c>
      <c r="J2238">
        <f>Data!D2251</f>
        <v>0</v>
      </c>
      <c r="K2238">
        <f>Data!E2251</f>
        <v>0</v>
      </c>
      <c r="L2238">
        <f>Data!F2251</f>
        <v>0</v>
      </c>
      <c r="M2238">
        <f>Data!G2251</f>
        <v>0</v>
      </c>
      <c r="N2238">
        <f>Data!H2251</f>
        <v>0</v>
      </c>
      <c r="O2238">
        <f>Data!I2251</f>
        <v>0</v>
      </c>
      <c r="P2238" s="21">
        <f>Data!J2255</f>
        <v>0</v>
      </c>
      <c r="Q2238">
        <f>Data!K2255</f>
        <v>0</v>
      </c>
      <c r="R2238">
        <f>Data!L2255</f>
        <v>0</v>
      </c>
      <c r="S2238">
        <f>Data!M2255</f>
        <v>0</v>
      </c>
      <c r="T2238">
        <f>Data!N2255</f>
        <v>0</v>
      </c>
      <c r="U2238">
        <f>Data!O2255</f>
        <v>0</v>
      </c>
      <c r="V2238" s="33">
        <f>Data!P2253</f>
        <v>0</v>
      </c>
    </row>
    <row r="2239" spans="7:22" x14ac:dyDescent="0.25">
      <c r="G2239">
        <f>Data!A2252</f>
        <v>0</v>
      </c>
      <c r="H2239" s="21">
        <f>Data!B2252</f>
        <v>0</v>
      </c>
      <c r="I2239" s="21">
        <f>Data!C2252</f>
        <v>0</v>
      </c>
      <c r="J2239">
        <f>Data!D2252</f>
        <v>0</v>
      </c>
      <c r="K2239">
        <f>Data!E2252</f>
        <v>0</v>
      </c>
      <c r="L2239">
        <f>Data!F2252</f>
        <v>0</v>
      </c>
      <c r="M2239">
        <f>Data!G2252</f>
        <v>0</v>
      </c>
      <c r="N2239">
        <f>Data!H2252</f>
        <v>0</v>
      </c>
      <c r="O2239">
        <f>Data!I2252</f>
        <v>0</v>
      </c>
      <c r="P2239" s="21">
        <f>Data!J2256</f>
        <v>0</v>
      </c>
      <c r="Q2239">
        <f>Data!K2256</f>
        <v>0</v>
      </c>
      <c r="R2239">
        <f>Data!L2256</f>
        <v>0</v>
      </c>
      <c r="S2239">
        <f>Data!M2256</f>
        <v>0</v>
      </c>
      <c r="T2239">
        <f>Data!N2256</f>
        <v>0</v>
      </c>
      <c r="U2239">
        <f>Data!O2256</f>
        <v>0</v>
      </c>
      <c r="V2239" s="33">
        <f>Data!P2254</f>
        <v>0</v>
      </c>
    </row>
    <row r="2240" spans="7:22" x14ac:dyDescent="0.25">
      <c r="G2240">
        <f>Data!A2253</f>
        <v>0</v>
      </c>
      <c r="H2240" s="21">
        <f>Data!B2253</f>
        <v>0</v>
      </c>
      <c r="I2240" s="21">
        <f>Data!C2253</f>
        <v>0</v>
      </c>
      <c r="J2240">
        <f>Data!D2253</f>
        <v>0</v>
      </c>
      <c r="K2240">
        <f>Data!E2253</f>
        <v>0</v>
      </c>
      <c r="L2240">
        <f>Data!F2253</f>
        <v>0</v>
      </c>
      <c r="M2240">
        <f>Data!G2253</f>
        <v>0</v>
      </c>
      <c r="N2240">
        <f>Data!H2253</f>
        <v>0</v>
      </c>
      <c r="O2240">
        <f>Data!I2253</f>
        <v>0</v>
      </c>
      <c r="P2240" s="21">
        <f>Data!J2257</f>
        <v>0</v>
      </c>
      <c r="Q2240">
        <f>Data!K2257</f>
        <v>0</v>
      </c>
      <c r="R2240">
        <f>Data!L2257</f>
        <v>0</v>
      </c>
      <c r="S2240">
        <f>Data!M2257</f>
        <v>0</v>
      </c>
      <c r="T2240">
        <f>Data!N2257</f>
        <v>0</v>
      </c>
      <c r="U2240">
        <f>Data!O2257</f>
        <v>0</v>
      </c>
      <c r="V2240" s="33">
        <f>Data!P2255</f>
        <v>0</v>
      </c>
    </row>
    <row r="2241" spans="7:22" x14ac:dyDescent="0.25">
      <c r="G2241">
        <f>Data!A2254</f>
        <v>0</v>
      </c>
      <c r="H2241" s="21">
        <f>Data!B2254</f>
        <v>0</v>
      </c>
      <c r="I2241" s="21">
        <f>Data!C2254</f>
        <v>0</v>
      </c>
      <c r="J2241">
        <f>Data!D2254</f>
        <v>0</v>
      </c>
      <c r="K2241">
        <f>Data!E2254</f>
        <v>0</v>
      </c>
      <c r="L2241">
        <f>Data!F2254</f>
        <v>0</v>
      </c>
      <c r="M2241">
        <f>Data!G2254</f>
        <v>0</v>
      </c>
      <c r="N2241">
        <f>Data!H2254</f>
        <v>0</v>
      </c>
      <c r="O2241">
        <f>Data!I2254</f>
        <v>0</v>
      </c>
      <c r="P2241" s="21">
        <f>Data!J2258</f>
        <v>0</v>
      </c>
      <c r="Q2241">
        <f>Data!K2258</f>
        <v>0</v>
      </c>
      <c r="R2241">
        <f>Data!L2258</f>
        <v>0</v>
      </c>
      <c r="S2241">
        <f>Data!M2258</f>
        <v>0</v>
      </c>
      <c r="T2241">
        <f>Data!N2258</f>
        <v>0</v>
      </c>
      <c r="U2241">
        <f>Data!O2258</f>
        <v>0</v>
      </c>
      <c r="V2241" s="33">
        <f>Data!P2256</f>
        <v>0</v>
      </c>
    </row>
    <row r="2242" spans="7:22" x14ac:dyDescent="0.25">
      <c r="G2242">
        <f>Data!A2255</f>
        <v>0</v>
      </c>
      <c r="H2242" s="21">
        <f>Data!B2255</f>
        <v>0</v>
      </c>
      <c r="I2242" s="21">
        <f>Data!C2255</f>
        <v>0</v>
      </c>
      <c r="J2242">
        <f>Data!D2255</f>
        <v>0</v>
      </c>
      <c r="K2242">
        <f>Data!E2255</f>
        <v>0</v>
      </c>
      <c r="L2242">
        <f>Data!F2255</f>
        <v>0</v>
      </c>
      <c r="M2242">
        <f>Data!G2255</f>
        <v>0</v>
      </c>
      <c r="N2242">
        <f>Data!H2255</f>
        <v>0</v>
      </c>
      <c r="O2242">
        <f>Data!I2255</f>
        <v>0</v>
      </c>
      <c r="P2242" s="21">
        <f>Data!J2259</f>
        <v>0</v>
      </c>
      <c r="Q2242">
        <f>Data!K2259</f>
        <v>0</v>
      </c>
      <c r="R2242">
        <f>Data!L2259</f>
        <v>0</v>
      </c>
      <c r="S2242">
        <f>Data!M2259</f>
        <v>0</v>
      </c>
      <c r="T2242">
        <f>Data!N2259</f>
        <v>0</v>
      </c>
      <c r="U2242">
        <f>Data!O2259</f>
        <v>0</v>
      </c>
      <c r="V2242" s="33">
        <f>Data!P2257</f>
        <v>0</v>
      </c>
    </row>
    <row r="2243" spans="7:22" x14ac:dyDescent="0.25">
      <c r="G2243">
        <f>Data!A2256</f>
        <v>0</v>
      </c>
      <c r="H2243" s="21">
        <f>Data!B2256</f>
        <v>0</v>
      </c>
      <c r="I2243" s="21">
        <f>Data!C2256</f>
        <v>0</v>
      </c>
      <c r="J2243">
        <f>Data!D2256</f>
        <v>0</v>
      </c>
      <c r="K2243">
        <f>Data!E2256</f>
        <v>0</v>
      </c>
      <c r="L2243">
        <f>Data!F2256</f>
        <v>0</v>
      </c>
      <c r="M2243">
        <f>Data!G2256</f>
        <v>0</v>
      </c>
      <c r="N2243">
        <f>Data!H2256</f>
        <v>0</v>
      </c>
      <c r="O2243">
        <f>Data!I2256</f>
        <v>0</v>
      </c>
      <c r="P2243" s="21">
        <f>Data!J2260</f>
        <v>0</v>
      </c>
      <c r="Q2243">
        <f>Data!K2260</f>
        <v>0</v>
      </c>
      <c r="R2243">
        <f>Data!L2260</f>
        <v>0</v>
      </c>
      <c r="S2243">
        <f>Data!M2260</f>
        <v>0</v>
      </c>
      <c r="T2243">
        <f>Data!N2260</f>
        <v>0</v>
      </c>
      <c r="U2243">
        <f>Data!O2260</f>
        <v>0</v>
      </c>
      <c r="V2243" s="33">
        <f>Data!P2258</f>
        <v>0</v>
      </c>
    </row>
    <row r="2244" spans="7:22" x14ac:dyDescent="0.25">
      <c r="G2244">
        <f>Data!A2257</f>
        <v>0</v>
      </c>
      <c r="H2244" s="21">
        <f>Data!B2257</f>
        <v>0</v>
      </c>
      <c r="I2244" s="21">
        <f>Data!C2257</f>
        <v>0</v>
      </c>
      <c r="J2244">
        <f>Data!D2257</f>
        <v>0</v>
      </c>
      <c r="K2244">
        <f>Data!E2257</f>
        <v>0</v>
      </c>
      <c r="L2244">
        <f>Data!F2257</f>
        <v>0</v>
      </c>
      <c r="M2244">
        <f>Data!G2257</f>
        <v>0</v>
      </c>
      <c r="N2244">
        <f>Data!H2257</f>
        <v>0</v>
      </c>
      <c r="O2244">
        <f>Data!I2257</f>
        <v>0</v>
      </c>
      <c r="P2244" s="21">
        <f>Data!J2261</f>
        <v>0</v>
      </c>
      <c r="Q2244">
        <f>Data!K2261</f>
        <v>0</v>
      </c>
      <c r="R2244">
        <f>Data!L2261</f>
        <v>0</v>
      </c>
      <c r="S2244">
        <f>Data!M2261</f>
        <v>0</v>
      </c>
      <c r="T2244">
        <f>Data!N2261</f>
        <v>0</v>
      </c>
      <c r="U2244">
        <f>Data!O2261</f>
        <v>0</v>
      </c>
      <c r="V2244" s="33">
        <f>Data!P2259</f>
        <v>0</v>
      </c>
    </row>
    <row r="2245" spans="7:22" x14ac:dyDescent="0.25">
      <c r="G2245">
        <f>Data!A2258</f>
        <v>0</v>
      </c>
      <c r="H2245" s="21">
        <f>Data!B2258</f>
        <v>0</v>
      </c>
      <c r="I2245" s="21">
        <f>Data!C2258</f>
        <v>0</v>
      </c>
      <c r="J2245">
        <f>Data!D2258</f>
        <v>0</v>
      </c>
      <c r="K2245">
        <f>Data!E2258</f>
        <v>0</v>
      </c>
      <c r="L2245">
        <f>Data!F2258</f>
        <v>0</v>
      </c>
      <c r="M2245">
        <f>Data!G2258</f>
        <v>0</v>
      </c>
      <c r="N2245">
        <f>Data!H2258</f>
        <v>0</v>
      </c>
      <c r="O2245">
        <f>Data!I2258</f>
        <v>0</v>
      </c>
      <c r="P2245" s="21">
        <f>Data!J2262</f>
        <v>0</v>
      </c>
      <c r="Q2245">
        <f>Data!K2262</f>
        <v>0</v>
      </c>
      <c r="R2245">
        <f>Data!L2262</f>
        <v>0</v>
      </c>
      <c r="S2245">
        <f>Data!M2262</f>
        <v>0</v>
      </c>
      <c r="T2245">
        <f>Data!N2262</f>
        <v>0</v>
      </c>
      <c r="U2245">
        <f>Data!O2262</f>
        <v>0</v>
      </c>
      <c r="V2245" s="33">
        <f>Data!P2260</f>
        <v>0</v>
      </c>
    </row>
    <row r="2246" spans="7:22" x14ac:dyDescent="0.25">
      <c r="G2246">
        <f>Data!A2259</f>
        <v>0</v>
      </c>
      <c r="H2246" s="21">
        <f>Data!B2259</f>
        <v>0</v>
      </c>
      <c r="I2246" s="21">
        <f>Data!C2259</f>
        <v>0</v>
      </c>
      <c r="J2246">
        <f>Data!D2259</f>
        <v>0</v>
      </c>
      <c r="K2246">
        <f>Data!E2259</f>
        <v>0</v>
      </c>
      <c r="L2246">
        <f>Data!F2259</f>
        <v>0</v>
      </c>
      <c r="M2246">
        <f>Data!G2259</f>
        <v>0</v>
      </c>
      <c r="N2246">
        <f>Data!H2259</f>
        <v>0</v>
      </c>
      <c r="O2246">
        <f>Data!I2259</f>
        <v>0</v>
      </c>
      <c r="P2246" s="21">
        <f>Data!J2263</f>
        <v>0</v>
      </c>
      <c r="Q2246">
        <f>Data!K2263</f>
        <v>0</v>
      </c>
      <c r="R2246">
        <f>Data!L2263</f>
        <v>0</v>
      </c>
      <c r="S2246">
        <f>Data!M2263</f>
        <v>0</v>
      </c>
      <c r="T2246">
        <f>Data!N2263</f>
        <v>0</v>
      </c>
      <c r="U2246">
        <f>Data!O2263</f>
        <v>0</v>
      </c>
      <c r="V2246" s="33">
        <f>Data!P2261</f>
        <v>0</v>
      </c>
    </row>
    <row r="2247" spans="7:22" x14ac:dyDescent="0.25">
      <c r="G2247">
        <f>Data!A2260</f>
        <v>0</v>
      </c>
      <c r="H2247" s="21">
        <f>Data!B2260</f>
        <v>0</v>
      </c>
      <c r="I2247" s="21">
        <f>Data!C2260</f>
        <v>0</v>
      </c>
      <c r="J2247">
        <f>Data!D2260</f>
        <v>0</v>
      </c>
      <c r="K2247">
        <f>Data!E2260</f>
        <v>0</v>
      </c>
      <c r="L2247">
        <f>Data!F2260</f>
        <v>0</v>
      </c>
      <c r="M2247">
        <f>Data!G2260</f>
        <v>0</v>
      </c>
      <c r="N2247">
        <f>Data!H2260</f>
        <v>0</v>
      </c>
      <c r="O2247">
        <f>Data!I2260</f>
        <v>0</v>
      </c>
      <c r="P2247" s="21">
        <f>Data!J2264</f>
        <v>0</v>
      </c>
      <c r="Q2247">
        <f>Data!K2264</f>
        <v>0</v>
      </c>
      <c r="R2247">
        <f>Data!L2264</f>
        <v>0</v>
      </c>
      <c r="S2247">
        <f>Data!M2264</f>
        <v>0</v>
      </c>
      <c r="T2247">
        <f>Data!N2264</f>
        <v>0</v>
      </c>
      <c r="U2247">
        <f>Data!O2264</f>
        <v>0</v>
      </c>
      <c r="V2247" s="33">
        <f>Data!P2262</f>
        <v>0</v>
      </c>
    </row>
    <row r="2248" spans="7:22" x14ac:dyDescent="0.25">
      <c r="G2248">
        <f>Data!A2261</f>
        <v>0</v>
      </c>
      <c r="H2248" s="21">
        <f>Data!B2261</f>
        <v>0</v>
      </c>
      <c r="I2248" s="21">
        <f>Data!C2261</f>
        <v>0</v>
      </c>
      <c r="J2248">
        <f>Data!D2261</f>
        <v>0</v>
      </c>
      <c r="K2248">
        <f>Data!E2261</f>
        <v>0</v>
      </c>
      <c r="L2248">
        <f>Data!F2261</f>
        <v>0</v>
      </c>
      <c r="M2248">
        <f>Data!G2261</f>
        <v>0</v>
      </c>
      <c r="N2248">
        <f>Data!H2261</f>
        <v>0</v>
      </c>
      <c r="O2248">
        <f>Data!I2261</f>
        <v>0</v>
      </c>
      <c r="P2248" s="21">
        <f>Data!J2265</f>
        <v>0</v>
      </c>
      <c r="Q2248">
        <f>Data!K2265</f>
        <v>0</v>
      </c>
      <c r="R2248">
        <f>Data!L2265</f>
        <v>0</v>
      </c>
      <c r="S2248">
        <f>Data!M2265</f>
        <v>0</v>
      </c>
      <c r="T2248">
        <f>Data!N2265</f>
        <v>0</v>
      </c>
      <c r="U2248">
        <f>Data!O2265</f>
        <v>0</v>
      </c>
      <c r="V2248" s="33">
        <f>Data!P2263</f>
        <v>0</v>
      </c>
    </row>
    <row r="2249" spans="7:22" x14ac:dyDescent="0.25">
      <c r="G2249">
        <f>Data!A2262</f>
        <v>0</v>
      </c>
      <c r="H2249" s="21">
        <f>Data!B2262</f>
        <v>0</v>
      </c>
      <c r="I2249" s="21">
        <f>Data!C2262</f>
        <v>0</v>
      </c>
      <c r="J2249">
        <f>Data!D2262</f>
        <v>0</v>
      </c>
      <c r="K2249">
        <f>Data!E2262</f>
        <v>0</v>
      </c>
      <c r="L2249">
        <f>Data!F2262</f>
        <v>0</v>
      </c>
      <c r="M2249">
        <f>Data!G2262</f>
        <v>0</v>
      </c>
      <c r="N2249">
        <f>Data!H2262</f>
        <v>0</v>
      </c>
      <c r="O2249">
        <f>Data!I2262</f>
        <v>0</v>
      </c>
      <c r="P2249" s="21">
        <f>Data!J2266</f>
        <v>0</v>
      </c>
      <c r="Q2249">
        <f>Data!K2266</f>
        <v>0</v>
      </c>
      <c r="R2249">
        <f>Data!L2266</f>
        <v>0</v>
      </c>
      <c r="S2249">
        <f>Data!M2266</f>
        <v>0</v>
      </c>
      <c r="T2249">
        <f>Data!N2266</f>
        <v>0</v>
      </c>
      <c r="U2249">
        <f>Data!O2266</f>
        <v>0</v>
      </c>
      <c r="V2249" s="33">
        <f>Data!P2264</f>
        <v>0</v>
      </c>
    </row>
    <row r="2250" spans="7:22" x14ac:dyDescent="0.25">
      <c r="G2250">
        <f>Data!A2263</f>
        <v>0</v>
      </c>
      <c r="H2250" s="21">
        <f>Data!B2263</f>
        <v>0</v>
      </c>
      <c r="I2250" s="21">
        <f>Data!C2263</f>
        <v>0</v>
      </c>
      <c r="J2250">
        <f>Data!D2263</f>
        <v>0</v>
      </c>
      <c r="K2250">
        <f>Data!E2263</f>
        <v>0</v>
      </c>
      <c r="L2250">
        <f>Data!F2263</f>
        <v>0</v>
      </c>
      <c r="M2250">
        <f>Data!G2263</f>
        <v>0</v>
      </c>
      <c r="N2250">
        <f>Data!H2263</f>
        <v>0</v>
      </c>
      <c r="O2250">
        <f>Data!I2263</f>
        <v>0</v>
      </c>
      <c r="P2250" s="21">
        <f>Data!J2267</f>
        <v>0</v>
      </c>
      <c r="Q2250">
        <f>Data!K2267</f>
        <v>0</v>
      </c>
      <c r="R2250">
        <f>Data!L2267</f>
        <v>0</v>
      </c>
      <c r="S2250">
        <f>Data!M2267</f>
        <v>0</v>
      </c>
      <c r="T2250">
        <f>Data!N2267</f>
        <v>0</v>
      </c>
      <c r="U2250">
        <f>Data!O2267</f>
        <v>0</v>
      </c>
      <c r="V2250" s="33">
        <f>Data!P2265</f>
        <v>0</v>
      </c>
    </row>
    <row r="2251" spans="7:22" x14ac:dyDescent="0.25">
      <c r="G2251">
        <f>Data!A2264</f>
        <v>0</v>
      </c>
      <c r="H2251" s="21">
        <f>Data!B2264</f>
        <v>0</v>
      </c>
      <c r="I2251" s="21">
        <f>Data!C2264</f>
        <v>0</v>
      </c>
      <c r="J2251">
        <f>Data!D2264</f>
        <v>0</v>
      </c>
      <c r="K2251">
        <f>Data!E2264</f>
        <v>0</v>
      </c>
      <c r="L2251">
        <f>Data!F2264</f>
        <v>0</v>
      </c>
      <c r="M2251">
        <f>Data!G2264</f>
        <v>0</v>
      </c>
      <c r="N2251">
        <f>Data!H2264</f>
        <v>0</v>
      </c>
      <c r="O2251">
        <f>Data!I2264</f>
        <v>0</v>
      </c>
      <c r="P2251" s="21">
        <f>Data!J2268</f>
        <v>0</v>
      </c>
      <c r="Q2251">
        <f>Data!K2268</f>
        <v>0</v>
      </c>
      <c r="R2251">
        <f>Data!L2268</f>
        <v>0</v>
      </c>
      <c r="S2251">
        <f>Data!M2268</f>
        <v>0</v>
      </c>
      <c r="T2251">
        <f>Data!N2268</f>
        <v>0</v>
      </c>
      <c r="U2251">
        <f>Data!O2268</f>
        <v>0</v>
      </c>
      <c r="V2251" s="33">
        <f>Data!P2266</f>
        <v>0</v>
      </c>
    </row>
    <row r="2252" spans="7:22" x14ac:dyDescent="0.25">
      <c r="G2252">
        <f>Data!A2265</f>
        <v>0</v>
      </c>
      <c r="H2252" s="21">
        <f>Data!B2265</f>
        <v>0</v>
      </c>
      <c r="I2252" s="21">
        <f>Data!C2265</f>
        <v>0</v>
      </c>
      <c r="J2252">
        <f>Data!D2265</f>
        <v>0</v>
      </c>
      <c r="K2252">
        <f>Data!E2265</f>
        <v>0</v>
      </c>
      <c r="L2252">
        <f>Data!F2265</f>
        <v>0</v>
      </c>
      <c r="M2252">
        <f>Data!G2265</f>
        <v>0</v>
      </c>
      <c r="N2252">
        <f>Data!H2265</f>
        <v>0</v>
      </c>
      <c r="O2252">
        <f>Data!I2265</f>
        <v>0</v>
      </c>
      <c r="P2252" s="21">
        <f>Data!J2269</f>
        <v>0</v>
      </c>
      <c r="Q2252">
        <f>Data!K2269</f>
        <v>0</v>
      </c>
      <c r="R2252">
        <f>Data!L2269</f>
        <v>0</v>
      </c>
      <c r="S2252">
        <f>Data!M2269</f>
        <v>0</v>
      </c>
      <c r="T2252">
        <f>Data!N2269</f>
        <v>0</v>
      </c>
      <c r="U2252">
        <f>Data!O2269</f>
        <v>0</v>
      </c>
      <c r="V2252" s="33">
        <f>Data!P2267</f>
        <v>0</v>
      </c>
    </row>
    <row r="2253" spans="7:22" x14ac:dyDescent="0.25">
      <c r="G2253">
        <f>Data!A2266</f>
        <v>0</v>
      </c>
      <c r="H2253" s="21">
        <f>Data!B2266</f>
        <v>0</v>
      </c>
      <c r="I2253" s="21">
        <f>Data!C2266</f>
        <v>0</v>
      </c>
      <c r="J2253">
        <f>Data!D2266</f>
        <v>0</v>
      </c>
      <c r="K2253">
        <f>Data!E2266</f>
        <v>0</v>
      </c>
      <c r="L2253">
        <f>Data!F2266</f>
        <v>0</v>
      </c>
      <c r="M2253">
        <f>Data!G2266</f>
        <v>0</v>
      </c>
      <c r="N2253">
        <f>Data!H2266</f>
        <v>0</v>
      </c>
      <c r="O2253">
        <f>Data!I2266</f>
        <v>0</v>
      </c>
      <c r="P2253" s="21">
        <f>Data!J2270</f>
        <v>0</v>
      </c>
      <c r="Q2253">
        <f>Data!K2270</f>
        <v>0</v>
      </c>
      <c r="R2253">
        <f>Data!L2270</f>
        <v>0</v>
      </c>
      <c r="S2253">
        <f>Data!M2270</f>
        <v>0</v>
      </c>
      <c r="T2253">
        <f>Data!N2270</f>
        <v>0</v>
      </c>
      <c r="U2253">
        <f>Data!O2270</f>
        <v>0</v>
      </c>
      <c r="V2253" s="33">
        <f>Data!P2268</f>
        <v>0</v>
      </c>
    </row>
    <row r="2254" spans="7:22" x14ac:dyDescent="0.25">
      <c r="G2254">
        <f>Data!A2267</f>
        <v>0</v>
      </c>
      <c r="H2254" s="21">
        <f>Data!B2267</f>
        <v>0</v>
      </c>
      <c r="I2254" s="21">
        <f>Data!C2267</f>
        <v>0</v>
      </c>
      <c r="J2254">
        <f>Data!D2267</f>
        <v>0</v>
      </c>
      <c r="K2254">
        <f>Data!E2267</f>
        <v>0</v>
      </c>
      <c r="L2254">
        <f>Data!F2267</f>
        <v>0</v>
      </c>
      <c r="M2254">
        <f>Data!G2267</f>
        <v>0</v>
      </c>
      <c r="N2254">
        <f>Data!H2267</f>
        <v>0</v>
      </c>
      <c r="O2254">
        <f>Data!I2267</f>
        <v>0</v>
      </c>
      <c r="P2254" s="21">
        <f>Data!J2271</f>
        <v>0</v>
      </c>
      <c r="Q2254">
        <f>Data!K2271</f>
        <v>0</v>
      </c>
      <c r="R2254">
        <f>Data!L2271</f>
        <v>0</v>
      </c>
      <c r="S2254">
        <f>Data!M2271</f>
        <v>0</v>
      </c>
      <c r="T2254">
        <f>Data!N2271</f>
        <v>0</v>
      </c>
      <c r="U2254">
        <f>Data!O2271</f>
        <v>0</v>
      </c>
      <c r="V2254" s="33">
        <f>Data!P2269</f>
        <v>0</v>
      </c>
    </row>
    <row r="2255" spans="7:22" x14ac:dyDescent="0.25">
      <c r="G2255">
        <f>Data!A2268</f>
        <v>0</v>
      </c>
      <c r="H2255" s="21">
        <f>Data!B2268</f>
        <v>0</v>
      </c>
      <c r="I2255" s="21">
        <f>Data!C2268</f>
        <v>0</v>
      </c>
      <c r="J2255">
        <f>Data!D2268</f>
        <v>0</v>
      </c>
      <c r="K2255">
        <f>Data!E2268</f>
        <v>0</v>
      </c>
      <c r="L2255">
        <f>Data!F2268</f>
        <v>0</v>
      </c>
      <c r="M2255">
        <f>Data!G2268</f>
        <v>0</v>
      </c>
      <c r="N2255">
        <f>Data!H2268</f>
        <v>0</v>
      </c>
      <c r="O2255">
        <f>Data!I2268</f>
        <v>0</v>
      </c>
      <c r="P2255" s="21">
        <f>Data!J2272</f>
        <v>0</v>
      </c>
      <c r="Q2255">
        <f>Data!K2272</f>
        <v>0</v>
      </c>
      <c r="R2255">
        <f>Data!L2272</f>
        <v>0</v>
      </c>
      <c r="S2255">
        <f>Data!M2272</f>
        <v>0</v>
      </c>
      <c r="T2255">
        <f>Data!N2272</f>
        <v>0</v>
      </c>
      <c r="U2255">
        <f>Data!O2272</f>
        <v>0</v>
      </c>
      <c r="V2255" s="33">
        <f>Data!P2270</f>
        <v>0</v>
      </c>
    </row>
    <row r="2256" spans="7:22" x14ac:dyDescent="0.25">
      <c r="G2256">
        <f>Data!A2269</f>
        <v>0</v>
      </c>
      <c r="H2256" s="21">
        <f>Data!B2269</f>
        <v>0</v>
      </c>
      <c r="I2256" s="21">
        <f>Data!C2269</f>
        <v>0</v>
      </c>
      <c r="J2256">
        <f>Data!D2269</f>
        <v>0</v>
      </c>
      <c r="K2256">
        <f>Data!E2269</f>
        <v>0</v>
      </c>
      <c r="L2256">
        <f>Data!F2269</f>
        <v>0</v>
      </c>
      <c r="M2256">
        <f>Data!G2269</f>
        <v>0</v>
      </c>
      <c r="N2256">
        <f>Data!H2269</f>
        <v>0</v>
      </c>
      <c r="O2256">
        <f>Data!I2269</f>
        <v>0</v>
      </c>
      <c r="P2256" s="21">
        <f>Data!J2273</f>
        <v>0</v>
      </c>
      <c r="Q2256">
        <f>Data!K2273</f>
        <v>0</v>
      </c>
      <c r="R2256">
        <f>Data!L2273</f>
        <v>0</v>
      </c>
      <c r="S2256">
        <f>Data!M2273</f>
        <v>0</v>
      </c>
      <c r="T2256">
        <f>Data!N2273</f>
        <v>0</v>
      </c>
      <c r="U2256">
        <f>Data!O2273</f>
        <v>0</v>
      </c>
      <c r="V2256" s="33">
        <f>Data!P2271</f>
        <v>0</v>
      </c>
    </row>
    <row r="2257" spans="7:22" x14ac:dyDescent="0.25">
      <c r="G2257">
        <f>Data!A2270</f>
        <v>0</v>
      </c>
      <c r="H2257" s="21">
        <f>Data!B2270</f>
        <v>0</v>
      </c>
      <c r="I2257" s="21">
        <f>Data!C2270</f>
        <v>0</v>
      </c>
      <c r="J2257">
        <f>Data!D2270</f>
        <v>0</v>
      </c>
      <c r="K2257">
        <f>Data!E2270</f>
        <v>0</v>
      </c>
      <c r="L2257">
        <f>Data!F2270</f>
        <v>0</v>
      </c>
      <c r="M2257">
        <f>Data!G2270</f>
        <v>0</v>
      </c>
      <c r="N2257">
        <f>Data!H2270</f>
        <v>0</v>
      </c>
      <c r="O2257">
        <f>Data!I2270</f>
        <v>0</v>
      </c>
      <c r="P2257" s="21">
        <f>Data!J2274</f>
        <v>0</v>
      </c>
      <c r="Q2257">
        <f>Data!K2274</f>
        <v>0</v>
      </c>
      <c r="R2257">
        <f>Data!L2274</f>
        <v>0</v>
      </c>
      <c r="S2257">
        <f>Data!M2274</f>
        <v>0</v>
      </c>
      <c r="T2257">
        <f>Data!N2274</f>
        <v>0</v>
      </c>
      <c r="U2257">
        <f>Data!O2274</f>
        <v>0</v>
      </c>
      <c r="V2257" s="33">
        <f>Data!P2272</f>
        <v>0</v>
      </c>
    </row>
    <row r="2258" spans="7:22" x14ac:dyDescent="0.25">
      <c r="G2258">
        <f>Data!A2271</f>
        <v>0</v>
      </c>
      <c r="H2258" s="21">
        <f>Data!B2271</f>
        <v>0</v>
      </c>
      <c r="I2258" s="21">
        <f>Data!C2271</f>
        <v>0</v>
      </c>
      <c r="J2258">
        <f>Data!D2271</f>
        <v>0</v>
      </c>
      <c r="K2258">
        <f>Data!E2271</f>
        <v>0</v>
      </c>
      <c r="L2258">
        <f>Data!F2271</f>
        <v>0</v>
      </c>
      <c r="M2258">
        <f>Data!G2271</f>
        <v>0</v>
      </c>
      <c r="N2258">
        <f>Data!H2271</f>
        <v>0</v>
      </c>
      <c r="O2258">
        <f>Data!I2271</f>
        <v>0</v>
      </c>
      <c r="P2258" s="21">
        <f>Data!J2275</f>
        <v>0</v>
      </c>
      <c r="Q2258">
        <f>Data!K2275</f>
        <v>0</v>
      </c>
      <c r="R2258">
        <f>Data!L2275</f>
        <v>0</v>
      </c>
      <c r="S2258">
        <f>Data!M2275</f>
        <v>0</v>
      </c>
      <c r="T2258">
        <f>Data!N2275</f>
        <v>0</v>
      </c>
      <c r="U2258">
        <f>Data!O2275</f>
        <v>0</v>
      </c>
      <c r="V2258" s="33">
        <f>Data!P2273</f>
        <v>0</v>
      </c>
    </row>
    <row r="2259" spans="7:22" x14ac:dyDescent="0.25">
      <c r="G2259">
        <f>Data!A2272</f>
        <v>0</v>
      </c>
      <c r="H2259" s="21">
        <f>Data!B2272</f>
        <v>0</v>
      </c>
      <c r="I2259" s="21">
        <f>Data!C2272</f>
        <v>0</v>
      </c>
      <c r="J2259">
        <f>Data!D2272</f>
        <v>0</v>
      </c>
      <c r="K2259">
        <f>Data!E2272</f>
        <v>0</v>
      </c>
      <c r="L2259">
        <f>Data!F2272</f>
        <v>0</v>
      </c>
      <c r="M2259">
        <f>Data!G2272</f>
        <v>0</v>
      </c>
      <c r="N2259">
        <f>Data!H2272</f>
        <v>0</v>
      </c>
      <c r="O2259">
        <f>Data!I2272</f>
        <v>0</v>
      </c>
      <c r="P2259" s="21">
        <f>Data!J2276</f>
        <v>0</v>
      </c>
      <c r="Q2259">
        <f>Data!K2276</f>
        <v>0</v>
      </c>
      <c r="R2259">
        <f>Data!L2276</f>
        <v>0</v>
      </c>
      <c r="S2259">
        <f>Data!M2276</f>
        <v>0</v>
      </c>
      <c r="T2259">
        <f>Data!N2276</f>
        <v>0</v>
      </c>
      <c r="U2259">
        <f>Data!O2276</f>
        <v>0</v>
      </c>
      <c r="V2259" s="33">
        <f>Data!P2274</f>
        <v>0</v>
      </c>
    </row>
    <row r="2260" spans="7:22" x14ac:dyDescent="0.25">
      <c r="G2260">
        <f>Data!A2273</f>
        <v>0</v>
      </c>
      <c r="H2260" s="21">
        <f>Data!B2273</f>
        <v>0</v>
      </c>
      <c r="I2260" s="21">
        <f>Data!C2273</f>
        <v>0</v>
      </c>
      <c r="J2260">
        <f>Data!D2273</f>
        <v>0</v>
      </c>
      <c r="K2260">
        <f>Data!E2273</f>
        <v>0</v>
      </c>
      <c r="L2260">
        <f>Data!F2273</f>
        <v>0</v>
      </c>
      <c r="M2260">
        <f>Data!G2273</f>
        <v>0</v>
      </c>
      <c r="N2260">
        <f>Data!H2273</f>
        <v>0</v>
      </c>
      <c r="O2260">
        <f>Data!I2273</f>
        <v>0</v>
      </c>
      <c r="P2260" s="21">
        <f>Data!J2277</f>
        <v>0</v>
      </c>
      <c r="Q2260">
        <f>Data!K2277</f>
        <v>0</v>
      </c>
      <c r="R2260">
        <f>Data!L2277</f>
        <v>0</v>
      </c>
      <c r="S2260">
        <f>Data!M2277</f>
        <v>0</v>
      </c>
      <c r="T2260">
        <f>Data!N2277</f>
        <v>0</v>
      </c>
      <c r="U2260">
        <f>Data!O2277</f>
        <v>0</v>
      </c>
      <c r="V2260" s="33">
        <f>Data!P2275</f>
        <v>0</v>
      </c>
    </row>
    <row r="2261" spans="7:22" x14ac:dyDescent="0.25">
      <c r="G2261">
        <f>Data!A2274</f>
        <v>0</v>
      </c>
      <c r="H2261" s="21">
        <f>Data!B2274</f>
        <v>0</v>
      </c>
      <c r="I2261" s="21">
        <f>Data!C2274</f>
        <v>0</v>
      </c>
      <c r="J2261">
        <f>Data!D2274</f>
        <v>0</v>
      </c>
      <c r="K2261">
        <f>Data!E2274</f>
        <v>0</v>
      </c>
      <c r="L2261">
        <f>Data!F2274</f>
        <v>0</v>
      </c>
      <c r="M2261">
        <f>Data!G2274</f>
        <v>0</v>
      </c>
      <c r="N2261">
        <f>Data!H2274</f>
        <v>0</v>
      </c>
      <c r="O2261">
        <f>Data!I2274</f>
        <v>0</v>
      </c>
      <c r="P2261" s="21">
        <f>Data!J2278</f>
        <v>0</v>
      </c>
      <c r="Q2261">
        <f>Data!K2278</f>
        <v>0</v>
      </c>
      <c r="R2261">
        <f>Data!L2278</f>
        <v>0</v>
      </c>
      <c r="S2261">
        <f>Data!M2278</f>
        <v>0</v>
      </c>
      <c r="T2261">
        <f>Data!N2278</f>
        <v>0</v>
      </c>
      <c r="U2261">
        <f>Data!O2278</f>
        <v>0</v>
      </c>
      <c r="V2261" s="33">
        <f>Data!P2276</f>
        <v>0</v>
      </c>
    </row>
    <row r="2262" spans="7:22" x14ac:dyDescent="0.25">
      <c r="G2262">
        <f>Data!A2275</f>
        <v>0</v>
      </c>
      <c r="H2262" s="21">
        <f>Data!B2275</f>
        <v>0</v>
      </c>
      <c r="I2262" s="21">
        <f>Data!C2275</f>
        <v>0</v>
      </c>
      <c r="J2262">
        <f>Data!D2275</f>
        <v>0</v>
      </c>
      <c r="K2262">
        <f>Data!E2275</f>
        <v>0</v>
      </c>
      <c r="L2262">
        <f>Data!F2275</f>
        <v>0</v>
      </c>
      <c r="M2262">
        <f>Data!G2275</f>
        <v>0</v>
      </c>
      <c r="N2262">
        <f>Data!H2275</f>
        <v>0</v>
      </c>
      <c r="O2262">
        <f>Data!I2275</f>
        <v>0</v>
      </c>
      <c r="P2262" s="21">
        <f>Data!J2279</f>
        <v>0</v>
      </c>
      <c r="Q2262">
        <f>Data!K2279</f>
        <v>0</v>
      </c>
      <c r="R2262">
        <f>Data!L2279</f>
        <v>0</v>
      </c>
      <c r="S2262">
        <f>Data!M2279</f>
        <v>0</v>
      </c>
      <c r="T2262">
        <f>Data!N2279</f>
        <v>0</v>
      </c>
      <c r="U2262">
        <f>Data!O2279</f>
        <v>0</v>
      </c>
      <c r="V2262" s="33">
        <f>Data!P2277</f>
        <v>0</v>
      </c>
    </row>
    <row r="2263" spans="7:22" x14ac:dyDescent="0.25">
      <c r="G2263">
        <f>Data!A2276</f>
        <v>0</v>
      </c>
      <c r="H2263" s="21">
        <f>Data!B2276</f>
        <v>0</v>
      </c>
      <c r="I2263" s="21">
        <f>Data!C2276</f>
        <v>0</v>
      </c>
      <c r="J2263">
        <f>Data!D2276</f>
        <v>0</v>
      </c>
      <c r="K2263">
        <f>Data!E2276</f>
        <v>0</v>
      </c>
      <c r="L2263">
        <f>Data!F2276</f>
        <v>0</v>
      </c>
      <c r="M2263">
        <f>Data!G2276</f>
        <v>0</v>
      </c>
      <c r="N2263">
        <f>Data!H2276</f>
        <v>0</v>
      </c>
      <c r="O2263">
        <f>Data!I2276</f>
        <v>0</v>
      </c>
      <c r="P2263" s="21">
        <f>Data!J2280</f>
        <v>0</v>
      </c>
      <c r="Q2263">
        <f>Data!K2280</f>
        <v>0</v>
      </c>
      <c r="R2263">
        <f>Data!L2280</f>
        <v>0</v>
      </c>
      <c r="S2263">
        <f>Data!M2280</f>
        <v>0</v>
      </c>
      <c r="T2263">
        <f>Data!N2280</f>
        <v>0</v>
      </c>
      <c r="U2263">
        <f>Data!O2280</f>
        <v>0</v>
      </c>
      <c r="V2263" s="33">
        <f>Data!P2278</f>
        <v>0</v>
      </c>
    </row>
    <row r="2264" spans="7:22" x14ac:dyDescent="0.25">
      <c r="G2264">
        <f>Data!A2277</f>
        <v>0</v>
      </c>
      <c r="H2264" s="21">
        <f>Data!B2277</f>
        <v>0</v>
      </c>
      <c r="I2264" s="21">
        <f>Data!C2277</f>
        <v>0</v>
      </c>
      <c r="J2264">
        <f>Data!D2277</f>
        <v>0</v>
      </c>
      <c r="K2264">
        <f>Data!E2277</f>
        <v>0</v>
      </c>
      <c r="L2264">
        <f>Data!F2277</f>
        <v>0</v>
      </c>
      <c r="M2264">
        <f>Data!G2277</f>
        <v>0</v>
      </c>
      <c r="N2264">
        <f>Data!H2277</f>
        <v>0</v>
      </c>
      <c r="O2264">
        <f>Data!I2277</f>
        <v>0</v>
      </c>
      <c r="P2264" s="21">
        <f>Data!J2281</f>
        <v>0</v>
      </c>
      <c r="Q2264">
        <f>Data!K2281</f>
        <v>0</v>
      </c>
      <c r="R2264">
        <f>Data!L2281</f>
        <v>0</v>
      </c>
      <c r="S2264">
        <f>Data!M2281</f>
        <v>0</v>
      </c>
      <c r="T2264">
        <f>Data!N2281</f>
        <v>0</v>
      </c>
      <c r="U2264">
        <f>Data!O2281</f>
        <v>0</v>
      </c>
      <c r="V2264" s="33">
        <f>Data!P2279</f>
        <v>0</v>
      </c>
    </row>
    <row r="2265" spans="7:22" x14ac:dyDescent="0.25">
      <c r="G2265">
        <f>Data!A2278</f>
        <v>0</v>
      </c>
      <c r="H2265" s="21">
        <f>Data!B2278</f>
        <v>0</v>
      </c>
      <c r="I2265" s="21">
        <f>Data!C2278</f>
        <v>0</v>
      </c>
      <c r="J2265">
        <f>Data!D2278</f>
        <v>0</v>
      </c>
      <c r="K2265">
        <f>Data!E2278</f>
        <v>0</v>
      </c>
      <c r="L2265">
        <f>Data!F2278</f>
        <v>0</v>
      </c>
      <c r="M2265">
        <f>Data!G2278</f>
        <v>0</v>
      </c>
      <c r="N2265">
        <f>Data!H2278</f>
        <v>0</v>
      </c>
      <c r="O2265">
        <f>Data!I2278</f>
        <v>0</v>
      </c>
      <c r="P2265" s="21">
        <f>Data!J2282</f>
        <v>0</v>
      </c>
      <c r="Q2265">
        <f>Data!K2282</f>
        <v>0</v>
      </c>
      <c r="R2265">
        <f>Data!L2282</f>
        <v>0</v>
      </c>
      <c r="S2265">
        <f>Data!M2282</f>
        <v>0</v>
      </c>
      <c r="T2265">
        <f>Data!N2282</f>
        <v>0</v>
      </c>
      <c r="U2265">
        <f>Data!O2282</f>
        <v>0</v>
      </c>
      <c r="V2265" s="33">
        <f>Data!P2280</f>
        <v>0</v>
      </c>
    </row>
    <row r="2266" spans="7:22" x14ac:dyDescent="0.25">
      <c r="G2266">
        <f>Data!A2279</f>
        <v>0</v>
      </c>
      <c r="H2266" s="21">
        <f>Data!B2279</f>
        <v>0</v>
      </c>
      <c r="I2266" s="21">
        <f>Data!C2279</f>
        <v>0</v>
      </c>
      <c r="J2266">
        <f>Data!D2279</f>
        <v>0</v>
      </c>
      <c r="K2266">
        <f>Data!E2279</f>
        <v>0</v>
      </c>
      <c r="L2266">
        <f>Data!F2279</f>
        <v>0</v>
      </c>
      <c r="M2266">
        <f>Data!G2279</f>
        <v>0</v>
      </c>
      <c r="N2266">
        <f>Data!H2279</f>
        <v>0</v>
      </c>
      <c r="O2266">
        <f>Data!I2279</f>
        <v>0</v>
      </c>
      <c r="P2266" s="21">
        <f>Data!J2283</f>
        <v>0</v>
      </c>
      <c r="Q2266">
        <f>Data!K2283</f>
        <v>0</v>
      </c>
      <c r="R2266">
        <f>Data!L2283</f>
        <v>0</v>
      </c>
      <c r="S2266">
        <f>Data!M2283</f>
        <v>0</v>
      </c>
      <c r="T2266">
        <f>Data!N2283</f>
        <v>0</v>
      </c>
      <c r="U2266">
        <f>Data!O2283</f>
        <v>0</v>
      </c>
      <c r="V2266" s="33">
        <f>Data!P2281</f>
        <v>0</v>
      </c>
    </row>
    <row r="2267" spans="7:22" x14ac:dyDescent="0.25">
      <c r="G2267">
        <f>Data!A2280</f>
        <v>0</v>
      </c>
      <c r="H2267" s="21">
        <f>Data!B2280</f>
        <v>0</v>
      </c>
      <c r="I2267" s="21">
        <f>Data!C2280</f>
        <v>0</v>
      </c>
      <c r="J2267">
        <f>Data!D2280</f>
        <v>0</v>
      </c>
      <c r="K2267">
        <f>Data!E2280</f>
        <v>0</v>
      </c>
      <c r="L2267">
        <f>Data!F2280</f>
        <v>0</v>
      </c>
      <c r="M2267">
        <f>Data!G2280</f>
        <v>0</v>
      </c>
      <c r="N2267">
        <f>Data!H2280</f>
        <v>0</v>
      </c>
      <c r="O2267">
        <f>Data!I2280</f>
        <v>0</v>
      </c>
      <c r="P2267" s="21">
        <f>Data!J2284</f>
        <v>0</v>
      </c>
      <c r="Q2267">
        <f>Data!K2284</f>
        <v>0</v>
      </c>
      <c r="R2267">
        <f>Data!L2284</f>
        <v>0</v>
      </c>
      <c r="S2267">
        <f>Data!M2284</f>
        <v>0</v>
      </c>
      <c r="T2267">
        <f>Data!N2284</f>
        <v>0</v>
      </c>
      <c r="U2267">
        <f>Data!O2284</f>
        <v>0</v>
      </c>
      <c r="V2267" s="33">
        <f>Data!P2282</f>
        <v>0</v>
      </c>
    </row>
    <row r="2268" spans="7:22" x14ac:dyDescent="0.25">
      <c r="G2268">
        <f>Data!A2281</f>
        <v>0</v>
      </c>
      <c r="H2268" s="21">
        <f>Data!B2281</f>
        <v>0</v>
      </c>
      <c r="I2268" s="21">
        <f>Data!C2281</f>
        <v>0</v>
      </c>
      <c r="J2268">
        <f>Data!D2281</f>
        <v>0</v>
      </c>
      <c r="K2268">
        <f>Data!E2281</f>
        <v>0</v>
      </c>
      <c r="L2268">
        <f>Data!F2281</f>
        <v>0</v>
      </c>
      <c r="M2268">
        <f>Data!G2281</f>
        <v>0</v>
      </c>
      <c r="N2268">
        <f>Data!H2281</f>
        <v>0</v>
      </c>
      <c r="O2268">
        <f>Data!I2281</f>
        <v>0</v>
      </c>
      <c r="P2268" s="21">
        <f>Data!J2285</f>
        <v>0</v>
      </c>
      <c r="Q2268">
        <f>Data!K2285</f>
        <v>0</v>
      </c>
      <c r="R2268">
        <f>Data!L2285</f>
        <v>0</v>
      </c>
      <c r="S2268">
        <f>Data!M2285</f>
        <v>0</v>
      </c>
      <c r="T2268">
        <f>Data!N2285</f>
        <v>0</v>
      </c>
      <c r="U2268">
        <f>Data!O2285</f>
        <v>0</v>
      </c>
      <c r="V2268" s="33">
        <f>Data!P2283</f>
        <v>0</v>
      </c>
    </row>
    <row r="2269" spans="7:22" x14ac:dyDescent="0.25">
      <c r="G2269">
        <f>Data!A2282</f>
        <v>0</v>
      </c>
      <c r="H2269" s="21">
        <f>Data!B2282</f>
        <v>0</v>
      </c>
      <c r="I2269" s="21">
        <f>Data!C2282</f>
        <v>0</v>
      </c>
      <c r="J2269">
        <f>Data!D2282</f>
        <v>0</v>
      </c>
      <c r="K2269">
        <f>Data!E2282</f>
        <v>0</v>
      </c>
      <c r="L2269">
        <f>Data!F2282</f>
        <v>0</v>
      </c>
      <c r="M2269">
        <f>Data!G2282</f>
        <v>0</v>
      </c>
      <c r="N2269">
        <f>Data!H2282</f>
        <v>0</v>
      </c>
      <c r="O2269">
        <f>Data!I2282</f>
        <v>0</v>
      </c>
      <c r="P2269" s="21">
        <f>Data!J2286</f>
        <v>0</v>
      </c>
      <c r="Q2269">
        <f>Data!K2286</f>
        <v>0</v>
      </c>
      <c r="R2269">
        <f>Data!L2286</f>
        <v>0</v>
      </c>
      <c r="S2269">
        <f>Data!M2286</f>
        <v>0</v>
      </c>
      <c r="T2269">
        <f>Data!N2286</f>
        <v>0</v>
      </c>
      <c r="U2269">
        <f>Data!O2286</f>
        <v>0</v>
      </c>
      <c r="V2269" s="33">
        <f>Data!P2284</f>
        <v>0</v>
      </c>
    </row>
    <row r="2270" spans="7:22" x14ac:dyDescent="0.25">
      <c r="G2270">
        <f>Data!A2283</f>
        <v>0</v>
      </c>
      <c r="H2270" s="21">
        <f>Data!B2283</f>
        <v>0</v>
      </c>
      <c r="I2270" s="21">
        <f>Data!C2283</f>
        <v>0</v>
      </c>
      <c r="J2270">
        <f>Data!D2283</f>
        <v>0</v>
      </c>
      <c r="K2270">
        <f>Data!E2283</f>
        <v>0</v>
      </c>
      <c r="L2270">
        <f>Data!F2283</f>
        <v>0</v>
      </c>
      <c r="M2270">
        <f>Data!G2283</f>
        <v>0</v>
      </c>
      <c r="N2270">
        <f>Data!H2283</f>
        <v>0</v>
      </c>
      <c r="O2270">
        <f>Data!I2283</f>
        <v>0</v>
      </c>
      <c r="P2270" s="21">
        <f>Data!J2287</f>
        <v>0</v>
      </c>
      <c r="Q2270">
        <f>Data!K2287</f>
        <v>0</v>
      </c>
      <c r="R2270">
        <f>Data!L2287</f>
        <v>0</v>
      </c>
      <c r="S2270">
        <f>Data!M2287</f>
        <v>0</v>
      </c>
      <c r="T2270">
        <f>Data!N2287</f>
        <v>0</v>
      </c>
      <c r="U2270">
        <f>Data!O2287</f>
        <v>0</v>
      </c>
      <c r="V2270" s="33">
        <f>Data!P2285</f>
        <v>0</v>
      </c>
    </row>
    <row r="2271" spans="7:22" x14ac:dyDescent="0.25">
      <c r="G2271">
        <f>Data!A2284</f>
        <v>0</v>
      </c>
      <c r="H2271" s="21">
        <f>Data!B2284</f>
        <v>0</v>
      </c>
      <c r="I2271" s="21">
        <f>Data!C2284</f>
        <v>0</v>
      </c>
      <c r="J2271">
        <f>Data!D2284</f>
        <v>0</v>
      </c>
      <c r="K2271">
        <f>Data!E2284</f>
        <v>0</v>
      </c>
      <c r="L2271">
        <f>Data!F2284</f>
        <v>0</v>
      </c>
      <c r="M2271">
        <f>Data!G2284</f>
        <v>0</v>
      </c>
      <c r="N2271">
        <f>Data!H2284</f>
        <v>0</v>
      </c>
      <c r="O2271">
        <f>Data!I2284</f>
        <v>0</v>
      </c>
      <c r="P2271" s="21">
        <f>Data!J2288</f>
        <v>0</v>
      </c>
      <c r="Q2271">
        <f>Data!K2288</f>
        <v>0</v>
      </c>
      <c r="R2271">
        <f>Data!L2288</f>
        <v>0</v>
      </c>
      <c r="S2271">
        <f>Data!M2288</f>
        <v>0</v>
      </c>
      <c r="T2271">
        <f>Data!N2288</f>
        <v>0</v>
      </c>
      <c r="U2271">
        <f>Data!O2288</f>
        <v>0</v>
      </c>
      <c r="V2271" s="33">
        <f>Data!P2286</f>
        <v>0</v>
      </c>
    </row>
    <row r="2272" spans="7:22" x14ac:dyDescent="0.25">
      <c r="G2272">
        <f>Data!A2285</f>
        <v>0</v>
      </c>
      <c r="H2272" s="21">
        <f>Data!B2285</f>
        <v>0</v>
      </c>
      <c r="I2272" s="21">
        <f>Data!C2285</f>
        <v>0</v>
      </c>
      <c r="J2272">
        <f>Data!D2285</f>
        <v>0</v>
      </c>
      <c r="K2272">
        <f>Data!E2285</f>
        <v>0</v>
      </c>
      <c r="L2272">
        <f>Data!F2285</f>
        <v>0</v>
      </c>
      <c r="M2272">
        <f>Data!G2285</f>
        <v>0</v>
      </c>
      <c r="N2272">
        <f>Data!H2285</f>
        <v>0</v>
      </c>
      <c r="O2272">
        <f>Data!I2285</f>
        <v>0</v>
      </c>
      <c r="P2272" s="21">
        <f>Data!J2289</f>
        <v>0</v>
      </c>
      <c r="Q2272">
        <f>Data!K2289</f>
        <v>0</v>
      </c>
      <c r="R2272">
        <f>Data!L2289</f>
        <v>0</v>
      </c>
      <c r="S2272">
        <f>Data!M2289</f>
        <v>0</v>
      </c>
      <c r="T2272">
        <f>Data!N2289</f>
        <v>0</v>
      </c>
      <c r="U2272">
        <f>Data!O2289</f>
        <v>0</v>
      </c>
      <c r="V2272" s="33">
        <f>Data!P2287</f>
        <v>0</v>
      </c>
    </row>
    <row r="2273" spans="7:22" x14ac:dyDescent="0.25">
      <c r="G2273">
        <f>Data!A2286</f>
        <v>0</v>
      </c>
      <c r="H2273" s="21">
        <f>Data!B2286</f>
        <v>0</v>
      </c>
      <c r="I2273" s="21">
        <f>Data!C2286</f>
        <v>0</v>
      </c>
      <c r="J2273">
        <f>Data!D2286</f>
        <v>0</v>
      </c>
      <c r="K2273">
        <f>Data!E2286</f>
        <v>0</v>
      </c>
      <c r="L2273">
        <f>Data!F2286</f>
        <v>0</v>
      </c>
      <c r="M2273">
        <f>Data!G2286</f>
        <v>0</v>
      </c>
      <c r="N2273">
        <f>Data!H2286</f>
        <v>0</v>
      </c>
      <c r="O2273">
        <f>Data!I2286</f>
        <v>0</v>
      </c>
      <c r="P2273" s="21">
        <f>Data!J2290</f>
        <v>0</v>
      </c>
      <c r="Q2273">
        <f>Data!K2290</f>
        <v>0</v>
      </c>
      <c r="R2273">
        <f>Data!L2290</f>
        <v>0</v>
      </c>
      <c r="S2273">
        <f>Data!M2290</f>
        <v>0</v>
      </c>
      <c r="T2273">
        <f>Data!N2290</f>
        <v>0</v>
      </c>
      <c r="U2273">
        <f>Data!O2290</f>
        <v>0</v>
      </c>
      <c r="V2273" s="33">
        <f>Data!P2288</f>
        <v>0</v>
      </c>
    </row>
    <row r="2274" spans="7:22" x14ac:dyDescent="0.25">
      <c r="G2274">
        <f>Data!A2287</f>
        <v>0</v>
      </c>
      <c r="H2274" s="21">
        <f>Data!B2287</f>
        <v>0</v>
      </c>
      <c r="I2274" s="21">
        <f>Data!C2287</f>
        <v>0</v>
      </c>
      <c r="J2274">
        <f>Data!D2287</f>
        <v>0</v>
      </c>
      <c r="K2274">
        <f>Data!E2287</f>
        <v>0</v>
      </c>
      <c r="L2274">
        <f>Data!F2287</f>
        <v>0</v>
      </c>
      <c r="M2274">
        <f>Data!G2287</f>
        <v>0</v>
      </c>
      <c r="N2274">
        <f>Data!H2287</f>
        <v>0</v>
      </c>
      <c r="O2274">
        <f>Data!I2287</f>
        <v>0</v>
      </c>
      <c r="P2274" s="21">
        <f>Data!J2291</f>
        <v>0</v>
      </c>
      <c r="Q2274">
        <f>Data!K2291</f>
        <v>0</v>
      </c>
      <c r="R2274">
        <f>Data!L2291</f>
        <v>0</v>
      </c>
      <c r="S2274">
        <f>Data!M2291</f>
        <v>0</v>
      </c>
      <c r="T2274">
        <f>Data!N2291</f>
        <v>0</v>
      </c>
      <c r="U2274">
        <f>Data!O2291</f>
        <v>0</v>
      </c>
      <c r="V2274" s="33">
        <f>Data!P2289</f>
        <v>0</v>
      </c>
    </row>
    <row r="2275" spans="7:22" x14ac:dyDescent="0.25">
      <c r="G2275">
        <f>Data!A2288</f>
        <v>0</v>
      </c>
      <c r="H2275" s="21">
        <f>Data!B2288</f>
        <v>0</v>
      </c>
      <c r="I2275" s="21">
        <f>Data!C2288</f>
        <v>0</v>
      </c>
      <c r="J2275">
        <f>Data!D2288</f>
        <v>0</v>
      </c>
      <c r="K2275">
        <f>Data!E2288</f>
        <v>0</v>
      </c>
      <c r="L2275">
        <f>Data!F2288</f>
        <v>0</v>
      </c>
      <c r="M2275">
        <f>Data!G2288</f>
        <v>0</v>
      </c>
      <c r="N2275">
        <f>Data!H2288</f>
        <v>0</v>
      </c>
      <c r="O2275">
        <f>Data!I2288</f>
        <v>0</v>
      </c>
      <c r="P2275" s="21">
        <f>Data!J2292</f>
        <v>0</v>
      </c>
      <c r="Q2275">
        <f>Data!K2292</f>
        <v>0</v>
      </c>
      <c r="R2275">
        <f>Data!L2292</f>
        <v>0</v>
      </c>
      <c r="S2275">
        <f>Data!M2292</f>
        <v>0</v>
      </c>
      <c r="T2275">
        <f>Data!N2292</f>
        <v>0</v>
      </c>
      <c r="U2275">
        <f>Data!O2292</f>
        <v>0</v>
      </c>
      <c r="V2275" s="33">
        <f>Data!P2290</f>
        <v>0</v>
      </c>
    </row>
    <row r="2276" spans="7:22" x14ac:dyDescent="0.25">
      <c r="G2276">
        <f>Data!A2289</f>
        <v>0</v>
      </c>
      <c r="H2276" s="21">
        <f>Data!B2289</f>
        <v>0</v>
      </c>
      <c r="I2276" s="21">
        <f>Data!C2289</f>
        <v>0</v>
      </c>
      <c r="J2276">
        <f>Data!D2289</f>
        <v>0</v>
      </c>
      <c r="K2276">
        <f>Data!E2289</f>
        <v>0</v>
      </c>
      <c r="L2276">
        <f>Data!F2289</f>
        <v>0</v>
      </c>
      <c r="M2276">
        <f>Data!G2289</f>
        <v>0</v>
      </c>
      <c r="N2276">
        <f>Data!H2289</f>
        <v>0</v>
      </c>
      <c r="O2276">
        <f>Data!I2289</f>
        <v>0</v>
      </c>
      <c r="P2276" s="21">
        <f>Data!J2293</f>
        <v>0</v>
      </c>
      <c r="Q2276">
        <f>Data!K2293</f>
        <v>0</v>
      </c>
      <c r="R2276">
        <f>Data!L2293</f>
        <v>0</v>
      </c>
      <c r="S2276">
        <f>Data!M2293</f>
        <v>0</v>
      </c>
      <c r="T2276">
        <f>Data!N2293</f>
        <v>0</v>
      </c>
      <c r="U2276">
        <f>Data!O2293</f>
        <v>0</v>
      </c>
      <c r="V2276" s="33">
        <f>Data!P2291</f>
        <v>0</v>
      </c>
    </row>
    <row r="2277" spans="7:22" x14ac:dyDescent="0.25">
      <c r="G2277">
        <f>Data!A2290</f>
        <v>0</v>
      </c>
      <c r="H2277" s="21">
        <f>Data!B2290</f>
        <v>0</v>
      </c>
      <c r="I2277" s="21">
        <f>Data!C2290</f>
        <v>0</v>
      </c>
      <c r="J2277">
        <f>Data!D2290</f>
        <v>0</v>
      </c>
      <c r="K2277">
        <f>Data!E2290</f>
        <v>0</v>
      </c>
      <c r="L2277">
        <f>Data!F2290</f>
        <v>0</v>
      </c>
      <c r="M2277">
        <f>Data!G2290</f>
        <v>0</v>
      </c>
      <c r="N2277">
        <f>Data!H2290</f>
        <v>0</v>
      </c>
      <c r="O2277">
        <f>Data!I2290</f>
        <v>0</v>
      </c>
      <c r="P2277" s="21">
        <f>Data!J2294</f>
        <v>0</v>
      </c>
      <c r="Q2277">
        <f>Data!K2294</f>
        <v>0</v>
      </c>
      <c r="R2277">
        <f>Data!L2294</f>
        <v>0</v>
      </c>
      <c r="S2277">
        <f>Data!M2294</f>
        <v>0</v>
      </c>
      <c r="T2277">
        <f>Data!N2294</f>
        <v>0</v>
      </c>
      <c r="U2277">
        <f>Data!O2294</f>
        <v>0</v>
      </c>
      <c r="V2277" s="33">
        <f>Data!P2292</f>
        <v>0</v>
      </c>
    </row>
    <row r="2278" spans="7:22" x14ac:dyDescent="0.25">
      <c r="G2278">
        <f>Data!A2291</f>
        <v>0</v>
      </c>
      <c r="H2278" s="21">
        <f>Data!B2291</f>
        <v>0</v>
      </c>
      <c r="I2278" s="21">
        <f>Data!C2291</f>
        <v>0</v>
      </c>
      <c r="J2278">
        <f>Data!D2291</f>
        <v>0</v>
      </c>
      <c r="K2278">
        <f>Data!E2291</f>
        <v>0</v>
      </c>
      <c r="L2278">
        <f>Data!F2291</f>
        <v>0</v>
      </c>
      <c r="M2278">
        <f>Data!G2291</f>
        <v>0</v>
      </c>
      <c r="N2278">
        <f>Data!H2291</f>
        <v>0</v>
      </c>
      <c r="O2278">
        <f>Data!I2291</f>
        <v>0</v>
      </c>
      <c r="P2278" s="21">
        <f>Data!J2295</f>
        <v>0</v>
      </c>
      <c r="Q2278">
        <f>Data!K2295</f>
        <v>0</v>
      </c>
      <c r="R2278">
        <f>Data!L2295</f>
        <v>0</v>
      </c>
      <c r="S2278">
        <f>Data!M2295</f>
        <v>0</v>
      </c>
      <c r="T2278">
        <f>Data!N2295</f>
        <v>0</v>
      </c>
      <c r="U2278">
        <f>Data!O2295</f>
        <v>0</v>
      </c>
      <c r="V2278" s="33">
        <f>Data!P2293</f>
        <v>0</v>
      </c>
    </row>
    <row r="2279" spans="7:22" x14ac:dyDescent="0.25">
      <c r="G2279">
        <f>Data!A2292</f>
        <v>0</v>
      </c>
      <c r="H2279" s="21">
        <f>Data!B2292</f>
        <v>0</v>
      </c>
      <c r="I2279" s="21">
        <f>Data!C2292</f>
        <v>0</v>
      </c>
      <c r="J2279">
        <f>Data!D2292</f>
        <v>0</v>
      </c>
      <c r="K2279">
        <f>Data!E2292</f>
        <v>0</v>
      </c>
      <c r="L2279">
        <f>Data!F2292</f>
        <v>0</v>
      </c>
      <c r="M2279">
        <f>Data!G2292</f>
        <v>0</v>
      </c>
      <c r="N2279">
        <f>Data!H2292</f>
        <v>0</v>
      </c>
      <c r="O2279">
        <f>Data!I2292</f>
        <v>0</v>
      </c>
      <c r="P2279" s="21">
        <f>Data!J2296</f>
        <v>0</v>
      </c>
      <c r="Q2279">
        <f>Data!K2296</f>
        <v>0</v>
      </c>
      <c r="R2279">
        <f>Data!L2296</f>
        <v>0</v>
      </c>
      <c r="S2279">
        <f>Data!M2296</f>
        <v>0</v>
      </c>
      <c r="T2279">
        <f>Data!N2296</f>
        <v>0</v>
      </c>
      <c r="U2279">
        <f>Data!O2296</f>
        <v>0</v>
      </c>
      <c r="V2279" s="33">
        <f>Data!P2294</f>
        <v>0</v>
      </c>
    </row>
    <row r="2280" spans="7:22" x14ac:dyDescent="0.25">
      <c r="G2280">
        <f>Data!A2293</f>
        <v>0</v>
      </c>
      <c r="H2280" s="21">
        <f>Data!B2293</f>
        <v>0</v>
      </c>
      <c r="I2280" s="21">
        <f>Data!C2293</f>
        <v>0</v>
      </c>
      <c r="J2280">
        <f>Data!D2293</f>
        <v>0</v>
      </c>
      <c r="K2280">
        <f>Data!E2293</f>
        <v>0</v>
      </c>
      <c r="L2280">
        <f>Data!F2293</f>
        <v>0</v>
      </c>
      <c r="M2280">
        <f>Data!G2293</f>
        <v>0</v>
      </c>
      <c r="N2280">
        <f>Data!H2293</f>
        <v>0</v>
      </c>
      <c r="O2280">
        <f>Data!I2293</f>
        <v>0</v>
      </c>
      <c r="P2280" s="21">
        <f>Data!J2297</f>
        <v>0</v>
      </c>
      <c r="Q2280">
        <f>Data!K2297</f>
        <v>0</v>
      </c>
      <c r="R2280">
        <f>Data!L2297</f>
        <v>0</v>
      </c>
      <c r="S2280">
        <f>Data!M2297</f>
        <v>0</v>
      </c>
      <c r="T2280">
        <f>Data!N2297</f>
        <v>0</v>
      </c>
      <c r="U2280">
        <f>Data!O2297</f>
        <v>0</v>
      </c>
      <c r="V2280" s="33">
        <f>Data!P2295</f>
        <v>0</v>
      </c>
    </row>
    <row r="2281" spans="7:22" x14ac:dyDescent="0.25">
      <c r="G2281">
        <f>Data!A2294</f>
        <v>0</v>
      </c>
      <c r="H2281" s="21">
        <f>Data!B2294</f>
        <v>0</v>
      </c>
      <c r="I2281" s="21">
        <f>Data!C2294</f>
        <v>0</v>
      </c>
      <c r="J2281">
        <f>Data!D2294</f>
        <v>0</v>
      </c>
      <c r="K2281">
        <f>Data!E2294</f>
        <v>0</v>
      </c>
      <c r="L2281">
        <f>Data!F2294</f>
        <v>0</v>
      </c>
      <c r="M2281">
        <f>Data!G2294</f>
        <v>0</v>
      </c>
      <c r="N2281">
        <f>Data!H2294</f>
        <v>0</v>
      </c>
      <c r="O2281">
        <f>Data!I2294</f>
        <v>0</v>
      </c>
      <c r="P2281" s="21">
        <f>Data!J2298</f>
        <v>0</v>
      </c>
      <c r="Q2281">
        <f>Data!K2298</f>
        <v>0</v>
      </c>
      <c r="R2281">
        <f>Data!L2298</f>
        <v>0</v>
      </c>
      <c r="S2281">
        <f>Data!M2298</f>
        <v>0</v>
      </c>
      <c r="T2281">
        <f>Data!N2298</f>
        <v>0</v>
      </c>
      <c r="U2281">
        <f>Data!O2298</f>
        <v>0</v>
      </c>
      <c r="V2281" s="33">
        <f>Data!P2296</f>
        <v>0</v>
      </c>
    </row>
    <row r="2282" spans="7:22" x14ac:dyDescent="0.25">
      <c r="G2282">
        <f>Data!A2295</f>
        <v>0</v>
      </c>
      <c r="H2282" s="21">
        <f>Data!B2295</f>
        <v>0</v>
      </c>
      <c r="I2282" s="21">
        <f>Data!C2295</f>
        <v>0</v>
      </c>
      <c r="J2282">
        <f>Data!D2295</f>
        <v>0</v>
      </c>
      <c r="K2282">
        <f>Data!E2295</f>
        <v>0</v>
      </c>
      <c r="L2282">
        <f>Data!F2295</f>
        <v>0</v>
      </c>
      <c r="M2282">
        <f>Data!G2295</f>
        <v>0</v>
      </c>
      <c r="N2282">
        <f>Data!H2295</f>
        <v>0</v>
      </c>
      <c r="O2282">
        <f>Data!I2295</f>
        <v>0</v>
      </c>
      <c r="P2282" s="21">
        <f>Data!J2299</f>
        <v>0</v>
      </c>
      <c r="Q2282">
        <f>Data!K2299</f>
        <v>0</v>
      </c>
      <c r="R2282">
        <f>Data!L2299</f>
        <v>0</v>
      </c>
      <c r="S2282">
        <f>Data!M2299</f>
        <v>0</v>
      </c>
      <c r="T2282">
        <f>Data!N2299</f>
        <v>0</v>
      </c>
      <c r="U2282">
        <f>Data!O2299</f>
        <v>0</v>
      </c>
      <c r="V2282" s="33">
        <f>Data!P2297</f>
        <v>0</v>
      </c>
    </row>
    <row r="2283" spans="7:22" x14ac:dyDescent="0.25">
      <c r="G2283">
        <f>Data!A2296</f>
        <v>0</v>
      </c>
      <c r="H2283" s="21">
        <f>Data!B2296</f>
        <v>0</v>
      </c>
      <c r="I2283" s="21">
        <f>Data!C2296</f>
        <v>0</v>
      </c>
      <c r="J2283">
        <f>Data!D2296</f>
        <v>0</v>
      </c>
      <c r="K2283">
        <f>Data!E2296</f>
        <v>0</v>
      </c>
      <c r="L2283">
        <f>Data!F2296</f>
        <v>0</v>
      </c>
      <c r="M2283">
        <f>Data!G2296</f>
        <v>0</v>
      </c>
      <c r="N2283">
        <f>Data!H2296</f>
        <v>0</v>
      </c>
      <c r="O2283">
        <f>Data!I2296</f>
        <v>0</v>
      </c>
      <c r="P2283" s="21">
        <f>Data!J2300</f>
        <v>0</v>
      </c>
      <c r="Q2283">
        <f>Data!K2300</f>
        <v>0</v>
      </c>
      <c r="R2283">
        <f>Data!L2300</f>
        <v>0</v>
      </c>
      <c r="S2283">
        <f>Data!M2300</f>
        <v>0</v>
      </c>
      <c r="T2283">
        <f>Data!N2300</f>
        <v>0</v>
      </c>
      <c r="U2283">
        <f>Data!O2300</f>
        <v>0</v>
      </c>
      <c r="V2283" s="33">
        <f>Data!P2298</f>
        <v>0</v>
      </c>
    </row>
    <row r="2284" spans="7:22" x14ac:dyDescent="0.25">
      <c r="G2284">
        <f>Data!A2297</f>
        <v>0</v>
      </c>
      <c r="H2284" s="21">
        <f>Data!B2297</f>
        <v>0</v>
      </c>
      <c r="I2284" s="21">
        <f>Data!C2297</f>
        <v>0</v>
      </c>
      <c r="J2284">
        <f>Data!D2297</f>
        <v>0</v>
      </c>
      <c r="K2284">
        <f>Data!E2297</f>
        <v>0</v>
      </c>
      <c r="L2284">
        <f>Data!F2297</f>
        <v>0</v>
      </c>
      <c r="M2284">
        <f>Data!G2297</f>
        <v>0</v>
      </c>
      <c r="N2284">
        <f>Data!H2297</f>
        <v>0</v>
      </c>
      <c r="O2284">
        <f>Data!I2297</f>
        <v>0</v>
      </c>
      <c r="P2284" s="21">
        <f>Data!J2301</f>
        <v>0</v>
      </c>
      <c r="Q2284">
        <f>Data!K2301</f>
        <v>0</v>
      </c>
      <c r="R2284">
        <f>Data!L2301</f>
        <v>0</v>
      </c>
      <c r="S2284">
        <f>Data!M2301</f>
        <v>0</v>
      </c>
      <c r="T2284">
        <f>Data!N2301</f>
        <v>0</v>
      </c>
      <c r="U2284">
        <f>Data!O2301</f>
        <v>0</v>
      </c>
      <c r="V2284" s="33">
        <f>Data!P2299</f>
        <v>0</v>
      </c>
    </row>
    <row r="2285" spans="7:22" x14ac:dyDescent="0.25">
      <c r="G2285">
        <f>Data!A2298</f>
        <v>0</v>
      </c>
      <c r="H2285" s="21">
        <f>Data!B2298</f>
        <v>0</v>
      </c>
      <c r="I2285" s="21">
        <f>Data!C2298</f>
        <v>0</v>
      </c>
      <c r="J2285">
        <f>Data!D2298</f>
        <v>0</v>
      </c>
      <c r="K2285">
        <f>Data!E2298</f>
        <v>0</v>
      </c>
      <c r="L2285">
        <f>Data!F2298</f>
        <v>0</v>
      </c>
      <c r="M2285">
        <f>Data!G2298</f>
        <v>0</v>
      </c>
      <c r="N2285">
        <f>Data!H2298</f>
        <v>0</v>
      </c>
      <c r="O2285">
        <f>Data!I2298</f>
        <v>0</v>
      </c>
      <c r="P2285" s="21">
        <f>Data!J2302</f>
        <v>0</v>
      </c>
      <c r="Q2285">
        <f>Data!K2302</f>
        <v>0</v>
      </c>
      <c r="R2285">
        <f>Data!L2302</f>
        <v>0</v>
      </c>
      <c r="S2285">
        <f>Data!M2302</f>
        <v>0</v>
      </c>
      <c r="T2285">
        <f>Data!N2302</f>
        <v>0</v>
      </c>
      <c r="U2285">
        <f>Data!O2302</f>
        <v>0</v>
      </c>
      <c r="V2285" s="33">
        <f>Data!P2300</f>
        <v>0</v>
      </c>
    </row>
    <row r="2286" spans="7:22" x14ac:dyDescent="0.25">
      <c r="G2286">
        <f>Data!A2299</f>
        <v>0</v>
      </c>
      <c r="H2286" s="21">
        <f>Data!B2299</f>
        <v>0</v>
      </c>
      <c r="I2286" s="21">
        <f>Data!C2299</f>
        <v>0</v>
      </c>
      <c r="J2286">
        <f>Data!D2299</f>
        <v>0</v>
      </c>
      <c r="K2286">
        <f>Data!E2299</f>
        <v>0</v>
      </c>
      <c r="L2286">
        <f>Data!F2299</f>
        <v>0</v>
      </c>
      <c r="M2286">
        <f>Data!G2299</f>
        <v>0</v>
      </c>
      <c r="N2286">
        <f>Data!H2299</f>
        <v>0</v>
      </c>
      <c r="O2286">
        <f>Data!I2299</f>
        <v>0</v>
      </c>
      <c r="P2286" s="21">
        <f>Data!J2303</f>
        <v>0</v>
      </c>
      <c r="Q2286">
        <f>Data!K2303</f>
        <v>0</v>
      </c>
      <c r="R2286">
        <f>Data!L2303</f>
        <v>0</v>
      </c>
      <c r="S2286">
        <f>Data!M2303</f>
        <v>0</v>
      </c>
      <c r="T2286">
        <f>Data!N2303</f>
        <v>0</v>
      </c>
      <c r="U2286">
        <f>Data!O2303</f>
        <v>0</v>
      </c>
      <c r="V2286" s="33">
        <f>Data!P2301</f>
        <v>0</v>
      </c>
    </row>
    <row r="2287" spans="7:22" x14ac:dyDescent="0.25">
      <c r="G2287">
        <f>Data!A2300</f>
        <v>0</v>
      </c>
      <c r="H2287" s="21">
        <f>Data!B2300</f>
        <v>0</v>
      </c>
      <c r="I2287" s="21">
        <f>Data!C2300</f>
        <v>0</v>
      </c>
      <c r="J2287">
        <f>Data!D2300</f>
        <v>0</v>
      </c>
      <c r="K2287">
        <f>Data!E2300</f>
        <v>0</v>
      </c>
      <c r="L2287">
        <f>Data!F2300</f>
        <v>0</v>
      </c>
      <c r="M2287">
        <f>Data!G2300</f>
        <v>0</v>
      </c>
      <c r="N2287">
        <f>Data!H2300</f>
        <v>0</v>
      </c>
      <c r="O2287">
        <f>Data!I2300</f>
        <v>0</v>
      </c>
      <c r="P2287" s="21">
        <f>Data!J2304</f>
        <v>0</v>
      </c>
      <c r="Q2287">
        <f>Data!K2304</f>
        <v>0</v>
      </c>
      <c r="R2287">
        <f>Data!L2304</f>
        <v>0</v>
      </c>
      <c r="S2287">
        <f>Data!M2304</f>
        <v>0</v>
      </c>
      <c r="T2287">
        <f>Data!N2304</f>
        <v>0</v>
      </c>
      <c r="U2287">
        <f>Data!O2304</f>
        <v>0</v>
      </c>
      <c r="V2287" s="33">
        <f>Data!P2302</f>
        <v>0</v>
      </c>
    </row>
    <row r="2288" spans="7:22" x14ac:dyDescent="0.25">
      <c r="G2288">
        <f>Data!A2301</f>
        <v>0</v>
      </c>
      <c r="H2288" s="21">
        <f>Data!B2301</f>
        <v>0</v>
      </c>
      <c r="I2288" s="21">
        <f>Data!C2301</f>
        <v>0</v>
      </c>
      <c r="J2288">
        <f>Data!D2301</f>
        <v>0</v>
      </c>
      <c r="K2288">
        <f>Data!E2301</f>
        <v>0</v>
      </c>
      <c r="L2288">
        <f>Data!F2301</f>
        <v>0</v>
      </c>
      <c r="M2288">
        <f>Data!G2301</f>
        <v>0</v>
      </c>
      <c r="N2288">
        <f>Data!H2301</f>
        <v>0</v>
      </c>
      <c r="O2288">
        <f>Data!I2301</f>
        <v>0</v>
      </c>
      <c r="P2288" s="21">
        <f>Data!J2305</f>
        <v>0</v>
      </c>
      <c r="Q2288">
        <f>Data!K2305</f>
        <v>0</v>
      </c>
      <c r="R2288">
        <f>Data!L2305</f>
        <v>0</v>
      </c>
      <c r="S2288">
        <f>Data!M2305</f>
        <v>0</v>
      </c>
      <c r="T2288">
        <f>Data!N2305</f>
        <v>0</v>
      </c>
      <c r="U2288">
        <f>Data!O2305</f>
        <v>0</v>
      </c>
      <c r="V2288" s="33">
        <f>Data!P2303</f>
        <v>0</v>
      </c>
    </row>
    <row r="2289" spans="7:22" x14ac:dyDescent="0.25">
      <c r="G2289">
        <f>Data!A2302</f>
        <v>0</v>
      </c>
      <c r="H2289" s="21">
        <f>Data!B2302</f>
        <v>0</v>
      </c>
      <c r="I2289" s="21">
        <f>Data!C2302</f>
        <v>0</v>
      </c>
      <c r="J2289">
        <f>Data!D2302</f>
        <v>0</v>
      </c>
      <c r="K2289">
        <f>Data!E2302</f>
        <v>0</v>
      </c>
      <c r="L2289">
        <f>Data!F2302</f>
        <v>0</v>
      </c>
      <c r="M2289">
        <f>Data!G2302</f>
        <v>0</v>
      </c>
      <c r="N2289">
        <f>Data!H2302</f>
        <v>0</v>
      </c>
      <c r="O2289">
        <f>Data!I2302</f>
        <v>0</v>
      </c>
      <c r="P2289" s="21">
        <f>Data!J2306</f>
        <v>0</v>
      </c>
      <c r="Q2289">
        <f>Data!K2306</f>
        <v>0</v>
      </c>
      <c r="R2289">
        <f>Data!L2306</f>
        <v>0</v>
      </c>
      <c r="S2289">
        <f>Data!M2306</f>
        <v>0</v>
      </c>
      <c r="T2289">
        <f>Data!N2306</f>
        <v>0</v>
      </c>
      <c r="U2289">
        <f>Data!O2306</f>
        <v>0</v>
      </c>
      <c r="V2289" s="33">
        <f>Data!P2304</f>
        <v>0</v>
      </c>
    </row>
    <row r="2290" spans="7:22" x14ac:dyDescent="0.25">
      <c r="G2290">
        <f>Data!A2303</f>
        <v>0</v>
      </c>
      <c r="H2290" s="21">
        <f>Data!B2303</f>
        <v>0</v>
      </c>
      <c r="I2290" s="21">
        <f>Data!C2303</f>
        <v>0</v>
      </c>
      <c r="J2290">
        <f>Data!D2303</f>
        <v>0</v>
      </c>
      <c r="K2290">
        <f>Data!E2303</f>
        <v>0</v>
      </c>
      <c r="L2290">
        <f>Data!F2303</f>
        <v>0</v>
      </c>
      <c r="M2290">
        <f>Data!G2303</f>
        <v>0</v>
      </c>
      <c r="N2290">
        <f>Data!H2303</f>
        <v>0</v>
      </c>
      <c r="O2290">
        <f>Data!I2303</f>
        <v>0</v>
      </c>
      <c r="P2290" s="21">
        <f>Data!J2307</f>
        <v>0</v>
      </c>
      <c r="Q2290">
        <f>Data!K2307</f>
        <v>0</v>
      </c>
      <c r="R2290">
        <f>Data!L2307</f>
        <v>0</v>
      </c>
      <c r="S2290">
        <f>Data!M2307</f>
        <v>0</v>
      </c>
      <c r="T2290">
        <f>Data!N2307</f>
        <v>0</v>
      </c>
      <c r="U2290">
        <f>Data!O2307</f>
        <v>0</v>
      </c>
      <c r="V2290" s="33">
        <f>Data!P2305</f>
        <v>0</v>
      </c>
    </row>
    <row r="2291" spans="7:22" x14ac:dyDescent="0.25">
      <c r="G2291">
        <f>Data!A2304</f>
        <v>0</v>
      </c>
      <c r="H2291" s="21">
        <f>Data!B2304</f>
        <v>0</v>
      </c>
      <c r="I2291" s="21">
        <f>Data!C2304</f>
        <v>0</v>
      </c>
      <c r="J2291">
        <f>Data!D2304</f>
        <v>0</v>
      </c>
      <c r="K2291">
        <f>Data!E2304</f>
        <v>0</v>
      </c>
      <c r="L2291">
        <f>Data!F2304</f>
        <v>0</v>
      </c>
      <c r="M2291">
        <f>Data!G2304</f>
        <v>0</v>
      </c>
      <c r="N2291">
        <f>Data!H2304</f>
        <v>0</v>
      </c>
      <c r="O2291">
        <f>Data!I2304</f>
        <v>0</v>
      </c>
      <c r="P2291" s="21">
        <f>Data!J2308</f>
        <v>0</v>
      </c>
      <c r="Q2291">
        <f>Data!K2308</f>
        <v>0</v>
      </c>
      <c r="R2291">
        <f>Data!L2308</f>
        <v>0</v>
      </c>
      <c r="S2291">
        <f>Data!M2308</f>
        <v>0</v>
      </c>
      <c r="T2291">
        <f>Data!N2308</f>
        <v>0</v>
      </c>
      <c r="U2291">
        <f>Data!O2308</f>
        <v>0</v>
      </c>
      <c r="V2291" s="33">
        <f>Data!P2306</f>
        <v>0</v>
      </c>
    </row>
    <row r="2292" spans="7:22" x14ac:dyDescent="0.25">
      <c r="G2292">
        <f>Data!A2305</f>
        <v>0</v>
      </c>
      <c r="H2292" s="21">
        <f>Data!B2305</f>
        <v>0</v>
      </c>
      <c r="I2292" s="21">
        <f>Data!C2305</f>
        <v>0</v>
      </c>
      <c r="J2292">
        <f>Data!D2305</f>
        <v>0</v>
      </c>
      <c r="K2292">
        <f>Data!E2305</f>
        <v>0</v>
      </c>
      <c r="L2292">
        <f>Data!F2305</f>
        <v>0</v>
      </c>
      <c r="M2292">
        <f>Data!G2305</f>
        <v>0</v>
      </c>
      <c r="N2292">
        <f>Data!H2305</f>
        <v>0</v>
      </c>
      <c r="O2292">
        <f>Data!I2305</f>
        <v>0</v>
      </c>
      <c r="P2292" s="21">
        <f>Data!J2309</f>
        <v>0</v>
      </c>
      <c r="Q2292">
        <f>Data!K2309</f>
        <v>0</v>
      </c>
      <c r="R2292">
        <f>Data!L2309</f>
        <v>0</v>
      </c>
      <c r="S2292">
        <f>Data!M2309</f>
        <v>0</v>
      </c>
      <c r="T2292">
        <f>Data!N2309</f>
        <v>0</v>
      </c>
      <c r="U2292">
        <f>Data!O2309</f>
        <v>0</v>
      </c>
      <c r="V2292" s="33">
        <f>Data!P2307</f>
        <v>0</v>
      </c>
    </row>
    <row r="2293" spans="7:22" x14ac:dyDescent="0.25">
      <c r="G2293">
        <f>Data!A2306</f>
        <v>0</v>
      </c>
      <c r="H2293" s="21">
        <f>Data!B2306</f>
        <v>0</v>
      </c>
      <c r="I2293" s="21">
        <f>Data!C2306</f>
        <v>0</v>
      </c>
      <c r="J2293">
        <f>Data!D2306</f>
        <v>0</v>
      </c>
      <c r="K2293">
        <f>Data!E2306</f>
        <v>0</v>
      </c>
      <c r="L2293">
        <f>Data!F2306</f>
        <v>0</v>
      </c>
      <c r="M2293">
        <f>Data!G2306</f>
        <v>0</v>
      </c>
      <c r="N2293">
        <f>Data!H2306</f>
        <v>0</v>
      </c>
      <c r="O2293">
        <f>Data!I2306</f>
        <v>0</v>
      </c>
      <c r="P2293" s="21">
        <f>Data!J2310</f>
        <v>0</v>
      </c>
      <c r="Q2293">
        <f>Data!K2310</f>
        <v>0</v>
      </c>
      <c r="R2293">
        <f>Data!L2310</f>
        <v>0</v>
      </c>
      <c r="S2293">
        <f>Data!M2310</f>
        <v>0</v>
      </c>
      <c r="T2293">
        <f>Data!N2310</f>
        <v>0</v>
      </c>
      <c r="U2293">
        <f>Data!O2310</f>
        <v>0</v>
      </c>
      <c r="V2293" s="33">
        <f>Data!P2308</f>
        <v>0</v>
      </c>
    </row>
    <row r="2294" spans="7:22" x14ac:dyDescent="0.25">
      <c r="G2294">
        <f>Data!A2307</f>
        <v>0</v>
      </c>
      <c r="H2294" s="21">
        <f>Data!B2307</f>
        <v>0</v>
      </c>
      <c r="I2294" s="21">
        <f>Data!C2307</f>
        <v>0</v>
      </c>
      <c r="J2294">
        <f>Data!D2307</f>
        <v>0</v>
      </c>
      <c r="K2294">
        <f>Data!E2307</f>
        <v>0</v>
      </c>
      <c r="L2294">
        <f>Data!F2307</f>
        <v>0</v>
      </c>
      <c r="M2294">
        <f>Data!G2307</f>
        <v>0</v>
      </c>
      <c r="N2294">
        <f>Data!H2307</f>
        <v>0</v>
      </c>
      <c r="O2294">
        <f>Data!I2307</f>
        <v>0</v>
      </c>
      <c r="P2294" s="21">
        <f>Data!J2311</f>
        <v>0</v>
      </c>
      <c r="Q2294">
        <f>Data!K2311</f>
        <v>0</v>
      </c>
      <c r="R2294">
        <f>Data!L2311</f>
        <v>0</v>
      </c>
      <c r="S2294">
        <f>Data!M2311</f>
        <v>0</v>
      </c>
      <c r="T2294">
        <f>Data!N2311</f>
        <v>0</v>
      </c>
      <c r="U2294">
        <f>Data!O2311</f>
        <v>0</v>
      </c>
      <c r="V2294" s="33">
        <f>Data!P2309</f>
        <v>0</v>
      </c>
    </row>
    <row r="2295" spans="7:22" x14ac:dyDescent="0.25">
      <c r="G2295">
        <f>Data!A2308</f>
        <v>0</v>
      </c>
      <c r="H2295" s="21">
        <f>Data!B2308</f>
        <v>0</v>
      </c>
      <c r="I2295" s="21">
        <f>Data!C2308</f>
        <v>0</v>
      </c>
      <c r="J2295">
        <f>Data!D2308</f>
        <v>0</v>
      </c>
      <c r="K2295">
        <f>Data!E2308</f>
        <v>0</v>
      </c>
      <c r="L2295">
        <f>Data!F2308</f>
        <v>0</v>
      </c>
      <c r="M2295">
        <f>Data!G2308</f>
        <v>0</v>
      </c>
      <c r="N2295">
        <f>Data!H2308</f>
        <v>0</v>
      </c>
      <c r="O2295">
        <f>Data!I2308</f>
        <v>0</v>
      </c>
      <c r="P2295" s="21">
        <f>Data!J2312</f>
        <v>0</v>
      </c>
      <c r="Q2295">
        <f>Data!K2312</f>
        <v>0</v>
      </c>
      <c r="R2295">
        <f>Data!L2312</f>
        <v>0</v>
      </c>
      <c r="S2295">
        <f>Data!M2312</f>
        <v>0</v>
      </c>
      <c r="T2295">
        <f>Data!N2312</f>
        <v>0</v>
      </c>
      <c r="U2295">
        <f>Data!O2312</f>
        <v>0</v>
      </c>
      <c r="V2295" s="33">
        <f>Data!P2310</f>
        <v>0</v>
      </c>
    </row>
    <row r="2296" spans="7:22" x14ac:dyDescent="0.25">
      <c r="G2296">
        <f>Data!A2309</f>
        <v>0</v>
      </c>
      <c r="H2296" s="21">
        <f>Data!B2309</f>
        <v>0</v>
      </c>
      <c r="I2296" s="21">
        <f>Data!C2309</f>
        <v>0</v>
      </c>
      <c r="J2296">
        <f>Data!D2309</f>
        <v>0</v>
      </c>
      <c r="K2296">
        <f>Data!E2309</f>
        <v>0</v>
      </c>
      <c r="L2296">
        <f>Data!F2309</f>
        <v>0</v>
      </c>
      <c r="M2296">
        <f>Data!G2309</f>
        <v>0</v>
      </c>
      <c r="N2296">
        <f>Data!H2309</f>
        <v>0</v>
      </c>
      <c r="O2296">
        <f>Data!I2309</f>
        <v>0</v>
      </c>
      <c r="P2296" s="21">
        <f>Data!J2313</f>
        <v>0</v>
      </c>
      <c r="Q2296">
        <f>Data!K2313</f>
        <v>0</v>
      </c>
      <c r="R2296">
        <f>Data!L2313</f>
        <v>0</v>
      </c>
      <c r="S2296">
        <f>Data!M2313</f>
        <v>0</v>
      </c>
      <c r="T2296">
        <f>Data!N2313</f>
        <v>0</v>
      </c>
      <c r="U2296">
        <f>Data!O2313</f>
        <v>0</v>
      </c>
      <c r="V2296" s="33">
        <f>Data!P2311</f>
        <v>0</v>
      </c>
    </row>
    <row r="2297" spans="7:22" x14ac:dyDescent="0.25">
      <c r="G2297">
        <f>Data!A2310</f>
        <v>0</v>
      </c>
      <c r="H2297" s="21">
        <f>Data!B2310</f>
        <v>0</v>
      </c>
      <c r="I2297" s="21">
        <f>Data!C2310</f>
        <v>0</v>
      </c>
      <c r="J2297">
        <f>Data!D2310</f>
        <v>0</v>
      </c>
      <c r="K2297">
        <f>Data!E2310</f>
        <v>0</v>
      </c>
      <c r="L2297">
        <f>Data!F2310</f>
        <v>0</v>
      </c>
      <c r="M2297">
        <f>Data!G2310</f>
        <v>0</v>
      </c>
      <c r="N2297">
        <f>Data!H2310</f>
        <v>0</v>
      </c>
      <c r="O2297">
        <f>Data!I2310</f>
        <v>0</v>
      </c>
      <c r="P2297" s="21">
        <f>Data!J2314</f>
        <v>0</v>
      </c>
      <c r="Q2297">
        <f>Data!K2314</f>
        <v>0</v>
      </c>
      <c r="R2297">
        <f>Data!L2314</f>
        <v>0</v>
      </c>
      <c r="S2297">
        <f>Data!M2314</f>
        <v>0</v>
      </c>
      <c r="T2297">
        <f>Data!N2314</f>
        <v>0</v>
      </c>
      <c r="U2297">
        <f>Data!O2314</f>
        <v>0</v>
      </c>
      <c r="V2297" s="33">
        <f>Data!P2312</f>
        <v>0</v>
      </c>
    </row>
    <row r="2298" spans="7:22" x14ac:dyDescent="0.25">
      <c r="G2298">
        <f>Data!A2311</f>
        <v>0</v>
      </c>
      <c r="H2298" s="21">
        <f>Data!B2311</f>
        <v>0</v>
      </c>
      <c r="I2298" s="21">
        <f>Data!C2311</f>
        <v>0</v>
      </c>
      <c r="J2298">
        <f>Data!D2311</f>
        <v>0</v>
      </c>
      <c r="K2298">
        <f>Data!E2311</f>
        <v>0</v>
      </c>
      <c r="L2298">
        <f>Data!F2311</f>
        <v>0</v>
      </c>
      <c r="M2298">
        <f>Data!G2311</f>
        <v>0</v>
      </c>
      <c r="N2298">
        <f>Data!H2311</f>
        <v>0</v>
      </c>
      <c r="O2298">
        <f>Data!I2311</f>
        <v>0</v>
      </c>
      <c r="P2298" s="21">
        <f>Data!J2315</f>
        <v>0</v>
      </c>
      <c r="Q2298">
        <f>Data!K2315</f>
        <v>0</v>
      </c>
      <c r="R2298">
        <f>Data!L2315</f>
        <v>0</v>
      </c>
      <c r="S2298">
        <f>Data!M2315</f>
        <v>0</v>
      </c>
      <c r="T2298">
        <f>Data!N2315</f>
        <v>0</v>
      </c>
      <c r="U2298">
        <f>Data!O2315</f>
        <v>0</v>
      </c>
      <c r="V2298" s="33">
        <f>Data!P2313</f>
        <v>0</v>
      </c>
    </row>
    <row r="2299" spans="7:22" x14ac:dyDescent="0.25">
      <c r="G2299">
        <f>Data!A2312</f>
        <v>0</v>
      </c>
      <c r="H2299" s="21">
        <f>Data!B2312</f>
        <v>0</v>
      </c>
      <c r="I2299" s="21">
        <f>Data!C2312</f>
        <v>0</v>
      </c>
      <c r="J2299">
        <f>Data!D2312</f>
        <v>0</v>
      </c>
      <c r="K2299">
        <f>Data!E2312</f>
        <v>0</v>
      </c>
      <c r="L2299">
        <f>Data!F2312</f>
        <v>0</v>
      </c>
      <c r="M2299">
        <f>Data!G2312</f>
        <v>0</v>
      </c>
      <c r="N2299">
        <f>Data!H2312</f>
        <v>0</v>
      </c>
      <c r="O2299">
        <f>Data!I2312</f>
        <v>0</v>
      </c>
      <c r="P2299" s="21">
        <f>Data!J2316</f>
        <v>0</v>
      </c>
      <c r="Q2299">
        <f>Data!K2316</f>
        <v>0</v>
      </c>
      <c r="R2299">
        <f>Data!L2316</f>
        <v>0</v>
      </c>
      <c r="S2299">
        <f>Data!M2316</f>
        <v>0</v>
      </c>
      <c r="T2299">
        <f>Data!N2316</f>
        <v>0</v>
      </c>
      <c r="U2299">
        <f>Data!O2316</f>
        <v>0</v>
      </c>
      <c r="V2299" s="33">
        <f>Data!P2314</f>
        <v>0</v>
      </c>
    </row>
    <row r="2300" spans="7:22" x14ac:dyDescent="0.25">
      <c r="G2300">
        <f>Data!A2313</f>
        <v>0</v>
      </c>
      <c r="H2300" s="21">
        <f>Data!B2313</f>
        <v>0</v>
      </c>
      <c r="I2300" s="21">
        <f>Data!C2313</f>
        <v>0</v>
      </c>
      <c r="J2300">
        <f>Data!D2313</f>
        <v>0</v>
      </c>
      <c r="K2300">
        <f>Data!E2313</f>
        <v>0</v>
      </c>
      <c r="L2300">
        <f>Data!F2313</f>
        <v>0</v>
      </c>
      <c r="M2300">
        <f>Data!G2313</f>
        <v>0</v>
      </c>
      <c r="N2300">
        <f>Data!H2313</f>
        <v>0</v>
      </c>
      <c r="O2300">
        <f>Data!I2313</f>
        <v>0</v>
      </c>
      <c r="P2300" s="21">
        <f>Data!J2317</f>
        <v>0</v>
      </c>
      <c r="Q2300">
        <f>Data!K2317</f>
        <v>0</v>
      </c>
      <c r="R2300">
        <f>Data!L2317</f>
        <v>0</v>
      </c>
      <c r="S2300">
        <f>Data!M2317</f>
        <v>0</v>
      </c>
      <c r="T2300">
        <f>Data!N2317</f>
        <v>0</v>
      </c>
      <c r="U2300">
        <f>Data!O2317</f>
        <v>0</v>
      </c>
      <c r="V2300" s="33">
        <f>Data!P2315</f>
        <v>0</v>
      </c>
    </row>
    <row r="2301" spans="7:22" x14ac:dyDescent="0.25">
      <c r="G2301">
        <f>Data!A2314</f>
        <v>0</v>
      </c>
      <c r="H2301" s="21">
        <f>Data!B2314</f>
        <v>0</v>
      </c>
      <c r="I2301" s="21">
        <f>Data!C2314</f>
        <v>0</v>
      </c>
      <c r="J2301">
        <f>Data!D2314</f>
        <v>0</v>
      </c>
      <c r="K2301">
        <f>Data!E2314</f>
        <v>0</v>
      </c>
      <c r="L2301">
        <f>Data!F2314</f>
        <v>0</v>
      </c>
      <c r="M2301">
        <f>Data!G2314</f>
        <v>0</v>
      </c>
      <c r="N2301">
        <f>Data!H2314</f>
        <v>0</v>
      </c>
      <c r="O2301">
        <f>Data!I2314</f>
        <v>0</v>
      </c>
      <c r="P2301" s="21">
        <f>Data!J2318</f>
        <v>0</v>
      </c>
      <c r="Q2301">
        <f>Data!K2318</f>
        <v>0</v>
      </c>
      <c r="R2301">
        <f>Data!L2318</f>
        <v>0</v>
      </c>
      <c r="S2301">
        <f>Data!M2318</f>
        <v>0</v>
      </c>
      <c r="T2301">
        <f>Data!N2318</f>
        <v>0</v>
      </c>
      <c r="U2301">
        <f>Data!O2318</f>
        <v>0</v>
      </c>
      <c r="V2301" s="33">
        <f>Data!P2316</f>
        <v>0</v>
      </c>
    </row>
    <row r="2302" spans="7:22" x14ac:dyDescent="0.25">
      <c r="G2302">
        <f>Data!A2315</f>
        <v>0</v>
      </c>
      <c r="H2302" s="21">
        <f>Data!B2315</f>
        <v>0</v>
      </c>
      <c r="I2302" s="21">
        <f>Data!C2315</f>
        <v>0</v>
      </c>
      <c r="J2302">
        <f>Data!D2315</f>
        <v>0</v>
      </c>
      <c r="K2302">
        <f>Data!E2315</f>
        <v>0</v>
      </c>
      <c r="L2302">
        <f>Data!F2315</f>
        <v>0</v>
      </c>
      <c r="M2302">
        <f>Data!G2315</f>
        <v>0</v>
      </c>
      <c r="N2302">
        <f>Data!H2315</f>
        <v>0</v>
      </c>
      <c r="O2302">
        <f>Data!I2315</f>
        <v>0</v>
      </c>
      <c r="P2302" s="21">
        <f>Data!J2319</f>
        <v>0</v>
      </c>
      <c r="Q2302">
        <f>Data!K2319</f>
        <v>0</v>
      </c>
      <c r="R2302">
        <f>Data!L2319</f>
        <v>0</v>
      </c>
      <c r="S2302">
        <f>Data!M2319</f>
        <v>0</v>
      </c>
      <c r="T2302">
        <f>Data!N2319</f>
        <v>0</v>
      </c>
      <c r="U2302">
        <f>Data!O2319</f>
        <v>0</v>
      </c>
      <c r="V2302" s="33">
        <f>Data!P2317</f>
        <v>0</v>
      </c>
    </row>
    <row r="2303" spans="7:22" x14ac:dyDescent="0.25">
      <c r="G2303">
        <f>Data!A2316</f>
        <v>0</v>
      </c>
      <c r="H2303" s="21">
        <f>Data!B2316</f>
        <v>0</v>
      </c>
      <c r="I2303" s="21">
        <f>Data!C2316</f>
        <v>0</v>
      </c>
      <c r="J2303">
        <f>Data!D2316</f>
        <v>0</v>
      </c>
      <c r="K2303">
        <f>Data!E2316</f>
        <v>0</v>
      </c>
      <c r="L2303">
        <f>Data!F2316</f>
        <v>0</v>
      </c>
      <c r="M2303">
        <f>Data!G2316</f>
        <v>0</v>
      </c>
      <c r="N2303">
        <f>Data!H2316</f>
        <v>0</v>
      </c>
      <c r="O2303">
        <f>Data!I2316</f>
        <v>0</v>
      </c>
      <c r="P2303" s="21">
        <f>Data!J2320</f>
        <v>0</v>
      </c>
      <c r="Q2303">
        <f>Data!K2320</f>
        <v>0</v>
      </c>
      <c r="R2303">
        <f>Data!L2320</f>
        <v>0</v>
      </c>
      <c r="S2303">
        <f>Data!M2320</f>
        <v>0</v>
      </c>
      <c r="T2303">
        <f>Data!N2320</f>
        <v>0</v>
      </c>
      <c r="U2303">
        <f>Data!O2320</f>
        <v>0</v>
      </c>
      <c r="V2303" s="33">
        <f>Data!P2318</f>
        <v>0</v>
      </c>
    </row>
    <row r="2304" spans="7:22" x14ac:dyDescent="0.25">
      <c r="G2304">
        <f>Data!A2317</f>
        <v>0</v>
      </c>
      <c r="H2304" s="21">
        <f>Data!B2317</f>
        <v>0</v>
      </c>
      <c r="I2304" s="21">
        <f>Data!C2317</f>
        <v>0</v>
      </c>
      <c r="J2304">
        <f>Data!D2317</f>
        <v>0</v>
      </c>
      <c r="K2304">
        <f>Data!E2317</f>
        <v>0</v>
      </c>
      <c r="L2304">
        <f>Data!F2317</f>
        <v>0</v>
      </c>
      <c r="M2304">
        <f>Data!G2317</f>
        <v>0</v>
      </c>
      <c r="N2304">
        <f>Data!H2317</f>
        <v>0</v>
      </c>
      <c r="O2304">
        <f>Data!I2317</f>
        <v>0</v>
      </c>
      <c r="P2304" s="21">
        <f>Data!J2321</f>
        <v>0</v>
      </c>
      <c r="Q2304">
        <f>Data!K2321</f>
        <v>0</v>
      </c>
      <c r="R2304">
        <f>Data!L2321</f>
        <v>0</v>
      </c>
      <c r="S2304">
        <f>Data!M2321</f>
        <v>0</v>
      </c>
      <c r="T2304">
        <f>Data!N2321</f>
        <v>0</v>
      </c>
      <c r="U2304">
        <f>Data!O2321</f>
        <v>0</v>
      </c>
      <c r="V2304" s="33">
        <f>Data!P2319</f>
        <v>0</v>
      </c>
    </row>
    <row r="2305" spans="7:22" x14ac:dyDescent="0.25">
      <c r="G2305">
        <f>Data!A2318</f>
        <v>0</v>
      </c>
      <c r="H2305" s="21">
        <f>Data!B2318</f>
        <v>0</v>
      </c>
      <c r="I2305" s="21">
        <f>Data!C2318</f>
        <v>0</v>
      </c>
      <c r="J2305">
        <f>Data!D2318</f>
        <v>0</v>
      </c>
      <c r="K2305">
        <f>Data!E2318</f>
        <v>0</v>
      </c>
      <c r="L2305">
        <f>Data!F2318</f>
        <v>0</v>
      </c>
      <c r="M2305">
        <f>Data!G2318</f>
        <v>0</v>
      </c>
      <c r="N2305">
        <f>Data!H2318</f>
        <v>0</v>
      </c>
      <c r="O2305">
        <f>Data!I2318</f>
        <v>0</v>
      </c>
      <c r="P2305" s="21">
        <f>Data!J2322</f>
        <v>0</v>
      </c>
      <c r="Q2305">
        <f>Data!K2322</f>
        <v>0</v>
      </c>
      <c r="R2305">
        <f>Data!L2322</f>
        <v>0</v>
      </c>
      <c r="S2305">
        <f>Data!M2322</f>
        <v>0</v>
      </c>
      <c r="T2305">
        <f>Data!N2322</f>
        <v>0</v>
      </c>
      <c r="U2305">
        <f>Data!O2322</f>
        <v>0</v>
      </c>
      <c r="V2305" s="33">
        <f>Data!P2320</f>
        <v>0</v>
      </c>
    </row>
    <row r="2306" spans="7:22" x14ac:dyDescent="0.25">
      <c r="G2306">
        <f>Data!A2319</f>
        <v>0</v>
      </c>
      <c r="H2306" s="21">
        <f>Data!B2319</f>
        <v>0</v>
      </c>
      <c r="I2306" s="21">
        <f>Data!C2319</f>
        <v>0</v>
      </c>
      <c r="J2306">
        <f>Data!D2319</f>
        <v>0</v>
      </c>
      <c r="K2306">
        <f>Data!E2319</f>
        <v>0</v>
      </c>
      <c r="L2306">
        <f>Data!F2319</f>
        <v>0</v>
      </c>
      <c r="M2306">
        <f>Data!G2319</f>
        <v>0</v>
      </c>
      <c r="N2306">
        <f>Data!H2319</f>
        <v>0</v>
      </c>
      <c r="O2306">
        <f>Data!I2319</f>
        <v>0</v>
      </c>
      <c r="P2306" s="21">
        <f>Data!J2323</f>
        <v>0</v>
      </c>
      <c r="Q2306">
        <f>Data!K2323</f>
        <v>0</v>
      </c>
      <c r="R2306">
        <f>Data!L2323</f>
        <v>0</v>
      </c>
      <c r="S2306">
        <f>Data!M2323</f>
        <v>0</v>
      </c>
      <c r="T2306">
        <f>Data!N2323</f>
        <v>0</v>
      </c>
      <c r="U2306">
        <f>Data!O2323</f>
        <v>0</v>
      </c>
      <c r="V2306" s="33">
        <f>Data!P2321</f>
        <v>0</v>
      </c>
    </row>
    <row r="2307" spans="7:22" x14ac:dyDescent="0.25">
      <c r="G2307">
        <f>Data!A2320</f>
        <v>0</v>
      </c>
      <c r="H2307" s="21">
        <f>Data!B2320</f>
        <v>0</v>
      </c>
      <c r="I2307" s="21">
        <f>Data!C2320</f>
        <v>0</v>
      </c>
      <c r="J2307">
        <f>Data!D2320</f>
        <v>0</v>
      </c>
      <c r="K2307">
        <f>Data!E2320</f>
        <v>0</v>
      </c>
      <c r="L2307">
        <f>Data!F2320</f>
        <v>0</v>
      </c>
      <c r="M2307">
        <f>Data!G2320</f>
        <v>0</v>
      </c>
      <c r="N2307">
        <f>Data!H2320</f>
        <v>0</v>
      </c>
      <c r="O2307">
        <f>Data!I2320</f>
        <v>0</v>
      </c>
      <c r="P2307" s="21">
        <f>Data!J2324</f>
        <v>0</v>
      </c>
      <c r="Q2307">
        <f>Data!K2324</f>
        <v>0</v>
      </c>
      <c r="R2307">
        <f>Data!L2324</f>
        <v>0</v>
      </c>
      <c r="S2307">
        <f>Data!M2324</f>
        <v>0</v>
      </c>
      <c r="T2307">
        <f>Data!N2324</f>
        <v>0</v>
      </c>
      <c r="U2307">
        <f>Data!O2324</f>
        <v>0</v>
      </c>
      <c r="V2307" s="33">
        <f>Data!P2322</f>
        <v>0</v>
      </c>
    </row>
    <row r="2308" spans="7:22" x14ac:dyDescent="0.25">
      <c r="G2308">
        <f>Data!A2321</f>
        <v>0</v>
      </c>
      <c r="H2308" s="21">
        <f>Data!B2321</f>
        <v>0</v>
      </c>
      <c r="I2308" s="21">
        <f>Data!C2321</f>
        <v>0</v>
      </c>
      <c r="J2308">
        <f>Data!D2321</f>
        <v>0</v>
      </c>
      <c r="K2308">
        <f>Data!E2321</f>
        <v>0</v>
      </c>
      <c r="L2308">
        <f>Data!F2321</f>
        <v>0</v>
      </c>
      <c r="M2308">
        <f>Data!G2321</f>
        <v>0</v>
      </c>
      <c r="N2308">
        <f>Data!H2321</f>
        <v>0</v>
      </c>
      <c r="O2308">
        <f>Data!I2321</f>
        <v>0</v>
      </c>
      <c r="P2308" s="21">
        <f>Data!J2325</f>
        <v>0</v>
      </c>
      <c r="Q2308">
        <f>Data!K2325</f>
        <v>0</v>
      </c>
      <c r="R2308">
        <f>Data!L2325</f>
        <v>0</v>
      </c>
      <c r="S2308">
        <f>Data!M2325</f>
        <v>0</v>
      </c>
      <c r="T2308">
        <f>Data!N2325</f>
        <v>0</v>
      </c>
      <c r="U2308">
        <f>Data!O2325</f>
        <v>0</v>
      </c>
      <c r="V2308" s="33">
        <f>Data!P2323</f>
        <v>0</v>
      </c>
    </row>
    <row r="2309" spans="7:22" x14ac:dyDescent="0.25">
      <c r="G2309">
        <f>Data!A2322</f>
        <v>0</v>
      </c>
      <c r="H2309" s="21">
        <f>Data!B2322</f>
        <v>0</v>
      </c>
      <c r="I2309" s="21">
        <f>Data!C2322</f>
        <v>0</v>
      </c>
      <c r="J2309">
        <f>Data!D2322</f>
        <v>0</v>
      </c>
      <c r="K2309">
        <f>Data!E2322</f>
        <v>0</v>
      </c>
      <c r="L2309">
        <f>Data!F2322</f>
        <v>0</v>
      </c>
      <c r="M2309">
        <f>Data!G2322</f>
        <v>0</v>
      </c>
      <c r="N2309">
        <f>Data!H2322</f>
        <v>0</v>
      </c>
      <c r="O2309">
        <f>Data!I2322</f>
        <v>0</v>
      </c>
      <c r="P2309" s="21">
        <f>Data!J2326</f>
        <v>0</v>
      </c>
      <c r="Q2309">
        <f>Data!K2326</f>
        <v>0</v>
      </c>
      <c r="R2309">
        <f>Data!L2326</f>
        <v>0</v>
      </c>
      <c r="S2309">
        <f>Data!M2326</f>
        <v>0</v>
      </c>
      <c r="T2309">
        <f>Data!N2326</f>
        <v>0</v>
      </c>
      <c r="U2309">
        <f>Data!O2326</f>
        <v>0</v>
      </c>
      <c r="V2309" s="33">
        <f>Data!P2324</f>
        <v>0</v>
      </c>
    </row>
    <row r="2310" spans="7:22" x14ac:dyDescent="0.25">
      <c r="G2310">
        <f>Data!A2323</f>
        <v>0</v>
      </c>
      <c r="H2310" s="21">
        <f>Data!B2323</f>
        <v>0</v>
      </c>
      <c r="I2310" s="21">
        <f>Data!C2323</f>
        <v>0</v>
      </c>
      <c r="J2310">
        <f>Data!D2323</f>
        <v>0</v>
      </c>
      <c r="K2310">
        <f>Data!E2323</f>
        <v>0</v>
      </c>
      <c r="L2310">
        <f>Data!F2323</f>
        <v>0</v>
      </c>
      <c r="M2310">
        <f>Data!G2323</f>
        <v>0</v>
      </c>
      <c r="N2310">
        <f>Data!H2323</f>
        <v>0</v>
      </c>
      <c r="O2310">
        <f>Data!I2323</f>
        <v>0</v>
      </c>
      <c r="P2310" s="21">
        <f>Data!J2327</f>
        <v>0</v>
      </c>
      <c r="Q2310">
        <f>Data!K2327</f>
        <v>0</v>
      </c>
      <c r="R2310">
        <f>Data!L2327</f>
        <v>0</v>
      </c>
      <c r="S2310">
        <f>Data!M2327</f>
        <v>0</v>
      </c>
      <c r="T2310">
        <f>Data!N2327</f>
        <v>0</v>
      </c>
      <c r="U2310">
        <f>Data!O2327</f>
        <v>0</v>
      </c>
      <c r="V2310" s="33">
        <f>Data!P2325</f>
        <v>0</v>
      </c>
    </row>
    <row r="2311" spans="7:22" x14ac:dyDescent="0.25">
      <c r="G2311">
        <f>Data!A2324</f>
        <v>0</v>
      </c>
      <c r="H2311" s="21">
        <f>Data!B2324</f>
        <v>0</v>
      </c>
      <c r="I2311" s="21">
        <f>Data!C2324</f>
        <v>0</v>
      </c>
      <c r="J2311">
        <f>Data!D2324</f>
        <v>0</v>
      </c>
      <c r="K2311">
        <f>Data!E2324</f>
        <v>0</v>
      </c>
      <c r="L2311">
        <f>Data!F2324</f>
        <v>0</v>
      </c>
      <c r="M2311">
        <f>Data!G2324</f>
        <v>0</v>
      </c>
      <c r="N2311">
        <f>Data!H2324</f>
        <v>0</v>
      </c>
      <c r="O2311">
        <f>Data!I2324</f>
        <v>0</v>
      </c>
      <c r="P2311" s="21">
        <f>Data!J2328</f>
        <v>0</v>
      </c>
      <c r="Q2311">
        <f>Data!K2328</f>
        <v>0</v>
      </c>
      <c r="R2311">
        <f>Data!L2328</f>
        <v>0</v>
      </c>
      <c r="S2311">
        <f>Data!M2328</f>
        <v>0</v>
      </c>
      <c r="T2311">
        <f>Data!N2328</f>
        <v>0</v>
      </c>
      <c r="U2311">
        <f>Data!O2328</f>
        <v>0</v>
      </c>
      <c r="V2311" s="33">
        <f>Data!P2326</f>
        <v>0</v>
      </c>
    </row>
    <row r="2312" spans="7:22" x14ac:dyDescent="0.25">
      <c r="G2312">
        <f>Data!A2325</f>
        <v>0</v>
      </c>
      <c r="H2312" s="21">
        <f>Data!B2325</f>
        <v>0</v>
      </c>
      <c r="I2312" s="21">
        <f>Data!C2325</f>
        <v>0</v>
      </c>
      <c r="J2312">
        <f>Data!D2325</f>
        <v>0</v>
      </c>
      <c r="K2312">
        <f>Data!E2325</f>
        <v>0</v>
      </c>
      <c r="L2312">
        <f>Data!F2325</f>
        <v>0</v>
      </c>
      <c r="M2312">
        <f>Data!G2325</f>
        <v>0</v>
      </c>
      <c r="N2312">
        <f>Data!H2325</f>
        <v>0</v>
      </c>
      <c r="O2312">
        <f>Data!I2325</f>
        <v>0</v>
      </c>
      <c r="P2312" s="21">
        <f>Data!J2329</f>
        <v>0</v>
      </c>
      <c r="Q2312">
        <f>Data!K2329</f>
        <v>0</v>
      </c>
      <c r="R2312">
        <f>Data!L2329</f>
        <v>0</v>
      </c>
      <c r="S2312">
        <f>Data!M2329</f>
        <v>0</v>
      </c>
      <c r="T2312">
        <f>Data!N2329</f>
        <v>0</v>
      </c>
      <c r="U2312">
        <f>Data!O2329</f>
        <v>0</v>
      </c>
      <c r="V2312" s="33">
        <f>Data!P2327</f>
        <v>0</v>
      </c>
    </row>
    <row r="2313" spans="7:22" x14ac:dyDescent="0.25">
      <c r="G2313">
        <f>Data!A2326</f>
        <v>0</v>
      </c>
      <c r="H2313" s="21">
        <f>Data!B2326</f>
        <v>0</v>
      </c>
      <c r="I2313" s="21">
        <f>Data!C2326</f>
        <v>0</v>
      </c>
      <c r="J2313">
        <f>Data!D2326</f>
        <v>0</v>
      </c>
      <c r="K2313">
        <f>Data!E2326</f>
        <v>0</v>
      </c>
      <c r="L2313">
        <f>Data!F2326</f>
        <v>0</v>
      </c>
      <c r="M2313">
        <f>Data!G2326</f>
        <v>0</v>
      </c>
      <c r="N2313">
        <f>Data!H2326</f>
        <v>0</v>
      </c>
      <c r="O2313">
        <f>Data!I2326</f>
        <v>0</v>
      </c>
      <c r="P2313" s="21">
        <f>Data!J2330</f>
        <v>0</v>
      </c>
      <c r="Q2313">
        <f>Data!K2330</f>
        <v>0</v>
      </c>
      <c r="R2313">
        <f>Data!L2330</f>
        <v>0</v>
      </c>
      <c r="S2313">
        <f>Data!M2330</f>
        <v>0</v>
      </c>
      <c r="T2313">
        <f>Data!N2330</f>
        <v>0</v>
      </c>
      <c r="U2313">
        <f>Data!O2330</f>
        <v>0</v>
      </c>
      <c r="V2313" s="33">
        <f>Data!P2328</f>
        <v>0</v>
      </c>
    </row>
    <row r="2314" spans="7:22" x14ac:dyDescent="0.25">
      <c r="G2314">
        <f>Data!A2327</f>
        <v>0</v>
      </c>
      <c r="H2314" s="21">
        <f>Data!B2327</f>
        <v>0</v>
      </c>
      <c r="I2314" s="21">
        <f>Data!C2327</f>
        <v>0</v>
      </c>
      <c r="J2314">
        <f>Data!D2327</f>
        <v>0</v>
      </c>
      <c r="K2314">
        <f>Data!E2327</f>
        <v>0</v>
      </c>
      <c r="L2314">
        <f>Data!F2327</f>
        <v>0</v>
      </c>
      <c r="M2314">
        <f>Data!G2327</f>
        <v>0</v>
      </c>
      <c r="N2314">
        <f>Data!H2327</f>
        <v>0</v>
      </c>
      <c r="O2314">
        <f>Data!I2327</f>
        <v>0</v>
      </c>
      <c r="P2314" s="21">
        <f>Data!J2331</f>
        <v>0</v>
      </c>
      <c r="Q2314">
        <f>Data!K2331</f>
        <v>0</v>
      </c>
      <c r="R2314">
        <f>Data!L2331</f>
        <v>0</v>
      </c>
      <c r="S2314">
        <f>Data!M2331</f>
        <v>0</v>
      </c>
      <c r="T2314">
        <f>Data!N2331</f>
        <v>0</v>
      </c>
      <c r="U2314">
        <f>Data!O2331</f>
        <v>0</v>
      </c>
      <c r="V2314" s="33">
        <f>Data!P2329</f>
        <v>0</v>
      </c>
    </row>
    <row r="2315" spans="7:22" x14ac:dyDescent="0.25">
      <c r="G2315">
        <f>Data!A2328</f>
        <v>0</v>
      </c>
      <c r="H2315" s="21">
        <f>Data!B2328</f>
        <v>0</v>
      </c>
      <c r="I2315" s="21">
        <f>Data!C2328</f>
        <v>0</v>
      </c>
      <c r="J2315">
        <f>Data!D2328</f>
        <v>0</v>
      </c>
      <c r="K2315">
        <f>Data!E2328</f>
        <v>0</v>
      </c>
      <c r="L2315">
        <f>Data!F2328</f>
        <v>0</v>
      </c>
      <c r="M2315">
        <f>Data!G2328</f>
        <v>0</v>
      </c>
      <c r="N2315">
        <f>Data!H2328</f>
        <v>0</v>
      </c>
      <c r="O2315">
        <f>Data!I2328</f>
        <v>0</v>
      </c>
      <c r="P2315" s="21">
        <f>Data!J2332</f>
        <v>0</v>
      </c>
      <c r="Q2315">
        <f>Data!K2332</f>
        <v>0</v>
      </c>
      <c r="R2315">
        <f>Data!L2332</f>
        <v>0</v>
      </c>
      <c r="S2315">
        <f>Data!M2332</f>
        <v>0</v>
      </c>
      <c r="T2315">
        <f>Data!N2332</f>
        <v>0</v>
      </c>
      <c r="U2315">
        <f>Data!O2332</f>
        <v>0</v>
      </c>
      <c r="V2315" s="33">
        <f>Data!P2330</f>
        <v>0</v>
      </c>
    </row>
    <row r="2316" spans="7:22" x14ac:dyDescent="0.25">
      <c r="G2316">
        <f>Data!A2329</f>
        <v>0</v>
      </c>
      <c r="H2316" s="21">
        <f>Data!B2329</f>
        <v>0</v>
      </c>
      <c r="I2316" s="21">
        <f>Data!C2329</f>
        <v>0</v>
      </c>
      <c r="J2316">
        <f>Data!D2329</f>
        <v>0</v>
      </c>
      <c r="K2316">
        <f>Data!E2329</f>
        <v>0</v>
      </c>
      <c r="L2316">
        <f>Data!F2329</f>
        <v>0</v>
      </c>
      <c r="M2316">
        <f>Data!G2329</f>
        <v>0</v>
      </c>
      <c r="N2316">
        <f>Data!H2329</f>
        <v>0</v>
      </c>
      <c r="O2316">
        <f>Data!I2329</f>
        <v>0</v>
      </c>
      <c r="P2316" s="21">
        <f>Data!J2333</f>
        <v>0</v>
      </c>
      <c r="Q2316">
        <f>Data!K2333</f>
        <v>0</v>
      </c>
      <c r="R2316">
        <f>Data!L2333</f>
        <v>0</v>
      </c>
      <c r="S2316">
        <f>Data!M2333</f>
        <v>0</v>
      </c>
      <c r="T2316">
        <f>Data!N2333</f>
        <v>0</v>
      </c>
      <c r="U2316">
        <f>Data!O2333</f>
        <v>0</v>
      </c>
      <c r="V2316" s="33">
        <f>Data!P2331</f>
        <v>0</v>
      </c>
    </row>
    <row r="2317" spans="7:22" x14ac:dyDescent="0.25">
      <c r="G2317">
        <f>Data!A2330</f>
        <v>0</v>
      </c>
      <c r="H2317" s="21">
        <f>Data!B2330</f>
        <v>0</v>
      </c>
      <c r="I2317" s="21">
        <f>Data!C2330</f>
        <v>0</v>
      </c>
      <c r="J2317">
        <f>Data!D2330</f>
        <v>0</v>
      </c>
      <c r="K2317">
        <f>Data!E2330</f>
        <v>0</v>
      </c>
      <c r="L2317">
        <f>Data!F2330</f>
        <v>0</v>
      </c>
      <c r="M2317">
        <f>Data!G2330</f>
        <v>0</v>
      </c>
      <c r="N2317">
        <f>Data!H2330</f>
        <v>0</v>
      </c>
      <c r="O2317">
        <f>Data!I2330</f>
        <v>0</v>
      </c>
      <c r="P2317" s="21">
        <f>Data!J2334</f>
        <v>0</v>
      </c>
      <c r="Q2317">
        <f>Data!K2334</f>
        <v>0</v>
      </c>
      <c r="R2317">
        <f>Data!L2334</f>
        <v>0</v>
      </c>
      <c r="S2317">
        <f>Data!M2334</f>
        <v>0</v>
      </c>
      <c r="T2317">
        <f>Data!N2334</f>
        <v>0</v>
      </c>
      <c r="U2317">
        <f>Data!O2334</f>
        <v>0</v>
      </c>
      <c r="V2317" s="33">
        <f>Data!P2332</f>
        <v>0</v>
      </c>
    </row>
    <row r="2318" spans="7:22" x14ac:dyDescent="0.25">
      <c r="G2318">
        <f>Data!A2331</f>
        <v>0</v>
      </c>
      <c r="H2318" s="21">
        <f>Data!B2331</f>
        <v>0</v>
      </c>
      <c r="I2318" s="21">
        <f>Data!C2331</f>
        <v>0</v>
      </c>
      <c r="J2318">
        <f>Data!D2331</f>
        <v>0</v>
      </c>
      <c r="K2318">
        <f>Data!E2331</f>
        <v>0</v>
      </c>
      <c r="L2318">
        <f>Data!F2331</f>
        <v>0</v>
      </c>
      <c r="M2318">
        <f>Data!G2331</f>
        <v>0</v>
      </c>
      <c r="N2318">
        <f>Data!H2331</f>
        <v>0</v>
      </c>
      <c r="O2318">
        <f>Data!I2331</f>
        <v>0</v>
      </c>
      <c r="P2318" s="21">
        <f>Data!J2335</f>
        <v>0</v>
      </c>
      <c r="Q2318">
        <f>Data!K2335</f>
        <v>0</v>
      </c>
      <c r="R2318">
        <f>Data!L2335</f>
        <v>0</v>
      </c>
      <c r="S2318">
        <f>Data!M2335</f>
        <v>0</v>
      </c>
      <c r="T2318">
        <f>Data!N2335</f>
        <v>0</v>
      </c>
      <c r="U2318">
        <f>Data!O2335</f>
        <v>0</v>
      </c>
      <c r="V2318" s="33">
        <f>Data!P2333</f>
        <v>0</v>
      </c>
    </row>
    <row r="2319" spans="7:22" x14ac:dyDescent="0.25">
      <c r="G2319">
        <f>Data!A2332</f>
        <v>0</v>
      </c>
      <c r="H2319" s="21">
        <f>Data!B2332</f>
        <v>0</v>
      </c>
      <c r="I2319" s="21">
        <f>Data!C2332</f>
        <v>0</v>
      </c>
      <c r="J2319">
        <f>Data!D2332</f>
        <v>0</v>
      </c>
      <c r="K2319">
        <f>Data!E2332</f>
        <v>0</v>
      </c>
      <c r="L2319">
        <f>Data!F2332</f>
        <v>0</v>
      </c>
      <c r="M2319">
        <f>Data!G2332</f>
        <v>0</v>
      </c>
      <c r="N2319">
        <f>Data!H2332</f>
        <v>0</v>
      </c>
      <c r="O2319">
        <f>Data!I2332</f>
        <v>0</v>
      </c>
      <c r="P2319" s="21">
        <f>Data!J2336</f>
        <v>0</v>
      </c>
      <c r="Q2319">
        <f>Data!K2336</f>
        <v>0</v>
      </c>
      <c r="R2319">
        <f>Data!L2336</f>
        <v>0</v>
      </c>
      <c r="S2319">
        <f>Data!M2336</f>
        <v>0</v>
      </c>
      <c r="T2319">
        <f>Data!N2336</f>
        <v>0</v>
      </c>
      <c r="U2319">
        <f>Data!O2336</f>
        <v>0</v>
      </c>
      <c r="V2319" s="33">
        <f>Data!P2334</f>
        <v>0</v>
      </c>
    </row>
    <row r="2320" spans="7:22" x14ac:dyDescent="0.25">
      <c r="G2320">
        <f>Data!A2333</f>
        <v>0</v>
      </c>
      <c r="H2320" s="21">
        <f>Data!B2333</f>
        <v>0</v>
      </c>
      <c r="I2320" s="21">
        <f>Data!C2333</f>
        <v>0</v>
      </c>
      <c r="J2320">
        <f>Data!D2333</f>
        <v>0</v>
      </c>
      <c r="K2320">
        <f>Data!E2333</f>
        <v>0</v>
      </c>
      <c r="L2320">
        <f>Data!F2333</f>
        <v>0</v>
      </c>
      <c r="M2320">
        <f>Data!G2333</f>
        <v>0</v>
      </c>
      <c r="N2320">
        <f>Data!H2333</f>
        <v>0</v>
      </c>
      <c r="O2320">
        <f>Data!I2333</f>
        <v>0</v>
      </c>
      <c r="P2320" s="21">
        <f>Data!J2337</f>
        <v>0</v>
      </c>
      <c r="Q2320">
        <f>Data!K2337</f>
        <v>0</v>
      </c>
      <c r="R2320">
        <f>Data!L2337</f>
        <v>0</v>
      </c>
      <c r="S2320">
        <f>Data!M2337</f>
        <v>0</v>
      </c>
      <c r="T2320">
        <f>Data!N2337</f>
        <v>0</v>
      </c>
      <c r="U2320">
        <f>Data!O2337</f>
        <v>0</v>
      </c>
      <c r="V2320" s="33">
        <f>Data!P2335</f>
        <v>0</v>
      </c>
    </row>
    <row r="2321" spans="7:22" x14ac:dyDescent="0.25">
      <c r="G2321">
        <f>Data!A2334</f>
        <v>0</v>
      </c>
      <c r="H2321" s="21">
        <f>Data!B2334</f>
        <v>0</v>
      </c>
      <c r="I2321" s="21">
        <f>Data!C2334</f>
        <v>0</v>
      </c>
      <c r="J2321">
        <f>Data!D2334</f>
        <v>0</v>
      </c>
      <c r="K2321">
        <f>Data!E2334</f>
        <v>0</v>
      </c>
      <c r="L2321">
        <f>Data!F2334</f>
        <v>0</v>
      </c>
      <c r="M2321">
        <f>Data!G2334</f>
        <v>0</v>
      </c>
      <c r="N2321">
        <f>Data!H2334</f>
        <v>0</v>
      </c>
      <c r="O2321">
        <f>Data!I2334</f>
        <v>0</v>
      </c>
      <c r="P2321" s="21">
        <f>Data!J2338</f>
        <v>0</v>
      </c>
      <c r="Q2321">
        <f>Data!K2338</f>
        <v>0</v>
      </c>
      <c r="R2321">
        <f>Data!L2338</f>
        <v>0</v>
      </c>
      <c r="S2321">
        <f>Data!M2338</f>
        <v>0</v>
      </c>
      <c r="T2321">
        <f>Data!N2338</f>
        <v>0</v>
      </c>
      <c r="U2321">
        <f>Data!O2338</f>
        <v>0</v>
      </c>
      <c r="V2321" s="33">
        <f>Data!P2336</f>
        <v>0</v>
      </c>
    </row>
    <row r="2322" spans="7:22" x14ac:dyDescent="0.25">
      <c r="G2322">
        <f>Data!A2335</f>
        <v>0</v>
      </c>
      <c r="H2322" s="21">
        <f>Data!B2335</f>
        <v>0</v>
      </c>
      <c r="I2322" s="21">
        <f>Data!C2335</f>
        <v>0</v>
      </c>
      <c r="J2322">
        <f>Data!D2335</f>
        <v>0</v>
      </c>
      <c r="K2322">
        <f>Data!E2335</f>
        <v>0</v>
      </c>
      <c r="L2322">
        <f>Data!F2335</f>
        <v>0</v>
      </c>
      <c r="M2322">
        <f>Data!G2335</f>
        <v>0</v>
      </c>
      <c r="N2322">
        <f>Data!H2335</f>
        <v>0</v>
      </c>
      <c r="O2322">
        <f>Data!I2335</f>
        <v>0</v>
      </c>
      <c r="P2322" s="21">
        <f>Data!J2339</f>
        <v>0</v>
      </c>
      <c r="Q2322">
        <f>Data!K2339</f>
        <v>0</v>
      </c>
      <c r="R2322">
        <f>Data!L2339</f>
        <v>0</v>
      </c>
      <c r="S2322">
        <f>Data!M2339</f>
        <v>0</v>
      </c>
      <c r="T2322">
        <f>Data!N2339</f>
        <v>0</v>
      </c>
      <c r="U2322">
        <f>Data!O2339</f>
        <v>0</v>
      </c>
      <c r="V2322" s="33">
        <f>Data!P2337</f>
        <v>0</v>
      </c>
    </row>
    <row r="2323" spans="7:22" x14ac:dyDescent="0.25">
      <c r="G2323">
        <f>Data!A2336</f>
        <v>0</v>
      </c>
      <c r="H2323" s="21">
        <f>Data!B2336</f>
        <v>0</v>
      </c>
      <c r="I2323" s="21">
        <f>Data!C2336</f>
        <v>0</v>
      </c>
      <c r="J2323">
        <f>Data!D2336</f>
        <v>0</v>
      </c>
      <c r="K2323">
        <f>Data!E2336</f>
        <v>0</v>
      </c>
      <c r="L2323">
        <f>Data!F2336</f>
        <v>0</v>
      </c>
      <c r="M2323">
        <f>Data!G2336</f>
        <v>0</v>
      </c>
      <c r="N2323">
        <f>Data!H2336</f>
        <v>0</v>
      </c>
      <c r="O2323">
        <f>Data!I2336</f>
        <v>0</v>
      </c>
      <c r="P2323" s="21">
        <f>Data!J2340</f>
        <v>0</v>
      </c>
      <c r="Q2323">
        <f>Data!K2340</f>
        <v>0</v>
      </c>
      <c r="R2323">
        <f>Data!L2340</f>
        <v>0</v>
      </c>
      <c r="S2323">
        <f>Data!M2340</f>
        <v>0</v>
      </c>
      <c r="T2323">
        <f>Data!N2340</f>
        <v>0</v>
      </c>
      <c r="U2323">
        <f>Data!O2340</f>
        <v>0</v>
      </c>
      <c r="V2323" s="33">
        <f>Data!P2338</f>
        <v>0</v>
      </c>
    </row>
    <row r="2324" spans="7:22" x14ac:dyDescent="0.25">
      <c r="G2324">
        <f>Data!A2337</f>
        <v>0</v>
      </c>
      <c r="H2324" s="21">
        <f>Data!B2337</f>
        <v>0</v>
      </c>
      <c r="I2324" s="21">
        <f>Data!C2337</f>
        <v>0</v>
      </c>
      <c r="J2324">
        <f>Data!D2337</f>
        <v>0</v>
      </c>
      <c r="K2324">
        <f>Data!E2337</f>
        <v>0</v>
      </c>
      <c r="L2324">
        <f>Data!F2337</f>
        <v>0</v>
      </c>
      <c r="M2324">
        <f>Data!G2337</f>
        <v>0</v>
      </c>
      <c r="N2324">
        <f>Data!H2337</f>
        <v>0</v>
      </c>
      <c r="O2324">
        <f>Data!I2337</f>
        <v>0</v>
      </c>
      <c r="P2324" s="21">
        <f>Data!J2341</f>
        <v>0</v>
      </c>
      <c r="Q2324">
        <f>Data!K2341</f>
        <v>0</v>
      </c>
      <c r="R2324">
        <f>Data!L2341</f>
        <v>0</v>
      </c>
      <c r="S2324">
        <f>Data!M2341</f>
        <v>0</v>
      </c>
      <c r="T2324">
        <f>Data!N2341</f>
        <v>0</v>
      </c>
      <c r="U2324">
        <f>Data!O2341</f>
        <v>0</v>
      </c>
      <c r="V2324" s="33">
        <f>Data!P2339</f>
        <v>0</v>
      </c>
    </row>
    <row r="2325" spans="7:22" x14ac:dyDescent="0.25">
      <c r="G2325">
        <f>Data!A2338</f>
        <v>0</v>
      </c>
      <c r="H2325" s="21">
        <f>Data!B2338</f>
        <v>0</v>
      </c>
      <c r="I2325" s="21">
        <f>Data!C2338</f>
        <v>0</v>
      </c>
      <c r="J2325">
        <f>Data!D2338</f>
        <v>0</v>
      </c>
      <c r="K2325">
        <f>Data!E2338</f>
        <v>0</v>
      </c>
      <c r="L2325">
        <f>Data!F2338</f>
        <v>0</v>
      </c>
      <c r="M2325">
        <f>Data!G2338</f>
        <v>0</v>
      </c>
      <c r="N2325">
        <f>Data!H2338</f>
        <v>0</v>
      </c>
      <c r="O2325">
        <f>Data!I2338</f>
        <v>0</v>
      </c>
      <c r="P2325" s="21">
        <f>Data!J2342</f>
        <v>0</v>
      </c>
      <c r="Q2325">
        <f>Data!K2342</f>
        <v>0</v>
      </c>
      <c r="R2325">
        <f>Data!L2342</f>
        <v>0</v>
      </c>
      <c r="S2325">
        <f>Data!M2342</f>
        <v>0</v>
      </c>
      <c r="T2325">
        <f>Data!N2342</f>
        <v>0</v>
      </c>
      <c r="U2325">
        <f>Data!O2342</f>
        <v>0</v>
      </c>
      <c r="V2325" s="33">
        <f>Data!P2340</f>
        <v>0</v>
      </c>
    </row>
    <row r="2326" spans="7:22" x14ac:dyDescent="0.25">
      <c r="G2326">
        <f>Data!A2339</f>
        <v>0</v>
      </c>
      <c r="H2326" s="21">
        <f>Data!B2339</f>
        <v>0</v>
      </c>
      <c r="I2326" s="21">
        <f>Data!C2339</f>
        <v>0</v>
      </c>
      <c r="J2326">
        <f>Data!D2339</f>
        <v>0</v>
      </c>
      <c r="K2326">
        <f>Data!E2339</f>
        <v>0</v>
      </c>
      <c r="L2326">
        <f>Data!F2339</f>
        <v>0</v>
      </c>
      <c r="M2326">
        <f>Data!G2339</f>
        <v>0</v>
      </c>
      <c r="N2326">
        <f>Data!H2339</f>
        <v>0</v>
      </c>
      <c r="O2326">
        <f>Data!I2339</f>
        <v>0</v>
      </c>
      <c r="P2326" s="21">
        <f>Data!J2343</f>
        <v>0</v>
      </c>
      <c r="Q2326">
        <f>Data!K2343</f>
        <v>0</v>
      </c>
      <c r="R2326">
        <f>Data!L2343</f>
        <v>0</v>
      </c>
      <c r="S2326">
        <f>Data!M2343</f>
        <v>0</v>
      </c>
      <c r="T2326">
        <f>Data!N2343</f>
        <v>0</v>
      </c>
      <c r="U2326">
        <f>Data!O2343</f>
        <v>0</v>
      </c>
      <c r="V2326" s="33">
        <f>Data!P2341</f>
        <v>0</v>
      </c>
    </row>
    <row r="2327" spans="7:22" x14ac:dyDescent="0.25">
      <c r="G2327">
        <f>Data!A2340</f>
        <v>0</v>
      </c>
      <c r="H2327" s="21">
        <f>Data!B2340</f>
        <v>0</v>
      </c>
      <c r="I2327" s="21">
        <f>Data!C2340</f>
        <v>0</v>
      </c>
      <c r="J2327">
        <f>Data!D2340</f>
        <v>0</v>
      </c>
      <c r="K2327">
        <f>Data!E2340</f>
        <v>0</v>
      </c>
      <c r="L2327">
        <f>Data!F2340</f>
        <v>0</v>
      </c>
      <c r="M2327">
        <f>Data!G2340</f>
        <v>0</v>
      </c>
      <c r="N2327">
        <f>Data!H2340</f>
        <v>0</v>
      </c>
      <c r="O2327">
        <f>Data!I2340</f>
        <v>0</v>
      </c>
      <c r="P2327" s="21">
        <f>Data!J2344</f>
        <v>0</v>
      </c>
      <c r="Q2327">
        <f>Data!K2344</f>
        <v>0</v>
      </c>
      <c r="R2327">
        <f>Data!L2344</f>
        <v>0</v>
      </c>
      <c r="S2327">
        <f>Data!M2344</f>
        <v>0</v>
      </c>
      <c r="T2327">
        <f>Data!N2344</f>
        <v>0</v>
      </c>
      <c r="U2327">
        <f>Data!O2344</f>
        <v>0</v>
      </c>
      <c r="V2327" s="33">
        <f>Data!P2342</f>
        <v>0</v>
      </c>
    </row>
    <row r="2328" spans="7:22" x14ac:dyDescent="0.25">
      <c r="G2328">
        <f>Data!A2341</f>
        <v>0</v>
      </c>
      <c r="H2328" s="21">
        <f>Data!B2341</f>
        <v>0</v>
      </c>
      <c r="I2328" s="21">
        <f>Data!C2341</f>
        <v>0</v>
      </c>
      <c r="J2328">
        <f>Data!D2341</f>
        <v>0</v>
      </c>
      <c r="K2328">
        <f>Data!E2341</f>
        <v>0</v>
      </c>
      <c r="L2328">
        <f>Data!F2341</f>
        <v>0</v>
      </c>
      <c r="M2328">
        <f>Data!G2341</f>
        <v>0</v>
      </c>
      <c r="N2328">
        <f>Data!H2341</f>
        <v>0</v>
      </c>
      <c r="O2328">
        <f>Data!I2341</f>
        <v>0</v>
      </c>
      <c r="P2328" s="21">
        <f>Data!J2345</f>
        <v>0</v>
      </c>
      <c r="Q2328">
        <f>Data!K2345</f>
        <v>0</v>
      </c>
      <c r="R2328">
        <f>Data!L2345</f>
        <v>0</v>
      </c>
      <c r="S2328">
        <f>Data!M2345</f>
        <v>0</v>
      </c>
      <c r="T2328">
        <f>Data!N2345</f>
        <v>0</v>
      </c>
      <c r="U2328">
        <f>Data!O2345</f>
        <v>0</v>
      </c>
      <c r="V2328" s="33">
        <f>Data!P2343</f>
        <v>0</v>
      </c>
    </row>
    <row r="2329" spans="7:22" x14ac:dyDescent="0.25">
      <c r="G2329">
        <f>Data!A2342</f>
        <v>0</v>
      </c>
      <c r="H2329" s="21">
        <f>Data!B2342</f>
        <v>0</v>
      </c>
      <c r="I2329" s="21">
        <f>Data!C2342</f>
        <v>0</v>
      </c>
      <c r="J2329">
        <f>Data!D2342</f>
        <v>0</v>
      </c>
      <c r="K2329">
        <f>Data!E2342</f>
        <v>0</v>
      </c>
      <c r="L2329">
        <f>Data!F2342</f>
        <v>0</v>
      </c>
      <c r="M2329">
        <f>Data!G2342</f>
        <v>0</v>
      </c>
      <c r="N2329">
        <f>Data!H2342</f>
        <v>0</v>
      </c>
      <c r="O2329">
        <f>Data!I2342</f>
        <v>0</v>
      </c>
      <c r="P2329" s="21">
        <f>Data!J2346</f>
        <v>0</v>
      </c>
      <c r="Q2329">
        <f>Data!K2346</f>
        <v>0</v>
      </c>
      <c r="R2329">
        <f>Data!L2346</f>
        <v>0</v>
      </c>
      <c r="S2329">
        <f>Data!M2346</f>
        <v>0</v>
      </c>
      <c r="T2329">
        <f>Data!N2346</f>
        <v>0</v>
      </c>
      <c r="U2329">
        <f>Data!O2346</f>
        <v>0</v>
      </c>
      <c r="V2329" s="33">
        <f>Data!P2344</f>
        <v>0</v>
      </c>
    </row>
    <row r="2330" spans="7:22" x14ac:dyDescent="0.25">
      <c r="G2330">
        <f>Data!A2343</f>
        <v>0</v>
      </c>
      <c r="H2330" s="21">
        <f>Data!B2343</f>
        <v>0</v>
      </c>
      <c r="I2330" s="21">
        <f>Data!C2343</f>
        <v>0</v>
      </c>
      <c r="J2330">
        <f>Data!D2343</f>
        <v>0</v>
      </c>
      <c r="K2330">
        <f>Data!E2343</f>
        <v>0</v>
      </c>
      <c r="L2330">
        <f>Data!F2343</f>
        <v>0</v>
      </c>
      <c r="M2330">
        <f>Data!G2343</f>
        <v>0</v>
      </c>
      <c r="N2330">
        <f>Data!H2343</f>
        <v>0</v>
      </c>
      <c r="O2330">
        <f>Data!I2343</f>
        <v>0</v>
      </c>
      <c r="P2330" s="21">
        <f>Data!J2347</f>
        <v>0</v>
      </c>
      <c r="Q2330">
        <f>Data!K2347</f>
        <v>0</v>
      </c>
      <c r="R2330">
        <f>Data!L2347</f>
        <v>0</v>
      </c>
      <c r="S2330">
        <f>Data!M2347</f>
        <v>0</v>
      </c>
      <c r="T2330">
        <f>Data!N2347</f>
        <v>0</v>
      </c>
      <c r="U2330">
        <f>Data!O2347</f>
        <v>0</v>
      </c>
      <c r="V2330" s="33">
        <f>Data!P2345</f>
        <v>0</v>
      </c>
    </row>
    <row r="2331" spans="7:22" x14ac:dyDescent="0.25">
      <c r="G2331">
        <f>Data!A2344</f>
        <v>0</v>
      </c>
      <c r="H2331" s="21">
        <f>Data!B2344</f>
        <v>0</v>
      </c>
      <c r="I2331" s="21">
        <f>Data!C2344</f>
        <v>0</v>
      </c>
      <c r="J2331">
        <f>Data!D2344</f>
        <v>0</v>
      </c>
      <c r="K2331">
        <f>Data!E2344</f>
        <v>0</v>
      </c>
      <c r="L2331">
        <f>Data!F2344</f>
        <v>0</v>
      </c>
      <c r="M2331">
        <f>Data!G2344</f>
        <v>0</v>
      </c>
      <c r="N2331">
        <f>Data!H2344</f>
        <v>0</v>
      </c>
      <c r="O2331">
        <f>Data!I2344</f>
        <v>0</v>
      </c>
      <c r="P2331" s="21">
        <f>Data!J2348</f>
        <v>0</v>
      </c>
      <c r="Q2331">
        <f>Data!K2348</f>
        <v>0</v>
      </c>
      <c r="R2331">
        <f>Data!L2348</f>
        <v>0</v>
      </c>
      <c r="S2331">
        <f>Data!M2348</f>
        <v>0</v>
      </c>
      <c r="T2331">
        <f>Data!N2348</f>
        <v>0</v>
      </c>
      <c r="U2331">
        <f>Data!O2348</f>
        <v>0</v>
      </c>
      <c r="V2331" s="33">
        <f>Data!P2346</f>
        <v>0</v>
      </c>
    </row>
    <row r="2332" spans="7:22" x14ac:dyDescent="0.25">
      <c r="G2332">
        <f>Data!A2345</f>
        <v>0</v>
      </c>
      <c r="H2332" s="21">
        <f>Data!B2345</f>
        <v>0</v>
      </c>
      <c r="I2332" s="21">
        <f>Data!C2345</f>
        <v>0</v>
      </c>
      <c r="J2332">
        <f>Data!D2345</f>
        <v>0</v>
      </c>
      <c r="K2332">
        <f>Data!E2345</f>
        <v>0</v>
      </c>
      <c r="L2332">
        <f>Data!F2345</f>
        <v>0</v>
      </c>
      <c r="M2332">
        <f>Data!G2345</f>
        <v>0</v>
      </c>
      <c r="N2332">
        <f>Data!H2345</f>
        <v>0</v>
      </c>
      <c r="O2332">
        <f>Data!I2345</f>
        <v>0</v>
      </c>
      <c r="P2332" s="21">
        <f>Data!J2349</f>
        <v>0</v>
      </c>
      <c r="Q2332">
        <f>Data!K2349</f>
        <v>0</v>
      </c>
      <c r="R2332">
        <f>Data!L2349</f>
        <v>0</v>
      </c>
      <c r="S2332">
        <f>Data!M2349</f>
        <v>0</v>
      </c>
      <c r="T2332">
        <f>Data!N2349</f>
        <v>0</v>
      </c>
      <c r="U2332">
        <f>Data!O2349</f>
        <v>0</v>
      </c>
      <c r="V2332" s="33">
        <f>Data!P2347</f>
        <v>0</v>
      </c>
    </row>
    <row r="2333" spans="7:22" x14ac:dyDescent="0.25">
      <c r="G2333">
        <f>Data!A2346</f>
        <v>0</v>
      </c>
      <c r="H2333" s="21">
        <f>Data!B2346</f>
        <v>0</v>
      </c>
      <c r="I2333" s="21">
        <f>Data!C2346</f>
        <v>0</v>
      </c>
      <c r="J2333">
        <f>Data!D2346</f>
        <v>0</v>
      </c>
      <c r="K2333">
        <f>Data!E2346</f>
        <v>0</v>
      </c>
      <c r="L2333">
        <f>Data!F2346</f>
        <v>0</v>
      </c>
      <c r="M2333">
        <f>Data!G2346</f>
        <v>0</v>
      </c>
      <c r="N2333">
        <f>Data!H2346</f>
        <v>0</v>
      </c>
      <c r="O2333">
        <f>Data!I2346</f>
        <v>0</v>
      </c>
      <c r="P2333" s="21">
        <f>Data!J2350</f>
        <v>0</v>
      </c>
      <c r="Q2333">
        <f>Data!K2350</f>
        <v>0</v>
      </c>
      <c r="R2333">
        <f>Data!L2350</f>
        <v>0</v>
      </c>
      <c r="S2333">
        <f>Data!M2350</f>
        <v>0</v>
      </c>
      <c r="T2333">
        <f>Data!N2350</f>
        <v>0</v>
      </c>
      <c r="U2333">
        <f>Data!O2350</f>
        <v>0</v>
      </c>
      <c r="V2333" s="33">
        <f>Data!P2348</f>
        <v>0</v>
      </c>
    </row>
    <row r="2334" spans="7:22" x14ac:dyDescent="0.25">
      <c r="G2334">
        <f>Data!A2347</f>
        <v>0</v>
      </c>
      <c r="H2334" s="21">
        <f>Data!B2347</f>
        <v>0</v>
      </c>
      <c r="I2334" s="21">
        <f>Data!C2347</f>
        <v>0</v>
      </c>
      <c r="J2334">
        <f>Data!D2347</f>
        <v>0</v>
      </c>
      <c r="K2334">
        <f>Data!E2347</f>
        <v>0</v>
      </c>
      <c r="L2334">
        <f>Data!F2347</f>
        <v>0</v>
      </c>
      <c r="M2334">
        <f>Data!G2347</f>
        <v>0</v>
      </c>
      <c r="N2334">
        <f>Data!H2347</f>
        <v>0</v>
      </c>
      <c r="O2334">
        <f>Data!I2347</f>
        <v>0</v>
      </c>
      <c r="P2334" s="21">
        <f>Data!J2351</f>
        <v>0</v>
      </c>
      <c r="Q2334">
        <f>Data!K2351</f>
        <v>0</v>
      </c>
      <c r="R2334">
        <f>Data!L2351</f>
        <v>0</v>
      </c>
      <c r="S2334">
        <f>Data!M2351</f>
        <v>0</v>
      </c>
      <c r="T2334">
        <f>Data!N2351</f>
        <v>0</v>
      </c>
      <c r="U2334">
        <f>Data!O2351</f>
        <v>0</v>
      </c>
      <c r="V2334" s="33">
        <f>Data!P2349</f>
        <v>0</v>
      </c>
    </row>
    <row r="2335" spans="7:22" x14ac:dyDescent="0.25">
      <c r="G2335">
        <f>Data!A2348</f>
        <v>0</v>
      </c>
      <c r="H2335" s="21">
        <f>Data!B2348</f>
        <v>0</v>
      </c>
      <c r="I2335" s="21">
        <f>Data!C2348</f>
        <v>0</v>
      </c>
      <c r="J2335">
        <f>Data!D2348</f>
        <v>0</v>
      </c>
      <c r="K2335">
        <f>Data!E2348</f>
        <v>0</v>
      </c>
      <c r="L2335">
        <f>Data!F2348</f>
        <v>0</v>
      </c>
      <c r="M2335">
        <f>Data!G2348</f>
        <v>0</v>
      </c>
      <c r="N2335">
        <f>Data!H2348</f>
        <v>0</v>
      </c>
      <c r="O2335">
        <f>Data!I2348</f>
        <v>0</v>
      </c>
      <c r="P2335" s="21">
        <f>Data!J2352</f>
        <v>0</v>
      </c>
      <c r="Q2335">
        <f>Data!K2352</f>
        <v>0</v>
      </c>
      <c r="R2335">
        <f>Data!L2352</f>
        <v>0</v>
      </c>
      <c r="S2335">
        <f>Data!M2352</f>
        <v>0</v>
      </c>
      <c r="T2335">
        <f>Data!N2352</f>
        <v>0</v>
      </c>
      <c r="U2335">
        <f>Data!O2352</f>
        <v>0</v>
      </c>
      <c r="V2335" s="33">
        <f>Data!P2350</f>
        <v>0</v>
      </c>
    </row>
    <row r="2336" spans="7:22" x14ac:dyDescent="0.25">
      <c r="G2336">
        <f>Data!A2349</f>
        <v>0</v>
      </c>
      <c r="H2336" s="21">
        <f>Data!B2349</f>
        <v>0</v>
      </c>
      <c r="I2336" s="21">
        <f>Data!C2349</f>
        <v>0</v>
      </c>
      <c r="J2336">
        <f>Data!D2349</f>
        <v>0</v>
      </c>
      <c r="K2336">
        <f>Data!E2349</f>
        <v>0</v>
      </c>
      <c r="L2336">
        <f>Data!F2349</f>
        <v>0</v>
      </c>
      <c r="M2336">
        <f>Data!G2349</f>
        <v>0</v>
      </c>
      <c r="N2336">
        <f>Data!H2349</f>
        <v>0</v>
      </c>
      <c r="O2336">
        <f>Data!I2349</f>
        <v>0</v>
      </c>
      <c r="P2336" s="21">
        <f>Data!J2353</f>
        <v>0</v>
      </c>
      <c r="Q2336">
        <f>Data!K2353</f>
        <v>0</v>
      </c>
      <c r="R2336">
        <f>Data!L2353</f>
        <v>0</v>
      </c>
      <c r="S2336">
        <f>Data!M2353</f>
        <v>0</v>
      </c>
      <c r="T2336">
        <f>Data!N2353</f>
        <v>0</v>
      </c>
      <c r="U2336">
        <f>Data!O2353</f>
        <v>0</v>
      </c>
      <c r="V2336" s="33">
        <f>Data!P2351</f>
        <v>0</v>
      </c>
    </row>
    <row r="2337" spans="7:22" x14ac:dyDescent="0.25">
      <c r="G2337">
        <f>Data!A2350</f>
        <v>0</v>
      </c>
      <c r="H2337" s="21">
        <f>Data!B2350</f>
        <v>0</v>
      </c>
      <c r="I2337" s="21">
        <f>Data!C2350</f>
        <v>0</v>
      </c>
      <c r="J2337">
        <f>Data!D2350</f>
        <v>0</v>
      </c>
      <c r="K2337">
        <f>Data!E2350</f>
        <v>0</v>
      </c>
      <c r="L2337">
        <f>Data!F2350</f>
        <v>0</v>
      </c>
      <c r="M2337">
        <f>Data!G2350</f>
        <v>0</v>
      </c>
      <c r="N2337">
        <f>Data!H2350</f>
        <v>0</v>
      </c>
      <c r="O2337">
        <f>Data!I2350</f>
        <v>0</v>
      </c>
      <c r="P2337" s="21">
        <f>Data!J2354</f>
        <v>0</v>
      </c>
      <c r="Q2337">
        <f>Data!K2354</f>
        <v>0</v>
      </c>
      <c r="R2337">
        <f>Data!L2354</f>
        <v>0</v>
      </c>
      <c r="S2337">
        <f>Data!M2354</f>
        <v>0</v>
      </c>
      <c r="T2337">
        <f>Data!N2354</f>
        <v>0</v>
      </c>
      <c r="U2337">
        <f>Data!O2354</f>
        <v>0</v>
      </c>
      <c r="V2337" s="33">
        <f>Data!P2352</f>
        <v>0</v>
      </c>
    </row>
    <row r="2338" spans="7:22" x14ac:dyDescent="0.25">
      <c r="G2338">
        <f>Data!A2351</f>
        <v>0</v>
      </c>
      <c r="H2338" s="21">
        <f>Data!B2351</f>
        <v>0</v>
      </c>
      <c r="I2338" s="21">
        <f>Data!C2351</f>
        <v>0</v>
      </c>
      <c r="J2338">
        <f>Data!D2351</f>
        <v>0</v>
      </c>
      <c r="K2338">
        <f>Data!E2351</f>
        <v>0</v>
      </c>
      <c r="L2338">
        <f>Data!F2351</f>
        <v>0</v>
      </c>
      <c r="M2338">
        <f>Data!G2351</f>
        <v>0</v>
      </c>
      <c r="N2338">
        <f>Data!H2351</f>
        <v>0</v>
      </c>
      <c r="O2338">
        <f>Data!I2351</f>
        <v>0</v>
      </c>
      <c r="P2338" s="21">
        <f>Data!J2355</f>
        <v>0</v>
      </c>
      <c r="Q2338">
        <f>Data!K2355</f>
        <v>0</v>
      </c>
      <c r="R2338">
        <f>Data!L2355</f>
        <v>0</v>
      </c>
      <c r="S2338">
        <f>Data!M2355</f>
        <v>0</v>
      </c>
      <c r="T2338">
        <f>Data!N2355</f>
        <v>0</v>
      </c>
      <c r="U2338">
        <f>Data!O2355</f>
        <v>0</v>
      </c>
      <c r="V2338" s="33">
        <f>Data!P2353</f>
        <v>0</v>
      </c>
    </row>
    <row r="2339" spans="7:22" x14ac:dyDescent="0.25">
      <c r="G2339">
        <f>Data!A2352</f>
        <v>0</v>
      </c>
      <c r="H2339" s="21">
        <f>Data!B2352</f>
        <v>0</v>
      </c>
      <c r="I2339" s="21">
        <f>Data!C2352</f>
        <v>0</v>
      </c>
      <c r="J2339">
        <f>Data!D2352</f>
        <v>0</v>
      </c>
      <c r="K2339">
        <f>Data!E2352</f>
        <v>0</v>
      </c>
      <c r="L2339">
        <f>Data!F2352</f>
        <v>0</v>
      </c>
      <c r="M2339">
        <f>Data!G2352</f>
        <v>0</v>
      </c>
      <c r="N2339">
        <f>Data!H2352</f>
        <v>0</v>
      </c>
      <c r="O2339">
        <f>Data!I2352</f>
        <v>0</v>
      </c>
      <c r="P2339" s="21">
        <f>Data!J2356</f>
        <v>0</v>
      </c>
      <c r="Q2339">
        <f>Data!K2356</f>
        <v>0</v>
      </c>
      <c r="R2339">
        <f>Data!L2356</f>
        <v>0</v>
      </c>
      <c r="S2339">
        <f>Data!M2356</f>
        <v>0</v>
      </c>
      <c r="T2339">
        <f>Data!N2356</f>
        <v>0</v>
      </c>
      <c r="U2339">
        <f>Data!O2356</f>
        <v>0</v>
      </c>
      <c r="V2339" s="33">
        <f>Data!P2354</f>
        <v>0</v>
      </c>
    </row>
    <row r="2340" spans="7:22" x14ac:dyDescent="0.25">
      <c r="G2340">
        <f>Data!A2353</f>
        <v>0</v>
      </c>
      <c r="H2340" s="21">
        <f>Data!B2353</f>
        <v>0</v>
      </c>
      <c r="I2340" s="21">
        <f>Data!C2353</f>
        <v>0</v>
      </c>
      <c r="J2340">
        <f>Data!D2353</f>
        <v>0</v>
      </c>
      <c r="K2340">
        <f>Data!E2353</f>
        <v>0</v>
      </c>
      <c r="L2340">
        <f>Data!F2353</f>
        <v>0</v>
      </c>
      <c r="M2340">
        <f>Data!G2353</f>
        <v>0</v>
      </c>
      <c r="N2340">
        <f>Data!H2353</f>
        <v>0</v>
      </c>
      <c r="O2340">
        <f>Data!I2353</f>
        <v>0</v>
      </c>
      <c r="P2340" s="21">
        <f>Data!J2357</f>
        <v>0</v>
      </c>
      <c r="Q2340">
        <f>Data!K2357</f>
        <v>0</v>
      </c>
      <c r="R2340">
        <f>Data!L2357</f>
        <v>0</v>
      </c>
      <c r="S2340">
        <f>Data!M2357</f>
        <v>0</v>
      </c>
      <c r="T2340">
        <f>Data!N2357</f>
        <v>0</v>
      </c>
      <c r="U2340">
        <f>Data!O2357</f>
        <v>0</v>
      </c>
      <c r="V2340" s="33">
        <f>Data!P2355</f>
        <v>0</v>
      </c>
    </row>
    <row r="2341" spans="7:22" x14ac:dyDescent="0.25">
      <c r="G2341">
        <f>Data!A2354</f>
        <v>0</v>
      </c>
      <c r="H2341" s="21">
        <f>Data!B2354</f>
        <v>0</v>
      </c>
      <c r="I2341" s="21">
        <f>Data!C2354</f>
        <v>0</v>
      </c>
      <c r="J2341">
        <f>Data!D2354</f>
        <v>0</v>
      </c>
      <c r="K2341">
        <f>Data!E2354</f>
        <v>0</v>
      </c>
      <c r="L2341">
        <f>Data!F2354</f>
        <v>0</v>
      </c>
      <c r="M2341">
        <f>Data!G2354</f>
        <v>0</v>
      </c>
      <c r="N2341">
        <f>Data!H2354</f>
        <v>0</v>
      </c>
      <c r="O2341">
        <f>Data!I2354</f>
        <v>0</v>
      </c>
      <c r="P2341" s="21">
        <f>Data!J2358</f>
        <v>0</v>
      </c>
      <c r="Q2341">
        <f>Data!K2358</f>
        <v>0</v>
      </c>
      <c r="R2341">
        <f>Data!L2358</f>
        <v>0</v>
      </c>
      <c r="S2341">
        <f>Data!M2358</f>
        <v>0</v>
      </c>
      <c r="T2341">
        <f>Data!N2358</f>
        <v>0</v>
      </c>
      <c r="U2341">
        <f>Data!O2358</f>
        <v>0</v>
      </c>
      <c r="V2341" s="33">
        <f>Data!P2356</f>
        <v>0</v>
      </c>
    </row>
    <row r="2342" spans="7:22" x14ac:dyDescent="0.25">
      <c r="G2342">
        <f>Data!A2355</f>
        <v>0</v>
      </c>
      <c r="H2342" s="21">
        <f>Data!B2355</f>
        <v>0</v>
      </c>
      <c r="I2342" s="21">
        <f>Data!C2355</f>
        <v>0</v>
      </c>
      <c r="J2342">
        <f>Data!D2355</f>
        <v>0</v>
      </c>
      <c r="K2342">
        <f>Data!E2355</f>
        <v>0</v>
      </c>
      <c r="L2342">
        <f>Data!F2355</f>
        <v>0</v>
      </c>
      <c r="M2342">
        <f>Data!G2355</f>
        <v>0</v>
      </c>
      <c r="N2342">
        <f>Data!H2355</f>
        <v>0</v>
      </c>
      <c r="O2342">
        <f>Data!I2355</f>
        <v>0</v>
      </c>
      <c r="P2342" s="21">
        <f>Data!J2359</f>
        <v>0</v>
      </c>
      <c r="Q2342">
        <f>Data!K2359</f>
        <v>0</v>
      </c>
      <c r="R2342">
        <f>Data!L2359</f>
        <v>0</v>
      </c>
      <c r="S2342">
        <f>Data!M2359</f>
        <v>0</v>
      </c>
      <c r="T2342">
        <f>Data!N2359</f>
        <v>0</v>
      </c>
      <c r="U2342">
        <f>Data!O2359</f>
        <v>0</v>
      </c>
      <c r="V2342" s="33">
        <f>Data!P2357</f>
        <v>0</v>
      </c>
    </row>
    <row r="2343" spans="7:22" x14ac:dyDescent="0.25">
      <c r="G2343">
        <f>Data!A2356</f>
        <v>0</v>
      </c>
      <c r="H2343" s="21">
        <f>Data!B2356</f>
        <v>0</v>
      </c>
      <c r="I2343" s="21">
        <f>Data!C2356</f>
        <v>0</v>
      </c>
      <c r="J2343">
        <f>Data!D2356</f>
        <v>0</v>
      </c>
      <c r="K2343">
        <f>Data!E2356</f>
        <v>0</v>
      </c>
      <c r="L2343">
        <f>Data!F2356</f>
        <v>0</v>
      </c>
      <c r="M2343">
        <f>Data!G2356</f>
        <v>0</v>
      </c>
      <c r="N2343">
        <f>Data!H2356</f>
        <v>0</v>
      </c>
      <c r="O2343">
        <f>Data!I2356</f>
        <v>0</v>
      </c>
      <c r="P2343" s="21">
        <f>Data!J2360</f>
        <v>0</v>
      </c>
      <c r="Q2343">
        <f>Data!K2360</f>
        <v>0</v>
      </c>
      <c r="R2343">
        <f>Data!L2360</f>
        <v>0</v>
      </c>
      <c r="S2343">
        <f>Data!M2360</f>
        <v>0</v>
      </c>
      <c r="T2343">
        <f>Data!N2360</f>
        <v>0</v>
      </c>
      <c r="U2343">
        <f>Data!O2360</f>
        <v>0</v>
      </c>
      <c r="V2343" s="33">
        <f>Data!P2358</f>
        <v>0</v>
      </c>
    </row>
    <row r="2344" spans="7:22" x14ac:dyDescent="0.25">
      <c r="G2344">
        <f>Data!A2357</f>
        <v>0</v>
      </c>
      <c r="H2344" s="21">
        <f>Data!B2357</f>
        <v>0</v>
      </c>
      <c r="I2344" s="21">
        <f>Data!C2357</f>
        <v>0</v>
      </c>
      <c r="J2344">
        <f>Data!D2357</f>
        <v>0</v>
      </c>
      <c r="K2344">
        <f>Data!E2357</f>
        <v>0</v>
      </c>
      <c r="L2344">
        <f>Data!F2357</f>
        <v>0</v>
      </c>
      <c r="M2344">
        <f>Data!G2357</f>
        <v>0</v>
      </c>
      <c r="N2344">
        <f>Data!H2357</f>
        <v>0</v>
      </c>
      <c r="O2344">
        <f>Data!I2357</f>
        <v>0</v>
      </c>
      <c r="P2344" s="21">
        <f>Data!J2361</f>
        <v>0</v>
      </c>
      <c r="Q2344">
        <f>Data!K2361</f>
        <v>0</v>
      </c>
      <c r="R2344">
        <f>Data!L2361</f>
        <v>0</v>
      </c>
      <c r="S2344">
        <f>Data!M2361</f>
        <v>0</v>
      </c>
      <c r="T2344">
        <f>Data!N2361</f>
        <v>0</v>
      </c>
      <c r="U2344">
        <f>Data!O2361</f>
        <v>0</v>
      </c>
      <c r="V2344" s="33">
        <f>Data!P2359</f>
        <v>0</v>
      </c>
    </row>
    <row r="2345" spans="7:22" x14ac:dyDescent="0.25">
      <c r="G2345">
        <f>Data!A2358</f>
        <v>0</v>
      </c>
      <c r="H2345" s="21">
        <f>Data!B2358</f>
        <v>0</v>
      </c>
      <c r="I2345" s="21">
        <f>Data!C2358</f>
        <v>0</v>
      </c>
      <c r="J2345">
        <f>Data!D2358</f>
        <v>0</v>
      </c>
      <c r="K2345">
        <f>Data!E2358</f>
        <v>0</v>
      </c>
      <c r="L2345">
        <f>Data!F2358</f>
        <v>0</v>
      </c>
      <c r="M2345">
        <f>Data!G2358</f>
        <v>0</v>
      </c>
      <c r="N2345">
        <f>Data!H2358</f>
        <v>0</v>
      </c>
      <c r="O2345">
        <f>Data!I2358</f>
        <v>0</v>
      </c>
      <c r="P2345" s="21">
        <f>Data!J2362</f>
        <v>0</v>
      </c>
      <c r="Q2345">
        <f>Data!K2362</f>
        <v>0</v>
      </c>
      <c r="R2345">
        <f>Data!L2362</f>
        <v>0</v>
      </c>
      <c r="S2345">
        <f>Data!M2362</f>
        <v>0</v>
      </c>
      <c r="T2345">
        <f>Data!N2362</f>
        <v>0</v>
      </c>
      <c r="U2345">
        <f>Data!O2362</f>
        <v>0</v>
      </c>
      <c r="V2345" s="33">
        <f>Data!P2360</f>
        <v>0</v>
      </c>
    </row>
    <row r="2346" spans="7:22" x14ac:dyDescent="0.25">
      <c r="G2346">
        <f>Data!A2359</f>
        <v>0</v>
      </c>
      <c r="H2346" s="21">
        <f>Data!B2359</f>
        <v>0</v>
      </c>
      <c r="I2346" s="21">
        <f>Data!C2359</f>
        <v>0</v>
      </c>
      <c r="J2346">
        <f>Data!D2359</f>
        <v>0</v>
      </c>
      <c r="K2346">
        <f>Data!E2359</f>
        <v>0</v>
      </c>
      <c r="L2346">
        <f>Data!F2359</f>
        <v>0</v>
      </c>
      <c r="M2346">
        <f>Data!G2359</f>
        <v>0</v>
      </c>
      <c r="N2346">
        <f>Data!H2359</f>
        <v>0</v>
      </c>
      <c r="O2346">
        <f>Data!I2359</f>
        <v>0</v>
      </c>
      <c r="P2346" s="21">
        <f>Data!J2363</f>
        <v>0</v>
      </c>
      <c r="Q2346">
        <f>Data!K2363</f>
        <v>0</v>
      </c>
      <c r="R2346">
        <f>Data!L2363</f>
        <v>0</v>
      </c>
      <c r="S2346">
        <f>Data!M2363</f>
        <v>0</v>
      </c>
      <c r="T2346">
        <f>Data!N2363</f>
        <v>0</v>
      </c>
      <c r="U2346">
        <f>Data!O2363</f>
        <v>0</v>
      </c>
      <c r="V2346" s="33">
        <f>Data!P2361</f>
        <v>0</v>
      </c>
    </row>
    <row r="2347" spans="7:22" x14ac:dyDescent="0.25">
      <c r="G2347">
        <f>Data!A2360</f>
        <v>0</v>
      </c>
      <c r="H2347" s="21">
        <f>Data!B2360</f>
        <v>0</v>
      </c>
      <c r="I2347" s="21">
        <f>Data!C2360</f>
        <v>0</v>
      </c>
      <c r="J2347">
        <f>Data!D2360</f>
        <v>0</v>
      </c>
      <c r="K2347">
        <f>Data!E2360</f>
        <v>0</v>
      </c>
      <c r="L2347">
        <f>Data!F2360</f>
        <v>0</v>
      </c>
      <c r="M2347">
        <f>Data!G2360</f>
        <v>0</v>
      </c>
      <c r="N2347">
        <f>Data!H2360</f>
        <v>0</v>
      </c>
      <c r="O2347">
        <f>Data!I2360</f>
        <v>0</v>
      </c>
      <c r="P2347" s="21">
        <f>Data!J2364</f>
        <v>0</v>
      </c>
      <c r="Q2347">
        <f>Data!K2364</f>
        <v>0</v>
      </c>
      <c r="R2347">
        <f>Data!L2364</f>
        <v>0</v>
      </c>
      <c r="S2347">
        <f>Data!M2364</f>
        <v>0</v>
      </c>
      <c r="T2347">
        <f>Data!N2364</f>
        <v>0</v>
      </c>
      <c r="U2347">
        <f>Data!O2364</f>
        <v>0</v>
      </c>
      <c r="V2347" s="33">
        <f>Data!P2362</f>
        <v>0</v>
      </c>
    </row>
    <row r="2348" spans="7:22" x14ac:dyDescent="0.25">
      <c r="G2348">
        <f>Data!A2361</f>
        <v>0</v>
      </c>
      <c r="H2348" s="21">
        <f>Data!B2361</f>
        <v>0</v>
      </c>
      <c r="I2348" s="21">
        <f>Data!C2361</f>
        <v>0</v>
      </c>
      <c r="J2348">
        <f>Data!D2361</f>
        <v>0</v>
      </c>
      <c r="K2348">
        <f>Data!E2361</f>
        <v>0</v>
      </c>
      <c r="L2348">
        <f>Data!F2361</f>
        <v>0</v>
      </c>
      <c r="M2348">
        <f>Data!G2361</f>
        <v>0</v>
      </c>
      <c r="N2348">
        <f>Data!H2361</f>
        <v>0</v>
      </c>
      <c r="O2348">
        <f>Data!I2361</f>
        <v>0</v>
      </c>
      <c r="P2348" s="21">
        <f>Data!J2365</f>
        <v>0</v>
      </c>
      <c r="Q2348">
        <f>Data!K2365</f>
        <v>0</v>
      </c>
      <c r="R2348">
        <f>Data!L2365</f>
        <v>0</v>
      </c>
      <c r="S2348">
        <f>Data!M2365</f>
        <v>0</v>
      </c>
      <c r="T2348">
        <f>Data!N2365</f>
        <v>0</v>
      </c>
      <c r="U2348">
        <f>Data!O2365</f>
        <v>0</v>
      </c>
      <c r="V2348" s="33">
        <f>Data!P2363</f>
        <v>0</v>
      </c>
    </row>
    <row r="2349" spans="7:22" x14ac:dyDescent="0.25">
      <c r="G2349">
        <f>Data!A2362</f>
        <v>0</v>
      </c>
      <c r="H2349" s="21">
        <f>Data!B2362</f>
        <v>0</v>
      </c>
      <c r="I2349" s="21">
        <f>Data!C2362</f>
        <v>0</v>
      </c>
      <c r="J2349">
        <f>Data!D2362</f>
        <v>0</v>
      </c>
      <c r="K2349">
        <f>Data!E2362</f>
        <v>0</v>
      </c>
      <c r="L2349">
        <f>Data!F2362</f>
        <v>0</v>
      </c>
      <c r="M2349">
        <f>Data!G2362</f>
        <v>0</v>
      </c>
      <c r="N2349">
        <f>Data!H2362</f>
        <v>0</v>
      </c>
      <c r="O2349">
        <f>Data!I2362</f>
        <v>0</v>
      </c>
      <c r="P2349" s="21">
        <f>Data!J2366</f>
        <v>0</v>
      </c>
      <c r="Q2349">
        <f>Data!K2366</f>
        <v>0</v>
      </c>
      <c r="R2349">
        <f>Data!L2366</f>
        <v>0</v>
      </c>
      <c r="S2349">
        <f>Data!M2366</f>
        <v>0</v>
      </c>
      <c r="T2349">
        <f>Data!N2366</f>
        <v>0</v>
      </c>
      <c r="U2349">
        <f>Data!O2366</f>
        <v>0</v>
      </c>
      <c r="V2349" s="33">
        <f>Data!P2364</f>
        <v>0</v>
      </c>
    </row>
    <row r="2350" spans="7:22" x14ac:dyDescent="0.25">
      <c r="G2350">
        <f>Data!A2363</f>
        <v>0</v>
      </c>
      <c r="H2350" s="21">
        <f>Data!B2363</f>
        <v>0</v>
      </c>
      <c r="I2350" s="21">
        <f>Data!C2363</f>
        <v>0</v>
      </c>
      <c r="J2350">
        <f>Data!D2363</f>
        <v>0</v>
      </c>
      <c r="K2350">
        <f>Data!E2363</f>
        <v>0</v>
      </c>
      <c r="L2350">
        <f>Data!F2363</f>
        <v>0</v>
      </c>
      <c r="M2350">
        <f>Data!G2363</f>
        <v>0</v>
      </c>
      <c r="N2350">
        <f>Data!H2363</f>
        <v>0</v>
      </c>
      <c r="O2350">
        <f>Data!I2363</f>
        <v>0</v>
      </c>
      <c r="P2350" s="21">
        <f>Data!J2367</f>
        <v>0</v>
      </c>
      <c r="Q2350">
        <f>Data!K2367</f>
        <v>0</v>
      </c>
      <c r="R2350">
        <f>Data!L2367</f>
        <v>0</v>
      </c>
      <c r="S2350">
        <f>Data!M2367</f>
        <v>0</v>
      </c>
      <c r="T2350">
        <f>Data!N2367</f>
        <v>0</v>
      </c>
      <c r="U2350">
        <f>Data!O2367</f>
        <v>0</v>
      </c>
      <c r="V2350" s="33">
        <f>Data!P2365</f>
        <v>0</v>
      </c>
    </row>
    <row r="2351" spans="7:22" x14ac:dyDescent="0.25">
      <c r="G2351">
        <f>Data!A2364</f>
        <v>0</v>
      </c>
      <c r="H2351" s="21">
        <f>Data!B2364</f>
        <v>0</v>
      </c>
      <c r="I2351" s="21">
        <f>Data!C2364</f>
        <v>0</v>
      </c>
      <c r="J2351">
        <f>Data!D2364</f>
        <v>0</v>
      </c>
      <c r="K2351">
        <f>Data!E2364</f>
        <v>0</v>
      </c>
      <c r="L2351">
        <f>Data!F2364</f>
        <v>0</v>
      </c>
      <c r="M2351">
        <f>Data!G2364</f>
        <v>0</v>
      </c>
      <c r="N2351">
        <f>Data!H2364</f>
        <v>0</v>
      </c>
      <c r="O2351">
        <f>Data!I2364</f>
        <v>0</v>
      </c>
      <c r="P2351" s="21">
        <f>Data!J2368</f>
        <v>0</v>
      </c>
      <c r="Q2351">
        <f>Data!K2368</f>
        <v>0</v>
      </c>
      <c r="R2351">
        <f>Data!L2368</f>
        <v>0</v>
      </c>
      <c r="S2351">
        <f>Data!M2368</f>
        <v>0</v>
      </c>
      <c r="T2351">
        <f>Data!N2368</f>
        <v>0</v>
      </c>
      <c r="U2351">
        <f>Data!O2368</f>
        <v>0</v>
      </c>
      <c r="V2351" s="33">
        <f>Data!P2366</f>
        <v>0</v>
      </c>
    </row>
    <row r="2352" spans="7:22" x14ac:dyDescent="0.25">
      <c r="G2352">
        <f>Data!A2365</f>
        <v>0</v>
      </c>
      <c r="H2352" s="21">
        <f>Data!B2365</f>
        <v>0</v>
      </c>
      <c r="I2352" s="21">
        <f>Data!C2365</f>
        <v>0</v>
      </c>
      <c r="J2352">
        <f>Data!D2365</f>
        <v>0</v>
      </c>
      <c r="K2352">
        <f>Data!E2365</f>
        <v>0</v>
      </c>
      <c r="L2352">
        <f>Data!F2365</f>
        <v>0</v>
      </c>
      <c r="M2352">
        <f>Data!G2365</f>
        <v>0</v>
      </c>
      <c r="N2352">
        <f>Data!H2365</f>
        <v>0</v>
      </c>
      <c r="O2352">
        <f>Data!I2365</f>
        <v>0</v>
      </c>
      <c r="P2352" s="21">
        <f>Data!J2369</f>
        <v>0</v>
      </c>
      <c r="Q2352">
        <f>Data!K2369</f>
        <v>0</v>
      </c>
      <c r="R2352">
        <f>Data!L2369</f>
        <v>0</v>
      </c>
      <c r="S2352">
        <f>Data!M2369</f>
        <v>0</v>
      </c>
      <c r="T2352">
        <f>Data!N2369</f>
        <v>0</v>
      </c>
      <c r="U2352">
        <f>Data!O2369</f>
        <v>0</v>
      </c>
      <c r="V2352" s="33">
        <f>Data!P2367</f>
        <v>0</v>
      </c>
    </row>
    <row r="2353" spans="7:22" x14ac:dyDescent="0.25">
      <c r="G2353">
        <f>Data!A2366</f>
        <v>0</v>
      </c>
      <c r="H2353" s="21">
        <f>Data!B2366</f>
        <v>0</v>
      </c>
      <c r="I2353" s="21">
        <f>Data!C2366</f>
        <v>0</v>
      </c>
      <c r="J2353">
        <f>Data!D2366</f>
        <v>0</v>
      </c>
      <c r="K2353">
        <f>Data!E2366</f>
        <v>0</v>
      </c>
      <c r="L2353">
        <f>Data!F2366</f>
        <v>0</v>
      </c>
      <c r="M2353">
        <f>Data!G2366</f>
        <v>0</v>
      </c>
      <c r="N2353">
        <f>Data!H2366</f>
        <v>0</v>
      </c>
      <c r="O2353">
        <f>Data!I2366</f>
        <v>0</v>
      </c>
      <c r="P2353" s="21">
        <f>Data!J2370</f>
        <v>0</v>
      </c>
      <c r="Q2353">
        <f>Data!K2370</f>
        <v>0</v>
      </c>
      <c r="R2353">
        <f>Data!L2370</f>
        <v>0</v>
      </c>
      <c r="S2353">
        <f>Data!M2370</f>
        <v>0</v>
      </c>
      <c r="T2353">
        <f>Data!N2370</f>
        <v>0</v>
      </c>
      <c r="U2353">
        <f>Data!O2370</f>
        <v>0</v>
      </c>
      <c r="V2353" s="33">
        <f>Data!P2368</f>
        <v>0</v>
      </c>
    </row>
    <row r="2354" spans="7:22" x14ac:dyDescent="0.25">
      <c r="G2354">
        <f>Data!A2367</f>
        <v>0</v>
      </c>
      <c r="H2354" s="21">
        <f>Data!B2367</f>
        <v>0</v>
      </c>
      <c r="I2354" s="21">
        <f>Data!C2367</f>
        <v>0</v>
      </c>
      <c r="J2354">
        <f>Data!D2367</f>
        <v>0</v>
      </c>
      <c r="K2354">
        <f>Data!E2367</f>
        <v>0</v>
      </c>
      <c r="L2354">
        <f>Data!F2367</f>
        <v>0</v>
      </c>
      <c r="M2354">
        <f>Data!G2367</f>
        <v>0</v>
      </c>
      <c r="N2354">
        <f>Data!H2367</f>
        <v>0</v>
      </c>
      <c r="O2354">
        <f>Data!I2367</f>
        <v>0</v>
      </c>
      <c r="P2354" s="21">
        <f>Data!J2371</f>
        <v>0</v>
      </c>
      <c r="Q2354">
        <f>Data!K2371</f>
        <v>0</v>
      </c>
      <c r="R2354">
        <f>Data!L2371</f>
        <v>0</v>
      </c>
      <c r="S2354">
        <f>Data!M2371</f>
        <v>0</v>
      </c>
      <c r="T2354">
        <f>Data!N2371</f>
        <v>0</v>
      </c>
      <c r="U2354">
        <f>Data!O2371</f>
        <v>0</v>
      </c>
      <c r="V2354" s="33">
        <f>Data!P2369</f>
        <v>0</v>
      </c>
    </row>
    <row r="2355" spans="7:22" x14ac:dyDescent="0.25">
      <c r="G2355">
        <f>Data!A2368</f>
        <v>0</v>
      </c>
      <c r="H2355" s="21">
        <f>Data!B2368</f>
        <v>0</v>
      </c>
      <c r="I2355" s="21">
        <f>Data!C2368</f>
        <v>0</v>
      </c>
      <c r="J2355">
        <f>Data!D2368</f>
        <v>0</v>
      </c>
      <c r="K2355">
        <f>Data!E2368</f>
        <v>0</v>
      </c>
      <c r="L2355">
        <f>Data!F2368</f>
        <v>0</v>
      </c>
      <c r="M2355">
        <f>Data!G2368</f>
        <v>0</v>
      </c>
      <c r="N2355">
        <f>Data!H2368</f>
        <v>0</v>
      </c>
      <c r="O2355">
        <f>Data!I2368</f>
        <v>0</v>
      </c>
      <c r="P2355" s="21">
        <f>Data!J2372</f>
        <v>0</v>
      </c>
      <c r="Q2355">
        <f>Data!K2372</f>
        <v>0</v>
      </c>
      <c r="R2355">
        <f>Data!L2372</f>
        <v>0</v>
      </c>
      <c r="S2355">
        <f>Data!M2372</f>
        <v>0</v>
      </c>
      <c r="T2355">
        <f>Data!N2372</f>
        <v>0</v>
      </c>
      <c r="U2355">
        <f>Data!O2372</f>
        <v>0</v>
      </c>
      <c r="V2355" s="33">
        <f>Data!P2370</f>
        <v>0</v>
      </c>
    </row>
    <row r="2356" spans="7:22" x14ac:dyDescent="0.25">
      <c r="G2356">
        <f>Data!A2369</f>
        <v>0</v>
      </c>
      <c r="H2356" s="21">
        <f>Data!B2369</f>
        <v>0</v>
      </c>
      <c r="I2356" s="21">
        <f>Data!C2369</f>
        <v>0</v>
      </c>
      <c r="J2356">
        <f>Data!D2369</f>
        <v>0</v>
      </c>
      <c r="K2356">
        <f>Data!E2369</f>
        <v>0</v>
      </c>
      <c r="L2356">
        <f>Data!F2369</f>
        <v>0</v>
      </c>
      <c r="M2356">
        <f>Data!G2369</f>
        <v>0</v>
      </c>
      <c r="N2356">
        <f>Data!H2369</f>
        <v>0</v>
      </c>
      <c r="O2356">
        <f>Data!I2369</f>
        <v>0</v>
      </c>
      <c r="P2356" s="21">
        <f>Data!J2373</f>
        <v>0</v>
      </c>
      <c r="Q2356">
        <f>Data!K2373</f>
        <v>0</v>
      </c>
      <c r="R2356">
        <f>Data!L2373</f>
        <v>0</v>
      </c>
      <c r="S2356">
        <f>Data!M2373</f>
        <v>0</v>
      </c>
      <c r="T2356">
        <f>Data!N2373</f>
        <v>0</v>
      </c>
      <c r="U2356">
        <f>Data!O2373</f>
        <v>0</v>
      </c>
      <c r="V2356" s="33">
        <f>Data!P2371</f>
        <v>0</v>
      </c>
    </row>
    <row r="2357" spans="7:22" x14ac:dyDescent="0.25">
      <c r="G2357">
        <f>Data!A2370</f>
        <v>0</v>
      </c>
      <c r="H2357" s="21">
        <f>Data!B2370</f>
        <v>0</v>
      </c>
      <c r="I2357" s="21">
        <f>Data!C2370</f>
        <v>0</v>
      </c>
      <c r="J2357">
        <f>Data!D2370</f>
        <v>0</v>
      </c>
      <c r="K2357">
        <f>Data!E2370</f>
        <v>0</v>
      </c>
      <c r="L2357">
        <f>Data!F2370</f>
        <v>0</v>
      </c>
      <c r="M2357">
        <f>Data!G2370</f>
        <v>0</v>
      </c>
      <c r="N2357">
        <f>Data!H2370</f>
        <v>0</v>
      </c>
      <c r="O2357">
        <f>Data!I2370</f>
        <v>0</v>
      </c>
      <c r="P2357" s="21">
        <f>Data!J2374</f>
        <v>0</v>
      </c>
      <c r="Q2357">
        <f>Data!K2374</f>
        <v>0</v>
      </c>
      <c r="R2357">
        <f>Data!L2374</f>
        <v>0</v>
      </c>
      <c r="S2357">
        <f>Data!M2374</f>
        <v>0</v>
      </c>
      <c r="T2357">
        <f>Data!N2374</f>
        <v>0</v>
      </c>
      <c r="U2357">
        <f>Data!O2374</f>
        <v>0</v>
      </c>
      <c r="V2357" s="33">
        <f>Data!P2372</f>
        <v>0</v>
      </c>
    </row>
    <row r="2358" spans="7:22" x14ac:dyDescent="0.25">
      <c r="G2358">
        <f>Data!A2371</f>
        <v>0</v>
      </c>
      <c r="H2358" s="21">
        <f>Data!B2371</f>
        <v>0</v>
      </c>
      <c r="I2358" s="21">
        <f>Data!C2371</f>
        <v>0</v>
      </c>
      <c r="J2358">
        <f>Data!D2371</f>
        <v>0</v>
      </c>
      <c r="K2358">
        <f>Data!E2371</f>
        <v>0</v>
      </c>
      <c r="L2358">
        <f>Data!F2371</f>
        <v>0</v>
      </c>
      <c r="M2358">
        <f>Data!G2371</f>
        <v>0</v>
      </c>
      <c r="N2358">
        <f>Data!H2371</f>
        <v>0</v>
      </c>
      <c r="O2358">
        <f>Data!I2371</f>
        <v>0</v>
      </c>
      <c r="P2358" s="21">
        <f>Data!J2375</f>
        <v>0</v>
      </c>
      <c r="Q2358">
        <f>Data!K2375</f>
        <v>0</v>
      </c>
      <c r="R2358">
        <f>Data!L2375</f>
        <v>0</v>
      </c>
      <c r="S2358">
        <f>Data!M2375</f>
        <v>0</v>
      </c>
      <c r="T2358">
        <f>Data!N2375</f>
        <v>0</v>
      </c>
      <c r="U2358">
        <f>Data!O2375</f>
        <v>0</v>
      </c>
      <c r="V2358" s="33">
        <f>Data!P2373</f>
        <v>0</v>
      </c>
    </row>
    <row r="2359" spans="7:22" x14ac:dyDescent="0.25">
      <c r="G2359">
        <f>Data!A2372</f>
        <v>0</v>
      </c>
      <c r="H2359" s="21">
        <f>Data!B2372</f>
        <v>0</v>
      </c>
      <c r="I2359" s="21">
        <f>Data!C2372</f>
        <v>0</v>
      </c>
      <c r="J2359">
        <f>Data!D2372</f>
        <v>0</v>
      </c>
      <c r="K2359">
        <f>Data!E2372</f>
        <v>0</v>
      </c>
      <c r="L2359">
        <f>Data!F2372</f>
        <v>0</v>
      </c>
      <c r="M2359">
        <f>Data!G2372</f>
        <v>0</v>
      </c>
      <c r="N2359">
        <f>Data!H2372</f>
        <v>0</v>
      </c>
      <c r="O2359">
        <f>Data!I2372</f>
        <v>0</v>
      </c>
      <c r="P2359" s="21">
        <f>Data!J2376</f>
        <v>0</v>
      </c>
      <c r="Q2359">
        <f>Data!K2376</f>
        <v>0</v>
      </c>
      <c r="R2359">
        <f>Data!L2376</f>
        <v>0</v>
      </c>
      <c r="S2359">
        <f>Data!M2376</f>
        <v>0</v>
      </c>
      <c r="T2359">
        <f>Data!N2376</f>
        <v>0</v>
      </c>
      <c r="U2359">
        <f>Data!O2376</f>
        <v>0</v>
      </c>
      <c r="V2359" s="33">
        <f>Data!P2374</f>
        <v>0</v>
      </c>
    </row>
    <row r="2360" spans="7:22" x14ac:dyDescent="0.25">
      <c r="G2360">
        <f>Data!A2373</f>
        <v>0</v>
      </c>
      <c r="H2360" s="21">
        <f>Data!B2373</f>
        <v>0</v>
      </c>
      <c r="I2360" s="21">
        <f>Data!C2373</f>
        <v>0</v>
      </c>
      <c r="J2360">
        <f>Data!D2373</f>
        <v>0</v>
      </c>
      <c r="K2360">
        <f>Data!E2373</f>
        <v>0</v>
      </c>
      <c r="L2360">
        <f>Data!F2373</f>
        <v>0</v>
      </c>
      <c r="M2360">
        <f>Data!G2373</f>
        <v>0</v>
      </c>
      <c r="N2360">
        <f>Data!H2373</f>
        <v>0</v>
      </c>
      <c r="O2360">
        <f>Data!I2373</f>
        <v>0</v>
      </c>
      <c r="P2360" s="21">
        <f>Data!J2377</f>
        <v>0</v>
      </c>
      <c r="Q2360">
        <f>Data!K2377</f>
        <v>0</v>
      </c>
      <c r="R2360">
        <f>Data!L2377</f>
        <v>0</v>
      </c>
      <c r="S2360">
        <f>Data!M2377</f>
        <v>0</v>
      </c>
      <c r="T2360">
        <f>Data!N2377</f>
        <v>0</v>
      </c>
      <c r="U2360">
        <f>Data!O2377</f>
        <v>0</v>
      </c>
      <c r="V2360" s="33">
        <f>Data!P2375</f>
        <v>0</v>
      </c>
    </row>
    <row r="2361" spans="7:22" x14ac:dyDescent="0.25">
      <c r="G2361">
        <f>Data!A2374</f>
        <v>0</v>
      </c>
      <c r="H2361" s="21">
        <f>Data!B2374</f>
        <v>0</v>
      </c>
      <c r="I2361" s="21">
        <f>Data!C2374</f>
        <v>0</v>
      </c>
      <c r="J2361">
        <f>Data!D2374</f>
        <v>0</v>
      </c>
      <c r="K2361">
        <f>Data!E2374</f>
        <v>0</v>
      </c>
      <c r="L2361">
        <f>Data!F2374</f>
        <v>0</v>
      </c>
      <c r="M2361">
        <f>Data!G2374</f>
        <v>0</v>
      </c>
      <c r="N2361">
        <f>Data!H2374</f>
        <v>0</v>
      </c>
      <c r="O2361">
        <f>Data!I2374</f>
        <v>0</v>
      </c>
      <c r="P2361" s="21">
        <f>Data!J2378</f>
        <v>0</v>
      </c>
      <c r="Q2361">
        <f>Data!K2378</f>
        <v>0</v>
      </c>
      <c r="R2361">
        <f>Data!L2378</f>
        <v>0</v>
      </c>
      <c r="S2361">
        <f>Data!M2378</f>
        <v>0</v>
      </c>
      <c r="T2361">
        <f>Data!N2378</f>
        <v>0</v>
      </c>
      <c r="U2361">
        <f>Data!O2378</f>
        <v>0</v>
      </c>
      <c r="V2361" s="33">
        <f>Data!P2376</f>
        <v>0</v>
      </c>
    </row>
    <row r="2362" spans="7:22" x14ac:dyDescent="0.25">
      <c r="G2362">
        <f>Data!A2375</f>
        <v>0</v>
      </c>
      <c r="H2362" s="21">
        <f>Data!B2375</f>
        <v>0</v>
      </c>
      <c r="I2362" s="21">
        <f>Data!C2375</f>
        <v>0</v>
      </c>
      <c r="J2362">
        <f>Data!D2375</f>
        <v>0</v>
      </c>
      <c r="K2362">
        <f>Data!E2375</f>
        <v>0</v>
      </c>
      <c r="L2362">
        <f>Data!F2375</f>
        <v>0</v>
      </c>
      <c r="M2362">
        <f>Data!G2375</f>
        <v>0</v>
      </c>
      <c r="N2362">
        <f>Data!H2375</f>
        <v>0</v>
      </c>
      <c r="O2362">
        <f>Data!I2375</f>
        <v>0</v>
      </c>
      <c r="P2362" s="21">
        <f>Data!J2379</f>
        <v>0</v>
      </c>
      <c r="Q2362">
        <f>Data!K2379</f>
        <v>0</v>
      </c>
      <c r="R2362">
        <f>Data!L2379</f>
        <v>0</v>
      </c>
      <c r="S2362">
        <f>Data!M2379</f>
        <v>0</v>
      </c>
      <c r="T2362">
        <f>Data!N2379</f>
        <v>0</v>
      </c>
      <c r="U2362">
        <f>Data!O2379</f>
        <v>0</v>
      </c>
      <c r="V2362" s="33">
        <f>Data!P2377</f>
        <v>0</v>
      </c>
    </row>
    <row r="2363" spans="7:22" x14ac:dyDescent="0.25">
      <c r="G2363">
        <f>Data!A2376</f>
        <v>0</v>
      </c>
      <c r="H2363" s="21">
        <f>Data!B2376</f>
        <v>0</v>
      </c>
      <c r="I2363" s="21">
        <f>Data!C2376</f>
        <v>0</v>
      </c>
      <c r="J2363">
        <f>Data!D2376</f>
        <v>0</v>
      </c>
      <c r="K2363">
        <f>Data!E2376</f>
        <v>0</v>
      </c>
      <c r="L2363">
        <f>Data!F2376</f>
        <v>0</v>
      </c>
      <c r="M2363">
        <f>Data!G2376</f>
        <v>0</v>
      </c>
      <c r="N2363">
        <f>Data!H2376</f>
        <v>0</v>
      </c>
      <c r="O2363">
        <f>Data!I2376</f>
        <v>0</v>
      </c>
      <c r="P2363" s="21">
        <f>Data!J2380</f>
        <v>0</v>
      </c>
      <c r="Q2363">
        <f>Data!K2380</f>
        <v>0</v>
      </c>
      <c r="R2363">
        <f>Data!L2380</f>
        <v>0</v>
      </c>
      <c r="S2363">
        <f>Data!M2380</f>
        <v>0</v>
      </c>
      <c r="T2363">
        <f>Data!N2380</f>
        <v>0</v>
      </c>
      <c r="U2363">
        <f>Data!O2380</f>
        <v>0</v>
      </c>
      <c r="V2363" s="33">
        <f>Data!P2378</f>
        <v>0</v>
      </c>
    </row>
    <row r="2364" spans="7:22" x14ac:dyDescent="0.25">
      <c r="G2364">
        <f>Data!A2377</f>
        <v>0</v>
      </c>
      <c r="H2364" s="21">
        <f>Data!B2377</f>
        <v>0</v>
      </c>
      <c r="I2364" s="21">
        <f>Data!C2377</f>
        <v>0</v>
      </c>
      <c r="J2364">
        <f>Data!D2377</f>
        <v>0</v>
      </c>
      <c r="K2364">
        <f>Data!E2377</f>
        <v>0</v>
      </c>
      <c r="L2364">
        <f>Data!F2377</f>
        <v>0</v>
      </c>
      <c r="M2364">
        <f>Data!G2377</f>
        <v>0</v>
      </c>
      <c r="N2364">
        <f>Data!H2377</f>
        <v>0</v>
      </c>
      <c r="O2364">
        <f>Data!I2377</f>
        <v>0</v>
      </c>
      <c r="P2364" s="21">
        <f>Data!J2381</f>
        <v>0</v>
      </c>
      <c r="Q2364">
        <f>Data!K2381</f>
        <v>0</v>
      </c>
      <c r="R2364">
        <f>Data!L2381</f>
        <v>0</v>
      </c>
      <c r="S2364">
        <f>Data!M2381</f>
        <v>0</v>
      </c>
      <c r="T2364">
        <f>Data!N2381</f>
        <v>0</v>
      </c>
      <c r="U2364">
        <f>Data!O2381</f>
        <v>0</v>
      </c>
      <c r="V2364" s="33">
        <f>Data!P2379</f>
        <v>0</v>
      </c>
    </row>
    <row r="2365" spans="7:22" x14ac:dyDescent="0.25">
      <c r="G2365">
        <f>Data!A2378</f>
        <v>0</v>
      </c>
      <c r="H2365" s="21">
        <f>Data!B2378</f>
        <v>0</v>
      </c>
      <c r="I2365" s="21">
        <f>Data!C2378</f>
        <v>0</v>
      </c>
      <c r="J2365">
        <f>Data!D2378</f>
        <v>0</v>
      </c>
      <c r="K2365">
        <f>Data!E2378</f>
        <v>0</v>
      </c>
      <c r="L2365">
        <f>Data!F2378</f>
        <v>0</v>
      </c>
      <c r="M2365">
        <f>Data!G2378</f>
        <v>0</v>
      </c>
      <c r="N2365">
        <f>Data!H2378</f>
        <v>0</v>
      </c>
      <c r="O2365">
        <f>Data!I2378</f>
        <v>0</v>
      </c>
      <c r="P2365" s="21">
        <f>Data!J2382</f>
        <v>0</v>
      </c>
      <c r="Q2365">
        <f>Data!K2382</f>
        <v>0</v>
      </c>
      <c r="R2365">
        <f>Data!L2382</f>
        <v>0</v>
      </c>
      <c r="S2365">
        <f>Data!M2382</f>
        <v>0</v>
      </c>
      <c r="T2365">
        <f>Data!N2382</f>
        <v>0</v>
      </c>
      <c r="U2365">
        <f>Data!O2382</f>
        <v>0</v>
      </c>
      <c r="V2365" s="33">
        <f>Data!P2380</f>
        <v>0</v>
      </c>
    </row>
    <row r="2366" spans="7:22" x14ac:dyDescent="0.25">
      <c r="G2366">
        <f>Data!A2379</f>
        <v>0</v>
      </c>
      <c r="H2366" s="21">
        <f>Data!B2379</f>
        <v>0</v>
      </c>
      <c r="I2366" s="21">
        <f>Data!C2379</f>
        <v>0</v>
      </c>
      <c r="J2366">
        <f>Data!D2379</f>
        <v>0</v>
      </c>
      <c r="K2366">
        <f>Data!E2379</f>
        <v>0</v>
      </c>
      <c r="L2366">
        <f>Data!F2379</f>
        <v>0</v>
      </c>
      <c r="M2366">
        <f>Data!G2379</f>
        <v>0</v>
      </c>
      <c r="N2366">
        <f>Data!H2379</f>
        <v>0</v>
      </c>
      <c r="O2366">
        <f>Data!I2379</f>
        <v>0</v>
      </c>
      <c r="P2366" s="21">
        <f>Data!J2383</f>
        <v>0</v>
      </c>
      <c r="Q2366">
        <f>Data!K2383</f>
        <v>0</v>
      </c>
      <c r="R2366">
        <f>Data!L2383</f>
        <v>0</v>
      </c>
      <c r="S2366">
        <f>Data!M2383</f>
        <v>0</v>
      </c>
      <c r="T2366">
        <f>Data!N2383</f>
        <v>0</v>
      </c>
      <c r="U2366">
        <f>Data!O2383</f>
        <v>0</v>
      </c>
      <c r="V2366" s="33">
        <f>Data!P2381</f>
        <v>0</v>
      </c>
    </row>
    <row r="2367" spans="7:22" x14ac:dyDescent="0.25">
      <c r="G2367">
        <f>Data!A2380</f>
        <v>0</v>
      </c>
      <c r="H2367" s="21">
        <f>Data!B2380</f>
        <v>0</v>
      </c>
      <c r="I2367" s="21">
        <f>Data!C2380</f>
        <v>0</v>
      </c>
      <c r="J2367">
        <f>Data!D2380</f>
        <v>0</v>
      </c>
      <c r="K2367">
        <f>Data!E2380</f>
        <v>0</v>
      </c>
      <c r="L2367">
        <f>Data!F2380</f>
        <v>0</v>
      </c>
      <c r="M2367">
        <f>Data!G2380</f>
        <v>0</v>
      </c>
      <c r="N2367">
        <f>Data!H2380</f>
        <v>0</v>
      </c>
      <c r="O2367">
        <f>Data!I2380</f>
        <v>0</v>
      </c>
      <c r="P2367" s="21">
        <f>Data!J2384</f>
        <v>0</v>
      </c>
      <c r="Q2367">
        <f>Data!K2384</f>
        <v>0</v>
      </c>
      <c r="R2367">
        <f>Data!L2384</f>
        <v>0</v>
      </c>
      <c r="S2367">
        <f>Data!M2384</f>
        <v>0</v>
      </c>
      <c r="T2367">
        <f>Data!N2384</f>
        <v>0</v>
      </c>
      <c r="U2367">
        <f>Data!O2384</f>
        <v>0</v>
      </c>
      <c r="V2367" s="33">
        <f>Data!P2382</f>
        <v>0</v>
      </c>
    </row>
    <row r="2368" spans="7:22" x14ac:dyDescent="0.25">
      <c r="G2368">
        <f>Data!A2381</f>
        <v>0</v>
      </c>
      <c r="H2368" s="21">
        <f>Data!B2381</f>
        <v>0</v>
      </c>
      <c r="I2368" s="21">
        <f>Data!C2381</f>
        <v>0</v>
      </c>
      <c r="J2368">
        <f>Data!D2381</f>
        <v>0</v>
      </c>
      <c r="K2368">
        <f>Data!E2381</f>
        <v>0</v>
      </c>
      <c r="L2368">
        <f>Data!F2381</f>
        <v>0</v>
      </c>
      <c r="M2368">
        <f>Data!G2381</f>
        <v>0</v>
      </c>
      <c r="N2368">
        <f>Data!H2381</f>
        <v>0</v>
      </c>
      <c r="O2368">
        <f>Data!I2381</f>
        <v>0</v>
      </c>
      <c r="P2368" s="21">
        <f>Data!J2385</f>
        <v>0</v>
      </c>
      <c r="Q2368">
        <f>Data!K2385</f>
        <v>0</v>
      </c>
      <c r="R2368">
        <f>Data!L2385</f>
        <v>0</v>
      </c>
      <c r="S2368">
        <f>Data!M2385</f>
        <v>0</v>
      </c>
      <c r="T2368">
        <f>Data!N2385</f>
        <v>0</v>
      </c>
      <c r="U2368">
        <f>Data!O2385</f>
        <v>0</v>
      </c>
      <c r="V2368" s="33">
        <f>Data!P2383</f>
        <v>0</v>
      </c>
    </row>
    <row r="2369" spans="7:22" x14ac:dyDescent="0.25">
      <c r="G2369">
        <f>Data!A2382</f>
        <v>0</v>
      </c>
      <c r="H2369" s="21">
        <f>Data!B2382</f>
        <v>0</v>
      </c>
      <c r="I2369" s="21">
        <f>Data!C2382</f>
        <v>0</v>
      </c>
      <c r="J2369">
        <f>Data!D2382</f>
        <v>0</v>
      </c>
      <c r="K2369">
        <f>Data!E2382</f>
        <v>0</v>
      </c>
      <c r="L2369">
        <f>Data!F2382</f>
        <v>0</v>
      </c>
      <c r="M2369">
        <f>Data!G2382</f>
        <v>0</v>
      </c>
      <c r="N2369">
        <f>Data!H2382</f>
        <v>0</v>
      </c>
      <c r="O2369">
        <f>Data!I2382</f>
        <v>0</v>
      </c>
      <c r="P2369" s="21">
        <f>Data!J2386</f>
        <v>0</v>
      </c>
      <c r="Q2369">
        <f>Data!K2386</f>
        <v>0</v>
      </c>
      <c r="R2369">
        <f>Data!L2386</f>
        <v>0</v>
      </c>
      <c r="S2369">
        <f>Data!M2386</f>
        <v>0</v>
      </c>
      <c r="T2369">
        <f>Data!N2386</f>
        <v>0</v>
      </c>
      <c r="U2369">
        <f>Data!O2386</f>
        <v>0</v>
      </c>
      <c r="V2369" s="33">
        <f>Data!P2384</f>
        <v>0</v>
      </c>
    </row>
    <row r="2370" spans="7:22" x14ac:dyDescent="0.25">
      <c r="G2370">
        <f>Data!A2383</f>
        <v>0</v>
      </c>
      <c r="H2370" s="21">
        <f>Data!B2383</f>
        <v>0</v>
      </c>
      <c r="I2370" s="21">
        <f>Data!C2383</f>
        <v>0</v>
      </c>
      <c r="J2370">
        <f>Data!D2383</f>
        <v>0</v>
      </c>
      <c r="K2370">
        <f>Data!E2383</f>
        <v>0</v>
      </c>
      <c r="L2370">
        <f>Data!F2383</f>
        <v>0</v>
      </c>
      <c r="M2370">
        <f>Data!G2383</f>
        <v>0</v>
      </c>
      <c r="N2370">
        <f>Data!H2383</f>
        <v>0</v>
      </c>
      <c r="O2370">
        <f>Data!I2383</f>
        <v>0</v>
      </c>
      <c r="P2370" s="21">
        <f>Data!J2387</f>
        <v>0</v>
      </c>
      <c r="Q2370">
        <f>Data!K2387</f>
        <v>0</v>
      </c>
      <c r="R2370">
        <f>Data!L2387</f>
        <v>0</v>
      </c>
      <c r="S2370">
        <f>Data!M2387</f>
        <v>0</v>
      </c>
      <c r="T2370">
        <f>Data!N2387</f>
        <v>0</v>
      </c>
      <c r="U2370">
        <f>Data!O2387</f>
        <v>0</v>
      </c>
      <c r="V2370" s="33">
        <f>Data!P2385</f>
        <v>0</v>
      </c>
    </row>
    <row r="2371" spans="7:22" x14ac:dyDescent="0.25">
      <c r="G2371">
        <f>Data!A2384</f>
        <v>0</v>
      </c>
      <c r="H2371" s="21">
        <f>Data!B2384</f>
        <v>0</v>
      </c>
      <c r="I2371" s="21">
        <f>Data!C2384</f>
        <v>0</v>
      </c>
      <c r="J2371">
        <f>Data!D2384</f>
        <v>0</v>
      </c>
      <c r="K2371">
        <f>Data!E2384</f>
        <v>0</v>
      </c>
      <c r="L2371">
        <f>Data!F2384</f>
        <v>0</v>
      </c>
      <c r="M2371">
        <f>Data!G2384</f>
        <v>0</v>
      </c>
      <c r="N2371">
        <f>Data!H2384</f>
        <v>0</v>
      </c>
      <c r="O2371">
        <f>Data!I2384</f>
        <v>0</v>
      </c>
      <c r="P2371" s="21">
        <f>Data!J2388</f>
        <v>0</v>
      </c>
      <c r="Q2371">
        <f>Data!K2388</f>
        <v>0</v>
      </c>
      <c r="R2371">
        <f>Data!L2388</f>
        <v>0</v>
      </c>
      <c r="S2371">
        <f>Data!M2388</f>
        <v>0</v>
      </c>
      <c r="T2371">
        <f>Data!N2388</f>
        <v>0</v>
      </c>
      <c r="U2371">
        <f>Data!O2388</f>
        <v>0</v>
      </c>
      <c r="V2371" s="33">
        <f>Data!P2386</f>
        <v>0</v>
      </c>
    </row>
    <row r="2372" spans="7:22" x14ac:dyDescent="0.25">
      <c r="G2372">
        <f>Data!A2385</f>
        <v>0</v>
      </c>
      <c r="H2372" s="21">
        <f>Data!B2385</f>
        <v>0</v>
      </c>
      <c r="I2372" s="21">
        <f>Data!C2385</f>
        <v>0</v>
      </c>
      <c r="J2372">
        <f>Data!D2385</f>
        <v>0</v>
      </c>
      <c r="K2372">
        <f>Data!E2385</f>
        <v>0</v>
      </c>
      <c r="L2372">
        <f>Data!F2385</f>
        <v>0</v>
      </c>
      <c r="M2372">
        <f>Data!G2385</f>
        <v>0</v>
      </c>
      <c r="N2372">
        <f>Data!H2385</f>
        <v>0</v>
      </c>
      <c r="O2372">
        <f>Data!I2385</f>
        <v>0</v>
      </c>
      <c r="P2372" s="21">
        <f>Data!J2389</f>
        <v>0</v>
      </c>
      <c r="Q2372">
        <f>Data!K2389</f>
        <v>0</v>
      </c>
      <c r="R2372">
        <f>Data!L2389</f>
        <v>0</v>
      </c>
      <c r="S2372">
        <f>Data!M2389</f>
        <v>0</v>
      </c>
      <c r="T2372">
        <f>Data!N2389</f>
        <v>0</v>
      </c>
      <c r="U2372">
        <f>Data!O2389</f>
        <v>0</v>
      </c>
      <c r="V2372" s="33">
        <f>Data!P2387</f>
        <v>0</v>
      </c>
    </row>
    <row r="2373" spans="7:22" x14ac:dyDescent="0.25">
      <c r="G2373">
        <f>Data!A2386</f>
        <v>0</v>
      </c>
      <c r="H2373" s="21">
        <f>Data!B2386</f>
        <v>0</v>
      </c>
      <c r="I2373" s="21">
        <f>Data!C2386</f>
        <v>0</v>
      </c>
      <c r="J2373">
        <f>Data!D2386</f>
        <v>0</v>
      </c>
      <c r="K2373">
        <f>Data!E2386</f>
        <v>0</v>
      </c>
      <c r="L2373">
        <f>Data!F2386</f>
        <v>0</v>
      </c>
      <c r="M2373">
        <f>Data!G2386</f>
        <v>0</v>
      </c>
      <c r="N2373">
        <f>Data!H2386</f>
        <v>0</v>
      </c>
      <c r="O2373">
        <f>Data!I2386</f>
        <v>0</v>
      </c>
      <c r="P2373" s="21">
        <f>Data!J2390</f>
        <v>0</v>
      </c>
      <c r="Q2373">
        <f>Data!K2390</f>
        <v>0</v>
      </c>
      <c r="R2373">
        <f>Data!L2390</f>
        <v>0</v>
      </c>
      <c r="S2373">
        <f>Data!M2390</f>
        <v>0</v>
      </c>
      <c r="T2373">
        <f>Data!N2390</f>
        <v>0</v>
      </c>
      <c r="U2373">
        <f>Data!O2390</f>
        <v>0</v>
      </c>
      <c r="V2373" s="33">
        <f>Data!P2388</f>
        <v>0</v>
      </c>
    </row>
    <row r="2374" spans="7:22" x14ac:dyDescent="0.25">
      <c r="G2374">
        <f>Data!A2387</f>
        <v>0</v>
      </c>
      <c r="H2374" s="21">
        <f>Data!B2387</f>
        <v>0</v>
      </c>
      <c r="I2374" s="21">
        <f>Data!C2387</f>
        <v>0</v>
      </c>
      <c r="J2374">
        <f>Data!D2387</f>
        <v>0</v>
      </c>
      <c r="K2374">
        <f>Data!E2387</f>
        <v>0</v>
      </c>
      <c r="L2374">
        <f>Data!F2387</f>
        <v>0</v>
      </c>
      <c r="M2374">
        <f>Data!G2387</f>
        <v>0</v>
      </c>
      <c r="N2374">
        <f>Data!H2387</f>
        <v>0</v>
      </c>
      <c r="O2374">
        <f>Data!I2387</f>
        <v>0</v>
      </c>
      <c r="P2374" s="21">
        <f>Data!J2391</f>
        <v>0</v>
      </c>
      <c r="Q2374">
        <f>Data!K2391</f>
        <v>0</v>
      </c>
      <c r="R2374">
        <f>Data!L2391</f>
        <v>0</v>
      </c>
      <c r="S2374">
        <f>Data!M2391</f>
        <v>0</v>
      </c>
      <c r="T2374">
        <f>Data!N2391</f>
        <v>0</v>
      </c>
      <c r="U2374">
        <f>Data!O2391</f>
        <v>0</v>
      </c>
      <c r="V2374" s="33">
        <f>Data!P2389</f>
        <v>0</v>
      </c>
    </row>
    <row r="2375" spans="7:22" x14ac:dyDescent="0.25">
      <c r="G2375">
        <f>Data!A2388</f>
        <v>0</v>
      </c>
      <c r="H2375" s="21">
        <f>Data!B2388</f>
        <v>0</v>
      </c>
      <c r="I2375" s="21">
        <f>Data!C2388</f>
        <v>0</v>
      </c>
      <c r="J2375">
        <f>Data!D2388</f>
        <v>0</v>
      </c>
      <c r="K2375">
        <f>Data!E2388</f>
        <v>0</v>
      </c>
      <c r="L2375">
        <f>Data!F2388</f>
        <v>0</v>
      </c>
      <c r="M2375">
        <f>Data!G2388</f>
        <v>0</v>
      </c>
      <c r="N2375">
        <f>Data!H2388</f>
        <v>0</v>
      </c>
      <c r="O2375">
        <f>Data!I2388</f>
        <v>0</v>
      </c>
      <c r="P2375" s="21">
        <f>Data!J2392</f>
        <v>0</v>
      </c>
      <c r="Q2375">
        <f>Data!K2392</f>
        <v>0</v>
      </c>
      <c r="R2375">
        <f>Data!L2392</f>
        <v>0</v>
      </c>
      <c r="S2375">
        <f>Data!M2392</f>
        <v>0</v>
      </c>
      <c r="T2375">
        <f>Data!N2392</f>
        <v>0</v>
      </c>
      <c r="U2375">
        <f>Data!O2392</f>
        <v>0</v>
      </c>
      <c r="V2375" s="33">
        <f>Data!P2390</f>
        <v>0</v>
      </c>
    </row>
    <row r="2376" spans="7:22" x14ac:dyDescent="0.25">
      <c r="G2376">
        <f>Data!A2389</f>
        <v>0</v>
      </c>
      <c r="H2376" s="21">
        <f>Data!B2389</f>
        <v>0</v>
      </c>
      <c r="I2376" s="21">
        <f>Data!C2389</f>
        <v>0</v>
      </c>
      <c r="J2376">
        <f>Data!D2389</f>
        <v>0</v>
      </c>
      <c r="K2376">
        <f>Data!E2389</f>
        <v>0</v>
      </c>
      <c r="L2376">
        <f>Data!F2389</f>
        <v>0</v>
      </c>
      <c r="M2376">
        <f>Data!G2389</f>
        <v>0</v>
      </c>
      <c r="N2376">
        <f>Data!H2389</f>
        <v>0</v>
      </c>
      <c r="O2376">
        <f>Data!I2389</f>
        <v>0</v>
      </c>
      <c r="P2376" s="21">
        <f>Data!J2393</f>
        <v>0</v>
      </c>
      <c r="Q2376">
        <f>Data!K2393</f>
        <v>0</v>
      </c>
      <c r="R2376">
        <f>Data!L2393</f>
        <v>0</v>
      </c>
      <c r="S2376">
        <f>Data!M2393</f>
        <v>0</v>
      </c>
      <c r="T2376">
        <f>Data!N2393</f>
        <v>0</v>
      </c>
      <c r="U2376">
        <f>Data!O2393</f>
        <v>0</v>
      </c>
      <c r="V2376" s="33">
        <f>Data!P2391</f>
        <v>0</v>
      </c>
    </row>
    <row r="2377" spans="7:22" x14ac:dyDescent="0.25">
      <c r="G2377">
        <f>Data!A2390</f>
        <v>0</v>
      </c>
      <c r="H2377" s="21">
        <f>Data!B2390</f>
        <v>0</v>
      </c>
      <c r="I2377" s="21">
        <f>Data!C2390</f>
        <v>0</v>
      </c>
      <c r="J2377">
        <f>Data!D2390</f>
        <v>0</v>
      </c>
      <c r="K2377">
        <f>Data!E2390</f>
        <v>0</v>
      </c>
      <c r="L2377">
        <f>Data!F2390</f>
        <v>0</v>
      </c>
      <c r="M2377">
        <f>Data!G2390</f>
        <v>0</v>
      </c>
      <c r="N2377">
        <f>Data!H2390</f>
        <v>0</v>
      </c>
      <c r="O2377">
        <f>Data!I2390</f>
        <v>0</v>
      </c>
      <c r="P2377" s="21">
        <f>Data!J2394</f>
        <v>0</v>
      </c>
      <c r="Q2377">
        <f>Data!K2394</f>
        <v>0</v>
      </c>
      <c r="R2377">
        <f>Data!L2394</f>
        <v>0</v>
      </c>
      <c r="S2377">
        <f>Data!M2394</f>
        <v>0</v>
      </c>
      <c r="T2377">
        <f>Data!N2394</f>
        <v>0</v>
      </c>
      <c r="U2377">
        <f>Data!O2394</f>
        <v>0</v>
      </c>
      <c r="V2377" s="33">
        <f>Data!P2392</f>
        <v>0</v>
      </c>
    </row>
    <row r="2378" spans="7:22" x14ac:dyDescent="0.25">
      <c r="G2378">
        <f>Data!A2391</f>
        <v>0</v>
      </c>
      <c r="H2378" s="21">
        <f>Data!B2391</f>
        <v>0</v>
      </c>
      <c r="I2378" s="21">
        <f>Data!C2391</f>
        <v>0</v>
      </c>
      <c r="J2378">
        <f>Data!D2391</f>
        <v>0</v>
      </c>
      <c r="K2378">
        <f>Data!E2391</f>
        <v>0</v>
      </c>
      <c r="L2378">
        <f>Data!F2391</f>
        <v>0</v>
      </c>
      <c r="M2378">
        <f>Data!G2391</f>
        <v>0</v>
      </c>
      <c r="N2378">
        <f>Data!H2391</f>
        <v>0</v>
      </c>
      <c r="O2378">
        <f>Data!I2391</f>
        <v>0</v>
      </c>
      <c r="P2378" s="21">
        <f>Data!J2395</f>
        <v>0</v>
      </c>
      <c r="Q2378">
        <f>Data!K2395</f>
        <v>0</v>
      </c>
      <c r="R2378">
        <f>Data!L2395</f>
        <v>0</v>
      </c>
      <c r="S2378">
        <f>Data!M2395</f>
        <v>0</v>
      </c>
      <c r="T2378">
        <f>Data!N2395</f>
        <v>0</v>
      </c>
      <c r="U2378">
        <f>Data!O2395</f>
        <v>0</v>
      </c>
      <c r="V2378" s="33">
        <f>Data!P2393</f>
        <v>0</v>
      </c>
    </row>
    <row r="2379" spans="7:22" x14ac:dyDescent="0.25">
      <c r="G2379">
        <f>Data!A2392</f>
        <v>0</v>
      </c>
      <c r="H2379" s="21">
        <f>Data!B2392</f>
        <v>0</v>
      </c>
      <c r="I2379" s="21">
        <f>Data!C2392</f>
        <v>0</v>
      </c>
      <c r="J2379">
        <f>Data!D2392</f>
        <v>0</v>
      </c>
      <c r="K2379">
        <f>Data!E2392</f>
        <v>0</v>
      </c>
      <c r="L2379">
        <f>Data!F2392</f>
        <v>0</v>
      </c>
      <c r="M2379">
        <f>Data!G2392</f>
        <v>0</v>
      </c>
      <c r="N2379">
        <f>Data!H2392</f>
        <v>0</v>
      </c>
      <c r="O2379">
        <f>Data!I2392</f>
        <v>0</v>
      </c>
      <c r="P2379" s="21">
        <f>Data!J2396</f>
        <v>0</v>
      </c>
      <c r="Q2379">
        <f>Data!K2396</f>
        <v>0</v>
      </c>
      <c r="R2379">
        <f>Data!L2396</f>
        <v>0</v>
      </c>
      <c r="S2379">
        <f>Data!M2396</f>
        <v>0</v>
      </c>
      <c r="T2379">
        <f>Data!N2396</f>
        <v>0</v>
      </c>
      <c r="U2379">
        <f>Data!O2396</f>
        <v>0</v>
      </c>
      <c r="V2379" s="33">
        <f>Data!P2394</f>
        <v>0</v>
      </c>
    </row>
    <row r="2380" spans="7:22" x14ac:dyDescent="0.25">
      <c r="G2380">
        <f>Data!A2393</f>
        <v>0</v>
      </c>
      <c r="H2380" s="21">
        <f>Data!B2393</f>
        <v>0</v>
      </c>
      <c r="I2380" s="21">
        <f>Data!C2393</f>
        <v>0</v>
      </c>
      <c r="J2380">
        <f>Data!D2393</f>
        <v>0</v>
      </c>
      <c r="K2380">
        <f>Data!E2393</f>
        <v>0</v>
      </c>
      <c r="L2380">
        <f>Data!F2393</f>
        <v>0</v>
      </c>
      <c r="M2380">
        <f>Data!G2393</f>
        <v>0</v>
      </c>
      <c r="N2380">
        <f>Data!H2393</f>
        <v>0</v>
      </c>
      <c r="O2380">
        <f>Data!I2393</f>
        <v>0</v>
      </c>
      <c r="P2380" s="21">
        <f>Data!J2397</f>
        <v>0</v>
      </c>
      <c r="Q2380">
        <f>Data!K2397</f>
        <v>0</v>
      </c>
      <c r="R2380">
        <f>Data!L2397</f>
        <v>0</v>
      </c>
      <c r="S2380">
        <f>Data!M2397</f>
        <v>0</v>
      </c>
      <c r="T2380">
        <f>Data!N2397</f>
        <v>0</v>
      </c>
      <c r="U2380">
        <f>Data!O2397</f>
        <v>0</v>
      </c>
      <c r="V2380" s="33">
        <f>Data!P2395</f>
        <v>0</v>
      </c>
    </row>
    <row r="2381" spans="7:22" x14ac:dyDescent="0.25">
      <c r="G2381">
        <f>Data!A2394</f>
        <v>0</v>
      </c>
      <c r="H2381" s="21">
        <f>Data!B2394</f>
        <v>0</v>
      </c>
      <c r="I2381" s="21">
        <f>Data!C2394</f>
        <v>0</v>
      </c>
      <c r="J2381">
        <f>Data!D2394</f>
        <v>0</v>
      </c>
      <c r="K2381">
        <f>Data!E2394</f>
        <v>0</v>
      </c>
      <c r="L2381">
        <f>Data!F2394</f>
        <v>0</v>
      </c>
      <c r="M2381">
        <f>Data!G2394</f>
        <v>0</v>
      </c>
      <c r="N2381">
        <f>Data!H2394</f>
        <v>0</v>
      </c>
      <c r="O2381">
        <f>Data!I2394</f>
        <v>0</v>
      </c>
      <c r="P2381" s="21">
        <f>Data!J2398</f>
        <v>0</v>
      </c>
      <c r="Q2381">
        <f>Data!K2398</f>
        <v>0</v>
      </c>
      <c r="R2381">
        <f>Data!L2398</f>
        <v>0</v>
      </c>
      <c r="S2381">
        <f>Data!M2398</f>
        <v>0</v>
      </c>
      <c r="T2381">
        <f>Data!N2398</f>
        <v>0</v>
      </c>
      <c r="U2381">
        <f>Data!O2398</f>
        <v>0</v>
      </c>
      <c r="V2381" s="33">
        <f>Data!P2396</f>
        <v>0</v>
      </c>
    </row>
    <row r="2382" spans="7:22" x14ac:dyDescent="0.25">
      <c r="G2382">
        <f>Data!A2395</f>
        <v>0</v>
      </c>
      <c r="H2382" s="21">
        <f>Data!B2395</f>
        <v>0</v>
      </c>
      <c r="I2382" s="21">
        <f>Data!C2395</f>
        <v>0</v>
      </c>
      <c r="J2382">
        <f>Data!D2395</f>
        <v>0</v>
      </c>
      <c r="K2382">
        <f>Data!E2395</f>
        <v>0</v>
      </c>
      <c r="L2382">
        <f>Data!F2395</f>
        <v>0</v>
      </c>
      <c r="M2382">
        <f>Data!G2395</f>
        <v>0</v>
      </c>
      <c r="N2382">
        <f>Data!H2395</f>
        <v>0</v>
      </c>
      <c r="O2382">
        <f>Data!I2395</f>
        <v>0</v>
      </c>
      <c r="P2382" s="21">
        <f>Data!J2399</f>
        <v>0</v>
      </c>
      <c r="Q2382">
        <f>Data!K2399</f>
        <v>0</v>
      </c>
      <c r="R2382">
        <f>Data!L2399</f>
        <v>0</v>
      </c>
      <c r="S2382">
        <f>Data!M2399</f>
        <v>0</v>
      </c>
      <c r="T2382">
        <f>Data!N2399</f>
        <v>0</v>
      </c>
      <c r="U2382">
        <f>Data!O2399</f>
        <v>0</v>
      </c>
      <c r="V2382" s="33">
        <f>Data!P2397</f>
        <v>0</v>
      </c>
    </row>
    <row r="2383" spans="7:22" x14ac:dyDescent="0.25">
      <c r="G2383">
        <f>Data!A2396</f>
        <v>0</v>
      </c>
      <c r="H2383" s="21">
        <f>Data!B2396</f>
        <v>0</v>
      </c>
      <c r="I2383" s="21">
        <f>Data!C2396</f>
        <v>0</v>
      </c>
      <c r="J2383">
        <f>Data!D2396</f>
        <v>0</v>
      </c>
      <c r="K2383">
        <f>Data!E2396</f>
        <v>0</v>
      </c>
      <c r="L2383">
        <f>Data!F2396</f>
        <v>0</v>
      </c>
      <c r="M2383">
        <f>Data!G2396</f>
        <v>0</v>
      </c>
      <c r="N2383">
        <f>Data!H2396</f>
        <v>0</v>
      </c>
      <c r="O2383">
        <f>Data!I2396</f>
        <v>0</v>
      </c>
      <c r="P2383" s="21">
        <f>Data!J2400</f>
        <v>0</v>
      </c>
      <c r="Q2383">
        <f>Data!K2400</f>
        <v>0</v>
      </c>
      <c r="R2383">
        <f>Data!L2400</f>
        <v>0</v>
      </c>
      <c r="S2383">
        <f>Data!M2400</f>
        <v>0</v>
      </c>
      <c r="T2383">
        <f>Data!N2400</f>
        <v>0</v>
      </c>
      <c r="U2383">
        <f>Data!O2400</f>
        <v>0</v>
      </c>
      <c r="V2383" s="33">
        <f>Data!P2398</f>
        <v>0</v>
      </c>
    </row>
    <row r="2384" spans="7:22" x14ac:dyDescent="0.25">
      <c r="G2384">
        <f>Data!A2397</f>
        <v>0</v>
      </c>
      <c r="H2384" s="21">
        <f>Data!B2397</f>
        <v>0</v>
      </c>
      <c r="I2384" s="21">
        <f>Data!C2397</f>
        <v>0</v>
      </c>
      <c r="J2384">
        <f>Data!D2397</f>
        <v>0</v>
      </c>
      <c r="K2384">
        <f>Data!E2397</f>
        <v>0</v>
      </c>
      <c r="L2384">
        <f>Data!F2397</f>
        <v>0</v>
      </c>
      <c r="M2384">
        <f>Data!G2397</f>
        <v>0</v>
      </c>
      <c r="N2384">
        <f>Data!H2397</f>
        <v>0</v>
      </c>
      <c r="O2384">
        <f>Data!I2397</f>
        <v>0</v>
      </c>
      <c r="P2384" s="21">
        <f>Data!J2401</f>
        <v>0</v>
      </c>
      <c r="Q2384">
        <f>Data!K2401</f>
        <v>0</v>
      </c>
      <c r="R2384">
        <f>Data!L2401</f>
        <v>0</v>
      </c>
      <c r="S2384">
        <f>Data!M2401</f>
        <v>0</v>
      </c>
      <c r="T2384">
        <f>Data!N2401</f>
        <v>0</v>
      </c>
      <c r="U2384">
        <f>Data!O2401</f>
        <v>0</v>
      </c>
      <c r="V2384" s="33">
        <f>Data!P2399</f>
        <v>0</v>
      </c>
    </row>
    <row r="2385" spans="7:22" x14ac:dyDescent="0.25">
      <c r="G2385">
        <f>Data!A2398</f>
        <v>0</v>
      </c>
      <c r="H2385" s="21">
        <f>Data!B2398</f>
        <v>0</v>
      </c>
      <c r="I2385" s="21">
        <f>Data!C2398</f>
        <v>0</v>
      </c>
      <c r="J2385">
        <f>Data!D2398</f>
        <v>0</v>
      </c>
      <c r="K2385">
        <f>Data!E2398</f>
        <v>0</v>
      </c>
      <c r="L2385">
        <f>Data!F2398</f>
        <v>0</v>
      </c>
      <c r="M2385">
        <f>Data!G2398</f>
        <v>0</v>
      </c>
      <c r="N2385">
        <f>Data!H2398</f>
        <v>0</v>
      </c>
      <c r="O2385">
        <f>Data!I2398</f>
        <v>0</v>
      </c>
      <c r="P2385" s="21">
        <f>Data!J2402</f>
        <v>0</v>
      </c>
      <c r="Q2385">
        <f>Data!K2402</f>
        <v>0</v>
      </c>
      <c r="R2385">
        <f>Data!L2402</f>
        <v>0</v>
      </c>
      <c r="S2385">
        <f>Data!M2402</f>
        <v>0</v>
      </c>
      <c r="T2385">
        <f>Data!N2402</f>
        <v>0</v>
      </c>
      <c r="U2385">
        <f>Data!O2402</f>
        <v>0</v>
      </c>
      <c r="V2385" s="33">
        <f>Data!P2400</f>
        <v>0</v>
      </c>
    </row>
    <row r="2386" spans="7:22" x14ac:dyDescent="0.25">
      <c r="G2386">
        <f>Data!A2399</f>
        <v>0</v>
      </c>
      <c r="H2386" s="21">
        <f>Data!B2399</f>
        <v>0</v>
      </c>
      <c r="I2386" s="21">
        <f>Data!C2399</f>
        <v>0</v>
      </c>
      <c r="J2386">
        <f>Data!D2399</f>
        <v>0</v>
      </c>
      <c r="K2386">
        <f>Data!E2399</f>
        <v>0</v>
      </c>
      <c r="L2386">
        <f>Data!F2399</f>
        <v>0</v>
      </c>
      <c r="M2386">
        <f>Data!G2399</f>
        <v>0</v>
      </c>
      <c r="N2386">
        <f>Data!H2399</f>
        <v>0</v>
      </c>
      <c r="O2386">
        <f>Data!I2399</f>
        <v>0</v>
      </c>
      <c r="P2386" s="21">
        <f>Data!J2403</f>
        <v>0</v>
      </c>
      <c r="Q2386">
        <f>Data!K2403</f>
        <v>0</v>
      </c>
      <c r="R2386">
        <f>Data!L2403</f>
        <v>0</v>
      </c>
      <c r="S2386">
        <f>Data!M2403</f>
        <v>0</v>
      </c>
      <c r="T2386">
        <f>Data!N2403</f>
        <v>0</v>
      </c>
      <c r="U2386">
        <f>Data!O2403</f>
        <v>0</v>
      </c>
      <c r="V2386" s="33">
        <f>Data!P2401</f>
        <v>0</v>
      </c>
    </row>
    <row r="2387" spans="7:22" x14ac:dyDescent="0.25">
      <c r="G2387">
        <f>Data!A2400</f>
        <v>0</v>
      </c>
      <c r="H2387" s="21">
        <f>Data!B2400</f>
        <v>0</v>
      </c>
      <c r="I2387" s="21">
        <f>Data!C2400</f>
        <v>0</v>
      </c>
      <c r="J2387">
        <f>Data!D2400</f>
        <v>0</v>
      </c>
      <c r="K2387">
        <f>Data!E2400</f>
        <v>0</v>
      </c>
      <c r="L2387">
        <f>Data!F2400</f>
        <v>0</v>
      </c>
      <c r="M2387">
        <f>Data!G2400</f>
        <v>0</v>
      </c>
      <c r="N2387">
        <f>Data!H2400</f>
        <v>0</v>
      </c>
      <c r="O2387">
        <f>Data!I2400</f>
        <v>0</v>
      </c>
      <c r="P2387" s="21">
        <f>Data!J2404</f>
        <v>0</v>
      </c>
      <c r="Q2387">
        <f>Data!K2404</f>
        <v>0</v>
      </c>
      <c r="R2387">
        <f>Data!L2404</f>
        <v>0</v>
      </c>
      <c r="S2387">
        <f>Data!M2404</f>
        <v>0</v>
      </c>
      <c r="T2387">
        <f>Data!N2404</f>
        <v>0</v>
      </c>
      <c r="U2387">
        <f>Data!O2404</f>
        <v>0</v>
      </c>
      <c r="V2387" s="33">
        <f>Data!P2402</f>
        <v>0</v>
      </c>
    </row>
    <row r="2388" spans="7:22" x14ac:dyDescent="0.25">
      <c r="G2388">
        <f>Data!A2401</f>
        <v>0</v>
      </c>
      <c r="H2388" s="21">
        <f>Data!B2401</f>
        <v>0</v>
      </c>
      <c r="I2388" s="21">
        <f>Data!C2401</f>
        <v>0</v>
      </c>
      <c r="J2388">
        <f>Data!D2401</f>
        <v>0</v>
      </c>
      <c r="K2388">
        <f>Data!E2401</f>
        <v>0</v>
      </c>
      <c r="L2388">
        <f>Data!F2401</f>
        <v>0</v>
      </c>
      <c r="M2388">
        <f>Data!G2401</f>
        <v>0</v>
      </c>
      <c r="N2388">
        <f>Data!H2401</f>
        <v>0</v>
      </c>
      <c r="O2388">
        <f>Data!I2401</f>
        <v>0</v>
      </c>
      <c r="P2388" s="21">
        <f>Data!J2405</f>
        <v>0</v>
      </c>
      <c r="Q2388">
        <f>Data!K2405</f>
        <v>0</v>
      </c>
      <c r="R2388">
        <f>Data!L2405</f>
        <v>0</v>
      </c>
      <c r="S2388">
        <f>Data!M2405</f>
        <v>0</v>
      </c>
      <c r="T2388">
        <f>Data!N2405</f>
        <v>0</v>
      </c>
      <c r="U2388">
        <f>Data!O2405</f>
        <v>0</v>
      </c>
      <c r="V2388" s="33">
        <f>Data!P2403</f>
        <v>0</v>
      </c>
    </row>
    <row r="2389" spans="7:22" x14ac:dyDescent="0.25">
      <c r="G2389">
        <f>Data!A2402</f>
        <v>0</v>
      </c>
      <c r="H2389" s="21">
        <f>Data!B2402</f>
        <v>0</v>
      </c>
      <c r="I2389" s="21">
        <f>Data!C2402</f>
        <v>0</v>
      </c>
      <c r="J2389">
        <f>Data!D2402</f>
        <v>0</v>
      </c>
      <c r="K2389">
        <f>Data!E2402</f>
        <v>0</v>
      </c>
      <c r="L2389">
        <f>Data!F2402</f>
        <v>0</v>
      </c>
      <c r="M2389">
        <f>Data!G2402</f>
        <v>0</v>
      </c>
      <c r="N2389">
        <f>Data!H2402</f>
        <v>0</v>
      </c>
      <c r="O2389">
        <f>Data!I2402</f>
        <v>0</v>
      </c>
      <c r="P2389" s="21">
        <f>Data!J2406</f>
        <v>0</v>
      </c>
      <c r="Q2389">
        <f>Data!K2406</f>
        <v>0</v>
      </c>
      <c r="R2389">
        <f>Data!L2406</f>
        <v>0</v>
      </c>
      <c r="S2389">
        <f>Data!M2406</f>
        <v>0</v>
      </c>
      <c r="T2389">
        <f>Data!N2406</f>
        <v>0</v>
      </c>
      <c r="U2389">
        <f>Data!O2406</f>
        <v>0</v>
      </c>
      <c r="V2389" s="33">
        <f>Data!P2404</f>
        <v>0</v>
      </c>
    </row>
    <row r="2390" spans="7:22" x14ac:dyDescent="0.25">
      <c r="G2390">
        <f>Data!A2403</f>
        <v>0</v>
      </c>
      <c r="H2390" s="21">
        <f>Data!B2403</f>
        <v>0</v>
      </c>
      <c r="I2390" s="21">
        <f>Data!C2403</f>
        <v>0</v>
      </c>
      <c r="J2390">
        <f>Data!D2403</f>
        <v>0</v>
      </c>
      <c r="K2390">
        <f>Data!E2403</f>
        <v>0</v>
      </c>
      <c r="L2390">
        <f>Data!F2403</f>
        <v>0</v>
      </c>
      <c r="M2390">
        <f>Data!G2403</f>
        <v>0</v>
      </c>
      <c r="N2390">
        <f>Data!H2403</f>
        <v>0</v>
      </c>
      <c r="O2390">
        <f>Data!I2403</f>
        <v>0</v>
      </c>
      <c r="P2390" s="21">
        <f>Data!J2407</f>
        <v>0</v>
      </c>
      <c r="Q2390">
        <f>Data!K2407</f>
        <v>0</v>
      </c>
      <c r="R2390">
        <f>Data!L2407</f>
        <v>0</v>
      </c>
      <c r="S2390">
        <f>Data!M2407</f>
        <v>0</v>
      </c>
      <c r="T2390">
        <f>Data!N2407</f>
        <v>0</v>
      </c>
      <c r="U2390">
        <f>Data!O2407</f>
        <v>0</v>
      </c>
      <c r="V2390" s="33">
        <f>Data!P2405</f>
        <v>0</v>
      </c>
    </row>
    <row r="2391" spans="7:22" x14ac:dyDescent="0.25">
      <c r="G2391">
        <f>Data!A2404</f>
        <v>0</v>
      </c>
      <c r="H2391" s="21">
        <f>Data!B2404</f>
        <v>0</v>
      </c>
      <c r="I2391" s="21">
        <f>Data!C2404</f>
        <v>0</v>
      </c>
      <c r="J2391">
        <f>Data!D2404</f>
        <v>0</v>
      </c>
      <c r="K2391">
        <f>Data!E2404</f>
        <v>0</v>
      </c>
      <c r="L2391">
        <f>Data!F2404</f>
        <v>0</v>
      </c>
      <c r="M2391">
        <f>Data!G2404</f>
        <v>0</v>
      </c>
      <c r="N2391">
        <f>Data!H2404</f>
        <v>0</v>
      </c>
      <c r="O2391">
        <f>Data!I2404</f>
        <v>0</v>
      </c>
      <c r="P2391" s="21">
        <f>Data!J2408</f>
        <v>0</v>
      </c>
      <c r="Q2391">
        <f>Data!K2408</f>
        <v>0</v>
      </c>
      <c r="R2391">
        <f>Data!L2408</f>
        <v>0</v>
      </c>
      <c r="S2391">
        <f>Data!M2408</f>
        <v>0</v>
      </c>
      <c r="T2391">
        <f>Data!N2408</f>
        <v>0</v>
      </c>
      <c r="U2391">
        <f>Data!O2408</f>
        <v>0</v>
      </c>
      <c r="V2391" s="33">
        <f>Data!P2406</f>
        <v>0</v>
      </c>
    </row>
    <row r="2392" spans="7:22" x14ac:dyDescent="0.25">
      <c r="G2392">
        <f>Data!A2405</f>
        <v>0</v>
      </c>
      <c r="H2392" s="21">
        <f>Data!B2405</f>
        <v>0</v>
      </c>
      <c r="I2392" s="21">
        <f>Data!C2405</f>
        <v>0</v>
      </c>
      <c r="J2392">
        <f>Data!D2405</f>
        <v>0</v>
      </c>
      <c r="K2392">
        <f>Data!E2405</f>
        <v>0</v>
      </c>
      <c r="L2392">
        <f>Data!F2405</f>
        <v>0</v>
      </c>
      <c r="M2392">
        <f>Data!G2405</f>
        <v>0</v>
      </c>
      <c r="N2392">
        <f>Data!H2405</f>
        <v>0</v>
      </c>
      <c r="O2392">
        <f>Data!I2405</f>
        <v>0</v>
      </c>
      <c r="P2392" s="21">
        <f>Data!J2409</f>
        <v>0</v>
      </c>
      <c r="Q2392">
        <f>Data!K2409</f>
        <v>0</v>
      </c>
      <c r="R2392">
        <f>Data!L2409</f>
        <v>0</v>
      </c>
      <c r="S2392">
        <f>Data!M2409</f>
        <v>0</v>
      </c>
      <c r="T2392">
        <f>Data!N2409</f>
        <v>0</v>
      </c>
      <c r="U2392">
        <f>Data!O2409</f>
        <v>0</v>
      </c>
      <c r="V2392" s="33">
        <f>Data!P2407</f>
        <v>0</v>
      </c>
    </row>
    <row r="2393" spans="7:22" x14ac:dyDescent="0.25">
      <c r="G2393">
        <f>Data!A2406</f>
        <v>0</v>
      </c>
      <c r="H2393" s="21">
        <f>Data!B2406</f>
        <v>0</v>
      </c>
      <c r="I2393" s="21">
        <f>Data!C2406</f>
        <v>0</v>
      </c>
      <c r="J2393">
        <f>Data!D2406</f>
        <v>0</v>
      </c>
      <c r="K2393">
        <f>Data!E2406</f>
        <v>0</v>
      </c>
      <c r="L2393">
        <f>Data!F2406</f>
        <v>0</v>
      </c>
      <c r="M2393">
        <f>Data!G2406</f>
        <v>0</v>
      </c>
      <c r="N2393">
        <f>Data!H2406</f>
        <v>0</v>
      </c>
      <c r="O2393">
        <f>Data!I2406</f>
        <v>0</v>
      </c>
      <c r="P2393" s="21">
        <f>Data!J2410</f>
        <v>0</v>
      </c>
      <c r="Q2393">
        <f>Data!K2410</f>
        <v>0</v>
      </c>
      <c r="R2393">
        <f>Data!L2410</f>
        <v>0</v>
      </c>
      <c r="S2393">
        <f>Data!M2410</f>
        <v>0</v>
      </c>
      <c r="T2393">
        <f>Data!N2410</f>
        <v>0</v>
      </c>
      <c r="U2393">
        <f>Data!O2410</f>
        <v>0</v>
      </c>
      <c r="V2393" s="33">
        <f>Data!P2408</f>
        <v>0</v>
      </c>
    </row>
    <row r="2394" spans="7:22" x14ac:dyDescent="0.25">
      <c r="G2394">
        <f>Data!A2407</f>
        <v>0</v>
      </c>
      <c r="H2394" s="21">
        <f>Data!B2407</f>
        <v>0</v>
      </c>
      <c r="I2394" s="21">
        <f>Data!C2407</f>
        <v>0</v>
      </c>
      <c r="J2394">
        <f>Data!D2407</f>
        <v>0</v>
      </c>
      <c r="K2394">
        <f>Data!E2407</f>
        <v>0</v>
      </c>
      <c r="L2394">
        <f>Data!F2407</f>
        <v>0</v>
      </c>
      <c r="M2394">
        <f>Data!G2407</f>
        <v>0</v>
      </c>
      <c r="N2394">
        <f>Data!H2407</f>
        <v>0</v>
      </c>
      <c r="O2394">
        <f>Data!I2407</f>
        <v>0</v>
      </c>
      <c r="P2394" s="21">
        <f>Data!J2411</f>
        <v>0</v>
      </c>
      <c r="Q2394">
        <f>Data!K2411</f>
        <v>0</v>
      </c>
      <c r="R2394">
        <f>Data!L2411</f>
        <v>0</v>
      </c>
      <c r="S2394">
        <f>Data!M2411</f>
        <v>0</v>
      </c>
      <c r="T2394">
        <f>Data!N2411</f>
        <v>0</v>
      </c>
      <c r="U2394">
        <f>Data!O2411</f>
        <v>0</v>
      </c>
      <c r="V2394" s="33">
        <f>Data!P2409</f>
        <v>0</v>
      </c>
    </row>
    <row r="2395" spans="7:22" x14ac:dyDescent="0.25">
      <c r="G2395">
        <f>Data!A2408</f>
        <v>0</v>
      </c>
      <c r="H2395" s="21">
        <f>Data!B2408</f>
        <v>0</v>
      </c>
      <c r="I2395" s="21">
        <f>Data!C2408</f>
        <v>0</v>
      </c>
      <c r="J2395">
        <f>Data!D2408</f>
        <v>0</v>
      </c>
      <c r="K2395">
        <f>Data!E2408</f>
        <v>0</v>
      </c>
      <c r="L2395">
        <f>Data!F2408</f>
        <v>0</v>
      </c>
      <c r="M2395">
        <f>Data!G2408</f>
        <v>0</v>
      </c>
      <c r="N2395">
        <f>Data!H2408</f>
        <v>0</v>
      </c>
      <c r="O2395">
        <f>Data!I2408</f>
        <v>0</v>
      </c>
      <c r="P2395" s="21">
        <f>Data!J2412</f>
        <v>0</v>
      </c>
      <c r="Q2395">
        <f>Data!K2412</f>
        <v>0</v>
      </c>
      <c r="R2395">
        <f>Data!L2412</f>
        <v>0</v>
      </c>
      <c r="S2395">
        <f>Data!M2412</f>
        <v>0</v>
      </c>
      <c r="T2395">
        <f>Data!N2412</f>
        <v>0</v>
      </c>
      <c r="U2395">
        <f>Data!O2412</f>
        <v>0</v>
      </c>
      <c r="V2395" s="33">
        <f>Data!P2410</f>
        <v>0</v>
      </c>
    </row>
    <row r="2396" spans="7:22" x14ac:dyDescent="0.25">
      <c r="G2396">
        <f>Data!A2409</f>
        <v>0</v>
      </c>
      <c r="H2396" s="21">
        <f>Data!B2409</f>
        <v>0</v>
      </c>
      <c r="I2396" s="21">
        <f>Data!C2409</f>
        <v>0</v>
      </c>
      <c r="J2396">
        <f>Data!D2409</f>
        <v>0</v>
      </c>
      <c r="K2396">
        <f>Data!E2409</f>
        <v>0</v>
      </c>
      <c r="L2396">
        <f>Data!F2409</f>
        <v>0</v>
      </c>
      <c r="M2396">
        <f>Data!G2409</f>
        <v>0</v>
      </c>
      <c r="N2396">
        <f>Data!H2409</f>
        <v>0</v>
      </c>
      <c r="O2396">
        <f>Data!I2409</f>
        <v>0</v>
      </c>
      <c r="P2396" s="21">
        <f>Data!J2413</f>
        <v>0</v>
      </c>
      <c r="Q2396">
        <f>Data!K2413</f>
        <v>0</v>
      </c>
      <c r="R2396">
        <f>Data!L2413</f>
        <v>0</v>
      </c>
      <c r="S2396">
        <f>Data!M2413</f>
        <v>0</v>
      </c>
      <c r="T2396">
        <f>Data!N2413</f>
        <v>0</v>
      </c>
      <c r="U2396">
        <f>Data!O2413</f>
        <v>0</v>
      </c>
      <c r="V2396" s="33">
        <f>Data!P2411</f>
        <v>0</v>
      </c>
    </row>
    <row r="2397" spans="7:22" x14ac:dyDescent="0.25">
      <c r="G2397">
        <f>Data!A2410</f>
        <v>0</v>
      </c>
      <c r="H2397" s="21">
        <f>Data!B2410</f>
        <v>0</v>
      </c>
      <c r="I2397" s="21">
        <f>Data!C2410</f>
        <v>0</v>
      </c>
      <c r="J2397">
        <f>Data!D2410</f>
        <v>0</v>
      </c>
      <c r="K2397">
        <f>Data!E2410</f>
        <v>0</v>
      </c>
      <c r="L2397">
        <f>Data!F2410</f>
        <v>0</v>
      </c>
      <c r="M2397">
        <f>Data!G2410</f>
        <v>0</v>
      </c>
      <c r="N2397">
        <f>Data!H2410</f>
        <v>0</v>
      </c>
      <c r="O2397">
        <f>Data!I2410</f>
        <v>0</v>
      </c>
      <c r="P2397" s="21">
        <f>Data!J2414</f>
        <v>0</v>
      </c>
      <c r="Q2397">
        <f>Data!K2414</f>
        <v>0</v>
      </c>
      <c r="R2397">
        <f>Data!L2414</f>
        <v>0</v>
      </c>
      <c r="S2397">
        <f>Data!M2414</f>
        <v>0</v>
      </c>
      <c r="T2397">
        <f>Data!N2414</f>
        <v>0</v>
      </c>
      <c r="U2397">
        <f>Data!O2414</f>
        <v>0</v>
      </c>
      <c r="V2397" s="33">
        <f>Data!P2412</f>
        <v>0</v>
      </c>
    </row>
    <row r="2398" spans="7:22" x14ac:dyDescent="0.25">
      <c r="G2398">
        <f>Data!A2411</f>
        <v>0</v>
      </c>
      <c r="H2398" s="21">
        <f>Data!B2411</f>
        <v>0</v>
      </c>
      <c r="I2398" s="21">
        <f>Data!C2411</f>
        <v>0</v>
      </c>
      <c r="J2398">
        <f>Data!D2411</f>
        <v>0</v>
      </c>
      <c r="K2398">
        <f>Data!E2411</f>
        <v>0</v>
      </c>
      <c r="L2398">
        <f>Data!F2411</f>
        <v>0</v>
      </c>
      <c r="M2398">
        <f>Data!G2411</f>
        <v>0</v>
      </c>
      <c r="N2398">
        <f>Data!H2411</f>
        <v>0</v>
      </c>
      <c r="O2398">
        <f>Data!I2411</f>
        <v>0</v>
      </c>
      <c r="P2398" s="21">
        <f>Data!J2415</f>
        <v>0</v>
      </c>
      <c r="Q2398">
        <f>Data!K2415</f>
        <v>0</v>
      </c>
      <c r="R2398">
        <f>Data!L2415</f>
        <v>0</v>
      </c>
      <c r="S2398">
        <f>Data!M2415</f>
        <v>0</v>
      </c>
      <c r="T2398">
        <f>Data!N2415</f>
        <v>0</v>
      </c>
      <c r="U2398">
        <f>Data!O2415</f>
        <v>0</v>
      </c>
      <c r="V2398" s="33">
        <f>Data!P2413</f>
        <v>0</v>
      </c>
    </row>
    <row r="2399" spans="7:22" x14ac:dyDescent="0.25">
      <c r="G2399">
        <f>Data!A2412</f>
        <v>0</v>
      </c>
      <c r="H2399" s="21">
        <f>Data!B2412</f>
        <v>0</v>
      </c>
      <c r="I2399" s="21">
        <f>Data!C2412</f>
        <v>0</v>
      </c>
      <c r="J2399">
        <f>Data!D2412</f>
        <v>0</v>
      </c>
      <c r="K2399">
        <f>Data!E2412</f>
        <v>0</v>
      </c>
      <c r="L2399">
        <f>Data!F2412</f>
        <v>0</v>
      </c>
      <c r="M2399">
        <f>Data!G2412</f>
        <v>0</v>
      </c>
      <c r="N2399">
        <f>Data!H2412</f>
        <v>0</v>
      </c>
      <c r="O2399">
        <f>Data!I2412</f>
        <v>0</v>
      </c>
      <c r="P2399" s="21">
        <f>Data!J2416</f>
        <v>0</v>
      </c>
      <c r="Q2399">
        <f>Data!K2416</f>
        <v>0</v>
      </c>
      <c r="R2399">
        <f>Data!L2416</f>
        <v>0</v>
      </c>
      <c r="S2399">
        <f>Data!M2416</f>
        <v>0</v>
      </c>
      <c r="T2399">
        <f>Data!N2416</f>
        <v>0</v>
      </c>
      <c r="U2399">
        <f>Data!O2416</f>
        <v>0</v>
      </c>
      <c r="V2399" s="33">
        <f>Data!P2414</f>
        <v>0</v>
      </c>
    </row>
    <row r="2400" spans="7:22" x14ac:dyDescent="0.25">
      <c r="G2400">
        <f>Data!A2413</f>
        <v>0</v>
      </c>
      <c r="H2400" s="21">
        <f>Data!B2413</f>
        <v>0</v>
      </c>
      <c r="I2400" s="21">
        <f>Data!C2413</f>
        <v>0</v>
      </c>
      <c r="J2400">
        <f>Data!D2413</f>
        <v>0</v>
      </c>
      <c r="K2400">
        <f>Data!E2413</f>
        <v>0</v>
      </c>
      <c r="L2400">
        <f>Data!F2413</f>
        <v>0</v>
      </c>
      <c r="M2400">
        <f>Data!G2413</f>
        <v>0</v>
      </c>
      <c r="N2400">
        <f>Data!H2413</f>
        <v>0</v>
      </c>
      <c r="O2400">
        <f>Data!I2413</f>
        <v>0</v>
      </c>
      <c r="P2400" s="21">
        <f>Data!J2417</f>
        <v>0</v>
      </c>
      <c r="Q2400">
        <f>Data!K2417</f>
        <v>0</v>
      </c>
      <c r="R2400">
        <f>Data!L2417</f>
        <v>0</v>
      </c>
      <c r="S2400">
        <f>Data!M2417</f>
        <v>0</v>
      </c>
      <c r="T2400">
        <f>Data!N2417</f>
        <v>0</v>
      </c>
      <c r="U2400">
        <f>Data!O2417</f>
        <v>0</v>
      </c>
      <c r="V2400" s="33">
        <f>Data!P2415</f>
        <v>0</v>
      </c>
    </row>
    <row r="2401" spans="7:22" x14ac:dyDescent="0.25">
      <c r="G2401">
        <f>Data!A2414</f>
        <v>0</v>
      </c>
      <c r="H2401" s="21">
        <f>Data!B2414</f>
        <v>0</v>
      </c>
      <c r="I2401" s="21">
        <f>Data!C2414</f>
        <v>0</v>
      </c>
      <c r="J2401">
        <f>Data!D2414</f>
        <v>0</v>
      </c>
      <c r="K2401">
        <f>Data!E2414</f>
        <v>0</v>
      </c>
      <c r="L2401">
        <f>Data!F2414</f>
        <v>0</v>
      </c>
      <c r="M2401">
        <f>Data!G2414</f>
        <v>0</v>
      </c>
      <c r="N2401">
        <f>Data!H2414</f>
        <v>0</v>
      </c>
      <c r="O2401">
        <f>Data!I2414</f>
        <v>0</v>
      </c>
      <c r="P2401" s="21">
        <f>Data!J2418</f>
        <v>0</v>
      </c>
      <c r="Q2401">
        <f>Data!K2418</f>
        <v>0</v>
      </c>
      <c r="R2401">
        <f>Data!L2418</f>
        <v>0</v>
      </c>
      <c r="S2401">
        <f>Data!M2418</f>
        <v>0</v>
      </c>
      <c r="T2401">
        <f>Data!N2418</f>
        <v>0</v>
      </c>
      <c r="U2401">
        <f>Data!O2418</f>
        <v>0</v>
      </c>
      <c r="V2401" s="33">
        <f>Data!P2416</f>
        <v>0</v>
      </c>
    </row>
    <row r="2402" spans="7:22" x14ac:dyDescent="0.25">
      <c r="G2402">
        <f>Data!A2415</f>
        <v>0</v>
      </c>
      <c r="H2402" s="21">
        <f>Data!B2415</f>
        <v>0</v>
      </c>
      <c r="I2402" s="21">
        <f>Data!C2415</f>
        <v>0</v>
      </c>
      <c r="J2402">
        <f>Data!D2415</f>
        <v>0</v>
      </c>
      <c r="K2402">
        <f>Data!E2415</f>
        <v>0</v>
      </c>
      <c r="L2402">
        <f>Data!F2415</f>
        <v>0</v>
      </c>
      <c r="M2402">
        <f>Data!G2415</f>
        <v>0</v>
      </c>
      <c r="N2402">
        <f>Data!H2415</f>
        <v>0</v>
      </c>
      <c r="O2402">
        <f>Data!I2415</f>
        <v>0</v>
      </c>
      <c r="P2402" s="21">
        <f>Data!J2419</f>
        <v>0</v>
      </c>
      <c r="Q2402">
        <f>Data!K2419</f>
        <v>0</v>
      </c>
      <c r="R2402">
        <f>Data!L2419</f>
        <v>0</v>
      </c>
      <c r="S2402">
        <f>Data!M2419</f>
        <v>0</v>
      </c>
      <c r="T2402">
        <f>Data!N2419</f>
        <v>0</v>
      </c>
      <c r="U2402">
        <f>Data!O2419</f>
        <v>0</v>
      </c>
      <c r="V2402" s="33">
        <f>Data!P2417</f>
        <v>0</v>
      </c>
    </row>
    <row r="2403" spans="7:22" x14ac:dyDescent="0.25">
      <c r="G2403">
        <f>Data!A2416</f>
        <v>0</v>
      </c>
      <c r="H2403" s="21">
        <f>Data!B2416</f>
        <v>0</v>
      </c>
      <c r="I2403" s="21">
        <f>Data!C2416</f>
        <v>0</v>
      </c>
      <c r="J2403">
        <f>Data!D2416</f>
        <v>0</v>
      </c>
      <c r="K2403">
        <f>Data!E2416</f>
        <v>0</v>
      </c>
      <c r="L2403">
        <f>Data!F2416</f>
        <v>0</v>
      </c>
      <c r="M2403">
        <f>Data!G2416</f>
        <v>0</v>
      </c>
      <c r="N2403">
        <f>Data!H2416</f>
        <v>0</v>
      </c>
      <c r="O2403">
        <f>Data!I2416</f>
        <v>0</v>
      </c>
      <c r="P2403" s="21">
        <f>Data!J2420</f>
        <v>0</v>
      </c>
      <c r="Q2403">
        <f>Data!K2420</f>
        <v>0</v>
      </c>
      <c r="R2403">
        <f>Data!L2420</f>
        <v>0</v>
      </c>
      <c r="S2403">
        <f>Data!M2420</f>
        <v>0</v>
      </c>
      <c r="T2403">
        <f>Data!N2420</f>
        <v>0</v>
      </c>
      <c r="U2403">
        <f>Data!O2420</f>
        <v>0</v>
      </c>
      <c r="V2403" s="33">
        <f>Data!P2418</f>
        <v>0</v>
      </c>
    </row>
    <row r="2404" spans="7:22" x14ac:dyDescent="0.25">
      <c r="G2404">
        <f>Data!A2417</f>
        <v>0</v>
      </c>
      <c r="H2404" s="21">
        <f>Data!B2417</f>
        <v>0</v>
      </c>
      <c r="I2404" s="21">
        <f>Data!C2417</f>
        <v>0</v>
      </c>
      <c r="J2404">
        <f>Data!D2417</f>
        <v>0</v>
      </c>
      <c r="K2404">
        <f>Data!E2417</f>
        <v>0</v>
      </c>
      <c r="L2404">
        <f>Data!F2417</f>
        <v>0</v>
      </c>
      <c r="M2404">
        <f>Data!G2417</f>
        <v>0</v>
      </c>
      <c r="N2404">
        <f>Data!H2417</f>
        <v>0</v>
      </c>
      <c r="O2404">
        <f>Data!I2417</f>
        <v>0</v>
      </c>
      <c r="P2404" s="21">
        <f>Data!J2421</f>
        <v>0</v>
      </c>
      <c r="Q2404">
        <f>Data!K2421</f>
        <v>0</v>
      </c>
      <c r="R2404">
        <f>Data!L2421</f>
        <v>0</v>
      </c>
      <c r="S2404">
        <f>Data!M2421</f>
        <v>0</v>
      </c>
      <c r="T2404">
        <f>Data!N2421</f>
        <v>0</v>
      </c>
      <c r="U2404">
        <f>Data!O2421</f>
        <v>0</v>
      </c>
      <c r="V2404" s="33">
        <f>Data!P2419</f>
        <v>0</v>
      </c>
    </row>
    <row r="2405" spans="7:22" x14ac:dyDescent="0.25">
      <c r="G2405">
        <f>Data!A2418</f>
        <v>0</v>
      </c>
      <c r="H2405" s="21">
        <f>Data!B2418</f>
        <v>0</v>
      </c>
      <c r="I2405" s="21">
        <f>Data!C2418</f>
        <v>0</v>
      </c>
      <c r="J2405">
        <f>Data!D2418</f>
        <v>0</v>
      </c>
      <c r="K2405">
        <f>Data!E2418</f>
        <v>0</v>
      </c>
      <c r="L2405">
        <f>Data!F2418</f>
        <v>0</v>
      </c>
      <c r="M2405">
        <f>Data!G2418</f>
        <v>0</v>
      </c>
      <c r="N2405">
        <f>Data!H2418</f>
        <v>0</v>
      </c>
      <c r="O2405">
        <f>Data!I2418</f>
        <v>0</v>
      </c>
      <c r="P2405" s="21">
        <f>Data!J2422</f>
        <v>0</v>
      </c>
      <c r="Q2405">
        <f>Data!K2422</f>
        <v>0</v>
      </c>
      <c r="R2405">
        <f>Data!L2422</f>
        <v>0</v>
      </c>
      <c r="S2405">
        <f>Data!M2422</f>
        <v>0</v>
      </c>
      <c r="T2405">
        <f>Data!N2422</f>
        <v>0</v>
      </c>
      <c r="U2405">
        <f>Data!O2422</f>
        <v>0</v>
      </c>
      <c r="V2405" s="33">
        <f>Data!P2420</f>
        <v>0</v>
      </c>
    </row>
    <row r="2406" spans="7:22" x14ac:dyDescent="0.25">
      <c r="G2406">
        <f>Data!A2419</f>
        <v>0</v>
      </c>
      <c r="H2406" s="21">
        <f>Data!B2419</f>
        <v>0</v>
      </c>
      <c r="I2406" s="21">
        <f>Data!C2419</f>
        <v>0</v>
      </c>
      <c r="J2406">
        <f>Data!D2419</f>
        <v>0</v>
      </c>
      <c r="K2406">
        <f>Data!E2419</f>
        <v>0</v>
      </c>
      <c r="L2406">
        <f>Data!F2419</f>
        <v>0</v>
      </c>
      <c r="M2406">
        <f>Data!G2419</f>
        <v>0</v>
      </c>
      <c r="N2406">
        <f>Data!H2419</f>
        <v>0</v>
      </c>
      <c r="O2406">
        <f>Data!I2419</f>
        <v>0</v>
      </c>
      <c r="P2406" s="21">
        <f>Data!J2423</f>
        <v>0</v>
      </c>
      <c r="Q2406">
        <f>Data!K2423</f>
        <v>0</v>
      </c>
      <c r="R2406">
        <f>Data!L2423</f>
        <v>0</v>
      </c>
      <c r="S2406">
        <f>Data!M2423</f>
        <v>0</v>
      </c>
      <c r="T2406">
        <f>Data!N2423</f>
        <v>0</v>
      </c>
      <c r="U2406">
        <f>Data!O2423</f>
        <v>0</v>
      </c>
      <c r="V2406" s="33">
        <f>Data!P2421</f>
        <v>0</v>
      </c>
    </row>
    <row r="2407" spans="7:22" x14ac:dyDescent="0.25">
      <c r="G2407">
        <f>Data!A2420</f>
        <v>0</v>
      </c>
      <c r="H2407" s="21">
        <f>Data!B2420</f>
        <v>0</v>
      </c>
      <c r="I2407" s="21">
        <f>Data!C2420</f>
        <v>0</v>
      </c>
      <c r="J2407">
        <f>Data!D2420</f>
        <v>0</v>
      </c>
      <c r="K2407">
        <f>Data!E2420</f>
        <v>0</v>
      </c>
      <c r="L2407">
        <f>Data!F2420</f>
        <v>0</v>
      </c>
      <c r="M2407">
        <f>Data!G2420</f>
        <v>0</v>
      </c>
      <c r="N2407">
        <f>Data!H2420</f>
        <v>0</v>
      </c>
      <c r="O2407">
        <f>Data!I2420</f>
        <v>0</v>
      </c>
      <c r="P2407" s="21">
        <f>Data!J2424</f>
        <v>0</v>
      </c>
      <c r="Q2407">
        <f>Data!K2424</f>
        <v>0</v>
      </c>
      <c r="R2407">
        <f>Data!L2424</f>
        <v>0</v>
      </c>
      <c r="S2407">
        <f>Data!M2424</f>
        <v>0</v>
      </c>
      <c r="T2407">
        <f>Data!N2424</f>
        <v>0</v>
      </c>
      <c r="U2407">
        <f>Data!O2424</f>
        <v>0</v>
      </c>
      <c r="V2407" s="33">
        <f>Data!P2422</f>
        <v>0</v>
      </c>
    </row>
    <row r="2408" spans="7:22" x14ac:dyDescent="0.25">
      <c r="G2408">
        <f>Data!A2421</f>
        <v>0</v>
      </c>
      <c r="H2408" s="21">
        <f>Data!B2421</f>
        <v>0</v>
      </c>
      <c r="I2408" s="21">
        <f>Data!C2421</f>
        <v>0</v>
      </c>
      <c r="J2408">
        <f>Data!D2421</f>
        <v>0</v>
      </c>
      <c r="K2408">
        <f>Data!E2421</f>
        <v>0</v>
      </c>
      <c r="L2408">
        <f>Data!F2421</f>
        <v>0</v>
      </c>
      <c r="M2408">
        <f>Data!G2421</f>
        <v>0</v>
      </c>
      <c r="N2408">
        <f>Data!H2421</f>
        <v>0</v>
      </c>
      <c r="O2408">
        <f>Data!I2421</f>
        <v>0</v>
      </c>
      <c r="P2408" s="21">
        <f>Data!J2425</f>
        <v>0</v>
      </c>
      <c r="Q2408">
        <f>Data!K2425</f>
        <v>0</v>
      </c>
      <c r="R2408">
        <f>Data!L2425</f>
        <v>0</v>
      </c>
      <c r="S2408">
        <f>Data!M2425</f>
        <v>0</v>
      </c>
      <c r="T2408">
        <f>Data!N2425</f>
        <v>0</v>
      </c>
      <c r="U2408">
        <f>Data!O2425</f>
        <v>0</v>
      </c>
      <c r="V2408" s="33">
        <f>Data!P2423</f>
        <v>0</v>
      </c>
    </row>
    <row r="2409" spans="7:22" x14ac:dyDescent="0.25">
      <c r="G2409">
        <f>Data!A2422</f>
        <v>0</v>
      </c>
      <c r="H2409" s="21">
        <f>Data!B2422</f>
        <v>0</v>
      </c>
      <c r="I2409" s="21">
        <f>Data!C2422</f>
        <v>0</v>
      </c>
      <c r="J2409">
        <f>Data!D2422</f>
        <v>0</v>
      </c>
      <c r="K2409">
        <f>Data!E2422</f>
        <v>0</v>
      </c>
      <c r="L2409">
        <f>Data!F2422</f>
        <v>0</v>
      </c>
      <c r="M2409">
        <f>Data!G2422</f>
        <v>0</v>
      </c>
      <c r="N2409">
        <f>Data!H2422</f>
        <v>0</v>
      </c>
      <c r="O2409">
        <f>Data!I2422</f>
        <v>0</v>
      </c>
      <c r="P2409" s="21">
        <f>Data!J2426</f>
        <v>0</v>
      </c>
      <c r="Q2409">
        <f>Data!K2426</f>
        <v>0</v>
      </c>
      <c r="R2409">
        <f>Data!L2426</f>
        <v>0</v>
      </c>
      <c r="S2409">
        <f>Data!M2426</f>
        <v>0</v>
      </c>
      <c r="T2409">
        <f>Data!N2426</f>
        <v>0</v>
      </c>
      <c r="U2409">
        <f>Data!O2426</f>
        <v>0</v>
      </c>
      <c r="V2409" s="33">
        <f>Data!P2424</f>
        <v>0</v>
      </c>
    </row>
    <row r="2410" spans="7:22" x14ac:dyDescent="0.25">
      <c r="G2410">
        <f>Data!A2423</f>
        <v>0</v>
      </c>
      <c r="H2410" s="21">
        <f>Data!B2423</f>
        <v>0</v>
      </c>
      <c r="I2410" s="21">
        <f>Data!C2423</f>
        <v>0</v>
      </c>
      <c r="J2410">
        <f>Data!D2423</f>
        <v>0</v>
      </c>
      <c r="K2410">
        <f>Data!E2423</f>
        <v>0</v>
      </c>
      <c r="L2410">
        <f>Data!F2423</f>
        <v>0</v>
      </c>
      <c r="M2410">
        <f>Data!G2423</f>
        <v>0</v>
      </c>
      <c r="N2410">
        <f>Data!H2423</f>
        <v>0</v>
      </c>
      <c r="O2410">
        <f>Data!I2423</f>
        <v>0</v>
      </c>
      <c r="P2410" s="21">
        <f>Data!J2427</f>
        <v>0</v>
      </c>
      <c r="Q2410">
        <f>Data!K2427</f>
        <v>0</v>
      </c>
      <c r="R2410">
        <f>Data!L2427</f>
        <v>0</v>
      </c>
      <c r="S2410">
        <f>Data!M2427</f>
        <v>0</v>
      </c>
      <c r="T2410">
        <f>Data!N2427</f>
        <v>0</v>
      </c>
      <c r="U2410">
        <f>Data!O2427</f>
        <v>0</v>
      </c>
      <c r="V2410" s="33">
        <f>Data!P2425</f>
        <v>0</v>
      </c>
    </row>
    <row r="2411" spans="7:22" x14ac:dyDescent="0.25">
      <c r="G2411">
        <f>Data!A2424</f>
        <v>0</v>
      </c>
      <c r="H2411" s="21">
        <f>Data!B2424</f>
        <v>0</v>
      </c>
      <c r="I2411" s="21">
        <f>Data!C2424</f>
        <v>0</v>
      </c>
      <c r="J2411">
        <f>Data!D2424</f>
        <v>0</v>
      </c>
      <c r="K2411">
        <f>Data!E2424</f>
        <v>0</v>
      </c>
      <c r="L2411">
        <f>Data!F2424</f>
        <v>0</v>
      </c>
      <c r="M2411">
        <f>Data!G2424</f>
        <v>0</v>
      </c>
      <c r="N2411">
        <f>Data!H2424</f>
        <v>0</v>
      </c>
      <c r="O2411">
        <f>Data!I2424</f>
        <v>0</v>
      </c>
      <c r="P2411" s="21">
        <f>Data!J2428</f>
        <v>0</v>
      </c>
      <c r="Q2411">
        <f>Data!K2428</f>
        <v>0</v>
      </c>
      <c r="R2411">
        <f>Data!L2428</f>
        <v>0</v>
      </c>
      <c r="S2411">
        <f>Data!M2428</f>
        <v>0</v>
      </c>
      <c r="T2411">
        <f>Data!N2428</f>
        <v>0</v>
      </c>
      <c r="U2411">
        <f>Data!O2428</f>
        <v>0</v>
      </c>
      <c r="V2411" s="33">
        <f>Data!P2426</f>
        <v>0</v>
      </c>
    </row>
    <row r="2412" spans="7:22" x14ac:dyDescent="0.25">
      <c r="G2412">
        <f>Data!A2425</f>
        <v>0</v>
      </c>
      <c r="H2412" s="21">
        <f>Data!B2425</f>
        <v>0</v>
      </c>
      <c r="I2412" s="21">
        <f>Data!C2425</f>
        <v>0</v>
      </c>
      <c r="J2412">
        <f>Data!D2425</f>
        <v>0</v>
      </c>
      <c r="K2412">
        <f>Data!E2425</f>
        <v>0</v>
      </c>
      <c r="L2412">
        <f>Data!F2425</f>
        <v>0</v>
      </c>
      <c r="M2412">
        <f>Data!G2425</f>
        <v>0</v>
      </c>
      <c r="N2412">
        <f>Data!H2425</f>
        <v>0</v>
      </c>
      <c r="O2412">
        <f>Data!I2425</f>
        <v>0</v>
      </c>
      <c r="P2412" s="21">
        <f>Data!J2429</f>
        <v>0</v>
      </c>
      <c r="Q2412">
        <f>Data!K2429</f>
        <v>0</v>
      </c>
      <c r="R2412">
        <f>Data!L2429</f>
        <v>0</v>
      </c>
      <c r="S2412">
        <f>Data!M2429</f>
        <v>0</v>
      </c>
      <c r="T2412">
        <f>Data!N2429</f>
        <v>0</v>
      </c>
      <c r="U2412">
        <f>Data!O2429</f>
        <v>0</v>
      </c>
      <c r="V2412" s="33">
        <f>Data!P2427</f>
        <v>0</v>
      </c>
    </row>
    <row r="2413" spans="7:22" x14ac:dyDescent="0.25">
      <c r="G2413">
        <f>Data!A2426</f>
        <v>0</v>
      </c>
      <c r="H2413" s="21">
        <f>Data!B2426</f>
        <v>0</v>
      </c>
      <c r="I2413" s="21">
        <f>Data!C2426</f>
        <v>0</v>
      </c>
      <c r="J2413">
        <f>Data!D2426</f>
        <v>0</v>
      </c>
      <c r="K2413">
        <f>Data!E2426</f>
        <v>0</v>
      </c>
      <c r="L2413">
        <f>Data!F2426</f>
        <v>0</v>
      </c>
      <c r="M2413">
        <f>Data!G2426</f>
        <v>0</v>
      </c>
      <c r="N2413">
        <f>Data!H2426</f>
        <v>0</v>
      </c>
      <c r="O2413">
        <f>Data!I2426</f>
        <v>0</v>
      </c>
      <c r="P2413" s="21">
        <f>Data!J2430</f>
        <v>0</v>
      </c>
      <c r="Q2413">
        <f>Data!K2430</f>
        <v>0</v>
      </c>
      <c r="R2413">
        <f>Data!L2430</f>
        <v>0</v>
      </c>
      <c r="S2413">
        <f>Data!M2430</f>
        <v>0</v>
      </c>
      <c r="T2413">
        <f>Data!N2430</f>
        <v>0</v>
      </c>
      <c r="U2413">
        <f>Data!O2430</f>
        <v>0</v>
      </c>
      <c r="V2413" s="33">
        <f>Data!P2428</f>
        <v>0</v>
      </c>
    </row>
    <row r="2414" spans="7:22" x14ac:dyDescent="0.25">
      <c r="G2414">
        <f>Data!A2427</f>
        <v>0</v>
      </c>
      <c r="H2414" s="21">
        <f>Data!B2427</f>
        <v>0</v>
      </c>
      <c r="I2414" s="21">
        <f>Data!C2427</f>
        <v>0</v>
      </c>
      <c r="J2414">
        <f>Data!D2427</f>
        <v>0</v>
      </c>
      <c r="K2414">
        <f>Data!E2427</f>
        <v>0</v>
      </c>
      <c r="L2414">
        <f>Data!F2427</f>
        <v>0</v>
      </c>
      <c r="M2414">
        <f>Data!G2427</f>
        <v>0</v>
      </c>
      <c r="N2414">
        <f>Data!H2427</f>
        <v>0</v>
      </c>
      <c r="O2414">
        <f>Data!I2427</f>
        <v>0</v>
      </c>
      <c r="P2414" s="21">
        <f>Data!J2431</f>
        <v>0</v>
      </c>
      <c r="Q2414">
        <f>Data!K2431</f>
        <v>0</v>
      </c>
      <c r="R2414">
        <f>Data!L2431</f>
        <v>0</v>
      </c>
      <c r="S2414">
        <f>Data!M2431</f>
        <v>0</v>
      </c>
      <c r="T2414">
        <f>Data!N2431</f>
        <v>0</v>
      </c>
      <c r="U2414">
        <f>Data!O2431</f>
        <v>0</v>
      </c>
      <c r="V2414" s="33">
        <f>Data!P2429</f>
        <v>0</v>
      </c>
    </row>
    <row r="2415" spans="7:22" x14ac:dyDescent="0.25">
      <c r="G2415">
        <f>Data!A2428</f>
        <v>0</v>
      </c>
      <c r="H2415" s="21">
        <f>Data!B2428</f>
        <v>0</v>
      </c>
      <c r="I2415" s="21">
        <f>Data!C2428</f>
        <v>0</v>
      </c>
      <c r="J2415">
        <f>Data!D2428</f>
        <v>0</v>
      </c>
      <c r="K2415">
        <f>Data!E2428</f>
        <v>0</v>
      </c>
      <c r="L2415">
        <f>Data!F2428</f>
        <v>0</v>
      </c>
      <c r="M2415">
        <f>Data!G2428</f>
        <v>0</v>
      </c>
      <c r="N2415">
        <f>Data!H2428</f>
        <v>0</v>
      </c>
      <c r="O2415">
        <f>Data!I2428</f>
        <v>0</v>
      </c>
      <c r="P2415" s="21">
        <f>Data!J2432</f>
        <v>0</v>
      </c>
      <c r="Q2415">
        <f>Data!K2432</f>
        <v>0</v>
      </c>
      <c r="R2415">
        <f>Data!L2432</f>
        <v>0</v>
      </c>
      <c r="S2415">
        <f>Data!M2432</f>
        <v>0</v>
      </c>
      <c r="T2415">
        <f>Data!N2432</f>
        <v>0</v>
      </c>
      <c r="U2415">
        <f>Data!O2432</f>
        <v>0</v>
      </c>
      <c r="V2415" s="33">
        <f>Data!P2430</f>
        <v>0</v>
      </c>
    </row>
    <row r="2416" spans="7:22" x14ac:dyDescent="0.25">
      <c r="G2416">
        <f>Data!A2429</f>
        <v>0</v>
      </c>
      <c r="H2416" s="21">
        <f>Data!B2429</f>
        <v>0</v>
      </c>
      <c r="I2416" s="21">
        <f>Data!C2429</f>
        <v>0</v>
      </c>
      <c r="J2416">
        <f>Data!D2429</f>
        <v>0</v>
      </c>
      <c r="K2416">
        <f>Data!E2429</f>
        <v>0</v>
      </c>
      <c r="L2416">
        <f>Data!F2429</f>
        <v>0</v>
      </c>
      <c r="M2416">
        <f>Data!G2429</f>
        <v>0</v>
      </c>
      <c r="N2416">
        <f>Data!H2429</f>
        <v>0</v>
      </c>
      <c r="O2416">
        <f>Data!I2429</f>
        <v>0</v>
      </c>
      <c r="P2416" s="21">
        <f>Data!J2433</f>
        <v>0</v>
      </c>
      <c r="Q2416">
        <f>Data!K2433</f>
        <v>0</v>
      </c>
      <c r="R2416">
        <f>Data!L2433</f>
        <v>0</v>
      </c>
      <c r="S2416">
        <f>Data!M2433</f>
        <v>0</v>
      </c>
      <c r="T2416">
        <f>Data!N2433</f>
        <v>0</v>
      </c>
      <c r="U2416">
        <f>Data!O2433</f>
        <v>0</v>
      </c>
      <c r="V2416" s="33">
        <f>Data!P2431</f>
        <v>0</v>
      </c>
    </row>
    <row r="2417" spans="7:22" x14ac:dyDescent="0.25">
      <c r="G2417">
        <f>Data!A2430</f>
        <v>0</v>
      </c>
      <c r="H2417" s="21">
        <f>Data!B2430</f>
        <v>0</v>
      </c>
      <c r="I2417" s="21">
        <f>Data!C2430</f>
        <v>0</v>
      </c>
      <c r="J2417">
        <f>Data!D2430</f>
        <v>0</v>
      </c>
      <c r="K2417">
        <f>Data!E2430</f>
        <v>0</v>
      </c>
      <c r="L2417">
        <f>Data!F2430</f>
        <v>0</v>
      </c>
      <c r="M2417">
        <f>Data!G2430</f>
        <v>0</v>
      </c>
      <c r="N2417">
        <f>Data!H2430</f>
        <v>0</v>
      </c>
      <c r="O2417">
        <f>Data!I2430</f>
        <v>0</v>
      </c>
      <c r="P2417" s="21">
        <f>Data!J2434</f>
        <v>0</v>
      </c>
      <c r="Q2417">
        <f>Data!K2434</f>
        <v>0</v>
      </c>
      <c r="R2417">
        <f>Data!L2434</f>
        <v>0</v>
      </c>
      <c r="S2417">
        <f>Data!M2434</f>
        <v>0</v>
      </c>
      <c r="T2417">
        <f>Data!N2434</f>
        <v>0</v>
      </c>
      <c r="U2417">
        <f>Data!O2434</f>
        <v>0</v>
      </c>
      <c r="V2417" s="33">
        <f>Data!P2432</f>
        <v>0</v>
      </c>
    </row>
    <row r="2418" spans="7:22" x14ac:dyDescent="0.25">
      <c r="G2418">
        <f>Data!A2431</f>
        <v>0</v>
      </c>
      <c r="H2418" s="21">
        <f>Data!B2431</f>
        <v>0</v>
      </c>
      <c r="I2418" s="21">
        <f>Data!C2431</f>
        <v>0</v>
      </c>
      <c r="J2418">
        <f>Data!D2431</f>
        <v>0</v>
      </c>
      <c r="K2418">
        <f>Data!E2431</f>
        <v>0</v>
      </c>
      <c r="L2418">
        <f>Data!F2431</f>
        <v>0</v>
      </c>
      <c r="M2418">
        <f>Data!G2431</f>
        <v>0</v>
      </c>
      <c r="N2418">
        <f>Data!H2431</f>
        <v>0</v>
      </c>
      <c r="O2418">
        <f>Data!I2431</f>
        <v>0</v>
      </c>
      <c r="P2418" s="21">
        <f>Data!J2435</f>
        <v>0</v>
      </c>
      <c r="Q2418">
        <f>Data!K2435</f>
        <v>0</v>
      </c>
      <c r="R2418">
        <f>Data!L2435</f>
        <v>0</v>
      </c>
      <c r="S2418">
        <f>Data!M2435</f>
        <v>0</v>
      </c>
      <c r="T2418">
        <f>Data!N2435</f>
        <v>0</v>
      </c>
      <c r="U2418">
        <f>Data!O2435</f>
        <v>0</v>
      </c>
      <c r="V2418" s="33">
        <f>Data!P2433</f>
        <v>0</v>
      </c>
    </row>
    <row r="2419" spans="7:22" x14ac:dyDescent="0.25">
      <c r="G2419">
        <f>Data!A2432</f>
        <v>0</v>
      </c>
      <c r="H2419" s="21">
        <f>Data!B2432</f>
        <v>0</v>
      </c>
      <c r="I2419" s="21">
        <f>Data!C2432</f>
        <v>0</v>
      </c>
      <c r="J2419">
        <f>Data!D2432</f>
        <v>0</v>
      </c>
      <c r="K2419">
        <f>Data!E2432</f>
        <v>0</v>
      </c>
      <c r="L2419">
        <f>Data!F2432</f>
        <v>0</v>
      </c>
      <c r="M2419">
        <f>Data!G2432</f>
        <v>0</v>
      </c>
      <c r="N2419">
        <f>Data!H2432</f>
        <v>0</v>
      </c>
      <c r="O2419">
        <f>Data!I2432</f>
        <v>0</v>
      </c>
      <c r="P2419" s="21">
        <f>Data!J2436</f>
        <v>0</v>
      </c>
      <c r="Q2419">
        <f>Data!K2436</f>
        <v>0</v>
      </c>
      <c r="R2419">
        <f>Data!L2436</f>
        <v>0</v>
      </c>
      <c r="S2419">
        <f>Data!M2436</f>
        <v>0</v>
      </c>
      <c r="T2419">
        <f>Data!N2436</f>
        <v>0</v>
      </c>
      <c r="U2419">
        <f>Data!O2436</f>
        <v>0</v>
      </c>
      <c r="V2419" s="33">
        <f>Data!P2434</f>
        <v>0</v>
      </c>
    </row>
    <row r="2420" spans="7:22" x14ac:dyDescent="0.25">
      <c r="G2420">
        <f>Data!A2433</f>
        <v>0</v>
      </c>
      <c r="H2420" s="21">
        <f>Data!B2433</f>
        <v>0</v>
      </c>
      <c r="I2420" s="21">
        <f>Data!C2433</f>
        <v>0</v>
      </c>
      <c r="J2420">
        <f>Data!D2433</f>
        <v>0</v>
      </c>
      <c r="K2420">
        <f>Data!E2433</f>
        <v>0</v>
      </c>
      <c r="L2420">
        <f>Data!F2433</f>
        <v>0</v>
      </c>
      <c r="M2420">
        <f>Data!G2433</f>
        <v>0</v>
      </c>
      <c r="N2420">
        <f>Data!H2433</f>
        <v>0</v>
      </c>
      <c r="O2420">
        <f>Data!I2433</f>
        <v>0</v>
      </c>
      <c r="P2420" s="21">
        <f>Data!J2437</f>
        <v>0</v>
      </c>
      <c r="Q2420">
        <f>Data!K2437</f>
        <v>0</v>
      </c>
      <c r="R2420">
        <f>Data!L2437</f>
        <v>0</v>
      </c>
      <c r="S2420">
        <f>Data!M2437</f>
        <v>0</v>
      </c>
      <c r="T2420">
        <f>Data!N2437</f>
        <v>0</v>
      </c>
      <c r="U2420">
        <f>Data!O2437</f>
        <v>0</v>
      </c>
      <c r="V2420" s="33">
        <f>Data!P2435</f>
        <v>0</v>
      </c>
    </row>
    <row r="2421" spans="7:22" x14ac:dyDescent="0.25">
      <c r="G2421">
        <f>Data!A2434</f>
        <v>0</v>
      </c>
      <c r="H2421" s="21">
        <f>Data!B2434</f>
        <v>0</v>
      </c>
      <c r="I2421" s="21">
        <f>Data!C2434</f>
        <v>0</v>
      </c>
      <c r="J2421">
        <f>Data!D2434</f>
        <v>0</v>
      </c>
      <c r="K2421">
        <f>Data!E2434</f>
        <v>0</v>
      </c>
      <c r="L2421">
        <f>Data!F2434</f>
        <v>0</v>
      </c>
      <c r="M2421">
        <f>Data!G2434</f>
        <v>0</v>
      </c>
      <c r="N2421">
        <f>Data!H2434</f>
        <v>0</v>
      </c>
      <c r="O2421">
        <f>Data!I2434</f>
        <v>0</v>
      </c>
      <c r="P2421" s="21">
        <f>Data!J2438</f>
        <v>0</v>
      </c>
      <c r="Q2421">
        <f>Data!K2438</f>
        <v>0</v>
      </c>
      <c r="R2421">
        <f>Data!L2438</f>
        <v>0</v>
      </c>
      <c r="S2421">
        <f>Data!M2438</f>
        <v>0</v>
      </c>
      <c r="T2421">
        <f>Data!N2438</f>
        <v>0</v>
      </c>
      <c r="U2421">
        <f>Data!O2438</f>
        <v>0</v>
      </c>
      <c r="V2421" s="33">
        <f>Data!P2436</f>
        <v>0</v>
      </c>
    </row>
    <row r="2422" spans="7:22" x14ac:dyDescent="0.25">
      <c r="G2422">
        <f>Data!A2435</f>
        <v>0</v>
      </c>
      <c r="H2422" s="21">
        <f>Data!B2435</f>
        <v>0</v>
      </c>
      <c r="I2422" s="21">
        <f>Data!C2435</f>
        <v>0</v>
      </c>
      <c r="J2422">
        <f>Data!D2435</f>
        <v>0</v>
      </c>
      <c r="K2422">
        <f>Data!E2435</f>
        <v>0</v>
      </c>
      <c r="L2422">
        <f>Data!F2435</f>
        <v>0</v>
      </c>
      <c r="M2422">
        <f>Data!G2435</f>
        <v>0</v>
      </c>
      <c r="N2422">
        <f>Data!H2435</f>
        <v>0</v>
      </c>
      <c r="O2422">
        <f>Data!I2435</f>
        <v>0</v>
      </c>
      <c r="P2422" s="21">
        <f>Data!J2439</f>
        <v>0</v>
      </c>
      <c r="Q2422">
        <f>Data!K2439</f>
        <v>0</v>
      </c>
      <c r="R2422">
        <f>Data!L2439</f>
        <v>0</v>
      </c>
      <c r="S2422">
        <f>Data!M2439</f>
        <v>0</v>
      </c>
      <c r="T2422">
        <f>Data!N2439</f>
        <v>0</v>
      </c>
      <c r="U2422">
        <f>Data!O2439</f>
        <v>0</v>
      </c>
      <c r="V2422" s="33">
        <f>Data!P2437</f>
        <v>0</v>
      </c>
    </row>
    <row r="2423" spans="7:22" x14ac:dyDescent="0.25">
      <c r="G2423">
        <f>Data!A2436</f>
        <v>0</v>
      </c>
      <c r="H2423" s="21">
        <f>Data!B2436</f>
        <v>0</v>
      </c>
      <c r="I2423" s="21">
        <f>Data!C2436</f>
        <v>0</v>
      </c>
      <c r="J2423">
        <f>Data!D2436</f>
        <v>0</v>
      </c>
      <c r="K2423">
        <f>Data!E2436</f>
        <v>0</v>
      </c>
      <c r="L2423">
        <f>Data!F2436</f>
        <v>0</v>
      </c>
      <c r="M2423">
        <f>Data!G2436</f>
        <v>0</v>
      </c>
      <c r="N2423">
        <f>Data!H2436</f>
        <v>0</v>
      </c>
      <c r="O2423">
        <f>Data!I2436</f>
        <v>0</v>
      </c>
      <c r="P2423" s="21">
        <f>Data!J2440</f>
        <v>0</v>
      </c>
      <c r="Q2423">
        <f>Data!K2440</f>
        <v>0</v>
      </c>
      <c r="R2423">
        <f>Data!L2440</f>
        <v>0</v>
      </c>
      <c r="S2423">
        <f>Data!M2440</f>
        <v>0</v>
      </c>
      <c r="T2423">
        <f>Data!N2440</f>
        <v>0</v>
      </c>
      <c r="U2423">
        <f>Data!O2440</f>
        <v>0</v>
      </c>
      <c r="V2423" s="33">
        <f>Data!P2438</f>
        <v>0</v>
      </c>
    </row>
    <row r="2424" spans="7:22" x14ac:dyDescent="0.25">
      <c r="G2424">
        <f>Data!A2437</f>
        <v>0</v>
      </c>
      <c r="H2424" s="21">
        <f>Data!B2437</f>
        <v>0</v>
      </c>
      <c r="I2424" s="21">
        <f>Data!C2437</f>
        <v>0</v>
      </c>
      <c r="J2424">
        <f>Data!D2437</f>
        <v>0</v>
      </c>
      <c r="K2424">
        <f>Data!E2437</f>
        <v>0</v>
      </c>
      <c r="L2424">
        <f>Data!F2437</f>
        <v>0</v>
      </c>
      <c r="M2424">
        <f>Data!G2437</f>
        <v>0</v>
      </c>
      <c r="N2424">
        <f>Data!H2437</f>
        <v>0</v>
      </c>
      <c r="O2424">
        <f>Data!I2437</f>
        <v>0</v>
      </c>
      <c r="P2424" s="21">
        <f>Data!J2441</f>
        <v>0</v>
      </c>
      <c r="Q2424">
        <f>Data!K2441</f>
        <v>0</v>
      </c>
      <c r="R2424">
        <f>Data!L2441</f>
        <v>0</v>
      </c>
      <c r="S2424">
        <f>Data!M2441</f>
        <v>0</v>
      </c>
      <c r="T2424">
        <f>Data!N2441</f>
        <v>0</v>
      </c>
      <c r="U2424">
        <f>Data!O2441</f>
        <v>0</v>
      </c>
      <c r="V2424" s="33">
        <f>Data!P2439</f>
        <v>0</v>
      </c>
    </row>
    <row r="2425" spans="7:22" x14ac:dyDescent="0.25">
      <c r="G2425">
        <f>Data!A2438</f>
        <v>0</v>
      </c>
      <c r="H2425" s="21">
        <f>Data!B2438</f>
        <v>0</v>
      </c>
      <c r="I2425" s="21">
        <f>Data!C2438</f>
        <v>0</v>
      </c>
      <c r="J2425">
        <f>Data!D2438</f>
        <v>0</v>
      </c>
      <c r="K2425">
        <f>Data!E2438</f>
        <v>0</v>
      </c>
      <c r="L2425">
        <f>Data!F2438</f>
        <v>0</v>
      </c>
      <c r="M2425">
        <f>Data!G2438</f>
        <v>0</v>
      </c>
      <c r="N2425">
        <f>Data!H2438</f>
        <v>0</v>
      </c>
      <c r="O2425">
        <f>Data!I2438</f>
        <v>0</v>
      </c>
      <c r="P2425" s="21">
        <f>Data!J2442</f>
        <v>0</v>
      </c>
      <c r="Q2425">
        <f>Data!K2442</f>
        <v>0</v>
      </c>
      <c r="R2425">
        <f>Data!L2442</f>
        <v>0</v>
      </c>
      <c r="S2425">
        <f>Data!M2442</f>
        <v>0</v>
      </c>
      <c r="T2425">
        <f>Data!N2442</f>
        <v>0</v>
      </c>
      <c r="U2425">
        <f>Data!O2442</f>
        <v>0</v>
      </c>
      <c r="V2425" s="33">
        <f>Data!P2440</f>
        <v>0</v>
      </c>
    </row>
    <row r="2426" spans="7:22" x14ac:dyDescent="0.25">
      <c r="G2426">
        <f>Data!A2439</f>
        <v>0</v>
      </c>
      <c r="H2426" s="21">
        <f>Data!B2439</f>
        <v>0</v>
      </c>
      <c r="I2426" s="21">
        <f>Data!C2439</f>
        <v>0</v>
      </c>
      <c r="J2426">
        <f>Data!D2439</f>
        <v>0</v>
      </c>
      <c r="K2426">
        <f>Data!E2439</f>
        <v>0</v>
      </c>
      <c r="L2426">
        <f>Data!F2439</f>
        <v>0</v>
      </c>
      <c r="M2426">
        <f>Data!G2439</f>
        <v>0</v>
      </c>
      <c r="N2426">
        <f>Data!H2439</f>
        <v>0</v>
      </c>
      <c r="O2426">
        <f>Data!I2439</f>
        <v>0</v>
      </c>
      <c r="P2426" s="21">
        <f>Data!J2443</f>
        <v>0</v>
      </c>
      <c r="Q2426">
        <f>Data!K2443</f>
        <v>0</v>
      </c>
      <c r="R2426">
        <f>Data!L2443</f>
        <v>0</v>
      </c>
      <c r="S2426">
        <f>Data!M2443</f>
        <v>0</v>
      </c>
      <c r="T2426">
        <f>Data!N2443</f>
        <v>0</v>
      </c>
      <c r="U2426">
        <f>Data!O2443</f>
        <v>0</v>
      </c>
      <c r="V2426" s="33">
        <f>Data!P2441</f>
        <v>0</v>
      </c>
    </row>
    <row r="2427" spans="7:22" x14ac:dyDescent="0.25">
      <c r="G2427">
        <f>Data!A2440</f>
        <v>0</v>
      </c>
      <c r="H2427" s="21">
        <f>Data!B2440</f>
        <v>0</v>
      </c>
      <c r="I2427" s="21">
        <f>Data!C2440</f>
        <v>0</v>
      </c>
      <c r="J2427">
        <f>Data!D2440</f>
        <v>0</v>
      </c>
      <c r="K2427">
        <f>Data!E2440</f>
        <v>0</v>
      </c>
      <c r="L2427">
        <f>Data!F2440</f>
        <v>0</v>
      </c>
      <c r="M2427">
        <f>Data!G2440</f>
        <v>0</v>
      </c>
      <c r="N2427">
        <f>Data!H2440</f>
        <v>0</v>
      </c>
      <c r="O2427">
        <f>Data!I2440</f>
        <v>0</v>
      </c>
      <c r="P2427" s="21">
        <f>Data!J2444</f>
        <v>0</v>
      </c>
      <c r="Q2427">
        <f>Data!K2444</f>
        <v>0</v>
      </c>
      <c r="R2427">
        <f>Data!L2444</f>
        <v>0</v>
      </c>
      <c r="S2427">
        <f>Data!M2444</f>
        <v>0</v>
      </c>
      <c r="T2427">
        <f>Data!N2444</f>
        <v>0</v>
      </c>
      <c r="U2427">
        <f>Data!O2444</f>
        <v>0</v>
      </c>
      <c r="V2427" s="33">
        <f>Data!P2442</f>
        <v>0</v>
      </c>
    </row>
    <row r="2428" spans="7:22" x14ac:dyDescent="0.25">
      <c r="G2428">
        <f>Data!A2441</f>
        <v>0</v>
      </c>
      <c r="H2428" s="21">
        <f>Data!B2441</f>
        <v>0</v>
      </c>
      <c r="I2428" s="21">
        <f>Data!C2441</f>
        <v>0</v>
      </c>
      <c r="J2428">
        <f>Data!D2441</f>
        <v>0</v>
      </c>
      <c r="K2428">
        <f>Data!E2441</f>
        <v>0</v>
      </c>
      <c r="L2428">
        <f>Data!F2441</f>
        <v>0</v>
      </c>
      <c r="M2428">
        <f>Data!G2441</f>
        <v>0</v>
      </c>
      <c r="N2428">
        <f>Data!H2441</f>
        <v>0</v>
      </c>
      <c r="O2428">
        <f>Data!I2441</f>
        <v>0</v>
      </c>
      <c r="P2428" s="21">
        <f>Data!J2445</f>
        <v>0</v>
      </c>
      <c r="Q2428">
        <f>Data!K2445</f>
        <v>0</v>
      </c>
      <c r="R2428">
        <f>Data!L2445</f>
        <v>0</v>
      </c>
      <c r="S2428">
        <f>Data!M2445</f>
        <v>0</v>
      </c>
      <c r="T2428">
        <f>Data!N2445</f>
        <v>0</v>
      </c>
      <c r="U2428">
        <f>Data!O2445</f>
        <v>0</v>
      </c>
      <c r="V2428" s="33">
        <f>Data!P2443</f>
        <v>0</v>
      </c>
    </row>
    <row r="2429" spans="7:22" x14ac:dyDescent="0.25">
      <c r="G2429">
        <f>Data!A2442</f>
        <v>0</v>
      </c>
      <c r="H2429" s="21">
        <f>Data!B2442</f>
        <v>0</v>
      </c>
      <c r="I2429" s="21">
        <f>Data!C2442</f>
        <v>0</v>
      </c>
      <c r="J2429">
        <f>Data!D2442</f>
        <v>0</v>
      </c>
      <c r="K2429">
        <f>Data!E2442</f>
        <v>0</v>
      </c>
      <c r="L2429">
        <f>Data!F2442</f>
        <v>0</v>
      </c>
      <c r="M2429">
        <f>Data!G2442</f>
        <v>0</v>
      </c>
      <c r="N2429">
        <f>Data!H2442</f>
        <v>0</v>
      </c>
      <c r="O2429">
        <f>Data!I2442</f>
        <v>0</v>
      </c>
      <c r="P2429" s="21">
        <f>Data!J2446</f>
        <v>0</v>
      </c>
      <c r="Q2429">
        <f>Data!K2446</f>
        <v>0</v>
      </c>
      <c r="R2429">
        <f>Data!L2446</f>
        <v>0</v>
      </c>
      <c r="S2429">
        <f>Data!M2446</f>
        <v>0</v>
      </c>
      <c r="T2429">
        <f>Data!N2446</f>
        <v>0</v>
      </c>
      <c r="U2429">
        <f>Data!O2446</f>
        <v>0</v>
      </c>
      <c r="V2429" s="33">
        <f>Data!P2444</f>
        <v>0</v>
      </c>
    </row>
    <row r="2430" spans="7:22" x14ac:dyDescent="0.25">
      <c r="G2430">
        <f>Data!A2443</f>
        <v>0</v>
      </c>
      <c r="H2430" s="21">
        <f>Data!B2443</f>
        <v>0</v>
      </c>
      <c r="I2430" s="21">
        <f>Data!C2443</f>
        <v>0</v>
      </c>
      <c r="J2430">
        <f>Data!D2443</f>
        <v>0</v>
      </c>
      <c r="K2430">
        <f>Data!E2443</f>
        <v>0</v>
      </c>
      <c r="L2430">
        <f>Data!F2443</f>
        <v>0</v>
      </c>
      <c r="M2430">
        <f>Data!G2443</f>
        <v>0</v>
      </c>
      <c r="N2430">
        <f>Data!H2443</f>
        <v>0</v>
      </c>
      <c r="O2430">
        <f>Data!I2443</f>
        <v>0</v>
      </c>
      <c r="P2430" s="21">
        <f>Data!J2447</f>
        <v>0</v>
      </c>
      <c r="Q2430">
        <f>Data!K2447</f>
        <v>0</v>
      </c>
      <c r="R2430">
        <f>Data!L2447</f>
        <v>0</v>
      </c>
      <c r="S2430">
        <f>Data!M2447</f>
        <v>0</v>
      </c>
      <c r="T2430">
        <f>Data!N2447</f>
        <v>0</v>
      </c>
      <c r="U2430">
        <f>Data!O2447</f>
        <v>0</v>
      </c>
      <c r="V2430" s="33">
        <f>Data!P2445</f>
        <v>0</v>
      </c>
    </row>
    <row r="2431" spans="7:22" x14ac:dyDescent="0.25">
      <c r="G2431">
        <f>Data!A2444</f>
        <v>0</v>
      </c>
      <c r="H2431" s="21">
        <f>Data!B2444</f>
        <v>0</v>
      </c>
      <c r="I2431" s="21">
        <f>Data!C2444</f>
        <v>0</v>
      </c>
      <c r="J2431">
        <f>Data!D2444</f>
        <v>0</v>
      </c>
      <c r="K2431">
        <f>Data!E2444</f>
        <v>0</v>
      </c>
      <c r="L2431">
        <f>Data!F2444</f>
        <v>0</v>
      </c>
      <c r="M2431">
        <f>Data!G2444</f>
        <v>0</v>
      </c>
      <c r="N2431">
        <f>Data!H2444</f>
        <v>0</v>
      </c>
      <c r="O2431">
        <f>Data!I2444</f>
        <v>0</v>
      </c>
      <c r="P2431" s="21">
        <f>Data!J2448</f>
        <v>0</v>
      </c>
      <c r="Q2431">
        <f>Data!K2448</f>
        <v>0</v>
      </c>
      <c r="R2431">
        <f>Data!L2448</f>
        <v>0</v>
      </c>
      <c r="S2431">
        <f>Data!M2448</f>
        <v>0</v>
      </c>
      <c r="T2431">
        <f>Data!N2448</f>
        <v>0</v>
      </c>
      <c r="U2431">
        <f>Data!O2448</f>
        <v>0</v>
      </c>
      <c r="V2431" s="33">
        <f>Data!P2446</f>
        <v>0</v>
      </c>
    </row>
    <row r="2432" spans="7:22" x14ac:dyDescent="0.25">
      <c r="G2432">
        <f>Data!A2445</f>
        <v>0</v>
      </c>
      <c r="H2432" s="21">
        <f>Data!B2445</f>
        <v>0</v>
      </c>
      <c r="I2432" s="21">
        <f>Data!C2445</f>
        <v>0</v>
      </c>
      <c r="J2432">
        <f>Data!D2445</f>
        <v>0</v>
      </c>
      <c r="K2432">
        <f>Data!E2445</f>
        <v>0</v>
      </c>
      <c r="L2432">
        <f>Data!F2445</f>
        <v>0</v>
      </c>
      <c r="M2432">
        <f>Data!G2445</f>
        <v>0</v>
      </c>
      <c r="N2432">
        <f>Data!H2445</f>
        <v>0</v>
      </c>
      <c r="O2432">
        <f>Data!I2445</f>
        <v>0</v>
      </c>
      <c r="P2432" s="21">
        <f>Data!J2449</f>
        <v>0</v>
      </c>
      <c r="Q2432">
        <f>Data!K2449</f>
        <v>0</v>
      </c>
      <c r="R2432">
        <f>Data!L2449</f>
        <v>0</v>
      </c>
      <c r="S2432">
        <f>Data!M2449</f>
        <v>0</v>
      </c>
      <c r="T2432">
        <f>Data!N2449</f>
        <v>0</v>
      </c>
      <c r="U2432">
        <f>Data!O2449</f>
        <v>0</v>
      </c>
      <c r="V2432" s="33">
        <f>Data!P2447</f>
        <v>0</v>
      </c>
    </row>
    <row r="2433" spans="7:22" x14ac:dyDescent="0.25">
      <c r="G2433">
        <f>Data!A2446</f>
        <v>0</v>
      </c>
      <c r="H2433" s="21">
        <f>Data!B2446</f>
        <v>0</v>
      </c>
      <c r="I2433" s="21">
        <f>Data!C2446</f>
        <v>0</v>
      </c>
      <c r="J2433">
        <f>Data!D2446</f>
        <v>0</v>
      </c>
      <c r="K2433">
        <f>Data!E2446</f>
        <v>0</v>
      </c>
      <c r="L2433">
        <f>Data!F2446</f>
        <v>0</v>
      </c>
      <c r="M2433">
        <f>Data!G2446</f>
        <v>0</v>
      </c>
      <c r="N2433">
        <f>Data!H2446</f>
        <v>0</v>
      </c>
      <c r="O2433">
        <f>Data!I2446</f>
        <v>0</v>
      </c>
      <c r="P2433" s="21">
        <f>Data!J2450</f>
        <v>0</v>
      </c>
      <c r="Q2433">
        <f>Data!K2450</f>
        <v>0</v>
      </c>
      <c r="R2433">
        <f>Data!L2450</f>
        <v>0</v>
      </c>
      <c r="S2433">
        <f>Data!M2450</f>
        <v>0</v>
      </c>
      <c r="T2433">
        <f>Data!N2450</f>
        <v>0</v>
      </c>
      <c r="U2433">
        <f>Data!O2450</f>
        <v>0</v>
      </c>
      <c r="V2433" s="33">
        <f>Data!P2448</f>
        <v>0</v>
      </c>
    </row>
    <row r="2434" spans="7:22" x14ac:dyDescent="0.25">
      <c r="G2434">
        <f>Data!A2447</f>
        <v>0</v>
      </c>
      <c r="H2434" s="21">
        <f>Data!B2447</f>
        <v>0</v>
      </c>
      <c r="I2434" s="21">
        <f>Data!C2447</f>
        <v>0</v>
      </c>
      <c r="J2434">
        <f>Data!D2447</f>
        <v>0</v>
      </c>
      <c r="K2434">
        <f>Data!E2447</f>
        <v>0</v>
      </c>
      <c r="L2434">
        <f>Data!F2447</f>
        <v>0</v>
      </c>
      <c r="M2434">
        <f>Data!G2447</f>
        <v>0</v>
      </c>
      <c r="N2434">
        <f>Data!H2447</f>
        <v>0</v>
      </c>
      <c r="O2434">
        <f>Data!I2447</f>
        <v>0</v>
      </c>
      <c r="P2434" s="21">
        <f>Data!J2451</f>
        <v>0</v>
      </c>
      <c r="Q2434">
        <f>Data!K2451</f>
        <v>0</v>
      </c>
      <c r="R2434">
        <f>Data!L2451</f>
        <v>0</v>
      </c>
      <c r="S2434">
        <f>Data!M2451</f>
        <v>0</v>
      </c>
      <c r="T2434">
        <f>Data!N2451</f>
        <v>0</v>
      </c>
      <c r="U2434">
        <f>Data!O2451</f>
        <v>0</v>
      </c>
      <c r="V2434" s="33">
        <f>Data!P2449</f>
        <v>0</v>
      </c>
    </row>
    <row r="2435" spans="7:22" x14ac:dyDescent="0.25">
      <c r="G2435">
        <f>Data!A2448</f>
        <v>0</v>
      </c>
      <c r="H2435" s="21">
        <f>Data!B2448</f>
        <v>0</v>
      </c>
      <c r="I2435" s="21">
        <f>Data!C2448</f>
        <v>0</v>
      </c>
      <c r="J2435">
        <f>Data!D2448</f>
        <v>0</v>
      </c>
      <c r="K2435">
        <f>Data!E2448</f>
        <v>0</v>
      </c>
      <c r="L2435">
        <f>Data!F2448</f>
        <v>0</v>
      </c>
      <c r="M2435">
        <f>Data!G2448</f>
        <v>0</v>
      </c>
      <c r="N2435">
        <f>Data!H2448</f>
        <v>0</v>
      </c>
      <c r="O2435">
        <f>Data!I2448</f>
        <v>0</v>
      </c>
      <c r="P2435" s="21">
        <f>Data!J2452</f>
        <v>0</v>
      </c>
      <c r="Q2435">
        <f>Data!K2452</f>
        <v>0</v>
      </c>
      <c r="R2435">
        <f>Data!L2452</f>
        <v>0</v>
      </c>
      <c r="S2435">
        <f>Data!M2452</f>
        <v>0</v>
      </c>
      <c r="T2435">
        <f>Data!N2452</f>
        <v>0</v>
      </c>
      <c r="U2435">
        <f>Data!O2452</f>
        <v>0</v>
      </c>
      <c r="V2435" s="33">
        <f>Data!P2450</f>
        <v>0</v>
      </c>
    </row>
    <row r="2436" spans="7:22" x14ac:dyDescent="0.25">
      <c r="G2436">
        <f>Data!A2449</f>
        <v>0</v>
      </c>
      <c r="H2436" s="21">
        <f>Data!B2449</f>
        <v>0</v>
      </c>
      <c r="I2436" s="21">
        <f>Data!C2449</f>
        <v>0</v>
      </c>
      <c r="J2436">
        <f>Data!D2449</f>
        <v>0</v>
      </c>
      <c r="K2436">
        <f>Data!E2449</f>
        <v>0</v>
      </c>
      <c r="L2436">
        <f>Data!F2449</f>
        <v>0</v>
      </c>
      <c r="M2436">
        <f>Data!G2449</f>
        <v>0</v>
      </c>
      <c r="N2436">
        <f>Data!H2449</f>
        <v>0</v>
      </c>
      <c r="O2436">
        <f>Data!I2449</f>
        <v>0</v>
      </c>
      <c r="P2436" s="21">
        <f>Data!J2453</f>
        <v>0</v>
      </c>
      <c r="Q2436">
        <f>Data!K2453</f>
        <v>0</v>
      </c>
      <c r="R2436">
        <f>Data!L2453</f>
        <v>0</v>
      </c>
      <c r="S2436">
        <f>Data!M2453</f>
        <v>0</v>
      </c>
      <c r="T2436">
        <f>Data!N2453</f>
        <v>0</v>
      </c>
      <c r="U2436">
        <f>Data!O2453</f>
        <v>0</v>
      </c>
      <c r="V2436" s="33">
        <f>Data!P2451</f>
        <v>0</v>
      </c>
    </row>
    <row r="2437" spans="7:22" x14ac:dyDescent="0.25">
      <c r="G2437">
        <f>Data!A2450</f>
        <v>0</v>
      </c>
      <c r="H2437" s="21">
        <f>Data!B2450</f>
        <v>0</v>
      </c>
      <c r="I2437" s="21">
        <f>Data!C2450</f>
        <v>0</v>
      </c>
      <c r="J2437">
        <f>Data!D2450</f>
        <v>0</v>
      </c>
      <c r="K2437">
        <f>Data!E2450</f>
        <v>0</v>
      </c>
      <c r="L2437">
        <f>Data!F2450</f>
        <v>0</v>
      </c>
      <c r="M2437">
        <f>Data!G2450</f>
        <v>0</v>
      </c>
      <c r="N2437">
        <f>Data!H2450</f>
        <v>0</v>
      </c>
      <c r="O2437">
        <f>Data!I2450</f>
        <v>0</v>
      </c>
      <c r="P2437" s="21">
        <f>Data!J2454</f>
        <v>0</v>
      </c>
      <c r="Q2437">
        <f>Data!K2454</f>
        <v>0</v>
      </c>
      <c r="R2437">
        <f>Data!L2454</f>
        <v>0</v>
      </c>
      <c r="S2437">
        <f>Data!M2454</f>
        <v>0</v>
      </c>
      <c r="T2437">
        <f>Data!N2454</f>
        <v>0</v>
      </c>
      <c r="U2437">
        <f>Data!O2454</f>
        <v>0</v>
      </c>
      <c r="V2437" s="33">
        <f>Data!P2452</f>
        <v>0</v>
      </c>
    </row>
    <row r="2438" spans="7:22" x14ac:dyDescent="0.25">
      <c r="G2438">
        <f>Data!A2451</f>
        <v>0</v>
      </c>
      <c r="H2438" s="21">
        <f>Data!B2451</f>
        <v>0</v>
      </c>
      <c r="I2438" s="21">
        <f>Data!C2451</f>
        <v>0</v>
      </c>
      <c r="J2438">
        <f>Data!D2451</f>
        <v>0</v>
      </c>
      <c r="K2438">
        <f>Data!E2451</f>
        <v>0</v>
      </c>
      <c r="L2438">
        <f>Data!F2451</f>
        <v>0</v>
      </c>
      <c r="M2438">
        <f>Data!G2451</f>
        <v>0</v>
      </c>
      <c r="N2438">
        <f>Data!H2451</f>
        <v>0</v>
      </c>
      <c r="O2438">
        <f>Data!I2451</f>
        <v>0</v>
      </c>
      <c r="P2438" s="21">
        <f>Data!J2455</f>
        <v>0</v>
      </c>
      <c r="Q2438">
        <f>Data!K2455</f>
        <v>0</v>
      </c>
      <c r="R2438">
        <f>Data!L2455</f>
        <v>0</v>
      </c>
      <c r="S2438">
        <f>Data!M2455</f>
        <v>0</v>
      </c>
      <c r="T2438">
        <f>Data!N2455</f>
        <v>0</v>
      </c>
      <c r="U2438">
        <f>Data!O2455</f>
        <v>0</v>
      </c>
      <c r="V2438" s="33">
        <f>Data!P2453</f>
        <v>0</v>
      </c>
    </row>
    <row r="2439" spans="7:22" x14ac:dyDescent="0.25">
      <c r="G2439">
        <f>Data!A2452</f>
        <v>0</v>
      </c>
      <c r="H2439" s="21">
        <f>Data!B2452</f>
        <v>0</v>
      </c>
      <c r="I2439" s="21">
        <f>Data!C2452</f>
        <v>0</v>
      </c>
      <c r="J2439">
        <f>Data!D2452</f>
        <v>0</v>
      </c>
      <c r="K2439">
        <f>Data!E2452</f>
        <v>0</v>
      </c>
      <c r="L2439">
        <f>Data!F2452</f>
        <v>0</v>
      </c>
      <c r="M2439">
        <f>Data!G2452</f>
        <v>0</v>
      </c>
      <c r="N2439">
        <f>Data!H2452</f>
        <v>0</v>
      </c>
      <c r="O2439">
        <f>Data!I2452</f>
        <v>0</v>
      </c>
      <c r="P2439" s="21">
        <f>Data!J2456</f>
        <v>0</v>
      </c>
      <c r="Q2439">
        <f>Data!K2456</f>
        <v>0</v>
      </c>
      <c r="R2439">
        <f>Data!L2456</f>
        <v>0</v>
      </c>
      <c r="S2439">
        <f>Data!M2456</f>
        <v>0</v>
      </c>
      <c r="T2439">
        <f>Data!N2456</f>
        <v>0</v>
      </c>
      <c r="U2439">
        <f>Data!O2456</f>
        <v>0</v>
      </c>
      <c r="V2439" s="33">
        <f>Data!P2454</f>
        <v>0</v>
      </c>
    </row>
    <row r="2440" spans="7:22" x14ac:dyDescent="0.25">
      <c r="G2440">
        <f>Data!A2453</f>
        <v>0</v>
      </c>
      <c r="H2440" s="21">
        <f>Data!B2453</f>
        <v>0</v>
      </c>
      <c r="I2440" s="21">
        <f>Data!C2453</f>
        <v>0</v>
      </c>
      <c r="J2440">
        <f>Data!D2453</f>
        <v>0</v>
      </c>
      <c r="K2440">
        <f>Data!E2453</f>
        <v>0</v>
      </c>
      <c r="L2440">
        <f>Data!F2453</f>
        <v>0</v>
      </c>
      <c r="M2440">
        <f>Data!G2453</f>
        <v>0</v>
      </c>
      <c r="N2440">
        <f>Data!H2453</f>
        <v>0</v>
      </c>
      <c r="O2440">
        <f>Data!I2453</f>
        <v>0</v>
      </c>
      <c r="P2440" s="21">
        <f>Data!J2457</f>
        <v>0</v>
      </c>
      <c r="Q2440">
        <f>Data!K2457</f>
        <v>0</v>
      </c>
      <c r="R2440">
        <f>Data!L2457</f>
        <v>0</v>
      </c>
      <c r="S2440">
        <f>Data!M2457</f>
        <v>0</v>
      </c>
      <c r="T2440">
        <f>Data!N2457</f>
        <v>0</v>
      </c>
      <c r="U2440">
        <f>Data!O2457</f>
        <v>0</v>
      </c>
      <c r="V2440" s="33">
        <f>Data!P2455</f>
        <v>0</v>
      </c>
    </row>
    <row r="2441" spans="7:22" x14ac:dyDescent="0.25">
      <c r="G2441">
        <f>Data!A2454</f>
        <v>0</v>
      </c>
      <c r="H2441" s="21">
        <f>Data!B2454</f>
        <v>0</v>
      </c>
      <c r="I2441" s="21">
        <f>Data!C2454</f>
        <v>0</v>
      </c>
      <c r="J2441">
        <f>Data!D2454</f>
        <v>0</v>
      </c>
      <c r="K2441">
        <f>Data!E2454</f>
        <v>0</v>
      </c>
      <c r="L2441">
        <f>Data!F2454</f>
        <v>0</v>
      </c>
      <c r="M2441">
        <f>Data!G2454</f>
        <v>0</v>
      </c>
      <c r="N2441">
        <f>Data!H2454</f>
        <v>0</v>
      </c>
      <c r="O2441">
        <f>Data!I2454</f>
        <v>0</v>
      </c>
      <c r="P2441" s="21">
        <f>Data!J2458</f>
        <v>0</v>
      </c>
      <c r="Q2441">
        <f>Data!K2458</f>
        <v>0</v>
      </c>
      <c r="R2441">
        <f>Data!L2458</f>
        <v>0</v>
      </c>
      <c r="S2441">
        <f>Data!M2458</f>
        <v>0</v>
      </c>
      <c r="T2441">
        <f>Data!N2458</f>
        <v>0</v>
      </c>
      <c r="U2441">
        <f>Data!O2458</f>
        <v>0</v>
      </c>
      <c r="V2441" s="33">
        <f>Data!P2456</f>
        <v>0</v>
      </c>
    </row>
    <row r="2442" spans="7:22" x14ac:dyDescent="0.25">
      <c r="G2442">
        <f>Data!A2455</f>
        <v>0</v>
      </c>
      <c r="H2442" s="21">
        <f>Data!B2455</f>
        <v>0</v>
      </c>
      <c r="I2442" s="21">
        <f>Data!C2455</f>
        <v>0</v>
      </c>
      <c r="J2442">
        <f>Data!D2455</f>
        <v>0</v>
      </c>
      <c r="K2442">
        <f>Data!E2455</f>
        <v>0</v>
      </c>
      <c r="L2442">
        <f>Data!F2455</f>
        <v>0</v>
      </c>
      <c r="M2442">
        <f>Data!G2455</f>
        <v>0</v>
      </c>
      <c r="N2442">
        <f>Data!H2455</f>
        <v>0</v>
      </c>
      <c r="O2442">
        <f>Data!I2455</f>
        <v>0</v>
      </c>
      <c r="P2442" s="21">
        <f>Data!J2459</f>
        <v>0</v>
      </c>
      <c r="Q2442">
        <f>Data!K2459</f>
        <v>0</v>
      </c>
      <c r="R2442">
        <f>Data!L2459</f>
        <v>0</v>
      </c>
      <c r="S2442">
        <f>Data!M2459</f>
        <v>0</v>
      </c>
      <c r="T2442">
        <f>Data!N2459</f>
        <v>0</v>
      </c>
      <c r="U2442">
        <f>Data!O2459</f>
        <v>0</v>
      </c>
      <c r="V2442" s="33">
        <f>Data!P2457</f>
        <v>0</v>
      </c>
    </row>
    <row r="2443" spans="7:22" x14ac:dyDescent="0.25">
      <c r="G2443">
        <f>Data!A2456</f>
        <v>0</v>
      </c>
      <c r="H2443" s="21">
        <f>Data!B2456</f>
        <v>0</v>
      </c>
      <c r="I2443" s="21">
        <f>Data!C2456</f>
        <v>0</v>
      </c>
      <c r="J2443">
        <f>Data!D2456</f>
        <v>0</v>
      </c>
      <c r="K2443">
        <f>Data!E2456</f>
        <v>0</v>
      </c>
      <c r="L2443">
        <f>Data!F2456</f>
        <v>0</v>
      </c>
      <c r="M2443">
        <f>Data!G2456</f>
        <v>0</v>
      </c>
      <c r="N2443">
        <f>Data!H2456</f>
        <v>0</v>
      </c>
      <c r="O2443">
        <f>Data!I2456</f>
        <v>0</v>
      </c>
      <c r="P2443" s="21">
        <f>Data!J2460</f>
        <v>0</v>
      </c>
      <c r="Q2443">
        <f>Data!K2460</f>
        <v>0</v>
      </c>
      <c r="R2443">
        <f>Data!L2460</f>
        <v>0</v>
      </c>
      <c r="S2443">
        <f>Data!M2460</f>
        <v>0</v>
      </c>
      <c r="T2443">
        <f>Data!N2460</f>
        <v>0</v>
      </c>
      <c r="U2443">
        <f>Data!O2460</f>
        <v>0</v>
      </c>
      <c r="V2443" s="33">
        <f>Data!P2458</f>
        <v>0</v>
      </c>
    </row>
    <row r="2444" spans="7:22" x14ac:dyDescent="0.25">
      <c r="G2444">
        <f>Data!A2457</f>
        <v>0</v>
      </c>
      <c r="H2444" s="21">
        <f>Data!B2457</f>
        <v>0</v>
      </c>
      <c r="I2444" s="21">
        <f>Data!C2457</f>
        <v>0</v>
      </c>
      <c r="J2444">
        <f>Data!D2457</f>
        <v>0</v>
      </c>
      <c r="K2444">
        <f>Data!E2457</f>
        <v>0</v>
      </c>
      <c r="L2444">
        <f>Data!F2457</f>
        <v>0</v>
      </c>
      <c r="M2444">
        <f>Data!G2457</f>
        <v>0</v>
      </c>
      <c r="N2444">
        <f>Data!H2457</f>
        <v>0</v>
      </c>
      <c r="O2444">
        <f>Data!I2457</f>
        <v>0</v>
      </c>
      <c r="P2444" s="21">
        <f>Data!J2461</f>
        <v>0</v>
      </c>
      <c r="Q2444">
        <f>Data!K2461</f>
        <v>0</v>
      </c>
      <c r="R2444">
        <f>Data!L2461</f>
        <v>0</v>
      </c>
      <c r="S2444">
        <f>Data!M2461</f>
        <v>0</v>
      </c>
      <c r="T2444">
        <f>Data!N2461</f>
        <v>0</v>
      </c>
      <c r="U2444">
        <f>Data!O2461</f>
        <v>0</v>
      </c>
      <c r="V2444" s="33">
        <f>Data!P2459</f>
        <v>0</v>
      </c>
    </row>
    <row r="2445" spans="7:22" x14ac:dyDescent="0.25">
      <c r="G2445">
        <f>Data!A2458</f>
        <v>0</v>
      </c>
      <c r="H2445" s="21">
        <f>Data!B2458</f>
        <v>0</v>
      </c>
      <c r="I2445" s="21">
        <f>Data!C2458</f>
        <v>0</v>
      </c>
      <c r="J2445">
        <f>Data!D2458</f>
        <v>0</v>
      </c>
      <c r="K2445">
        <f>Data!E2458</f>
        <v>0</v>
      </c>
      <c r="L2445">
        <f>Data!F2458</f>
        <v>0</v>
      </c>
      <c r="M2445">
        <f>Data!G2458</f>
        <v>0</v>
      </c>
      <c r="N2445">
        <f>Data!H2458</f>
        <v>0</v>
      </c>
      <c r="O2445">
        <f>Data!I2458</f>
        <v>0</v>
      </c>
      <c r="P2445" s="21">
        <f>Data!J2462</f>
        <v>0</v>
      </c>
      <c r="Q2445">
        <f>Data!K2462</f>
        <v>0</v>
      </c>
      <c r="R2445">
        <f>Data!L2462</f>
        <v>0</v>
      </c>
      <c r="S2445">
        <f>Data!M2462</f>
        <v>0</v>
      </c>
      <c r="T2445">
        <f>Data!N2462</f>
        <v>0</v>
      </c>
      <c r="U2445">
        <f>Data!O2462</f>
        <v>0</v>
      </c>
      <c r="V2445" s="33">
        <f>Data!P2460</f>
        <v>0</v>
      </c>
    </row>
    <row r="2446" spans="7:22" x14ac:dyDescent="0.25">
      <c r="G2446">
        <f>Data!A2459</f>
        <v>0</v>
      </c>
      <c r="H2446" s="21">
        <f>Data!B2459</f>
        <v>0</v>
      </c>
      <c r="I2446" s="21">
        <f>Data!C2459</f>
        <v>0</v>
      </c>
      <c r="J2446">
        <f>Data!D2459</f>
        <v>0</v>
      </c>
      <c r="K2446">
        <f>Data!E2459</f>
        <v>0</v>
      </c>
      <c r="L2446">
        <f>Data!F2459</f>
        <v>0</v>
      </c>
      <c r="M2446">
        <f>Data!G2459</f>
        <v>0</v>
      </c>
      <c r="N2446">
        <f>Data!H2459</f>
        <v>0</v>
      </c>
      <c r="O2446">
        <f>Data!I2459</f>
        <v>0</v>
      </c>
      <c r="P2446" s="21">
        <f>Data!J2463</f>
        <v>0</v>
      </c>
      <c r="Q2446">
        <f>Data!K2463</f>
        <v>0</v>
      </c>
      <c r="R2446">
        <f>Data!L2463</f>
        <v>0</v>
      </c>
      <c r="S2446">
        <f>Data!M2463</f>
        <v>0</v>
      </c>
      <c r="T2446">
        <f>Data!N2463</f>
        <v>0</v>
      </c>
      <c r="U2446">
        <f>Data!O2463</f>
        <v>0</v>
      </c>
      <c r="V2446" s="33">
        <f>Data!P2461</f>
        <v>0</v>
      </c>
    </row>
    <row r="2447" spans="7:22" x14ac:dyDescent="0.25">
      <c r="G2447">
        <f>Data!A2460</f>
        <v>0</v>
      </c>
      <c r="H2447" s="21">
        <f>Data!B2460</f>
        <v>0</v>
      </c>
      <c r="I2447" s="21">
        <f>Data!C2460</f>
        <v>0</v>
      </c>
      <c r="J2447">
        <f>Data!D2460</f>
        <v>0</v>
      </c>
      <c r="K2447">
        <f>Data!E2460</f>
        <v>0</v>
      </c>
      <c r="L2447">
        <f>Data!F2460</f>
        <v>0</v>
      </c>
      <c r="M2447">
        <f>Data!G2460</f>
        <v>0</v>
      </c>
      <c r="N2447">
        <f>Data!H2460</f>
        <v>0</v>
      </c>
      <c r="O2447">
        <f>Data!I2460</f>
        <v>0</v>
      </c>
      <c r="P2447" s="21">
        <f>Data!J2464</f>
        <v>0</v>
      </c>
      <c r="Q2447">
        <f>Data!K2464</f>
        <v>0</v>
      </c>
      <c r="R2447">
        <f>Data!L2464</f>
        <v>0</v>
      </c>
      <c r="S2447">
        <f>Data!M2464</f>
        <v>0</v>
      </c>
      <c r="T2447">
        <f>Data!N2464</f>
        <v>0</v>
      </c>
      <c r="U2447">
        <f>Data!O2464</f>
        <v>0</v>
      </c>
      <c r="V2447" s="33">
        <f>Data!P2462</f>
        <v>0</v>
      </c>
    </row>
    <row r="2448" spans="7:22" x14ac:dyDescent="0.25">
      <c r="G2448">
        <f>Data!A2461</f>
        <v>0</v>
      </c>
      <c r="H2448" s="21">
        <f>Data!B2461</f>
        <v>0</v>
      </c>
      <c r="I2448" s="21">
        <f>Data!C2461</f>
        <v>0</v>
      </c>
      <c r="J2448">
        <f>Data!D2461</f>
        <v>0</v>
      </c>
      <c r="K2448">
        <f>Data!E2461</f>
        <v>0</v>
      </c>
      <c r="L2448">
        <f>Data!F2461</f>
        <v>0</v>
      </c>
      <c r="M2448">
        <f>Data!G2461</f>
        <v>0</v>
      </c>
      <c r="N2448">
        <f>Data!H2461</f>
        <v>0</v>
      </c>
      <c r="O2448">
        <f>Data!I2461</f>
        <v>0</v>
      </c>
      <c r="P2448" s="21">
        <f>Data!J2465</f>
        <v>0</v>
      </c>
      <c r="Q2448">
        <f>Data!K2465</f>
        <v>0</v>
      </c>
      <c r="R2448">
        <f>Data!L2465</f>
        <v>0</v>
      </c>
      <c r="S2448">
        <f>Data!M2465</f>
        <v>0</v>
      </c>
      <c r="T2448">
        <f>Data!N2465</f>
        <v>0</v>
      </c>
      <c r="U2448">
        <f>Data!O2465</f>
        <v>0</v>
      </c>
      <c r="V2448" s="33">
        <f>Data!P2463</f>
        <v>0</v>
      </c>
    </row>
    <row r="2449" spans="7:22" x14ac:dyDescent="0.25">
      <c r="G2449">
        <f>Data!A2462</f>
        <v>0</v>
      </c>
      <c r="H2449" s="21">
        <f>Data!B2462</f>
        <v>0</v>
      </c>
      <c r="I2449" s="21">
        <f>Data!C2462</f>
        <v>0</v>
      </c>
      <c r="J2449">
        <f>Data!D2462</f>
        <v>0</v>
      </c>
      <c r="K2449">
        <f>Data!E2462</f>
        <v>0</v>
      </c>
      <c r="L2449">
        <f>Data!F2462</f>
        <v>0</v>
      </c>
      <c r="M2449">
        <f>Data!G2462</f>
        <v>0</v>
      </c>
      <c r="N2449">
        <f>Data!H2462</f>
        <v>0</v>
      </c>
      <c r="O2449">
        <f>Data!I2462</f>
        <v>0</v>
      </c>
      <c r="P2449" s="21">
        <f>Data!J2466</f>
        <v>0</v>
      </c>
      <c r="Q2449">
        <f>Data!K2466</f>
        <v>0</v>
      </c>
      <c r="R2449">
        <f>Data!L2466</f>
        <v>0</v>
      </c>
      <c r="S2449">
        <f>Data!M2466</f>
        <v>0</v>
      </c>
      <c r="T2449">
        <f>Data!N2466</f>
        <v>0</v>
      </c>
      <c r="U2449">
        <f>Data!O2466</f>
        <v>0</v>
      </c>
      <c r="V2449" s="33">
        <f>Data!P2464</f>
        <v>0</v>
      </c>
    </row>
    <row r="2450" spans="7:22" x14ac:dyDescent="0.25">
      <c r="G2450">
        <f>Data!A2463</f>
        <v>0</v>
      </c>
      <c r="H2450" s="21">
        <f>Data!B2463</f>
        <v>0</v>
      </c>
      <c r="I2450" s="21">
        <f>Data!C2463</f>
        <v>0</v>
      </c>
      <c r="J2450">
        <f>Data!D2463</f>
        <v>0</v>
      </c>
      <c r="K2450">
        <f>Data!E2463</f>
        <v>0</v>
      </c>
      <c r="L2450">
        <f>Data!F2463</f>
        <v>0</v>
      </c>
      <c r="M2450">
        <f>Data!G2463</f>
        <v>0</v>
      </c>
      <c r="N2450">
        <f>Data!H2463</f>
        <v>0</v>
      </c>
      <c r="O2450">
        <f>Data!I2463</f>
        <v>0</v>
      </c>
      <c r="P2450" s="21">
        <f>Data!J2467</f>
        <v>0</v>
      </c>
      <c r="Q2450">
        <f>Data!K2467</f>
        <v>0</v>
      </c>
      <c r="R2450">
        <f>Data!L2467</f>
        <v>0</v>
      </c>
      <c r="S2450">
        <f>Data!M2467</f>
        <v>0</v>
      </c>
      <c r="T2450">
        <f>Data!N2467</f>
        <v>0</v>
      </c>
      <c r="U2450">
        <f>Data!O2467</f>
        <v>0</v>
      </c>
      <c r="V2450" s="33">
        <f>Data!P2465</f>
        <v>0</v>
      </c>
    </row>
    <row r="2451" spans="7:22" x14ac:dyDescent="0.25">
      <c r="G2451">
        <f>Data!A2464</f>
        <v>0</v>
      </c>
      <c r="H2451" s="21">
        <f>Data!B2464</f>
        <v>0</v>
      </c>
      <c r="I2451" s="21">
        <f>Data!C2464</f>
        <v>0</v>
      </c>
      <c r="J2451">
        <f>Data!D2464</f>
        <v>0</v>
      </c>
      <c r="K2451">
        <f>Data!E2464</f>
        <v>0</v>
      </c>
      <c r="L2451">
        <f>Data!F2464</f>
        <v>0</v>
      </c>
      <c r="M2451">
        <f>Data!G2464</f>
        <v>0</v>
      </c>
      <c r="N2451">
        <f>Data!H2464</f>
        <v>0</v>
      </c>
      <c r="O2451">
        <f>Data!I2464</f>
        <v>0</v>
      </c>
      <c r="P2451" s="21">
        <f>Data!J2468</f>
        <v>0</v>
      </c>
      <c r="Q2451">
        <f>Data!K2468</f>
        <v>0</v>
      </c>
      <c r="R2451">
        <f>Data!L2468</f>
        <v>0</v>
      </c>
      <c r="S2451">
        <f>Data!M2468</f>
        <v>0</v>
      </c>
      <c r="T2451">
        <f>Data!N2468</f>
        <v>0</v>
      </c>
      <c r="U2451">
        <f>Data!O2468</f>
        <v>0</v>
      </c>
      <c r="V2451" s="33">
        <f>Data!P2466</f>
        <v>0</v>
      </c>
    </row>
    <row r="2452" spans="7:22" x14ac:dyDescent="0.25">
      <c r="G2452">
        <f>Data!A2465</f>
        <v>0</v>
      </c>
      <c r="H2452" s="21">
        <f>Data!B2465</f>
        <v>0</v>
      </c>
      <c r="I2452" s="21">
        <f>Data!C2465</f>
        <v>0</v>
      </c>
      <c r="J2452">
        <f>Data!D2465</f>
        <v>0</v>
      </c>
      <c r="K2452">
        <f>Data!E2465</f>
        <v>0</v>
      </c>
      <c r="L2452">
        <f>Data!F2465</f>
        <v>0</v>
      </c>
      <c r="M2452">
        <f>Data!G2465</f>
        <v>0</v>
      </c>
      <c r="N2452">
        <f>Data!H2465</f>
        <v>0</v>
      </c>
      <c r="O2452">
        <f>Data!I2465</f>
        <v>0</v>
      </c>
      <c r="P2452" s="21">
        <f>Data!J2469</f>
        <v>0</v>
      </c>
      <c r="Q2452">
        <f>Data!K2469</f>
        <v>0</v>
      </c>
      <c r="R2452">
        <f>Data!L2469</f>
        <v>0</v>
      </c>
      <c r="S2452">
        <f>Data!M2469</f>
        <v>0</v>
      </c>
      <c r="T2452">
        <f>Data!N2469</f>
        <v>0</v>
      </c>
      <c r="U2452">
        <f>Data!O2469</f>
        <v>0</v>
      </c>
      <c r="V2452" s="33">
        <f>Data!P2467</f>
        <v>0</v>
      </c>
    </row>
    <row r="2453" spans="7:22" x14ac:dyDescent="0.25">
      <c r="G2453">
        <f>Data!A2466</f>
        <v>0</v>
      </c>
      <c r="H2453" s="21">
        <f>Data!B2466</f>
        <v>0</v>
      </c>
      <c r="I2453" s="21">
        <f>Data!C2466</f>
        <v>0</v>
      </c>
      <c r="J2453">
        <f>Data!D2466</f>
        <v>0</v>
      </c>
      <c r="K2453">
        <f>Data!E2466</f>
        <v>0</v>
      </c>
      <c r="L2453">
        <f>Data!F2466</f>
        <v>0</v>
      </c>
      <c r="M2453">
        <f>Data!G2466</f>
        <v>0</v>
      </c>
      <c r="N2453">
        <f>Data!H2466</f>
        <v>0</v>
      </c>
      <c r="O2453">
        <f>Data!I2466</f>
        <v>0</v>
      </c>
      <c r="P2453" s="21">
        <f>Data!J2470</f>
        <v>0</v>
      </c>
      <c r="Q2453">
        <f>Data!K2470</f>
        <v>0</v>
      </c>
      <c r="R2453">
        <f>Data!L2470</f>
        <v>0</v>
      </c>
      <c r="S2453">
        <f>Data!M2470</f>
        <v>0</v>
      </c>
      <c r="T2453">
        <f>Data!N2470</f>
        <v>0</v>
      </c>
      <c r="U2453">
        <f>Data!O2470</f>
        <v>0</v>
      </c>
      <c r="V2453" s="33">
        <f>Data!P2468</f>
        <v>0</v>
      </c>
    </row>
    <row r="2454" spans="7:22" x14ac:dyDescent="0.25">
      <c r="G2454">
        <f>Data!A2467</f>
        <v>0</v>
      </c>
      <c r="H2454" s="21">
        <f>Data!B2467</f>
        <v>0</v>
      </c>
      <c r="I2454" s="21">
        <f>Data!C2467</f>
        <v>0</v>
      </c>
      <c r="J2454">
        <f>Data!D2467</f>
        <v>0</v>
      </c>
      <c r="K2454">
        <f>Data!E2467</f>
        <v>0</v>
      </c>
      <c r="L2454">
        <f>Data!F2467</f>
        <v>0</v>
      </c>
      <c r="M2454">
        <f>Data!G2467</f>
        <v>0</v>
      </c>
      <c r="N2454">
        <f>Data!H2467</f>
        <v>0</v>
      </c>
      <c r="O2454">
        <f>Data!I2467</f>
        <v>0</v>
      </c>
      <c r="P2454" s="21">
        <f>Data!J2471</f>
        <v>0</v>
      </c>
      <c r="Q2454">
        <f>Data!K2471</f>
        <v>0</v>
      </c>
      <c r="R2454">
        <f>Data!L2471</f>
        <v>0</v>
      </c>
      <c r="S2454">
        <f>Data!M2471</f>
        <v>0</v>
      </c>
      <c r="T2454">
        <f>Data!N2471</f>
        <v>0</v>
      </c>
      <c r="U2454">
        <f>Data!O2471</f>
        <v>0</v>
      </c>
      <c r="V2454" s="33">
        <f>Data!P2469</f>
        <v>0</v>
      </c>
    </row>
    <row r="2455" spans="7:22" x14ac:dyDescent="0.25">
      <c r="G2455">
        <f>Data!A2468</f>
        <v>0</v>
      </c>
      <c r="H2455" s="21">
        <f>Data!B2468</f>
        <v>0</v>
      </c>
      <c r="I2455" s="21">
        <f>Data!C2468</f>
        <v>0</v>
      </c>
      <c r="J2455">
        <f>Data!D2468</f>
        <v>0</v>
      </c>
      <c r="K2455">
        <f>Data!E2468</f>
        <v>0</v>
      </c>
      <c r="L2455">
        <f>Data!F2468</f>
        <v>0</v>
      </c>
      <c r="M2455">
        <f>Data!G2468</f>
        <v>0</v>
      </c>
      <c r="N2455">
        <f>Data!H2468</f>
        <v>0</v>
      </c>
      <c r="O2455">
        <f>Data!I2468</f>
        <v>0</v>
      </c>
      <c r="P2455" s="21">
        <f>Data!J2472</f>
        <v>0</v>
      </c>
      <c r="Q2455">
        <f>Data!K2472</f>
        <v>0</v>
      </c>
      <c r="R2455">
        <f>Data!L2472</f>
        <v>0</v>
      </c>
      <c r="S2455">
        <f>Data!M2472</f>
        <v>0</v>
      </c>
      <c r="T2455">
        <f>Data!N2472</f>
        <v>0</v>
      </c>
      <c r="U2455">
        <f>Data!O2472</f>
        <v>0</v>
      </c>
      <c r="V2455" s="33">
        <f>Data!P2470</f>
        <v>0</v>
      </c>
    </row>
    <row r="2456" spans="7:22" x14ac:dyDescent="0.25">
      <c r="G2456">
        <f>Data!A2469</f>
        <v>0</v>
      </c>
      <c r="H2456" s="21">
        <f>Data!B2469</f>
        <v>0</v>
      </c>
      <c r="I2456" s="21">
        <f>Data!C2469</f>
        <v>0</v>
      </c>
      <c r="J2456">
        <f>Data!D2469</f>
        <v>0</v>
      </c>
      <c r="K2456">
        <f>Data!E2469</f>
        <v>0</v>
      </c>
      <c r="L2456">
        <f>Data!F2469</f>
        <v>0</v>
      </c>
      <c r="M2456">
        <f>Data!G2469</f>
        <v>0</v>
      </c>
      <c r="N2456">
        <f>Data!H2469</f>
        <v>0</v>
      </c>
      <c r="O2456">
        <f>Data!I2469</f>
        <v>0</v>
      </c>
      <c r="P2456" s="21">
        <f>Data!J2473</f>
        <v>0</v>
      </c>
      <c r="Q2456">
        <f>Data!K2473</f>
        <v>0</v>
      </c>
      <c r="R2456">
        <f>Data!L2473</f>
        <v>0</v>
      </c>
      <c r="S2456">
        <f>Data!M2473</f>
        <v>0</v>
      </c>
      <c r="T2456">
        <f>Data!N2473</f>
        <v>0</v>
      </c>
      <c r="U2456">
        <f>Data!O2473</f>
        <v>0</v>
      </c>
      <c r="V2456" s="33">
        <f>Data!P2471</f>
        <v>0</v>
      </c>
    </row>
    <row r="2457" spans="7:22" x14ac:dyDescent="0.25">
      <c r="G2457">
        <f>Data!A2470</f>
        <v>0</v>
      </c>
      <c r="H2457" s="21">
        <f>Data!B2470</f>
        <v>0</v>
      </c>
      <c r="I2457" s="21">
        <f>Data!C2470</f>
        <v>0</v>
      </c>
      <c r="J2457">
        <f>Data!D2470</f>
        <v>0</v>
      </c>
      <c r="K2457">
        <f>Data!E2470</f>
        <v>0</v>
      </c>
      <c r="L2457">
        <f>Data!F2470</f>
        <v>0</v>
      </c>
      <c r="M2457">
        <f>Data!G2470</f>
        <v>0</v>
      </c>
      <c r="N2457">
        <f>Data!H2470</f>
        <v>0</v>
      </c>
      <c r="O2457">
        <f>Data!I2470</f>
        <v>0</v>
      </c>
      <c r="P2457" s="21">
        <f>Data!J2474</f>
        <v>0</v>
      </c>
      <c r="Q2457">
        <f>Data!K2474</f>
        <v>0</v>
      </c>
      <c r="R2457">
        <f>Data!L2474</f>
        <v>0</v>
      </c>
      <c r="S2457">
        <f>Data!M2474</f>
        <v>0</v>
      </c>
      <c r="T2457">
        <f>Data!N2474</f>
        <v>0</v>
      </c>
      <c r="U2457">
        <f>Data!O2474</f>
        <v>0</v>
      </c>
      <c r="V2457" s="33">
        <f>Data!P2472</f>
        <v>0</v>
      </c>
    </row>
    <row r="2458" spans="7:22" x14ac:dyDescent="0.25">
      <c r="G2458">
        <f>Data!A2471</f>
        <v>0</v>
      </c>
      <c r="H2458" s="21">
        <f>Data!B2471</f>
        <v>0</v>
      </c>
      <c r="I2458" s="21">
        <f>Data!C2471</f>
        <v>0</v>
      </c>
      <c r="J2458">
        <f>Data!D2471</f>
        <v>0</v>
      </c>
      <c r="K2458">
        <f>Data!E2471</f>
        <v>0</v>
      </c>
      <c r="L2458">
        <f>Data!F2471</f>
        <v>0</v>
      </c>
      <c r="M2458">
        <f>Data!G2471</f>
        <v>0</v>
      </c>
      <c r="N2458">
        <f>Data!H2471</f>
        <v>0</v>
      </c>
      <c r="O2458">
        <f>Data!I2471</f>
        <v>0</v>
      </c>
      <c r="P2458" s="21">
        <f>Data!J2475</f>
        <v>0</v>
      </c>
      <c r="Q2458">
        <f>Data!K2475</f>
        <v>0</v>
      </c>
      <c r="R2458">
        <f>Data!L2475</f>
        <v>0</v>
      </c>
      <c r="S2458">
        <f>Data!M2475</f>
        <v>0</v>
      </c>
      <c r="T2458">
        <f>Data!N2475</f>
        <v>0</v>
      </c>
      <c r="U2458">
        <f>Data!O2475</f>
        <v>0</v>
      </c>
      <c r="V2458" s="33">
        <f>Data!P2473</f>
        <v>0</v>
      </c>
    </row>
    <row r="2459" spans="7:22" x14ac:dyDescent="0.25">
      <c r="G2459">
        <f>Data!A2472</f>
        <v>0</v>
      </c>
      <c r="H2459" s="21">
        <f>Data!B2472</f>
        <v>0</v>
      </c>
      <c r="I2459" s="21">
        <f>Data!C2472</f>
        <v>0</v>
      </c>
      <c r="J2459">
        <f>Data!D2472</f>
        <v>0</v>
      </c>
      <c r="K2459">
        <f>Data!E2472</f>
        <v>0</v>
      </c>
      <c r="L2459">
        <f>Data!F2472</f>
        <v>0</v>
      </c>
      <c r="M2459">
        <f>Data!G2472</f>
        <v>0</v>
      </c>
      <c r="N2459">
        <f>Data!H2472</f>
        <v>0</v>
      </c>
      <c r="O2459">
        <f>Data!I2472</f>
        <v>0</v>
      </c>
      <c r="P2459" s="21">
        <f>Data!J2476</f>
        <v>0</v>
      </c>
      <c r="Q2459">
        <f>Data!K2476</f>
        <v>0</v>
      </c>
      <c r="R2459">
        <f>Data!L2476</f>
        <v>0</v>
      </c>
      <c r="S2459">
        <f>Data!M2476</f>
        <v>0</v>
      </c>
      <c r="T2459">
        <f>Data!N2476</f>
        <v>0</v>
      </c>
      <c r="U2459">
        <f>Data!O2476</f>
        <v>0</v>
      </c>
      <c r="V2459" s="33">
        <f>Data!P2474</f>
        <v>0</v>
      </c>
    </row>
    <row r="2460" spans="7:22" x14ac:dyDescent="0.25">
      <c r="G2460">
        <f>Data!A2473</f>
        <v>0</v>
      </c>
      <c r="H2460" s="21">
        <f>Data!B2473</f>
        <v>0</v>
      </c>
      <c r="I2460" s="21">
        <f>Data!C2473</f>
        <v>0</v>
      </c>
      <c r="J2460">
        <f>Data!D2473</f>
        <v>0</v>
      </c>
      <c r="K2460">
        <f>Data!E2473</f>
        <v>0</v>
      </c>
      <c r="L2460">
        <f>Data!F2473</f>
        <v>0</v>
      </c>
      <c r="M2460">
        <f>Data!G2473</f>
        <v>0</v>
      </c>
      <c r="N2460">
        <f>Data!H2473</f>
        <v>0</v>
      </c>
      <c r="O2460">
        <f>Data!I2473</f>
        <v>0</v>
      </c>
      <c r="P2460" s="21">
        <f>Data!J2477</f>
        <v>0</v>
      </c>
      <c r="Q2460">
        <f>Data!K2477</f>
        <v>0</v>
      </c>
      <c r="R2460">
        <f>Data!L2477</f>
        <v>0</v>
      </c>
      <c r="S2460">
        <f>Data!M2477</f>
        <v>0</v>
      </c>
      <c r="T2460">
        <f>Data!N2477</f>
        <v>0</v>
      </c>
      <c r="U2460">
        <f>Data!O2477</f>
        <v>0</v>
      </c>
      <c r="V2460" s="33">
        <f>Data!P2475</f>
        <v>0</v>
      </c>
    </row>
    <row r="2461" spans="7:22" x14ac:dyDescent="0.25">
      <c r="G2461">
        <f>Data!A2474</f>
        <v>0</v>
      </c>
      <c r="H2461" s="21">
        <f>Data!B2474</f>
        <v>0</v>
      </c>
      <c r="I2461" s="21">
        <f>Data!C2474</f>
        <v>0</v>
      </c>
      <c r="J2461">
        <f>Data!D2474</f>
        <v>0</v>
      </c>
      <c r="K2461">
        <f>Data!E2474</f>
        <v>0</v>
      </c>
      <c r="L2461">
        <f>Data!F2474</f>
        <v>0</v>
      </c>
      <c r="M2461">
        <f>Data!G2474</f>
        <v>0</v>
      </c>
      <c r="N2461">
        <f>Data!H2474</f>
        <v>0</v>
      </c>
      <c r="O2461">
        <f>Data!I2474</f>
        <v>0</v>
      </c>
      <c r="P2461" s="21">
        <f>Data!J2478</f>
        <v>0</v>
      </c>
      <c r="Q2461">
        <f>Data!K2478</f>
        <v>0</v>
      </c>
      <c r="R2461">
        <f>Data!L2478</f>
        <v>0</v>
      </c>
      <c r="S2461">
        <f>Data!M2478</f>
        <v>0</v>
      </c>
      <c r="T2461">
        <f>Data!N2478</f>
        <v>0</v>
      </c>
      <c r="U2461">
        <f>Data!O2478</f>
        <v>0</v>
      </c>
      <c r="V2461" s="33">
        <f>Data!P2476</f>
        <v>0</v>
      </c>
    </row>
    <row r="2462" spans="7:22" x14ac:dyDescent="0.25">
      <c r="G2462">
        <f>Data!A2475</f>
        <v>0</v>
      </c>
      <c r="H2462" s="21">
        <f>Data!B2475</f>
        <v>0</v>
      </c>
      <c r="I2462" s="21">
        <f>Data!C2475</f>
        <v>0</v>
      </c>
      <c r="J2462">
        <f>Data!D2475</f>
        <v>0</v>
      </c>
      <c r="K2462">
        <f>Data!E2475</f>
        <v>0</v>
      </c>
      <c r="L2462">
        <f>Data!F2475</f>
        <v>0</v>
      </c>
      <c r="M2462">
        <f>Data!G2475</f>
        <v>0</v>
      </c>
      <c r="N2462">
        <f>Data!H2475</f>
        <v>0</v>
      </c>
      <c r="O2462">
        <f>Data!I2475</f>
        <v>0</v>
      </c>
      <c r="P2462" s="21">
        <f>Data!J2479</f>
        <v>0</v>
      </c>
      <c r="Q2462">
        <f>Data!K2479</f>
        <v>0</v>
      </c>
      <c r="R2462">
        <f>Data!L2479</f>
        <v>0</v>
      </c>
      <c r="S2462">
        <f>Data!M2479</f>
        <v>0</v>
      </c>
      <c r="T2462">
        <f>Data!N2479</f>
        <v>0</v>
      </c>
      <c r="U2462">
        <f>Data!O2479</f>
        <v>0</v>
      </c>
      <c r="V2462" s="33">
        <f>Data!P2477</f>
        <v>0</v>
      </c>
    </row>
    <row r="2463" spans="7:22" x14ac:dyDescent="0.25">
      <c r="G2463">
        <f>Data!A2476</f>
        <v>0</v>
      </c>
      <c r="H2463" s="21">
        <f>Data!B2476</f>
        <v>0</v>
      </c>
      <c r="I2463" s="21">
        <f>Data!C2476</f>
        <v>0</v>
      </c>
      <c r="J2463">
        <f>Data!D2476</f>
        <v>0</v>
      </c>
      <c r="K2463">
        <f>Data!E2476</f>
        <v>0</v>
      </c>
      <c r="L2463">
        <f>Data!F2476</f>
        <v>0</v>
      </c>
      <c r="M2463">
        <f>Data!G2476</f>
        <v>0</v>
      </c>
      <c r="N2463">
        <f>Data!H2476</f>
        <v>0</v>
      </c>
      <c r="O2463">
        <f>Data!I2476</f>
        <v>0</v>
      </c>
      <c r="P2463" s="21">
        <f>Data!J2480</f>
        <v>0</v>
      </c>
      <c r="Q2463">
        <f>Data!K2480</f>
        <v>0</v>
      </c>
      <c r="R2463">
        <f>Data!L2480</f>
        <v>0</v>
      </c>
      <c r="S2463">
        <f>Data!M2480</f>
        <v>0</v>
      </c>
      <c r="T2463">
        <f>Data!N2480</f>
        <v>0</v>
      </c>
      <c r="U2463">
        <f>Data!O2480</f>
        <v>0</v>
      </c>
      <c r="V2463" s="33">
        <f>Data!P2478</f>
        <v>0</v>
      </c>
    </row>
    <row r="2464" spans="7:22" x14ac:dyDescent="0.25">
      <c r="G2464">
        <f>Data!A2477</f>
        <v>0</v>
      </c>
      <c r="H2464" s="21">
        <f>Data!B2477</f>
        <v>0</v>
      </c>
      <c r="I2464" s="21">
        <f>Data!C2477</f>
        <v>0</v>
      </c>
      <c r="J2464">
        <f>Data!D2477</f>
        <v>0</v>
      </c>
      <c r="K2464">
        <f>Data!E2477</f>
        <v>0</v>
      </c>
      <c r="L2464">
        <f>Data!F2477</f>
        <v>0</v>
      </c>
      <c r="M2464">
        <f>Data!G2477</f>
        <v>0</v>
      </c>
      <c r="N2464">
        <f>Data!H2477</f>
        <v>0</v>
      </c>
      <c r="O2464">
        <f>Data!I2477</f>
        <v>0</v>
      </c>
      <c r="P2464" s="21">
        <f>Data!J2481</f>
        <v>0</v>
      </c>
      <c r="Q2464">
        <f>Data!K2481</f>
        <v>0</v>
      </c>
      <c r="R2464">
        <f>Data!L2481</f>
        <v>0</v>
      </c>
      <c r="S2464">
        <f>Data!M2481</f>
        <v>0</v>
      </c>
      <c r="T2464">
        <f>Data!N2481</f>
        <v>0</v>
      </c>
      <c r="U2464">
        <f>Data!O2481</f>
        <v>0</v>
      </c>
      <c r="V2464" s="33">
        <f>Data!P2479</f>
        <v>0</v>
      </c>
    </row>
    <row r="2465" spans="7:22" x14ac:dyDescent="0.25">
      <c r="G2465">
        <f>Data!A2478</f>
        <v>0</v>
      </c>
      <c r="H2465" s="21">
        <f>Data!B2478</f>
        <v>0</v>
      </c>
      <c r="I2465" s="21">
        <f>Data!C2478</f>
        <v>0</v>
      </c>
      <c r="J2465">
        <f>Data!D2478</f>
        <v>0</v>
      </c>
      <c r="K2465">
        <f>Data!E2478</f>
        <v>0</v>
      </c>
      <c r="L2465">
        <f>Data!F2478</f>
        <v>0</v>
      </c>
      <c r="M2465">
        <f>Data!G2478</f>
        <v>0</v>
      </c>
      <c r="N2465">
        <f>Data!H2478</f>
        <v>0</v>
      </c>
      <c r="O2465">
        <f>Data!I2478</f>
        <v>0</v>
      </c>
      <c r="P2465" s="21">
        <f>Data!J2482</f>
        <v>0</v>
      </c>
      <c r="Q2465">
        <f>Data!K2482</f>
        <v>0</v>
      </c>
      <c r="R2465">
        <f>Data!L2482</f>
        <v>0</v>
      </c>
      <c r="S2465">
        <f>Data!M2482</f>
        <v>0</v>
      </c>
      <c r="T2465">
        <f>Data!N2482</f>
        <v>0</v>
      </c>
      <c r="U2465">
        <f>Data!O2482</f>
        <v>0</v>
      </c>
      <c r="V2465" s="33">
        <f>Data!P2480</f>
        <v>0</v>
      </c>
    </row>
    <row r="2466" spans="7:22" x14ac:dyDescent="0.25">
      <c r="G2466">
        <f>Data!A2479</f>
        <v>0</v>
      </c>
      <c r="H2466" s="21">
        <f>Data!B2479</f>
        <v>0</v>
      </c>
      <c r="I2466" s="21">
        <f>Data!C2479</f>
        <v>0</v>
      </c>
      <c r="J2466">
        <f>Data!D2479</f>
        <v>0</v>
      </c>
      <c r="K2466">
        <f>Data!E2479</f>
        <v>0</v>
      </c>
      <c r="L2466">
        <f>Data!F2479</f>
        <v>0</v>
      </c>
      <c r="M2466">
        <f>Data!G2479</f>
        <v>0</v>
      </c>
      <c r="N2466">
        <f>Data!H2479</f>
        <v>0</v>
      </c>
      <c r="O2466">
        <f>Data!I2479</f>
        <v>0</v>
      </c>
      <c r="P2466" s="21">
        <f>Data!J2483</f>
        <v>0</v>
      </c>
      <c r="Q2466">
        <f>Data!K2483</f>
        <v>0</v>
      </c>
      <c r="R2466">
        <f>Data!L2483</f>
        <v>0</v>
      </c>
      <c r="S2466">
        <f>Data!M2483</f>
        <v>0</v>
      </c>
      <c r="T2466">
        <f>Data!N2483</f>
        <v>0</v>
      </c>
      <c r="U2466">
        <f>Data!O2483</f>
        <v>0</v>
      </c>
      <c r="V2466" s="33">
        <f>Data!P2481</f>
        <v>0</v>
      </c>
    </row>
    <row r="2467" spans="7:22" x14ac:dyDescent="0.25">
      <c r="G2467">
        <f>Data!A2480</f>
        <v>0</v>
      </c>
      <c r="H2467" s="21">
        <f>Data!B2480</f>
        <v>0</v>
      </c>
      <c r="I2467" s="21">
        <f>Data!C2480</f>
        <v>0</v>
      </c>
      <c r="J2467">
        <f>Data!D2480</f>
        <v>0</v>
      </c>
      <c r="K2467">
        <f>Data!E2480</f>
        <v>0</v>
      </c>
      <c r="L2467">
        <f>Data!F2480</f>
        <v>0</v>
      </c>
      <c r="M2467">
        <f>Data!G2480</f>
        <v>0</v>
      </c>
      <c r="N2467">
        <f>Data!H2480</f>
        <v>0</v>
      </c>
      <c r="O2467">
        <f>Data!I2480</f>
        <v>0</v>
      </c>
      <c r="P2467" s="21">
        <f>Data!J2484</f>
        <v>0</v>
      </c>
      <c r="Q2467">
        <f>Data!K2484</f>
        <v>0</v>
      </c>
      <c r="R2467">
        <f>Data!L2484</f>
        <v>0</v>
      </c>
      <c r="S2467">
        <f>Data!M2484</f>
        <v>0</v>
      </c>
      <c r="T2467">
        <f>Data!N2484</f>
        <v>0</v>
      </c>
      <c r="U2467">
        <f>Data!O2484</f>
        <v>0</v>
      </c>
      <c r="V2467" s="33">
        <f>Data!P2482</f>
        <v>0</v>
      </c>
    </row>
    <row r="2468" spans="7:22" x14ac:dyDescent="0.25">
      <c r="G2468">
        <f>Data!A2481</f>
        <v>0</v>
      </c>
      <c r="H2468" s="21">
        <f>Data!B2481</f>
        <v>0</v>
      </c>
      <c r="I2468" s="21">
        <f>Data!C2481</f>
        <v>0</v>
      </c>
      <c r="J2468">
        <f>Data!D2481</f>
        <v>0</v>
      </c>
      <c r="K2468">
        <f>Data!E2481</f>
        <v>0</v>
      </c>
      <c r="L2468">
        <f>Data!F2481</f>
        <v>0</v>
      </c>
      <c r="M2468">
        <f>Data!G2481</f>
        <v>0</v>
      </c>
      <c r="N2468">
        <f>Data!H2481</f>
        <v>0</v>
      </c>
      <c r="O2468">
        <f>Data!I2481</f>
        <v>0</v>
      </c>
      <c r="P2468" s="21">
        <f>Data!J2485</f>
        <v>0</v>
      </c>
      <c r="Q2468">
        <f>Data!K2485</f>
        <v>0</v>
      </c>
      <c r="R2468">
        <f>Data!L2485</f>
        <v>0</v>
      </c>
      <c r="S2468">
        <f>Data!M2485</f>
        <v>0</v>
      </c>
      <c r="T2468">
        <f>Data!N2485</f>
        <v>0</v>
      </c>
      <c r="U2468">
        <f>Data!O2485</f>
        <v>0</v>
      </c>
      <c r="V2468" s="33">
        <f>Data!P2483</f>
        <v>0</v>
      </c>
    </row>
    <row r="2469" spans="7:22" x14ac:dyDescent="0.25">
      <c r="G2469">
        <f>Data!A2482</f>
        <v>0</v>
      </c>
      <c r="H2469" s="21">
        <f>Data!B2482</f>
        <v>0</v>
      </c>
      <c r="I2469" s="21">
        <f>Data!C2482</f>
        <v>0</v>
      </c>
      <c r="J2469">
        <f>Data!D2482</f>
        <v>0</v>
      </c>
      <c r="K2469">
        <f>Data!E2482</f>
        <v>0</v>
      </c>
      <c r="L2469">
        <f>Data!F2482</f>
        <v>0</v>
      </c>
      <c r="M2469">
        <f>Data!G2482</f>
        <v>0</v>
      </c>
      <c r="N2469">
        <f>Data!H2482</f>
        <v>0</v>
      </c>
      <c r="O2469">
        <f>Data!I2482</f>
        <v>0</v>
      </c>
      <c r="P2469" s="21">
        <f>Data!J2486</f>
        <v>0</v>
      </c>
      <c r="Q2469">
        <f>Data!K2486</f>
        <v>0</v>
      </c>
      <c r="R2469">
        <f>Data!L2486</f>
        <v>0</v>
      </c>
      <c r="S2469">
        <f>Data!M2486</f>
        <v>0</v>
      </c>
      <c r="T2469">
        <f>Data!N2486</f>
        <v>0</v>
      </c>
      <c r="U2469">
        <f>Data!O2486</f>
        <v>0</v>
      </c>
      <c r="V2469" s="33">
        <f>Data!P2484</f>
        <v>0</v>
      </c>
    </row>
    <row r="2470" spans="7:22" x14ac:dyDescent="0.25">
      <c r="G2470">
        <f>Data!A2483</f>
        <v>0</v>
      </c>
      <c r="H2470" s="21">
        <f>Data!B2483</f>
        <v>0</v>
      </c>
      <c r="I2470" s="21">
        <f>Data!C2483</f>
        <v>0</v>
      </c>
      <c r="J2470">
        <f>Data!D2483</f>
        <v>0</v>
      </c>
      <c r="K2470">
        <f>Data!E2483</f>
        <v>0</v>
      </c>
      <c r="L2470">
        <f>Data!F2483</f>
        <v>0</v>
      </c>
      <c r="M2470">
        <f>Data!G2483</f>
        <v>0</v>
      </c>
      <c r="N2470">
        <f>Data!H2483</f>
        <v>0</v>
      </c>
      <c r="O2470">
        <f>Data!I2483</f>
        <v>0</v>
      </c>
      <c r="P2470" s="21">
        <f>Data!J2487</f>
        <v>0</v>
      </c>
      <c r="Q2470">
        <f>Data!K2487</f>
        <v>0</v>
      </c>
      <c r="R2470">
        <f>Data!L2487</f>
        <v>0</v>
      </c>
      <c r="S2470">
        <f>Data!M2487</f>
        <v>0</v>
      </c>
      <c r="T2470">
        <f>Data!N2487</f>
        <v>0</v>
      </c>
      <c r="U2470">
        <f>Data!O2487</f>
        <v>0</v>
      </c>
      <c r="V2470" s="33">
        <f>Data!P2485</f>
        <v>0</v>
      </c>
    </row>
    <row r="2471" spans="7:22" x14ac:dyDescent="0.25">
      <c r="G2471">
        <f>Data!A2484</f>
        <v>0</v>
      </c>
      <c r="H2471" s="21">
        <f>Data!B2484</f>
        <v>0</v>
      </c>
      <c r="I2471" s="21">
        <f>Data!C2484</f>
        <v>0</v>
      </c>
      <c r="J2471">
        <f>Data!D2484</f>
        <v>0</v>
      </c>
      <c r="K2471">
        <f>Data!E2484</f>
        <v>0</v>
      </c>
      <c r="L2471">
        <f>Data!F2484</f>
        <v>0</v>
      </c>
      <c r="M2471">
        <f>Data!G2484</f>
        <v>0</v>
      </c>
      <c r="N2471">
        <f>Data!H2484</f>
        <v>0</v>
      </c>
      <c r="O2471">
        <f>Data!I2484</f>
        <v>0</v>
      </c>
      <c r="P2471" s="21">
        <f>Data!J2488</f>
        <v>0</v>
      </c>
      <c r="Q2471">
        <f>Data!K2488</f>
        <v>0</v>
      </c>
      <c r="R2471">
        <f>Data!L2488</f>
        <v>0</v>
      </c>
      <c r="S2471">
        <f>Data!M2488</f>
        <v>0</v>
      </c>
      <c r="T2471">
        <f>Data!N2488</f>
        <v>0</v>
      </c>
      <c r="U2471">
        <f>Data!O2488</f>
        <v>0</v>
      </c>
      <c r="V2471" s="33">
        <f>Data!P2486</f>
        <v>0</v>
      </c>
    </row>
    <row r="2472" spans="7:22" x14ac:dyDescent="0.25">
      <c r="G2472">
        <f>Data!A2485</f>
        <v>0</v>
      </c>
      <c r="H2472" s="21">
        <f>Data!B2485</f>
        <v>0</v>
      </c>
      <c r="I2472" s="21">
        <f>Data!C2485</f>
        <v>0</v>
      </c>
      <c r="J2472">
        <f>Data!D2485</f>
        <v>0</v>
      </c>
      <c r="K2472">
        <f>Data!E2485</f>
        <v>0</v>
      </c>
      <c r="L2472">
        <f>Data!F2485</f>
        <v>0</v>
      </c>
      <c r="M2472">
        <f>Data!G2485</f>
        <v>0</v>
      </c>
      <c r="N2472">
        <f>Data!H2485</f>
        <v>0</v>
      </c>
      <c r="O2472">
        <f>Data!I2485</f>
        <v>0</v>
      </c>
      <c r="P2472" s="21">
        <f>Data!J2489</f>
        <v>0</v>
      </c>
      <c r="Q2472">
        <f>Data!K2489</f>
        <v>0</v>
      </c>
      <c r="R2472">
        <f>Data!L2489</f>
        <v>0</v>
      </c>
      <c r="S2472">
        <f>Data!M2489</f>
        <v>0</v>
      </c>
      <c r="T2472">
        <f>Data!N2489</f>
        <v>0</v>
      </c>
      <c r="U2472">
        <f>Data!O2489</f>
        <v>0</v>
      </c>
      <c r="V2472" s="33">
        <f>Data!P2487</f>
        <v>0</v>
      </c>
    </row>
    <row r="2473" spans="7:22" x14ac:dyDescent="0.25">
      <c r="G2473">
        <f>Data!A2486</f>
        <v>0</v>
      </c>
      <c r="H2473" s="21">
        <f>Data!B2486</f>
        <v>0</v>
      </c>
      <c r="I2473" s="21">
        <f>Data!C2486</f>
        <v>0</v>
      </c>
      <c r="J2473">
        <f>Data!D2486</f>
        <v>0</v>
      </c>
      <c r="K2473">
        <f>Data!E2486</f>
        <v>0</v>
      </c>
      <c r="L2473">
        <f>Data!F2486</f>
        <v>0</v>
      </c>
      <c r="M2473">
        <f>Data!G2486</f>
        <v>0</v>
      </c>
      <c r="N2473">
        <f>Data!H2486</f>
        <v>0</v>
      </c>
      <c r="O2473">
        <f>Data!I2486</f>
        <v>0</v>
      </c>
      <c r="P2473" s="21">
        <f>Data!J2490</f>
        <v>0</v>
      </c>
      <c r="Q2473">
        <f>Data!K2490</f>
        <v>0</v>
      </c>
      <c r="R2473">
        <f>Data!L2490</f>
        <v>0</v>
      </c>
      <c r="S2473">
        <f>Data!M2490</f>
        <v>0</v>
      </c>
      <c r="T2473">
        <f>Data!N2490</f>
        <v>0</v>
      </c>
      <c r="U2473">
        <f>Data!O2490</f>
        <v>0</v>
      </c>
      <c r="V2473" s="33">
        <f>Data!P2488</f>
        <v>0</v>
      </c>
    </row>
    <row r="2474" spans="7:22" x14ac:dyDescent="0.25">
      <c r="G2474">
        <f>Data!A2487</f>
        <v>0</v>
      </c>
      <c r="H2474" s="21">
        <f>Data!B2487</f>
        <v>0</v>
      </c>
      <c r="I2474" s="21">
        <f>Data!C2487</f>
        <v>0</v>
      </c>
      <c r="J2474">
        <f>Data!D2487</f>
        <v>0</v>
      </c>
      <c r="K2474">
        <f>Data!E2487</f>
        <v>0</v>
      </c>
      <c r="L2474">
        <f>Data!F2487</f>
        <v>0</v>
      </c>
      <c r="M2474">
        <f>Data!G2487</f>
        <v>0</v>
      </c>
      <c r="N2474">
        <f>Data!H2487</f>
        <v>0</v>
      </c>
      <c r="O2474">
        <f>Data!I2487</f>
        <v>0</v>
      </c>
      <c r="P2474" s="21">
        <f>Data!J2491</f>
        <v>0</v>
      </c>
      <c r="Q2474">
        <f>Data!K2491</f>
        <v>0</v>
      </c>
      <c r="R2474">
        <f>Data!L2491</f>
        <v>0</v>
      </c>
      <c r="S2474">
        <f>Data!M2491</f>
        <v>0</v>
      </c>
      <c r="T2474">
        <f>Data!N2491</f>
        <v>0</v>
      </c>
      <c r="U2474">
        <f>Data!O2491</f>
        <v>0</v>
      </c>
      <c r="V2474" s="33">
        <f>Data!P2489</f>
        <v>0</v>
      </c>
    </row>
    <row r="2475" spans="7:22" x14ac:dyDescent="0.25">
      <c r="G2475">
        <f>Data!A2488</f>
        <v>0</v>
      </c>
      <c r="H2475" s="21">
        <f>Data!B2488</f>
        <v>0</v>
      </c>
      <c r="I2475" s="21">
        <f>Data!C2488</f>
        <v>0</v>
      </c>
      <c r="J2475">
        <f>Data!D2488</f>
        <v>0</v>
      </c>
      <c r="K2475">
        <f>Data!E2488</f>
        <v>0</v>
      </c>
      <c r="L2475">
        <f>Data!F2488</f>
        <v>0</v>
      </c>
      <c r="M2475">
        <f>Data!G2488</f>
        <v>0</v>
      </c>
      <c r="N2475">
        <f>Data!H2488</f>
        <v>0</v>
      </c>
      <c r="O2475">
        <f>Data!I2488</f>
        <v>0</v>
      </c>
      <c r="P2475" s="21">
        <f>Data!J2492</f>
        <v>0</v>
      </c>
      <c r="Q2475">
        <f>Data!K2492</f>
        <v>0</v>
      </c>
      <c r="R2475">
        <f>Data!L2492</f>
        <v>0</v>
      </c>
      <c r="S2475">
        <f>Data!M2492</f>
        <v>0</v>
      </c>
      <c r="T2475">
        <f>Data!N2492</f>
        <v>0</v>
      </c>
      <c r="U2475">
        <f>Data!O2492</f>
        <v>0</v>
      </c>
      <c r="V2475" s="33">
        <f>Data!P2490</f>
        <v>0</v>
      </c>
    </row>
    <row r="2476" spans="7:22" x14ac:dyDescent="0.25">
      <c r="G2476">
        <f>Data!A2489</f>
        <v>0</v>
      </c>
      <c r="H2476" s="21">
        <f>Data!B2489</f>
        <v>0</v>
      </c>
      <c r="I2476" s="21">
        <f>Data!C2489</f>
        <v>0</v>
      </c>
      <c r="J2476">
        <f>Data!D2489</f>
        <v>0</v>
      </c>
      <c r="K2476">
        <f>Data!E2489</f>
        <v>0</v>
      </c>
      <c r="L2476">
        <f>Data!F2489</f>
        <v>0</v>
      </c>
      <c r="M2476">
        <f>Data!G2489</f>
        <v>0</v>
      </c>
      <c r="N2476">
        <f>Data!H2489</f>
        <v>0</v>
      </c>
      <c r="O2476">
        <f>Data!I2489</f>
        <v>0</v>
      </c>
      <c r="P2476" s="21">
        <f>Data!J2493</f>
        <v>0</v>
      </c>
      <c r="Q2476">
        <f>Data!K2493</f>
        <v>0</v>
      </c>
      <c r="R2476">
        <f>Data!L2493</f>
        <v>0</v>
      </c>
      <c r="S2476">
        <f>Data!M2493</f>
        <v>0</v>
      </c>
      <c r="T2476">
        <f>Data!N2493</f>
        <v>0</v>
      </c>
      <c r="U2476">
        <f>Data!O2493</f>
        <v>0</v>
      </c>
      <c r="V2476" s="33">
        <f>Data!P2491</f>
        <v>0</v>
      </c>
    </row>
    <row r="2477" spans="7:22" x14ac:dyDescent="0.25">
      <c r="G2477">
        <f>Data!A2490</f>
        <v>0</v>
      </c>
      <c r="H2477" s="21">
        <f>Data!B2490</f>
        <v>0</v>
      </c>
      <c r="I2477" s="21">
        <f>Data!C2490</f>
        <v>0</v>
      </c>
      <c r="J2477">
        <f>Data!D2490</f>
        <v>0</v>
      </c>
      <c r="K2477">
        <f>Data!E2490</f>
        <v>0</v>
      </c>
      <c r="L2477">
        <f>Data!F2490</f>
        <v>0</v>
      </c>
      <c r="M2477">
        <f>Data!G2490</f>
        <v>0</v>
      </c>
      <c r="N2477">
        <f>Data!H2490</f>
        <v>0</v>
      </c>
      <c r="O2477">
        <f>Data!I2490</f>
        <v>0</v>
      </c>
      <c r="P2477" s="21">
        <f>Data!J2494</f>
        <v>0</v>
      </c>
      <c r="Q2477">
        <f>Data!K2494</f>
        <v>0</v>
      </c>
      <c r="R2477">
        <f>Data!L2494</f>
        <v>0</v>
      </c>
      <c r="S2477">
        <f>Data!M2494</f>
        <v>0</v>
      </c>
      <c r="T2477">
        <f>Data!N2494</f>
        <v>0</v>
      </c>
      <c r="U2477">
        <f>Data!O2494</f>
        <v>0</v>
      </c>
      <c r="V2477" s="33">
        <f>Data!P2492</f>
        <v>0</v>
      </c>
    </row>
    <row r="2478" spans="7:22" x14ac:dyDescent="0.25">
      <c r="G2478">
        <f>Data!A2491</f>
        <v>0</v>
      </c>
      <c r="H2478" s="21">
        <f>Data!B2491</f>
        <v>0</v>
      </c>
      <c r="I2478" s="21">
        <f>Data!C2491</f>
        <v>0</v>
      </c>
      <c r="J2478">
        <f>Data!D2491</f>
        <v>0</v>
      </c>
      <c r="K2478">
        <f>Data!E2491</f>
        <v>0</v>
      </c>
      <c r="L2478">
        <f>Data!F2491</f>
        <v>0</v>
      </c>
      <c r="M2478">
        <f>Data!G2491</f>
        <v>0</v>
      </c>
      <c r="N2478">
        <f>Data!H2491</f>
        <v>0</v>
      </c>
      <c r="O2478">
        <f>Data!I2491</f>
        <v>0</v>
      </c>
      <c r="P2478" s="21">
        <f>Data!J2495</f>
        <v>0</v>
      </c>
      <c r="Q2478">
        <f>Data!K2495</f>
        <v>0</v>
      </c>
      <c r="R2478">
        <f>Data!L2495</f>
        <v>0</v>
      </c>
      <c r="S2478">
        <f>Data!M2495</f>
        <v>0</v>
      </c>
      <c r="T2478">
        <f>Data!N2495</f>
        <v>0</v>
      </c>
      <c r="U2478">
        <f>Data!O2495</f>
        <v>0</v>
      </c>
      <c r="V2478" s="33">
        <f>Data!P2493</f>
        <v>0</v>
      </c>
    </row>
    <row r="2479" spans="7:22" x14ac:dyDescent="0.25">
      <c r="G2479">
        <f>Data!A2492</f>
        <v>0</v>
      </c>
      <c r="H2479" s="21">
        <f>Data!B2492</f>
        <v>0</v>
      </c>
      <c r="I2479" s="21">
        <f>Data!C2492</f>
        <v>0</v>
      </c>
      <c r="J2479">
        <f>Data!D2492</f>
        <v>0</v>
      </c>
      <c r="K2479">
        <f>Data!E2492</f>
        <v>0</v>
      </c>
      <c r="L2479">
        <f>Data!F2492</f>
        <v>0</v>
      </c>
      <c r="M2479">
        <f>Data!G2492</f>
        <v>0</v>
      </c>
      <c r="N2479">
        <f>Data!H2492</f>
        <v>0</v>
      </c>
      <c r="O2479">
        <f>Data!I2492</f>
        <v>0</v>
      </c>
      <c r="P2479" s="21">
        <f>Data!J2496</f>
        <v>0</v>
      </c>
      <c r="Q2479">
        <f>Data!K2496</f>
        <v>0</v>
      </c>
      <c r="R2479">
        <f>Data!L2496</f>
        <v>0</v>
      </c>
      <c r="S2479">
        <f>Data!M2496</f>
        <v>0</v>
      </c>
      <c r="T2479">
        <f>Data!N2496</f>
        <v>0</v>
      </c>
      <c r="U2479">
        <f>Data!O2496</f>
        <v>0</v>
      </c>
      <c r="V2479" s="33">
        <f>Data!P2494</f>
        <v>0</v>
      </c>
    </row>
    <row r="2480" spans="7:22" x14ac:dyDescent="0.25">
      <c r="G2480">
        <f>Data!A2493</f>
        <v>0</v>
      </c>
      <c r="H2480" s="21">
        <f>Data!B2493</f>
        <v>0</v>
      </c>
      <c r="I2480" s="21">
        <f>Data!C2493</f>
        <v>0</v>
      </c>
      <c r="J2480">
        <f>Data!D2493</f>
        <v>0</v>
      </c>
      <c r="K2480">
        <f>Data!E2493</f>
        <v>0</v>
      </c>
      <c r="L2480">
        <f>Data!F2493</f>
        <v>0</v>
      </c>
      <c r="M2480">
        <f>Data!G2493</f>
        <v>0</v>
      </c>
      <c r="N2480">
        <f>Data!H2493</f>
        <v>0</v>
      </c>
      <c r="O2480">
        <f>Data!I2493</f>
        <v>0</v>
      </c>
      <c r="P2480" s="21">
        <f>Data!J2497</f>
        <v>0</v>
      </c>
      <c r="Q2480">
        <f>Data!K2497</f>
        <v>0</v>
      </c>
      <c r="R2480">
        <f>Data!L2497</f>
        <v>0</v>
      </c>
      <c r="S2480">
        <f>Data!M2497</f>
        <v>0</v>
      </c>
      <c r="T2480">
        <f>Data!N2497</f>
        <v>0</v>
      </c>
      <c r="U2480">
        <f>Data!O2497</f>
        <v>0</v>
      </c>
      <c r="V2480" s="33">
        <f>Data!P2495</f>
        <v>0</v>
      </c>
    </row>
    <row r="2481" spans="7:22" x14ac:dyDescent="0.25">
      <c r="G2481">
        <f>Data!A2494</f>
        <v>0</v>
      </c>
      <c r="H2481" s="21">
        <f>Data!B2494</f>
        <v>0</v>
      </c>
      <c r="I2481" s="21">
        <f>Data!C2494</f>
        <v>0</v>
      </c>
      <c r="J2481">
        <f>Data!D2494</f>
        <v>0</v>
      </c>
      <c r="K2481">
        <f>Data!E2494</f>
        <v>0</v>
      </c>
      <c r="L2481">
        <f>Data!F2494</f>
        <v>0</v>
      </c>
      <c r="M2481">
        <f>Data!G2494</f>
        <v>0</v>
      </c>
      <c r="N2481">
        <f>Data!H2494</f>
        <v>0</v>
      </c>
      <c r="O2481">
        <f>Data!I2494</f>
        <v>0</v>
      </c>
      <c r="P2481" s="21">
        <f>Data!J2498</f>
        <v>0</v>
      </c>
      <c r="Q2481">
        <f>Data!K2498</f>
        <v>0</v>
      </c>
      <c r="R2481">
        <f>Data!L2498</f>
        <v>0</v>
      </c>
      <c r="S2481">
        <f>Data!M2498</f>
        <v>0</v>
      </c>
      <c r="T2481">
        <f>Data!N2498</f>
        <v>0</v>
      </c>
      <c r="U2481">
        <f>Data!O2498</f>
        <v>0</v>
      </c>
      <c r="V2481" s="33">
        <f>Data!P2496</f>
        <v>0</v>
      </c>
    </row>
    <row r="2482" spans="7:22" x14ac:dyDescent="0.25">
      <c r="G2482">
        <f>Data!A2495</f>
        <v>0</v>
      </c>
      <c r="H2482" s="21">
        <f>Data!B2495</f>
        <v>0</v>
      </c>
      <c r="I2482" s="21">
        <f>Data!C2495</f>
        <v>0</v>
      </c>
      <c r="J2482">
        <f>Data!D2495</f>
        <v>0</v>
      </c>
      <c r="K2482">
        <f>Data!E2495</f>
        <v>0</v>
      </c>
      <c r="L2482">
        <f>Data!F2495</f>
        <v>0</v>
      </c>
      <c r="M2482">
        <f>Data!G2495</f>
        <v>0</v>
      </c>
      <c r="N2482">
        <f>Data!H2495</f>
        <v>0</v>
      </c>
      <c r="O2482">
        <f>Data!I2495</f>
        <v>0</v>
      </c>
      <c r="P2482" s="21">
        <f>Data!J2499</f>
        <v>0</v>
      </c>
      <c r="Q2482">
        <f>Data!K2499</f>
        <v>0</v>
      </c>
      <c r="R2482">
        <f>Data!L2499</f>
        <v>0</v>
      </c>
      <c r="S2482">
        <f>Data!M2499</f>
        <v>0</v>
      </c>
      <c r="T2482">
        <f>Data!N2499</f>
        <v>0</v>
      </c>
      <c r="U2482">
        <f>Data!O2499</f>
        <v>0</v>
      </c>
      <c r="V2482" s="33">
        <f>Data!P2497</f>
        <v>0</v>
      </c>
    </row>
    <row r="2483" spans="7:22" x14ac:dyDescent="0.25">
      <c r="G2483">
        <f>Data!A2496</f>
        <v>0</v>
      </c>
      <c r="H2483" s="21">
        <f>Data!B2496</f>
        <v>0</v>
      </c>
      <c r="I2483" s="21">
        <f>Data!C2496</f>
        <v>0</v>
      </c>
      <c r="J2483">
        <f>Data!D2496</f>
        <v>0</v>
      </c>
      <c r="K2483">
        <f>Data!E2496</f>
        <v>0</v>
      </c>
      <c r="L2483">
        <f>Data!F2496</f>
        <v>0</v>
      </c>
      <c r="M2483">
        <f>Data!G2496</f>
        <v>0</v>
      </c>
      <c r="N2483">
        <f>Data!H2496</f>
        <v>0</v>
      </c>
      <c r="O2483">
        <f>Data!I2496</f>
        <v>0</v>
      </c>
      <c r="P2483" s="21">
        <f>Data!J2500</f>
        <v>0</v>
      </c>
      <c r="Q2483">
        <f>Data!K2500</f>
        <v>0</v>
      </c>
      <c r="R2483">
        <f>Data!L2500</f>
        <v>0</v>
      </c>
      <c r="S2483">
        <f>Data!M2500</f>
        <v>0</v>
      </c>
      <c r="T2483">
        <f>Data!N2500</f>
        <v>0</v>
      </c>
      <c r="U2483">
        <f>Data!O2500</f>
        <v>0</v>
      </c>
      <c r="V2483" s="33">
        <f>Data!P2498</f>
        <v>0</v>
      </c>
    </row>
    <row r="2484" spans="7:22" x14ac:dyDescent="0.25">
      <c r="G2484">
        <f>Data!A2497</f>
        <v>0</v>
      </c>
      <c r="H2484" s="21">
        <f>Data!B2497</f>
        <v>0</v>
      </c>
      <c r="I2484" s="21">
        <f>Data!C2497</f>
        <v>0</v>
      </c>
      <c r="J2484">
        <f>Data!D2497</f>
        <v>0</v>
      </c>
      <c r="K2484">
        <f>Data!E2497</f>
        <v>0</v>
      </c>
      <c r="L2484">
        <f>Data!F2497</f>
        <v>0</v>
      </c>
      <c r="M2484">
        <f>Data!G2497</f>
        <v>0</v>
      </c>
      <c r="N2484">
        <f>Data!H2497</f>
        <v>0</v>
      </c>
      <c r="O2484">
        <f>Data!I2497</f>
        <v>0</v>
      </c>
      <c r="P2484" s="21">
        <f>Data!J2501</f>
        <v>0</v>
      </c>
      <c r="Q2484">
        <f>Data!K2501</f>
        <v>0</v>
      </c>
      <c r="R2484">
        <f>Data!L2501</f>
        <v>0</v>
      </c>
      <c r="S2484">
        <f>Data!M2501</f>
        <v>0</v>
      </c>
      <c r="T2484">
        <f>Data!N2501</f>
        <v>0</v>
      </c>
      <c r="U2484">
        <f>Data!O2501</f>
        <v>0</v>
      </c>
      <c r="V2484" s="33">
        <f>Data!P2499</f>
        <v>0</v>
      </c>
    </row>
    <row r="2485" spans="7:22" x14ac:dyDescent="0.25">
      <c r="G2485">
        <f>Data!A2498</f>
        <v>0</v>
      </c>
      <c r="H2485" s="21">
        <f>Data!B2498</f>
        <v>0</v>
      </c>
      <c r="I2485" s="21">
        <f>Data!C2498</f>
        <v>0</v>
      </c>
      <c r="J2485">
        <f>Data!D2498</f>
        <v>0</v>
      </c>
      <c r="K2485">
        <f>Data!E2498</f>
        <v>0</v>
      </c>
      <c r="L2485">
        <f>Data!F2498</f>
        <v>0</v>
      </c>
      <c r="M2485">
        <f>Data!G2498</f>
        <v>0</v>
      </c>
      <c r="N2485">
        <f>Data!H2498</f>
        <v>0</v>
      </c>
      <c r="O2485">
        <f>Data!I2498</f>
        <v>0</v>
      </c>
      <c r="P2485" s="21">
        <f>Data!J2502</f>
        <v>0</v>
      </c>
      <c r="Q2485">
        <f>Data!K2502</f>
        <v>0</v>
      </c>
      <c r="R2485">
        <f>Data!L2502</f>
        <v>0</v>
      </c>
      <c r="S2485">
        <f>Data!M2502</f>
        <v>0</v>
      </c>
      <c r="T2485">
        <f>Data!N2502</f>
        <v>0</v>
      </c>
      <c r="U2485">
        <f>Data!O2502</f>
        <v>0</v>
      </c>
      <c r="V2485" s="33">
        <f>Data!P2500</f>
        <v>0</v>
      </c>
    </row>
    <row r="2486" spans="7:22" x14ac:dyDescent="0.25">
      <c r="G2486">
        <f>Data!A2499</f>
        <v>0</v>
      </c>
      <c r="H2486" s="21">
        <f>Data!B2499</f>
        <v>0</v>
      </c>
      <c r="I2486" s="21">
        <f>Data!C2499</f>
        <v>0</v>
      </c>
      <c r="J2486">
        <f>Data!D2499</f>
        <v>0</v>
      </c>
      <c r="K2486">
        <f>Data!E2499</f>
        <v>0</v>
      </c>
      <c r="L2486">
        <f>Data!F2499</f>
        <v>0</v>
      </c>
      <c r="M2486">
        <f>Data!G2499</f>
        <v>0</v>
      </c>
      <c r="N2486">
        <f>Data!H2499</f>
        <v>0</v>
      </c>
      <c r="O2486">
        <f>Data!I2499</f>
        <v>0</v>
      </c>
      <c r="P2486" s="21">
        <f>Data!J2503</f>
        <v>0</v>
      </c>
      <c r="Q2486">
        <f>Data!K2503</f>
        <v>0</v>
      </c>
      <c r="R2486">
        <f>Data!L2503</f>
        <v>0</v>
      </c>
      <c r="S2486">
        <f>Data!M2503</f>
        <v>0</v>
      </c>
      <c r="T2486">
        <f>Data!N2503</f>
        <v>0</v>
      </c>
      <c r="U2486">
        <f>Data!O2503</f>
        <v>0</v>
      </c>
      <c r="V2486" s="33">
        <f>Data!P2501</f>
        <v>0</v>
      </c>
    </row>
    <row r="2487" spans="7:22" x14ac:dyDescent="0.25">
      <c r="G2487">
        <f>Data!A2500</f>
        <v>0</v>
      </c>
      <c r="H2487" s="21">
        <f>Data!B2500</f>
        <v>0</v>
      </c>
      <c r="I2487" s="21">
        <f>Data!C2500</f>
        <v>0</v>
      </c>
      <c r="J2487">
        <f>Data!D2500</f>
        <v>0</v>
      </c>
      <c r="K2487">
        <f>Data!E2500</f>
        <v>0</v>
      </c>
      <c r="L2487">
        <f>Data!F2500</f>
        <v>0</v>
      </c>
      <c r="M2487">
        <f>Data!G2500</f>
        <v>0</v>
      </c>
      <c r="N2487">
        <f>Data!H2500</f>
        <v>0</v>
      </c>
      <c r="O2487">
        <f>Data!I2500</f>
        <v>0</v>
      </c>
      <c r="P2487" s="21">
        <f>Data!J2504</f>
        <v>0</v>
      </c>
      <c r="Q2487">
        <f>Data!K2504</f>
        <v>0</v>
      </c>
      <c r="R2487">
        <f>Data!L2504</f>
        <v>0</v>
      </c>
      <c r="S2487">
        <f>Data!M2504</f>
        <v>0</v>
      </c>
      <c r="T2487">
        <f>Data!N2504</f>
        <v>0</v>
      </c>
      <c r="U2487">
        <f>Data!O2504</f>
        <v>0</v>
      </c>
      <c r="V2487" s="33">
        <f>Data!P2502</f>
        <v>0</v>
      </c>
    </row>
    <row r="2488" spans="7:22" x14ac:dyDescent="0.25">
      <c r="G2488">
        <f>Data!A2501</f>
        <v>0</v>
      </c>
      <c r="H2488" s="21">
        <f>Data!B2501</f>
        <v>0</v>
      </c>
      <c r="I2488" s="21">
        <f>Data!C2501</f>
        <v>0</v>
      </c>
      <c r="J2488">
        <f>Data!D2501</f>
        <v>0</v>
      </c>
      <c r="K2488">
        <f>Data!E2501</f>
        <v>0</v>
      </c>
      <c r="L2488">
        <f>Data!F2501</f>
        <v>0</v>
      </c>
      <c r="M2488">
        <f>Data!G2501</f>
        <v>0</v>
      </c>
      <c r="N2488">
        <f>Data!H2501</f>
        <v>0</v>
      </c>
      <c r="O2488">
        <f>Data!I2501</f>
        <v>0</v>
      </c>
      <c r="P2488" s="21">
        <f>Data!J2505</f>
        <v>0</v>
      </c>
      <c r="Q2488">
        <f>Data!K2505</f>
        <v>0</v>
      </c>
      <c r="R2488">
        <f>Data!L2505</f>
        <v>0</v>
      </c>
      <c r="S2488">
        <f>Data!M2505</f>
        <v>0</v>
      </c>
      <c r="T2488">
        <f>Data!N2505</f>
        <v>0</v>
      </c>
      <c r="U2488">
        <f>Data!O2505</f>
        <v>0</v>
      </c>
      <c r="V2488" s="33">
        <f>Data!P2503</f>
        <v>0</v>
      </c>
    </row>
    <row r="2489" spans="7:22" x14ac:dyDescent="0.25">
      <c r="G2489">
        <f>Data!A2502</f>
        <v>0</v>
      </c>
      <c r="H2489" s="21">
        <f>Data!B2502</f>
        <v>0</v>
      </c>
      <c r="I2489" s="21">
        <f>Data!C2502</f>
        <v>0</v>
      </c>
      <c r="J2489">
        <f>Data!D2502</f>
        <v>0</v>
      </c>
      <c r="K2489">
        <f>Data!E2502</f>
        <v>0</v>
      </c>
      <c r="L2489">
        <f>Data!F2502</f>
        <v>0</v>
      </c>
      <c r="M2489">
        <f>Data!G2502</f>
        <v>0</v>
      </c>
      <c r="N2489">
        <f>Data!H2502</f>
        <v>0</v>
      </c>
      <c r="O2489">
        <f>Data!I2502</f>
        <v>0</v>
      </c>
      <c r="P2489" s="21">
        <f>Data!J2506</f>
        <v>0</v>
      </c>
      <c r="Q2489">
        <f>Data!K2506</f>
        <v>0</v>
      </c>
      <c r="R2489">
        <f>Data!L2506</f>
        <v>0</v>
      </c>
      <c r="S2489">
        <f>Data!M2506</f>
        <v>0</v>
      </c>
      <c r="T2489">
        <f>Data!N2506</f>
        <v>0</v>
      </c>
      <c r="U2489">
        <f>Data!O2506</f>
        <v>0</v>
      </c>
      <c r="V2489" s="33">
        <f>Data!P2504</f>
        <v>0</v>
      </c>
    </row>
    <row r="2490" spans="7:22" x14ac:dyDescent="0.25">
      <c r="G2490">
        <f>Data!A2503</f>
        <v>0</v>
      </c>
      <c r="H2490" s="21">
        <f>Data!B2503</f>
        <v>0</v>
      </c>
      <c r="I2490" s="21">
        <f>Data!C2503</f>
        <v>0</v>
      </c>
      <c r="J2490">
        <f>Data!D2503</f>
        <v>0</v>
      </c>
      <c r="K2490">
        <f>Data!E2503</f>
        <v>0</v>
      </c>
      <c r="L2490">
        <f>Data!F2503</f>
        <v>0</v>
      </c>
      <c r="M2490">
        <f>Data!G2503</f>
        <v>0</v>
      </c>
      <c r="N2490">
        <f>Data!H2503</f>
        <v>0</v>
      </c>
      <c r="O2490">
        <f>Data!I2503</f>
        <v>0</v>
      </c>
      <c r="P2490" s="21">
        <f>Data!J2507</f>
        <v>0</v>
      </c>
      <c r="Q2490">
        <f>Data!K2507</f>
        <v>0</v>
      </c>
      <c r="R2490">
        <f>Data!L2507</f>
        <v>0</v>
      </c>
      <c r="S2490">
        <f>Data!M2507</f>
        <v>0</v>
      </c>
      <c r="T2490">
        <f>Data!N2507</f>
        <v>0</v>
      </c>
      <c r="U2490">
        <f>Data!O2507</f>
        <v>0</v>
      </c>
      <c r="V2490" s="33">
        <f>Data!P2505</f>
        <v>0</v>
      </c>
    </row>
    <row r="2491" spans="7:22" x14ac:dyDescent="0.25">
      <c r="G2491">
        <f>Data!A2504</f>
        <v>0</v>
      </c>
      <c r="H2491" s="21">
        <f>Data!B2504</f>
        <v>0</v>
      </c>
      <c r="I2491" s="21">
        <f>Data!C2504</f>
        <v>0</v>
      </c>
      <c r="J2491">
        <f>Data!D2504</f>
        <v>0</v>
      </c>
      <c r="K2491">
        <f>Data!E2504</f>
        <v>0</v>
      </c>
      <c r="L2491">
        <f>Data!F2504</f>
        <v>0</v>
      </c>
      <c r="M2491">
        <f>Data!G2504</f>
        <v>0</v>
      </c>
      <c r="N2491">
        <f>Data!H2504</f>
        <v>0</v>
      </c>
      <c r="O2491">
        <f>Data!I2504</f>
        <v>0</v>
      </c>
      <c r="P2491" s="21">
        <f>Data!J2508</f>
        <v>0</v>
      </c>
      <c r="Q2491">
        <f>Data!K2508</f>
        <v>0</v>
      </c>
      <c r="R2491">
        <f>Data!L2508</f>
        <v>0</v>
      </c>
      <c r="S2491">
        <f>Data!M2508</f>
        <v>0</v>
      </c>
      <c r="T2491">
        <f>Data!N2508</f>
        <v>0</v>
      </c>
      <c r="U2491">
        <f>Data!O2508</f>
        <v>0</v>
      </c>
      <c r="V2491" s="33">
        <f>Data!P2506</f>
        <v>0</v>
      </c>
    </row>
    <row r="2492" spans="7:22" x14ac:dyDescent="0.25">
      <c r="G2492">
        <f>Data!A2505</f>
        <v>0</v>
      </c>
      <c r="H2492" s="21">
        <f>Data!B2505</f>
        <v>0</v>
      </c>
      <c r="I2492" s="21">
        <f>Data!C2505</f>
        <v>0</v>
      </c>
      <c r="J2492">
        <f>Data!D2505</f>
        <v>0</v>
      </c>
      <c r="K2492">
        <f>Data!E2505</f>
        <v>0</v>
      </c>
      <c r="L2492">
        <f>Data!F2505</f>
        <v>0</v>
      </c>
      <c r="M2492">
        <f>Data!G2505</f>
        <v>0</v>
      </c>
      <c r="N2492">
        <f>Data!H2505</f>
        <v>0</v>
      </c>
      <c r="O2492">
        <f>Data!I2505</f>
        <v>0</v>
      </c>
      <c r="P2492" s="21">
        <f>Data!J2509</f>
        <v>0</v>
      </c>
      <c r="Q2492">
        <f>Data!K2509</f>
        <v>0</v>
      </c>
      <c r="R2492">
        <f>Data!L2509</f>
        <v>0</v>
      </c>
      <c r="S2492">
        <f>Data!M2509</f>
        <v>0</v>
      </c>
      <c r="T2492">
        <f>Data!N2509</f>
        <v>0</v>
      </c>
      <c r="U2492">
        <f>Data!O2509</f>
        <v>0</v>
      </c>
      <c r="V2492" s="33">
        <f>Data!P2507</f>
        <v>0</v>
      </c>
    </row>
    <row r="2493" spans="7:22" x14ac:dyDescent="0.25">
      <c r="G2493">
        <f>Data!A2506</f>
        <v>0</v>
      </c>
      <c r="H2493" s="21">
        <f>Data!B2506</f>
        <v>0</v>
      </c>
      <c r="I2493" s="21">
        <f>Data!C2506</f>
        <v>0</v>
      </c>
      <c r="J2493">
        <f>Data!D2506</f>
        <v>0</v>
      </c>
      <c r="K2493">
        <f>Data!E2506</f>
        <v>0</v>
      </c>
      <c r="L2493">
        <f>Data!F2506</f>
        <v>0</v>
      </c>
      <c r="M2493">
        <f>Data!G2506</f>
        <v>0</v>
      </c>
      <c r="N2493">
        <f>Data!H2506</f>
        <v>0</v>
      </c>
      <c r="O2493">
        <f>Data!I2506</f>
        <v>0</v>
      </c>
      <c r="P2493" s="21">
        <f>Data!J2510</f>
        <v>0</v>
      </c>
      <c r="Q2493">
        <f>Data!K2510</f>
        <v>0</v>
      </c>
      <c r="R2493">
        <f>Data!L2510</f>
        <v>0</v>
      </c>
      <c r="S2493">
        <f>Data!M2510</f>
        <v>0</v>
      </c>
      <c r="T2493">
        <f>Data!N2510</f>
        <v>0</v>
      </c>
      <c r="U2493">
        <f>Data!O2510</f>
        <v>0</v>
      </c>
      <c r="V2493" s="33">
        <f>Data!P2508</f>
        <v>0</v>
      </c>
    </row>
    <row r="2494" spans="7:22" x14ac:dyDescent="0.25">
      <c r="G2494">
        <f>Data!A2507</f>
        <v>0</v>
      </c>
      <c r="H2494" s="21">
        <f>Data!B2507</f>
        <v>0</v>
      </c>
      <c r="I2494" s="21">
        <f>Data!C2507</f>
        <v>0</v>
      </c>
      <c r="J2494">
        <f>Data!D2507</f>
        <v>0</v>
      </c>
      <c r="K2494">
        <f>Data!E2507</f>
        <v>0</v>
      </c>
      <c r="L2494">
        <f>Data!F2507</f>
        <v>0</v>
      </c>
      <c r="M2494">
        <f>Data!G2507</f>
        <v>0</v>
      </c>
      <c r="N2494">
        <f>Data!H2507</f>
        <v>0</v>
      </c>
      <c r="O2494">
        <f>Data!I2507</f>
        <v>0</v>
      </c>
      <c r="P2494" s="21">
        <f>Data!J2511</f>
        <v>0</v>
      </c>
      <c r="Q2494">
        <f>Data!K2511</f>
        <v>0</v>
      </c>
      <c r="R2494">
        <f>Data!L2511</f>
        <v>0</v>
      </c>
      <c r="S2494">
        <f>Data!M2511</f>
        <v>0</v>
      </c>
      <c r="T2494">
        <f>Data!N2511</f>
        <v>0</v>
      </c>
      <c r="U2494">
        <f>Data!O2511</f>
        <v>0</v>
      </c>
      <c r="V2494" s="33">
        <f>Data!P2509</f>
        <v>0</v>
      </c>
    </row>
    <row r="2495" spans="7:22" x14ac:dyDescent="0.25">
      <c r="G2495">
        <f>Data!A2508</f>
        <v>0</v>
      </c>
      <c r="H2495" s="21">
        <f>Data!B2508</f>
        <v>0</v>
      </c>
      <c r="I2495" s="21">
        <f>Data!C2508</f>
        <v>0</v>
      </c>
      <c r="J2495">
        <f>Data!D2508</f>
        <v>0</v>
      </c>
      <c r="K2495">
        <f>Data!E2508</f>
        <v>0</v>
      </c>
      <c r="L2495">
        <f>Data!F2508</f>
        <v>0</v>
      </c>
      <c r="M2495">
        <f>Data!G2508</f>
        <v>0</v>
      </c>
      <c r="N2495">
        <f>Data!H2508</f>
        <v>0</v>
      </c>
      <c r="O2495">
        <f>Data!I2508</f>
        <v>0</v>
      </c>
      <c r="P2495" s="21">
        <f>Data!J2512</f>
        <v>0</v>
      </c>
      <c r="Q2495">
        <f>Data!K2512</f>
        <v>0</v>
      </c>
      <c r="R2495">
        <f>Data!L2512</f>
        <v>0</v>
      </c>
      <c r="S2495">
        <f>Data!M2512</f>
        <v>0</v>
      </c>
      <c r="T2495">
        <f>Data!N2512</f>
        <v>0</v>
      </c>
      <c r="U2495">
        <f>Data!O2512</f>
        <v>0</v>
      </c>
      <c r="V2495" s="33">
        <f>Data!P2510</f>
        <v>0</v>
      </c>
    </row>
    <row r="2496" spans="7:22" x14ac:dyDescent="0.25">
      <c r="G2496">
        <f>Data!A2509</f>
        <v>0</v>
      </c>
      <c r="H2496" s="21">
        <f>Data!B2509</f>
        <v>0</v>
      </c>
      <c r="I2496" s="21">
        <f>Data!C2509</f>
        <v>0</v>
      </c>
      <c r="J2496">
        <f>Data!D2509</f>
        <v>0</v>
      </c>
      <c r="K2496">
        <f>Data!E2509</f>
        <v>0</v>
      </c>
      <c r="L2496">
        <f>Data!F2509</f>
        <v>0</v>
      </c>
      <c r="M2496">
        <f>Data!G2509</f>
        <v>0</v>
      </c>
      <c r="N2496">
        <f>Data!H2509</f>
        <v>0</v>
      </c>
      <c r="O2496">
        <f>Data!I2509</f>
        <v>0</v>
      </c>
      <c r="P2496" s="21">
        <f>Data!J2513</f>
        <v>0</v>
      </c>
      <c r="Q2496">
        <f>Data!K2513</f>
        <v>0</v>
      </c>
      <c r="R2496">
        <f>Data!L2513</f>
        <v>0</v>
      </c>
      <c r="S2496">
        <f>Data!M2513</f>
        <v>0</v>
      </c>
      <c r="T2496">
        <f>Data!N2513</f>
        <v>0</v>
      </c>
      <c r="U2496">
        <f>Data!O2513</f>
        <v>0</v>
      </c>
      <c r="V2496" s="33">
        <f>Data!P2511</f>
        <v>0</v>
      </c>
    </row>
    <row r="2497" spans="7:22" x14ac:dyDescent="0.25">
      <c r="G2497">
        <f>Data!A2510</f>
        <v>0</v>
      </c>
      <c r="H2497" s="21">
        <f>Data!B2510</f>
        <v>0</v>
      </c>
      <c r="I2497" s="21">
        <f>Data!C2510</f>
        <v>0</v>
      </c>
      <c r="J2497">
        <f>Data!D2510</f>
        <v>0</v>
      </c>
      <c r="K2497">
        <f>Data!E2510</f>
        <v>0</v>
      </c>
      <c r="L2497">
        <f>Data!F2510</f>
        <v>0</v>
      </c>
      <c r="M2497">
        <f>Data!G2510</f>
        <v>0</v>
      </c>
      <c r="N2497">
        <f>Data!H2510</f>
        <v>0</v>
      </c>
      <c r="O2497">
        <f>Data!I2510</f>
        <v>0</v>
      </c>
      <c r="P2497" s="21">
        <f>Data!J2514</f>
        <v>0</v>
      </c>
      <c r="Q2497">
        <f>Data!K2514</f>
        <v>0</v>
      </c>
      <c r="R2497">
        <f>Data!L2514</f>
        <v>0</v>
      </c>
      <c r="S2497">
        <f>Data!M2514</f>
        <v>0</v>
      </c>
      <c r="T2497">
        <f>Data!N2514</f>
        <v>0</v>
      </c>
      <c r="U2497">
        <f>Data!O2514</f>
        <v>0</v>
      </c>
      <c r="V2497" s="33">
        <f>Data!P2512</f>
        <v>0</v>
      </c>
    </row>
    <row r="2498" spans="7:22" x14ac:dyDescent="0.25">
      <c r="G2498">
        <f>Data!A2511</f>
        <v>0</v>
      </c>
      <c r="H2498" s="21">
        <f>Data!B2511</f>
        <v>0</v>
      </c>
      <c r="I2498" s="21">
        <f>Data!C2511</f>
        <v>0</v>
      </c>
      <c r="J2498">
        <f>Data!D2511</f>
        <v>0</v>
      </c>
      <c r="K2498">
        <f>Data!E2511</f>
        <v>0</v>
      </c>
      <c r="L2498">
        <f>Data!F2511</f>
        <v>0</v>
      </c>
      <c r="M2498">
        <f>Data!G2511</f>
        <v>0</v>
      </c>
      <c r="N2498">
        <f>Data!H2511</f>
        <v>0</v>
      </c>
      <c r="O2498">
        <f>Data!I2511</f>
        <v>0</v>
      </c>
      <c r="P2498" s="21">
        <f>Data!J2515</f>
        <v>0</v>
      </c>
      <c r="Q2498">
        <f>Data!K2515</f>
        <v>0</v>
      </c>
      <c r="R2498">
        <f>Data!L2515</f>
        <v>0</v>
      </c>
      <c r="S2498">
        <f>Data!M2515</f>
        <v>0</v>
      </c>
      <c r="T2498">
        <f>Data!N2515</f>
        <v>0</v>
      </c>
      <c r="U2498">
        <f>Data!O2515</f>
        <v>0</v>
      </c>
      <c r="V2498" s="33">
        <f>Data!P2513</f>
        <v>0</v>
      </c>
    </row>
    <row r="2499" spans="7:22" x14ac:dyDescent="0.25">
      <c r="G2499">
        <f>Data!A2512</f>
        <v>0</v>
      </c>
      <c r="H2499" s="21">
        <f>Data!B2512</f>
        <v>0</v>
      </c>
      <c r="I2499" s="21">
        <f>Data!C2512</f>
        <v>0</v>
      </c>
      <c r="J2499">
        <f>Data!D2512</f>
        <v>0</v>
      </c>
      <c r="K2499">
        <f>Data!E2512</f>
        <v>0</v>
      </c>
      <c r="L2499">
        <f>Data!F2512</f>
        <v>0</v>
      </c>
      <c r="M2499">
        <f>Data!G2512</f>
        <v>0</v>
      </c>
      <c r="N2499">
        <f>Data!H2512</f>
        <v>0</v>
      </c>
      <c r="O2499">
        <f>Data!I2512</f>
        <v>0</v>
      </c>
      <c r="P2499" s="21">
        <f>Data!J2516</f>
        <v>0</v>
      </c>
      <c r="Q2499">
        <f>Data!K2516</f>
        <v>0</v>
      </c>
      <c r="R2499">
        <f>Data!L2516</f>
        <v>0</v>
      </c>
      <c r="S2499">
        <f>Data!M2516</f>
        <v>0</v>
      </c>
      <c r="T2499">
        <f>Data!N2516</f>
        <v>0</v>
      </c>
      <c r="U2499">
        <f>Data!O2516</f>
        <v>0</v>
      </c>
      <c r="V2499" s="33">
        <f>Data!P2514</f>
        <v>0</v>
      </c>
    </row>
    <row r="2500" spans="7:22" x14ac:dyDescent="0.25">
      <c r="G2500">
        <f>Data!A2513</f>
        <v>0</v>
      </c>
      <c r="H2500" s="21">
        <f>Data!B2513</f>
        <v>0</v>
      </c>
      <c r="I2500" s="21">
        <f>Data!C2513</f>
        <v>0</v>
      </c>
      <c r="J2500">
        <f>Data!D2513</f>
        <v>0</v>
      </c>
      <c r="K2500">
        <f>Data!E2513</f>
        <v>0</v>
      </c>
      <c r="L2500">
        <f>Data!F2513</f>
        <v>0</v>
      </c>
      <c r="M2500">
        <f>Data!G2513</f>
        <v>0</v>
      </c>
      <c r="N2500">
        <f>Data!H2513</f>
        <v>0</v>
      </c>
      <c r="O2500">
        <f>Data!I2513</f>
        <v>0</v>
      </c>
      <c r="P2500" s="21">
        <f>Data!J2517</f>
        <v>0</v>
      </c>
      <c r="Q2500">
        <f>Data!K2517</f>
        <v>0</v>
      </c>
      <c r="R2500">
        <f>Data!L2517</f>
        <v>0</v>
      </c>
      <c r="S2500">
        <f>Data!M2517</f>
        <v>0</v>
      </c>
      <c r="T2500">
        <f>Data!N2517</f>
        <v>0</v>
      </c>
      <c r="U2500">
        <f>Data!O2517</f>
        <v>0</v>
      </c>
      <c r="V2500" s="33">
        <f>Data!P2515</f>
        <v>0</v>
      </c>
    </row>
    <row r="2501" spans="7:22" x14ac:dyDescent="0.25">
      <c r="G2501">
        <f>Data!A2514</f>
        <v>0</v>
      </c>
      <c r="H2501" s="21">
        <f>Data!B2514</f>
        <v>0</v>
      </c>
      <c r="I2501" s="21">
        <f>Data!C2514</f>
        <v>0</v>
      </c>
      <c r="J2501">
        <f>Data!D2514</f>
        <v>0</v>
      </c>
      <c r="K2501">
        <f>Data!E2514</f>
        <v>0</v>
      </c>
      <c r="L2501">
        <f>Data!F2514</f>
        <v>0</v>
      </c>
      <c r="M2501">
        <f>Data!G2514</f>
        <v>0</v>
      </c>
      <c r="N2501">
        <f>Data!H2514</f>
        <v>0</v>
      </c>
      <c r="O2501">
        <f>Data!I2514</f>
        <v>0</v>
      </c>
      <c r="P2501" s="21">
        <f>Data!J2518</f>
        <v>0</v>
      </c>
      <c r="Q2501">
        <f>Data!K2518</f>
        <v>0</v>
      </c>
      <c r="R2501">
        <f>Data!L2518</f>
        <v>0</v>
      </c>
      <c r="S2501">
        <f>Data!M2518</f>
        <v>0</v>
      </c>
      <c r="T2501">
        <f>Data!N2518</f>
        <v>0</v>
      </c>
      <c r="U2501">
        <f>Data!O2518</f>
        <v>0</v>
      </c>
      <c r="V2501" s="33">
        <f>Data!P2516</f>
        <v>0</v>
      </c>
    </row>
    <row r="2502" spans="7:22" x14ac:dyDescent="0.25">
      <c r="G2502">
        <f>Data!A2515</f>
        <v>0</v>
      </c>
      <c r="H2502" s="21">
        <f>Data!B2515</f>
        <v>0</v>
      </c>
      <c r="I2502" s="21">
        <f>Data!C2515</f>
        <v>0</v>
      </c>
      <c r="J2502">
        <f>Data!D2515</f>
        <v>0</v>
      </c>
      <c r="K2502">
        <f>Data!E2515</f>
        <v>0</v>
      </c>
      <c r="L2502">
        <f>Data!F2515</f>
        <v>0</v>
      </c>
      <c r="M2502">
        <f>Data!G2515</f>
        <v>0</v>
      </c>
      <c r="N2502">
        <f>Data!H2515</f>
        <v>0</v>
      </c>
      <c r="O2502">
        <f>Data!I2515</f>
        <v>0</v>
      </c>
      <c r="P2502" s="21">
        <f>Data!J2519</f>
        <v>0</v>
      </c>
      <c r="Q2502">
        <f>Data!K2519</f>
        <v>0</v>
      </c>
      <c r="R2502">
        <f>Data!L2519</f>
        <v>0</v>
      </c>
      <c r="S2502">
        <f>Data!M2519</f>
        <v>0</v>
      </c>
      <c r="T2502">
        <f>Data!N2519</f>
        <v>0</v>
      </c>
      <c r="U2502">
        <f>Data!O2519</f>
        <v>0</v>
      </c>
      <c r="V2502" s="33">
        <f>Data!P2517</f>
        <v>0</v>
      </c>
    </row>
    <row r="2503" spans="7:22" x14ac:dyDescent="0.25">
      <c r="G2503">
        <f>Data!A2516</f>
        <v>0</v>
      </c>
      <c r="H2503" s="21">
        <f>Data!B2516</f>
        <v>0</v>
      </c>
      <c r="I2503" s="21">
        <f>Data!C2516</f>
        <v>0</v>
      </c>
      <c r="J2503">
        <f>Data!D2516</f>
        <v>0</v>
      </c>
      <c r="K2503">
        <f>Data!E2516</f>
        <v>0</v>
      </c>
      <c r="L2503">
        <f>Data!F2516</f>
        <v>0</v>
      </c>
      <c r="M2503">
        <f>Data!G2516</f>
        <v>0</v>
      </c>
      <c r="N2503">
        <f>Data!H2516</f>
        <v>0</v>
      </c>
      <c r="O2503">
        <f>Data!I2516</f>
        <v>0</v>
      </c>
      <c r="P2503" s="21">
        <f>Data!J2520</f>
        <v>0</v>
      </c>
      <c r="Q2503">
        <f>Data!K2520</f>
        <v>0</v>
      </c>
      <c r="R2503">
        <f>Data!L2520</f>
        <v>0</v>
      </c>
      <c r="S2503">
        <f>Data!M2520</f>
        <v>0</v>
      </c>
      <c r="T2503">
        <f>Data!N2520</f>
        <v>0</v>
      </c>
      <c r="U2503">
        <f>Data!O2520</f>
        <v>0</v>
      </c>
      <c r="V2503" s="33">
        <f>Data!P2518</f>
        <v>0</v>
      </c>
    </row>
    <row r="2504" spans="7:22" x14ac:dyDescent="0.25">
      <c r="G2504">
        <f>Data!A2517</f>
        <v>0</v>
      </c>
      <c r="H2504" s="21">
        <f>Data!B2517</f>
        <v>0</v>
      </c>
      <c r="I2504" s="21">
        <f>Data!C2517</f>
        <v>0</v>
      </c>
      <c r="J2504">
        <f>Data!D2517</f>
        <v>0</v>
      </c>
      <c r="K2504">
        <f>Data!E2517</f>
        <v>0</v>
      </c>
      <c r="L2504">
        <f>Data!F2517</f>
        <v>0</v>
      </c>
      <c r="M2504">
        <f>Data!G2517</f>
        <v>0</v>
      </c>
      <c r="N2504">
        <f>Data!H2517</f>
        <v>0</v>
      </c>
      <c r="O2504">
        <f>Data!I2517</f>
        <v>0</v>
      </c>
      <c r="P2504" s="21">
        <f>Data!J2521</f>
        <v>0</v>
      </c>
      <c r="Q2504">
        <f>Data!K2521</f>
        <v>0</v>
      </c>
      <c r="R2504">
        <f>Data!L2521</f>
        <v>0</v>
      </c>
      <c r="S2504">
        <f>Data!M2521</f>
        <v>0</v>
      </c>
      <c r="T2504">
        <f>Data!N2521</f>
        <v>0</v>
      </c>
      <c r="U2504">
        <f>Data!O2521</f>
        <v>0</v>
      </c>
      <c r="V2504" s="33">
        <f>Data!P2519</f>
        <v>0</v>
      </c>
    </row>
    <row r="2505" spans="7:22" x14ac:dyDescent="0.25">
      <c r="G2505">
        <f>Data!A2518</f>
        <v>0</v>
      </c>
      <c r="H2505" s="21">
        <f>Data!B2518</f>
        <v>0</v>
      </c>
      <c r="I2505" s="21">
        <f>Data!C2518</f>
        <v>0</v>
      </c>
      <c r="J2505">
        <f>Data!D2518</f>
        <v>0</v>
      </c>
      <c r="K2505">
        <f>Data!E2518</f>
        <v>0</v>
      </c>
      <c r="L2505">
        <f>Data!F2518</f>
        <v>0</v>
      </c>
      <c r="M2505">
        <f>Data!G2518</f>
        <v>0</v>
      </c>
      <c r="N2505">
        <f>Data!H2518</f>
        <v>0</v>
      </c>
      <c r="O2505">
        <f>Data!I2518</f>
        <v>0</v>
      </c>
      <c r="P2505" s="21">
        <f>Data!J2522</f>
        <v>0</v>
      </c>
      <c r="Q2505">
        <f>Data!K2522</f>
        <v>0</v>
      </c>
      <c r="R2505">
        <f>Data!L2522</f>
        <v>0</v>
      </c>
      <c r="S2505">
        <f>Data!M2522</f>
        <v>0</v>
      </c>
      <c r="T2505">
        <f>Data!N2522</f>
        <v>0</v>
      </c>
      <c r="U2505">
        <f>Data!O2522</f>
        <v>0</v>
      </c>
      <c r="V2505" s="33">
        <f>Data!P2520</f>
        <v>0</v>
      </c>
    </row>
    <row r="2506" spans="7:22" x14ac:dyDescent="0.25">
      <c r="G2506">
        <f>Data!A2519</f>
        <v>0</v>
      </c>
      <c r="H2506" s="21">
        <f>Data!B2519</f>
        <v>0</v>
      </c>
      <c r="I2506" s="21">
        <f>Data!C2519</f>
        <v>0</v>
      </c>
      <c r="J2506">
        <f>Data!D2519</f>
        <v>0</v>
      </c>
      <c r="K2506">
        <f>Data!E2519</f>
        <v>0</v>
      </c>
      <c r="L2506">
        <f>Data!F2519</f>
        <v>0</v>
      </c>
      <c r="M2506">
        <f>Data!G2519</f>
        <v>0</v>
      </c>
      <c r="N2506">
        <f>Data!H2519</f>
        <v>0</v>
      </c>
      <c r="O2506">
        <f>Data!I2519</f>
        <v>0</v>
      </c>
      <c r="P2506" s="21">
        <f>Data!J2523</f>
        <v>0</v>
      </c>
      <c r="Q2506">
        <f>Data!K2523</f>
        <v>0</v>
      </c>
      <c r="R2506">
        <f>Data!L2523</f>
        <v>0</v>
      </c>
      <c r="S2506">
        <f>Data!M2523</f>
        <v>0</v>
      </c>
      <c r="T2506">
        <f>Data!N2523</f>
        <v>0</v>
      </c>
      <c r="U2506">
        <f>Data!O2523</f>
        <v>0</v>
      </c>
      <c r="V2506" s="33">
        <f>Data!P2521</f>
        <v>0</v>
      </c>
    </row>
    <row r="2507" spans="7:22" x14ac:dyDescent="0.25">
      <c r="G2507">
        <f>Data!A2520</f>
        <v>0</v>
      </c>
      <c r="H2507" s="21">
        <f>Data!B2520</f>
        <v>0</v>
      </c>
      <c r="I2507" s="21">
        <f>Data!C2520</f>
        <v>0</v>
      </c>
      <c r="J2507">
        <f>Data!D2520</f>
        <v>0</v>
      </c>
      <c r="K2507">
        <f>Data!E2520</f>
        <v>0</v>
      </c>
      <c r="L2507">
        <f>Data!F2520</f>
        <v>0</v>
      </c>
      <c r="M2507">
        <f>Data!G2520</f>
        <v>0</v>
      </c>
      <c r="N2507">
        <f>Data!H2520</f>
        <v>0</v>
      </c>
      <c r="O2507">
        <f>Data!I2520</f>
        <v>0</v>
      </c>
      <c r="P2507" s="21">
        <f>Data!J2524</f>
        <v>0</v>
      </c>
      <c r="Q2507">
        <f>Data!K2524</f>
        <v>0</v>
      </c>
      <c r="R2507">
        <f>Data!L2524</f>
        <v>0</v>
      </c>
      <c r="S2507">
        <f>Data!M2524</f>
        <v>0</v>
      </c>
      <c r="T2507">
        <f>Data!N2524</f>
        <v>0</v>
      </c>
      <c r="U2507">
        <f>Data!O2524</f>
        <v>0</v>
      </c>
      <c r="V2507" s="33">
        <f>Data!P2522</f>
        <v>0</v>
      </c>
    </row>
    <row r="2508" spans="7:22" x14ac:dyDescent="0.25">
      <c r="G2508">
        <f>Data!A2521</f>
        <v>0</v>
      </c>
      <c r="H2508" s="21">
        <f>Data!B2521</f>
        <v>0</v>
      </c>
      <c r="I2508" s="21">
        <f>Data!C2521</f>
        <v>0</v>
      </c>
      <c r="J2508">
        <f>Data!D2521</f>
        <v>0</v>
      </c>
      <c r="K2508">
        <f>Data!E2521</f>
        <v>0</v>
      </c>
      <c r="L2508">
        <f>Data!F2521</f>
        <v>0</v>
      </c>
      <c r="M2508">
        <f>Data!G2521</f>
        <v>0</v>
      </c>
      <c r="N2508">
        <f>Data!H2521</f>
        <v>0</v>
      </c>
      <c r="O2508">
        <f>Data!I2521</f>
        <v>0</v>
      </c>
      <c r="P2508" s="21">
        <f>Data!J2525</f>
        <v>0</v>
      </c>
      <c r="Q2508">
        <f>Data!K2525</f>
        <v>0</v>
      </c>
      <c r="R2508">
        <f>Data!L2525</f>
        <v>0</v>
      </c>
      <c r="S2508">
        <f>Data!M2525</f>
        <v>0</v>
      </c>
      <c r="T2508">
        <f>Data!N2525</f>
        <v>0</v>
      </c>
      <c r="U2508">
        <f>Data!O2525</f>
        <v>0</v>
      </c>
      <c r="V2508" s="33">
        <f>Data!P2523</f>
        <v>0</v>
      </c>
    </row>
    <row r="2509" spans="7:22" x14ac:dyDescent="0.25">
      <c r="G2509">
        <f>Data!A2522</f>
        <v>0</v>
      </c>
      <c r="H2509" s="21">
        <f>Data!B2522</f>
        <v>0</v>
      </c>
      <c r="I2509" s="21">
        <f>Data!C2522</f>
        <v>0</v>
      </c>
      <c r="J2509">
        <f>Data!D2522</f>
        <v>0</v>
      </c>
      <c r="K2509">
        <f>Data!E2522</f>
        <v>0</v>
      </c>
      <c r="L2509">
        <f>Data!F2522</f>
        <v>0</v>
      </c>
      <c r="M2509">
        <f>Data!G2522</f>
        <v>0</v>
      </c>
      <c r="N2509">
        <f>Data!H2522</f>
        <v>0</v>
      </c>
      <c r="O2509">
        <f>Data!I2522</f>
        <v>0</v>
      </c>
      <c r="P2509" s="21">
        <f>Data!J2526</f>
        <v>0</v>
      </c>
      <c r="Q2509">
        <f>Data!K2526</f>
        <v>0</v>
      </c>
      <c r="R2509">
        <f>Data!L2526</f>
        <v>0</v>
      </c>
      <c r="S2509">
        <f>Data!M2526</f>
        <v>0</v>
      </c>
      <c r="T2509">
        <f>Data!N2526</f>
        <v>0</v>
      </c>
      <c r="U2509">
        <f>Data!O2526</f>
        <v>0</v>
      </c>
      <c r="V2509" s="33">
        <f>Data!P2524</f>
        <v>0</v>
      </c>
    </row>
    <row r="2510" spans="7:22" x14ac:dyDescent="0.25">
      <c r="G2510">
        <f>Data!A2523</f>
        <v>0</v>
      </c>
      <c r="H2510" s="21">
        <f>Data!B2523</f>
        <v>0</v>
      </c>
      <c r="I2510" s="21">
        <f>Data!C2523</f>
        <v>0</v>
      </c>
      <c r="J2510">
        <f>Data!D2523</f>
        <v>0</v>
      </c>
      <c r="K2510">
        <f>Data!E2523</f>
        <v>0</v>
      </c>
      <c r="L2510">
        <f>Data!F2523</f>
        <v>0</v>
      </c>
      <c r="M2510">
        <f>Data!G2523</f>
        <v>0</v>
      </c>
      <c r="N2510">
        <f>Data!H2523</f>
        <v>0</v>
      </c>
      <c r="O2510">
        <f>Data!I2523</f>
        <v>0</v>
      </c>
      <c r="P2510" s="21">
        <f>Data!J2527</f>
        <v>0</v>
      </c>
      <c r="Q2510">
        <f>Data!K2527</f>
        <v>0</v>
      </c>
      <c r="R2510">
        <f>Data!L2527</f>
        <v>0</v>
      </c>
      <c r="S2510">
        <f>Data!M2527</f>
        <v>0</v>
      </c>
      <c r="T2510">
        <f>Data!N2527</f>
        <v>0</v>
      </c>
      <c r="U2510">
        <f>Data!O2527</f>
        <v>0</v>
      </c>
      <c r="V2510" s="33">
        <f>Data!P2525</f>
        <v>0</v>
      </c>
    </row>
    <row r="2511" spans="7:22" x14ac:dyDescent="0.25">
      <c r="G2511">
        <f>Data!A2524</f>
        <v>0</v>
      </c>
      <c r="H2511" s="21">
        <f>Data!B2524</f>
        <v>0</v>
      </c>
      <c r="I2511" s="21">
        <f>Data!C2524</f>
        <v>0</v>
      </c>
      <c r="J2511">
        <f>Data!D2524</f>
        <v>0</v>
      </c>
      <c r="K2511">
        <f>Data!E2524</f>
        <v>0</v>
      </c>
      <c r="L2511">
        <f>Data!F2524</f>
        <v>0</v>
      </c>
      <c r="M2511">
        <f>Data!G2524</f>
        <v>0</v>
      </c>
      <c r="N2511">
        <f>Data!H2524</f>
        <v>0</v>
      </c>
      <c r="O2511">
        <f>Data!I2524</f>
        <v>0</v>
      </c>
      <c r="P2511" s="21">
        <f>Data!J2528</f>
        <v>0</v>
      </c>
      <c r="Q2511">
        <f>Data!K2528</f>
        <v>0</v>
      </c>
      <c r="R2511">
        <f>Data!L2528</f>
        <v>0</v>
      </c>
      <c r="S2511">
        <f>Data!M2528</f>
        <v>0</v>
      </c>
      <c r="T2511">
        <f>Data!N2528</f>
        <v>0</v>
      </c>
      <c r="U2511">
        <f>Data!O2528</f>
        <v>0</v>
      </c>
      <c r="V2511" s="33">
        <f>Data!P2526</f>
        <v>0</v>
      </c>
    </row>
    <row r="2512" spans="7:22" x14ac:dyDescent="0.25">
      <c r="G2512">
        <f>Data!A2525</f>
        <v>0</v>
      </c>
      <c r="H2512" s="21">
        <f>Data!B2525</f>
        <v>0</v>
      </c>
      <c r="I2512" s="21">
        <f>Data!C2525</f>
        <v>0</v>
      </c>
      <c r="J2512">
        <f>Data!D2525</f>
        <v>0</v>
      </c>
      <c r="K2512">
        <f>Data!E2525</f>
        <v>0</v>
      </c>
      <c r="L2512">
        <f>Data!F2525</f>
        <v>0</v>
      </c>
      <c r="M2512">
        <f>Data!G2525</f>
        <v>0</v>
      </c>
      <c r="N2512">
        <f>Data!H2525</f>
        <v>0</v>
      </c>
      <c r="O2512">
        <f>Data!I2525</f>
        <v>0</v>
      </c>
      <c r="P2512" s="21">
        <f>Data!J2529</f>
        <v>0</v>
      </c>
      <c r="Q2512">
        <f>Data!K2529</f>
        <v>0</v>
      </c>
      <c r="R2512">
        <f>Data!L2529</f>
        <v>0</v>
      </c>
      <c r="S2512">
        <f>Data!M2529</f>
        <v>0</v>
      </c>
      <c r="T2512">
        <f>Data!N2529</f>
        <v>0</v>
      </c>
      <c r="U2512">
        <f>Data!O2529</f>
        <v>0</v>
      </c>
      <c r="V2512" s="33">
        <f>Data!P2527</f>
        <v>0</v>
      </c>
    </row>
    <row r="2513" spans="7:22" x14ac:dyDescent="0.25">
      <c r="G2513">
        <f>Data!A2526</f>
        <v>0</v>
      </c>
      <c r="H2513" s="21">
        <f>Data!B2526</f>
        <v>0</v>
      </c>
      <c r="I2513" s="21">
        <f>Data!C2526</f>
        <v>0</v>
      </c>
      <c r="J2513">
        <f>Data!D2526</f>
        <v>0</v>
      </c>
      <c r="K2513">
        <f>Data!E2526</f>
        <v>0</v>
      </c>
      <c r="L2513">
        <f>Data!F2526</f>
        <v>0</v>
      </c>
      <c r="M2513">
        <f>Data!G2526</f>
        <v>0</v>
      </c>
      <c r="N2513">
        <f>Data!H2526</f>
        <v>0</v>
      </c>
      <c r="O2513">
        <f>Data!I2526</f>
        <v>0</v>
      </c>
      <c r="P2513" s="21">
        <f>Data!J2530</f>
        <v>0</v>
      </c>
      <c r="Q2513">
        <f>Data!K2530</f>
        <v>0</v>
      </c>
      <c r="R2513">
        <f>Data!L2530</f>
        <v>0</v>
      </c>
      <c r="S2513">
        <f>Data!M2530</f>
        <v>0</v>
      </c>
      <c r="T2513">
        <f>Data!N2530</f>
        <v>0</v>
      </c>
      <c r="U2513">
        <f>Data!O2530</f>
        <v>0</v>
      </c>
      <c r="V2513" s="33">
        <f>Data!P2528</f>
        <v>0</v>
      </c>
    </row>
    <row r="2514" spans="7:22" x14ac:dyDescent="0.25">
      <c r="G2514">
        <f>Data!A2527</f>
        <v>0</v>
      </c>
      <c r="H2514" s="21">
        <f>Data!B2527</f>
        <v>0</v>
      </c>
      <c r="I2514" s="21">
        <f>Data!C2527</f>
        <v>0</v>
      </c>
      <c r="J2514">
        <f>Data!D2527</f>
        <v>0</v>
      </c>
      <c r="K2514">
        <f>Data!E2527</f>
        <v>0</v>
      </c>
      <c r="L2514">
        <f>Data!F2527</f>
        <v>0</v>
      </c>
      <c r="M2514">
        <f>Data!G2527</f>
        <v>0</v>
      </c>
      <c r="N2514">
        <f>Data!H2527</f>
        <v>0</v>
      </c>
      <c r="O2514">
        <f>Data!I2527</f>
        <v>0</v>
      </c>
      <c r="P2514" s="21">
        <f>Data!J2531</f>
        <v>0</v>
      </c>
      <c r="Q2514">
        <f>Data!K2531</f>
        <v>0</v>
      </c>
      <c r="R2514">
        <f>Data!L2531</f>
        <v>0</v>
      </c>
      <c r="S2514">
        <f>Data!M2531</f>
        <v>0</v>
      </c>
      <c r="T2514">
        <f>Data!N2531</f>
        <v>0</v>
      </c>
      <c r="U2514">
        <f>Data!O2531</f>
        <v>0</v>
      </c>
      <c r="V2514" s="33">
        <f>Data!P2529</f>
        <v>0</v>
      </c>
    </row>
    <row r="2515" spans="7:22" x14ac:dyDescent="0.25">
      <c r="G2515">
        <f>Data!A2528</f>
        <v>0</v>
      </c>
      <c r="H2515" s="21">
        <f>Data!B2528</f>
        <v>0</v>
      </c>
      <c r="I2515" s="21">
        <f>Data!C2528</f>
        <v>0</v>
      </c>
      <c r="J2515">
        <f>Data!D2528</f>
        <v>0</v>
      </c>
      <c r="K2515">
        <f>Data!E2528</f>
        <v>0</v>
      </c>
      <c r="L2515">
        <f>Data!F2528</f>
        <v>0</v>
      </c>
      <c r="M2515">
        <f>Data!G2528</f>
        <v>0</v>
      </c>
      <c r="N2515">
        <f>Data!H2528</f>
        <v>0</v>
      </c>
      <c r="O2515">
        <f>Data!I2528</f>
        <v>0</v>
      </c>
      <c r="P2515" s="21">
        <f>Data!J2532</f>
        <v>0</v>
      </c>
      <c r="Q2515">
        <f>Data!K2532</f>
        <v>0</v>
      </c>
      <c r="R2515">
        <f>Data!L2532</f>
        <v>0</v>
      </c>
      <c r="S2515">
        <f>Data!M2532</f>
        <v>0</v>
      </c>
      <c r="T2515">
        <f>Data!N2532</f>
        <v>0</v>
      </c>
      <c r="U2515">
        <f>Data!O2532</f>
        <v>0</v>
      </c>
      <c r="V2515" s="33">
        <f>Data!P2530</f>
        <v>0</v>
      </c>
    </row>
    <row r="2516" spans="7:22" x14ac:dyDescent="0.25">
      <c r="G2516">
        <f>Data!A2529</f>
        <v>0</v>
      </c>
      <c r="H2516" s="21">
        <f>Data!B2529</f>
        <v>0</v>
      </c>
      <c r="I2516" s="21">
        <f>Data!C2529</f>
        <v>0</v>
      </c>
      <c r="J2516">
        <f>Data!D2529</f>
        <v>0</v>
      </c>
      <c r="K2516">
        <f>Data!E2529</f>
        <v>0</v>
      </c>
      <c r="L2516">
        <f>Data!F2529</f>
        <v>0</v>
      </c>
      <c r="M2516">
        <f>Data!G2529</f>
        <v>0</v>
      </c>
      <c r="N2516">
        <f>Data!H2529</f>
        <v>0</v>
      </c>
      <c r="O2516">
        <f>Data!I2529</f>
        <v>0</v>
      </c>
      <c r="P2516" s="21">
        <f>Data!J2533</f>
        <v>0</v>
      </c>
      <c r="Q2516">
        <f>Data!K2533</f>
        <v>0</v>
      </c>
      <c r="R2516">
        <f>Data!L2533</f>
        <v>0</v>
      </c>
      <c r="S2516">
        <f>Data!M2533</f>
        <v>0</v>
      </c>
      <c r="T2516">
        <f>Data!N2533</f>
        <v>0</v>
      </c>
      <c r="U2516">
        <f>Data!O2533</f>
        <v>0</v>
      </c>
      <c r="V2516" s="33">
        <f>Data!P2531</f>
        <v>0</v>
      </c>
    </row>
    <row r="2517" spans="7:22" x14ac:dyDescent="0.25">
      <c r="G2517">
        <f>Data!A2530</f>
        <v>0</v>
      </c>
      <c r="H2517" s="21">
        <f>Data!B2530</f>
        <v>0</v>
      </c>
      <c r="I2517" s="21">
        <f>Data!C2530</f>
        <v>0</v>
      </c>
      <c r="J2517">
        <f>Data!D2530</f>
        <v>0</v>
      </c>
      <c r="K2517">
        <f>Data!E2530</f>
        <v>0</v>
      </c>
      <c r="L2517">
        <f>Data!F2530</f>
        <v>0</v>
      </c>
      <c r="M2517">
        <f>Data!G2530</f>
        <v>0</v>
      </c>
      <c r="N2517">
        <f>Data!H2530</f>
        <v>0</v>
      </c>
      <c r="O2517">
        <f>Data!I2530</f>
        <v>0</v>
      </c>
      <c r="P2517" s="21">
        <f>Data!J2534</f>
        <v>0</v>
      </c>
      <c r="Q2517">
        <f>Data!K2534</f>
        <v>0</v>
      </c>
      <c r="R2517">
        <f>Data!L2534</f>
        <v>0</v>
      </c>
      <c r="S2517">
        <f>Data!M2534</f>
        <v>0</v>
      </c>
      <c r="T2517">
        <f>Data!N2534</f>
        <v>0</v>
      </c>
      <c r="U2517">
        <f>Data!O2534</f>
        <v>0</v>
      </c>
      <c r="V2517" s="33">
        <f>Data!P2532</f>
        <v>0</v>
      </c>
    </row>
    <row r="2518" spans="7:22" x14ac:dyDescent="0.25">
      <c r="G2518">
        <f>Data!A2531</f>
        <v>0</v>
      </c>
      <c r="H2518" s="21">
        <f>Data!B2531</f>
        <v>0</v>
      </c>
      <c r="I2518" s="21">
        <f>Data!C2531</f>
        <v>0</v>
      </c>
      <c r="J2518">
        <f>Data!D2531</f>
        <v>0</v>
      </c>
      <c r="K2518">
        <f>Data!E2531</f>
        <v>0</v>
      </c>
      <c r="L2518">
        <f>Data!F2531</f>
        <v>0</v>
      </c>
      <c r="M2518">
        <f>Data!G2531</f>
        <v>0</v>
      </c>
      <c r="N2518">
        <f>Data!H2531</f>
        <v>0</v>
      </c>
      <c r="O2518">
        <f>Data!I2531</f>
        <v>0</v>
      </c>
      <c r="P2518" s="21">
        <f>Data!J2535</f>
        <v>0</v>
      </c>
      <c r="Q2518">
        <f>Data!K2535</f>
        <v>0</v>
      </c>
      <c r="R2518">
        <f>Data!L2535</f>
        <v>0</v>
      </c>
      <c r="S2518">
        <f>Data!M2535</f>
        <v>0</v>
      </c>
      <c r="T2518">
        <f>Data!N2535</f>
        <v>0</v>
      </c>
      <c r="U2518">
        <f>Data!O2535</f>
        <v>0</v>
      </c>
      <c r="V2518" s="33">
        <f>Data!P2533</f>
        <v>0</v>
      </c>
    </row>
    <row r="2519" spans="7:22" x14ac:dyDescent="0.25">
      <c r="G2519">
        <f>Data!A2532</f>
        <v>0</v>
      </c>
      <c r="H2519" s="21">
        <f>Data!B2532</f>
        <v>0</v>
      </c>
      <c r="I2519" s="21">
        <f>Data!C2532</f>
        <v>0</v>
      </c>
      <c r="J2519">
        <f>Data!D2532</f>
        <v>0</v>
      </c>
      <c r="K2519">
        <f>Data!E2532</f>
        <v>0</v>
      </c>
      <c r="L2519">
        <f>Data!F2532</f>
        <v>0</v>
      </c>
      <c r="M2519">
        <f>Data!G2532</f>
        <v>0</v>
      </c>
      <c r="N2519">
        <f>Data!H2532</f>
        <v>0</v>
      </c>
      <c r="O2519">
        <f>Data!I2532</f>
        <v>0</v>
      </c>
      <c r="P2519" s="21">
        <f>Data!J2536</f>
        <v>0</v>
      </c>
      <c r="Q2519">
        <f>Data!K2536</f>
        <v>0</v>
      </c>
      <c r="R2519">
        <f>Data!L2536</f>
        <v>0</v>
      </c>
      <c r="S2519">
        <f>Data!M2536</f>
        <v>0</v>
      </c>
      <c r="T2519">
        <f>Data!N2536</f>
        <v>0</v>
      </c>
      <c r="U2519">
        <f>Data!O2536</f>
        <v>0</v>
      </c>
      <c r="V2519" s="33">
        <f>Data!P2534</f>
        <v>0</v>
      </c>
    </row>
    <row r="2520" spans="7:22" x14ac:dyDescent="0.25">
      <c r="G2520">
        <f>Data!A2533</f>
        <v>0</v>
      </c>
      <c r="H2520" s="21">
        <f>Data!B2533</f>
        <v>0</v>
      </c>
      <c r="I2520" s="21">
        <f>Data!C2533</f>
        <v>0</v>
      </c>
      <c r="J2520">
        <f>Data!D2533</f>
        <v>0</v>
      </c>
      <c r="K2520">
        <f>Data!E2533</f>
        <v>0</v>
      </c>
      <c r="L2520">
        <f>Data!F2533</f>
        <v>0</v>
      </c>
      <c r="M2520">
        <f>Data!G2533</f>
        <v>0</v>
      </c>
      <c r="N2520">
        <f>Data!H2533</f>
        <v>0</v>
      </c>
      <c r="O2520">
        <f>Data!I2533</f>
        <v>0</v>
      </c>
      <c r="P2520" s="21">
        <f>Data!J2537</f>
        <v>0</v>
      </c>
      <c r="Q2520">
        <f>Data!K2537</f>
        <v>0</v>
      </c>
      <c r="R2520">
        <f>Data!L2537</f>
        <v>0</v>
      </c>
      <c r="S2520">
        <f>Data!M2537</f>
        <v>0</v>
      </c>
      <c r="T2520">
        <f>Data!N2537</f>
        <v>0</v>
      </c>
      <c r="U2520">
        <f>Data!O2537</f>
        <v>0</v>
      </c>
      <c r="V2520" s="33">
        <f>Data!P2535</f>
        <v>0</v>
      </c>
    </row>
    <row r="2521" spans="7:22" x14ac:dyDescent="0.25">
      <c r="G2521">
        <f>Data!A2534</f>
        <v>0</v>
      </c>
      <c r="H2521" s="21">
        <f>Data!B2534</f>
        <v>0</v>
      </c>
      <c r="I2521" s="21">
        <f>Data!C2534</f>
        <v>0</v>
      </c>
      <c r="J2521">
        <f>Data!D2534</f>
        <v>0</v>
      </c>
      <c r="K2521">
        <f>Data!E2534</f>
        <v>0</v>
      </c>
      <c r="L2521">
        <f>Data!F2534</f>
        <v>0</v>
      </c>
      <c r="M2521">
        <f>Data!G2534</f>
        <v>0</v>
      </c>
      <c r="N2521">
        <f>Data!H2534</f>
        <v>0</v>
      </c>
      <c r="O2521">
        <f>Data!I2534</f>
        <v>0</v>
      </c>
      <c r="P2521" s="21">
        <f>Data!J2538</f>
        <v>0</v>
      </c>
      <c r="Q2521">
        <f>Data!K2538</f>
        <v>0</v>
      </c>
      <c r="R2521">
        <f>Data!L2538</f>
        <v>0</v>
      </c>
      <c r="S2521">
        <f>Data!M2538</f>
        <v>0</v>
      </c>
      <c r="T2521">
        <f>Data!N2538</f>
        <v>0</v>
      </c>
      <c r="U2521">
        <f>Data!O2538</f>
        <v>0</v>
      </c>
      <c r="V2521" s="33">
        <f>Data!P2536</f>
        <v>0</v>
      </c>
    </row>
    <row r="2522" spans="7:22" x14ac:dyDescent="0.25">
      <c r="G2522">
        <f>Data!A2535</f>
        <v>0</v>
      </c>
      <c r="H2522" s="21">
        <f>Data!B2535</f>
        <v>0</v>
      </c>
      <c r="I2522" s="21">
        <f>Data!C2535</f>
        <v>0</v>
      </c>
      <c r="J2522">
        <f>Data!D2535</f>
        <v>0</v>
      </c>
      <c r="K2522">
        <f>Data!E2535</f>
        <v>0</v>
      </c>
      <c r="L2522">
        <f>Data!F2535</f>
        <v>0</v>
      </c>
      <c r="M2522">
        <f>Data!G2535</f>
        <v>0</v>
      </c>
      <c r="N2522">
        <f>Data!H2535</f>
        <v>0</v>
      </c>
      <c r="O2522">
        <f>Data!I2535</f>
        <v>0</v>
      </c>
      <c r="P2522" s="21">
        <f>Data!J2539</f>
        <v>0</v>
      </c>
      <c r="Q2522">
        <f>Data!K2539</f>
        <v>0</v>
      </c>
      <c r="R2522">
        <f>Data!L2539</f>
        <v>0</v>
      </c>
      <c r="S2522">
        <f>Data!M2539</f>
        <v>0</v>
      </c>
      <c r="T2522">
        <f>Data!N2539</f>
        <v>0</v>
      </c>
      <c r="U2522">
        <f>Data!O2539</f>
        <v>0</v>
      </c>
      <c r="V2522" s="33">
        <f>Data!P2537</f>
        <v>0</v>
      </c>
    </row>
    <row r="2523" spans="7:22" x14ac:dyDescent="0.25">
      <c r="G2523">
        <f>Data!A2536</f>
        <v>0</v>
      </c>
      <c r="H2523" s="21">
        <f>Data!B2536</f>
        <v>0</v>
      </c>
      <c r="I2523" s="21">
        <f>Data!C2536</f>
        <v>0</v>
      </c>
      <c r="J2523">
        <f>Data!D2536</f>
        <v>0</v>
      </c>
      <c r="K2523">
        <f>Data!E2536</f>
        <v>0</v>
      </c>
      <c r="L2523">
        <f>Data!F2536</f>
        <v>0</v>
      </c>
      <c r="M2523">
        <f>Data!G2536</f>
        <v>0</v>
      </c>
      <c r="N2523">
        <f>Data!H2536</f>
        <v>0</v>
      </c>
      <c r="O2523">
        <f>Data!I2536</f>
        <v>0</v>
      </c>
      <c r="P2523" s="21">
        <f>Data!J2540</f>
        <v>0</v>
      </c>
      <c r="Q2523">
        <f>Data!K2540</f>
        <v>0</v>
      </c>
      <c r="R2523">
        <f>Data!L2540</f>
        <v>0</v>
      </c>
      <c r="S2523">
        <f>Data!M2540</f>
        <v>0</v>
      </c>
      <c r="T2523">
        <f>Data!N2540</f>
        <v>0</v>
      </c>
      <c r="U2523">
        <f>Data!O2540</f>
        <v>0</v>
      </c>
      <c r="V2523" s="33">
        <f>Data!P2538</f>
        <v>0</v>
      </c>
    </row>
    <row r="2524" spans="7:22" x14ac:dyDescent="0.25">
      <c r="G2524">
        <f>Data!A2537</f>
        <v>0</v>
      </c>
      <c r="H2524" s="21">
        <f>Data!B2537</f>
        <v>0</v>
      </c>
      <c r="I2524" s="21">
        <f>Data!C2537</f>
        <v>0</v>
      </c>
      <c r="J2524">
        <f>Data!D2537</f>
        <v>0</v>
      </c>
      <c r="K2524">
        <f>Data!E2537</f>
        <v>0</v>
      </c>
      <c r="L2524">
        <f>Data!F2537</f>
        <v>0</v>
      </c>
      <c r="M2524">
        <f>Data!G2537</f>
        <v>0</v>
      </c>
      <c r="N2524">
        <f>Data!H2537</f>
        <v>0</v>
      </c>
      <c r="O2524">
        <f>Data!I2537</f>
        <v>0</v>
      </c>
      <c r="P2524" s="21">
        <f>Data!J2541</f>
        <v>0</v>
      </c>
      <c r="Q2524">
        <f>Data!K2541</f>
        <v>0</v>
      </c>
      <c r="R2524">
        <f>Data!L2541</f>
        <v>0</v>
      </c>
      <c r="S2524">
        <f>Data!M2541</f>
        <v>0</v>
      </c>
      <c r="T2524">
        <f>Data!N2541</f>
        <v>0</v>
      </c>
      <c r="U2524">
        <f>Data!O2541</f>
        <v>0</v>
      </c>
      <c r="V2524" s="33">
        <f>Data!P2539</f>
        <v>0</v>
      </c>
    </row>
    <row r="2525" spans="7:22" x14ac:dyDescent="0.25">
      <c r="G2525">
        <f>Data!A2538</f>
        <v>0</v>
      </c>
      <c r="H2525" s="21">
        <f>Data!B2538</f>
        <v>0</v>
      </c>
      <c r="I2525" s="21">
        <f>Data!C2538</f>
        <v>0</v>
      </c>
      <c r="J2525">
        <f>Data!D2538</f>
        <v>0</v>
      </c>
      <c r="K2525">
        <f>Data!E2538</f>
        <v>0</v>
      </c>
      <c r="L2525">
        <f>Data!F2538</f>
        <v>0</v>
      </c>
      <c r="M2525">
        <f>Data!G2538</f>
        <v>0</v>
      </c>
      <c r="N2525">
        <f>Data!H2538</f>
        <v>0</v>
      </c>
      <c r="O2525">
        <f>Data!I2538</f>
        <v>0</v>
      </c>
      <c r="P2525" s="21">
        <f>Data!J2542</f>
        <v>0</v>
      </c>
      <c r="Q2525">
        <f>Data!K2542</f>
        <v>0</v>
      </c>
      <c r="R2525">
        <f>Data!L2542</f>
        <v>0</v>
      </c>
      <c r="S2525">
        <f>Data!M2542</f>
        <v>0</v>
      </c>
      <c r="T2525">
        <f>Data!N2542</f>
        <v>0</v>
      </c>
      <c r="U2525">
        <f>Data!O2542</f>
        <v>0</v>
      </c>
      <c r="V2525" s="33">
        <f>Data!P2540</f>
        <v>0</v>
      </c>
    </row>
    <row r="2526" spans="7:22" x14ac:dyDescent="0.25">
      <c r="G2526">
        <f>Data!A2539</f>
        <v>0</v>
      </c>
      <c r="H2526" s="21">
        <f>Data!B2539</f>
        <v>0</v>
      </c>
      <c r="I2526" s="21">
        <f>Data!C2539</f>
        <v>0</v>
      </c>
      <c r="J2526">
        <f>Data!D2539</f>
        <v>0</v>
      </c>
      <c r="K2526">
        <f>Data!E2539</f>
        <v>0</v>
      </c>
      <c r="L2526">
        <f>Data!F2539</f>
        <v>0</v>
      </c>
      <c r="M2526">
        <f>Data!G2539</f>
        <v>0</v>
      </c>
      <c r="N2526">
        <f>Data!H2539</f>
        <v>0</v>
      </c>
      <c r="O2526">
        <f>Data!I2539</f>
        <v>0</v>
      </c>
      <c r="P2526" s="21">
        <f>Data!J2543</f>
        <v>0</v>
      </c>
      <c r="Q2526">
        <f>Data!K2543</f>
        <v>0</v>
      </c>
      <c r="R2526">
        <f>Data!L2543</f>
        <v>0</v>
      </c>
      <c r="S2526">
        <f>Data!M2543</f>
        <v>0</v>
      </c>
      <c r="T2526">
        <f>Data!N2543</f>
        <v>0</v>
      </c>
      <c r="U2526">
        <f>Data!O2543</f>
        <v>0</v>
      </c>
      <c r="V2526" s="33">
        <f>Data!P2541</f>
        <v>0</v>
      </c>
    </row>
    <row r="2527" spans="7:22" x14ac:dyDescent="0.25">
      <c r="G2527">
        <f>Data!A2540</f>
        <v>0</v>
      </c>
      <c r="H2527" s="21">
        <f>Data!B2540</f>
        <v>0</v>
      </c>
      <c r="I2527" s="21">
        <f>Data!C2540</f>
        <v>0</v>
      </c>
      <c r="J2527">
        <f>Data!D2540</f>
        <v>0</v>
      </c>
      <c r="K2527">
        <f>Data!E2540</f>
        <v>0</v>
      </c>
      <c r="L2527">
        <f>Data!F2540</f>
        <v>0</v>
      </c>
      <c r="M2527">
        <f>Data!G2540</f>
        <v>0</v>
      </c>
      <c r="N2527">
        <f>Data!H2540</f>
        <v>0</v>
      </c>
      <c r="O2527">
        <f>Data!I2540</f>
        <v>0</v>
      </c>
      <c r="P2527" s="21">
        <f>Data!J2544</f>
        <v>0</v>
      </c>
      <c r="Q2527">
        <f>Data!K2544</f>
        <v>0</v>
      </c>
      <c r="R2527">
        <f>Data!L2544</f>
        <v>0</v>
      </c>
      <c r="S2527">
        <f>Data!M2544</f>
        <v>0</v>
      </c>
      <c r="T2527">
        <f>Data!N2544</f>
        <v>0</v>
      </c>
      <c r="U2527">
        <f>Data!O2544</f>
        <v>0</v>
      </c>
      <c r="V2527" s="33">
        <f>Data!P2542</f>
        <v>0</v>
      </c>
    </row>
    <row r="2528" spans="7:22" x14ac:dyDescent="0.25">
      <c r="G2528">
        <f>Data!A2541</f>
        <v>0</v>
      </c>
      <c r="H2528" s="21">
        <f>Data!B2541</f>
        <v>0</v>
      </c>
      <c r="I2528" s="21">
        <f>Data!C2541</f>
        <v>0</v>
      </c>
      <c r="J2528">
        <f>Data!D2541</f>
        <v>0</v>
      </c>
      <c r="K2528">
        <f>Data!E2541</f>
        <v>0</v>
      </c>
      <c r="L2528">
        <f>Data!F2541</f>
        <v>0</v>
      </c>
      <c r="M2528">
        <f>Data!G2541</f>
        <v>0</v>
      </c>
      <c r="N2528">
        <f>Data!H2541</f>
        <v>0</v>
      </c>
      <c r="O2528">
        <f>Data!I2541</f>
        <v>0</v>
      </c>
      <c r="P2528" s="21">
        <f>Data!J2545</f>
        <v>0</v>
      </c>
      <c r="Q2528">
        <f>Data!K2545</f>
        <v>0</v>
      </c>
      <c r="R2528">
        <f>Data!L2545</f>
        <v>0</v>
      </c>
      <c r="S2528">
        <f>Data!M2545</f>
        <v>0</v>
      </c>
      <c r="T2528">
        <f>Data!N2545</f>
        <v>0</v>
      </c>
      <c r="U2528">
        <f>Data!O2545</f>
        <v>0</v>
      </c>
      <c r="V2528" s="33">
        <f>Data!P2543</f>
        <v>0</v>
      </c>
    </row>
    <row r="2529" spans="7:22" x14ac:dyDescent="0.25">
      <c r="G2529">
        <f>Data!A2542</f>
        <v>0</v>
      </c>
      <c r="H2529" s="21">
        <f>Data!B2542</f>
        <v>0</v>
      </c>
      <c r="I2529" s="21">
        <f>Data!C2542</f>
        <v>0</v>
      </c>
      <c r="J2529">
        <f>Data!D2542</f>
        <v>0</v>
      </c>
      <c r="K2529">
        <f>Data!E2542</f>
        <v>0</v>
      </c>
      <c r="L2529">
        <f>Data!F2542</f>
        <v>0</v>
      </c>
      <c r="M2529">
        <f>Data!G2542</f>
        <v>0</v>
      </c>
      <c r="N2529">
        <f>Data!H2542</f>
        <v>0</v>
      </c>
      <c r="O2529">
        <f>Data!I2542</f>
        <v>0</v>
      </c>
      <c r="P2529" s="21">
        <f>Data!J2546</f>
        <v>0</v>
      </c>
      <c r="Q2529">
        <f>Data!K2546</f>
        <v>0</v>
      </c>
      <c r="R2529">
        <f>Data!L2546</f>
        <v>0</v>
      </c>
      <c r="S2529">
        <f>Data!M2546</f>
        <v>0</v>
      </c>
      <c r="T2529">
        <f>Data!N2546</f>
        <v>0</v>
      </c>
      <c r="U2529">
        <f>Data!O2546</f>
        <v>0</v>
      </c>
      <c r="V2529" s="33">
        <f>Data!P2544</f>
        <v>0</v>
      </c>
    </row>
    <row r="2530" spans="7:22" x14ac:dyDescent="0.25">
      <c r="G2530">
        <f>Data!A2543</f>
        <v>0</v>
      </c>
      <c r="H2530" s="21">
        <f>Data!B2543</f>
        <v>0</v>
      </c>
      <c r="I2530" s="21">
        <f>Data!C2543</f>
        <v>0</v>
      </c>
      <c r="J2530">
        <f>Data!D2543</f>
        <v>0</v>
      </c>
      <c r="K2530">
        <f>Data!E2543</f>
        <v>0</v>
      </c>
      <c r="L2530">
        <f>Data!F2543</f>
        <v>0</v>
      </c>
      <c r="M2530">
        <f>Data!G2543</f>
        <v>0</v>
      </c>
      <c r="N2530">
        <f>Data!H2543</f>
        <v>0</v>
      </c>
      <c r="O2530">
        <f>Data!I2543</f>
        <v>0</v>
      </c>
      <c r="P2530" s="21">
        <f>Data!J2547</f>
        <v>0</v>
      </c>
      <c r="Q2530">
        <f>Data!K2547</f>
        <v>0</v>
      </c>
      <c r="R2530">
        <f>Data!L2547</f>
        <v>0</v>
      </c>
      <c r="S2530">
        <f>Data!M2547</f>
        <v>0</v>
      </c>
      <c r="T2530">
        <f>Data!N2547</f>
        <v>0</v>
      </c>
      <c r="U2530">
        <f>Data!O2547</f>
        <v>0</v>
      </c>
      <c r="V2530" s="33">
        <f>Data!P2545</f>
        <v>0</v>
      </c>
    </row>
    <row r="2531" spans="7:22" x14ac:dyDescent="0.25">
      <c r="G2531">
        <f>Data!A2544</f>
        <v>0</v>
      </c>
      <c r="H2531" s="21">
        <f>Data!B2544</f>
        <v>0</v>
      </c>
      <c r="I2531" s="21">
        <f>Data!C2544</f>
        <v>0</v>
      </c>
      <c r="J2531">
        <f>Data!D2544</f>
        <v>0</v>
      </c>
      <c r="K2531">
        <f>Data!E2544</f>
        <v>0</v>
      </c>
      <c r="L2531">
        <f>Data!F2544</f>
        <v>0</v>
      </c>
      <c r="M2531">
        <f>Data!G2544</f>
        <v>0</v>
      </c>
      <c r="N2531">
        <f>Data!H2544</f>
        <v>0</v>
      </c>
      <c r="O2531">
        <f>Data!I2544</f>
        <v>0</v>
      </c>
      <c r="P2531" s="21">
        <f>Data!J2548</f>
        <v>0</v>
      </c>
      <c r="Q2531">
        <f>Data!K2548</f>
        <v>0</v>
      </c>
      <c r="R2531">
        <f>Data!L2548</f>
        <v>0</v>
      </c>
      <c r="S2531">
        <f>Data!M2548</f>
        <v>0</v>
      </c>
      <c r="T2531">
        <f>Data!N2548</f>
        <v>0</v>
      </c>
      <c r="U2531">
        <f>Data!O2548</f>
        <v>0</v>
      </c>
      <c r="V2531" s="33">
        <f>Data!P2546</f>
        <v>0</v>
      </c>
    </row>
    <row r="2532" spans="7:22" x14ac:dyDescent="0.25">
      <c r="G2532">
        <f>Data!A2545</f>
        <v>0</v>
      </c>
      <c r="H2532" s="21">
        <f>Data!B2545</f>
        <v>0</v>
      </c>
      <c r="I2532" s="21">
        <f>Data!C2545</f>
        <v>0</v>
      </c>
      <c r="J2532">
        <f>Data!D2545</f>
        <v>0</v>
      </c>
      <c r="K2532">
        <f>Data!E2545</f>
        <v>0</v>
      </c>
      <c r="L2532">
        <f>Data!F2545</f>
        <v>0</v>
      </c>
      <c r="M2532">
        <f>Data!G2545</f>
        <v>0</v>
      </c>
      <c r="N2532">
        <f>Data!H2545</f>
        <v>0</v>
      </c>
      <c r="O2532">
        <f>Data!I2545</f>
        <v>0</v>
      </c>
      <c r="P2532" s="21">
        <f>Data!J2549</f>
        <v>0</v>
      </c>
      <c r="Q2532">
        <f>Data!K2549</f>
        <v>0</v>
      </c>
      <c r="R2532">
        <f>Data!L2549</f>
        <v>0</v>
      </c>
      <c r="S2532">
        <f>Data!M2549</f>
        <v>0</v>
      </c>
      <c r="T2532">
        <f>Data!N2549</f>
        <v>0</v>
      </c>
      <c r="U2532">
        <f>Data!O2549</f>
        <v>0</v>
      </c>
      <c r="V2532" s="33">
        <f>Data!P2547</f>
        <v>0</v>
      </c>
    </row>
    <row r="2533" spans="7:22" x14ac:dyDescent="0.25">
      <c r="G2533">
        <f>Data!A2546</f>
        <v>0</v>
      </c>
      <c r="H2533" s="21">
        <f>Data!B2546</f>
        <v>0</v>
      </c>
      <c r="I2533" s="21">
        <f>Data!C2546</f>
        <v>0</v>
      </c>
      <c r="J2533">
        <f>Data!D2546</f>
        <v>0</v>
      </c>
      <c r="K2533">
        <f>Data!E2546</f>
        <v>0</v>
      </c>
      <c r="L2533">
        <f>Data!F2546</f>
        <v>0</v>
      </c>
      <c r="M2533">
        <f>Data!G2546</f>
        <v>0</v>
      </c>
      <c r="N2533">
        <f>Data!H2546</f>
        <v>0</v>
      </c>
      <c r="O2533">
        <f>Data!I2546</f>
        <v>0</v>
      </c>
      <c r="P2533" s="21">
        <f>Data!J2550</f>
        <v>0</v>
      </c>
      <c r="Q2533">
        <f>Data!K2550</f>
        <v>0</v>
      </c>
      <c r="R2533">
        <f>Data!L2550</f>
        <v>0</v>
      </c>
      <c r="S2533">
        <f>Data!M2550</f>
        <v>0</v>
      </c>
      <c r="T2533">
        <f>Data!N2550</f>
        <v>0</v>
      </c>
      <c r="U2533">
        <f>Data!O2550</f>
        <v>0</v>
      </c>
      <c r="V2533" s="33">
        <f>Data!P2548</f>
        <v>0</v>
      </c>
    </row>
    <row r="2534" spans="7:22" x14ac:dyDescent="0.25">
      <c r="G2534">
        <f>Data!A2547</f>
        <v>0</v>
      </c>
      <c r="H2534" s="21">
        <f>Data!B2547</f>
        <v>0</v>
      </c>
      <c r="I2534" s="21">
        <f>Data!C2547</f>
        <v>0</v>
      </c>
      <c r="J2534">
        <f>Data!D2547</f>
        <v>0</v>
      </c>
      <c r="K2534">
        <f>Data!E2547</f>
        <v>0</v>
      </c>
      <c r="L2534">
        <f>Data!F2547</f>
        <v>0</v>
      </c>
      <c r="M2534">
        <f>Data!G2547</f>
        <v>0</v>
      </c>
      <c r="N2534">
        <f>Data!H2547</f>
        <v>0</v>
      </c>
      <c r="O2534">
        <f>Data!I2547</f>
        <v>0</v>
      </c>
      <c r="P2534" s="21">
        <f>Data!J2551</f>
        <v>0</v>
      </c>
      <c r="Q2534">
        <f>Data!K2551</f>
        <v>0</v>
      </c>
      <c r="R2534">
        <f>Data!L2551</f>
        <v>0</v>
      </c>
      <c r="S2534">
        <f>Data!M2551</f>
        <v>0</v>
      </c>
      <c r="T2534">
        <f>Data!N2551</f>
        <v>0</v>
      </c>
      <c r="U2534">
        <f>Data!O2551</f>
        <v>0</v>
      </c>
      <c r="V2534" s="33">
        <f>Data!P2549</f>
        <v>0</v>
      </c>
    </row>
    <row r="2535" spans="7:22" x14ac:dyDescent="0.25">
      <c r="G2535">
        <f>Data!A2548</f>
        <v>0</v>
      </c>
      <c r="H2535" s="21">
        <f>Data!B2548</f>
        <v>0</v>
      </c>
      <c r="I2535" s="21">
        <f>Data!C2548</f>
        <v>0</v>
      </c>
      <c r="J2535">
        <f>Data!D2548</f>
        <v>0</v>
      </c>
      <c r="K2535">
        <f>Data!E2548</f>
        <v>0</v>
      </c>
      <c r="L2535">
        <f>Data!F2548</f>
        <v>0</v>
      </c>
      <c r="M2535">
        <f>Data!G2548</f>
        <v>0</v>
      </c>
      <c r="N2535">
        <f>Data!H2548</f>
        <v>0</v>
      </c>
      <c r="O2535">
        <f>Data!I2548</f>
        <v>0</v>
      </c>
      <c r="P2535" s="21">
        <f>Data!J2552</f>
        <v>0</v>
      </c>
      <c r="Q2535">
        <f>Data!K2552</f>
        <v>0</v>
      </c>
      <c r="R2535">
        <f>Data!L2552</f>
        <v>0</v>
      </c>
      <c r="S2535">
        <f>Data!M2552</f>
        <v>0</v>
      </c>
      <c r="T2535">
        <f>Data!N2552</f>
        <v>0</v>
      </c>
      <c r="U2535">
        <f>Data!O2552</f>
        <v>0</v>
      </c>
      <c r="V2535" s="33">
        <f>Data!P2550</f>
        <v>0</v>
      </c>
    </row>
    <row r="2536" spans="7:22" x14ac:dyDescent="0.25">
      <c r="G2536">
        <f>Data!A2549</f>
        <v>0</v>
      </c>
      <c r="H2536" s="21">
        <f>Data!B2549</f>
        <v>0</v>
      </c>
      <c r="I2536" s="21">
        <f>Data!C2549</f>
        <v>0</v>
      </c>
      <c r="J2536">
        <f>Data!D2549</f>
        <v>0</v>
      </c>
      <c r="K2536">
        <f>Data!E2549</f>
        <v>0</v>
      </c>
      <c r="L2536">
        <f>Data!F2549</f>
        <v>0</v>
      </c>
      <c r="M2536">
        <f>Data!G2549</f>
        <v>0</v>
      </c>
      <c r="N2536">
        <f>Data!H2549</f>
        <v>0</v>
      </c>
      <c r="O2536">
        <f>Data!I2549</f>
        <v>0</v>
      </c>
      <c r="P2536" s="21">
        <f>Data!J2553</f>
        <v>0</v>
      </c>
      <c r="Q2536">
        <f>Data!K2553</f>
        <v>0</v>
      </c>
      <c r="R2536">
        <f>Data!L2553</f>
        <v>0</v>
      </c>
      <c r="S2536">
        <f>Data!M2553</f>
        <v>0</v>
      </c>
      <c r="T2536">
        <f>Data!N2553</f>
        <v>0</v>
      </c>
      <c r="U2536">
        <f>Data!O2553</f>
        <v>0</v>
      </c>
      <c r="V2536" s="33">
        <f>Data!P2551</f>
        <v>0</v>
      </c>
    </row>
    <row r="2537" spans="7:22" x14ac:dyDescent="0.25">
      <c r="G2537">
        <f>Data!A2550</f>
        <v>0</v>
      </c>
      <c r="H2537" s="21">
        <f>Data!B2550</f>
        <v>0</v>
      </c>
      <c r="I2537" s="21">
        <f>Data!C2550</f>
        <v>0</v>
      </c>
      <c r="J2537">
        <f>Data!D2550</f>
        <v>0</v>
      </c>
      <c r="K2537">
        <f>Data!E2550</f>
        <v>0</v>
      </c>
      <c r="L2537">
        <f>Data!F2550</f>
        <v>0</v>
      </c>
      <c r="M2537">
        <f>Data!G2550</f>
        <v>0</v>
      </c>
      <c r="N2537">
        <f>Data!H2550</f>
        <v>0</v>
      </c>
      <c r="O2537">
        <f>Data!I2550</f>
        <v>0</v>
      </c>
      <c r="P2537" s="21">
        <f>Data!J2554</f>
        <v>0</v>
      </c>
      <c r="Q2537">
        <f>Data!K2554</f>
        <v>0</v>
      </c>
      <c r="R2537">
        <f>Data!L2554</f>
        <v>0</v>
      </c>
      <c r="S2537">
        <f>Data!M2554</f>
        <v>0</v>
      </c>
      <c r="T2537">
        <f>Data!N2554</f>
        <v>0</v>
      </c>
      <c r="U2537">
        <f>Data!O2554</f>
        <v>0</v>
      </c>
      <c r="V2537" s="33">
        <f>Data!P2552</f>
        <v>0</v>
      </c>
    </row>
    <row r="2538" spans="7:22" x14ac:dyDescent="0.25">
      <c r="G2538">
        <f>Data!A2551</f>
        <v>0</v>
      </c>
      <c r="H2538" s="21">
        <f>Data!B2551</f>
        <v>0</v>
      </c>
      <c r="I2538" s="21">
        <f>Data!C2551</f>
        <v>0</v>
      </c>
      <c r="J2538">
        <f>Data!D2551</f>
        <v>0</v>
      </c>
      <c r="K2538">
        <f>Data!E2551</f>
        <v>0</v>
      </c>
      <c r="L2538">
        <f>Data!F2551</f>
        <v>0</v>
      </c>
      <c r="M2538">
        <f>Data!G2551</f>
        <v>0</v>
      </c>
      <c r="N2538">
        <f>Data!H2551</f>
        <v>0</v>
      </c>
      <c r="O2538">
        <f>Data!I2551</f>
        <v>0</v>
      </c>
      <c r="P2538" s="21">
        <f>Data!J2555</f>
        <v>0</v>
      </c>
      <c r="Q2538">
        <f>Data!K2555</f>
        <v>0</v>
      </c>
      <c r="R2538">
        <f>Data!L2555</f>
        <v>0</v>
      </c>
      <c r="S2538">
        <f>Data!M2555</f>
        <v>0</v>
      </c>
      <c r="T2538">
        <f>Data!N2555</f>
        <v>0</v>
      </c>
      <c r="U2538">
        <f>Data!O2555</f>
        <v>0</v>
      </c>
      <c r="V2538" s="33">
        <f>Data!P2553</f>
        <v>0</v>
      </c>
    </row>
    <row r="2539" spans="7:22" x14ac:dyDescent="0.25">
      <c r="G2539">
        <f>Data!A2552</f>
        <v>0</v>
      </c>
      <c r="H2539" s="21">
        <f>Data!B2552</f>
        <v>0</v>
      </c>
      <c r="I2539" s="21">
        <f>Data!C2552</f>
        <v>0</v>
      </c>
      <c r="J2539">
        <f>Data!D2552</f>
        <v>0</v>
      </c>
      <c r="K2539">
        <f>Data!E2552</f>
        <v>0</v>
      </c>
      <c r="L2539">
        <f>Data!F2552</f>
        <v>0</v>
      </c>
      <c r="M2539">
        <f>Data!G2552</f>
        <v>0</v>
      </c>
      <c r="N2539">
        <f>Data!H2552</f>
        <v>0</v>
      </c>
      <c r="O2539">
        <f>Data!I2552</f>
        <v>0</v>
      </c>
      <c r="P2539" s="21">
        <f>Data!J2556</f>
        <v>0</v>
      </c>
      <c r="Q2539">
        <f>Data!K2556</f>
        <v>0</v>
      </c>
      <c r="R2539">
        <f>Data!L2556</f>
        <v>0</v>
      </c>
      <c r="S2539">
        <f>Data!M2556</f>
        <v>0</v>
      </c>
      <c r="T2539">
        <f>Data!N2556</f>
        <v>0</v>
      </c>
      <c r="U2539">
        <f>Data!O2556</f>
        <v>0</v>
      </c>
      <c r="V2539" s="33">
        <f>Data!P2554</f>
        <v>0</v>
      </c>
    </row>
    <row r="2540" spans="7:22" x14ac:dyDescent="0.25">
      <c r="G2540">
        <f>Data!A2553</f>
        <v>0</v>
      </c>
      <c r="H2540" s="21">
        <f>Data!B2553</f>
        <v>0</v>
      </c>
      <c r="I2540" s="21">
        <f>Data!C2553</f>
        <v>0</v>
      </c>
      <c r="J2540">
        <f>Data!D2553</f>
        <v>0</v>
      </c>
      <c r="K2540">
        <f>Data!E2553</f>
        <v>0</v>
      </c>
      <c r="L2540">
        <f>Data!F2553</f>
        <v>0</v>
      </c>
      <c r="M2540">
        <f>Data!G2553</f>
        <v>0</v>
      </c>
      <c r="N2540">
        <f>Data!H2553</f>
        <v>0</v>
      </c>
      <c r="O2540">
        <f>Data!I2553</f>
        <v>0</v>
      </c>
      <c r="P2540" s="21">
        <f>Data!J2557</f>
        <v>0</v>
      </c>
      <c r="Q2540">
        <f>Data!K2557</f>
        <v>0</v>
      </c>
      <c r="R2540">
        <f>Data!L2557</f>
        <v>0</v>
      </c>
      <c r="S2540">
        <f>Data!M2557</f>
        <v>0</v>
      </c>
      <c r="T2540">
        <f>Data!N2557</f>
        <v>0</v>
      </c>
      <c r="U2540">
        <f>Data!O2557</f>
        <v>0</v>
      </c>
      <c r="V2540" s="33">
        <f>Data!P2555</f>
        <v>0</v>
      </c>
    </row>
    <row r="2541" spans="7:22" x14ac:dyDescent="0.25">
      <c r="G2541">
        <f>Data!A2554</f>
        <v>0</v>
      </c>
      <c r="H2541" s="21">
        <f>Data!B2554</f>
        <v>0</v>
      </c>
      <c r="I2541" s="21">
        <f>Data!C2554</f>
        <v>0</v>
      </c>
      <c r="J2541">
        <f>Data!D2554</f>
        <v>0</v>
      </c>
      <c r="K2541">
        <f>Data!E2554</f>
        <v>0</v>
      </c>
      <c r="L2541">
        <f>Data!F2554</f>
        <v>0</v>
      </c>
      <c r="M2541">
        <f>Data!G2554</f>
        <v>0</v>
      </c>
      <c r="N2541">
        <f>Data!H2554</f>
        <v>0</v>
      </c>
      <c r="O2541">
        <f>Data!I2554</f>
        <v>0</v>
      </c>
      <c r="P2541" s="21">
        <f>Data!J2558</f>
        <v>0</v>
      </c>
      <c r="Q2541">
        <f>Data!K2558</f>
        <v>0</v>
      </c>
      <c r="R2541">
        <f>Data!L2558</f>
        <v>0</v>
      </c>
      <c r="S2541">
        <f>Data!M2558</f>
        <v>0</v>
      </c>
      <c r="T2541">
        <f>Data!N2558</f>
        <v>0</v>
      </c>
      <c r="U2541">
        <f>Data!O2558</f>
        <v>0</v>
      </c>
      <c r="V2541" s="33">
        <f>Data!P2556</f>
        <v>0</v>
      </c>
    </row>
    <row r="2542" spans="7:22" x14ac:dyDescent="0.25">
      <c r="G2542">
        <f>Data!A2555</f>
        <v>0</v>
      </c>
      <c r="H2542" s="21">
        <f>Data!B2555</f>
        <v>0</v>
      </c>
      <c r="I2542" s="21">
        <f>Data!C2555</f>
        <v>0</v>
      </c>
      <c r="J2542">
        <f>Data!D2555</f>
        <v>0</v>
      </c>
      <c r="K2542">
        <f>Data!E2555</f>
        <v>0</v>
      </c>
      <c r="L2542">
        <f>Data!F2555</f>
        <v>0</v>
      </c>
      <c r="M2542">
        <f>Data!G2555</f>
        <v>0</v>
      </c>
      <c r="N2542">
        <f>Data!H2555</f>
        <v>0</v>
      </c>
      <c r="O2542">
        <f>Data!I2555</f>
        <v>0</v>
      </c>
      <c r="P2542" s="21">
        <f>Data!J2559</f>
        <v>0</v>
      </c>
      <c r="Q2542">
        <f>Data!K2559</f>
        <v>0</v>
      </c>
      <c r="R2542">
        <f>Data!L2559</f>
        <v>0</v>
      </c>
      <c r="S2542">
        <f>Data!M2559</f>
        <v>0</v>
      </c>
      <c r="T2542">
        <f>Data!N2559</f>
        <v>0</v>
      </c>
      <c r="U2542">
        <f>Data!O2559</f>
        <v>0</v>
      </c>
      <c r="V2542" s="33">
        <f>Data!P2557</f>
        <v>0</v>
      </c>
    </row>
    <row r="2543" spans="7:22" x14ac:dyDescent="0.25">
      <c r="G2543">
        <f>Data!A2556</f>
        <v>0</v>
      </c>
      <c r="H2543" s="21">
        <f>Data!B2556</f>
        <v>0</v>
      </c>
      <c r="I2543" s="21">
        <f>Data!C2556</f>
        <v>0</v>
      </c>
      <c r="J2543">
        <f>Data!D2556</f>
        <v>0</v>
      </c>
      <c r="K2543">
        <f>Data!E2556</f>
        <v>0</v>
      </c>
      <c r="L2543">
        <f>Data!F2556</f>
        <v>0</v>
      </c>
      <c r="M2543">
        <f>Data!G2556</f>
        <v>0</v>
      </c>
      <c r="N2543">
        <f>Data!H2556</f>
        <v>0</v>
      </c>
      <c r="O2543">
        <f>Data!I2556</f>
        <v>0</v>
      </c>
      <c r="P2543" s="21">
        <f>Data!J2560</f>
        <v>0</v>
      </c>
      <c r="Q2543">
        <f>Data!K2560</f>
        <v>0</v>
      </c>
      <c r="R2543">
        <f>Data!L2560</f>
        <v>0</v>
      </c>
      <c r="S2543">
        <f>Data!M2560</f>
        <v>0</v>
      </c>
      <c r="T2543">
        <f>Data!N2560</f>
        <v>0</v>
      </c>
      <c r="U2543">
        <f>Data!O2560</f>
        <v>0</v>
      </c>
      <c r="V2543" s="33">
        <f>Data!P2558</f>
        <v>0</v>
      </c>
    </row>
    <row r="2544" spans="7:22" x14ac:dyDescent="0.25">
      <c r="G2544">
        <f>Data!A2557</f>
        <v>0</v>
      </c>
      <c r="H2544" s="21">
        <f>Data!B2557</f>
        <v>0</v>
      </c>
      <c r="I2544" s="21">
        <f>Data!C2557</f>
        <v>0</v>
      </c>
      <c r="J2544">
        <f>Data!D2557</f>
        <v>0</v>
      </c>
      <c r="K2544">
        <f>Data!E2557</f>
        <v>0</v>
      </c>
      <c r="L2544">
        <f>Data!F2557</f>
        <v>0</v>
      </c>
      <c r="M2544">
        <f>Data!G2557</f>
        <v>0</v>
      </c>
      <c r="N2544">
        <f>Data!H2557</f>
        <v>0</v>
      </c>
      <c r="O2544">
        <f>Data!I2557</f>
        <v>0</v>
      </c>
      <c r="P2544" s="21">
        <f>Data!J2561</f>
        <v>0</v>
      </c>
      <c r="Q2544">
        <f>Data!K2561</f>
        <v>0</v>
      </c>
      <c r="R2544">
        <f>Data!L2561</f>
        <v>0</v>
      </c>
      <c r="S2544">
        <f>Data!M2561</f>
        <v>0</v>
      </c>
      <c r="T2544">
        <f>Data!N2561</f>
        <v>0</v>
      </c>
      <c r="U2544">
        <f>Data!O2561</f>
        <v>0</v>
      </c>
      <c r="V2544" s="33">
        <f>Data!P2559</f>
        <v>0</v>
      </c>
    </row>
    <row r="2545" spans="7:22" x14ac:dyDescent="0.25">
      <c r="G2545">
        <f>Data!A2558</f>
        <v>0</v>
      </c>
      <c r="H2545" s="21">
        <f>Data!B2558</f>
        <v>0</v>
      </c>
      <c r="I2545" s="21">
        <f>Data!C2558</f>
        <v>0</v>
      </c>
      <c r="J2545">
        <f>Data!D2558</f>
        <v>0</v>
      </c>
      <c r="K2545">
        <f>Data!E2558</f>
        <v>0</v>
      </c>
      <c r="L2545">
        <f>Data!F2558</f>
        <v>0</v>
      </c>
      <c r="M2545">
        <f>Data!G2558</f>
        <v>0</v>
      </c>
      <c r="N2545">
        <f>Data!H2558</f>
        <v>0</v>
      </c>
      <c r="O2545">
        <f>Data!I2558</f>
        <v>0</v>
      </c>
      <c r="P2545" s="21">
        <f>Data!J2562</f>
        <v>0</v>
      </c>
      <c r="Q2545">
        <f>Data!K2562</f>
        <v>0</v>
      </c>
      <c r="R2545">
        <f>Data!L2562</f>
        <v>0</v>
      </c>
      <c r="S2545">
        <f>Data!M2562</f>
        <v>0</v>
      </c>
      <c r="T2545">
        <f>Data!N2562</f>
        <v>0</v>
      </c>
      <c r="U2545">
        <f>Data!O2562</f>
        <v>0</v>
      </c>
      <c r="V2545" s="33">
        <f>Data!P2560</f>
        <v>0</v>
      </c>
    </row>
    <row r="2546" spans="7:22" x14ac:dyDescent="0.25">
      <c r="G2546">
        <f>Data!A2559</f>
        <v>0</v>
      </c>
      <c r="H2546" s="21">
        <f>Data!B2559</f>
        <v>0</v>
      </c>
      <c r="I2546" s="21">
        <f>Data!C2559</f>
        <v>0</v>
      </c>
      <c r="J2546">
        <f>Data!D2559</f>
        <v>0</v>
      </c>
      <c r="K2546">
        <f>Data!E2559</f>
        <v>0</v>
      </c>
      <c r="L2546">
        <f>Data!F2559</f>
        <v>0</v>
      </c>
      <c r="M2546">
        <f>Data!G2559</f>
        <v>0</v>
      </c>
      <c r="N2546">
        <f>Data!H2559</f>
        <v>0</v>
      </c>
      <c r="O2546">
        <f>Data!I2559</f>
        <v>0</v>
      </c>
      <c r="P2546" s="21">
        <f>Data!J2563</f>
        <v>0</v>
      </c>
      <c r="Q2546">
        <f>Data!K2563</f>
        <v>0</v>
      </c>
      <c r="R2546">
        <f>Data!L2563</f>
        <v>0</v>
      </c>
      <c r="S2546">
        <f>Data!M2563</f>
        <v>0</v>
      </c>
      <c r="T2546">
        <f>Data!N2563</f>
        <v>0</v>
      </c>
      <c r="U2546">
        <f>Data!O2563</f>
        <v>0</v>
      </c>
      <c r="V2546" s="33">
        <f>Data!P2561</f>
        <v>0</v>
      </c>
    </row>
    <row r="2547" spans="7:22" x14ac:dyDescent="0.25">
      <c r="G2547">
        <f>Data!A2560</f>
        <v>0</v>
      </c>
      <c r="H2547" s="21">
        <f>Data!B2560</f>
        <v>0</v>
      </c>
      <c r="I2547" s="21">
        <f>Data!C2560</f>
        <v>0</v>
      </c>
      <c r="J2547">
        <f>Data!D2560</f>
        <v>0</v>
      </c>
      <c r="K2547">
        <f>Data!E2560</f>
        <v>0</v>
      </c>
      <c r="L2547">
        <f>Data!F2560</f>
        <v>0</v>
      </c>
      <c r="M2547">
        <f>Data!G2560</f>
        <v>0</v>
      </c>
      <c r="N2547">
        <f>Data!H2560</f>
        <v>0</v>
      </c>
      <c r="O2547">
        <f>Data!I2560</f>
        <v>0</v>
      </c>
      <c r="P2547" s="21">
        <f>Data!J2564</f>
        <v>0</v>
      </c>
      <c r="Q2547">
        <f>Data!K2564</f>
        <v>0</v>
      </c>
      <c r="R2547">
        <f>Data!L2564</f>
        <v>0</v>
      </c>
      <c r="S2547">
        <f>Data!M2564</f>
        <v>0</v>
      </c>
      <c r="T2547">
        <f>Data!N2564</f>
        <v>0</v>
      </c>
      <c r="U2547">
        <f>Data!O2564</f>
        <v>0</v>
      </c>
      <c r="V2547" s="33">
        <f>Data!P2562</f>
        <v>0</v>
      </c>
    </row>
    <row r="2548" spans="7:22" x14ac:dyDescent="0.25">
      <c r="G2548">
        <f>Data!A2561</f>
        <v>0</v>
      </c>
      <c r="H2548" s="21">
        <f>Data!B2561</f>
        <v>0</v>
      </c>
      <c r="I2548" s="21">
        <f>Data!C2561</f>
        <v>0</v>
      </c>
      <c r="J2548">
        <f>Data!D2561</f>
        <v>0</v>
      </c>
      <c r="K2548">
        <f>Data!E2561</f>
        <v>0</v>
      </c>
      <c r="L2548">
        <f>Data!F2561</f>
        <v>0</v>
      </c>
      <c r="M2548">
        <f>Data!G2561</f>
        <v>0</v>
      </c>
      <c r="N2548">
        <f>Data!H2561</f>
        <v>0</v>
      </c>
      <c r="O2548">
        <f>Data!I2561</f>
        <v>0</v>
      </c>
      <c r="P2548" s="21">
        <f>Data!J2565</f>
        <v>0</v>
      </c>
      <c r="Q2548">
        <f>Data!K2565</f>
        <v>0</v>
      </c>
      <c r="R2548">
        <f>Data!L2565</f>
        <v>0</v>
      </c>
      <c r="S2548">
        <f>Data!M2565</f>
        <v>0</v>
      </c>
      <c r="T2548">
        <f>Data!N2565</f>
        <v>0</v>
      </c>
      <c r="U2548">
        <f>Data!O2565</f>
        <v>0</v>
      </c>
      <c r="V2548" s="33">
        <f>Data!P2563</f>
        <v>0</v>
      </c>
    </row>
    <row r="2549" spans="7:22" x14ac:dyDescent="0.25">
      <c r="G2549">
        <f>Data!A2562</f>
        <v>0</v>
      </c>
      <c r="H2549" s="21">
        <f>Data!B2562</f>
        <v>0</v>
      </c>
      <c r="I2549" s="21">
        <f>Data!C2562</f>
        <v>0</v>
      </c>
      <c r="J2549">
        <f>Data!D2562</f>
        <v>0</v>
      </c>
      <c r="K2549">
        <f>Data!E2562</f>
        <v>0</v>
      </c>
      <c r="L2549">
        <f>Data!F2562</f>
        <v>0</v>
      </c>
      <c r="M2549">
        <f>Data!G2562</f>
        <v>0</v>
      </c>
      <c r="N2549">
        <f>Data!H2562</f>
        <v>0</v>
      </c>
      <c r="O2549">
        <f>Data!I2562</f>
        <v>0</v>
      </c>
      <c r="P2549" s="21">
        <f>Data!J2566</f>
        <v>0</v>
      </c>
      <c r="Q2549">
        <f>Data!K2566</f>
        <v>0</v>
      </c>
      <c r="R2549">
        <f>Data!L2566</f>
        <v>0</v>
      </c>
      <c r="S2549">
        <f>Data!M2566</f>
        <v>0</v>
      </c>
      <c r="T2549">
        <f>Data!N2566</f>
        <v>0</v>
      </c>
      <c r="U2549">
        <f>Data!O2566</f>
        <v>0</v>
      </c>
      <c r="V2549" s="33">
        <f>Data!P2564</f>
        <v>0</v>
      </c>
    </row>
    <row r="2550" spans="7:22" x14ac:dyDescent="0.25">
      <c r="G2550">
        <f>Data!A2563</f>
        <v>0</v>
      </c>
      <c r="H2550" s="21">
        <f>Data!B2563</f>
        <v>0</v>
      </c>
      <c r="I2550" s="21">
        <f>Data!C2563</f>
        <v>0</v>
      </c>
      <c r="J2550">
        <f>Data!D2563</f>
        <v>0</v>
      </c>
      <c r="K2550">
        <f>Data!E2563</f>
        <v>0</v>
      </c>
      <c r="L2550">
        <f>Data!F2563</f>
        <v>0</v>
      </c>
      <c r="M2550">
        <f>Data!G2563</f>
        <v>0</v>
      </c>
      <c r="N2550">
        <f>Data!H2563</f>
        <v>0</v>
      </c>
      <c r="O2550">
        <f>Data!I2563</f>
        <v>0</v>
      </c>
      <c r="P2550" s="21">
        <f>Data!J2567</f>
        <v>0</v>
      </c>
      <c r="Q2550">
        <f>Data!K2567</f>
        <v>0</v>
      </c>
      <c r="R2550">
        <f>Data!L2567</f>
        <v>0</v>
      </c>
      <c r="S2550">
        <f>Data!M2567</f>
        <v>0</v>
      </c>
      <c r="T2550">
        <f>Data!N2567</f>
        <v>0</v>
      </c>
      <c r="U2550">
        <f>Data!O2567</f>
        <v>0</v>
      </c>
      <c r="V2550" s="33">
        <f>Data!P2565</f>
        <v>0</v>
      </c>
    </row>
    <row r="2551" spans="7:22" x14ac:dyDescent="0.25">
      <c r="G2551">
        <f>Data!A2564</f>
        <v>0</v>
      </c>
      <c r="H2551" s="21">
        <f>Data!B2564</f>
        <v>0</v>
      </c>
      <c r="I2551" s="21">
        <f>Data!C2564</f>
        <v>0</v>
      </c>
      <c r="J2551">
        <f>Data!D2564</f>
        <v>0</v>
      </c>
      <c r="K2551">
        <f>Data!E2564</f>
        <v>0</v>
      </c>
      <c r="L2551">
        <f>Data!F2564</f>
        <v>0</v>
      </c>
      <c r="M2551">
        <f>Data!G2564</f>
        <v>0</v>
      </c>
      <c r="N2551">
        <f>Data!H2564</f>
        <v>0</v>
      </c>
      <c r="O2551">
        <f>Data!I2564</f>
        <v>0</v>
      </c>
      <c r="P2551" s="21">
        <f>Data!J2568</f>
        <v>0</v>
      </c>
      <c r="Q2551">
        <f>Data!K2568</f>
        <v>0</v>
      </c>
      <c r="R2551">
        <f>Data!L2568</f>
        <v>0</v>
      </c>
      <c r="S2551">
        <f>Data!M2568</f>
        <v>0</v>
      </c>
      <c r="T2551">
        <f>Data!N2568</f>
        <v>0</v>
      </c>
      <c r="U2551">
        <f>Data!O2568</f>
        <v>0</v>
      </c>
      <c r="V2551" s="33">
        <f>Data!P2566</f>
        <v>0</v>
      </c>
    </row>
    <row r="2552" spans="7:22" x14ac:dyDescent="0.25">
      <c r="G2552">
        <f>Data!A2565</f>
        <v>0</v>
      </c>
      <c r="H2552" s="21">
        <f>Data!B2565</f>
        <v>0</v>
      </c>
      <c r="I2552" s="21">
        <f>Data!C2565</f>
        <v>0</v>
      </c>
      <c r="J2552">
        <f>Data!D2565</f>
        <v>0</v>
      </c>
      <c r="K2552">
        <f>Data!E2565</f>
        <v>0</v>
      </c>
      <c r="L2552">
        <f>Data!F2565</f>
        <v>0</v>
      </c>
      <c r="M2552">
        <f>Data!G2565</f>
        <v>0</v>
      </c>
      <c r="N2552">
        <f>Data!H2565</f>
        <v>0</v>
      </c>
      <c r="O2552">
        <f>Data!I2565</f>
        <v>0</v>
      </c>
      <c r="P2552" s="21">
        <f>Data!J2569</f>
        <v>0</v>
      </c>
      <c r="Q2552">
        <f>Data!K2569</f>
        <v>0</v>
      </c>
      <c r="R2552">
        <f>Data!L2569</f>
        <v>0</v>
      </c>
      <c r="S2552">
        <f>Data!M2569</f>
        <v>0</v>
      </c>
      <c r="T2552">
        <f>Data!N2569</f>
        <v>0</v>
      </c>
      <c r="U2552">
        <f>Data!O2569</f>
        <v>0</v>
      </c>
      <c r="V2552" s="33">
        <f>Data!P2567</f>
        <v>0</v>
      </c>
    </row>
    <row r="2553" spans="7:22" x14ac:dyDescent="0.25">
      <c r="G2553">
        <f>Data!A2566</f>
        <v>0</v>
      </c>
      <c r="H2553" s="21">
        <f>Data!B2566</f>
        <v>0</v>
      </c>
      <c r="I2553" s="21">
        <f>Data!C2566</f>
        <v>0</v>
      </c>
      <c r="J2553">
        <f>Data!D2566</f>
        <v>0</v>
      </c>
      <c r="K2553">
        <f>Data!E2566</f>
        <v>0</v>
      </c>
      <c r="L2553">
        <f>Data!F2566</f>
        <v>0</v>
      </c>
      <c r="M2553">
        <f>Data!G2566</f>
        <v>0</v>
      </c>
      <c r="N2553">
        <f>Data!H2566</f>
        <v>0</v>
      </c>
      <c r="O2553">
        <f>Data!I2566</f>
        <v>0</v>
      </c>
      <c r="P2553" s="21">
        <f>Data!J2570</f>
        <v>0</v>
      </c>
      <c r="Q2553">
        <f>Data!K2570</f>
        <v>0</v>
      </c>
      <c r="R2553">
        <f>Data!L2570</f>
        <v>0</v>
      </c>
      <c r="S2553">
        <f>Data!M2570</f>
        <v>0</v>
      </c>
      <c r="T2553">
        <f>Data!N2570</f>
        <v>0</v>
      </c>
      <c r="U2553">
        <f>Data!O2570</f>
        <v>0</v>
      </c>
      <c r="V2553" s="33">
        <f>Data!P2568</f>
        <v>0</v>
      </c>
    </row>
    <row r="2554" spans="7:22" x14ac:dyDescent="0.25">
      <c r="G2554">
        <f>Data!A2567</f>
        <v>0</v>
      </c>
      <c r="H2554" s="21">
        <f>Data!B2567</f>
        <v>0</v>
      </c>
      <c r="I2554" s="21">
        <f>Data!C2567</f>
        <v>0</v>
      </c>
      <c r="J2554">
        <f>Data!D2567</f>
        <v>0</v>
      </c>
      <c r="K2554">
        <f>Data!E2567</f>
        <v>0</v>
      </c>
      <c r="L2554">
        <f>Data!F2567</f>
        <v>0</v>
      </c>
      <c r="M2554">
        <f>Data!G2567</f>
        <v>0</v>
      </c>
      <c r="N2554">
        <f>Data!H2567</f>
        <v>0</v>
      </c>
      <c r="O2554">
        <f>Data!I2567</f>
        <v>0</v>
      </c>
      <c r="P2554" s="21">
        <f>Data!J2571</f>
        <v>0</v>
      </c>
      <c r="Q2554">
        <f>Data!K2571</f>
        <v>0</v>
      </c>
      <c r="R2554">
        <f>Data!L2571</f>
        <v>0</v>
      </c>
      <c r="S2554">
        <f>Data!M2571</f>
        <v>0</v>
      </c>
      <c r="T2554">
        <f>Data!N2571</f>
        <v>0</v>
      </c>
      <c r="U2554">
        <f>Data!O2571</f>
        <v>0</v>
      </c>
      <c r="V2554" s="33">
        <f>Data!P2569</f>
        <v>0</v>
      </c>
    </row>
    <row r="2555" spans="7:22" x14ac:dyDescent="0.25">
      <c r="G2555">
        <f>Data!A2568</f>
        <v>0</v>
      </c>
      <c r="H2555" s="21">
        <f>Data!B2568</f>
        <v>0</v>
      </c>
      <c r="I2555" s="21">
        <f>Data!C2568</f>
        <v>0</v>
      </c>
      <c r="J2555">
        <f>Data!D2568</f>
        <v>0</v>
      </c>
      <c r="K2555">
        <f>Data!E2568</f>
        <v>0</v>
      </c>
      <c r="L2555">
        <f>Data!F2568</f>
        <v>0</v>
      </c>
      <c r="M2555">
        <f>Data!G2568</f>
        <v>0</v>
      </c>
      <c r="N2555">
        <f>Data!H2568</f>
        <v>0</v>
      </c>
      <c r="O2555">
        <f>Data!I2568</f>
        <v>0</v>
      </c>
      <c r="P2555" s="21">
        <f>Data!J2572</f>
        <v>0</v>
      </c>
      <c r="Q2555">
        <f>Data!K2572</f>
        <v>0</v>
      </c>
      <c r="R2555">
        <f>Data!L2572</f>
        <v>0</v>
      </c>
      <c r="S2555">
        <f>Data!M2572</f>
        <v>0</v>
      </c>
      <c r="T2555">
        <f>Data!N2572</f>
        <v>0</v>
      </c>
      <c r="U2555">
        <f>Data!O2572</f>
        <v>0</v>
      </c>
      <c r="V2555" s="33">
        <f>Data!P2570</f>
        <v>0</v>
      </c>
    </row>
    <row r="2556" spans="7:22" x14ac:dyDescent="0.25">
      <c r="G2556">
        <f>Data!A2569</f>
        <v>0</v>
      </c>
      <c r="H2556" s="21">
        <f>Data!B2569</f>
        <v>0</v>
      </c>
      <c r="I2556" s="21">
        <f>Data!C2569</f>
        <v>0</v>
      </c>
      <c r="J2556">
        <f>Data!D2569</f>
        <v>0</v>
      </c>
      <c r="K2556">
        <f>Data!E2569</f>
        <v>0</v>
      </c>
      <c r="L2556">
        <f>Data!F2569</f>
        <v>0</v>
      </c>
      <c r="M2556">
        <f>Data!G2569</f>
        <v>0</v>
      </c>
      <c r="N2556">
        <f>Data!H2569</f>
        <v>0</v>
      </c>
      <c r="O2556">
        <f>Data!I2569</f>
        <v>0</v>
      </c>
      <c r="P2556" s="21">
        <f>Data!J2573</f>
        <v>0</v>
      </c>
      <c r="Q2556">
        <f>Data!K2573</f>
        <v>0</v>
      </c>
      <c r="R2556">
        <f>Data!L2573</f>
        <v>0</v>
      </c>
      <c r="S2556">
        <f>Data!M2573</f>
        <v>0</v>
      </c>
      <c r="T2556">
        <f>Data!N2573</f>
        <v>0</v>
      </c>
      <c r="U2556">
        <f>Data!O2573</f>
        <v>0</v>
      </c>
      <c r="V2556" s="33">
        <f>Data!P2571</f>
        <v>0</v>
      </c>
    </row>
    <row r="2557" spans="7:22" x14ac:dyDescent="0.25">
      <c r="G2557">
        <f>Data!A2570</f>
        <v>0</v>
      </c>
      <c r="H2557" s="21">
        <f>Data!B2570</f>
        <v>0</v>
      </c>
      <c r="I2557" s="21">
        <f>Data!C2570</f>
        <v>0</v>
      </c>
      <c r="J2557">
        <f>Data!D2570</f>
        <v>0</v>
      </c>
      <c r="K2557">
        <f>Data!E2570</f>
        <v>0</v>
      </c>
      <c r="L2557">
        <f>Data!F2570</f>
        <v>0</v>
      </c>
      <c r="M2557">
        <f>Data!G2570</f>
        <v>0</v>
      </c>
      <c r="N2557">
        <f>Data!H2570</f>
        <v>0</v>
      </c>
      <c r="O2557">
        <f>Data!I2570</f>
        <v>0</v>
      </c>
      <c r="P2557" s="21">
        <f>Data!J2574</f>
        <v>0</v>
      </c>
      <c r="Q2557">
        <f>Data!K2574</f>
        <v>0</v>
      </c>
      <c r="R2557">
        <f>Data!L2574</f>
        <v>0</v>
      </c>
      <c r="S2557">
        <f>Data!M2574</f>
        <v>0</v>
      </c>
      <c r="T2557">
        <f>Data!N2574</f>
        <v>0</v>
      </c>
      <c r="U2557">
        <f>Data!O2574</f>
        <v>0</v>
      </c>
      <c r="V2557" s="33">
        <f>Data!P2572</f>
        <v>0</v>
      </c>
    </row>
    <row r="2558" spans="7:22" x14ac:dyDescent="0.25">
      <c r="G2558">
        <f>Data!A2571</f>
        <v>0</v>
      </c>
      <c r="H2558" s="21">
        <f>Data!B2571</f>
        <v>0</v>
      </c>
      <c r="I2558" s="21">
        <f>Data!C2571</f>
        <v>0</v>
      </c>
      <c r="J2558">
        <f>Data!D2571</f>
        <v>0</v>
      </c>
      <c r="K2558">
        <f>Data!E2571</f>
        <v>0</v>
      </c>
      <c r="L2558">
        <f>Data!F2571</f>
        <v>0</v>
      </c>
      <c r="M2558">
        <f>Data!G2571</f>
        <v>0</v>
      </c>
      <c r="N2558">
        <f>Data!H2571</f>
        <v>0</v>
      </c>
      <c r="O2558">
        <f>Data!I2571</f>
        <v>0</v>
      </c>
      <c r="P2558" s="21">
        <f>Data!J2575</f>
        <v>0</v>
      </c>
      <c r="Q2558">
        <f>Data!K2575</f>
        <v>0</v>
      </c>
      <c r="R2558">
        <f>Data!L2575</f>
        <v>0</v>
      </c>
      <c r="S2558">
        <f>Data!M2575</f>
        <v>0</v>
      </c>
      <c r="T2558">
        <f>Data!N2575</f>
        <v>0</v>
      </c>
      <c r="U2558">
        <f>Data!O2575</f>
        <v>0</v>
      </c>
      <c r="V2558" s="33">
        <f>Data!P2573</f>
        <v>0</v>
      </c>
    </row>
    <row r="2559" spans="7:22" x14ac:dyDescent="0.25">
      <c r="G2559">
        <f>Data!A2572</f>
        <v>0</v>
      </c>
      <c r="H2559" s="21">
        <f>Data!B2572</f>
        <v>0</v>
      </c>
      <c r="I2559" s="21">
        <f>Data!C2572</f>
        <v>0</v>
      </c>
      <c r="J2559">
        <f>Data!D2572</f>
        <v>0</v>
      </c>
      <c r="K2559">
        <f>Data!E2572</f>
        <v>0</v>
      </c>
      <c r="L2559">
        <f>Data!F2572</f>
        <v>0</v>
      </c>
      <c r="M2559">
        <f>Data!G2572</f>
        <v>0</v>
      </c>
      <c r="N2559">
        <f>Data!H2572</f>
        <v>0</v>
      </c>
      <c r="O2559">
        <f>Data!I2572</f>
        <v>0</v>
      </c>
      <c r="P2559" s="21">
        <f>Data!J2576</f>
        <v>0</v>
      </c>
      <c r="Q2559">
        <f>Data!K2576</f>
        <v>0</v>
      </c>
      <c r="R2559">
        <f>Data!L2576</f>
        <v>0</v>
      </c>
      <c r="S2559">
        <f>Data!M2576</f>
        <v>0</v>
      </c>
      <c r="T2559">
        <f>Data!N2576</f>
        <v>0</v>
      </c>
      <c r="U2559">
        <f>Data!O2576</f>
        <v>0</v>
      </c>
      <c r="V2559" s="33">
        <f>Data!P2574</f>
        <v>0</v>
      </c>
    </row>
    <row r="2560" spans="7:22" x14ac:dyDescent="0.25">
      <c r="G2560">
        <f>Data!A2573</f>
        <v>0</v>
      </c>
      <c r="H2560" s="21">
        <f>Data!B2573</f>
        <v>0</v>
      </c>
      <c r="I2560" s="21">
        <f>Data!C2573</f>
        <v>0</v>
      </c>
      <c r="J2560">
        <f>Data!D2573</f>
        <v>0</v>
      </c>
      <c r="K2560">
        <f>Data!E2573</f>
        <v>0</v>
      </c>
      <c r="L2560">
        <f>Data!F2573</f>
        <v>0</v>
      </c>
      <c r="M2560">
        <f>Data!G2573</f>
        <v>0</v>
      </c>
      <c r="N2560">
        <f>Data!H2573</f>
        <v>0</v>
      </c>
      <c r="O2560">
        <f>Data!I2573</f>
        <v>0</v>
      </c>
      <c r="P2560" s="21">
        <f>Data!J2577</f>
        <v>0</v>
      </c>
      <c r="Q2560">
        <f>Data!K2577</f>
        <v>0</v>
      </c>
      <c r="R2560">
        <f>Data!L2577</f>
        <v>0</v>
      </c>
      <c r="S2560">
        <f>Data!M2577</f>
        <v>0</v>
      </c>
      <c r="T2560">
        <f>Data!N2577</f>
        <v>0</v>
      </c>
      <c r="U2560">
        <f>Data!O2577</f>
        <v>0</v>
      </c>
      <c r="V2560" s="33">
        <f>Data!P2575</f>
        <v>0</v>
      </c>
    </row>
    <row r="2561" spans="7:22" x14ac:dyDescent="0.25">
      <c r="G2561">
        <f>Data!A2574</f>
        <v>0</v>
      </c>
      <c r="H2561" s="21">
        <f>Data!B2574</f>
        <v>0</v>
      </c>
      <c r="I2561" s="21">
        <f>Data!C2574</f>
        <v>0</v>
      </c>
      <c r="J2561">
        <f>Data!D2574</f>
        <v>0</v>
      </c>
      <c r="K2561">
        <f>Data!E2574</f>
        <v>0</v>
      </c>
      <c r="L2561">
        <f>Data!F2574</f>
        <v>0</v>
      </c>
      <c r="M2561">
        <f>Data!G2574</f>
        <v>0</v>
      </c>
      <c r="N2561">
        <f>Data!H2574</f>
        <v>0</v>
      </c>
      <c r="O2561">
        <f>Data!I2574</f>
        <v>0</v>
      </c>
      <c r="P2561" s="21">
        <f>Data!J2578</f>
        <v>0</v>
      </c>
      <c r="Q2561">
        <f>Data!K2578</f>
        <v>0</v>
      </c>
      <c r="R2561">
        <f>Data!L2578</f>
        <v>0</v>
      </c>
      <c r="S2561">
        <f>Data!M2578</f>
        <v>0</v>
      </c>
      <c r="T2561">
        <f>Data!N2578</f>
        <v>0</v>
      </c>
      <c r="U2561">
        <f>Data!O2578</f>
        <v>0</v>
      </c>
      <c r="V2561" s="33">
        <f>Data!P2576</f>
        <v>0</v>
      </c>
    </row>
    <row r="2562" spans="7:22" x14ac:dyDescent="0.25">
      <c r="G2562">
        <f>Data!A2575</f>
        <v>0</v>
      </c>
      <c r="H2562" s="21">
        <f>Data!B2575</f>
        <v>0</v>
      </c>
      <c r="I2562" s="21">
        <f>Data!C2575</f>
        <v>0</v>
      </c>
      <c r="J2562">
        <f>Data!D2575</f>
        <v>0</v>
      </c>
      <c r="K2562">
        <f>Data!E2575</f>
        <v>0</v>
      </c>
      <c r="L2562">
        <f>Data!F2575</f>
        <v>0</v>
      </c>
      <c r="M2562">
        <f>Data!G2575</f>
        <v>0</v>
      </c>
      <c r="N2562">
        <f>Data!H2575</f>
        <v>0</v>
      </c>
      <c r="O2562">
        <f>Data!I2575</f>
        <v>0</v>
      </c>
      <c r="P2562" s="21">
        <f>Data!J2579</f>
        <v>0</v>
      </c>
      <c r="Q2562">
        <f>Data!K2579</f>
        <v>0</v>
      </c>
      <c r="R2562">
        <f>Data!L2579</f>
        <v>0</v>
      </c>
      <c r="S2562">
        <f>Data!M2579</f>
        <v>0</v>
      </c>
      <c r="T2562">
        <f>Data!N2579</f>
        <v>0</v>
      </c>
      <c r="U2562">
        <f>Data!O2579</f>
        <v>0</v>
      </c>
      <c r="V2562" s="33">
        <f>Data!P2577</f>
        <v>0</v>
      </c>
    </row>
    <row r="2563" spans="7:22" x14ac:dyDescent="0.25">
      <c r="G2563">
        <f>Data!A2576</f>
        <v>0</v>
      </c>
      <c r="H2563" s="21">
        <f>Data!B2576</f>
        <v>0</v>
      </c>
      <c r="I2563" s="21">
        <f>Data!C2576</f>
        <v>0</v>
      </c>
      <c r="J2563">
        <f>Data!D2576</f>
        <v>0</v>
      </c>
      <c r="K2563">
        <f>Data!E2576</f>
        <v>0</v>
      </c>
      <c r="L2563">
        <f>Data!F2576</f>
        <v>0</v>
      </c>
      <c r="M2563">
        <f>Data!G2576</f>
        <v>0</v>
      </c>
      <c r="N2563">
        <f>Data!H2576</f>
        <v>0</v>
      </c>
      <c r="O2563">
        <f>Data!I2576</f>
        <v>0</v>
      </c>
      <c r="P2563" s="21">
        <f>Data!J2580</f>
        <v>0</v>
      </c>
      <c r="Q2563">
        <f>Data!K2580</f>
        <v>0</v>
      </c>
      <c r="R2563">
        <f>Data!L2580</f>
        <v>0</v>
      </c>
      <c r="S2563">
        <f>Data!M2580</f>
        <v>0</v>
      </c>
      <c r="T2563">
        <f>Data!N2580</f>
        <v>0</v>
      </c>
      <c r="U2563">
        <f>Data!O2580</f>
        <v>0</v>
      </c>
      <c r="V2563" s="33">
        <f>Data!P2578</f>
        <v>0</v>
      </c>
    </row>
    <row r="2564" spans="7:22" x14ac:dyDescent="0.25">
      <c r="G2564">
        <f>Data!A2577</f>
        <v>0</v>
      </c>
      <c r="H2564" s="21">
        <f>Data!B2577</f>
        <v>0</v>
      </c>
      <c r="I2564" s="21">
        <f>Data!C2577</f>
        <v>0</v>
      </c>
      <c r="J2564">
        <f>Data!D2577</f>
        <v>0</v>
      </c>
      <c r="K2564">
        <f>Data!E2577</f>
        <v>0</v>
      </c>
      <c r="L2564">
        <f>Data!F2577</f>
        <v>0</v>
      </c>
      <c r="M2564">
        <f>Data!G2577</f>
        <v>0</v>
      </c>
      <c r="N2564">
        <f>Data!H2577</f>
        <v>0</v>
      </c>
      <c r="O2564">
        <f>Data!I2577</f>
        <v>0</v>
      </c>
      <c r="P2564" s="21">
        <f>Data!J2581</f>
        <v>0</v>
      </c>
      <c r="Q2564">
        <f>Data!K2581</f>
        <v>0</v>
      </c>
      <c r="R2564">
        <f>Data!L2581</f>
        <v>0</v>
      </c>
      <c r="S2564">
        <f>Data!M2581</f>
        <v>0</v>
      </c>
      <c r="T2564">
        <f>Data!N2581</f>
        <v>0</v>
      </c>
      <c r="U2564">
        <f>Data!O2581</f>
        <v>0</v>
      </c>
      <c r="V2564" s="33">
        <f>Data!P2579</f>
        <v>0</v>
      </c>
    </row>
    <row r="2565" spans="7:22" x14ac:dyDescent="0.25">
      <c r="G2565">
        <f>Data!A2578</f>
        <v>0</v>
      </c>
      <c r="H2565" s="21">
        <f>Data!B2578</f>
        <v>0</v>
      </c>
      <c r="I2565" s="21">
        <f>Data!C2578</f>
        <v>0</v>
      </c>
      <c r="J2565">
        <f>Data!D2578</f>
        <v>0</v>
      </c>
      <c r="K2565">
        <f>Data!E2578</f>
        <v>0</v>
      </c>
      <c r="L2565">
        <f>Data!F2578</f>
        <v>0</v>
      </c>
      <c r="M2565">
        <f>Data!G2578</f>
        <v>0</v>
      </c>
      <c r="N2565">
        <f>Data!H2578</f>
        <v>0</v>
      </c>
      <c r="O2565">
        <f>Data!I2578</f>
        <v>0</v>
      </c>
      <c r="P2565" s="21">
        <f>Data!J2582</f>
        <v>0</v>
      </c>
      <c r="Q2565">
        <f>Data!K2582</f>
        <v>0</v>
      </c>
      <c r="R2565">
        <f>Data!L2582</f>
        <v>0</v>
      </c>
      <c r="S2565">
        <f>Data!M2582</f>
        <v>0</v>
      </c>
      <c r="T2565">
        <f>Data!N2582</f>
        <v>0</v>
      </c>
      <c r="U2565">
        <f>Data!O2582</f>
        <v>0</v>
      </c>
      <c r="V2565" s="33">
        <f>Data!P2580</f>
        <v>0</v>
      </c>
    </row>
    <row r="2566" spans="7:22" x14ac:dyDescent="0.25">
      <c r="G2566">
        <f>Data!A2579</f>
        <v>0</v>
      </c>
      <c r="H2566" s="21">
        <f>Data!B2579</f>
        <v>0</v>
      </c>
      <c r="I2566" s="21">
        <f>Data!C2579</f>
        <v>0</v>
      </c>
      <c r="J2566">
        <f>Data!D2579</f>
        <v>0</v>
      </c>
      <c r="K2566">
        <f>Data!E2579</f>
        <v>0</v>
      </c>
      <c r="L2566">
        <f>Data!F2579</f>
        <v>0</v>
      </c>
      <c r="M2566">
        <f>Data!G2579</f>
        <v>0</v>
      </c>
      <c r="N2566">
        <f>Data!H2579</f>
        <v>0</v>
      </c>
      <c r="O2566">
        <f>Data!I2579</f>
        <v>0</v>
      </c>
      <c r="P2566" s="21">
        <f>Data!J2583</f>
        <v>0</v>
      </c>
      <c r="Q2566">
        <f>Data!K2583</f>
        <v>0</v>
      </c>
      <c r="R2566">
        <f>Data!L2583</f>
        <v>0</v>
      </c>
      <c r="S2566">
        <f>Data!M2583</f>
        <v>0</v>
      </c>
      <c r="T2566">
        <f>Data!N2583</f>
        <v>0</v>
      </c>
      <c r="U2566">
        <f>Data!O2583</f>
        <v>0</v>
      </c>
      <c r="V2566" s="33">
        <f>Data!P2581</f>
        <v>0</v>
      </c>
    </row>
    <row r="2567" spans="7:22" x14ac:dyDescent="0.25">
      <c r="G2567">
        <f>Data!A2580</f>
        <v>0</v>
      </c>
      <c r="H2567" s="21">
        <f>Data!B2580</f>
        <v>0</v>
      </c>
      <c r="I2567" s="21">
        <f>Data!C2580</f>
        <v>0</v>
      </c>
      <c r="J2567">
        <f>Data!D2580</f>
        <v>0</v>
      </c>
      <c r="K2567">
        <f>Data!E2580</f>
        <v>0</v>
      </c>
      <c r="L2567">
        <f>Data!F2580</f>
        <v>0</v>
      </c>
      <c r="M2567">
        <f>Data!G2580</f>
        <v>0</v>
      </c>
      <c r="N2567">
        <f>Data!H2580</f>
        <v>0</v>
      </c>
      <c r="O2567">
        <f>Data!I2580</f>
        <v>0</v>
      </c>
      <c r="P2567" s="21">
        <f>Data!J2584</f>
        <v>0</v>
      </c>
      <c r="Q2567">
        <f>Data!K2584</f>
        <v>0</v>
      </c>
      <c r="R2567">
        <f>Data!L2584</f>
        <v>0</v>
      </c>
      <c r="S2567">
        <f>Data!M2584</f>
        <v>0</v>
      </c>
      <c r="T2567">
        <f>Data!N2584</f>
        <v>0</v>
      </c>
      <c r="U2567">
        <f>Data!O2584</f>
        <v>0</v>
      </c>
      <c r="V2567" s="33">
        <f>Data!P2582</f>
        <v>0</v>
      </c>
    </row>
    <row r="2568" spans="7:22" x14ac:dyDescent="0.25">
      <c r="G2568">
        <f>Data!A2581</f>
        <v>0</v>
      </c>
      <c r="H2568" s="21">
        <f>Data!B2581</f>
        <v>0</v>
      </c>
      <c r="I2568" s="21">
        <f>Data!C2581</f>
        <v>0</v>
      </c>
      <c r="J2568">
        <f>Data!D2581</f>
        <v>0</v>
      </c>
      <c r="K2568">
        <f>Data!E2581</f>
        <v>0</v>
      </c>
      <c r="L2568">
        <f>Data!F2581</f>
        <v>0</v>
      </c>
      <c r="M2568">
        <f>Data!G2581</f>
        <v>0</v>
      </c>
      <c r="N2568">
        <f>Data!H2581</f>
        <v>0</v>
      </c>
      <c r="O2568">
        <f>Data!I2581</f>
        <v>0</v>
      </c>
      <c r="P2568" s="21">
        <f>Data!J2585</f>
        <v>0</v>
      </c>
      <c r="Q2568">
        <f>Data!K2585</f>
        <v>0</v>
      </c>
      <c r="R2568">
        <f>Data!L2585</f>
        <v>0</v>
      </c>
      <c r="S2568">
        <f>Data!M2585</f>
        <v>0</v>
      </c>
      <c r="T2568">
        <f>Data!N2585</f>
        <v>0</v>
      </c>
      <c r="U2568">
        <f>Data!O2585</f>
        <v>0</v>
      </c>
      <c r="V2568" s="33">
        <f>Data!P2583</f>
        <v>0</v>
      </c>
    </row>
    <row r="2569" spans="7:22" x14ac:dyDescent="0.25">
      <c r="G2569">
        <f>Data!A2582</f>
        <v>0</v>
      </c>
      <c r="H2569" s="21">
        <f>Data!B2582</f>
        <v>0</v>
      </c>
      <c r="I2569" s="21">
        <f>Data!C2582</f>
        <v>0</v>
      </c>
      <c r="J2569">
        <f>Data!D2582</f>
        <v>0</v>
      </c>
      <c r="K2569">
        <f>Data!E2582</f>
        <v>0</v>
      </c>
      <c r="L2569">
        <f>Data!F2582</f>
        <v>0</v>
      </c>
      <c r="M2569">
        <f>Data!G2582</f>
        <v>0</v>
      </c>
      <c r="N2569">
        <f>Data!H2582</f>
        <v>0</v>
      </c>
      <c r="O2569">
        <f>Data!I2582</f>
        <v>0</v>
      </c>
      <c r="P2569" s="21">
        <f>Data!J2586</f>
        <v>0</v>
      </c>
      <c r="Q2569">
        <f>Data!K2586</f>
        <v>0</v>
      </c>
      <c r="R2569">
        <f>Data!L2586</f>
        <v>0</v>
      </c>
      <c r="S2569">
        <f>Data!M2586</f>
        <v>0</v>
      </c>
      <c r="T2569">
        <f>Data!N2586</f>
        <v>0</v>
      </c>
      <c r="U2569">
        <f>Data!O2586</f>
        <v>0</v>
      </c>
      <c r="V2569" s="33">
        <f>Data!P2584</f>
        <v>0</v>
      </c>
    </row>
    <row r="2570" spans="7:22" x14ac:dyDescent="0.25">
      <c r="G2570">
        <f>Data!A2583</f>
        <v>0</v>
      </c>
      <c r="H2570" s="21">
        <f>Data!B2583</f>
        <v>0</v>
      </c>
      <c r="I2570" s="21">
        <f>Data!C2583</f>
        <v>0</v>
      </c>
      <c r="J2570">
        <f>Data!D2583</f>
        <v>0</v>
      </c>
      <c r="K2570">
        <f>Data!E2583</f>
        <v>0</v>
      </c>
      <c r="L2570">
        <f>Data!F2583</f>
        <v>0</v>
      </c>
      <c r="M2570">
        <f>Data!G2583</f>
        <v>0</v>
      </c>
      <c r="N2570">
        <f>Data!H2583</f>
        <v>0</v>
      </c>
      <c r="O2570">
        <f>Data!I2583</f>
        <v>0</v>
      </c>
      <c r="P2570" s="21">
        <f>Data!J2587</f>
        <v>0</v>
      </c>
      <c r="Q2570">
        <f>Data!K2587</f>
        <v>0</v>
      </c>
      <c r="R2570">
        <f>Data!L2587</f>
        <v>0</v>
      </c>
      <c r="S2570">
        <f>Data!M2587</f>
        <v>0</v>
      </c>
      <c r="T2570">
        <f>Data!N2587</f>
        <v>0</v>
      </c>
      <c r="U2570">
        <f>Data!O2587</f>
        <v>0</v>
      </c>
      <c r="V2570" s="33">
        <f>Data!P2585</f>
        <v>0</v>
      </c>
    </row>
    <row r="2571" spans="7:22" x14ac:dyDescent="0.25">
      <c r="G2571">
        <f>Data!A2584</f>
        <v>0</v>
      </c>
      <c r="H2571" s="21">
        <f>Data!B2584</f>
        <v>0</v>
      </c>
      <c r="I2571" s="21">
        <f>Data!C2584</f>
        <v>0</v>
      </c>
      <c r="J2571">
        <f>Data!D2584</f>
        <v>0</v>
      </c>
      <c r="K2571">
        <f>Data!E2584</f>
        <v>0</v>
      </c>
      <c r="L2571">
        <f>Data!F2584</f>
        <v>0</v>
      </c>
      <c r="M2571">
        <f>Data!G2584</f>
        <v>0</v>
      </c>
      <c r="N2571">
        <f>Data!H2584</f>
        <v>0</v>
      </c>
      <c r="O2571">
        <f>Data!I2584</f>
        <v>0</v>
      </c>
      <c r="P2571" s="21">
        <f>Data!J2588</f>
        <v>0</v>
      </c>
      <c r="Q2571">
        <f>Data!K2588</f>
        <v>0</v>
      </c>
      <c r="R2571">
        <f>Data!L2588</f>
        <v>0</v>
      </c>
      <c r="S2571">
        <f>Data!M2588</f>
        <v>0</v>
      </c>
      <c r="T2571">
        <f>Data!N2588</f>
        <v>0</v>
      </c>
      <c r="U2571">
        <f>Data!O2588</f>
        <v>0</v>
      </c>
      <c r="V2571" s="33">
        <f>Data!P2586</f>
        <v>0</v>
      </c>
    </row>
    <row r="2572" spans="7:22" x14ac:dyDescent="0.25">
      <c r="G2572">
        <f>Data!A2585</f>
        <v>0</v>
      </c>
      <c r="H2572" s="21">
        <f>Data!B2585</f>
        <v>0</v>
      </c>
      <c r="I2572" s="21">
        <f>Data!C2585</f>
        <v>0</v>
      </c>
      <c r="J2572">
        <f>Data!D2585</f>
        <v>0</v>
      </c>
      <c r="K2572">
        <f>Data!E2585</f>
        <v>0</v>
      </c>
      <c r="L2572">
        <f>Data!F2585</f>
        <v>0</v>
      </c>
      <c r="M2572">
        <f>Data!G2585</f>
        <v>0</v>
      </c>
      <c r="N2572">
        <f>Data!H2585</f>
        <v>0</v>
      </c>
      <c r="O2572">
        <f>Data!I2585</f>
        <v>0</v>
      </c>
      <c r="P2572" s="21">
        <f>Data!J2589</f>
        <v>0</v>
      </c>
      <c r="Q2572">
        <f>Data!K2589</f>
        <v>0</v>
      </c>
      <c r="R2572">
        <f>Data!L2589</f>
        <v>0</v>
      </c>
      <c r="S2572">
        <f>Data!M2589</f>
        <v>0</v>
      </c>
      <c r="T2572">
        <f>Data!N2589</f>
        <v>0</v>
      </c>
      <c r="U2572">
        <f>Data!O2589</f>
        <v>0</v>
      </c>
      <c r="V2572" s="33">
        <f>Data!P2587</f>
        <v>0</v>
      </c>
    </row>
    <row r="2573" spans="7:22" x14ac:dyDescent="0.25">
      <c r="G2573">
        <f>Data!A2586</f>
        <v>0</v>
      </c>
      <c r="H2573" s="21">
        <f>Data!B2586</f>
        <v>0</v>
      </c>
      <c r="I2573" s="21">
        <f>Data!C2586</f>
        <v>0</v>
      </c>
      <c r="J2573">
        <f>Data!D2586</f>
        <v>0</v>
      </c>
      <c r="K2573">
        <f>Data!E2586</f>
        <v>0</v>
      </c>
      <c r="L2573">
        <f>Data!F2586</f>
        <v>0</v>
      </c>
      <c r="M2573">
        <f>Data!G2586</f>
        <v>0</v>
      </c>
      <c r="N2573">
        <f>Data!H2586</f>
        <v>0</v>
      </c>
      <c r="O2573">
        <f>Data!I2586</f>
        <v>0</v>
      </c>
      <c r="P2573" s="21">
        <f>Data!J2590</f>
        <v>0</v>
      </c>
      <c r="Q2573">
        <f>Data!K2590</f>
        <v>0</v>
      </c>
      <c r="R2573">
        <f>Data!L2590</f>
        <v>0</v>
      </c>
      <c r="S2573">
        <f>Data!M2590</f>
        <v>0</v>
      </c>
      <c r="T2573">
        <f>Data!N2590</f>
        <v>0</v>
      </c>
      <c r="U2573">
        <f>Data!O2590</f>
        <v>0</v>
      </c>
      <c r="V2573" s="33">
        <f>Data!P2588</f>
        <v>0</v>
      </c>
    </row>
    <row r="2574" spans="7:22" x14ac:dyDescent="0.25">
      <c r="G2574">
        <f>Data!A2587</f>
        <v>0</v>
      </c>
      <c r="H2574" s="21">
        <f>Data!B2587</f>
        <v>0</v>
      </c>
      <c r="I2574" s="21">
        <f>Data!C2587</f>
        <v>0</v>
      </c>
      <c r="J2574">
        <f>Data!D2587</f>
        <v>0</v>
      </c>
      <c r="K2574">
        <f>Data!E2587</f>
        <v>0</v>
      </c>
      <c r="L2574">
        <f>Data!F2587</f>
        <v>0</v>
      </c>
      <c r="M2574">
        <f>Data!G2587</f>
        <v>0</v>
      </c>
      <c r="N2574">
        <f>Data!H2587</f>
        <v>0</v>
      </c>
      <c r="O2574">
        <f>Data!I2587</f>
        <v>0</v>
      </c>
      <c r="P2574" s="21">
        <f>Data!J2591</f>
        <v>0</v>
      </c>
      <c r="Q2574">
        <f>Data!K2591</f>
        <v>0</v>
      </c>
      <c r="R2574">
        <f>Data!L2591</f>
        <v>0</v>
      </c>
      <c r="S2574">
        <f>Data!M2591</f>
        <v>0</v>
      </c>
      <c r="T2574">
        <f>Data!N2591</f>
        <v>0</v>
      </c>
      <c r="U2574">
        <f>Data!O2591</f>
        <v>0</v>
      </c>
      <c r="V2574" s="33">
        <f>Data!P2589</f>
        <v>0</v>
      </c>
    </row>
    <row r="2575" spans="7:22" x14ac:dyDescent="0.25">
      <c r="G2575">
        <f>Data!A2588</f>
        <v>0</v>
      </c>
      <c r="H2575" s="21">
        <f>Data!B2588</f>
        <v>0</v>
      </c>
      <c r="I2575" s="21">
        <f>Data!C2588</f>
        <v>0</v>
      </c>
      <c r="J2575">
        <f>Data!D2588</f>
        <v>0</v>
      </c>
      <c r="K2575">
        <f>Data!E2588</f>
        <v>0</v>
      </c>
      <c r="L2575">
        <f>Data!F2588</f>
        <v>0</v>
      </c>
      <c r="M2575">
        <f>Data!G2588</f>
        <v>0</v>
      </c>
      <c r="N2575">
        <f>Data!H2588</f>
        <v>0</v>
      </c>
      <c r="O2575">
        <f>Data!I2588</f>
        <v>0</v>
      </c>
      <c r="P2575" s="21">
        <f>Data!J2592</f>
        <v>0</v>
      </c>
      <c r="Q2575">
        <f>Data!K2592</f>
        <v>0</v>
      </c>
      <c r="R2575">
        <f>Data!L2592</f>
        <v>0</v>
      </c>
      <c r="S2575">
        <f>Data!M2592</f>
        <v>0</v>
      </c>
      <c r="T2575">
        <f>Data!N2592</f>
        <v>0</v>
      </c>
      <c r="U2575">
        <f>Data!O2592</f>
        <v>0</v>
      </c>
      <c r="V2575" s="33">
        <f>Data!P2590</f>
        <v>0</v>
      </c>
    </row>
    <row r="2576" spans="7:22" x14ac:dyDescent="0.25">
      <c r="G2576">
        <f>Data!A2589</f>
        <v>0</v>
      </c>
      <c r="H2576" s="21">
        <f>Data!B2589</f>
        <v>0</v>
      </c>
      <c r="I2576" s="21">
        <f>Data!C2589</f>
        <v>0</v>
      </c>
      <c r="J2576">
        <f>Data!D2589</f>
        <v>0</v>
      </c>
      <c r="K2576">
        <f>Data!E2589</f>
        <v>0</v>
      </c>
      <c r="L2576">
        <f>Data!F2589</f>
        <v>0</v>
      </c>
      <c r="M2576">
        <f>Data!G2589</f>
        <v>0</v>
      </c>
      <c r="N2576">
        <f>Data!H2589</f>
        <v>0</v>
      </c>
      <c r="O2576">
        <f>Data!I2589</f>
        <v>0</v>
      </c>
      <c r="P2576" s="21">
        <f>Data!J2593</f>
        <v>0</v>
      </c>
      <c r="Q2576">
        <f>Data!K2593</f>
        <v>0</v>
      </c>
      <c r="R2576">
        <f>Data!L2593</f>
        <v>0</v>
      </c>
      <c r="S2576">
        <f>Data!M2593</f>
        <v>0</v>
      </c>
      <c r="T2576">
        <f>Data!N2593</f>
        <v>0</v>
      </c>
      <c r="U2576">
        <f>Data!O2593</f>
        <v>0</v>
      </c>
      <c r="V2576" s="33">
        <f>Data!P2591</f>
        <v>0</v>
      </c>
    </row>
    <row r="2577" spans="7:22" x14ac:dyDescent="0.25">
      <c r="G2577">
        <f>Data!A2590</f>
        <v>0</v>
      </c>
      <c r="H2577" s="21">
        <f>Data!B2590</f>
        <v>0</v>
      </c>
      <c r="I2577" s="21">
        <f>Data!C2590</f>
        <v>0</v>
      </c>
      <c r="J2577">
        <f>Data!D2590</f>
        <v>0</v>
      </c>
      <c r="K2577">
        <f>Data!E2590</f>
        <v>0</v>
      </c>
      <c r="L2577">
        <f>Data!F2590</f>
        <v>0</v>
      </c>
      <c r="M2577">
        <f>Data!G2590</f>
        <v>0</v>
      </c>
      <c r="N2577">
        <f>Data!H2590</f>
        <v>0</v>
      </c>
      <c r="O2577">
        <f>Data!I2590</f>
        <v>0</v>
      </c>
      <c r="P2577" s="21">
        <f>Data!J2594</f>
        <v>0</v>
      </c>
      <c r="Q2577">
        <f>Data!K2594</f>
        <v>0</v>
      </c>
      <c r="R2577">
        <f>Data!L2594</f>
        <v>0</v>
      </c>
      <c r="S2577">
        <f>Data!M2594</f>
        <v>0</v>
      </c>
      <c r="T2577">
        <f>Data!N2594</f>
        <v>0</v>
      </c>
      <c r="U2577">
        <f>Data!O2594</f>
        <v>0</v>
      </c>
      <c r="V2577" s="33">
        <f>Data!P2592</f>
        <v>0</v>
      </c>
    </row>
    <row r="2578" spans="7:22" x14ac:dyDescent="0.25">
      <c r="G2578">
        <f>Data!A2591</f>
        <v>0</v>
      </c>
      <c r="H2578" s="21">
        <f>Data!B2591</f>
        <v>0</v>
      </c>
      <c r="I2578" s="21">
        <f>Data!C2591</f>
        <v>0</v>
      </c>
      <c r="J2578">
        <f>Data!D2591</f>
        <v>0</v>
      </c>
      <c r="K2578">
        <f>Data!E2591</f>
        <v>0</v>
      </c>
      <c r="L2578">
        <f>Data!F2591</f>
        <v>0</v>
      </c>
      <c r="M2578">
        <f>Data!G2591</f>
        <v>0</v>
      </c>
      <c r="N2578">
        <f>Data!H2591</f>
        <v>0</v>
      </c>
      <c r="O2578">
        <f>Data!I2591</f>
        <v>0</v>
      </c>
      <c r="P2578" s="21">
        <f>Data!J2595</f>
        <v>0</v>
      </c>
      <c r="Q2578">
        <f>Data!K2595</f>
        <v>0</v>
      </c>
      <c r="R2578">
        <f>Data!L2595</f>
        <v>0</v>
      </c>
      <c r="S2578">
        <f>Data!M2595</f>
        <v>0</v>
      </c>
      <c r="T2578">
        <f>Data!N2595</f>
        <v>0</v>
      </c>
      <c r="U2578">
        <f>Data!O2595</f>
        <v>0</v>
      </c>
      <c r="V2578" s="33">
        <f>Data!P2593</f>
        <v>0</v>
      </c>
    </row>
    <row r="2579" spans="7:22" x14ac:dyDescent="0.25">
      <c r="G2579">
        <f>Data!A2592</f>
        <v>0</v>
      </c>
      <c r="H2579" s="21">
        <f>Data!B2592</f>
        <v>0</v>
      </c>
      <c r="I2579" s="21">
        <f>Data!C2592</f>
        <v>0</v>
      </c>
      <c r="J2579">
        <f>Data!D2592</f>
        <v>0</v>
      </c>
      <c r="K2579">
        <f>Data!E2592</f>
        <v>0</v>
      </c>
      <c r="L2579">
        <f>Data!F2592</f>
        <v>0</v>
      </c>
      <c r="M2579">
        <f>Data!G2592</f>
        <v>0</v>
      </c>
      <c r="N2579">
        <f>Data!H2592</f>
        <v>0</v>
      </c>
      <c r="O2579">
        <f>Data!I2592</f>
        <v>0</v>
      </c>
      <c r="P2579" s="21">
        <f>Data!J2596</f>
        <v>0</v>
      </c>
      <c r="Q2579">
        <f>Data!K2596</f>
        <v>0</v>
      </c>
      <c r="R2579">
        <f>Data!L2596</f>
        <v>0</v>
      </c>
      <c r="S2579">
        <f>Data!M2596</f>
        <v>0</v>
      </c>
      <c r="T2579">
        <f>Data!N2596</f>
        <v>0</v>
      </c>
      <c r="U2579">
        <f>Data!O2596</f>
        <v>0</v>
      </c>
      <c r="V2579" s="33">
        <f>Data!P2594</f>
        <v>0</v>
      </c>
    </row>
    <row r="2580" spans="7:22" x14ac:dyDescent="0.25">
      <c r="G2580">
        <f>Data!A2593</f>
        <v>0</v>
      </c>
      <c r="H2580" s="21">
        <f>Data!B2593</f>
        <v>0</v>
      </c>
      <c r="I2580" s="21">
        <f>Data!C2593</f>
        <v>0</v>
      </c>
      <c r="J2580">
        <f>Data!D2593</f>
        <v>0</v>
      </c>
      <c r="K2580">
        <f>Data!E2593</f>
        <v>0</v>
      </c>
      <c r="L2580">
        <f>Data!F2593</f>
        <v>0</v>
      </c>
      <c r="M2580">
        <f>Data!G2593</f>
        <v>0</v>
      </c>
      <c r="N2580">
        <f>Data!H2593</f>
        <v>0</v>
      </c>
      <c r="O2580">
        <f>Data!I2593</f>
        <v>0</v>
      </c>
      <c r="P2580" s="21">
        <f>Data!J2597</f>
        <v>0</v>
      </c>
      <c r="Q2580">
        <f>Data!K2597</f>
        <v>0</v>
      </c>
      <c r="R2580">
        <f>Data!L2597</f>
        <v>0</v>
      </c>
      <c r="S2580">
        <f>Data!M2597</f>
        <v>0</v>
      </c>
      <c r="T2580">
        <f>Data!N2597</f>
        <v>0</v>
      </c>
      <c r="U2580">
        <f>Data!O2597</f>
        <v>0</v>
      </c>
      <c r="V2580" s="33">
        <f>Data!P2595</f>
        <v>0</v>
      </c>
    </row>
    <row r="2581" spans="7:22" x14ac:dyDescent="0.25">
      <c r="G2581">
        <f>Data!A2594</f>
        <v>0</v>
      </c>
      <c r="H2581" s="21">
        <f>Data!B2594</f>
        <v>0</v>
      </c>
      <c r="I2581" s="21">
        <f>Data!C2594</f>
        <v>0</v>
      </c>
      <c r="J2581">
        <f>Data!D2594</f>
        <v>0</v>
      </c>
      <c r="K2581">
        <f>Data!E2594</f>
        <v>0</v>
      </c>
      <c r="L2581">
        <f>Data!F2594</f>
        <v>0</v>
      </c>
      <c r="M2581">
        <f>Data!G2594</f>
        <v>0</v>
      </c>
      <c r="N2581">
        <f>Data!H2594</f>
        <v>0</v>
      </c>
      <c r="O2581">
        <f>Data!I2594</f>
        <v>0</v>
      </c>
      <c r="P2581" s="21">
        <f>Data!J2598</f>
        <v>0</v>
      </c>
      <c r="Q2581">
        <f>Data!K2598</f>
        <v>0</v>
      </c>
      <c r="R2581">
        <f>Data!L2598</f>
        <v>0</v>
      </c>
      <c r="S2581">
        <f>Data!M2598</f>
        <v>0</v>
      </c>
      <c r="T2581">
        <f>Data!N2598</f>
        <v>0</v>
      </c>
      <c r="U2581">
        <f>Data!O2598</f>
        <v>0</v>
      </c>
      <c r="V2581" s="33">
        <f>Data!P2596</f>
        <v>0</v>
      </c>
    </row>
    <row r="2582" spans="7:22" x14ac:dyDescent="0.25">
      <c r="G2582">
        <f>Data!A2595</f>
        <v>0</v>
      </c>
      <c r="H2582" s="21">
        <f>Data!B2595</f>
        <v>0</v>
      </c>
      <c r="I2582" s="21">
        <f>Data!C2595</f>
        <v>0</v>
      </c>
      <c r="J2582">
        <f>Data!D2595</f>
        <v>0</v>
      </c>
      <c r="K2582">
        <f>Data!E2595</f>
        <v>0</v>
      </c>
      <c r="L2582">
        <f>Data!F2595</f>
        <v>0</v>
      </c>
      <c r="M2582">
        <f>Data!G2595</f>
        <v>0</v>
      </c>
      <c r="N2582">
        <f>Data!H2595</f>
        <v>0</v>
      </c>
      <c r="O2582">
        <f>Data!I2595</f>
        <v>0</v>
      </c>
      <c r="P2582" s="21">
        <f>Data!J2599</f>
        <v>0</v>
      </c>
      <c r="Q2582">
        <f>Data!K2599</f>
        <v>0</v>
      </c>
      <c r="R2582">
        <f>Data!L2599</f>
        <v>0</v>
      </c>
      <c r="S2582">
        <f>Data!M2599</f>
        <v>0</v>
      </c>
      <c r="T2582">
        <f>Data!N2599</f>
        <v>0</v>
      </c>
      <c r="U2582">
        <f>Data!O2599</f>
        <v>0</v>
      </c>
      <c r="V2582" s="33">
        <f>Data!P2597</f>
        <v>0</v>
      </c>
    </row>
    <row r="2583" spans="7:22" x14ac:dyDescent="0.25">
      <c r="G2583">
        <f>Data!A2596</f>
        <v>0</v>
      </c>
      <c r="H2583" s="21">
        <f>Data!B2596</f>
        <v>0</v>
      </c>
      <c r="I2583" s="21">
        <f>Data!C2596</f>
        <v>0</v>
      </c>
      <c r="J2583">
        <f>Data!D2596</f>
        <v>0</v>
      </c>
      <c r="K2583">
        <f>Data!E2596</f>
        <v>0</v>
      </c>
      <c r="L2583">
        <f>Data!F2596</f>
        <v>0</v>
      </c>
      <c r="M2583">
        <f>Data!G2596</f>
        <v>0</v>
      </c>
      <c r="N2583">
        <f>Data!H2596</f>
        <v>0</v>
      </c>
      <c r="O2583">
        <f>Data!I2596</f>
        <v>0</v>
      </c>
      <c r="P2583" s="21">
        <f>Data!J2600</f>
        <v>0</v>
      </c>
      <c r="Q2583">
        <f>Data!K2600</f>
        <v>0</v>
      </c>
      <c r="R2583">
        <f>Data!L2600</f>
        <v>0</v>
      </c>
      <c r="S2583">
        <f>Data!M2600</f>
        <v>0</v>
      </c>
      <c r="T2583">
        <f>Data!N2600</f>
        <v>0</v>
      </c>
      <c r="U2583">
        <f>Data!O2600</f>
        <v>0</v>
      </c>
      <c r="V2583" s="33">
        <f>Data!P2598</f>
        <v>0</v>
      </c>
    </row>
    <row r="2584" spans="7:22" x14ac:dyDescent="0.25">
      <c r="G2584">
        <f>Data!A2597</f>
        <v>0</v>
      </c>
      <c r="H2584" s="21">
        <f>Data!B2597</f>
        <v>0</v>
      </c>
      <c r="I2584" s="21">
        <f>Data!C2597</f>
        <v>0</v>
      </c>
      <c r="J2584">
        <f>Data!D2597</f>
        <v>0</v>
      </c>
      <c r="K2584">
        <f>Data!E2597</f>
        <v>0</v>
      </c>
      <c r="L2584">
        <f>Data!F2597</f>
        <v>0</v>
      </c>
      <c r="M2584">
        <f>Data!G2597</f>
        <v>0</v>
      </c>
      <c r="N2584">
        <f>Data!H2597</f>
        <v>0</v>
      </c>
      <c r="O2584">
        <f>Data!I2597</f>
        <v>0</v>
      </c>
      <c r="P2584" s="21">
        <f>Data!J2601</f>
        <v>0</v>
      </c>
      <c r="Q2584">
        <f>Data!K2601</f>
        <v>0</v>
      </c>
      <c r="R2584">
        <f>Data!L2601</f>
        <v>0</v>
      </c>
      <c r="S2584">
        <f>Data!M2601</f>
        <v>0</v>
      </c>
      <c r="T2584">
        <f>Data!N2601</f>
        <v>0</v>
      </c>
      <c r="U2584">
        <f>Data!O2601</f>
        <v>0</v>
      </c>
      <c r="V2584" s="33">
        <f>Data!P2599</f>
        <v>0</v>
      </c>
    </row>
    <row r="2585" spans="7:22" x14ac:dyDescent="0.25">
      <c r="G2585">
        <f>Data!A2598</f>
        <v>0</v>
      </c>
      <c r="H2585" s="21">
        <f>Data!B2598</f>
        <v>0</v>
      </c>
      <c r="I2585" s="21">
        <f>Data!C2598</f>
        <v>0</v>
      </c>
      <c r="J2585">
        <f>Data!D2598</f>
        <v>0</v>
      </c>
      <c r="K2585">
        <f>Data!E2598</f>
        <v>0</v>
      </c>
      <c r="L2585">
        <f>Data!F2598</f>
        <v>0</v>
      </c>
      <c r="M2585">
        <f>Data!G2598</f>
        <v>0</v>
      </c>
      <c r="N2585">
        <f>Data!H2598</f>
        <v>0</v>
      </c>
      <c r="O2585">
        <f>Data!I2598</f>
        <v>0</v>
      </c>
      <c r="P2585" s="21">
        <f>Data!J2602</f>
        <v>0</v>
      </c>
      <c r="Q2585">
        <f>Data!K2602</f>
        <v>0</v>
      </c>
      <c r="R2585">
        <f>Data!L2602</f>
        <v>0</v>
      </c>
      <c r="S2585">
        <f>Data!M2602</f>
        <v>0</v>
      </c>
      <c r="T2585">
        <f>Data!N2602</f>
        <v>0</v>
      </c>
      <c r="U2585">
        <f>Data!O2602</f>
        <v>0</v>
      </c>
      <c r="V2585" s="33">
        <f>Data!P2600</f>
        <v>0</v>
      </c>
    </row>
    <row r="2586" spans="7:22" x14ac:dyDescent="0.25">
      <c r="G2586">
        <f>Data!A2599</f>
        <v>0</v>
      </c>
      <c r="H2586" s="21">
        <f>Data!B2599</f>
        <v>0</v>
      </c>
      <c r="I2586" s="21">
        <f>Data!C2599</f>
        <v>0</v>
      </c>
      <c r="J2586">
        <f>Data!D2599</f>
        <v>0</v>
      </c>
      <c r="K2586">
        <f>Data!E2599</f>
        <v>0</v>
      </c>
      <c r="L2586">
        <f>Data!F2599</f>
        <v>0</v>
      </c>
      <c r="M2586">
        <f>Data!G2599</f>
        <v>0</v>
      </c>
      <c r="N2586">
        <f>Data!H2599</f>
        <v>0</v>
      </c>
      <c r="O2586">
        <f>Data!I2599</f>
        <v>0</v>
      </c>
      <c r="P2586" s="21">
        <f>Data!J2603</f>
        <v>0</v>
      </c>
      <c r="Q2586">
        <f>Data!K2603</f>
        <v>0</v>
      </c>
      <c r="R2586">
        <f>Data!L2603</f>
        <v>0</v>
      </c>
      <c r="S2586">
        <f>Data!M2603</f>
        <v>0</v>
      </c>
      <c r="T2586">
        <f>Data!N2603</f>
        <v>0</v>
      </c>
      <c r="U2586">
        <f>Data!O2603</f>
        <v>0</v>
      </c>
      <c r="V2586" s="33">
        <f>Data!P2601</f>
        <v>0</v>
      </c>
    </row>
    <row r="2587" spans="7:22" x14ac:dyDescent="0.25">
      <c r="G2587">
        <f>Data!A2600</f>
        <v>0</v>
      </c>
      <c r="H2587" s="21">
        <f>Data!B2600</f>
        <v>0</v>
      </c>
      <c r="I2587" s="21">
        <f>Data!C2600</f>
        <v>0</v>
      </c>
      <c r="J2587">
        <f>Data!D2600</f>
        <v>0</v>
      </c>
      <c r="K2587">
        <f>Data!E2600</f>
        <v>0</v>
      </c>
      <c r="L2587">
        <f>Data!F2600</f>
        <v>0</v>
      </c>
      <c r="M2587">
        <f>Data!G2600</f>
        <v>0</v>
      </c>
      <c r="N2587">
        <f>Data!H2600</f>
        <v>0</v>
      </c>
      <c r="O2587">
        <f>Data!I2600</f>
        <v>0</v>
      </c>
      <c r="P2587" s="21">
        <f>Data!J2604</f>
        <v>0</v>
      </c>
      <c r="Q2587">
        <f>Data!K2604</f>
        <v>0</v>
      </c>
      <c r="R2587">
        <f>Data!L2604</f>
        <v>0</v>
      </c>
      <c r="S2587">
        <f>Data!M2604</f>
        <v>0</v>
      </c>
      <c r="T2587">
        <f>Data!N2604</f>
        <v>0</v>
      </c>
      <c r="U2587">
        <f>Data!O2604</f>
        <v>0</v>
      </c>
      <c r="V2587" s="33">
        <f>Data!P2602</f>
        <v>0</v>
      </c>
    </row>
    <row r="2588" spans="7:22" x14ac:dyDescent="0.25">
      <c r="G2588">
        <f>Data!A2601</f>
        <v>0</v>
      </c>
      <c r="H2588" s="21">
        <f>Data!B2601</f>
        <v>0</v>
      </c>
      <c r="I2588" s="21">
        <f>Data!C2601</f>
        <v>0</v>
      </c>
      <c r="J2588">
        <f>Data!D2601</f>
        <v>0</v>
      </c>
      <c r="K2588">
        <f>Data!E2601</f>
        <v>0</v>
      </c>
      <c r="L2588">
        <f>Data!F2601</f>
        <v>0</v>
      </c>
      <c r="M2588">
        <f>Data!G2601</f>
        <v>0</v>
      </c>
      <c r="N2588">
        <f>Data!H2601</f>
        <v>0</v>
      </c>
      <c r="O2588">
        <f>Data!I2601</f>
        <v>0</v>
      </c>
      <c r="P2588" s="21">
        <f>Data!J2605</f>
        <v>0</v>
      </c>
      <c r="Q2588">
        <f>Data!K2605</f>
        <v>0</v>
      </c>
      <c r="R2588">
        <f>Data!L2605</f>
        <v>0</v>
      </c>
      <c r="S2588">
        <f>Data!M2605</f>
        <v>0</v>
      </c>
      <c r="T2588">
        <f>Data!N2605</f>
        <v>0</v>
      </c>
      <c r="U2588">
        <f>Data!O2605</f>
        <v>0</v>
      </c>
      <c r="V2588" s="33">
        <f>Data!P2603</f>
        <v>0</v>
      </c>
    </row>
    <row r="2589" spans="7:22" x14ac:dyDescent="0.25">
      <c r="G2589">
        <f>Data!A2602</f>
        <v>0</v>
      </c>
      <c r="H2589" s="21">
        <f>Data!B2602</f>
        <v>0</v>
      </c>
      <c r="I2589" s="21">
        <f>Data!C2602</f>
        <v>0</v>
      </c>
      <c r="J2589">
        <f>Data!D2602</f>
        <v>0</v>
      </c>
      <c r="K2589">
        <f>Data!E2602</f>
        <v>0</v>
      </c>
      <c r="L2589">
        <f>Data!F2602</f>
        <v>0</v>
      </c>
      <c r="M2589">
        <f>Data!G2602</f>
        <v>0</v>
      </c>
      <c r="N2589">
        <f>Data!H2602</f>
        <v>0</v>
      </c>
      <c r="O2589">
        <f>Data!I2602</f>
        <v>0</v>
      </c>
      <c r="P2589" s="21">
        <f>Data!J2606</f>
        <v>0</v>
      </c>
      <c r="Q2589">
        <f>Data!K2606</f>
        <v>0</v>
      </c>
      <c r="R2589">
        <f>Data!L2606</f>
        <v>0</v>
      </c>
      <c r="S2589">
        <f>Data!M2606</f>
        <v>0</v>
      </c>
      <c r="T2589">
        <f>Data!N2606</f>
        <v>0</v>
      </c>
      <c r="U2589">
        <f>Data!O2606</f>
        <v>0</v>
      </c>
      <c r="V2589" s="33">
        <f>Data!P2604</f>
        <v>0</v>
      </c>
    </row>
    <row r="2590" spans="7:22" x14ac:dyDescent="0.25">
      <c r="G2590">
        <f>Data!A2603</f>
        <v>0</v>
      </c>
      <c r="H2590" s="21">
        <f>Data!B2603</f>
        <v>0</v>
      </c>
      <c r="I2590" s="21">
        <f>Data!C2603</f>
        <v>0</v>
      </c>
      <c r="J2590">
        <f>Data!D2603</f>
        <v>0</v>
      </c>
      <c r="K2590">
        <f>Data!E2603</f>
        <v>0</v>
      </c>
      <c r="L2590">
        <f>Data!F2603</f>
        <v>0</v>
      </c>
      <c r="M2590">
        <f>Data!G2603</f>
        <v>0</v>
      </c>
      <c r="N2590">
        <f>Data!H2603</f>
        <v>0</v>
      </c>
      <c r="O2590">
        <f>Data!I2603</f>
        <v>0</v>
      </c>
      <c r="P2590" s="21">
        <f>Data!J2607</f>
        <v>0</v>
      </c>
      <c r="Q2590">
        <f>Data!K2607</f>
        <v>0</v>
      </c>
      <c r="R2590">
        <f>Data!L2607</f>
        <v>0</v>
      </c>
      <c r="S2590">
        <f>Data!M2607</f>
        <v>0</v>
      </c>
      <c r="T2590">
        <f>Data!N2607</f>
        <v>0</v>
      </c>
      <c r="U2590">
        <f>Data!O2607</f>
        <v>0</v>
      </c>
      <c r="V2590" s="33">
        <f>Data!P2605</f>
        <v>0</v>
      </c>
    </row>
    <row r="2591" spans="7:22" x14ac:dyDescent="0.25">
      <c r="G2591">
        <f>Data!A2604</f>
        <v>0</v>
      </c>
      <c r="H2591" s="21">
        <f>Data!B2604</f>
        <v>0</v>
      </c>
      <c r="I2591" s="21">
        <f>Data!C2604</f>
        <v>0</v>
      </c>
      <c r="J2591">
        <f>Data!D2604</f>
        <v>0</v>
      </c>
      <c r="K2591">
        <f>Data!E2604</f>
        <v>0</v>
      </c>
      <c r="L2591">
        <f>Data!F2604</f>
        <v>0</v>
      </c>
      <c r="M2591">
        <f>Data!G2604</f>
        <v>0</v>
      </c>
      <c r="N2591">
        <f>Data!H2604</f>
        <v>0</v>
      </c>
      <c r="O2591">
        <f>Data!I2604</f>
        <v>0</v>
      </c>
      <c r="P2591" s="21">
        <f>Data!J2608</f>
        <v>0</v>
      </c>
      <c r="Q2591">
        <f>Data!K2608</f>
        <v>0</v>
      </c>
      <c r="R2591">
        <f>Data!L2608</f>
        <v>0</v>
      </c>
      <c r="S2591">
        <f>Data!M2608</f>
        <v>0</v>
      </c>
      <c r="T2591">
        <f>Data!N2608</f>
        <v>0</v>
      </c>
      <c r="U2591">
        <f>Data!O2608</f>
        <v>0</v>
      </c>
      <c r="V2591" s="33">
        <f>Data!P2606</f>
        <v>0</v>
      </c>
    </row>
    <row r="2592" spans="7:22" x14ac:dyDescent="0.25">
      <c r="G2592">
        <f>Data!A2605</f>
        <v>0</v>
      </c>
      <c r="H2592" s="21">
        <f>Data!B2605</f>
        <v>0</v>
      </c>
      <c r="I2592" s="21">
        <f>Data!C2605</f>
        <v>0</v>
      </c>
      <c r="J2592">
        <f>Data!D2605</f>
        <v>0</v>
      </c>
      <c r="K2592">
        <f>Data!E2605</f>
        <v>0</v>
      </c>
      <c r="L2592">
        <f>Data!F2605</f>
        <v>0</v>
      </c>
      <c r="M2592">
        <f>Data!G2605</f>
        <v>0</v>
      </c>
      <c r="N2592">
        <f>Data!H2605</f>
        <v>0</v>
      </c>
      <c r="O2592">
        <f>Data!I2605</f>
        <v>0</v>
      </c>
      <c r="P2592" s="21">
        <f>Data!J2609</f>
        <v>0</v>
      </c>
      <c r="Q2592">
        <f>Data!K2609</f>
        <v>0</v>
      </c>
      <c r="R2592">
        <f>Data!L2609</f>
        <v>0</v>
      </c>
      <c r="S2592">
        <f>Data!M2609</f>
        <v>0</v>
      </c>
      <c r="T2592">
        <f>Data!N2609</f>
        <v>0</v>
      </c>
      <c r="U2592">
        <f>Data!O2609</f>
        <v>0</v>
      </c>
      <c r="V2592" s="33">
        <f>Data!P2607</f>
        <v>0</v>
      </c>
    </row>
    <row r="2593" spans="7:22" x14ac:dyDescent="0.25">
      <c r="G2593">
        <f>Data!A2606</f>
        <v>0</v>
      </c>
      <c r="H2593" s="21">
        <f>Data!B2606</f>
        <v>0</v>
      </c>
      <c r="I2593" s="21">
        <f>Data!C2606</f>
        <v>0</v>
      </c>
      <c r="J2593">
        <f>Data!D2606</f>
        <v>0</v>
      </c>
      <c r="K2593">
        <f>Data!E2606</f>
        <v>0</v>
      </c>
      <c r="L2593">
        <f>Data!F2606</f>
        <v>0</v>
      </c>
      <c r="M2593">
        <f>Data!G2606</f>
        <v>0</v>
      </c>
      <c r="N2593">
        <f>Data!H2606</f>
        <v>0</v>
      </c>
      <c r="O2593">
        <f>Data!I2606</f>
        <v>0</v>
      </c>
      <c r="P2593" s="21">
        <f>Data!J2610</f>
        <v>0</v>
      </c>
      <c r="Q2593">
        <f>Data!K2610</f>
        <v>0</v>
      </c>
      <c r="R2593">
        <f>Data!L2610</f>
        <v>0</v>
      </c>
      <c r="S2593">
        <f>Data!M2610</f>
        <v>0</v>
      </c>
      <c r="T2593">
        <f>Data!N2610</f>
        <v>0</v>
      </c>
      <c r="U2593">
        <f>Data!O2610</f>
        <v>0</v>
      </c>
      <c r="V2593" s="33">
        <f>Data!P2608</f>
        <v>0</v>
      </c>
    </row>
    <row r="2594" spans="7:22" x14ac:dyDescent="0.25">
      <c r="G2594">
        <f>Data!A2607</f>
        <v>0</v>
      </c>
      <c r="H2594" s="21">
        <f>Data!B2607</f>
        <v>0</v>
      </c>
      <c r="I2594" s="21">
        <f>Data!C2607</f>
        <v>0</v>
      </c>
      <c r="J2594">
        <f>Data!D2607</f>
        <v>0</v>
      </c>
      <c r="K2594">
        <f>Data!E2607</f>
        <v>0</v>
      </c>
      <c r="L2594">
        <f>Data!F2607</f>
        <v>0</v>
      </c>
      <c r="M2594">
        <f>Data!G2607</f>
        <v>0</v>
      </c>
      <c r="N2594">
        <f>Data!H2607</f>
        <v>0</v>
      </c>
      <c r="O2594">
        <f>Data!I2607</f>
        <v>0</v>
      </c>
      <c r="P2594" s="21">
        <f>Data!J2611</f>
        <v>0</v>
      </c>
      <c r="Q2594">
        <f>Data!K2611</f>
        <v>0</v>
      </c>
      <c r="R2594">
        <f>Data!L2611</f>
        <v>0</v>
      </c>
      <c r="S2594">
        <f>Data!M2611</f>
        <v>0</v>
      </c>
      <c r="T2594">
        <f>Data!N2611</f>
        <v>0</v>
      </c>
      <c r="U2594">
        <f>Data!O2611</f>
        <v>0</v>
      </c>
      <c r="V2594" s="33">
        <f>Data!P2609</f>
        <v>0</v>
      </c>
    </row>
    <row r="2595" spans="7:22" x14ac:dyDescent="0.25">
      <c r="G2595">
        <f>Data!A2608</f>
        <v>0</v>
      </c>
      <c r="H2595" s="21">
        <f>Data!B2608</f>
        <v>0</v>
      </c>
      <c r="I2595" s="21">
        <f>Data!C2608</f>
        <v>0</v>
      </c>
      <c r="J2595">
        <f>Data!D2608</f>
        <v>0</v>
      </c>
      <c r="K2595">
        <f>Data!E2608</f>
        <v>0</v>
      </c>
      <c r="L2595">
        <f>Data!F2608</f>
        <v>0</v>
      </c>
      <c r="M2595">
        <f>Data!G2608</f>
        <v>0</v>
      </c>
      <c r="N2595">
        <f>Data!H2608</f>
        <v>0</v>
      </c>
      <c r="O2595">
        <f>Data!I2608</f>
        <v>0</v>
      </c>
      <c r="P2595" s="21">
        <f>Data!J2612</f>
        <v>0</v>
      </c>
      <c r="Q2595">
        <f>Data!K2612</f>
        <v>0</v>
      </c>
      <c r="R2595">
        <f>Data!L2612</f>
        <v>0</v>
      </c>
      <c r="S2595">
        <f>Data!M2612</f>
        <v>0</v>
      </c>
      <c r="T2595">
        <f>Data!N2612</f>
        <v>0</v>
      </c>
      <c r="U2595">
        <f>Data!O2612</f>
        <v>0</v>
      </c>
      <c r="V2595" s="33">
        <f>Data!P2610</f>
        <v>0</v>
      </c>
    </row>
    <row r="2596" spans="7:22" x14ac:dyDescent="0.25">
      <c r="G2596">
        <f>Data!A2609</f>
        <v>0</v>
      </c>
      <c r="H2596" s="21">
        <f>Data!B2609</f>
        <v>0</v>
      </c>
      <c r="I2596" s="21">
        <f>Data!C2609</f>
        <v>0</v>
      </c>
      <c r="J2596">
        <f>Data!D2609</f>
        <v>0</v>
      </c>
      <c r="K2596">
        <f>Data!E2609</f>
        <v>0</v>
      </c>
      <c r="L2596">
        <f>Data!F2609</f>
        <v>0</v>
      </c>
      <c r="M2596">
        <f>Data!G2609</f>
        <v>0</v>
      </c>
      <c r="N2596">
        <f>Data!H2609</f>
        <v>0</v>
      </c>
      <c r="O2596">
        <f>Data!I2609</f>
        <v>0</v>
      </c>
      <c r="P2596" s="21">
        <f>Data!J2613</f>
        <v>0</v>
      </c>
      <c r="Q2596">
        <f>Data!K2613</f>
        <v>0</v>
      </c>
      <c r="R2596">
        <f>Data!L2613</f>
        <v>0</v>
      </c>
      <c r="S2596">
        <f>Data!M2613</f>
        <v>0</v>
      </c>
      <c r="T2596">
        <f>Data!N2613</f>
        <v>0</v>
      </c>
      <c r="U2596">
        <f>Data!O2613</f>
        <v>0</v>
      </c>
      <c r="V2596" s="33">
        <f>Data!P2611</f>
        <v>0</v>
      </c>
    </row>
    <row r="2597" spans="7:22" x14ac:dyDescent="0.25">
      <c r="G2597">
        <f>Data!A2610</f>
        <v>0</v>
      </c>
      <c r="H2597" s="21">
        <f>Data!B2610</f>
        <v>0</v>
      </c>
      <c r="I2597" s="21">
        <f>Data!C2610</f>
        <v>0</v>
      </c>
      <c r="J2597">
        <f>Data!D2610</f>
        <v>0</v>
      </c>
      <c r="K2597">
        <f>Data!E2610</f>
        <v>0</v>
      </c>
      <c r="L2597">
        <f>Data!F2610</f>
        <v>0</v>
      </c>
      <c r="M2597">
        <f>Data!G2610</f>
        <v>0</v>
      </c>
      <c r="N2597">
        <f>Data!H2610</f>
        <v>0</v>
      </c>
      <c r="O2597">
        <f>Data!I2610</f>
        <v>0</v>
      </c>
      <c r="P2597" s="21">
        <f>Data!J2614</f>
        <v>0</v>
      </c>
      <c r="Q2597">
        <f>Data!K2614</f>
        <v>0</v>
      </c>
      <c r="R2597">
        <f>Data!L2614</f>
        <v>0</v>
      </c>
      <c r="S2597">
        <f>Data!M2614</f>
        <v>0</v>
      </c>
      <c r="T2597">
        <f>Data!N2614</f>
        <v>0</v>
      </c>
      <c r="U2597">
        <f>Data!O2614</f>
        <v>0</v>
      </c>
      <c r="V2597" s="33">
        <f>Data!P2612</f>
        <v>0</v>
      </c>
    </row>
    <row r="2598" spans="7:22" x14ac:dyDescent="0.25">
      <c r="G2598">
        <f>Data!A2611</f>
        <v>0</v>
      </c>
      <c r="H2598" s="21">
        <f>Data!B2611</f>
        <v>0</v>
      </c>
      <c r="I2598" s="21">
        <f>Data!C2611</f>
        <v>0</v>
      </c>
      <c r="J2598">
        <f>Data!D2611</f>
        <v>0</v>
      </c>
      <c r="K2598">
        <f>Data!E2611</f>
        <v>0</v>
      </c>
      <c r="L2598">
        <f>Data!F2611</f>
        <v>0</v>
      </c>
      <c r="M2598">
        <f>Data!G2611</f>
        <v>0</v>
      </c>
      <c r="N2598">
        <f>Data!H2611</f>
        <v>0</v>
      </c>
      <c r="O2598">
        <f>Data!I2611</f>
        <v>0</v>
      </c>
      <c r="P2598" s="21">
        <f>Data!J2615</f>
        <v>0</v>
      </c>
      <c r="Q2598">
        <f>Data!K2615</f>
        <v>0</v>
      </c>
      <c r="R2598">
        <f>Data!L2615</f>
        <v>0</v>
      </c>
      <c r="S2598">
        <f>Data!M2615</f>
        <v>0</v>
      </c>
      <c r="T2598">
        <f>Data!N2615</f>
        <v>0</v>
      </c>
      <c r="U2598">
        <f>Data!O2615</f>
        <v>0</v>
      </c>
      <c r="V2598" s="33">
        <f>Data!P2613</f>
        <v>0</v>
      </c>
    </row>
    <row r="2599" spans="7:22" x14ac:dyDescent="0.25">
      <c r="G2599">
        <f>Data!A2612</f>
        <v>0</v>
      </c>
      <c r="H2599" s="21">
        <f>Data!B2612</f>
        <v>0</v>
      </c>
      <c r="I2599" s="21">
        <f>Data!C2612</f>
        <v>0</v>
      </c>
      <c r="J2599">
        <f>Data!D2612</f>
        <v>0</v>
      </c>
      <c r="K2599">
        <f>Data!E2612</f>
        <v>0</v>
      </c>
      <c r="L2599">
        <f>Data!F2612</f>
        <v>0</v>
      </c>
      <c r="M2599">
        <f>Data!G2612</f>
        <v>0</v>
      </c>
      <c r="N2599">
        <f>Data!H2612</f>
        <v>0</v>
      </c>
      <c r="O2599">
        <f>Data!I2612</f>
        <v>0</v>
      </c>
      <c r="P2599" s="21">
        <f>Data!J2616</f>
        <v>0</v>
      </c>
      <c r="Q2599">
        <f>Data!K2616</f>
        <v>0</v>
      </c>
      <c r="R2599">
        <f>Data!L2616</f>
        <v>0</v>
      </c>
      <c r="S2599">
        <f>Data!M2616</f>
        <v>0</v>
      </c>
      <c r="T2599">
        <f>Data!N2616</f>
        <v>0</v>
      </c>
      <c r="U2599">
        <f>Data!O2616</f>
        <v>0</v>
      </c>
      <c r="V2599" s="33">
        <f>Data!P2614</f>
        <v>0</v>
      </c>
    </row>
    <row r="2600" spans="7:22" x14ac:dyDescent="0.25">
      <c r="G2600">
        <f>Data!A2613</f>
        <v>0</v>
      </c>
      <c r="H2600" s="21">
        <f>Data!B2613</f>
        <v>0</v>
      </c>
      <c r="I2600" s="21">
        <f>Data!C2613</f>
        <v>0</v>
      </c>
      <c r="J2600">
        <f>Data!D2613</f>
        <v>0</v>
      </c>
      <c r="K2600">
        <f>Data!E2613</f>
        <v>0</v>
      </c>
      <c r="L2600">
        <f>Data!F2613</f>
        <v>0</v>
      </c>
      <c r="M2600">
        <f>Data!G2613</f>
        <v>0</v>
      </c>
      <c r="N2600">
        <f>Data!H2613</f>
        <v>0</v>
      </c>
      <c r="O2600">
        <f>Data!I2613</f>
        <v>0</v>
      </c>
      <c r="P2600" s="21">
        <f>Data!J2617</f>
        <v>0</v>
      </c>
      <c r="Q2600">
        <f>Data!K2617</f>
        <v>0</v>
      </c>
      <c r="R2600">
        <f>Data!L2617</f>
        <v>0</v>
      </c>
      <c r="S2600">
        <f>Data!M2617</f>
        <v>0</v>
      </c>
      <c r="T2600">
        <f>Data!N2617</f>
        <v>0</v>
      </c>
      <c r="U2600">
        <f>Data!O2617</f>
        <v>0</v>
      </c>
      <c r="V2600" s="33">
        <f>Data!P2615</f>
        <v>0</v>
      </c>
    </row>
    <row r="2601" spans="7:22" x14ac:dyDescent="0.25">
      <c r="G2601">
        <f>Data!A2614</f>
        <v>0</v>
      </c>
      <c r="H2601" s="21">
        <f>Data!B2614</f>
        <v>0</v>
      </c>
      <c r="I2601" s="21">
        <f>Data!C2614</f>
        <v>0</v>
      </c>
      <c r="J2601">
        <f>Data!D2614</f>
        <v>0</v>
      </c>
      <c r="K2601">
        <f>Data!E2614</f>
        <v>0</v>
      </c>
      <c r="L2601">
        <f>Data!F2614</f>
        <v>0</v>
      </c>
      <c r="M2601">
        <f>Data!G2614</f>
        <v>0</v>
      </c>
      <c r="N2601">
        <f>Data!H2614</f>
        <v>0</v>
      </c>
      <c r="O2601">
        <f>Data!I2614</f>
        <v>0</v>
      </c>
      <c r="P2601" s="21">
        <f>Data!J2618</f>
        <v>0</v>
      </c>
      <c r="Q2601">
        <f>Data!K2618</f>
        <v>0</v>
      </c>
      <c r="R2601">
        <f>Data!L2618</f>
        <v>0</v>
      </c>
      <c r="S2601">
        <f>Data!M2618</f>
        <v>0</v>
      </c>
      <c r="T2601">
        <f>Data!N2618</f>
        <v>0</v>
      </c>
      <c r="U2601">
        <f>Data!O2618</f>
        <v>0</v>
      </c>
      <c r="V2601" s="33">
        <f>Data!P2616</f>
        <v>0</v>
      </c>
    </row>
    <row r="2602" spans="7:22" x14ac:dyDescent="0.25">
      <c r="G2602">
        <f>Data!A2615</f>
        <v>0</v>
      </c>
      <c r="H2602" s="21">
        <f>Data!B2615</f>
        <v>0</v>
      </c>
      <c r="I2602" s="21">
        <f>Data!C2615</f>
        <v>0</v>
      </c>
      <c r="J2602">
        <f>Data!D2615</f>
        <v>0</v>
      </c>
      <c r="K2602">
        <f>Data!E2615</f>
        <v>0</v>
      </c>
      <c r="L2602">
        <f>Data!F2615</f>
        <v>0</v>
      </c>
      <c r="M2602">
        <f>Data!G2615</f>
        <v>0</v>
      </c>
      <c r="N2602">
        <f>Data!H2615</f>
        <v>0</v>
      </c>
      <c r="O2602">
        <f>Data!I2615</f>
        <v>0</v>
      </c>
      <c r="P2602" s="21">
        <f>Data!J2619</f>
        <v>0</v>
      </c>
      <c r="Q2602">
        <f>Data!K2619</f>
        <v>0</v>
      </c>
      <c r="R2602">
        <f>Data!L2619</f>
        <v>0</v>
      </c>
      <c r="S2602">
        <f>Data!M2619</f>
        <v>0</v>
      </c>
      <c r="T2602">
        <f>Data!N2619</f>
        <v>0</v>
      </c>
      <c r="U2602">
        <f>Data!O2619</f>
        <v>0</v>
      </c>
      <c r="V2602" s="33">
        <f>Data!P2617</f>
        <v>0</v>
      </c>
    </row>
    <row r="2603" spans="7:22" x14ac:dyDescent="0.25">
      <c r="G2603">
        <f>Data!A2616</f>
        <v>0</v>
      </c>
      <c r="H2603" s="21">
        <f>Data!B2616</f>
        <v>0</v>
      </c>
      <c r="I2603" s="21">
        <f>Data!C2616</f>
        <v>0</v>
      </c>
      <c r="J2603">
        <f>Data!D2616</f>
        <v>0</v>
      </c>
      <c r="K2603">
        <f>Data!E2616</f>
        <v>0</v>
      </c>
      <c r="L2603">
        <f>Data!F2616</f>
        <v>0</v>
      </c>
      <c r="M2603">
        <f>Data!G2616</f>
        <v>0</v>
      </c>
      <c r="N2603">
        <f>Data!H2616</f>
        <v>0</v>
      </c>
      <c r="O2603">
        <f>Data!I2616</f>
        <v>0</v>
      </c>
      <c r="P2603" s="21">
        <f>Data!J2620</f>
        <v>0</v>
      </c>
      <c r="Q2603">
        <f>Data!K2620</f>
        <v>0</v>
      </c>
      <c r="R2603">
        <f>Data!L2620</f>
        <v>0</v>
      </c>
      <c r="S2603">
        <f>Data!M2620</f>
        <v>0</v>
      </c>
      <c r="T2603">
        <f>Data!N2620</f>
        <v>0</v>
      </c>
      <c r="U2603">
        <f>Data!O2620</f>
        <v>0</v>
      </c>
      <c r="V2603" s="33">
        <f>Data!P2618</f>
        <v>0</v>
      </c>
    </row>
    <row r="2604" spans="7:22" x14ac:dyDescent="0.25">
      <c r="G2604">
        <f>Data!A2617</f>
        <v>0</v>
      </c>
      <c r="H2604" s="21">
        <f>Data!B2617</f>
        <v>0</v>
      </c>
      <c r="I2604" s="21">
        <f>Data!C2617</f>
        <v>0</v>
      </c>
      <c r="J2604">
        <f>Data!D2617</f>
        <v>0</v>
      </c>
      <c r="K2604">
        <f>Data!E2617</f>
        <v>0</v>
      </c>
      <c r="L2604">
        <f>Data!F2617</f>
        <v>0</v>
      </c>
      <c r="M2604">
        <f>Data!G2617</f>
        <v>0</v>
      </c>
      <c r="N2604">
        <f>Data!H2617</f>
        <v>0</v>
      </c>
      <c r="O2604">
        <f>Data!I2617</f>
        <v>0</v>
      </c>
      <c r="P2604" s="21">
        <f>Data!J2621</f>
        <v>0</v>
      </c>
      <c r="Q2604">
        <f>Data!K2621</f>
        <v>0</v>
      </c>
      <c r="R2604">
        <f>Data!L2621</f>
        <v>0</v>
      </c>
      <c r="S2604">
        <f>Data!M2621</f>
        <v>0</v>
      </c>
      <c r="T2604">
        <f>Data!N2621</f>
        <v>0</v>
      </c>
      <c r="U2604">
        <f>Data!O2621</f>
        <v>0</v>
      </c>
      <c r="V2604" s="33">
        <f>Data!P2619</f>
        <v>0</v>
      </c>
    </row>
    <row r="2605" spans="7:22" x14ac:dyDescent="0.25">
      <c r="G2605">
        <f>Data!A2618</f>
        <v>0</v>
      </c>
      <c r="H2605" s="21">
        <f>Data!B2618</f>
        <v>0</v>
      </c>
      <c r="I2605" s="21">
        <f>Data!C2618</f>
        <v>0</v>
      </c>
      <c r="J2605">
        <f>Data!D2618</f>
        <v>0</v>
      </c>
      <c r="K2605">
        <f>Data!E2618</f>
        <v>0</v>
      </c>
      <c r="L2605">
        <f>Data!F2618</f>
        <v>0</v>
      </c>
      <c r="M2605">
        <f>Data!G2618</f>
        <v>0</v>
      </c>
      <c r="N2605">
        <f>Data!H2618</f>
        <v>0</v>
      </c>
      <c r="O2605">
        <f>Data!I2618</f>
        <v>0</v>
      </c>
      <c r="P2605" s="21">
        <f>Data!J2622</f>
        <v>0</v>
      </c>
      <c r="Q2605">
        <f>Data!K2622</f>
        <v>0</v>
      </c>
      <c r="R2605">
        <f>Data!L2622</f>
        <v>0</v>
      </c>
      <c r="S2605">
        <f>Data!M2622</f>
        <v>0</v>
      </c>
      <c r="T2605">
        <f>Data!N2622</f>
        <v>0</v>
      </c>
      <c r="U2605">
        <f>Data!O2622</f>
        <v>0</v>
      </c>
      <c r="V2605" s="33">
        <f>Data!P2620</f>
        <v>0</v>
      </c>
    </row>
    <row r="2606" spans="7:22" x14ac:dyDescent="0.25">
      <c r="G2606">
        <f>Data!A2619</f>
        <v>0</v>
      </c>
      <c r="H2606" s="21">
        <f>Data!B2619</f>
        <v>0</v>
      </c>
      <c r="I2606" s="21">
        <f>Data!C2619</f>
        <v>0</v>
      </c>
      <c r="J2606">
        <f>Data!D2619</f>
        <v>0</v>
      </c>
      <c r="K2606">
        <f>Data!E2619</f>
        <v>0</v>
      </c>
      <c r="L2606">
        <f>Data!F2619</f>
        <v>0</v>
      </c>
      <c r="M2606">
        <f>Data!G2619</f>
        <v>0</v>
      </c>
      <c r="N2606">
        <f>Data!H2619</f>
        <v>0</v>
      </c>
      <c r="O2606">
        <f>Data!I2619</f>
        <v>0</v>
      </c>
      <c r="P2606" s="21">
        <f>Data!J2623</f>
        <v>0</v>
      </c>
      <c r="Q2606">
        <f>Data!K2623</f>
        <v>0</v>
      </c>
      <c r="R2606">
        <f>Data!L2623</f>
        <v>0</v>
      </c>
      <c r="S2606">
        <f>Data!M2623</f>
        <v>0</v>
      </c>
      <c r="T2606">
        <f>Data!N2623</f>
        <v>0</v>
      </c>
      <c r="U2606">
        <f>Data!O2623</f>
        <v>0</v>
      </c>
      <c r="V2606" s="33">
        <f>Data!P2621</f>
        <v>0</v>
      </c>
    </row>
    <row r="2607" spans="7:22" x14ac:dyDescent="0.25">
      <c r="G2607">
        <f>Data!A2620</f>
        <v>0</v>
      </c>
      <c r="H2607" s="21">
        <f>Data!B2620</f>
        <v>0</v>
      </c>
      <c r="I2607" s="21">
        <f>Data!C2620</f>
        <v>0</v>
      </c>
      <c r="J2607">
        <f>Data!D2620</f>
        <v>0</v>
      </c>
      <c r="K2607">
        <f>Data!E2620</f>
        <v>0</v>
      </c>
      <c r="L2607">
        <f>Data!F2620</f>
        <v>0</v>
      </c>
      <c r="M2607">
        <f>Data!G2620</f>
        <v>0</v>
      </c>
      <c r="N2607">
        <f>Data!H2620</f>
        <v>0</v>
      </c>
      <c r="O2607">
        <f>Data!I2620</f>
        <v>0</v>
      </c>
      <c r="P2607" s="21">
        <f>Data!J2624</f>
        <v>0</v>
      </c>
      <c r="Q2607">
        <f>Data!K2624</f>
        <v>0</v>
      </c>
      <c r="R2607">
        <f>Data!L2624</f>
        <v>0</v>
      </c>
      <c r="S2607">
        <f>Data!M2624</f>
        <v>0</v>
      </c>
      <c r="T2607">
        <f>Data!N2624</f>
        <v>0</v>
      </c>
      <c r="U2607">
        <f>Data!O2624</f>
        <v>0</v>
      </c>
      <c r="V2607" s="33">
        <f>Data!P2622</f>
        <v>0</v>
      </c>
    </row>
    <row r="2608" spans="7:22" x14ac:dyDescent="0.25">
      <c r="G2608">
        <f>Data!A2621</f>
        <v>0</v>
      </c>
      <c r="H2608" s="21">
        <f>Data!B2621</f>
        <v>0</v>
      </c>
      <c r="I2608" s="21">
        <f>Data!C2621</f>
        <v>0</v>
      </c>
      <c r="J2608">
        <f>Data!D2621</f>
        <v>0</v>
      </c>
      <c r="K2608">
        <f>Data!E2621</f>
        <v>0</v>
      </c>
      <c r="L2608">
        <f>Data!F2621</f>
        <v>0</v>
      </c>
      <c r="M2608">
        <f>Data!G2621</f>
        <v>0</v>
      </c>
      <c r="N2608">
        <f>Data!H2621</f>
        <v>0</v>
      </c>
      <c r="O2608">
        <f>Data!I2621</f>
        <v>0</v>
      </c>
      <c r="P2608" s="21">
        <f>Data!J2625</f>
        <v>0</v>
      </c>
      <c r="Q2608">
        <f>Data!K2625</f>
        <v>0</v>
      </c>
      <c r="R2608">
        <f>Data!L2625</f>
        <v>0</v>
      </c>
      <c r="S2608">
        <f>Data!M2625</f>
        <v>0</v>
      </c>
      <c r="T2608">
        <f>Data!N2625</f>
        <v>0</v>
      </c>
      <c r="U2608">
        <f>Data!O2625</f>
        <v>0</v>
      </c>
      <c r="V2608" s="33">
        <f>Data!P2623</f>
        <v>0</v>
      </c>
    </row>
    <row r="2609" spans="7:22" x14ac:dyDescent="0.25">
      <c r="G2609">
        <f>Data!A2622</f>
        <v>0</v>
      </c>
      <c r="H2609" s="21">
        <f>Data!B2622</f>
        <v>0</v>
      </c>
      <c r="I2609" s="21">
        <f>Data!C2622</f>
        <v>0</v>
      </c>
      <c r="J2609">
        <f>Data!D2622</f>
        <v>0</v>
      </c>
      <c r="K2609">
        <f>Data!E2622</f>
        <v>0</v>
      </c>
      <c r="L2609">
        <f>Data!F2622</f>
        <v>0</v>
      </c>
      <c r="M2609">
        <f>Data!G2622</f>
        <v>0</v>
      </c>
      <c r="N2609">
        <f>Data!H2622</f>
        <v>0</v>
      </c>
      <c r="O2609">
        <f>Data!I2622</f>
        <v>0</v>
      </c>
      <c r="P2609" s="21">
        <f>Data!J2626</f>
        <v>0</v>
      </c>
      <c r="Q2609">
        <f>Data!K2626</f>
        <v>0</v>
      </c>
      <c r="R2609">
        <f>Data!L2626</f>
        <v>0</v>
      </c>
      <c r="S2609">
        <f>Data!M2626</f>
        <v>0</v>
      </c>
      <c r="T2609">
        <f>Data!N2626</f>
        <v>0</v>
      </c>
      <c r="U2609">
        <f>Data!O2626</f>
        <v>0</v>
      </c>
      <c r="V2609" s="33">
        <f>Data!P2624</f>
        <v>0</v>
      </c>
    </row>
    <row r="2610" spans="7:22" x14ac:dyDescent="0.25">
      <c r="G2610">
        <f>Data!A2623</f>
        <v>0</v>
      </c>
      <c r="H2610" s="21">
        <f>Data!B2623</f>
        <v>0</v>
      </c>
      <c r="I2610" s="21">
        <f>Data!C2623</f>
        <v>0</v>
      </c>
      <c r="J2610">
        <f>Data!D2623</f>
        <v>0</v>
      </c>
      <c r="K2610">
        <f>Data!E2623</f>
        <v>0</v>
      </c>
      <c r="L2610">
        <f>Data!F2623</f>
        <v>0</v>
      </c>
      <c r="M2610">
        <f>Data!G2623</f>
        <v>0</v>
      </c>
      <c r="N2610">
        <f>Data!H2623</f>
        <v>0</v>
      </c>
      <c r="O2610">
        <f>Data!I2623</f>
        <v>0</v>
      </c>
      <c r="P2610" s="21">
        <f>Data!J2627</f>
        <v>0</v>
      </c>
      <c r="Q2610">
        <f>Data!K2627</f>
        <v>0</v>
      </c>
      <c r="R2610">
        <f>Data!L2627</f>
        <v>0</v>
      </c>
      <c r="S2610">
        <f>Data!M2627</f>
        <v>0</v>
      </c>
      <c r="T2610">
        <f>Data!N2627</f>
        <v>0</v>
      </c>
      <c r="U2610">
        <f>Data!O2627</f>
        <v>0</v>
      </c>
      <c r="V2610" s="33">
        <f>Data!P2625</f>
        <v>0</v>
      </c>
    </row>
    <row r="2611" spans="7:22" x14ac:dyDescent="0.25">
      <c r="G2611">
        <f>Data!A2624</f>
        <v>0</v>
      </c>
      <c r="H2611" s="21">
        <f>Data!B2624</f>
        <v>0</v>
      </c>
      <c r="I2611" s="21">
        <f>Data!C2624</f>
        <v>0</v>
      </c>
      <c r="J2611">
        <f>Data!D2624</f>
        <v>0</v>
      </c>
      <c r="K2611">
        <f>Data!E2624</f>
        <v>0</v>
      </c>
      <c r="L2611">
        <f>Data!F2624</f>
        <v>0</v>
      </c>
      <c r="M2611">
        <f>Data!G2624</f>
        <v>0</v>
      </c>
      <c r="N2611">
        <f>Data!H2624</f>
        <v>0</v>
      </c>
      <c r="O2611">
        <f>Data!I2624</f>
        <v>0</v>
      </c>
      <c r="P2611" s="21">
        <f>Data!J2628</f>
        <v>0</v>
      </c>
      <c r="Q2611">
        <f>Data!K2628</f>
        <v>0</v>
      </c>
      <c r="R2611">
        <f>Data!L2628</f>
        <v>0</v>
      </c>
      <c r="S2611">
        <f>Data!M2628</f>
        <v>0</v>
      </c>
      <c r="T2611">
        <f>Data!N2628</f>
        <v>0</v>
      </c>
      <c r="U2611">
        <f>Data!O2628</f>
        <v>0</v>
      </c>
      <c r="V2611" s="33">
        <f>Data!P2626</f>
        <v>0</v>
      </c>
    </row>
    <row r="2612" spans="7:22" x14ac:dyDescent="0.25">
      <c r="G2612">
        <f>Data!A2625</f>
        <v>0</v>
      </c>
      <c r="H2612" s="21">
        <f>Data!B2625</f>
        <v>0</v>
      </c>
      <c r="I2612" s="21">
        <f>Data!C2625</f>
        <v>0</v>
      </c>
      <c r="J2612">
        <f>Data!D2625</f>
        <v>0</v>
      </c>
      <c r="K2612">
        <f>Data!E2625</f>
        <v>0</v>
      </c>
      <c r="L2612">
        <f>Data!F2625</f>
        <v>0</v>
      </c>
      <c r="M2612">
        <f>Data!G2625</f>
        <v>0</v>
      </c>
      <c r="N2612">
        <f>Data!H2625</f>
        <v>0</v>
      </c>
      <c r="O2612">
        <f>Data!I2625</f>
        <v>0</v>
      </c>
      <c r="P2612" s="21">
        <f>Data!J2629</f>
        <v>0</v>
      </c>
      <c r="Q2612">
        <f>Data!K2629</f>
        <v>0</v>
      </c>
      <c r="R2612">
        <f>Data!L2629</f>
        <v>0</v>
      </c>
      <c r="S2612">
        <f>Data!M2629</f>
        <v>0</v>
      </c>
      <c r="T2612">
        <f>Data!N2629</f>
        <v>0</v>
      </c>
      <c r="U2612">
        <f>Data!O2629</f>
        <v>0</v>
      </c>
      <c r="V2612" s="33">
        <f>Data!P2627</f>
        <v>0</v>
      </c>
    </row>
    <row r="2613" spans="7:22" x14ac:dyDescent="0.25">
      <c r="G2613">
        <f>Data!A2626</f>
        <v>0</v>
      </c>
      <c r="H2613" s="21">
        <f>Data!B2626</f>
        <v>0</v>
      </c>
      <c r="I2613" s="21">
        <f>Data!C2626</f>
        <v>0</v>
      </c>
      <c r="J2613">
        <f>Data!D2626</f>
        <v>0</v>
      </c>
      <c r="K2613">
        <f>Data!E2626</f>
        <v>0</v>
      </c>
      <c r="L2613">
        <f>Data!F2626</f>
        <v>0</v>
      </c>
      <c r="M2613">
        <f>Data!G2626</f>
        <v>0</v>
      </c>
      <c r="N2613">
        <f>Data!H2626</f>
        <v>0</v>
      </c>
      <c r="O2613">
        <f>Data!I2626</f>
        <v>0</v>
      </c>
      <c r="P2613" s="21">
        <f>Data!J2630</f>
        <v>0</v>
      </c>
      <c r="Q2613">
        <f>Data!K2630</f>
        <v>0</v>
      </c>
      <c r="R2613">
        <f>Data!L2630</f>
        <v>0</v>
      </c>
      <c r="S2613">
        <f>Data!M2630</f>
        <v>0</v>
      </c>
      <c r="T2613">
        <f>Data!N2630</f>
        <v>0</v>
      </c>
      <c r="U2613">
        <f>Data!O2630</f>
        <v>0</v>
      </c>
      <c r="V2613" s="33">
        <f>Data!P2628</f>
        <v>0</v>
      </c>
    </row>
    <row r="2614" spans="7:22" x14ac:dyDescent="0.25">
      <c r="G2614">
        <f>Data!A2627</f>
        <v>0</v>
      </c>
      <c r="H2614" s="21">
        <f>Data!B2627</f>
        <v>0</v>
      </c>
      <c r="I2614" s="21">
        <f>Data!C2627</f>
        <v>0</v>
      </c>
      <c r="J2614">
        <f>Data!D2627</f>
        <v>0</v>
      </c>
      <c r="K2614">
        <f>Data!E2627</f>
        <v>0</v>
      </c>
      <c r="L2614">
        <f>Data!F2627</f>
        <v>0</v>
      </c>
      <c r="M2614">
        <f>Data!G2627</f>
        <v>0</v>
      </c>
      <c r="N2614">
        <f>Data!H2627</f>
        <v>0</v>
      </c>
      <c r="O2614">
        <f>Data!I2627</f>
        <v>0</v>
      </c>
      <c r="P2614" s="21">
        <f>Data!J2631</f>
        <v>0</v>
      </c>
      <c r="Q2614">
        <f>Data!K2631</f>
        <v>0</v>
      </c>
      <c r="R2614">
        <f>Data!L2631</f>
        <v>0</v>
      </c>
      <c r="S2614">
        <f>Data!M2631</f>
        <v>0</v>
      </c>
      <c r="T2614">
        <f>Data!N2631</f>
        <v>0</v>
      </c>
      <c r="U2614">
        <f>Data!O2631</f>
        <v>0</v>
      </c>
      <c r="V2614" s="33">
        <f>Data!P2629</f>
        <v>0</v>
      </c>
    </row>
    <row r="2615" spans="7:22" x14ac:dyDescent="0.25">
      <c r="G2615">
        <f>Data!A2628</f>
        <v>0</v>
      </c>
      <c r="H2615" s="21">
        <f>Data!B2628</f>
        <v>0</v>
      </c>
      <c r="I2615" s="21">
        <f>Data!C2628</f>
        <v>0</v>
      </c>
      <c r="J2615">
        <f>Data!D2628</f>
        <v>0</v>
      </c>
      <c r="K2615">
        <f>Data!E2628</f>
        <v>0</v>
      </c>
      <c r="L2615">
        <f>Data!F2628</f>
        <v>0</v>
      </c>
      <c r="M2615">
        <f>Data!G2628</f>
        <v>0</v>
      </c>
      <c r="N2615">
        <f>Data!H2628</f>
        <v>0</v>
      </c>
      <c r="O2615">
        <f>Data!I2628</f>
        <v>0</v>
      </c>
      <c r="P2615" s="21">
        <f>Data!J2632</f>
        <v>0</v>
      </c>
      <c r="Q2615">
        <f>Data!K2632</f>
        <v>0</v>
      </c>
      <c r="R2615">
        <f>Data!L2632</f>
        <v>0</v>
      </c>
      <c r="S2615">
        <f>Data!M2632</f>
        <v>0</v>
      </c>
      <c r="T2615">
        <f>Data!N2632</f>
        <v>0</v>
      </c>
      <c r="U2615">
        <f>Data!O2632</f>
        <v>0</v>
      </c>
      <c r="V2615" s="33">
        <f>Data!P2630</f>
        <v>0</v>
      </c>
    </row>
    <row r="2616" spans="7:22" x14ac:dyDescent="0.25">
      <c r="G2616">
        <f>Data!A2629</f>
        <v>0</v>
      </c>
      <c r="H2616" s="21">
        <f>Data!B2629</f>
        <v>0</v>
      </c>
      <c r="I2616" s="21">
        <f>Data!C2629</f>
        <v>0</v>
      </c>
      <c r="J2616">
        <f>Data!D2629</f>
        <v>0</v>
      </c>
      <c r="K2616">
        <f>Data!E2629</f>
        <v>0</v>
      </c>
      <c r="L2616">
        <f>Data!F2629</f>
        <v>0</v>
      </c>
      <c r="M2616">
        <f>Data!G2629</f>
        <v>0</v>
      </c>
      <c r="N2616">
        <f>Data!H2629</f>
        <v>0</v>
      </c>
      <c r="O2616">
        <f>Data!I2629</f>
        <v>0</v>
      </c>
      <c r="P2616" s="21">
        <f>Data!J2633</f>
        <v>0</v>
      </c>
      <c r="Q2616">
        <f>Data!K2633</f>
        <v>0</v>
      </c>
      <c r="R2616">
        <f>Data!L2633</f>
        <v>0</v>
      </c>
      <c r="S2616">
        <f>Data!M2633</f>
        <v>0</v>
      </c>
      <c r="T2616">
        <f>Data!N2633</f>
        <v>0</v>
      </c>
      <c r="U2616">
        <f>Data!O2633</f>
        <v>0</v>
      </c>
      <c r="V2616" s="33">
        <f>Data!P2631</f>
        <v>0</v>
      </c>
    </row>
    <row r="2617" spans="7:22" x14ac:dyDescent="0.25">
      <c r="G2617">
        <f>Data!A2630</f>
        <v>0</v>
      </c>
      <c r="H2617" s="21">
        <f>Data!B2630</f>
        <v>0</v>
      </c>
      <c r="I2617" s="21">
        <f>Data!C2630</f>
        <v>0</v>
      </c>
      <c r="J2617">
        <f>Data!D2630</f>
        <v>0</v>
      </c>
      <c r="K2617">
        <f>Data!E2630</f>
        <v>0</v>
      </c>
      <c r="L2617">
        <f>Data!F2630</f>
        <v>0</v>
      </c>
      <c r="M2617">
        <f>Data!G2630</f>
        <v>0</v>
      </c>
      <c r="N2617">
        <f>Data!H2630</f>
        <v>0</v>
      </c>
      <c r="O2617">
        <f>Data!I2630</f>
        <v>0</v>
      </c>
      <c r="P2617" s="21">
        <f>Data!J2634</f>
        <v>0</v>
      </c>
      <c r="Q2617">
        <f>Data!K2634</f>
        <v>0</v>
      </c>
      <c r="R2617">
        <f>Data!L2634</f>
        <v>0</v>
      </c>
      <c r="S2617">
        <f>Data!M2634</f>
        <v>0</v>
      </c>
      <c r="T2617">
        <f>Data!N2634</f>
        <v>0</v>
      </c>
      <c r="U2617">
        <f>Data!O2634</f>
        <v>0</v>
      </c>
      <c r="V2617" s="33">
        <f>Data!P2632</f>
        <v>0</v>
      </c>
    </row>
    <row r="2618" spans="7:22" x14ac:dyDescent="0.25">
      <c r="G2618">
        <f>Data!A2631</f>
        <v>0</v>
      </c>
      <c r="H2618" s="21">
        <f>Data!B2631</f>
        <v>0</v>
      </c>
      <c r="I2618" s="21">
        <f>Data!C2631</f>
        <v>0</v>
      </c>
      <c r="J2618">
        <f>Data!D2631</f>
        <v>0</v>
      </c>
      <c r="K2618">
        <f>Data!E2631</f>
        <v>0</v>
      </c>
      <c r="L2618">
        <f>Data!F2631</f>
        <v>0</v>
      </c>
      <c r="M2618">
        <f>Data!G2631</f>
        <v>0</v>
      </c>
      <c r="N2618">
        <f>Data!H2631</f>
        <v>0</v>
      </c>
      <c r="O2618">
        <f>Data!I2631</f>
        <v>0</v>
      </c>
      <c r="P2618" s="21">
        <f>Data!J2635</f>
        <v>0</v>
      </c>
      <c r="Q2618">
        <f>Data!K2635</f>
        <v>0</v>
      </c>
      <c r="R2618">
        <f>Data!L2635</f>
        <v>0</v>
      </c>
      <c r="S2618">
        <f>Data!M2635</f>
        <v>0</v>
      </c>
      <c r="T2618">
        <f>Data!N2635</f>
        <v>0</v>
      </c>
      <c r="U2618">
        <f>Data!O2635</f>
        <v>0</v>
      </c>
      <c r="V2618" s="33">
        <f>Data!P2633</f>
        <v>0</v>
      </c>
    </row>
    <row r="2619" spans="7:22" x14ac:dyDescent="0.25">
      <c r="G2619">
        <f>Data!A2632</f>
        <v>0</v>
      </c>
      <c r="H2619" s="21">
        <f>Data!B2632</f>
        <v>0</v>
      </c>
      <c r="I2619" s="21">
        <f>Data!C2632</f>
        <v>0</v>
      </c>
      <c r="J2619">
        <f>Data!D2632</f>
        <v>0</v>
      </c>
      <c r="K2619">
        <f>Data!E2632</f>
        <v>0</v>
      </c>
      <c r="L2619">
        <f>Data!F2632</f>
        <v>0</v>
      </c>
      <c r="M2619">
        <f>Data!G2632</f>
        <v>0</v>
      </c>
      <c r="N2619">
        <f>Data!H2632</f>
        <v>0</v>
      </c>
      <c r="O2619">
        <f>Data!I2632</f>
        <v>0</v>
      </c>
      <c r="P2619" s="21">
        <f>Data!J2636</f>
        <v>0</v>
      </c>
      <c r="Q2619">
        <f>Data!K2636</f>
        <v>0</v>
      </c>
      <c r="R2619">
        <f>Data!L2636</f>
        <v>0</v>
      </c>
      <c r="S2619">
        <f>Data!M2636</f>
        <v>0</v>
      </c>
      <c r="T2619">
        <f>Data!N2636</f>
        <v>0</v>
      </c>
      <c r="U2619">
        <f>Data!O2636</f>
        <v>0</v>
      </c>
      <c r="V2619" s="33">
        <f>Data!P2634</f>
        <v>0</v>
      </c>
    </row>
    <row r="2620" spans="7:22" x14ac:dyDescent="0.25">
      <c r="G2620">
        <f>Data!A2633</f>
        <v>0</v>
      </c>
      <c r="H2620" s="21">
        <f>Data!B2633</f>
        <v>0</v>
      </c>
      <c r="I2620" s="21">
        <f>Data!C2633</f>
        <v>0</v>
      </c>
      <c r="J2620">
        <f>Data!D2633</f>
        <v>0</v>
      </c>
      <c r="K2620">
        <f>Data!E2633</f>
        <v>0</v>
      </c>
      <c r="L2620">
        <f>Data!F2633</f>
        <v>0</v>
      </c>
      <c r="M2620">
        <f>Data!G2633</f>
        <v>0</v>
      </c>
      <c r="N2620">
        <f>Data!H2633</f>
        <v>0</v>
      </c>
      <c r="O2620">
        <f>Data!I2633</f>
        <v>0</v>
      </c>
      <c r="P2620" s="21">
        <f>Data!J2637</f>
        <v>0</v>
      </c>
      <c r="Q2620">
        <f>Data!K2637</f>
        <v>0</v>
      </c>
      <c r="R2620">
        <f>Data!L2637</f>
        <v>0</v>
      </c>
      <c r="S2620">
        <f>Data!M2637</f>
        <v>0</v>
      </c>
      <c r="T2620">
        <f>Data!N2637</f>
        <v>0</v>
      </c>
      <c r="U2620">
        <f>Data!O2637</f>
        <v>0</v>
      </c>
      <c r="V2620" s="33">
        <f>Data!P2635</f>
        <v>0</v>
      </c>
    </row>
    <row r="2621" spans="7:22" x14ac:dyDescent="0.25">
      <c r="G2621">
        <f>Data!A2634</f>
        <v>0</v>
      </c>
      <c r="H2621" s="21">
        <f>Data!B2634</f>
        <v>0</v>
      </c>
      <c r="I2621" s="21">
        <f>Data!C2634</f>
        <v>0</v>
      </c>
      <c r="J2621">
        <f>Data!D2634</f>
        <v>0</v>
      </c>
      <c r="K2621">
        <f>Data!E2634</f>
        <v>0</v>
      </c>
      <c r="L2621">
        <f>Data!F2634</f>
        <v>0</v>
      </c>
      <c r="M2621">
        <f>Data!G2634</f>
        <v>0</v>
      </c>
      <c r="N2621">
        <f>Data!H2634</f>
        <v>0</v>
      </c>
      <c r="O2621">
        <f>Data!I2634</f>
        <v>0</v>
      </c>
      <c r="P2621" s="21">
        <f>Data!J2638</f>
        <v>0</v>
      </c>
      <c r="Q2621">
        <f>Data!K2638</f>
        <v>0</v>
      </c>
      <c r="R2621">
        <f>Data!L2638</f>
        <v>0</v>
      </c>
      <c r="S2621">
        <f>Data!M2638</f>
        <v>0</v>
      </c>
      <c r="T2621">
        <f>Data!N2638</f>
        <v>0</v>
      </c>
      <c r="U2621">
        <f>Data!O2638</f>
        <v>0</v>
      </c>
      <c r="V2621" s="33">
        <f>Data!P2636</f>
        <v>0</v>
      </c>
    </row>
    <row r="2622" spans="7:22" x14ac:dyDescent="0.25">
      <c r="G2622">
        <f>Data!A2635</f>
        <v>0</v>
      </c>
      <c r="H2622" s="21">
        <f>Data!B2635</f>
        <v>0</v>
      </c>
      <c r="I2622" s="21">
        <f>Data!C2635</f>
        <v>0</v>
      </c>
      <c r="J2622">
        <f>Data!D2635</f>
        <v>0</v>
      </c>
      <c r="K2622">
        <f>Data!E2635</f>
        <v>0</v>
      </c>
      <c r="L2622">
        <f>Data!F2635</f>
        <v>0</v>
      </c>
      <c r="M2622">
        <f>Data!G2635</f>
        <v>0</v>
      </c>
      <c r="N2622">
        <f>Data!H2635</f>
        <v>0</v>
      </c>
      <c r="O2622">
        <f>Data!I2635</f>
        <v>0</v>
      </c>
      <c r="P2622" s="21">
        <f>Data!J2639</f>
        <v>0</v>
      </c>
      <c r="Q2622">
        <f>Data!K2639</f>
        <v>0</v>
      </c>
      <c r="R2622">
        <f>Data!L2639</f>
        <v>0</v>
      </c>
      <c r="S2622">
        <f>Data!M2639</f>
        <v>0</v>
      </c>
      <c r="T2622">
        <f>Data!N2639</f>
        <v>0</v>
      </c>
      <c r="U2622">
        <f>Data!O2639</f>
        <v>0</v>
      </c>
      <c r="V2622" s="33">
        <f>Data!P2637</f>
        <v>0</v>
      </c>
    </row>
    <row r="2623" spans="7:22" x14ac:dyDescent="0.25">
      <c r="G2623">
        <f>Data!A2636</f>
        <v>0</v>
      </c>
      <c r="H2623" s="21">
        <f>Data!B2636</f>
        <v>0</v>
      </c>
      <c r="I2623" s="21">
        <f>Data!C2636</f>
        <v>0</v>
      </c>
      <c r="J2623">
        <f>Data!D2636</f>
        <v>0</v>
      </c>
      <c r="K2623">
        <f>Data!E2636</f>
        <v>0</v>
      </c>
      <c r="L2623">
        <f>Data!F2636</f>
        <v>0</v>
      </c>
      <c r="M2623">
        <f>Data!G2636</f>
        <v>0</v>
      </c>
      <c r="N2623">
        <f>Data!H2636</f>
        <v>0</v>
      </c>
      <c r="O2623">
        <f>Data!I2636</f>
        <v>0</v>
      </c>
      <c r="P2623" s="21">
        <f>Data!J2640</f>
        <v>0</v>
      </c>
      <c r="Q2623">
        <f>Data!K2640</f>
        <v>0</v>
      </c>
      <c r="R2623">
        <f>Data!L2640</f>
        <v>0</v>
      </c>
      <c r="S2623">
        <f>Data!M2640</f>
        <v>0</v>
      </c>
      <c r="T2623">
        <f>Data!N2640</f>
        <v>0</v>
      </c>
      <c r="U2623">
        <f>Data!O2640</f>
        <v>0</v>
      </c>
      <c r="V2623" s="33">
        <f>Data!P2638</f>
        <v>0</v>
      </c>
    </row>
    <row r="2624" spans="7:22" x14ac:dyDescent="0.25">
      <c r="G2624">
        <f>Data!A2637</f>
        <v>0</v>
      </c>
      <c r="H2624" s="21">
        <f>Data!B2637</f>
        <v>0</v>
      </c>
      <c r="I2624" s="21">
        <f>Data!C2637</f>
        <v>0</v>
      </c>
      <c r="J2624">
        <f>Data!D2637</f>
        <v>0</v>
      </c>
      <c r="K2624">
        <f>Data!E2637</f>
        <v>0</v>
      </c>
      <c r="L2624">
        <f>Data!F2637</f>
        <v>0</v>
      </c>
      <c r="M2624">
        <f>Data!G2637</f>
        <v>0</v>
      </c>
      <c r="N2624">
        <f>Data!H2637</f>
        <v>0</v>
      </c>
      <c r="O2624">
        <f>Data!I2637</f>
        <v>0</v>
      </c>
      <c r="P2624" s="21">
        <f>Data!J2641</f>
        <v>0</v>
      </c>
      <c r="Q2624">
        <f>Data!K2641</f>
        <v>0</v>
      </c>
      <c r="R2624">
        <f>Data!L2641</f>
        <v>0</v>
      </c>
      <c r="S2624">
        <f>Data!M2641</f>
        <v>0</v>
      </c>
      <c r="T2624">
        <f>Data!N2641</f>
        <v>0</v>
      </c>
      <c r="U2624">
        <f>Data!O2641</f>
        <v>0</v>
      </c>
      <c r="V2624" s="33">
        <f>Data!P2639</f>
        <v>0</v>
      </c>
    </row>
    <row r="2625" spans="7:22" x14ac:dyDescent="0.25">
      <c r="G2625">
        <f>Data!A2638</f>
        <v>0</v>
      </c>
      <c r="H2625" s="21">
        <f>Data!B2638</f>
        <v>0</v>
      </c>
      <c r="I2625" s="21">
        <f>Data!C2638</f>
        <v>0</v>
      </c>
      <c r="J2625">
        <f>Data!D2638</f>
        <v>0</v>
      </c>
      <c r="K2625">
        <f>Data!E2638</f>
        <v>0</v>
      </c>
      <c r="L2625">
        <f>Data!F2638</f>
        <v>0</v>
      </c>
      <c r="M2625">
        <f>Data!G2638</f>
        <v>0</v>
      </c>
      <c r="N2625">
        <f>Data!H2638</f>
        <v>0</v>
      </c>
      <c r="O2625">
        <f>Data!I2638</f>
        <v>0</v>
      </c>
      <c r="P2625" s="21">
        <f>Data!J2642</f>
        <v>0</v>
      </c>
      <c r="Q2625">
        <f>Data!K2642</f>
        <v>0</v>
      </c>
      <c r="R2625">
        <f>Data!L2642</f>
        <v>0</v>
      </c>
      <c r="S2625">
        <f>Data!M2642</f>
        <v>0</v>
      </c>
      <c r="T2625">
        <f>Data!N2642</f>
        <v>0</v>
      </c>
      <c r="U2625">
        <f>Data!O2642</f>
        <v>0</v>
      </c>
      <c r="V2625" s="33">
        <f>Data!P2640</f>
        <v>0</v>
      </c>
    </row>
    <row r="2626" spans="7:22" x14ac:dyDescent="0.25">
      <c r="G2626">
        <f>Data!A2639</f>
        <v>0</v>
      </c>
      <c r="H2626" s="21">
        <f>Data!B2639</f>
        <v>0</v>
      </c>
      <c r="I2626" s="21">
        <f>Data!C2639</f>
        <v>0</v>
      </c>
      <c r="J2626">
        <f>Data!D2639</f>
        <v>0</v>
      </c>
      <c r="K2626">
        <f>Data!E2639</f>
        <v>0</v>
      </c>
      <c r="L2626">
        <f>Data!F2639</f>
        <v>0</v>
      </c>
      <c r="M2626">
        <f>Data!G2639</f>
        <v>0</v>
      </c>
      <c r="N2626">
        <f>Data!H2639</f>
        <v>0</v>
      </c>
      <c r="O2626">
        <f>Data!I2639</f>
        <v>0</v>
      </c>
      <c r="P2626" s="21">
        <f>Data!J2643</f>
        <v>0</v>
      </c>
      <c r="Q2626">
        <f>Data!K2643</f>
        <v>0</v>
      </c>
      <c r="R2626">
        <f>Data!L2643</f>
        <v>0</v>
      </c>
      <c r="S2626">
        <f>Data!M2643</f>
        <v>0</v>
      </c>
      <c r="T2626">
        <f>Data!N2643</f>
        <v>0</v>
      </c>
      <c r="U2626">
        <f>Data!O2643</f>
        <v>0</v>
      </c>
      <c r="V2626" s="33">
        <f>Data!P2641</f>
        <v>0</v>
      </c>
    </row>
    <row r="2627" spans="7:22" x14ac:dyDescent="0.25">
      <c r="G2627">
        <f>Data!A2640</f>
        <v>0</v>
      </c>
      <c r="H2627" s="21">
        <f>Data!B2640</f>
        <v>0</v>
      </c>
      <c r="I2627" s="21">
        <f>Data!C2640</f>
        <v>0</v>
      </c>
      <c r="J2627">
        <f>Data!D2640</f>
        <v>0</v>
      </c>
      <c r="K2627">
        <f>Data!E2640</f>
        <v>0</v>
      </c>
      <c r="L2627">
        <f>Data!F2640</f>
        <v>0</v>
      </c>
      <c r="M2627">
        <f>Data!G2640</f>
        <v>0</v>
      </c>
      <c r="N2627">
        <f>Data!H2640</f>
        <v>0</v>
      </c>
      <c r="O2627">
        <f>Data!I2640</f>
        <v>0</v>
      </c>
      <c r="P2627" s="21">
        <f>Data!J2644</f>
        <v>0</v>
      </c>
      <c r="Q2627">
        <f>Data!K2644</f>
        <v>0</v>
      </c>
      <c r="R2627">
        <f>Data!L2644</f>
        <v>0</v>
      </c>
      <c r="S2627">
        <f>Data!M2644</f>
        <v>0</v>
      </c>
      <c r="T2627">
        <f>Data!N2644</f>
        <v>0</v>
      </c>
      <c r="U2627">
        <f>Data!O2644</f>
        <v>0</v>
      </c>
      <c r="V2627" s="33">
        <f>Data!P2642</f>
        <v>0</v>
      </c>
    </row>
    <row r="2628" spans="7:22" x14ac:dyDescent="0.25">
      <c r="G2628">
        <f>Data!A2641</f>
        <v>0</v>
      </c>
      <c r="H2628" s="21">
        <f>Data!B2641</f>
        <v>0</v>
      </c>
      <c r="I2628" s="21">
        <f>Data!C2641</f>
        <v>0</v>
      </c>
      <c r="J2628">
        <f>Data!D2641</f>
        <v>0</v>
      </c>
      <c r="K2628">
        <f>Data!E2641</f>
        <v>0</v>
      </c>
      <c r="L2628">
        <f>Data!F2641</f>
        <v>0</v>
      </c>
      <c r="M2628">
        <f>Data!G2641</f>
        <v>0</v>
      </c>
      <c r="N2628">
        <f>Data!H2641</f>
        <v>0</v>
      </c>
      <c r="O2628">
        <f>Data!I2641</f>
        <v>0</v>
      </c>
      <c r="P2628" s="21">
        <f>Data!J2645</f>
        <v>0</v>
      </c>
      <c r="Q2628">
        <f>Data!K2645</f>
        <v>0</v>
      </c>
      <c r="R2628">
        <f>Data!L2645</f>
        <v>0</v>
      </c>
      <c r="S2628">
        <f>Data!M2645</f>
        <v>0</v>
      </c>
      <c r="T2628">
        <f>Data!N2645</f>
        <v>0</v>
      </c>
      <c r="U2628">
        <f>Data!O2645</f>
        <v>0</v>
      </c>
      <c r="V2628" s="33">
        <f>Data!P2643</f>
        <v>0</v>
      </c>
    </row>
    <row r="2629" spans="7:22" x14ac:dyDescent="0.25">
      <c r="G2629">
        <f>Data!A2642</f>
        <v>0</v>
      </c>
      <c r="H2629" s="21">
        <f>Data!B2642</f>
        <v>0</v>
      </c>
      <c r="I2629" s="21">
        <f>Data!C2642</f>
        <v>0</v>
      </c>
      <c r="J2629">
        <f>Data!D2642</f>
        <v>0</v>
      </c>
      <c r="K2629">
        <f>Data!E2642</f>
        <v>0</v>
      </c>
      <c r="L2629">
        <f>Data!F2642</f>
        <v>0</v>
      </c>
      <c r="M2629">
        <f>Data!G2642</f>
        <v>0</v>
      </c>
      <c r="N2629">
        <f>Data!H2642</f>
        <v>0</v>
      </c>
      <c r="O2629">
        <f>Data!I2642</f>
        <v>0</v>
      </c>
      <c r="P2629" s="21">
        <f>Data!J2646</f>
        <v>0</v>
      </c>
      <c r="Q2629">
        <f>Data!K2646</f>
        <v>0</v>
      </c>
      <c r="R2629">
        <f>Data!L2646</f>
        <v>0</v>
      </c>
      <c r="S2629">
        <f>Data!M2646</f>
        <v>0</v>
      </c>
      <c r="T2629">
        <f>Data!N2646</f>
        <v>0</v>
      </c>
      <c r="U2629">
        <f>Data!O2646</f>
        <v>0</v>
      </c>
      <c r="V2629" s="33">
        <f>Data!P2644</f>
        <v>0</v>
      </c>
    </row>
    <row r="2630" spans="7:22" x14ac:dyDescent="0.25">
      <c r="G2630">
        <f>Data!A2643</f>
        <v>0</v>
      </c>
      <c r="H2630" s="21">
        <f>Data!B2643</f>
        <v>0</v>
      </c>
      <c r="I2630" s="21">
        <f>Data!C2643</f>
        <v>0</v>
      </c>
      <c r="J2630">
        <f>Data!D2643</f>
        <v>0</v>
      </c>
      <c r="K2630">
        <f>Data!E2643</f>
        <v>0</v>
      </c>
      <c r="L2630">
        <f>Data!F2643</f>
        <v>0</v>
      </c>
      <c r="M2630">
        <f>Data!G2643</f>
        <v>0</v>
      </c>
      <c r="N2630">
        <f>Data!H2643</f>
        <v>0</v>
      </c>
      <c r="O2630">
        <f>Data!I2643</f>
        <v>0</v>
      </c>
      <c r="P2630" s="21">
        <f>Data!J2647</f>
        <v>0</v>
      </c>
      <c r="Q2630">
        <f>Data!K2647</f>
        <v>0</v>
      </c>
      <c r="R2630">
        <f>Data!L2647</f>
        <v>0</v>
      </c>
      <c r="S2630">
        <f>Data!M2647</f>
        <v>0</v>
      </c>
      <c r="T2630">
        <f>Data!N2647</f>
        <v>0</v>
      </c>
      <c r="U2630">
        <f>Data!O2647</f>
        <v>0</v>
      </c>
      <c r="V2630" s="33">
        <f>Data!P2645</f>
        <v>0</v>
      </c>
    </row>
    <row r="2631" spans="7:22" x14ac:dyDescent="0.25">
      <c r="G2631">
        <f>Data!A2644</f>
        <v>0</v>
      </c>
      <c r="H2631" s="21">
        <f>Data!B2644</f>
        <v>0</v>
      </c>
      <c r="I2631" s="21">
        <f>Data!C2644</f>
        <v>0</v>
      </c>
      <c r="J2631">
        <f>Data!D2644</f>
        <v>0</v>
      </c>
      <c r="K2631">
        <f>Data!E2644</f>
        <v>0</v>
      </c>
      <c r="L2631">
        <f>Data!F2644</f>
        <v>0</v>
      </c>
      <c r="M2631">
        <f>Data!G2644</f>
        <v>0</v>
      </c>
      <c r="N2631">
        <f>Data!H2644</f>
        <v>0</v>
      </c>
      <c r="O2631">
        <f>Data!I2644</f>
        <v>0</v>
      </c>
      <c r="P2631" s="21">
        <f>Data!J2648</f>
        <v>0</v>
      </c>
      <c r="Q2631">
        <f>Data!K2648</f>
        <v>0</v>
      </c>
      <c r="R2631">
        <f>Data!L2648</f>
        <v>0</v>
      </c>
      <c r="S2631">
        <f>Data!M2648</f>
        <v>0</v>
      </c>
      <c r="T2631">
        <f>Data!N2648</f>
        <v>0</v>
      </c>
      <c r="U2631">
        <f>Data!O2648</f>
        <v>0</v>
      </c>
      <c r="V2631" s="33">
        <f>Data!P2646</f>
        <v>0</v>
      </c>
    </row>
    <row r="2632" spans="7:22" x14ac:dyDescent="0.25">
      <c r="G2632">
        <f>Data!A2645</f>
        <v>0</v>
      </c>
      <c r="H2632" s="21">
        <f>Data!B2645</f>
        <v>0</v>
      </c>
      <c r="I2632" s="21">
        <f>Data!C2645</f>
        <v>0</v>
      </c>
      <c r="J2632">
        <f>Data!D2645</f>
        <v>0</v>
      </c>
      <c r="K2632">
        <f>Data!E2645</f>
        <v>0</v>
      </c>
      <c r="L2632">
        <f>Data!F2645</f>
        <v>0</v>
      </c>
      <c r="M2632">
        <f>Data!G2645</f>
        <v>0</v>
      </c>
      <c r="N2632">
        <f>Data!H2645</f>
        <v>0</v>
      </c>
      <c r="O2632">
        <f>Data!I2645</f>
        <v>0</v>
      </c>
      <c r="P2632" s="21">
        <f>Data!J2649</f>
        <v>0</v>
      </c>
      <c r="Q2632">
        <f>Data!K2649</f>
        <v>0</v>
      </c>
      <c r="R2632">
        <f>Data!L2649</f>
        <v>0</v>
      </c>
      <c r="S2632">
        <f>Data!M2649</f>
        <v>0</v>
      </c>
      <c r="T2632">
        <f>Data!N2649</f>
        <v>0</v>
      </c>
      <c r="U2632">
        <f>Data!O2649</f>
        <v>0</v>
      </c>
      <c r="V2632" s="33">
        <f>Data!P2647</f>
        <v>0</v>
      </c>
    </row>
    <row r="2633" spans="7:22" x14ac:dyDescent="0.25">
      <c r="G2633">
        <f>Data!A2646</f>
        <v>0</v>
      </c>
      <c r="H2633" s="21">
        <f>Data!B2646</f>
        <v>0</v>
      </c>
      <c r="I2633" s="21">
        <f>Data!C2646</f>
        <v>0</v>
      </c>
      <c r="J2633">
        <f>Data!D2646</f>
        <v>0</v>
      </c>
      <c r="K2633">
        <f>Data!E2646</f>
        <v>0</v>
      </c>
      <c r="L2633">
        <f>Data!F2646</f>
        <v>0</v>
      </c>
      <c r="M2633">
        <f>Data!G2646</f>
        <v>0</v>
      </c>
      <c r="N2633">
        <f>Data!H2646</f>
        <v>0</v>
      </c>
      <c r="O2633">
        <f>Data!I2646</f>
        <v>0</v>
      </c>
      <c r="P2633" s="21">
        <f>Data!J2650</f>
        <v>0</v>
      </c>
      <c r="Q2633">
        <f>Data!K2650</f>
        <v>0</v>
      </c>
      <c r="R2633">
        <f>Data!L2650</f>
        <v>0</v>
      </c>
      <c r="S2633">
        <f>Data!M2650</f>
        <v>0</v>
      </c>
      <c r="T2633">
        <f>Data!N2650</f>
        <v>0</v>
      </c>
      <c r="U2633">
        <f>Data!O2650</f>
        <v>0</v>
      </c>
      <c r="V2633" s="33">
        <f>Data!P2648</f>
        <v>0</v>
      </c>
    </row>
    <row r="2634" spans="7:22" x14ac:dyDescent="0.25">
      <c r="G2634">
        <f>Data!A2647</f>
        <v>0</v>
      </c>
      <c r="H2634" s="21">
        <f>Data!B2647</f>
        <v>0</v>
      </c>
      <c r="I2634" s="21">
        <f>Data!C2647</f>
        <v>0</v>
      </c>
      <c r="J2634">
        <f>Data!D2647</f>
        <v>0</v>
      </c>
      <c r="K2634">
        <f>Data!E2647</f>
        <v>0</v>
      </c>
      <c r="L2634">
        <f>Data!F2647</f>
        <v>0</v>
      </c>
      <c r="M2634">
        <f>Data!G2647</f>
        <v>0</v>
      </c>
      <c r="N2634">
        <f>Data!H2647</f>
        <v>0</v>
      </c>
      <c r="O2634">
        <f>Data!I2647</f>
        <v>0</v>
      </c>
      <c r="P2634" s="21">
        <f>Data!J2651</f>
        <v>0</v>
      </c>
      <c r="Q2634">
        <f>Data!K2651</f>
        <v>0</v>
      </c>
      <c r="R2634">
        <f>Data!L2651</f>
        <v>0</v>
      </c>
      <c r="S2634">
        <f>Data!M2651</f>
        <v>0</v>
      </c>
      <c r="T2634">
        <f>Data!N2651</f>
        <v>0</v>
      </c>
      <c r="U2634">
        <f>Data!O2651</f>
        <v>0</v>
      </c>
      <c r="V2634" s="33">
        <f>Data!P2649</f>
        <v>0</v>
      </c>
    </row>
    <row r="2635" spans="7:22" x14ac:dyDescent="0.25">
      <c r="G2635">
        <f>Data!A2648</f>
        <v>0</v>
      </c>
      <c r="H2635" s="21">
        <f>Data!B2648</f>
        <v>0</v>
      </c>
      <c r="I2635" s="21">
        <f>Data!C2648</f>
        <v>0</v>
      </c>
      <c r="J2635">
        <f>Data!D2648</f>
        <v>0</v>
      </c>
      <c r="K2635">
        <f>Data!E2648</f>
        <v>0</v>
      </c>
      <c r="L2635">
        <f>Data!F2648</f>
        <v>0</v>
      </c>
      <c r="M2635">
        <f>Data!G2648</f>
        <v>0</v>
      </c>
      <c r="N2635">
        <f>Data!H2648</f>
        <v>0</v>
      </c>
      <c r="O2635">
        <f>Data!I2648</f>
        <v>0</v>
      </c>
      <c r="P2635" s="21">
        <f>Data!J2652</f>
        <v>0</v>
      </c>
      <c r="Q2635">
        <f>Data!K2652</f>
        <v>0</v>
      </c>
      <c r="R2635">
        <f>Data!L2652</f>
        <v>0</v>
      </c>
      <c r="S2635">
        <f>Data!M2652</f>
        <v>0</v>
      </c>
      <c r="T2635">
        <f>Data!N2652</f>
        <v>0</v>
      </c>
      <c r="U2635">
        <f>Data!O2652</f>
        <v>0</v>
      </c>
      <c r="V2635" s="33">
        <f>Data!P2650</f>
        <v>0</v>
      </c>
    </row>
    <row r="2636" spans="7:22" x14ac:dyDescent="0.25">
      <c r="G2636">
        <f>Data!A2649</f>
        <v>0</v>
      </c>
      <c r="H2636" s="21">
        <f>Data!B2649</f>
        <v>0</v>
      </c>
      <c r="I2636" s="21">
        <f>Data!C2649</f>
        <v>0</v>
      </c>
      <c r="J2636">
        <f>Data!D2649</f>
        <v>0</v>
      </c>
      <c r="K2636">
        <f>Data!E2649</f>
        <v>0</v>
      </c>
      <c r="L2636">
        <f>Data!F2649</f>
        <v>0</v>
      </c>
      <c r="M2636">
        <f>Data!G2649</f>
        <v>0</v>
      </c>
      <c r="N2636">
        <f>Data!H2649</f>
        <v>0</v>
      </c>
      <c r="O2636">
        <f>Data!I2649</f>
        <v>0</v>
      </c>
      <c r="P2636" s="21">
        <f>Data!J2653</f>
        <v>0</v>
      </c>
      <c r="Q2636">
        <f>Data!K2653</f>
        <v>0</v>
      </c>
      <c r="R2636">
        <f>Data!L2653</f>
        <v>0</v>
      </c>
      <c r="S2636">
        <f>Data!M2653</f>
        <v>0</v>
      </c>
      <c r="T2636">
        <f>Data!N2653</f>
        <v>0</v>
      </c>
      <c r="U2636">
        <f>Data!O2653</f>
        <v>0</v>
      </c>
      <c r="V2636" s="33">
        <f>Data!P2651</f>
        <v>0</v>
      </c>
    </row>
    <row r="2637" spans="7:22" x14ac:dyDescent="0.25">
      <c r="G2637">
        <f>Data!A2650</f>
        <v>0</v>
      </c>
      <c r="H2637" s="21">
        <f>Data!B2650</f>
        <v>0</v>
      </c>
      <c r="I2637" s="21">
        <f>Data!C2650</f>
        <v>0</v>
      </c>
      <c r="J2637">
        <f>Data!D2650</f>
        <v>0</v>
      </c>
      <c r="K2637">
        <f>Data!E2650</f>
        <v>0</v>
      </c>
      <c r="L2637">
        <f>Data!F2650</f>
        <v>0</v>
      </c>
      <c r="M2637">
        <f>Data!G2650</f>
        <v>0</v>
      </c>
      <c r="N2637">
        <f>Data!H2650</f>
        <v>0</v>
      </c>
      <c r="O2637">
        <f>Data!I2650</f>
        <v>0</v>
      </c>
      <c r="P2637" s="21">
        <f>Data!J2654</f>
        <v>0</v>
      </c>
      <c r="Q2637">
        <f>Data!K2654</f>
        <v>0</v>
      </c>
      <c r="R2637">
        <f>Data!L2654</f>
        <v>0</v>
      </c>
      <c r="S2637">
        <f>Data!M2654</f>
        <v>0</v>
      </c>
      <c r="T2637">
        <f>Data!N2654</f>
        <v>0</v>
      </c>
      <c r="U2637">
        <f>Data!O2654</f>
        <v>0</v>
      </c>
      <c r="V2637" s="33">
        <f>Data!P2652</f>
        <v>0</v>
      </c>
    </row>
    <row r="2638" spans="7:22" x14ac:dyDescent="0.25">
      <c r="G2638">
        <f>Data!A2651</f>
        <v>0</v>
      </c>
      <c r="H2638" s="21">
        <f>Data!B2651</f>
        <v>0</v>
      </c>
      <c r="I2638" s="21">
        <f>Data!C2651</f>
        <v>0</v>
      </c>
      <c r="J2638">
        <f>Data!D2651</f>
        <v>0</v>
      </c>
      <c r="K2638">
        <f>Data!E2651</f>
        <v>0</v>
      </c>
      <c r="L2638">
        <f>Data!F2651</f>
        <v>0</v>
      </c>
      <c r="M2638">
        <f>Data!G2651</f>
        <v>0</v>
      </c>
      <c r="N2638">
        <f>Data!H2651</f>
        <v>0</v>
      </c>
      <c r="O2638">
        <f>Data!I2651</f>
        <v>0</v>
      </c>
      <c r="P2638" s="21">
        <f>Data!J2655</f>
        <v>0</v>
      </c>
      <c r="Q2638">
        <f>Data!K2655</f>
        <v>0</v>
      </c>
      <c r="R2638">
        <f>Data!L2655</f>
        <v>0</v>
      </c>
      <c r="S2638">
        <f>Data!M2655</f>
        <v>0</v>
      </c>
      <c r="T2638">
        <f>Data!N2655</f>
        <v>0</v>
      </c>
      <c r="U2638">
        <f>Data!O2655</f>
        <v>0</v>
      </c>
      <c r="V2638" s="33">
        <f>Data!P2653</f>
        <v>0</v>
      </c>
    </row>
    <row r="2639" spans="7:22" x14ac:dyDescent="0.25">
      <c r="G2639">
        <f>Data!A2652</f>
        <v>0</v>
      </c>
      <c r="H2639" s="21">
        <f>Data!B2652</f>
        <v>0</v>
      </c>
      <c r="I2639" s="21">
        <f>Data!C2652</f>
        <v>0</v>
      </c>
      <c r="J2639">
        <f>Data!D2652</f>
        <v>0</v>
      </c>
      <c r="K2639">
        <f>Data!E2652</f>
        <v>0</v>
      </c>
      <c r="L2639">
        <f>Data!F2652</f>
        <v>0</v>
      </c>
      <c r="M2639">
        <f>Data!G2652</f>
        <v>0</v>
      </c>
      <c r="N2639">
        <f>Data!H2652</f>
        <v>0</v>
      </c>
      <c r="O2639">
        <f>Data!I2652</f>
        <v>0</v>
      </c>
      <c r="P2639" s="21">
        <f>Data!J2656</f>
        <v>0</v>
      </c>
      <c r="Q2639">
        <f>Data!K2656</f>
        <v>0</v>
      </c>
      <c r="R2639">
        <f>Data!L2656</f>
        <v>0</v>
      </c>
      <c r="S2639">
        <f>Data!M2656</f>
        <v>0</v>
      </c>
      <c r="T2639">
        <f>Data!N2656</f>
        <v>0</v>
      </c>
      <c r="U2639">
        <f>Data!O2656</f>
        <v>0</v>
      </c>
      <c r="V2639" s="33">
        <f>Data!P2654</f>
        <v>0</v>
      </c>
    </row>
    <row r="2640" spans="7:22" x14ac:dyDescent="0.25">
      <c r="G2640">
        <f>Data!A2653</f>
        <v>0</v>
      </c>
      <c r="H2640" s="21">
        <f>Data!B2653</f>
        <v>0</v>
      </c>
      <c r="I2640" s="21">
        <f>Data!C2653</f>
        <v>0</v>
      </c>
      <c r="J2640">
        <f>Data!D2653</f>
        <v>0</v>
      </c>
      <c r="K2640">
        <f>Data!E2653</f>
        <v>0</v>
      </c>
      <c r="L2640">
        <f>Data!F2653</f>
        <v>0</v>
      </c>
      <c r="M2640">
        <f>Data!G2653</f>
        <v>0</v>
      </c>
      <c r="N2640">
        <f>Data!H2653</f>
        <v>0</v>
      </c>
      <c r="O2640">
        <f>Data!I2653</f>
        <v>0</v>
      </c>
      <c r="P2640" s="21">
        <f>Data!J2657</f>
        <v>0</v>
      </c>
      <c r="Q2640">
        <f>Data!K2657</f>
        <v>0</v>
      </c>
      <c r="R2640">
        <f>Data!L2657</f>
        <v>0</v>
      </c>
      <c r="S2640">
        <f>Data!M2657</f>
        <v>0</v>
      </c>
      <c r="T2640">
        <f>Data!N2657</f>
        <v>0</v>
      </c>
      <c r="U2640">
        <f>Data!O2657</f>
        <v>0</v>
      </c>
      <c r="V2640" s="33">
        <f>Data!P2655</f>
        <v>0</v>
      </c>
    </row>
    <row r="2641" spans="7:22" x14ac:dyDescent="0.25">
      <c r="G2641">
        <f>Data!A2654</f>
        <v>0</v>
      </c>
      <c r="H2641" s="21">
        <f>Data!B2654</f>
        <v>0</v>
      </c>
      <c r="I2641" s="21">
        <f>Data!C2654</f>
        <v>0</v>
      </c>
      <c r="J2641">
        <f>Data!D2654</f>
        <v>0</v>
      </c>
      <c r="K2641">
        <f>Data!E2654</f>
        <v>0</v>
      </c>
      <c r="L2641">
        <f>Data!F2654</f>
        <v>0</v>
      </c>
      <c r="M2641">
        <f>Data!G2654</f>
        <v>0</v>
      </c>
      <c r="N2641">
        <f>Data!H2654</f>
        <v>0</v>
      </c>
      <c r="O2641">
        <f>Data!I2654</f>
        <v>0</v>
      </c>
      <c r="P2641" s="21">
        <f>Data!J2658</f>
        <v>0</v>
      </c>
      <c r="Q2641">
        <f>Data!K2658</f>
        <v>0</v>
      </c>
      <c r="R2641">
        <f>Data!L2658</f>
        <v>0</v>
      </c>
      <c r="S2641">
        <f>Data!M2658</f>
        <v>0</v>
      </c>
      <c r="T2641">
        <f>Data!N2658</f>
        <v>0</v>
      </c>
      <c r="U2641">
        <f>Data!O2658</f>
        <v>0</v>
      </c>
      <c r="V2641" s="33">
        <f>Data!P2656</f>
        <v>0</v>
      </c>
    </row>
    <row r="2642" spans="7:22" x14ac:dyDescent="0.25">
      <c r="G2642">
        <f>Data!A2655</f>
        <v>0</v>
      </c>
      <c r="H2642" s="21">
        <f>Data!B2655</f>
        <v>0</v>
      </c>
      <c r="I2642" s="21">
        <f>Data!C2655</f>
        <v>0</v>
      </c>
      <c r="J2642">
        <f>Data!D2655</f>
        <v>0</v>
      </c>
      <c r="K2642">
        <f>Data!E2655</f>
        <v>0</v>
      </c>
      <c r="L2642">
        <f>Data!F2655</f>
        <v>0</v>
      </c>
      <c r="M2642">
        <f>Data!G2655</f>
        <v>0</v>
      </c>
      <c r="N2642">
        <f>Data!H2655</f>
        <v>0</v>
      </c>
      <c r="O2642">
        <f>Data!I2655</f>
        <v>0</v>
      </c>
      <c r="P2642" s="21">
        <f>Data!J2659</f>
        <v>0</v>
      </c>
      <c r="Q2642">
        <f>Data!K2659</f>
        <v>0</v>
      </c>
      <c r="R2642">
        <f>Data!L2659</f>
        <v>0</v>
      </c>
      <c r="S2642">
        <f>Data!M2659</f>
        <v>0</v>
      </c>
      <c r="T2642">
        <f>Data!N2659</f>
        <v>0</v>
      </c>
      <c r="U2642">
        <f>Data!O2659</f>
        <v>0</v>
      </c>
      <c r="V2642" s="33">
        <f>Data!P2657</f>
        <v>0</v>
      </c>
    </row>
    <row r="2643" spans="7:22" x14ac:dyDescent="0.25">
      <c r="G2643">
        <f>Data!A2656</f>
        <v>0</v>
      </c>
      <c r="H2643" s="21">
        <f>Data!B2656</f>
        <v>0</v>
      </c>
      <c r="I2643" s="21">
        <f>Data!C2656</f>
        <v>0</v>
      </c>
      <c r="J2643">
        <f>Data!D2656</f>
        <v>0</v>
      </c>
      <c r="K2643">
        <f>Data!E2656</f>
        <v>0</v>
      </c>
      <c r="L2643">
        <f>Data!F2656</f>
        <v>0</v>
      </c>
      <c r="M2643">
        <f>Data!G2656</f>
        <v>0</v>
      </c>
      <c r="N2643">
        <f>Data!H2656</f>
        <v>0</v>
      </c>
      <c r="O2643">
        <f>Data!I2656</f>
        <v>0</v>
      </c>
      <c r="P2643" s="21">
        <f>Data!J2660</f>
        <v>0</v>
      </c>
      <c r="Q2643">
        <f>Data!K2660</f>
        <v>0</v>
      </c>
      <c r="R2643">
        <f>Data!L2660</f>
        <v>0</v>
      </c>
      <c r="S2643">
        <f>Data!M2660</f>
        <v>0</v>
      </c>
      <c r="T2643">
        <f>Data!N2660</f>
        <v>0</v>
      </c>
      <c r="U2643">
        <f>Data!O2660</f>
        <v>0</v>
      </c>
      <c r="V2643" s="33">
        <f>Data!P2658</f>
        <v>0</v>
      </c>
    </row>
    <row r="2644" spans="7:22" x14ac:dyDescent="0.25">
      <c r="G2644">
        <f>Data!A2657</f>
        <v>0</v>
      </c>
      <c r="H2644" s="21">
        <f>Data!B2657</f>
        <v>0</v>
      </c>
      <c r="I2644" s="21">
        <f>Data!C2657</f>
        <v>0</v>
      </c>
      <c r="J2644">
        <f>Data!D2657</f>
        <v>0</v>
      </c>
      <c r="K2644">
        <f>Data!E2657</f>
        <v>0</v>
      </c>
      <c r="L2644">
        <f>Data!F2657</f>
        <v>0</v>
      </c>
      <c r="M2644">
        <f>Data!G2657</f>
        <v>0</v>
      </c>
      <c r="N2644">
        <f>Data!H2657</f>
        <v>0</v>
      </c>
      <c r="O2644">
        <f>Data!I2657</f>
        <v>0</v>
      </c>
      <c r="P2644" s="21">
        <f>Data!J2661</f>
        <v>0</v>
      </c>
      <c r="Q2644">
        <f>Data!K2661</f>
        <v>0</v>
      </c>
      <c r="R2644">
        <f>Data!L2661</f>
        <v>0</v>
      </c>
      <c r="S2644">
        <f>Data!M2661</f>
        <v>0</v>
      </c>
      <c r="T2644">
        <f>Data!N2661</f>
        <v>0</v>
      </c>
      <c r="U2644">
        <f>Data!O2661</f>
        <v>0</v>
      </c>
      <c r="V2644" s="33">
        <f>Data!P2659</f>
        <v>0</v>
      </c>
    </row>
    <row r="2645" spans="7:22" x14ac:dyDescent="0.25">
      <c r="G2645">
        <f>Data!A2658</f>
        <v>0</v>
      </c>
      <c r="H2645" s="21">
        <f>Data!B2658</f>
        <v>0</v>
      </c>
      <c r="I2645" s="21">
        <f>Data!C2658</f>
        <v>0</v>
      </c>
      <c r="J2645">
        <f>Data!D2658</f>
        <v>0</v>
      </c>
      <c r="K2645">
        <f>Data!E2658</f>
        <v>0</v>
      </c>
      <c r="L2645">
        <f>Data!F2658</f>
        <v>0</v>
      </c>
      <c r="M2645">
        <f>Data!G2658</f>
        <v>0</v>
      </c>
      <c r="N2645">
        <f>Data!H2658</f>
        <v>0</v>
      </c>
      <c r="O2645">
        <f>Data!I2658</f>
        <v>0</v>
      </c>
      <c r="P2645" s="21">
        <f>Data!J2662</f>
        <v>0</v>
      </c>
      <c r="Q2645">
        <f>Data!K2662</f>
        <v>0</v>
      </c>
      <c r="R2645">
        <f>Data!L2662</f>
        <v>0</v>
      </c>
      <c r="S2645">
        <f>Data!M2662</f>
        <v>0</v>
      </c>
      <c r="T2645">
        <f>Data!N2662</f>
        <v>0</v>
      </c>
      <c r="U2645">
        <f>Data!O2662</f>
        <v>0</v>
      </c>
      <c r="V2645" s="33">
        <f>Data!P2660</f>
        <v>0</v>
      </c>
    </row>
    <row r="2646" spans="7:22" x14ac:dyDescent="0.25">
      <c r="G2646">
        <f>Data!A2659</f>
        <v>0</v>
      </c>
      <c r="H2646" s="21">
        <f>Data!B2659</f>
        <v>0</v>
      </c>
      <c r="I2646" s="21">
        <f>Data!C2659</f>
        <v>0</v>
      </c>
      <c r="J2646">
        <f>Data!D2659</f>
        <v>0</v>
      </c>
      <c r="K2646">
        <f>Data!E2659</f>
        <v>0</v>
      </c>
      <c r="L2646">
        <f>Data!F2659</f>
        <v>0</v>
      </c>
      <c r="M2646">
        <f>Data!G2659</f>
        <v>0</v>
      </c>
      <c r="N2646">
        <f>Data!H2659</f>
        <v>0</v>
      </c>
      <c r="O2646">
        <f>Data!I2659</f>
        <v>0</v>
      </c>
      <c r="P2646" s="21">
        <f>Data!J2663</f>
        <v>0</v>
      </c>
      <c r="Q2646">
        <f>Data!K2663</f>
        <v>0</v>
      </c>
      <c r="R2646">
        <f>Data!L2663</f>
        <v>0</v>
      </c>
      <c r="S2646">
        <f>Data!M2663</f>
        <v>0</v>
      </c>
      <c r="T2646">
        <f>Data!N2663</f>
        <v>0</v>
      </c>
      <c r="U2646">
        <f>Data!O2663</f>
        <v>0</v>
      </c>
      <c r="V2646" s="33">
        <f>Data!P2661</f>
        <v>0</v>
      </c>
    </row>
    <row r="2647" spans="7:22" x14ac:dyDescent="0.25">
      <c r="G2647">
        <f>Data!A2660</f>
        <v>0</v>
      </c>
      <c r="H2647" s="21">
        <f>Data!B2660</f>
        <v>0</v>
      </c>
      <c r="I2647" s="21">
        <f>Data!C2660</f>
        <v>0</v>
      </c>
      <c r="J2647">
        <f>Data!D2660</f>
        <v>0</v>
      </c>
      <c r="K2647">
        <f>Data!E2660</f>
        <v>0</v>
      </c>
      <c r="L2647">
        <f>Data!F2660</f>
        <v>0</v>
      </c>
      <c r="M2647">
        <f>Data!G2660</f>
        <v>0</v>
      </c>
      <c r="N2647">
        <f>Data!H2660</f>
        <v>0</v>
      </c>
      <c r="O2647">
        <f>Data!I2660</f>
        <v>0</v>
      </c>
      <c r="P2647" s="21">
        <f>Data!J2664</f>
        <v>0</v>
      </c>
      <c r="Q2647">
        <f>Data!K2664</f>
        <v>0</v>
      </c>
      <c r="R2647">
        <f>Data!L2664</f>
        <v>0</v>
      </c>
      <c r="S2647">
        <f>Data!M2664</f>
        <v>0</v>
      </c>
      <c r="T2647">
        <f>Data!N2664</f>
        <v>0</v>
      </c>
      <c r="U2647">
        <f>Data!O2664</f>
        <v>0</v>
      </c>
      <c r="V2647" s="33">
        <f>Data!P2662</f>
        <v>0</v>
      </c>
    </row>
    <row r="2648" spans="7:22" x14ac:dyDescent="0.25">
      <c r="G2648">
        <f>Data!A2661</f>
        <v>0</v>
      </c>
      <c r="H2648" s="21">
        <f>Data!B2661</f>
        <v>0</v>
      </c>
      <c r="I2648" s="21">
        <f>Data!C2661</f>
        <v>0</v>
      </c>
      <c r="J2648">
        <f>Data!D2661</f>
        <v>0</v>
      </c>
      <c r="K2648">
        <f>Data!E2661</f>
        <v>0</v>
      </c>
      <c r="L2648">
        <f>Data!F2661</f>
        <v>0</v>
      </c>
      <c r="M2648">
        <f>Data!G2661</f>
        <v>0</v>
      </c>
      <c r="N2648">
        <f>Data!H2661</f>
        <v>0</v>
      </c>
      <c r="O2648">
        <f>Data!I2661</f>
        <v>0</v>
      </c>
      <c r="P2648" s="21">
        <f>Data!J2665</f>
        <v>0</v>
      </c>
      <c r="Q2648">
        <f>Data!K2665</f>
        <v>0</v>
      </c>
      <c r="R2648">
        <f>Data!L2665</f>
        <v>0</v>
      </c>
      <c r="S2648">
        <f>Data!M2665</f>
        <v>0</v>
      </c>
      <c r="T2648">
        <f>Data!N2665</f>
        <v>0</v>
      </c>
      <c r="U2648">
        <f>Data!O2665</f>
        <v>0</v>
      </c>
      <c r="V2648" s="33">
        <f>Data!P2663</f>
        <v>0</v>
      </c>
    </row>
    <row r="2649" spans="7:22" x14ac:dyDescent="0.25">
      <c r="G2649">
        <f>Data!A2662</f>
        <v>0</v>
      </c>
      <c r="H2649" s="21">
        <f>Data!B2662</f>
        <v>0</v>
      </c>
      <c r="I2649" s="21">
        <f>Data!C2662</f>
        <v>0</v>
      </c>
      <c r="J2649">
        <f>Data!D2662</f>
        <v>0</v>
      </c>
      <c r="K2649">
        <f>Data!E2662</f>
        <v>0</v>
      </c>
      <c r="L2649">
        <f>Data!F2662</f>
        <v>0</v>
      </c>
      <c r="M2649">
        <f>Data!G2662</f>
        <v>0</v>
      </c>
      <c r="N2649">
        <f>Data!H2662</f>
        <v>0</v>
      </c>
      <c r="O2649">
        <f>Data!I2662</f>
        <v>0</v>
      </c>
      <c r="P2649" s="21">
        <f>Data!J2666</f>
        <v>0</v>
      </c>
      <c r="Q2649">
        <f>Data!K2666</f>
        <v>0</v>
      </c>
      <c r="R2649">
        <f>Data!L2666</f>
        <v>0</v>
      </c>
      <c r="S2649">
        <f>Data!M2666</f>
        <v>0</v>
      </c>
      <c r="T2649">
        <f>Data!N2666</f>
        <v>0</v>
      </c>
      <c r="U2649">
        <f>Data!O2666</f>
        <v>0</v>
      </c>
      <c r="V2649" s="33">
        <f>Data!P2664</f>
        <v>0</v>
      </c>
    </row>
    <row r="2650" spans="7:22" x14ac:dyDescent="0.25">
      <c r="G2650">
        <f>Data!A2663</f>
        <v>0</v>
      </c>
      <c r="H2650" s="21">
        <f>Data!B2663</f>
        <v>0</v>
      </c>
      <c r="I2650" s="21">
        <f>Data!C2663</f>
        <v>0</v>
      </c>
      <c r="J2650">
        <f>Data!D2663</f>
        <v>0</v>
      </c>
      <c r="K2650">
        <f>Data!E2663</f>
        <v>0</v>
      </c>
      <c r="L2650">
        <f>Data!F2663</f>
        <v>0</v>
      </c>
      <c r="M2650">
        <f>Data!G2663</f>
        <v>0</v>
      </c>
      <c r="N2650">
        <f>Data!H2663</f>
        <v>0</v>
      </c>
      <c r="O2650">
        <f>Data!I2663</f>
        <v>0</v>
      </c>
      <c r="P2650" s="21">
        <f>Data!J2667</f>
        <v>0</v>
      </c>
      <c r="Q2650">
        <f>Data!K2667</f>
        <v>0</v>
      </c>
      <c r="R2650">
        <f>Data!L2667</f>
        <v>0</v>
      </c>
      <c r="S2650">
        <f>Data!M2667</f>
        <v>0</v>
      </c>
      <c r="T2650">
        <f>Data!N2667</f>
        <v>0</v>
      </c>
      <c r="U2650">
        <f>Data!O2667</f>
        <v>0</v>
      </c>
      <c r="V2650" s="33">
        <f>Data!P2665</f>
        <v>0</v>
      </c>
    </row>
    <row r="2651" spans="7:22" x14ac:dyDescent="0.25">
      <c r="G2651">
        <f>Data!A2664</f>
        <v>0</v>
      </c>
      <c r="H2651" s="21">
        <f>Data!B2664</f>
        <v>0</v>
      </c>
      <c r="I2651" s="21">
        <f>Data!C2664</f>
        <v>0</v>
      </c>
      <c r="J2651">
        <f>Data!D2664</f>
        <v>0</v>
      </c>
      <c r="K2651">
        <f>Data!E2664</f>
        <v>0</v>
      </c>
      <c r="L2651">
        <f>Data!F2664</f>
        <v>0</v>
      </c>
      <c r="M2651">
        <f>Data!G2664</f>
        <v>0</v>
      </c>
      <c r="N2651">
        <f>Data!H2664</f>
        <v>0</v>
      </c>
      <c r="O2651">
        <f>Data!I2664</f>
        <v>0</v>
      </c>
      <c r="P2651" s="21">
        <f>Data!J2668</f>
        <v>0</v>
      </c>
      <c r="Q2651">
        <f>Data!K2668</f>
        <v>0</v>
      </c>
      <c r="R2651">
        <f>Data!L2668</f>
        <v>0</v>
      </c>
      <c r="S2651">
        <f>Data!M2668</f>
        <v>0</v>
      </c>
      <c r="T2651">
        <f>Data!N2668</f>
        <v>0</v>
      </c>
      <c r="U2651">
        <f>Data!O2668</f>
        <v>0</v>
      </c>
      <c r="V2651" s="33">
        <f>Data!P2666</f>
        <v>0</v>
      </c>
    </row>
    <row r="2652" spans="7:22" x14ac:dyDescent="0.25">
      <c r="G2652">
        <f>Data!A2665</f>
        <v>0</v>
      </c>
      <c r="H2652" s="21">
        <f>Data!B2665</f>
        <v>0</v>
      </c>
      <c r="I2652" s="21">
        <f>Data!C2665</f>
        <v>0</v>
      </c>
      <c r="J2652">
        <f>Data!D2665</f>
        <v>0</v>
      </c>
      <c r="K2652">
        <f>Data!E2665</f>
        <v>0</v>
      </c>
      <c r="L2652">
        <f>Data!F2665</f>
        <v>0</v>
      </c>
      <c r="M2652">
        <f>Data!G2665</f>
        <v>0</v>
      </c>
      <c r="N2652">
        <f>Data!H2665</f>
        <v>0</v>
      </c>
      <c r="O2652">
        <f>Data!I2665</f>
        <v>0</v>
      </c>
      <c r="P2652" s="21">
        <f>Data!J2669</f>
        <v>0</v>
      </c>
      <c r="Q2652">
        <f>Data!K2669</f>
        <v>0</v>
      </c>
      <c r="R2652">
        <f>Data!L2669</f>
        <v>0</v>
      </c>
      <c r="S2652">
        <f>Data!M2669</f>
        <v>0</v>
      </c>
      <c r="T2652">
        <f>Data!N2669</f>
        <v>0</v>
      </c>
      <c r="U2652">
        <f>Data!O2669</f>
        <v>0</v>
      </c>
      <c r="V2652" s="33">
        <f>Data!P2667</f>
        <v>0</v>
      </c>
    </row>
    <row r="2653" spans="7:22" x14ac:dyDescent="0.25">
      <c r="G2653">
        <f>Data!A2666</f>
        <v>0</v>
      </c>
      <c r="H2653" s="21">
        <f>Data!B2666</f>
        <v>0</v>
      </c>
      <c r="I2653" s="21">
        <f>Data!C2666</f>
        <v>0</v>
      </c>
      <c r="J2653">
        <f>Data!D2666</f>
        <v>0</v>
      </c>
      <c r="K2653">
        <f>Data!E2666</f>
        <v>0</v>
      </c>
      <c r="L2653">
        <f>Data!F2666</f>
        <v>0</v>
      </c>
      <c r="M2653">
        <f>Data!G2666</f>
        <v>0</v>
      </c>
      <c r="N2653">
        <f>Data!H2666</f>
        <v>0</v>
      </c>
      <c r="O2653">
        <f>Data!I2666</f>
        <v>0</v>
      </c>
      <c r="P2653" s="21">
        <f>Data!J2670</f>
        <v>0</v>
      </c>
      <c r="Q2653">
        <f>Data!K2670</f>
        <v>0</v>
      </c>
      <c r="R2653">
        <f>Data!L2670</f>
        <v>0</v>
      </c>
      <c r="S2653">
        <f>Data!M2670</f>
        <v>0</v>
      </c>
      <c r="T2653">
        <f>Data!N2670</f>
        <v>0</v>
      </c>
      <c r="U2653">
        <f>Data!O2670</f>
        <v>0</v>
      </c>
      <c r="V2653" s="33">
        <f>Data!P2668</f>
        <v>0</v>
      </c>
    </row>
    <row r="2654" spans="7:22" x14ac:dyDescent="0.25">
      <c r="G2654">
        <f>Data!A2667</f>
        <v>0</v>
      </c>
      <c r="H2654" s="21">
        <f>Data!B2667</f>
        <v>0</v>
      </c>
      <c r="I2654" s="21">
        <f>Data!C2667</f>
        <v>0</v>
      </c>
      <c r="J2654">
        <f>Data!D2667</f>
        <v>0</v>
      </c>
      <c r="K2654">
        <f>Data!E2667</f>
        <v>0</v>
      </c>
      <c r="L2654">
        <f>Data!F2667</f>
        <v>0</v>
      </c>
      <c r="M2654">
        <f>Data!G2667</f>
        <v>0</v>
      </c>
      <c r="N2654">
        <f>Data!H2667</f>
        <v>0</v>
      </c>
      <c r="O2654">
        <f>Data!I2667</f>
        <v>0</v>
      </c>
      <c r="P2654" s="21">
        <f>Data!J2671</f>
        <v>0</v>
      </c>
      <c r="Q2654">
        <f>Data!K2671</f>
        <v>0</v>
      </c>
      <c r="R2654">
        <f>Data!L2671</f>
        <v>0</v>
      </c>
      <c r="S2654">
        <f>Data!M2671</f>
        <v>0</v>
      </c>
      <c r="T2654">
        <f>Data!N2671</f>
        <v>0</v>
      </c>
      <c r="U2654">
        <f>Data!O2671</f>
        <v>0</v>
      </c>
      <c r="V2654" s="33">
        <f>Data!P2669</f>
        <v>0</v>
      </c>
    </row>
    <row r="2655" spans="7:22" x14ac:dyDescent="0.25">
      <c r="G2655">
        <f>Data!A2668</f>
        <v>0</v>
      </c>
      <c r="H2655" s="21">
        <f>Data!B2668</f>
        <v>0</v>
      </c>
      <c r="I2655" s="21">
        <f>Data!C2668</f>
        <v>0</v>
      </c>
      <c r="J2655">
        <f>Data!D2668</f>
        <v>0</v>
      </c>
      <c r="K2655">
        <f>Data!E2668</f>
        <v>0</v>
      </c>
      <c r="L2655">
        <f>Data!F2668</f>
        <v>0</v>
      </c>
      <c r="M2655">
        <f>Data!G2668</f>
        <v>0</v>
      </c>
      <c r="N2655">
        <f>Data!H2668</f>
        <v>0</v>
      </c>
      <c r="O2655">
        <f>Data!I2668</f>
        <v>0</v>
      </c>
      <c r="P2655" s="21">
        <f>Data!J2672</f>
        <v>0</v>
      </c>
      <c r="Q2655">
        <f>Data!K2672</f>
        <v>0</v>
      </c>
      <c r="R2655">
        <f>Data!L2672</f>
        <v>0</v>
      </c>
      <c r="S2655">
        <f>Data!M2672</f>
        <v>0</v>
      </c>
      <c r="T2655">
        <f>Data!N2672</f>
        <v>0</v>
      </c>
      <c r="U2655">
        <f>Data!O2672</f>
        <v>0</v>
      </c>
      <c r="V2655" s="33">
        <f>Data!P2670</f>
        <v>0</v>
      </c>
    </row>
    <row r="2656" spans="7:22" x14ac:dyDescent="0.25">
      <c r="G2656">
        <f>Data!A2669</f>
        <v>0</v>
      </c>
      <c r="H2656" s="21">
        <f>Data!B2669</f>
        <v>0</v>
      </c>
      <c r="I2656" s="21">
        <f>Data!C2669</f>
        <v>0</v>
      </c>
      <c r="J2656">
        <f>Data!D2669</f>
        <v>0</v>
      </c>
      <c r="K2656">
        <f>Data!E2669</f>
        <v>0</v>
      </c>
      <c r="L2656">
        <f>Data!F2669</f>
        <v>0</v>
      </c>
      <c r="M2656">
        <f>Data!G2669</f>
        <v>0</v>
      </c>
      <c r="N2656">
        <f>Data!H2669</f>
        <v>0</v>
      </c>
      <c r="O2656">
        <f>Data!I2669</f>
        <v>0</v>
      </c>
      <c r="P2656" s="21">
        <f>Data!J2673</f>
        <v>0</v>
      </c>
      <c r="Q2656">
        <f>Data!K2673</f>
        <v>0</v>
      </c>
      <c r="R2656">
        <f>Data!L2673</f>
        <v>0</v>
      </c>
      <c r="S2656">
        <f>Data!M2673</f>
        <v>0</v>
      </c>
      <c r="T2656">
        <f>Data!N2673</f>
        <v>0</v>
      </c>
      <c r="U2656">
        <f>Data!O2673</f>
        <v>0</v>
      </c>
      <c r="V2656" s="33">
        <f>Data!P2671</f>
        <v>0</v>
      </c>
    </row>
    <row r="2657" spans="7:22" x14ac:dyDescent="0.25">
      <c r="G2657">
        <f>Data!A2670</f>
        <v>0</v>
      </c>
      <c r="H2657" s="21">
        <f>Data!B2670</f>
        <v>0</v>
      </c>
      <c r="I2657" s="21">
        <f>Data!C2670</f>
        <v>0</v>
      </c>
      <c r="J2657">
        <f>Data!D2670</f>
        <v>0</v>
      </c>
      <c r="K2657">
        <f>Data!E2670</f>
        <v>0</v>
      </c>
      <c r="L2657">
        <f>Data!F2670</f>
        <v>0</v>
      </c>
      <c r="M2657">
        <f>Data!G2670</f>
        <v>0</v>
      </c>
      <c r="N2657">
        <f>Data!H2670</f>
        <v>0</v>
      </c>
      <c r="O2657">
        <f>Data!I2670</f>
        <v>0</v>
      </c>
      <c r="P2657" s="21">
        <f>Data!J2674</f>
        <v>0</v>
      </c>
      <c r="Q2657">
        <f>Data!K2674</f>
        <v>0</v>
      </c>
      <c r="R2657">
        <f>Data!L2674</f>
        <v>0</v>
      </c>
      <c r="S2657">
        <f>Data!M2674</f>
        <v>0</v>
      </c>
      <c r="T2657">
        <f>Data!N2674</f>
        <v>0</v>
      </c>
      <c r="U2657">
        <f>Data!O2674</f>
        <v>0</v>
      </c>
      <c r="V2657" s="33">
        <f>Data!P2672</f>
        <v>0</v>
      </c>
    </row>
    <row r="2658" spans="7:22" x14ac:dyDescent="0.25">
      <c r="G2658">
        <f>Data!A2671</f>
        <v>0</v>
      </c>
      <c r="H2658" s="21">
        <f>Data!B2671</f>
        <v>0</v>
      </c>
      <c r="I2658" s="21">
        <f>Data!C2671</f>
        <v>0</v>
      </c>
      <c r="J2658">
        <f>Data!D2671</f>
        <v>0</v>
      </c>
      <c r="K2658">
        <f>Data!E2671</f>
        <v>0</v>
      </c>
      <c r="L2658">
        <f>Data!F2671</f>
        <v>0</v>
      </c>
      <c r="M2658">
        <f>Data!G2671</f>
        <v>0</v>
      </c>
      <c r="N2658">
        <f>Data!H2671</f>
        <v>0</v>
      </c>
      <c r="O2658">
        <f>Data!I2671</f>
        <v>0</v>
      </c>
      <c r="P2658" s="21">
        <f>Data!J2675</f>
        <v>0</v>
      </c>
      <c r="Q2658">
        <f>Data!K2675</f>
        <v>0</v>
      </c>
      <c r="R2658">
        <f>Data!L2675</f>
        <v>0</v>
      </c>
      <c r="S2658">
        <f>Data!M2675</f>
        <v>0</v>
      </c>
      <c r="T2658">
        <f>Data!N2675</f>
        <v>0</v>
      </c>
      <c r="U2658">
        <f>Data!O2675</f>
        <v>0</v>
      </c>
      <c r="V2658" s="33">
        <f>Data!P2673</f>
        <v>0</v>
      </c>
    </row>
    <row r="2659" spans="7:22" x14ac:dyDescent="0.25">
      <c r="G2659">
        <f>Data!A2672</f>
        <v>0</v>
      </c>
      <c r="H2659" s="21">
        <f>Data!B2672</f>
        <v>0</v>
      </c>
      <c r="I2659" s="21">
        <f>Data!C2672</f>
        <v>0</v>
      </c>
      <c r="J2659">
        <f>Data!D2672</f>
        <v>0</v>
      </c>
      <c r="K2659">
        <f>Data!E2672</f>
        <v>0</v>
      </c>
      <c r="L2659">
        <f>Data!F2672</f>
        <v>0</v>
      </c>
      <c r="M2659">
        <f>Data!G2672</f>
        <v>0</v>
      </c>
      <c r="N2659">
        <f>Data!H2672</f>
        <v>0</v>
      </c>
      <c r="O2659">
        <f>Data!I2672</f>
        <v>0</v>
      </c>
      <c r="P2659" s="21">
        <f>Data!J2676</f>
        <v>0</v>
      </c>
      <c r="Q2659">
        <f>Data!K2676</f>
        <v>0</v>
      </c>
      <c r="R2659">
        <f>Data!L2676</f>
        <v>0</v>
      </c>
      <c r="S2659">
        <f>Data!M2676</f>
        <v>0</v>
      </c>
      <c r="T2659">
        <f>Data!N2676</f>
        <v>0</v>
      </c>
      <c r="U2659">
        <f>Data!O2676</f>
        <v>0</v>
      </c>
      <c r="V2659" s="33">
        <f>Data!P2674</f>
        <v>0</v>
      </c>
    </row>
    <row r="2660" spans="7:22" x14ac:dyDescent="0.25">
      <c r="G2660">
        <f>Data!A2673</f>
        <v>0</v>
      </c>
      <c r="H2660" s="21">
        <f>Data!B2673</f>
        <v>0</v>
      </c>
      <c r="I2660" s="21">
        <f>Data!C2673</f>
        <v>0</v>
      </c>
      <c r="J2660">
        <f>Data!D2673</f>
        <v>0</v>
      </c>
      <c r="K2660">
        <f>Data!E2673</f>
        <v>0</v>
      </c>
      <c r="L2660">
        <f>Data!F2673</f>
        <v>0</v>
      </c>
      <c r="M2660">
        <f>Data!G2673</f>
        <v>0</v>
      </c>
      <c r="N2660">
        <f>Data!H2673</f>
        <v>0</v>
      </c>
      <c r="O2660">
        <f>Data!I2673</f>
        <v>0</v>
      </c>
      <c r="P2660" s="21">
        <f>Data!J2677</f>
        <v>0</v>
      </c>
      <c r="Q2660">
        <f>Data!K2677</f>
        <v>0</v>
      </c>
      <c r="R2660">
        <f>Data!L2677</f>
        <v>0</v>
      </c>
      <c r="S2660">
        <f>Data!M2677</f>
        <v>0</v>
      </c>
      <c r="T2660">
        <f>Data!N2677</f>
        <v>0</v>
      </c>
      <c r="U2660">
        <f>Data!O2677</f>
        <v>0</v>
      </c>
      <c r="V2660" s="33">
        <f>Data!P2675</f>
        <v>0</v>
      </c>
    </row>
    <row r="2661" spans="7:22" x14ac:dyDescent="0.25">
      <c r="G2661">
        <f>Data!A2674</f>
        <v>0</v>
      </c>
      <c r="H2661" s="21">
        <f>Data!B2674</f>
        <v>0</v>
      </c>
      <c r="I2661" s="21">
        <f>Data!C2674</f>
        <v>0</v>
      </c>
      <c r="J2661">
        <f>Data!D2674</f>
        <v>0</v>
      </c>
      <c r="K2661">
        <f>Data!E2674</f>
        <v>0</v>
      </c>
      <c r="L2661">
        <f>Data!F2674</f>
        <v>0</v>
      </c>
      <c r="M2661">
        <f>Data!G2674</f>
        <v>0</v>
      </c>
      <c r="N2661">
        <f>Data!H2674</f>
        <v>0</v>
      </c>
      <c r="O2661">
        <f>Data!I2674</f>
        <v>0</v>
      </c>
      <c r="P2661" s="21">
        <f>Data!J2678</f>
        <v>0</v>
      </c>
      <c r="Q2661">
        <f>Data!K2678</f>
        <v>0</v>
      </c>
      <c r="R2661">
        <f>Data!L2678</f>
        <v>0</v>
      </c>
      <c r="S2661">
        <f>Data!M2678</f>
        <v>0</v>
      </c>
      <c r="T2661">
        <f>Data!N2678</f>
        <v>0</v>
      </c>
      <c r="U2661">
        <f>Data!O2678</f>
        <v>0</v>
      </c>
      <c r="V2661" s="33">
        <f>Data!P2676</f>
        <v>0</v>
      </c>
    </row>
    <row r="2662" spans="7:22" x14ac:dyDescent="0.25">
      <c r="G2662">
        <f>Data!A2675</f>
        <v>0</v>
      </c>
      <c r="H2662" s="21">
        <f>Data!B2675</f>
        <v>0</v>
      </c>
      <c r="I2662" s="21">
        <f>Data!C2675</f>
        <v>0</v>
      </c>
      <c r="J2662">
        <f>Data!D2675</f>
        <v>0</v>
      </c>
      <c r="K2662">
        <f>Data!E2675</f>
        <v>0</v>
      </c>
      <c r="L2662">
        <f>Data!F2675</f>
        <v>0</v>
      </c>
      <c r="M2662">
        <f>Data!G2675</f>
        <v>0</v>
      </c>
      <c r="N2662">
        <f>Data!H2675</f>
        <v>0</v>
      </c>
      <c r="O2662">
        <f>Data!I2675</f>
        <v>0</v>
      </c>
      <c r="P2662" s="21">
        <f>Data!J2679</f>
        <v>0</v>
      </c>
      <c r="Q2662">
        <f>Data!K2679</f>
        <v>0</v>
      </c>
      <c r="R2662">
        <f>Data!L2679</f>
        <v>0</v>
      </c>
      <c r="S2662">
        <f>Data!M2679</f>
        <v>0</v>
      </c>
      <c r="T2662">
        <f>Data!N2679</f>
        <v>0</v>
      </c>
      <c r="U2662">
        <f>Data!O2679</f>
        <v>0</v>
      </c>
      <c r="V2662" s="33">
        <f>Data!P2677</f>
        <v>0</v>
      </c>
    </row>
    <row r="2663" spans="7:22" x14ac:dyDescent="0.25">
      <c r="G2663">
        <f>Data!A2676</f>
        <v>0</v>
      </c>
      <c r="H2663" s="21">
        <f>Data!B2676</f>
        <v>0</v>
      </c>
      <c r="I2663" s="21">
        <f>Data!C2676</f>
        <v>0</v>
      </c>
      <c r="J2663">
        <f>Data!D2676</f>
        <v>0</v>
      </c>
      <c r="K2663">
        <f>Data!E2676</f>
        <v>0</v>
      </c>
      <c r="L2663">
        <f>Data!F2676</f>
        <v>0</v>
      </c>
      <c r="M2663">
        <f>Data!G2676</f>
        <v>0</v>
      </c>
      <c r="N2663">
        <f>Data!H2676</f>
        <v>0</v>
      </c>
      <c r="O2663">
        <f>Data!I2676</f>
        <v>0</v>
      </c>
      <c r="P2663" s="21">
        <f>Data!J2680</f>
        <v>0</v>
      </c>
      <c r="Q2663">
        <f>Data!K2680</f>
        <v>0</v>
      </c>
      <c r="R2663">
        <f>Data!L2680</f>
        <v>0</v>
      </c>
      <c r="S2663">
        <f>Data!M2680</f>
        <v>0</v>
      </c>
      <c r="T2663">
        <f>Data!N2680</f>
        <v>0</v>
      </c>
      <c r="U2663">
        <f>Data!O2680</f>
        <v>0</v>
      </c>
      <c r="V2663" s="33">
        <f>Data!P2678</f>
        <v>0</v>
      </c>
    </row>
    <row r="2664" spans="7:22" x14ac:dyDescent="0.25">
      <c r="G2664">
        <f>Data!A2677</f>
        <v>0</v>
      </c>
      <c r="H2664" s="21">
        <f>Data!B2677</f>
        <v>0</v>
      </c>
      <c r="I2664" s="21">
        <f>Data!C2677</f>
        <v>0</v>
      </c>
      <c r="J2664">
        <f>Data!D2677</f>
        <v>0</v>
      </c>
      <c r="K2664">
        <f>Data!E2677</f>
        <v>0</v>
      </c>
      <c r="L2664">
        <f>Data!F2677</f>
        <v>0</v>
      </c>
      <c r="M2664">
        <f>Data!G2677</f>
        <v>0</v>
      </c>
      <c r="N2664">
        <f>Data!H2677</f>
        <v>0</v>
      </c>
      <c r="O2664">
        <f>Data!I2677</f>
        <v>0</v>
      </c>
      <c r="P2664" s="21">
        <f>Data!J2681</f>
        <v>0</v>
      </c>
      <c r="Q2664">
        <f>Data!K2681</f>
        <v>0</v>
      </c>
      <c r="R2664">
        <f>Data!L2681</f>
        <v>0</v>
      </c>
      <c r="S2664">
        <f>Data!M2681</f>
        <v>0</v>
      </c>
      <c r="T2664">
        <f>Data!N2681</f>
        <v>0</v>
      </c>
      <c r="U2664">
        <f>Data!O2681</f>
        <v>0</v>
      </c>
      <c r="V2664" s="33">
        <f>Data!P2679</f>
        <v>0</v>
      </c>
    </row>
    <row r="2665" spans="7:22" x14ac:dyDescent="0.25">
      <c r="G2665">
        <f>Data!A2678</f>
        <v>0</v>
      </c>
      <c r="H2665" s="21">
        <f>Data!B2678</f>
        <v>0</v>
      </c>
      <c r="I2665" s="21">
        <f>Data!C2678</f>
        <v>0</v>
      </c>
      <c r="J2665">
        <f>Data!D2678</f>
        <v>0</v>
      </c>
      <c r="K2665">
        <f>Data!E2678</f>
        <v>0</v>
      </c>
      <c r="L2665">
        <f>Data!F2678</f>
        <v>0</v>
      </c>
      <c r="M2665">
        <f>Data!G2678</f>
        <v>0</v>
      </c>
      <c r="N2665">
        <f>Data!H2678</f>
        <v>0</v>
      </c>
      <c r="O2665">
        <f>Data!I2678</f>
        <v>0</v>
      </c>
      <c r="P2665" s="21">
        <f>Data!J2682</f>
        <v>0</v>
      </c>
      <c r="Q2665">
        <f>Data!K2682</f>
        <v>0</v>
      </c>
      <c r="R2665">
        <f>Data!L2682</f>
        <v>0</v>
      </c>
      <c r="S2665">
        <f>Data!M2682</f>
        <v>0</v>
      </c>
      <c r="T2665">
        <f>Data!N2682</f>
        <v>0</v>
      </c>
      <c r="U2665">
        <f>Data!O2682</f>
        <v>0</v>
      </c>
      <c r="V2665" s="33">
        <f>Data!P2680</f>
        <v>0</v>
      </c>
    </row>
    <row r="2666" spans="7:22" x14ac:dyDescent="0.25">
      <c r="G2666">
        <f>Data!A2679</f>
        <v>0</v>
      </c>
      <c r="H2666" s="21">
        <f>Data!B2679</f>
        <v>0</v>
      </c>
      <c r="I2666" s="21">
        <f>Data!C2679</f>
        <v>0</v>
      </c>
      <c r="J2666">
        <f>Data!D2679</f>
        <v>0</v>
      </c>
      <c r="K2666">
        <f>Data!E2679</f>
        <v>0</v>
      </c>
      <c r="L2666">
        <f>Data!F2679</f>
        <v>0</v>
      </c>
      <c r="M2666">
        <f>Data!G2679</f>
        <v>0</v>
      </c>
      <c r="N2666">
        <f>Data!H2679</f>
        <v>0</v>
      </c>
      <c r="O2666">
        <f>Data!I2679</f>
        <v>0</v>
      </c>
      <c r="P2666" s="21">
        <f>Data!J2683</f>
        <v>0</v>
      </c>
      <c r="Q2666">
        <f>Data!K2683</f>
        <v>0</v>
      </c>
      <c r="R2666">
        <f>Data!L2683</f>
        <v>0</v>
      </c>
      <c r="S2666">
        <f>Data!M2683</f>
        <v>0</v>
      </c>
      <c r="T2666">
        <f>Data!N2683</f>
        <v>0</v>
      </c>
      <c r="U2666">
        <f>Data!O2683</f>
        <v>0</v>
      </c>
      <c r="V2666" s="33">
        <f>Data!P2681</f>
        <v>0</v>
      </c>
    </row>
    <row r="2667" spans="7:22" x14ac:dyDescent="0.25">
      <c r="G2667">
        <f>Data!A2680</f>
        <v>0</v>
      </c>
      <c r="H2667" s="21">
        <f>Data!B2680</f>
        <v>0</v>
      </c>
      <c r="I2667" s="21">
        <f>Data!C2680</f>
        <v>0</v>
      </c>
      <c r="J2667">
        <f>Data!D2680</f>
        <v>0</v>
      </c>
      <c r="K2667">
        <f>Data!E2680</f>
        <v>0</v>
      </c>
      <c r="L2667">
        <f>Data!F2680</f>
        <v>0</v>
      </c>
      <c r="M2667">
        <f>Data!G2680</f>
        <v>0</v>
      </c>
      <c r="N2667">
        <f>Data!H2680</f>
        <v>0</v>
      </c>
      <c r="O2667">
        <f>Data!I2680</f>
        <v>0</v>
      </c>
      <c r="P2667" s="21">
        <f>Data!J2684</f>
        <v>0</v>
      </c>
      <c r="Q2667">
        <f>Data!K2684</f>
        <v>0</v>
      </c>
      <c r="R2667">
        <f>Data!L2684</f>
        <v>0</v>
      </c>
      <c r="S2667">
        <f>Data!M2684</f>
        <v>0</v>
      </c>
      <c r="T2667">
        <f>Data!N2684</f>
        <v>0</v>
      </c>
      <c r="U2667">
        <f>Data!O2684</f>
        <v>0</v>
      </c>
      <c r="V2667" s="33">
        <f>Data!P2682</f>
        <v>0</v>
      </c>
    </row>
    <row r="2668" spans="7:22" x14ac:dyDescent="0.25">
      <c r="G2668">
        <f>Data!A2681</f>
        <v>0</v>
      </c>
      <c r="H2668" s="21">
        <f>Data!B2681</f>
        <v>0</v>
      </c>
      <c r="I2668" s="21">
        <f>Data!C2681</f>
        <v>0</v>
      </c>
      <c r="J2668">
        <f>Data!D2681</f>
        <v>0</v>
      </c>
      <c r="K2668">
        <f>Data!E2681</f>
        <v>0</v>
      </c>
      <c r="L2668">
        <f>Data!F2681</f>
        <v>0</v>
      </c>
      <c r="M2668">
        <f>Data!G2681</f>
        <v>0</v>
      </c>
      <c r="N2668">
        <f>Data!H2681</f>
        <v>0</v>
      </c>
      <c r="O2668">
        <f>Data!I2681</f>
        <v>0</v>
      </c>
      <c r="P2668" s="21">
        <f>Data!J2685</f>
        <v>0</v>
      </c>
      <c r="Q2668">
        <f>Data!K2685</f>
        <v>0</v>
      </c>
      <c r="R2668">
        <f>Data!L2685</f>
        <v>0</v>
      </c>
      <c r="S2668">
        <f>Data!M2685</f>
        <v>0</v>
      </c>
      <c r="T2668">
        <f>Data!N2685</f>
        <v>0</v>
      </c>
      <c r="U2668">
        <f>Data!O2685</f>
        <v>0</v>
      </c>
      <c r="V2668" s="33">
        <f>Data!P2683</f>
        <v>0</v>
      </c>
    </row>
    <row r="2669" spans="7:22" x14ac:dyDescent="0.25">
      <c r="G2669">
        <f>Data!A2682</f>
        <v>0</v>
      </c>
      <c r="H2669" s="21">
        <f>Data!B2682</f>
        <v>0</v>
      </c>
      <c r="I2669" s="21">
        <f>Data!C2682</f>
        <v>0</v>
      </c>
      <c r="J2669">
        <f>Data!D2682</f>
        <v>0</v>
      </c>
      <c r="K2669">
        <f>Data!E2682</f>
        <v>0</v>
      </c>
      <c r="L2669">
        <f>Data!F2682</f>
        <v>0</v>
      </c>
      <c r="M2669">
        <f>Data!G2682</f>
        <v>0</v>
      </c>
      <c r="N2669">
        <f>Data!H2682</f>
        <v>0</v>
      </c>
      <c r="O2669">
        <f>Data!I2682</f>
        <v>0</v>
      </c>
      <c r="P2669" s="21">
        <f>Data!J2686</f>
        <v>0</v>
      </c>
      <c r="Q2669">
        <f>Data!K2686</f>
        <v>0</v>
      </c>
      <c r="R2669">
        <f>Data!L2686</f>
        <v>0</v>
      </c>
      <c r="S2669">
        <f>Data!M2686</f>
        <v>0</v>
      </c>
      <c r="T2669">
        <f>Data!N2686</f>
        <v>0</v>
      </c>
      <c r="U2669">
        <f>Data!O2686</f>
        <v>0</v>
      </c>
      <c r="V2669" s="33">
        <f>Data!P2684</f>
        <v>0</v>
      </c>
    </row>
    <row r="2670" spans="7:22" x14ac:dyDescent="0.25">
      <c r="G2670">
        <f>Data!A2683</f>
        <v>0</v>
      </c>
      <c r="H2670" s="21">
        <f>Data!B2683</f>
        <v>0</v>
      </c>
      <c r="I2670" s="21">
        <f>Data!C2683</f>
        <v>0</v>
      </c>
      <c r="J2670">
        <f>Data!D2683</f>
        <v>0</v>
      </c>
      <c r="K2670">
        <f>Data!E2683</f>
        <v>0</v>
      </c>
      <c r="L2670">
        <f>Data!F2683</f>
        <v>0</v>
      </c>
      <c r="M2670">
        <f>Data!G2683</f>
        <v>0</v>
      </c>
      <c r="N2670">
        <f>Data!H2683</f>
        <v>0</v>
      </c>
      <c r="O2670">
        <f>Data!I2683</f>
        <v>0</v>
      </c>
      <c r="P2670" s="21">
        <f>Data!J2687</f>
        <v>0</v>
      </c>
      <c r="Q2670">
        <f>Data!K2687</f>
        <v>0</v>
      </c>
      <c r="R2670">
        <f>Data!L2687</f>
        <v>0</v>
      </c>
      <c r="S2670">
        <f>Data!M2687</f>
        <v>0</v>
      </c>
      <c r="T2670">
        <f>Data!N2687</f>
        <v>0</v>
      </c>
      <c r="U2670">
        <f>Data!O2687</f>
        <v>0</v>
      </c>
      <c r="V2670" s="33">
        <f>Data!P2685</f>
        <v>0</v>
      </c>
    </row>
    <row r="2671" spans="7:22" x14ac:dyDescent="0.25">
      <c r="G2671">
        <f>Data!A2684</f>
        <v>0</v>
      </c>
      <c r="H2671" s="21">
        <f>Data!B2684</f>
        <v>0</v>
      </c>
      <c r="I2671" s="21">
        <f>Data!C2684</f>
        <v>0</v>
      </c>
      <c r="J2671">
        <f>Data!D2684</f>
        <v>0</v>
      </c>
      <c r="K2671">
        <f>Data!E2684</f>
        <v>0</v>
      </c>
      <c r="L2671">
        <f>Data!F2684</f>
        <v>0</v>
      </c>
      <c r="M2671">
        <f>Data!G2684</f>
        <v>0</v>
      </c>
      <c r="N2671">
        <f>Data!H2684</f>
        <v>0</v>
      </c>
      <c r="O2671">
        <f>Data!I2684</f>
        <v>0</v>
      </c>
      <c r="P2671" s="21">
        <f>Data!J2688</f>
        <v>0</v>
      </c>
      <c r="Q2671">
        <f>Data!K2688</f>
        <v>0</v>
      </c>
      <c r="R2671">
        <f>Data!L2688</f>
        <v>0</v>
      </c>
      <c r="S2671">
        <f>Data!M2688</f>
        <v>0</v>
      </c>
      <c r="T2671">
        <f>Data!N2688</f>
        <v>0</v>
      </c>
      <c r="U2671">
        <f>Data!O2688</f>
        <v>0</v>
      </c>
      <c r="V2671" s="33">
        <f>Data!P2686</f>
        <v>0</v>
      </c>
    </row>
    <row r="2672" spans="7:22" x14ac:dyDescent="0.25">
      <c r="G2672">
        <f>Data!A2685</f>
        <v>0</v>
      </c>
      <c r="H2672" s="21">
        <f>Data!B2685</f>
        <v>0</v>
      </c>
      <c r="I2672" s="21">
        <f>Data!C2685</f>
        <v>0</v>
      </c>
      <c r="J2672">
        <f>Data!D2685</f>
        <v>0</v>
      </c>
      <c r="K2672">
        <f>Data!E2685</f>
        <v>0</v>
      </c>
      <c r="L2672">
        <f>Data!F2685</f>
        <v>0</v>
      </c>
      <c r="M2672">
        <f>Data!G2685</f>
        <v>0</v>
      </c>
      <c r="N2672">
        <f>Data!H2685</f>
        <v>0</v>
      </c>
      <c r="O2672">
        <f>Data!I2685</f>
        <v>0</v>
      </c>
      <c r="P2672" s="21">
        <f>Data!J2689</f>
        <v>0</v>
      </c>
      <c r="Q2672">
        <f>Data!K2689</f>
        <v>0</v>
      </c>
      <c r="R2672">
        <f>Data!L2689</f>
        <v>0</v>
      </c>
      <c r="S2672">
        <f>Data!M2689</f>
        <v>0</v>
      </c>
      <c r="T2672">
        <f>Data!N2689</f>
        <v>0</v>
      </c>
      <c r="U2672">
        <f>Data!O2689</f>
        <v>0</v>
      </c>
      <c r="V2672" s="33">
        <f>Data!P2687</f>
        <v>0</v>
      </c>
    </row>
    <row r="2673" spans="7:22" x14ac:dyDescent="0.25">
      <c r="G2673">
        <f>Data!A2686</f>
        <v>0</v>
      </c>
      <c r="H2673" s="21">
        <f>Data!B2686</f>
        <v>0</v>
      </c>
      <c r="I2673" s="21">
        <f>Data!C2686</f>
        <v>0</v>
      </c>
      <c r="J2673">
        <f>Data!D2686</f>
        <v>0</v>
      </c>
      <c r="K2673">
        <f>Data!E2686</f>
        <v>0</v>
      </c>
      <c r="L2673">
        <f>Data!F2686</f>
        <v>0</v>
      </c>
      <c r="M2673">
        <f>Data!G2686</f>
        <v>0</v>
      </c>
      <c r="N2673">
        <f>Data!H2686</f>
        <v>0</v>
      </c>
      <c r="O2673">
        <f>Data!I2686</f>
        <v>0</v>
      </c>
      <c r="P2673" s="21">
        <f>Data!J2690</f>
        <v>0</v>
      </c>
      <c r="Q2673">
        <f>Data!K2690</f>
        <v>0</v>
      </c>
      <c r="R2673">
        <f>Data!L2690</f>
        <v>0</v>
      </c>
      <c r="S2673">
        <f>Data!M2690</f>
        <v>0</v>
      </c>
      <c r="T2673">
        <f>Data!N2690</f>
        <v>0</v>
      </c>
      <c r="U2673">
        <f>Data!O2690</f>
        <v>0</v>
      </c>
      <c r="V2673" s="33">
        <f>Data!P2688</f>
        <v>0</v>
      </c>
    </row>
    <row r="2674" spans="7:22" x14ac:dyDescent="0.25">
      <c r="G2674">
        <f>Data!A2687</f>
        <v>0</v>
      </c>
      <c r="H2674" s="21">
        <f>Data!B2687</f>
        <v>0</v>
      </c>
      <c r="I2674" s="21">
        <f>Data!C2687</f>
        <v>0</v>
      </c>
      <c r="J2674">
        <f>Data!D2687</f>
        <v>0</v>
      </c>
      <c r="K2674">
        <f>Data!E2687</f>
        <v>0</v>
      </c>
      <c r="L2674">
        <f>Data!F2687</f>
        <v>0</v>
      </c>
      <c r="M2674">
        <f>Data!G2687</f>
        <v>0</v>
      </c>
      <c r="N2674">
        <f>Data!H2687</f>
        <v>0</v>
      </c>
      <c r="O2674">
        <f>Data!I2687</f>
        <v>0</v>
      </c>
      <c r="P2674" s="21">
        <f>Data!J2691</f>
        <v>0</v>
      </c>
      <c r="Q2674">
        <f>Data!K2691</f>
        <v>0</v>
      </c>
      <c r="R2674">
        <f>Data!L2691</f>
        <v>0</v>
      </c>
      <c r="S2674">
        <f>Data!M2691</f>
        <v>0</v>
      </c>
      <c r="T2674">
        <f>Data!N2691</f>
        <v>0</v>
      </c>
      <c r="U2674">
        <f>Data!O2691</f>
        <v>0</v>
      </c>
      <c r="V2674" s="33">
        <f>Data!P2689</f>
        <v>0</v>
      </c>
    </row>
    <row r="2675" spans="7:22" x14ac:dyDescent="0.25">
      <c r="G2675">
        <f>Data!A2688</f>
        <v>0</v>
      </c>
      <c r="H2675" s="21">
        <f>Data!B2688</f>
        <v>0</v>
      </c>
      <c r="I2675" s="21">
        <f>Data!C2688</f>
        <v>0</v>
      </c>
      <c r="J2675">
        <f>Data!D2688</f>
        <v>0</v>
      </c>
      <c r="K2675">
        <f>Data!E2688</f>
        <v>0</v>
      </c>
      <c r="L2675">
        <f>Data!F2688</f>
        <v>0</v>
      </c>
      <c r="M2675">
        <f>Data!G2688</f>
        <v>0</v>
      </c>
      <c r="N2675">
        <f>Data!H2688</f>
        <v>0</v>
      </c>
      <c r="O2675">
        <f>Data!I2688</f>
        <v>0</v>
      </c>
      <c r="P2675" s="21">
        <f>Data!J2692</f>
        <v>0</v>
      </c>
      <c r="Q2675">
        <f>Data!K2692</f>
        <v>0</v>
      </c>
      <c r="R2675">
        <f>Data!L2692</f>
        <v>0</v>
      </c>
      <c r="S2675">
        <f>Data!M2692</f>
        <v>0</v>
      </c>
      <c r="T2675">
        <f>Data!N2692</f>
        <v>0</v>
      </c>
      <c r="U2675">
        <f>Data!O2692</f>
        <v>0</v>
      </c>
      <c r="V2675" s="33">
        <f>Data!P2690</f>
        <v>0</v>
      </c>
    </row>
    <row r="2676" spans="7:22" x14ac:dyDescent="0.25">
      <c r="G2676">
        <f>Data!A2689</f>
        <v>0</v>
      </c>
      <c r="H2676" s="21">
        <f>Data!B2689</f>
        <v>0</v>
      </c>
      <c r="I2676" s="21">
        <f>Data!C2689</f>
        <v>0</v>
      </c>
      <c r="J2676">
        <f>Data!D2689</f>
        <v>0</v>
      </c>
      <c r="K2676">
        <f>Data!E2689</f>
        <v>0</v>
      </c>
      <c r="L2676">
        <f>Data!F2689</f>
        <v>0</v>
      </c>
      <c r="M2676">
        <f>Data!G2689</f>
        <v>0</v>
      </c>
      <c r="N2676">
        <f>Data!H2689</f>
        <v>0</v>
      </c>
      <c r="O2676">
        <f>Data!I2689</f>
        <v>0</v>
      </c>
      <c r="P2676" s="21">
        <f>Data!J2693</f>
        <v>0</v>
      </c>
      <c r="Q2676">
        <f>Data!K2693</f>
        <v>0</v>
      </c>
      <c r="R2676">
        <f>Data!L2693</f>
        <v>0</v>
      </c>
      <c r="S2676">
        <f>Data!M2693</f>
        <v>0</v>
      </c>
      <c r="T2676">
        <f>Data!N2693</f>
        <v>0</v>
      </c>
      <c r="U2676">
        <f>Data!O2693</f>
        <v>0</v>
      </c>
      <c r="V2676" s="33">
        <f>Data!P2691</f>
        <v>0</v>
      </c>
    </row>
    <row r="2677" spans="7:22" x14ac:dyDescent="0.25">
      <c r="G2677">
        <f>Data!A2690</f>
        <v>0</v>
      </c>
      <c r="H2677" s="21">
        <f>Data!B2690</f>
        <v>0</v>
      </c>
      <c r="I2677" s="21">
        <f>Data!C2690</f>
        <v>0</v>
      </c>
      <c r="J2677">
        <f>Data!D2690</f>
        <v>0</v>
      </c>
      <c r="K2677">
        <f>Data!E2690</f>
        <v>0</v>
      </c>
      <c r="L2677">
        <f>Data!F2690</f>
        <v>0</v>
      </c>
      <c r="M2677">
        <f>Data!G2690</f>
        <v>0</v>
      </c>
      <c r="N2677">
        <f>Data!H2690</f>
        <v>0</v>
      </c>
      <c r="O2677">
        <f>Data!I2690</f>
        <v>0</v>
      </c>
      <c r="P2677" s="21">
        <f>Data!J2694</f>
        <v>0</v>
      </c>
      <c r="Q2677">
        <f>Data!K2694</f>
        <v>0</v>
      </c>
      <c r="R2677">
        <f>Data!L2694</f>
        <v>0</v>
      </c>
      <c r="S2677">
        <f>Data!M2694</f>
        <v>0</v>
      </c>
      <c r="T2677">
        <f>Data!N2694</f>
        <v>0</v>
      </c>
      <c r="U2677">
        <f>Data!O2694</f>
        <v>0</v>
      </c>
      <c r="V2677" s="33">
        <f>Data!P2692</f>
        <v>0</v>
      </c>
    </row>
    <row r="2678" spans="7:22" x14ac:dyDescent="0.25">
      <c r="G2678">
        <f>Data!A2691</f>
        <v>0</v>
      </c>
      <c r="H2678" s="21">
        <f>Data!B2691</f>
        <v>0</v>
      </c>
      <c r="I2678" s="21">
        <f>Data!C2691</f>
        <v>0</v>
      </c>
      <c r="J2678">
        <f>Data!D2691</f>
        <v>0</v>
      </c>
      <c r="K2678">
        <f>Data!E2691</f>
        <v>0</v>
      </c>
      <c r="L2678">
        <f>Data!F2691</f>
        <v>0</v>
      </c>
      <c r="M2678">
        <f>Data!G2691</f>
        <v>0</v>
      </c>
      <c r="N2678">
        <f>Data!H2691</f>
        <v>0</v>
      </c>
      <c r="O2678">
        <f>Data!I2691</f>
        <v>0</v>
      </c>
      <c r="P2678" s="21">
        <f>Data!J2695</f>
        <v>0</v>
      </c>
      <c r="Q2678">
        <f>Data!K2695</f>
        <v>0</v>
      </c>
      <c r="R2678">
        <f>Data!L2695</f>
        <v>0</v>
      </c>
      <c r="S2678">
        <f>Data!M2695</f>
        <v>0</v>
      </c>
      <c r="T2678">
        <f>Data!N2695</f>
        <v>0</v>
      </c>
      <c r="U2678">
        <f>Data!O2695</f>
        <v>0</v>
      </c>
      <c r="V2678" s="33">
        <f>Data!P2693</f>
        <v>0</v>
      </c>
    </row>
    <row r="2679" spans="7:22" x14ac:dyDescent="0.25">
      <c r="G2679">
        <f>Data!A2692</f>
        <v>0</v>
      </c>
      <c r="H2679" s="21">
        <f>Data!B2692</f>
        <v>0</v>
      </c>
      <c r="I2679" s="21">
        <f>Data!C2692</f>
        <v>0</v>
      </c>
      <c r="J2679">
        <f>Data!D2692</f>
        <v>0</v>
      </c>
      <c r="K2679">
        <f>Data!E2692</f>
        <v>0</v>
      </c>
      <c r="L2679">
        <f>Data!F2692</f>
        <v>0</v>
      </c>
      <c r="M2679">
        <f>Data!G2692</f>
        <v>0</v>
      </c>
      <c r="N2679">
        <f>Data!H2692</f>
        <v>0</v>
      </c>
      <c r="O2679">
        <f>Data!I2692</f>
        <v>0</v>
      </c>
      <c r="P2679" s="21">
        <f>Data!J2696</f>
        <v>0</v>
      </c>
      <c r="Q2679">
        <f>Data!K2696</f>
        <v>0</v>
      </c>
      <c r="R2679">
        <f>Data!L2696</f>
        <v>0</v>
      </c>
      <c r="S2679">
        <f>Data!M2696</f>
        <v>0</v>
      </c>
      <c r="T2679">
        <f>Data!N2696</f>
        <v>0</v>
      </c>
      <c r="U2679">
        <f>Data!O2696</f>
        <v>0</v>
      </c>
      <c r="V2679" s="33">
        <f>Data!P2694</f>
        <v>0</v>
      </c>
    </row>
    <row r="2680" spans="7:22" x14ac:dyDescent="0.25">
      <c r="G2680">
        <f>Data!A2693</f>
        <v>0</v>
      </c>
      <c r="H2680" s="21">
        <f>Data!B2693</f>
        <v>0</v>
      </c>
      <c r="I2680" s="21">
        <f>Data!C2693</f>
        <v>0</v>
      </c>
      <c r="J2680">
        <f>Data!D2693</f>
        <v>0</v>
      </c>
      <c r="K2680">
        <f>Data!E2693</f>
        <v>0</v>
      </c>
      <c r="L2680">
        <f>Data!F2693</f>
        <v>0</v>
      </c>
      <c r="M2680">
        <f>Data!G2693</f>
        <v>0</v>
      </c>
      <c r="N2680">
        <f>Data!H2693</f>
        <v>0</v>
      </c>
      <c r="O2680">
        <f>Data!I2693</f>
        <v>0</v>
      </c>
      <c r="P2680" s="21">
        <f>Data!J2697</f>
        <v>0</v>
      </c>
      <c r="Q2680">
        <f>Data!K2697</f>
        <v>0</v>
      </c>
      <c r="R2680">
        <f>Data!L2697</f>
        <v>0</v>
      </c>
      <c r="S2680">
        <f>Data!M2697</f>
        <v>0</v>
      </c>
      <c r="T2680">
        <f>Data!N2697</f>
        <v>0</v>
      </c>
      <c r="U2680">
        <f>Data!O2697</f>
        <v>0</v>
      </c>
      <c r="V2680" s="33">
        <f>Data!P2695</f>
        <v>0</v>
      </c>
    </row>
    <row r="2681" spans="7:22" x14ac:dyDescent="0.25">
      <c r="G2681">
        <f>Data!A2694</f>
        <v>0</v>
      </c>
      <c r="H2681" s="21">
        <f>Data!B2694</f>
        <v>0</v>
      </c>
      <c r="I2681" s="21">
        <f>Data!C2694</f>
        <v>0</v>
      </c>
      <c r="J2681">
        <f>Data!D2694</f>
        <v>0</v>
      </c>
      <c r="K2681">
        <f>Data!E2694</f>
        <v>0</v>
      </c>
      <c r="L2681">
        <f>Data!F2694</f>
        <v>0</v>
      </c>
      <c r="M2681">
        <f>Data!G2694</f>
        <v>0</v>
      </c>
      <c r="N2681">
        <f>Data!H2694</f>
        <v>0</v>
      </c>
      <c r="O2681">
        <f>Data!I2694</f>
        <v>0</v>
      </c>
      <c r="P2681" s="21">
        <f>Data!J2698</f>
        <v>0</v>
      </c>
      <c r="Q2681">
        <f>Data!K2698</f>
        <v>0</v>
      </c>
      <c r="R2681">
        <f>Data!L2698</f>
        <v>0</v>
      </c>
      <c r="S2681">
        <f>Data!M2698</f>
        <v>0</v>
      </c>
      <c r="T2681">
        <f>Data!N2698</f>
        <v>0</v>
      </c>
      <c r="U2681">
        <f>Data!O2698</f>
        <v>0</v>
      </c>
      <c r="V2681" s="33">
        <f>Data!P2696</f>
        <v>0</v>
      </c>
    </row>
    <row r="2682" spans="7:22" x14ac:dyDescent="0.25">
      <c r="G2682">
        <f>Data!A2695</f>
        <v>0</v>
      </c>
      <c r="H2682" s="21">
        <f>Data!B2695</f>
        <v>0</v>
      </c>
      <c r="I2682" s="21">
        <f>Data!C2695</f>
        <v>0</v>
      </c>
      <c r="J2682">
        <f>Data!D2695</f>
        <v>0</v>
      </c>
      <c r="K2682">
        <f>Data!E2695</f>
        <v>0</v>
      </c>
      <c r="L2682">
        <f>Data!F2695</f>
        <v>0</v>
      </c>
      <c r="M2682">
        <f>Data!G2695</f>
        <v>0</v>
      </c>
      <c r="N2682">
        <f>Data!H2695</f>
        <v>0</v>
      </c>
      <c r="O2682">
        <f>Data!I2695</f>
        <v>0</v>
      </c>
      <c r="P2682" s="21">
        <f>Data!J2699</f>
        <v>0</v>
      </c>
      <c r="Q2682">
        <f>Data!K2699</f>
        <v>0</v>
      </c>
      <c r="R2682">
        <f>Data!L2699</f>
        <v>0</v>
      </c>
      <c r="S2682">
        <f>Data!M2699</f>
        <v>0</v>
      </c>
      <c r="T2682">
        <f>Data!N2699</f>
        <v>0</v>
      </c>
      <c r="U2682">
        <f>Data!O2699</f>
        <v>0</v>
      </c>
      <c r="V2682" s="33">
        <f>Data!P2697</f>
        <v>0</v>
      </c>
    </row>
    <row r="2683" spans="7:22" x14ac:dyDescent="0.25">
      <c r="G2683">
        <f>Data!A2696</f>
        <v>0</v>
      </c>
      <c r="H2683" s="21">
        <f>Data!B2696</f>
        <v>0</v>
      </c>
      <c r="I2683" s="21">
        <f>Data!C2696</f>
        <v>0</v>
      </c>
      <c r="J2683">
        <f>Data!D2696</f>
        <v>0</v>
      </c>
      <c r="K2683">
        <f>Data!E2696</f>
        <v>0</v>
      </c>
      <c r="L2683">
        <f>Data!F2696</f>
        <v>0</v>
      </c>
      <c r="M2683">
        <f>Data!G2696</f>
        <v>0</v>
      </c>
      <c r="N2683">
        <f>Data!H2696</f>
        <v>0</v>
      </c>
      <c r="O2683">
        <f>Data!I2696</f>
        <v>0</v>
      </c>
      <c r="P2683" s="21">
        <f>Data!J2700</f>
        <v>0</v>
      </c>
      <c r="Q2683">
        <f>Data!K2700</f>
        <v>0</v>
      </c>
      <c r="R2683">
        <f>Data!L2700</f>
        <v>0</v>
      </c>
      <c r="S2683">
        <f>Data!M2700</f>
        <v>0</v>
      </c>
      <c r="T2683">
        <f>Data!N2700</f>
        <v>0</v>
      </c>
      <c r="U2683">
        <f>Data!O2700</f>
        <v>0</v>
      </c>
      <c r="V2683" s="33">
        <f>Data!P2698</f>
        <v>0</v>
      </c>
    </row>
    <row r="2684" spans="7:22" x14ac:dyDescent="0.25">
      <c r="G2684">
        <f>Data!A2697</f>
        <v>0</v>
      </c>
      <c r="H2684" s="21">
        <f>Data!B2697</f>
        <v>0</v>
      </c>
      <c r="I2684" s="21">
        <f>Data!C2697</f>
        <v>0</v>
      </c>
      <c r="J2684">
        <f>Data!D2697</f>
        <v>0</v>
      </c>
      <c r="K2684">
        <f>Data!E2697</f>
        <v>0</v>
      </c>
      <c r="L2684">
        <f>Data!F2697</f>
        <v>0</v>
      </c>
      <c r="M2684">
        <f>Data!G2697</f>
        <v>0</v>
      </c>
      <c r="N2684">
        <f>Data!H2697</f>
        <v>0</v>
      </c>
      <c r="O2684">
        <f>Data!I2697</f>
        <v>0</v>
      </c>
      <c r="P2684" s="21">
        <f>Data!J2701</f>
        <v>0</v>
      </c>
      <c r="Q2684">
        <f>Data!K2701</f>
        <v>0</v>
      </c>
      <c r="R2684">
        <f>Data!L2701</f>
        <v>0</v>
      </c>
      <c r="S2684">
        <f>Data!M2701</f>
        <v>0</v>
      </c>
      <c r="T2684">
        <f>Data!N2701</f>
        <v>0</v>
      </c>
      <c r="U2684">
        <f>Data!O2701</f>
        <v>0</v>
      </c>
      <c r="V2684" s="33">
        <f>Data!P2699</f>
        <v>0</v>
      </c>
    </row>
    <row r="2685" spans="7:22" x14ac:dyDescent="0.25">
      <c r="G2685">
        <f>Data!A2698</f>
        <v>0</v>
      </c>
      <c r="H2685" s="21">
        <f>Data!B2698</f>
        <v>0</v>
      </c>
      <c r="I2685" s="21">
        <f>Data!C2698</f>
        <v>0</v>
      </c>
      <c r="J2685">
        <f>Data!D2698</f>
        <v>0</v>
      </c>
      <c r="K2685">
        <f>Data!E2698</f>
        <v>0</v>
      </c>
      <c r="L2685">
        <f>Data!F2698</f>
        <v>0</v>
      </c>
      <c r="M2685">
        <f>Data!G2698</f>
        <v>0</v>
      </c>
      <c r="N2685">
        <f>Data!H2698</f>
        <v>0</v>
      </c>
      <c r="O2685">
        <f>Data!I2698</f>
        <v>0</v>
      </c>
      <c r="P2685" s="21">
        <f>Data!J2702</f>
        <v>0</v>
      </c>
      <c r="Q2685">
        <f>Data!K2702</f>
        <v>0</v>
      </c>
      <c r="R2685">
        <f>Data!L2702</f>
        <v>0</v>
      </c>
      <c r="S2685">
        <f>Data!M2702</f>
        <v>0</v>
      </c>
      <c r="T2685">
        <f>Data!N2702</f>
        <v>0</v>
      </c>
      <c r="U2685">
        <f>Data!O2702</f>
        <v>0</v>
      </c>
      <c r="V2685" s="33">
        <f>Data!P2700</f>
        <v>0</v>
      </c>
    </row>
    <row r="2686" spans="7:22" x14ac:dyDescent="0.25">
      <c r="G2686">
        <f>Data!A2699</f>
        <v>0</v>
      </c>
      <c r="H2686" s="21">
        <f>Data!B2699</f>
        <v>0</v>
      </c>
      <c r="I2686" s="21">
        <f>Data!C2699</f>
        <v>0</v>
      </c>
      <c r="J2686">
        <f>Data!D2699</f>
        <v>0</v>
      </c>
      <c r="K2686">
        <f>Data!E2699</f>
        <v>0</v>
      </c>
      <c r="L2686">
        <f>Data!F2699</f>
        <v>0</v>
      </c>
      <c r="M2686">
        <f>Data!G2699</f>
        <v>0</v>
      </c>
      <c r="N2686">
        <f>Data!H2699</f>
        <v>0</v>
      </c>
      <c r="O2686">
        <f>Data!I2699</f>
        <v>0</v>
      </c>
      <c r="P2686" s="21">
        <f>Data!J2703</f>
        <v>0</v>
      </c>
      <c r="Q2686">
        <f>Data!K2703</f>
        <v>0</v>
      </c>
      <c r="R2686">
        <f>Data!L2703</f>
        <v>0</v>
      </c>
      <c r="S2686">
        <f>Data!M2703</f>
        <v>0</v>
      </c>
      <c r="T2686">
        <f>Data!N2703</f>
        <v>0</v>
      </c>
      <c r="U2686">
        <f>Data!O2703</f>
        <v>0</v>
      </c>
      <c r="V2686" s="33">
        <f>Data!P2701</f>
        <v>0</v>
      </c>
    </row>
    <row r="2687" spans="7:22" x14ac:dyDescent="0.25">
      <c r="G2687">
        <f>Data!A2700</f>
        <v>0</v>
      </c>
      <c r="H2687" s="21">
        <f>Data!B2700</f>
        <v>0</v>
      </c>
      <c r="I2687" s="21">
        <f>Data!C2700</f>
        <v>0</v>
      </c>
      <c r="J2687">
        <f>Data!D2700</f>
        <v>0</v>
      </c>
      <c r="K2687">
        <f>Data!E2700</f>
        <v>0</v>
      </c>
      <c r="L2687">
        <f>Data!F2700</f>
        <v>0</v>
      </c>
      <c r="M2687">
        <f>Data!G2700</f>
        <v>0</v>
      </c>
      <c r="N2687">
        <f>Data!H2700</f>
        <v>0</v>
      </c>
      <c r="O2687">
        <f>Data!I2700</f>
        <v>0</v>
      </c>
      <c r="P2687" s="21">
        <f>Data!J2704</f>
        <v>0</v>
      </c>
      <c r="Q2687">
        <f>Data!K2704</f>
        <v>0</v>
      </c>
      <c r="R2687">
        <f>Data!L2704</f>
        <v>0</v>
      </c>
      <c r="S2687">
        <f>Data!M2704</f>
        <v>0</v>
      </c>
      <c r="T2687">
        <f>Data!N2704</f>
        <v>0</v>
      </c>
      <c r="U2687">
        <f>Data!O2704</f>
        <v>0</v>
      </c>
      <c r="V2687" s="33">
        <f>Data!P2702</f>
        <v>0</v>
      </c>
    </row>
    <row r="2688" spans="7:22" x14ac:dyDescent="0.25">
      <c r="G2688">
        <f>Data!A2701</f>
        <v>0</v>
      </c>
      <c r="H2688" s="21">
        <f>Data!B2701</f>
        <v>0</v>
      </c>
      <c r="I2688" s="21">
        <f>Data!C2701</f>
        <v>0</v>
      </c>
      <c r="J2688">
        <f>Data!D2701</f>
        <v>0</v>
      </c>
      <c r="K2688">
        <f>Data!E2701</f>
        <v>0</v>
      </c>
      <c r="L2688">
        <f>Data!F2701</f>
        <v>0</v>
      </c>
      <c r="M2688">
        <f>Data!G2701</f>
        <v>0</v>
      </c>
      <c r="N2688">
        <f>Data!H2701</f>
        <v>0</v>
      </c>
      <c r="O2688">
        <f>Data!I2701</f>
        <v>0</v>
      </c>
      <c r="P2688" s="21">
        <f>Data!J2705</f>
        <v>0</v>
      </c>
      <c r="Q2688">
        <f>Data!K2705</f>
        <v>0</v>
      </c>
      <c r="R2688">
        <f>Data!L2705</f>
        <v>0</v>
      </c>
      <c r="S2688">
        <f>Data!M2705</f>
        <v>0</v>
      </c>
      <c r="T2688">
        <f>Data!N2705</f>
        <v>0</v>
      </c>
      <c r="U2688">
        <f>Data!O2705</f>
        <v>0</v>
      </c>
      <c r="V2688" s="33">
        <f>Data!P2703</f>
        <v>0</v>
      </c>
    </row>
    <row r="2689" spans="7:22" x14ac:dyDescent="0.25">
      <c r="G2689">
        <f>Data!A2702</f>
        <v>0</v>
      </c>
      <c r="H2689" s="21">
        <f>Data!B2702</f>
        <v>0</v>
      </c>
      <c r="I2689" s="21">
        <f>Data!C2702</f>
        <v>0</v>
      </c>
      <c r="J2689">
        <f>Data!D2702</f>
        <v>0</v>
      </c>
      <c r="K2689">
        <f>Data!E2702</f>
        <v>0</v>
      </c>
      <c r="L2689">
        <f>Data!F2702</f>
        <v>0</v>
      </c>
      <c r="M2689">
        <f>Data!G2702</f>
        <v>0</v>
      </c>
      <c r="N2689">
        <f>Data!H2702</f>
        <v>0</v>
      </c>
      <c r="O2689">
        <f>Data!I2702</f>
        <v>0</v>
      </c>
      <c r="P2689" s="21">
        <f>Data!J2706</f>
        <v>0</v>
      </c>
      <c r="Q2689">
        <f>Data!K2706</f>
        <v>0</v>
      </c>
      <c r="R2689">
        <f>Data!L2706</f>
        <v>0</v>
      </c>
      <c r="S2689">
        <f>Data!M2706</f>
        <v>0</v>
      </c>
      <c r="T2689">
        <f>Data!N2706</f>
        <v>0</v>
      </c>
      <c r="U2689">
        <f>Data!O2706</f>
        <v>0</v>
      </c>
      <c r="V2689" s="33">
        <f>Data!P2704</f>
        <v>0</v>
      </c>
    </row>
    <row r="2690" spans="7:22" x14ac:dyDescent="0.25">
      <c r="G2690">
        <f>Data!A2703</f>
        <v>0</v>
      </c>
      <c r="H2690" s="21">
        <f>Data!B2703</f>
        <v>0</v>
      </c>
      <c r="I2690" s="21">
        <f>Data!C2703</f>
        <v>0</v>
      </c>
      <c r="J2690">
        <f>Data!D2703</f>
        <v>0</v>
      </c>
      <c r="K2690">
        <f>Data!E2703</f>
        <v>0</v>
      </c>
      <c r="L2690">
        <f>Data!F2703</f>
        <v>0</v>
      </c>
      <c r="M2690">
        <f>Data!G2703</f>
        <v>0</v>
      </c>
      <c r="N2690">
        <f>Data!H2703</f>
        <v>0</v>
      </c>
      <c r="O2690">
        <f>Data!I2703</f>
        <v>0</v>
      </c>
      <c r="P2690" s="21">
        <f>Data!J2707</f>
        <v>0</v>
      </c>
      <c r="Q2690">
        <f>Data!K2707</f>
        <v>0</v>
      </c>
      <c r="R2690">
        <f>Data!L2707</f>
        <v>0</v>
      </c>
      <c r="S2690">
        <f>Data!M2707</f>
        <v>0</v>
      </c>
      <c r="T2690">
        <f>Data!N2707</f>
        <v>0</v>
      </c>
      <c r="U2690">
        <f>Data!O2707</f>
        <v>0</v>
      </c>
      <c r="V2690" s="33">
        <f>Data!P2705</f>
        <v>0</v>
      </c>
    </row>
    <row r="2691" spans="7:22" x14ac:dyDescent="0.25">
      <c r="G2691">
        <f>Data!A2704</f>
        <v>0</v>
      </c>
      <c r="H2691" s="21">
        <f>Data!B2704</f>
        <v>0</v>
      </c>
      <c r="I2691" s="21">
        <f>Data!C2704</f>
        <v>0</v>
      </c>
      <c r="J2691">
        <f>Data!D2704</f>
        <v>0</v>
      </c>
      <c r="K2691">
        <f>Data!E2704</f>
        <v>0</v>
      </c>
      <c r="L2691">
        <f>Data!F2704</f>
        <v>0</v>
      </c>
      <c r="M2691">
        <f>Data!G2704</f>
        <v>0</v>
      </c>
      <c r="N2691">
        <f>Data!H2704</f>
        <v>0</v>
      </c>
      <c r="O2691">
        <f>Data!I2704</f>
        <v>0</v>
      </c>
      <c r="P2691" s="21">
        <f>Data!J2708</f>
        <v>0</v>
      </c>
      <c r="Q2691">
        <f>Data!K2708</f>
        <v>0</v>
      </c>
      <c r="R2691">
        <f>Data!L2708</f>
        <v>0</v>
      </c>
      <c r="S2691">
        <f>Data!M2708</f>
        <v>0</v>
      </c>
      <c r="T2691">
        <f>Data!N2708</f>
        <v>0</v>
      </c>
      <c r="U2691">
        <f>Data!O2708</f>
        <v>0</v>
      </c>
      <c r="V2691" s="33">
        <f>Data!P2706</f>
        <v>0</v>
      </c>
    </row>
    <row r="2692" spans="7:22" x14ac:dyDescent="0.25">
      <c r="G2692">
        <f>Data!A2705</f>
        <v>0</v>
      </c>
      <c r="H2692" s="21">
        <f>Data!B2705</f>
        <v>0</v>
      </c>
      <c r="I2692" s="21">
        <f>Data!C2705</f>
        <v>0</v>
      </c>
      <c r="J2692">
        <f>Data!D2705</f>
        <v>0</v>
      </c>
      <c r="K2692">
        <f>Data!E2705</f>
        <v>0</v>
      </c>
      <c r="L2692">
        <f>Data!F2705</f>
        <v>0</v>
      </c>
      <c r="M2692">
        <f>Data!G2705</f>
        <v>0</v>
      </c>
      <c r="N2692">
        <f>Data!H2705</f>
        <v>0</v>
      </c>
      <c r="O2692">
        <f>Data!I2705</f>
        <v>0</v>
      </c>
      <c r="P2692" s="21">
        <f>Data!J2709</f>
        <v>0</v>
      </c>
      <c r="Q2692">
        <f>Data!K2709</f>
        <v>0</v>
      </c>
      <c r="R2692">
        <f>Data!L2709</f>
        <v>0</v>
      </c>
      <c r="S2692">
        <f>Data!M2709</f>
        <v>0</v>
      </c>
      <c r="T2692">
        <f>Data!N2709</f>
        <v>0</v>
      </c>
      <c r="U2692">
        <f>Data!O2709</f>
        <v>0</v>
      </c>
      <c r="V2692" s="33">
        <f>Data!P2707</f>
        <v>0</v>
      </c>
    </row>
    <row r="2693" spans="7:22" x14ac:dyDescent="0.25">
      <c r="G2693">
        <f>Data!A2706</f>
        <v>0</v>
      </c>
      <c r="H2693" s="21">
        <f>Data!B2706</f>
        <v>0</v>
      </c>
      <c r="I2693" s="21">
        <f>Data!C2706</f>
        <v>0</v>
      </c>
      <c r="J2693">
        <f>Data!D2706</f>
        <v>0</v>
      </c>
      <c r="K2693">
        <f>Data!E2706</f>
        <v>0</v>
      </c>
      <c r="L2693">
        <f>Data!F2706</f>
        <v>0</v>
      </c>
      <c r="M2693">
        <f>Data!G2706</f>
        <v>0</v>
      </c>
      <c r="N2693">
        <f>Data!H2706</f>
        <v>0</v>
      </c>
      <c r="O2693">
        <f>Data!I2706</f>
        <v>0</v>
      </c>
      <c r="P2693" s="21">
        <f>Data!J2710</f>
        <v>0</v>
      </c>
      <c r="Q2693">
        <f>Data!K2710</f>
        <v>0</v>
      </c>
      <c r="R2693">
        <f>Data!L2710</f>
        <v>0</v>
      </c>
      <c r="S2693">
        <f>Data!M2710</f>
        <v>0</v>
      </c>
      <c r="T2693">
        <f>Data!N2710</f>
        <v>0</v>
      </c>
      <c r="U2693">
        <f>Data!O2710</f>
        <v>0</v>
      </c>
      <c r="V2693" s="33">
        <f>Data!P2708</f>
        <v>0</v>
      </c>
    </row>
    <row r="2694" spans="7:22" x14ac:dyDescent="0.25">
      <c r="G2694">
        <f>Data!A2707</f>
        <v>0</v>
      </c>
      <c r="H2694" s="21">
        <f>Data!B2707</f>
        <v>0</v>
      </c>
      <c r="I2694" s="21">
        <f>Data!C2707</f>
        <v>0</v>
      </c>
      <c r="J2694">
        <f>Data!D2707</f>
        <v>0</v>
      </c>
      <c r="K2694">
        <f>Data!E2707</f>
        <v>0</v>
      </c>
      <c r="L2694">
        <f>Data!F2707</f>
        <v>0</v>
      </c>
      <c r="M2694">
        <f>Data!G2707</f>
        <v>0</v>
      </c>
      <c r="N2694">
        <f>Data!H2707</f>
        <v>0</v>
      </c>
      <c r="O2694">
        <f>Data!I2707</f>
        <v>0</v>
      </c>
      <c r="P2694" s="21">
        <f>Data!J2711</f>
        <v>0</v>
      </c>
      <c r="Q2694">
        <f>Data!K2711</f>
        <v>0</v>
      </c>
      <c r="R2694">
        <f>Data!L2711</f>
        <v>0</v>
      </c>
      <c r="S2694">
        <f>Data!M2711</f>
        <v>0</v>
      </c>
      <c r="T2694">
        <f>Data!N2711</f>
        <v>0</v>
      </c>
      <c r="U2694">
        <f>Data!O2711</f>
        <v>0</v>
      </c>
      <c r="V2694" s="33">
        <f>Data!P2709</f>
        <v>0</v>
      </c>
    </row>
    <row r="2695" spans="7:22" x14ac:dyDescent="0.25">
      <c r="G2695">
        <f>Data!A2708</f>
        <v>0</v>
      </c>
      <c r="H2695" s="21">
        <f>Data!B2708</f>
        <v>0</v>
      </c>
      <c r="I2695" s="21">
        <f>Data!C2708</f>
        <v>0</v>
      </c>
      <c r="J2695">
        <f>Data!D2708</f>
        <v>0</v>
      </c>
      <c r="K2695">
        <f>Data!E2708</f>
        <v>0</v>
      </c>
      <c r="L2695">
        <f>Data!F2708</f>
        <v>0</v>
      </c>
      <c r="M2695">
        <f>Data!G2708</f>
        <v>0</v>
      </c>
      <c r="N2695">
        <f>Data!H2708</f>
        <v>0</v>
      </c>
      <c r="O2695">
        <f>Data!I2708</f>
        <v>0</v>
      </c>
      <c r="P2695" s="21">
        <f>Data!J2712</f>
        <v>0</v>
      </c>
      <c r="Q2695">
        <f>Data!K2712</f>
        <v>0</v>
      </c>
      <c r="R2695">
        <f>Data!L2712</f>
        <v>0</v>
      </c>
      <c r="S2695">
        <f>Data!M2712</f>
        <v>0</v>
      </c>
      <c r="T2695">
        <f>Data!N2712</f>
        <v>0</v>
      </c>
      <c r="U2695">
        <f>Data!O2712</f>
        <v>0</v>
      </c>
      <c r="V2695" s="33">
        <f>Data!P2710</f>
        <v>0</v>
      </c>
    </row>
    <row r="2696" spans="7:22" x14ac:dyDescent="0.25">
      <c r="G2696">
        <f>Data!A2709</f>
        <v>0</v>
      </c>
      <c r="H2696" s="21">
        <f>Data!B2709</f>
        <v>0</v>
      </c>
      <c r="I2696" s="21">
        <f>Data!C2709</f>
        <v>0</v>
      </c>
      <c r="J2696">
        <f>Data!D2709</f>
        <v>0</v>
      </c>
      <c r="K2696">
        <f>Data!E2709</f>
        <v>0</v>
      </c>
      <c r="L2696">
        <f>Data!F2709</f>
        <v>0</v>
      </c>
      <c r="M2696">
        <f>Data!G2709</f>
        <v>0</v>
      </c>
      <c r="N2696">
        <f>Data!H2709</f>
        <v>0</v>
      </c>
      <c r="O2696">
        <f>Data!I2709</f>
        <v>0</v>
      </c>
      <c r="P2696" s="21">
        <f>Data!J2713</f>
        <v>0</v>
      </c>
      <c r="Q2696">
        <f>Data!K2713</f>
        <v>0</v>
      </c>
      <c r="R2696">
        <f>Data!L2713</f>
        <v>0</v>
      </c>
      <c r="S2696">
        <f>Data!M2713</f>
        <v>0</v>
      </c>
      <c r="T2696">
        <f>Data!N2713</f>
        <v>0</v>
      </c>
      <c r="U2696">
        <f>Data!O2713</f>
        <v>0</v>
      </c>
      <c r="V2696" s="33">
        <f>Data!P2711</f>
        <v>0</v>
      </c>
    </row>
    <row r="2697" spans="7:22" x14ac:dyDescent="0.25">
      <c r="G2697">
        <f>Data!A2710</f>
        <v>0</v>
      </c>
      <c r="H2697" s="21">
        <f>Data!B2710</f>
        <v>0</v>
      </c>
      <c r="I2697" s="21">
        <f>Data!C2710</f>
        <v>0</v>
      </c>
      <c r="J2697">
        <f>Data!D2710</f>
        <v>0</v>
      </c>
      <c r="K2697">
        <f>Data!E2710</f>
        <v>0</v>
      </c>
      <c r="L2697">
        <f>Data!F2710</f>
        <v>0</v>
      </c>
      <c r="M2697">
        <f>Data!G2710</f>
        <v>0</v>
      </c>
      <c r="N2697">
        <f>Data!H2710</f>
        <v>0</v>
      </c>
      <c r="O2697">
        <f>Data!I2710</f>
        <v>0</v>
      </c>
      <c r="P2697" s="21">
        <f>Data!J2714</f>
        <v>0</v>
      </c>
      <c r="Q2697">
        <f>Data!K2714</f>
        <v>0</v>
      </c>
      <c r="R2697">
        <f>Data!L2714</f>
        <v>0</v>
      </c>
      <c r="S2697">
        <f>Data!M2714</f>
        <v>0</v>
      </c>
      <c r="T2697">
        <f>Data!N2714</f>
        <v>0</v>
      </c>
      <c r="U2697">
        <f>Data!O2714</f>
        <v>0</v>
      </c>
      <c r="V2697" s="33">
        <f>Data!P2712</f>
        <v>0</v>
      </c>
    </row>
    <row r="2698" spans="7:22" x14ac:dyDescent="0.25">
      <c r="G2698">
        <f>Data!A2711</f>
        <v>0</v>
      </c>
      <c r="H2698" s="21">
        <f>Data!B2711</f>
        <v>0</v>
      </c>
      <c r="I2698" s="21">
        <f>Data!C2711</f>
        <v>0</v>
      </c>
      <c r="J2698">
        <f>Data!D2711</f>
        <v>0</v>
      </c>
      <c r="K2698">
        <f>Data!E2711</f>
        <v>0</v>
      </c>
      <c r="L2698">
        <f>Data!F2711</f>
        <v>0</v>
      </c>
      <c r="M2698">
        <f>Data!G2711</f>
        <v>0</v>
      </c>
      <c r="N2698">
        <f>Data!H2711</f>
        <v>0</v>
      </c>
      <c r="O2698">
        <f>Data!I2711</f>
        <v>0</v>
      </c>
      <c r="P2698" s="21">
        <f>Data!J2715</f>
        <v>0</v>
      </c>
      <c r="Q2698">
        <f>Data!K2715</f>
        <v>0</v>
      </c>
      <c r="R2698">
        <f>Data!L2715</f>
        <v>0</v>
      </c>
      <c r="S2698">
        <f>Data!M2715</f>
        <v>0</v>
      </c>
      <c r="T2698">
        <f>Data!N2715</f>
        <v>0</v>
      </c>
      <c r="U2698">
        <f>Data!O2715</f>
        <v>0</v>
      </c>
      <c r="V2698" s="33">
        <f>Data!P2713</f>
        <v>0</v>
      </c>
    </row>
    <row r="2699" spans="7:22" x14ac:dyDescent="0.25">
      <c r="G2699">
        <f>Data!A2712</f>
        <v>0</v>
      </c>
      <c r="H2699" s="21">
        <f>Data!B2712</f>
        <v>0</v>
      </c>
      <c r="I2699" s="21">
        <f>Data!C2712</f>
        <v>0</v>
      </c>
      <c r="J2699">
        <f>Data!D2712</f>
        <v>0</v>
      </c>
      <c r="K2699">
        <f>Data!E2712</f>
        <v>0</v>
      </c>
      <c r="L2699">
        <f>Data!F2712</f>
        <v>0</v>
      </c>
      <c r="M2699">
        <f>Data!G2712</f>
        <v>0</v>
      </c>
      <c r="N2699">
        <f>Data!H2712</f>
        <v>0</v>
      </c>
      <c r="O2699">
        <f>Data!I2712</f>
        <v>0</v>
      </c>
      <c r="P2699" s="21">
        <f>Data!J2716</f>
        <v>0</v>
      </c>
      <c r="Q2699">
        <f>Data!K2716</f>
        <v>0</v>
      </c>
      <c r="R2699">
        <f>Data!L2716</f>
        <v>0</v>
      </c>
      <c r="S2699">
        <f>Data!M2716</f>
        <v>0</v>
      </c>
      <c r="T2699">
        <f>Data!N2716</f>
        <v>0</v>
      </c>
      <c r="U2699">
        <f>Data!O2716</f>
        <v>0</v>
      </c>
      <c r="V2699" s="33">
        <f>Data!P2714</f>
        <v>0</v>
      </c>
    </row>
    <row r="2700" spans="7:22" x14ac:dyDescent="0.25">
      <c r="G2700">
        <f>Data!A2713</f>
        <v>0</v>
      </c>
      <c r="H2700" s="21">
        <f>Data!B2713</f>
        <v>0</v>
      </c>
      <c r="I2700" s="21">
        <f>Data!C2713</f>
        <v>0</v>
      </c>
      <c r="J2700">
        <f>Data!D2713</f>
        <v>0</v>
      </c>
      <c r="K2700">
        <f>Data!E2713</f>
        <v>0</v>
      </c>
      <c r="L2700">
        <f>Data!F2713</f>
        <v>0</v>
      </c>
      <c r="M2700">
        <f>Data!G2713</f>
        <v>0</v>
      </c>
      <c r="N2700">
        <f>Data!H2713</f>
        <v>0</v>
      </c>
      <c r="O2700">
        <f>Data!I2713</f>
        <v>0</v>
      </c>
      <c r="P2700" s="21">
        <f>Data!J2717</f>
        <v>0</v>
      </c>
      <c r="Q2700">
        <f>Data!K2717</f>
        <v>0</v>
      </c>
      <c r="R2700">
        <f>Data!L2717</f>
        <v>0</v>
      </c>
      <c r="S2700">
        <f>Data!M2717</f>
        <v>0</v>
      </c>
      <c r="T2700">
        <f>Data!N2717</f>
        <v>0</v>
      </c>
      <c r="U2700">
        <f>Data!O2717</f>
        <v>0</v>
      </c>
      <c r="V2700" s="33">
        <f>Data!P2715</f>
        <v>0</v>
      </c>
    </row>
    <row r="2701" spans="7:22" x14ac:dyDescent="0.25">
      <c r="G2701">
        <f>Data!A2714</f>
        <v>0</v>
      </c>
      <c r="H2701" s="21">
        <f>Data!B2714</f>
        <v>0</v>
      </c>
      <c r="I2701" s="21">
        <f>Data!C2714</f>
        <v>0</v>
      </c>
      <c r="J2701">
        <f>Data!D2714</f>
        <v>0</v>
      </c>
      <c r="K2701">
        <f>Data!E2714</f>
        <v>0</v>
      </c>
      <c r="L2701">
        <f>Data!F2714</f>
        <v>0</v>
      </c>
      <c r="M2701">
        <f>Data!G2714</f>
        <v>0</v>
      </c>
      <c r="N2701">
        <f>Data!H2714</f>
        <v>0</v>
      </c>
      <c r="O2701">
        <f>Data!I2714</f>
        <v>0</v>
      </c>
      <c r="P2701" s="21">
        <f>Data!J2718</f>
        <v>0</v>
      </c>
      <c r="Q2701">
        <f>Data!K2718</f>
        <v>0</v>
      </c>
      <c r="R2701">
        <f>Data!L2718</f>
        <v>0</v>
      </c>
      <c r="S2701">
        <f>Data!M2718</f>
        <v>0</v>
      </c>
      <c r="T2701">
        <f>Data!N2718</f>
        <v>0</v>
      </c>
      <c r="U2701">
        <f>Data!O2718</f>
        <v>0</v>
      </c>
      <c r="V2701" s="33">
        <f>Data!P2716</f>
        <v>0</v>
      </c>
    </row>
    <row r="2702" spans="7:22" x14ac:dyDescent="0.25">
      <c r="G2702">
        <f>Data!A2715</f>
        <v>0</v>
      </c>
      <c r="H2702" s="21">
        <f>Data!B2715</f>
        <v>0</v>
      </c>
      <c r="I2702" s="21">
        <f>Data!C2715</f>
        <v>0</v>
      </c>
      <c r="J2702">
        <f>Data!D2715</f>
        <v>0</v>
      </c>
      <c r="K2702">
        <f>Data!E2715</f>
        <v>0</v>
      </c>
      <c r="L2702">
        <f>Data!F2715</f>
        <v>0</v>
      </c>
      <c r="M2702">
        <f>Data!G2715</f>
        <v>0</v>
      </c>
      <c r="N2702">
        <f>Data!H2715</f>
        <v>0</v>
      </c>
      <c r="O2702">
        <f>Data!I2715</f>
        <v>0</v>
      </c>
      <c r="P2702" s="21">
        <f>Data!J2719</f>
        <v>0</v>
      </c>
      <c r="Q2702">
        <f>Data!K2719</f>
        <v>0</v>
      </c>
      <c r="R2702">
        <f>Data!L2719</f>
        <v>0</v>
      </c>
      <c r="S2702">
        <f>Data!M2719</f>
        <v>0</v>
      </c>
      <c r="T2702">
        <f>Data!N2719</f>
        <v>0</v>
      </c>
      <c r="U2702">
        <f>Data!O2719</f>
        <v>0</v>
      </c>
      <c r="V2702" s="33">
        <f>Data!P2717</f>
        <v>0</v>
      </c>
    </row>
    <row r="2703" spans="7:22" x14ac:dyDescent="0.25">
      <c r="G2703">
        <f>Data!A2716</f>
        <v>0</v>
      </c>
      <c r="H2703" s="21">
        <f>Data!B2716</f>
        <v>0</v>
      </c>
      <c r="I2703" s="21">
        <f>Data!C2716</f>
        <v>0</v>
      </c>
      <c r="J2703">
        <f>Data!D2716</f>
        <v>0</v>
      </c>
      <c r="K2703">
        <f>Data!E2716</f>
        <v>0</v>
      </c>
      <c r="L2703">
        <f>Data!F2716</f>
        <v>0</v>
      </c>
      <c r="M2703">
        <f>Data!G2716</f>
        <v>0</v>
      </c>
      <c r="N2703">
        <f>Data!H2716</f>
        <v>0</v>
      </c>
      <c r="O2703">
        <f>Data!I2716</f>
        <v>0</v>
      </c>
      <c r="P2703" s="21">
        <f>Data!J2720</f>
        <v>0</v>
      </c>
      <c r="Q2703">
        <f>Data!K2720</f>
        <v>0</v>
      </c>
      <c r="R2703">
        <f>Data!L2720</f>
        <v>0</v>
      </c>
      <c r="S2703">
        <f>Data!M2720</f>
        <v>0</v>
      </c>
      <c r="T2703">
        <f>Data!N2720</f>
        <v>0</v>
      </c>
      <c r="U2703">
        <f>Data!O2720</f>
        <v>0</v>
      </c>
      <c r="V2703" s="33">
        <f>Data!P2718</f>
        <v>0</v>
      </c>
    </row>
    <row r="2704" spans="7:22" x14ac:dyDescent="0.25">
      <c r="G2704">
        <f>Data!A2717</f>
        <v>0</v>
      </c>
      <c r="H2704" s="21">
        <f>Data!B2717</f>
        <v>0</v>
      </c>
      <c r="I2704" s="21">
        <f>Data!C2717</f>
        <v>0</v>
      </c>
      <c r="J2704">
        <f>Data!D2717</f>
        <v>0</v>
      </c>
      <c r="K2704">
        <f>Data!E2717</f>
        <v>0</v>
      </c>
      <c r="L2704">
        <f>Data!F2717</f>
        <v>0</v>
      </c>
      <c r="M2704">
        <f>Data!G2717</f>
        <v>0</v>
      </c>
      <c r="N2704">
        <f>Data!H2717</f>
        <v>0</v>
      </c>
      <c r="O2704">
        <f>Data!I2717</f>
        <v>0</v>
      </c>
      <c r="P2704" s="21">
        <f>Data!J2721</f>
        <v>0</v>
      </c>
      <c r="Q2704">
        <f>Data!K2721</f>
        <v>0</v>
      </c>
      <c r="R2704">
        <f>Data!L2721</f>
        <v>0</v>
      </c>
      <c r="S2704">
        <f>Data!M2721</f>
        <v>0</v>
      </c>
      <c r="T2704">
        <f>Data!N2721</f>
        <v>0</v>
      </c>
      <c r="U2704">
        <f>Data!O2721</f>
        <v>0</v>
      </c>
      <c r="V2704" s="33">
        <f>Data!P2719</f>
        <v>0</v>
      </c>
    </row>
    <row r="2705" spans="7:22" x14ac:dyDescent="0.25">
      <c r="G2705">
        <f>Data!A2718</f>
        <v>0</v>
      </c>
      <c r="H2705" s="21">
        <f>Data!B2718</f>
        <v>0</v>
      </c>
      <c r="I2705" s="21">
        <f>Data!C2718</f>
        <v>0</v>
      </c>
      <c r="J2705">
        <f>Data!D2718</f>
        <v>0</v>
      </c>
      <c r="K2705">
        <f>Data!E2718</f>
        <v>0</v>
      </c>
      <c r="L2705">
        <f>Data!F2718</f>
        <v>0</v>
      </c>
      <c r="M2705">
        <f>Data!G2718</f>
        <v>0</v>
      </c>
      <c r="N2705">
        <f>Data!H2718</f>
        <v>0</v>
      </c>
      <c r="O2705">
        <f>Data!I2718</f>
        <v>0</v>
      </c>
      <c r="P2705" s="21">
        <f>Data!J2722</f>
        <v>0</v>
      </c>
      <c r="Q2705">
        <f>Data!K2722</f>
        <v>0</v>
      </c>
      <c r="R2705">
        <f>Data!L2722</f>
        <v>0</v>
      </c>
      <c r="S2705">
        <f>Data!M2722</f>
        <v>0</v>
      </c>
      <c r="T2705">
        <f>Data!N2722</f>
        <v>0</v>
      </c>
      <c r="U2705">
        <f>Data!O2722</f>
        <v>0</v>
      </c>
      <c r="V2705" s="33">
        <f>Data!P2720</f>
        <v>0</v>
      </c>
    </row>
    <row r="2706" spans="7:22" x14ac:dyDescent="0.25">
      <c r="G2706">
        <f>Data!A2719</f>
        <v>0</v>
      </c>
      <c r="H2706" s="21">
        <f>Data!B2719</f>
        <v>0</v>
      </c>
      <c r="I2706" s="21">
        <f>Data!C2719</f>
        <v>0</v>
      </c>
      <c r="J2706">
        <f>Data!D2719</f>
        <v>0</v>
      </c>
      <c r="K2706">
        <f>Data!E2719</f>
        <v>0</v>
      </c>
      <c r="L2706">
        <f>Data!F2719</f>
        <v>0</v>
      </c>
      <c r="M2706">
        <f>Data!G2719</f>
        <v>0</v>
      </c>
      <c r="N2706">
        <f>Data!H2719</f>
        <v>0</v>
      </c>
      <c r="O2706">
        <f>Data!I2719</f>
        <v>0</v>
      </c>
      <c r="P2706" s="21">
        <f>Data!J2723</f>
        <v>0</v>
      </c>
      <c r="Q2706">
        <f>Data!K2723</f>
        <v>0</v>
      </c>
      <c r="R2706">
        <f>Data!L2723</f>
        <v>0</v>
      </c>
      <c r="S2706">
        <f>Data!M2723</f>
        <v>0</v>
      </c>
      <c r="T2706">
        <f>Data!N2723</f>
        <v>0</v>
      </c>
      <c r="U2706">
        <f>Data!O2723</f>
        <v>0</v>
      </c>
      <c r="V2706" s="33">
        <f>Data!P2721</f>
        <v>0</v>
      </c>
    </row>
    <row r="2707" spans="7:22" x14ac:dyDescent="0.25">
      <c r="G2707">
        <f>Data!A2720</f>
        <v>0</v>
      </c>
      <c r="H2707" s="21">
        <f>Data!B2720</f>
        <v>0</v>
      </c>
      <c r="I2707" s="21">
        <f>Data!C2720</f>
        <v>0</v>
      </c>
      <c r="J2707">
        <f>Data!D2720</f>
        <v>0</v>
      </c>
      <c r="K2707">
        <f>Data!E2720</f>
        <v>0</v>
      </c>
      <c r="L2707">
        <f>Data!F2720</f>
        <v>0</v>
      </c>
      <c r="M2707">
        <f>Data!G2720</f>
        <v>0</v>
      </c>
      <c r="N2707">
        <f>Data!H2720</f>
        <v>0</v>
      </c>
      <c r="O2707">
        <f>Data!I2720</f>
        <v>0</v>
      </c>
      <c r="P2707" s="21">
        <f>Data!J2724</f>
        <v>0</v>
      </c>
      <c r="Q2707">
        <f>Data!K2724</f>
        <v>0</v>
      </c>
      <c r="R2707">
        <f>Data!L2724</f>
        <v>0</v>
      </c>
      <c r="S2707">
        <f>Data!M2724</f>
        <v>0</v>
      </c>
      <c r="T2707">
        <f>Data!N2724</f>
        <v>0</v>
      </c>
      <c r="U2707">
        <f>Data!O2724</f>
        <v>0</v>
      </c>
      <c r="V2707" s="33">
        <f>Data!P2722</f>
        <v>0</v>
      </c>
    </row>
    <row r="2708" spans="7:22" x14ac:dyDescent="0.25">
      <c r="G2708">
        <f>Data!A2721</f>
        <v>0</v>
      </c>
      <c r="H2708" s="21">
        <f>Data!B2721</f>
        <v>0</v>
      </c>
      <c r="I2708" s="21">
        <f>Data!C2721</f>
        <v>0</v>
      </c>
      <c r="J2708">
        <f>Data!D2721</f>
        <v>0</v>
      </c>
      <c r="K2708">
        <f>Data!E2721</f>
        <v>0</v>
      </c>
      <c r="L2708">
        <f>Data!F2721</f>
        <v>0</v>
      </c>
      <c r="M2708">
        <f>Data!G2721</f>
        <v>0</v>
      </c>
      <c r="N2708">
        <f>Data!H2721</f>
        <v>0</v>
      </c>
      <c r="O2708">
        <f>Data!I2721</f>
        <v>0</v>
      </c>
      <c r="P2708" s="21">
        <f>Data!J2725</f>
        <v>0</v>
      </c>
      <c r="Q2708">
        <f>Data!K2725</f>
        <v>0</v>
      </c>
      <c r="R2708">
        <f>Data!L2725</f>
        <v>0</v>
      </c>
      <c r="S2708">
        <f>Data!M2725</f>
        <v>0</v>
      </c>
      <c r="T2708">
        <f>Data!N2725</f>
        <v>0</v>
      </c>
      <c r="U2708">
        <f>Data!O2725</f>
        <v>0</v>
      </c>
      <c r="V2708" s="33">
        <f>Data!P2723</f>
        <v>0</v>
      </c>
    </row>
    <row r="2709" spans="7:22" x14ac:dyDescent="0.25">
      <c r="G2709">
        <f>Data!A2722</f>
        <v>0</v>
      </c>
      <c r="H2709" s="21">
        <f>Data!B2722</f>
        <v>0</v>
      </c>
      <c r="I2709" s="21">
        <f>Data!C2722</f>
        <v>0</v>
      </c>
      <c r="J2709">
        <f>Data!D2722</f>
        <v>0</v>
      </c>
      <c r="K2709">
        <f>Data!E2722</f>
        <v>0</v>
      </c>
      <c r="L2709">
        <f>Data!F2722</f>
        <v>0</v>
      </c>
      <c r="M2709">
        <f>Data!G2722</f>
        <v>0</v>
      </c>
      <c r="N2709">
        <f>Data!H2722</f>
        <v>0</v>
      </c>
      <c r="O2709">
        <f>Data!I2722</f>
        <v>0</v>
      </c>
      <c r="P2709" s="21">
        <f>Data!J2726</f>
        <v>0</v>
      </c>
      <c r="Q2709">
        <f>Data!K2726</f>
        <v>0</v>
      </c>
      <c r="R2709">
        <f>Data!L2726</f>
        <v>0</v>
      </c>
      <c r="S2709">
        <f>Data!M2726</f>
        <v>0</v>
      </c>
      <c r="T2709">
        <f>Data!N2726</f>
        <v>0</v>
      </c>
      <c r="U2709">
        <f>Data!O2726</f>
        <v>0</v>
      </c>
      <c r="V2709" s="33">
        <f>Data!P2724</f>
        <v>0</v>
      </c>
    </row>
    <row r="2710" spans="7:22" x14ac:dyDescent="0.25">
      <c r="G2710">
        <f>Data!A2723</f>
        <v>0</v>
      </c>
      <c r="H2710" s="21">
        <f>Data!B2723</f>
        <v>0</v>
      </c>
      <c r="I2710" s="21">
        <f>Data!C2723</f>
        <v>0</v>
      </c>
      <c r="J2710">
        <f>Data!D2723</f>
        <v>0</v>
      </c>
      <c r="K2710">
        <f>Data!E2723</f>
        <v>0</v>
      </c>
      <c r="L2710">
        <f>Data!F2723</f>
        <v>0</v>
      </c>
      <c r="M2710">
        <f>Data!G2723</f>
        <v>0</v>
      </c>
      <c r="N2710">
        <f>Data!H2723</f>
        <v>0</v>
      </c>
      <c r="O2710">
        <f>Data!I2723</f>
        <v>0</v>
      </c>
      <c r="P2710" s="21">
        <f>Data!J2727</f>
        <v>0</v>
      </c>
      <c r="Q2710">
        <f>Data!K2727</f>
        <v>0</v>
      </c>
      <c r="R2710">
        <f>Data!L2727</f>
        <v>0</v>
      </c>
      <c r="S2710">
        <f>Data!M2727</f>
        <v>0</v>
      </c>
      <c r="T2710">
        <f>Data!N2727</f>
        <v>0</v>
      </c>
      <c r="U2710">
        <f>Data!O2727</f>
        <v>0</v>
      </c>
      <c r="V2710" s="33">
        <f>Data!P2725</f>
        <v>0</v>
      </c>
    </row>
    <row r="2711" spans="7:22" x14ac:dyDescent="0.25">
      <c r="G2711">
        <f>Data!A2724</f>
        <v>0</v>
      </c>
      <c r="H2711" s="21">
        <f>Data!B2724</f>
        <v>0</v>
      </c>
      <c r="I2711" s="21">
        <f>Data!C2724</f>
        <v>0</v>
      </c>
      <c r="J2711">
        <f>Data!D2724</f>
        <v>0</v>
      </c>
      <c r="K2711">
        <f>Data!E2724</f>
        <v>0</v>
      </c>
      <c r="L2711">
        <f>Data!F2724</f>
        <v>0</v>
      </c>
      <c r="M2711">
        <f>Data!G2724</f>
        <v>0</v>
      </c>
      <c r="N2711">
        <f>Data!H2724</f>
        <v>0</v>
      </c>
      <c r="O2711">
        <f>Data!I2724</f>
        <v>0</v>
      </c>
      <c r="P2711" s="21">
        <f>Data!J2728</f>
        <v>0</v>
      </c>
      <c r="Q2711">
        <f>Data!K2728</f>
        <v>0</v>
      </c>
      <c r="R2711">
        <f>Data!L2728</f>
        <v>0</v>
      </c>
      <c r="S2711">
        <f>Data!M2728</f>
        <v>0</v>
      </c>
      <c r="T2711">
        <f>Data!N2728</f>
        <v>0</v>
      </c>
      <c r="U2711">
        <f>Data!O2728</f>
        <v>0</v>
      </c>
      <c r="V2711" s="33">
        <f>Data!P2726</f>
        <v>0</v>
      </c>
    </row>
    <row r="2712" spans="7:22" x14ac:dyDescent="0.25">
      <c r="G2712">
        <f>Data!A2725</f>
        <v>0</v>
      </c>
      <c r="H2712" s="21">
        <f>Data!B2725</f>
        <v>0</v>
      </c>
      <c r="I2712" s="21">
        <f>Data!C2725</f>
        <v>0</v>
      </c>
      <c r="J2712">
        <f>Data!D2725</f>
        <v>0</v>
      </c>
      <c r="K2712">
        <f>Data!E2725</f>
        <v>0</v>
      </c>
      <c r="L2712">
        <f>Data!F2725</f>
        <v>0</v>
      </c>
      <c r="M2712">
        <f>Data!G2725</f>
        <v>0</v>
      </c>
      <c r="N2712">
        <f>Data!H2725</f>
        <v>0</v>
      </c>
      <c r="O2712">
        <f>Data!I2725</f>
        <v>0</v>
      </c>
      <c r="P2712" s="21">
        <f>Data!J2729</f>
        <v>0</v>
      </c>
      <c r="Q2712">
        <f>Data!K2729</f>
        <v>0</v>
      </c>
      <c r="R2712">
        <f>Data!L2729</f>
        <v>0</v>
      </c>
      <c r="S2712">
        <f>Data!M2729</f>
        <v>0</v>
      </c>
      <c r="T2712">
        <f>Data!N2729</f>
        <v>0</v>
      </c>
      <c r="U2712">
        <f>Data!O2729</f>
        <v>0</v>
      </c>
      <c r="V2712" s="33">
        <f>Data!P2727</f>
        <v>0</v>
      </c>
    </row>
    <row r="2713" spans="7:22" x14ac:dyDescent="0.25">
      <c r="G2713">
        <f>Data!A2726</f>
        <v>0</v>
      </c>
      <c r="H2713" s="21">
        <f>Data!B2726</f>
        <v>0</v>
      </c>
      <c r="I2713" s="21">
        <f>Data!C2726</f>
        <v>0</v>
      </c>
      <c r="J2713">
        <f>Data!D2726</f>
        <v>0</v>
      </c>
      <c r="K2713">
        <f>Data!E2726</f>
        <v>0</v>
      </c>
      <c r="L2713">
        <f>Data!F2726</f>
        <v>0</v>
      </c>
      <c r="M2713">
        <f>Data!G2726</f>
        <v>0</v>
      </c>
      <c r="N2713">
        <f>Data!H2726</f>
        <v>0</v>
      </c>
      <c r="O2713">
        <f>Data!I2726</f>
        <v>0</v>
      </c>
      <c r="P2713" s="21">
        <f>Data!J2730</f>
        <v>0</v>
      </c>
      <c r="Q2713">
        <f>Data!K2730</f>
        <v>0</v>
      </c>
      <c r="R2713">
        <f>Data!L2730</f>
        <v>0</v>
      </c>
      <c r="S2713">
        <f>Data!M2730</f>
        <v>0</v>
      </c>
      <c r="T2713">
        <f>Data!N2730</f>
        <v>0</v>
      </c>
      <c r="U2713">
        <f>Data!O2730</f>
        <v>0</v>
      </c>
      <c r="V2713" s="33">
        <f>Data!P2728</f>
        <v>0</v>
      </c>
    </row>
    <row r="2714" spans="7:22" x14ac:dyDescent="0.25">
      <c r="G2714">
        <f>Data!A2727</f>
        <v>0</v>
      </c>
      <c r="H2714" s="21">
        <f>Data!B2727</f>
        <v>0</v>
      </c>
      <c r="I2714" s="21">
        <f>Data!C2727</f>
        <v>0</v>
      </c>
      <c r="J2714">
        <f>Data!D2727</f>
        <v>0</v>
      </c>
      <c r="K2714">
        <f>Data!E2727</f>
        <v>0</v>
      </c>
      <c r="L2714">
        <f>Data!F2727</f>
        <v>0</v>
      </c>
      <c r="M2714">
        <f>Data!G2727</f>
        <v>0</v>
      </c>
      <c r="N2714">
        <f>Data!H2727</f>
        <v>0</v>
      </c>
      <c r="O2714">
        <f>Data!I2727</f>
        <v>0</v>
      </c>
      <c r="P2714" s="21">
        <f>Data!J2731</f>
        <v>0</v>
      </c>
      <c r="Q2714">
        <f>Data!K2731</f>
        <v>0</v>
      </c>
      <c r="R2714">
        <f>Data!L2731</f>
        <v>0</v>
      </c>
      <c r="S2714">
        <f>Data!M2731</f>
        <v>0</v>
      </c>
      <c r="T2714">
        <f>Data!N2731</f>
        <v>0</v>
      </c>
      <c r="U2714">
        <f>Data!O2731</f>
        <v>0</v>
      </c>
      <c r="V2714" s="33">
        <f>Data!P2729</f>
        <v>0</v>
      </c>
    </row>
    <row r="2715" spans="7:22" x14ac:dyDescent="0.25">
      <c r="G2715">
        <f>Data!A2728</f>
        <v>0</v>
      </c>
      <c r="H2715" s="21">
        <f>Data!B2728</f>
        <v>0</v>
      </c>
      <c r="I2715" s="21">
        <f>Data!C2728</f>
        <v>0</v>
      </c>
      <c r="J2715">
        <f>Data!D2728</f>
        <v>0</v>
      </c>
      <c r="K2715">
        <f>Data!E2728</f>
        <v>0</v>
      </c>
      <c r="L2715">
        <f>Data!F2728</f>
        <v>0</v>
      </c>
      <c r="M2715">
        <f>Data!G2728</f>
        <v>0</v>
      </c>
      <c r="N2715">
        <f>Data!H2728</f>
        <v>0</v>
      </c>
      <c r="O2715">
        <f>Data!I2728</f>
        <v>0</v>
      </c>
      <c r="P2715" s="21">
        <f>Data!J2732</f>
        <v>0</v>
      </c>
      <c r="Q2715">
        <f>Data!K2732</f>
        <v>0</v>
      </c>
      <c r="R2715">
        <f>Data!L2732</f>
        <v>0</v>
      </c>
      <c r="S2715">
        <f>Data!M2732</f>
        <v>0</v>
      </c>
      <c r="T2715">
        <f>Data!N2732</f>
        <v>0</v>
      </c>
      <c r="U2715">
        <f>Data!O2732</f>
        <v>0</v>
      </c>
      <c r="V2715" s="33">
        <f>Data!P2730</f>
        <v>0</v>
      </c>
    </row>
    <row r="2716" spans="7:22" x14ac:dyDescent="0.25">
      <c r="G2716">
        <f>Data!A2729</f>
        <v>0</v>
      </c>
      <c r="H2716" s="21">
        <f>Data!B2729</f>
        <v>0</v>
      </c>
      <c r="I2716" s="21">
        <f>Data!C2729</f>
        <v>0</v>
      </c>
      <c r="J2716">
        <f>Data!D2729</f>
        <v>0</v>
      </c>
      <c r="K2716">
        <f>Data!E2729</f>
        <v>0</v>
      </c>
      <c r="L2716">
        <f>Data!F2729</f>
        <v>0</v>
      </c>
      <c r="M2716">
        <f>Data!G2729</f>
        <v>0</v>
      </c>
      <c r="N2716">
        <f>Data!H2729</f>
        <v>0</v>
      </c>
      <c r="O2716">
        <f>Data!I2729</f>
        <v>0</v>
      </c>
      <c r="P2716" s="21">
        <f>Data!J2733</f>
        <v>0</v>
      </c>
      <c r="Q2716">
        <f>Data!K2733</f>
        <v>0</v>
      </c>
      <c r="R2716">
        <f>Data!L2733</f>
        <v>0</v>
      </c>
      <c r="S2716">
        <f>Data!M2733</f>
        <v>0</v>
      </c>
      <c r="T2716">
        <f>Data!N2733</f>
        <v>0</v>
      </c>
      <c r="U2716">
        <f>Data!O2733</f>
        <v>0</v>
      </c>
      <c r="V2716" s="33">
        <f>Data!P2731</f>
        <v>0</v>
      </c>
    </row>
    <row r="2717" spans="7:22" x14ac:dyDescent="0.25">
      <c r="G2717">
        <f>Data!A2730</f>
        <v>0</v>
      </c>
      <c r="H2717" s="21">
        <f>Data!B2730</f>
        <v>0</v>
      </c>
      <c r="I2717" s="21">
        <f>Data!C2730</f>
        <v>0</v>
      </c>
      <c r="J2717">
        <f>Data!D2730</f>
        <v>0</v>
      </c>
      <c r="K2717">
        <f>Data!E2730</f>
        <v>0</v>
      </c>
      <c r="L2717">
        <f>Data!F2730</f>
        <v>0</v>
      </c>
      <c r="M2717">
        <f>Data!G2730</f>
        <v>0</v>
      </c>
      <c r="N2717">
        <f>Data!H2730</f>
        <v>0</v>
      </c>
      <c r="O2717">
        <f>Data!I2730</f>
        <v>0</v>
      </c>
      <c r="P2717" s="21">
        <f>Data!J2734</f>
        <v>0</v>
      </c>
      <c r="Q2717">
        <f>Data!K2734</f>
        <v>0</v>
      </c>
      <c r="R2717">
        <f>Data!L2734</f>
        <v>0</v>
      </c>
      <c r="S2717">
        <f>Data!M2734</f>
        <v>0</v>
      </c>
      <c r="T2717">
        <f>Data!N2734</f>
        <v>0</v>
      </c>
      <c r="U2717">
        <f>Data!O2734</f>
        <v>0</v>
      </c>
      <c r="V2717" s="33">
        <f>Data!P2732</f>
        <v>0</v>
      </c>
    </row>
    <row r="2718" spans="7:22" x14ac:dyDescent="0.25">
      <c r="G2718">
        <f>Data!A2731</f>
        <v>0</v>
      </c>
      <c r="H2718" s="21">
        <f>Data!B2731</f>
        <v>0</v>
      </c>
      <c r="I2718" s="21">
        <f>Data!C2731</f>
        <v>0</v>
      </c>
      <c r="J2718">
        <f>Data!D2731</f>
        <v>0</v>
      </c>
      <c r="K2718">
        <f>Data!E2731</f>
        <v>0</v>
      </c>
      <c r="L2718">
        <f>Data!F2731</f>
        <v>0</v>
      </c>
      <c r="M2718">
        <f>Data!G2731</f>
        <v>0</v>
      </c>
      <c r="N2718">
        <f>Data!H2731</f>
        <v>0</v>
      </c>
      <c r="O2718">
        <f>Data!I2731</f>
        <v>0</v>
      </c>
      <c r="P2718" s="21">
        <f>Data!J2735</f>
        <v>0</v>
      </c>
      <c r="Q2718">
        <f>Data!K2735</f>
        <v>0</v>
      </c>
      <c r="R2718">
        <f>Data!L2735</f>
        <v>0</v>
      </c>
      <c r="S2718">
        <f>Data!M2735</f>
        <v>0</v>
      </c>
      <c r="T2718">
        <f>Data!N2735</f>
        <v>0</v>
      </c>
      <c r="U2718">
        <f>Data!O2735</f>
        <v>0</v>
      </c>
      <c r="V2718" s="33">
        <f>Data!P2733</f>
        <v>0</v>
      </c>
    </row>
    <row r="2719" spans="7:22" x14ac:dyDescent="0.25">
      <c r="G2719">
        <f>Data!A2732</f>
        <v>0</v>
      </c>
      <c r="H2719" s="21">
        <f>Data!B2732</f>
        <v>0</v>
      </c>
      <c r="I2719" s="21">
        <f>Data!C2732</f>
        <v>0</v>
      </c>
      <c r="J2719">
        <f>Data!D2732</f>
        <v>0</v>
      </c>
      <c r="K2719">
        <f>Data!E2732</f>
        <v>0</v>
      </c>
      <c r="L2719">
        <f>Data!F2732</f>
        <v>0</v>
      </c>
      <c r="M2719">
        <f>Data!G2732</f>
        <v>0</v>
      </c>
      <c r="N2719">
        <f>Data!H2732</f>
        <v>0</v>
      </c>
      <c r="O2719">
        <f>Data!I2732</f>
        <v>0</v>
      </c>
      <c r="P2719" s="21">
        <f>Data!J2736</f>
        <v>0</v>
      </c>
      <c r="Q2719">
        <f>Data!K2736</f>
        <v>0</v>
      </c>
      <c r="R2719">
        <f>Data!L2736</f>
        <v>0</v>
      </c>
      <c r="S2719">
        <f>Data!M2736</f>
        <v>0</v>
      </c>
      <c r="T2719">
        <f>Data!N2736</f>
        <v>0</v>
      </c>
      <c r="U2719">
        <f>Data!O2736</f>
        <v>0</v>
      </c>
      <c r="V2719" s="33">
        <f>Data!P2734</f>
        <v>0</v>
      </c>
    </row>
    <row r="2720" spans="7:22" x14ac:dyDescent="0.25">
      <c r="G2720">
        <f>Data!A2733</f>
        <v>0</v>
      </c>
      <c r="H2720" s="21">
        <f>Data!B2733</f>
        <v>0</v>
      </c>
      <c r="I2720" s="21">
        <f>Data!C2733</f>
        <v>0</v>
      </c>
      <c r="J2720">
        <f>Data!D2733</f>
        <v>0</v>
      </c>
      <c r="K2720">
        <f>Data!E2733</f>
        <v>0</v>
      </c>
      <c r="L2720">
        <f>Data!F2733</f>
        <v>0</v>
      </c>
      <c r="M2720">
        <f>Data!G2733</f>
        <v>0</v>
      </c>
      <c r="N2720">
        <f>Data!H2733</f>
        <v>0</v>
      </c>
      <c r="O2720">
        <f>Data!I2733</f>
        <v>0</v>
      </c>
      <c r="P2720" s="21">
        <f>Data!J2737</f>
        <v>0</v>
      </c>
      <c r="Q2720">
        <f>Data!K2737</f>
        <v>0</v>
      </c>
      <c r="R2720">
        <f>Data!L2737</f>
        <v>0</v>
      </c>
      <c r="S2720">
        <f>Data!M2737</f>
        <v>0</v>
      </c>
      <c r="T2720">
        <f>Data!N2737</f>
        <v>0</v>
      </c>
      <c r="U2720">
        <f>Data!O2737</f>
        <v>0</v>
      </c>
      <c r="V2720" s="33">
        <f>Data!P2735</f>
        <v>0</v>
      </c>
    </row>
    <row r="2721" spans="7:22" x14ac:dyDescent="0.25">
      <c r="G2721">
        <f>Data!A2734</f>
        <v>0</v>
      </c>
      <c r="H2721" s="21">
        <f>Data!B2734</f>
        <v>0</v>
      </c>
      <c r="I2721" s="21">
        <f>Data!C2734</f>
        <v>0</v>
      </c>
      <c r="J2721">
        <f>Data!D2734</f>
        <v>0</v>
      </c>
      <c r="K2721">
        <f>Data!E2734</f>
        <v>0</v>
      </c>
      <c r="L2721">
        <f>Data!F2734</f>
        <v>0</v>
      </c>
      <c r="M2721">
        <f>Data!G2734</f>
        <v>0</v>
      </c>
      <c r="N2721">
        <f>Data!H2734</f>
        <v>0</v>
      </c>
      <c r="O2721">
        <f>Data!I2734</f>
        <v>0</v>
      </c>
      <c r="P2721" s="21">
        <f>Data!J2738</f>
        <v>0</v>
      </c>
      <c r="Q2721">
        <f>Data!K2738</f>
        <v>0</v>
      </c>
      <c r="R2721">
        <f>Data!L2738</f>
        <v>0</v>
      </c>
      <c r="S2721">
        <f>Data!M2738</f>
        <v>0</v>
      </c>
      <c r="T2721">
        <f>Data!N2738</f>
        <v>0</v>
      </c>
      <c r="U2721">
        <f>Data!O2738</f>
        <v>0</v>
      </c>
      <c r="V2721" s="33">
        <f>Data!P2736</f>
        <v>0</v>
      </c>
    </row>
    <row r="2722" spans="7:22" x14ac:dyDescent="0.25">
      <c r="G2722">
        <f>Data!A2735</f>
        <v>0</v>
      </c>
      <c r="H2722" s="21">
        <f>Data!B2735</f>
        <v>0</v>
      </c>
      <c r="I2722" s="21">
        <f>Data!C2735</f>
        <v>0</v>
      </c>
      <c r="J2722">
        <f>Data!D2735</f>
        <v>0</v>
      </c>
      <c r="K2722">
        <f>Data!E2735</f>
        <v>0</v>
      </c>
      <c r="L2722">
        <f>Data!F2735</f>
        <v>0</v>
      </c>
      <c r="M2722">
        <f>Data!G2735</f>
        <v>0</v>
      </c>
      <c r="N2722">
        <f>Data!H2735</f>
        <v>0</v>
      </c>
      <c r="O2722">
        <f>Data!I2735</f>
        <v>0</v>
      </c>
      <c r="P2722" s="21">
        <f>Data!J2739</f>
        <v>0</v>
      </c>
      <c r="Q2722">
        <f>Data!K2739</f>
        <v>0</v>
      </c>
      <c r="R2722">
        <f>Data!L2739</f>
        <v>0</v>
      </c>
      <c r="S2722">
        <f>Data!M2739</f>
        <v>0</v>
      </c>
      <c r="T2722">
        <f>Data!N2739</f>
        <v>0</v>
      </c>
      <c r="U2722">
        <f>Data!O2739</f>
        <v>0</v>
      </c>
      <c r="V2722" s="33">
        <f>Data!P2737</f>
        <v>0</v>
      </c>
    </row>
    <row r="2723" spans="7:22" x14ac:dyDescent="0.25">
      <c r="G2723">
        <f>Data!A2736</f>
        <v>0</v>
      </c>
      <c r="H2723" s="21">
        <f>Data!B2736</f>
        <v>0</v>
      </c>
      <c r="I2723" s="21">
        <f>Data!C2736</f>
        <v>0</v>
      </c>
      <c r="J2723">
        <f>Data!D2736</f>
        <v>0</v>
      </c>
      <c r="K2723">
        <f>Data!E2736</f>
        <v>0</v>
      </c>
      <c r="L2723">
        <f>Data!F2736</f>
        <v>0</v>
      </c>
      <c r="M2723">
        <f>Data!G2736</f>
        <v>0</v>
      </c>
      <c r="N2723">
        <f>Data!H2736</f>
        <v>0</v>
      </c>
      <c r="O2723">
        <f>Data!I2736</f>
        <v>0</v>
      </c>
      <c r="P2723" s="21">
        <f>Data!J2740</f>
        <v>0</v>
      </c>
      <c r="Q2723">
        <f>Data!K2740</f>
        <v>0</v>
      </c>
      <c r="R2723">
        <f>Data!L2740</f>
        <v>0</v>
      </c>
      <c r="S2723">
        <f>Data!M2740</f>
        <v>0</v>
      </c>
      <c r="T2723">
        <f>Data!N2740</f>
        <v>0</v>
      </c>
      <c r="U2723">
        <f>Data!O2740</f>
        <v>0</v>
      </c>
      <c r="V2723" s="33">
        <f>Data!P2738</f>
        <v>0</v>
      </c>
    </row>
    <row r="2724" spans="7:22" x14ac:dyDescent="0.25">
      <c r="G2724">
        <f>Data!A2737</f>
        <v>0</v>
      </c>
      <c r="H2724" s="21">
        <f>Data!B2737</f>
        <v>0</v>
      </c>
      <c r="I2724" s="21">
        <f>Data!C2737</f>
        <v>0</v>
      </c>
      <c r="J2724">
        <f>Data!D2737</f>
        <v>0</v>
      </c>
      <c r="K2724">
        <f>Data!E2737</f>
        <v>0</v>
      </c>
      <c r="L2724">
        <f>Data!F2737</f>
        <v>0</v>
      </c>
      <c r="M2724">
        <f>Data!G2737</f>
        <v>0</v>
      </c>
      <c r="N2724">
        <f>Data!H2737</f>
        <v>0</v>
      </c>
      <c r="O2724">
        <f>Data!I2737</f>
        <v>0</v>
      </c>
      <c r="P2724" s="21">
        <f>Data!J2741</f>
        <v>0</v>
      </c>
      <c r="Q2724">
        <f>Data!K2741</f>
        <v>0</v>
      </c>
      <c r="R2724">
        <f>Data!L2741</f>
        <v>0</v>
      </c>
      <c r="S2724">
        <f>Data!M2741</f>
        <v>0</v>
      </c>
      <c r="T2724">
        <f>Data!N2741</f>
        <v>0</v>
      </c>
      <c r="U2724">
        <f>Data!O2741</f>
        <v>0</v>
      </c>
      <c r="V2724" s="33">
        <f>Data!P2739</f>
        <v>0</v>
      </c>
    </row>
    <row r="2725" spans="7:22" x14ac:dyDescent="0.25">
      <c r="G2725">
        <f>Data!A2738</f>
        <v>0</v>
      </c>
      <c r="H2725" s="21">
        <f>Data!B2738</f>
        <v>0</v>
      </c>
      <c r="I2725" s="21">
        <f>Data!C2738</f>
        <v>0</v>
      </c>
      <c r="J2725">
        <f>Data!D2738</f>
        <v>0</v>
      </c>
      <c r="K2725">
        <f>Data!E2738</f>
        <v>0</v>
      </c>
      <c r="L2725">
        <f>Data!F2738</f>
        <v>0</v>
      </c>
      <c r="M2725">
        <f>Data!G2738</f>
        <v>0</v>
      </c>
      <c r="N2725">
        <f>Data!H2738</f>
        <v>0</v>
      </c>
      <c r="O2725">
        <f>Data!I2738</f>
        <v>0</v>
      </c>
      <c r="P2725" s="21">
        <f>Data!J2742</f>
        <v>0</v>
      </c>
      <c r="Q2725">
        <f>Data!K2742</f>
        <v>0</v>
      </c>
      <c r="R2725">
        <f>Data!L2742</f>
        <v>0</v>
      </c>
      <c r="S2725">
        <f>Data!M2742</f>
        <v>0</v>
      </c>
      <c r="T2725">
        <f>Data!N2742</f>
        <v>0</v>
      </c>
      <c r="U2725">
        <f>Data!O2742</f>
        <v>0</v>
      </c>
      <c r="V2725" s="33">
        <f>Data!P2740</f>
        <v>0</v>
      </c>
    </row>
    <row r="2726" spans="7:22" x14ac:dyDescent="0.25">
      <c r="G2726">
        <f>Data!A2739</f>
        <v>0</v>
      </c>
      <c r="H2726" s="21">
        <f>Data!B2739</f>
        <v>0</v>
      </c>
      <c r="I2726" s="21">
        <f>Data!C2739</f>
        <v>0</v>
      </c>
      <c r="J2726">
        <f>Data!D2739</f>
        <v>0</v>
      </c>
      <c r="K2726">
        <f>Data!E2739</f>
        <v>0</v>
      </c>
      <c r="L2726">
        <f>Data!F2739</f>
        <v>0</v>
      </c>
      <c r="M2726">
        <f>Data!G2739</f>
        <v>0</v>
      </c>
      <c r="N2726">
        <f>Data!H2739</f>
        <v>0</v>
      </c>
      <c r="O2726">
        <f>Data!I2739</f>
        <v>0</v>
      </c>
      <c r="P2726" s="21">
        <f>Data!J2743</f>
        <v>0</v>
      </c>
      <c r="Q2726">
        <f>Data!K2743</f>
        <v>0</v>
      </c>
      <c r="R2726">
        <f>Data!L2743</f>
        <v>0</v>
      </c>
      <c r="S2726">
        <f>Data!M2743</f>
        <v>0</v>
      </c>
      <c r="T2726">
        <f>Data!N2743</f>
        <v>0</v>
      </c>
      <c r="U2726">
        <f>Data!O2743</f>
        <v>0</v>
      </c>
      <c r="V2726" s="33">
        <f>Data!P2741</f>
        <v>0</v>
      </c>
    </row>
    <row r="2727" spans="7:22" x14ac:dyDescent="0.25">
      <c r="G2727">
        <f>Data!A2740</f>
        <v>0</v>
      </c>
      <c r="H2727" s="21">
        <f>Data!B2740</f>
        <v>0</v>
      </c>
      <c r="I2727" s="21">
        <f>Data!C2740</f>
        <v>0</v>
      </c>
      <c r="J2727">
        <f>Data!D2740</f>
        <v>0</v>
      </c>
      <c r="K2727">
        <f>Data!E2740</f>
        <v>0</v>
      </c>
      <c r="L2727">
        <f>Data!F2740</f>
        <v>0</v>
      </c>
      <c r="M2727">
        <f>Data!G2740</f>
        <v>0</v>
      </c>
      <c r="N2727">
        <f>Data!H2740</f>
        <v>0</v>
      </c>
      <c r="O2727">
        <f>Data!I2740</f>
        <v>0</v>
      </c>
      <c r="P2727" s="21">
        <f>Data!J2744</f>
        <v>0</v>
      </c>
      <c r="Q2727">
        <f>Data!K2744</f>
        <v>0</v>
      </c>
      <c r="R2727">
        <f>Data!L2744</f>
        <v>0</v>
      </c>
      <c r="S2727">
        <f>Data!M2744</f>
        <v>0</v>
      </c>
      <c r="T2727">
        <f>Data!N2744</f>
        <v>0</v>
      </c>
      <c r="U2727">
        <f>Data!O2744</f>
        <v>0</v>
      </c>
      <c r="V2727" s="33">
        <f>Data!P2742</f>
        <v>0</v>
      </c>
    </row>
    <row r="2728" spans="7:22" x14ac:dyDescent="0.25">
      <c r="G2728">
        <f>Data!A2741</f>
        <v>0</v>
      </c>
      <c r="H2728" s="21">
        <f>Data!B2741</f>
        <v>0</v>
      </c>
      <c r="I2728" s="21">
        <f>Data!C2741</f>
        <v>0</v>
      </c>
      <c r="J2728">
        <f>Data!D2741</f>
        <v>0</v>
      </c>
      <c r="K2728">
        <f>Data!E2741</f>
        <v>0</v>
      </c>
      <c r="L2728">
        <f>Data!F2741</f>
        <v>0</v>
      </c>
      <c r="M2728">
        <f>Data!G2741</f>
        <v>0</v>
      </c>
      <c r="N2728">
        <f>Data!H2741</f>
        <v>0</v>
      </c>
      <c r="O2728">
        <f>Data!I2741</f>
        <v>0</v>
      </c>
      <c r="P2728" s="21">
        <f>Data!J2745</f>
        <v>0</v>
      </c>
      <c r="Q2728">
        <f>Data!K2745</f>
        <v>0</v>
      </c>
      <c r="R2728">
        <f>Data!L2745</f>
        <v>0</v>
      </c>
      <c r="S2728">
        <f>Data!M2745</f>
        <v>0</v>
      </c>
      <c r="T2728">
        <f>Data!N2745</f>
        <v>0</v>
      </c>
      <c r="U2728">
        <f>Data!O2745</f>
        <v>0</v>
      </c>
      <c r="V2728" s="33">
        <f>Data!P2743</f>
        <v>0</v>
      </c>
    </row>
    <row r="2729" spans="7:22" x14ac:dyDescent="0.25">
      <c r="G2729">
        <f>Data!A2742</f>
        <v>0</v>
      </c>
      <c r="H2729" s="21">
        <f>Data!B2742</f>
        <v>0</v>
      </c>
      <c r="I2729" s="21">
        <f>Data!C2742</f>
        <v>0</v>
      </c>
      <c r="J2729">
        <f>Data!D2742</f>
        <v>0</v>
      </c>
      <c r="K2729">
        <f>Data!E2742</f>
        <v>0</v>
      </c>
      <c r="L2729">
        <f>Data!F2742</f>
        <v>0</v>
      </c>
      <c r="M2729">
        <f>Data!G2742</f>
        <v>0</v>
      </c>
      <c r="N2729">
        <f>Data!H2742</f>
        <v>0</v>
      </c>
      <c r="O2729">
        <f>Data!I2742</f>
        <v>0</v>
      </c>
      <c r="P2729" s="21">
        <f>Data!J2746</f>
        <v>0</v>
      </c>
      <c r="Q2729">
        <f>Data!K2746</f>
        <v>0</v>
      </c>
      <c r="R2729">
        <f>Data!L2746</f>
        <v>0</v>
      </c>
      <c r="S2729">
        <f>Data!M2746</f>
        <v>0</v>
      </c>
      <c r="T2729">
        <f>Data!N2746</f>
        <v>0</v>
      </c>
      <c r="U2729">
        <f>Data!O2746</f>
        <v>0</v>
      </c>
      <c r="V2729" s="33">
        <f>Data!P2744</f>
        <v>0</v>
      </c>
    </row>
    <row r="2730" spans="7:22" x14ac:dyDescent="0.25">
      <c r="G2730">
        <f>Data!A2743</f>
        <v>0</v>
      </c>
      <c r="H2730" s="21">
        <f>Data!B2743</f>
        <v>0</v>
      </c>
      <c r="I2730" s="21">
        <f>Data!C2743</f>
        <v>0</v>
      </c>
      <c r="J2730">
        <f>Data!D2743</f>
        <v>0</v>
      </c>
      <c r="K2730">
        <f>Data!E2743</f>
        <v>0</v>
      </c>
      <c r="L2730">
        <f>Data!F2743</f>
        <v>0</v>
      </c>
      <c r="M2730">
        <f>Data!G2743</f>
        <v>0</v>
      </c>
      <c r="N2730">
        <f>Data!H2743</f>
        <v>0</v>
      </c>
      <c r="O2730">
        <f>Data!I2743</f>
        <v>0</v>
      </c>
      <c r="P2730" s="21">
        <f>Data!J2747</f>
        <v>0</v>
      </c>
      <c r="Q2730">
        <f>Data!K2747</f>
        <v>0</v>
      </c>
      <c r="R2730">
        <f>Data!L2747</f>
        <v>0</v>
      </c>
      <c r="S2730">
        <f>Data!M2747</f>
        <v>0</v>
      </c>
      <c r="T2730">
        <f>Data!N2747</f>
        <v>0</v>
      </c>
      <c r="U2730">
        <f>Data!O2747</f>
        <v>0</v>
      </c>
      <c r="V2730" s="33">
        <f>Data!P2745</f>
        <v>0</v>
      </c>
    </row>
    <row r="2731" spans="7:22" x14ac:dyDescent="0.25">
      <c r="G2731">
        <f>Data!A2744</f>
        <v>0</v>
      </c>
      <c r="H2731" s="21">
        <f>Data!B2744</f>
        <v>0</v>
      </c>
      <c r="I2731" s="21">
        <f>Data!C2744</f>
        <v>0</v>
      </c>
      <c r="J2731">
        <f>Data!D2744</f>
        <v>0</v>
      </c>
      <c r="K2731">
        <f>Data!E2744</f>
        <v>0</v>
      </c>
      <c r="L2731">
        <f>Data!F2744</f>
        <v>0</v>
      </c>
      <c r="M2731">
        <f>Data!G2744</f>
        <v>0</v>
      </c>
      <c r="N2731">
        <f>Data!H2744</f>
        <v>0</v>
      </c>
      <c r="O2731">
        <f>Data!I2744</f>
        <v>0</v>
      </c>
      <c r="P2731" s="21">
        <f>Data!J2748</f>
        <v>0</v>
      </c>
      <c r="Q2731">
        <f>Data!K2748</f>
        <v>0</v>
      </c>
      <c r="R2731">
        <f>Data!L2748</f>
        <v>0</v>
      </c>
      <c r="S2731">
        <f>Data!M2748</f>
        <v>0</v>
      </c>
      <c r="T2731">
        <f>Data!N2748</f>
        <v>0</v>
      </c>
      <c r="U2731">
        <f>Data!O2748</f>
        <v>0</v>
      </c>
      <c r="V2731" s="33">
        <f>Data!P2746</f>
        <v>0</v>
      </c>
    </row>
    <row r="2732" spans="7:22" x14ac:dyDescent="0.25">
      <c r="G2732">
        <f>Data!A2745</f>
        <v>0</v>
      </c>
      <c r="H2732" s="21">
        <f>Data!B2745</f>
        <v>0</v>
      </c>
      <c r="I2732" s="21">
        <f>Data!C2745</f>
        <v>0</v>
      </c>
      <c r="J2732">
        <f>Data!D2745</f>
        <v>0</v>
      </c>
      <c r="K2732">
        <f>Data!E2745</f>
        <v>0</v>
      </c>
      <c r="L2732">
        <f>Data!F2745</f>
        <v>0</v>
      </c>
      <c r="M2732">
        <f>Data!G2745</f>
        <v>0</v>
      </c>
      <c r="N2732">
        <f>Data!H2745</f>
        <v>0</v>
      </c>
      <c r="O2732">
        <f>Data!I2745</f>
        <v>0</v>
      </c>
      <c r="P2732" s="21">
        <f>Data!J2749</f>
        <v>0</v>
      </c>
      <c r="Q2732">
        <f>Data!K2749</f>
        <v>0</v>
      </c>
      <c r="R2732">
        <f>Data!L2749</f>
        <v>0</v>
      </c>
      <c r="S2732">
        <f>Data!M2749</f>
        <v>0</v>
      </c>
      <c r="T2732">
        <f>Data!N2749</f>
        <v>0</v>
      </c>
      <c r="U2732">
        <f>Data!O2749</f>
        <v>0</v>
      </c>
      <c r="V2732" s="33">
        <f>Data!P2747</f>
        <v>0</v>
      </c>
    </row>
    <row r="2733" spans="7:22" x14ac:dyDescent="0.25">
      <c r="G2733">
        <f>Data!A2746</f>
        <v>0</v>
      </c>
      <c r="H2733" s="21">
        <f>Data!B2746</f>
        <v>0</v>
      </c>
      <c r="I2733" s="21">
        <f>Data!C2746</f>
        <v>0</v>
      </c>
      <c r="J2733">
        <f>Data!D2746</f>
        <v>0</v>
      </c>
      <c r="K2733">
        <f>Data!E2746</f>
        <v>0</v>
      </c>
      <c r="L2733">
        <f>Data!F2746</f>
        <v>0</v>
      </c>
      <c r="M2733">
        <f>Data!G2746</f>
        <v>0</v>
      </c>
      <c r="N2733">
        <f>Data!H2746</f>
        <v>0</v>
      </c>
      <c r="O2733">
        <f>Data!I2746</f>
        <v>0</v>
      </c>
      <c r="P2733" s="21">
        <f>Data!J2750</f>
        <v>0</v>
      </c>
      <c r="Q2733">
        <f>Data!K2750</f>
        <v>0</v>
      </c>
      <c r="R2733">
        <f>Data!L2750</f>
        <v>0</v>
      </c>
      <c r="S2733">
        <f>Data!M2750</f>
        <v>0</v>
      </c>
      <c r="T2733">
        <f>Data!N2750</f>
        <v>0</v>
      </c>
      <c r="U2733">
        <f>Data!O2750</f>
        <v>0</v>
      </c>
      <c r="V2733" s="33">
        <f>Data!P2748</f>
        <v>0</v>
      </c>
    </row>
    <row r="2734" spans="7:22" x14ac:dyDescent="0.25">
      <c r="G2734">
        <f>Data!A2747</f>
        <v>0</v>
      </c>
      <c r="H2734" s="21">
        <f>Data!B2747</f>
        <v>0</v>
      </c>
      <c r="I2734" s="21">
        <f>Data!C2747</f>
        <v>0</v>
      </c>
      <c r="J2734">
        <f>Data!D2747</f>
        <v>0</v>
      </c>
      <c r="K2734">
        <f>Data!E2747</f>
        <v>0</v>
      </c>
      <c r="L2734">
        <f>Data!F2747</f>
        <v>0</v>
      </c>
      <c r="M2734">
        <f>Data!G2747</f>
        <v>0</v>
      </c>
      <c r="N2734">
        <f>Data!H2747</f>
        <v>0</v>
      </c>
      <c r="O2734">
        <f>Data!I2747</f>
        <v>0</v>
      </c>
      <c r="P2734" s="21">
        <f>Data!J2751</f>
        <v>0</v>
      </c>
      <c r="Q2734">
        <f>Data!K2751</f>
        <v>0</v>
      </c>
      <c r="R2734">
        <f>Data!L2751</f>
        <v>0</v>
      </c>
      <c r="S2734">
        <f>Data!M2751</f>
        <v>0</v>
      </c>
      <c r="T2734">
        <f>Data!N2751</f>
        <v>0</v>
      </c>
      <c r="U2734">
        <f>Data!O2751</f>
        <v>0</v>
      </c>
      <c r="V2734" s="33">
        <f>Data!P2749</f>
        <v>0</v>
      </c>
    </row>
    <row r="2735" spans="7:22" x14ac:dyDescent="0.25">
      <c r="G2735">
        <f>Data!A2748</f>
        <v>0</v>
      </c>
      <c r="H2735" s="21">
        <f>Data!B2748</f>
        <v>0</v>
      </c>
      <c r="I2735" s="21">
        <f>Data!C2748</f>
        <v>0</v>
      </c>
      <c r="J2735">
        <f>Data!D2748</f>
        <v>0</v>
      </c>
      <c r="K2735">
        <f>Data!E2748</f>
        <v>0</v>
      </c>
      <c r="L2735">
        <f>Data!F2748</f>
        <v>0</v>
      </c>
      <c r="M2735">
        <f>Data!G2748</f>
        <v>0</v>
      </c>
      <c r="N2735">
        <f>Data!H2748</f>
        <v>0</v>
      </c>
      <c r="O2735">
        <f>Data!I2748</f>
        <v>0</v>
      </c>
      <c r="P2735" s="21">
        <f>Data!J2752</f>
        <v>0</v>
      </c>
      <c r="Q2735">
        <f>Data!K2752</f>
        <v>0</v>
      </c>
      <c r="R2735">
        <f>Data!L2752</f>
        <v>0</v>
      </c>
      <c r="S2735">
        <f>Data!M2752</f>
        <v>0</v>
      </c>
      <c r="T2735">
        <f>Data!N2752</f>
        <v>0</v>
      </c>
      <c r="U2735">
        <f>Data!O2752</f>
        <v>0</v>
      </c>
      <c r="V2735" s="33">
        <f>Data!P2750</f>
        <v>0</v>
      </c>
    </row>
    <row r="2736" spans="7:22" x14ac:dyDescent="0.25">
      <c r="G2736">
        <f>Data!A2749</f>
        <v>0</v>
      </c>
      <c r="H2736" s="21">
        <f>Data!B2749</f>
        <v>0</v>
      </c>
      <c r="I2736" s="21">
        <f>Data!C2749</f>
        <v>0</v>
      </c>
      <c r="J2736">
        <f>Data!D2749</f>
        <v>0</v>
      </c>
      <c r="K2736">
        <f>Data!E2749</f>
        <v>0</v>
      </c>
      <c r="L2736">
        <f>Data!F2749</f>
        <v>0</v>
      </c>
      <c r="M2736">
        <f>Data!G2749</f>
        <v>0</v>
      </c>
      <c r="N2736">
        <f>Data!H2749</f>
        <v>0</v>
      </c>
      <c r="O2736">
        <f>Data!I2749</f>
        <v>0</v>
      </c>
      <c r="P2736" s="21">
        <f>Data!J2753</f>
        <v>0</v>
      </c>
      <c r="Q2736">
        <f>Data!K2753</f>
        <v>0</v>
      </c>
      <c r="R2736">
        <f>Data!L2753</f>
        <v>0</v>
      </c>
      <c r="S2736">
        <f>Data!M2753</f>
        <v>0</v>
      </c>
      <c r="T2736">
        <f>Data!N2753</f>
        <v>0</v>
      </c>
      <c r="U2736">
        <f>Data!O2753</f>
        <v>0</v>
      </c>
      <c r="V2736" s="33">
        <f>Data!P2751</f>
        <v>0</v>
      </c>
    </row>
    <row r="2737" spans="7:22" x14ac:dyDescent="0.25">
      <c r="G2737">
        <f>Data!A2750</f>
        <v>0</v>
      </c>
      <c r="H2737" s="21">
        <f>Data!B2750</f>
        <v>0</v>
      </c>
      <c r="I2737" s="21">
        <f>Data!C2750</f>
        <v>0</v>
      </c>
      <c r="J2737">
        <f>Data!D2750</f>
        <v>0</v>
      </c>
      <c r="K2737">
        <f>Data!E2750</f>
        <v>0</v>
      </c>
      <c r="L2737">
        <f>Data!F2750</f>
        <v>0</v>
      </c>
      <c r="M2737">
        <f>Data!G2750</f>
        <v>0</v>
      </c>
      <c r="N2737">
        <f>Data!H2750</f>
        <v>0</v>
      </c>
      <c r="O2737">
        <f>Data!I2750</f>
        <v>0</v>
      </c>
      <c r="P2737" s="21">
        <f>Data!J2754</f>
        <v>0</v>
      </c>
      <c r="Q2737">
        <f>Data!K2754</f>
        <v>0</v>
      </c>
      <c r="R2737">
        <f>Data!L2754</f>
        <v>0</v>
      </c>
      <c r="S2737">
        <f>Data!M2754</f>
        <v>0</v>
      </c>
      <c r="T2737">
        <f>Data!N2754</f>
        <v>0</v>
      </c>
      <c r="U2737">
        <f>Data!O2754</f>
        <v>0</v>
      </c>
      <c r="V2737" s="33">
        <f>Data!P2752</f>
        <v>0</v>
      </c>
    </row>
    <row r="2738" spans="7:22" x14ac:dyDescent="0.25">
      <c r="G2738">
        <f>Data!A2751</f>
        <v>0</v>
      </c>
      <c r="H2738" s="21">
        <f>Data!B2751</f>
        <v>0</v>
      </c>
      <c r="I2738" s="21">
        <f>Data!C2751</f>
        <v>0</v>
      </c>
      <c r="J2738">
        <f>Data!D2751</f>
        <v>0</v>
      </c>
      <c r="K2738">
        <f>Data!E2751</f>
        <v>0</v>
      </c>
      <c r="L2738">
        <f>Data!F2751</f>
        <v>0</v>
      </c>
      <c r="M2738">
        <f>Data!G2751</f>
        <v>0</v>
      </c>
      <c r="N2738">
        <f>Data!H2751</f>
        <v>0</v>
      </c>
      <c r="O2738">
        <f>Data!I2751</f>
        <v>0</v>
      </c>
      <c r="P2738" s="21">
        <f>Data!J2755</f>
        <v>0</v>
      </c>
      <c r="Q2738">
        <f>Data!K2755</f>
        <v>0</v>
      </c>
      <c r="R2738">
        <f>Data!L2755</f>
        <v>0</v>
      </c>
      <c r="S2738">
        <f>Data!M2755</f>
        <v>0</v>
      </c>
      <c r="T2738">
        <f>Data!N2755</f>
        <v>0</v>
      </c>
      <c r="U2738">
        <f>Data!O2755</f>
        <v>0</v>
      </c>
      <c r="V2738" s="33">
        <f>Data!P2753</f>
        <v>0</v>
      </c>
    </row>
    <row r="2739" spans="7:22" x14ac:dyDescent="0.25">
      <c r="G2739">
        <f>Data!A2752</f>
        <v>0</v>
      </c>
      <c r="H2739" s="21">
        <f>Data!B2752</f>
        <v>0</v>
      </c>
      <c r="I2739" s="21">
        <f>Data!C2752</f>
        <v>0</v>
      </c>
      <c r="J2739">
        <f>Data!D2752</f>
        <v>0</v>
      </c>
      <c r="K2739">
        <f>Data!E2752</f>
        <v>0</v>
      </c>
      <c r="L2739">
        <f>Data!F2752</f>
        <v>0</v>
      </c>
      <c r="M2739">
        <f>Data!G2752</f>
        <v>0</v>
      </c>
      <c r="N2739">
        <f>Data!H2752</f>
        <v>0</v>
      </c>
      <c r="O2739">
        <f>Data!I2752</f>
        <v>0</v>
      </c>
      <c r="P2739" s="21">
        <f>Data!J2756</f>
        <v>0</v>
      </c>
      <c r="Q2739">
        <f>Data!K2756</f>
        <v>0</v>
      </c>
      <c r="R2739">
        <f>Data!L2756</f>
        <v>0</v>
      </c>
      <c r="S2739">
        <f>Data!M2756</f>
        <v>0</v>
      </c>
      <c r="T2739">
        <f>Data!N2756</f>
        <v>0</v>
      </c>
      <c r="U2739">
        <f>Data!O2756</f>
        <v>0</v>
      </c>
      <c r="V2739" s="33">
        <f>Data!P2754</f>
        <v>0</v>
      </c>
    </row>
    <row r="2740" spans="7:22" x14ac:dyDescent="0.25">
      <c r="G2740">
        <f>Data!A2753</f>
        <v>0</v>
      </c>
      <c r="H2740" s="21">
        <f>Data!B2753</f>
        <v>0</v>
      </c>
      <c r="I2740" s="21">
        <f>Data!C2753</f>
        <v>0</v>
      </c>
      <c r="J2740">
        <f>Data!D2753</f>
        <v>0</v>
      </c>
      <c r="K2740">
        <f>Data!E2753</f>
        <v>0</v>
      </c>
      <c r="L2740">
        <f>Data!F2753</f>
        <v>0</v>
      </c>
      <c r="M2740">
        <f>Data!G2753</f>
        <v>0</v>
      </c>
      <c r="N2740">
        <f>Data!H2753</f>
        <v>0</v>
      </c>
      <c r="O2740">
        <f>Data!I2753</f>
        <v>0</v>
      </c>
      <c r="P2740" s="21">
        <f>Data!J2757</f>
        <v>0</v>
      </c>
      <c r="Q2740">
        <f>Data!K2757</f>
        <v>0</v>
      </c>
      <c r="R2740">
        <f>Data!L2757</f>
        <v>0</v>
      </c>
      <c r="S2740">
        <f>Data!M2757</f>
        <v>0</v>
      </c>
      <c r="T2740">
        <f>Data!N2757</f>
        <v>0</v>
      </c>
      <c r="U2740">
        <f>Data!O2757</f>
        <v>0</v>
      </c>
      <c r="V2740" s="33">
        <f>Data!P2755</f>
        <v>0</v>
      </c>
    </row>
    <row r="2741" spans="7:22" x14ac:dyDescent="0.25">
      <c r="G2741">
        <f>Data!A2754</f>
        <v>0</v>
      </c>
      <c r="H2741" s="21">
        <f>Data!B2754</f>
        <v>0</v>
      </c>
      <c r="I2741" s="21">
        <f>Data!C2754</f>
        <v>0</v>
      </c>
      <c r="J2741">
        <f>Data!D2754</f>
        <v>0</v>
      </c>
      <c r="K2741">
        <f>Data!E2754</f>
        <v>0</v>
      </c>
      <c r="L2741">
        <f>Data!F2754</f>
        <v>0</v>
      </c>
      <c r="M2741">
        <f>Data!G2754</f>
        <v>0</v>
      </c>
      <c r="N2741">
        <f>Data!H2754</f>
        <v>0</v>
      </c>
      <c r="O2741">
        <f>Data!I2754</f>
        <v>0</v>
      </c>
      <c r="P2741" s="21">
        <f>Data!J2758</f>
        <v>0</v>
      </c>
      <c r="Q2741">
        <f>Data!K2758</f>
        <v>0</v>
      </c>
      <c r="R2741">
        <f>Data!L2758</f>
        <v>0</v>
      </c>
      <c r="S2741">
        <f>Data!M2758</f>
        <v>0</v>
      </c>
      <c r="T2741">
        <f>Data!N2758</f>
        <v>0</v>
      </c>
      <c r="U2741">
        <f>Data!O2758</f>
        <v>0</v>
      </c>
      <c r="V2741" s="33">
        <f>Data!P2756</f>
        <v>0</v>
      </c>
    </row>
    <row r="2742" spans="7:22" x14ac:dyDescent="0.25">
      <c r="G2742">
        <f>Data!A2755</f>
        <v>0</v>
      </c>
      <c r="H2742" s="21">
        <f>Data!B2755</f>
        <v>0</v>
      </c>
      <c r="I2742" s="21">
        <f>Data!C2755</f>
        <v>0</v>
      </c>
      <c r="J2742">
        <f>Data!D2755</f>
        <v>0</v>
      </c>
      <c r="K2742">
        <f>Data!E2755</f>
        <v>0</v>
      </c>
      <c r="L2742">
        <f>Data!F2755</f>
        <v>0</v>
      </c>
      <c r="M2742">
        <f>Data!G2755</f>
        <v>0</v>
      </c>
      <c r="N2742">
        <f>Data!H2755</f>
        <v>0</v>
      </c>
      <c r="O2742">
        <f>Data!I2755</f>
        <v>0</v>
      </c>
      <c r="P2742" s="21">
        <f>Data!J2759</f>
        <v>0</v>
      </c>
      <c r="Q2742">
        <f>Data!K2759</f>
        <v>0</v>
      </c>
      <c r="R2742">
        <f>Data!L2759</f>
        <v>0</v>
      </c>
      <c r="S2742">
        <f>Data!M2759</f>
        <v>0</v>
      </c>
      <c r="T2742">
        <f>Data!N2759</f>
        <v>0</v>
      </c>
      <c r="U2742">
        <f>Data!O2759</f>
        <v>0</v>
      </c>
      <c r="V2742" s="33">
        <f>Data!P2757</f>
        <v>0</v>
      </c>
    </row>
    <row r="2743" spans="7:22" x14ac:dyDescent="0.25">
      <c r="G2743">
        <f>Data!A2756</f>
        <v>0</v>
      </c>
      <c r="H2743" s="21">
        <f>Data!B2756</f>
        <v>0</v>
      </c>
      <c r="I2743" s="21">
        <f>Data!C2756</f>
        <v>0</v>
      </c>
      <c r="J2743">
        <f>Data!D2756</f>
        <v>0</v>
      </c>
      <c r="K2743">
        <f>Data!E2756</f>
        <v>0</v>
      </c>
      <c r="L2743">
        <f>Data!F2756</f>
        <v>0</v>
      </c>
      <c r="M2743">
        <f>Data!G2756</f>
        <v>0</v>
      </c>
      <c r="N2743">
        <f>Data!H2756</f>
        <v>0</v>
      </c>
      <c r="O2743">
        <f>Data!I2756</f>
        <v>0</v>
      </c>
      <c r="P2743" s="21">
        <f>Data!J2760</f>
        <v>0</v>
      </c>
      <c r="Q2743">
        <f>Data!K2760</f>
        <v>0</v>
      </c>
      <c r="R2743">
        <f>Data!L2760</f>
        <v>0</v>
      </c>
      <c r="S2743">
        <f>Data!M2760</f>
        <v>0</v>
      </c>
      <c r="T2743">
        <f>Data!N2760</f>
        <v>0</v>
      </c>
      <c r="U2743">
        <f>Data!O2760</f>
        <v>0</v>
      </c>
      <c r="V2743" s="33">
        <f>Data!P2758</f>
        <v>0</v>
      </c>
    </row>
    <row r="2744" spans="7:22" x14ac:dyDescent="0.25">
      <c r="G2744">
        <f>Data!A2757</f>
        <v>0</v>
      </c>
      <c r="H2744" s="21">
        <f>Data!B2757</f>
        <v>0</v>
      </c>
      <c r="I2744" s="21">
        <f>Data!C2757</f>
        <v>0</v>
      </c>
      <c r="J2744">
        <f>Data!D2757</f>
        <v>0</v>
      </c>
      <c r="K2744">
        <f>Data!E2757</f>
        <v>0</v>
      </c>
      <c r="L2744">
        <f>Data!F2757</f>
        <v>0</v>
      </c>
      <c r="M2744">
        <f>Data!G2757</f>
        <v>0</v>
      </c>
      <c r="N2744">
        <f>Data!H2757</f>
        <v>0</v>
      </c>
      <c r="O2744">
        <f>Data!I2757</f>
        <v>0</v>
      </c>
      <c r="P2744" s="21">
        <f>Data!J2761</f>
        <v>0</v>
      </c>
      <c r="Q2744">
        <f>Data!K2761</f>
        <v>0</v>
      </c>
      <c r="R2744">
        <f>Data!L2761</f>
        <v>0</v>
      </c>
      <c r="S2744">
        <f>Data!M2761</f>
        <v>0</v>
      </c>
      <c r="T2744">
        <f>Data!N2761</f>
        <v>0</v>
      </c>
      <c r="U2744">
        <f>Data!O2761</f>
        <v>0</v>
      </c>
      <c r="V2744" s="33">
        <f>Data!P2759</f>
        <v>0</v>
      </c>
    </row>
    <row r="2745" spans="7:22" x14ac:dyDescent="0.25">
      <c r="G2745">
        <f>Data!A2758</f>
        <v>0</v>
      </c>
      <c r="H2745" s="21">
        <f>Data!B2758</f>
        <v>0</v>
      </c>
      <c r="I2745" s="21">
        <f>Data!C2758</f>
        <v>0</v>
      </c>
      <c r="J2745">
        <f>Data!D2758</f>
        <v>0</v>
      </c>
      <c r="K2745">
        <f>Data!E2758</f>
        <v>0</v>
      </c>
      <c r="L2745">
        <f>Data!F2758</f>
        <v>0</v>
      </c>
      <c r="M2745">
        <f>Data!G2758</f>
        <v>0</v>
      </c>
      <c r="N2745">
        <f>Data!H2758</f>
        <v>0</v>
      </c>
      <c r="O2745">
        <f>Data!I2758</f>
        <v>0</v>
      </c>
      <c r="P2745" s="21">
        <f>Data!J2762</f>
        <v>0</v>
      </c>
      <c r="Q2745">
        <f>Data!K2762</f>
        <v>0</v>
      </c>
      <c r="R2745">
        <f>Data!L2762</f>
        <v>0</v>
      </c>
      <c r="S2745">
        <f>Data!M2762</f>
        <v>0</v>
      </c>
      <c r="T2745">
        <f>Data!N2762</f>
        <v>0</v>
      </c>
      <c r="U2745">
        <f>Data!O2762</f>
        <v>0</v>
      </c>
      <c r="V2745" s="33">
        <f>Data!P2760</f>
        <v>0</v>
      </c>
    </row>
    <row r="2746" spans="7:22" x14ac:dyDescent="0.25">
      <c r="G2746">
        <f>Data!A2759</f>
        <v>0</v>
      </c>
      <c r="H2746" s="21">
        <f>Data!B2759</f>
        <v>0</v>
      </c>
      <c r="I2746" s="21">
        <f>Data!C2759</f>
        <v>0</v>
      </c>
      <c r="J2746">
        <f>Data!D2759</f>
        <v>0</v>
      </c>
      <c r="K2746">
        <f>Data!E2759</f>
        <v>0</v>
      </c>
      <c r="L2746">
        <f>Data!F2759</f>
        <v>0</v>
      </c>
      <c r="M2746">
        <f>Data!G2759</f>
        <v>0</v>
      </c>
      <c r="N2746">
        <f>Data!H2759</f>
        <v>0</v>
      </c>
      <c r="O2746">
        <f>Data!I2759</f>
        <v>0</v>
      </c>
      <c r="P2746" s="21">
        <f>Data!J2763</f>
        <v>0</v>
      </c>
      <c r="Q2746">
        <f>Data!K2763</f>
        <v>0</v>
      </c>
      <c r="R2746">
        <f>Data!L2763</f>
        <v>0</v>
      </c>
      <c r="S2746">
        <f>Data!M2763</f>
        <v>0</v>
      </c>
      <c r="T2746">
        <f>Data!N2763</f>
        <v>0</v>
      </c>
      <c r="U2746">
        <f>Data!O2763</f>
        <v>0</v>
      </c>
      <c r="V2746" s="33">
        <f>Data!P2761</f>
        <v>0</v>
      </c>
    </row>
    <row r="2747" spans="7:22" x14ac:dyDescent="0.25">
      <c r="G2747">
        <f>Data!A2760</f>
        <v>0</v>
      </c>
      <c r="H2747" s="21">
        <f>Data!B2760</f>
        <v>0</v>
      </c>
      <c r="I2747" s="21">
        <f>Data!C2760</f>
        <v>0</v>
      </c>
      <c r="J2747">
        <f>Data!D2760</f>
        <v>0</v>
      </c>
      <c r="K2747">
        <f>Data!E2760</f>
        <v>0</v>
      </c>
      <c r="L2747">
        <f>Data!F2760</f>
        <v>0</v>
      </c>
      <c r="M2747">
        <f>Data!G2760</f>
        <v>0</v>
      </c>
      <c r="N2747">
        <f>Data!H2760</f>
        <v>0</v>
      </c>
      <c r="O2747">
        <f>Data!I2760</f>
        <v>0</v>
      </c>
      <c r="P2747" s="21">
        <f>Data!J2764</f>
        <v>0</v>
      </c>
      <c r="Q2747">
        <f>Data!K2764</f>
        <v>0</v>
      </c>
      <c r="R2747">
        <f>Data!L2764</f>
        <v>0</v>
      </c>
      <c r="S2747">
        <f>Data!M2764</f>
        <v>0</v>
      </c>
      <c r="T2747">
        <f>Data!N2764</f>
        <v>0</v>
      </c>
      <c r="U2747">
        <f>Data!O2764</f>
        <v>0</v>
      </c>
      <c r="V2747" s="33">
        <f>Data!P2762</f>
        <v>0</v>
      </c>
    </row>
    <row r="2748" spans="7:22" x14ac:dyDescent="0.25">
      <c r="G2748">
        <f>Data!A2761</f>
        <v>0</v>
      </c>
      <c r="H2748" s="21">
        <f>Data!B2761</f>
        <v>0</v>
      </c>
      <c r="I2748" s="21">
        <f>Data!C2761</f>
        <v>0</v>
      </c>
      <c r="J2748">
        <f>Data!D2761</f>
        <v>0</v>
      </c>
      <c r="K2748">
        <f>Data!E2761</f>
        <v>0</v>
      </c>
      <c r="L2748">
        <f>Data!F2761</f>
        <v>0</v>
      </c>
      <c r="M2748">
        <f>Data!G2761</f>
        <v>0</v>
      </c>
      <c r="N2748">
        <f>Data!H2761</f>
        <v>0</v>
      </c>
      <c r="O2748">
        <f>Data!I2761</f>
        <v>0</v>
      </c>
      <c r="P2748" s="21">
        <f>Data!J2765</f>
        <v>0</v>
      </c>
      <c r="Q2748">
        <f>Data!K2765</f>
        <v>0</v>
      </c>
      <c r="R2748">
        <f>Data!L2765</f>
        <v>0</v>
      </c>
      <c r="S2748">
        <f>Data!M2765</f>
        <v>0</v>
      </c>
      <c r="T2748">
        <f>Data!N2765</f>
        <v>0</v>
      </c>
      <c r="U2748">
        <f>Data!O2765</f>
        <v>0</v>
      </c>
      <c r="V2748" s="33">
        <f>Data!P2763</f>
        <v>0</v>
      </c>
    </row>
    <row r="2749" spans="7:22" x14ac:dyDescent="0.25">
      <c r="G2749">
        <f>Data!A2762</f>
        <v>0</v>
      </c>
      <c r="H2749" s="21">
        <f>Data!B2762</f>
        <v>0</v>
      </c>
      <c r="I2749" s="21">
        <f>Data!C2762</f>
        <v>0</v>
      </c>
      <c r="J2749">
        <f>Data!D2762</f>
        <v>0</v>
      </c>
      <c r="K2749">
        <f>Data!E2762</f>
        <v>0</v>
      </c>
      <c r="L2749">
        <f>Data!F2762</f>
        <v>0</v>
      </c>
      <c r="M2749">
        <f>Data!G2762</f>
        <v>0</v>
      </c>
      <c r="N2749">
        <f>Data!H2762</f>
        <v>0</v>
      </c>
      <c r="O2749">
        <f>Data!I2762</f>
        <v>0</v>
      </c>
      <c r="P2749" s="21">
        <f>Data!J2766</f>
        <v>0</v>
      </c>
      <c r="Q2749">
        <f>Data!K2766</f>
        <v>0</v>
      </c>
      <c r="R2749">
        <f>Data!L2766</f>
        <v>0</v>
      </c>
      <c r="S2749">
        <f>Data!M2766</f>
        <v>0</v>
      </c>
      <c r="T2749">
        <f>Data!N2766</f>
        <v>0</v>
      </c>
      <c r="U2749">
        <f>Data!O2766</f>
        <v>0</v>
      </c>
      <c r="V2749" s="33">
        <f>Data!P2764</f>
        <v>0</v>
      </c>
    </row>
    <row r="2750" spans="7:22" x14ac:dyDescent="0.25">
      <c r="G2750">
        <f>Data!A2763</f>
        <v>0</v>
      </c>
      <c r="H2750" s="21">
        <f>Data!B2763</f>
        <v>0</v>
      </c>
      <c r="I2750" s="21">
        <f>Data!C2763</f>
        <v>0</v>
      </c>
      <c r="J2750">
        <f>Data!D2763</f>
        <v>0</v>
      </c>
      <c r="K2750">
        <f>Data!E2763</f>
        <v>0</v>
      </c>
      <c r="L2750">
        <f>Data!F2763</f>
        <v>0</v>
      </c>
      <c r="M2750">
        <f>Data!G2763</f>
        <v>0</v>
      </c>
      <c r="N2750">
        <f>Data!H2763</f>
        <v>0</v>
      </c>
      <c r="O2750">
        <f>Data!I2763</f>
        <v>0</v>
      </c>
      <c r="P2750" s="21">
        <f>Data!J2767</f>
        <v>0</v>
      </c>
      <c r="Q2750">
        <f>Data!K2767</f>
        <v>0</v>
      </c>
      <c r="R2750">
        <f>Data!L2767</f>
        <v>0</v>
      </c>
      <c r="S2750">
        <f>Data!M2767</f>
        <v>0</v>
      </c>
      <c r="T2750">
        <f>Data!N2767</f>
        <v>0</v>
      </c>
      <c r="U2750">
        <f>Data!O2767</f>
        <v>0</v>
      </c>
      <c r="V2750" s="33">
        <f>Data!P2765</f>
        <v>0</v>
      </c>
    </row>
    <row r="2751" spans="7:22" x14ac:dyDescent="0.25">
      <c r="G2751">
        <f>Data!A2764</f>
        <v>0</v>
      </c>
      <c r="H2751" s="21">
        <f>Data!B2764</f>
        <v>0</v>
      </c>
      <c r="I2751" s="21">
        <f>Data!C2764</f>
        <v>0</v>
      </c>
      <c r="J2751">
        <f>Data!D2764</f>
        <v>0</v>
      </c>
      <c r="K2751">
        <f>Data!E2764</f>
        <v>0</v>
      </c>
      <c r="L2751">
        <f>Data!F2764</f>
        <v>0</v>
      </c>
      <c r="M2751">
        <f>Data!G2764</f>
        <v>0</v>
      </c>
      <c r="N2751">
        <f>Data!H2764</f>
        <v>0</v>
      </c>
      <c r="O2751">
        <f>Data!I2764</f>
        <v>0</v>
      </c>
      <c r="P2751" s="21">
        <f>Data!J2768</f>
        <v>0</v>
      </c>
      <c r="Q2751">
        <f>Data!K2768</f>
        <v>0</v>
      </c>
      <c r="R2751">
        <f>Data!L2768</f>
        <v>0</v>
      </c>
      <c r="S2751">
        <f>Data!M2768</f>
        <v>0</v>
      </c>
      <c r="T2751">
        <f>Data!N2768</f>
        <v>0</v>
      </c>
      <c r="U2751">
        <f>Data!O2768</f>
        <v>0</v>
      </c>
      <c r="V2751" s="33">
        <f>Data!P2766</f>
        <v>0</v>
      </c>
    </row>
    <row r="2752" spans="7:22" x14ac:dyDescent="0.25">
      <c r="G2752">
        <f>Data!A2765</f>
        <v>0</v>
      </c>
      <c r="H2752" s="21">
        <f>Data!B2765</f>
        <v>0</v>
      </c>
      <c r="I2752" s="21">
        <f>Data!C2765</f>
        <v>0</v>
      </c>
      <c r="J2752">
        <f>Data!D2765</f>
        <v>0</v>
      </c>
      <c r="K2752">
        <f>Data!E2765</f>
        <v>0</v>
      </c>
      <c r="L2752">
        <f>Data!F2765</f>
        <v>0</v>
      </c>
      <c r="M2752">
        <f>Data!G2765</f>
        <v>0</v>
      </c>
      <c r="N2752">
        <f>Data!H2765</f>
        <v>0</v>
      </c>
      <c r="O2752">
        <f>Data!I2765</f>
        <v>0</v>
      </c>
      <c r="P2752" s="21">
        <f>Data!J2769</f>
        <v>0</v>
      </c>
      <c r="Q2752">
        <f>Data!K2769</f>
        <v>0</v>
      </c>
      <c r="R2752">
        <f>Data!L2769</f>
        <v>0</v>
      </c>
      <c r="S2752">
        <f>Data!M2769</f>
        <v>0</v>
      </c>
      <c r="T2752">
        <f>Data!N2769</f>
        <v>0</v>
      </c>
      <c r="U2752">
        <f>Data!O2769</f>
        <v>0</v>
      </c>
      <c r="V2752" s="33">
        <f>Data!P2767</f>
        <v>0</v>
      </c>
    </row>
    <row r="2753" spans="7:22" x14ac:dyDescent="0.25">
      <c r="G2753">
        <f>Data!A2766</f>
        <v>0</v>
      </c>
      <c r="H2753" s="21">
        <f>Data!B2766</f>
        <v>0</v>
      </c>
      <c r="I2753" s="21">
        <f>Data!C2766</f>
        <v>0</v>
      </c>
      <c r="J2753">
        <f>Data!D2766</f>
        <v>0</v>
      </c>
      <c r="K2753">
        <f>Data!E2766</f>
        <v>0</v>
      </c>
      <c r="L2753">
        <f>Data!F2766</f>
        <v>0</v>
      </c>
      <c r="M2753">
        <f>Data!G2766</f>
        <v>0</v>
      </c>
      <c r="N2753">
        <f>Data!H2766</f>
        <v>0</v>
      </c>
      <c r="O2753">
        <f>Data!I2766</f>
        <v>0</v>
      </c>
      <c r="P2753" s="21">
        <f>Data!J2770</f>
        <v>0</v>
      </c>
      <c r="Q2753">
        <f>Data!K2770</f>
        <v>0</v>
      </c>
      <c r="R2753">
        <f>Data!L2770</f>
        <v>0</v>
      </c>
      <c r="S2753">
        <f>Data!M2770</f>
        <v>0</v>
      </c>
      <c r="T2753">
        <f>Data!N2770</f>
        <v>0</v>
      </c>
      <c r="U2753">
        <f>Data!O2770</f>
        <v>0</v>
      </c>
      <c r="V2753" s="33">
        <f>Data!P2768</f>
        <v>0</v>
      </c>
    </row>
    <row r="2754" spans="7:22" x14ac:dyDescent="0.25">
      <c r="G2754">
        <f>Data!A2767</f>
        <v>0</v>
      </c>
      <c r="H2754" s="21">
        <f>Data!B2767</f>
        <v>0</v>
      </c>
      <c r="I2754" s="21">
        <f>Data!C2767</f>
        <v>0</v>
      </c>
      <c r="J2754">
        <f>Data!D2767</f>
        <v>0</v>
      </c>
      <c r="K2754">
        <f>Data!E2767</f>
        <v>0</v>
      </c>
      <c r="L2754">
        <f>Data!F2767</f>
        <v>0</v>
      </c>
      <c r="M2754">
        <f>Data!G2767</f>
        <v>0</v>
      </c>
      <c r="N2754">
        <f>Data!H2767</f>
        <v>0</v>
      </c>
      <c r="O2754">
        <f>Data!I2767</f>
        <v>0</v>
      </c>
      <c r="P2754" s="21">
        <f>Data!J2771</f>
        <v>0</v>
      </c>
      <c r="Q2754">
        <f>Data!K2771</f>
        <v>0</v>
      </c>
      <c r="R2754">
        <f>Data!L2771</f>
        <v>0</v>
      </c>
      <c r="S2754">
        <f>Data!M2771</f>
        <v>0</v>
      </c>
      <c r="T2754">
        <f>Data!N2771</f>
        <v>0</v>
      </c>
      <c r="U2754">
        <f>Data!O2771</f>
        <v>0</v>
      </c>
      <c r="V2754" s="33">
        <f>Data!P2769</f>
        <v>0</v>
      </c>
    </row>
    <row r="2755" spans="7:22" x14ac:dyDescent="0.25">
      <c r="G2755">
        <f>Data!A2768</f>
        <v>0</v>
      </c>
      <c r="H2755" s="21">
        <f>Data!B2768</f>
        <v>0</v>
      </c>
      <c r="I2755" s="21">
        <f>Data!C2768</f>
        <v>0</v>
      </c>
      <c r="J2755">
        <f>Data!D2768</f>
        <v>0</v>
      </c>
      <c r="K2755">
        <f>Data!E2768</f>
        <v>0</v>
      </c>
      <c r="L2755">
        <f>Data!F2768</f>
        <v>0</v>
      </c>
      <c r="M2755">
        <f>Data!G2768</f>
        <v>0</v>
      </c>
      <c r="N2755">
        <f>Data!H2768</f>
        <v>0</v>
      </c>
      <c r="O2755">
        <f>Data!I2768</f>
        <v>0</v>
      </c>
      <c r="P2755" s="21">
        <f>Data!J2772</f>
        <v>0</v>
      </c>
      <c r="Q2755">
        <f>Data!K2772</f>
        <v>0</v>
      </c>
      <c r="R2755">
        <f>Data!L2772</f>
        <v>0</v>
      </c>
      <c r="S2755">
        <f>Data!M2772</f>
        <v>0</v>
      </c>
      <c r="T2755">
        <f>Data!N2772</f>
        <v>0</v>
      </c>
      <c r="U2755">
        <f>Data!O2772</f>
        <v>0</v>
      </c>
      <c r="V2755" s="33">
        <f>Data!P2770</f>
        <v>0</v>
      </c>
    </row>
    <row r="2756" spans="7:22" x14ac:dyDescent="0.25">
      <c r="G2756">
        <f>Data!A2769</f>
        <v>0</v>
      </c>
      <c r="H2756" s="21">
        <f>Data!B2769</f>
        <v>0</v>
      </c>
      <c r="I2756" s="21">
        <f>Data!C2769</f>
        <v>0</v>
      </c>
      <c r="J2756">
        <f>Data!D2769</f>
        <v>0</v>
      </c>
      <c r="K2756">
        <f>Data!E2769</f>
        <v>0</v>
      </c>
      <c r="L2756">
        <f>Data!F2769</f>
        <v>0</v>
      </c>
      <c r="M2756">
        <f>Data!G2769</f>
        <v>0</v>
      </c>
      <c r="N2756">
        <f>Data!H2769</f>
        <v>0</v>
      </c>
      <c r="O2756">
        <f>Data!I2769</f>
        <v>0</v>
      </c>
      <c r="P2756" s="21">
        <f>Data!J2773</f>
        <v>0</v>
      </c>
      <c r="Q2756">
        <f>Data!K2773</f>
        <v>0</v>
      </c>
      <c r="R2756">
        <f>Data!L2773</f>
        <v>0</v>
      </c>
      <c r="S2756">
        <f>Data!M2773</f>
        <v>0</v>
      </c>
      <c r="T2756">
        <f>Data!N2773</f>
        <v>0</v>
      </c>
      <c r="U2756">
        <f>Data!O2773</f>
        <v>0</v>
      </c>
      <c r="V2756" s="33">
        <f>Data!P2771</f>
        <v>0</v>
      </c>
    </row>
    <row r="2757" spans="7:22" x14ac:dyDescent="0.25">
      <c r="G2757">
        <f>Data!A2770</f>
        <v>0</v>
      </c>
      <c r="H2757" s="21">
        <f>Data!B2770</f>
        <v>0</v>
      </c>
      <c r="I2757" s="21">
        <f>Data!C2770</f>
        <v>0</v>
      </c>
      <c r="J2757">
        <f>Data!D2770</f>
        <v>0</v>
      </c>
      <c r="K2757">
        <f>Data!E2770</f>
        <v>0</v>
      </c>
      <c r="L2757">
        <f>Data!F2770</f>
        <v>0</v>
      </c>
      <c r="M2757">
        <f>Data!G2770</f>
        <v>0</v>
      </c>
      <c r="N2757">
        <f>Data!H2770</f>
        <v>0</v>
      </c>
      <c r="O2757">
        <f>Data!I2770</f>
        <v>0</v>
      </c>
      <c r="P2757" s="21">
        <f>Data!J2774</f>
        <v>0</v>
      </c>
      <c r="Q2757">
        <f>Data!K2774</f>
        <v>0</v>
      </c>
      <c r="R2757">
        <f>Data!L2774</f>
        <v>0</v>
      </c>
      <c r="S2757">
        <f>Data!M2774</f>
        <v>0</v>
      </c>
      <c r="T2757">
        <f>Data!N2774</f>
        <v>0</v>
      </c>
      <c r="U2757">
        <f>Data!O2774</f>
        <v>0</v>
      </c>
      <c r="V2757" s="33">
        <f>Data!P2772</f>
        <v>0</v>
      </c>
    </row>
    <row r="2758" spans="7:22" x14ac:dyDescent="0.25">
      <c r="G2758">
        <f>Data!A2771</f>
        <v>0</v>
      </c>
      <c r="H2758" s="21">
        <f>Data!B2771</f>
        <v>0</v>
      </c>
      <c r="I2758" s="21">
        <f>Data!C2771</f>
        <v>0</v>
      </c>
      <c r="J2758">
        <f>Data!D2771</f>
        <v>0</v>
      </c>
      <c r="K2758">
        <f>Data!E2771</f>
        <v>0</v>
      </c>
      <c r="L2758">
        <f>Data!F2771</f>
        <v>0</v>
      </c>
      <c r="M2758">
        <f>Data!G2771</f>
        <v>0</v>
      </c>
      <c r="N2758">
        <f>Data!H2771</f>
        <v>0</v>
      </c>
      <c r="O2758">
        <f>Data!I2771</f>
        <v>0</v>
      </c>
      <c r="P2758" s="21">
        <f>Data!J2775</f>
        <v>0</v>
      </c>
      <c r="Q2758">
        <f>Data!K2775</f>
        <v>0</v>
      </c>
      <c r="R2758">
        <f>Data!L2775</f>
        <v>0</v>
      </c>
      <c r="S2758">
        <f>Data!M2775</f>
        <v>0</v>
      </c>
      <c r="T2758">
        <f>Data!N2775</f>
        <v>0</v>
      </c>
      <c r="U2758">
        <f>Data!O2775</f>
        <v>0</v>
      </c>
      <c r="V2758" s="33">
        <f>Data!P2773</f>
        <v>0</v>
      </c>
    </row>
    <row r="2759" spans="7:22" x14ac:dyDescent="0.25">
      <c r="G2759">
        <f>Data!A2772</f>
        <v>0</v>
      </c>
      <c r="H2759" s="21">
        <f>Data!B2772</f>
        <v>0</v>
      </c>
      <c r="I2759" s="21">
        <f>Data!C2772</f>
        <v>0</v>
      </c>
      <c r="J2759">
        <f>Data!D2772</f>
        <v>0</v>
      </c>
      <c r="K2759">
        <f>Data!E2772</f>
        <v>0</v>
      </c>
      <c r="L2759">
        <f>Data!F2772</f>
        <v>0</v>
      </c>
      <c r="M2759">
        <f>Data!G2772</f>
        <v>0</v>
      </c>
      <c r="N2759">
        <f>Data!H2772</f>
        <v>0</v>
      </c>
      <c r="O2759">
        <f>Data!I2772</f>
        <v>0</v>
      </c>
      <c r="P2759" s="21">
        <f>Data!J2776</f>
        <v>0</v>
      </c>
      <c r="Q2759">
        <f>Data!K2776</f>
        <v>0</v>
      </c>
      <c r="R2759">
        <f>Data!L2776</f>
        <v>0</v>
      </c>
      <c r="S2759">
        <f>Data!M2776</f>
        <v>0</v>
      </c>
      <c r="T2759">
        <f>Data!N2776</f>
        <v>0</v>
      </c>
      <c r="U2759">
        <f>Data!O2776</f>
        <v>0</v>
      </c>
      <c r="V2759" s="33">
        <f>Data!P2774</f>
        <v>0</v>
      </c>
    </row>
    <row r="2760" spans="7:22" x14ac:dyDescent="0.25">
      <c r="G2760">
        <f>Data!A2773</f>
        <v>0</v>
      </c>
      <c r="H2760" s="21">
        <f>Data!B2773</f>
        <v>0</v>
      </c>
      <c r="I2760" s="21">
        <f>Data!C2773</f>
        <v>0</v>
      </c>
      <c r="J2760">
        <f>Data!D2773</f>
        <v>0</v>
      </c>
      <c r="K2760">
        <f>Data!E2773</f>
        <v>0</v>
      </c>
      <c r="L2760">
        <f>Data!F2773</f>
        <v>0</v>
      </c>
      <c r="M2760">
        <f>Data!G2773</f>
        <v>0</v>
      </c>
      <c r="N2760">
        <f>Data!H2773</f>
        <v>0</v>
      </c>
      <c r="O2760">
        <f>Data!I2773</f>
        <v>0</v>
      </c>
      <c r="P2760" s="21">
        <f>Data!J2777</f>
        <v>0</v>
      </c>
      <c r="Q2760">
        <f>Data!K2777</f>
        <v>0</v>
      </c>
      <c r="R2760">
        <f>Data!L2777</f>
        <v>0</v>
      </c>
      <c r="S2760">
        <f>Data!M2777</f>
        <v>0</v>
      </c>
      <c r="T2760">
        <f>Data!N2777</f>
        <v>0</v>
      </c>
      <c r="U2760">
        <f>Data!O2777</f>
        <v>0</v>
      </c>
      <c r="V2760" s="33">
        <f>Data!P2775</f>
        <v>0</v>
      </c>
    </row>
    <row r="2761" spans="7:22" x14ac:dyDescent="0.25">
      <c r="G2761">
        <f>Data!A2774</f>
        <v>0</v>
      </c>
      <c r="H2761" s="21">
        <f>Data!B2774</f>
        <v>0</v>
      </c>
      <c r="I2761" s="21">
        <f>Data!C2774</f>
        <v>0</v>
      </c>
      <c r="J2761">
        <f>Data!D2774</f>
        <v>0</v>
      </c>
      <c r="K2761">
        <f>Data!E2774</f>
        <v>0</v>
      </c>
      <c r="L2761">
        <f>Data!F2774</f>
        <v>0</v>
      </c>
      <c r="M2761">
        <f>Data!G2774</f>
        <v>0</v>
      </c>
      <c r="N2761">
        <f>Data!H2774</f>
        <v>0</v>
      </c>
      <c r="O2761">
        <f>Data!I2774</f>
        <v>0</v>
      </c>
      <c r="P2761" s="21">
        <f>Data!J2778</f>
        <v>0</v>
      </c>
      <c r="Q2761">
        <f>Data!K2778</f>
        <v>0</v>
      </c>
      <c r="R2761">
        <f>Data!L2778</f>
        <v>0</v>
      </c>
      <c r="S2761">
        <f>Data!M2778</f>
        <v>0</v>
      </c>
      <c r="T2761">
        <f>Data!N2778</f>
        <v>0</v>
      </c>
      <c r="U2761">
        <f>Data!O2778</f>
        <v>0</v>
      </c>
      <c r="V2761" s="33">
        <f>Data!P2776</f>
        <v>0</v>
      </c>
    </row>
    <row r="2762" spans="7:22" x14ac:dyDescent="0.25">
      <c r="G2762">
        <f>Data!A2775</f>
        <v>0</v>
      </c>
      <c r="H2762" s="21">
        <f>Data!B2775</f>
        <v>0</v>
      </c>
      <c r="I2762" s="21">
        <f>Data!C2775</f>
        <v>0</v>
      </c>
      <c r="J2762">
        <f>Data!D2775</f>
        <v>0</v>
      </c>
      <c r="K2762">
        <f>Data!E2775</f>
        <v>0</v>
      </c>
      <c r="L2762">
        <f>Data!F2775</f>
        <v>0</v>
      </c>
      <c r="M2762">
        <f>Data!G2775</f>
        <v>0</v>
      </c>
      <c r="N2762">
        <f>Data!H2775</f>
        <v>0</v>
      </c>
      <c r="O2762">
        <f>Data!I2775</f>
        <v>0</v>
      </c>
      <c r="P2762" s="21">
        <f>Data!J2779</f>
        <v>0</v>
      </c>
      <c r="Q2762">
        <f>Data!K2779</f>
        <v>0</v>
      </c>
      <c r="R2762">
        <f>Data!L2779</f>
        <v>0</v>
      </c>
      <c r="S2762">
        <f>Data!M2779</f>
        <v>0</v>
      </c>
      <c r="T2762">
        <f>Data!N2779</f>
        <v>0</v>
      </c>
      <c r="U2762">
        <f>Data!O2779</f>
        <v>0</v>
      </c>
      <c r="V2762" s="33">
        <f>Data!P2777</f>
        <v>0</v>
      </c>
    </row>
    <row r="2763" spans="7:22" x14ac:dyDescent="0.25">
      <c r="G2763">
        <f>Data!A2776</f>
        <v>0</v>
      </c>
      <c r="H2763" s="21">
        <f>Data!B2776</f>
        <v>0</v>
      </c>
      <c r="I2763" s="21">
        <f>Data!C2776</f>
        <v>0</v>
      </c>
      <c r="J2763">
        <f>Data!D2776</f>
        <v>0</v>
      </c>
      <c r="K2763">
        <f>Data!E2776</f>
        <v>0</v>
      </c>
      <c r="L2763">
        <f>Data!F2776</f>
        <v>0</v>
      </c>
      <c r="M2763">
        <f>Data!G2776</f>
        <v>0</v>
      </c>
      <c r="N2763">
        <f>Data!H2776</f>
        <v>0</v>
      </c>
      <c r="O2763">
        <f>Data!I2776</f>
        <v>0</v>
      </c>
      <c r="P2763" s="21">
        <f>Data!J2780</f>
        <v>0</v>
      </c>
      <c r="Q2763">
        <f>Data!K2780</f>
        <v>0</v>
      </c>
      <c r="R2763">
        <f>Data!L2780</f>
        <v>0</v>
      </c>
      <c r="S2763">
        <f>Data!M2780</f>
        <v>0</v>
      </c>
      <c r="T2763">
        <f>Data!N2780</f>
        <v>0</v>
      </c>
      <c r="U2763">
        <f>Data!O2780</f>
        <v>0</v>
      </c>
      <c r="V2763" s="33">
        <f>Data!P2778</f>
        <v>0</v>
      </c>
    </row>
    <row r="2764" spans="7:22" x14ac:dyDescent="0.25">
      <c r="G2764">
        <f>Data!A2777</f>
        <v>0</v>
      </c>
      <c r="H2764" s="21">
        <f>Data!B2777</f>
        <v>0</v>
      </c>
      <c r="I2764" s="21">
        <f>Data!C2777</f>
        <v>0</v>
      </c>
      <c r="J2764">
        <f>Data!D2777</f>
        <v>0</v>
      </c>
      <c r="K2764">
        <f>Data!E2777</f>
        <v>0</v>
      </c>
      <c r="L2764">
        <f>Data!F2777</f>
        <v>0</v>
      </c>
      <c r="M2764">
        <f>Data!G2777</f>
        <v>0</v>
      </c>
      <c r="N2764">
        <f>Data!H2777</f>
        <v>0</v>
      </c>
      <c r="O2764">
        <f>Data!I2777</f>
        <v>0</v>
      </c>
      <c r="P2764" s="21">
        <f>Data!J2781</f>
        <v>0</v>
      </c>
      <c r="Q2764">
        <f>Data!K2781</f>
        <v>0</v>
      </c>
      <c r="R2764">
        <f>Data!L2781</f>
        <v>0</v>
      </c>
      <c r="S2764">
        <f>Data!M2781</f>
        <v>0</v>
      </c>
      <c r="T2764">
        <f>Data!N2781</f>
        <v>0</v>
      </c>
      <c r="U2764">
        <f>Data!O2781</f>
        <v>0</v>
      </c>
      <c r="V2764" s="33">
        <f>Data!P2779</f>
        <v>0</v>
      </c>
    </row>
    <row r="2765" spans="7:22" x14ac:dyDescent="0.25">
      <c r="G2765">
        <f>Data!A2778</f>
        <v>0</v>
      </c>
      <c r="H2765" s="21">
        <f>Data!B2778</f>
        <v>0</v>
      </c>
      <c r="I2765" s="21">
        <f>Data!C2778</f>
        <v>0</v>
      </c>
      <c r="J2765">
        <f>Data!D2778</f>
        <v>0</v>
      </c>
      <c r="K2765">
        <f>Data!E2778</f>
        <v>0</v>
      </c>
      <c r="L2765">
        <f>Data!F2778</f>
        <v>0</v>
      </c>
      <c r="M2765">
        <f>Data!G2778</f>
        <v>0</v>
      </c>
      <c r="N2765">
        <f>Data!H2778</f>
        <v>0</v>
      </c>
      <c r="O2765">
        <f>Data!I2778</f>
        <v>0</v>
      </c>
      <c r="P2765" s="21">
        <f>Data!J2782</f>
        <v>0</v>
      </c>
      <c r="Q2765">
        <f>Data!K2782</f>
        <v>0</v>
      </c>
      <c r="R2765">
        <f>Data!L2782</f>
        <v>0</v>
      </c>
      <c r="S2765">
        <f>Data!M2782</f>
        <v>0</v>
      </c>
      <c r="T2765">
        <f>Data!N2782</f>
        <v>0</v>
      </c>
      <c r="U2765">
        <f>Data!O2782</f>
        <v>0</v>
      </c>
      <c r="V2765" s="33">
        <f>Data!P2780</f>
        <v>0</v>
      </c>
    </row>
    <row r="2766" spans="7:22" x14ac:dyDescent="0.25">
      <c r="G2766">
        <f>Data!A2779</f>
        <v>0</v>
      </c>
      <c r="H2766" s="21">
        <f>Data!B2779</f>
        <v>0</v>
      </c>
      <c r="I2766" s="21">
        <f>Data!C2779</f>
        <v>0</v>
      </c>
      <c r="J2766">
        <f>Data!D2779</f>
        <v>0</v>
      </c>
      <c r="K2766">
        <f>Data!E2779</f>
        <v>0</v>
      </c>
      <c r="L2766">
        <f>Data!F2779</f>
        <v>0</v>
      </c>
      <c r="M2766">
        <f>Data!G2779</f>
        <v>0</v>
      </c>
      <c r="N2766">
        <f>Data!H2779</f>
        <v>0</v>
      </c>
      <c r="O2766">
        <f>Data!I2779</f>
        <v>0</v>
      </c>
      <c r="P2766" s="21">
        <f>Data!J2783</f>
        <v>0</v>
      </c>
      <c r="Q2766">
        <f>Data!K2783</f>
        <v>0</v>
      </c>
      <c r="R2766">
        <f>Data!L2783</f>
        <v>0</v>
      </c>
      <c r="S2766">
        <f>Data!M2783</f>
        <v>0</v>
      </c>
      <c r="T2766">
        <f>Data!N2783</f>
        <v>0</v>
      </c>
      <c r="U2766">
        <f>Data!O2783</f>
        <v>0</v>
      </c>
      <c r="V2766" s="33">
        <f>Data!P2781</f>
        <v>0</v>
      </c>
    </row>
    <row r="2767" spans="7:22" x14ac:dyDescent="0.25">
      <c r="G2767">
        <f>Data!A2780</f>
        <v>0</v>
      </c>
      <c r="H2767" s="21">
        <f>Data!B2780</f>
        <v>0</v>
      </c>
      <c r="I2767" s="21">
        <f>Data!C2780</f>
        <v>0</v>
      </c>
      <c r="J2767">
        <f>Data!D2780</f>
        <v>0</v>
      </c>
      <c r="K2767">
        <f>Data!E2780</f>
        <v>0</v>
      </c>
      <c r="L2767">
        <f>Data!F2780</f>
        <v>0</v>
      </c>
      <c r="M2767">
        <f>Data!G2780</f>
        <v>0</v>
      </c>
      <c r="N2767">
        <f>Data!H2780</f>
        <v>0</v>
      </c>
      <c r="O2767">
        <f>Data!I2780</f>
        <v>0</v>
      </c>
      <c r="P2767" s="21">
        <f>Data!J2784</f>
        <v>0</v>
      </c>
      <c r="Q2767">
        <f>Data!K2784</f>
        <v>0</v>
      </c>
      <c r="R2767">
        <f>Data!L2784</f>
        <v>0</v>
      </c>
      <c r="S2767">
        <f>Data!M2784</f>
        <v>0</v>
      </c>
      <c r="T2767">
        <f>Data!N2784</f>
        <v>0</v>
      </c>
      <c r="U2767">
        <f>Data!O2784</f>
        <v>0</v>
      </c>
      <c r="V2767" s="33">
        <f>Data!P2782</f>
        <v>0</v>
      </c>
    </row>
    <row r="2768" spans="7:22" x14ac:dyDescent="0.25">
      <c r="G2768">
        <f>Data!A2781</f>
        <v>0</v>
      </c>
      <c r="H2768" s="21">
        <f>Data!B2781</f>
        <v>0</v>
      </c>
      <c r="I2768" s="21">
        <f>Data!C2781</f>
        <v>0</v>
      </c>
      <c r="J2768">
        <f>Data!D2781</f>
        <v>0</v>
      </c>
      <c r="K2768">
        <f>Data!E2781</f>
        <v>0</v>
      </c>
      <c r="L2768">
        <f>Data!F2781</f>
        <v>0</v>
      </c>
      <c r="M2768">
        <f>Data!G2781</f>
        <v>0</v>
      </c>
      <c r="N2768">
        <f>Data!H2781</f>
        <v>0</v>
      </c>
      <c r="O2768">
        <f>Data!I2781</f>
        <v>0</v>
      </c>
      <c r="P2768" s="21">
        <f>Data!J2785</f>
        <v>0</v>
      </c>
      <c r="Q2768">
        <f>Data!K2785</f>
        <v>0</v>
      </c>
      <c r="R2768">
        <f>Data!L2785</f>
        <v>0</v>
      </c>
      <c r="S2768">
        <f>Data!M2785</f>
        <v>0</v>
      </c>
      <c r="T2768">
        <f>Data!N2785</f>
        <v>0</v>
      </c>
      <c r="U2768">
        <f>Data!O2785</f>
        <v>0</v>
      </c>
      <c r="V2768" s="33">
        <f>Data!P2783</f>
        <v>0</v>
      </c>
    </row>
    <row r="2769" spans="7:22" x14ac:dyDescent="0.25">
      <c r="G2769">
        <f>Data!A2782</f>
        <v>0</v>
      </c>
      <c r="H2769" s="21">
        <f>Data!B2782</f>
        <v>0</v>
      </c>
      <c r="I2769" s="21">
        <f>Data!C2782</f>
        <v>0</v>
      </c>
      <c r="J2769">
        <f>Data!D2782</f>
        <v>0</v>
      </c>
      <c r="K2769">
        <f>Data!E2782</f>
        <v>0</v>
      </c>
      <c r="L2769">
        <f>Data!F2782</f>
        <v>0</v>
      </c>
      <c r="M2769">
        <f>Data!G2782</f>
        <v>0</v>
      </c>
      <c r="N2769">
        <f>Data!H2782</f>
        <v>0</v>
      </c>
      <c r="O2769">
        <f>Data!I2782</f>
        <v>0</v>
      </c>
      <c r="P2769" s="21">
        <f>Data!J2786</f>
        <v>0</v>
      </c>
      <c r="Q2769">
        <f>Data!K2786</f>
        <v>0</v>
      </c>
      <c r="R2769">
        <f>Data!L2786</f>
        <v>0</v>
      </c>
      <c r="S2769">
        <f>Data!M2786</f>
        <v>0</v>
      </c>
      <c r="T2769">
        <f>Data!N2786</f>
        <v>0</v>
      </c>
      <c r="U2769">
        <f>Data!O2786</f>
        <v>0</v>
      </c>
      <c r="V2769" s="33">
        <f>Data!P2784</f>
        <v>0</v>
      </c>
    </row>
    <row r="2770" spans="7:22" x14ac:dyDescent="0.25">
      <c r="G2770">
        <f>Data!A2783</f>
        <v>0</v>
      </c>
      <c r="H2770" s="21">
        <f>Data!B2783</f>
        <v>0</v>
      </c>
      <c r="I2770" s="21">
        <f>Data!C2783</f>
        <v>0</v>
      </c>
      <c r="J2770">
        <f>Data!D2783</f>
        <v>0</v>
      </c>
      <c r="K2770">
        <f>Data!E2783</f>
        <v>0</v>
      </c>
      <c r="L2770">
        <f>Data!F2783</f>
        <v>0</v>
      </c>
      <c r="M2770">
        <f>Data!G2783</f>
        <v>0</v>
      </c>
      <c r="N2770">
        <f>Data!H2783</f>
        <v>0</v>
      </c>
      <c r="O2770">
        <f>Data!I2783</f>
        <v>0</v>
      </c>
      <c r="P2770" s="21">
        <f>Data!J2787</f>
        <v>0</v>
      </c>
      <c r="Q2770">
        <f>Data!K2787</f>
        <v>0</v>
      </c>
      <c r="R2770">
        <f>Data!L2787</f>
        <v>0</v>
      </c>
      <c r="S2770">
        <f>Data!M2787</f>
        <v>0</v>
      </c>
      <c r="T2770">
        <f>Data!N2787</f>
        <v>0</v>
      </c>
      <c r="U2770">
        <f>Data!O2787</f>
        <v>0</v>
      </c>
      <c r="V2770" s="33">
        <f>Data!P2785</f>
        <v>0</v>
      </c>
    </row>
    <row r="2771" spans="7:22" x14ac:dyDescent="0.25">
      <c r="G2771">
        <f>Data!A2784</f>
        <v>0</v>
      </c>
      <c r="H2771" s="21">
        <f>Data!B2784</f>
        <v>0</v>
      </c>
      <c r="I2771" s="21">
        <f>Data!C2784</f>
        <v>0</v>
      </c>
      <c r="J2771">
        <f>Data!D2784</f>
        <v>0</v>
      </c>
      <c r="K2771">
        <f>Data!E2784</f>
        <v>0</v>
      </c>
      <c r="L2771">
        <f>Data!F2784</f>
        <v>0</v>
      </c>
      <c r="M2771">
        <f>Data!G2784</f>
        <v>0</v>
      </c>
      <c r="N2771">
        <f>Data!H2784</f>
        <v>0</v>
      </c>
      <c r="O2771">
        <f>Data!I2784</f>
        <v>0</v>
      </c>
      <c r="P2771" s="21">
        <f>Data!J2788</f>
        <v>0</v>
      </c>
      <c r="Q2771">
        <f>Data!K2788</f>
        <v>0</v>
      </c>
      <c r="R2771">
        <f>Data!L2788</f>
        <v>0</v>
      </c>
      <c r="S2771">
        <f>Data!M2788</f>
        <v>0</v>
      </c>
      <c r="T2771">
        <f>Data!N2788</f>
        <v>0</v>
      </c>
      <c r="U2771">
        <f>Data!O2788</f>
        <v>0</v>
      </c>
      <c r="V2771" s="33">
        <f>Data!P2786</f>
        <v>0</v>
      </c>
    </row>
    <row r="2772" spans="7:22" x14ac:dyDescent="0.25">
      <c r="G2772">
        <f>Data!A2785</f>
        <v>0</v>
      </c>
      <c r="H2772" s="21">
        <f>Data!B2785</f>
        <v>0</v>
      </c>
      <c r="I2772" s="21">
        <f>Data!C2785</f>
        <v>0</v>
      </c>
      <c r="J2772">
        <f>Data!D2785</f>
        <v>0</v>
      </c>
      <c r="K2772">
        <f>Data!E2785</f>
        <v>0</v>
      </c>
      <c r="L2772">
        <f>Data!F2785</f>
        <v>0</v>
      </c>
      <c r="M2772">
        <f>Data!G2785</f>
        <v>0</v>
      </c>
      <c r="N2772">
        <f>Data!H2785</f>
        <v>0</v>
      </c>
      <c r="O2772">
        <f>Data!I2785</f>
        <v>0</v>
      </c>
      <c r="P2772" s="21">
        <f>Data!J2789</f>
        <v>0</v>
      </c>
      <c r="Q2772">
        <f>Data!K2789</f>
        <v>0</v>
      </c>
      <c r="R2772">
        <f>Data!L2789</f>
        <v>0</v>
      </c>
      <c r="S2772">
        <f>Data!M2789</f>
        <v>0</v>
      </c>
      <c r="T2772">
        <f>Data!N2789</f>
        <v>0</v>
      </c>
      <c r="U2772">
        <f>Data!O2789</f>
        <v>0</v>
      </c>
      <c r="V2772" s="33">
        <f>Data!P2787</f>
        <v>0</v>
      </c>
    </row>
    <row r="2773" spans="7:22" x14ac:dyDescent="0.25">
      <c r="G2773">
        <f>Data!A2786</f>
        <v>0</v>
      </c>
      <c r="H2773" s="21">
        <f>Data!B2786</f>
        <v>0</v>
      </c>
      <c r="I2773" s="21">
        <f>Data!C2786</f>
        <v>0</v>
      </c>
      <c r="J2773">
        <f>Data!D2786</f>
        <v>0</v>
      </c>
      <c r="K2773">
        <f>Data!E2786</f>
        <v>0</v>
      </c>
      <c r="L2773">
        <f>Data!F2786</f>
        <v>0</v>
      </c>
      <c r="M2773">
        <f>Data!G2786</f>
        <v>0</v>
      </c>
      <c r="N2773">
        <f>Data!H2786</f>
        <v>0</v>
      </c>
      <c r="O2773">
        <f>Data!I2786</f>
        <v>0</v>
      </c>
      <c r="P2773" s="21">
        <f>Data!J2790</f>
        <v>0</v>
      </c>
      <c r="Q2773">
        <f>Data!K2790</f>
        <v>0</v>
      </c>
      <c r="R2773">
        <f>Data!L2790</f>
        <v>0</v>
      </c>
      <c r="S2773">
        <f>Data!M2790</f>
        <v>0</v>
      </c>
      <c r="T2773">
        <f>Data!N2790</f>
        <v>0</v>
      </c>
      <c r="U2773">
        <f>Data!O2790</f>
        <v>0</v>
      </c>
      <c r="V2773" s="33">
        <f>Data!P2788</f>
        <v>0</v>
      </c>
    </row>
    <row r="2774" spans="7:22" x14ac:dyDescent="0.25">
      <c r="G2774">
        <f>Data!A2787</f>
        <v>0</v>
      </c>
      <c r="H2774" s="21">
        <f>Data!B2787</f>
        <v>0</v>
      </c>
      <c r="I2774" s="21">
        <f>Data!C2787</f>
        <v>0</v>
      </c>
      <c r="J2774">
        <f>Data!D2787</f>
        <v>0</v>
      </c>
      <c r="K2774">
        <f>Data!E2787</f>
        <v>0</v>
      </c>
      <c r="L2774">
        <f>Data!F2787</f>
        <v>0</v>
      </c>
      <c r="M2774">
        <f>Data!G2787</f>
        <v>0</v>
      </c>
      <c r="N2774">
        <f>Data!H2787</f>
        <v>0</v>
      </c>
      <c r="O2774">
        <f>Data!I2787</f>
        <v>0</v>
      </c>
      <c r="P2774" s="21">
        <f>Data!J2791</f>
        <v>0</v>
      </c>
      <c r="Q2774">
        <f>Data!K2791</f>
        <v>0</v>
      </c>
      <c r="R2774">
        <f>Data!L2791</f>
        <v>0</v>
      </c>
      <c r="S2774">
        <f>Data!M2791</f>
        <v>0</v>
      </c>
      <c r="T2774">
        <f>Data!N2791</f>
        <v>0</v>
      </c>
      <c r="U2774">
        <f>Data!O2791</f>
        <v>0</v>
      </c>
      <c r="V2774" s="33">
        <f>Data!P2789</f>
        <v>0</v>
      </c>
    </row>
    <row r="2775" spans="7:22" x14ac:dyDescent="0.25">
      <c r="G2775">
        <f>Data!A2788</f>
        <v>0</v>
      </c>
      <c r="H2775" s="21">
        <f>Data!B2788</f>
        <v>0</v>
      </c>
      <c r="I2775" s="21">
        <f>Data!C2788</f>
        <v>0</v>
      </c>
      <c r="J2775">
        <f>Data!D2788</f>
        <v>0</v>
      </c>
      <c r="K2775">
        <f>Data!E2788</f>
        <v>0</v>
      </c>
      <c r="L2775">
        <f>Data!F2788</f>
        <v>0</v>
      </c>
      <c r="M2775">
        <f>Data!G2788</f>
        <v>0</v>
      </c>
      <c r="N2775">
        <f>Data!H2788</f>
        <v>0</v>
      </c>
      <c r="O2775">
        <f>Data!I2788</f>
        <v>0</v>
      </c>
      <c r="P2775" s="21">
        <f>Data!J2792</f>
        <v>0</v>
      </c>
      <c r="Q2775">
        <f>Data!K2792</f>
        <v>0</v>
      </c>
      <c r="R2775">
        <f>Data!L2792</f>
        <v>0</v>
      </c>
      <c r="S2775">
        <f>Data!M2792</f>
        <v>0</v>
      </c>
      <c r="T2775">
        <f>Data!N2792</f>
        <v>0</v>
      </c>
      <c r="U2775">
        <f>Data!O2792</f>
        <v>0</v>
      </c>
      <c r="V2775" s="33">
        <f>Data!P2790</f>
        <v>0</v>
      </c>
    </row>
    <row r="2776" spans="7:22" x14ac:dyDescent="0.25">
      <c r="G2776">
        <f>Data!A2789</f>
        <v>0</v>
      </c>
      <c r="H2776" s="21">
        <f>Data!B2789</f>
        <v>0</v>
      </c>
      <c r="I2776" s="21">
        <f>Data!C2789</f>
        <v>0</v>
      </c>
      <c r="J2776">
        <f>Data!D2789</f>
        <v>0</v>
      </c>
      <c r="K2776">
        <f>Data!E2789</f>
        <v>0</v>
      </c>
      <c r="L2776">
        <f>Data!F2789</f>
        <v>0</v>
      </c>
      <c r="M2776">
        <f>Data!G2789</f>
        <v>0</v>
      </c>
      <c r="N2776">
        <f>Data!H2789</f>
        <v>0</v>
      </c>
      <c r="O2776">
        <f>Data!I2789</f>
        <v>0</v>
      </c>
      <c r="P2776" s="21">
        <f>Data!J2793</f>
        <v>0</v>
      </c>
      <c r="Q2776">
        <f>Data!K2793</f>
        <v>0</v>
      </c>
      <c r="R2776">
        <f>Data!L2793</f>
        <v>0</v>
      </c>
      <c r="S2776">
        <f>Data!M2793</f>
        <v>0</v>
      </c>
      <c r="T2776">
        <f>Data!N2793</f>
        <v>0</v>
      </c>
      <c r="U2776">
        <f>Data!O2793</f>
        <v>0</v>
      </c>
      <c r="V2776" s="33">
        <f>Data!P2791</f>
        <v>0</v>
      </c>
    </row>
    <row r="2777" spans="7:22" x14ac:dyDescent="0.25">
      <c r="G2777">
        <f>Data!A2790</f>
        <v>0</v>
      </c>
      <c r="H2777" s="21">
        <f>Data!B2790</f>
        <v>0</v>
      </c>
      <c r="I2777" s="21">
        <f>Data!C2790</f>
        <v>0</v>
      </c>
      <c r="J2777">
        <f>Data!D2790</f>
        <v>0</v>
      </c>
      <c r="K2777">
        <f>Data!E2790</f>
        <v>0</v>
      </c>
      <c r="L2777">
        <f>Data!F2790</f>
        <v>0</v>
      </c>
      <c r="M2777">
        <f>Data!G2790</f>
        <v>0</v>
      </c>
      <c r="N2777">
        <f>Data!H2790</f>
        <v>0</v>
      </c>
      <c r="O2777">
        <f>Data!I2790</f>
        <v>0</v>
      </c>
      <c r="P2777" s="21">
        <f>Data!J2794</f>
        <v>0</v>
      </c>
      <c r="Q2777">
        <f>Data!K2794</f>
        <v>0</v>
      </c>
      <c r="R2777">
        <f>Data!L2794</f>
        <v>0</v>
      </c>
      <c r="S2777">
        <f>Data!M2794</f>
        <v>0</v>
      </c>
      <c r="T2777">
        <f>Data!N2794</f>
        <v>0</v>
      </c>
      <c r="U2777">
        <f>Data!O2794</f>
        <v>0</v>
      </c>
      <c r="V2777" s="33">
        <f>Data!P2792</f>
        <v>0</v>
      </c>
    </row>
    <row r="2778" spans="7:22" x14ac:dyDescent="0.25">
      <c r="G2778">
        <f>Data!A2791</f>
        <v>0</v>
      </c>
      <c r="H2778" s="21">
        <f>Data!B2791</f>
        <v>0</v>
      </c>
      <c r="I2778" s="21">
        <f>Data!C2791</f>
        <v>0</v>
      </c>
      <c r="J2778">
        <f>Data!D2791</f>
        <v>0</v>
      </c>
      <c r="K2778">
        <f>Data!E2791</f>
        <v>0</v>
      </c>
      <c r="L2778">
        <f>Data!F2791</f>
        <v>0</v>
      </c>
      <c r="M2778">
        <f>Data!G2791</f>
        <v>0</v>
      </c>
      <c r="N2778">
        <f>Data!H2791</f>
        <v>0</v>
      </c>
      <c r="O2778">
        <f>Data!I2791</f>
        <v>0</v>
      </c>
      <c r="P2778" s="21">
        <f>Data!J2795</f>
        <v>0</v>
      </c>
      <c r="Q2778">
        <f>Data!K2795</f>
        <v>0</v>
      </c>
      <c r="R2778">
        <f>Data!L2795</f>
        <v>0</v>
      </c>
      <c r="S2778">
        <f>Data!M2795</f>
        <v>0</v>
      </c>
      <c r="T2778">
        <f>Data!N2795</f>
        <v>0</v>
      </c>
      <c r="U2778">
        <f>Data!O2795</f>
        <v>0</v>
      </c>
      <c r="V2778" s="33">
        <f>Data!P2793</f>
        <v>0</v>
      </c>
    </row>
    <row r="2779" spans="7:22" x14ac:dyDescent="0.25">
      <c r="G2779">
        <f>Data!A2792</f>
        <v>0</v>
      </c>
      <c r="H2779" s="21">
        <f>Data!B2792</f>
        <v>0</v>
      </c>
      <c r="I2779" s="21">
        <f>Data!C2792</f>
        <v>0</v>
      </c>
      <c r="J2779">
        <f>Data!D2792</f>
        <v>0</v>
      </c>
      <c r="K2779">
        <f>Data!E2792</f>
        <v>0</v>
      </c>
      <c r="L2779">
        <f>Data!F2792</f>
        <v>0</v>
      </c>
      <c r="M2779">
        <f>Data!G2792</f>
        <v>0</v>
      </c>
      <c r="N2779">
        <f>Data!H2792</f>
        <v>0</v>
      </c>
      <c r="O2779">
        <f>Data!I2792</f>
        <v>0</v>
      </c>
      <c r="P2779" s="21">
        <f>Data!J2796</f>
        <v>0</v>
      </c>
      <c r="Q2779">
        <f>Data!K2796</f>
        <v>0</v>
      </c>
      <c r="R2779">
        <f>Data!L2796</f>
        <v>0</v>
      </c>
      <c r="S2779">
        <f>Data!M2796</f>
        <v>0</v>
      </c>
      <c r="T2779">
        <f>Data!N2796</f>
        <v>0</v>
      </c>
      <c r="U2779">
        <f>Data!O2796</f>
        <v>0</v>
      </c>
      <c r="V2779" s="33">
        <f>Data!P2794</f>
        <v>0</v>
      </c>
    </row>
    <row r="2780" spans="7:22" x14ac:dyDescent="0.25">
      <c r="G2780">
        <f>Data!A2793</f>
        <v>0</v>
      </c>
      <c r="H2780" s="21">
        <f>Data!B2793</f>
        <v>0</v>
      </c>
      <c r="I2780" s="21">
        <f>Data!C2793</f>
        <v>0</v>
      </c>
      <c r="J2780">
        <f>Data!D2793</f>
        <v>0</v>
      </c>
      <c r="K2780">
        <f>Data!E2793</f>
        <v>0</v>
      </c>
      <c r="L2780">
        <f>Data!F2793</f>
        <v>0</v>
      </c>
      <c r="M2780">
        <f>Data!G2793</f>
        <v>0</v>
      </c>
      <c r="N2780">
        <f>Data!H2793</f>
        <v>0</v>
      </c>
      <c r="O2780">
        <f>Data!I2793</f>
        <v>0</v>
      </c>
      <c r="P2780" s="21">
        <f>Data!J2797</f>
        <v>0</v>
      </c>
      <c r="Q2780">
        <f>Data!K2797</f>
        <v>0</v>
      </c>
      <c r="R2780">
        <f>Data!L2797</f>
        <v>0</v>
      </c>
      <c r="S2780">
        <f>Data!M2797</f>
        <v>0</v>
      </c>
      <c r="T2780">
        <f>Data!N2797</f>
        <v>0</v>
      </c>
      <c r="U2780">
        <f>Data!O2797</f>
        <v>0</v>
      </c>
      <c r="V2780" s="33">
        <f>Data!P2795</f>
        <v>0</v>
      </c>
    </row>
    <row r="2781" spans="7:22" x14ac:dyDescent="0.25">
      <c r="G2781">
        <f>Data!A2794</f>
        <v>0</v>
      </c>
      <c r="H2781" s="21">
        <f>Data!B2794</f>
        <v>0</v>
      </c>
      <c r="I2781" s="21">
        <f>Data!C2794</f>
        <v>0</v>
      </c>
      <c r="J2781">
        <f>Data!D2794</f>
        <v>0</v>
      </c>
      <c r="K2781">
        <f>Data!E2794</f>
        <v>0</v>
      </c>
      <c r="L2781">
        <f>Data!F2794</f>
        <v>0</v>
      </c>
      <c r="M2781">
        <f>Data!G2794</f>
        <v>0</v>
      </c>
      <c r="N2781">
        <f>Data!H2794</f>
        <v>0</v>
      </c>
      <c r="O2781">
        <f>Data!I2794</f>
        <v>0</v>
      </c>
      <c r="P2781" s="21">
        <f>Data!J2798</f>
        <v>0</v>
      </c>
      <c r="Q2781">
        <f>Data!K2798</f>
        <v>0</v>
      </c>
      <c r="R2781">
        <f>Data!L2798</f>
        <v>0</v>
      </c>
      <c r="S2781">
        <f>Data!M2798</f>
        <v>0</v>
      </c>
      <c r="T2781">
        <f>Data!N2798</f>
        <v>0</v>
      </c>
      <c r="U2781">
        <f>Data!O2798</f>
        <v>0</v>
      </c>
      <c r="V2781" s="33">
        <f>Data!P2796</f>
        <v>0</v>
      </c>
    </row>
    <row r="2782" spans="7:22" x14ac:dyDescent="0.25">
      <c r="G2782">
        <f>Data!A2795</f>
        <v>0</v>
      </c>
      <c r="H2782" s="21">
        <f>Data!B2795</f>
        <v>0</v>
      </c>
      <c r="I2782" s="21">
        <f>Data!C2795</f>
        <v>0</v>
      </c>
      <c r="J2782">
        <f>Data!D2795</f>
        <v>0</v>
      </c>
      <c r="K2782">
        <f>Data!E2795</f>
        <v>0</v>
      </c>
      <c r="L2782">
        <f>Data!F2795</f>
        <v>0</v>
      </c>
      <c r="M2782">
        <f>Data!G2795</f>
        <v>0</v>
      </c>
      <c r="N2782">
        <f>Data!H2795</f>
        <v>0</v>
      </c>
      <c r="O2782">
        <f>Data!I2795</f>
        <v>0</v>
      </c>
      <c r="P2782" s="21">
        <f>Data!J2799</f>
        <v>0</v>
      </c>
      <c r="Q2782">
        <f>Data!K2799</f>
        <v>0</v>
      </c>
      <c r="R2782">
        <f>Data!L2799</f>
        <v>0</v>
      </c>
      <c r="S2782">
        <f>Data!M2799</f>
        <v>0</v>
      </c>
      <c r="T2782">
        <f>Data!N2799</f>
        <v>0</v>
      </c>
      <c r="U2782">
        <f>Data!O2799</f>
        <v>0</v>
      </c>
      <c r="V2782" s="33">
        <f>Data!P2797</f>
        <v>0</v>
      </c>
    </row>
    <row r="2783" spans="7:22" x14ac:dyDescent="0.25">
      <c r="G2783">
        <f>Data!A2796</f>
        <v>0</v>
      </c>
      <c r="H2783" s="21">
        <f>Data!B2796</f>
        <v>0</v>
      </c>
      <c r="I2783" s="21">
        <f>Data!C2796</f>
        <v>0</v>
      </c>
      <c r="J2783">
        <f>Data!D2796</f>
        <v>0</v>
      </c>
      <c r="K2783">
        <f>Data!E2796</f>
        <v>0</v>
      </c>
      <c r="L2783">
        <f>Data!F2796</f>
        <v>0</v>
      </c>
      <c r="M2783">
        <f>Data!G2796</f>
        <v>0</v>
      </c>
      <c r="N2783">
        <f>Data!H2796</f>
        <v>0</v>
      </c>
      <c r="O2783">
        <f>Data!I2796</f>
        <v>0</v>
      </c>
      <c r="P2783" s="21">
        <f>Data!J2800</f>
        <v>0</v>
      </c>
      <c r="Q2783">
        <f>Data!K2800</f>
        <v>0</v>
      </c>
      <c r="R2783">
        <f>Data!L2800</f>
        <v>0</v>
      </c>
      <c r="S2783">
        <f>Data!M2800</f>
        <v>0</v>
      </c>
      <c r="T2783">
        <f>Data!N2800</f>
        <v>0</v>
      </c>
      <c r="U2783">
        <f>Data!O2800</f>
        <v>0</v>
      </c>
      <c r="V2783" s="33">
        <f>Data!P2798</f>
        <v>0</v>
      </c>
    </row>
    <row r="2784" spans="7:22" x14ac:dyDescent="0.25">
      <c r="G2784">
        <f>Data!A2797</f>
        <v>0</v>
      </c>
      <c r="H2784" s="21">
        <f>Data!B2797</f>
        <v>0</v>
      </c>
      <c r="I2784" s="21">
        <f>Data!C2797</f>
        <v>0</v>
      </c>
      <c r="J2784">
        <f>Data!D2797</f>
        <v>0</v>
      </c>
      <c r="K2784">
        <f>Data!E2797</f>
        <v>0</v>
      </c>
      <c r="L2784">
        <f>Data!F2797</f>
        <v>0</v>
      </c>
      <c r="M2784">
        <f>Data!G2797</f>
        <v>0</v>
      </c>
      <c r="N2784">
        <f>Data!H2797</f>
        <v>0</v>
      </c>
      <c r="O2784">
        <f>Data!I2797</f>
        <v>0</v>
      </c>
      <c r="P2784" s="21">
        <f>Data!J2801</f>
        <v>0</v>
      </c>
      <c r="Q2784">
        <f>Data!K2801</f>
        <v>0</v>
      </c>
      <c r="R2784">
        <f>Data!L2801</f>
        <v>0</v>
      </c>
      <c r="S2784">
        <f>Data!M2801</f>
        <v>0</v>
      </c>
      <c r="T2784">
        <f>Data!N2801</f>
        <v>0</v>
      </c>
      <c r="U2784">
        <f>Data!O2801</f>
        <v>0</v>
      </c>
      <c r="V2784" s="33">
        <f>Data!P2799</f>
        <v>0</v>
      </c>
    </row>
    <row r="2785" spans="7:22" x14ac:dyDescent="0.25">
      <c r="G2785">
        <f>Data!A2798</f>
        <v>0</v>
      </c>
      <c r="H2785" s="21">
        <f>Data!B2798</f>
        <v>0</v>
      </c>
      <c r="I2785" s="21">
        <f>Data!C2798</f>
        <v>0</v>
      </c>
      <c r="J2785">
        <f>Data!D2798</f>
        <v>0</v>
      </c>
      <c r="K2785">
        <f>Data!E2798</f>
        <v>0</v>
      </c>
      <c r="L2785">
        <f>Data!F2798</f>
        <v>0</v>
      </c>
      <c r="M2785">
        <f>Data!G2798</f>
        <v>0</v>
      </c>
      <c r="N2785">
        <f>Data!H2798</f>
        <v>0</v>
      </c>
      <c r="O2785">
        <f>Data!I2798</f>
        <v>0</v>
      </c>
      <c r="P2785" s="21">
        <f>Data!J2802</f>
        <v>0</v>
      </c>
      <c r="Q2785">
        <f>Data!K2802</f>
        <v>0</v>
      </c>
      <c r="R2785">
        <f>Data!L2802</f>
        <v>0</v>
      </c>
      <c r="S2785">
        <f>Data!M2802</f>
        <v>0</v>
      </c>
      <c r="T2785">
        <f>Data!N2802</f>
        <v>0</v>
      </c>
      <c r="U2785">
        <f>Data!O2802</f>
        <v>0</v>
      </c>
      <c r="V2785" s="33">
        <f>Data!P2800</f>
        <v>0</v>
      </c>
    </row>
    <row r="2786" spans="7:22" x14ac:dyDescent="0.25">
      <c r="G2786">
        <f>Data!A2799</f>
        <v>0</v>
      </c>
      <c r="H2786" s="21">
        <f>Data!B2799</f>
        <v>0</v>
      </c>
      <c r="I2786" s="21">
        <f>Data!C2799</f>
        <v>0</v>
      </c>
      <c r="J2786">
        <f>Data!D2799</f>
        <v>0</v>
      </c>
      <c r="K2786">
        <f>Data!E2799</f>
        <v>0</v>
      </c>
      <c r="L2786">
        <f>Data!F2799</f>
        <v>0</v>
      </c>
      <c r="M2786">
        <f>Data!G2799</f>
        <v>0</v>
      </c>
      <c r="N2786">
        <f>Data!H2799</f>
        <v>0</v>
      </c>
      <c r="O2786">
        <f>Data!I2799</f>
        <v>0</v>
      </c>
      <c r="P2786" s="21">
        <f>Data!J2803</f>
        <v>0</v>
      </c>
      <c r="Q2786">
        <f>Data!K2803</f>
        <v>0</v>
      </c>
      <c r="R2786">
        <f>Data!L2803</f>
        <v>0</v>
      </c>
      <c r="S2786">
        <f>Data!M2803</f>
        <v>0</v>
      </c>
      <c r="T2786">
        <f>Data!N2803</f>
        <v>0</v>
      </c>
      <c r="U2786">
        <f>Data!O2803</f>
        <v>0</v>
      </c>
      <c r="V2786" s="33">
        <f>Data!P2801</f>
        <v>0</v>
      </c>
    </row>
    <row r="2787" spans="7:22" x14ac:dyDescent="0.25">
      <c r="G2787">
        <f>Data!A2800</f>
        <v>0</v>
      </c>
      <c r="H2787" s="21">
        <f>Data!B2800</f>
        <v>0</v>
      </c>
      <c r="I2787" s="21">
        <f>Data!C2800</f>
        <v>0</v>
      </c>
      <c r="J2787">
        <f>Data!D2800</f>
        <v>0</v>
      </c>
      <c r="K2787">
        <f>Data!E2800</f>
        <v>0</v>
      </c>
      <c r="L2787">
        <f>Data!F2800</f>
        <v>0</v>
      </c>
      <c r="M2787">
        <f>Data!G2800</f>
        <v>0</v>
      </c>
      <c r="N2787">
        <f>Data!H2800</f>
        <v>0</v>
      </c>
      <c r="O2787">
        <f>Data!I2800</f>
        <v>0</v>
      </c>
      <c r="P2787" s="21">
        <f>Data!J2804</f>
        <v>0</v>
      </c>
      <c r="Q2787">
        <f>Data!K2804</f>
        <v>0</v>
      </c>
      <c r="R2787">
        <f>Data!L2804</f>
        <v>0</v>
      </c>
      <c r="S2787">
        <f>Data!M2804</f>
        <v>0</v>
      </c>
      <c r="T2787">
        <f>Data!N2804</f>
        <v>0</v>
      </c>
      <c r="U2787">
        <f>Data!O2804</f>
        <v>0</v>
      </c>
      <c r="V2787" s="33">
        <f>Data!P2802</f>
        <v>0</v>
      </c>
    </row>
    <row r="2788" spans="7:22" x14ac:dyDescent="0.25">
      <c r="G2788">
        <f>Data!A2801</f>
        <v>0</v>
      </c>
      <c r="H2788" s="21">
        <f>Data!B2801</f>
        <v>0</v>
      </c>
      <c r="I2788" s="21">
        <f>Data!C2801</f>
        <v>0</v>
      </c>
      <c r="J2788">
        <f>Data!D2801</f>
        <v>0</v>
      </c>
      <c r="K2788">
        <f>Data!E2801</f>
        <v>0</v>
      </c>
      <c r="L2788">
        <f>Data!F2801</f>
        <v>0</v>
      </c>
      <c r="M2788">
        <f>Data!G2801</f>
        <v>0</v>
      </c>
      <c r="N2788">
        <f>Data!H2801</f>
        <v>0</v>
      </c>
      <c r="O2788">
        <f>Data!I2801</f>
        <v>0</v>
      </c>
      <c r="P2788" s="21">
        <f>Data!J2805</f>
        <v>0</v>
      </c>
      <c r="Q2788">
        <f>Data!K2805</f>
        <v>0</v>
      </c>
      <c r="R2788">
        <f>Data!L2805</f>
        <v>0</v>
      </c>
      <c r="S2788">
        <f>Data!M2805</f>
        <v>0</v>
      </c>
      <c r="T2788">
        <f>Data!N2805</f>
        <v>0</v>
      </c>
      <c r="U2788">
        <f>Data!O2805</f>
        <v>0</v>
      </c>
      <c r="V2788" s="33">
        <f>Data!P2803</f>
        <v>0</v>
      </c>
    </row>
    <row r="2789" spans="7:22" x14ac:dyDescent="0.25">
      <c r="G2789">
        <f>Data!A2802</f>
        <v>0</v>
      </c>
      <c r="H2789" s="21">
        <f>Data!B2802</f>
        <v>0</v>
      </c>
      <c r="I2789" s="21">
        <f>Data!C2802</f>
        <v>0</v>
      </c>
      <c r="J2789">
        <f>Data!D2802</f>
        <v>0</v>
      </c>
      <c r="K2789">
        <f>Data!E2802</f>
        <v>0</v>
      </c>
      <c r="L2789">
        <f>Data!F2802</f>
        <v>0</v>
      </c>
      <c r="M2789">
        <f>Data!G2802</f>
        <v>0</v>
      </c>
      <c r="N2789">
        <f>Data!H2802</f>
        <v>0</v>
      </c>
      <c r="O2789">
        <f>Data!I2802</f>
        <v>0</v>
      </c>
      <c r="P2789" s="21">
        <f>Data!J2806</f>
        <v>0</v>
      </c>
      <c r="Q2789">
        <f>Data!K2806</f>
        <v>0</v>
      </c>
      <c r="R2789">
        <f>Data!L2806</f>
        <v>0</v>
      </c>
      <c r="S2789">
        <f>Data!M2806</f>
        <v>0</v>
      </c>
      <c r="T2789">
        <f>Data!N2806</f>
        <v>0</v>
      </c>
      <c r="U2789">
        <f>Data!O2806</f>
        <v>0</v>
      </c>
      <c r="V2789" s="33">
        <f>Data!P2804</f>
        <v>0</v>
      </c>
    </row>
    <row r="2790" spans="7:22" x14ac:dyDescent="0.25">
      <c r="G2790">
        <f>Data!A2803</f>
        <v>0</v>
      </c>
      <c r="H2790" s="21">
        <f>Data!B2803</f>
        <v>0</v>
      </c>
      <c r="I2790" s="21">
        <f>Data!C2803</f>
        <v>0</v>
      </c>
      <c r="J2790">
        <f>Data!D2803</f>
        <v>0</v>
      </c>
      <c r="K2790">
        <f>Data!E2803</f>
        <v>0</v>
      </c>
      <c r="L2790">
        <f>Data!F2803</f>
        <v>0</v>
      </c>
      <c r="M2790">
        <f>Data!G2803</f>
        <v>0</v>
      </c>
      <c r="N2790">
        <f>Data!H2803</f>
        <v>0</v>
      </c>
      <c r="O2790">
        <f>Data!I2803</f>
        <v>0</v>
      </c>
      <c r="P2790" s="21">
        <f>Data!J2807</f>
        <v>0</v>
      </c>
      <c r="Q2790">
        <f>Data!K2807</f>
        <v>0</v>
      </c>
      <c r="R2790">
        <f>Data!L2807</f>
        <v>0</v>
      </c>
      <c r="S2790">
        <f>Data!M2807</f>
        <v>0</v>
      </c>
      <c r="T2790">
        <f>Data!N2807</f>
        <v>0</v>
      </c>
      <c r="U2790">
        <f>Data!O2807</f>
        <v>0</v>
      </c>
      <c r="V2790" s="33">
        <f>Data!P2805</f>
        <v>0</v>
      </c>
    </row>
    <row r="2791" spans="7:22" x14ac:dyDescent="0.25">
      <c r="G2791">
        <f>Data!A2804</f>
        <v>0</v>
      </c>
      <c r="H2791" s="21">
        <f>Data!B2804</f>
        <v>0</v>
      </c>
      <c r="I2791" s="21">
        <f>Data!C2804</f>
        <v>0</v>
      </c>
      <c r="J2791">
        <f>Data!D2804</f>
        <v>0</v>
      </c>
      <c r="K2791">
        <f>Data!E2804</f>
        <v>0</v>
      </c>
      <c r="L2791">
        <f>Data!F2804</f>
        <v>0</v>
      </c>
      <c r="M2791">
        <f>Data!G2804</f>
        <v>0</v>
      </c>
      <c r="N2791">
        <f>Data!H2804</f>
        <v>0</v>
      </c>
      <c r="O2791">
        <f>Data!I2804</f>
        <v>0</v>
      </c>
      <c r="P2791" s="21">
        <f>Data!J2808</f>
        <v>0</v>
      </c>
      <c r="Q2791">
        <f>Data!K2808</f>
        <v>0</v>
      </c>
      <c r="R2791">
        <f>Data!L2808</f>
        <v>0</v>
      </c>
      <c r="S2791">
        <f>Data!M2808</f>
        <v>0</v>
      </c>
      <c r="T2791">
        <f>Data!N2808</f>
        <v>0</v>
      </c>
      <c r="U2791">
        <f>Data!O2808</f>
        <v>0</v>
      </c>
      <c r="V2791" s="33">
        <f>Data!P2806</f>
        <v>0</v>
      </c>
    </row>
    <row r="2792" spans="7:22" x14ac:dyDescent="0.25">
      <c r="G2792">
        <f>Data!A2805</f>
        <v>0</v>
      </c>
      <c r="H2792" s="21">
        <f>Data!B2805</f>
        <v>0</v>
      </c>
      <c r="I2792" s="21">
        <f>Data!C2805</f>
        <v>0</v>
      </c>
      <c r="J2792">
        <f>Data!D2805</f>
        <v>0</v>
      </c>
      <c r="K2792">
        <f>Data!E2805</f>
        <v>0</v>
      </c>
      <c r="L2792">
        <f>Data!F2805</f>
        <v>0</v>
      </c>
      <c r="M2792">
        <f>Data!G2805</f>
        <v>0</v>
      </c>
      <c r="N2792">
        <f>Data!H2805</f>
        <v>0</v>
      </c>
      <c r="O2792">
        <f>Data!I2805</f>
        <v>0</v>
      </c>
      <c r="P2792" s="21">
        <f>Data!J2809</f>
        <v>0</v>
      </c>
      <c r="Q2792">
        <f>Data!K2809</f>
        <v>0</v>
      </c>
      <c r="R2792">
        <f>Data!L2809</f>
        <v>0</v>
      </c>
      <c r="S2792">
        <f>Data!M2809</f>
        <v>0</v>
      </c>
      <c r="T2792">
        <f>Data!N2809</f>
        <v>0</v>
      </c>
      <c r="U2792">
        <f>Data!O2809</f>
        <v>0</v>
      </c>
      <c r="V2792" s="33">
        <f>Data!P2807</f>
        <v>0</v>
      </c>
    </row>
    <row r="2793" spans="7:22" x14ac:dyDescent="0.25">
      <c r="G2793">
        <f>Data!A2806</f>
        <v>0</v>
      </c>
      <c r="H2793" s="21">
        <f>Data!B2806</f>
        <v>0</v>
      </c>
      <c r="I2793" s="21">
        <f>Data!C2806</f>
        <v>0</v>
      </c>
      <c r="J2793">
        <f>Data!D2806</f>
        <v>0</v>
      </c>
      <c r="K2793">
        <f>Data!E2806</f>
        <v>0</v>
      </c>
      <c r="L2793">
        <f>Data!F2806</f>
        <v>0</v>
      </c>
      <c r="M2793">
        <f>Data!G2806</f>
        <v>0</v>
      </c>
      <c r="N2793">
        <f>Data!H2806</f>
        <v>0</v>
      </c>
      <c r="O2793">
        <f>Data!I2806</f>
        <v>0</v>
      </c>
      <c r="P2793" s="21">
        <f>Data!J2810</f>
        <v>0</v>
      </c>
      <c r="Q2793">
        <f>Data!K2810</f>
        <v>0</v>
      </c>
      <c r="R2793">
        <f>Data!L2810</f>
        <v>0</v>
      </c>
      <c r="S2793">
        <f>Data!M2810</f>
        <v>0</v>
      </c>
      <c r="T2793">
        <f>Data!N2810</f>
        <v>0</v>
      </c>
      <c r="U2793">
        <f>Data!O2810</f>
        <v>0</v>
      </c>
      <c r="V2793" s="33">
        <f>Data!P2808</f>
        <v>0</v>
      </c>
    </row>
    <row r="2794" spans="7:22" x14ac:dyDescent="0.25">
      <c r="G2794">
        <f>Data!A2807</f>
        <v>0</v>
      </c>
      <c r="H2794" s="21">
        <f>Data!B2807</f>
        <v>0</v>
      </c>
      <c r="I2794" s="21">
        <f>Data!C2807</f>
        <v>0</v>
      </c>
      <c r="J2794">
        <f>Data!D2807</f>
        <v>0</v>
      </c>
      <c r="K2794">
        <f>Data!E2807</f>
        <v>0</v>
      </c>
      <c r="L2794">
        <f>Data!F2807</f>
        <v>0</v>
      </c>
      <c r="M2794">
        <f>Data!G2807</f>
        <v>0</v>
      </c>
      <c r="N2794">
        <f>Data!H2807</f>
        <v>0</v>
      </c>
      <c r="O2794">
        <f>Data!I2807</f>
        <v>0</v>
      </c>
      <c r="P2794" s="21">
        <f>Data!J2811</f>
        <v>0</v>
      </c>
      <c r="Q2794">
        <f>Data!K2811</f>
        <v>0</v>
      </c>
      <c r="R2794">
        <f>Data!L2811</f>
        <v>0</v>
      </c>
      <c r="S2794">
        <f>Data!M2811</f>
        <v>0</v>
      </c>
      <c r="T2794">
        <f>Data!N2811</f>
        <v>0</v>
      </c>
      <c r="U2794">
        <f>Data!O2811</f>
        <v>0</v>
      </c>
      <c r="V2794" s="33">
        <f>Data!P2809</f>
        <v>0</v>
      </c>
    </row>
    <row r="2795" spans="7:22" x14ac:dyDescent="0.25">
      <c r="G2795">
        <f>Data!A2808</f>
        <v>0</v>
      </c>
      <c r="H2795" s="21">
        <f>Data!B2808</f>
        <v>0</v>
      </c>
      <c r="I2795" s="21">
        <f>Data!C2808</f>
        <v>0</v>
      </c>
      <c r="J2795">
        <f>Data!D2808</f>
        <v>0</v>
      </c>
      <c r="K2795">
        <f>Data!E2808</f>
        <v>0</v>
      </c>
      <c r="L2795">
        <f>Data!F2808</f>
        <v>0</v>
      </c>
      <c r="M2795">
        <f>Data!G2808</f>
        <v>0</v>
      </c>
      <c r="N2795">
        <f>Data!H2808</f>
        <v>0</v>
      </c>
      <c r="O2795">
        <f>Data!I2808</f>
        <v>0</v>
      </c>
      <c r="P2795" s="21">
        <f>Data!J2812</f>
        <v>0</v>
      </c>
      <c r="Q2795">
        <f>Data!K2812</f>
        <v>0</v>
      </c>
      <c r="R2795">
        <f>Data!L2812</f>
        <v>0</v>
      </c>
      <c r="S2795">
        <f>Data!M2812</f>
        <v>0</v>
      </c>
      <c r="T2795">
        <f>Data!N2812</f>
        <v>0</v>
      </c>
      <c r="U2795">
        <f>Data!O2812</f>
        <v>0</v>
      </c>
      <c r="V2795" s="33">
        <f>Data!P2810</f>
        <v>0</v>
      </c>
    </row>
    <row r="2796" spans="7:22" x14ac:dyDescent="0.25">
      <c r="G2796">
        <f>Data!A2809</f>
        <v>0</v>
      </c>
      <c r="H2796" s="21">
        <f>Data!B2809</f>
        <v>0</v>
      </c>
      <c r="I2796" s="21">
        <f>Data!C2809</f>
        <v>0</v>
      </c>
      <c r="J2796">
        <f>Data!D2809</f>
        <v>0</v>
      </c>
      <c r="K2796">
        <f>Data!E2809</f>
        <v>0</v>
      </c>
      <c r="L2796">
        <f>Data!F2809</f>
        <v>0</v>
      </c>
      <c r="M2796">
        <f>Data!G2809</f>
        <v>0</v>
      </c>
      <c r="N2796">
        <f>Data!H2809</f>
        <v>0</v>
      </c>
      <c r="O2796">
        <f>Data!I2809</f>
        <v>0</v>
      </c>
      <c r="P2796" s="21">
        <f>Data!J2813</f>
        <v>0</v>
      </c>
      <c r="Q2796">
        <f>Data!K2813</f>
        <v>0</v>
      </c>
      <c r="R2796">
        <f>Data!L2813</f>
        <v>0</v>
      </c>
      <c r="S2796">
        <f>Data!M2813</f>
        <v>0</v>
      </c>
      <c r="T2796">
        <f>Data!N2813</f>
        <v>0</v>
      </c>
      <c r="U2796">
        <f>Data!O2813</f>
        <v>0</v>
      </c>
      <c r="V2796" s="33">
        <f>Data!P2811</f>
        <v>0</v>
      </c>
    </row>
    <row r="2797" spans="7:22" x14ac:dyDescent="0.25">
      <c r="G2797">
        <f>Data!A2810</f>
        <v>0</v>
      </c>
      <c r="H2797" s="21">
        <f>Data!B2810</f>
        <v>0</v>
      </c>
      <c r="I2797" s="21">
        <f>Data!C2810</f>
        <v>0</v>
      </c>
      <c r="J2797">
        <f>Data!D2810</f>
        <v>0</v>
      </c>
      <c r="K2797">
        <f>Data!E2810</f>
        <v>0</v>
      </c>
      <c r="L2797">
        <f>Data!F2810</f>
        <v>0</v>
      </c>
      <c r="M2797">
        <f>Data!G2810</f>
        <v>0</v>
      </c>
      <c r="N2797">
        <f>Data!H2810</f>
        <v>0</v>
      </c>
      <c r="O2797">
        <f>Data!I2810</f>
        <v>0</v>
      </c>
      <c r="P2797" s="21">
        <f>Data!J2814</f>
        <v>0</v>
      </c>
      <c r="Q2797">
        <f>Data!K2814</f>
        <v>0</v>
      </c>
      <c r="R2797">
        <f>Data!L2814</f>
        <v>0</v>
      </c>
      <c r="S2797">
        <f>Data!M2814</f>
        <v>0</v>
      </c>
      <c r="T2797">
        <f>Data!N2814</f>
        <v>0</v>
      </c>
      <c r="U2797">
        <f>Data!O2814</f>
        <v>0</v>
      </c>
      <c r="V2797" s="33">
        <f>Data!P2812</f>
        <v>0</v>
      </c>
    </row>
    <row r="2798" spans="7:22" x14ac:dyDescent="0.25">
      <c r="G2798">
        <f>Data!A2811</f>
        <v>0</v>
      </c>
      <c r="H2798" s="21">
        <f>Data!B2811</f>
        <v>0</v>
      </c>
      <c r="I2798" s="21">
        <f>Data!C2811</f>
        <v>0</v>
      </c>
      <c r="J2798">
        <f>Data!D2811</f>
        <v>0</v>
      </c>
      <c r="K2798">
        <f>Data!E2811</f>
        <v>0</v>
      </c>
      <c r="L2798">
        <f>Data!F2811</f>
        <v>0</v>
      </c>
      <c r="M2798">
        <f>Data!G2811</f>
        <v>0</v>
      </c>
      <c r="N2798">
        <f>Data!H2811</f>
        <v>0</v>
      </c>
      <c r="O2798">
        <f>Data!I2811</f>
        <v>0</v>
      </c>
      <c r="P2798" s="21">
        <f>Data!J2815</f>
        <v>0</v>
      </c>
      <c r="Q2798">
        <f>Data!K2815</f>
        <v>0</v>
      </c>
      <c r="R2798">
        <f>Data!L2815</f>
        <v>0</v>
      </c>
      <c r="S2798">
        <f>Data!M2815</f>
        <v>0</v>
      </c>
      <c r="T2798">
        <f>Data!N2815</f>
        <v>0</v>
      </c>
      <c r="U2798">
        <f>Data!O2815</f>
        <v>0</v>
      </c>
      <c r="V2798" s="33">
        <f>Data!P2813</f>
        <v>0</v>
      </c>
    </row>
    <row r="2799" spans="7:22" x14ac:dyDescent="0.25">
      <c r="G2799">
        <f>Data!A2812</f>
        <v>0</v>
      </c>
      <c r="H2799" s="21">
        <f>Data!B2812</f>
        <v>0</v>
      </c>
      <c r="I2799" s="21">
        <f>Data!C2812</f>
        <v>0</v>
      </c>
      <c r="J2799">
        <f>Data!D2812</f>
        <v>0</v>
      </c>
      <c r="K2799">
        <f>Data!E2812</f>
        <v>0</v>
      </c>
      <c r="L2799">
        <f>Data!F2812</f>
        <v>0</v>
      </c>
      <c r="M2799">
        <f>Data!G2812</f>
        <v>0</v>
      </c>
      <c r="N2799">
        <f>Data!H2812</f>
        <v>0</v>
      </c>
      <c r="O2799">
        <f>Data!I2812</f>
        <v>0</v>
      </c>
      <c r="P2799" s="21">
        <f>Data!J2816</f>
        <v>0</v>
      </c>
      <c r="Q2799">
        <f>Data!K2816</f>
        <v>0</v>
      </c>
      <c r="R2799">
        <f>Data!L2816</f>
        <v>0</v>
      </c>
      <c r="S2799">
        <f>Data!M2816</f>
        <v>0</v>
      </c>
      <c r="T2799">
        <f>Data!N2816</f>
        <v>0</v>
      </c>
      <c r="U2799">
        <f>Data!O2816</f>
        <v>0</v>
      </c>
      <c r="V2799" s="33">
        <f>Data!P2814</f>
        <v>0</v>
      </c>
    </row>
    <row r="2800" spans="7:22" x14ac:dyDescent="0.25">
      <c r="G2800">
        <f>Data!A2813</f>
        <v>0</v>
      </c>
      <c r="H2800" s="21">
        <f>Data!B2813</f>
        <v>0</v>
      </c>
      <c r="I2800" s="21">
        <f>Data!C2813</f>
        <v>0</v>
      </c>
      <c r="J2800">
        <f>Data!D2813</f>
        <v>0</v>
      </c>
      <c r="K2800">
        <f>Data!E2813</f>
        <v>0</v>
      </c>
      <c r="L2800">
        <f>Data!F2813</f>
        <v>0</v>
      </c>
      <c r="M2800">
        <f>Data!G2813</f>
        <v>0</v>
      </c>
      <c r="N2800">
        <f>Data!H2813</f>
        <v>0</v>
      </c>
      <c r="O2800">
        <f>Data!I2813</f>
        <v>0</v>
      </c>
      <c r="P2800" s="21">
        <f>Data!J2817</f>
        <v>0</v>
      </c>
      <c r="Q2800">
        <f>Data!K2817</f>
        <v>0</v>
      </c>
      <c r="R2800">
        <f>Data!L2817</f>
        <v>0</v>
      </c>
      <c r="S2800">
        <f>Data!M2817</f>
        <v>0</v>
      </c>
      <c r="T2800">
        <f>Data!N2817</f>
        <v>0</v>
      </c>
      <c r="U2800">
        <f>Data!O2817</f>
        <v>0</v>
      </c>
      <c r="V2800" s="33">
        <f>Data!P2815</f>
        <v>0</v>
      </c>
    </row>
    <row r="2801" spans="7:22" x14ac:dyDescent="0.25">
      <c r="G2801">
        <f>Data!A2814</f>
        <v>0</v>
      </c>
      <c r="H2801" s="21">
        <f>Data!B2814</f>
        <v>0</v>
      </c>
      <c r="I2801" s="21">
        <f>Data!C2814</f>
        <v>0</v>
      </c>
      <c r="J2801">
        <f>Data!D2814</f>
        <v>0</v>
      </c>
      <c r="K2801">
        <f>Data!E2814</f>
        <v>0</v>
      </c>
      <c r="L2801">
        <f>Data!F2814</f>
        <v>0</v>
      </c>
      <c r="M2801">
        <f>Data!G2814</f>
        <v>0</v>
      </c>
      <c r="N2801">
        <f>Data!H2814</f>
        <v>0</v>
      </c>
      <c r="O2801">
        <f>Data!I2814</f>
        <v>0</v>
      </c>
      <c r="P2801" s="21">
        <f>Data!J2818</f>
        <v>0</v>
      </c>
      <c r="Q2801">
        <f>Data!K2818</f>
        <v>0</v>
      </c>
      <c r="R2801">
        <f>Data!L2818</f>
        <v>0</v>
      </c>
      <c r="S2801">
        <f>Data!M2818</f>
        <v>0</v>
      </c>
      <c r="T2801">
        <f>Data!N2818</f>
        <v>0</v>
      </c>
      <c r="U2801">
        <f>Data!O2818</f>
        <v>0</v>
      </c>
      <c r="V2801" s="33">
        <f>Data!P2816</f>
        <v>0</v>
      </c>
    </row>
    <row r="2802" spans="7:22" x14ac:dyDescent="0.25">
      <c r="G2802">
        <f>Data!A2815</f>
        <v>0</v>
      </c>
      <c r="H2802" s="21">
        <f>Data!B2815</f>
        <v>0</v>
      </c>
      <c r="I2802" s="21">
        <f>Data!C2815</f>
        <v>0</v>
      </c>
      <c r="J2802">
        <f>Data!D2815</f>
        <v>0</v>
      </c>
      <c r="K2802">
        <f>Data!E2815</f>
        <v>0</v>
      </c>
      <c r="L2802">
        <f>Data!F2815</f>
        <v>0</v>
      </c>
      <c r="M2802">
        <f>Data!G2815</f>
        <v>0</v>
      </c>
      <c r="N2802">
        <f>Data!H2815</f>
        <v>0</v>
      </c>
      <c r="O2802">
        <f>Data!I2815</f>
        <v>0</v>
      </c>
      <c r="P2802" s="21">
        <f>Data!J2819</f>
        <v>0</v>
      </c>
      <c r="Q2802">
        <f>Data!K2819</f>
        <v>0</v>
      </c>
      <c r="R2802">
        <f>Data!L2819</f>
        <v>0</v>
      </c>
      <c r="S2802">
        <f>Data!M2819</f>
        <v>0</v>
      </c>
      <c r="T2802">
        <f>Data!N2819</f>
        <v>0</v>
      </c>
      <c r="U2802">
        <f>Data!O2819</f>
        <v>0</v>
      </c>
      <c r="V2802" s="33">
        <f>Data!P2817</f>
        <v>0</v>
      </c>
    </row>
    <row r="2803" spans="7:22" x14ac:dyDescent="0.25">
      <c r="G2803">
        <f>Data!A2816</f>
        <v>0</v>
      </c>
      <c r="H2803" s="21">
        <f>Data!B2816</f>
        <v>0</v>
      </c>
      <c r="I2803" s="21">
        <f>Data!C2816</f>
        <v>0</v>
      </c>
      <c r="J2803">
        <f>Data!D2816</f>
        <v>0</v>
      </c>
      <c r="K2803">
        <f>Data!E2816</f>
        <v>0</v>
      </c>
      <c r="L2803">
        <f>Data!F2816</f>
        <v>0</v>
      </c>
      <c r="M2803">
        <f>Data!G2816</f>
        <v>0</v>
      </c>
      <c r="N2803">
        <f>Data!H2816</f>
        <v>0</v>
      </c>
      <c r="O2803">
        <f>Data!I2816</f>
        <v>0</v>
      </c>
      <c r="P2803" s="21">
        <f>Data!J2820</f>
        <v>0</v>
      </c>
      <c r="Q2803">
        <f>Data!K2820</f>
        <v>0</v>
      </c>
      <c r="R2803">
        <f>Data!L2820</f>
        <v>0</v>
      </c>
      <c r="S2803">
        <f>Data!M2820</f>
        <v>0</v>
      </c>
      <c r="T2803">
        <f>Data!N2820</f>
        <v>0</v>
      </c>
      <c r="U2803">
        <f>Data!O2820</f>
        <v>0</v>
      </c>
      <c r="V2803" s="33">
        <f>Data!P2818</f>
        <v>0</v>
      </c>
    </row>
    <row r="2804" spans="7:22" x14ac:dyDescent="0.25">
      <c r="G2804">
        <f>Data!A2817</f>
        <v>0</v>
      </c>
      <c r="H2804" s="21">
        <f>Data!B2817</f>
        <v>0</v>
      </c>
      <c r="I2804" s="21">
        <f>Data!C2817</f>
        <v>0</v>
      </c>
      <c r="J2804">
        <f>Data!D2817</f>
        <v>0</v>
      </c>
      <c r="K2804">
        <f>Data!E2817</f>
        <v>0</v>
      </c>
      <c r="L2804">
        <f>Data!F2817</f>
        <v>0</v>
      </c>
      <c r="M2804">
        <f>Data!G2817</f>
        <v>0</v>
      </c>
      <c r="N2804">
        <f>Data!H2817</f>
        <v>0</v>
      </c>
      <c r="O2804">
        <f>Data!I2817</f>
        <v>0</v>
      </c>
      <c r="P2804" s="21">
        <f>Data!J2821</f>
        <v>0</v>
      </c>
      <c r="Q2804">
        <f>Data!K2821</f>
        <v>0</v>
      </c>
      <c r="R2804">
        <f>Data!L2821</f>
        <v>0</v>
      </c>
      <c r="S2804">
        <f>Data!M2821</f>
        <v>0</v>
      </c>
      <c r="T2804">
        <f>Data!N2821</f>
        <v>0</v>
      </c>
      <c r="U2804">
        <f>Data!O2821</f>
        <v>0</v>
      </c>
      <c r="V2804" s="33">
        <f>Data!P2819</f>
        <v>0</v>
      </c>
    </row>
    <row r="2805" spans="7:22" x14ac:dyDescent="0.25">
      <c r="G2805">
        <f>Data!A2818</f>
        <v>0</v>
      </c>
      <c r="H2805" s="21">
        <f>Data!B2818</f>
        <v>0</v>
      </c>
      <c r="I2805" s="21">
        <f>Data!C2818</f>
        <v>0</v>
      </c>
      <c r="J2805">
        <f>Data!D2818</f>
        <v>0</v>
      </c>
      <c r="K2805">
        <f>Data!E2818</f>
        <v>0</v>
      </c>
      <c r="L2805">
        <f>Data!F2818</f>
        <v>0</v>
      </c>
      <c r="M2805">
        <f>Data!G2818</f>
        <v>0</v>
      </c>
      <c r="N2805">
        <f>Data!H2818</f>
        <v>0</v>
      </c>
      <c r="O2805">
        <f>Data!I2818</f>
        <v>0</v>
      </c>
      <c r="P2805" s="21">
        <f>Data!J2822</f>
        <v>0</v>
      </c>
      <c r="Q2805">
        <f>Data!K2822</f>
        <v>0</v>
      </c>
      <c r="R2805">
        <f>Data!L2822</f>
        <v>0</v>
      </c>
      <c r="S2805">
        <f>Data!M2822</f>
        <v>0</v>
      </c>
      <c r="T2805">
        <f>Data!N2822</f>
        <v>0</v>
      </c>
      <c r="U2805">
        <f>Data!O2822</f>
        <v>0</v>
      </c>
      <c r="V2805" s="33">
        <f>Data!P2820</f>
        <v>0</v>
      </c>
    </row>
    <row r="2806" spans="7:22" x14ac:dyDescent="0.25">
      <c r="G2806">
        <f>Data!A2819</f>
        <v>0</v>
      </c>
      <c r="H2806" s="21">
        <f>Data!B2819</f>
        <v>0</v>
      </c>
      <c r="I2806" s="21">
        <f>Data!C2819</f>
        <v>0</v>
      </c>
      <c r="J2806">
        <f>Data!D2819</f>
        <v>0</v>
      </c>
      <c r="K2806">
        <f>Data!E2819</f>
        <v>0</v>
      </c>
      <c r="L2806">
        <f>Data!F2819</f>
        <v>0</v>
      </c>
      <c r="M2806">
        <f>Data!G2819</f>
        <v>0</v>
      </c>
      <c r="N2806">
        <f>Data!H2819</f>
        <v>0</v>
      </c>
      <c r="O2806">
        <f>Data!I2819</f>
        <v>0</v>
      </c>
      <c r="P2806" s="21">
        <f>Data!J2823</f>
        <v>0</v>
      </c>
      <c r="Q2806">
        <f>Data!K2823</f>
        <v>0</v>
      </c>
      <c r="R2806">
        <f>Data!L2823</f>
        <v>0</v>
      </c>
      <c r="S2806">
        <f>Data!M2823</f>
        <v>0</v>
      </c>
      <c r="T2806">
        <f>Data!N2823</f>
        <v>0</v>
      </c>
      <c r="U2806">
        <f>Data!O2823</f>
        <v>0</v>
      </c>
      <c r="V2806" s="33">
        <f>Data!P2821</f>
        <v>0</v>
      </c>
    </row>
    <row r="2807" spans="7:22" x14ac:dyDescent="0.25">
      <c r="G2807">
        <f>Data!A2820</f>
        <v>0</v>
      </c>
      <c r="H2807" s="21">
        <f>Data!B2820</f>
        <v>0</v>
      </c>
      <c r="I2807" s="21">
        <f>Data!C2820</f>
        <v>0</v>
      </c>
      <c r="J2807">
        <f>Data!D2820</f>
        <v>0</v>
      </c>
      <c r="K2807">
        <f>Data!E2820</f>
        <v>0</v>
      </c>
      <c r="L2807">
        <f>Data!F2820</f>
        <v>0</v>
      </c>
      <c r="M2807">
        <f>Data!G2820</f>
        <v>0</v>
      </c>
      <c r="N2807">
        <f>Data!H2820</f>
        <v>0</v>
      </c>
      <c r="O2807">
        <f>Data!I2820</f>
        <v>0</v>
      </c>
      <c r="P2807" s="21">
        <f>Data!J2824</f>
        <v>0</v>
      </c>
      <c r="Q2807">
        <f>Data!K2824</f>
        <v>0</v>
      </c>
      <c r="R2807">
        <f>Data!L2824</f>
        <v>0</v>
      </c>
      <c r="S2807">
        <f>Data!M2824</f>
        <v>0</v>
      </c>
      <c r="T2807">
        <f>Data!N2824</f>
        <v>0</v>
      </c>
      <c r="U2807">
        <f>Data!O2824</f>
        <v>0</v>
      </c>
      <c r="V2807" s="33">
        <f>Data!P2822</f>
        <v>0</v>
      </c>
    </row>
    <row r="2808" spans="7:22" x14ac:dyDescent="0.25">
      <c r="G2808">
        <f>Data!A2821</f>
        <v>0</v>
      </c>
      <c r="H2808" s="21">
        <f>Data!B2821</f>
        <v>0</v>
      </c>
      <c r="I2808" s="21">
        <f>Data!C2821</f>
        <v>0</v>
      </c>
      <c r="J2808">
        <f>Data!D2821</f>
        <v>0</v>
      </c>
      <c r="K2808">
        <f>Data!E2821</f>
        <v>0</v>
      </c>
      <c r="L2808">
        <f>Data!F2821</f>
        <v>0</v>
      </c>
      <c r="M2808">
        <f>Data!G2821</f>
        <v>0</v>
      </c>
      <c r="N2808">
        <f>Data!H2821</f>
        <v>0</v>
      </c>
      <c r="O2808">
        <f>Data!I2821</f>
        <v>0</v>
      </c>
      <c r="P2808" s="21">
        <f>Data!J2825</f>
        <v>0</v>
      </c>
      <c r="Q2808">
        <f>Data!K2825</f>
        <v>0</v>
      </c>
      <c r="R2808">
        <f>Data!L2825</f>
        <v>0</v>
      </c>
      <c r="S2808">
        <f>Data!M2825</f>
        <v>0</v>
      </c>
      <c r="T2808">
        <f>Data!N2825</f>
        <v>0</v>
      </c>
      <c r="U2808">
        <f>Data!O2825</f>
        <v>0</v>
      </c>
      <c r="V2808" s="33">
        <f>Data!P2823</f>
        <v>0</v>
      </c>
    </row>
    <row r="2809" spans="7:22" x14ac:dyDescent="0.25">
      <c r="G2809">
        <f>Data!A2822</f>
        <v>0</v>
      </c>
      <c r="H2809" s="21">
        <f>Data!B2822</f>
        <v>0</v>
      </c>
      <c r="I2809" s="21">
        <f>Data!C2822</f>
        <v>0</v>
      </c>
      <c r="J2809">
        <f>Data!D2822</f>
        <v>0</v>
      </c>
      <c r="K2809">
        <f>Data!E2822</f>
        <v>0</v>
      </c>
      <c r="L2809">
        <f>Data!F2822</f>
        <v>0</v>
      </c>
      <c r="M2809">
        <f>Data!G2822</f>
        <v>0</v>
      </c>
      <c r="N2809">
        <f>Data!H2822</f>
        <v>0</v>
      </c>
      <c r="O2809">
        <f>Data!I2822</f>
        <v>0</v>
      </c>
      <c r="P2809" s="21">
        <f>Data!J2826</f>
        <v>0</v>
      </c>
      <c r="Q2809">
        <f>Data!K2826</f>
        <v>0</v>
      </c>
      <c r="R2809">
        <f>Data!L2826</f>
        <v>0</v>
      </c>
      <c r="S2809">
        <f>Data!M2826</f>
        <v>0</v>
      </c>
      <c r="T2809">
        <f>Data!N2826</f>
        <v>0</v>
      </c>
      <c r="U2809">
        <f>Data!O2826</f>
        <v>0</v>
      </c>
      <c r="V2809" s="33">
        <f>Data!P2824</f>
        <v>0</v>
      </c>
    </row>
    <row r="2810" spans="7:22" x14ac:dyDescent="0.25">
      <c r="G2810">
        <f>Data!A2823</f>
        <v>0</v>
      </c>
      <c r="H2810" s="21">
        <f>Data!B2823</f>
        <v>0</v>
      </c>
      <c r="I2810" s="21">
        <f>Data!C2823</f>
        <v>0</v>
      </c>
      <c r="J2810">
        <f>Data!D2823</f>
        <v>0</v>
      </c>
      <c r="K2810">
        <f>Data!E2823</f>
        <v>0</v>
      </c>
      <c r="L2810">
        <f>Data!F2823</f>
        <v>0</v>
      </c>
      <c r="M2810">
        <f>Data!G2823</f>
        <v>0</v>
      </c>
      <c r="N2810">
        <f>Data!H2823</f>
        <v>0</v>
      </c>
      <c r="O2810">
        <f>Data!I2823</f>
        <v>0</v>
      </c>
      <c r="P2810" s="21">
        <f>Data!J2827</f>
        <v>0</v>
      </c>
      <c r="Q2810">
        <f>Data!K2827</f>
        <v>0</v>
      </c>
      <c r="R2810">
        <f>Data!L2827</f>
        <v>0</v>
      </c>
      <c r="S2810">
        <f>Data!M2827</f>
        <v>0</v>
      </c>
      <c r="T2810">
        <f>Data!N2827</f>
        <v>0</v>
      </c>
      <c r="U2810">
        <f>Data!O2827</f>
        <v>0</v>
      </c>
      <c r="V2810" s="33">
        <f>Data!P2825</f>
        <v>0</v>
      </c>
    </row>
    <row r="2811" spans="7:22" x14ac:dyDescent="0.25">
      <c r="G2811">
        <f>Data!A2824</f>
        <v>0</v>
      </c>
      <c r="H2811" s="21">
        <f>Data!B2824</f>
        <v>0</v>
      </c>
      <c r="I2811" s="21">
        <f>Data!C2824</f>
        <v>0</v>
      </c>
      <c r="J2811">
        <f>Data!D2824</f>
        <v>0</v>
      </c>
      <c r="K2811">
        <f>Data!E2824</f>
        <v>0</v>
      </c>
      <c r="L2811">
        <f>Data!F2824</f>
        <v>0</v>
      </c>
      <c r="M2811">
        <f>Data!G2824</f>
        <v>0</v>
      </c>
      <c r="N2811">
        <f>Data!H2824</f>
        <v>0</v>
      </c>
      <c r="O2811">
        <f>Data!I2824</f>
        <v>0</v>
      </c>
      <c r="P2811" s="21">
        <f>Data!J2828</f>
        <v>0</v>
      </c>
      <c r="Q2811">
        <f>Data!K2828</f>
        <v>0</v>
      </c>
      <c r="R2811">
        <f>Data!L2828</f>
        <v>0</v>
      </c>
      <c r="S2811">
        <f>Data!M2828</f>
        <v>0</v>
      </c>
      <c r="T2811">
        <f>Data!N2828</f>
        <v>0</v>
      </c>
      <c r="U2811">
        <f>Data!O2828</f>
        <v>0</v>
      </c>
      <c r="V2811" s="33">
        <f>Data!P2826</f>
        <v>0</v>
      </c>
    </row>
    <row r="2812" spans="7:22" x14ac:dyDescent="0.25">
      <c r="G2812">
        <f>Data!A2825</f>
        <v>0</v>
      </c>
      <c r="H2812" s="21">
        <f>Data!B2825</f>
        <v>0</v>
      </c>
      <c r="I2812" s="21">
        <f>Data!C2825</f>
        <v>0</v>
      </c>
      <c r="J2812">
        <f>Data!D2825</f>
        <v>0</v>
      </c>
      <c r="K2812">
        <f>Data!E2825</f>
        <v>0</v>
      </c>
      <c r="L2812">
        <f>Data!F2825</f>
        <v>0</v>
      </c>
      <c r="M2812">
        <f>Data!G2825</f>
        <v>0</v>
      </c>
      <c r="N2812">
        <f>Data!H2825</f>
        <v>0</v>
      </c>
      <c r="O2812">
        <f>Data!I2825</f>
        <v>0</v>
      </c>
      <c r="P2812" s="21">
        <f>Data!J2829</f>
        <v>0</v>
      </c>
      <c r="Q2812">
        <f>Data!K2829</f>
        <v>0</v>
      </c>
      <c r="R2812">
        <f>Data!L2829</f>
        <v>0</v>
      </c>
      <c r="S2812">
        <f>Data!M2829</f>
        <v>0</v>
      </c>
      <c r="T2812">
        <f>Data!N2829</f>
        <v>0</v>
      </c>
      <c r="U2812">
        <f>Data!O2829</f>
        <v>0</v>
      </c>
      <c r="V2812" s="33">
        <f>Data!P2827</f>
        <v>0</v>
      </c>
    </row>
    <row r="2813" spans="7:22" x14ac:dyDescent="0.25">
      <c r="G2813">
        <f>Data!A2826</f>
        <v>0</v>
      </c>
      <c r="H2813" s="21">
        <f>Data!B2826</f>
        <v>0</v>
      </c>
      <c r="I2813" s="21">
        <f>Data!C2826</f>
        <v>0</v>
      </c>
      <c r="J2813">
        <f>Data!D2826</f>
        <v>0</v>
      </c>
      <c r="K2813">
        <f>Data!E2826</f>
        <v>0</v>
      </c>
      <c r="L2813">
        <f>Data!F2826</f>
        <v>0</v>
      </c>
      <c r="M2813">
        <f>Data!G2826</f>
        <v>0</v>
      </c>
      <c r="N2813">
        <f>Data!H2826</f>
        <v>0</v>
      </c>
      <c r="O2813">
        <f>Data!I2826</f>
        <v>0</v>
      </c>
      <c r="P2813" s="21">
        <f>Data!J2830</f>
        <v>0</v>
      </c>
      <c r="Q2813">
        <f>Data!K2830</f>
        <v>0</v>
      </c>
      <c r="R2813">
        <f>Data!L2830</f>
        <v>0</v>
      </c>
      <c r="S2813">
        <f>Data!M2830</f>
        <v>0</v>
      </c>
      <c r="T2813">
        <f>Data!N2830</f>
        <v>0</v>
      </c>
      <c r="U2813">
        <f>Data!O2830</f>
        <v>0</v>
      </c>
      <c r="V2813" s="33">
        <f>Data!P2828</f>
        <v>0</v>
      </c>
    </row>
    <row r="2814" spans="7:22" x14ac:dyDescent="0.25">
      <c r="G2814">
        <f>Data!A2827</f>
        <v>0</v>
      </c>
      <c r="H2814" s="21">
        <f>Data!B2827</f>
        <v>0</v>
      </c>
      <c r="I2814" s="21">
        <f>Data!C2827</f>
        <v>0</v>
      </c>
      <c r="J2814">
        <f>Data!D2827</f>
        <v>0</v>
      </c>
      <c r="K2814">
        <f>Data!E2827</f>
        <v>0</v>
      </c>
      <c r="L2814">
        <f>Data!F2827</f>
        <v>0</v>
      </c>
      <c r="M2814">
        <f>Data!G2827</f>
        <v>0</v>
      </c>
      <c r="N2814">
        <f>Data!H2827</f>
        <v>0</v>
      </c>
      <c r="O2814">
        <f>Data!I2827</f>
        <v>0</v>
      </c>
      <c r="P2814" s="21">
        <f>Data!J2831</f>
        <v>0</v>
      </c>
      <c r="Q2814">
        <f>Data!K2831</f>
        <v>0</v>
      </c>
      <c r="R2814">
        <f>Data!L2831</f>
        <v>0</v>
      </c>
      <c r="S2814">
        <f>Data!M2831</f>
        <v>0</v>
      </c>
      <c r="T2814">
        <f>Data!N2831</f>
        <v>0</v>
      </c>
      <c r="U2814">
        <f>Data!O2831</f>
        <v>0</v>
      </c>
      <c r="V2814" s="33">
        <f>Data!P2829</f>
        <v>0</v>
      </c>
    </row>
    <row r="2815" spans="7:22" x14ac:dyDescent="0.25">
      <c r="G2815">
        <f>Data!A2828</f>
        <v>0</v>
      </c>
      <c r="H2815" s="21">
        <f>Data!B2828</f>
        <v>0</v>
      </c>
      <c r="I2815" s="21">
        <f>Data!C2828</f>
        <v>0</v>
      </c>
      <c r="J2815">
        <f>Data!D2828</f>
        <v>0</v>
      </c>
      <c r="K2815">
        <f>Data!E2828</f>
        <v>0</v>
      </c>
      <c r="L2815">
        <f>Data!F2828</f>
        <v>0</v>
      </c>
      <c r="M2815">
        <f>Data!G2828</f>
        <v>0</v>
      </c>
      <c r="N2815">
        <f>Data!H2828</f>
        <v>0</v>
      </c>
      <c r="O2815">
        <f>Data!I2828</f>
        <v>0</v>
      </c>
      <c r="P2815" s="21">
        <f>Data!J2832</f>
        <v>0</v>
      </c>
      <c r="Q2815">
        <f>Data!K2832</f>
        <v>0</v>
      </c>
      <c r="R2815">
        <f>Data!L2832</f>
        <v>0</v>
      </c>
      <c r="S2815">
        <f>Data!M2832</f>
        <v>0</v>
      </c>
      <c r="T2815">
        <f>Data!N2832</f>
        <v>0</v>
      </c>
      <c r="U2815">
        <f>Data!O2832</f>
        <v>0</v>
      </c>
      <c r="V2815" s="33">
        <f>Data!P2830</f>
        <v>0</v>
      </c>
    </row>
    <row r="2816" spans="7:22" x14ac:dyDescent="0.25">
      <c r="G2816">
        <f>Data!A2829</f>
        <v>0</v>
      </c>
      <c r="H2816" s="21">
        <f>Data!B2829</f>
        <v>0</v>
      </c>
      <c r="I2816" s="21">
        <f>Data!C2829</f>
        <v>0</v>
      </c>
      <c r="J2816">
        <f>Data!D2829</f>
        <v>0</v>
      </c>
      <c r="K2816">
        <f>Data!E2829</f>
        <v>0</v>
      </c>
      <c r="L2816">
        <f>Data!F2829</f>
        <v>0</v>
      </c>
      <c r="M2816">
        <f>Data!G2829</f>
        <v>0</v>
      </c>
      <c r="N2816">
        <f>Data!H2829</f>
        <v>0</v>
      </c>
      <c r="O2816">
        <f>Data!I2829</f>
        <v>0</v>
      </c>
      <c r="P2816" s="21">
        <f>Data!J2833</f>
        <v>0</v>
      </c>
      <c r="Q2816">
        <f>Data!K2833</f>
        <v>0</v>
      </c>
      <c r="R2816">
        <f>Data!L2833</f>
        <v>0</v>
      </c>
      <c r="S2816">
        <f>Data!M2833</f>
        <v>0</v>
      </c>
      <c r="T2816">
        <f>Data!N2833</f>
        <v>0</v>
      </c>
      <c r="U2816">
        <f>Data!O2833</f>
        <v>0</v>
      </c>
      <c r="V2816" s="33">
        <f>Data!P2831</f>
        <v>0</v>
      </c>
    </row>
    <row r="2817" spans="7:22" x14ac:dyDescent="0.25">
      <c r="G2817">
        <f>Data!A2830</f>
        <v>0</v>
      </c>
      <c r="H2817" s="21">
        <f>Data!B2830</f>
        <v>0</v>
      </c>
      <c r="I2817" s="21">
        <f>Data!C2830</f>
        <v>0</v>
      </c>
      <c r="J2817">
        <f>Data!D2830</f>
        <v>0</v>
      </c>
      <c r="K2817">
        <f>Data!E2830</f>
        <v>0</v>
      </c>
      <c r="L2817">
        <f>Data!F2830</f>
        <v>0</v>
      </c>
      <c r="M2817">
        <f>Data!G2830</f>
        <v>0</v>
      </c>
      <c r="N2817">
        <f>Data!H2830</f>
        <v>0</v>
      </c>
      <c r="O2817">
        <f>Data!I2830</f>
        <v>0</v>
      </c>
      <c r="P2817" s="21">
        <f>Data!J2834</f>
        <v>0</v>
      </c>
      <c r="Q2817">
        <f>Data!K2834</f>
        <v>0</v>
      </c>
      <c r="R2817">
        <f>Data!L2834</f>
        <v>0</v>
      </c>
      <c r="S2817">
        <f>Data!M2834</f>
        <v>0</v>
      </c>
      <c r="T2817">
        <f>Data!N2834</f>
        <v>0</v>
      </c>
      <c r="U2817">
        <f>Data!O2834</f>
        <v>0</v>
      </c>
      <c r="V2817" s="33">
        <f>Data!P2832</f>
        <v>0</v>
      </c>
    </row>
    <row r="2818" spans="7:22" x14ac:dyDescent="0.25">
      <c r="G2818">
        <f>Data!A2831</f>
        <v>0</v>
      </c>
      <c r="H2818" s="21">
        <f>Data!B2831</f>
        <v>0</v>
      </c>
      <c r="I2818" s="21">
        <f>Data!C2831</f>
        <v>0</v>
      </c>
      <c r="J2818">
        <f>Data!D2831</f>
        <v>0</v>
      </c>
      <c r="K2818">
        <f>Data!E2831</f>
        <v>0</v>
      </c>
      <c r="L2818">
        <f>Data!F2831</f>
        <v>0</v>
      </c>
      <c r="M2818">
        <f>Data!G2831</f>
        <v>0</v>
      </c>
      <c r="N2818">
        <f>Data!H2831</f>
        <v>0</v>
      </c>
      <c r="O2818">
        <f>Data!I2831</f>
        <v>0</v>
      </c>
      <c r="P2818" s="21">
        <f>Data!J2835</f>
        <v>0</v>
      </c>
      <c r="Q2818">
        <f>Data!K2835</f>
        <v>0</v>
      </c>
      <c r="R2818">
        <f>Data!L2835</f>
        <v>0</v>
      </c>
      <c r="S2818">
        <f>Data!M2835</f>
        <v>0</v>
      </c>
      <c r="T2818">
        <f>Data!N2835</f>
        <v>0</v>
      </c>
      <c r="U2818">
        <f>Data!O2835</f>
        <v>0</v>
      </c>
      <c r="V2818" s="33">
        <f>Data!P2833</f>
        <v>0</v>
      </c>
    </row>
    <row r="2819" spans="7:22" x14ac:dyDescent="0.25">
      <c r="G2819">
        <f>Data!A2832</f>
        <v>0</v>
      </c>
      <c r="H2819" s="21">
        <f>Data!B2832</f>
        <v>0</v>
      </c>
      <c r="I2819" s="21">
        <f>Data!C2832</f>
        <v>0</v>
      </c>
      <c r="J2819">
        <f>Data!D2832</f>
        <v>0</v>
      </c>
      <c r="K2819">
        <f>Data!E2832</f>
        <v>0</v>
      </c>
      <c r="L2819">
        <f>Data!F2832</f>
        <v>0</v>
      </c>
      <c r="M2819">
        <f>Data!G2832</f>
        <v>0</v>
      </c>
      <c r="N2819">
        <f>Data!H2832</f>
        <v>0</v>
      </c>
      <c r="O2819">
        <f>Data!I2832</f>
        <v>0</v>
      </c>
      <c r="P2819" s="21">
        <f>Data!J2836</f>
        <v>0</v>
      </c>
      <c r="Q2819">
        <f>Data!K2836</f>
        <v>0</v>
      </c>
      <c r="R2819">
        <f>Data!L2836</f>
        <v>0</v>
      </c>
      <c r="S2819">
        <f>Data!M2836</f>
        <v>0</v>
      </c>
      <c r="T2819">
        <f>Data!N2836</f>
        <v>0</v>
      </c>
      <c r="U2819">
        <f>Data!O2836</f>
        <v>0</v>
      </c>
      <c r="V2819" s="33">
        <f>Data!P2834</f>
        <v>0</v>
      </c>
    </row>
    <row r="2820" spans="7:22" x14ac:dyDescent="0.25">
      <c r="G2820">
        <f>Data!A2833</f>
        <v>0</v>
      </c>
      <c r="H2820" s="21">
        <f>Data!B2833</f>
        <v>0</v>
      </c>
      <c r="I2820" s="21">
        <f>Data!C2833</f>
        <v>0</v>
      </c>
      <c r="J2820">
        <f>Data!D2833</f>
        <v>0</v>
      </c>
      <c r="K2820">
        <f>Data!E2833</f>
        <v>0</v>
      </c>
      <c r="L2820">
        <f>Data!F2833</f>
        <v>0</v>
      </c>
      <c r="M2820">
        <f>Data!G2833</f>
        <v>0</v>
      </c>
      <c r="N2820">
        <f>Data!H2833</f>
        <v>0</v>
      </c>
      <c r="O2820">
        <f>Data!I2833</f>
        <v>0</v>
      </c>
      <c r="P2820" s="21">
        <f>Data!J2837</f>
        <v>0</v>
      </c>
      <c r="Q2820">
        <f>Data!K2837</f>
        <v>0</v>
      </c>
      <c r="R2820">
        <f>Data!L2837</f>
        <v>0</v>
      </c>
      <c r="S2820">
        <f>Data!M2837</f>
        <v>0</v>
      </c>
      <c r="T2820">
        <f>Data!N2837</f>
        <v>0</v>
      </c>
      <c r="U2820">
        <f>Data!O2837</f>
        <v>0</v>
      </c>
      <c r="V2820" s="33">
        <f>Data!P2835</f>
        <v>0</v>
      </c>
    </row>
    <row r="2821" spans="7:22" x14ac:dyDescent="0.25">
      <c r="G2821">
        <f>Data!A2834</f>
        <v>0</v>
      </c>
      <c r="H2821" s="21">
        <f>Data!B2834</f>
        <v>0</v>
      </c>
      <c r="I2821" s="21">
        <f>Data!C2834</f>
        <v>0</v>
      </c>
      <c r="J2821">
        <f>Data!D2834</f>
        <v>0</v>
      </c>
      <c r="K2821">
        <f>Data!E2834</f>
        <v>0</v>
      </c>
      <c r="L2821">
        <f>Data!F2834</f>
        <v>0</v>
      </c>
      <c r="M2821">
        <f>Data!G2834</f>
        <v>0</v>
      </c>
      <c r="N2821">
        <f>Data!H2834</f>
        <v>0</v>
      </c>
      <c r="O2821">
        <f>Data!I2834</f>
        <v>0</v>
      </c>
      <c r="P2821" s="21">
        <f>Data!J2838</f>
        <v>0</v>
      </c>
      <c r="Q2821">
        <f>Data!K2838</f>
        <v>0</v>
      </c>
      <c r="R2821">
        <f>Data!L2838</f>
        <v>0</v>
      </c>
      <c r="S2821">
        <f>Data!M2838</f>
        <v>0</v>
      </c>
      <c r="T2821">
        <f>Data!N2838</f>
        <v>0</v>
      </c>
      <c r="U2821">
        <f>Data!O2838</f>
        <v>0</v>
      </c>
      <c r="V2821" s="33">
        <f>Data!P2836</f>
        <v>0</v>
      </c>
    </row>
    <row r="2822" spans="7:22" x14ac:dyDescent="0.25">
      <c r="G2822">
        <f>Data!A2835</f>
        <v>0</v>
      </c>
      <c r="H2822" s="21">
        <f>Data!B2835</f>
        <v>0</v>
      </c>
      <c r="I2822" s="21">
        <f>Data!C2835</f>
        <v>0</v>
      </c>
      <c r="J2822">
        <f>Data!D2835</f>
        <v>0</v>
      </c>
      <c r="K2822">
        <f>Data!E2835</f>
        <v>0</v>
      </c>
      <c r="L2822">
        <f>Data!F2835</f>
        <v>0</v>
      </c>
      <c r="M2822">
        <f>Data!G2835</f>
        <v>0</v>
      </c>
      <c r="N2822">
        <f>Data!H2835</f>
        <v>0</v>
      </c>
      <c r="O2822">
        <f>Data!I2835</f>
        <v>0</v>
      </c>
      <c r="P2822" s="21">
        <f>Data!J2839</f>
        <v>0</v>
      </c>
      <c r="Q2822">
        <f>Data!K2839</f>
        <v>0</v>
      </c>
      <c r="R2822">
        <f>Data!L2839</f>
        <v>0</v>
      </c>
      <c r="S2822">
        <f>Data!M2839</f>
        <v>0</v>
      </c>
      <c r="T2822">
        <f>Data!N2839</f>
        <v>0</v>
      </c>
      <c r="U2822">
        <f>Data!O2839</f>
        <v>0</v>
      </c>
      <c r="V2822" s="33">
        <f>Data!P2837</f>
        <v>0</v>
      </c>
    </row>
    <row r="2823" spans="7:22" x14ac:dyDescent="0.25">
      <c r="G2823">
        <f>Data!A2836</f>
        <v>0</v>
      </c>
      <c r="H2823" s="21">
        <f>Data!B2836</f>
        <v>0</v>
      </c>
      <c r="I2823" s="21">
        <f>Data!C2836</f>
        <v>0</v>
      </c>
      <c r="J2823">
        <f>Data!D2836</f>
        <v>0</v>
      </c>
      <c r="K2823">
        <f>Data!E2836</f>
        <v>0</v>
      </c>
      <c r="L2823">
        <f>Data!F2836</f>
        <v>0</v>
      </c>
      <c r="M2823">
        <f>Data!G2836</f>
        <v>0</v>
      </c>
      <c r="N2823">
        <f>Data!H2836</f>
        <v>0</v>
      </c>
      <c r="O2823">
        <f>Data!I2836</f>
        <v>0</v>
      </c>
      <c r="P2823" s="21">
        <f>Data!J2840</f>
        <v>0</v>
      </c>
      <c r="Q2823">
        <f>Data!K2840</f>
        <v>0</v>
      </c>
      <c r="R2823">
        <f>Data!L2840</f>
        <v>0</v>
      </c>
      <c r="S2823">
        <f>Data!M2840</f>
        <v>0</v>
      </c>
      <c r="T2823">
        <f>Data!N2840</f>
        <v>0</v>
      </c>
      <c r="U2823">
        <f>Data!O2840</f>
        <v>0</v>
      </c>
      <c r="V2823" s="33">
        <f>Data!P2838</f>
        <v>0</v>
      </c>
    </row>
    <row r="2824" spans="7:22" x14ac:dyDescent="0.25">
      <c r="G2824">
        <f>Data!A2837</f>
        <v>0</v>
      </c>
      <c r="H2824" s="21">
        <f>Data!B2837</f>
        <v>0</v>
      </c>
      <c r="I2824" s="21">
        <f>Data!C2837</f>
        <v>0</v>
      </c>
      <c r="J2824">
        <f>Data!D2837</f>
        <v>0</v>
      </c>
      <c r="K2824">
        <f>Data!E2837</f>
        <v>0</v>
      </c>
      <c r="L2824">
        <f>Data!F2837</f>
        <v>0</v>
      </c>
      <c r="M2824">
        <f>Data!G2837</f>
        <v>0</v>
      </c>
      <c r="N2824">
        <f>Data!H2837</f>
        <v>0</v>
      </c>
      <c r="O2824">
        <f>Data!I2837</f>
        <v>0</v>
      </c>
      <c r="P2824" s="21">
        <f>Data!J2841</f>
        <v>0</v>
      </c>
      <c r="Q2824">
        <f>Data!K2841</f>
        <v>0</v>
      </c>
      <c r="R2824">
        <f>Data!L2841</f>
        <v>0</v>
      </c>
      <c r="S2824">
        <f>Data!M2841</f>
        <v>0</v>
      </c>
      <c r="T2824">
        <f>Data!N2841</f>
        <v>0</v>
      </c>
      <c r="U2824">
        <f>Data!O2841</f>
        <v>0</v>
      </c>
      <c r="V2824" s="33">
        <f>Data!P2839</f>
        <v>0</v>
      </c>
    </row>
    <row r="2825" spans="7:22" x14ac:dyDescent="0.25">
      <c r="G2825">
        <f>Data!A2838</f>
        <v>0</v>
      </c>
      <c r="H2825" s="21">
        <f>Data!B2838</f>
        <v>0</v>
      </c>
      <c r="I2825" s="21">
        <f>Data!C2838</f>
        <v>0</v>
      </c>
      <c r="J2825">
        <f>Data!D2838</f>
        <v>0</v>
      </c>
      <c r="K2825">
        <f>Data!E2838</f>
        <v>0</v>
      </c>
      <c r="L2825">
        <f>Data!F2838</f>
        <v>0</v>
      </c>
      <c r="M2825">
        <f>Data!G2838</f>
        <v>0</v>
      </c>
      <c r="N2825">
        <f>Data!H2838</f>
        <v>0</v>
      </c>
      <c r="O2825">
        <f>Data!I2838</f>
        <v>0</v>
      </c>
      <c r="P2825" s="21">
        <f>Data!J2842</f>
        <v>0</v>
      </c>
      <c r="Q2825">
        <f>Data!K2842</f>
        <v>0</v>
      </c>
      <c r="R2825">
        <f>Data!L2842</f>
        <v>0</v>
      </c>
      <c r="S2825">
        <f>Data!M2842</f>
        <v>0</v>
      </c>
      <c r="T2825">
        <f>Data!N2842</f>
        <v>0</v>
      </c>
      <c r="U2825">
        <f>Data!O2842</f>
        <v>0</v>
      </c>
      <c r="V2825" s="33">
        <f>Data!P2840</f>
        <v>0</v>
      </c>
    </row>
    <row r="2826" spans="7:22" x14ac:dyDescent="0.25">
      <c r="G2826">
        <f>Data!A2839</f>
        <v>0</v>
      </c>
      <c r="H2826" s="21">
        <f>Data!B2839</f>
        <v>0</v>
      </c>
      <c r="I2826" s="21">
        <f>Data!C2839</f>
        <v>0</v>
      </c>
      <c r="J2826">
        <f>Data!D2839</f>
        <v>0</v>
      </c>
      <c r="K2826">
        <f>Data!E2839</f>
        <v>0</v>
      </c>
      <c r="L2826">
        <f>Data!F2839</f>
        <v>0</v>
      </c>
      <c r="M2826">
        <f>Data!G2839</f>
        <v>0</v>
      </c>
      <c r="N2826">
        <f>Data!H2839</f>
        <v>0</v>
      </c>
      <c r="O2826">
        <f>Data!I2839</f>
        <v>0</v>
      </c>
      <c r="P2826" s="21">
        <f>Data!J2843</f>
        <v>0</v>
      </c>
      <c r="Q2826">
        <f>Data!K2843</f>
        <v>0</v>
      </c>
      <c r="R2826">
        <f>Data!L2843</f>
        <v>0</v>
      </c>
      <c r="S2826">
        <f>Data!M2843</f>
        <v>0</v>
      </c>
      <c r="T2826">
        <f>Data!N2843</f>
        <v>0</v>
      </c>
      <c r="U2826">
        <f>Data!O2843</f>
        <v>0</v>
      </c>
      <c r="V2826" s="33">
        <f>Data!P2841</f>
        <v>0</v>
      </c>
    </row>
    <row r="2827" spans="7:22" x14ac:dyDescent="0.25">
      <c r="G2827">
        <f>Data!A2840</f>
        <v>0</v>
      </c>
      <c r="H2827" s="21">
        <f>Data!B2840</f>
        <v>0</v>
      </c>
      <c r="I2827" s="21">
        <f>Data!C2840</f>
        <v>0</v>
      </c>
      <c r="J2827">
        <f>Data!D2840</f>
        <v>0</v>
      </c>
      <c r="K2827">
        <f>Data!E2840</f>
        <v>0</v>
      </c>
      <c r="L2827">
        <f>Data!F2840</f>
        <v>0</v>
      </c>
      <c r="M2827">
        <f>Data!G2840</f>
        <v>0</v>
      </c>
      <c r="N2827">
        <f>Data!H2840</f>
        <v>0</v>
      </c>
      <c r="O2827">
        <f>Data!I2840</f>
        <v>0</v>
      </c>
      <c r="P2827" s="21">
        <f>Data!J2844</f>
        <v>0</v>
      </c>
      <c r="Q2827">
        <f>Data!K2844</f>
        <v>0</v>
      </c>
      <c r="R2827">
        <f>Data!L2844</f>
        <v>0</v>
      </c>
      <c r="S2827">
        <f>Data!M2844</f>
        <v>0</v>
      </c>
      <c r="T2827">
        <f>Data!N2844</f>
        <v>0</v>
      </c>
      <c r="U2827">
        <f>Data!O2844</f>
        <v>0</v>
      </c>
      <c r="V2827" s="33">
        <f>Data!P2842</f>
        <v>0</v>
      </c>
    </row>
    <row r="2828" spans="7:22" x14ac:dyDescent="0.25">
      <c r="G2828">
        <f>Data!A2841</f>
        <v>0</v>
      </c>
      <c r="H2828" s="21">
        <f>Data!B2841</f>
        <v>0</v>
      </c>
      <c r="I2828" s="21">
        <f>Data!C2841</f>
        <v>0</v>
      </c>
      <c r="J2828">
        <f>Data!D2841</f>
        <v>0</v>
      </c>
      <c r="K2828">
        <f>Data!E2841</f>
        <v>0</v>
      </c>
      <c r="L2828">
        <f>Data!F2841</f>
        <v>0</v>
      </c>
      <c r="M2828">
        <f>Data!G2841</f>
        <v>0</v>
      </c>
      <c r="N2828">
        <f>Data!H2841</f>
        <v>0</v>
      </c>
      <c r="O2828">
        <f>Data!I2841</f>
        <v>0</v>
      </c>
      <c r="P2828" s="21">
        <f>Data!J2845</f>
        <v>0</v>
      </c>
      <c r="Q2828">
        <f>Data!K2845</f>
        <v>0</v>
      </c>
      <c r="R2828">
        <f>Data!L2845</f>
        <v>0</v>
      </c>
      <c r="S2828">
        <f>Data!M2845</f>
        <v>0</v>
      </c>
      <c r="T2828">
        <f>Data!N2845</f>
        <v>0</v>
      </c>
      <c r="U2828">
        <f>Data!O2845</f>
        <v>0</v>
      </c>
      <c r="V2828" s="33">
        <f>Data!P2843</f>
        <v>0</v>
      </c>
    </row>
    <row r="2829" spans="7:22" x14ac:dyDescent="0.25">
      <c r="G2829">
        <f>Data!A2842</f>
        <v>0</v>
      </c>
      <c r="H2829" s="21">
        <f>Data!B2842</f>
        <v>0</v>
      </c>
      <c r="I2829" s="21">
        <f>Data!C2842</f>
        <v>0</v>
      </c>
      <c r="J2829">
        <f>Data!D2842</f>
        <v>0</v>
      </c>
      <c r="K2829">
        <f>Data!E2842</f>
        <v>0</v>
      </c>
      <c r="L2829">
        <f>Data!F2842</f>
        <v>0</v>
      </c>
      <c r="M2829">
        <f>Data!G2842</f>
        <v>0</v>
      </c>
      <c r="N2829">
        <f>Data!H2842</f>
        <v>0</v>
      </c>
      <c r="O2829">
        <f>Data!I2842</f>
        <v>0</v>
      </c>
      <c r="P2829" s="21">
        <f>Data!J2846</f>
        <v>0</v>
      </c>
      <c r="Q2829">
        <f>Data!K2846</f>
        <v>0</v>
      </c>
      <c r="R2829">
        <f>Data!L2846</f>
        <v>0</v>
      </c>
      <c r="S2829">
        <f>Data!M2846</f>
        <v>0</v>
      </c>
      <c r="T2829">
        <f>Data!N2846</f>
        <v>0</v>
      </c>
      <c r="U2829">
        <f>Data!O2846</f>
        <v>0</v>
      </c>
      <c r="V2829" s="33">
        <f>Data!P2844</f>
        <v>0</v>
      </c>
    </row>
    <row r="2830" spans="7:22" x14ac:dyDescent="0.25">
      <c r="G2830">
        <f>Data!A2843</f>
        <v>0</v>
      </c>
      <c r="H2830" s="21">
        <f>Data!B2843</f>
        <v>0</v>
      </c>
      <c r="I2830" s="21">
        <f>Data!C2843</f>
        <v>0</v>
      </c>
      <c r="J2830">
        <f>Data!D2843</f>
        <v>0</v>
      </c>
      <c r="K2830">
        <f>Data!E2843</f>
        <v>0</v>
      </c>
      <c r="L2830">
        <f>Data!F2843</f>
        <v>0</v>
      </c>
      <c r="M2830">
        <f>Data!G2843</f>
        <v>0</v>
      </c>
      <c r="N2830">
        <f>Data!H2843</f>
        <v>0</v>
      </c>
      <c r="O2830">
        <f>Data!I2843</f>
        <v>0</v>
      </c>
      <c r="P2830" s="21">
        <f>Data!J2847</f>
        <v>0</v>
      </c>
      <c r="Q2830">
        <f>Data!K2847</f>
        <v>0</v>
      </c>
      <c r="R2830">
        <f>Data!L2847</f>
        <v>0</v>
      </c>
      <c r="S2830">
        <f>Data!M2847</f>
        <v>0</v>
      </c>
      <c r="T2830">
        <f>Data!N2847</f>
        <v>0</v>
      </c>
      <c r="U2830">
        <f>Data!O2847</f>
        <v>0</v>
      </c>
      <c r="V2830" s="33">
        <f>Data!P2845</f>
        <v>0</v>
      </c>
    </row>
    <row r="2831" spans="7:22" x14ac:dyDescent="0.25">
      <c r="G2831">
        <f>Data!A2844</f>
        <v>0</v>
      </c>
      <c r="H2831" s="21">
        <f>Data!B2844</f>
        <v>0</v>
      </c>
      <c r="I2831" s="21">
        <f>Data!C2844</f>
        <v>0</v>
      </c>
      <c r="J2831">
        <f>Data!D2844</f>
        <v>0</v>
      </c>
      <c r="K2831">
        <f>Data!E2844</f>
        <v>0</v>
      </c>
      <c r="L2831">
        <f>Data!F2844</f>
        <v>0</v>
      </c>
      <c r="M2831">
        <f>Data!G2844</f>
        <v>0</v>
      </c>
      <c r="N2831">
        <f>Data!H2844</f>
        <v>0</v>
      </c>
      <c r="O2831">
        <f>Data!I2844</f>
        <v>0</v>
      </c>
      <c r="P2831" s="21">
        <f>Data!J2848</f>
        <v>0</v>
      </c>
      <c r="Q2831">
        <f>Data!K2848</f>
        <v>0</v>
      </c>
      <c r="R2831">
        <f>Data!L2848</f>
        <v>0</v>
      </c>
      <c r="S2831">
        <f>Data!M2848</f>
        <v>0</v>
      </c>
      <c r="T2831">
        <f>Data!N2848</f>
        <v>0</v>
      </c>
      <c r="U2831">
        <f>Data!O2848</f>
        <v>0</v>
      </c>
      <c r="V2831" s="33">
        <f>Data!P2846</f>
        <v>0</v>
      </c>
    </row>
    <row r="2832" spans="7:22" x14ac:dyDescent="0.25">
      <c r="G2832">
        <f>Data!A2845</f>
        <v>0</v>
      </c>
      <c r="H2832" s="21">
        <f>Data!B2845</f>
        <v>0</v>
      </c>
      <c r="I2832" s="21">
        <f>Data!C2845</f>
        <v>0</v>
      </c>
      <c r="J2832">
        <f>Data!D2845</f>
        <v>0</v>
      </c>
      <c r="K2832">
        <f>Data!E2845</f>
        <v>0</v>
      </c>
      <c r="L2832">
        <f>Data!F2845</f>
        <v>0</v>
      </c>
      <c r="M2832">
        <f>Data!G2845</f>
        <v>0</v>
      </c>
      <c r="N2832">
        <f>Data!H2845</f>
        <v>0</v>
      </c>
      <c r="O2832">
        <f>Data!I2845</f>
        <v>0</v>
      </c>
      <c r="P2832" s="21">
        <f>Data!J2849</f>
        <v>0</v>
      </c>
      <c r="Q2832">
        <f>Data!K2849</f>
        <v>0</v>
      </c>
      <c r="R2832">
        <f>Data!L2849</f>
        <v>0</v>
      </c>
      <c r="S2832">
        <f>Data!M2849</f>
        <v>0</v>
      </c>
      <c r="T2832">
        <f>Data!N2849</f>
        <v>0</v>
      </c>
      <c r="U2832">
        <f>Data!O2849</f>
        <v>0</v>
      </c>
      <c r="V2832" s="33">
        <f>Data!P2847</f>
        <v>0</v>
      </c>
    </row>
    <row r="2833" spans="7:22" x14ac:dyDescent="0.25">
      <c r="G2833">
        <f>Data!A2846</f>
        <v>0</v>
      </c>
      <c r="H2833" s="21">
        <f>Data!B2846</f>
        <v>0</v>
      </c>
      <c r="I2833" s="21">
        <f>Data!C2846</f>
        <v>0</v>
      </c>
      <c r="J2833">
        <f>Data!D2846</f>
        <v>0</v>
      </c>
      <c r="K2833">
        <f>Data!E2846</f>
        <v>0</v>
      </c>
      <c r="L2833">
        <f>Data!F2846</f>
        <v>0</v>
      </c>
      <c r="M2833">
        <f>Data!G2846</f>
        <v>0</v>
      </c>
      <c r="N2833">
        <f>Data!H2846</f>
        <v>0</v>
      </c>
      <c r="O2833">
        <f>Data!I2846</f>
        <v>0</v>
      </c>
      <c r="P2833" s="21">
        <f>Data!J2850</f>
        <v>0</v>
      </c>
      <c r="Q2833">
        <f>Data!K2850</f>
        <v>0</v>
      </c>
      <c r="R2833">
        <f>Data!L2850</f>
        <v>0</v>
      </c>
      <c r="S2833">
        <f>Data!M2850</f>
        <v>0</v>
      </c>
      <c r="T2833">
        <f>Data!N2850</f>
        <v>0</v>
      </c>
      <c r="U2833">
        <f>Data!O2850</f>
        <v>0</v>
      </c>
      <c r="V2833" s="33">
        <f>Data!P2848</f>
        <v>0</v>
      </c>
    </row>
    <row r="2834" spans="7:22" x14ac:dyDescent="0.25">
      <c r="G2834">
        <f>Data!A2847</f>
        <v>0</v>
      </c>
      <c r="H2834" s="21">
        <f>Data!B2847</f>
        <v>0</v>
      </c>
      <c r="I2834" s="21">
        <f>Data!C2847</f>
        <v>0</v>
      </c>
      <c r="J2834">
        <f>Data!D2847</f>
        <v>0</v>
      </c>
      <c r="K2834">
        <f>Data!E2847</f>
        <v>0</v>
      </c>
      <c r="L2834">
        <f>Data!F2847</f>
        <v>0</v>
      </c>
      <c r="M2834">
        <f>Data!G2847</f>
        <v>0</v>
      </c>
      <c r="N2834">
        <f>Data!H2847</f>
        <v>0</v>
      </c>
      <c r="O2834">
        <f>Data!I2847</f>
        <v>0</v>
      </c>
      <c r="P2834" s="21">
        <f>Data!J2851</f>
        <v>0</v>
      </c>
      <c r="Q2834">
        <f>Data!K2851</f>
        <v>0</v>
      </c>
      <c r="R2834">
        <f>Data!L2851</f>
        <v>0</v>
      </c>
      <c r="S2834">
        <f>Data!M2851</f>
        <v>0</v>
      </c>
      <c r="T2834">
        <f>Data!N2851</f>
        <v>0</v>
      </c>
      <c r="U2834">
        <f>Data!O2851</f>
        <v>0</v>
      </c>
      <c r="V2834" s="33">
        <f>Data!P2849</f>
        <v>0</v>
      </c>
    </row>
    <row r="2835" spans="7:22" x14ac:dyDescent="0.25">
      <c r="G2835">
        <f>Data!A2848</f>
        <v>0</v>
      </c>
      <c r="H2835" s="21">
        <f>Data!B2848</f>
        <v>0</v>
      </c>
      <c r="I2835" s="21">
        <f>Data!C2848</f>
        <v>0</v>
      </c>
      <c r="J2835">
        <f>Data!D2848</f>
        <v>0</v>
      </c>
      <c r="K2835">
        <f>Data!E2848</f>
        <v>0</v>
      </c>
      <c r="L2835">
        <f>Data!F2848</f>
        <v>0</v>
      </c>
      <c r="M2835">
        <f>Data!G2848</f>
        <v>0</v>
      </c>
      <c r="N2835">
        <f>Data!H2848</f>
        <v>0</v>
      </c>
      <c r="O2835">
        <f>Data!I2848</f>
        <v>0</v>
      </c>
      <c r="P2835" s="21">
        <f>Data!J2852</f>
        <v>0</v>
      </c>
      <c r="Q2835">
        <f>Data!K2852</f>
        <v>0</v>
      </c>
      <c r="R2835">
        <f>Data!L2852</f>
        <v>0</v>
      </c>
      <c r="S2835">
        <f>Data!M2852</f>
        <v>0</v>
      </c>
      <c r="T2835">
        <f>Data!N2852</f>
        <v>0</v>
      </c>
      <c r="U2835">
        <f>Data!O2852</f>
        <v>0</v>
      </c>
      <c r="V2835" s="33">
        <f>Data!P2850</f>
        <v>0</v>
      </c>
    </row>
    <row r="2836" spans="7:22" x14ac:dyDescent="0.25">
      <c r="G2836">
        <f>Data!A2849</f>
        <v>0</v>
      </c>
      <c r="H2836" s="21">
        <f>Data!B2849</f>
        <v>0</v>
      </c>
      <c r="I2836" s="21">
        <f>Data!C2849</f>
        <v>0</v>
      </c>
      <c r="J2836">
        <f>Data!D2849</f>
        <v>0</v>
      </c>
      <c r="K2836">
        <f>Data!E2849</f>
        <v>0</v>
      </c>
      <c r="L2836">
        <f>Data!F2849</f>
        <v>0</v>
      </c>
      <c r="M2836">
        <f>Data!G2849</f>
        <v>0</v>
      </c>
      <c r="N2836">
        <f>Data!H2849</f>
        <v>0</v>
      </c>
      <c r="O2836">
        <f>Data!I2849</f>
        <v>0</v>
      </c>
      <c r="P2836" s="21">
        <f>Data!J2853</f>
        <v>0</v>
      </c>
      <c r="Q2836">
        <f>Data!K2853</f>
        <v>0</v>
      </c>
      <c r="R2836">
        <f>Data!L2853</f>
        <v>0</v>
      </c>
      <c r="S2836">
        <f>Data!M2853</f>
        <v>0</v>
      </c>
      <c r="T2836">
        <f>Data!N2853</f>
        <v>0</v>
      </c>
      <c r="U2836">
        <f>Data!O2853</f>
        <v>0</v>
      </c>
      <c r="V2836" s="33">
        <f>Data!P2851</f>
        <v>0</v>
      </c>
    </row>
    <row r="2837" spans="7:22" x14ac:dyDescent="0.25">
      <c r="G2837">
        <f>Data!A2850</f>
        <v>0</v>
      </c>
      <c r="H2837" s="21">
        <f>Data!B2850</f>
        <v>0</v>
      </c>
      <c r="I2837" s="21">
        <f>Data!C2850</f>
        <v>0</v>
      </c>
      <c r="J2837">
        <f>Data!D2850</f>
        <v>0</v>
      </c>
      <c r="K2837">
        <f>Data!E2850</f>
        <v>0</v>
      </c>
      <c r="L2837">
        <f>Data!F2850</f>
        <v>0</v>
      </c>
      <c r="M2837">
        <f>Data!G2850</f>
        <v>0</v>
      </c>
      <c r="N2837">
        <f>Data!H2850</f>
        <v>0</v>
      </c>
      <c r="O2837">
        <f>Data!I2850</f>
        <v>0</v>
      </c>
      <c r="P2837" s="21">
        <f>Data!J2854</f>
        <v>0</v>
      </c>
      <c r="Q2837">
        <f>Data!K2854</f>
        <v>0</v>
      </c>
      <c r="R2837">
        <f>Data!L2854</f>
        <v>0</v>
      </c>
      <c r="S2837">
        <f>Data!M2854</f>
        <v>0</v>
      </c>
      <c r="T2837">
        <f>Data!N2854</f>
        <v>0</v>
      </c>
      <c r="U2837">
        <f>Data!O2854</f>
        <v>0</v>
      </c>
      <c r="V2837" s="33">
        <f>Data!P2852</f>
        <v>0</v>
      </c>
    </row>
    <row r="2838" spans="7:22" x14ac:dyDescent="0.25">
      <c r="G2838">
        <f>Data!A2851</f>
        <v>0</v>
      </c>
      <c r="H2838" s="21">
        <f>Data!B2851</f>
        <v>0</v>
      </c>
      <c r="I2838" s="21">
        <f>Data!C2851</f>
        <v>0</v>
      </c>
      <c r="J2838">
        <f>Data!D2851</f>
        <v>0</v>
      </c>
      <c r="K2838">
        <f>Data!E2851</f>
        <v>0</v>
      </c>
      <c r="L2838">
        <f>Data!F2851</f>
        <v>0</v>
      </c>
      <c r="M2838">
        <f>Data!G2851</f>
        <v>0</v>
      </c>
      <c r="N2838">
        <f>Data!H2851</f>
        <v>0</v>
      </c>
      <c r="O2838">
        <f>Data!I2851</f>
        <v>0</v>
      </c>
      <c r="P2838" s="21">
        <f>Data!J2855</f>
        <v>0</v>
      </c>
      <c r="Q2838">
        <f>Data!K2855</f>
        <v>0</v>
      </c>
      <c r="R2838">
        <f>Data!L2855</f>
        <v>0</v>
      </c>
      <c r="S2838">
        <f>Data!M2855</f>
        <v>0</v>
      </c>
      <c r="T2838">
        <f>Data!N2855</f>
        <v>0</v>
      </c>
      <c r="U2838">
        <f>Data!O2855</f>
        <v>0</v>
      </c>
      <c r="V2838" s="33">
        <f>Data!P2853</f>
        <v>0</v>
      </c>
    </row>
    <row r="2839" spans="7:22" x14ac:dyDescent="0.25">
      <c r="G2839">
        <f>Data!A2852</f>
        <v>0</v>
      </c>
      <c r="H2839" s="21">
        <f>Data!B2852</f>
        <v>0</v>
      </c>
      <c r="I2839" s="21">
        <f>Data!C2852</f>
        <v>0</v>
      </c>
      <c r="J2839">
        <f>Data!D2852</f>
        <v>0</v>
      </c>
      <c r="K2839">
        <f>Data!E2852</f>
        <v>0</v>
      </c>
      <c r="L2839">
        <f>Data!F2852</f>
        <v>0</v>
      </c>
      <c r="M2839">
        <f>Data!G2852</f>
        <v>0</v>
      </c>
      <c r="N2839">
        <f>Data!H2852</f>
        <v>0</v>
      </c>
      <c r="O2839">
        <f>Data!I2852</f>
        <v>0</v>
      </c>
      <c r="P2839" s="21">
        <f>Data!J2856</f>
        <v>0</v>
      </c>
      <c r="Q2839">
        <f>Data!K2856</f>
        <v>0</v>
      </c>
      <c r="R2839">
        <f>Data!L2856</f>
        <v>0</v>
      </c>
      <c r="S2839">
        <f>Data!M2856</f>
        <v>0</v>
      </c>
      <c r="T2839">
        <f>Data!N2856</f>
        <v>0</v>
      </c>
      <c r="U2839">
        <f>Data!O2856</f>
        <v>0</v>
      </c>
      <c r="V2839" s="33">
        <f>Data!P2854</f>
        <v>0</v>
      </c>
    </row>
    <row r="2840" spans="7:22" x14ac:dyDescent="0.25">
      <c r="G2840">
        <f>Data!A2853</f>
        <v>0</v>
      </c>
      <c r="H2840" s="21">
        <f>Data!B2853</f>
        <v>0</v>
      </c>
      <c r="I2840" s="21">
        <f>Data!C2853</f>
        <v>0</v>
      </c>
      <c r="J2840">
        <f>Data!D2853</f>
        <v>0</v>
      </c>
      <c r="K2840">
        <f>Data!E2853</f>
        <v>0</v>
      </c>
      <c r="L2840">
        <f>Data!F2853</f>
        <v>0</v>
      </c>
      <c r="M2840">
        <f>Data!G2853</f>
        <v>0</v>
      </c>
      <c r="N2840">
        <f>Data!H2853</f>
        <v>0</v>
      </c>
      <c r="O2840">
        <f>Data!I2853</f>
        <v>0</v>
      </c>
      <c r="P2840" s="21">
        <f>Data!J2857</f>
        <v>0</v>
      </c>
      <c r="Q2840">
        <f>Data!K2857</f>
        <v>0</v>
      </c>
      <c r="R2840">
        <f>Data!L2857</f>
        <v>0</v>
      </c>
      <c r="S2840">
        <f>Data!M2857</f>
        <v>0</v>
      </c>
      <c r="T2840">
        <f>Data!N2857</f>
        <v>0</v>
      </c>
      <c r="U2840">
        <f>Data!O2857</f>
        <v>0</v>
      </c>
      <c r="V2840" s="33">
        <f>Data!P2855</f>
        <v>0</v>
      </c>
    </row>
    <row r="2841" spans="7:22" x14ac:dyDescent="0.25">
      <c r="G2841">
        <f>Data!A2854</f>
        <v>0</v>
      </c>
      <c r="H2841" s="21">
        <f>Data!B2854</f>
        <v>0</v>
      </c>
      <c r="I2841" s="21">
        <f>Data!C2854</f>
        <v>0</v>
      </c>
      <c r="J2841">
        <f>Data!D2854</f>
        <v>0</v>
      </c>
      <c r="K2841">
        <f>Data!E2854</f>
        <v>0</v>
      </c>
      <c r="L2841">
        <f>Data!F2854</f>
        <v>0</v>
      </c>
      <c r="M2841">
        <f>Data!G2854</f>
        <v>0</v>
      </c>
      <c r="N2841">
        <f>Data!H2854</f>
        <v>0</v>
      </c>
      <c r="O2841">
        <f>Data!I2854</f>
        <v>0</v>
      </c>
      <c r="P2841" s="21">
        <f>Data!J2858</f>
        <v>0</v>
      </c>
      <c r="Q2841">
        <f>Data!K2858</f>
        <v>0</v>
      </c>
      <c r="R2841">
        <f>Data!L2858</f>
        <v>0</v>
      </c>
      <c r="S2841">
        <f>Data!M2858</f>
        <v>0</v>
      </c>
      <c r="T2841">
        <f>Data!N2858</f>
        <v>0</v>
      </c>
      <c r="U2841">
        <f>Data!O2858</f>
        <v>0</v>
      </c>
      <c r="V2841" s="33">
        <f>Data!P2856</f>
        <v>0</v>
      </c>
    </row>
    <row r="2842" spans="7:22" x14ac:dyDescent="0.25">
      <c r="G2842">
        <f>Data!A2855</f>
        <v>0</v>
      </c>
      <c r="H2842" s="21">
        <f>Data!B2855</f>
        <v>0</v>
      </c>
      <c r="I2842" s="21">
        <f>Data!C2855</f>
        <v>0</v>
      </c>
      <c r="J2842">
        <f>Data!D2855</f>
        <v>0</v>
      </c>
      <c r="K2842">
        <f>Data!E2855</f>
        <v>0</v>
      </c>
      <c r="L2842">
        <f>Data!F2855</f>
        <v>0</v>
      </c>
      <c r="M2842">
        <f>Data!G2855</f>
        <v>0</v>
      </c>
      <c r="N2842">
        <f>Data!H2855</f>
        <v>0</v>
      </c>
      <c r="O2842">
        <f>Data!I2855</f>
        <v>0</v>
      </c>
      <c r="P2842" s="21">
        <f>Data!J2859</f>
        <v>0</v>
      </c>
      <c r="Q2842">
        <f>Data!K2859</f>
        <v>0</v>
      </c>
      <c r="R2842">
        <f>Data!L2859</f>
        <v>0</v>
      </c>
      <c r="S2842">
        <f>Data!M2859</f>
        <v>0</v>
      </c>
      <c r="T2842">
        <f>Data!N2859</f>
        <v>0</v>
      </c>
      <c r="U2842">
        <f>Data!O2859</f>
        <v>0</v>
      </c>
      <c r="V2842" s="33">
        <f>Data!P2857</f>
        <v>0</v>
      </c>
    </row>
    <row r="2843" spans="7:22" x14ac:dyDescent="0.25">
      <c r="G2843">
        <f>Data!A2856</f>
        <v>0</v>
      </c>
      <c r="H2843" s="21">
        <f>Data!B2856</f>
        <v>0</v>
      </c>
      <c r="I2843" s="21">
        <f>Data!C2856</f>
        <v>0</v>
      </c>
      <c r="J2843">
        <f>Data!D2856</f>
        <v>0</v>
      </c>
      <c r="K2843">
        <f>Data!E2856</f>
        <v>0</v>
      </c>
      <c r="L2843">
        <f>Data!F2856</f>
        <v>0</v>
      </c>
      <c r="M2843">
        <f>Data!G2856</f>
        <v>0</v>
      </c>
      <c r="N2843">
        <f>Data!H2856</f>
        <v>0</v>
      </c>
      <c r="O2843">
        <f>Data!I2856</f>
        <v>0</v>
      </c>
      <c r="P2843" s="21">
        <f>Data!J2860</f>
        <v>0</v>
      </c>
      <c r="Q2843">
        <f>Data!K2860</f>
        <v>0</v>
      </c>
      <c r="R2843">
        <f>Data!L2860</f>
        <v>0</v>
      </c>
      <c r="S2843">
        <f>Data!M2860</f>
        <v>0</v>
      </c>
      <c r="T2843">
        <f>Data!N2860</f>
        <v>0</v>
      </c>
      <c r="U2843">
        <f>Data!O2860</f>
        <v>0</v>
      </c>
      <c r="V2843" s="33">
        <f>Data!P2858</f>
        <v>0</v>
      </c>
    </row>
    <row r="2844" spans="7:22" x14ac:dyDescent="0.25">
      <c r="G2844">
        <f>Data!A2857</f>
        <v>0</v>
      </c>
      <c r="H2844" s="21">
        <f>Data!B2857</f>
        <v>0</v>
      </c>
      <c r="I2844" s="21">
        <f>Data!C2857</f>
        <v>0</v>
      </c>
      <c r="J2844">
        <f>Data!D2857</f>
        <v>0</v>
      </c>
      <c r="K2844">
        <f>Data!E2857</f>
        <v>0</v>
      </c>
      <c r="L2844">
        <f>Data!F2857</f>
        <v>0</v>
      </c>
      <c r="M2844">
        <f>Data!G2857</f>
        <v>0</v>
      </c>
      <c r="N2844">
        <f>Data!H2857</f>
        <v>0</v>
      </c>
      <c r="O2844">
        <f>Data!I2857</f>
        <v>0</v>
      </c>
      <c r="P2844" s="21">
        <f>Data!J2861</f>
        <v>0</v>
      </c>
      <c r="Q2844">
        <f>Data!K2861</f>
        <v>0</v>
      </c>
      <c r="R2844">
        <f>Data!L2861</f>
        <v>0</v>
      </c>
      <c r="S2844">
        <f>Data!M2861</f>
        <v>0</v>
      </c>
      <c r="T2844">
        <f>Data!N2861</f>
        <v>0</v>
      </c>
      <c r="U2844">
        <f>Data!O2861</f>
        <v>0</v>
      </c>
      <c r="V2844" s="33">
        <f>Data!P2859</f>
        <v>0</v>
      </c>
    </row>
    <row r="2845" spans="7:22" x14ac:dyDescent="0.25">
      <c r="G2845">
        <f>Data!A2858</f>
        <v>0</v>
      </c>
      <c r="H2845" s="21">
        <f>Data!B2858</f>
        <v>0</v>
      </c>
      <c r="I2845" s="21">
        <f>Data!C2858</f>
        <v>0</v>
      </c>
      <c r="J2845">
        <f>Data!D2858</f>
        <v>0</v>
      </c>
      <c r="K2845">
        <f>Data!E2858</f>
        <v>0</v>
      </c>
      <c r="L2845">
        <f>Data!F2858</f>
        <v>0</v>
      </c>
      <c r="M2845">
        <f>Data!G2858</f>
        <v>0</v>
      </c>
      <c r="N2845">
        <f>Data!H2858</f>
        <v>0</v>
      </c>
      <c r="O2845">
        <f>Data!I2858</f>
        <v>0</v>
      </c>
      <c r="P2845" s="21">
        <f>Data!J2862</f>
        <v>0</v>
      </c>
      <c r="Q2845">
        <f>Data!K2862</f>
        <v>0</v>
      </c>
      <c r="R2845">
        <f>Data!L2862</f>
        <v>0</v>
      </c>
      <c r="S2845">
        <f>Data!M2862</f>
        <v>0</v>
      </c>
      <c r="T2845">
        <f>Data!N2862</f>
        <v>0</v>
      </c>
      <c r="U2845">
        <f>Data!O2862</f>
        <v>0</v>
      </c>
      <c r="V2845" s="33">
        <f>Data!P2860</f>
        <v>0</v>
      </c>
    </row>
    <row r="2846" spans="7:22" x14ac:dyDescent="0.25">
      <c r="G2846">
        <f>Data!A2859</f>
        <v>0</v>
      </c>
      <c r="H2846" s="21">
        <f>Data!B2859</f>
        <v>0</v>
      </c>
      <c r="I2846" s="21">
        <f>Data!C2859</f>
        <v>0</v>
      </c>
      <c r="J2846">
        <f>Data!D2859</f>
        <v>0</v>
      </c>
      <c r="K2846">
        <f>Data!E2859</f>
        <v>0</v>
      </c>
      <c r="L2846">
        <f>Data!F2859</f>
        <v>0</v>
      </c>
      <c r="M2846">
        <f>Data!G2859</f>
        <v>0</v>
      </c>
      <c r="N2846">
        <f>Data!H2859</f>
        <v>0</v>
      </c>
      <c r="O2846">
        <f>Data!I2859</f>
        <v>0</v>
      </c>
      <c r="P2846" s="21">
        <f>Data!J2863</f>
        <v>0</v>
      </c>
      <c r="Q2846">
        <f>Data!K2863</f>
        <v>0</v>
      </c>
      <c r="R2846">
        <f>Data!L2863</f>
        <v>0</v>
      </c>
      <c r="S2846">
        <f>Data!M2863</f>
        <v>0</v>
      </c>
      <c r="T2846">
        <f>Data!N2863</f>
        <v>0</v>
      </c>
      <c r="U2846">
        <f>Data!O2863</f>
        <v>0</v>
      </c>
      <c r="V2846" s="33">
        <f>Data!P2861</f>
        <v>0</v>
      </c>
    </row>
    <row r="2847" spans="7:22" x14ac:dyDescent="0.25">
      <c r="G2847">
        <f>Data!A2860</f>
        <v>0</v>
      </c>
      <c r="H2847" s="21">
        <f>Data!B2860</f>
        <v>0</v>
      </c>
      <c r="I2847" s="21">
        <f>Data!C2860</f>
        <v>0</v>
      </c>
      <c r="J2847">
        <f>Data!D2860</f>
        <v>0</v>
      </c>
      <c r="K2847">
        <f>Data!E2860</f>
        <v>0</v>
      </c>
      <c r="L2847">
        <f>Data!F2860</f>
        <v>0</v>
      </c>
      <c r="M2847">
        <f>Data!G2860</f>
        <v>0</v>
      </c>
      <c r="N2847">
        <f>Data!H2860</f>
        <v>0</v>
      </c>
      <c r="O2847">
        <f>Data!I2860</f>
        <v>0</v>
      </c>
      <c r="P2847" s="21">
        <f>Data!J2864</f>
        <v>0</v>
      </c>
      <c r="Q2847">
        <f>Data!K2864</f>
        <v>0</v>
      </c>
      <c r="R2847">
        <f>Data!L2864</f>
        <v>0</v>
      </c>
      <c r="S2847">
        <f>Data!M2864</f>
        <v>0</v>
      </c>
      <c r="T2847">
        <f>Data!N2864</f>
        <v>0</v>
      </c>
      <c r="U2847">
        <f>Data!O2864</f>
        <v>0</v>
      </c>
      <c r="V2847" s="33">
        <f>Data!P2862</f>
        <v>0</v>
      </c>
    </row>
    <row r="2848" spans="7:22" x14ac:dyDescent="0.25">
      <c r="G2848">
        <f>Data!A2861</f>
        <v>0</v>
      </c>
      <c r="H2848" s="21">
        <f>Data!B2861</f>
        <v>0</v>
      </c>
      <c r="I2848" s="21">
        <f>Data!C2861</f>
        <v>0</v>
      </c>
      <c r="J2848">
        <f>Data!D2861</f>
        <v>0</v>
      </c>
      <c r="K2848">
        <f>Data!E2861</f>
        <v>0</v>
      </c>
      <c r="L2848">
        <f>Data!F2861</f>
        <v>0</v>
      </c>
      <c r="M2848">
        <f>Data!G2861</f>
        <v>0</v>
      </c>
      <c r="N2848">
        <f>Data!H2861</f>
        <v>0</v>
      </c>
      <c r="O2848">
        <f>Data!I2861</f>
        <v>0</v>
      </c>
      <c r="P2848" s="21">
        <f>Data!J2865</f>
        <v>0</v>
      </c>
      <c r="Q2848">
        <f>Data!K2865</f>
        <v>0</v>
      </c>
      <c r="R2848">
        <f>Data!L2865</f>
        <v>0</v>
      </c>
      <c r="S2848">
        <f>Data!M2865</f>
        <v>0</v>
      </c>
      <c r="T2848">
        <f>Data!N2865</f>
        <v>0</v>
      </c>
      <c r="U2848">
        <f>Data!O2865</f>
        <v>0</v>
      </c>
      <c r="V2848" s="33">
        <f>Data!P2863</f>
        <v>0</v>
      </c>
    </row>
    <row r="2849" spans="7:22" x14ac:dyDescent="0.25">
      <c r="G2849">
        <f>Data!A2862</f>
        <v>0</v>
      </c>
      <c r="H2849" s="21">
        <f>Data!B2862</f>
        <v>0</v>
      </c>
      <c r="I2849" s="21">
        <f>Data!C2862</f>
        <v>0</v>
      </c>
      <c r="J2849">
        <f>Data!D2862</f>
        <v>0</v>
      </c>
      <c r="K2849">
        <f>Data!E2862</f>
        <v>0</v>
      </c>
      <c r="L2849">
        <f>Data!F2862</f>
        <v>0</v>
      </c>
      <c r="M2849">
        <f>Data!G2862</f>
        <v>0</v>
      </c>
      <c r="N2849">
        <f>Data!H2862</f>
        <v>0</v>
      </c>
      <c r="O2849">
        <f>Data!I2862</f>
        <v>0</v>
      </c>
      <c r="P2849" s="21">
        <f>Data!J2866</f>
        <v>0</v>
      </c>
      <c r="Q2849">
        <f>Data!K2866</f>
        <v>0</v>
      </c>
      <c r="R2849">
        <f>Data!L2866</f>
        <v>0</v>
      </c>
      <c r="S2849">
        <f>Data!M2866</f>
        <v>0</v>
      </c>
      <c r="T2849">
        <f>Data!N2866</f>
        <v>0</v>
      </c>
      <c r="U2849">
        <f>Data!O2866</f>
        <v>0</v>
      </c>
      <c r="V2849" s="33">
        <f>Data!P2864</f>
        <v>0</v>
      </c>
    </row>
    <row r="2850" spans="7:22" x14ac:dyDescent="0.25">
      <c r="G2850">
        <f>Data!A2863</f>
        <v>0</v>
      </c>
      <c r="H2850" s="21">
        <f>Data!B2863</f>
        <v>0</v>
      </c>
      <c r="I2850" s="21">
        <f>Data!C2863</f>
        <v>0</v>
      </c>
      <c r="J2850">
        <f>Data!D2863</f>
        <v>0</v>
      </c>
      <c r="K2850">
        <f>Data!E2863</f>
        <v>0</v>
      </c>
      <c r="L2850">
        <f>Data!F2863</f>
        <v>0</v>
      </c>
      <c r="M2850">
        <f>Data!G2863</f>
        <v>0</v>
      </c>
      <c r="N2850">
        <f>Data!H2863</f>
        <v>0</v>
      </c>
      <c r="O2850">
        <f>Data!I2863</f>
        <v>0</v>
      </c>
      <c r="P2850" s="21">
        <f>Data!J2867</f>
        <v>0</v>
      </c>
      <c r="Q2850">
        <f>Data!K2867</f>
        <v>0</v>
      </c>
      <c r="R2850">
        <f>Data!L2867</f>
        <v>0</v>
      </c>
      <c r="S2850">
        <f>Data!M2867</f>
        <v>0</v>
      </c>
      <c r="T2850">
        <f>Data!N2867</f>
        <v>0</v>
      </c>
      <c r="U2850">
        <f>Data!O2867</f>
        <v>0</v>
      </c>
      <c r="V2850" s="33">
        <f>Data!P2865</f>
        <v>0</v>
      </c>
    </row>
    <row r="2851" spans="7:22" x14ac:dyDescent="0.25">
      <c r="G2851">
        <f>Data!A2864</f>
        <v>0</v>
      </c>
      <c r="H2851" s="21">
        <f>Data!B2864</f>
        <v>0</v>
      </c>
      <c r="I2851" s="21">
        <f>Data!C2864</f>
        <v>0</v>
      </c>
      <c r="J2851">
        <f>Data!D2864</f>
        <v>0</v>
      </c>
      <c r="K2851">
        <f>Data!E2864</f>
        <v>0</v>
      </c>
      <c r="L2851">
        <f>Data!F2864</f>
        <v>0</v>
      </c>
      <c r="M2851">
        <f>Data!G2864</f>
        <v>0</v>
      </c>
      <c r="N2851">
        <f>Data!H2864</f>
        <v>0</v>
      </c>
      <c r="O2851">
        <f>Data!I2864</f>
        <v>0</v>
      </c>
      <c r="P2851" s="21">
        <f>Data!J2868</f>
        <v>0</v>
      </c>
      <c r="Q2851">
        <f>Data!K2868</f>
        <v>0</v>
      </c>
      <c r="R2851">
        <f>Data!L2868</f>
        <v>0</v>
      </c>
      <c r="S2851">
        <f>Data!M2868</f>
        <v>0</v>
      </c>
      <c r="T2851">
        <f>Data!N2868</f>
        <v>0</v>
      </c>
      <c r="U2851">
        <f>Data!O2868</f>
        <v>0</v>
      </c>
      <c r="V2851" s="33">
        <f>Data!P2866</f>
        <v>0</v>
      </c>
    </row>
    <row r="2852" spans="7:22" x14ac:dyDescent="0.25">
      <c r="G2852">
        <f>Data!A2865</f>
        <v>0</v>
      </c>
      <c r="H2852" s="21">
        <f>Data!B2865</f>
        <v>0</v>
      </c>
      <c r="I2852" s="21">
        <f>Data!C2865</f>
        <v>0</v>
      </c>
      <c r="J2852">
        <f>Data!D2865</f>
        <v>0</v>
      </c>
      <c r="K2852">
        <f>Data!E2865</f>
        <v>0</v>
      </c>
      <c r="L2852">
        <f>Data!F2865</f>
        <v>0</v>
      </c>
      <c r="M2852">
        <f>Data!G2865</f>
        <v>0</v>
      </c>
      <c r="N2852">
        <f>Data!H2865</f>
        <v>0</v>
      </c>
      <c r="O2852">
        <f>Data!I2865</f>
        <v>0</v>
      </c>
      <c r="P2852" s="21">
        <f>Data!J2869</f>
        <v>0</v>
      </c>
      <c r="Q2852">
        <f>Data!K2869</f>
        <v>0</v>
      </c>
      <c r="R2852">
        <f>Data!L2869</f>
        <v>0</v>
      </c>
      <c r="S2852">
        <f>Data!M2869</f>
        <v>0</v>
      </c>
      <c r="T2852">
        <f>Data!N2869</f>
        <v>0</v>
      </c>
      <c r="U2852">
        <f>Data!O2869</f>
        <v>0</v>
      </c>
      <c r="V2852" s="33">
        <f>Data!P2867</f>
        <v>0</v>
      </c>
    </row>
    <row r="2853" spans="7:22" x14ac:dyDescent="0.25">
      <c r="G2853">
        <f>Data!A2866</f>
        <v>0</v>
      </c>
      <c r="H2853" s="21">
        <f>Data!B2866</f>
        <v>0</v>
      </c>
      <c r="I2853" s="21">
        <f>Data!C2866</f>
        <v>0</v>
      </c>
      <c r="J2853">
        <f>Data!D2866</f>
        <v>0</v>
      </c>
      <c r="K2853">
        <f>Data!E2866</f>
        <v>0</v>
      </c>
      <c r="L2853">
        <f>Data!F2866</f>
        <v>0</v>
      </c>
      <c r="M2853">
        <f>Data!G2866</f>
        <v>0</v>
      </c>
      <c r="N2853">
        <f>Data!H2866</f>
        <v>0</v>
      </c>
      <c r="O2853">
        <f>Data!I2866</f>
        <v>0</v>
      </c>
      <c r="P2853" s="21">
        <f>Data!J2870</f>
        <v>0</v>
      </c>
      <c r="Q2853">
        <f>Data!K2870</f>
        <v>0</v>
      </c>
      <c r="R2853">
        <f>Data!L2870</f>
        <v>0</v>
      </c>
      <c r="S2853">
        <f>Data!M2870</f>
        <v>0</v>
      </c>
      <c r="T2853">
        <f>Data!N2870</f>
        <v>0</v>
      </c>
      <c r="U2853">
        <f>Data!O2870</f>
        <v>0</v>
      </c>
      <c r="V2853" s="33">
        <f>Data!P2868</f>
        <v>0</v>
      </c>
    </row>
    <row r="2854" spans="7:22" x14ac:dyDescent="0.25">
      <c r="G2854">
        <f>Data!A2867</f>
        <v>0</v>
      </c>
      <c r="H2854" s="21">
        <f>Data!B2867</f>
        <v>0</v>
      </c>
      <c r="I2854" s="21">
        <f>Data!C2867</f>
        <v>0</v>
      </c>
      <c r="J2854">
        <f>Data!D2867</f>
        <v>0</v>
      </c>
      <c r="K2854">
        <f>Data!E2867</f>
        <v>0</v>
      </c>
      <c r="L2854">
        <f>Data!F2867</f>
        <v>0</v>
      </c>
      <c r="M2854">
        <f>Data!G2867</f>
        <v>0</v>
      </c>
      <c r="N2854">
        <f>Data!H2867</f>
        <v>0</v>
      </c>
      <c r="O2854">
        <f>Data!I2867</f>
        <v>0</v>
      </c>
      <c r="P2854" s="21">
        <f>Data!J2871</f>
        <v>0</v>
      </c>
      <c r="Q2854">
        <f>Data!K2871</f>
        <v>0</v>
      </c>
      <c r="R2854">
        <f>Data!L2871</f>
        <v>0</v>
      </c>
      <c r="S2854">
        <f>Data!M2871</f>
        <v>0</v>
      </c>
      <c r="T2854">
        <f>Data!N2871</f>
        <v>0</v>
      </c>
      <c r="U2854">
        <f>Data!O2871</f>
        <v>0</v>
      </c>
      <c r="V2854" s="33">
        <f>Data!P2869</f>
        <v>0</v>
      </c>
    </row>
    <row r="2855" spans="7:22" x14ac:dyDescent="0.25">
      <c r="G2855">
        <f>Data!A2868</f>
        <v>0</v>
      </c>
      <c r="H2855" s="21">
        <f>Data!B2868</f>
        <v>0</v>
      </c>
      <c r="I2855" s="21">
        <f>Data!C2868</f>
        <v>0</v>
      </c>
      <c r="J2855">
        <f>Data!D2868</f>
        <v>0</v>
      </c>
      <c r="K2855">
        <f>Data!E2868</f>
        <v>0</v>
      </c>
      <c r="L2855">
        <f>Data!F2868</f>
        <v>0</v>
      </c>
      <c r="M2855">
        <f>Data!G2868</f>
        <v>0</v>
      </c>
      <c r="N2855">
        <f>Data!H2868</f>
        <v>0</v>
      </c>
      <c r="O2855">
        <f>Data!I2868</f>
        <v>0</v>
      </c>
      <c r="P2855" s="21">
        <f>Data!J2872</f>
        <v>0</v>
      </c>
      <c r="Q2855">
        <f>Data!K2872</f>
        <v>0</v>
      </c>
      <c r="R2855">
        <f>Data!L2872</f>
        <v>0</v>
      </c>
      <c r="S2855">
        <f>Data!M2872</f>
        <v>0</v>
      </c>
      <c r="T2855">
        <f>Data!N2872</f>
        <v>0</v>
      </c>
      <c r="U2855">
        <f>Data!O2872</f>
        <v>0</v>
      </c>
      <c r="V2855" s="33">
        <f>Data!P2870</f>
        <v>0</v>
      </c>
    </row>
    <row r="2856" spans="7:22" x14ac:dyDescent="0.25">
      <c r="G2856">
        <f>Data!A2869</f>
        <v>0</v>
      </c>
      <c r="H2856" s="21">
        <f>Data!B2869</f>
        <v>0</v>
      </c>
      <c r="I2856" s="21">
        <f>Data!C2869</f>
        <v>0</v>
      </c>
      <c r="J2856">
        <f>Data!D2869</f>
        <v>0</v>
      </c>
      <c r="K2856">
        <f>Data!E2869</f>
        <v>0</v>
      </c>
      <c r="L2856">
        <f>Data!F2869</f>
        <v>0</v>
      </c>
      <c r="M2856">
        <f>Data!G2869</f>
        <v>0</v>
      </c>
      <c r="N2856">
        <f>Data!H2869</f>
        <v>0</v>
      </c>
      <c r="O2856">
        <f>Data!I2869</f>
        <v>0</v>
      </c>
      <c r="P2856" s="21">
        <f>Data!J2873</f>
        <v>0</v>
      </c>
      <c r="Q2856">
        <f>Data!K2873</f>
        <v>0</v>
      </c>
      <c r="R2856">
        <f>Data!L2873</f>
        <v>0</v>
      </c>
      <c r="S2856">
        <f>Data!M2873</f>
        <v>0</v>
      </c>
      <c r="T2856">
        <f>Data!N2873</f>
        <v>0</v>
      </c>
      <c r="U2856">
        <f>Data!O2873</f>
        <v>0</v>
      </c>
      <c r="V2856" s="33">
        <f>Data!P2871</f>
        <v>0</v>
      </c>
    </row>
    <row r="2857" spans="7:22" x14ac:dyDescent="0.25">
      <c r="G2857">
        <f>Data!A2870</f>
        <v>0</v>
      </c>
      <c r="H2857" s="21">
        <f>Data!B2870</f>
        <v>0</v>
      </c>
      <c r="I2857" s="21">
        <f>Data!C2870</f>
        <v>0</v>
      </c>
      <c r="J2857">
        <f>Data!D2870</f>
        <v>0</v>
      </c>
      <c r="K2857">
        <f>Data!E2870</f>
        <v>0</v>
      </c>
      <c r="L2857">
        <f>Data!F2870</f>
        <v>0</v>
      </c>
      <c r="M2857">
        <f>Data!G2870</f>
        <v>0</v>
      </c>
      <c r="N2857">
        <f>Data!H2870</f>
        <v>0</v>
      </c>
      <c r="O2857">
        <f>Data!I2870</f>
        <v>0</v>
      </c>
      <c r="P2857" s="21">
        <f>Data!J2874</f>
        <v>0</v>
      </c>
      <c r="Q2857">
        <f>Data!K2874</f>
        <v>0</v>
      </c>
      <c r="R2857">
        <f>Data!L2874</f>
        <v>0</v>
      </c>
      <c r="S2857">
        <f>Data!M2874</f>
        <v>0</v>
      </c>
      <c r="T2857">
        <f>Data!N2874</f>
        <v>0</v>
      </c>
      <c r="U2857">
        <f>Data!O2874</f>
        <v>0</v>
      </c>
      <c r="V2857" s="33">
        <f>Data!P2872</f>
        <v>0</v>
      </c>
    </row>
    <row r="2858" spans="7:22" x14ac:dyDescent="0.25">
      <c r="G2858">
        <f>Data!A2871</f>
        <v>0</v>
      </c>
      <c r="H2858" s="21">
        <f>Data!B2871</f>
        <v>0</v>
      </c>
      <c r="I2858" s="21">
        <f>Data!C2871</f>
        <v>0</v>
      </c>
      <c r="J2858">
        <f>Data!D2871</f>
        <v>0</v>
      </c>
      <c r="K2858">
        <f>Data!E2871</f>
        <v>0</v>
      </c>
      <c r="L2858">
        <f>Data!F2871</f>
        <v>0</v>
      </c>
      <c r="M2858">
        <f>Data!G2871</f>
        <v>0</v>
      </c>
      <c r="N2858">
        <f>Data!H2871</f>
        <v>0</v>
      </c>
      <c r="O2858">
        <f>Data!I2871</f>
        <v>0</v>
      </c>
      <c r="P2858" s="21">
        <f>Data!J2875</f>
        <v>0</v>
      </c>
      <c r="Q2858">
        <f>Data!K2875</f>
        <v>0</v>
      </c>
      <c r="R2858">
        <f>Data!L2875</f>
        <v>0</v>
      </c>
      <c r="S2858">
        <f>Data!M2875</f>
        <v>0</v>
      </c>
      <c r="T2858">
        <f>Data!N2875</f>
        <v>0</v>
      </c>
      <c r="U2858">
        <f>Data!O2875</f>
        <v>0</v>
      </c>
      <c r="V2858" s="33">
        <f>Data!P2873</f>
        <v>0</v>
      </c>
    </row>
    <row r="2859" spans="7:22" x14ac:dyDescent="0.25">
      <c r="G2859">
        <f>Data!A2872</f>
        <v>0</v>
      </c>
      <c r="H2859" s="21">
        <f>Data!B2872</f>
        <v>0</v>
      </c>
      <c r="I2859" s="21">
        <f>Data!C2872</f>
        <v>0</v>
      </c>
      <c r="J2859">
        <f>Data!D2872</f>
        <v>0</v>
      </c>
      <c r="K2859">
        <f>Data!E2872</f>
        <v>0</v>
      </c>
      <c r="L2859">
        <f>Data!F2872</f>
        <v>0</v>
      </c>
      <c r="M2859">
        <f>Data!G2872</f>
        <v>0</v>
      </c>
      <c r="N2859">
        <f>Data!H2872</f>
        <v>0</v>
      </c>
      <c r="O2859">
        <f>Data!I2872</f>
        <v>0</v>
      </c>
      <c r="P2859" s="21">
        <f>Data!J2876</f>
        <v>0</v>
      </c>
      <c r="Q2859">
        <f>Data!K2876</f>
        <v>0</v>
      </c>
      <c r="R2859">
        <f>Data!L2876</f>
        <v>0</v>
      </c>
      <c r="S2859">
        <f>Data!M2876</f>
        <v>0</v>
      </c>
      <c r="T2859">
        <f>Data!N2876</f>
        <v>0</v>
      </c>
      <c r="U2859">
        <f>Data!O2876</f>
        <v>0</v>
      </c>
      <c r="V2859" s="33">
        <f>Data!P2874</f>
        <v>0</v>
      </c>
    </row>
    <row r="2860" spans="7:22" x14ac:dyDescent="0.25">
      <c r="G2860">
        <f>Data!A2873</f>
        <v>0</v>
      </c>
      <c r="H2860" s="21">
        <f>Data!B2873</f>
        <v>0</v>
      </c>
      <c r="I2860" s="21">
        <f>Data!C2873</f>
        <v>0</v>
      </c>
      <c r="J2860">
        <f>Data!D2873</f>
        <v>0</v>
      </c>
      <c r="K2860">
        <f>Data!E2873</f>
        <v>0</v>
      </c>
      <c r="L2860">
        <f>Data!F2873</f>
        <v>0</v>
      </c>
      <c r="M2860">
        <f>Data!G2873</f>
        <v>0</v>
      </c>
      <c r="N2860">
        <f>Data!H2873</f>
        <v>0</v>
      </c>
      <c r="O2860">
        <f>Data!I2873</f>
        <v>0</v>
      </c>
      <c r="P2860" s="21">
        <f>Data!J2877</f>
        <v>0</v>
      </c>
      <c r="Q2860">
        <f>Data!K2877</f>
        <v>0</v>
      </c>
      <c r="R2860">
        <f>Data!L2877</f>
        <v>0</v>
      </c>
      <c r="S2860">
        <f>Data!M2877</f>
        <v>0</v>
      </c>
      <c r="T2860">
        <f>Data!N2877</f>
        <v>0</v>
      </c>
      <c r="U2860">
        <f>Data!O2877</f>
        <v>0</v>
      </c>
      <c r="V2860" s="33">
        <f>Data!P2875</f>
        <v>0</v>
      </c>
    </row>
    <row r="2861" spans="7:22" x14ac:dyDescent="0.25">
      <c r="G2861">
        <f>Data!A2874</f>
        <v>0</v>
      </c>
      <c r="H2861" s="21">
        <f>Data!B2874</f>
        <v>0</v>
      </c>
      <c r="I2861" s="21">
        <f>Data!C2874</f>
        <v>0</v>
      </c>
      <c r="J2861">
        <f>Data!D2874</f>
        <v>0</v>
      </c>
      <c r="K2861">
        <f>Data!E2874</f>
        <v>0</v>
      </c>
      <c r="L2861">
        <f>Data!F2874</f>
        <v>0</v>
      </c>
      <c r="M2861">
        <f>Data!G2874</f>
        <v>0</v>
      </c>
      <c r="N2861">
        <f>Data!H2874</f>
        <v>0</v>
      </c>
      <c r="O2861">
        <f>Data!I2874</f>
        <v>0</v>
      </c>
      <c r="P2861" s="21">
        <f>Data!J2878</f>
        <v>0</v>
      </c>
      <c r="Q2861">
        <f>Data!K2878</f>
        <v>0</v>
      </c>
      <c r="R2861">
        <f>Data!L2878</f>
        <v>0</v>
      </c>
      <c r="S2861">
        <f>Data!M2878</f>
        <v>0</v>
      </c>
      <c r="T2861">
        <f>Data!N2878</f>
        <v>0</v>
      </c>
      <c r="U2861">
        <f>Data!O2878</f>
        <v>0</v>
      </c>
      <c r="V2861" s="33">
        <f>Data!P2876</f>
        <v>0</v>
      </c>
    </row>
    <row r="2862" spans="7:22" x14ac:dyDescent="0.25">
      <c r="G2862">
        <f>Data!A2875</f>
        <v>0</v>
      </c>
      <c r="H2862" s="21">
        <f>Data!B2875</f>
        <v>0</v>
      </c>
      <c r="I2862" s="21">
        <f>Data!C2875</f>
        <v>0</v>
      </c>
      <c r="J2862">
        <f>Data!D2875</f>
        <v>0</v>
      </c>
      <c r="K2862">
        <f>Data!E2875</f>
        <v>0</v>
      </c>
      <c r="L2862">
        <f>Data!F2875</f>
        <v>0</v>
      </c>
      <c r="M2862">
        <f>Data!G2875</f>
        <v>0</v>
      </c>
      <c r="N2862">
        <f>Data!H2875</f>
        <v>0</v>
      </c>
      <c r="O2862">
        <f>Data!I2875</f>
        <v>0</v>
      </c>
      <c r="P2862" s="21">
        <f>Data!J2879</f>
        <v>0</v>
      </c>
      <c r="Q2862">
        <f>Data!K2879</f>
        <v>0</v>
      </c>
      <c r="R2862">
        <f>Data!L2879</f>
        <v>0</v>
      </c>
      <c r="S2862">
        <f>Data!M2879</f>
        <v>0</v>
      </c>
      <c r="T2862">
        <f>Data!N2879</f>
        <v>0</v>
      </c>
      <c r="U2862">
        <f>Data!O2879</f>
        <v>0</v>
      </c>
      <c r="V2862" s="33">
        <f>Data!P2877</f>
        <v>0</v>
      </c>
    </row>
    <row r="2863" spans="7:22" x14ac:dyDescent="0.25">
      <c r="G2863">
        <f>Data!A2876</f>
        <v>0</v>
      </c>
      <c r="H2863" s="21">
        <f>Data!B2876</f>
        <v>0</v>
      </c>
      <c r="I2863" s="21">
        <f>Data!C2876</f>
        <v>0</v>
      </c>
      <c r="J2863">
        <f>Data!D2876</f>
        <v>0</v>
      </c>
      <c r="K2863">
        <f>Data!E2876</f>
        <v>0</v>
      </c>
      <c r="L2863">
        <f>Data!F2876</f>
        <v>0</v>
      </c>
      <c r="M2863">
        <f>Data!G2876</f>
        <v>0</v>
      </c>
      <c r="N2863">
        <f>Data!H2876</f>
        <v>0</v>
      </c>
      <c r="O2863">
        <f>Data!I2876</f>
        <v>0</v>
      </c>
      <c r="P2863" s="21">
        <f>Data!J2880</f>
        <v>0</v>
      </c>
      <c r="Q2863">
        <f>Data!K2880</f>
        <v>0</v>
      </c>
      <c r="R2863">
        <f>Data!L2880</f>
        <v>0</v>
      </c>
      <c r="S2863">
        <f>Data!M2880</f>
        <v>0</v>
      </c>
      <c r="T2863">
        <f>Data!N2880</f>
        <v>0</v>
      </c>
      <c r="U2863">
        <f>Data!O2880</f>
        <v>0</v>
      </c>
      <c r="V2863" s="33">
        <f>Data!P2878</f>
        <v>0</v>
      </c>
    </row>
    <row r="2864" spans="7:22" x14ac:dyDescent="0.25">
      <c r="G2864">
        <f>Data!A2877</f>
        <v>0</v>
      </c>
      <c r="H2864" s="21">
        <f>Data!B2877</f>
        <v>0</v>
      </c>
      <c r="I2864" s="21">
        <f>Data!C2877</f>
        <v>0</v>
      </c>
      <c r="J2864">
        <f>Data!D2877</f>
        <v>0</v>
      </c>
      <c r="K2864">
        <f>Data!E2877</f>
        <v>0</v>
      </c>
      <c r="L2864">
        <f>Data!F2877</f>
        <v>0</v>
      </c>
      <c r="M2864">
        <f>Data!G2877</f>
        <v>0</v>
      </c>
      <c r="N2864">
        <f>Data!H2877</f>
        <v>0</v>
      </c>
      <c r="O2864">
        <f>Data!I2877</f>
        <v>0</v>
      </c>
      <c r="P2864" s="21">
        <f>Data!J2881</f>
        <v>0</v>
      </c>
      <c r="Q2864">
        <f>Data!K2881</f>
        <v>0</v>
      </c>
      <c r="R2864">
        <f>Data!L2881</f>
        <v>0</v>
      </c>
      <c r="S2864">
        <f>Data!M2881</f>
        <v>0</v>
      </c>
      <c r="T2864">
        <f>Data!N2881</f>
        <v>0</v>
      </c>
      <c r="U2864">
        <f>Data!O2881</f>
        <v>0</v>
      </c>
      <c r="V2864" s="33">
        <f>Data!P2879</f>
        <v>0</v>
      </c>
    </row>
    <row r="2865" spans="7:22" x14ac:dyDescent="0.25">
      <c r="G2865">
        <f>Data!A2878</f>
        <v>0</v>
      </c>
      <c r="H2865" s="21">
        <f>Data!B2878</f>
        <v>0</v>
      </c>
      <c r="I2865" s="21">
        <f>Data!C2878</f>
        <v>0</v>
      </c>
      <c r="J2865">
        <f>Data!D2878</f>
        <v>0</v>
      </c>
      <c r="K2865">
        <f>Data!E2878</f>
        <v>0</v>
      </c>
      <c r="L2865">
        <f>Data!F2878</f>
        <v>0</v>
      </c>
      <c r="M2865">
        <f>Data!G2878</f>
        <v>0</v>
      </c>
      <c r="N2865">
        <f>Data!H2878</f>
        <v>0</v>
      </c>
      <c r="O2865">
        <f>Data!I2878</f>
        <v>0</v>
      </c>
      <c r="P2865" s="21">
        <f>Data!J2882</f>
        <v>0</v>
      </c>
      <c r="Q2865">
        <f>Data!K2882</f>
        <v>0</v>
      </c>
      <c r="R2865">
        <f>Data!L2882</f>
        <v>0</v>
      </c>
      <c r="S2865">
        <f>Data!M2882</f>
        <v>0</v>
      </c>
      <c r="T2865">
        <f>Data!N2882</f>
        <v>0</v>
      </c>
      <c r="U2865">
        <f>Data!O2882</f>
        <v>0</v>
      </c>
      <c r="V2865" s="33">
        <f>Data!P2880</f>
        <v>0</v>
      </c>
    </row>
    <row r="2866" spans="7:22" x14ac:dyDescent="0.25">
      <c r="G2866">
        <f>Data!A2879</f>
        <v>0</v>
      </c>
      <c r="H2866" s="21">
        <f>Data!B2879</f>
        <v>0</v>
      </c>
      <c r="I2866" s="21">
        <f>Data!C2879</f>
        <v>0</v>
      </c>
      <c r="J2866">
        <f>Data!D2879</f>
        <v>0</v>
      </c>
      <c r="K2866">
        <f>Data!E2879</f>
        <v>0</v>
      </c>
      <c r="L2866">
        <f>Data!F2879</f>
        <v>0</v>
      </c>
      <c r="M2866">
        <f>Data!G2879</f>
        <v>0</v>
      </c>
      <c r="N2866">
        <f>Data!H2879</f>
        <v>0</v>
      </c>
      <c r="O2866">
        <f>Data!I2879</f>
        <v>0</v>
      </c>
      <c r="P2866" s="21">
        <f>Data!J2883</f>
        <v>0</v>
      </c>
      <c r="Q2866">
        <f>Data!K2883</f>
        <v>0</v>
      </c>
      <c r="R2866">
        <f>Data!L2883</f>
        <v>0</v>
      </c>
      <c r="S2866">
        <f>Data!M2883</f>
        <v>0</v>
      </c>
      <c r="T2866">
        <f>Data!N2883</f>
        <v>0</v>
      </c>
      <c r="U2866">
        <f>Data!O2883</f>
        <v>0</v>
      </c>
      <c r="V2866" s="33">
        <f>Data!P2881</f>
        <v>0</v>
      </c>
    </row>
    <row r="2867" spans="7:22" x14ac:dyDescent="0.25">
      <c r="G2867">
        <f>Data!A2880</f>
        <v>0</v>
      </c>
      <c r="H2867" s="21">
        <f>Data!B2880</f>
        <v>0</v>
      </c>
      <c r="I2867" s="21">
        <f>Data!C2880</f>
        <v>0</v>
      </c>
      <c r="J2867">
        <f>Data!D2880</f>
        <v>0</v>
      </c>
      <c r="K2867">
        <f>Data!E2880</f>
        <v>0</v>
      </c>
      <c r="L2867">
        <f>Data!F2880</f>
        <v>0</v>
      </c>
      <c r="M2867">
        <f>Data!G2880</f>
        <v>0</v>
      </c>
      <c r="N2867">
        <f>Data!H2880</f>
        <v>0</v>
      </c>
      <c r="O2867">
        <f>Data!I2880</f>
        <v>0</v>
      </c>
      <c r="P2867" s="21">
        <f>Data!J2884</f>
        <v>0</v>
      </c>
      <c r="Q2867">
        <f>Data!K2884</f>
        <v>0</v>
      </c>
      <c r="R2867">
        <f>Data!L2884</f>
        <v>0</v>
      </c>
      <c r="S2867">
        <f>Data!M2884</f>
        <v>0</v>
      </c>
      <c r="T2867">
        <f>Data!N2884</f>
        <v>0</v>
      </c>
      <c r="U2867">
        <f>Data!O2884</f>
        <v>0</v>
      </c>
      <c r="V2867" s="33">
        <f>Data!P2882</f>
        <v>0</v>
      </c>
    </row>
    <row r="2868" spans="7:22" x14ac:dyDescent="0.25">
      <c r="G2868">
        <f>Data!A2881</f>
        <v>0</v>
      </c>
      <c r="H2868" s="21">
        <f>Data!B2881</f>
        <v>0</v>
      </c>
      <c r="I2868" s="21">
        <f>Data!C2881</f>
        <v>0</v>
      </c>
      <c r="J2868">
        <f>Data!D2881</f>
        <v>0</v>
      </c>
      <c r="K2868">
        <f>Data!E2881</f>
        <v>0</v>
      </c>
      <c r="L2868">
        <f>Data!F2881</f>
        <v>0</v>
      </c>
      <c r="M2868">
        <f>Data!G2881</f>
        <v>0</v>
      </c>
      <c r="N2868">
        <f>Data!H2881</f>
        <v>0</v>
      </c>
      <c r="O2868">
        <f>Data!I2881</f>
        <v>0</v>
      </c>
      <c r="P2868" s="21">
        <f>Data!J2885</f>
        <v>0</v>
      </c>
      <c r="Q2868">
        <f>Data!K2885</f>
        <v>0</v>
      </c>
      <c r="R2868">
        <f>Data!L2885</f>
        <v>0</v>
      </c>
      <c r="S2868">
        <f>Data!M2885</f>
        <v>0</v>
      </c>
      <c r="T2868">
        <f>Data!N2885</f>
        <v>0</v>
      </c>
      <c r="U2868">
        <f>Data!O2885</f>
        <v>0</v>
      </c>
      <c r="V2868" s="33">
        <f>Data!P2883</f>
        <v>0</v>
      </c>
    </row>
    <row r="2869" spans="7:22" x14ac:dyDescent="0.25">
      <c r="G2869">
        <f>Data!A2882</f>
        <v>0</v>
      </c>
      <c r="H2869" s="21">
        <f>Data!B2882</f>
        <v>0</v>
      </c>
      <c r="I2869" s="21">
        <f>Data!C2882</f>
        <v>0</v>
      </c>
      <c r="J2869">
        <f>Data!D2882</f>
        <v>0</v>
      </c>
      <c r="K2869">
        <f>Data!E2882</f>
        <v>0</v>
      </c>
      <c r="L2869">
        <f>Data!F2882</f>
        <v>0</v>
      </c>
      <c r="M2869">
        <f>Data!G2882</f>
        <v>0</v>
      </c>
      <c r="N2869">
        <f>Data!H2882</f>
        <v>0</v>
      </c>
      <c r="O2869">
        <f>Data!I2882</f>
        <v>0</v>
      </c>
      <c r="P2869" s="21">
        <f>Data!J2886</f>
        <v>0</v>
      </c>
      <c r="Q2869">
        <f>Data!K2886</f>
        <v>0</v>
      </c>
      <c r="R2869">
        <f>Data!L2886</f>
        <v>0</v>
      </c>
      <c r="S2869">
        <f>Data!M2886</f>
        <v>0</v>
      </c>
      <c r="T2869">
        <f>Data!N2886</f>
        <v>0</v>
      </c>
      <c r="U2869">
        <f>Data!O2886</f>
        <v>0</v>
      </c>
      <c r="V2869" s="33">
        <f>Data!P2884</f>
        <v>0</v>
      </c>
    </row>
    <row r="2870" spans="7:22" x14ac:dyDescent="0.25">
      <c r="G2870">
        <f>Data!A2883</f>
        <v>0</v>
      </c>
      <c r="H2870" s="21">
        <f>Data!B2883</f>
        <v>0</v>
      </c>
      <c r="I2870" s="21">
        <f>Data!C2883</f>
        <v>0</v>
      </c>
      <c r="J2870">
        <f>Data!D2883</f>
        <v>0</v>
      </c>
      <c r="K2870">
        <f>Data!E2883</f>
        <v>0</v>
      </c>
      <c r="L2870">
        <f>Data!F2883</f>
        <v>0</v>
      </c>
      <c r="M2870">
        <f>Data!G2883</f>
        <v>0</v>
      </c>
      <c r="N2870">
        <f>Data!H2883</f>
        <v>0</v>
      </c>
      <c r="O2870">
        <f>Data!I2883</f>
        <v>0</v>
      </c>
      <c r="P2870" s="21">
        <f>Data!J2887</f>
        <v>0</v>
      </c>
      <c r="Q2870">
        <f>Data!K2887</f>
        <v>0</v>
      </c>
      <c r="R2870">
        <f>Data!L2887</f>
        <v>0</v>
      </c>
      <c r="S2870">
        <f>Data!M2887</f>
        <v>0</v>
      </c>
      <c r="T2870">
        <f>Data!N2887</f>
        <v>0</v>
      </c>
      <c r="U2870">
        <f>Data!O2887</f>
        <v>0</v>
      </c>
      <c r="V2870" s="33">
        <f>Data!P2885</f>
        <v>0</v>
      </c>
    </row>
    <row r="2871" spans="7:22" x14ac:dyDescent="0.25">
      <c r="G2871">
        <f>Data!A2884</f>
        <v>0</v>
      </c>
      <c r="H2871" s="21">
        <f>Data!B2884</f>
        <v>0</v>
      </c>
      <c r="I2871" s="21">
        <f>Data!C2884</f>
        <v>0</v>
      </c>
      <c r="J2871">
        <f>Data!D2884</f>
        <v>0</v>
      </c>
      <c r="K2871">
        <f>Data!E2884</f>
        <v>0</v>
      </c>
      <c r="L2871">
        <f>Data!F2884</f>
        <v>0</v>
      </c>
      <c r="M2871">
        <f>Data!G2884</f>
        <v>0</v>
      </c>
      <c r="N2871">
        <f>Data!H2884</f>
        <v>0</v>
      </c>
      <c r="O2871">
        <f>Data!I2884</f>
        <v>0</v>
      </c>
      <c r="P2871" s="21">
        <f>Data!J2888</f>
        <v>0</v>
      </c>
      <c r="Q2871">
        <f>Data!K2888</f>
        <v>0</v>
      </c>
      <c r="R2871">
        <f>Data!L2888</f>
        <v>0</v>
      </c>
      <c r="S2871">
        <f>Data!M2888</f>
        <v>0</v>
      </c>
      <c r="T2871">
        <f>Data!N2888</f>
        <v>0</v>
      </c>
      <c r="U2871">
        <f>Data!O2888</f>
        <v>0</v>
      </c>
      <c r="V2871" s="33">
        <f>Data!P2886</f>
        <v>0</v>
      </c>
    </row>
    <row r="2872" spans="7:22" x14ac:dyDescent="0.25">
      <c r="G2872">
        <f>Data!A2885</f>
        <v>0</v>
      </c>
      <c r="H2872" s="21">
        <f>Data!B2885</f>
        <v>0</v>
      </c>
      <c r="I2872" s="21">
        <f>Data!C2885</f>
        <v>0</v>
      </c>
      <c r="J2872">
        <f>Data!D2885</f>
        <v>0</v>
      </c>
      <c r="K2872">
        <f>Data!E2885</f>
        <v>0</v>
      </c>
      <c r="L2872">
        <f>Data!F2885</f>
        <v>0</v>
      </c>
      <c r="M2872">
        <f>Data!G2885</f>
        <v>0</v>
      </c>
      <c r="N2872">
        <f>Data!H2885</f>
        <v>0</v>
      </c>
      <c r="O2872">
        <f>Data!I2885</f>
        <v>0</v>
      </c>
      <c r="P2872" s="21">
        <f>Data!J2889</f>
        <v>0</v>
      </c>
      <c r="Q2872">
        <f>Data!K2889</f>
        <v>0</v>
      </c>
      <c r="R2872">
        <f>Data!L2889</f>
        <v>0</v>
      </c>
      <c r="S2872">
        <f>Data!M2889</f>
        <v>0</v>
      </c>
      <c r="T2872">
        <f>Data!N2889</f>
        <v>0</v>
      </c>
      <c r="U2872">
        <f>Data!O2889</f>
        <v>0</v>
      </c>
      <c r="V2872" s="33">
        <f>Data!P2887</f>
        <v>0</v>
      </c>
    </row>
    <row r="2873" spans="7:22" x14ac:dyDescent="0.25">
      <c r="G2873">
        <f>Data!A2886</f>
        <v>0</v>
      </c>
      <c r="H2873" s="21">
        <f>Data!B2886</f>
        <v>0</v>
      </c>
      <c r="I2873" s="21">
        <f>Data!C2886</f>
        <v>0</v>
      </c>
      <c r="J2873">
        <f>Data!D2886</f>
        <v>0</v>
      </c>
      <c r="K2873">
        <f>Data!E2886</f>
        <v>0</v>
      </c>
      <c r="L2873">
        <f>Data!F2886</f>
        <v>0</v>
      </c>
      <c r="M2873">
        <f>Data!G2886</f>
        <v>0</v>
      </c>
      <c r="N2873">
        <f>Data!H2886</f>
        <v>0</v>
      </c>
      <c r="O2873">
        <f>Data!I2886</f>
        <v>0</v>
      </c>
      <c r="P2873" s="21">
        <f>Data!J2890</f>
        <v>0</v>
      </c>
      <c r="Q2873">
        <f>Data!K2890</f>
        <v>0</v>
      </c>
      <c r="R2873">
        <f>Data!L2890</f>
        <v>0</v>
      </c>
      <c r="S2873">
        <f>Data!M2890</f>
        <v>0</v>
      </c>
      <c r="T2873">
        <f>Data!N2890</f>
        <v>0</v>
      </c>
      <c r="U2873">
        <f>Data!O2890</f>
        <v>0</v>
      </c>
      <c r="V2873" s="33">
        <f>Data!P2888</f>
        <v>0</v>
      </c>
    </row>
    <row r="2874" spans="7:22" x14ac:dyDescent="0.25">
      <c r="G2874">
        <f>Data!A2887</f>
        <v>0</v>
      </c>
      <c r="H2874" s="21">
        <f>Data!B2887</f>
        <v>0</v>
      </c>
      <c r="I2874" s="21">
        <f>Data!C2887</f>
        <v>0</v>
      </c>
      <c r="J2874">
        <f>Data!D2887</f>
        <v>0</v>
      </c>
      <c r="K2874">
        <f>Data!E2887</f>
        <v>0</v>
      </c>
      <c r="L2874">
        <f>Data!F2887</f>
        <v>0</v>
      </c>
      <c r="M2874">
        <f>Data!G2887</f>
        <v>0</v>
      </c>
      <c r="N2874">
        <f>Data!H2887</f>
        <v>0</v>
      </c>
      <c r="O2874">
        <f>Data!I2887</f>
        <v>0</v>
      </c>
      <c r="P2874" s="21">
        <f>Data!J2891</f>
        <v>0</v>
      </c>
      <c r="Q2874">
        <f>Data!K2891</f>
        <v>0</v>
      </c>
      <c r="R2874">
        <f>Data!L2891</f>
        <v>0</v>
      </c>
      <c r="S2874">
        <f>Data!M2891</f>
        <v>0</v>
      </c>
      <c r="T2874">
        <f>Data!N2891</f>
        <v>0</v>
      </c>
      <c r="U2874">
        <f>Data!O2891</f>
        <v>0</v>
      </c>
      <c r="V2874" s="33">
        <f>Data!P2889</f>
        <v>0</v>
      </c>
    </row>
    <row r="2875" spans="7:22" x14ac:dyDescent="0.25">
      <c r="G2875">
        <f>Data!A2888</f>
        <v>0</v>
      </c>
      <c r="H2875" s="21">
        <f>Data!B2888</f>
        <v>0</v>
      </c>
      <c r="I2875" s="21">
        <f>Data!C2888</f>
        <v>0</v>
      </c>
      <c r="J2875">
        <f>Data!D2888</f>
        <v>0</v>
      </c>
      <c r="K2875">
        <f>Data!E2888</f>
        <v>0</v>
      </c>
      <c r="L2875">
        <f>Data!F2888</f>
        <v>0</v>
      </c>
      <c r="M2875">
        <f>Data!G2888</f>
        <v>0</v>
      </c>
      <c r="N2875">
        <f>Data!H2888</f>
        <v>0</v>
      </c>
      <c r="O2875">
        <f>Data!I2888</f>
        <v>0</v>
      </c>
      <c r="P2875" s="21">
        <f>Data!J2892</f>
        <v>0</v>
      </c>
      <c r="Q2875">
        <f>Data!K2892</f>
        <v>0</v>
      </c>
      <c r="R2875">
        <f>Data!L2892</f>
        <v>0</v>
      </c>
      <c r="S2875">
        <f>Data!M2892</f>
        <v>0</v>
      </c>
      <c r="T2875">
        <f>Data!N2892</f>
        <v>0</v>
      </c>
      <c r="U2875">
        <f>Data!O2892</f>
        <v>0</v>
      </c>
      <c r="V2875" s="33">
        <f>Data!P2890</f>
        <v>0</v>
      </c>
    </row>
    <row r="2876" spans="7:22" x14ac:dyDescent="0.25">
      <c r="G2876">
        <f>Data!A2889</f>
        <v>0</v>
      </c>
      <c r="H2876" s="21">
        <f>Data!B2889</f>
        <v>0</v>
      </c>
      <c r="I2876" s="21">
        <f>Data!C2889</f>
        <v>0</v>
      </c>
      <c r="J2876">
        <f>Data!D2889</f>
        <v>0</v>
      </c>
      <c r="K2876">
        <f>Data!E2889</f>
        <v>0</v>
      </c>
      <c r="L2876">
        <f>Data!F2889</f>
        <v>0</v>
      </c>
      <c r="M2876">
        <f>Data!G2889</f>
        <v>0</v>
      </c>
      <c r="N2876">
        <f>Data!H2889</f>
        <v>0</v>
      </c>
      <c r="O2876">
        <f>Data!I2889</f>
        <v>0</v>
      </c>
      <c r="P2876" s="21">
        <f>Data!J2893</f>
        <v>0</v>
      </c>
      <c r="Q2876">
        <f>Data!K2893</f>
        <v>0</v>
      </c>
      <c r="R2876">
        <f>Data!L2893</f>
        <v>0</v>
      </c>
      <c r="S2876">
        <f>Data!M2893</f>
        <v>0</v>
      </c>
      <c r="T2876">
        <f>Data!N2893</f>
        <v>0</v>
      </c>
      <c r="U2876">
        <f>Data!O2893</f>
        <v>0</v>
      </c>
      <c r="V2876" s="33">
        <f>Data!P2891</f>
        <v>0</v>
      </c>
    </row>
    <row r="2877" spans="7:22" x14ac:dyDescent="0.25">
      <c r="G2877">
        <f>Data!A2890</f>
        <v>0</v>
      </c>
      <c r="H2877" s="21">
        <f>Data!B2890</f>
        <v>0</v>
      </c>
      <c r="I2877" s="21">
        <f>Data!C2890</f>
        <v>0</v>
      </c>
      <c r="J2877">
        <f>Data!D2890</f>
        <v>0</v>
      </c>
      <c r="K2877">
        <f>Data!E2890</f>
        <v>0</v>
      </c>
      <c r="L2877">
        <f>Data!F2890</f>
        <v>0</v>
      </c>
      <c r="M2877">
        <f>Data!G2890</f>
        <v>0</v>
      </c>
      <c r="N2877">
        <f>Data!H2890</f>
        <v>0</v>
      </c>
      <c r="O2877">
        <f>Data!I2890</f>
        <v>0</v>
      </c>
      <c r="P2877" s="21">
        <f>Data!J2894</f>
        <v>0</v>
      </c>
      <c r="Q2877">
        <f>Data!K2894</f>
        <v>0</v>
      </c>
      <c r="R2877">
        <f>Data!L2894</f>
        <v>0</v>
      </c>
      <c r="S2877">
        <f>Data!M2894</f>
        <v>0</v>
      </c>
      <c r="T2877">
        <f>Data!N2894</f>
        <v>0</v>
      </c>
      <c r="U2877">
        <f>Data!O2894</f>
        <v>0</v>
      </c>
      <c r="V2877" s="33">
        <f>Data!P2892</f>
        <v>0</v>
      </c>
    </row>
    <row r="2878" spans="7:22" x14ac:dyDescent="0.25">
      <c r="G2878">
        <f>Data!A2891</f>
        <v>0</v>
      </c>
      <c r="H2878" s="21">
        <f>Data!B2891</f>
        <v>0</v>
      </c>
      <c r="I2878" s="21">
        <f>Data!C2891</f>
        <v>0</v>
      </c>
      <c r="J2878">
        <f>Data!D2891</f>
        <v>0</v>
      </c>
      <c r="K2878">
        <f>Data!E2891</f>
        <v>0</v>
      </c>
      <c r="L2878">
        <f>Data!F2891</f>
        <v>0</v>
      </c>
      <c r="M2878">
        <f>Data!G2891</f>
        <v>0</v>
      </c>
      <c r="N2878">
        <f>Data!H2891</f>
        <v>0</v>
      </c>
      <c r="O2878">
        <f>Data!I2891</f>
        <v>0</v>
      </c>
      <c r="P2878" s="21">
        <f>Data!J2895</f>
        <v>0</v>
      </c>
      <c r="Q2878">
        <f>Data!K2895</f>
        <v>0</v>
      </c>
      <c r="R2878">
        <f>Data!L2895</f>
        <v>0</v>
      </c>
      <c r="S2878">
        <f>Data!M2895</f>
        <v>0</v>
      </c>
      <c r="T2878">
        <f>Data!N2895</f>
        <v>0</v>
      </c>
      <c r="U2878">
        <f>Data!O2895</f>
        <v>0</v>
      </c>
      <c r="V2878" s="33">
        <f>Data!P2893</f>
        <v>0</v>
      </c>
    </row>
    <row r="2879" spans="7:22" x14ac:dyDescent="0.25">
      <c r="G2879">
        <f>Data!A2892</f>
        <v>0</v>
      </c>
      <c r="H2879" s="21">
        <f>Data!B2892</f>
        <v>0</v>
      </c>
      <c r="I2879" s="21">
        <f>Data!C2892</f>
        <v>0</v>
      </c>
      <c r="J2879">
        <f>Data!D2892</f>
        <v>0</v>
      </c>
      <c r="K2879">
        <f>Data!E2892</f>
        <v>0</v>
      </c>
      <c r="L2879">
        <f>Data!F2892</f>
        <v>0</v>
      </c>
      <c r="M2879">
        <f>Data!G2892</f>
        <v>0</v>
      </c>
      <c r="N2879">
        <f>Data!H2892</f>
        <v>0</v>
      </c>
      <c r="O2879">
        <f>Data!I2892</f>
        <v>0</v>
      </c>
      <c r="P2879" s="21">
        <f>Data!J2896</f>
        <v>0</v>
      </c>
      <c r="Q2879">
        <f>Data!K2896</f>
        <v>0</v>
      </c>
      <c r="R2879">
        <f>Data!L2896</f>
        <v>0</v>
      </c>
      <c r="S2879">
        <f>Data!M2896</f>
        <v>0</v>
      </c>
      <c r="T2879">
        <f>Data!N2896</f>
        <v>0</v>
      </c>
      <c r="U2879">
        <f>Data!O2896</f>
        <v>0</v>
      </c>
      <c r="V2879" s="33">
        <f>Data!P2894</f>
        <v>0</v>
      </c>
    </row>
    <row r="2880" spans="7:22" x14ac:dyDescent="0.25">
      <c r="G2880">
        <f>Data!A2893</f>
        <v>0</v>
      </c>
      <c r="H2880" s="21">
        <f>Data!B2893</f>
        <v>0</v>
      </c>
      <c r="I2880" s="21">
        <f>Data!C2893</f>
        <v>0</v>
      </c>
      <c r="J2880">
        <f>Data!D2893</f>
        <v>0</v>
      </c>
      <c r="K2880">
        <f>Data!E2893</f>
        <v>0</v>
      </c>
      <c r="L2880">
        <f>Data!F2893</f>
        <v>0</v>
      </c>
      <c r="M2880">
        <f>Data!G2893</f>
        <v>0</v>
      </c>
      <c r="N2880">
        <f>Data!H2893</f>
        <v>0</v>
      </c>
      <c r="O2880">
        <f>Data!I2893</f>
        <v>0</v>
      </c>
      <c r="P2880" s="21">
        <f>Data!J2897</f>
        <v>0</v>
      </c>
      <c r="Q2880">
        <f>Data!K2897</f>
        <v>0</v>
      </c>
      <c r="R2880">
        <f>Data!L2897</f>
        <v>0</v>
      </c>
      <c r="S2880">
        <f>Data!M2897</f>
        <v>0</v>
      </c>
      <c r="T2880">
        <f>Data!N2897</f>
        <v>0</v>
      </c>
      <c r="U2880">
        <f>Data!O2897</f>
        <v>0</v>
      </c>
      <c r="V2880" s="33">
        <f>Data!P2895</f>
        <v>0</v>
      </c>
    </row>
    <row r="2881" spans="7:22" x14ac:dyDescent="0.25">
      <c r="G2881">
        <f>Data!A2894</f>
        <v>0</v>
      </c>
      <c r="H2881" s="21">
        <f>Data!B2894</f>
        <v>0</v>
      </c>
      <c r="I2881" s="21">
        <f>Data!C2894</f>
        <v>0</v>
      </c>
      <c r="J2881">
        <f>Data!D2894</f>
        <v>0</v>
      </c>
      <c r="K2881">
        <f>Data!E2894</f>
        <v>0</v>
      </c>
      <c r="L2881">
        <f>Data!F2894</f>
        <v>0</v>
      </c>
      <c r="M2881">
        <f>Data!G2894</f>
        <v>0</v>
      </c>
      <c r="N2881">
        <f>Data!H2894</f>
        <v>0</v>
      </c>
      <c r="O2881">
        <f>Data!I2894</f>
        <v>0</v>
      </c>
      <c r="P2881" s="21">
        <f>Data!J2898</f>
        <v>0</v>
      </c>
      <c r="Q2881">
        <f>Data!K2898</f>
        <v>0</v>
      </c>
      <c r="R2881">
        <f>Data!L2898</f>
        <v>0</v>
      </c>
      <c r="S2881">
        <f>Data!M2898</f>
        <v>0</v>
      </c>
      <c r="T2881">
        <f>Data!N2898</f>
        <v>0</v>
      </c>
      <c r="U2881">
        <f>Data!O2898</f>
        <v>0</v>
      </c>
      <c r="V2881" s="33">
        <f>Data!P2896</f>
        <v>0</v>
      </c>
    </row>
    <row r="2882" spans="7:22" x14ac:dyDescent="0.25">
      <c r="G2882">
        <f>Data!A2895</f>
        <v>0</v>
      </c>
      <c r="H2882" s="21">
        <f>Data!B2895</f>
        <v>0</v>
      </c>
      <c r="I2882" s="21">
        <f>Data!C2895</f>
        <v>0</v>
      </c>
      <c r="J2882">
        <f>Data!D2895</f>
        <v>0</v>
      </c>
      <c r="K2882">
        <f>Data!E2895</f>
        <v>0</v>
      </c>
      <c r="L2882">
        <f>Data!F2895</f>
        <v>0</v>
      </c>
      <c r="M2882">
        <f>Data!G2895</f>
        <v>0</v>
      </c>
      <c r="N2882">
        <f>Data!H2895</f>
        <v>0</v>
      </c>
      <c r="O2882">
        <f>Data!I2895</f>
        <v>0</v>
      </c>
      <c r="P2882" s="21">
        <f>Data!J2899</f>
        <v>0</v>
      </c>
      <c r="Q2882">
        <f>Data!K2899</f>
        <v>0</v>
      </c>
      <c r="R2882">
        <f>Data!L2899</f>
        <v>0</v>
      </c>
      <c r="S2882">
        <f>Data!M2899</f>
        <v>0</v>
      </c>
      <c r="T2882">
        <f>Data!N2899</f>
        <v>0</v>
      </c>
      <c r="U2882">
        <f>Data!O2899</f>
        <v>0</v>
      </c>
      <c r="V2882" s="33">
        <f>Data!P2897</f>
        <v>0</v>
      </c>
    </row>
    <row r="2883" spans="7:22" x14ac:dyDescent="0.25">
      <c r="G2883">
        <f>Data!A2896</f>
        <v>0</v>
      </c>
      <c r="H2883" s="21">
        <f>Data!B2896</f>
        <v>0</v>
      </c>
      <c r="I2883" s="21">
        <f>Data!C2896</f>
        <v>0</v>
      </c>
      <c r="J2883">
        <f>Data!D2896</f>
        <v>0</v>
      </c>
      <c r="K2883">
        <f>Data!E2896</f>
        <v>0</v>
      </c>
      <c r="L2883">
        <f>Data!F2896</f>
        <v>0</v>
      </c>
      <c r="M2883">
        <f>Data!G2896</f>
        <v>0</v>
      </c>
      <c r="N2883">
        <f>Data!H2896</f>
        <v>0</v>
      </c>
      <c r="O2883">
        <f>Data!I2896</f>
        <v>0</v>
      </c>
      <c r="P2883" s="21">
        <f>Data!J2900</f>
        <v>0</v>
      </c>
      <c r="Q2883">
        <f>Data!K2900</f>
        <v>0</v>
      </c>
      <c r="R2883">
        <f>Data!L2900</f>
        <v>0</v>
      </c>
      <c r="S2883">
        <f>Data!M2900</f>
        <v>0</v>
      </c>
      <c r="T2883">
        <f>Data!N2900</f>
        <v>0</v>
      </c>
      <c r="U2883">
        <f>Data!O2900</f>
        <v>0</v>
      </c>
      <c r="V2883" s="33">
        <f>Data!P2898</f>
        <v>0</v>
      </c>
    </row>
    <row r="2884" spans="7:22" x14ac:dyDescent="0.25">
      <c r="G2884">
        <f>Data!A2897</f>
        <v>0</v>
      </c>
      <c r="H2884" s="21">
        <f>Data!B2897</f>
        <v>0</v>
      </c>
      <c r="I2884" s="21">
        <f>Data!C2897</f>
        <v>0</v>
      </c>
      <c r="J2884">
        <f>Data!D2897</f>
        <v>0</v>
      </c>
      <c r="K2884">
        <f>Data!E2897</f>
        <v>0</v>
      </c>
      <c r="L2884">
        <f>Data!F2897</f>
        <v>0</v>
      </c>
      <c r="M2884">
        <f>Data!G2897</f>
        <v>0</v>
      </c>
      <c r="N2884">
        <f>Data!H2897</f>
        <v>0</v>
      </c>
      <c r="O2884">
        <f>Data!I2897</f>
        <v>0</v>
      </c>
      <c r="P2884" s="21">
        <f>Data!J2901</f>
        <v>0</v>
      </c>
      <c r="Q2884">
        <f>Data!K2901</f>
        <v>0</v>
      </c>
      <c r="R2884">
        <f>Data!L2901</f>
        <v>0</v>
      </c>
      <c r="S2884">
        <f>Data!M2901</f>
        <v>0</v>
      </c>
      <c r="T2884">
        <f>Data!N2901</f>
        <v>0</v>
      </c>
      <c r="U2884">
        <f>Data!O2901</f>
        <v>0</v>
      </c>
      <c r="V2884" s="33">
        <f>Data!P2899</f>
        <v>0</v>
      </c>
    </row>
    <row r="2885" spans="7:22" x14ac:dyDescent="0.25">
      <c r="G2885">
        <f>Data!A2898</f>
        <v>0</v>
      </c>
      <c r="H2885" s="21">
        <f>Data!B2898</f>
        <v>0</v>
      </c>
      <c r="I2885" s="21">
        <f>Data!C2898</f>
        <v>0</v>
      </c>
      <c r="J2885">
        <f>Data!D2898</f>
        <v>0</v>
      </c>
      <c r="K2885">
        <f>Data!E2898</f>
        <v>0</v>
      </c>
      <c r="L2885">
        <f>Data!F2898</f>
        <v>0</v>
      </c>
      <c r="M2885">
        <f>Data!G2898</f>
        <v>0</v>
      </c>
      <c r="N2885">
        <f>Data!H2898</f>
        <v>0</v>
      </c>
      <c r="O2885">
        <f>Data!I2898</f>
        <v>0</v>
      </c>
      <c r="P2885" s="21">
        <f>Data!J2902</f>
        <v>0</v>
      </c>
      <c r="Q2885">
        <f>Data!K2902</f>
        <v>0</v>
      </c>
      <c r="R2885">
        <f>Data!L2902</f>
        <v>0</v>
      </c>
      <c r="S2885">
        <f>Data!M2902</f>
        <v>0</v>
      </c>
      <c r="T2885">
        <f>Data!N2902</f>
        <v>0</v>
      </c>
      <c r="U2885">
        <f>Data!O2902</f>
        <v>0</v>
      </c>
      <c r="V2885" s="33">
        <f>Data!P2900</f>
        <v>0</v>
      </c>
    </row>
    <row r="2886" spans="7:22" x14ac:dyDescent="0.25">
      <c r="G2886">
        <f>Data!A2899</f>
        <v>0</v>
      </c>
      <c r="H2886" s="21">
        <f>Data!B2899</f>
        <v>0</v>
      </c>
      <c r="I2886" s="21">
        <f>Data!C2899</f>
        <v>0</v>
      </c>
      <c r="J2886">
        <f>Data!D2899</f>
        <v>0</v>
      </c>
      <c r="K2886">
        <f>Data!E2899</f>
        <v>0</v>
      </c>
      <c r="L2886">
        <f>Data!F2899</f>
        <v>0</v>
      </c>
      <c r="M2886">
        <f>Data!G2899</f>
        <v>0</v>
      </c>
      <c r="N2886">
        <f>Data!H2899</f>
        <v>0</v>
      </c>
      <c r="O2886">
        <f>Data!I2899</f>
        <v>0</v>
      </c>
      <c r="P2886" s="21">
        <f>Data!J2903</f>
        <v>0</v>
      </c>
      <c r="Q2886">
        <f>Data!K2903</f>
        <v>0</v>
      </c>
      <c r="R2886">
        <f>Data!L2903</f>
        <v>0</v>
      </c>
      <c r="S2886">
        <f>Data!M2903</f>
        <v>0</v>
      </c>
      <c r="T2886">
        <f>Data!N2903</f>
        <v>0</v>
      </c>
      <c r="U2886">
        <f>Data!O2903</f>
        <v>0</v>
      </c>
      <c r="V2886" s="33">
        <f>Data!P2901</f>
        <v>0</v>
      </c>
    </row>
    <row r="2887" spans="7:22" x14ac:dyDescent="0.25">
      <c r="G2887">
        <f>Data!A2900</f>
        <v>0</v>
      </c>
      <c r="H2887" s="21">
        <f>Data!B2900</f>
        <v>0</v>
      </c>
      <c r="I2887" s="21">
        <f>Data!C2900</f>
        <v>0</v>
      </c>
      <c r="J2887">
        <f>Data!D2900</f>
        <v>0</v>
      </c>
      <c r="K2887">
        <f>Data!E2900</f>
        <v>0</v>
      </c>
      <c r="L2887">
        <f>Data!F2900</f>
        <v>0</v>
      </c>
      <c r="M2887">
        <f>Data!G2900</f>
        <v>0</v>
      </c>
      <c r="N2887">
        <f>Data!H2900</f>
        <v>0</v>
      </c>
      <c r="O2887">
        <f>Data!I2900</f>
        <v>0</v>
      </c>
      <c r="P2887" s="21">
        <f>Data!J2904</f>
        <v>0</v>
      </c>
      <c r="Q2887">
        <f>Data!K2904</f>
        <v>0</v>
      </c>
      <c r="R2887">
        <f>Data!L2904</f>
        <v>0</v>
      </c>
      <c r="S2887">
        <f>Data!M2904</f>
        <v>0</v>
      </c>
      <c r="T2887">
        <f>Data!N2904</f>
        <v>0</v>
      </c>
      <c r="U2887">
        <f>Data!O2904</f>
        <v>0</v>
      </c>
      <c r="V2887" s="33">
        <f>Data!P2902</f>
        <v>0</v>
      </c>
    </row>
    <row r="2888" spans="7:22" x14ac:dyDescent="0.25">
      <c r="G2888">
        <f>Data!A2901</f>
        <v>0</v>
      </c>
      <c r="H2888" s="21">
        <f>Data!B2901</f>
        <v>0</v>
      </c>
      <c r="I2888" s="21">
        <f>Data!C2901</f>
        <v>0</v>
      </c>
      <c r="J2888">
        <f>Data!D2901</f>
        <v>0</v>
      </c>
      <c r="K2888">
        <f>Data!E2901</f>
        <v>0</v>
      </c>
      <c r="L2888">
        <f>Data!F2901</f>
        <v>0</v>
      </c>
      <c r="M2888">
        <f>Data!G2901</f>
        <v>0</v>
      </c>
      <c r="N2888">
        <f>Data!H2901</f>
        <v>0</v>
      </c>
      <c r="O2888">
        <f>Data!I2901</f>
        <v>0</v>
      </c>
      <c r="P2888" s="21">
        <f>Data!J2905</f>
        <v>0</v>
      </c>
      <c r="Q2888">
        <f>Data!K2905</f>
        <v>0</v>
      </c>
      <c r="R2888">
        <f>Data!L2905</f>
        <v>0</v>
      </c>
      <c r="S2888">
        <f>Data!M2905</f>
        <v>0</v>
      </c>
      <c r="T2888">
        <f>Data!N2905</f>
        <v>0</v>
      </c>
      <c r="U2888">
        <f>Data!O2905</f>
        <v>0</v>
      </c>
      <c r="V2888" s="33">
        <f>Data!P2903</f>
        <v>0</v>
      </c>
    </row>
    <row r="2889" spans="7:22" x14ac:dyDescent="0.25">
      <c r="G2889">
        <f>Data!A2902</f>
        <v>0</v>
      </c>
      <c r="H2889" s="21">
        <f>Data!B2902</f>
        <v>0</v>
      </c>
      <c r="I2889" s="21">
        <f>Data!C2902</f>
        <v>0</v>
      </c>
      <c r="J2889">
        <f>Data!D2902</f>
        <v>0</v>
      </c>
      <c r="K2889">
        <f>Data!E2902</f>
        <v>0</v>
      </c>
      <c r="L2889">
        <f>Data!F2902</f>
        <v>0</v>
      </c>
      <c r="M2889">
        <f>Data!G2902</f>
        <v>0</v>
      </c>
      <c r="N2889">
        <f>Data!H2902</f>
        <v>0</v>
      </c>
      <c r="O2889">
        <f>Data!I2902</f>
        <v>0</v>
      </c>
      <c r="P2889" s="21">
        <f>Data!J2906</f>
        <v>0</v>
      </c>
      <c r="Q2889">
        <f>Data!K2906</f>
        <v>0</v>
      </c>
      <c r="R2889">
        <f>Data!L2906</f>
        <v>0</v>
      </c>
      <c r="S2889">
        <f>Data!M2906</f>
        <v>0</v>
      </c>
      <c r="T2889">
        <f>Data!N2906</f>
        <v>0</v>
      </c>
      <c r="U2889">
        <f>Data!O2906</f>
        <v>0</v>
      </c>
      <c r="V2889" s="33">
        <f>Data!P2904</f>
        <v>0</v>
      </c>
    </row>
    <row r="2890" spans="7:22" x14ac:dyDescent="0.25">
      <c r="G2890">
        <f>Data!A2903</f>
        <v>0</v>
      </c>
      <c r="H2890" s="21">
        <f>Data!B2903</f>
        <v>0</v>
      </c>
      <c r="I2890" s="21">
        <f>Data!C2903</f>
        <v>0</v>
      </c>
      <c r="J2890">
        <f>Data!D2903</f>
        <v>0</v>
      </c>
      <c r="K2890">
        <f>Data!E2903</f>
        <v>0</v>
      </c>
      <c r="L2890">
        <f>Data!F2903</f>
        <v>0</v>
      </c>
      <c r="M2890">
        <f>Data!G2903</f>
        <v>0</v>
      </c>
      <c r="N2890">
        <f>Data!H2903</f>
        <v>0</v>
      </c>
      <c r="O2890">
        <f>Data!I2903</f>
        <v>0</v>
      </c>
      <c r="P2890" s="21">
        <f>Data!J2907</f>
        <v>0</v>
      </c>
      <c r="Q2890">
        <f>Data!K2907</f>
        <v>0</v>
      </c>
      <c r="R2890">
        <f>Data!L2907</f>
        <v>0</v>
      </c>
      <c r="S2890">
        <f>Data!M2907</f>
        <v>0</v>
      </c>
      <c r="T2890">
        <f>Data!N2907</f>
        <v>0</v>
      </c>
      <c r="U2890">
        <f>Data!O2907</f>
        <v>0</v>
      </c>
      <c r="V2890" s="33">
        <f>Data!P2905</f>
        <v>0</v>
      </c>
    </row>
    <row r="2891" spans="7:22" x14ac:dyDescent="0.25">
      <c r="G2891">
        <f>Data!A2904</f>
        <v>0</v>
      </c>
      <c r="H2891" s="21">
        <f>Data!B2904</f>
        <v>0</v>
      </c>
      <c r="I2891" s="21">
        <f>Data!C2904</f>
        <v>0</v>
      </c>
      <c r="J2891">
        <f>Data!D2904</f>
        <v>0</v>
      </c>
      <c r="K2891">
        <f>Data!E2904</f>
        <v>0</v>
      </c>
      <c r="L2891">
        <f>Data!F2904</f>
        <v>0</v>
      </c>
      <c r="M2891">
        <f>Data!G2904</f>
        <v>0</v>
      </c>
      <c r="N2891">
        <f>Data!H2904</f>
        <v>0</v>
      </c>
      <c r="O2891">
        <f>Data!I2904</f>
        <v>0</v>
      </c>
      <c r="P2891" s="21">
        <f>Data!J2908</f>
        <v>0</v>
      </c>
      <c r="Q2891">
        <f>Data!K2908</f>
        <v>0</v>
      </c>
      <c r="R2891">
        <f>Data!L2908</f>
        <v>0</v>
      </c>
      <c r="S2891">
        <f>Data!M2908</f>
        <v>0</v>
      </c>
      <c r="T2891">
        <f>Data!N2908</f>
        <v>0</v>
      </c>
      <c r="U2891">
        <f>Data!O2908</f>
        <v>0</v>
      </c>
      <c r="V2891" s="33">
        <f>Data!P2906</f>
        <v>0</v>
      </c>
    </row>
    <row r="2892" spans="7:22" x14ac:dyDescent="0.25">
      <c r="G2892">
        <f>Data!A2905</f>
        <v>0</v>
      </c>
      <c r="H2892" s="21">
        <f>Data!B2905</f>
        <v>0</v>
      </c>
      <c r="I2892" s="21">
        <f>Data!C2905</f>
        <v>0</v>
      </c>
      <c r="J2892">
        <f>Data!D2905</f>
        <v>0</v>
      </c>
      <c r="K2892">
        <f>Data!E2905</f>
        <v>0</v>
      </c>
      <c r="L2892">
        <f>Data!F2905</f>
        <v>0</v>
      </c>
      <c r="M2892">
        <f>Data!G2905</f>
        <v>0</v>
      </c>
      <c r="N2892">
        <f>Data!H2905</f>
        <v>0</v>
      </c>
      <c r="O2892">
        <f>Data!I2905</f>
        <v>0</v>
      </c>
      <c r="P2892" s="21">
        <f>Data!J2909</f>
        <v>0</v>
      </c>
      <c r="Q2892">
        <f>Data!K2909</f>
        <v>0</v>
      </c>
      <c r="R2892">
        <f>Data!L2909</f>
        <v>0</v>
      </c>
      <c r="S2892">
        <f>Data!M2909</f>
        <v>0</v>
      </c>
      <c r="T2892">
        <f>Data!N2909</f>
        <v>0</v>
      </c>
      <c r="U2892">
        <f>Data!O2909</f>
        <v>0</v>
      </c>
      <c r="V2892" s="33">
        <f>Data!P2907</f>
        <v>0</v>
      </c>
    </row>
    <row r="2893" spans="7:22" x14ac:dyDescent="0.25">
      <c r="G2893">
        <f>Data!A2906</f>
        <v>0</v>
      </c>
      <c r="H2893" s="21">
        <f>Data!B2906</f>
        <v>0</v>
      </c>
      <c r="I2893" s="21">
        <f>Data!C2906</f>
        <v>0</v>
      </c>
      <c r="J2893">
        <f>Data!D2906</f>
        <v>0</v>
      </c>
      <c r="K2893">
        <f>Data!E2906</f>
        <v>0</v>
      </c>
      <c r="L2893">
        <f>Data!F2906</f>
        <v>0</v>
      </c>
      <c r="M2893">
        <f>Data!G2906</f>
        <v>0</v>
      </c>
      <c r="N2893">
        <f>Data!H2906</f>
        <v>0</v>
      </c>
      <c r="O2893">
        <f>Data!I2906</f>
        <v>0</v>
      </c>
      <c r="P2893" s="21">
        <f>Data!J2910</f>
        <v>0</v>
      </c>
      <c r="Q2893">
        <f>Data!K2910</f>
        <v>0</v>
      </c>
      <c r="R2893">
        <f>Data!L2910</f>
        <v>0</v>
      </c>
      <c r="S2893">
        <f>Data!M2910</f>
        <v>0</v>
      </c>
      <c r="T2893">
        <f>Data!N2910</f>
        <v>0</v>
      </c>
      <c r="U2893">
        <f>Data!O2910</f>
        <v>0</v>
      </c>
      <c r="V2893" s="33">
        <f>Data!P2908</f>
        <v>0</v>
      </c>
    </row>
    <row r="2894" spans="7:22" x14ac:dyDescent="0.25">
      <c r="G2894">
        <f>Data!A2907</f>
        <v>0</v>
      </c>
      <c r="H2894" s="21">
        <f>Data!B2907</f>
        <v>0</v>
      </c>
      <c r="I2894" s="21">
        <f>Data!C2907</f>
        <v>0</v>
      </c>
      <c r="J2894">
        <f>Data!D2907</f>
        <v>0</v>
      </c>
      <c r="K2894">
        <f>Data!E2907</f>
        <v>0</v>
      </c>
      <c r="L2894">
        <f>Data!F2907</f>
        <v>0</v>
      </c>
      <c r="M2894">
        <f>Data!G2907</f>
        <v>0</v>
      </c>
      <c r="N2894">
        <f>Data!H2907</f>
        <v>0</v>
      </c>
      <c r="O2894">
        <f>Data!I2907</f>
        <v>0</v>
      </c>
      <c r="P2894" s="21">
        <f>Data!J2911</f>
        <v>0</v>
      </c>
      <c r="Q2894">
        <f>Data!K2911</f>
        <v>0</v>
      </c>
      <c r="R2894">
        <f>Data!L2911</f>
        <v>0</v>
      </c>
      <c r="S2894">
        <f>Data!M2911</f>
        <v>0</v>
      </c>
      <c r="T2894">
        <f>Data!N2911</f>
        <v>0</v>
      </c>
      <c r="U2894">
        <f>Data!O2911</f>
        <v>0</v>
      </c>
      <c r="V2894" s="33">
        <f>Data!P2909</f>
        <v>0</v>
      </c>
    </row>
    <row r="2895" spans="7:22" x14ac:dyDescent="0.25">
      <c r="G2895">
        <f>Data!A2908</f>
        <v>0</v>
      </c>
      <c r="H2895" s="21">
        <f>Data!B2908</f>
        <v>0</v>
      </c>
      <c r="I2895" s="21">
        <f>Data!C2908</f>
        <v>0</v>
      </c>
      <c r="J2895">
        <f>Data!D2908</f>
        <v>0</v>
      </c>
      <c r="K2895">
        <f>Data!E2908</f>
        <v>0</v>
      </c>
      <c r="L2895">
        <f>Data!F2908</f>
        <v>0</v>
      </c>
      <c r="M2895">
        <f>Data!G2908</f>
        <v>0</v>
      </c>
      <c r="N2895">
        <f>Data!H2908</f>
        <v>0</v>
      </c>
      <c r="O2895">
        <f>Data!I2908</f>
        <v>0</v>
      </c>
      <c r="P2895" s="21">
        <f>Data!J2912</f>
        <v>0</v>
      </c>
      <c r="Q2895">
        <f>Data!K2912</f>
        <v>0</v>
      </c>
      <c r="R2895">
        <f>Data!L2912</f>
        <v>0</v>
      </c>
      <c r="S2895">
        <f>Data!M2912</f>
        <v>0</v>
      </c>
      <c r="T2895">
        <f>Data!N2912</f>
        <v>0</v>
      </c>
      <c r="U2895">
        <f>Data!O2912</f>
        <v>0</v>
      </c>
      <c r="V2895" s="33">
        <f>Data!P2910</f>
        <v>0</v>
      </c>
    </row>
    <row r="2896" spans="7:22" x14ac:dyDescent="0.25">
      <c r="G2896">
        <f>Data!A2909</f>
        <v>0</v>
      </c>
      <c r="H2896" s="21">
        <f>Data!B2909</f>
        <v>0</v>
      </c>
      <c r="I2896" s="21">
        <f>Data!C2909</f>
        <v>0</v>
      </c>
      <c r="J2896">
        <f>Data!D2909</f>
        <v>0</v>
      </c>
      <c r="K2896">
        <f>Data!E2909</f>
        <v>0</v>
      </c>
      <c r="L2896">
        <f>Data!F2909</f>
        <v>0</v>
      </c>
      <c r="M2896">
        <f>Data!G2909</f>
        <v>0</v>
      </c>
      <c r="N2896">
        <f>Data!H2909</f>
        <v>0</v>
      </c>
      <c r="O2896">
        <f>Data!I2909</f>
        <v>0</v>
      </c>
      <c r="P2896" s="21">
        <f>Data!J2913</f>
        <v>0</v>
      </c>
      <c r="Q2896">
        <f>Data!K2913</f>
        <v>0</v>
      </c>
      <c r="R2896">
        <f>Data!L2913</f>
        <v>0</v>
      </c>
      <c r="S2896">
        <f>Data!M2913</f>
        <v>0</v>
      </c>
      <c r="T2896">
        <f>Data!N2913</f>
        <v>0</v>
      </c>
      <c r="U2896">
        <f>Data!O2913</f>
        <v>0</v>
      </c>
      <c r="V2896" s="33">
        <f>Data!P2911</f>
        <v>0</v>
      </c>
    </row>
    <row r="2897" spans="7:22" x14ac:dyDescent="0.25">
      <c r="G2897">
        <f>Data!A2910</f>
        <v>0</v>
      </c>
      <c r="H2897" s="21">
        <f>Data!B2910</f>
        <v>0</v>
      </c>
      <c r="I2897" s="21">
        <f>Data!C2910</f>
        <v>0</v>
      </c>
      <c r="J2897">
        <f>Data!D2910</f>
        <v>0</v>
      </c>
      <c r="K2897">
        <f>Data!E2910</f>
        <v>0</v>
      </c>
      <c r="L2897">
        <f>Data!F2910</f>
        <v>0</v>
      </c>
      <c r="M2897">
        <f>Data!G2910</f>
        <v>0</v>
      </c>
      <c r="N2897">
        <f>Data!H2910</f>
        <v>0</v>
      </c>
      <c r="O2897">
        <f>Data!I2910</f>
        <v>0</v>
      </c>
      <c r="P2897" s="21">
        <f>Data!J2914</f>
        <v>0</v>
      </c>
      <c r="Q2897">
        <f>Data!K2914</f>
        <v>0</v>
      </c>
      <c r="R2897">
        <f>Data!L2914</f>
        <v>0</v>
      </c>
      <c r="S2897">
        <f>Data!M2914</f>
        <v>0</v>
      </c>
      <c r="T2897">
        <f>Data!N2914</f>
        <v>0</v>
      </c>
      <c r="U2897">
        <f>Data!O2914</f>
        <v>0</v>
      </c>
      <c r="V2897" s="33">
        <f>Data!P2912</f>
        <v>0</v>
      </c>
    </row>
    <row r="2898" spans="7:22" x14ac:dyDescent="0.25">
      <c r="G2898">
        <f>Data!A2911</f>
        <v>0</v>
      </c>
      <c r="H2898" s="21">
        <f>Data!B2911</f>
        <v>0</v>
      </c>
      <c r="I2898" s="21">
        <f>Data!C2911</f>
        <v>0</v>
      </c>
      <c r="J2898">
        <f>Data!D2911</f>
        <v>0</v>
      </c>
      <c r="K2898">
        <f>Data!E2911</f>
        <v>0</v>
      </c>
      <c r="L2898">
        <f>Data!F2911</f>
        <v>0</v>
      </c>
      <c r="M2898">
        <f>Data!G2911</f>
        <v>0</v>
      </c>
      <c r="N2898">
        <f>Data!H2911</f>
        <v>0</v>
      </c>
      <c r="O2898">
        <f>Data!I2911</f>
        <v>0</v>
      </c>
      <c r="P2898" s="21">
        <f>Data!J2915</f>
        <v>0</v>
      </c>
      <c r="Q2898">
        <f>Data!K2915</f>
        <v>0</v>
      </c>
      <c r="R2898">
        <f>Data!L2915</f>
        <v>0</v>
      </c>
      <c r="S2898">
        <f>Data!M2915</f>
        <v>0</v>
      </c>
      <c r="T2898">
        <f>Data!N2915</f>
        <v>0</v>
      </c>
      <c r="U2898">
        <f>Data!O2915</f>
        <v>0</v>
      </c>
      <c r="V2898" s="33">
        <f>Data!P2913</f>
        <v>0</v>
      </c>
    </row>
    <row r="2899" spans="7:22" x14ac:dyDescent="0.25">
      <c r="G2899">
        <f>Data!A2912</f>
        <v>0</v>
      </c>
      <c r="H2899" s="21">
        <f>Data!B2912</f>
        <v>0</v>
      </c>
      <c r="I2899" s="21">
        <f>Data!C2912</f>
        <v>0</v>
      </c>
      <c r="J2899">
        <f>Data!D2912</f>
        <v>0</v>
      </c>
      <c r="K2899">
        <f>Data!E2912</f>
        <v>0</v>
      </c>
      <c r="L2899">
        <f>Data!F2912</f>
        <v>0</v>
      </c>
      <c r="M2899">
        <f>Data!G2912</f>
        <v>0</v>
      </c>
      <c r="N2899">
        <f>Data!H2912</f>
        <v>0</v>
      </c>
      <c r="O2899">
        <f>Data!I2912</f>
        <v>0</v>
      </c>
      <c r="P2899" s="21">
        <f>Data!J2916</f>
        <v>0</v>
      </c>
      <c r="Q2899">
        <f>Data!K2916</f>
        <v>0</v>
      </c>
      <c r="R2899">
        <f>Data!L2916</f>
        <v>0</v>
      </c>
      <c r="S2899">
        <f>Data!M2916</f>
        <v>0</v>
      </c>
      <c r="T2899">
        <f>Data!N2916</f>
        <v>0</v>
      </c>
      <c r="U2899">
        <f>Data!O2916</f>
        <v>0</v>
      </c>
      <c r="V2899" s="33">
        <f>Data!P2914</f>
        <v>0</v>
      </c>
    </row>
    <row r="2900" spans="7:22" x14ac:dyDescent="0.25">
      <c r="G2900">
        <f>Data!A2913</f>
        <v>0</v>
      </c>
      <c r="H2900" s="21">
        <f>Data!B2913</f>
        <v>0</v>
      </c>
      <c r="I2900" s="21">
        <f>Data!C2913</f>
        <v>0</v>
      </c>
      <c r="J2900">
        <f>Data!D2913</f>
        <v>0</v>
      </c>
      <c r="K2900">
        <f>Data!E2913</f>
        <v>0</v>
      </c>
      <c r="L2900">
        <f>Data!F2913</f>
        <v>0</v>
      </c>
      <c r="M2900">
        <f>Data!G2913</f>
        <v>0</v>
      </c>
      <c r="N2900">
        <f>Data!H2913</f>
        <v>0</v>
      </c>
      <c r="O2900">
        <f>Data!I2913</f>
        <v>0</v>
      </c>
      <c r="P2900" s="21">
        <f>Data!J2917</f>
        <v>0</v>
      </c>
      <c r="Q2900">
        <f>Data!K2917</f>
        <v>0</v>
      </c>
      <c r="R2900">
        <f>Data!L2917</f>
        <v>0</v>
      </c>
      <c r="S2900">
        <f>Data!M2917</f>
        <v>0</v>
      </c>
      <c r="T2900">
        <f>Data!N2917</f>
        <v>0</v>
      </c>
      <c r="U2900">
        <f>Data!O2917</f>
        <v>0</v>
      </c>
      <c r="V2900" s="33">
        <f>Data!P2915</f>
        <v>0</v>
      </c>
    </row>
    <row r="2901" spans="7:22" x14ac:dyDescent="0.25">
      <c r="G2901">
        <f>Data!A2914</f>
        <v>0</v>
      </c>
      <c r="H2901" s="21">
        <f>Data!B2914</f>
        <v>0</v>
      </c>
      <c r="I2901" s="21">
        <f>Data!C2914</f>
        <v>0</v>
      </c>
      <c r="J2901">
        <f>Data!D2914</f>
        <v>0</v>
      </c>
      <c r="K2901">
        <f>Data!E2914</f>
        <v>0</v>
      </c>
      <c r="L2901">
        <f>Data!F2914</f>
        <v>0</v>
      </c>
      <c r="M2901">
        <f>Data!G2914</f>
        <v>0</v>
      </c>
      <c r="N2901">
        <f>Data!H2914</f>
        <v>0</v>
      </c>
      <c r="O2901">
        <f>Data!I2914</f>
        <v>0</v>
      </c>
      <c r="P2901" s="21">
        <f>Data!J2918</f>
        <v>0</v>
      </c>
      <c r="Q2901">
        <f>Data!K2918</f>
        <v>0</v>
      </c>
      <c r="R2901">
        <f>Data!L2918</f>
        <v>0</v>
      </c>
      <c r="S2901">
        <f>Data!M2918</f>
        <v>0</v>
      </c>
      <c r="T2901">
        <f>Data!N2918</f>
        <v>0</v>
      </c>
      <c r="U2901">
        <f>Data!O2918</f>
        <v>0</v>
      </c>
      <c r="V2901" s="33">
        <f>Data!P2916</f>
        <v>0</v>
      </c>
    </row>
    <row r="2902" spans="7:22" x14ac:dyDescent="0.25">
      <c r="G2902">
        <f>Data!A2915</f>
        <v>0</v>
      </c>
      <c r="H2902" s="21">
        <f>Data!B2915</f>
        <v>0</v>
      </c>
      <c r="I2902" s="21">
        <f>Data!C2915</f>
        <v>0</v>
      </c>
      <c r="J2902">
        <f>Data!D2915</f>
        <v>0</v>
      </c>
      <c r="K2902">
        <f>Data!E2915</f>
        <v>0</v>
      </c>
      <c r="L2902">
        <f>Data!F2915</f>
        <v>0</v>
      </c>
      <c r="M2902">
        <f>Data!G2915</f>
        <v>0</v>
      </c>
      <c r="N2902">
        <f>Data!H2915</f>
        <v>0</v>
      </c>
      <c r="O2902">
        <f>Data!I2915</f>
        <v>0</v>
      </c>
      <c r="P2902" s="21">
        <f>Data!J2919</f>
        <v>0</v>
      </c>
      <c r="Q2902">
        <f>Data!K2919</f>
        <v>0</v>
      </c>
      <c r="R2902">
        <f>Data!L2919</f>
        <v>0</v>
      </c>
      <c r="S2902">
        <f>Data!M2919</f>
        <v>0</v>
      </c>
      <c r="T2902">
        <f>Data!N2919</f>
        <v>0</v>
      </c>
      <c r="U2902">
        <f>Data!O2919</f>
        <v>0</v>
      </c>
      <c r="V2902" s="33">
        <f>Data!P2917</f>
        <v>0</v>
      </c>
    </row>
    <row r="2903" spans="7:22" x14ac:dyDescent="0.25">
      <c r="G2903">
        <f>Data!A2916</f>
        <v>0</v>
      </c>
      <c r="H2903" s="21">
        <f>Data!B2916</f>
        <v>0</v>
      </c>
      <c r="I2903" s="21">
        <f>Data!C2916</f>
        <v>0</v>
      </c>
      <c r="J2903">
        <f>Data!D2916</f>
        <v>0</v>
      </c>
      <c r="K2903">
        <f>Data!E2916</f>
        <v>0</v>
      </c>
      <c r="L2903">
        <f>Data!F2916</f>
        <v>0</v>
      </c>
      <c r="M2903">
        <f>Data!G2916</f>
        <v>0</v>
      </c>
      <c r="N2903">
        <f>Data!H2916</f>
        <v>0</v>
      </c>
      <c r="O2903">
        <f>Data!I2916</f>
        <v>0</v>
      </c>
      <c r="P2903" s="21">
        <f>Data!J2920</f>
        <v>0</v>
      </c>
      <c r="Q2903">
        <f>Data!K2920</f>
        <v>0</v>
      </c>
      <c r="R2903">
        <f>Data!L2920</f>
        <v>0</v>
      </c>
      <c r="S2903">
        <f>Data!M2920</f>
        <v>0</v>
      </c>
      <c r="T2903">
        <f>Data!N2920</f>
        <v>0</v>
      </c>
      <c r="U2903">
        <f>Data!O2920</f>
        <v>0</v>
      </c>
      <c r="V2903" s="33">
        <f>Data!P2918</f>
        <v>0</v>
      </c>
    </row>
    <row r="2904" spans="7:22" x14ac:dyDescent="0.25">
      <c r="G2904">
        <f>Data!A2917</f>
        <v>0</v>
      </c>
      <c r="H2904" s="21">
        <f>Data!B2917</f>
        <v>0</v>
      </c>
      <c r="I2904" s="21">
        <f>Data!C2917</f>
        <v>0</v>
      </c>
      <c r="J2904">
        <f>Data!D2917</f>
        <v>0</v>
      </c>
      <c r="K2904">
        <f>Data!E2917</f>
        <v>0</v>
      </c>
      <c r="L2904">
        <f>Data!F2917</f>
        <v>0</v>
      </c>
      <c r="M2904">
        <f>Data!G2917</f>
        <v>0</v>
      </c>
      <c r="N2904">
        <f>Data!H2917</f>
        <v>0</v>
      </c>
      <c r="O2904">
        <f>Data!I2917</f>
        <v>0</v>
      </c>
      <c r="P2904" s="21">
        <f>Data!J2921</f>
        <v>0</v>
      </c>
      <c r="Q2904">
        <f>Data!K2921</f>
        <v>0</v>
      </c>
      <c r="R2904">
        <f>Data!L2921</f>
        <v>0</v>
      </c>
      <c r="S2904">
        <f>Data!M2921</f>
        <v>0</v>
      </c>
      <c r="T2904">
        <f>Data!N2921</f>
        <v>0</v>
      </c>
      <c r="U2904">
        <f>Data!O2921</f>
        <v>0</v>
      </c>
      <c r="V2904" s="33">
        <f>Data!P2919</f>
        <v>0</v>
      </c>
    </row>
    <row r="2905" spans="7:22" x14ac:dyDescent="0.25">
      <c r="G2905">
        <f>Data!A2918</f>
        <v>0</v>
      </c>
      <c r="H2905" s="21">
        <f>Data!B2918</f>
        <v>0</v>
      </c>
      <c r="I2905" s="21">
        <f>Data!C2918</f>
        <v>0</v>
      </c>
      <c r="J2905">
        <f>Data!D2918</f>
        <v>0</v>
      </c>
      <c r="K2905">
        <f>Data!E2918</f>
        <v>0</v>
      </c>
      <c r="L2905">
        <f>Data!F2918</f>
        <v>0</v>
      </c>
      <c r="M2905">
        <f>Data!G2918</f>
        <v>0</v>
      </c>
      <c r="N2905">
        <f>Data!H2918</f>
        <v>0</v>
      </c>
      <c r="O2905">
        <f>Data!I2918</f>
        <v>0</v>
      </c>
      <c r="P2905" s="21">
        <f>Data!J2922</f>
        <v>0</v>
      </c>
      <c r="Q2905">
        <f>Data!K2922</f>
        <v>0</v>
      </c>
      <c r="R2905">
        <f>Data!L2922</f>
        <v>0</v>
      </c>
      <c r="S2905">
        <f>Data!M2922</f>
        <v>0</v>
      </c>
      <c r="T2905">
        <f>Data!N2922</f>
        <v>0</v>
      </c>
      <c r="U2905">
        <f>Data!O2922</f>
        <v>0</v>
      </c>
      <c r="V2905" s="33">
        <f>Data!P2920</f>
        <v>0</v>
      </c>
    </row>
    <row r="2906" spans="7:22" x14ac:dyDescent="0.25">
      <c r="G2906">
        <f>Data!A2919</f>
        <v>0</v>
      </c>
      <c r="H2906" s="21">
        <f>Data!B2919</f>
        <v>0</v>
      </c>
      <c r="I2906" s="21">
        <f>Data!C2919</f>
        <v>0</v>
      </c>
      <c r="J2906">
        <f>Data!D2919</f>
        <v>0</v>
      </c>
      <c r="K2906">
        <f>Data!E2919</f>
        <v>0</v>
      </c>
      <c r="L2906">
        <f>Data!F2919</f>
        <v>0</v>
      </c>
      <c r="M2906">
        <f>Data!G2919</f>
        <v>0</v>
      </c>
      <c r="N2906">
        <f>Data!H2919</f>
        <v>0</v>
      </c>
      <c r="O2906">
        <f>Data!I2919</f>
        <v>0</v>
      </c>
      <c r="P2906" s="21">
        <f>Data!J2923</f>
        <v>0</v>
      </c>
      <c r="Q2906">
        <f>Data!K2923</f>
        <v>0</v>
      </c>
      <c r="R2906">
        <f>Data!L2923</f>
        <v>0</v>
      </c>
      <c r="S2906">
        <f>Data!M2923</f>
        <v>0</v>
      </c>
      <c r="T2906">
        <f>Data!N2923</f>
        <v>0</v>
      </c>
      <c r="U2906">
        <f>Data!O2923</f>
        <v>0</v>
      </c>
      <c r="V2906" s="33">
        <f>Data!P2921</f>
        <v>0</v>
      </c>
    </row>
    <row r="2907" spans="7:22" x14ac:dyDescent="0.25">
      <c r="G2907">
        <f>Data!A2920</f>
        <v>0</v>
      </c>
      <c r="H2907" s="21">
        <f>Data!B2920</f>
        <v>0</v>
      </c>
      <c r="I2907" s="21">
        <f>Data!C2920</f>
        <v>0</v>
      </c>
      <c r="J2907">
        <f>Data!D2920</f>
        <v>0</v>
      </c>
      <c r="K2907">
        <f>Data!E2920</f>
        <v>0</v>
      </c>
      <c r="L2907">
        <f>Data!F2920</f>
        <v>0</v>
      </c>
      <c r="M2907">
        <f>Data!G2920</f>
        <v>0</v>
      </c>
      <c r="N2907">
        <f>Data!H2920</f>
        <v>0</v>
      </c>
      <c r="O2907">
        <f>Data!I2920</f>
        <v>0</v>
      </c>
      <c r="P2907" s="21">
        <f>Data!J2924</f>
        <v>0</v>
      </c>
      <c r="Q2907">
        <f>Data!K2924</f>
        <v>0</v>
      </c>
      <c r="R2907">
        <f>Data!L2924</f>
        <v>0</v>
      </c>
      <c r="S2907">
        <f>Data!M2924</f>
        <v>0</v>
      </c>
      <c r="T2907">
        <f>Data!N2924</f>
        <v>0</v>
      </c>
      <c r="U2907">
        <f>Data!O2924</f>
        <v>0</v>
      </c>
      <c r="V2907" s="33">
        <f>Data!P2922</f>
        <v>0</v>
      </c>
    </row>
    <row r="2908" spans="7:22" x14ac:dyDescent="0.25">
      <c r="G2908">
        <f>Data!A2921</f>
        <v>0</v>
      </c>
      <c r="H2908" s="21">
        <f>Data!B2921</f>
        <v>0</v>
      </c>
      <c r="I2908" s="21">
        <f>Data!C2921</f>
        <v>0</v>
      </c>
      <c r="J2908">
        <f>Data!D2921</f>
        <v>0</v>
      </c>
      <c r="K2908">
        <f>Data!E2921</f>
        <v>0</v>
      </c>
      <c r="L2908">
        <f>Data!F2921</f>
        <v>0</v>
      </c>
      <c r="M2908">
        <f>Data!G2921</f>
        <v>0</v>
      </c>
      <c r="N2908">
        <f>Data!H2921</f>
        <v>0</v>
      </c>
      <c r="O2908">
        <f>Data!I2921</f>
        <v>0</v>
      </c>
      <c r="P2908" s="21">
        <f>Data!J2925</f>
        <v>0</v>
      </c>
      <c r="Q2908">
        <f>Data!K2925</f>
        <v>0</v>
      </c>
      <c r="R2908">
        <f>Data!L2925</f>
        <v>0</v>
      </c>
      <c r="S2908">
        <f>Data!M2925</f>
        <v>0</v>
      </c>
      <c r="T2908">
        <f>Data!N2925</f>
        <v>0</v>
      </c>
      <c r="U2908">
        <f>Data!O2925</f>
        <v>0</v>
      </c>
      <c r="V2908" s="33">
        <f>Data!P2923</f>
        <v>0</v>
      </c>
    </row>
    <row r="2909" spans="7:22" x14ac:dyDescent="0.25">
      <c r="G2909">
        <f>Data!A2922</f>
        <v>0</v>
      </c>
      <c r="H2909" s="21">
        <f>Data!B2922</f>
        <v>0</v>
      </c>
      <c r="I2909" s="21">
        <f>Data!C2922</f>
        <v>0</v>
      </c>
      <c r="J2909">
        <f>Data!D2922</f>
        <v>0</v>
      </c>
      <c r="K2909">
        <f>Data!E2922</f>
        <v>0</v>
      </c>
      <c r="L2909">
        <f>Data!F2922</f>
        <v>0</v>
      </c>
      <c r="M2909">
        <f>Data!G2922</f>
        <v>0</v>
      </c>
      <c r="N2909">
        <f>Data!H2922</f>
        <v>0</v>
      </c>
      <c r="O2909">
        <f>Data!I2922</f>
        <v>0</v>
      </c>
      <c r="P2909" s="21">
        <f>Data!J2926</f>
        <v>0</v>
      </c>
      <c r="Q2909">
        <f>Data!K2926</f>
        <v>0</v>
      </c>
      <c r="R2909">
        <f>Data!L2926</f>
        <v>0</v>
      </c>
      <c r="S2909">
        <f>Data!M2926</f>
        <v>0</v>
      </c>
      <c r="T2909">
        <f>Data!N2926</f>
        <v>0</v>
      </c>
      <c r="U2909">
        <f>Data!O2926</f>
        <v>0</v>
      </c>
      <c r="V2909" s="33">
        <f>Data!P2924</f>
        <v>0</v>
      </c>
    </row>
    <row r="2910" spans="7:22" x14ac:dyDescent="0.25">
      <c r="G2910">
        <f>Data!A2923</f>
        <v>0</v>
      </c>
      <c r="H2910" s="21">
        <f>Data!B2923</f>
        <v>0</v>
      </c>
      <c r="I2910" s="21">
        <f>Data!C2923</f>
        <v>0</v>
      </c>
      <c r="J2910">
        <f>Data!D2923</f>
        <v>0</v>
      </c>
      <c r="K2910">
        <f>Data!E2923</f>
        <v>0</v>
      </c>
      <c r="L2910">
        <f>Data!F2923</f>
        <v>0</v>
      </c>
      <c r="M2910">
        <f>Data!G2923</f>
        <v>0</v>
      </c>
      <c r="N2910">
        <f>Data!H2923</f>
        <v>0</v>
      </c>
      <c r="O2910">
        <f>Data!I2923</f>
        <v>0</v>
      </c>
      <c r="P2910" s="21">
        <f>Data!J2927</f>
        <v>0</v>
      </c>
      <c r="Q2910">
        <f>Data!K2927</f>
        <v>0</v>
      </c>
      <c r="R2910">
        <f>Data!L2927</f>
        <v>0</v>
      </c>
      <c r="S2910">
        <f>Data!M2927</f>
        <v>0</v>
      </c>
      <c r="T2910">
        <f>Data!N2927</f>
        <v>0</v>
      </c>
      <c r="U2910">
        <f>Data!O2927</f>
        <v>0</v>
      </c>
      <c r="V2910" s="33">
        <f>Data!P2925</f>
        <v>0</v>
      </c>
    </row>
    <row r="2911" spans="7:22" x14ac:dyDescent="0.25">
      <c r="G2911">
        <f>Data!A2924</f>
        <v>0</v>
      </c>
      <c r="H2911" s="21">
        <f>Data!B2924</f>
        <v>0</v>
      </c>
      <c r="I2911" s="21">
        <f>Data!C2924</f>
        <v>0</v>
      </c>
      <c r="J2911">
        <f>Data!D2924</f>
        <v>0</v>
      </c>
      <c r="K2911">
        <f>Data!E2924</f>
        <v>0</v>
      </c>
      <c r="L2911">
        <f>Data!F2924</f>
        <v>0</v>
      </c>
      <c r="M2911">
        <f>Data!G2924</f>
        <v>0</v>
      </c>
      <c r="N2911">
        <f>Data!H2924</f>
        <v>0</v>
      </c>
      <c r="O2911">
        <f>Data!I2924</f>
        <v>0</v>
      </c>
      <c r="P2911" s="21">
        <f>Data!J2928</f>
        <v>0</v>
      </c>
      <c r="Q2911">
        <f>Data!K2928</f>
        <v>0</v>
      </c>
      <c r="R2911">
        <f>Data!L2928</f>
        <v>0</v>
      </c>
      <c r="S2911">
        <f>Data!M2928</f>
        <v>0</v>
      </c>
      <c r="T2911">
        <f>Data!N2928</f>
        <v>0</v>
      </c>
      <c r="U2911">
        <f>Data!O2928</f>
        <v>0</v>
      </c>
      <c r="V2911" s="33">
        <f>Data!P2926</f>
        <v>0</v>
      </c>
    </row>
    <row r="2912" spans="7:22" x14ac:dyDescent="0.25">
      <c r="G2912">
        <f>Data!A2925</f>
        <v>0</v>
      </c>
      <c r="H2912" s="21">
        <f>Data!B2925</f>
        <v>0</v>
      </c>
      <c r="I2912" s="21">
        <f>Data!C2925</f>
        <v>0</v>
      </c>
      <c r="J2912">
        <f>Data!D2925</f>
        <v>0</v>
      </c>
      <c r="K2912">
        <f>Data!E2925</f>
        <v>0</v>
      </c>
      <c r="L2912">
        <f>Data!F2925</f>
        <v>0</v>
      </c>
      <c r="M2912">
        <f>Data!G2925</f>
        <v>0</v>
      </c>
      <c r="N2912">
        <f>Data!H2925</f>
        <v>0</v>
      </c>
      <c r="O2912">
        <f>Data!I2925</f>
        <v>0</v>
      </c>
      <c r="P2912" s="21">
        <f>Data!J2929</f>
        <v>0</v>
      </c>
      <c r="Q2912">
        <f>Data!K2929</f>
        <v>0</v>
      </c>
      <c r="R2912">
        <f>Data!L2929</f>
        <v>0</v>
      </c>
      <c r="S2912">
        <f>Data!M2929</f>
        <v>0</v>
      </c>
      <c r="T2912">
        <f>Data!N2929</f>
        <v>0</v>
      </c>
      <c r="U2912">
        <f>Data!O2929</f>
        <v>0</v>
      </c>
      <c r="V2912" s="33">
        <f>Data!P2927</f>
        <v>0</v>
      </c>
    </row>
    <row r="2913" spans="7:22" x14ac:dyDescent="0.25">
      <c r="G2913">
        <f>Data!A2926</f>
        <v>0</v>
      </c>
      <c r="H2913" s="21">
        <f>Data!B2926</f>
        <v>0</v>
      </c>
      <c r="I2913" s="21">
        <f>Data!C2926</f>
        <v>0</v>
      </c>
      <c r="J2913">
        <f>Data!D2926</f>
        <v>0</v>
      </c>
      <c r="K2913">
        <f>Data!E2926</f>
        <v>0</v>
      </c>
      <c r="L2913">
        <f>Data!F2926</f>
        <v>0</v>
      </c>
      <c r="M2913">
        <f>Data!G2926</f>
        <v>0</v>
      </c>
      <c r="N2913">
        <f>Data!H2926</f>
        <v>0</v>
      </c>
      <c r="O2913">
        <f>Data!I2926</f>
        <v>0</v>
      </c>
      <c r="P2913" s="21">
        <f>Data!J2930</f>
        <v>0</v>
      </c>
      <c r="Q2913">
        <f>Data!K2930</f>
        <v>0</v>
      </c>
      <c r="R2913">
        <f>Data!L2930</f>
        <v>0</v>
      </c>
      <c r="S2913">
        <f>Data!M2930</f>
        <v>0</v>
      </c>
      <c r="T2913">
        <f>Data!N2930</f>
        <v>0</v>
      </c>
      <c r="U2913">
        <f>Data!O2930</f>
        <v>0</v>
      </c>
      <c r="V2913" s="33">
        <f>Data!P2928</f>
        <v>0</v>
      </c>
    </row>
    <row r="2914" spans="7:22" x14ac:dyDescent="0.25">
      <c r="G2914">
        <f>Data!A2927</f>
        <v>0</v>
      </c>
      <c r="H2914" s="21">
        <f>Data!B2927</f>
        <v>0</v>
      </c>
      <c r="I2914" s="21">
        <f>Data!C2927</f>
        <v>0</v>
      </c>
      <c r="J2914">
        <f>Data!D2927</f>
        <v>0</v>
      </c>
      <c r="K2914">
        <f>Data!E2927</f>
        <v>0</v>
      </c>
      <c r="L2914">
        <f>Data!F2927</f>
        <v>0</v>
      </c>
      <c r="M2914">
        <f>Data!G2927</f>
        <v>0</v>
      </c>
      <c r="N2914">
        <f>Data!H2927</f>
        <v>0</v>
      </c>
      <c r="O2914">
        <f>Data!I2927</f>
        <v>0</v>
      </c>
      <c r="P2914" s="21">
        <f>Data!J2931</f>
        <v>0</v>
      </c>
      <c r="Q2914">
        <f>Data!K2931</f>
        <v>0</v>
      </c>
      <c r="R2914">
        <f>Data!L2931</f>
        <v>0</v>
      </c>
      <c r="S2914">
        <f>Data!M2931</f>
        <v>0</v>
      </c>
      <c r="T2914">
        <f>Data!N2931</f>
        <v>0</v>
      </c>
      <c r="U2914">
        <f>Data!O2931</f>
        <v>0</v>
      </c>
      <c r="V2914" s="33">
        <f>Data!P2929</f>
        <v>0</v>
      </c>
    </row>
    <row r="2915" spans="7:22" x14ac:dyDescent="0.25">
      <c r="G2915">
        <f>Data!A2928</f>
        <v>0</v>
      </c>
      <c r="H2915" s="21">
        <f>Data!B2928</f>
        <v>0</v>
      </c>
      <c r="I2915" s="21">
        <f>Data!C2928</f>
        <v>0</v>
      </c>
      <c r="J2915">
        <f>Data!D2928</f>
        <v>0</v>
      </c>
      <c r="K2915">
        <f>Data!E2928</f>
        <v>0</v>
      </c>
      <c r="L2915">
        <f>Data!F2928</f>
        <v>0</v>
      </c>
      <c r="M2915">
        <f>Data!G2928</f>
        <v>0</v>
      </c>
      <c r="N2915">
        <f>Data!H2928</f>
        <v>0</v>
      </c>
      <c r="O2915">
        <f>Data!I2928</f>
        <v>0</v>
      </c>
      <c r="P2915" s="21">
        <f>Data!J2932</f>
        <v>0</v>
      </c>
      <c r="Q2915">
        <f>Data!K2932</f>
        <v>0</v>
      </c>
      <c r="R2915">
        <f>Data!L2932</f>
        <v>0</v>
      </c>
      <c r="S2915">
        <f>Data!M2932</f>
        <v>0</v>
      </c>
      <c r="T2915">
        <f>Data!N2932</f>
        <v>0</v>
      </c>
      <c r="U2915">
        <f>Data!O2932</f>
        <v>0</v>
      </c>
      <c r="V2915" s="33">
        <f>Data!P2930</f>
        <v>0</v>
      </c>
    </row>
    <row r="2916" spans="7:22" x14ac:dyDescent="0.25">
      <c r="G2916">
        <f>Data!A2929</f>
        <v>0</v>
      </c>
      <c r="H2916" s="21">
        <f>Data!B2929</f>
        <v>0</v>
      </c>
      <c r="I2916" s="21">
        <f>Data!C2929</f>
        <v>0</v>
      </c>
      <c r="J2916">
        <f>Data!D2929</f>
        <v>0</v>
      </c>
      <c r="K2916">
        <f>Data!E2929</f>
        <v>0</v>
      </c>
      <c r="L2916">
        <f>Data!F2929</f>
        <v>0</v>
      </c>
      <c r="M2916">
        <f>Data!G2929</f>
        <v>0</v>
      </c>
      <c r="N2916">
        <f>Data!H2929</f>
        <v>0</v>
      </c>
      <c r="O2916">
        <f>Data!I2929</f>
        <v>0</v>
      </c>
      <c r="P2916" s="21">
        <f>Data!J2933</f>
        <v>0</v>
      </c>
      <c r="Q2916">
        <f>Data!K2933</f>
        <v>0</v>
      </c>
      <c r="R2916">
        <f>Data!L2933</f>
        <v>0</v>
      </c>
      <c r="S2916">
        <f>Data!M2933</f>
        <v>0</v>
      </c>
      <c r="T2916">
        <f>Data!N2933</f>
        <v>0</v>
      </c>
      <c r="U2916">
        <f>Data!O2933</f>
        <v>0</v>
      </c>
      <c r="V2916" s="33">
        <f>Data!P2931</f>
        <v>0</v>
      </c>
    </row>
    <row r="2917" spans="7:22" x14ac:dyDescent="0.25">
      <c r="G2917">
        <f>Data!A2930</f>
        <v>0</v>
      </c>
      <c r="H2917" s="21">
        <f>Data!B2930</f>
        <v>0</v>
      </c>
      <c r="I2917" s="21">
        <f>Data!C2930</f>
        <v>0</v>
      </c>
      <c r="J2917">
        <f>Data!D2930</f>
        <v>0</v>
      </c>
      <c r="K2917">
        <f>Data!E2930</f>
        <v>0</v>
      </c>
      <c r="L2917">
        <f>Data!F2930</f>
        <v>0</v>
      </c>
      <c r="M2917">
        <f>Data!G2930</f>
        <v>0</v>
      </c>
      <c r="N2917">
        <f>Data!H2930</f>
        <v>0</v>
      </c>
      <c r="O2917">
        <f>Data!I2930</f>
        <v>0</v>
      </c>
      <c r="P2917" s="21">
        <f>Data!J2934</f>
        <v>0</v>
      </c>
      <c r="Q2917">
        <f>Data!K2934</f>
        <v>0</v>
      </c>
      <c r="R2917">
        <f>Data!L2934</f>
        <v>0</v>
      </c>
      <c r="S2917">
        <f>Data!M2934</f>
        <v>0</v>
      </c>
      <c r="T2917">
        <f>Data!N2934</f>
        <v>0</v>
      </c>
      <c r="U2917">
        <f>Data!O2934</f>
        <v>0</v>
      </c>
      <c r="V2917" s="33">
        <f>Data!P2932</f>
        <v>0</v>
      </c>
    </row>
    <row r="2918" spans="7:22" x14ac:dyDescent="0.25">
      <c r="G2918">
        <f>Data!A2931</f>
        <v>0</v>
      </c>
      <c r="H2918" s="21">
        <f>Data!B2931</f>
        <v>0</v>
      </c>
      <c r="I2918" s="21">
        <f>Data!C2931</f>
        <v>0</v>
      </c>
      <c r="J2918">
        <f>Data!D2931</f>
        <v>0</v>
      </c>
      <c r="K2918">
        <f>Data!E2931</f>
        <v>0</v>
      </c>
      <c r="L2918">
        <f>Data!F2931</f>
        <v>0</v>
      </c>
      <c r="M2918">
        <f>Data!G2931</f>
        <v>0</v>
      </c>
      <c r="N2918">
        <f>Data!H2931</f>
        <v>0</v>
      </c>
      <c r="O2918">
        <f>Data!I2931</f>
        <v>0</v>
      </c>
      <c r="P2918" s="21">
        <f>Data!J2935</f>
        <v>0</v>
      </c>
      <c r="Q2918">
        <f>Data!K2935</f>
        <v>0</v>
      </c>
      <c r="R2918">
        <f>Data!L2935</f>
        <v>0</v>
      </c>
      <c r="S2918">
        <f>Data!M2935</f>
        <v>0</v>
      </c>
      <c r="T2918">
        <f>Data!N2935</f>
        <v>0</v>
      </c>
      <c r="U2918">
        <f>Data!O2935</f>
        <v>0</v>
      </c>
      <c r="V2918" s="33">
        <f>Data!P2933</f>
        <v>0</v>
      </c>
    </row>
    <row r="2919" spans="7:22" x14ac:dyDescent="0.25">
      <c r="G2919">
        <f>Data!A2932</f>
        <v>0</v>
      </c>
      <c r="H2919" s="21">
        <f>Data!B2932</f>
        <v>0</v>
      </c>
      <c r="I2919" s="21">
        <f>Data!C2932</f>
        <v>0</v>
      </c>
      <c r="J2919">
        <f>Data!D2932</f>
        <v>0</v>
      </c>
      <c r="K2919">
        <f>Data!E2932</f>
        <v>0</v>
      </c>
      <c r="L2919">
        <f>Data!F2932</f>
        <v>0</v>
      </c>
      <c r="M2919">
        <f>Data!G2932</f>
        <v>0</v>
      </c>
      <c r="N2919">
        <f>Data!H2932</f>
        <v>0</v>
      </c>
      <c r="O2919">
        <f>Data!I2932</f>
        <v>0</v>
      </c>
      <c r="P2919" s="21">
        <f>Data!J2936</f>
        <v>0</v>
      </c>
      <c r="Q2919">
        <f>Data!K2936</f>
        <v>0</v>
      </c>
      <c r="R2919">
        <f>Data!L2936</f>
        <v>0</v>
      </c>
      <c r="S2919">
        <f>Data!M2936</f>
        <v>0</v>
      </c>
      <c r="T2919">
        <f>Data!N2936</f>
        <v>0</v>
      </c>
      <c r="U2919">
        <f>Data!O2936</f>
        <v>0</v>
      </c>
      <c r="V2919" s="33">
        <f>Data!P2934</f>
        <v>0</v>
      </c>
    </row>
    <row r="2920" spans="7:22" x14ac:dyDescent="0.25">
      <c r="G2920">
        <f>Data!A2933</f>
        <v>0</v>
      </c>
      <c r="H2920" s="21">
        <f>Data!B2933</f>
        <v>0</v>
      </c>
      <c r="I2920" s="21">
        <f>Data!C2933</f>
        <v>0</v>
      </c>
      <c r="J2920">
        <f>Data!D2933</f>
        <v>0</v>
      </c>
      <c r="K2920">
        <f>Data!E2933</f>
        <v>0</v>
      </c>
      <c r="L2920">
        <f>Data!F2933</f>
        <v>0</v>
      </c>
      <c r="M2920">
        <f>Data!G2933</f>
        <v>0</v>
      </c>
      <c r="N2920">
        <f>Data!H2933</f>
        <v>0</v>
      </c>
      <c r="O2920">
        <f>Data!I2933</f>
        <v>0</v>
      </c>
      <c r="P2920" s="21">
        <f>Data!J2937</f>
        <v>0</v>
      </c>
      <c r="Q2920">
        <f>Data!K2937</f>
        <v>0</v>
      </c>
      <c r="R2920">
        <f>Data!L2937</f>
        <v>0</v>
      </c>
      <c r="S2920">
        <f>Data!M2937</f>
        <v>0</v>
      </c>
      <c r="T2920">
        <f>Data!N2937</f>
        <v>0</v>
      </c>
      <c r="U2920">
        <f>Data!O2937</f>
        <v>0</v>
      </c>
      <c r="V2920" s="33">
        <f>Data!P2935</f>
        <v>0</v>
      </c>
    </row>
    <row r="2921" spans="7:22" x14ac:dyDescent="0.25">
      <c r="G2921">
        <f>Data!A2934</f>
        <v>0</v>
      </c>
      <c r="H2921" s="21">
        <f>Data!B2934</f>
        <v>0</v>
      </c>
      <c r="I2921" s="21">
        <f>Data!C2934</f>
        <v>0</v>
      </c>
      <c r="J2921">
        <f>Data!D2934</f>
        <v>0</v>
      </c>
      <c r="K2921">
        <f>Data!E2934</f>
        <v>0</v>
      </c>
      <c r="L2921">
        <f>Data!F2934</f>
        <v>0</v>
      </c>
      <c r="M2921">
        <f>Data!G2934</f>
        <v>0</v>
      </c>
      <c r="N2921">
        <f>Data!H2934</f>
        <v>0</v>
      </c>
      <c r="O2921">
        <f>Data!I2934</f>
        <v>0</v>
      </c>
      <c r="P2921" s="21">
        <f>Data!J2938</f>
        <v>0</v>
      </c>
      <c r="Q2921">
        <f>Data!K2938</f>
        <v>0</v>
      </c>
      <c r="R2921">
        <f>Data!L2938</f>
        <v>0</v>
      </c>
      <c r="S2921">
        <f>Data!M2938</f>
        <v>0</v>
      </c>
      <c r="T2921">
        <f>Data!N2938</f>
        <v>0</v>
      </c>
      <c r="U2921">
        <f>Data!O2938</f>
        <v>0</v>
      </c>
      <c r="V2921" s="33">
        <f>Data!P2936</f>
        <v>0</v>
      </c>
    </row>
    <row r="2922" spans="7:22" x14ac:dyDescent="0.25">
      <c r="G2922">
        <f>Data!A2935</f>
        <v>0</v>
      </c>
      <c r="H2922" s="21">
        <f>Data!B2935</f>
        <v>0</v>
      </c>
      <c r="I2922" s="21">
        <f>Data!C2935</f>
        <v>0</v>
      </c>
      <c r="J2922">
        <f>Data!D2935</f>
        <v>0</v>
      </c>
      <c r="K2922">
        <f>Data!E2935</f>
        <v>0</v>
      </c>
      <c r="L2922">
        <f>Data!F2935</f>
        <v>0</v>
      </c>
      <c r="M2922">
        <f>Data!G2935</f>
        <v>0</v>
      </c>
      <c r="N2922">
        <f>Data!H2935</f>
        <v>0</v>
      </c>
      <c r="O2922">
        <f>Data!I2935</f>
        <v>0</v>
      </c>
      <c r="P2922" s="21">
        <f>Data!J2939</f>
        <v>0</v>
      </c>
      <c r="Q2922">
        <f>Data!K2939</f>
        <v>0</v>
      </c>
      <c r="R2922">
        <f>Data!L2939</f>
        <v>0</v>
      </c>
      <c r="S2922">
        <f>Data!M2939</f>
        <v>0</v>
      </c>
      <c r="T2922">
        <f>Data!N2939</f>
        <v>0</v>
      </c>
      <c r="U2922">
        <f>Data!O2939</f>
        <v>0</v>
      </c>
      <c r="V2922" s="33">
        <f>Data!P2937</f>
        <v>0</v>
      </c>
    </row>
    <row r="2923" spans="7:22" x14ac:dyDescent="0.25">
      <c r="G2923">
        <f>Data!A2936</f>
        <v>0</v>
      </c>
      <c r="H2923" s="21">
        <f>Data!B2936</f>
        <v>0</v>
      </c>
      <c r="I2923" s="21">
        <f>Data!C2936</f>
        <v>0</v>
      </c>
      <c r="J2923">
        <f>Data!D2936</f>
        <v>0</v>
      </c>
      <c r="K2923">
        <f>Data!E2936</f>
        <v>0</v>
      </c>
      <c r="L2923">
        <f>Data!F2936</f>
        <v>0</v>
      </c>
      <c r="M2923">
        <f>Data!G2936</f>
        <v>0</v>
      </c>
      <c r="N2923">
        <f>Data!H2936</f>
        <v>0</v>
      </c>
      <c r="O2923">
        <f>Data!I2936</f>
        <v>0</v>
      </c>
      <c r="P2923" s="21">
        <f>Data!J2940</f>
        <v>0</v>
      </c>
      <c r="Q2923">
        <f>Data!K2940</f>
        <v>0</v>
      </c>
      <c r="R2923">
        <f>Data!L2940</f>
        <v>0</v>
      </c>
      <c r="S2923">
        <f>Data!M2940</f>
        <v>0</v>
      </c>
      <c r="T2923">
        <f>Data!N2940</f>
        <v>0</v>
      </c>
      <c r="U2923">
        <f>Data!O2940</f>
        <v>0</v>
      </c>
      <c r="V2923" s="33">
        <f>Data!P2938</f>
        <v>0</v>
      </c>
    </row>
    <row r="2924" spans="7:22" x14ac:dyDescent="0.25">
      <c r="G2924">
        <f>Data!A2937</f>
        <v>0</v>
      </c>
      <c r="H2924" s="21">
        <f>Data!B2937</f>
        <v>0</v>
      </c>
      <c r="I2924" s="21">
        <f>Data!C2937</f>
        <v>0</v>
      </c>
      <c r="J2924">
        <f>Data!D2937</f>
        <v>0</v>
      </c>
      <c r="K2924">
        <f>Data!E2937</f>
        <v>0</v>
      </c>
      <c r="L2924">
        <f>Data!F2937</f>
        <v>0</v>
      </c>
      <c r="M2924">
        <f>Data!G2937</f>
        <v>0</v>
      </c>
      <c r="N2924">
        <f>Data!H2937</f>
        <v>0</v>
      </c>
      <c r="O2924">
        <f>Data!I2937</f>
        <v>0</v>
      </c>
      <c r="P2924" s="21">
        <f>Data!J2941</f>
        <v>0</v>
      </c>
      <c r="Q2924">
        <f>Data!K2941</f>
        <v>0</v>
      </c>
      <c r="R2924">
        <f>Data!L2941</f>
        <v>0</v>
      </c>
      <c r="S2924">
        <f>Data!M2941</f>
        <v>0</v>
      </c>
      <c r="T2924">
        <f>Data!N2941</f>
        <v>0</v>
      </c>
      <c r="U2924">
        <f>Data!O2941</f>
        <v>0</v>
      </c>
      <c r="V2924" s="33">
        <f>Data!P2939</f>
        <v>0</v>
      </c>
    </row>
    <row r="2925" spans="7:22" x14ac:dyDescent="0.25">
      <c r="G2925">
        <f>Data!A2938</f>
        <v>0</v>
      </c>
      <c r="H2925" s="21">
        <f>Data!B2938</f>
        <v>0</v>
      </c>
      <c r="I2925" s="21">
        <f>Data!C2938</f>
        <v>0</v>
      </c>
      <c r="J2925">
        <f>Data!D2938</f>
        <v>0</v>
      </c>
      <c r="K2925">
        <f>Data!E2938</f>
        <v>0</v>
      </c>
      <c r="L2925">
        <f>Data!F2938</f>
        <v>0</v>
      </c>
      <c r="M2925">
        <f>Data!G2938</f>
        <v>0</v>
      </c>
      <c r="N2925">
        <f>Data!H2938</f>
        <v>0</v>
      </c>
      <c r="O2925">
        <f>Data!I2938</f>
        <v>0</v>
      </c>
      <c r="P2925" s="21">
        <f>Data!J2942</f>
        <v>0</v>
      </c>
      <c r="Q2925">
        <f>Data!K2942</f>
        <v>0</v>
      </c>
      <c r="R2925">
        <f>Data!L2942</f>
        <v>0</v>
      </c>
      <c r="S2925">
        <f>Data!M2942</f>
        <v>0</v>
      </c>
      <c r="T2925">
        <f>Data!N2942</f>
        <v>0</v>
      </c>
      <c r="U2925">
        <f>Data!O2942</f>
        <v>0</v>
      </c>
      <c r="V2925" s="33">
        <f>Data!P2940</f>
        <v>0</v>
      </c>
    </row>
    <row r="2926" spans="7:22" x14ac:dyDescent="0.25">
      <c r="G2926">
        <f>Data!A2939</f>
        <v>0</v>
      </c>
      <c r="H2926" s="21">
        <f>Data!B2939</f>
        <v>0</v>
      </c>
      <c r="I2926" s="21">
        <f>Data!C2939</f>
        <v>0</v>
      </c>
      <c r="J2926">
        <f>Data!D2939</f>
        <v>0</v>
      </c>
      <c r="K2926">
        <f>Data!E2939</f>
        <v>0</v>
      </c>
      <c r="L2926">
        <f>Data!F2939</f>
        <v>0</v>
      </c>
      <c r="M2926">
        <f>Data!G2939</f>
        <v>0</v>
      </c>
      <c r="N2926">
        <f>Data!H2939</f>
        <v>0</v>
      </c>
      <c r="O2926">
        <f>Data!I2939</f>
        <v>0</v>
      </c>
      <c r="P2926" s="21">
        <f>Data!J2943</f>
        <v>0</v>
      </c>
      <c r="Q2926">
        <f>Data!K2943</f>
        <v>0</v>
      </c>
      <c r="R2926">
        <f>Data!L2943</f>
        <v>0</v>
      </c>
      <c r="S2926">
        <f>Data!M2943</f>
        <v>0</v>
      </c>
      <c r="T2926">
        <f>Data!N2943</f>
        <v>0</v>
      </c>
      <c r="U2926">
        <f>Data!O2943</f>
        <v>0</v>
      </c>
      <c r="V2926" s="33">
        <f>Data!P2941</f>
        <v>0</v>
      </c>
    </row>
    <row r="2927" spans="7:22" x14ac:dyDescent="0.25">
      <c r="G2927">
        <f>Data!A2940</f>
        <v>0</v>
      </c>
      <c r="H2927" s="21">
        <f>Data!B2940</f>
        <v>0</v>
      </c>
      <c r="I2927" s="21">
        <f>Data!C2940</f>
        <v>0</v>
      </c>
      <c r="J2927">
        <f>Data!D2940</f>
        <v>0</v>
      </c>
      <c r="K2927">
        <f>Data!E2940</f>
        <v>0</v>
      </c>
      <c r="L2927">
        <f>Data!F2940</f>
        <v>0</v>
      </c>
      <c r="M2927">
        <f>Data!G2940</f>
        <v>0</v>
      </c>
      <c r="N2927">
        <f>Data!H2940</f>
        <v>0</v>
      </c>
      <c r="O2927">
        <f>Data!I2940</f>
        <v>0</v>
      </c>
      <c r="P2927" s="21">
        <f>Data!J2944</f>
        <v>0</v>
      </c>
      <c r="Q2927">
        <f>Data!K2944</f>
        <v>0</v>
      </c>
      <c r="R2927">
        <f>Data!L2944</f>
        <v>0</v>
      </c>
      <c r="S2927">
        <f>Data!M2944</f>
        <v>0</v>
      </c>
      <c r="T2927">
        <f>Data!N2944</f>
        <v>0</v>
      </c>
      <c r="U2927">
        <f>Data!O2944</f>
        <v>0</v>
      </c>
      <c r="V2927" s="33">
        <f>Data!P2942</f>
        <v>0</v>
      </c>
    </row>
    <row r="2928" spans="7:22" x14ac:dyDescent="0.25">
      <c r="G2928">
        <f>Data!A2941</f>
        <v>0</v>
      </c>
      <c r="H2928" s="21">
        <f>Data!B2941</f>
        <v>0</v>
      </c>
      <c r="I2928" s="21">
        <f>Data!C2941</f>
        <v>0</v>
      </c>
      <c r="J2928">
        <f>Data!D2941</f>
        <v>0</v>
      </c>
      <c r="K2928">
        <f>Data!E2941</f>
        <v>0</v>
      </c>
      <c r="L2928">
        <f>Data!F2941</f>
        <v>0</v>
      </c>
      <c r="M2928">
        <f>Data!G2941</f>
        <v>0</v>
      </c>
      <c r="N2928">
        <f>Data!H2941</f>
        <v>0</v>
      </c>
      <c r="O2928">
        <f>Data!I2941</f>
        <v>0</v>
      </c>
      <c r="P2928" s="21">
        <f>Data!J2945</f>
        <v>0</v>
      </c>
      <c r="Q2928">
        <f>Data!K2945</f>
        <v>0</v>
      </c>
      <c r="R2928">
        <f>Data!L2945</f>
        <v>0</v>
      </c>
      <c r="S2928">
        <f>Data!M2945</f>
        <v>0</v>
      </c>
      <c r="T2928">
        <f>Data!N2945</f>
        <v>0</v>
      </c>
      <c r="U2928">
        <f>Data!O2945</f>
        <v>0</v>
      </c>
      <c r="V2928" s="33">
        <f>Data!P2943</f>
        <v>0</v>
      </c>
    </row>
    <row r="2929" spans="7:22" x14ac:dyDescent="0.25">
      <c r="G2929">
        <f>Data!A2942</f>
        <v>0</v>
      </c>
      <c r="H2929" s="21">
        <f>Data!B2942</f>
        <v>0</v>
      </c>
      <c r="I2929" s="21">
        <f>Data!C2942</f>
        <v>0</v>
      </c>
      <c r="J2929">
        <f>Data!D2942</f>
        <v>0</v>
      </c>
      <c r="K2929">
        <f>Data!E2942</f>
        <v>0</v>
      </c>
      <c r="L2929">
        <f>Data!F2942</f>
        <v>0</v>
      </c>
      <c r="M2929">
        <f>Data!G2942</f>
        <v>0</v>
      </c>
      <c r="N2929">
        <f>Data!H2942</f>
        <v>0</v>
      </c>
      <c r="O2929">
        <f>Data!I2942</f>
        <v>0</v>
      </c>
      <c r="P2929" s="21">
        <f>Data!J2946</f>
        <v>0</v>
      </c>
      <c r="Q2929">
        <f>Data!K2946</f>
        <v>0</v>
      </c>
      <c r="R2929">
        <f>Data!L2946</f>
        <v>0</v>
      </c>
      <c r="S2929">
        <f>Data!M2946</f>
        <v>0</v>
      </c>
      <c r="T2929">
        <f>Data!N2946</f>
        <v>0</v>
      </c>
      <c r="U2929">
        <f>Data!O2946</f>
        <v>0</v>
      </c>
      <c r="V2929" s="33">
        <f>Data!P2944</f>
        <v>0</v>
      </c>
    </row>
    <row r="2930" spans="7:22" x14ac:dyDescent="0.25">
      <c r="G2930">
        <f>Data!A2943</f>
        <v>0</v>
      </c>
      <c r="H2930" s="21">
        <f>Data!B2943</f>
        <v>0</v>
      </c>
      <c r="I2930" s="21">
        <f>Data!C2943</f>
        <v>0</v>
      </c>
      <c r="J2930">
        <f>Data!D2943</f>
        <v>0</v>
      </c>
      <c r="K2930">
        <f>Data!E2943</f>
        <v>0</v>
      </c>
      <c r="L2930">
        <f>Data!F2943</f>
        <v>0</v>
      </c>
      <c r="M2930">
        <f>Data!G2943</f>
        <v>0</v>
      </c>
      <c r="N2930">
        <f>Data!H2943</f>
        <v>0</v>
      </c>
      <c r="O2930">
        <f>Data!I2943</f>
        <v>0</v>
      </c>
      <c r="P2930" s="21">
        <f>Data!J2947</f>
        <v>0</v>
      </c>
      <c r="Q2930">
        <f>Data!K2947</f>
        <v>0</v>
      </c>
      <c r="R2930">
        <f>Data!L2947</f>
        <v>0</v>
      </c>
      <c r="S2930">
        <f>Data!M2947</f>
        <v>0</v>
      </c>
      <c r="T2930">
        <f>Data!N2947</f>
        <v>0</v>
      </c>
      <c r="U2930">
        <f>Data!O2947</f>
        <v>0</v>
      </c>
      <c r="V2930" s="33">
        <f>Data!P2945</f>
        <v>0</v>
      </c>
    </row>
    <row r="2931" spans="7:22" x14ac:dyDescent="0.25">
      <c r="G2931">
        <f>Data!A2944</f>
        <v>0</v>
      </c>
      <c r="H2931" s="21">
        <f>Data!B2944</f>
        <v>0</v>
      </c>
      <c r="I2931" s="21">
        <f>Data!C2944</f>
        <v>0</v>
      </c>
      <c r="J2931">
        <f>Data!D2944</f>
        <v>0</v>
      </c>
      <c r="K2931">
        <f>Data!E2944</f>
        <v>0</v>
      </c>
      <c r="L2931">
        <f>Data!F2944</f>
        <v>0</v>
      </c>
      <c r="M2931">
        <f>Data!G2944</f>
        <v>0</v>
      </c>
      <c r="N2931">
        <f>Data!H2944</f>
        <v>0</v>
      </c>
      <c r="O2931">
        <f>Data!I2944</f>
        <v>0</v>
      </c>
      <c r="P2931" s="21">
        <f>Data!J2948</f>
        <v>0</v>
      </c>
      <c r="Q2931">
        <f>Data!K2948</f>
        <v>0</v>
      </c>
      <c r="R2931">
        <f>Data!L2948</f>
        <v>0</v>
      </c>
      <c r="S2931">
        <f>Data!M2948</f>
        <v>0</v>
      </c>
      <c r="T2931">
        <f>Data!N2948</f>
        <v>0</v>
      </c>
      <c r="U2931">
        <f>Data!O2948</f>
        <v>0</v>
      </c>
      <c r="V2931" s="33">
        <f>Data!P2946</f>
        <v>0</v>
      </c>
    </row>
    <row r="2932" spans="7:22" x14ac:dyDescent="0.25">
      <c r="G2932">
        <f>Data!A2945</f>
        <v>0</v>
      </c>
      <c r="H2932" s="21">
        <f>Data!B2945</f>
        <v>0</v>
      </c>
      <c r="I2932" s="21">
        <f>Data!C2945</f>
        <v>0</v>
      </c>
      <c r="J2932">
        <f>Data!D2945</f>
        <v>0</v>
      </c>
      <c r="K2932">
        <f>Data!E2945</f>
        <v>0</v>
      </c>
      <c r="L2932">
        <f>Data!F2945</f>
        <v>0</v>
      </c>
      <c r="M2932">
        <f>Data!G2945</f>
        <v>0</v>
      </c>
      <c r="N2932">
        <f>Data!H2945</f>
        <v>0</v>
      </c>
      <c r="O2932">
        <f>Data!I2945</f>
        <v>0</v>
      </c>
      <c r="P2932" s="21">
        <f>Data!J2949</f>
        <v>0</v>
      </c>
      <c r="Q2932">
        <f>Data!K2949</f>
        <v>0</v>
      </c>
      <c r="R2932">
        <f>Data!L2949</f>
        <v>0</v>
      </c>
      <c r="S2932">
        <f>Data!M2949</f>
        <v>0</v>
      </c>
      <c r="T2932">
        <f>Data!N2949</f>
        <v>0</v>
      </c>
      <c r="U2932">
        <f>Data!O2949</f>
        <v>0</v>
      </c>
      <c r="V2932" s="33">
        <f>Data!P2947</f>
        <v>0</v>
      </c>
    </row>
    <row r="2933" spans="7:22" x14ac:dyDescent="0.25">
      <c r="G2933">
        <f>Data!A2946</f>
        <v>0</v>
      </c>
      <c r="H2933" s="21">
        <f>Data!B2946</f>
        <v>0</v>
      </c>
      <c r="I2933" s="21">
        <f>Data!C2946</f>
        <v>0</v>
      </c>
      <c r="J2933">
        <f>Data!D2946</f>
        <v>0</v>
      </c>
      <c r="K2933">
        <f>Data!E2946</f>
        <v>0</v>
      </c>
      <c r="L2933">
        <f>Data!F2946</f>
        <v>0</v>
      </c>
      <c r="M2933">
        <f>Data!G2946</f>
        <v>0</v>
      </c>
      <c r="N2933">
        <f>Data!H2946</f>
        <v>0</v>
      </c>
      <c r="O2933">
        <f>Data!I2946</f>
        <v>0</v>
      </c>
      <c r="P2933" s="21">
        <f>Data!J2950</f>
        <v>0</v>
      </c>
      <c r="Q2933">
        <f>Data!K2950</f>
        <v>0</v>
      </c>
      <c r="R2933">
        <f>Data!L2950</f>
        <v>0</v>
      </c>
      <c r="S2933">
        <f>Data!M2950</f>
        <v>0</v>
      </c>
      <c r="T2933">
        <f>Data!N2950</f>
        <v>0</v>
      </c>
      <c r="U2933">
        <f>Data!O2950</f>
        <v>0</v>
      </c>
      <c r="V2933" s="33">
        <f>Data!P2948</f>
        <v>0</v>
      </c>
    </row>
    <row r="2934" spans="7:22" x14ac:dyDescent="0.25">
      <c r="G2934">
        <f>Data!A2947</f>
        <v>0</v>
      </c>
      <c r="H2934" s="21">
        <f>Data!B2947</f>
        <v>0</v>
      </c>
      <c r="I2934" s="21">
        <f>Data!C2947</f>
        <v>0</v>
      </c>
      <c r="J2934">
        <f>Data!D2947</f>
        <v>0</v>
      </c>
      <c r="K2934">
        <f>Data!E2947</f>
        <v>0</v>
      </c>
      <c r="L2934">
        <f>Data!F2947</f>
        <v>0</v>
      </c>
      <c r="M2934">
        <f>Data!G2947</f>
        <v>0</v>
      </c>
      <c r="N2934">
        <f>Data!H2947</f>
        <v>0</v>
      </c>
      <c r="O2934">
        <f>Data!I2947</f>
        <v>0</v>
      </c>
      <c r="P2934" s="21">
        <f>Data!J2951</f>
        <v>0</v>
      </c>
      <c r="Q2934">
        <f>Data!K2951</f>
        <v>0</v>
      </c>
      <c r="R2934">
        <f>Data!L2951</f>
        <v>0</v>
      </c>
      <c r="S2934">
        <f>Data!M2951</f>
        <v>0</v>
      </c>
      <c r="T2934">
        <f>Data!N2951</f>
        <v>0</v>
      </c>
      <c r="U2934">
        <f>Data!O2951</f>
        <v>0</v>
      </c>
      <c r="V2934" s="33">
        <f>Data!P2949</f>
        <v>0</v>
      </c>
    </row>
    <row r="2935" spans="7:22" x14ac:dyDescent="0.25">
      <c r="G2935">
        <f>Data!A2948</f>
        <v>0</v>
      </c>
      <c r="H2935" s="21">
        <f>Data!B2948</f>
        <v>0</v>
      </c>
      <c r="I2935" s="21">
        <f>Data!C2948</f>
        <v>0</v>
      </c>
      <c r="J2935">
        <f>Data!D2948</f>
        <v>0</v>
      </c>
      <c r="K2935">
        <f>Data!E2948</f>
        <v>0</v>
      </c>
      <c r="L2935">
        <f>Data!F2948</f>
        <v>0</v>
      </c>
      <c r="M2935">
        <f>Data!G2948</f>
        <v>0</v>
      </c>
      <c r="N2935">
        <f>Data!H2948</f>
        <v>0</v>
      </c>
      <c r="O2935">
        <f>Data!I2948</f>
        <v>0</v>
      </c>
      <c r="P2935" s="21">
        <f>Data!J2952</f>
        <v>0</v>
      </c>
      <c r="Q2935">
        <f>Data!K2952</f>
        <v>0</v>
      </c>
      <c r="R2935">
        <f>Data!L2952</f>
        <v>0</v>
      </c>
      <c r="S2935">
        <f>Data!M2952</f>
        <v>0</v>
      </c>
      <c r="T2935">
        <f>Data!N2952</f>
        <v>0</v>
      </c>
      <c r="U2935">
        <f>Data!O2952</f>
        <v>0</v>
      </c>
      <c r="V2935" s="33">
        <f>Data!P2950</f>
        <v>0</v>
      </c>
    </row>
    <row r="2936" spans="7:22" x14ac:dyDescent="0.25">
      <c r="G2936">
        <f>Data!A2949</f>
        <v>0</v>
      </c>
      <c r="H2936" s="21">
        <f>Data!B2949</f>
        <v>0</v>
      </c>
      <c r="I2936" s="21">
        <f>Data!C2949</f>
        <v>0</v>
      </c>
      <c r="J2936">
        <f>Data!D2949</f>
        <v>0</v>
      </c>
      <c r="K2936">
        <f>Data!E2949</f>
        <v>0</v>
      </c>
      <c r="L2936">
        <f>Data!F2949</f>
        <v>0</v>
      </c>
      <c r="M2936">
        <f>Data!G2949</f>
        <v>0</v>
      </c>
      <c r="N2936">
        <f>Data!H2949</f>
        <v>0</v>
      </c>
      <c r="O2936">
        <f>Data!I2949</f>
        <v>0</v>
      </c>
      <c r="P2936" s="21">
        <f>Data!J2953</f>
        <v>0</v>
      </c>
      <c r="Q2936">
        <f>Data!K2953</f>
        <v>0</v>
      </c>
      <c r="R2936">
        <f>Data!L2953</f>
        <v>0</v>
      </c>
      <c r="S2936">
        <f>Data!M2953</f>
        <v>0</v>
      </c>
      <c r="T2936">
        <f>Data!N2953</f>
        <v>0</v>
      </c>
      <c r="U2936">
        <f>Data!O2953</f>
        <v>0</v>
      </c>
      <c r="V2936" s="33">
        <f>Data!P2951</f>
        <v>0</v>
      </c>
    </row>
    <row r="2937" spans="7:22" x14ac:dyDescent="0.25">
      <c r="G2937">
        <f>Data!A2950</f>
        <v>0</v>
      </c>
      <c r="H2937" s="21">
        <f>Data!B2950</f>
        <v>0</v>
      </c>
      <c r="I2937" s="21">
        <f>Data!C2950</f>
        <v>0</v>
      </c>
      <c r="J2937">
        <f>Data!D2950</f>
        <v>0</v>
      </c>
      <c r="K2937">
        <f>Data!E2950</f>
        <v>0</v>
      </c>
      <c r="L2937">
        <f>Data!F2950</f>
        <v>0</v>
      </c>
      <c r="M2937">
        <f>Data!G2950</f>
        <v>0</v>
      </c>
      <c r="N2937">
        <f>Data!H2950</f>
        <v>0</v>
      </c>
      <c r="O2937">
        <f>Data!I2950</f>
        <v>0</v>
      </c>
      <c r="P2937" s="21">
        <f>Data!J2954</f>
        <v>0</v>
      </c>
      <c r="Q2937">
        <f>Data!K2954</f>
        <v>0</v>
      </c>
      <c r="R2937">
        <f>Data!L2954</f>
        <v>0</v>
      </c>
      <c r="S2937">
        <f>Data!M2954</f>
        <v>0</v>
      </c>
      <c r="T2937">
        <f>Data!N2954</f>
        <v>0</v>
      </c>
      <c r="U2937">
        <f>Data!O2954</f>
        <v>0</v>
      </c>
      <c r="V2937" s="33">
        <f>Data!P2952</f>
        <v>0</v>
      </c>
    </row>
    <row r="2938" spans="7:22" x14ac:dyDescent="0.25">
      <c r="G2938">
        <f>Data!A2951</f>
        <v>0</v>
      </c>
      <c r="H2938" s="21">
        <f>Data!B2951</f>
        <v>0</v>
      </c>
      <c r="I2938" s="21">
        <f>Data!C2951</f>
        <v>0</v>
      </c>
      <c r="J2938">
        <f>Data!D2951</f>
        <v>0</v>
      </c>
      <c r="K2938">
        <f>Data!E2951</f>
        <v>0</v>
      </c>
      <c r="L2938">
        <f>Data!F2951</f>
        <v>0</v>
      </c>
      <c r="M2938">
        <f>Data!G2951</f>
        <v>0</v>
      </c>
      <c r="N2938">
        <f>Data!H2951</f>
        <v>0</v>
      </c>
      <c r="O2938">
        <f>Data!I2951</f>
        <v>0</v>
      </c>
      <c r="P2938" s="21">
        <f>Data!J2955</f>
        <v>0</v>
      </c>
      <c r="Q2938">
        <f>Data!K2955</f>
        <v>0</v>
      </c>
      <c r="R2938">
        <f>Data!L2955</f>
        <v>0</v>
      </c>
      <c r="S2938">
        <f>Data!M2955</f>
        <v>0</v>
      </c>
      <c r="T2938">
        <f>Data!N2955</f>
        <v>0</v>
      </c>
      <c r="U2938">
        <f>Data!O2955</f>
        <v>0</v>
      </c>
      <c r="V2938" s="33">
        <f>Data!P2953</f>
        <v>0</v>
      </c>
    </row>
    <row r="2939" spans="7:22" x14ac:dyDescent="0.25">
      <c r="G2939">
        <f>Data!A2952</f>
        <v>0</v>
      </c>
      <c r="H2939" s="21">
        <f>Data!B2952</f>
        <v>0</v>
      </c>
      <c r="I2939" s="21">
        <f>Data!C2952</f>
        <v>0</v>
      </c>
      <c r="J2939">
        <f>Data!D2952</f>
        <v>0</v>
      </c>
      <c r="K2939">
        <f>Data!E2952</f>
        <v>0</v>
      </c>
      <c r="L2939">
        <f>Data!F2952</f>
        <v>0</v>
      </c>
      <c r="M2939">
        <f>Data!G2952</f>
        <v>0</v>
      </c>
      <c r="N2939">
        <f>Data!H2952</f>
        <v>0</v>
      </c>
      <c r="O2939">
        <f>Data!I2952</f>
        <v>0</v>
      </c>
      <c r="P2939" s="21">
        <f>Data!J2956</f>
        <v>0</v>
      </c>
      <c r="Q2939">
        <f>Data!K2956</f>
        <v>0</v>
      </c>
      <c r="R2939">
        <f>Data!L2956</f>
        <v>0</v>
      </c>
      <c r="S2939">
        <f>Data!M2956</f>
        <v>0</v>
      </c>
      <c r="T2939">
        <f>Data!N2956</f>
        <v>0</v>
      </c>
      <c r="U2939">
        <f>Data!O2956</f>
        <v>0</v>
      </c>
      <c r="V2939" s="33">
        <f>Data!P2954</f>
        <v>0</v>
      </c>
    </row>
    <row r="2940" spans="7:22" x14ac:dyDescent="0.25">
      <c r="G2940">
        <f>Data!A2953</f>
        <v>0</v>
      </c>
      <c r="H2940" s="21">
        <f>Data!B2953</f>
        <v>0</v>
      </c>
      <c r="I2940" s="21">
        <f>Data!C2953</f>
        <v>0</v>
      </c>
      <c r="J2940">
        <f>Data!D2953</f>
        <v>0</v>
      </c>
      <c r="K2940">
        <f>Data!E2953</f>
        <v>0</v>
      </c>
      <c r="L2940">
        <f>Data!F2953</f>
        <v>0</v>
      </c>
      <c r="M2940">
        <f>Data!G2953</f>
        <v>0</v>
      </c>
      <c r="N2940">
        <f>Data!H2953</f>
        <v>0</v>
      </c>
      <c r="O2940">
        <f>Data!I2953</f>
        <v>0</v>
      </c>
      <c r="P2940" s="21">
        <f>Data!J2957</f>
        <v>0</v>
      </c>
      <c r="Q2940">
        <f>Data!K2957</f>
        <v>0</v>
      </c>
      <c r="R2940">
        <f>Data!L2957</f>
        <v>0</v>
      </c>
      <c r="S2940">
        <f>Data!M2957</f>
        <v>0</v>
      </c>
      <c r="T2940">
        <f>Data!N2957</f>
        <v>0</v>
      </c>
      <c r="U2940">
        <f>Data!O2957</f>
        <v>0</v>
      </c>
      <c r="V2940" s="33">
        <f>Data!P2955</f>
        <v>0</v>
      </c>
    </row>
    <row r="2941" spans="7:22" x14ac:dyDescent="0.25">
      <c r="G2941">
        <f>Data!A2954</f>
        <v>0</v>
      </c>
      <c r="H2941" s="21">
        <f>Data!B2954</f>
        <v>0</v>
      </c>
      <c r="I2941" s="21">
        <f>Data!C2954</f>
        <v>0</v>
      </c>
      <c r="J2941">
        <f>Data!D2954</f>
        <v>0</v>
      </c>
      <c r="K2941">
        <f>Data!E2954</f>
        <v>0</v>
      </c>
      <c r="L2941">
        <f>Data!F2954</f>
        <v>0</v>
      </c>
      <c r="M2941">
        <f>Data!G2954</f>
        <v>0</v>
      </c>
      <c r="N2941">
        <f>Data!H2954</f>
        <v>0</v>
      </c>
      <c r="O2941">
        <f>Data!I2954</f>
        <v>0</v>
      </c>
      <c r="P2941" s="21">
        <f>Data!J2958</f>
        <v>0</v>
      </c>
      <c r="Q2941">
        <f>Data!K2958</f>
        <v>0</v>
      </c>
      <c r="R2941">
        <f>Data!L2958</f>
        <v>0</v>
      </c>
      <c r="S2941">
        <f>Data!M2958</f>
        <v>0</v>
      </c>
      <c r="T2941">
        <f>Data!N2958</f>
        <v>0</v>
      </c>
      <c r="U2941">
        <f>Data!O2958</f>
        <v>0</v>
      </c>
      <c r="V2941" s="33">
        <f>Data!P2956</f>
        <v>0</v>
      </c>
    </row>
    <row r="2942" spans="7:22" x14ac:dyDescent="0.25">
      <c r="G2942">
        <f>Data!A2955</f>
        <v>0</v>
      </c>
      <c r="H2942" s="21">
        <f>Data!B2955</f>
        <v>0</v>
      </c>
      <c r="I2942" s="21">
        <f>Data!C2955</f>
        <v>0</v>
      </c>
      <c r="J2942">
        <f>Data!D2955</f>
        <v>0</v>
      </c>
      <c r="K2942">
        <f>Data!E2955</f>
        <v>0</v>
      </c>
      <c r="L2942">
        <f>Data!F2955</f>
        <v>0</v>
      </c>
      <c r="M2942">
        <f>Data!G2955</f>
        <v>0</v>
      </c>
      <c r="N2942">
        <f>Data!H2955</f>
        <v>0</v>
      </c>
      <c r="O2942">
        <f>Data!I2955</f>
        <v>0</v>
      </c>
      <c r="P2942" s="21">
        <f>Data!J2959</f>
        <v>0</v>
      </c>
      <c r="Q2942">
        <f>Data!K2959</f>
        <v>0</v>
      </c>
      <c r="R2942">
        <f>Data!L2959</f>
        <v>0</v>
      </c>
      <c r="S2942">
        <f>Data!M2959</f>
        <v>0</v>
      </c>
      <c r="T2942">
        <f>Data!N2959</f>
        <v>0</v>
      </c>
      <c r="U2942">
        <f>Data!O2959</f>
        <v>0</v>
      </c>
      <c r="V2942" s="33">
        <f>Data!P2957</f>
        <v>0</v>
      </c>
    </row>
    <row r="2943" spans="7:22" x14ac:dyDescent="0.25">
      <c r="G2943">
        <f>Data!A2956</f>
        <v>0</v>
      </c>
      <c r="H2943" s="21">
        <f>Data!B2956</f>
        <v>0</v>
      </c>
      <c r="I2943" s="21">
        <f>Data!C2956</f>
        <v>0</v>
      </c>
      <c r="J2943">
        <f>Data!D2956</f>
        <v>0</v>
      </c>
      <c r="K2943">
        <f>Data!E2956</f>
        <v>0</v>
      </c>
      <c r="L2943">
        <f>Data!F2956</f>
        <v>0</v>
      </c>
      <c r="M2943">
        <f>Data!G2956</f>
        <v>0</v>
      </c>
      <c r="N2943">
        <f>Data!H2956</f>
        <v>0</v>
      </c>
      <c r="O2943">
        <f>Data!I2956</f>
        <v>0</v>
      </c>
      <c r="P2943" s="21">
        <f>Data!J2960</f>
        <v>0</v>
      </c>
      <c r="Q2943">
        <f>Data!K2960</f>
        <v>0</v>
      </c>
      <c r="R2943">
        <f>Data!L2960</f>
        <v>0</v>
      </c>
      <c r="S2943">
        <f>Data!M2960</f>
        <v>0</v>
      </c>
      <c r="T2943">
        <f>Data!N2960</f>
        <v>0</v>
      </c>
      <c r="U2943">
        <f>Data!O2960</f>
        <v>0</v>
      </c>
      <c r="V2943" s="33">
        <f>Data!P2958</f>
        <v>0</v>
      </c>
    </row>
    <row r="2944" spans="7:22" x14ac:dyDescent="0.25">
      <c r="G2944">
        <f>Data!A2957</f>
        <v>0</v>
      </c>
      <c r="H2944" s="21">
        <f>Data!B2957</f>
        <v>0</v>
      </c>
      <c r="I2944" s="21">
        <f>Data!C2957</f>
        <v>0</v>
      </c>
      <c r="J2944">
        <f>Data!D2957</f>
        <v>0</v>
      </c>
      <c r="K2944">
        <f>Data!E2957</f>
        <v>0</v>
      </c>
      <c r="L2944">
        <f>Data!F2957</f>
        <v>0</v>
      </c>
      <c r="M2944">
        <f>Data!G2957</f>
        <v>0</v>
      </c>
      <c r="N2944">
        <f>Data!H2957</f>
        <v>0</v>
      </c>
      <c r="O2944">
        <f>Data!I2957</f>
        <v>0</v>
      </c>
      <c r="P2944" s="21">
        <f>Data!J2961</f>
        <v>0</v>
      </c>
      <c r="Q2944">
        <f>Data!K2961</f>
        <v>0</v>
      </c>
      <c r="R2944">
        <f>Data!L2961</f>
        <v>0</v>
      </c>
      <c r="S2944">
        <f>Data!M2961</f>
        <v>0</v>
      </c>
      <c r="T2944">
        <f>Data!N2961</f>
        <v>0</v>
      </c>
      <c r="U2944">
        <f>Data!O2961</f>
        <v>0</v>
      </c>
      <c r="V2944" s="33">
        <f>Data!P2959</f>
        <v>0</v>
      </c>
    </row>
    <row r="2945" spans="7:22" x14ac:dyDescent="0.25">
      <c r="G2945">
        <f>Data!A2958</f>
        <v>0</v>
      </c>
      <c r="H2945" s="21">
        <f>Data!B2958</f>
        <v>0</v>
      </c>
      <c r="I2945" s="21">
        <f>Data!C2958</f>
        <v>0</v>
      </c>
      <c r="J2945">
        <f>Data!D2958</f>
        <v>0</v>
      </c>
      <c r="K2945">
        <f>Data!E2958</f>
        <v>0</v>
      </c>
      <c r="L2945">
        <f>Data!F2958</f>
        <v>0</v>
      </c>
      <c r="M2945">
        <f>Data!G2958</f>
        <v>0</v>
      </c>
      <c r="N2945">
        <f>Data!H2958</f>
        <v>0</v>
      </c>
      <c r="O2945">
        <f>Data!I2958</f>
        <v>0</v>
      </c>
      <c r="P2945" s="21">
        <f>Data!J2962</f>
        <v>0</v>
      </c>
      <c r="Q2945">
        <f>Data!K2962</f>
        <v>0</v>
      </c>
      <c r="R2945">
        <f>Data!L2962</f>
        <v>0</v>
      </c>
      <c r="S2945">
        <f>Data!M2962</f>
        <v>0</v>
      </c>
      <c r="T2945">
        <f>Data!N2962</f>
        <v>0</v>
      </c>
      <c r="U2945">
        <f>Data!O2962</f>
        <v>0</v>
      </c>
      <c r="V2945" s="33">
        <f>Data!P2960</f>
        <v>0</v>
      </c>
    </row>
    <row r="2946" spans="7:22" x14ac:dyDescent="0.25">
      <c r="G2946">
        <f>Data!A2959</f>
        <v>0</v>
      </c>
      <c r="H2946" s="21">
        <f>Data!B2959</f>
        <v>0</v>
      </c>
      <c r="I2946" s="21">
        <f>Data!C2959</f>
        <v>0</v>
      </c>
      <c r="J2946">
        <f>Data!D2959</f>
        <v>0</v>
      </c>
      <c r="K2946">
        <f>Data!E2959</f>
        <v>0</v>
      </c>
      <c r="L2946">
        <f>Data!F2959</f>
        <v>0</v>
      </c>
      <c r="M2946">
        <f>Data!G2959</f>
        <v>0</v>
      </c>
      <c r="N2946">
        <f>Data!H2959</f>
        <v>0</v>
      </c>
      <c r="O2946">
        <f>Data!I2959</f>
        <v>0</v>
      </c>
      <c r="P2946" s="21">
        <f>Data!J2963</f>
        <v>0</v>
      </c>
      <c r="Q2946">
        <f>Data!K2963</f>
        <v>0</v>
      </c>
      <c r="R2946">
        <f>Data!L2963</f>
        <v>0</v>
      </c>
      <c r="S2946">
        <f>Data!M2963</f>
        <v>0</v>
      </c>
      <c r="T2946">
        <f>Data!N2963</f>
        <v>0</v>
      </c>
      <c r="U2946">
        <f>Data!O2963</f>
        <v>0</v>
      </c>
      <c r="V2946" s="33">
        <f>Data!P2961</f>
        <v>0</v>
      </c>
    </row>
    <row r="2947" spans="7:22" x14ac:dyDescent="0.25">
      <c r="G2947">
        <f>Data!A2960</f>
        <v>0</v>
      </c>
      <c r="H2947" s="21">
        <f>Data!B2960</f>
        <v>0</v>
      </c>
      <c r="I2947" s="21">
        <f>Data!C2960</f>
        <v>0</v>
      </c>
      <c r="J2947">
        <f>Data!D2960</f>
        <v>0</v>
      </c>
      <c r="K2947">
        <f>Data!E2960</f>
        <v>0</v>
      </c>
      <c r="L2947">
        <f>Data!F2960</f>
        <v>0</v>
      </c>
      <c r="M2947">
        <f>Data!G2960</f>
        <v>0</v>
      </c>
      <c r="N2947">
        <f>Data!H2960</f>
        <v>0</v>
      </c>
      <c r="O2947">
        <f>Data!I2960</f>
        <v>0</v>
      </c>
      <c r="P2947" s="21">
        <f>Data!J2964</f>
        <v>0</v>
      </c>
      <c r="Q2947">
        <f>Data!K2964</f>
        <v>0</v>
      </c>
      <c r="R2947">
        <f>Data!L2964</f>
        <v>0</v>
      </c>
      <c r="S2947">
        <f>Data!M2964</f>
        <v>0</v>
      </c>
      <c r="T2947">
        <f>Data!N2964</f>
        <v>0</v>
      </c>
      <c r="U2947">
        <f>Data!O2964</f>
        <v>0</v>
      </c>
      <c r="V2947" s="33">
        <f>Data!P2962</f>
        <v>0</v>
      </c>
    </row>
    <row r="2948" spans="7:22" x14ac:dyDescent="0.25">
      <c r="G2948">
        <f>Data!A2961</f>
        <v>0</v>
      </c>
      <c r="H2948" s="21">
        <f>Data!B2961</f>
        <v>0</v>
      </c>
      <c r="I2948" s="21">
        <f>Data!C2961</f>
        <v>0</v>
      </c>
      <c r="J2948">
        <f>Data!D2961</f>
        <v>0</v>
      </c>
      <c r="K2948">
        <f>Data!E2961</f>
        <v>0</v>
      </c>
      <c r="L2948">
        <f>Data!F2961</f>
        <v>0</v>
      </c>
      <c r="M2948">
        <f>Data!G2961</f>
        <v>0</v>
      </c>
      <c r="N2948">
        <f>Data!H2961</f>
        <v>0</v>
      </c>
      <c r="O2948">
        <f>Data!I2961</f>
        <v>0</v>
      </c>
      <c r="P2948" s="21">
        <f>Data!J2965</f>
        <v>0</v>
      </c>
      <c r="Q2948">
        <f>Data!K2965</f>
        <v>0</v>
      </c>
      <c r="R2948">
        <f>Data!L2965</f>
        <v>0</v>
      </c>
      <c r="S2948">
        <f>Data!M2965</f>
        <v>0</v>
      </c>
      <c r="T2948">
        <f>Data!N2965</f>
        <v>0</v>
      </c>
      <c r="U2948">
        <f>Data!O2965</f>
        <v>0</v>
      </c>
      <c r="V2948" s="33">
        <f>Data!P2963</f>
        <v>0</v>
      </c>
    </row>
    <row r="2949" spans="7:22" x14ac:dyDescent="0.25">
      <c r="G2949">
        <f>Data!A2962</f>
        <v>0</v>
      </c>
      <c r="H2949" s="21">
        <f>Data!B2962</f>
        <v>0</v>
      </c>
      <c r="I2949" s="21">
        <f>Data!C2962</f>
        <v>0</v>
      </c>
      <c r="J2949">
        <f>Data!D2962</f>
        <v>0</v>
      </c>
      <c r="K2949">
        <f>Data!E2962</f>
        <v>0</v>
      </c>
      <c r="L2949">
        <f>Data!F2962</f>
        <v>0</v>
      </c>
      <c r="M2949">
        <f>Data!G2962</f>
        <v>0</v>
      </c>
      <c r="N2949">
        <f>Data!H2962</f>
        <v>0</v>
      </c>
      <c r="O2949">
        <f>Data!I2962</f>
        <v>0</v>
      </c>
      <c r="P2949" s="21">
        <f>Data!J2966</f>
        <v>0</v>
      </c>
      <c r="Q2949">
        <f>Data!K2966</f>
        <v>0</v>
      </c>
      <c r="R2949">
        <f>Data!L2966</f>
        <v>0</v>
      </c>
      <c r="S2949">
        <f>Data!M2966</f>
        <v>0</v>
      </c>
      <c r="T2949">
        <f>Data!N2966</f>
        <v>0</v>
      </c>
      <c r="U2949">
        <f>Data!O2966</f>
        <v>0</v>
      </c>
      <c r="V2949" s="33">
        <f>Data!P2964</f>
        <v>0</v>
      </c>
    </row>
    <row r="2950" spans="7:22" x14ac:dyDescent="0.25">
      <c r="G2950">
        <f>Data!A2963</f>
        <v>0</v>
      </c>
      <c r="H2950" s="21">
        <f>Data!B2963</f>
        <v>0</v>
      </c>
      <c r="I2950" s="21">
        <f>Data!C2963</f>
        <v>0</v>
      </c>
      <c r="J2950">
        <f>Data!D2963</f>
        <v>0</v>
      </c>
      <c r="K2950">
        <f>Data!E2963</f>
        <v>0</v>
      </c>
      <c r="L2950">
        <f>Data!F2963</f>
        <v>0</v>
      </c>
      <c r="M2950">
        <f>Data!G2963</f>
        <v>0</v>
      </c>
      <c r="N2950">
        <f>Data!H2963</f>
        <v>0</v>
      </c>
      <c r="O2950">
        <f>Data!I2963</f>
        <v>0</v>
      </c>
      <c r="P2950" s="21">
        <f>Data!J2967</f>
        <v>0</v>
      </c>
      <c r="Q2950">
        <f>Data!K2967</f>
        <v>0</v>
      </c>
      <c r="R2950">
        <f>Data!L2967</f>
        <v>0</v>
      </c>
      <c r="S2950">
        <f>Data!M2967</f>
        <v>0</v>
      </c>
      <c r="T2950">
        <f>Data!N2967</f>
        <v>0</v>
      </c>
      <c r="U2950">
        <f>Data!O2967</f>
        <v>0</v>
      </c>
      <c r="V2950" s="33">
        <f>Data!P2965</f>
        <v>0</v>
      </c>
    </row>
    <row r="2951" spans="7:22" x14ac:dyDescent="0.25">
      <c r="G2951">
        <f>Data!A2964</f>
        <v>0</v>
      </c>
      <c r="H2951" s="21">
        <f>Data!B2964</f>
        <v>0</v>
      </c>
      <c r="I2951" s="21">
        <f>Data!C2964</f>
        <v>0</v>
      </c>
      <c r="J2951">
        <f>Data!D2964</f>
        <v>0</v>
      </c>
      <c r="K2951">
        <f>Data!E2964</f>
        <v>0</v>
      </c>
      <c r="L2951">
        <f>Data!F2964</f>
        <v>0</v>
      </c>
      <c r="M2951">
        <f>Data!G2964</f>
        <v>0</v>
      </c>
      <c r="N2951">
        <f>Data!H2964</f>
        <v>0</v>
      </c>
      <c r="O2951">
        <f>Data!I2964</f>
        <v>0</v>
      </c>
      <c r="P2951" s="21">
        <f>Data!J2968</f>
        <v>0</v>
      </c>
      <c r="Q2951">
        <f>Data!K2968</f>
        <v>0</v>
      </c>
      <c r="R2951">
        <f>Data!L2968</f>
        <v>0</v>
      </c>
      <c r="S2951">
        <f>Data!M2968</f>
        <v>0</v>
      </c>
      <c r="T2951">
        <f>Data!N2968</f>
        <v>0</v>
      </c>
      <c r="U2951">
        <f>Data!O2968</f>
        <v>0</v>
      </c>
      <c r="V2951" s="33">
        <f>Data!P2966</f>
        <v>0</v>
      </c>
    </row>
    <row r="2952" spans="7:22" x14ac:dyDescent="0.25">
      <c r="G2952">
        <f>Data!A2965</f>
        <v>0</v>
      </c>
      <c r="H2952" s="21">
        <f>Data!B2965</f>
        <v>0</v>
      </c>
      <c r="I2952" s="21">
        <f>Data!C2965</f>
        <v>0</v>
      </c>
      <c r="J2952">
        <f>Data!D2965</f>
        <v>0</v>
      </c>
      <c r="K2952">
        <f>Data!E2965</f>
        <v>0</v>
      </c>
      <c r="L2952">
        <f>Data!F2965</f>
        <v>0</v>
      </c>
      <c r="M2952">
        <f>Data!G2965</f>
        <v>0</v>
      </c>
      <c r="N2952">
        <f>Data!H2965</f>
        <v>0</v>
      </c>
      <c r="O2952">
        <f>Data!I2965</f>
        <v>0</v>
      </c>
      <c r="P2952" s="21">
        <f>Data!J2969</f>
        <v>0</v>
      </c>
      <c r="Q2952">
        <f>Data!K2969</f>
        <v>0</v>
      </c>
      <c r="R2952">
        <f>Data!L2969</f>
        <v>0</v>
      </c>
      <c r="S2952">
        <f>Data!M2969</f>
        <v>0</v>
      </c>
      <c r="T2952">
        <f>Data!N2969</f>
        <v>0</v>
      </c>
      <c r="U2952">
        <f>Data!O2969</f>
        <v>0</v>
      </c>
      <c r="V2952" s="33">
        <f>Data!P2967</f>
        <v>0</v>
      </c>
    </row>
    <row r="2953" spans="7:22" x14ac:dyDescent="0.25">
      <c r="G2953">
        <f>Data!A2966</f>
        <v>0</v>
      </c>
      <c r="H2953" s="21">
        <f>Data!B2966</f>
        <v>0</v>
      </c>
      <c r="I2953" s="21">
        <f>Data!C2966</f>
        <v>0</v>
      </c>
      <c r="J2953">
        <f>Data!D2966</f>
        <v>0</v>
      </c>
      <c r="K2953">
        <f>Data!E2966</f>
        <v>0</v>
      </c>
      <c r="L2953">
        <f>Data!F2966</f>
        <v>0</v>
      </c>
      <c r="M2953">
        <f>Data!G2966</f>
        <v>0</v>
      </c>
      <c r="N2953">
        <f>Data!H2966</f>
        <v>0</v>
      </c>
      <c r="O2953">
        <f>Data!I2966</f>
        <v>0</v>
      </c>
      <c r="P2953" s="21">
        <f>Data!J2970</f>
        <v>0</v>
      </c>
      <c r="Q2953">
        <f>Data!K2970</f>
        <v>0</v>
      </c>
      <c r="R2953">
        <f>Data!L2970</f>
        <v>0</v>
      </c>
      <c r="S2953">
        <f>Data!M2970</f>
        <v>0</v>
      </c>
      <c r="T2953">
        <f>Data!N2970</f>
        <v>0</v>
      </c>
      <c r="U2953">
        <f>Data!O2970</f>
        <v>0</v>
      </c>
      <c r="V2953" s="33">
        <f>Data!P2968</f>
        <v>0</v>
      </c>
    </row>
    <row r="2954" spans="7:22" x14ac:dyDescent="0.25">
      <c r="G2954">
        <f>Data!A2967</f>
        <v>0</v>
      </c>
      <c r="H2954" s="21">
        <f>Data!B2967</f>
        <v>0</v>
      </c>
      <c r="I2954" s="21">
        <f>Data!C2967</f>
        <v>0</v>
      </c>
      <c r="J2954">
        <f>Data!D2967</f>
        <v>0</v>
      </c>
      <c r="K2954">
        <f>Data!E2967</f>
        <v>0</v>
      </c>
      <c r="L2954">
        <f>Data!F2967</f>
        <v>0</v>
      </c>
      <c r="M2954">
        <f>Data!G2967</f>
        <v>0</v>
      </c>
      <c r="N2954">
        <f>Data!H2967</f>
        <v>0</v>
      </c>
      <c r="O2954">
        <f>Data!I2967</f>
        <v>0</v>
      </c>
      <c r="P2954" s="21">
        <f>Data!J2971</f>
        <v>0</v>
      </c>
      <c r="Q2954">
        <f>Data!K2971</f>
        <v>0</v>
      </c>
      <c r="R2954">
        <f>Data!L2971</f>
        <v>0</v>
      </c>
      <c r="S2954">
        <f>Data!M2971</f>
        <v>0</v>
      </c>
      <c r="T2954">
        <f>Data!N2971</f>
        <v>0</v>
      </c>
      <c r="U2954">
        <f>Data!O2971</f>
        <v>0</v>
      </c>
      <c r="V2954" s="33">
        <f>Data!P2969</f>
        <v>0</v>
      </c>
    </row>
    <row r="2955" spans="7:22" x14ac:dyDescent="0.25">
      <c r="G2955">
        <f>Data!A2968</f>
        <v>0</v>
      </c>
      <c r="H2955" s="21">
        <f>Data!B2968</f>
        <v>0</v>
      </c>
      <c r="I2955" s="21">
        <f>Data!C2968</f>
        <v>0</v>
      </c>
      <c r="J2955">
        <f>Data!D2968</f>
        <v>0</v>
      </c>
      <c r="K2955">
        <f>Data!E2968</f>
        <v>0</v>
      </c>
      <c r="L2955">
        <f>Data!F2968</f>
        <v>0</v>
      </c>
      <c r="M2955">
        <f>Data!G2968</f>
        <v>0</v>
      </c>
      <c r="N2955">
        <f>Data!H2968</f>
        <v>0</v>
      </c>
      <c r="O2955">
        <f>Data!I2968</f>
        <v>0</v>
      </c>
      <c r="P2955" s="21">
        <f>Data!J2972</f>
        <v>0</v>
      </c>
      <c r="Q2955">
        <f>Data!K2972</f>
        <v>0</v>
      </c>
      <c r="R2955">
        <f>Data!L2972</f>
        <v>0</v>
      </c>
      <c r="S2955">
        <f>Data!M2972</f>
        <v>0</v>
      </c>
      <c r="T2955">
        <f>Data!N2972</f>
        <v>0</v>
      </c>
      <c r="U2955">
        <f>Data!O2972</f>
        <v>0</v>
      </c>
      <c r="V2955" s="33">
        <f>Data!P2970</f>
        <v>0</v>
      </c>
    </row>
    <row r="2956" spans="7:22" x14ac:dyDescent="0.25">
      <c r="G2956">
        <f>Data!A2969</f>
        <v>0</v>
      </c>
      <c r="H2956" s="21">
        <f>Data!B2969</f>
        <v>0</v>
      </c>
      <c r="I2956" s="21">
        <f>Data!C2969</f>
        <v>0</v>
      </c>
      <c r="J2956">
        <f>Data!D2969</f>
        <v>0</v>
      </c>
      <c r="K2956">
        <f>Data!E2969</f>
        <v>0</v>
      </c>
      <c r="L2956">
        <f>Data!F2969</f>
        <v>0</v>
      </c>
      <c r="M2956">
        <f>Data!G2969</f>
        <v>0</v>
      </c>
      <c r="N2956">
        <f>Data!H2969</f>
        <v>0</v>
      </c>
      <c r="O2956">
        <f>Data!I2969</f>
        <v>0</v>
      </c>
      <c r="P2956" s="21">
        <f>Data!J2973</f>
        <v>0</v>
      </c>
      <c r="Q2956">
        <f>Data!K2973</f>
        <v>0</v>
      </c>
      <c r="R2956">
        <f>Data!L2973</f>
        <v>0</v>
      </c>
      <c r="S2956">
        <f>Data!M2973</f>
        <v>0</v>
      </c>
      <c r="T2956">
        <f>Data!N2973</f>
        <v>0</v>
      </c>
      <c r="U2956">
        <f>Data!O2973</f>
        <v>0</v>
      </c>
      <c r="V2956" s="33">
        <f>Data!P2971</f>
        <v>0</v>
      </c>
    </row>
    <row r="2957" spans="7:22" x14ac:dyDescent="0.25">
      <c r="G2957">
        <f>Data!A2970</f>
        <v>0</v>
      </c>
      <c r="H2957" s="21">
        <f>Data!B2970</f>
        <v>0</v>
      </c>
      <c r="I2957" s="21">
        <f>Data!C2970</f>
        <v>0</v>
      </c>
      <c r="J2957">
        <f>Data!D2970</f>
        <v>0</v>
      </c>
      <c r="K2957">
        <f>Data!E2970</f>
        <v>0</v>
      </c>
      <c r="L2957">
        <f>Data!F2970</f>
        <v>0</v>
      </c>
      <c r="M2957">
        <f>Data!G2970</f>
        <v>0</v>
      </c>
      <c r="N2957">
        <f>Data!H2970</f>
        <v>0</v>
      </c>
      <c r="O2957">
        <f>Data!I2970</f>
        <v>0</v>
      </c>
      <c r="P2957" s="21">
        <f>Data!J2974</f>
        <v>0</v>
      </c>
      <c r="Q2957">
        <f>Data!K2974</f>
        <v>0</v>
      </c>
      <c r="R2957">
        <f>Data!L2974</f>
        <v>0</v>
      </c>
      <c r="S2957">
        <f>Data!M2974</f>
        <v>0</v>
      </c>
      <c r="T2957">
        <f>Data!N2974</f>
        <v>0</v>
      </c>
      <c r="U2957">
        <f>Data!O2974</f>
        <v>0</v>
      </c>
      <c r="V2957" s="33">
        <f>Data!P2972</f>
        <v>0</v>
      </c>
    </row>
    <row r="2958" spans="7:22" x14ac:dyDescent="0.25">
      <c r="G2958">
        <f>Data!A2971</f>
        <v>0</v>
      </c>
      <c r="H2958" s="21">
        <f>Data!B2971</f>
        <v>0</v>
      </c>
      <c r="I2958" s="21">
        <f>Data!C2971</f>
        <v>0</v>
      </c>
      <c r="J2958">
        <f>Data!D2971</f>
        <v>0</v>
      </c>
      <c r="K2958">
        <f>Data!E2971</f>
        <v>0</v>
      </c>
      <c r="L2958">
        <f>Data!F2971</f>
        <v>0</v>
      </c>
      <c r="M2958">
        <f>Data!G2971</f>
        <v>0</v>
      </c>
      <c r="N2958">
        <f>Data!H2971</f>
        <v>0</v>
      </c>
      <c r="O2958">
        <f>Data!I2971</f>
        <v>0</v>
      </c>
      <c r="P2958" s="21">
        <f>Data!J2975</f>
        <v>0</v>
      </c>
      <c r="Q2958">
        <f>Data!K2975</f>
        <v>0</v>
      </c>
      <c r="R2958">
        <f>Data!L2975</f>
        <v>0</v>
      </c>
      <c r="S2958">
        <f>Data!M2975</f>
        <v>0</v>
      </c>
      <c r="T2958">
        <f>Data!N2975</f>
        <v>0</v>
      </c>
      <c r="U2958">
        <f>Data!O2975</f>
        <v>0</v>
      </c>
      <c r="V2958" s="33">
        <f>Data!P2973</f>
        <v>0</v>
      </c>
    </row>
    <row r="2959" spans="7:22" x14ac:dyDescent="0.25">
      <c r="G2959">
        <f>Data!A2972</f>
        <v>0</v>
      </c>
      <c r="H2959" s="21">
        <f>Data!B2972</f>
        <v>0</v>
      </c>
      <c r="I2959" s="21">
        <f>Data!C2972</f>
        <v>0</v>
      </c>
      <c r="J2959">
        <f>Data!D2972</f>
        <v>0</v>
      </c>
      <c r="K2959">
        <f>Data!E2972</f>
        <v>0</v>
      </c>
      <c r="L2959">
        <f>Data!F2972</f>
        <v>0</v>
      </c>
      <c r="M2959">
        <f>Data!G2972</f>
        <v>0</v>
      </c>
      <c r="N2959">
        <f>Data!H2972</f>
        <v>0</v>
      </c>
      <c r="O2959">
        <f>Data!I2972</f>
        <v>0</v>
      </c>
      <c r="P2959" s="21">
        <f>Data!J2976</f>
        <v>0</v>
      </c>
      <c r="Q2959">
        <f>Data!K2976</f>
        <v>0</v>
      </c>
      <c r="R2959">
        <f>Data!L2976</f>
        <v>0</v>
      </c>
      <c r="S2959">
        <f>Data!M2976</f>
        <v>0</v>
      </c>
      <c r="T2959">
        <f>Data!N2976</f>
        <v>0</v>
      </c>
      <c r="U2959">
        <f>Data!O2976</f>
        <v>0</v>
      </c>
      <c r="V2959" s="33">
        <f>Data!P2974</f>
        <v>0</v>
      </c>
    </row>
    <row r="2960" spans="7:22" x14ac:dyDescent="0.25">
      <c r="G2960">
        <f>Data!A2973</f>
        <v>0</v>
      </c>
      <c r="H2960" s="21">
        <f>Data!B2973</f>
        <v>0</v>
      </c>
      <c r="I2960" s="21">
        <f>Data!C2973</f>
        <v>0</v>
      </c>
      <c r="J2960">
        <f>Data!D2973</f>
        <v>0</v>
      </c>
      <c r="K2960">
        <f>Data!E2973</f>
        <v>0</v>
      </c>
      <c r="L2960">
        <f>Data!F2973</f>
        <v>0</v>
      </c>
      <c r="M2960">
        <f>Data!G2973</f>
        <v>0</v>
      </c>
      <c r="N2960">
        <f>Data!H2973</f>
        <v>0</v>
      </c>
      <c r="O2960">
        <f>Data!I2973</f>
        <v>0</v>
      </c>
      <c r="P2960" s="21">
        <f>Data!J2977</f>
        <v>0</v>
      </c>
      <c r="Q2960">
        <f>Data!K2977</f>
        <v>0</v>
      </c>
      <c r="R2960">
        <f>Data!L2977</f>
        <v>0</v>
      </c>
      <c r="S2960">
        <f>Data!M2977</f>
        <v>0</v>
      </c>
      <c r="T2960">
        <f>Data!N2977</f>
        <v>0</v>
      </c>
      <c r="U2960">
        <f>Data!O2977</f>
        <v>0</v>
      </c>
      <c r="V2960" s="33">
        <f>Data!P2975</f>
        <v>0</v>
      </c>
    </row>
    <row r="2961" spans="7:22" x14ac:dyDescent="0.25">
      <c r="G2961">
        <f>Data!A2974</f>
        <v>0</v>
      </c>
      <c r="H2961" s="21">
        <f>Data!B2974</f>
        <v>0</v>
      </c>
      <c r="I2961" s="21">
        <f>Data!C2974</f>
        <v>0</v>
      </c>
      <c r="J2961">
        <f>Data!D2974</f>
        <v>0</v>
      </c>
      <c r="K2961">
        <f>Data!E2974</f>
        <v>0</v>
      </c>
      <c r="L2961">
        <f>Data!F2974</f>
        <v>0</v>
      </c>
      <c r="M2961">
        <f>Data!G2974</f>
        <v>0</v>
      </c>
      <c r="N2961">
        <f>Data!H2974</f>
        <v>0</v>
      </c>
      <c r="O2961">
        <f>Data!I2974</f>
        <v>0</v>
      </c>
      <c r="P2961" s="21">
        <f>Data!J2978</f>
        <v>0</v>
      </c>
      <c r="Q2961">
        <f>Data!K2978</f>
        <v>0</v>
      </c>
      <c r="R2961">
        <f>Data!L2978</f>
        <v>0</v>
      </c>
      <c r="S2961">
        <f>Data!M2978</f>
        <v>0</v>
      </c>
      <c r="T2961">
        <f>Data!N2978</f>
        <v>0</v>
      </c>
      <c r="U2961">
        <f>Data!O2978</f>
        <v>0</v>
      </c>
      <c r="V2961" s="33">
        <f>Data!P2976</f>
        <v>0</v>
      </c>
    </row>
    <row r="2962" spans="7:22" x14ac:dyDescent="0.25">
      <c r="G2962">
        <f>Data!A2975</f>
        <v>0</v>
      </c>
      <c r="H2962" s="21">
        <f>Data!B2975</f>
        <v>0</v>
      </c>
      <c r="I2962" s="21">
        <f>Data!C2975</f>
        <v>0</v>
      </c>
      <c r="J2962">
        <f>Data!D2975</f>
        <v>0</v>
      </c>
      <c r="K2962">
        <f>Data!E2975</f>
        <v>0</v>
      </c>
      <c r="L2962">
        <f>Data!F2975</f>
        <v>0</v>
      </c>
      <c r="M2962">
        <f>Data!G2975</f>
        <v>0</v>
      </c>
      <c r="N2962">
        <f>Data!H2975</f>
        <v>0</v>
      </c>
      <c r="O2962">
        <f>Data!I2975</f>
        <v>0</v>
      </c>
      <c r="P2962" s="21">
        <f>Data!J2979</f>
        <v>0</v>
      </c>
      <c r="Q2962">
        <f>Data!K2979</f>
        <v>0</v>
      </c>
      <c r="R2962">
        <f>Data!L2979</f>
        <v>0</v>
      </c>
      <c r="S2962">
        <f>Data!M2979</f>
        <v>0</v>
      </c>
      <c r="T2962">
        <f>Data!N2979</f>
        <v>0</v>
      </c>
      <c r="U2962">
        <f>Data!O2979</f>
        <v>0</v>
      </c>
      <c r="V2962" s="33">
        <f>Data!P2977</f>
        <v>0</v>
      </c>
    </row>
    <row r="2963" spans="7:22" x14ac:dyDescent="0.25">
      <c r="G2963">
        <f>Data!A2976</f>
        <v>0</v>
      </c>
      <c r="H2963" s="21">
        <f>Data!B2976</f>
        <v>0</v>
      </c>
      <c r="I2963" s="21">
        <f>Data!C2976</f>
        <v>0</v>
      </c>
      <c r="J2963">
        <f>Data!D2976</f>
        <v>0</v>
      </c>
      <c r="K2963">
        <f>Data!E2976</f>
        <v>0</v>
      </c>
      <c r="L2963">
        <f>Data!F2976</f>
        <v>0</v>
      </c>
      <c r="M2963">
        <f>Data!G2976</f>
        <v>0</v>
      </c>
      <c r="N2963">
        <f>Data!H2976</f>
        <v>0</v>
      </c>
      <c r="O2963">
        <f>Data!I2976</f>
        <v>0</v>
      </c>
      <c r="P2963" s="21">
        <f>Data!J2980</f>
        <v>0</v>
      </c>
      <c r="Q2963">
        <f>Data!K2980</f>
        <v>0</v>
      </c>
      <c r="R2963">
        <f>Data!L2980</f>
        <v>0</v>
      </c>
      <c r="S2963">
        <f>Data!M2980</f>
        <v>0</v>
      </c>
      <c r="T2963">
        <f>Data!N2980</f>
        <v>0</v>
      </c>
      <c r="U2963">
        <f>Data!O2980</f>
        <v>0</v>
      </c>
      <c r="V2963" s="33">
        <f>Data!P2978</f>
        <v>0</v>
      </c>
    </row>
    <row r="2964" spans="7:22" x14ac:dyDescent="0.25">
      <c r="G2964">
        <f>Data!A2977</f>
        <v>0</v>
      </c>
      <c r="H2964" s="21">
        <f>Data!B2977</f>
        <v>0</v>
      </c>
      <c r="I2964" s="21">
        <f>Data!C2977</f>
        <v>0</v>
      </c>
      <c r="J2964">
        <f>Data!D2977</f>
        <v>0</v>
      </c>
      <c r="K2964">
        <f>Data!E2977</f>
        <v>0</v>
      </c>
      <c r="L2964">
        <f>Data!F2977</f>
        <v>0</v>
      </c>
      <c r="M2964">
        <f>Data!G2977</f>
        <v>0</v>
      </c>
      <c r="N2964">
        <f>Data!H2977</f>
        <v>0</v>
      </c>
      <c r="O2964">
        <f>Data!I2977</f>
        <v>0</v>
      </c>
      <c r="P2964" s="21">
        <f>Data!J2981</f>
        <v>0</v>
      </c>
      <c r="Q2964">
        <f>Data!K2981</f>
        <v>0</v>
      </c>
      <c r="R2964">
        <f>Data!L2981</f>
        <v>0</v>
      </c>
      <c r="S2964">
        <f>Data!M2981</f>
        <v>0</v>
      </c>
      <c r="T2964">
        <f>Data!N2981</f>
        <v>0</v>
      </c>
      <c r="U2964">
        <f>Data!O2981</f>
        <v>0</v>
      </c>
      <c r="V2964" s="33">
        <f>Data!P2979</f>
        <v>0</v>
      </c>
    </row>
    <row r="2965" spans="7:22" x14ac:dyDescent="0.25">
      <c r="G2965">
        <f>Data!A2978</f>
        <v>0</v>
      </c>
      <c r="H2965" s="21">
        <f>Data!B2978</f>
        <v>0</v>
      </c>
      <c r="I2965" s="21">
        <f>Data!C2978</f>
        <v>0</v>
      </c>
      <c r="J2965">
        <f>Data!D2978</f>
        <v>0</v>
      </c>
      <c r="K2965">
        <f>Data!E2978</f>
        <v>0</v>
      </c>
      <c r="L2965">
        <f>Data!F2978</f>
        <v>0</v>
      </c>
      <c r="M2965">
        <f>Data!G2978</f>
        <v>0</v>
      </c>
      <c r="N2965">
        <f>Data!H2978</f>
        <v>0</v>
      </c>
      <c r="O2965">
        <f>Data!I2978</f>
        <v>0</v>
      </c>
      <c r="P2965" s="21">
        <f>Data!J2982</f>
        <v>0</v>
      </c>
      <c r="Q2965">
        <f>Data!K2982</f>
        <v>0</v>
      </c>
      <c r="R2965">
        <f>Data!L2982</f>
        <v>0</v>
      </c>
      <c r="S2965">
        <f>Data!M2982</f>
        <v>0</v>
      </c>
      <c r="T2965">
        <f>Data!N2982</f>
        <v>0</v>
      </c>
      <c r="U2965">
        <f>Data!O2982</f>
        <v>0</v>
      </c>
      <c r="V2965" s="33">
        <f>Data!P2980</f>
        <v>0</v>
      </c>
    </row>
    <row r="2966" spans="7:22" x14ac:dyDescent="0.25">
      <c r="G2966">
        <f>Data!A2979</f>
        <v>0</v>
      </c>
      <c r="H2966" s="21">
        <f>Data!B2979</f>
        <v>0</v>
      </c>
      <c r="I2966" s="21">
        <f>Data!C2979</f>
        <v>0</v>
      </c>
      <c r="J2966">
        <f>Data!D2979</f>
        <v>0</v>
      </c>
      <c r="K2966">
        <f>Data!E2979</f>
        <v>0</v>
      </c>
      <c r="L2966">
        <f>Data!F2979</f>
        <v>0</v>
      </c>
      <c r="M2966">
        <f>Data!G2979</f>
        <v>0</v>
      </c>
      <c r="N2966">
        <f>Data!H2979</f>
        <v>0</v>
      </c>
      <c r="O2966">
        <f>Data!I2979</f>
        <v>0</v>
      </c>
      <c r="P2966" s="21">
        <f>Data!J2983</f>
        <v>0</v>
      </c>
      <c r="Q2966">
        <f>Data!K2983</f>
        <v>0</v>
      </c>
      <c r="R2966">
        <f>Data!L2983</f>
        <v>0</v>
      </c>
      <c r="S2966">
        <f>Data!M2983</f>
        <v>0</v>
      </c>
      <c r="T2966">
        <f>Data!N2983</f>
        <v>0</v>
      </c>
      <c r="U2966">
        <f>Data!O2983</f>
        <v>0</v>
      </c>
      <c r="V2966" s="33">
        <f>Data!P2981</f>
        <v>0</v>
      </c>
    </row>
    <row r="2967" spans="7:22" x14ac:dyDescent="0.25">
      <c r="G2967">
        <f>Data!A2980</f>
        <v>0</v>
      </c>
      <c r="H2967" s="21">
        <f>Data!B2980</f>
        <v>0</v>
      </c>
      <c r="I2967" s="21">
        <f>Data!C2980</f>
        <v>0</v>
      </c>
      <c r="J2967">
        <f>Data!D2980</f>
        <v>0</v>
      </c>
      <c r="K2967">
        <f>Data!E2980</f>
        <v>0</v>
      </c>
      <c r="L2967">
        <f>Data!F2980</f>
        <v>0</v>
      </c>
      <c r="M2967">
        <f>Data!G2980</f>
        <v>0</v>
      </c>
      <c r="N2967">
        <f>Data!H2980</f>
        <v>0</v>
      </c>
      <c r="O2967">
        <f>Data!I2980</f>
        <v>0</v>
      </c>
      <c r="P2967" s="21">
        <f>Data!J2984</f>
        <v>0</v>
      </c>
      <c r="Q2967">
        <f>Data!K2984</f>
        <v>0</v>
      </c>
      <c r="R2967">
        <f>Data!L2984</f>
        <v>0</v>
      </c>
      <c r="S2967">
        <f>Data!M2984</f>
        <v>0</v>
      </c>
      <c r="T2967">
        <f>Data!N2984</f>
        <v>0</v>
      </c>
      <c r="U2967">
        <f>Data!O2984</f>
        <v>0</v>
      </c>
      <c r="V2967" s="33">
        <f>Data!P2982</f>
        <v>0</v>
      </c>
    </row>
    <row r="2968" spans="7:22" x14ac:dyDescent="0.25">
      <c r="G2968">
        <f>Data!A2981</f>
        <v>0</v>
      </c>
      <c r="H2968" s="21">
        <f>Data!B2981</f>
        <v>0</v>
      </c>
      <c r="I2968" s="21">
        <f>Data!C2981</f>
        <v>0</v>
      </c>
      <c r="J2968">
        <f>Data!D2981</f>
        <v>0</v>
      </c>
      <c r="K2968">
        <f>Data!E2981</f>
        <v>0</v>
      </c>
      <c r="L2968">
        <f>Data!F2981</f>
        <v>0</v>
      </c>
      <c r="M2968">
        <f>Data!G2981</f>
        <v>0</v>
      </c>
      <c r="N2968">
        <f>Data!H2981</f>
        <v>0</v>
      </c>
      <c r="O2968">
        <f>Data!I2981</f>
        <v>0</v>
      </c>
      <c r="P2968" s="21">
        <f>Data!J2985</f>
        <v>0</v>
      </c>
      <c r="Q2968">
        <f>Data!K2985</f>
        <v>0</v>
      </c>
      <c r="R2968">
        <f>Data!L2985</f>
        <v>0</v>
      </c>
      <c r="S2968">
        <f>Data!M2985</f>
        <v>0</v>
      </c>
      <c r="T2968">
        <f>Data!N2985</f>
        <v>0</v>
      </c>
      <c r="U2968">
        <f>Data!O2985</f>
        <v>0</v>
      </c>
      <c r="V2968" s="33">
        <f>Data!P2983</f>
        <v>0</v>
      </c>
    </row>
    <row r="2969" spans="7:22" x14ac:dyDescent="0.25">
      <c r="G2969">
        <f>Data!A2982</f>
        <v>0</v>
      </c>
      <c r="H2969" s="21">
        <f>Data!B2982</f>
        <v>0</v>
      </c>
      <c r="I2969" s="21">
        <f>Data!C2982</f>
        <v>0</v>
      </c>
      <c r="J2969">
        <f>Data!D2982</f>
        <v>0</v>
      </c>
      <c r="K2969">
        <f>Data!E2982</f>
        <v>0</v>
      </c>
      <c r="L2969">
        <f>Data!F2982</f>
        <v>0</v>
      </c>
      <c r="M2969">
        <f>Data!G2982</f>
        <v>0</v>
      </c>
      <c r="N2969">
        <f>Data!H2982</f>
        <v>0</v>
      </c>
      <c r="O2969">
        <f>Data!I2982</f>
        <v>0</v>
      </c>
      <c r="P2969" s="21">
        <f>Data!J2986</f>
        <v>0</v>
      </c>
      <c r="Q2969">
        <f>Data!K2986</f>
        <v>0</v>
      </c>
      <c r="R2969">
        <f>Data!L2986</f>
        <v>0</v>
      </c>
      <c r="S2969">
        <f>Data!M2986</f>
        <v>0</v>
      </c>
      <c r="T2969">
        <f>Data!N2986</f>
        <v>0</v>
      </c>
      <c r="U2969">
        <f>Data!O2986</f>
        <v>0</v>
      </c>
      <c r="V2969" s="33">
        <f>Data!P2984</f>
        <v>0</v>
      </c>
    </row>
    <row r="2970" spans="7:22" x14ac:dyDescent="0.25">
      <c r="G2970">
        <f>Data!A2983</f>
        <v>0</v>
      </c>
      <c r="H2970" s="21">
        <f>Data!B2983</f>
        <v>0</v>
      </c>
      <c r="I2970" s="21">
        <f>Data!C2983</f>
        <v>0</v>
      </c>
      <c r="J2970">
        <f>Data!D2983</f>
        <v>0</v>
      </c>
      <c r="K2970">
        <f>Data!E2983</f>
        <v>0</v>
      </c>
      <c r="L2970">
        <f>Data!F2983</f>
        <v>0</v>
      </c>
      <c r="M2970">
        <f>Data!G2983</f>
        <v>0</v>
      </c>
      <c r="N2970">
        <f>Data!H2983</f>
        <v>0</v>
      </c>
      <c r="O2970">
        <f>Data!I2983</f>
        <v>0</v>
      </c>
      <c r="P2970" s="21">
        <f>Data!J2987</f>
        <v>0</v>
      </c>
      <c r="Q2970">
        <f>Data!K2987</f>
        <v>0</v>
      </c>
      <c r="R2970">
        <f>Data!L2987</f>
        <v>0</v>
      </c>
      <c r="S2970">
        <f>Data!M2987</f>
        <v>0</v>
      </c>
      <c r="T2970">
        <f>Data!N2987</f>
        <v>0</v>
      </c>
      <c r="U2970">
        <f>Data!O2987</f>
        <v>0</v>
      </c>
      <c r="V2970" s="33">
        <f>Data!P2985</f>
        <v>0</v>
      </c>
    </row>
    <row r="2971" spans="7:22" x14ac:dyDescent="0.25">
      <c r="G2971">
        <f>Data!A2984</f>
        <v>0</v>
      </c>
      <c r="H2971" s="21">
        <f>Data!B2984</f>
        <v>0</v>
      </c>
      <c r="I2971" s="21">
        <f>Data!C2984</f>
        <v>0</v>
      </c>
      <c r="J2971">
        <f>Data!D2984</f>
        <v>0</v>
      </c>
      <c r="K2971">
        <f>Data!E2984</f>
        <v>0</v>
      </c>
      <c r="L2971">
        <f>Data!F2984</f>
        <v>0</v>
      </c>
      <c r="M2971">
        <f>Data!G2984</f>
        <v>0</v>
      </c>
      <c r="N2971">
        <f>Data!H2984</f>
        <v>0</v>
      </c>
      <c r="O2971">
        <f>Data!I2984</f>
        <v>0</v>
      </c>
      <c r="P2971" s="21">
        <f>Data!J2988</f>
        <v>0</v>
      </c>
      <c r="Q2971">
        <f>Data!K2988</f>
        <v>0</v>
      </c>
      <c r="R2971">
        <f>Data!L2988</f>
        <v>0</v>
      </c>
      <c r="S2971">
        <f>Data!M2988</f>
        <v>0</v>
      </c>
      <c r="T2971">
        <f>Data!N2988</f>
        <v>0</v>
      </c>
      <c r="U2971">
        <f>Data!O2988</f>
        <v>0</v>
      </c>
      <c r="V2971" s="33">
        <f>Data!P2986</f>
        <v>0</v>
      </c>
    </row>
    <row r="2972" spans="7:22" x14ac:dyDescent="0.25">
      <c r="G2972">
        <f>Data!A2985</f>
        <v>0</v>
      </c>
      <c r="H2972" s="21">
        <f>Data!B2985</f>
        <v>0</v>
      </c>
      <c r="I2972" s="21">
        <f>Data!C2985</f>
        <v>0</v>
      </c>
      <c r="J2972">
        <f>Data!D2985</f>
        <v>0</v>
      </c>
      <c r="K2972">
        <f>Data!E2985</f>
        <v>0</v>
      </c>
      <c r="L2972">
        <f>Data!F2985</f>
        <v>0</v>
      </c>
      <c r="M2972">
        <f>Data!G2985</f>
        <v>0</v>
      </c>
      <c r="N2972">
        <f>Data!H2985</f>
        <v>0</v>
      </c>
      <c r="O2972">
        <f>Data!I2985</f>
        <v>0</v>
      </c>
      <c r="P2972" s="21">
        <f>Data!J2989</f>
        <v>0</v>
      </c>
      <c r="Q2972">
        <f>Data!K2989</f>
        <v>0</v>
      </c>
      <c r="R2972">
        <f>Data!L2989</f>
        <v>0</v>
      </c>
      <c r="S2972">
        <f>Data!M2989</f>
        <v>0</v>
      </c>
      <c r="T2972">
        <f>Data!N2989</f>
        <v>0</v>
      </c>
      <c r="U2972">
        <f>Data!O2989</f>
        <v>0</v>
      </c>
      <c r="V2972" s="33">
        <f>Data!P2987</f>
        <v>0</v>
      </c>
    </row>
    <row r="2973" spans="7:22" x14ac:dyDescent="0.25">
      <c r="G2973">
        <f>Data!A2986</f>
        <v>0</v>
      </c>
      <c r="H2973" s="21">
        <f>Data!B2986</f>
        <v>0</v>
      </c>
      <c r="I2973" s="21">
        <f>Data!C2986</f>
        <v>0</v>
      </c>
      <c r="J2973">
        <f>Data!D2986</f>
        <v>0</v>
      </c>
      <c r="K2973">
        <f>Data!E2986</f>
        <v>0</v>
      </c>
      <c r="L2973">
        <f>Data!F2986</f>
        <v>0</v>
      </c>
      <c r="M2973">
        <f>Data!G2986</f>
        <v>0</v>
      </c>
      <c r="N2973">
        <f>Data!H2986</f>
        <v>0</v>
      </c>
      <c r="O2973">
        <f>Data!I2986</f>
        <v>0</v>
      </c>
      <c r="P2973" s="21">
        <f>Data!J2990</f>
        <v>0</v>
      </c>
      <c r="Q2973">
        <f>Data!K2990</f>
        <v>0</v>
      </c>
      <c r="R2973">
        <f>Data!L2990</f>
        <v>0</v>
      </c>
      <c r="S2973">
        <f>Data!M2990</f>
        <v>0</v>
      </c>
      <c r="T2973">
        <f>Data!N2990</f>
        <v>0</v>
      </c>
      <c r="U2973">
        <f>Data!O2990</f>
        <v>0</v>
      </c>
      <c r="V2973" s="33">
        <f>Data!P2988</f>
        <v>0</v>
      </c>
    </row>
    <row r="2974" spans="7:22" x14ac:dyDescent="0.25">
      <c r="G2974">
        <f>Data!A2987</f>
        <v>0</v>
      </c>
      <c r="H2974" s="21">
        <f>Data!B2987</f>
        <v>0</v>
      </c>
      <c r="I2974" s="21">
        <f>Data!C2987</f>
        <v>0</v>
      </c>
      <c r="J2974">
        <f>Data!D2987</f>
        <v>0</v>
      </c>
      <c r="K2974">
        <f>Data!E2987</f>
        <v>0</v>
      </c>
      <c r="L2974">
        <f>Data!F2987</f>
        <v>0</v>
      </c>
      <c r="M2974">
        <f>Data!G2987</f>
        <v>0</v>
      </c>
      <c r="N2974">
        <f>Data!H2987</f>
        <v>0</v>
      </c>
      <c r="O2974">
        <f>Data!I2987</f>
        <v>0</v>
      </c>
      <c r="P2974" s="21">
        <f>Data!J2991</f>
        <v>0</v>
      </c>
      <c r="Q2974">
        <f>Data!K2991</f>
        <v>0</v>
      </c>
      <c r="R2974">
        <f>Data!L2991</f>
        <v>0</v>
      </c>
      <c r="S2974">
        <f>Data!M2991</f>
        <v>0</v>
      </c>
      <c r="T2974">
        <f>Data!N2991</f>
        <v>0</v>
      </c>
      <c r="U2974">
        <f>Data!O2991</f>
        <v>0</v>
      </c>
      <c r="V2974" s="33">
        <f>Data!P2989</f>
        <v>0</v>
      </c>
    </row>
    <row r="2975" spans="7:22" x14ac:dyDescent="0.25">
      <c r="G2975">
        <f>Data!A2988</f>
        <v>0</v>
      </c>
      <c r="H2975" s="21">
        <f>Data!B2988</f>
        <v>0</v>
      </c>
      <c r="I2975" s="21">
        <f>Data!C2988</f>
        <v>0</v>
      </c>
      <c r="J2975">
        <f>Data!D2988</f>
        <v>0</v>
      </c>
      <c r="K2975">
        <f>Data!E2988</f>
        <v>0</v>
      </c>
      <c r="L2975">
        <f>Data!F2988</f>
        <v>0</v>
      </c>
      <c r="M2975">
        <f>Data!G2988</f>
        <v>0</v>
      </c>
      <c r="N2975">
        <f>Data!H2988</f>
        <v>0</v>
      </c>
      <c r="O2975">
        <f>Data!I2988</f>
        <v>0</v>
      </c>
      <c r="P2975" s="21">
        <f>Data!J2992</f>
        <v>0</v>
      </c>
      <c r="Q2975">
        <f>Data!K2992</f>
        <v>0</v>
      </c>
      <c r="R2975">
        <f>Data!L2992</f>
        <v>0</v>
      </c>
      <c r="S2975">
        <f>Data!M2992</f>
        <v>0</v>
      </c>
      <c r="T2975">
        <f>Data!N2992</f>
        <v>0</v>
      </c>
      <c r="U2975">
        <f>Data!O2992</f>
        <v>0</v>
      </c>
      <c r="V2975" s="33">
        <f>Data!P2990</f>
        <v>0</v>
      </c>
    </row>
    <row r="2976" spans="7:22" x14ac:dyDescent="0.25">
      <c r="G2976">
        <f>Data!A2989</f>
        <v>0</v>
      </c>
      <c r="H2976" s="21">
        <f>Data!B2989</f>
        <v>0</v>
      </c>
      <c r="I2976" s="21">
        <f>Data!C2989</f>
        <v>0</v>
      </c>
      <c r="J2976">
        <f>Data!D2989</f>
        <v>0</v>
      </c>
      <c r="K2976">
        <f>Data!E2989</f>
        <v>0</v>
      </c>
      <c r="L2976">
        <f>Data!F2989</f>
        <v>0</v>
      </c>
      <c r="M2976">
        <f>Data!G2989</f>
        <v>0</v>
      </c>
      <c r="N2976">
        <f>Data!H2989</f>
        <v>0</v>
      </c>
      <c r="O2976">
        <f>Data!I2989</f>
        <v>0</v>
      </c>
      <c r="P2976" s="21">
        <f>Data!J2993</f>
        <v>0</v>
      </c>
      <c r="Q2976">
        <f>Data!K2993</f>
        <v>0</v>
      </c>
      <c r="R2976">
        <f>Data!L2993</f>
        <v>0</v>
      </c>
      <c r="S2976">
        <f>Data!M2993</f>
        <v>0</v>
      </c>
      <c r="T2976">
        <f>Data!N2993</f>
        <v>0</v>
      </c>
      <c r="U2976">
        <f>Data!O2993</f>
        <v>0</v>
      </c>
      <c r="V2976" s="33">
        <f>Data!P2991</f>
        <v>0</v>
      </c>
    </row>
    <row r="2977" spans="7:22" x14ac:dyDescent="0.25">
      <c r="G2977">
        <f>Data!A2990</f>
        <v>0</v>
      </c>
      <c r="H2977" s="21">
        <f>Data!B2990</f>
        <v>0</v>
      </c>
      <c r="I2977" s="21">
        <f>Data!C2990</f>
        <v>0</v>
      </c>
      <c r="J2977">
        <f>Data!D2990</f>
        <v>0</v>
      </c>
      <c r="K2977">
        <f>Data!E2990</f>
        <v>0</v>
      </c>
      <c r="L2977">
        <f>Data!F2990</f>
        <v>0</v>
      </c>
      <c r="M2977">
        <f>Data!G2990</f>
        <v>0</v>
      </c>
      <c r="N2977">
        <f>Data!H2990</f>
        <v>0</v>
      </c>
      <c r="O2977">
        <f>Data!I2990</f>
        <v>0</v>
      </c>
      <c r="P2977" s="21">
        <f>Data!J2994</f>
        <v>0</v>
      </c>
      <c r="Q2977">
        <f>Data!K2994</f>
        <v>0</v>
      </c>
      <c r="R2977">
        <f>Data!L2994</f>
        <v>0</v>
      </c>
      <c r="S2977">
        <f>Data!M2994</f>
        <v>0</v>
      </c>
      <c r="T2977">
        <f>Data!N2994</f>
        <v>0</v>
      </c>
      <c r="U2977">
        <f>Data!O2994</f>
        <v>0</v>
      </c>
      <c r="V2977" s="33">
        <f>Data!P2992</f>
        <v>0</v>
      </c>
    </row>
    <row r="2978" spans="7:22" x14ac:dyDescent="0.25">
      <c r="G2978">
        <f>Data!A2991</f>
        <v>0</v>
      </c>
      <c r="H2978" s="21">
        <f>Data!B2991</f>
        <v>0</v>
      </c>
      <c r="I2978" s="21">
        <f>Data!C2991</f>
        <v>0</v>
      </c>
      <c r="J2978">
        <f>Data!D2991</f>
        <v>0</v>
      </c>
      <c r="K2978">
        <f>Data!E2991</f>
        <v>0</v>
      </c>
      <c r="L2978">
        <f>Data!F2991</f>
        <v>0</v>
      </c>
      <c r="M2978">
        <f>Data!G2991</f>
        <v>0</v>
      </c>
      <c r="N2978">
        <f>Data!H2991</f>
        <v>0</v>
      </c>
      <c r="O2978">
        <f>Data!I2991</f>
        <v>0</v>
      </c>
      <c r="P2978" s="21">
        <f>Data!J2995</f>
        <v>0</v>
      </c>
      <c r="Q2978">
        <f>Data!K2995</f>
        <v>0</v>
      </c>
      <c r="R2978">
        <f>Data!L2995</f>
        <v>0</v>
      </c>
      <c r="S2978">
        <f>Data!M2995</f>
        <v>0</v>
      </c>
      <c r="T2978">
        <f>Data!N2995</f>
        <v>0</v>
      </c>
      <c r="U2978">
        <f>Data!O2995</f>
        <v>0</v>
      </c>
      <c r="V2978" s="33">
        <f>Data!P2993</f>
        <v>0</v>
      </c>
    </row>
    <row r="2979" spans="7:22" x14ac:dyDescent="0.25">
      <c r="G2979">
        <f>Data!A2992</f>
        <v>0</v>
      </c>
      <c r="H2979" s="21">
        <f>Data!B2992</f>
        <v>0</v>
      </c>
      <c r="I2979" s="21">
        <f>Data!C2992</f>
        <v>0</v>
      </c>
      <c r="J2979">
        <f>Data!D2992</f>
        <v>0</v>
      </c>
      <c r="K2979">
        <f>Data!E2992</f>
        <v>0</v>
      </c>
      <c r="L2979">
        <f>Data!F2992</f>
        <v>0</v>
      </c>
      <c r="M2979">
        <f>Data!G2992</f>
        <v>0</v>
      </c>
      <c r="N2979">
        <f>Data!H2992</f>
        <v>0</v>
      </c>
      <c r="O2979">
        <f>Data!I2992</f>
        <v>0</v>
      </c>
      <c r="P2979" s="21">
        <f>Data!J2996</f>
        <v>0</v>
      </c>
      <c r="Q2979">
        <f>Data!K2996</f>
        <v>0</v>
      </c>
      <c r="R2979">
        <f>Data!L2996</f>
        <v>0</v>
      </c>
      <c r="S2979">
        <f>Data!M2996</f>
        <v>0</v>
      </c>
      <c r="T2979">
        <f>Data!N2996</f>
        <v>0</v>
      </c>
      <c r="U2979">
        <f>Data!O2996</f>
        <v>0</v>
      </c>
      <c r="V2979" s="33">
        <f>Data!P2994</f>
        <v>0</v>
      </c>
    </row>
    <row r="2980" spans="7:22" x14ac:dyDescent="0.25">
      <c r="G2980">
        <f>Data!A2993</f>
        <v>0</v>
      </c>
      <c r="H2980" s="21">
        <f>Data!B2993</f>
        <v>0</v>
      </c>
      <c r="I2980" s="21">
        <f>Data!C2993</f>
        <v>0</v>
      </c>
      <c r="J2980">
        <f>Data!D2993</f>
        <v>0</v>
      </c>
      <c r="K2980">
        <f>Data!E2993</f>
        <v>0</v>
      </c>
      <c r="L2980">
        <f>Data!F2993</f>
        <v>0</v>
      </c>
      <c r="M2980">
        <f>Data!G2993</f>
        <v>0</v>
      </c>
      <c r="N2980">
        <f>Data!H2993</f>
        <v>0</v>
      </c>
      <c r="O2980">
        <f>Data!I2993</f>
        <v>0</v>
      </c>
      <c r="P2980" s="21">
        <f>Data!J2997</f>
        <v>0</v>
      </c>
      <c r="Q2980">
        <f>Data!K2997</f>
        <v>0</v>
      </c>
      <c r="R2980">
        <f>Data!L2997</f>
        <v>0</v>
      </c>
      <c r="S2980">
        <f>Data!M2997</f>
        <v>0</v>
      </c>
      <c r="T2980">
        <f>Data!N2997</f>
        <v>0</v>
      </c>
      <c r="U2980">
        <f>Data!O2997</f>
        <v>0</v>
      </c>
      <c r="V2980" s="33">
        <f>Data!P2995</f>
        <v>0</v>
      </c>
    </row>
    <row r="2981" spans="7:22" x14ac:dyDescent="0.25">
      <c r="G2981">
        <f>Data!A2994</f>
        <v>0</v>
      </c>
      <c r="H2981" s="21">
        <f>Data!B2994</f>
        <v>0</v>
      </c>
      <c r="I2981" s="21">
        <f>Data!C2994</f>
        <v>0</v>
      </c>
      <c r="J2981">
        <f>Data!D2994</f>
        <v>0</v>
      </c>
      <c r="K2981">
        <f>Data!E2994</f>
        <v>0</v>
      </c>
      <c r="L2981">
        <f>Data!F2994</f>
        <v>0</v>
      </c>
      <c r="M2981">
        <f>Data!G2994</f>
        <v>0</v>
      </c>
      <c r="N2981">
        <f>Data!H2994</f>
        <v>0</v>
      </c>
      <c r="O2981">
        <f>Data!I2994</f>
        <v>0</v>
      </c>
      <c r="P2981" s="21">
        <f>Data!J2998</f>
        <v>0</v>
      </c>
      <c r="Q2981">
        <f>Data!K2998</f>
        <v>0</v>
      </c>
      <c r="R2981">
        <f>Data!L2998</f>
        <v>0</v>
      </c>
      <c r="S2981">
        <f>Data!M2998</f>
        <v>0</v>
      </c>
      <c r="T2981">
        <f>Data!N2998</f>
        <v>0</v>
      </c>
      <c r="U2981">
        <f>Data!O2998</f>
        <v>0</v>
      </c>
      <c r="V2981" s="33">
        <f>Data!P2996</f>
        <v>0</v>
      </c>
    </row>
    <row r="2982" spans="7:22" x14ac:dyDescent="0.25">
      <c r="G2982">
        <f>Data!A2995</f>
        <v>0</v>
      </c>
      <c r="H2982" s="21">
        <f>Data!B2995</f>
        <v>0</v>
      </c>
      <c r="I2982" s="21">
        <f>Data!C2995</f>
        <v>0</v>
      </c>
      <c r="J2982">
        <f>Data!D2995</f>
        <v>0</v>
      </c>
      <c r="K2982">
        <f>Data!E2995</f>
        <v>0</v>
      </c>
      <c r="L2982">
        <f>Data!F2995</f>
        <v>0</v>
      </c>
      <c r="M2982">
        <f>Data!G2995</f>
        <v>0</v>
      </c>
      <c r="N2982">
        <f>Data!H2995</f>
        <v>0</v>
      </c>
      <c r="O2982">
        <f>Data!I2995</f>
        <v>0</v>
      </c>
      <c r="P2982" s="21">
        <f>Data!J2999</f>
        <v>0</v>
      </c>
      <c r="Q2982">
        <f>Data!K2999</f>
        <v>0</v>
      </c>
      <c r="R2982">
        <f>Data!L2999</f>
        <v>0</v>
      </c>
      <c r="S2982">
        <f>Data!M2999</f>
        <v>0</v>
      </c>
      <c r="T2982">
        <f>Data!N2999</f>
        <v>0</v>
      </c>
      <c r="U2982">
        <f>Data!O2999</f>
        <v>0</v>
      </c>
      <c r="V2982" s="33">
        <f>Data!P2997</f>
        <v>0</v>
      </c>
    </row>
    <row r="2983" spans="7:22" x14ac:dyDescent="0.25">
      <c r="G2983">
        <f>Data!A2996</f>
        <v>0</v>
      </c>
      <c r="H2983" s="21">
        <f>Data!B2996</f>
        <v>0</v>
      </c>
      <c r="I2983" s="21">
        <f>Data!C2996</f>
        <v>0</v>
      </c>
      <c r="J2983">
        <f>Data!D2996</f>
        <v>0</v>
      </c>
      <c r="K2983">
        <f>Data!E2996</f>
        <v>0</v>
      </c>
      <c r="L2983">
        <f>Data!F2996</f>
        <v>0</v>
      </c>
      <c r="M2983">
        <f>Data!G2996</f>
        <v>0</v>
      </c>
      <c r="N2983">
        <f>Data!H2996</f>
        <v>0</v>
      </c>
      <c r="O2983">
        <f>Data!I2996</f>
        <v>0</v>
      </c>
      <c r="P2983" s="21">
        <f>Data!J3000</f>
        <v>0</v>
      </c>
      <c r="Q2983">
        <f>Data!K3000</f>
        <v>0</v>
      </c>
      <c r="R2983">
        <f>Data!L3000</f>
        <v>0</v>
      </c>
      <c r="S2983">
        <f>Data!M3000</f>
        <v>0</v>
      </c>
      <c r="T2983">
        <f>Data!N3000</f>
        <v>0</v>
      </c>
      <c r="U2983">
        <f>Data!O3000</f>
        <v>0</v>
      </c>
      <c r="V2983" s="33">
        <f>Data!P2998</f>
        <v>0</v>
      </c>
    </row>
    <row r="2984" spans="7:22" x14ac:dyDescent="0.25">
      <c r="G2984">
        <f>Data!A2997</f>
        <v>0</v>
      </c>
      <c r="H2984" s="21">
        <f>Data!B2997</f>
        <v>0</v>
      </c>
      <c r="I2984" s="21">
        <f>Data!C2997</f>
        <v>0</v>
      </c>
      <c r="J2984">
        <f>Data!D2997</f>
        <v>0</v>
      </c>
      <c r="K2984">
        <f>Data!E2997</f>
        <v>0</v>
      </c>
      <c r="L2984">
        <f>Data!F2997</f>
        <v>0</v>
      </c>
      <c r="M2984">
        <f>Data!G2997</f>
        <v>0</v>
      </c>
      <c r="N2984">
        <f>Data!H2997</f>
        <v>0</v>
      </c>
      <c r="O2984">
        <f>Data!I2997</f>
        <v>0</v>
      </c>
      <c r="P2984" s="21">
        <f>Data!J3001</f>
        <v>0</v>
      </c>
      <c r="Q2984">
        <f>Data!K3001</f>
        <v>0</v>
      </c>
      <c r="R2984">
        <f>Data!L3001</f>
        <v>0</v>
      </c>
      <c r="S2984">
        <f>Data!M3001</f>
        <v>0</v>
      </c>
      <c r="T2984">
        <f>Data!N3001</f>
        <v>0</v>
      </c>
      <c r="U2984">
        <f>Data!O3001</f>
        <v>0</v>
      </c>
      <c r="V2984" s="33">
        <f>Data!P2999</f>
        <v>0</v>
      </c>
    </row>
    <row r="2985" spans="7:22" x14ac:dyDescent="0.25">
      <c r="G2985">
        <f>Data!A2998</f>
        <v>0</v>
      </c>
      <c r="H2985" s="21">
        <f>Data!B2998</f>
        <v>0</v>
      </c>
      <c r="I2985" s="21">
        <f>Data!C2998</f>
        <v>0</v>
      </c>
      <c r="J2985">
        <f>Data!D2998</f>
        <v>0</v>
      </c>
      <c r="K2985">
        <f>Data!E2998</f>
        <v>0</v>
      </c>
      <c r="L2985">
        <f>Data!F2998</f>
        <v>0</v>
      </c>
      <c r="M2985">
        <f>Data!G2998</f>
        <v>0</v>
      </c>
      <c r="N2985">
        <f>Data!H2998</f>
        <v>0</v>
      </c>
      <c r="O2985">
        <f>Data!I2998</f>
        <v>0</v>
      </c>
      <c r="P2985" s="21">
        <f>Data!J3002</f>
        <v>0</v>
      </c>
      <c r="Q2985">
        <f>Data!K3002</f>
        <v>0</v>
      </c>
      <c r="R2985">
        <f>Data!L3002</f>
        <v>0</v>
      </c>
      <c r="S2985">
        <f>Data!M3002</f>
        <v>0</v>
      </c>
      <c r="T2985">
        <f>Data!N3002</f>
        <v>0</v>
      </c>
      <c r="U2985">
        <f>Data!O3002</f>
        <v>0</v>
      </c>
      <c r="V2985" s="33">
        <f>Data!P3000</f>
        <v>0</v>
      </c>
    </row>
    <row r="2986" spans="7:22" x14ac:dyDescent="0.25">
      <c r="G2986">
        <f>Data!A2999</f>
        <v>0</v>
      </c>
      <c r="H2986" s="21">
        <f>Data!B2999</f>
        <v>0</v>
      </c>
      <c r="I2986" s="21">
        <f>Data!C2999</f>
        <v>0</v>
      </c>
      <c r="J2986">
        <f>Data!D2999</f>
        <v>0</v>
      </c>
      <c r="K2986">
        <f>Data!E2999</f>
        <v>0</v>
      </c>
      <c r="L2986">
        <f>Data!F2999</f>
        <v>0</v>
      </c>
      <c r="M2986">
        <f>Data!G2999</f>
        <v>0</v>
      </c>
      <c r="N2986">
        <f>Data!H2999</f>
        <v>0</v>
      </c>
      <c r="O2986">
        <f>Data!I2999</f>
        <v>0</v>
      </c>
      <c r="P2986" s="21">
        <f>Data!J3003</f>
        <v>0</v>
      </c>
      <c r="Q2986">
        <f>Data!K3003</f>
        <v>0</v>
      </c>
      <c r="R2986">
        <f>Data!L3003</f>
        <v>0</v>
      </c>
      <c r="S2986">
        <f>Data!M3003</f>
        <v>0</v>
      </c>
      <c r="T2986">
        <f>Data!N3003</f>
        <v>0</v>
      </c>
      <c r="U2986">
        <f>Data!O3003</f>
        <v>0</v>
      </c>
      <c r="V2986" s="33">
        <f>Data!P3001</f>
        <v>0</v>
      </c>
    </row>
    <row r="2987" spans="7:22" x14ac:dyDescent="0.25">
      <c r="G2987">
        <f>Data!A3000</f>
        <v>0</v>
      </c>
      <c r="H2987" s="21">
        <f>Data!B3000</f>
        <v>0</v>
      </c>
      <c r="I2987" s="21">
        <f>Data!C3000</f>
        <v>0</v>
      </c>
      <c r="J2987">
        <f>Data!D3000</f>
        <v>0</v>
      </c>
      <c r="K2987">
        <f>Data!E3000</f>
        <v>0</v>
      </c>
      <c r="L2987">
        <f>Data!F3000</f>
        <v>0</v>
      </c>
      <c r="M2987">
        <f>Data!G3000</f>
        <v>0</v>
      </c>
      <c r="N2987">
        <f>Data!H3000</f>
        <v>0</v>
      </c>
      <c r="O2987">
        <f>Data!I3000</f>
        <v>0</v>
      </c>
      <c r="P2987" s="21">
        <f>Data!J3004</f>
        <v>0</v>
      </c>
      <c r="Q2987">
        <f>Data!K3004</f>
        <v>0</v>
      </c>
      <c r="R2987">
        <f>Data!L3004</f>
        <v>0</v>
      </c>
      <c r="S2987">
        <f>Data!M3004</f>
        <v>0</v>
      </c>
      <c r="T2987">
        <f>Data!N3004</f>
        <v>0</v>
      </c>
      <c r="U2987">
        <f>Data!O3004</f>
        <v>0</v>
      </c>
      <c r="V2987" s="33">
        <f>Data!P3002</f>
        <v>0</v>
      </c>
    </row>
    <row r="2988" spans="7:22" x14ac:dyDescent="0.25">
      <c r="G2988">
        <f>Data!A3001</f>
        <v>0</v>
      </c>
      <c r="H2988" s="21">
        <f>Data!B3001</f>
        <v>0</v>
      </c>
      <c r="I2988" s="21">
        <f>Data!C3001</f>
        <v>0</v>
      </c>
      <c r="J2988">
        <f>Data!D3001</f>
        <v>0</v>
      </c>
      <c r="K2988">
        <f>Data!E3001</f>
        <v>0</v>
      </c>
      <c r="L2988">
        <f>Data!F3001</f>
        <v>0</v>
      </c>
      <c r="M2988">
        <f>Data!G3001</f>
        <v>0</v>
      </c>
      <c r="N2988">
        <f>Data!H3001</f>
        <v>0</v>
      </c>
      <c r="O2988">
        <f>Data!I3001</f>
        <v>0</v>
      </c>
      <c r="P2988" s="21">
        <f>Data!J3005</f>
        <v>0</v>
      </c>
      <c r="Q2988">
        <f>Data!K3005</f>
        <v>0</v>
      </c>
      <c r="R2988">
        <f>Data!L3005</f>
        <v>0</v>
      </c>
      <c r="S2988">
        <f>Data!M3005</f>
        <v>0</v>
      </c>
      <c r="T2988">
        <f>Data!N3005</f>
        <v>0</v>
      </c>
      <c r="U2988">
        <f>Data!O3005</f>
        <v>0</v>
      </c>
      <c r="V2988" s="33">
        <f>Data!P3003</f>
        <v>0</v>
      </c>
    </row>
    <row r="2989" spans="7:22" x14ac:dyDescent="0.25">
      <c r="G2989">
        <f>Data!A3002</f>
        <v>0</v>
      </c>
      <c r="H2989" s="21">
        <f>Data!B3002</f>
        <v>0</v>
      </c>
      <c r="I2989" s="21">
        <f>Data!C3002</f>
        <v>0</v>
      </c>
      <c r="J2989">
        <f>Data!D3002</f>
        <v>0</v>
      </c>
      <c r="K2989">
        <f>Data!E3002</f>
        <v>0</v>
      </c>
      <c r="L2989">
        <f>Data!F3002</f>
        <v>0</v>
      </c>
      <c r="M2989">
        <f>Data!G3002</f>
        <v>0</v>
      </c>
      <c r="N2989">
        <f>Data!H3002</f>
        <v>0</v>
      </c>
      <c r="O2989">
        <f>Data!I3002</f>
        <v>0</v>
      </c>
      <c r="P2989" s="21">
        <f>Data!J3006</f>
        <v>0</v>
      </c>
      <c r="Q2989">
        <f>Data!K3006</f>
        <v>0</v>
      </c>
      <c r="R2989">
        <f>Data!L3006</f>
        <v>0</v>
      </c>
      <c r="S2989">
        <f>Data!M3006</f>
        <v>0</v>
      </c>
      <c r="T2989">
        <f>Data!N3006</f>
        <v>0</v>
      </c>
      <c r="U2989">
        <f>Data!O3006</f>
        <v>0</v>
      </c>
      <c r="V2989" s="33">
        <f>Data!P3004</f>
        <v>0</v>
      </c>
    </row>
    <row r="2990" spans="7:22" x14ac:dyDescent="0.25">
      <c r="G2990">
        <f>Data!A3003</f>
        <v>0</v>
      </c>
      <c r="H2990" s="21">
        <f>Data!B3003</f>
        <v>0</v>
      </c>
      <c r="I2990" s="21">
        <f>Data!C3003</f>
        <v>0</v>
      </c>
      <c r="J2990">
        <f>Data!D3003</f>
        <v>0</v>
      </c>
      <c r="K2990">
        <f>Data!E3003</f>
        <v>0</v>
      </c>
      <c r="L2990">
        <f>Data!F3003</f>
        <v>0</v>
      </c>
      <c r="M2990">
        <f>Data!G3003</f>
        <v>0</v>
      </c>
      <c r="N2990">
        <f>Data!H3003</f>
        <v>0</v>
      </c>
      <c r="O2990">
        <f>Data!I3003</f>
        <v>0</v>
      </c>
      <c r="P2990" s="21">
        <f>Data!J3007</f>
        <v>0</v>
      </c>
      <c r="Q2990">
        <f>Data!K3007</f>
        <v>0</v>
      </c>
      <c r="R2990">
        <f>Data!L3007</f>
        <v>0</v>
      </c>
      <c r="S2990">
        <f>Data!M3007</f>
        <v>0</v>
      </c>
      <c r="T2990">
        <f>Data!N3007</f>
        <v>0</v>
      </c>
      <c r="U2990">
        <f>Data!O3007</f>
        <v>0</v>
      </c>
      <c r="V2990" s="33">
        <f>Data!P3005</f>
        <v>0</v>
      </c>
    </row>
    <row r="2991" spans="7:22" x14ac:dyDescent="0.25">
      <c r="G2991">
        <f>Data!A3004</f>
        <v>0</v>
      </c>
      <c r="H2991" s="21">
        <f>Data!B3004</f>
        <v>0</v>
      </c>
      <c r="I2991" s="21">
        <f>Data!C3004</f>
        <v>0</v>
      </c>
      <c r="J2991">
        <f>Data!D3004</f>
        <v>0</v>
      </c>
      <c r="K2991">
        <f>Data!E3004</f>
        <v>0</v>
      </c>
      <c r="L2991">
        <f>Data!F3004</f>
        <v>0</v>
      </c>
      <c r="M2991">
        <f>Data!G3004</f>
        <v>0</v>
      </c>
      <c r="N2991">
        <f>Data!H3004</f>
        <v>0</v>
      </c>
      <c r="O2991">
        <f>Data!I3004</f>
        <v>0</v>
      </c>
      <c r="P2991" s="21">
        <f>Data!J3008</f>
        <v>0</v>
      </c>
      <c r="Q2991">
        <f>Data!K3008</f>
        <v>0</v>
      </c>
      <c r="R2991">
        <f>Data!L3008</f>
        <v>0</v>
      </c>
      <c r="S2991">
        <f>Data!M3008</f>
        <v>0</v>
      </c>
      <c r="T2991">
        <f>Data!N3008</f>
        <v>0</v>
      </c>
      <c r="U2991">
        <f>Data!O3008</f>
        <v>0</v>
      </c>
      <c r="V2991" s="33">
        <f>Data!P3006</f>
        <v>0</v>
      </c>
    </row>
    <row r="2992" spans="7:22" x14ac:dyDescent="0.25">
      <c r="G2992">
        <f>Data!A3005</f>
        <v>0</v>
      </c>
      <c r="H2992" s="21">
        <f>Data!B3005</f>
        <v>0</v>
      </c>
      <c r="I2992" s="21">
        <f>Data!C3005</f>
        <v>0</v>
      </c>
      <c r="J2992">
        <f>Data!D3005</f>
        <v>0</v>
      </c>
      <c r="K2992">
        <f>Data!E3005</f>
        <v>0</v>
      </c>
      <c r="L2992">
        <f>Data!F3005</f>
        <v>0</v>
      </c>
      <c r="M2992">
        <f>Data!G3005</f>
        <v>0</v>
      </c>
      <c r="N2992">
        <f>Data!H3005</f>
        <v>0</v>
      </c>
      <c r="O2992">
        <f>Data!I3005</f>
        <v>0</v>
      </c>
      <c r="P2992" s="21">
        <f>Data!J3009</f>
        <v>0</v>
      </c>
      <c r="Q2992">
        <f>Data!K3009</f>
        <v>0</v>
      </c>
      <c r="R2992">
        <f>Data!L3009</f>
        <v>0</v>
      </c>
      <c r="S2992">
        <f>Data!M3009</f>
        <v>0</v>
      </c>
      <c r="T2992">
        <f>Data!N3009</f>
        <v>0</v>
      </c>
      <c r="U2992">
        <f>Data!O3009</f>
        <v>0</v>
      </c>
      <c r="V2992" s="33">
        <f>Data!P3007</f>
        <v>0</v>
      </c>
    </row>
    <row r="2993" spans="7:22" x14ac:dyDescent="0.25">
      <c r="G2993">
        <f>Data!A3006</f>
        <v>0</v>
      </c>
      <c r="H2993" s="21">
        <f>Data!B3006</f>
        <v>0</v>
      </c>
      <c r="I2993" s="21">
        <f>Data!C3006</f>
        <v>0</v>
      </c>
      <c r="J2993">
        <f>Data!D3006</f>
        <v>0</v>
      </c>
      <c r="K2993">
        <f>Data!E3006</f>
        <v>0</v>
      </c>
      <c r="L2993">
        <f>Data!F3006</f>
        <v>0</v>
      </c>
      <c r="M2993">
        <f>Data!G3006</f>
        <v>0</v>
      </c>
      <c r="N2993">
        <f>Data!H3006</f>
        <v>0</v>
      </c>
      <c r="O2993">
        <f>Data!I3006</f>
        <v>0</v>
      </c>
      <c r="P2993" s="21">
        <f>Data!J3010</f>
        <v>0</v>
      </c>
      <c r="Q2993">
        <f>Data!K3010</f>
        <v>0</v>
      </c>
      <c r="R2993">
        <f>Data!L3010</f>
        <v>0</v>
      </c>
      <c r="S2993">
        <f>Data!M3010</f>
        <v>0</v>
      </c>
      <c r="T2993">
        <f>Data!N3010</f>
        <v>0</v>
      </c>
      <c r="U2993">
        <f>Data!O3010</f>
        <v>0</v>
      </c>
      <c r="V2993" s="33">
        <f>Data!P3008</f>
        <v>0</v>
      </c>
    </row>
    <row r="2994" spans="7:22" x14ac:dyDescent="0.25">
      <c r="G2994">
        <f>Data!A3007</f>
        <v>0</v>
      </c>
      <c r="H2994" s="21">
        <f>Data!B3007</f>
        <v>0</v>
      </c>
      <c r="I2994" s="21">
        <f>Data!C3007</f>
        <v>0</v>
      </c>
      <c r="J2994">
        <f>Data!D3007</f>
        <v>0</v>
      </c>
      <c r="K2994">
        <f>Data!E3007</f>
        <v>0</v>
      </c>
      <c r="L2994">
        <f>Data!F3007</f>
        <v>0</v>
      </c>
      <c r="M2994">
        <f>Data!G3007</f>
        <v>0</v>
      </c>
      <c r="N2994">
        <f>Data!H3007</f>
        <v>0</v>
      </c>
      <c r="O2994">
        <f>Data!I3007</f>
        <v>0</v>
      </c>
      <c r="P2994" s="21">
        <f>Data!J3011</f>
        <v>0</v>
      </c>
      <c r="Q2994">
        <f>Data!K3011</f>
        <v>0</v>
      </c>
      <c r="R2994">
        <f>Data!L3011</f>
        <v>0</v>
      </c>
      <c r="S2994">
        <f>Data!M3011</f>
        <v>0</v>
      </c>
      <c r="T2994">
        <f>Data!N3011</f>
        <v>0</v>
      </c>
      <c r="U2994">
        <f>Data!O3011</f>
        <v>0</v>
      </c>
      <c r="V2994" s="33">
        <f>Data!P3009</f>
        <v>0</v>
      </c>
    </row>
    <row r="2995" spans="7:22" x14ac:dyDescent="0.25">
      <c r="G2995">
        <f>Data!A3008</f>
        <v>0</v>
      </c>
      <c r="H2995" s="21">
        <f>Data!B3008</f>
        <v>0</v>
      </c>
      <c r="I2995" s="21">
        <f>Data!C3008</f>
        <v>0</v>
      </c>
      <c r="J2995">
        <f>Data!D3008</f>
        <v>0</v>
      </c>
      <c r="K2995">
        <f>Data!E3008</f>
        <v>0</v>
      </c>
      <c r="L2995">
        <f>Data!F3008</f>
        <v>0</v>
      </c>
      <c r="M2995">
        <f>Data!G3008</f>
        <v>0</v>
      </c>
      <c r="N2995">
        <f>Data!H3008</f>
        <v>0</v>
      </c>
      <c r="O2995">
        <f>Data!I3008</f>
        <v>0</v>
      </c>
      <c r="P2995" s="21">
        <f>Data!J3012</f>
        <v>0</v>
      </c>
      <c r="Q2995">
        <f>Data!K3012</f>
        <v>0</v>
      </c>
      <c r="R2995">
        <f>Data!L3012</f>
        <v>0</v>
      </c>
      <c r="S2995">
        <f>Data!M3012</f>
        <v>0</v>
      </c>
      <c r="T2995">
        <f>Data!N3012</f>
        <v>0</v>
      </c>
      <c r="U2995">
        <f>Data!O3012</f>
        <v>0</v>
      </c>
      <c r="V2995" s="33">
        <f>Data!P3010</f>
        <v>0</v>
      </c>
    </row>
    <row r="2996" spans="7:22" x14ac:dyDescent="0.25">
      <c r="G2996">
        <f>Data!A3009</f>
        <v>0</v>
      </c>
      <c r="H2996" s="21">
        <f>Data!B3009</f>
        <v>0</v>
      </c>
      <c r="I2996" s="21">
        <f>Data!C3009</f>
        <v>0</v>
      </c>
      <c r="J2996">
        <f>Data!D3009</f>
        <v>0</v>
      </c>
      <c r="K2996">
        <f>Data!E3009</f>
        <v>0</v>
      </c>
      <c r="L2996">
        <f>Data!F3009</f>
        <v>0</v>
      </c>
      <c r="M2996">
        <f>Data!G3009</f>
        <v>0</v>
      </c>
      <c r="N2996">
        <f>Data!H3009</f>
        <v>0</v>
      </c>
      <c r="O2996">
        <f>Data!I3009</f>
        <v>0</v>
      </c>
      <c r="P2996" s="21">
        <f>Data!J3013</f>
        <v>0</v>
      </c>
      <c r="Q2996">
        <f>Data!K3013</f>
        <v>0</v>
      </c>
      <c r="R2996">
        <f>Data!L3013</f>
        <v>0</v>
      </c>
      <c r="S2996">
        <f>Data!M3013</f>
        <v>0</v>
      </c>
      <c r="T2996">
        <f>Data!N3013</f>
        <v>0</v>
      </c>
      <c r="U2996">
        <f>Data!O3013</f>
        <v>0</v>
      </c>
      <c r="V2996" s="33">
        <f>Data!P3011</f>
        <v>0</v>
      </c>
    </row>
    <row r="2997" spans="7:22" x14ac:dyDescent="0.25">
      <c r="G2997">
        <f>Data!A3010</f>
        <v>0</v>
      </c>
      <c r="H2997" s="21">
        <f>Data!B3010</f>
        <v>0</v>
      </c>
      <c r="I2997" s="21">
        <f>Data!C3010</f>
        <v>0</v>
      </c>
      <c r="J2997">
        <f>Data!D3010</f>
        <v>0</v>
      </c>
      <c r="K2997">
        <f>Data!E3010</f>
        <v>0</v>
      </c>
      <c r="L2997">
        <f>Data!F3010</f>
        <v>0</v>
      </c>
      <c r="M2997">
        <f>Data!G3010</f>
        <v>0</v>
      </c>
      <c r="N2997">
        <f>Data!H3010</f>
        <v>0</v>
      </c>
      <c r="O2997">
        <f>Data!I3010</f>
        <v>0</v>
      </c>
      <c r="P2997" s="21">
        <f>Data!J3014</f>
        <v>0</v>
      </c>
      <c r="Q2997">
        <f>Data!K3014</f>
        <v>0</v>
      </c>
      <c r="R2997">
        <f>Data!L3014</f>
        <v>0</v>
      </c>
      <c r="S2997">
        <f>Data!M3014</f>
        <v>0</v>
      </c>
      <c r="T2997">
        <f>Data!N3014</f>
        <v>0</v>
      </c>
      <c r="U2997">
        <f>Data!O3014</f>
        <v>0</v>
      </c>
      <c r="V2997" s="33">
        <f>Data!P3012</f>
        <v>0</v>
      </c>
    </row>
    <row r="2998" spans="7:22" x14ac:dyDescent="0.25">
      <c r="G2998">
        <f>Data!A3011</f>
        <v>0</v>
      </c>
      <c r="H2998" s="21">
        <f>Data!B3011</f>
        <v>0</v>
      </c>
      <c r="I2998" s="21">
        <f>Data!C3011</f>
        <v>0</v>
      </c>
      <c r="J2998">
        <f>Data!D3011</f>
        <v>0</v>
      </c>
      <c r="K2998">
        <f>Data!E3011</f>
        <v>0</v>
      </c>
      <c r="L2998">
        <f>Data!F3011</f>
        <v>0</v>
      </c>
      <c r="M2998">
        <f>Data!G3011</f>
        <v>0</v>
      </c>
      <c r="N2998">
        <f>Data!H3011</f>
        <v>0</v>
      </c>
      <c r="O2998">
        <f>Data!I3011</f>
        <v>0</v>
      </c>
      <c r="P2998" s="21">
        <f>Data!J3015</f>
        <v>0</v>
      </c>
      <c r="Q2998">
        <f>Data!K3015</f>
        <v>0</v>
      </c>
      <c r="R2998">
        <f>Data!L3015</f>
        <v>0</v>
      </c>
      <c r="S2998">
        <f>Data!M3015</f>
        <v>0</v>
      </c>
      <c r="T2998">
        <f>Data!N3015</f>
        <v>0</v>
      </c>
      <c r="U2998">
        <f>Data!O3015</f>
        <v>0</v>
      </c>
      <c r="V2998" s="33">
        <f>Data!P3013</f>
        <v>0</v>
      </c>
    </row>
    <row r="2999" spans="7:22" x14ac:dyDescent="0.25">
      <c r="G2999">
        <f>Data!A3012</f>
        <v>0</v>
      </c>
      <c r="H2999" s="21">
        <f>Data!B3012</f>
        <v>0</v>
      </c>
      <c r="I2999" s="21">
        <f>Data!C3012</f>
        <v>0</v>
      </c>
      <c r="J2999">
        <f>Data!D3012</f>
        <v>0</v>
      </c>
      <c r="K2999">
        <f>Data!E3012</f>
        <v>0</v>
      </c>
      <c r="L2999">
        <f>Data!F3012</f>
        <v>0</v>
      </c>
      <c r="M2999">
        <f>Data!G3012</f>
        <v>0</v>
      </c>
      <c r="N2999">
        <f>Data!H3012</f>
        <v>0</v>
      </c>
      <c r="O2999">
        <f>Data!I3012</f>
        <v>0</v>
      </c>
      <c r="P2999" s="21">
        <f>Data!J3016</f>
        <v>0</v>
      </c>
      <c r="Q2999">
        <f>Data!K3016</f>
        <v>0</v>
      </c>
      <c r="R2999">
        <f>Data!L3016</f>
        <v>0</v>
      </c>
      <c r="S2999">
        <f>Data!M3016</f>
        <v>0</v>
      </c>
      <c r="T2999">
        <f>Data!N3016</f>
        <v>0</v>
      </c>
      <c r="U2999">
        <f>Data!O3016</f>
        <v>0</v>
      </c>
      <c r="V2999" s="33">
        <f>Data!P3014</f>
        <v>0</v>
      </c>
    </row>
    <row r="3000" spans="7:22" x14ac:dyDescent="0.25">
      <c r="G3000">
        <f>Data!A3013</f>
        <v>0</v>
      </c>
      <c r="H3000" s="21">
        <f>Data!B3013</f>
        <v>0</v>
      </c>
      <c r="I3000" s="21">
        <f>Data!C3013</f>
        <v>0</v>
      </c>
      <c r="J3000">
        <f>Data!D3013</f>
        <v>0</v>
      </c>
      <c r="K3000">
        <f>Data!E3013</f>
        <v>0</v>
      </c>
      <c r="L3000">
        <f>Data!F3013</f>
        <v>0</v>
      </c>
      <c r="M3000">
        <f>Data!G3013</f>
        <v>0</v>
      </c>
      <c r="N3000">
        <f>Data!H3013</f>
        <v>0</v>
      </c>
      <c r="O3000">
        <f>Data!I3013</f>
        <v>0</v>
      </c>
      <c r="P3000" s="21">
        <f>Data!J3017</f>
        <v>0</v>
      </c>
      <c r="Q3000">
        <f>Data!K3017</f>
        <v>0</v>
      </c>
      <c r="R3000">
        <f>Data!L3017</f>
        <v>0</v>
      </c>
      <c r="S3000">
        <f>Data!M3017</f>
        <v>0</v>
      </c>
      <c r="T3000">
        <f>Data!N3017</f>
        <v>0</v>
      </c>
      <c r="U3000">
        <f>Data!O3017</f>
        <v>0</v>
      </c>
      <c r="V3000" s="33">
        <f>Data!P3015</f>
        <v>0</v>
      </c>
    </row>
    <row r="3001" spans="7:22" x14ac:dyDescent="0.25">
      <c r="G3001">
        <f>Data!A3014</f>
        <v>0</v>
      </c>
      <c r="H3001" s="21">
        <f>Data!B3014</f>
        <v>0</v>
      </c>
      <c r="I3001" s="21">
        <f>Data!C3014</f>
        <v>0</v>
      </c>
      <c r="J3001">
        <f>Data!D3014</f>
        <v>0</v>
      </c>
      <c r="K3001">
        <f>Data!E3014</f>
        <v>0</v>
      </c>
      <c r="L3001">
        <f>Data!F3014</f>
        <v>0</v>
      </c>
      <c r="M3001">
        <f>Data!G3014</f>
        <v>0</v>
      </c>
      <c r="N3001">
        <f>Data!H3014</f>
        <v>0</v>
      </c>
      <c r="O3001">
        <f>Data!I3014</f>
        <v>0</v>
      </c>
      <c r="P3001" s="21">
        <f>Data!J3018</f>
        <v>0</v>
      </c>
      <c r="Q3001">
        <f>Data!K3018</f>
        <v>0</v>
      </c>
      <c r="R3001">
        <f>Data!L3018</f>
        <v>0</v>
      </c>
      <c r="S3001">
        <f>Data!M3018</f>
        <v>0</v>
      </c>
      <c r="T3001">
        <f>Data!N3018</f>
        <v>0</v>
      </c>
      <c r="U3001">
        <f>Data!O3018</f>
        <v>0</v>
      </c>
      <c r="V3001" s="33">
        <f>Data!P3016</f>
        <v>0</v>
      </c>
    </row>
    <row r="3002" spans="7:22" x14ac:dyDescent="0.25">
      <c r="G3002">
        <f>Data!A3015</f>
        <v>0</v>
      </c>
      <c r="H3002" s="21">
        <f>Data!B3015</f>
        <v>0</v>
      </c>
      <c r="I3002" s="21">
        <f>Data!C3015</f>
        <v>0</v>
      </c>
      <c r="J3002">
        <f>Data!D3015</f>
        <v>0</v>
      </c>
      <c r="K3002">
        <f>Data!E3015</f>
        <v>0</v>
      </c>
      <c r="L3002">
        <f>Data!F3015</f>
        <v>0</v>
      </c>
      <c r="M3002">
        <f>Data!G3015</f>
        <v>0</v>
      </c>
      <c r="N3002">
        <f>Data!H3015</f>
        <v>0</v>
      </c>
      <c r="O3002">
        <f>Data!I3015</f>
        <v>0</v>
      </c>
      <c r="P3002" s="21">
        <f>Data!J3019</f>
        <v>0</v>
      </c>
      <c r="Q3002">
        <f>Data!K3019</f>
        <v>0</v>
      </c>
      <c r="R3002">
        <f>Data!L3019</f>
        <v>0</v>
      </c>
      <c r="S3002">
        <f>Data!M3019</f>
        <v>0</v>
      </c>
      <c r="T3002">
        <f>Data!N3019</f>
        <v>0</v>
      </c>
      <c r="U3002">
        <f>Data!O3019</f>
        <v>0</v>
      </c>
      <c r="V3002" s="33">
        <f>Data!P3017</f>
        <v>0</v>
      </c>
    </row>
    <row r="3003" spans="7:22" x14ac:dyDescent="0.25">
      <c r="G3003">
        <f>Data!A3016</f>
        <v>0</v>
      </c>
      <c r="H3003" s="21">
        <f>Data!B3016</f>
        <v>0</v>
      </c>
      <c r="I3003" s="21">
        <f>Data!C3016</f>
        <v>0</v>
      </c>
      <c r="J3003">
        <f>Data!D3016</f>
        <v>0</v>
      </c>
      <c r="K3003">
        <f>Data!E3016</f>
        <v>0</v>
      </c>
      <c r="L3003">
        <f>Data!F3016</f>
        <v>0</v>
      </c>
      <c r="M3003">
        <f>Data!G3016</f>
        <v>0</v>
      </c>
      <c r="N3003">
        <f>Data!H3016</f>
        <v>0</v>
      </c>
      <c r="O3003">
        <f>Data!I3016</f>
        <v>0</v>
      </c>
      <c r="P3003" s="21">
        <f>Data!J3020</f>
        <v>0</v>
      </c>
      <c r="Q3003">
        <f>Data!K3020</f>
        <v>0</v>
      </c>
      <c r="R3003">
        <f>Data!L3020</f>
        <v>0</v>
      </c>
      <c r="S3003">
        <f>Data!M3020</f>
        <v>0</v>
      </c>
      <c r="T3003">
        <f>Data!N3020</f>
        <v>0</v>
      </c>
      <c r="U3003">
        <f>Data!O3020</f>
        <v>0</v>
      </c>
      <c r="V3003" s="33">
        <f>Data!P3018</f>
        <v>0</v>
      </c>
    </row>
    <row r="3004" spans="7:22" x14ac:dyDescent="0.25">
      <c r="G3004">
        <f>Data!A3017</f>
        <v>0</v>
      </c>
      <c r="H3004" s="21">
        <f>Data!B3017</f>
        <v>0</v>
      </c>
      <c r="I3004" s="21">
        <f>Data!C3017</f>
        <v>0</v>
      </c>
      <c r="J3004">
        <f>Data!D3017</f>
        <v>0</v>
      </c>
      <c r="K3004">
        <f>Data!E3017</f>
        <v>0</v>
      </c>
      <c r="L3004">
        <f>Data!F3017</f>
        <v>0</v>
      </c>
      <c r="M3004">
        <f>Data!G3017</f>
        <v>0</v>
      </c>
      <c r="N3004">
        <f>Data!H3017</f>
        <v>0</v>
      </c>
      <c r="O3004">
        <f>Data!I3017</f>
        <v>0</v>
      </c>
      <c r="P3004" s="21">
        <f>Data!J3021</f>
        <v>0</v>
      </c>
      <c r="Q3004">
        <f>Data!K3021</f>
        <v>0</v>
      </c>
      <c r="R3004">
        <f>Data!L3021</f>
        <v>0</v>
      </c>
      <c r="S3004">
        <f>Data!M3021</f>
        <v>0</v>
      </c>
      <c r="T3004">
        <f>Data!N3021</f>
        <v>0</v>
      </c>
      <c r="U3004">
        <f>Data!O3021</f>
        <v>0</v>
      </c>
      <c r="V3004" s="33">
        <f>Data!P3019</f>
        <v>0</v>
      </c>
    </row>
    <row r="3005" spans="7:22" x14ac:dyDescent="0.25">
      <c r="G3005">
        <f>Data!A3018</f>
        <v>0</v>
      </c>
      <c r="H3005" s="21">
        <f>Data!B3018</f>
        <v>0</v>
      </c>
      <c r="I3005" s="21">
        <f>Data!C3018</f>
        <v>0</v>
      </c>
      <c r="J3005">
        <f>Data!D3018</f>
        <v>0</v>
      </c>
      <c r="K3005">
        <f>Data!E3018</f>
        <v>0</v>
      </c>
      <c r="L3005">
        <f>Data!F3018</f>
        <v>0</v>
      </c>
      <c r="M3005">
        <f>Data!G3018</f>
        <v>0</v>
      </c>
      <c r="N3005">
        <f>Data!H3018</f>
        <v>0</v>
      </c>
      <c r="O3005">
        <f>Data!I3018</f>
        <v>0</v>
      </c>
      <c r="P3005" s="21">
        <f>Data!J3022</f>
        <v>0</v>
      </c>
      <c r="Q3005">
        <f>Data!K3022</f>
        <v>0</v>
      </c>
      <c r="R3005">
        <f>Data!L3022</f>
        <v>0</v>
      </c>
      <c r="S3005">
        <f>Data!M3022</f>
        <v>0</v>
      </c>
      <c r="T3005">
        <f>Data!N3022</f>
        <v>0</v>
      </c>
      <c r="U3005">
        <f>Data!O3022</f>
        <v>0</v>
      </c>
      <c r="V3005" s="33">
        <f>Data!P3020</f>
        <v>0</v>
      </c>
    </row>
    <row r="3006" spans="7:22" x14ac:dyDescent="0.25">
      <c r="G3006">
        <f>Data!A3019</f>
        <v>0</v>
      </c>
      <c r="H3006" s="21">
        <f>Data!B3019</f>
        <v>0</v>
      </c>
      <c r="I3006" s="21">
        <f>Data!C3019</f>
        <v>0</v>
      </c>
      <c r="J3006">
        <f>Data!D3019</f>
        <v>0</v>
      </c>
      <c r="K3006">
        <f>Data!E3019</f>
        <v>0</v>
      </c>
      <c r="L3006">
        <f>Data!F3019</f>
        <v>0</v>
      </c>
      <c r="M3006">
        <f>Data!G3019</f>
        <v>0</v>
      </c>
      <c r="N3006">
        <f>Data!H3019</f>
        <v>0</v>
      </c>
      <c r="O3006">
        <f>Data!I3019</f>
        <v>0</v>
      </c>
      <c r="P3006" s="21">
        <f>Data!J3023</f>
        <v>0</v>
      </c>
      <c r="Q3006">
        <f>Data!K3023</f>
        <v>0</v>
      </c>
      <c r="R3006">
        <f>Data!L3023</f>
        <v>0</v>
      </c>
      <c r="S3006">
        <f>Data!M3023</f>
        <v>0</v>
      </c>
      <c r="T3006">
        <f>Data!N3023</f>
        <v>0</v>
      </c>
      <c r="U3006">
        <f>Data!O3023</f>
        <v>0</v>
      </c>
      <c r="V3006" s="33">
        <f>Data!P3021</f>
        <v>0</v>
      </c>
    </row>
    <row r="3007" spans="7:22" x14ac:dyDescent="0.25">
      <c r="G3007">
        <f>Data!A3020</f>
        <v>0</v>
      </c>
      <c r="H3007" s="21">
        <f>Data!B3020</f>
        <v>0</v>
      </c>
      <c r="I3007" s="21">
        <f>Data!C3020</f>
        <v>0</v>
      </c>
      <c r="J3007">
        <f>Data!D3020</f>
        <v>0</v>
      </c>
      <c r="K3007">
        <f>Data!E3020</f>
        <v>0</v>
      </c>
      <c r="L3007">
        <f>Data!F3020</f>
        <v>0</v>
      </c>
      <c r="M3007">
        <f>Data!G3020</f>
        <v>0</v>
      </c>
      <c r="N3007">
        <f>Data!H3020</f>
        <v>0</v>
      </c>
      <c r="O3007">
        <f>Data!I3020</f>
        <v>0</v>
      </c>
      <c r="P3007" s="21">
        <f>Data!J3024</f>
        <v>0</v>
      </c>
      <c r="Q3007">
        <f>Data!K3024</f>
        <v>0</v>
      </c>
      <c r="R3007">
        <f>Data!L3024</f>
        <v>0</v>
      </c>
      <c r="S3007">
        <f>Data!M3024</f>
        <v>0</v>
      </c>
      <c r="T3007">
        <f>Data!N3024</f>
        <v>0</v>
      </c>
      <c r="U3007">
        <f>Data!O3024</f>
        <v>0</v>
      </c>
      <c r="V3007" s="33">
        <f>Data!P3022</f>
        <v>0</v>
      </c>
    </row>
    <row r="3008" spans="7:22" x14ac:dyDescent="0.25">
      <c r="G3008">
        <f>Data!A3021</f>
        <v>0</v>
      </c>
      <c r="H3008" s="21">
        <f>Data!B3021</f>
        <v>0</v>
      </c>
      <c r="I3008" s="21">
        <f>Data!C3021</f>
        <v>0</v>
      </c>
      <c r="J3008">
        <f>Data!D3021</f>
        <v>0</v>
      </c>
      <c r="K3008">
        <f>Data!E3021</f>
        <v>0</v>
      </c>
      <c r="L3008">
        <f>Data!F3021</f>
        <v>0</v>
      </c>
      <c r="M3008">
        <f>Data!G3021</f>
        <v>0</v>
      </c>
      <c r="N3008">
        <f>Data!H3021</f>
        <v>0</v>
      </c>
      <c r="O3008">
        <f>Data!I3021</f>
        <v>0</v>
      </c>
      <c r="P3008" s="21">
        <f>Data!J3025</f>
        <v>0</v>
      </c>
      <c r="Q3008">
        <f>Data!K3025</f>
        <v>0</v>
      </c>
      <c r="R3008">
        <f>Data!L3025</f>
        <v>0</v>
      </c>
      <c r="S3008">
        <f>Data!M3025</f>
        <v>0</v>
      </c>
      <c r="T3008">
        <f>Data!N3025</f>
        <v>0</v>
      </c>
      <c r="U3008">
        <f>Data!O3025</f>
        <v>0</v>
      </c>
      <c r="V3008" s="33">
        <f>Data!P3023</f>
        <v>0</v>
      </c>
    </row>
    <row r="3009" spans="7:22" x14ac:dyDescent="0.25">
      <c r="G3009">
        <f>Data!A3022</f>
        <v>0</v>
      </c>
      <c r="H3009" s="21">
        <f>Data!B3022</f>
        <v>0</v>
      </c>
      <c r="I3009" s="21">
        <f>Data!C3022</f>
        <v>0</v>
      </c>
      <c r="J3009">
        <f>Data!D3022</f>
        <v>0</v>
      </c>
      <c r="K3009">
        <f>Data!E3022</f>
        <v>0</v>
      </c>
      <c r="L3009">
        <f>Data!F3022</f>
        <v>0</v>
      </c>
      <c r="M3009">
        <f>Data!G3022</f>
        <v>0</v>
      </c>
      <c r="N3009">
        <f>Data!H3022</f>
        <v>0</v>
      </c>
      <c r="O3009">
        <f>Data!I3022</f>
        <v>0</v>
      </c>
      <c r="P3009" s="21">
        <f>Data!J3026</f>
        <v>0</v>
      </c>
      <c r="Q3009">
        <f>Data!K3026</f>
        <v>0</v>
      </c>
      <c r="R3009">
        <f>Data!L3026</f>
        <v>0</v>
      </c>
      <c r="S3009">
        <f>Data!M3026</f>
        <v>0</v>
      </c>
      <c r="T3009">
        <f>Data!N3026</f>
        <v>0</v>
      </c>
      <c r="U3009">
        <f>Data!O3026</f>
        <v>0</v>
      </c>
      <c r="V3009" s="33">
        <f>Data!P3024</f>
        <v>0</v>
      </c>
    </row>
    <row r="3010" spans="7:22" x14ac:dyDescent="0.25">
      <c r="G3010">
        <f>Data!A3023</f>
        <v>0</v>
      </c>
      <c r="H3010" s="21">
        <f>Data!B3023</f>
        <v>0</v>
      </c>
      <c r="I3010" s="21">
        <f>Data!C3023</f>
        <v>0</v>
      </c>
      <c r="J3010">
        <f>Data!D3023</f>
        <v>0</v>
      </c>
      <c r="K3010">
        <f>Data!E3023</f>
        <v>0</v>
      </c>
      <c r="L3010">
        <f>Data!F3023</f>
        <v>0</v>
      </c>
      <c r="M3010">
        <f>Data!G3023</f>
        <v>0</v>
      </c>
      <c r="N3010">
        <f>Data!H3023</f>
        <v>0</v>
      </c>
      <c r="O3010">
        <f>Data!I3023</f>
        <v>0</v>
      </c>
      <c r="P3010" s="21">
        <f>Data!J3027</f>
        <v>0</v>
      </c>
      <c r="Q3010">
        <f>Data!K3027</f>
        <v>0</v>
      </c>
      <c r="R3010">
        <f>Data!L3027</f>
        <v>0</v>
      </c>
      <c r="S3010">
        <f>Data!M3027</f>
        <v>0</v>
      </c>
      <c r="T3010">
        <f>Data!N3027</f>
        <v>0</v>
      </c>
      <c r="U3010">
        <f>Data!O3027</f>
        <v>0</v>
      </c>
      <c r="V3010" s="33">
        <f>Data!P3025</f>
        <v>0</v>
      </c>
    </row>
    <row r="3011" spans="7:22" x14ac:dyDescent="0.25">
      <c r="G3011">
        <f>Data!A3024</f>
        <v>0</v>
      </c>
      <c r="H3011" s="21">
        <f>Data!B3024</f>
        <v>0</v>
      </c>
      <c r="I3011" s="21">
        <f>Data!C3024</f>
        <v>0</v>
      </c>
      <c r="J3011">
        <f>Data!D3024</f>
        <v>0</v>
      </c>
      <c r="K3011">
        <f>Data!E3024</f>
        <v>0</v>
      </c>
      <c r="L3011">
        <f>Data!F3024</f>
        <v>0</v>
      </c>
      <c r="M3011">
        <f>Data!G3024</f>
        <v>0</v>
      </c>
      <c r="N3011">
        <f>Data!H3024</f>
        <v>0</v>
      </c>
      <c r="O3011">
        <f>Data!I3024</f>
        <v>0</v>
      </c>
      <c r="P3011" s="21">
        <f>Data!J3028</f>
        <v>0</v>
      </c>
      <c r="Q3011">
        <f>Data!K3028</f>
        <v>0</v>
      </c>
      <c r="R3011">
        <f>Data!L3028</f>
        <v>0</v>
      </c>
      <c r="S3011">
        <f>Data!M3028</f>
        <v>0</v>
      </c>
      <c r="T3011">
        <f>Data!N3028</f>
        <v>0</v>
      </c>
      <c r="U3011">
        <f>Data!O3028</f>
        <v>0</v>
      </c>
      <c r="V3011" s="33">
        <f>Data!P3026</f>
        <v>0</v>
      </c>
    </row>
    <row r="3012" spans="7:22" x14ac:dyDescent="0.25">
      <c r="G3012">
        <f>Data!A3025</f>
        <v>0</v>
      </c>
      <c r="H3012" s="21">
        <f>Data!B3025</f>
        <v>0</v>
      </c>
      <c r="I3012" s="21">
        <f>Data!C3025</f>
        <v>0</v>
      </c>
      <c r="J3012">
        <f>Data!D3025</f>
        <v>0</v>
      </c>
      <c r="K3012">
        <f>Data!E3025</f>
        <v>0</v>
      </c>
      <c r="L3012">
        <f>Data!F3025</f>
        <v>0</v>
      </c>
      <c r="M3012">
        <f>Data!G3025</f>
        <v>0</v>
      </c>
      <c r="N3012">
        <f>Data!H3025</f>
        <v>0</v>
      </c>
      <c r="O3012">
        <f>Data!I3025</f>
        <v>0</v>
      </c>
      <c r="P3012" s="21">
        <f>Data!J3029</f>
        <v>0</v>
      </c>
      <c r="Q3012">
        <f>Data!K3029</f>
        <v>0</v>
      </c>
      <c r="R3012">
        <f>Data!L3029</f>
        <v>0</v>
      </c>
      <c r="S3012">
        <f>Data!M3029</f>
        <v>0</v>
      </c>
      <c r="T3012">
        <f>Data!N3029</f>
        <v>0</v>
      </c>
      <c r="U3012">
        <f>Data!O3029</f>
        <v>0</v>
      </c>
      <c r="V3012" s="33">
        <f>Data!P3027</f>
        <v>0</v>
      </c>
    </row>
    <row r="3013" spans="7:22" x14ac:dyDescent="0.25">
      <c r="G3013">
        <f>Data!A3026</f>
        <v>0</v>
      </c>
      <c r="H3013" s="21">
        <f>Data!B3026</f>
        <v>0</v>
      </c>
      <c r="I3013" s="21">
        <f>Data!C3026</f>
        <v>0</v>
      </c>
      <c r="J3013">
        <f>Data!D3026</f>
        <v>0</v>
      </c>
      <c r="K3013">
        <f>Data!E3026</f>
        <v>0</v>
      </c>
      <c r="L3013">
        <f>Data!F3026</f>
        <v>0</v>
      </c>
      <c r="M3013">
        <f>Data!G3026</f>
        <v>0</v>
      </c>
      <c r="N3013">
        <f>Data!H3026</f>
        <v>0</v>
      </c>
      <c r="O3013">
        <f>Data!I3026</f>
        <v>0</v>
      </c>
      <c r="P3013" s="21">
        <f>Data!J3030</f>
        <v>0</v>
      </c>
      <c r="Q3013">
        <f>Data!K3030</f>
        <v>0</v>
      </c>
      <c r="R3013">
        <f>Data!L3030</f>
        <v>0</v>
      </c>
      <c r="S3013">
        <f>Data!M3030</f>
        <v>0</v>
      </c>
      <c r="T3013">
        <f>Data!N3030</f>
        <v>0</v>
      </c>
      <c r="U3013">
        <f>Data!O3030</f>
        <v>0</v>
      </c>
      <c r="V3013" s="33">
        <f>Data!P3028</f>
        <v>0</v>
      </c>
    </row>
    <row r="3014" spans="7:22" x14ac:dyDescent="0.25">
      <c r="G3014">
        <f>Data!A3027</f>
        <v>0</v>
      </c>
      <c r="H3014" s="21">
        <f>Data!B3027</f>
        <v>0</v>
      </c>
      <c r="I3014" s="21">
        <f>Data!C3027</f>
        <v>0</v>
      </c>
      <c r="J3014">
        <f>Data!D3027</f>
        <v>0</v>
      </c>
      <c r="K3014">
        <f>Data!E3027</f>
        <v>0</v>
      </c>
      <c r="L3014">
        <f>Data!F3027</f>
        <v>0</v>
      </c>
      <c r="M3014">
        <f>Data!G3027</f>
        <v>0</v>
      </c>
      <c r="N3014">
        <f>Data!H3027</f>
        <v>0</v>
      </c>
      <c r="O3014">
        <f>Data!I3027</f>
        <v>0</v>
      </c>
      <c r="P3014" s="21">
        <f>Data!J3031</f>
        <v>0</v>
      </c>
      <c r="Q3014">
        <f>Data!K3031</f>
        <v>0</v>
      </c>
      <c r="R3014">
        <f>Data!L3031</f>
        <v>0</v>
      </c>
      <c r="S3014">
        <f>Data!M3031</f>
        <v>0</v>
      </c>
      <c r="T3014">
        <f>Data!N3031</f>
        <v>0</v>
      </c>
      <c r="U3014">
        <f>Data!O3031</f>
        <v>0</v>
      </c>
      <c r="V3014" s="33">
        <f>Data!P3029</f>
        <v>0</v>
      </c>
    </row>
    <row r="3015" spans="7:22" x14ac:dyDescent="0.25">
      <c r="G3015">
        <f>Data!A3028</f>
        <v>0</v>
      </c>
      <c r="H3015" s="21">
        <f>Data!B3028</f>
        <v>0</v>
      </c>
      <c r="I3015" s="21">
        <f>Data!C3028</f>
        <v>0</v>
      </c>
      <c r="J3015">
        <f>Data!D3028</f>
        <v>0</v>
      </c>
      <c r="K3015">
        <f>Data!E3028</f>
        <v>0</v>
      </c>
      <c r="L3015">
        <f>Data!F3028</f>
        <v>0</v>
      </c>
      <c r="M3015">
        <f>Data!G3028</f>
        <v>0</v>
      </c>
      <c r="N3015">
        <f>Data!H3028</f>
        <v>0</v>
      </c>
      <c r="O3015">
        <f>Data!I3028</f>
        <v>0</v>
      </c>
      <c r="P3015" s="21">
        <f>Data!J3032</f>
        <v>0</v>
      </c>
      <c r="Q3015">
        <f>Data!K3032</f>
        <v>0</v>
      </c>
      <c r="R3015">
        <f>Data!L3032</f>
        <v>0</v>
      </c>
      <c r="S3015">
        <f>Data!M3032</f>
        <v>0</v>
      </c>
      <c r="T3015">
        <f>Data!N3032</f>
        <v>0</v>
      </c>
      <c r="U3015">
        <f>Data!O3032</f>
        <v>0</v>
      </c>
      <c r="V3015" s="33">
        <f>Data!P3030</f>
        <v>0</v>
      </c>
    </row>
    <row r="3016" spans="7:22" x14ac:dyDescent="0.25">
      <c r="G3016">
        <f>Data!A3029</f>
        <v>0</v>
      </c>
      <c r="H3016" s="21">
        <f>Data!B3029</f>
        <v>0</v>
      </c>
      <c r="I3016" s="21">
        <f>Data!C3029</f>
        <v>0</v>
      </c>
      <c r="J3016">
        <f>Data!D3029</f>
        <v>0</v>
      </c>
      <c r="K3016">
        <f>Data!E3029</f>
        <v>0</v>
      </c>
      <c r="L3016">
        <f>Data!F3029</f>
        <v>0</v>
      </c>
      <c r="M3016">
        <f>Data!G3029</f>
        <v>0</v>
      </c>
      <c r="N3016">
        <f>Data!H3029</f>
        <v>0</v>
      </c>
      <c r="O3016">
        <f>Data!I3029</f>
        <v>0</v>
      </c>
      <c r="P3016" s="21">
        <f>Data!J3033</f>
        <v>0</v>
      </c>
      <c r="Q3016">
        <f>Data!K3033</f>
        <v>0</v>
      </c>
      <c r="R3016">
        <f>Data!L3033</f>
        <v>0</v>
      </c>
      <c r="S3016">
        <f>Data!M3033</f>
        <v>0</v>
      </c>
      <c r="T3016">
        <f>Data!N3033</f>
        <v>0</v>
      </c>
      <c r="U3016">
        <f>Data!O3033</f>
        <v>0</v>
      </c>
      <c r="V3016" s="33">
        <f>Data!P3031</f>
        <v>0</v>
      </c>
    </row>
    <row r="3017" spans="7:22" x14ac:dyDescent="0.25">
      <c r="G3017">
        <f>Data!A3030</f>
        <v>0</v>
      </c>
      <c r="H3017" s="21">
        <f>Data!B3030</f>
        <v>0</v>
      </c>
      <c r="I3017" s="21">
        <f>Data!C3030</f>
        <v>0</v>
      </c>
      <c r="J3017">
        <f>Data!D3030</f>
        <v>0</v>
      </c>
      <c r="K3017">
        <f>Data!E3030</f>
        <v>0</v>
      </c>
      <c r="L3017">
        <f>Data!F3030</f>
        <v>0</v>
      </c>
      <c r="M3017">
        <f>Data!G3030</f>
        <v>0</v>
      </c>
      <c r="N3017">
        <f>Data!H3030</f>
        <v>0</v>
      </c>
      <c r="O3017">
        <f>Data!I3030</f>
        <v>0</v>
      </c>
      <c r="P3017" s="21">
        <f>Data!J3034</f>
        <v>0</v>
      </c>
      <c r="Q3017">
        <f>Data!K3034</f>
        <v>0</v>
      </c>
      <c r="R3017">
        <f>Data!L3034</f>
        <v>0</v>
      </c>
      <c r="S3017">
        <f>Data!M3034</f>
        <v>0</v>
      </c>
      <c r="T3017">
        <f>Data!N3034</f>
        <v>0</v>
      </c>
      <c r="U3017">
        <f>Data!O3034</f>
        <v>0</v>
      </c>
      <c r="V3017" s="33">
        <f>Data!P3032</f>
        <v>0</v>
      </c>
    </row>
    <row r="3018" spans="7:22" x14ac:dyDescent="0.25">
      <c r="G3018">
        <f>Data!A3031</f>
        <v>0</v>
      </c>
      <c r="H3018" s="21">
        <f>Data!B3031</f>
        <v>0</v>
      </c>
      <c r="I3018" s="21">
        <f>Data!C3031</f>
        <v>0</v>
      </c>
      <c r="J3018">
        <f>Data!D3031</f>
        <v>0</v>
      </c>
      <c r="K3018">
        <f>Data!E3031</f>
        <v>0</v>
      </c>
      <c r="L3018">
        <f>Data!F3031</f>
        <v>0</v>
      </c>
      <c r="M3018">
        <f>Data!G3031</f>
        <v>0</v>
      </c>
      <c r="N3018">
        <f>Data!H3031</f>
        <v>0</v>
      </c>
      <c r="O3018">
        <f>Data!I3031</f>
        <v>0</v>
      </c>
      <c r="P3018" s="21">
        <f>Data!J3035</f>
        <v>0</v>
      </c>
      <c r="Q3018">
        <f>Data!K3035</f>
        <v>0</v>
      </c>
      <c r="R3018">
        <f>Data!L3035</f>
        <v>0</v>
      </c>
      <c r="S3018">
        <f>Data!M3035</f>
        <v>0</v>
      </c>
      <c r="T3018">
        <f>Data!N3035</f>
        <v>0</v>
      </c>
      <c r="U3018">
        <f>Data!O3035</f>
        <v>0</v>
      </c>
      <c r="V3018" s="33">
        <f>Data!P3033</f>
        <v>0</v>
      </c>
    </row>
    <row r="3019" spans="7:22" x14ac:dyDescent="0.25">
      <c r="G3019">
        <f>Data!A3032</f>
        <v>0</v>
      </c>
      <c r="H3019" s="21">
        <f>Data!B3032</f>
        <v>0</v>
      </c>
      <c r="I3019" s="21">
        <f>Data!C3032</f>
        <v>0</v>
      </c>
      <c r="J3019">
        <f>Data!D3032</f>
        <v>0</v>
      </c>
      <c r="K3019">
        <f>Data!E3032</f>
        <v>0</v>
      </c>
      <c r="L3019">
        <f>Data!F3032</f>
        <v>0</v>
      </c>
      <c r="M3019">
        <f>Data!G3032</f>
        <v>0</v>
      </c>
      <c r="N3019">
        <f>Data!H3032</f>
        <v>0</v>
      </c>
      <c r="O3019">
        <f>Data!I3032</f>
        <v>0</v>
      </c>
      <c r="P3019" s="21">
        <f>Data!J3036</f>
        <v>0</v>
      </c>
      <c r="Q3019">
        <f>Data!K3036</f>
        <v>0</v>
      </c>
      <c r="R3019">
        <f>Data!L3036</f>
        <v>0</v>
      </c>
      <c r="S3019">
        <f>Data!M3036</f>
        <v>0</v>
      </c>
      <c r="T3019">
        <f>Data!N3036</f>
        <v>0</v>
      </c>
      <c r="U3019">
        <f>Data!O3036</f>
        <v>0</v>
      </c>
      <c r="V3019" s="33">
        <f>Data!P3034</f>
        <v>0</v>
      </c>
    </row>
    <row r="3020" spans="7:22" x14ac:dyDescent="0.25">
      <c r="G3020">
        <f>Data!A3033</f>
        <v>0</v>
      </c>
      <c r="H3020" s="21">
        <f>Data!B3033</f>
        <v>0</v>
      </c>
      <c r="I3020" s="21">
        <f>Data!C3033</f>
        <v>0</v>
      </c>
      <c r="J3020">
        <f>Data!D3033</f>
        <v>0</v>
      </c>
      <c r="K3020">
        <f>Data!E3033</f>
        <v>0</v>
      </c>
      <c r="L3020">
        <f>Data!F3033</f>
        <v>0</v>
      </c>
      <c r="M3020">
        <f>Data!G3033</f>
        <v>0</v>
      </c>
      <c r="N3020">
        <f>Data!H3033</f>
        <v>0</v>
      </c>
      <c r="O3020">
        <f>Data!I3033</f>
        <v>0</v>
      </c>
      <c r="P3020" s="21">
        <f>Data!J3037</f>
        <v>0</v>
      </c>
      <c r="Q3020">
        <f>Data!K3037</f>
        <v>0</v>
      </c>
      <c r="R3020">
        <f>Data!L3037</f>
        <v>0</v>
      </c>
      <c r="S3020">
        <f>Data!M3037</f>
        <v>0</v>
      </c>
      <c r="T3020">
        <f>Data!N3037</f>
        <v>0</v>
      </c>
      <c r="U3020">
        <f>Data!O3037</f>
        <v>0</v>
      </c>
      <c r="V3020" s="33">
        <f>Data!P3035</f>
        <v>0</v>
      </c>
    </row>
    <row r="3021" spans="7:22" x14ac:dyDescent="0.25">
      <c r="G3021">
        <f>Data!A3034</f>
        <v>0</v>
      </c>
      <c r="H3021" s="21">
        <f>Data!B3034</f>
        <v>0</v>
      </c>
      <c r="I3021" s="21">
        <f>Data!C3034</f>
        <v>0</v>
      </c>
      <c r="J3021">
        <f>Data!D3034</f>
        <v>0</v>
      </c>
      <c r="K3021">
        <f>Data!E3034</f>
        <v>0</v>
      </c>
      <c r="L3021">
        <f>Data!F3034</f>
        <v>0</v>
      </c>
      <c r="M3021">
        <f>Data!G3034</f>
        <v>0</v>
      </c>
      <c r="N3021">
        <f>Data!H3034</f>
        <v>0</v>
      </c>
      <c r="O3021">
        <f>Data!I3034</f>
        <v>0</v>
      </c>
      <c r="P3021" s="21">
        <f>Data!J3038</f>
        <v>0</v>
      </c>
      <c r="Q3021">
        <f>Data!K3038</f>
        <v>0</v>
      </c>
      <c r="R3021">
        <f>Data!L3038</f>
        <v>0</v>
      </c>
      <c r="S3021">
        <f>Data!M3038</f>
        <v>0</v>
      </c>
      <c r="T3021">
        <f>Data!N3038</f>
        <v>0</v>
      </c>
      <c r="U3021">
        <f>Data!O3038</f>
        <v>0</v>
      </c>
      <c r="V3021" s="33">
        <f>Data!P3036</f>
        <v>0</v>
      </c>
    </row>
    <row r="3022" spans="7:22" x14ac:dyDescent="0.25">
      <c r="G3022">
        <f>Data!A3035</f>
        <v>0</v>
      </c>
      <c r="H3022" s="21">
        <f>Data!B3035</f>
        <v>0</v>
      </c>
      <c r="I3022" s="21">
        <f>Data!C3035</f>
        <v>0</v>
      </c>
      <c r="J3022">
        <f>Data!D3035</f>
        <v>0</v>
      </c>
      <c r="K3022">
        <f>Data!E3035</f>
        <v>0</v>
      </c>
      <c r="L3022">
        <f>Data!F3035</f>
        <v>0</v>
      </c>
      <c r="M3022">
        <f>Data!G3035</f>
        <v>0</v>
      </c>
      <c r="N3022">
        <f>Data!H3035</f>
        <v>0</v>
      </c>
      <c r="O3022">
        <f>Data!I3035</f>
        <v>0</v>
      </c>
      <c r="P3022" s="21">
        <f>Data!J3039</f>
        <v>0</v>
      </c>
      <c r="Q3022">
        <f>Data!K3039</f>
        <v>0</v>
      </c>
      <c r="R3022">
        <f>Data!L3039</f>
        <v>0</v>
      </c>
      <c r="S3022">
        <f>Data!M3039</f>
        <v>0</v>
      </c>
      <c r="T3022">
        <f>Data!N3039</f>
        <v>0</v>
      </c>
      <c r="U3022">
        <f>Data!O3039</f>
        <v>0</v>
      </c>
      <c r="V3022" s="33">
        <f>Data!P3037</f>
        <v>0</v>
      </c>
    </row>
    <row r="3023" spans="7:22" x14ac:dyDescent="0.25">
      <c r="G3023">
        <f>Data!A3036</f>
        <v>0</v>
      </c>
      <c r="H3023" s="21">
        <f>Data!B3036</f>
        <v>0</v>
      </c>
      <c r="I3023" s="21">
        <f>Data!C3036</f>
        <v>0</v>
      </c>
      <c r="J3023">
        <f>Data!D3036</f>
        <v>0</v>
      </c>
      <c r="K3023">
        <f>Data!E3036</f>
        <v>0</v>
      </c>
      <c r="L3023">
        <f>Data!F3036</f>
        <v>0</v>
      </c>
      <c r="M3023">
        <f>Data!G3036</f>
        <v>0</v>
      </c>
      <c r="N3023">
        <f>Data!H3036</f>
        <v>0</v>
      </c>
      <c r="O3023">
        <f>Data!I3036</f>
        <v>0</v>
      </c>
      <c r="P3023" s="21">
        <f>Data!J3040</f>
        <v>0</v>
      </c>
      <c r="Q3023">
        <f>Data!K3040</f>
        <v>0</v>
      </c>
      <c r="R3023">
        <f>Data!L3040</f>
        <v>0</v>
      </c>
      <c r="S3023">
        <f>Data!M3040</f>
        <v>0</v>
      </c>
      <c r="T3023">
        <f>Data!N3040</f>
        <v>0</v>
      </c>
      <c r="U3023">
        <f>Data!O3040</f>
        <v>0</v>
      </c>
      <c r="V3023" s="33">
        <f>Data!P3038</f>
        <v>0</v>
      </c>
    </row>
    <row r="3024" spans="7:22" x14ac:dyDescent="0.25">
      <c r="G3024">
        <f>Data!A3037</f>
        <v>0</v>
      </c>
      <c r="H3024" s="21">
        <f>Data!B3037</f>
        <v>0</v>
      </c>
      <c r="I3024" s="21">
        <f>Data!C3037</f>
        <v>0</v>
      </c>
      <c r="J3024">
        <f>Data!D3037</f>
        <v>0</v>
      </c>
      <c r="K3024">
        <f>Data!E3037</f>
        <v>0</v>
      </c>
      <c r="L3024">
        <f>Data!F3037</f>
        <v>0</v>
      </c>
      <c r="M3024">
        <f>Data!G3037</f>
        <v>0</v>
      </c>
      <c r="N3024">
        <f>Data!H3037</f>
        <v>0</v>
      </c>
      <c r="O3024">
        <f>Data!I3037</f>
        <v>0</v>
      </c>
      <c r="P3024" s="21">
        <f>Data!J3041</f>
        <v>0</v>
      </c>
      <c r="Q3024">
        <f>Data!K3041</f>
        <v>0</v>
      </c>
      <c r="R3024">
        <f>Data!L3041</f>
        <v>0</v>
      </c>
      <c r="S3024">
        <f>Data!M3041</f>
        <v>0</v>
      </c>
      <c r="T3024">
        <f>Data!N3041</f>
        <v>0</v>
      </c>
      <c r="U3024">
        <f>Data!O3041</f>
        <v>0</v>
      </c>
      <c r="V3024" s="33">
        <f>Data!P3039</f>
        <v>0</v>
      </c>
    </row>
    <row r="3025" spans="7:22" x14ac:dyDescent="0.25">
      <c r="G3025">
        <f>Data!A3038</f>
        <v>0</v>
      </c>
      <c r="H3025" s="21">
        <f>Data!B3038</f>
        <v>0</v>
      </c>
      <c r="I3025" s="21">
        <f>Data!C3038</f>
        <v>0</v>
      </c>
      <c r="J3025">
        <f>Data!D3038</f>
        <v>0</v>
      </c>
      <c r="K3025">
        <f>Data!E3038</f>
        <v>0</v>
      </c>
      <c r="L3025">
        <f>Data!F3038</f>
        <v>0</v>
      </c>
      <c r="M3025">
        <f>Data!G3038</f>
        <v>0</v>
      </c>
      <c r="N3025">
        <f>Data!H3038</f>
        <v>0</v>
      </c>
      <c r="O3025">
        <f>Data!I3038</f>
        <v>0</v>
      </c>
      <c r="P3025" s="21">
        <f>Data!J3042</f>
        <v>0</v>
      </c>
      <c r="Q3025">
        <f>Data!K3042</f>
        <v>0</v>
      </c>
      <c r="R3025">
        <f>Data!L3042</f>
        <v>0</v>
      </c>
      <c r="S3025">
        <f>Data!M3042</f>
        <v>0</v>
      </c>
      <c r="T3025">
        <f>Data!N3042</f>
        <v>0</v>
      </c>
      <c r="U3025">
        <f>Data!O3042</f>
        <v>0</v>
      </c>
      <c r="V3025" s="33">
        <f>Data!P3040</f>
        <v>0</v>
      </c>
    </row>
    <row r="3026" spans="7:22" x14ac:dyDescent="0.25">
      <c r="G3026">
        <f>Data!A3039</f>
        <v>0</v>
      </c>
      <c r="H3026" s="21">
        <f>Data!B3039</f>
        <v>0</v>
      </c>
      <c r="I3026" s="21">
        <f>Data!C3039</f>
        <v>0</v>
      </c>
      <c r="J3026">
        <f>Data!D3039</f>
        <v>0</v>
      </c>
      <c r="K3026">
        <f>Data!E3039</f>
        <v>0</v>
      </c>
      <c r="L3026">
        <f>Data!F3039</f>
        <v>0</v>
      </c>
      <c r="M3026">
        <f>Data!G3039</f>
        <v>0</v>
      </c>
      <c r="N3026">
        <f>Data!H3039</f>
        <v>0</v>
      </c>
      <c r="O3026">
        <f>Data!I3039</f>
        <v>0</v>
      </c>
      <c r="P3026" s="21">
        <f>Data!J3043</f>
        <v>0</v>
      </c>
      <c r="Q3026">
        <f>Data!K3043</f>
        <v>0</v>
      </c>
      <c r="R3026">
        <f>Data!L3043</f>
        <v>0</v>
      </c>
      <c r="S3026">
        <f>Data!M3043</f>
        <v>0</v>
      </c>
      <c r="T3026">
        <f>Data!N3043</f>
        <v>0</v>
      </c>
      <c r="U3026">
        <f>Data!O3043</f>
        <v>0</v>
      </c>
      <c r="V3026" s="33">
        <f>Data!P3041</f>
        <v>0</v>
      </c>
    </row>
    <row r="3027" spans="7:22" x14ac:dyDescent="0.25">
      <c r="G3027">
        <f>Data!A3040</f>
        <v>0</v>
      </c>
      <c r="H3027" s="21">
        <f>Data!B3040</f>
        <v>0</v>
      </c>
      <c r="I3027" s="21">
        <f>Data!C3040</f>
        <v>0</v>
      </c>
      <c r="J3027">
        <f>Data!D3040</f>
        <v>0</v>
      </c>
      <c r="K3027">
        <f>Data!E3040</f>
        <v>0</v>
      </c>
      <c r="L3027">
        <f>Data!F3040</f>
        <v>0</v>
      </c>
      <c r="M3027">
        <f>Data!G3040</f>
        <v>0</v>
      </c>
      <c r="N3027">
        <f>Data!H3040</f>
        <v>0</v>
      </c>
      <c r="O3027">
        <f>Data!I3040</f>
        <v>0</v>
      </c>
      <c r="P3027" s="21">
        <f>Data!J3044</f>
        <v>0</v>
      </c>
      <c r="Q3027">
        <f>Data!K3044</f>
        <v>0</v>
      </c>
      <c r="R3027">
        <f>Data!L3044</f>
        <v>0</v>
      </c>
      <c r="S3027">
        <f>Data!M3044</f>
        <v>0</v>
      </c>
      <c r="T3027">
        <f>Data!N3044</f>
        <v>0</v>
      </c>
      <c r="U3027">
        <f>Data!O3044</f>
        <v>0</v>
      </c>
      <c r="V3027" s="33">
        <f>Data!P3042</f>
        <v>0</v>
      </c>
    </row>
    <row r="3028" spans="7:22" x14ac:dyDescent="0.25">
      <c r="G3028">
        <f>Data!A3041</f>
        <v>0</v>
      </c>
      <c r="H3028" s="21">
        <f>Data!B3041</f>
        <v>0</v>
      </c>
      <c r="I3028" s="21">
        <f>Data!C3041</f>
        <v>0</v>
      </c>
      <c r="J3028">
        <f>Data!D3041</f>
        <v>0</v>
      </c>
      <c r="K3028">
        <f>Data!E3041</f>
        <v>0</v>
      </c>
      <c r="L3028">
        <f>Data!F3041</f>
        <v>0</v>
      </c>
      <c r="M3028">
        <f>Data!G3041</f>
        <v>0</v>
      </c>
      <c r="N3028">
        <f>Data!H3041</f>
        <v>0</v>
      </c>
      <c r="O3028">
        <f>Data!I3041</f>
        <v>0</v>
      </c>
      <c r="P3028" s="21">
        <f>Data!J3045</f>
        <v>0</v>
      </c>
      <c r="Q3028">
        <f>Data!K3045</f>
        <v>0</v>
      </c>
      <c r="R3028">
        <f>Data!L3045</f>
        <v>0</v>
      </c>
      <c r="S3028">
        <f>Data!M3045</f>
        <v>0</v>
      </c>
      <c r="T3028">
        <f>Data!N3045</f>
        <v>0</v>
      </c>
      <c r="U3028">
        <f>Data!O3045</f>
        <v>0</v>
      </c>
      <c r="V3028" s="33">
        <f>Data!P3043</f>
        <v>0</v>
      </c>
    </row>
    <row r="3029" spans="7:22" x14ac:dyDescent="0.25">
      <c r="G3029">
        <f>Data!A3042</f>
        <v>0</v>
      </c>
      <c r="H3029" s="21">
        <f>Data!B3042</f>
        <v>0</v>
      </c>
      <c r="I3029" s="21">
        <f>Data!C3042</f>
        <v>0</v>
      </c>
      <c r="J3029">
        <f>Data!D3042</f>
        <v>0</v>
      </c>
      <c r="K3029">
        <f>Data!E3042</f>
        <v>0</v>
      </c>
      <c r="L3029">
        <f>Data!F3042</f>
        <v>0</v>
      </c>
      <c r="M3029">
        <f>Data!G3042</f>
        <v>0</v>
      </c>
      <c r="N3029">
        <f>Data!H3042</f>
        <v>0</v>
      </c>
      <c r="O3029">
        <f>Data!I3042</f>
        <v>0</v>
      </c>
      <c r="P3029" s="21">
        <f>Data!J3046</f>
        <v>0</v>
      </c>
      <c r="Q3029">
        <f>Data!K3046</f>
        <v>0</v>
      </c>
      <c r="R3029">
        <f>Data!L3046</f>
        <v>0</v>
      </c>
      <c r="S3029">
        <f>Data!M3046</f>
        <v>0</v>
      </c>
      <c r="T3029">
        <f>Data!N3046</f>
        <v>0</v>
      </c>
      <c r="U3029">
        <f>Data!O3046</f>
        <v>0</v>
      </c>
      <c r="V3029" s="33">
        <f>Data!P3044</f>
        <v>0</v>
      </c>
    </row>
    <row r="3030" spans="7:22" x14ac:dyDescent="0.25">
      <c r="G3030">
        <f>Data!A3043</f>
        <v>0</v>
      </c>
      <c r="H3030" s="21">
        <f>Data!B3043</f>
        <v>0</v>
      </c>
      <c r="I3030" s="21">
        <f>Data!C3043</f>
        <v>0</v>
      </c>
      <c r="J3030">
        <f>Data!D3043</f>
        <v>0</v>
      </c>
      <c r="K3030">
        <f>Data!E3043</f>
        <v>0</v>
      </c>
      <c r="L3030">
        <f>Data!F3043</f>
        <v>0</v>
      </c>
      <c r="M3030">
        <f>Data!G3043</f>
        <v>0</v>
      </c>
      <c r="N3030">
        <f>Data!H3043</f>
        <v>0</v>
      </c>
      <c r="O3030">
        <f>Data!I3043</f>
        <v>0</v>
      </c>
      <c r="P3030" s="21">
        <f>Data!J3047</f>
        <v>0</v>
      </c>
      <c r="Q3030">
        <f>Data!K3047</f>
        <v>0</v>
      </c>
      <c r="R3030">
        <f>Data!L3047</f>
        <v>0</v>
      </c>
      <c r="S3030">
        <f>Data!M3047</f>
        <v>0</v>
      </c>
      <c r="T3030">
        <f>Data!N3047</f>
        <v>0</v>
      </c>
      <c r="U3030">
        <f>Data!O3047</f>
        <v>0</v>
      </c>
      <c r="V3030" s="33">
        <f>Data!P3045</f>
        <v>0</v>
      </c>
    </row>
    <row r="3031" spans="7:22" x14ac:dyDescent="0.25">
      <c r="G3031">
        <f>Data!A3044</f>
        <v>0</v>
      </c>
      <c r="H3031" s="21">
        <f>Data!B3044</f>
        <v>0</v>
      </c>
      <c r="I3031" s="21">
        <f>Data!C3044</f>
        <v>0</v>
      </c>
      <c r="J3031">
        <f>Data!D3044</f>
        <v>0</v>
      </c>
      <c r="K3031">
        <f>Data!E3044</f>
        <v>0</v>
      </c>
      <c r="L3031">
        <f>Data!F3044</f>
        <v>0</v>
      </c>
      <c r="M3031">
        <f>Data!G3044</f>
        <v>0</v>
      </c>
      <c r="N3031">
        <f>Data!H3044</f>
        <v>0</v>
      </c>
      <c r="O3031">
        <f>Data!I3044</f>
        <v>0</v>
      </c>
      <c r="P3031" s="21">
        <f>Data!J3048</f>
        <v>0</v>
      </c>
      <c r="Q3031">
        <f>Data!K3048</f>
        <v>0</v>
      </c>
      <c r="R3031">
        <f>Data!L3048</f>
        <v>0</v>
      </c>
      <c r="S3031">
        <f>Data!M3048</f>
        <v>0</v>
      </c>
      <c r="T3031">
        <f>Data!N3048</f>
        <v>0</v>
      </c>
      <c r="U3031">
        <f>Data!O3048</f>
        <v>0</v>
      </c>
      <c r="V3031" s="33">
        <f>Data!P3046</f>
        <v>0</v>
      </c>
    </row>
    <row r="3032" spans="7:22" x14ac:dyDescent="0.25">
      <c r="G3032">
        <f>Data!A3045</f>
        <v>0</v>
      </c>
      <c r="H3032" s="21">
        <f>Data!B3045</f>
        <v>0</v>
      </c>
      <c r="I3032" s="21">
        <f>Data!C3045</f>
        <v>0</v>
      </c>
      <c r="J3032">
        <f>Data!D3045</f>
        <v>0</v>
      </c>
      <c r="K3032">
        <f>Data!E3045</f>
        <v>0</v>
      </c>
      <c r="L3032">
        <f>Data!F3045</f>
        <v>0</v>
      </c>
      <c r="M3032">
        <f>Data!G3045</f>
        <v>0</v>
      </c>
      <c r="N3032">
        <f>Data!H3045</f>
        <v>0</v>
      </c>
      <c r="O3032">
        <f>Data!I3045</f>
        <v>0</v>
      </c>
      <c r="P3032" s="21">
        <f>Data!J3049</f>
        <v>0</v>
      </c>
      <c r="Q3032">
        <f>Data!K3049</f>
        <v>0</v>
      </c>
      <c r="R3032">
        <f>Data!L3049</f>
        <v>0</v>
      </c>
      <c r="S3032">
        <f>Data!M3049</f>
        <v>0</v>
      </c>
      <c r="T3032">
        <f>Data!N3049</f>
        <v>0</v>
      </c>
      <c r="U3032">
        <f>Data!O3049</f>
        <v>0</v>
      </c>
      <c r="V3032" s="33">
        <f>Data!P3047</f>
        <v>0</v>
      </c>
    </row>
    <row r="3033" spans="7:22" x14ac:dyDescent="0.25">
      <c r="G3033">
        <f>Data!A3046</f>
        <v>0</v>
      </c>
      <c r="H3033" s="21">
        <f>Data!B3046</f>
        <v>0</v>
      </c>
      <c r="I3033" s="21">
        <f>Data!C3046</f>
        <v>0</v>
      </c>
      <c r="J3033">
        <f>Data!D3046</f>
        <v>0</v>
      </c>
      <c r="K3033">
        <f>Data!E3046</f>
        <v>0</v>
      </c>
      <c r="L3033">
        <f>Data!F3046</f>
        <v>0</v>
      </c>
      <c r="M3033">
        <f>Data!G3046</f>
        <v>0</v>
      </c>
      <c r="N3033">
        <f>Data!H3046</f>
        <v>0</v>
      </c>
      <c r="O3033">
        <f>Data!I3046</f>
        <v>0</v>
      </c>
      <c r="P3033" s="21">
        <f>Data!J3050</f>
        <v>0</v>
      </c>
      <c r="Q3033">
        <f>Data!K3050</f>
        <v>0</v>
      </c>
      <c r="R3033">
        <f>Data!L3050</f>
        <v>0</v>
      </c>
      <c r="S3033">
        <f>Data!M3050</f>
        <v>0</v>
      </c>
      <c r="T3033">
        <f>Data!N3050</f>
        <v>0</v>
      </c>
      <c r="U3033">
        <f>Data!O3050</f>
        <v>0</v>
      </c>
      <c r="V3033" s="33">
        <f>Data!P3048</f>
        <v>0</v>
      </c>
    </row>
    <row r="3034" spans="7:22" x14ac:dyDescent="0.25">
      <c r="G3034">
        <f>Data!A3047</f>
        <v>0</v>
      </c>
      <c r="H3034" s="21">
        <f>Data!B3047</f>
        <v>0</v>
      </c>
      <c r="I3034" s="21">
        <f>Data!C3047</f>
        <v>0</v>
      </c>
      <c r="J3034">
        <f>Data!D3047</f>
        <v>0</v>
      </c>
      <c r="K3034">
        <f>Data!E3047</f>
        <v>0</v>
      </c>
      <c r="L3034">
        <f>Data!F3047</f>
        <v>0</v>
      </c>
      <c r="M3034">
        <f>Data!G3047</f>
        <v>0</v>
      </c>
      <c r="N3034">
        <f>Data!H3047</f>
        <v>0</v>
      </c>
      <c r="O3034">
        <f>Data!I3047</f>
        <v>0</v>
      </c>
      <c r="P3034" s="21">
        <f>Data!J3051</f>
        <v>0</v>
      </c>
      <c r="Q3034">
        <f>Data!K3051</f>
        <v>0</v>
      </c>
      <c r="R3034">
        <f>Data!L3051</f>
        <v>0</v>
      </c>
      <c r="S3034">
        <f>Data!M3051</f>
        <v>0</v>
      </c>
      <c r="T3034">
        <f>Data!N3051</f>
        <v>0</v>
      </c>
      <c r="U3034">
        <f>Data!O3051</f>
        <v>0</v>
      </c>
      <c r="V3034" s="33">
        <f>Data!P3049</f>
        <v>0</v>
      </c>
    </row>
    <row r="3035" spans="7:22" x14ac:dyDescent="0.25">
      <c r="G3035">
        <f>Data!A3048</f>
        <v>0</v>
      </c>
      <c r="H3035" s="21">
        <f>Data!B3048</f>
        <v>0</v>
      </c>
      <c r="I3035" s="21">
        <f>Data!C3048</f>
        <v>0</v>
      </c>
      <c r="J3035">
        <f>Data!D3048</f>
        <v>0</v>
      </c>
      <c r="K3035">
        <f>Data!E3048</f>
        <v>0</v>
      </c>
      <c r="L3035">
        <f>Data!F3048</f>
        <v>0</v>
      </c>
      <c r="M3035">
        <f>Data!G3048</f>
        <v>0</v>
      </c>
      <c r="N3035">
        <f>Data!H3048</f>
        <v>0</v>
      </c>
      <c r="O3035">
        <f>Data!I3048</f>
        <v>0</v>
      </c>
      <c r="P3035" s="21">
        <f>Data!J3052</f>
        <v>0</v>
      </c>
      <c r="Q3035">
        <f>Data!K3052</f>
        <v>0</v>
      </c>
      <c r="R3035">
        <f>Data!L3052</f>
        <v>0</v>
      </c>
      <c r="S3035">
        <f>Data!M3052</f>
        <v>0</v>
      </c>
      <c r="T3035">
        <f>Data!N3052</f>
        <v>0</v>
      </c>
      <c r="U3035">
        <f>Data!O3052</f>
        <v>0</v>
      </c>
      <c r="V3035" s="33">
        <f>Data!P3050</f>
        <v>0</v>
      </c>
    </row>
    <row r="3036" spans="7:22" x14ac:dyDescent="0.25">
      <c r="G3036">
        <f>Data!A3049</f>
        <v>0</v>
      </c>
      <c r="H3036" s="21">
        <f>Data!B3049</f>
        <v>0</v>
      </c>
      <c r="I3036" s="21">
        <f>Data!C3049</f>
        <v>0</v>
      </c>
      <c r="J3036">
        <f>Data!D3049</f>
        <v>0</v>
      </c>
      <c r="K3036">
        <f>Data!E3049</f>
        <v>0</v>
      </c>
      <c r="L3036">
        <f>Data!F3049</f>
        <v>0</v>
      </c>
      <c r="M3036">
        <f>Data!G3049</f>
        <v>0</v>
      </c>
      <c r="N3036">
        <f>Data!H3049</f>
        <v>0</v>
      </c>
      <c r="O3036">
        <f>Data!I3049</f>
        <v>0</v>
      </c>
      <c r="P3036" s="21">
        <f>Data!J3053</f>
        <v>0</v>
      </c>
      <c r="Q3036">
        <f>Data!K3053</f>
        <v>0</v>
      </c>
      <c r="R3036">
        <f>Data!L3053</f>
        <v>0</v>
      </c>
      <c r="S3036">
        <f>Data!M3053</f>
        <v>0</v>
      </c>
      <c r="T3036">
        <f>Data!N3053</f>
        <v>0</v>
      </c>
      <c r="U3036">
        <f>Data!O3053</f>
        <v>0</v>
      </c>
      <c r="V3036" s="33">
        <f>Data!P3051</f>
        <v>0</v>
      </c>
    </row>
    <row r="3037" spans="7:22" x14ac:dyDescent="0.25">
      <c r="G3037">
        <f>Data!A3050</f>
        <v>0</v>
      </c>
      <c r="H3037" s="21">
        <f>Data!B3050</f>
        <v>0</v>
      </c>
      <c r="I3037" s="21">
        <f>Data!C3050</f>
        <v>0</v>
      </c>
      <c r="J3037">
        <f>Data!D3050</f>
        <v>0</v>
      </c>
      <c r="K3037">
        <f>Data!E3050</f>
        <v>0</v>
      </c>
      <c r="L3037">
        <f>Data!F3050</f>
        <v>0</v>
      </c>
      <c r="M3037">
        <f>Data!G3050</f>
        <v>0</v>
      </c>
      <c r="N3037">
        <f>Data!H3050</f>
        <v>0</v>
      </c>
      <c r="O3037">
        <f>Data!I3050</f>
        <v>0</v>
      </c>
      <c r="P3037" s="21">
        <f>Data!J3054</f>
        <v>0</v>
      </c>
      <c r="Q3037">
        <f>Data!K3054</f>
        <v>0</v>
      </c>
      <c r="R3037">
        <f>Data!L3054</f>
        <v>0</v>
      </c>
      <c r="S3037">
        <f>Data!M3054</f>
        <v>0</v>
      </c>
      <c r="T3037">
        <f>Data!N3054</f>
        <v>0</v>
      </c>
      <c r="U3037">
        <f>Data!O3054</f>
        <v>0</v>
      </c>
      <c r="V3037" s="33">
        <f>Data!P3052</f>
        <v>0</v>
      </c>
    </row>
    <row r="3038" spans="7:22" x14ac:dyDescent="0.25">
      <c r="G3038">
        <f>Data!A3051</f>
        <v>0</v>
      </c>
      <c r="H3038" s="21">
        <f>Data!B3051</f>
        <v>0</v>
      </c>
      <c r="I3038" s="21">
        <f>Data!C3051</f>
        <v>0</v>
      </c>
      <c r="J3038">
        <f>Data!D3051</f>
        <v>0</v>
      </c>
      <c r="K3038">
        <f>Data!E3051</f>
        <v>0</v>
      </c>
      <c r="L3038">
        <f>Data!F3051</f>
        <v>0</v>
      </c>
      <c r="M3038">
        <f>Data!G3051</f>
        <v>0</v>
      </c>
      <c r="N3038">
        <f>Data!H3051</f>
        <v>0</v>
      </c>
      <c r="O3038">
        <f>Data!I3051</f>
        <v>0</v>
      </c>
      <c r="P3038" s="21">
        <f>Data!J3055</f>
        <v>0</v>
      </c>
      <c r="Q3038">
        <f>Data!K3055</f>
        <v>0</v>
      </c>
      <c r="R3038">
        <f>Data!L3055</f>
        <v>0</v>
      </c>
      <c r="S3038">
        <f>Data!M3055</f>
        <v>0</v>
      </c>
      <c r="T3038">
        <f>Data!N3055</f>
        <v>0</v>
      </c>
      <c r="U3038">
        <f>Data!O3055</f>
        <v>0</v>
      </c>
      <c r="V3038" s="33">
        <f>Data!P3053</f>
        <v>0</v>
      </c>
    </row>
    <row r="3039" spans="7:22" x14ac:dyDescent="0.25">
      <c r="G3039">
        <f>Data!A3052</f>
        <v>0</v>
      </c>
      <c r="H3039" s="21">
        <f>Data!B3052</f>
        <v>0</v>
      </c>
      <c r="I3039" s="21">
        <f>Data!C3052</f>
        <v>0</v>
      </c>
      <c r="J3039">
        <f>Data!D3052</f>
        <v>0</v>
      </c>
      <c r="K3039">
        <f>Data!E3052</f>
        <v>0</v>
      </c>
      <c r="L3039">
        <f>Data!F3052</f>
        <v>0</v>
      </c>
      <c r="M3039">
        <f>Data!G3052</f>
        <v>0</v>
      </c>
      <c r="N3039">
        <f>Data!H3052</f>
        <v>0</v>
      </c>
      <c r="O3039">
        <f>Data!I3052</f>
        <v>0</v>
      </c>
      <c r="P3039" s="21">
        <f>Data!J3056</f>
        <v>0</v>
      </c>
      <c r="Q3039">
        <f>Data!K3056</f>
        <v>0</v>
      </c>
      <c r="R3039">
        <f>Data!L3056</f>
        <v>0</v>
      </c>
      <c r="S3039">
        <f>Data!M3056</f>
        <v>0</v>
      </c>
      <c r="T3039">
        <f>Data!N3056</f>
        <v>0</v>
      </c>
      <c r="U3039">
        <f>Data!O3056</f>
        <v>0</v>
      </c>
      <c r="V3039" s="33">
        <f>Data!P3054</f>
        <v>0</v>
      </c>
    </row>
    <row r="3040" spans="7:22" x14ac:dyDescent="0.25">
      <c r="G3040">
        <f>Data!A3053</f>
        <v>0</v>
      </c>
      <c r="H3040" s="21">
        <f>Data!B3053</f>
        <v>0</v>
      </c>
      <c r="I3040" s="21">
        <f>Data!C3053</f>
        <v>0</v>
      </c>
      <c r="J3040">
        <f>Data!D3053</f>
        <v>0</v>
      </c>
      <c r="K3040">
        <f>Data!E3053</f>
        <v>0</v>
      </c>
      <c r="L3040">
        <f>Data!F3053</f>
        <v>0</v>
      </c>
      <c r="M3040">
        <f>Data!G3053</f>
        <v>0</v>
      </c>
      <c r="N3040">
        <f>Data!H3053</f>
        <v>0</v>
      </c>
      <c r="O3040">
        <f>Data!I3053</f>
        <v>0</v>
      </c>
      <c r="P3040" s="21">
        <f>Data!J3057</f>
        <v>0</v>
      </c>
      <c r="Q3040">
        <f>Data!K3057</f>
        <v>0</v>
      </c>
      <c r="R3040">
        <f>Data!L3057</f>
        <v>0</v>
      </c>
      <c r="S3040">
        <f>Data!M3057</f>
        <v>0</v>
      </c>
      <c r="T3040">
        <f>Data!N3057</f>
        <v>0</v>
      </c>
      <c r="U3040">
        <f>Data!O3057</f>
        <v>0</v>
      </c>
      <c r="V3040" s="33">
        <f>Data!P3055</f>
        <v>0</v>
      </c>
    </row>
    <row r="3041" spans="7:22" x14ac:dyDescent="0.25">
      <c r="G3041">
        <f>Data!A3054</f>
        <v>0</v>
      </c>
      <c r="H3041" s="21">
        <f>Data!B3054</f>
        <v>0</v>
      </c>
      <c r="I3041" s="21">
        <f>Data!C3054</f>
        <v>0</v>
      </c>
      <c r="J3041">
        <f>Data!D3054</f>
        <v>0</v>
      </c>
      <c r="K3041">
        <f>Data!E3054</f>
        <v>0</v>
      </c>
      <c r="L3041">
        <f>Data!F3054</f>
        <v>0</v>
      </c>
      <c r="M3041">
        <f>Data!G3054</f>
        <v>0</v>
      </c>
      <c r="N3041">
        <f>Data!H3054</f>
        <v>0</v>
      </c>
      <c r="O3041">
        <f>Data!I3054</f>
        <v>0</v>
      </c>
      <c r="P3041" s="21">
        <f>Data!J3058</f>
        <v>0</v>
      </c>
      <c r="Q3041">
        <f>Data!K3058</f>
        <v>0</v>
      </c>
      <c r="R3041">
        <f>Data!L3058</f>
        <v>0</v>
      </c>
      <c r="S3041">
        <f>Data!M3058</f>
        <v>0</v>
      </c>
      <c r="T3041">
        <f>Data!N3058</f>
        <v>0</v>
      </c>
      <c r="U3041">
        <f>Data!O3058</f>
        <v>0</v>
      </c>
      <c r="V3041" s="33">
        <f>Data!P3056</f>
        <v>0</v>
      </c>
    </row>
    <row r="3042" spans="7:22" x14ac:dyDescent="0.25">
      <c r="G3042">
        <f>Data!A3055</f>
        <v>0</v>
      </c>
      <c r="H3042" s="21">
        <f>Data!B3055</f>
        <v>0</v>
      </c>
      <c r="I3042" s="21">
        <f>Data!C3055</f>
        <v>0</v>
      </c>
      <c r="J3042">
        <f>Data!D3055</f>
        <v>0</v>
      </c>
      <c r="K3042">
        <f>Data!E3055</f>
        <v>0</v>
      </c>
      <c r="L3042">
        <f>Data!F3055</f>
        <v>0</v>
      </c>
      <c r="M3042">
        <f>Data!G3055</f>
        <v>0</v>
      </c>
      <c r="N3042">
        <f>Data!H3055</f>
        <v>0</v>
      </c>
      <c r="O3042">
        <f>Data!I3055</f>
        <v>0</v>
      </c>
      <c r="P3042" s="21">
        <f>Data!J3059</f>
        <v>0</v>
      </c>
      <c r="Q3042">
        <f>Data!K3059</f>
        <v>0</v>
      </c>
      <c r="R3042">
        <f>Data!L3059</f>
        <v>0</v>
      </c>
      <c r="S3042">
        <f>Data!M3059</f>
        <v>0</v>
      </c>
      <c r="T3042">
        <f>Data!N3059</f>
        <v>0</v>
      </c>
      <c r="U3042">
        <f>Data!O3059</f>
        <v>0</v>
      </c>
      <c r="V3042" s="33">
        <f>Data!P3057</f>
        <v>0</v>
      </c>
    </row>
    <row r="3043" spans="7:22" x14ac:dyDescent="0.25">
      <c r="G3043">
        <f>Data!A3056</f>
        <v>0</v>
      </c>
      <c r="H3043" s="21">
        <f>Data!B3056</f>
        <v>0</v>
      </c>
      <c r="I3043" s="21">
        <f>Data!C3056</f>
        <v>0</v>
      </c>
      <c r="J3043">
        <f>Data!D3056</f>
        <v>0</v>
      </c>
      <c r="K3043">
        <f>Data!E3056</f>
        <v>0</v>
      </c>
      <c r="L3043">
        <f>Data!F3056</f>
        <v>0</v>
      </c>
      <c r="M3043">
        <f>Data!G3056</f>
        <v>0</v>
      </c>
      <c r="N3043">
        <f>Data!H3056</f>
        <v>0</v>
      </c>
      <c r="O3043">
        <f>Data!I3056</f>
        <v>0</v>
      </c>
      <c r="P3043" s="21">
        <f>Data!J3060</f>
        <v>0</v>
      </c>
      <c r="Q3043">
        <f>Data!K3060</f>
        <v>0</v>
      </c>
      <c r="R3043">
        <f>Data!L3060</f>
        <v>0</v>
      </c>
      <c r="S3043">
        <f>Data!M3060</f>
        <v>0</v>
      </c>
      <c r="T3043">
        <f>Data!N3060</f>
        <v>0</v>
      </c>
      <c r="U3043">
        <f>Data!O3060</f>
        <v>0</v>
      </c>
      <c r="V3043" s="33">
        <f>Data!P3058</f>
        <v>0</v>
      </c>
    </row>
    <row r="3044" spans="7:22" x14ac:dyDescent="0.25">
      <c r="G3044">
        <f>Data!A3057</f>
        <v>0</v>
      </c>
      <c r="H3044" s="21">
        <f>Data!B3057</f>
        <v>0</v>
      </c>
      <c r="I3044" s="21">
        <f>Data!C3057</f>
        <v>0</v>
      </c>
      <c r="J3044">
        <f>Data!D3057</f>
        <v>0</v>
      </c>
      <c r="K3044">
        <f>Data!E3057</f>
        <v>0</v>
      </c>
      <c r="L3044">
        <f>Data!F3057</f>
        <v>0</v>
      </c>
      <c r="M3044">
        <f>Data!G3057</f>
        <v>0</v>
      </c>
      <c r="N3044">
        <f>Data!H3057</f>
        <v>0</v>
      </c>
      <c r="O3044">
        <f>Data!I3057</f>
        <v>0</v>
      </c>
      <c r="P3044" s="21">
        <f>Data!J3061</f>
        <v>0</v>
      </c>
      <c r="Q3044">
        <f>Data!K3061</f>
        <v>0</v>
      </c>
      <c r="R3044">
        <f>Data!L3061</f>
        <v>0</v>
      </c>
      <c r="S3044">
        <f>Data!M3061</f>
        <v>0</v>
      </c>
      <c r="T3044">
        <f>Data!N3061</f>
        <v>0</v>
      </c>
      <c r="U3044">
        <f>Data!O3061</f>
        <v>0</v>
      </c>
      <c r="V3044" s="33">
        <f>Data!P3059</f>
        <v>0</v>
      </c>
    </row>
    <row r="3045" spans="7:22" x14ac:dyDescent="0.25">
      <c r="G3045">
        <f>Data!A3058</f>
        <v>0</v>
      </c>
      <c r="H3045" s="21">
        <f>Data!B3058</f>
        <v>0</v>
      </c>
      <c r="I3045" s="21">
        <f>Data!C3058</f>
        <v>0</v>
      </c>
      <c r="J3045">
        <f>Data!D3058</f>
        <v>0</v>
      </c>
      <c r="K3045">
        <f>Data!E3058</f>
        <v>0</v>
      </c>
      <c r="L3045">
        <f>Data!F3058</f>
        <v>0</v>
      </c>
      <c r="M3045">
        <f>Data!G3058</f>
        <v>0</v>
      </c>
      <c r="N3045">
        <f>Data!H3058</f>
        <v>0</v>
      </c>
      <c r="O3045">
        <f>Data!I3058</f>
        <v>0</v>
      </c>
      <c r="P3045" s="21">
        <f>Data!J3062</f>
        <v>0</v>
      </c>
      <c r="Q3045">
        <f>Data!K3062</f>
        <v>0</v>
      </c>
      <c r="R3045">
        <f>Data!L3062</f>
        <v>0</v>
      </c>
      <c r="S3045">
        <f>Data!M3062</f>
        <v>0</v>
      </c>
      <c r="T3045">
        <f>Data!N3062</f>
        <v>0</v>
      </c>
      <c r="U3045">
        <f>Data!O3062</f>
        <v>0</v>
      </c>
      <c r="V3045" s="33">
        <f>Data!P3060</f>
        <v>0</v>
      </c>
    </row>
    <row r="3046" spans="7:22" x14ac:dyDescent="0.25">
      <c r="G3046">
        <f>Data!A3059</f>
        <v>0</v>
      </c>
      <c r="H3046" s="21">
        <f>Data!B3059</f>
        <v>0</v>
      </c>
      <c r="I3046" s="21">
        <f>Data!C3059</f>
        <v>0</v>
      </c>
      <c r="J3046">
        <f>Data!D3059</f>
        <v>0</v>
      </c>
      <c r="K3046">
        <f>Data!E3059</f>
        <v>0</v>
      </c>
      <c r="L3046">
        <f>Data!F3059</f>
        <v>0</v>
      </c>
      <c r="M3046">
        <f>Data!G3059</f>
        <v>0</v>
      </c>
      <c r="N3046">
        <f>Data!H3059</f>
        <v>0</v>
      </c>
      <c r="O3046">
        <f>Data!I3059</f>
        <v>0</v>
      </c>
      <c r="P3046" s="21">
        <f>Data!J3063</f>
        <v>0</v>
      </c>
      <c r="Q3046">
        <f>Data!K3063</f>
        <v>0</v>
      </c>
      <c r="R3046">
        <f>Data!L3063</f>
        <v>0</v>
      </c>
      <c r="S3046">
        <f>Data!M3063</f>
        <v>0</v>
      </c>
      <c r="T3046">
        <f>Data!N3063</f>
        <v>0</v>
      </c>
      <c r="U3046">
        <f>Data!O3063</f>
        <v>0</v>
      </c>
      <c r="V3046" s="33">
        <f>Data!P3061</f>
        <v>0</v>
      </c>
    </row>
    <row r="3047" spans="7:22" x14ac:dyDescent="0.25">
      <c r="G3047">
        <f>Data!A3060</f>
        <v>0</v>
      </c>
      <c r="H3047" s="21">
        <f>Data!B3060</f>
        <v>0</v>
      </c>
      <c r="I3047" s="21">
        <f>Data!C3060</f>
        <v>0</v>
      </c>
      <c r="J3047">
        <f>Data!D3060</f>
        <v>0</v>
      </c>
      <c r="K3047">
        <f>Data!E3060</f>
        <v>0</v>
      </c>
      <c r="L3047">
        <f>Data!F3060</f>
        <v>0</v>
      </c>
      <c r="M3047">
        <f>Data!G3060</f>
        <v>0</v>
      </c>
      <c r="N3047">
        <f>Data!H3060</f>
        <v>0</v>
      </c>
      <c r="O3047">
        <f>Data!I3060</f>
        <v>0</v>
      </c>
      <c r="P3047" s="21">
        <f>Data!J3064</f>
        <v>0</v>
      </c>
      <c r="Q3047">
        <f>Data!K3064</f>
        <v>0</v>
      </c>
      <c r="R3047">
        <f>Data!L3064</f>
        <v>0</v>
      </c>
      <c r="S3047">
        <f>Data!M3064</f>
        <v>0</v>
      </c>
      <c r="T3047">
        <f>Data!N3064</f>
        <v>0</v>
      </c>
      <c r="U3047">
        <f>Data!O3064</f>
        <v>0</v>
      </c>
      <c r="V3047" s="33">
        <f>Data!P3062</f>
        <v>0</v>
      </c>
    </row>
    <row r="3048" spans="7:22" x14ac:dyDescent="0.25">
      <c r="G3048">
        <f>Data!A3061</f>
        <v>0</v>
      </c>
      <c r="H3048" s="21">
        <f>Data!B3061</f>
        <v>0</v>
      </c>
      <c r="I3048" s="21">
        <f>Data!C3061</f>
        <v>0</v>
      </c>
      <c r="J3048">
        <f>Data!D3061</f>
        <v>0</v>
      </c>
      <c r="K3048">
        <f>Data!E3061</f>
        <v>0</v>
      </c>
      <c r="L3048">
        <f>Data!F3061</f>
        <v>0</v>
      </c>
      <c r="M3048">
        <f>Data!G3061</f>
        <v>0</v>
      </c>
      <c r="N3048">
        <f>Data!H3061</f>
        <v>0</v>
      </c>
      <c r="O3048">
        <f>Data!I3061</f>
        <v>0</v>
      </c>
      <c r="P3048" s="21">
        <f>Data!J3065</f>
        <v>0</v>
      </c>
      <c r="Q3048">
        <f>Data!K3065</f>
        <v>0</v>
      </c>
      <c r="R3048">
        <f>Data!L3065</f>
        <v>0</v>
      </c>
      <c r="S3048">
        <f>Data!M3065</f>
        <v>0</v>
      </c>
      <c r="T3048">
        <f>Data!N3065</f>
        <v>0</v>
      </c>
      <c r="U3048">
        <f>Data!O3065</f>
        <v>0</v>
      </c>
      <c r="V3048" s="33">
        <f>Data!P3063</f>
        <v>0</v>
      </c>
    </row>
    <row r="3049" spans="7:22" x14ac:dyDescent="0.25">
      <c r="G3049">
        <f>Data!A3062</f>
        <v>0</v>
      </c>
      <c r="H3049" s="21">
        <f>Data!B3062</f>
        <v>0</v>
      </c>
      <c r="I3049" s="21">
        <f>Data!C3062</f>
        <v>0</v>
      </c>
      <c r="J3049">
        <f>Data!D3062</f>
        <v>0</v>
      </c>
      <c r="K3049">
        <f>Data!E3062</f>
        <v>0</v>
      </c>
      <c r="L3049">
        <f>Data!F3062</f>
        <v>0</v>
      </c>
      <c r="M3049">
        <f>Data!G3062</f>
        <v>0</v>
      </c>
      <c r="N3049">
        <f>Data!H3062</f>
        <v>0</v>
      </c>
      <c r="O3049">
        <f>Data!I3062</f>
        <v>0</v>
      </c>
      <c r="P3049" s="21">
        <f>Data!J3066</f>
        <v>0</v>
      </c>
      <c r="Q3049">
        <f>Data!K3066</f>
        <v>0</v>
      </c>
      <c r="R3049">
        <f>Data!L3066</f>
        <v>0</v>
      </c>
      <c r="S3049">
        <f>Data!M3066</f>
        <v>0</v>
      </c>
      <c r="T3049">
        <f>Data!N3066</f>
        <v>0</v>
      </c>
      <c r="U3049">
        <f>Data!O3066</f>
        <v>0</v>
      </c>
      <c r="V3049" s="33">
        <f>Data!P3064</f>
        <v>0</v>
      </c>
    </row>
    <row r="3050" spans="7:22" x14ac:dyDescent="0.25">
      <c r="G3050">
        <f>Data!A3063</f>
        <v>0</v>
      </c>
      <c r="H3050" s="21">
        <f>Data!B3063</f>
        <v>0</v>
      </c>
      <c r="I3050" s="21">
        <f>Data!C3063</f>
        <v>0</v>
      </c>
      <c r="J3050">
        <f>Data!D3063</f>
        <v>0</v>
      </c>
      <c r="K3050">
        <f>Data!E3063</f>
        <v>0</v>
      </c>
      <c r="L3050">
        <f>Data!F3063</f>
        <v>0</v>
      </c>
      <c r="M3050">
        <f>Data!G3063</f>
        <v>0</v>
      </c>
      <c r="N3050">
        <f>Data!H3063</f>
        <v>0</v>
      </c>
      <c r="O3050">
        <f>Data!I3063</f>
        <v>0</v>
      </c>
      <c r="P3050" s="21">
        <f>Data!J3067</f>
        <v>0</v>
      </c>
      <c r="Q3050">
        <f>Data!K3067</f>
        <v>0</v>
      </c>
      <c r="R3050">
        <f>Data!L3067</f>
        <v>0</v>
      </c>
      <c r="S3050">
        <f>Data!M3067</f>
        <v>0</v>
      </c>
      <c r="T3050">
        <f>Data!N3067</f>
        <v>0</v>
      </c>
      <c r="U3050">
        <f>Data!O3067</f>
        <v>0</v>
      </c>
      <c r="V3050" s="33">
        <f>Data!P3065</f>
        <v>0</v>
      </c>
    </row>
    <row r="3051" spans="7:22" x14ac:dyDescent="0.25">
      <c r="G3051">
        <f>Data!A3064</f>
        <v>0</v>
      </c>
      <c r="H3051" s="21">
        <f>Data!B3064</f>
        <v>0</v>
      </c>
      <c r="I3051" s="21">
        <f>Data!C3064</f>
        <v>0</v>
      </c>
      <c r="J3051">
        <f>Data!D3064</f>
        <v>0</v>
      </c>
      <c r="K3051">
        <f>Data!E3064</f>
        <v>0</v>
      </c>
      <c r="L3051">
        <f>Data!F3064</f>
        <v>0</v>
      </c>
      <c r="M3051">
        <f>Data!G3064</f>
        <v>0</v>
      </c>
      <c r="N3051">
        <f>Data!H3064</f>
        <v>0</v>
      </c>
      <c r="O3051">
        <f>Data!I3064</f>
        <v>0</v>
      </c>
      <c r="P3051" s="21">
        <f>Data!J3068</f>
        <v>0</v>
      </c>
      <c r="Q3051">
        <f>Data!K3068</f>
        <v>0</v>
      </c>
      <c r="R3051">
        <f>Data!L3068</f>
        <v>0</v>
      </c>
      <c r="S3051">
        <f>Data!M3068</f>
        <v>0</v>
      </c>
      <c r="T3051">
        <f>Data!N3068</f>
        <v>0</v>
      </c>
      <c r="U3051">
        <f>Data!O3068</f>
        <v>0</v>
      </c>
      <c r="V3051" s="33">
        <f>Data!P3066</f>
        <v>0</v>
      </c>
    </row>
    <row r="3052" spans="7:22" x14ac:dyDescent="0.25">
      <c r="G3052">
        <f>Data!A3065</f>
        <v>0</v>
      </c>
      <c r="H3052" s="21">
        <f>Data!B3065</f>
        <v>0</v>
      </c>
      <c r="I3052" s="21">
        <f>Data!C3065</f>
        <v>0</v>
      </c>
      <c r="J3052">
        <f>Data!D3065</f>
        <v>0</v>
      </c>
      <c r="K3052">
        <f>Data!E3065</f>
        <v>0</v>
      </c>
      <c r="L3052">
        <f>Data!F3065</f>
        <v>0</v>
      </c>
      <c r="M3052">
        <f>Data!G3065</f>
        <v>0</v>
      </c>
      <c r="N3052">
        <f>Data!H3065</f>
        <v>0</v>
      </c>
      <c r="O3052">
        <f>Data!I3065</f>
        <v>0</v>
      </c>
      <c r="P3052" s="21">
        <f>Data!J3069</f>
        <v>0</v>
      </c>
      <c r="Q3052">
        <f>Data!K3069</f>
        <v>0</v>
      </c>
      <c r="R3052">
        <f>Data!L3069</f>
        <v>0</v>
      </c>
      <c r="S3052">
        <f>Data!M3069</f>
        <v>0</v>
      </c>
      <c r="T3052">
        <f>Data!N3069</f>
        <v>0</v>
      </c>
      <c r="U3052">
        <f>Data!O3069</f>
        <v>0</v>
      </c>
      <c r="V3052" s="33">
        <f>Data!P3067</f>
        <v>0</v>
      </c>
    </row>
    <row r="3053" spans="7:22" x14ac:dyDescent="0.25">
      <c r="G3053">
        <f>Data!A3066</f>
        <v>0</v>
      </c>
      <c r="H3053" s="21">
        <f>Data!B3066</f>
        <v>0</v>
      </c>
      <c r="I3053" s="21">
        <f>Data!C3066</f>
        <v>0</v>
      </c>
      <c r="J3053">
        <f>Data!D3066</f>
        <v>0</v>
      </c>
      <c r="K3053">
        <f>Data!E3066</f>
        <v>0</v>
      </c>
      <c r="L3053">
        <f>Data!F3066</f>
        <v>0</v>
      </c>
      <c r="M3053">
        <f>Data!G3066</f>
        <v>0</v>
      </c>
      <c r="N3053">
        <f>Data!H3066</f>
        <v>0</v>
      </c>
      <c r="O3053">
        <f>Data!I3066</f>
        <v>0</v>
      </c>
      <c r="P3053" s="21">
        <f>Data!J3070</f>
        <v>0</v>
      </c>
      <c r="Q3053">
        <f>Data!K3070</f>
        <v>0</v>
      </c>
      <c r="R3053">
        <f>Data!L3070</f>
        <v>0</v>
      </c>
      <c r="S3053">
        <f>Data!M3070</f>
        <v>0</v>
      </c>
      <c r="T3053">
        <f>Data!N3070</f>
        <v>0</v>
      </c>
      <c r="U3053">
        <f>Data!O3070</f>
        <v>0</v>
      </c>
      <c r="V3053" s="33">
        <f>Data!P3068</f>
        <v>0</v>
      </c>
    </row>
    <row r="3054" spans="7:22" x14ac:dyDescent="0.25">
      <c r="G3054">
        <f>Data!A3067</f>
        <v>0</v>
      </c>
      <c r="H3054" s="21">
        <f>Data!B3067</f>
        <v>0</v>
      </c>
      <c r="I3054" s="21">
        <f>Data!C3067</f>
        <v>0</v>
      </c>
      <c r="J3054">
        <f>Data!D3067</f>
        <v>0</v>
      </c>
      <c r="K3054">
        <f>Data!E3067</f>
        <v>0</v>
      </c>
      <c r="L3054">
        <f>Data!F3067</f>
        <v>0</v>
      </c>
      <c r="M3054">
        <f>Data!G3067</f>
        <v>0</v>
      </c>
      <c r="N3054">
        <f>Data!H3067</f>
        <v>0</v>
      </c>
      <c r="O3054">
        <f>Data!I3067</f>
        <v>0</v>
      </c>
      <c r="P3054" s="21">
        <f>Data!J3071</f>
        <v>0</v>
      </c>
      <c r="Q3054">
        <f>Data!K3071</f>
        <v>0</v>
      </c>
      <c r="R3054">
        <f>Data!L3071</f>
        <v>0</v>
      </c>
      <c r="S3054">
        <f>Data!M3071</f>
        <v>0</v>
      </c>
      <c r="T3054">
        <f>Data!N3071</f>
        <v>0</v>
      </c>
      <c r="U3054">
        <f>Data!O3071</f>
        <v>0</v>
      </c>
      <c r="V3054" s="33">
        <f>Data!P3069</f>
        <v>0</v>
      </c>
    </row>
    <row r="3055" spans="7:22" x14ac:dyDescent="0.25">
      <c r="G3055">
        <f>Data!A3068</f>
        <v>0</v>
      </c>
      <c r="H3055" s="21">
        <f>Data!B3068</f>
        <v>0</v>
      </c>
      <c r="I3055" s="21">
        <f>Data!C3068</f>
        <v>0</v>
      </c>
      <c r="J3055">
        <f>Data!D3068</f>
        <v>0</v>
      </c>
      <c r="K3055">
        <f>Data!E3068</f>
        <v>0</v>
      </c>
      <c r="L3055">
        <f>Data!F3068</f>
        <v>0</v>
      </c>
      <c r="M3055">
        <f>Data!G3068</f>
        <v>0</v>
      </c>
      <c r="N3055">
        <f>Data!H3068</f>
        <v>0</v>
      </c>
      <c r="O3055">
        <f>Data!I3068</f>
        <v>0</v>
      </c>
      <c r="P3055" s="21">
        <f>Data!J3072</f>
        <v>0</v>
      </c>
      <c r="Q3055">
        <f>Data!K3072</f>
        <v>0</v>
      </c>
      <c r="R3055">
        <f>Data!L3072</f>
        <v>0</v>
      </c>
      <c r="S3055">
        <f>Data!M3072</f>
        <v>0</v>
      </c>
      <c r="T3055">
        <f>Data!N3072</f>
        <v>0</v>
      </c>
      <c r="U3055">
        <f>Data!O3072</f>
        <v>0</v>
      </c>
      <c r="V3055" s="33">
        <f>Data!P3070</f>
        <v>0</v>
      </c>
    </row>
    <row r="3056" spans="7:22" x14ac:dyDescent="0.25">
      <c r="G3056">
        <f>Data!A3069</f>
        <v>0</v>
      </c>
      <c r="H3056" s="21">
        <f>Data!B3069</f>
        <v>0</v>
      </c>
      <c r="I3056" s="21">
        <f>Data!C3069</f>
        <v>0</v>
      </c>
      <c r="J3056">
        <f>Data!D3069</f>
        <v>0</v>
      </c>
      <c r="K3056">
        <f>Data!E3069</f>
        <v>0</v>
      </c>
      <c r="L3056">
        <f>Data!F3069</f>
        <v>0</v>
      </c>
      <c r="M3056">
        <f>Data!G3069</f>
        <v>0</v>
      </c>
      <c r="N3056">
        <f>Data!H3069</f>
        <v>0</v>
      </c>
      <c r="O3056">
        <f>Data!I3069</f>
        <v>0</v>
      </c>
      <c r="P3056" s="21">
        <f>Data!J3073</f>
        <v>0</v>
      </c>
      <c r="Q3056">
        <f>Data!K3073</f>
        <v>0</v>
      </c>
      <c r="R3056">
        <f>Data!L3073</f>
        <v>0</v>
      </c>
      <c r="S3056">
        <f>Data!M3073</f>
        <v>0</v>
      </c>
      <c r="T3056">
        <f>Data!N3073</f>
        <v>0</v>
      </c>
      <c r="U3056">
        <f>Data!O3073</f>
        <v>0</v>
      </c>
      <c r="V3056" s="33">
        <f>Data!P3071</f>
        <v>0</v>
      </c>
    </row>
    <row r="3057" spans="7:22" x14ac:dyDescent="0.25">
      <c r="G3057">
        <f>Data!A3070</f>
        <v>0</v>
      </c>
      <c r="H3057" s="21">
        <f>Data!B3070</f>
        <v>0</v>
      </c>
      <c r="I3057" s="21">
        <f>Data!C3070</f>
        <v>0</v>
      </c>
      <c r="J3057">
        <f>Data!D3070</f>
        <v>0</v>
      </c>
      <c r="K3057">
        <f>Data!E3070</f>
        <v>0</v>
      </c>
      <c r="L3057">
        <f>Data!F3070</f>
        <v>0</v>
      </c>
      <c r="M3057">
        <f>Data!G3070</f>
        <v>0</v>
      </c>
      <c r="N3057">
        <f>Data!H3070</f>
        <v>0</v>
      </c>
      <c r="O3057">
        <f>Data!I3070</f>
        <v>0</v>
      </c>
      <c r="P3057" s="21">
        <f>Data!J3074</f>
        <v>0</v>
      </c>
      <c r="Q3057">
        <f>Data!K3074</f>
        <v>0</v>
      </c>
      <c r="R3057">
        <f>Data!L3074</f>
        <v>0</v>
      </c>
      <c r="S3057">
        <f>Data!M3074</f>
        <v>0</v>
      </c>
      <c r="T3057">
        <f>Data!N3074</f>
        <v>0</v>
      </c>
      <c r="U3057">
        <f>Data!O3074</f>
        <v>0</v>
      </c>
      <c r="V3057" s="33">
        <f>Data!P3072</f>
        <v>0</v>
      </c>
    </row>
    <row r="3058" spans="7:22" x14ac:dyDescent="0.25">
      <c r="G3058">
        <f>Data!A3071</f>
        <v>0</v>
      </c>
      <c r="H3058" s="21">
        <f>Data!B3071</f>
        <v>0</v>
      </c>
      <c r="I3058" s="21">
        <f>Data!C3071</f>
        <v>0</v>
      </c>
      <c r="J3058">
        <f>Data!D3071</f>
        <v>0</v>
      </c>
      <c r="K3058">
        <f>Data!E3071</f>
        <v>0</v>
      </c>
      <c r="L3058">
        <f>Data!F3071</f>
        <v>0</v>
      </c>
      <c r="M3058">
        <f>Data!G3071</f>
        <v>0</v>
      </c>
      <c r="N3058">
        <f>Data!H3071</f>
        <v>0</v>
      </c>
      <c r="O3058">
        <f>Data!I3071</f>
        <v>0</v>
      </c>
      <c r="P3058" s="21">
        <f>Data!J3075</f>
        <v>0</v>
      </c>
      <c r="Q3058">
        <f>Data!K3075</f>
        <v>0</v>
      </c>
      <c r="R3058">
        <f>Data!L3075</f>
        <v>0</v>
      </c>
      <c r="S3058">
        <f>Data!M3075</f>
        <v>0</v>
      </c>
      <c r="T3058">
        <f>Data!N3075</f>
        <v>0</v>
      </c>
      <c r="U3058">
        <f>Data!O3075</f>
        <v>0</v>
      </c>
      <c r="V3058" s="33">
        <f>Data!P3073</f>
        <v>0</v>
      </c>
    </row>
    <row r="3059" spans="7:22" x14ac:dyDescent="0.25">
      <c r="G3059">
        <f>Data!A3072</f>
        <v>0</v>
      </c>
      <c r="H3059" s="21">
        <f>Data!B3072</f>
        <v>0</v>
      </c>
      <c r="I3059" s="21">
        <f>Data!C3072</f>
        <v>0</v>
      </c>
      <c r="J3059">
        <f>Data!D3072</f>
        <v>0</v>
      </c>
      <c r="K3059">
        <f>Data!E3072</f>
        <v>0</v>
      </c>
      <c r="L3059">
        <f>Data!F3072</f>
        <v>0</v>
      </c>
      <c r="M3059">
        <f>Data!G3072</f>
        <v>0</v>
      </c>
      <c r="N3059">
        <f>Data!H3072</f>
        <v>0</v>
      </c>
      <c r="O3059">
        <f>Data!I3072</f>
        <v>0</v>
      </c>
      <c r="P3059" s="21">
        <f>Data!J3076</f>
        <v>0</v>
      </c>
      <c r="Q3059">
        <f>Data!K3076</f>
        <v>0</v>
      </c>
      <c r="R3059">
        <f>Data!L3076</f>
        <v>0</v>
      </c>
      <c r="S3059">
        <f>Data!M3076</f>
        <v>0</v>
      </c>
      <c r="T3059">
        <f>Data!N3076</f>
        <v>0</v>
      </c>
      <c r="U3059">
        <f>Data!O3076</f>
        <v>0</v>
      </c>
      <c r="V3059" s="33">
        <f>Data!P3074</f>
        <v>0</v>
      </c>
    </row>
    <row r="3060" spans="7:22" x14ac:dyDescent="0.25">
      <c r="G3060">
        <f>Data!A3073</f>
        <v>0</v>
      </c>
      <c r="H3060" s="21">
        <f>Data!B3073</f>
        <v>0</v>
      </c>
      <c r="I3060" s="21">
        <f>Data!C3073</f>
        <v>0</v>
      </c>
      <c r="J3060">
        <f>Data!D3073</f>
        <v>0</v>
      </c>
      <c r="K3060">
        <f>Data!E3073</f>
        <v>0</v>
      </c>
      <c r="L3060">
        <f>Data!F3073</f>
        <v>0</v>
      </c>
      <c r="M3060">
        <f>Data!G3073</f>
        <v>0</v>
      </c>
      <c r="N3060">
        <f>Data!H3073</f>
        <v>0</v>
      </c>
      <c r="O3060">
        <f>Data!I3073</f>
        <v>0</v>
      </c>
      <c r="P3060" s="21">
        <f>Data!J3077</f>
        <v>0</v>
      </c>
      <c r="Q3060">
        <f>Data!K3077</f>
        <v>0</v>
      </c>
      <c r="R3060">
        <f>Data!L3077</f>
        <v>0</v>
      </c>
      <c r="S3060">
        <f>Data!M3077</f>
        <v>0</v>
      </c>
      <c r="T3060">
        <f>Data!N3077</f>
        <v>0</v>
      </c>
      <c r="U3060">
        <f>Data!O3077</f>
        <v>0</v>
      </c>
      <c r="V3060" s="33">
        <f>Data!P3075</f>
        <v>0</v>
      </c>
    </row>
    <row r="3061" spans="7:22" x14ac:dyDescent="0.25">
      <c r="G3061">
        <f>Data!A3074</f>
        <v>0</v>
      </c>
      <c r="H3061" s="21">
        <f>Data!B3074</f>
        <v>0</v>
      </c>
      <c r="I3061" s="21">
        <f>Data!C3074</f>
        <v>0</v>
      </c>
      <c r="J3061">
        <f>Data!D3074</f>
        <v>0</v>
      </c>
      <c r="K3061">
        <f>Data!E3074</f>
        <v>0</v>
      </c>
      <c r="L3061">
        <f>Data!F3074</f>
        <v>0</v>
      </c>
      <c r="M3061">
        <f>Data!G3074</f>
        <v>0</v>
      </c>
      <c r="N3061">
        <f>Data!H3074</f>
        <v>0</v>
      </c>
      <c r="O3061">
        <f>Data!I3074</f>
        <v>0</v>
      </c>
      <c r="P3061" s="21">
        <f>Data!J3078</f>
        <v>0</v>
      </c>
      <c r="Q3061">
        <f>Data!K3078</f>
        <v>0</v>
      </c>
      <c r="R3061">
        <f>Data!L3078</f>
        <v>0</v>
      </c>
      <c r="S3061">
        <f>Data!M3078</f>
        <v>0</v>
      </c>
      <c r="T3061">
        <f>Data!N3078</f>
        <v>0</v>
      </c>
      <c r="U3061">
        <f>Data!O3078</f>
        <v>0</v>
      </c>
      <c r="V3061" s="33">
        <f>Data!P3076</f>
        <v>0</v>
      </c>
    </row>
    <row r="3062" spans="7:22" x14ac:dyDescent="0.25">
      <c r="G3062">
        <f>Data!A3075</f>
        <v>0</v>
      </c>
      <c r="H3062" s="21">
        <f>Data!B3075</f>
        <v>0</v>
      </c>
      <c r="I3062" s="21">
        <f>Data!C3075</f>
        <v>0</v>
      </c>
      <c r="J3062">
        <f>Data!D3075</f>
        <v>0</v>
      </c>
      <c r="K3062">
        <f>Data!E3075</f>
        <v>0</v>
      </c>
      <c r="L3062">
        <f>Data!F3075</f>
        <v>0</v>
      </c>
      <c r="M3062">
        <f>Data!G3075</f>
        <v>0</v>
      </c>
      <c r="N3062">
        <f>Data!H3075</f>
        <v>0</v>
      </c>
      <c r="O3062">
        <f>Data!I3075</f>
        <v>0</v>
      </c>
      <c r="P3062" s="21">
        <f>Data!J3079</f>
        <v>0</v>
      </c>
      <c r="Q3062">
        <f>Data!K3079</f>
        <v>0</v>
      </c>
      <c r="R3062">
        <f>Data!L3079</f>
        <v>0</v>
      </c>
      <c r="S3062">
        <f>Data!M3079</f>
        <v>0</v>
      </c>
      <c r="T3062">
        <f>Data!N3079</f>
        <v>0</v>
      </c>
      <c r="U3062">
        <f>Data!O3079</f>
        <v>0</v>
      </c>
      <c r="V3062" s="33">
        <f>Data!P3077</f>
        <v>0</v>
      </c>
    </row>
    <row r="3063" spans="7:22" x14ac:dyDescent="0.25">
      <c r="G3063">
        <f>Data!A3076</f>
        <v>0</v>
      </c>
      <c r="H3063" s="21">
        <f>Data!B3076</f>
        <v>0</v>
      </c>
      <c r="I3063" s="21">
        <f>Data!C3076</f>
        <v>0</v>
      </c>
      <c r="J3063">
        <f>Data!D3076</f>
        <v>0</v>
      </c>
      <c r="K3063">
        <f>Data!E3076</f>
        <v>0</v>
      </c>
      <c r="L3063">
        <f>Data!F3076</f>
        <v>0</v>
      </c>
      <c r="M3063">
        <f>Data!G3076</f>
        <v>0</v>
      </c>
      <c r="N3063">
        <f>Data!H3076</f>
        <v>0</v>
      </c>
      <c r="O3063">
        <f>Data!I3076</f>
        <v>0</v>
      </c>
      <c r="P3063" s="21">
        <f>Data!J3080</f>
        <v>0</v>
      </c>
      <c r="Q3063">
        <f>Data!K3080</f>
        <v>0</v>
      </c>
      <c r="R3063">
        <f>Data!L3080</f>
        <v>0</v>
      </c>
      <c r="S3063">
        <f>Data!M3080</f>
        <v>0</v>
      </c>
      <c r="T3063">
        <f>Data!N3080</f>
        <v>0</v>
      </c>
      <c r="U3063">
        <f>Data!O3080</f>
        <v>0</v>
      </c>
      <c r="V3063" s="33">
        <f>Data!P3078</f>
        <v>0</v>
      </c>
    </row>
    <row r="3064" spans="7:22" x14ac:dyDescent="0.25">
      <c r="G3064">
        <f>Data!A3077</f>
        <v>0</v>
      </c>
      <c r="H3064" s="21">
        <f>Data!B3077</f>
        <v>0</v>
      </c>
      <c r="I3064" s="21">
        <f>Data!C3077</f>
        <v>0</v>
      </c>
      <c r="J3064">
        <f>Data!D3077</f>
        <v>0</v>
      </c>
      <c r="K3064">
        <f>Data!E3077</f>
        <v>0</v>
      </c>
      <c r="L3064">
        <f>Data!F3077</f>
        <v>0</v>
      </c>
      <c r="M3064">
        <f>Data!G3077</f>
        <v>0</v>
      </c>
      <c r="N3064">
        <f>Data!H3077</f>
        <v>0</v>
      </c>
      <c r="O3064">
        <f>Data!I3077</f>
        <v>0</v>
      </c>
      <c r="P3064" s="21">
        <f>Data!J3081</f>
        <v>0</v>
      </c>
      <c r="Q3064">
        <f>Data!K3081</f>
        <v>0</v>
      </c>
      <c r="R3064">
        <f>Data!L3081</f>
        <v>0</v>
      </c>
      <c r="S3064">
        <f>Data!M3081</f>
        <v>0</v>
      </c>
      <c r="T3064">
        <f>Data!N3081</f>
        <v>0</v>
      </c>
      <c r="U3064">
        <f>Data!O3081</f>
        <v>0</v>
      </c>
      <c r="V3064" s="33">
        <f>Data!P3079</f>
        <v>0</v>
      </c>
    </row>
    <row r="3065" spans="7:22" x14ac:dyDescent="0.25">
      <c r="G3065">
        <f>Data!A3078</f>
        <v>0</v>
      </c>
      <c r="H3065" s="21">
        <f>Data!B3078</f>
        <v>0</v>
      </c>
      <c r="I3065" s="21">
        <f>Data!C3078</f>
        <v>0</v>
      </c>
      <c r="J3065">
        <f>Data!D3078</f>
        <v>0</v>
      </c>
      <c r="K3065">
        <f>Data!E3078</f>
        <v>0</v>
      </c>
      <c r="L3065">
        <f>Data!F3078</f>
        <v>0</v>
      </c>
      <c r="M3065">
        <f>Data!G3078</f>
        <v>0</v>
      </c>
      <c r="N3065">
        <f>Data!H3078</f>
        <v>0</v>
      </c>
      <c r="O3065">
        <f>Data!I3078</f>
        <v>0</v>
      </c>
      <c r="P3065" s="21">
        <f>Data!J3082</f>
        <v>0</v>
      </c>
      <c r="Q3065">
        <f>Data!K3082</f>
        <v>0</v>
      </c>
      <c r="R3065">
        <f>Data!L3082</f>
        <v>0</v>
      </c>
      <c r="S3065">
        <f>Data!M3082</f>
        <v>0</v>
      </c>
      <c r="T3065">
        <f>Data!N3082</f>
        <v>0</v>
      </c>
      <c r="U3065">
        <f>Data!O3082</f>
        <v>0</v>
      </c>
      <c r="V3065" s="33">
        <f>Data!P3080</f>
        <v>0</v>
      </c>
    </row>
    <row r="3066" spans="7:22" x14ac:dyDescent="0.25">
      <c r="G3066">
        <f>Data!A3079</f>
        <v>0</v>
      </c>
      <c r="H3066" s="21">
        <f>Data!B3079</f>
        <v>0</v>
      </c>
      <c r="I3066" s="21">
        <f>Data!C3079</f>
        <v>0</v>
      </c>
      <c r="J3066">
        <f>Data!D3079</f>
        <v>0</v>
      </c>
      <c r="K3066">
        <f>Data!E3079</f>
        <v>0</v>
      </c>
      <c r="L3066">
        <f>Data!F3079</f>
        <v>0</v>
      </c>
      <c r="M3066">
        <f>Data!G3079</f>
        <v>0</v>
      </c>
      <c r="N3066">
        <f>Data!H3079</f>
        <v>0</v>
      </c>
      <c r="O3066">
        <f>Data!I3079</f>
        <v>0</v>
      </c>
      <c r="P3066" s="21">
        <f>Data!J3083</f>
        <v>0</v>
      </c>
      <c r="Q3066">
        <f>Data!K3083</f>
        <v>0</v>
      </c>
      <c r="R3066">
        <f>Data!L3083</f>
        <v>0</v>
      </c>
      <c r="S3066">
        <f>Data!M3083</f>
        <v>0</v>
      </c>
      <c r="T3066">
        <f>Data!N3083</f>
        <v>0</v>
      </c>
      <c r="U3066">
        <f>Data!O3083</f>
        <v>0</v>
      </c>
      <c r="V3066" s="33">
        <f>Data!P3081</f>
        <v>0</v>
      </c>
    </row>
    <row r="3067" spans="7:22" x14ac:dyDescent="0.25">
      <c r="G3067">
        <f>Data!A3080</f>
        <v>0</v>
      </c>
      <c r="H3067" s="21">
        <f>Data!B3080</f>
        <v>0</v>
      </c>
      <c r="I3067" s="21">
        <f>Data!C3080</f>
        <v>0</v>
      </c>
      <c r="J3067">
        <f>Data!D3080</f>
        <v>0</v>
      </c>
      <c r="K3067">
        <f>Data!E3080</f>
        <v>0</v>
      </c>
      <c r="L3067">
        <f>Data!F3080</f>
        <v>0</v>
      </c>
      <c r="M3067">
        <f>Data!G3080</f>
        <v>0</v>
      </c>
      <c r="N3067">
        <f>Data!H3080</f>
        <v>0</v>
      </c>
      <c r="O3067">
        <f>Data!I3080</f>
        <v>0</v>
      </c>
      <c r="P3067" s="21">
        <f>Data!J3084</f>
        <v>0</v>
      </c>
      <c r="Q3067">
        <f>Data!K3084</f>
        <v>0</v>
      </c>
      <c r="R3067">
        <f>Data!L3084</f>
        <v>0</v>
      </c>
      <c r="S3067">
        <f>Data!M3084</f>
        <v>0</v>
      </c>
      <c r="T3067">
        <f>Data!N3084</f>
        <v>0</v>
      </c>
      <c r="U3067">
        <f>Data!O3084</f>
        <v>0</v>
      </c>
      <c r="V3067" s="33">
        <f>Data!P3082</f>
        <v>0</v>
      </c>
    </row>
    <row r="3068" spans="7:22" x14ac:dyDescent="0.25">
      <c r="G3068">
        <f>Data!A3081</f>
        <v>0</v>
      </c>
      <c r="H3068" s="21">
        <f>Data!B3081</f>
        <v>0</v>
      </c>
      <c r="I3068" s="21">
        <f>Data!C3081</f>
        <v>0</v>
      </c>
      <c r="J3068">
        <f>Data!D3081</f>
        <v>0</v>
      </c>
      <c r="K3068">
        <f>Data!E3081</f>
        <v>0</v>
      </c>
      <c r="L3068">
        <f>Data!F3081</f>
        <v>0</v>
      </c>
      <c r="M3068">
        <f>Data!G3081</f>
        <v>0</v>
      </c>
      <c r="N3068">
        <f>Data!H3081</f>
        <v>0</v>
      </c>
      <c r="O3068">
        <f>Data!I3081</f>
        <v>0</v>
      </c>
      <c r="P3068" s="21">
        <f>Data!J3085</f>
        <v>0</v>
      </c>
      <c r="Q3068">
        <f>Data!K3085</f>
        <v>0</v>
      </c>
      <c r="R3068">
        <f>Data!L3085</f>
        <v>0</v>
      </c>
      <c r="S3068">
        <f>Data!M3085</f>
        <v>0</v>
      </c>
      <c r="T3068">
        <f>Data!N3085</f>
        <v>0</v>
      </c>
      <c r="U3068">
        <f>Data!O3085</f>
        <v>0</v>
      </c>
      <c r="V3068" s="33">
        <f>Data!P3083</f>
        <v>0</v>
      </c>
    </row>
    <row r="3069" spans="7:22" x14ac:dyDescent="0.25">
      <c r="G3069">
        <f>Data!A3082</f>
        <v>0</v>
      </c>
      <c r="H3069" s="21">
        <f>Data!B3082</f>
        <v>0</v>
      </c>
      <c r="I3069" s="21">
        <f>Data!C3082</f>
        <v>0</v>
      </c>
      <c r="J3069">
        <f>Data!D3082</f>
        <v>0</v>
      </c>
      <c r="K3069">
        <f>Data!E3082</f>
        <v>0</v>
      </c>
      <c r="L3069">
        <f>Data!F3082</f>
        <v>0</v>
      </c>
      <c r="M3069">
        <f>Data!G3082</f>
        <v>0</v>
      </c>
      <c r="N3069">
        <f>Data!H3082</f>
        <v>0</v>
      </c>
      <c r="O3069">
        <f>Data!I3082</f>
        <v>0</v>
      </c>
      <c r="P3069" s="21">
        <f>Data!J3086</f>
        <v>0</v>
      </c>
      <c r="Q3069">
        <f>Data!K3086</f>
        <v>0</v>
      </c>
      <c r="R3069">
        <f>Data!L3086</f>
        <v>0</v>
      </c>
      <c r="S3069">
        <f>Data!M3086</f>
        <v>0</v>
      </c>
      <c r="T3069">
        <f>Data!N3086</f>
        <v>0</v>
      </c>
      <c r="U3069">
        <f>Data!O3086</f>
        <v>0</v>
      </c>
      <c r="V3069" s="33">
        <f>Data!P3084</f>
        <v>0</v>
      </c>
    </row>
    <row r="3070" spans="7:22" x14ac:dyDescent="0.25">
      <c r="G3070">
        <f>Data!A3083</f>
        <v>0</v>
      </c>
      <c r="H3070" s="21">
        <f>Data!B3083</f>
        <v>0</v>
      </c>
      <c r="I3070" s="21">
        <f>Data!C3083</f>
        <v>0</v>
      </c>
      <c r="J3070">
        <f>Data!D3083</f>
        <v>0</v>
      </c>
      <c r="K3070">
        <f>Data!E3083</f>
        <v>0</v>
      </c>
      <c r="L3070">
        <f>Data!F3083</f>
        <v>0</v>
      </c>
      <c r="M3070">
        <f>Data!G3083</f>
        <v>0</v>
      </c>
      <c r="N3070">
        <f>Data!H3083</f>
        <v>0</v>
      </c>
      <c r="O3070">
        <f>Data!I3083</f>
        <v>0</v>
      </c>
      <c r="P3070" s="21">
        <f>Data!J3087</f>
        <v>0</v>
      </c>
      <c r="Q3070">
        <f>Data!K3087</f>
        <v>0</v>
      </c>
      <c r="R3070">
        <f>Data!L3087</f>
        <v>0</v>
      </c>
      <c r="S3070">
        <f>Data!M3087</f>
        <v>0</v>
      </c>
      <c r="T3070">
        <f>Data!N3087</f>
        <v>0</v>
      </c>
      <c r="U3070">
        <f>Data!O3087</f>
        <v>0</v>
      </c>
      <c r="V3070" s="33">
        <f>Data!P3085</f>
        <v>0</v>
      </c>
    </row>
    <row r="3071" spans="7:22" x14ac:dyDescent="0.25">
      <c r="G3071">
        <f>Data!A3084</f>
        <v>0</v>
      </c>
      <c r="H3071" s="21">
        <f>Data!B3084</f>
        <v>0</v>
      </c>
      <c r="I3071" s="21">
        <f>Data!C3084</f>
        <v>0</v>
      </c>
      <c r="J3071">
        <f>Data!D3084</f>
        <v>0</v>
      </c>
      <c r="K3071">
        <f>Data!E3084</f>
        <v>0</v>
      </c>
      <c r="L3071">
        <f>Data!F3084</f>
        <v>0</v>
      </c>
      <c r="M3071">
        <f>Data!G3084</f>
        <v>0</v>
      </c>
      <c r="N3071">
        <f>Data!H3084</f>
        <v>0</v>
      </c>
      <c r="O3071">
        <f>Data!I3084</f>
        <v>0</v>
      </c>
      <c r="P3071" s="21">
        <f>Data!J3088</f>
        <v>0</v>
      </c>
      <c r="Q3071">
        <f>Data!K3088</f>
        <v>0</v>
      </c>
      <c r="R3071">
        <f>Data!L3088</f>
        <v>0</v>
      </c>
      <c r="S3071">
        <f>Data!M3088</f>
        <v>0</v>
      </c>
      <c r="T3071">
        <f>Data!N3088</f>
        <v>0</v>
      </c>
      <c r="U3071">
        <f>Data!O3088</f>
        <v>0</v>
      </c>
      <c r="V3071" s="33">
        <f>Data!P3086</f>
        <v>0</v>
      </c>
    </row>
    <row r="3072" spans="7:22" x14ac:dyDescent="0.25">
      <c r="G3072">
        <f>Data!A3085</f>
        <v>0</v>
      </c>
      <c r="H3072" s="21">
        <f>Data!B3085</f>
        <v>0</v>
      </c>
      <c r="I3072" s="21">
        <f>Data!C3085</f>
        <v>0</v>
      </c>
      <c r="J3072">
        <f>Data!D3085</f>
        <v>0</v>
      </c>
      <c r="K3072">
        <f>Data!E3085</f>
        <v>0</v>
      </c>
      <c r="L3072">
        <f>Data!F3085</f>
        <v>0</v>
      </c>
      <c r="M3072">
        <f>Data!G3085</f>
        <v>0</v>
      </c>
      <c r="N3072">
        <f>Data!H3085</f>
        <v>0</v>
      </c>
      <c r="O3072">
        <f>Data!I3085</f>
        <v>0</v>
      </c>
      <c r="P3072" s="21">
        <f>Data!J3089</f>
        <v>0</v>
      </c>
      <c r="Q3072">
        <f>Data!K3089</f>
        <v>0</v>
      </c>
      <c r="R3072">
        <f>Data!L3089</f>
        <v>0</v>
      </c>
      <c r="S3072">
        <f>Data!M3089</f>
        <v>0</v>
      </c>
      <c r="T3072">
        <f>Data!N3089</f>
        <v>0</v>
      </c>
      <c r="U3072">
        <f>Data!O3089</f>
        <v>0</v>
      </c>
      <c r="V3072" s="33">
        <f>Data!P3087</f>
        <v>0</v>
      </c>
    </row>
    <row r="3073" spans="7:22" x14ac:dyDescent="0.25">
      <c r="G3073">
        <f>Data!A3086</f>
        <v>0</v>
      </c>
      <c r="H3073" s="21">
        <f>Data!B3086</f>
        <v>0</v>
      </c>
      <c r="I3073" s="21">
        <f>Data!C3086</f>
        <v>0</v>
      </c>
      <c r="J3073">
        <f>Data!D3086</f>
        <v>0</v>
      </c>
      <c r="K3073">
        <f>Data!E3086</f>
        <v>0</v>
      </c>
      <c r="L3073">
        <f>Data!F3086</f>
        <v>0</v>
      </c>
      <c r="M3073">
        <f>Data!G3086</f>
        <v>0</v>
      </c>
      <c r="N3073">
        <f>Data!H3086</f>
        <v>0</v>
      </c>
      <c r="O3073">
        <f>Data!I3086</f>
        <v>0</v>
      </c>
      <c r="P3073" s="21">
        <f>Data!J3090</f>
        <v>0</v>
      </c>
      <c r="Q3073">
        <f>Data!K3090</f>
        <v>0</v>
      </c>
      <c r="R3073">
        <f>Data!L3090</f>
        <v>0</v>
      </c>
      <c r="S3073">
        <f>Data!M3090</f>
        <v>0</v>
      </c>
      <c r="T3073">
        <f>Data!N3090</f>
        <v>0</v>
      </c>
      <c r="U3073">
        <f>Data!O3090</f>
        <v>0</v>
      </c>
      <c r="V3073" s="33">
        <f>Data!P3088</f>
        <v>0</v>
      </c>
    </row>
    <row r="3074" spans="7:22" x14ac:dyDescent="0.25">
      <c r="G3074">
        <f>Data!A3087</f>
        <v>0</v>
      </c>
      <c r="H3074" s="21">
        <f>Data!B3087</f>
        <v>0</v>
      </c>
      <c r="I3074" s="21">
        <f>Data!C3087</f>
        <v>0</v>
      </c>
      <c r="J3074">
        <f>Data!D3087</f>
        <v>0</v>
      </c>
      <c r="K3074">
        <f>Data!E3087</f>
        <v>0</v>
      </c>
      <c r="L3074">
        <f>Data!F3087</f>
        <v>0</v>
      </c>
      <c r="M3074">
        <f>Data!G3087</f>
        <v>0</v>
      </c>
      <c r="N3074">
        <f>Data!H3087</f>
        <v>0</v>
      </c>
      <c r="O3074">
        <f>Data!I3087</f>
        <v>0</v>
      </c>
      <c r="P3074" s="21">
        <f>Data!J3091</f>
        <v>0</v>
      </c>
      <c r="Q3074">
        <f>Data!K3091</f>
        <v>0</v>
      </c>
      <c r="R3074">
        <f>Data!L3091</f>
        <v>0</v>
      </c>
      <c r="S3074">
        <f>Data!M3091</f>
        <v>0</v>
      </c>
      <c r="T3074">
        <f>Data!N3091</f>
        <v>0</v>
      </c>
      <c r="U3074">
        <f>Data!O3091</f>
        <v>0</v>
      </c>
      <c r="V3074" s="33">
        <f>Data!P3089</f>
        <v>0</v>
      </c>
    </row>
    <row r="3075" spans="7:22" x14ac:dyDescent="0.25">
      <c r="G3075">
        <f>Data!A3088</f>
        <v>0</v>
      </c>
      <c r="H3075" s="21">
        <f>Data!B3088</f>
        <v>0</v>
      </c>
      <c r="I3075" s="21">
        <f>Data!C3088</f>
        <v>0</v>
      </c>
      <c r="J3075">
        <f>Data!D3088</f>
        <v>0</v>
      </c>
      <c r="K3075">
        <f>Data!E3088</f>
        <v>0</v>
      </c>
      <c r="L3075">
        <f>Data!F3088</f>
        <v>0</v>
      </c>
      <c r="M3075">
        <f>Data!G3088</f>
        <v>0</v>
      </c>
      <c r="N3075">
        <f>Data!H3088</f>
        <v>0</v>
      </c>
      <c r="O3075">
        <f>Data!I3088</f>
        <v>0</v>
      </c>
      <c r="P3075" s="21">
        <f>Data!J3092</f>
        <v>0</v>
      </c>
      <c r="Q3075">
        <f>Data!K3092</f>
        <v>0</v>
      </c>
      <c r="R3075">
        <f>Data!L3092</f>
        <v>0</v>
      </c>
      <c r="S3075">
        <f>Data!M3092</f>
        <v>0</v>
      </c>
      <c r="T3075">
        <f>Data!N3092</f>
        <v>0</v>
      </c>
      <c r="U3075">
        <f>Data!O3092</f>
        <v>0</v>
      </c>
      <c r="V3075" s="33">
        <f>Data!P3090</f>
        <v>0</v>
      </c>
    </row>
    <row r="3076" spans="7:22" x14ac:dyDescent="0.25">
      <c r="G3076">
        <f>Data!A3089</f>
        <v>0</v>
      </c>
      <c r="H3076" s="21">
        <f>Data!B3089</f>
        <v>0</v>
      </c>
      <c r="I3076" s="21">
        <f>Data!C3089</f>
        <v>0</v>
      </c>
      <c r="J3076">
        <f>Data!D3089</f>
        <v>0</v>
      </c>
      <c r="K3076">
        <f>Data!E3089</f>
        <v>0</v>
      </c>
      <c r="L3076">
        <f>Data!F3089</f>
        <v>0</v>
      </c>
      <c r="M3076">
        <f>Data!G3089</f>
        <v>0</v>
      </c>
      <c r="N3076">
        <f>Data!H3089</f>
        <v>0</v>
      </c>
      <c r="O3076">
        <f>Data!I3089</f>
        <v>0</v>
      </c>
      <c r="P3076" s="21">
        <f>Data!J3093</f>
        <v>0</v>
      </c>
      <c r="Q3076">
        <f>Data!K3093</f>
        <v>0</v>
      </c>
      <c r="R3076">
        <f>Data!L3093</f>
        <v>0</v>
      </c>
      <c r="S3076">
        <f>Data!M3093</f>
        <v>0</v>
      </c>
      <c r="T3076">
        <f>Data!N3093</f>
        <v>0</v>
      </c>
      <c r="U3076">
        <f>Data!O3093</f>
        <v>0</v>
      </c>
      <c r="V3076" s="33">
        <f>Data!P3091</f>
        <v>0</v>
      </c>
    </row>
    <row r="3077" spans="7:22" x14ac:dyDescent="0.25">
      <c r="G3077">
        <f>Data!A3090</f>
        <v>0</v>
      </c>
      <c r="H3077" s="21">
        <f>Data!B3090</f>
        <v>0</v>
      </c>
      <c r="I3077" s="21">
        <f>Data!C3090</f>
        <v>0</v>
      </c>
      <c r="J3077">
        <f>Data!D3090</f>
        <v>0</v>
      </c>
      <c r="K3077">
        <f>Data!E3090</f>
        <v>0</v>
      </c>
      <c r="L3077">
        <f>Data!F3090</f>
        <v>0</v>
      </c>
      <c r="M3077">
        <f>Data!G3090</f>
        <v>0</v>
      </c>
      <c r="N3077">
        <f>Data!H3090</f>
        <v>0</v>
      </c>
      <c r="O3077">
        <f>Data!I3090</f>
        <v>0</v>
      </c>
      <c r="P3077" s="21">
        <f>Data!J3094</f>
        <v>0</v>
      </c>
      <c r="Q3077">
        <f>Data!K3094</f>
        <v>0</v>
      </c>
      <c r="R3077">
        <f>Data!L3094</f>
        <v>0</v>
      </c>
      <c r="S3077">
        <f>Data!M3094</f>
        <v>0</v>
      </c>
      <c r="T3077">
        <f>Data!N3094</f>
        <v>0</v>
      </c>
      <c r="U3077">
        <f>Data!O3094</f>
        <v>0</v>
      </c>
      <c r="V3077" s="33">
        <f>Data!P3092</f>
        <v>0</v>
      </c>
    </row>
    <row r="3078" spans="7:22" x14ac:dyDescent="0.25">
      <c r="G3078">
        <f>Data!A3091</f>
        <v>0</v>
      </c>
      <c r="H3078" s="21">
        <f>Data!B3091</f>
        <v>0</v>
      </c>
      <c r="I3078" s="21">
        <f>Data!C3091</f>
        <v>0</v>
      </c>
      <c r="J3078">
        <f>Data!D3091</f>
        <v>0</v>
      </c>
      <c r="K3078">
        <f>Data!E3091</f>
        <v>0</v>
      </c>
      <c r="L3078">
        <f>Data!F3091</f>
        <v>0</v>
      </c>
      <c r="M3078">
        <f>Data!G3091</f>
        <v>0</v>
      </c>
      <c r="N3078">
        <f>Data!H3091</f>
        <v>0</v>
      </c>
      <c r="O3078">
        <f>Data!I3091</f>
        <v>0</v>
      </c>
      <c r="P3078" s="21">
        <f>Data!J3095</f>
        <v>0</v>
      </c>
      <c r="Q3078">
        <f>Data!K3095</f>
        <v>0</v>
      </c>
      <c r="R3078">
        <f>Data!L3095</f>
        <v>0</v>
      </c>
      <c r="S3078">
        <f>Data!M3095</f>
        <v>0</v>
      </c>
      <c r="T3078">
        <f>Data!N3095</f>
        <v>0</v>
      </c>
      <c r="U3078">
        <f>Data!O3095</f>
        <v>0</v>
      </c>
      <c r="V3078" s="33">
        <f>Data!P3093</f>
        <v>0</v>
      </c>
    </row>
    <row r="3079" spans="7:22" x14ac:dyDescent="0.25">
      <c r="G3079">
        <f>Data!A3092</f>
        <v>0</v>
      </c>
      <c r="H3079" s="21">
        <f>Data!B3092</f>
        <v>0</v>
      </c>
      <c r="I3079" s="21">
        <f>Data!C3092</f>
        <v>0</v>
      </c>
      <c r="J3079">
        <f>Data!D3092</f>
        <v>0</v>
      </c>
      <c r="K3079">
        <f>Data!E3092</f>
        <v>0</v>
      </c>
      <c r="L3079">
        <f>Data!F3092</f>
        <v>0</v>
      </c>
      <c r="M3079">
        <f>Data!G3092</f>
        <v>0</v>
      </c>
      <c r="N3079">
        <f>Data!H3092</f>
        <v>0</v>
      </c>
      <c r="O3079">
        <f>Data!I3092</f>
        <v>0</v>
      </c>
      <c r="P3079" s="21">
        <f>Data!J3096</f>
        <v>0</v>
      </c>
      <c r="Q3079">
        <f>Data!K3096</f>
        <v>0</v>
      </c>
      <c r="R3079">
        <f>Data!L3096</f>
        <v>0</v>
      </c>
      <c r="S3079">
        <f>Data!M3096</f>
        <v>0</v>
      </c>
      <c r="T3079">
        <f>Data!N3096</f>
        <v>0</v>
      </c>
      <c r="U3079">
        <f>Data!O3096</f>
        <v>0</v>
      </c>
      <c r="V3079" s="33">
        <f>Data!P3094</f>
        <v>0</v>
      </c>
    </row>
    <row r="3080" spans="7:22" x14ac:dyDescent="0.25">
      <c r="G3080">
        <f>Data!A3093</f>
        <v>0</v>
      </c>
      <c r="H3080" s="21">
        <f>Data!B3093</f>
        <v>0</v>
      </c>
      <c r="I3080" s="21">
        <f>Data!C3093</f>
        <v>0</v>
      </c>
      <c r="J3080">
        <f>Data!D3093</f>
        <v>0</v>
      </c>
      <c r="K3080">
        <f>Data!E3093</f>
        <v>0</v>
      </c>
      <c r="L3080">
        <f>Data!F3093</f>
        <v>0</v>
      </c>
      <c r="M3080">
        <f>Data!G3093</f>
        <v>0</v>
      </c>
      <c r="N3080">
        <f>Data!H3093</f>
        <v>0</v>
      </c>
      <c r="O3080">
        <f>Data!I3093</f>
        <v>0</v>
      </c>
      <c r="P3080" s="21">
        <f>Data!J3097</f>
        <v>0</v>
      </c>
      <c r="Q3080">
        <f>Data!K3097</f>
        <v>0</v>
      </c>
      <c r="R3080">
        <f>Data!L3097</f>
        <v>0</v>
      </c>
      <c r="S3080">
        <f>Data!M3097</f>
        <v>0</v>
      </c>
      <c r="T3080">
        <f>Data!N3097</f>
        <v>0</v>
      </c>
      <c r="U3080">
        <f>Data!O3097</f>
        <v>0</v>
      </c>
      <c r="V3080" s="33">
        <f>Data!P3095</f>
        <v>0</v>
      </c>
    </row>
    <row r="3081" spans="7:22" x14ac:dyDescent="0.25">
      <c r="G3081">
        <f>Data!A3094</f>
        <v>0</v>
      </c>
      <c r="H3081" s="21">
        <f>Data!B3094</f>
        <v>0</v>
      </c>
      <c r="I3081" s="21">
        <f>Data!C3094</f>
        <v>0</v>
      </c>
      <c r="J3081">
        <f>Data!D3094</f>
        <v>0</v>
      </c>
      <c r="K3081">
        <f>Data!E3094</f>
        <v>0</v>
      </c>
      <c r="L3081">
        <f>Data!F3094</f>
        <v>0</v>
      </c>
      <c r="M3081">
        <f>Data!G3094</f>
        <v>0</v>
      </c>
      <c r="N3081">
        <f>Data!H3094</f>
        <v>0</v>
      </c>
      <c r="O3081">
        <f>Data!I3094</f>
        <v>0</v>
      </c>
      <c r="P3081" s="21">
        <f>Data!J3098</f>
        <v>0</v>
      </c>
      <c r="Q3081">
        <f>Data!K3098</f>
        <v>0</v>
      </c>
      <c r="R3081">
        <f>Data!L3098</f>
        <v>0</v>
      </c>
      <c r="S3081">
        <f>Data!M3098</f>
        <v>0</v>
      </c>
      <c r="T3081">
        <f>Data!N3098</f>
        <v>0</v>
      </c>
      <c r="U3081">
        <f>Data!O3098</f>
        <v>0</v>
      </c>
      <c r="V3081" s="33">
        <f>Data!P3096</f>
        <v>0</v>
      </c>
    </row>
    <row r="3082" spans="7:22" x14ac:dyDescent="0.25">
      <c r="G3082">
        <f>Data!A3095</f>
        <v>0</v>
      </c>
      <c r="H3082" s="21">
        <f>Data!B3095</f>
        <v>0</v>
      </c>
      <c r="I3082" s="21">
        <f>Data!C3095</f>
        <v>0</v>
      </c>
      <c r="J3082">
        <f>Data!D3095</f>
        <v>0</v>
      </c>
      <c r="K3082">
        <f>Data!E3095</f>
        <v>0</v>
      </c>
      <c r="L3082">
        <f>Data!F3095</f>
        <v>0</v>
      </c>
      <c r="M3082">
        <f>Data!G3095</f>
        <v>0</v>
      </c>
      <c r="N3082">
        <f>Data!H3095</f>
        <v>0</v>
      </c>
      <c r="O3082">
        <f>Data!I3095</f>
        <v>0</v>
      </c>
      <c r="P3082" s="21">
        <f>Data!J3099</f>
        <v>0</v>
      </c>
      <c r="Q3082">
        <f>Data!K3099</f>
        <v>0</v>
      </c>
      <c r="R3082">
        <f>Data!L3099</f>
        <v>0</v>
      </c>
      <c r="S3082">
        <f>Data!M3099</f>
        <v>0</v>
      </c>
      <c r="T3082">
        <f>Data!N3099</f>
        <v>0</v>
      </c>
      <c r="U3082">
        <f>Data!O3099</f>
        <v>0</v>
      </c>
      <c r="V3082" s="33">
        <f>Data!P3097</f>
        <v>0</v>
      </c>
    </row>
    <row r="3083" spans="7:22" x14ac:dyDescent="0.25">
      <c r="G3083">
        <f>Data!A3096</f>
        <v>0</v>
      </c>
      <c r="H3083" s="21">
        <f>Data!B3096</f>
        <v>0</v>
      </c>
      <c r="I3083" s="21">
        <f>Data!C3096</f>
        <v>0</v>
      </c>
      <c r="J3083">
        <f>Data!D3096</f>
        <v>0</v>
      </c>
      <c r="K3083">
        <f>Data!E3096</f>
        <v>0</v>
      </c>
      <c r="L3083">
        <f>Data!F3096</f>
        <v>0</v>
      </c>
      <c r="M3083">
        <f>Data!G3096</f>
        <v>0</v>
      </c>
      <c r="N3083">
        <f>Data!H3096</f>
        <v>0</v>
      </c>
      <c r="O3083">
        <f>Data!I3096</f>
        <v>0</v>
      </c>
      <c r="P3083" s="21">
        <f>Data!J3100</f>
        <v>0</v>
      </c>
      <c r="Q3083">
        <f>Data!K3100</f>
        <v>0</v>
      </c>
      <c r="R3083">
        <f>Data!L3100</f>
        <v>0</v>
      </c>
      <c r="S3083">
        <f>Data!M3100</f>
        <v>0</v>
      </c>
      <c r="T3083">
        <f>Data!N3100</f>
        <v>0</v>
      </c>
      <c r="U3083">
        <f>Data!O3100</f>
        <v>0</v>
      </c>
      <c r="V3083" s="33">
        <f>Data!P3098</f>
        <v>0</v>
      </c>
    </row>
    <row r="3084" spans="7:22" x14ac:dyDescent="0.25">
      <c r="G3084">
        <f>Data!A3097</f>
        <v>0</v>
      </c>
      <c r="H3084" s="21">
        <f>Data!B3097</f>
        <v>0</v>
      </c>
      <c r="I3084" s="21">
        <f>Data!C3097</f>
        <v>0</v>
      </c>
      <c r="J3084">
        <f>Data!D3097</f>
        <v>0</v>
      </c>
      <c r="K3084">
        <f>Data!E3097</f>
        <v>0</v>
      </c>
      <c r="L3084">
        <f>Data!F3097</f>
        <v>0</v>
      </c>
      <c r="M3084">
        <f>Data!G3097</f>
        <v>0</v>
      </c>
      <c r="N3084">
        <f>Data!H3097</f>
        <v>0</v>
      </c>
      <c r="O3084">
        <f>Data!I3097</f>
        <v>0</v>
      </c>
      <c r="P3084" s="21">
        <f>Data!J3101</f>
        <v>0</v>
      </c>
      <c r="Q3084">
        <f>Data!K3101</f>
        <v>0</v>
      </c>
      <c r="R3084">
        <f>Data!L3101</f>
        <v>0</v>
      </c>
      <c r="S3084">
        <f>Data!M3101</f>
        <v>0</v>
      </c>
      <c r="T3084">
        <f>Data!N3101</f>
        <v>0</v>
      </c>
      <c r="U3084">
        <f>Data!O3101</f>
        <v>0</v>
      </c>
      <c r="V3084" s="33">
        <f>Data!P3099</f>
        <v>0</v>
      </c>
    </row>
    <row r="3085" spans="7:22" x14ac:dyDescent="0.25">
      <c r="G3085">
        <f>Data!A3098</f>
        <v>0</v>
      </c>
      <c r="H3085" s="21">
        <f>Data!B3098</f>
        <v>0</v>
      </c>
      <c r="I3085" s="21">
        <f>Data!C3098</f>
        <v>0</v>
      </c>
      <c r="J3085">
        <f>Data!D3098</f>
        <v>0</v>
      </c>
      <c r="K3085">
        <f>Data!E3098</f>
        <v>0</v>
      </c>
      <c r="L3085">
        <f>Data!F3098</f>
        <v>0</v>
      </c>
      <c r="M3085">
        <f>Data!G3098</f>
        <v>0</v>
      </c>
      <c r="N3085">
        <f>Data!H3098</f>
        <v>0</v>
      </c>
      <c r="O3085">
        <f>Data!I3098</f>
        <v>0</v>
      </c>
      <c r="P3085" s="21">
        <f>Data!J3102</f>
        <v>0</v>
      </c>
      <c r="Q3085">
        <f>Data!K3102</f>
        <v>0</v>
      </c>
      <c r="R3085">
        <f>Data!L3102</f>
        <v>0</v>
      </c>
      <c r="S3085">
        <f>Data!M3102</f>
        <v>0</v>
      </c>
      <c r="T3085">
        <f>Data!N3102</f>
        <v>0</v>
      </c>
      <c r="U3085">
        <f>Data!O3102</f>
        <v>0</v>
      </c>
      <c r="V3085" s="33">
        <f>Data!P3100</f>
        <v>0</v>
      </c>
    </row>
    <row r="3086" spans="7:22" x14ac:dyDescent="0.25">
      <c r="G3086">
        <f>Data!A3099</f>
        <v>0</v>
      </c>
      <c r="H3086" s="21">
        <f>Data!B3099</f>
        <v>0</v>
      </c>
      <c r="I3086" s="21">
        <f>Data!C3099</f>
        <v>0</v>
      </c>
      <c r="J3086">
        <f>Data!D3099</f>
        <v>0</v>
      </c>
      <c r="K3086">
        <f>Data!E3099</f>
        <v>0</v>
      </c>
      <c r="L3086">
        <f>Data!F3099</f>
        <v>0</v>
      </c>
      <c r="M3086">
        <f>Data!G3099</f>
        <v>0</v>
      </c>
      <c r="N3086">
        <f>Data!H3099</f>
        <v>0</v>
      </c>
      <c r="O3086">
        <f>Data!I3099</f>
        <v>0</v>
      </c>
      <c r="P3086" s="21">
        <f>Data!J3103</f>
        <v>0</v>
      </c>
      <c r="Q3086">
        <f>Data!K3103</f>
        <v>0</v>
      </c>
      <c r="R3086">
        <f>Data!L3103</f>
        <v>0</v>
      </c>
      <c r="S3086">
        <f>Data!M3103</f>
        <v>0</v>
      </c>
      <c r="T3086">
        <f>Data!N3103</f>
        <v>0</v>
      </c>
      <c r="U3086">
        <f>Data!O3103</f>
        <v>0</v>
      </c>
      <c r="V3086" s="33">
        <f>Data!P3101</f>
        <v>0</v>
      </c>
    </row>
    <row r="3087" spans="7:22" x14ac:dyDescent="0.25">
      <c r="G3087">
        <f>Data!A3100</f>
        <v>0</v>
      </c>
      <c r="H3087" s="21">
        <f>Data!B3100</f>
        <v>0</v>
      </c>
      <c r="I3087" s="21">
        <f>Data!C3100</f>
        <v>0</v>
      </c>
      <c r="J3087">
        <f>Data!D3100</f>
        <v>0</v>
      </c>
      <c r="K3087">
        <f>Data!E3100</f>
        <v>0</v>
      </c>
      <c r="L3087">
        <f>Data!F3100</f>
        <v>0</v>
      </c>
      <c r="M3087">
        <f>Data!G3100</f>
        <v>0</v>
      </c>
      <c r="N3087">
        <f>Data!H3100</f>
        <v>0</v>
      </c>
      <c r="O3087">
        <f>Data!I3100</f>
        <v>0</v>
      </c>
      <c r="P3087" s="21">
        <f>Data!J3104</f>
        <v>0</v>
      </c>
      <c r="Q3087">
        <f>Data!K3104</f>
        <v>0</v>
      </c>
      <c r="R3087">
        <f>Data!L3104</f>
        <v>0</v>
      </c>
      <c r="S3087">
        <f>Data!M3104</f>
        <v>0</v>
      </c>
      <c r="T3087">
        <f>Data!N3104</f>
        <v>0</v>
      </c>
      <c r="U3087">
        <f>Data!O3104</f>
        <v>0</v>
      </c>
      <c r="V3087" s="33">
        <f>Data!P3102</f>
        <v>0</v>
      </c>
    </row>
    <row r="3088" spans="7:22" x14ac:dyDescent="0.25">
      <c r="G3088">
        <f>Data!A3101</f>
        <v>0</v>
      </c>
      <c r="H3088" s="21">
        <f>Data!B3101</f>
        <v>0</v>
      </c>
      <c r="I3088" s="21">
        <f>Data!C3101</f>
        <v>0</v>
      </c>
      <c r="J3088">
        <f>Data!D3101</f>
        <v>0</v>
      </c>
      <c r="K3088">
        <f>Data!E3101</f>
        <v>0</v>
      </c>
      <c r="L3088">
        <f>Data!F3101</f>
        <v>0</v>
      </c>
      <c r="M3088">
        <f>Data!G3101</f>
        <v>0</v>
      </c>
      <c r="N3088">
        <f>Data!H3101</f>
        <v>0</v>
      </c>
      <c r="O3088">
        <f>Data!I3101</f>
        <v>0</v>
      </c>
      <c r="P3088" s="21">
        <f>Data!J3105</f>
        <v>0</v>
      </c>
      <c r="Q3088">
        <f>Data!K3105</f>
        <v>0</v>
      </c>
      <c r="R3088">
        <f>Data!L3105</f>
        <v>0</v>
      </c>
      <c r="S3088">
        <f>Data!M3105</f>
        <v>0</v>
      </c>
      <c r="T3088">
        <f>Data!N3105</f>
        <v>0</v>
      </c>
      <c r="U3088">
        <f>Data!O3105</f>
        <v>0</v>
      </c>
      <c r="V3088" s="33">
        <f>Data!P3103</f>
        <v>0</v>
      </c>
    </row>
    <row r="3089" spans="7:22" x14ac:dyDescent="0.25">
      <c r="G3089">
        <f>Data!A3102</f>
        <v>0</v>
      </c>
      <c r="H3089" s="21">
        <f>Data!B3102</f>
        <v>0</v>
      </c>
      <c r="I3089" s="21">
        <f>Data!C3102</f>
        <v>0</v>
      </c>
      <c r="J3089">
        <f>Data!D3102</f>
        <v>0</v>
      </c>
      <c r="K3089">
        <f>Data!E3102</f>
        <v>0</v>
      </c>
      <c r="L3089">
        <f>Data!F3102</f>
        <v>0</v>
      </c>
      <c r="M3089">
        <f>Data!G3102</f>
        <v>0</v>
      </c>
      <c r="N3089">
        <f>Data!H3102</f>
        <v>0</v>
      </c>
      <c r="O3089">
        <f>Data!I3102</f>
        <v>0</v>
      </c>
      <c r="P3089" s="21">
        <f>Data!J3106</f>
        <v>0</v>
      </c>
      <c r="Q3089">
        <f>Data!K3106</f>
        <v>0</v>
      </c>
      <c r="R3089">
        <f>Data!L3106</f>
        <v>0</v>
      </c>
      <c r="S3089">
        <f>Data!M3106</f>
        <v>0</v>
      </c>
      <c r="T3089">
        <f>Data!N3106</f>
        <v>0</v>
      </c>
      <c r="U3089">
        <f>Data!O3106</f>
        <v>0</v>
      </c>
      <c r="V3089" s="33">
        <f>Data!P3104</f>
        <v>0</v>
      </c>
    </row>
    <row r="3090" spans="7:22" x14ac:dyDescent="0.25">
      <c r="G3090">
        <f>Data!A3103</f>
        <v>0</v>
      </c>
      <c r="H3090" s="21">
        <f>Data!B3103</f>
        <v>0</v>
      </c>
      <c r="I3090" s="21">
        <f>Data!C3103</f>
        <v>0</v>
      </c>
      <c r="J3090">
        <f>Data!D3103</f>
        <v>0</v>
      </c>
      <c r="K3090">
        <f>Data!E3103</f>
        <v>0</v>
      </c>
      <c r="L3090">
        <f>Data!F3103</f>
        <v>0</v>
      </c>
      <c r="M3090">
        <f>Data!G3103</f>
        <v>0</v>
      </c>
      <c r="N3090">
        <f>Data!H3103</f>
        <v>0</v>
      </c>
      <c r="O3090">
        <f>Data!I3103</f>
        <v>0</v>
      </c>
      <c r="P3090" s="21">
        <f>Data!J3107</f>
        <v>0</v>
      </c>
      <c r="Q3090">
        <f>Data!K3107</f>
        <v>0</v>
      </c>
      <c r="R3090">
        <f>Data!L3107</f>
        <v>0</v>
      </c>
      <c r="S3090">
        <f>Data!M3107</f>
        <v>0</v>
      </c>
      <c r="T3090">
        <f>Data!N3107</f>
        <v>0</v>
      </c>
      <c r="U3090">
        <f>Data!O3107</f>
        <v>0</v>
      </c>
      <c r="V3090" s="33">
        <f>Data!P3105</f>
        <v>0</v>
      </c>
    </row>
    <row r="3091" spans="7:22" x14ac:dyDescent="0.25">
      <c r="G3091">
        <f>Data!A3104</f>
        <v>0</v>
      </c>
      <c r="H3091" s="21">
        <f>Data!B3104</f>
        <v>0</v>
      </c>
      <c r="I3091" s="21">
        <f>Data!C3104</f>
        <v>0</v>
      </c>
      <c r="J3091">
        <f>Data!D3104</f>
        <v>0</v>
      </c>
      <c r="K3091">
        <f>Data!E3104</f>
        <v>0</v>
      </c>
      <c r="L3091">
        <f>Data!F3104</f>
        <v>0</v>
      </c>
      <c r="M3091">
        <f>Data!G3104</f>
        <v>0</v>
      </c>
      <c r="N3091">
        <f>Data!H3104</f>
        <v>0</v>
      </c>
      <c r="O3091">
        <f>Data!I3104</f>
        <v>0</v>
      </c>
      <c r="P3091" s="21">
        <f>Data!J3108</f>
        <v>0</v>
      </c>
      <c r="Q3091">
        <f>Data!K3108</f>
        <v>0</v>
      </c>
      <c r="R3091">
        <f>Data!L3108</f>
        <v>0</v>
      </c>
      <c r="S3091">
        <f>Data!M3108</f>
        <v>0</v>
      </c>
      <c r="T3091">
        <f>Data!N3108</f>
        <v>0</v>
      </c>
      <c r="U3091">
        <f>Data!O3108</f>
        <v>0</v>
      </c>
      <c r="V3091" s="33">
        <f>Data!P3106</f>
        <v>0</v>
      </c>
    </row>
    <row r="3092" spans="7:22" x14ac:dyDescent="0.25">
      <c r="G3092">
        <f>Data!A3105</f>
        <v>0</v>
      </c>
      <c r="H3092" s="21">
        <f>Data!B3105</f>
        <v>0</v>
      </c>
      <c r="I3092" s="21">
        <f>Data!C3105</f>
        <v>0</v>
      </c>
      <c r="J3092">
        <f>Data!D3105</f>
        <v>0</v>
      </c>
      <c r="K3092">
        <f>Data!E3105</f>
        <v>0</v>
      </c>
      <c r="L3092">
        <f>Data!F3105</f>
        <v>0</v>
      </c>
      <c r="M3092">
        <f>Data!G3105</f>
        <v>0</v>
      </c>
      <c r="N3092">
        <f>Data!H3105</f>
        <v>0</v>
      </c>
      <c r="O3092">
        <f>Data!I3105</f>
        <v>0</v>
      </c>
      <c r="P3092" s="21">
        <f>Data!J3109</f>
        <v>0</v>
      </c>
      <c r="Q3092">
        <f>Data!K3109</f>
        <v>0</v>
      </c>
      <c r="R3092">
        <f>Data!L3109</f>
        <v>0</v>
      </c>
      <c r="S3092">
        <f>Data!M3109</f>
        <v>0</v>
      </c>
      <c r="T3092">
        <f>Data!N3109</f>
        <v>0</v>
      </c>
      <c r="U3092">
        <f>Data!O3109</f>
        <v>0</v>
      </c>
      <c r="V3092" s="33">
        <f>Data!P3107</f>
        <v>0</v>
      </c>
    </row>
    <row r="3093" spans="7:22" x14ac:dyDescent="0.25">
      <c r="G3093">
        <f>Data!A3106</f>
        <v>0</v>
      </c>
      <c r="H3093" s="21">
        <f>Data!B3106</f>
        <v>0</v>
      </c>
      <c r="I3093" s="21">
        <f>Data!C3106</f>
        <v>0</v>
      </c>
      <c r="J3093">
        <f>Data!D3106</f>
        <v>0</v>
      </c>
      <c r="K3093">
        <f>Data!E3106</f>
        <v>0</v>
      </c>
      <c r="L3093">
        <f>Data!F3106</f>
        <v>0</v>
      </c>
      <c r="M3093">
        <f>Data!G3106</f>
        <v>0</v>
      </c>
      <c r="N3093">
        <f>Data!H3106</f>
        <v>0</v>
      </c>
      <c r="O3093">
        <f>Data!I3106</f>
        <v>0</v>
      </c>
      <c r="P3093" s="21">
        <f>Data!J3110</f>
        <v>0</v>
      </c>
      <c r="Q3093">
        <f>Data!K3110</f>
        <v>0</v>
      </c>
      <c r="R3093">
        <f>Data!L3110</f>
        <v>0</v>
      </c>
      <c r="S3093">
        <f>Data!M3110</f>
        <v>0</v>
      </c>
      <c r="T3093">
        <f>Data!N3110</f>
        <v>0</v>
      </c>
      <c r="U3093">
        <f>Data!O3110</f>
        <v>0</v>
      </c>
      <c r="V3093" s="33">
        <f>Data!P3108</f>
        <v>0</v>
      </c>
    </row>
    <row r="3094" spans="7:22" x14ac:dyDescent="0.25">
      <c r="G3094">
        <f>Data!A3107</f>
        <v>0</v>
      </c>
      <c r="H3094" s="21">
        <f>Data!B3107</f>
        <v>0</v>
      </c>
      <c r="I3094" s="21">
        <f>Data!C3107</f>
        <v>0</v>
      </c>
      <c r="J3094">
        <f>Data!D3107</f>
        <v>0</v>
      </c>
      <c r="K3094">
        <f>Data!E3107</f>
        <v>0</v>
      </c>
      <c r="L3094">
        <f>Data!F3107</f>
        <v>0</v>
      </c>
      <c r="M3094">
        <f>Data!G3107</f>
        <v>0</v>
      </c>
      <c r="N3094">
        <f>Data!H3107</f>
        <v>0</v>
      </c>
      <c r="O3094">
        <f>Data!I3107</f>
        <v>0</v>
      </c>
      <c r="P3094" s="21">
        <f>Data!J3111</f>
        <v>0</v>
      </c>
      <c r="Q3094">
        <f>Data!K3111</f>
        <v>0</v>
      </c>
      <c r="R3094">
        <f>Data!L3111</f>
        <v>0</v>
      </c>
      <c r="S3094">
        <f>Data!M3111</f>
        <v>0</v>
      </c>
      <c r="T3094">
        <f>Data!N3111</f>
        <v>0</v>
      </c>
      <c r="U3094">
        <f>Data!O3111</f>
        <v>0</v>
      </c>
      <c r="V3094" s="33">
        <f>Data!P3109</f>
        <v>0</v>
      </c>
    </row>
    <row r="3095" spans="7:22" x14ac:dyDescent="0.25">
      <c r="G3095">
        <f>Data!A3108</f>
        <v>0</v>
      </c>
      <c r="H3095" s="21">
        <f>Data!B3108</f>
        <v>0</v>
      </c>
      <c r="I3095" s="21">
        <f>Data!C3108</f>
        <v>0</v>
      </c>
      <c r="J3095">
        <f>Data!D3108</f>
        <v>0</v>
      </c>
      <c r="K3095">
        <f>Data!E3108</f>
        <v>0</v>
      </c>
      <c r="L3095">
        <f>Data!F3108</f>
        <v>0</v>
      </c>
      <c r="M3095">
        <f>Data!G3108</f>
        <v>0</v>
      </c>
      <c r="N3095">
        <f>Data!H3108</f>
        <v>0</v>
      </c>
      <c r="O3095">
        <f>Data!I3108</f>
        <v>0</v>
      </c>
      <c r="P3095" s="21">
        <f>Data!J3112</f>
        <v>0</v>
      </c>
      <c r="Q3095">
        <f>Data!K3112</f>
        <v>0</v>
      </c>
      <c r="R3095">
        <f>Data!L3112</f>
        <v>0</v>
      </c>
      <c r="S3095">
        <f>Data!M3112</f>
        <v>0</v>
      </c>
      <c r="T3095">
        <f>Data!N3112</f>
        <v>0</v>
      </c>
      <c r="U3095">
        <f>Data!O3112</f>
        <v>0</v>
      </c>
      <c r="V3095" s="33">
        <f>Data!P3110</f>
        <v>0</v>
      </c>
    </row>
    <row r="3096" spans="7:22" x14ac:dyDescent="0.25">
      <c r="G3096">
        <f>Data!A3109</f>
        <v>0</v>
      </c>
      <c r="H3096" s="21">
        <f>Data!B3109</f>
        <v>0</v>
      </c>
      <c r="I3096" s="21">
        <f>Data!C3109</f>
        <v>0</v>
      </c>
      <c r="J3096">
        <f>Data!D3109</f>
        <v>0</v>
      </c>
      <c r="K3096">
        <f>Data!E3109</f>
        <v>0</v>
      </c>
      <c r="L3096">
        <f>Data!F3109</f>
        <v>0</v>
      </c>
      <c r="M3096">
        <f>Data!G3109</f>
        <v>0</v>
      </c>
      <c r="N3096">
        <f>Data!H3109</f>
        <v>0</v>
      </c>
      <c r="O3096">
        <f>Data!I3109</f>
        <v>0</v>
      </c>
      <c r="P3096" s="21">
        <f>Data!J3113</f>
        <v>0</v>
      </c>
      <c r="Q3096">
        <f>Data!K3113</f>
        <v>0</v>
      </c>
      <c r="R3096">
        <f>Data!L3113</f>
        <v>0</v>
      </c>
      <c r="S3096">
        <f>Data!M3113</f>
        <v>0</v>
      </c>
      <c r="T3096">
        <f>Data!N3113</f>
        <v>0</v>
      </c>
      <c r="U3096">
        <f>Data!O3113</f>
        <v>0</v>
      </c>
      <c r="V3096" s="33">
        <f>Data!P3111</f>
        <v>0</v>
      </c>
    </row>
    <row r="3097" spans="7:22" x14ac:dyDescent="0.25">
      <c r="G3097">
        <f>Data!A3110</f>
        <v>0</v>
      </c>
      <c r="H3097" s="21">
        <f>Data!B3110</f>
        <v>0</v>
      </c>
      <c r="I3097" s="21">
        <f>Data!C3110</f>
        <v>0</v>
      </c>
      <c r="J3097">
        <f>Data!D3110</f>
        <v>0</v>
      </c>
      <c r="K3097">
        <f>Data!E3110</f>
        <v>0</v>
      </c>
      <c r="L3097">
        <f>Data!F3110</f>
        <v>0</v>
      </c>
      <c r="M3097">
        <f>Data!G3110</f>
        <v>0</v>
      </c>
      <c r="N3097">
        <f>Data!H3110</f>
        <v>0</v>
      </c>
      <c r="O3097">
        <f>Data!I3110</f>
        <v>0</v>
      </c>
      <c r="P3097" s="21">
        <f>Data!J3114</f>
        <v>0</v>
      </c>
      <c r="Q3097">
        <f>Data!K3114</f>
        <v>0</v>
      </c>
      <c r="R3097">
        <f>Data!L3114</f>
        <v>0</v>
      </c>
      <c r="S3097">
        <f>Data!M3114</f>
        <v>0</v>
      </c>
      <c r="T3097">
        <f>Data!N3114</f>
        <v>0</v>
      </c>
      <c r="U3097">
        <f>Data!O3114</f>
        <v>0</v>
      </c>
      <c r="V3097" s="33">
        <f>Data!P3112</f>
        <v>0</v>
      </c>
    </row>
    <row r="3098" spans="7:22" x14ac:dyDescent="0.25">
      <c r="G3098">
        <f>Data!A3111</f>
        <v>0</v>
      </c>
      <c r="H3098" s="21">
        <f>Data!B3111</f>
        <v>0</v>
      </c>
      <c r="I3098" s="21">
        <f>Data!C3111</f>
        <v>0</v>
      </c>
      <c r="J3098">
        <f>Data!D3111</f>
        <v>0</v>
      </c>
      <c r="K3098">
        <f>Data!E3111</f>
        <v>0</v>
      </c>
      <c r="L3098">
        <f>Data!F3111</f>
        <v>0</v>
      </c>
      <c r="M3098">
        <f>Data!G3111</f>
        <v>0</v>
      </c>
      <c r="N3098">
        <f>Data!H3111</f>
        <v>0</v>
      </c>
      <c r="O3098">
        <f>Data!I3111</f>
        <v>0</v>
      </c>
      <c r="P3098" s="21">
        <f>Data!J3115</f>
        <v>0</v>
      </c>
      <c r="Q3098">
        <f>Data!K3115</f>
        <v>0</v>
      </c>
      <c r="R3098">
        <f>Data!L3115</f>
        <v>0</v>
      </c>
      <c r="S3098">
        <f>Data!M3115</f>
        <v>0</v>
      </c>
      <c r="T3098">
        <f>Data!N3115</f>
        <v>0</v>
      </c>
      <c r="U3098">
        <f>Data!O3115</f>
        <v>0</v>
      </c>
      <c r="V3098" s="33">
        <f>Data!P3113</f>
        <v>0</v>
      </c>
    </row>
    <row r="3099" spans="7:22" x14ac:dyDescent="0.25">
      <c r="G3099">
        <f>Data!A3112</f>
        <v>0</v>
      </c>
      <c r="H3099" s="21">
        <f>Data!B3112</f>
        <v>0</v>
      </c>
      <c r="I3099" s="21">
        <f>Data!C3112</f>
        <v>0</v>
      </c>
      <c r="J3099">
        <f>Data!D3112</f>
        <v>0</v>
      </c>
      <c r="K3099">
        <f>Data!E3112</f>
        <v>0</v>
      </c>
      <c r="L3099">
        <f>Data!F3112</f>
        <v>0</v>
      </c>
      <c r="M3099">
        <f>Data!G3112</f>
        <v>0</v>
      </c>
      <c r="N3099">
        <f>Data!H3112</f>
        <v>0</v>
      </c>
      <c r="O3099">
        <f>Data!I3112</f>
        <v>0</v>
      </c>
      <c r="P3099" s="21">
        <f>Data!J3116</f>
        <v>0</v>
      </c>
      <c r="Q3099">
        <f>Data!K3116</f>
        <v>0</v>
      </c>
      <c r="R3099">
        <f>Data!L3116</f>
        <v>0</v>
      </c>
      <c r="S3099">
        <f>Data!M3116</f>
        <v>0</v>
      </c>
      <c r="T3099">
        <f>Data!N3116</f>
        <v>0</v>
      </c>
      <c r="U3099">
        <f>Data!O3116</f>
        <v>0</v>
      </c>
      <c r="V3099" s="33">
        <f>Data!P3114</f>
        <v>0</v>
      </c>
    </row>
    <row r="3100" spans="7:22" x14ac:dyDescent="0.25">
      <c r="G3100">
        <f>Data!A3113</f>
        <v>0</v>
      </c>
      <c r="H3100" s="21">
        <f>Data!B3113</f>
        <v>0</v>
      </c>
      <c r="I3100" s="21">
        <f>Data!C3113</f>
        <v>0</v>
      </c>
      <c r="J3100">
        <f>Data!D3113</f>
        <v>0</v>
      </c>
      <c r="K3100">
        <f>Data!E3113</f>
        <v>0</v>
      </c>
      <c r="L3100">
        <f>Data!F3113</f>
        <v>0</v>
      </c>
      <c r="M3100">
        <f>Data!G3113</f>
        <v>0</v>
      </c>
      <c r="N3100">
        <f>Data!H3113</f>
        <v>0</v>
      </c>
      <c r="O3100">
        <f>Data!I3113</f>
        <v>0</v>
      </c>
      <c r="P3100" s="21">
        <f>Data!J3117</f>
        <v>0</v>
      </c>
      <c r="Q3100">
        <f>Data!K3117</f>
        <v>0</v>
      </c>
      <c r="R3100">
        <f>Data!L3117</f>
        <v>0</v>
      </c>
      <c r="S3100">
        <f>Data!M3117</f>
        <v>0</v>
      </c>
      <c r="T3100">
        <f>Data!N3117</f>
        <v>0</v>
      </c>
      <c r="U3100">
        <f>Data!O3117</f>
        <v>0</v>
      </c>
      <c r="V3100" s="33">
        <f>Data!P3115</f>
        <v>0</v>
      </c>
    </row>
    <row r="3101" spans="7:22" x14ac:dyDescent="0.25">
      <c r="G3101">
        <f>Data!A3114</f>
        <v>0</v>
      </c>
      <c r="H3101" s="21">
        <f>Data!B3114</f>
        <v>0</v>
      </c>
      <c r="I3101" s="21">
        <f>Data!C3114</f>
        <v>0</v>
      </c>
      <c r="J3101">
        <f>Data!D3114</f>
        <v>0</v>
      </c>
      <c r="K3101">
        <f>Data!E3114</f>
        <v>0</v>
      </c>
      <c r="L3101">
        <f>Data!F3114</f>
        <v>0</v>
      </c>
      <c r="M3101">
        <f>Data!G3114</f>
        <v>0</v>
      </c>
      <c r="N3101">
        <f>Data!H3114</f>
        <v>0</v>
      </c>
      <c r="O3101">
        <f>Data!I3114</f>
        <v>0</v>
      </c>
      <c r="P3101" s="21">
        <f>Data!J3118</f>
        <v>0</v>
      </c>
      <c r="Q3101">
        <f>Data!K3118</f>
        <v>0</v>
      </c>
      <c r="R3101">
        <f>Data!L3118</f>
        <v>0</v>
      </c>
      <c r="S3101">
        <f>Data!M3118</f>
        <v>0</v>
      </c>
      <c r="T3101">
        <f>Data!N3118</f>
        <v>0</v>
      </c>
      <c r="U3101">
        <f>Data!O3118</f>
        <v>0</v>
      </c>
      <c r="V3101" s="33">
        <f>Data!P3116</f>
        <v>0</v>
      </c>
    </row>
    <row r="3102" spans="7:22" x14ac:dyDescent="0.25">
      <c r="G3102">
        <f>Data!A3115</f>
        <v>0</v>
      </c>
      <c r="H3102" s="21">
        <f>Data!B3115</f>
        <v>0</v>
      </c>
      <c r="I3102" s="21">
        <f>Data!C3115</f>
        <v>0</v>
      </c>
      <c r="J3102">
        <f>Data!D3115</f>
        <v>0</v>
      </c>
      <c r="K3102">
        <f>Data!E3115</f>
        <v>0</v>
      </c>
      <c r="L3102">
        <f>Data!F3115</f>
        <v>0</v>
      </c>
      <c r="M3102">
        <f>Data!G3115</f>
        <v>0</v>
      </c>
      <c r="N3102">
        <f>Data!H3115</f>
        <v>0</v>
      </c>
      <c r="O3102">
        <f>Data!I3115</f>
        <v>0</v>
      </c>
      <c r="P3102" s="21">
        <f>Data!J3119</f>
        <v>0</v>
      </c>
      <c r="Q3102">
        <f>Data!K3119</f>
        <v>0</v>
      </c>
      <c r="R3102">
        <f>Data!L3119</f>
        <v>0</v>
      </c>
      <c r="S3102">
        <f>Data!M3119</f>
        <v>0</v>
      </c>
      <c r="T3102">
        <f>Data!N3119</f>
        <v>0</v>
      </c>
      <c r="U3102">
        <f>Data!O3119</f>
        <v>0</v>
      </c>
      <c r="V3102" s="33">
        <f>Data!P3117</f>
        <v>0</v>
      </c>
    </row>
    <row r="3103" spans="7:22" x14ac:dyDescent="0.25">
      <c r="G3103">
        <f>Data!A3116</f>
        <v>0</v>
      </c>
      <c r="H3103" s="21">
        <f>Data!B3116</f>
        <v>0</v>
      </c>
      <c r="I3103" s="21">
        <f>Data!C3116</f>
        <v>0</v>
      </c>
      <c r="J3103">
        <f>Data!D3116</f>
        <v>0</v>
      </c>
      <c r="K3103">
        <f>Data!E3116</f>
        <v>0</v>
      </c>
      <c r="L3103">
        <f>Data!F3116</f>
        <v>0</v>
      </c>
      <c r="M3103">
        <f>Data!G3116</f>
        <v>0</v>
      </c>
      <c r="N3103">
        <f>Data!H3116</f>
        <v>0</v>
      </c>
      <c r="O3103">
        <f>Data!I3116</f>
        <v>0</v>
      </c>
      <c r="P3103" s="21">
        <f>Data!J3120</f>
        <v>0</v>
      </c>
      <c r="Q3103">
        <f>Data!K3120</f>
        <v>0</v>
      </c>
      <c r="R3103">
        <f>Data!L3120</f>
        <v>0</v>
      </c>
      <c r="S3103">
        <f>Data!M3120</f>
        <v>0</v>
      </c>
      <c r="T3103">
        <f>Data!N3120</f>
        <v>0</v>
      </c>
      <c r="U3103">
        <f>Data!O3120</f>
        <v>0</v>
      </c>
      <c r="V3103" s="33">
        <f>Data!P3118</f>
        <v>0</v>
      </c>
    </row>
    <row r="3104" spans="7:22" x14ac:dyDescent="0.25">
      <c r="G3104">
        <f>Data!A3117</f>
        <v>0</v>
      </c>
      <c r="H3104" s="21">
        <f>Data!B3117</f>
        <v>0</v>
      </c>
      <c r="I3104" s="21">
        <f>Data!C3117</f>
        <v>0</v>
      </c>
      <c r="J3104">
        <f>Data!D3117</f>
        <v>0</v>
      </c>
      <c r="K3104">
        <f>Data!E3117</f>
        <v>0</v>
      </c>
      <c r="L3104">
        <f>Data!F3117</f>
        <v>0</v>
      </c>
      <c r="M3104">
        <f>Data!G3117</f>
        <v>0</v>
      </c>
      <c r="N3104">
        <f>Data!H3117</f>
        <v>0</v>
      </c>
      <c r="O3104">
        <f>Data!I3117</f>
        <v>0</v>
      </c>
      <c r="P3104" s="21">
        <f>Data!J3121</f>
        <v>0</v>
      </c>
      <c r="Q3104">
        <f>Data!K3121</f>
        <v>0</v>
      </c>
      <c r="R3104">
        <f>Data!L3121</f>
        <v>0</v>
      </c>
      <c r="S3104">
        <f>Data!M3121</f>
        <v>0</v>
      </c>
      <c r="T3104">
        <f>Data!N3121</f>
        <v>0</v>
      </c>
      <c r="U3104">
        <f>Data!O3121</f>
        <v>0</v>
      </c>
      <c r="V3104" s="33">
        <f>Data!P3119</f>
        <v>0</v>
      </c>
    </row>
    <row r="3105" spans="7:22" x14ac:dyDescent="0.25">
      <c r="G3105">
        <f>Data!A3118</f>
        <v>0</v>
      </c>
      <c r="H3105" s="21">
        <f>Data!B3118</f>
        <v>0</v>
      </c>
      <c r="I3105" s="21">
        <f>Data!C3118</f>
        <v>0</v>
      </c>
      <c r="J3105">
        <f>Data!D3118</f>
        <v>0</v>
      </c>
      <c r="K3105">
        <f>Data!E3118</f>
        <v>0</v>
      </c>
      <c r="L3105">
        <f>Data!F3118</f>
        <v>0</v>
      </c>
      <c r="M3105">
        <f>Data!G3118</f>
        <v>0</v>
      </c>
      <c r="N3105">
        <f>Data!H3118</f>
        <v>0</v>
      </c>
      <c r="O3105">
        <f>Data!I3118</f>
        <v>0</v>
      </c>
      <c r="P3105" s="21">
        <f>Data!J3122</f>
        <v>0</v>
      </c>
      <c r="Q3105">
        <f>Data!K3122</f>
        <v>0</v>
      </c>
      <c r="R3105">
        <f>Data!L3122</f>
        <v>0</v>
      </c>
      <c r="S3105">
        <f>Data!M3122</f>
        <v>0</v>
      </c>
      <c r="T3105">
        <f>Data!N3122</f>
        <v>0</v>
      </c>
      <c r="U3105">
        <f>Data!O3122</f>
        <v>0</v>
      </c>
      <c r="V3105" s="33">
        <f>Data!P3120</f>
        <v>0</v>
      </c>
    </row>
    <row r="3106" spans="7:22" x14ac:dyDescent="0.25">
      <c r="G3106">
        <f>Data!A3119</f>
        <v>0</v>
      </c>
      <c r="H3106" s="21">
        <f>Data!B3119</f>
        <v>0</v>
      </c>
      <c r="I3106" s="21">
        <f>Data!C3119</f>
        <v>0</v>
      </c>
      <c r="J3106">
        <f>Data!D3119</f>
        <v>0</v>
      </c>
      <c r="K3106">
        <f>Data!E3119</f>
        <v>0</v>
      </c>
      <c r="L3106">
        <f>Data!F3119</f>
        <v>0</v>
      </c>
      <c r="M3106">
        <f>Data!G3119</f>
        <v>0</v>
      </c>
      <c r="N3106">
        <f>Data!H3119</f>
        <v>0</v>
      </c>
      <c r="O3106">
        <f>Data!I3119</f>
        <v>0</v>
      </c>
      <c r="P3106" s="21">
        <f>Data!J3123</f>
        <v>0</v>
      </c>
      <c r="Q3106">
        <f>Data!K3123</f>
        <v>0</v>
      </c>
      <c r="R3106">
        <f>Data!L3123</f>
        <v>0</v>
      </c>
      <c r="S3106">
        <f>Data!M3123</f>
        <v>0</v>
      </c>
      <c r="T3106">
        <f>Data!N3123</f>
        <v>0</v>
      </c>
      <c r="U3106">
        <f>Data!O3123</f>
        <v>0</v>
      </c>
      <c r="V3106" s="33">
        <f>Data!P3121</f>
        <v>0</v>
      </c>
    </row>
    <row r="3107" spans="7:22" x14ac:dyDescent="0.25">
      <c r="G3107">
        <f>Data!A3120</f>
        <v>0</v>
      </c>
      <c r="H3107" s="21">
        <f>Data!B3120</f>
        <v>0</v>
      </c>
      <c r="I3107" s="21">
        <f>Data!C3120</f>
        <v>0</v>
      </c>
      <c r="J3107">
        <f>Data!D3120</f>
        <v>0</v>
      </c>
      <c r="K3107">
        <f>Data!E3120</f>
        <v>0</v>
      </c>
      <c r="L3107">
        <f>Data!F3120</f>
        <v>0</v>
      </c>
      <c r="M3107">
        <f>Data!G3120</f>
        <v>0</v>
      </c>
      <c r="N3107">
        <f>Data!H3120</f>
        <v>0</v>
      </c>
      <c r="O3107">
        <f>Data!I3120</f>
        <v>0</v>
      </c>
      <c r="P3107" s="21">
        <f>Data!J3124</f>
        <v>0</v>
      </c>
      <c r="Q3107">
        <f>Data!K3124</f>
        <v>0</v>
      </c>
      <c r="R3107">
        <f>Data!L3124</f>
        <v>0</v>
      </c>
      <c r="S3107">
        <f>Data!M3124</f>
        <v>0</v>
      </c>
      <c r="T3107">
        <f>Data!N3124</f>
        <v>0</v>
      </c>
      <c r="U3107">
        <f>Data!O3124</f>
        <v>0</v>
      </c>
      <c r="V3107" s="33">
        <f>Data!P3122</f>
        <v>0</v>
      </c>
    </row>
    <row r="3108" spans="7:22" x14ac:dyDescent="0.25">
      <c r="G3108">
        <f>Data!A3121</f>
        <v>0</v>
      </c>
      <c r="H3108" s="21">
        <f>Data!B3121</f>
        <v>0</v>
      </c>
      <c r="I3108" s="21">
        <f>Data!C3121</f>
        <v>0</v>
      </c>
      <c r="J3108">
        <f>Data!D3121</f>
        <v>0</v>
      </c>
      <c r="K3108">
        <f>Data!E3121</f>
        <v>0</v>
      </c>
      <c r="L3108">
        <f>Data!F3121</f>
        <v>0</v>
      </c>
      <c r="M3108">
        <f>Data!G3121</f>
        <v>0</v>
      </c>
      <c r="N3108">
        <f>Data!H3121</f>
        <v>0</v>
      </c>
      <c r="O3108">
        <f>Data!I3121</f>
        <v>0</v>
      </c>
      <c r="P3108" s="21">
        <f>Data!J3125</f>
        <v>0</v>
      </c>
      <c r="Q3108">
        <f>Data!K3125</f>
        <v>0</v>
      </c>
      <c r="R3108">
        <f>Data!L3125</f>
        <v>0</v>
      </c>
      <c r="S3108">
        <f>Data!M3125</f>
        <v>0</v>
      </c>
      <c r="T3108">
        <f>Data!N3125</f>
        <v>0</v>
      </c>
      <c r="U3108">
        <f>Data!O3125</f>
        <v>0</v>
      </c>
      <c r="V3108" s="33">
        <f>Data!P3123</f>
        <v>0</v>
      </c>
    </row>
    <row r="3109" spans="7:22" x14ac:dyDescent="0.25">
      <c r="G3109">
        <f>Data!A3122</f>
        <v>0</v>
      </c>
      <c r="H3109" s="21">
        <f>Data!B3122</f>
        <v>0</v>
      </c>
      <c r="I3109" s="21">
        <f>Data!C3122</f>
        <v>0</v>
      </c>
      <c r="J3109">
        <f>Data!D3122</f>
        <v>0</v>
      </c>
      <c r="K3109">
        <f>Data!E3122</f>
        <v>0</v>
      </c>
      <c r="L3109">
        <f>Data!F3122</f>
        <v>0</v>
      </c>
      <c r="M3109">
        <f>Data!G3122</f>
        <v>0</v>
      </c>
      <c r="N3109">
        <f>Data!H3122</f>
        <v>0</v>
      </c>
      <c r="O3109">
        <f>Data!I3122</f>
        <v>0</v>
      </c>
      <c r="P3109" s="21">
        <f>Data!J3126</f>
        <v>0</v>
      </c>
      <c r="Q3109">
        <f>Data!K3126</f>
        <v>0</v>
      </c>
      <c r="R3109">
        <f>Data!L3126</f>
        <v>0</v>
      </c>
      <c r="S3109">
        <f>Data!M3126</f>
        <v>0</v>
      </c>
      <c r="T3109">
        <f>Data!N3126</f>
        <v>0</v>
      </c>
      <c r="U3109">
        <f>Data!O3126</f>
        <v>0</v>
      </c>
      <c r="V3109" s="33">
        <f>Data!P3124</f>
        <v>0</v>
      </c>
    </row>
    <row r="3110" spans="7:22" x14ac:dyDescent="0.25">
      <c r="G3110">
        <f>Data!A3123</f>
        <v>0</v>
      </c>
      <c r="H3110" s="21">
        <f>Data!B3123</f>
        <v>0</v>
      </c>
      <c r="I3110" s="21">
        <f>Data!C3123</f>
        <v>0</v>
      </c>
      <c r="J3110">
        <f>Data!D3123</f>
        <v>0</v>
      </c>
      <c r="K3110">
        <f>Data!E3123</f>
        <v>0</v>
      </c>
      <c r="L3110">
        <f>Data!F3123</f>
        <v>0</v>
      </c>
      <c r="M3110">
        <f>Data!G3123</f>
        <v>0</v>
      </c>
      <c r="N3110">
        <f>Data!H3123</f>
        <v>0</v>
      </c>
      <c r="O3110">
        <f>Data!I3123</f>
        <v>0</v>
      </c>
      <c r="P3110" s="21">
        <f>Data!J3127</f>
        <v>0</v>
      </c>
      <c r="Q3110">
        <f>Data!K3127</f>
        <v>0</v>
      </c>
      <c r="R3110">
        <f>Data!L3127</f>
        <v>0</v>
      </c>
      <c r="S3110">
        <f>Data!M3127</f>
        <v>0</v>
      </c>
      <c r="T3110">
        <f>Data!N3127</f>
        <v>0</v>
      </c>
      <c r="U3110">
        <f>Data!O3127</f>
        <v>0</v>
      </c>
      <c r="V3110" s="33">
        <f>Data!P3125</f>
        <v>0</v>
      </c>
    </row>
    <row r="3111" spans="7:22" x14ac:dyDescent="0.25">
      <c r="G3111">
        <f>Data!A3124</f>
        <v>0</v>
      </c>
      <c r="H3111" s="21">
        <f>Data!B3124</f>
        <v>0</v>
      </c>
      <c r="I3111" s="21">
        <f>Data!C3124</f>
        <v>0</v>
      </c>
      <c r="J3111">
        <f>Data!D3124</f>
        <v>0</v>
      </c>
      <c r="K3111">
        <f>Data!E3124</f>
        <v>0</v>
      </c>
      <c r="L3111">
        <f>Data!F3124</f>
        <v>0</v>
      </c>
      <c r="M3111">
        <f>Data!G3124</f>
        <v>0</v>
      </c>
      <c r="N3111">
        <f>Data!H3124</f>
        <v>0</v>
      </c>
      <c r="O3111">
        <f>Data!I3124</f>
        <v>0</v>
      </c>
      <c r="P3111" s="21">
        <f>Data!J3128</f>
        <v>0</v>
      </c>
      <c r="Q3111">
        <f>Data!K3128</f>
        <v>0</v>
      </c>
      <c r="R3111">
        <f>Data!L3128</f>
        <v>0</v>
      </c>
      <c r="S3111">
        <f>Data!M3128</f>
        <v>0</v>
      </c>
      <c r="T3111">
        <f>Data!N3128</f>
        <v>0</v>
      </c>
      <c r="U3111">
        <f>Data!O3128</f>
        <v>0</v>
      </c>
      <c r="V3111" s="33">
        <f>Data!P3126</f>
        <v>0</v>
      </c>
    </row>
    <row r="3112" spans="7:22" x14ac:dyDescent="0.25">
      <c r="G3112">
        <f>Data!A3125</f>
        <v>0</v>
      </c>
      <c r="H3112" s="21">
        <f>Data!B3125</f>
        <v>0</v>
      </c>
      <c r="I3112" s="21">
        <f>Data!C3125</f>
        <v>0</v>
      </c>
      <c r="J3112">
        <f>Data!D3125</f>
        <v>0</v>
      </c>
      <c r="K3112">
        <f>Data!E3125</f>
        <v>0</v>
      </c>
      <c r="L3112">
        <f>Data!F3125</f>
        <v>0</v>
      </c>
      <c r="M3112">
        <f>Data!G3125</f>
        <v>0</v>
      </c>
      <c r="N3112">
        <f>Data!H3125</f>
        <v>0</v>
      </c>
      <c r="O3112">
        <f>Data!I3125</f>
        <v>0</v>
      </c>
      <c r="P3112" s="21">
        <f>Data!J3129</f>
        <v>0</v>
      </c>
      <c r="Q3112">
        <f>Data!K3129</f>
        <v>0</v>
      </c>
      <c r="R3112">
        <f>Data!L3129</f>
        <v>0</v>
      </c>
      <c r="S3112">
        <f>Data!M3129</f>
        <v>0</v>
      </c>
      <c r="T3112">
        <f>Data!N3129</f>
        <v>0</v>
      </c>
      <c r="U3112">
        <f>Data!O3129</f>
        <v>0</v>
      </c>
      <c r="V3112" s="33">
        <f>Data!P3127</f>
        <v>0</v>
      </c>
    </row>
    <row r="3113" spans="7:22" x14ac:dyDescent="0.25">
      <c r="G3113">
        <f>Data!A3126</f>
        <v>0</v>
      </c>
      <c r="H3113" s="21">
        <f>Data!B3126</f>
        <v>0</v>
      </c>
      <c r="I3113" s="21">
        <f>Data!C3126</f>
        <v>0</v>
      </c>
      <c r="J3113">
        <f>Data!D3126</f>
        <v>0</v>
      </c>
      <c r="K3113">
        <f>Data!E3126</f>
        <v>0</v>
      </c>
      <c r="L3113">
        <f>Data!F3126</f>
        <v>0</v>
      </c>
      <c r="M3113">
        <f>Data!G3126</f>
        <v>0</v>
      </c>
      <c r="N3113">
        <f>Data!H3126</f>
        <v>0</v>
      </c>
      <c r="O3113">
        <f>Data!I3126</f>
        <v>0</v>
      </c>
      <c r="P3113" s="21">
        <f>Data!J3130</f>
        <v>0</v>
      </c>
      <c r="Q3113">
        <f>Data!K3130</f>
        <v>0</v>
      </c>
      <c r="R3113">
        <f>Data!L3130</f>
        <v>0</v>
      </c>
      <c r="S3113">
        <f>Data!M3130</f>
        <v>0</v>
      </c>
      <c r="T3113">
        <f>Data!N3130</f>
        <v>0</v>
      </c>
      <c r="U3113">
        <f>Data!O3130</f>
        <v>0</v>
      </c>
      <c r="V3113" s="33">
        <f>Data!P3128</f>
        <v>0</v>
      </c>
    </row>
    <row r="3114" spans="7:22" x14ac:dyDescent="0.25">
      <c r="G3114">
        <f>Data!A3127</f>
        <v>0</v>
      </c>
      <c r="H3114" s="21">
        <f>Data!B3127</f>
        <v>0</v>
      </c>
      <c r="I3114" s="21">
        <f>Data!C3127</f>
        <v>0</v>
      </c>
      <c r="J3114">
        <f>Data!D3127</f>
        <v>0</v>
      </c>
      <c r="K3114">
        <f>Data!E3127</f>
        <v>0</v>
      </c>
      <c r="L3114">
        <f>Data!F3127</f>
        <v>0</v>
      </c>
      <c r="M3114">
        <f>Data!G3127</f>
        <v>0</v>
      </c>
      <c r="N3114">
        <f>Data!H3127</f>
        <v>0</v>
      </c>
      <c r="O3114">
        <f>Data!I3127</f>
        <v>0</v>
      </c>
      <c r="P3114" s="21">
        <f>Data!J3131</f>
        <v>0</v>
      </c>
      <c r="Q3114">
        <f>Data!K3131</f>
        <v>0</v>
      </c>
      <c r="R3114">
        <f>Data!L3131</f>
        <v>0</v>
      </c>
      <c r="S3114">
        <f>Data!M3131</f>
        <v>0</v>
      </c>
      <c r="T3114">
        <f>Data!N3131</f>
        <v>0</v>
      </c>
      <c r="U3114">
        <f>Data!O3131</f>
        <v>0</v>
      </c>
      <c r="V3114" s="33">
        <f>Data!P3129</f>
        <v>0</v>
      </c>
    </row>
    <row r="3115" spans="7:22" x14ac:dyDescent="0.25">
      <c r="G3115">
        <f>Data!A3128</f>
        <v>0</v>
      </c>
      <c r="H3115" s="21">
        <f>Data!B3128</f>
        <v>0</v>
      </c>
      <c r="I3115" s="21">
        <f>Data!C3128</f>
        <v>0</v>
      </c>
      <c r="J3115">
        <f>Data!D3128</f>
        <v>0</v>
      </c>
      <c r="K3115">
        <f>Data!E3128</f>
        <v>0</v>
      </c>
      <c r="L3115">
        <f>Data!F3128</f>
        <v>0</v>
      </c>
      <c r="M3115">
        <f>Data!G3128</f>
        <v>0</v>
      </c>
      <c r="N3115">
        <f>Data!H3128</f>
        <v>0</v>
      </c>
      <c r="O3115">
        <f>Data!I3128</f>
        <v>0</v>
      </c>
      <c r="P3115" s="21">
        <f>Data!J3132</f>
        <v>0</v>
      </c>
      <c r="Q3115">
        <f>Data!K3132</f>
        <v>0</v>
      </c>
      <c r="R3115">
        <f>Data!L3132</f>
        <v>0</v>
      </c>
      <c r="S3115">
        <f>Data!M3132</f>
        <v>0</v>
      </c>
      <c r="T3115">
        <f>Data!N3132</f>
        <v>0</v>
      </c>
      <c r="U3115">
        <f>Data!O3132</f>
        <v>0</v>
      </c>
      <c r="V3115" s="33">
        <f>Data!P3130</f>
        <v>0</v>
      </c>
    </row>
    <row r="3116" spans="7:22" x14ac:dyDescent="0.25">
      <c r="G3116">
        <f>Data!A3129</f>
        <v>0</v>
      </c>
      <c r="H3116" s="21">
        <f>Data!B3129</f>
        <v>0</v>
      </c>
      <c r="I3116" s="21">
        <f>Data!C3129</f>
        <v>0</v>
      </c>
      <c r="J3116">
        <f>Data!D3129</f>
        <v>0</v>
      </c>
      <c r="K3116">
        <f>Data!E3129</f>
        <v>0</v>
      </c>
      <c r="L3116">
        <f>Data!F3129</f>
        <v>0</v>
      </c>
      <c r="M3116">
        <f>Data!G3129</f>
        <v>0</v>
      </c>
      <c r="N3116">
        <f>Data!H3129</f>
        <v>0</v>
      </c>
      <c r="O3116">
        <f>Data!I3129</f>
        <v>0</v>
      </c>
      <c r="P3116" s="21">
        <f>Data!J3133</f>
        <v>0</v>
      </c>
      <c r="Q3116">
        <f>Data!K3133</f>
        <v>0</v>
      </c>
      <c r="R3116">
        <f>Data!L3133</f>
        <v>0</v>
      </c>
      <c r="S3116">
        <f>Data!M3133</f>
        <v>0</v>
      </c>
      <c r="T3116">
        <f>Data!N3133</f>
        <v>0</v>
      </c>
      <c r="U3116">
        <f>Data!O3133</f>
        <v>0</v>
      </c>
      <c r="V3116" s="33">
        <f>Data!P3131</f>
        <v>0</v>
      </c>
    </row>
    <row r="3117" spans="7:22" x14ac:dyDescent="0.25">
      <c r="G3117">
        <f>Data!A3130</f>
        <v>0</v>
      </c>
      <c r="H3117" s="21">
        <f>Data!B3130</f>
        <v>0</v>
      </c>
      <c r="I3117" s="21">
        <f>Data!C3130</f>
        <v>0</v>
      </c>
      <c r="J3117">
        <f>Data!D3130</f>
        <v>0</v>
      </c>
      <c r="K3117">
        <f>Data!E3130</f>
        <v>0</v>
      </c>
      <c r="L3117">
        <f>Data!F3130</f>
        <v>0</v>
      </c>
      <c r="M3117">
        <f>Data!G3130</f>
        <v>0</v>
      </c>
      <c r="N3117">
        <f>Data!H3130</f>
        <v>0</v>
      </c>
      <c r="O3117">
        <f>Data!I3130</f>
        <v>0</v>
      </c>
      <c r="P3117" s="21">
        <f>Data!J3134</f>
        <v>0</v>
      </c>
      <c r="Q3117">
        <f>Data!K3134</f>
        <v>0</v>
      </c>
      <c r="R3117">
        <f>Data!L3134</f>
        <v>0</v>
      </c>
      <c r="S3117">
        <f>Data!M3134</f>
        <v>0</v>
      </c>
      <c r="T3117">
        <f>Data!N3134</f>
        <v>0</v>
      </c>
      <c r="U3117">
        <f>Data!O3134</f>
        <v>0</v>
      </c>
      <c r="V3117" s="33">
        <f>Data!P3132</f>
        <v>0</v>
      </c>
    </row>
    <row r="3118" spans="7:22" x14ac:dyDescent="0.25">
      <c r="G3118">
        <f>Data!A3131</f>
        <v>0</v>
      </c>
      <c r="H3118" s="21">
        <f>Data!B3131</f>
        <v>0</v>
      </c>
      <c r="I3118" s="21">
        <f>Data!C3131</f>
        <v>0</v>
      </c>
      <c r="J3118">
        <f>Data!D3131</f>
        <v>0</v>
      </c>
      <c r="K3118">
        <f>Data!E3131</f>
        <v>0</v>
      </c>
      <c r="L3118">
        <f>Data!F3131</f>
        <v>0</v>
      </c>
      <c r="M3118">
        <f>Data!G3131</f>
        <v>0</v>
      </c>
      <c r="N3118">
        <f>Data!H3131</f>
        <v>0</v>
      </c>
      <c r="O3118">
        <f>Data!I3131</f>
        <v>0</v>
      </c>
      <c r="P3118" s="21">
        <f>Data!J3135</f>
        <v>0</v>
      </c>
      <c r="Q3118">
        <f>Data!K3135</f>
        <v>0</v>
      </c>
      <c r="R3118">
        <f>Data!L3135</f>
        <v>0</v>
      </c>
      <c r="S3118">
        <f>Data!M3135</f>
        <v>0</v>
      </c>
      <c r="T3118">
        <f>Data!N3135</f>
        <v>0</v>
      </c>
      <c r="U3118">
        <f>Data!O3135</f>
        <v>0</v>
      </c>
      <c r="V3118" s="33">
        <f>Data!P3133</f>
        <v>0</v>
      </c>
    </row>
    <row r="3119" spans="7:22" x14ac:dyDescent="0.25">
      <c r="G3119">
        <f>Data!A3132</f>
        <v>0</v>
      </c>
      <c r="H3119" s="21">
        <f>Data!B3132</f>
        <v>0</v>
      </c>
      <c r="I3119" s="21">
        <f>Data!C3132</f>
        <v>0</v>
      </c>
      <c r="J3119">
        <f>Data!D3132</f>
        <v>0</v>
      </c>
      <c r="K3119">
        <f>Data!E3132</f>
        <v>0</v>
      </c>
      <c r="L3119">
        <f>Data!F3132</f>
        <v>0</v>
      </c>
      <c r="M3119">
        <f>Data!G3132</f>
        <v>0</v>
      </c>
      <c r="N3119">
        <f>Data!H3132</f>
        <v>0</v>
      </c>
      <c r="O3119">
        <f>Data!I3132</f>
        <v>0</v>
      </c>
      <c r="P3119" s="21">
        <f>Data!J3136</f>
        <v>0</v>
      </c>
      <c r="Q3119">
        <f>Data!K3136</f>
        <v>0</v>
      </c>
      <c r="R3119">
        <f>Data!L3136</f>
        <v>0</v>
      </c>
      <c r="S3119">
        <f>Data!M3136</f>
        <v>0</v>
      </c>
      <c r="T3119">
        <f>Data!N3136</f>
        <v>0</v>
      </c>
      <c r="U3119">
        <f>Data!O3136</f>
        <v>0</v>
      </c>
      <c r="V3119" s="33">
        <f>Data!P3134</f>
        <v>0</v>
      </c>
    </row>
    <row r="3120" spans="7:22" x14ac:dyDescent="0.25">
      <c r="G3120">
        <f>Data!A3133</f>
        <v>0</v>
      </c>
      <c r="H3120" s="21">
        <f>Data!B3133</f>
        <v>0</v>
      </c>
      <c r="I3120" s="21">
        <f>Data!C3133</f>
        <v>0</v>
      </c>
      <c r="J3120">
        <f>Data!D3133</f>
        <v>0</v>
      </c>
      <c r="K3120">
        <f>Data!E3133</f>
        <v>0</v>
      </c>
      <c r="L3120">
        <f>Data!F3133</f>
        <v>0</v>
      </c>
      <c r="M3120">
        <f>Data!G3133</f>
        <v>0</v>
      </c>
      <c r="N3120">
        <f>Data!H3133</f>
        <v>0</v>
      </c>
      <c r="O3120">
        <f>Data!I3133</f>
        <v>0</v>
      </c>
      <c r="P3120" s="21">
        <f>Data!J3137</f>
        <v>0</v>
      </c>
      <c r="Q3120">
        <f>Data!K3137</f>
        <v>0</v>
      </c>
      <c r="R3120">
        <f>Data!L3137</f>
        <v>0</v>
      </c>
      <c r="S3120">
        <f>Data!M3137</f>
        <v>0</v>
      </c>
      <c r="T3120">
        <f>Data!N3137</f>
        <v>0</v>
      </c>
      <c r="U3120">
        <f>Data!O3137</f>
        <v>0</v>
      </c>
      <c r="V3120" s="33">
        <f>Data!P3135</f>
        <v>0</v>
      </c>
    </row>
    <row r="3121" spans="7:22" x14ac:dyDescent="0.25">
      <c r="G3121">
        <f>Data!A3134</f>
        <v>0</v>
      </c>
      <c r="H3121" s="21">
        <f>Data!B3134</f>
        <v>0</v>
      </c>
      <c r="I3121" s="21">
        <f>Data!C3134</f>
        <v>0</v>
      </c>
      <c r="J3121">
        <f>Data!D3134</f>
        <v>0</v>
      </c>
      <c r="K3121">
        <f>Data!E3134</f>
        <v>0</v>
      </c>
      <c r="L3121">
        <f>Data!F3134</f>
        <v>0</v>
      </c>
      <c r="M3121">
        <f>Data!G3134</f>
        <v>0</v>
      </c>
      <c r="N3121">
        <f>Data!H3134</f>
        <v>0</v>
      </c>
      <c r="O3121">
        <f>Data!I3134</f>
        <v>0</v>
      </c>
      <c r="P3121" s="21">
        <f>Data!J3138</f>
        <v>0</v>
      </c>
      <c r="Q3121">
        <f>Data!K3138</f>
        <v>0</v>
      </c>
      <c r="R3121">
        <f>Data!L3138</f>
        <v>0</v>
      </c>
      <c r="S3121">
        <f>Data!M3138</f>
        <v>0</v>
      </c>
      <c r="T3121">
        <f>Data!N3138</f>
        <v>0</v>
      </c>
      <c r="U3121">
        <f>Data!O3138</f>
        <v>0</v>
      </c>
      <c r="V3121" s="33">
        <f>Data!P3136</f>
        <v>0</v>
      </c>
    </row>
    <row r="3122" spans="7:22" x14ac:dyDescent="0.25">
      <c r="G3122">
        <f>Data!A3135</f>
        <v>0</v>
      </c>
      <c r="H3122" s="21">
        <f>Data!B3135</f>
        <v>0</v>
      </c>
      <c r="I3122" s="21">
        <f>Data!C3135</f>
        <v>0</v>
      </c>
      <c r="J3122">
        <f>Data!D3135</f>
        <v>0</v>
      </c>
      <c r="K3122">
        <f>Data!E3135</f>
        <v>0</v>
      </c>
      <c r="L3122">
        <f>Data!F3135</f>
        <v>0</v>
      </c>
      <c r="M3122">
        <f>Data!G3135</f>
        <v>0</v>
      </c>
      <c r="N3122">
        <f>Data!H3135</f>
        <v>0</v>
      </c>
      <c r="O3122">
        <f>Data!I3135</f>
        <v>0</v>
      </c>
      <c r="P3122" s="21">
        <f>Data!J3139</f>
        <v>0</v>
      </c>
      <c r="Q3122">
        <f>Data!K3139</f>
        <v>0</v>
      </c>
      <c r="R3122">
        <f>Data!L3139</f>
        <v>0</v>
      </c>
      <c r="S3122">
        <f>Data!M3139</f>
        <v>0</v>
      </c>
      <c r="T3122">
        <f>Data!N3139</f>
        <v>0</v>
      </c>
      <c r="U3122">
        <f>Data!O3139</f>
        <v>0</v>
      </c>
      <c r="V3122" s="33">
        <f>Data!P3137</f>
        <v>0</v>
      </c>
    </row>
    <row r="3123" spans="7:22" x14ac:dyDescent="0.25">
      <c r="G3123">
        <f>Data!A3136</f>
        <v>0</v>
      </c>
      <c r="H3123" s="21">
        <f>Data!B3136</f>
        <v>0</v>
      </c>
      <c r="I3123" s="21">
        <f>Data!C3136</f>
        <v>0</v>
      </c>
      <c r="J3123">
        <f>Data!D3136</f>
        <v>0</v>
      </c>
      <c r="K3123">
        <f>Data!E3136</f>
        <v>0</v>
      </c>
      <c r="L3123">
        <f>Data!F3136</f>
        <v>0</v>
      </c>
      <c r="M3123">
        <f>Data!G3136</f>
        <v>0</v>
      </c>
      <c r="N3123">
        <f>Data!H3136</f>
        <v>0</v>
      </c>
      <c r="O3123">
        <f>Data!I3136</f>
        <v>0</v>
      </c>
      <c r="P3123" s="21">
        <f>Data!J3140</f>
        <v>0</v>
      </c>
      <c r="Q3123">
        <f>Data!K3140</f>
        <v>0</v>
      </c>
      <c r="R3123">
        <f>Data!L3140</f>
        <v>0</v>
      </c>
      <c r="S3123">
        <f>Data!M3140</f>
        <v>0</v>
      </c>
      <c r="T3123">
        <f>Data!N3140</f>
        <v>0</v>
      </c>
      <c r="U3123">
        <f>Data!O3140</f>
        <v>0</v>
      </c>
      <c r="V3123" s="33">
        <f>Data!P3138</f>
        <v>0</v>
      </c>
    </row>
    <row r="3124" spans="7:22" x14ac:dyDescent="0.25">
      <c r="G3124">
        <f>Data!A3137</f>
        <v>0</v>
      </c>
      <c r="H3124" s="21">
        <f>Data!B3137</f>
        <v>0</v>
      </c>
      <c r="I3124" s="21">
        <f>Data!C3137</f>
        <v>0</v>
      </c>
      <c r="J3124">
        <f>Data!D3137</f>
        <v>0</v>
      </c>
      <c r="K3124">
        <f>Data!E3137</f>
        <v>0</v>
      </c>
      <c r="L3124">
        <f>Data!F3137</f>
        <v>0</v>
      </c>
      <c r="M3124">
        <f>Data!G3137</f>
        <v>0</v>
      </c>
      <c r="N3124">
        <f>Data!H3137</f>
        <v>0</v>
      </c>
      <c r="O3124">
        <f>Data!I3137</f>
        <v>0</v>
      </c>
      <c r="P3124" s="21">
        <f>Data!J3141</f>
        <v>0</v>
      </c>
      <c r="Q3124">
        <f>Data!K3141</f>
        <v>0</v>
      </c>
      <c r="R3124">
        <f>Data!L3141</f>
        <v>0</v>
      </c>
      <c r="S3124">
        <f>Data!M3141</f>
        <v>0</v>
      </c>
      <c r="T3124">
        <f>Data!N3141</f>
        <v>0</v>
      </c>
      <c r="U3124">
        <f>Data!O3141</f>
        <v>0</v>
      </c>
      <c r="V3124" s="33">
        <f>Data!P3139</f>
        <v>0</v>
      </c>
    </row>
    <row r="3125" spans="7:22" x14ac:dyDescent="0.25">
      <c r="G3125">
        <f>Data!A3138</f>
        <v>0</v>
      </c>
      <c r="H3125" s="21">
        <f>Data!B3138</f>
        <v>0</v>
      </c>
      <c r="I3125" s="21">
        <f>Data!C3138</f>
        <v>0</v>
      </c>
      <c r="J3125">
        <f>Data!D3138</f>
        <v>0</v>
      </c>
      <c r="K3125">
        <f>Data!E3138</f>
        <v>0</v>
      </c>
      <c r="L3125">
        <f>Data!F3138</f>
        <v>0</v>
      </c>
      <c r="M3125">
        <f>Data!G3138</f>
        <v>0</v>
      </c>
      <c r="N3125">
        <f>Data!H3138</f>
        <v>0</v>
      </c>
      <c r="O3125">
        <f>Data!I3138</f>
        <v>0</v>
      </c>
      <c r="P3125" s="21">
        <f>Data!J3142</f>
        <v>0</v>
      </c>
      <c r="Q3125">
        <f>Data!K3142</f>
        <v>0</v>
      </c>
      <c r="R3125">
        <f>Data!L3142</f>
        <v>0</v>
      </c>
      <c r="S3125">
        <f>Data!M3142</f>
        <v>0</v>
      </c>
      <c r="T3125">
        <f>Data!N3142</f>
        <v>0</v>
      </c>
      <c r="U3125">
        <f>Data!O3142</f>
        <v>0</v>
      </c>
      <c r="V3125" s="33">
        <f>Data!P3140</f>
        <v>0</v>
      </c>
    </row>
    <row r="3126" spans="7:22" x14ac:dyDescent="0.25">
      <c r="G3126">
        <f>Data!A3139</f>
        <v>0</v>
      </c>
      <c r="H3126" s="21">
        <f>Data!B3139</f>
        <v>0</v>
      </c>
      <c r="I3126" s="21">
        <f>Data!C3139</f>
        <v>0</v>
      </c>
      <c r="J3126">
        <f>Data!D3139</f>
        <v>0</v>
      </c>
      <c r="K3126">
        <f>Data!E3139</f>
        <v>0</v>
      </c>
      <c r="L3126">
        <f>Data!F3139</f>
        <v>0</v>
      </c>
      <c r="M3126">
        <f>Data!G3139</f>
        <v>0</v>
      </c>
      <c r="N3126">
        <f>Data!H3139</f>
        <v>0</v>
      </c>
      <c r="O3126">
        <f>Data!I3139</f>
        <v>0</v>
      </c>
      <c r="P3126" s="21">
        <f>Data!J3143</f>
        <v>0</v>
      </c>
      <c r="Q3126">
        <f>Data!K3143</f>
        <v>0</v>
      </c>
      <c r="R3126">
        <f>Data!L3143</f>
        <v>0</v>
      </c>
      <c r="S3126">
        <f>Data!M3143</f>
        <v>0</v>
      </c>
      <c r="T3126">
        <f>Data!N3143</f>
        <v>0</v>
      </c>
      <c r="U3126">
        <f>Data!O3143</f>
        <v>0</v>
      </c>
      <c r="V3126" s="33">
        <f>Data!P3141</f>
        <v>0</v>
      </c>
    </row>
    <row r="3127" spans="7:22" x14ac:dyDescent="0.25">
      <c r="G3127">
        <f>Data!A3140</f>
        <v>0</v>
      </c>
      <c r="H3127" s="21">
        <f>Data!B3140</f>
        <v>0</v>
      </c>
      <c r="I3127" s="21">
        <f>Data!C3140</f>
        <v>0</v>
      </c>
      <c r="J3127">
        <f>Data!D3140</f>
        <v>0</v>
      </c>
      <c r="K3127">
        <f>Data!E3140</f>
        <v>0</v>
      </c>
      <c r="L3127">
        <f>Data!F3140</f>
        <v>0</v>
      </c>
      <c r="M3127">
        <f>Data!G3140</f>
        <v>0</v>
      </c>
      <c r="N3127">
        <f>Data!H3140</f>
        <v>0</v>
      </c>
      <c r="O3127">
        <f>Data!I3140</f>
        <v>0</v>
      </c>
      <c r="P3127" s="21">
        <f>Data!J3144</f>
        <v>0</v>
      </c>
      <c r="Q3127">
        <f>Data!K3144</f>
        <v>0</v>
      </c>
      <c r="R3127">
        <f>Data!L3144</f>
        <v>0</v>
      </c>
      <c r="S3127">
        <f>Data!M3144</f>
        <v>0</v>
      </c>
      <c r="T3127">
        <f>Data!N3144</f>
        <v>0</v>
      </c>
      <c r="U3127">
        <f>Data!O3144</f>
        <v>0</v>
      </c>
      <c r="V3127" s="33">
        <f>Data!P3142</f>
        <v>0</v>
      </c>
    </row>
    <row r="3128" spans="7:22" x14ac:dyDescent="0.25">
      <c r="G3128">
        <f>Data!A3141</f>
        <v>0</v>
      </c>
      <c r="H3128" s="21">
        <f>Data!B3141</f>
        <v>0</v>
      </c>
      <c r="I3128" s="21">
        <f>Data!C3141</f>
        <v>0</v>
      </c>
      <c r="J3128">
        <f>Data!D3141</f>
        <v>0</v>
      </c>
      <c r="K3128">
        <f>Data!E3141</f>
        <v>0</v>
      </c>
      <c r="L3128">
        <f>Data!F3141</f>
        <v>0</v>
      </c>
      <c r="M3128">
        <f>Data!G3141</f>
        <v>0</v>
      </c>
      <c r="N3128">
        <f>Data!H3141</f>
        <v>0</v>
      </c>
      <c r="O3128">
        <f>Data!I3141</f>
        <v>0</v>
      </c>
      <c r="P3128" s="21">
        <f>Data!J3145</f>
        <v>0</v>
      </c>
      <c r="Q3128">
        <f>Data!K3145</f>
        <v>0</v>
      </c>
      <c r="R3128">
        <f>Data!L3145</f>
        <v>0</v>
      </c>
      <c r="S3128">
        <f>Data!M3145</f>
        <v>0</v>
      </c>
      <c r="T3128">
        <f>Data!N3145</f>
        <v>0</v>
      </c>
      <c r="U3128">
        <f>Data!O3145</f>
        <v>0</v>
      </c>
      <c r="V3128" s="33">
        <f>Data!P3143</f>
        <v>0</v>
      </c>
    </row>
    <row r="3129" spans="7:22" x14ac:dyDescent="0.25">
      <c r="G3129">
        <f>Data!A3142</f>
        <v>0</v>
      </c>
      <c r="H3129" s="21">
        <f>Data!B3142</f>
        <v>0</v>
      </c>
      <c r="I3129" s="21">
        <f>Data!C3142</f>
        <v>0</v>
      </c>
      <c r="J3129">
        <f>Data!D3142</f>
        <v>0</v>
      </c>
      <c r="K3129">
        <f>Data!E3142</f>
        <v>0</v>
      </c>
      <c r="L3129">
        <f>Data!F3142</f>
        <v>0</v>
      </c>
      <c r="M3129">
        <f>Data!G3142</f>
        <v>0</v>
      </c>
      <c r="N3129">
        <f>Data!H3142</f>
        <v>0</v>
      </c>
      <c r="O3129">
        <f>Data!I3142</f>
        <v>0</v>
      </c>
      <c r="P3129" s="21">
        <f>Data!J3146</f>
        <v>0</v>
      </c>
      <c r="Q3129">
        <f>Data!K3146</f>
        <v>0</v>
      </c>
      <c r="R3129">
        <f>Data!L3146</f>
        <v>0</v>
      </c>
      <c r="S3129">
        <f>Data!M3146</f>
        <v>0</v>
      </c>
      <c r="T3129">
        <f>Data!N3146</f>
        <v>0</v>
      </c>
      <c r="U3129">
        <f>Data!O3146</f>
        <v>0</v>
      </c>
      <c r="V3129" s="33">
        <f>Data!P3144</f>
        <v>0</v>
      </c>
    </row>
    <row r="3130" spans="7:22" x14ac:dyDescent="0.25">
      <c r="G3130">
        <f>Data!A3143</f>
        <v>0</v>
      </c>
      <c r="H3130" s="21">
        <f>Data!B3143</f>
        <v>0</v>
      </c>
      <c r="I3130" s="21">
        <f>Data!C3143</f>
        <v>0</v>
      </c>
      <c r="J3130">
        <f>Data!D3143</f>
        <v>0</v>
      </c>
      <c r="K3130">
        <f>Data!E3143</f>
        <v>0</v>
      </c>
      <c r="L3130">
        <f>Data!F3143</f>
        <v>0</v>
      </c>
      <c r="M3130">
        <f>Data!G3143</f>
        <v>0</v>
      </c>
      <c r="N3130">
        <f>Data!H3143</f>
        <v>0</v>
      </c>
      <c r="O3130">
        <f>Data!I3143</f>
        <v>0</v>
      </c>
      <c r="P3130" s="21">
        <f>Data!J3147</f>
        <v>0</v>
      </c>
      <c r="Q3130">
        <f>Data!K3147</f>
        <v>0</v>
      </c>
      <c r="R3130">
        <f>Data!L3147</f>
        <v>0</v>
      </c>
      <c r="S3130">
        <f>Data!M3147</f>
        <v>0</v>
      </c>
      <c r="T3130">
        <f>Data!N3147</f>
        <v>0</v>
      </c>
      <c r="U3130">
        <f>Data!O3147</f>
        <v>0</v>
      </c>
      <c r="V3130" s="33">
        <f>Data!P3145</f>
        <v>0</v>
      </c>
    </row>
    <row r="3131" spans="7:22" x14ac:dyDescent="0.25">
      <c r="G3131">
        <f>Data!A3144</f>
        <v>0</v>
      </c>
      <c r="H3131" s="21">
        <f>Data!B3144</f>
        <v>0</v>
      </c>
      <c r="I3131" s="21">
        <f>Data!C3144</f>
        <v>0</v>
      </c>
      <c r="J3131">
        <f>Data!D3144</f>
        <v>0</v>
      </c>
      <c r="K3131">
        <f>Data!E3144</f>
        <v>0</v>
      </c>
      <c r="L3131">
        <f>Data!F3144</f>
        <v>0</v>
      </c>
      <c r="M3131">
        <f>Data!G3144</f>
        <v>0</v>
      </c>
      <c r="N3131">
        <f>Data!H3144</f>
        <v>0</v>
      </c>
      <c r="O3131">
        <f>Data!I3144</f>
        <v>0</v>
      </c>
      <c r="P3131" s="21">
        <f>Data!J3148</f>
        <v>0</v>
      </c>
      <c r="Q3131">
        <f>Data!K3148</f>
        <v>0</v>
      </c>
      <c r="R3131">
        <f>Data!L3148</f>
        <v>0</v>
      </c>
      <c r="S3131">
        <f>Data!M3148</f>
        <v>0</v>
      </c>
      <c r="T3131">
        <f>Data!N3148</f>
        <v>0</v>
      </c>
      <c r="U3131">
        <f>Data!O3148</f>
        <v>0</v>
      </c>
      <c r="V3131" s="33">
        <f>Data!P3146</f>
        <v>0</v>
      </c>
    </row>
    <row r="3132" spans="7:22" x14ac:dyDescent="0.25">
      <c r="G3132">
        <f>Data!A3145</f>
        <v>0</v>
      </c>
      <c r="H3132" s="21">
        <f>Data!B3145</f>
        <v>0</v>
      </c>
      <c r="I3132" s="21">
        <f>Data!C3145</f>
        <v>0</v>
      </c>
      <c r="J3132">
        <f>Data!D3145</f>
        <v>0</v>
      </c>
      <c r="K3132">
        <f>Data!E3145</f>
        <v>0</v>
      </c>
      <c r="L3132">
        <f>Data!F3145</f>
        <v>0</v>
      </c>
      <c r="M3132">
        <f>Data!G3145</f>
        <v>0</v>
      </c>
      <c r="N3132">
        <f>Data!H3145</f>
        <v>0</v>
      </c>
      <c r="O3132">
        <f>Data!I3145</f>
        <v>0</v>
      </c>
      <c r="P3132" s="21">
        <f>Data!J3149</f>
        <v>0</v>
      </c>
      <c r="Q3132">
        <f>Data!K3149</f>
        <v>0</v>
      </c>
      <c r="R3132">
        <f>Data!L3149</f>
        <v>0</v>
      </c>
      <c r="S3132">
        <f>Data!M3149</f>
        <v>0</v>
      </c>
      <c r="T3132">
        <f>Data!N3149</f>
        <v>0</v>
      </c>
      <c r="U3132">
        <f>Data!O3149</f>
        <v>0</v>
      </c>
      <c r="V3132" s="33">
        <f>Data!P3147</f>
        <v>0</v>
      </c>
    </row>
    <row r="3133" spans="7:22" x14ac:dyDescent="0.25">
      <c r="G3133">
        <f>Data!A3146</f>
        <v>0</v>
      </c>
      <c r="H3133" s="21">
        <f>Data!B3146</f>
        <v>0</v>
      </c>
      <c r="I3133" s="21">
        <f>Data!C3146</f>
        <v>0</v>
      </c>
      <c r="J3133">
        <f>Data!D3146</f>
        <v>0</v>
      </c>
      <c r="K3133">
        <f>Data!E3146</f>
        <v>0</v>
      </c>
      <c r="L3133">
        <f>Data!F3146</f>
        <v>0</v>
      </c>
      <c r="M3133">
        <f>Data!G3146</f>
        <v>0</v>
      </c>
      <c r="N3133">
        <f>Data!H3146</f>
        <v>0</v>
      </c>
      <c r="O3133">
        <f>Data!I3146</f>
        <v>0</v>
      </c>
      <c r="P3133" s="21">
        <f>Data!J3150</f>
        <v>0</v>
      </c>
      <c r="Q3133">
        <f>Data!K3150</f>
        <v>0</v>
      </c>
      <c r="R3133">
        <f>Data!L3150</f>
        <v>0</v>
      </c>
      <c r="S3133">
        <f>Data!M3150</f>
        <v>0</v>
      </c>
      <c r="T3133">
        <f>Data!N3150</f>
        <v>0</v>
      </c>
      <c r="U3133">
        <f>Data!O3150</f>
        <v>0</v>
      </c>
      <c r="V3133" s="33">
        <f>Data!P3148</f>
        <v>0</v>
      </c>
    </row>
    <row r="3134" spans="7:22" x14ac:dyDescent="0.25">
      <c r="G3134">
        <f>Data!A3147</f>
        <v>0</v>
      </c>
      <c r="H3134" s="21">
        <f>Data!B3147</f>
        <v>0</v>
      </c>
      <c r="I3134" s="21">
        <f>Data!C3147</f>
        <v>0</v>
      </c>
      <c r="J3134">
        <f>Data!D3147</f>
        <v>0</v>
      </c>
      <c r="K3134">
        <f>Data!E3147</f>
        <v>0</v>
      </c>
      <c r="L3134">
        <f>Data!F3147</f>
        <v>0</v>
      </c>
      <c r="M3134">
        <f>Data!G3147</f>
        <v>0</v>
      </c>
      <c r="N3134">
        <f>Data!H3147</f>
        <v>0</v>
      </c>
      <c r="O3134">
        <f>Data!I3147</f>
        <v>0</v>
      </c>
      <c r="P3134" s="21">
        <f>Data!J3151</f>
        <v>0</v>
      </c>
      <c r="Q3134">
        <f>Data!K3151</f>
        <v>0</v>
      </c>
      <c r="R3134">
        <f>Data!L3151</f>
        <v>0</v>
      </c>
      <c r="S3134">
        <f>Data!M3151</f>
        <v>0</v>
      </c>
      <c r="T3134">
        <f>Data!N3151</f>
        <v>0</v>
      </c>
      <c r="U3134">
        <f>Data!O3151</f>
        <v>0</v>
      </c>
      <c r="V3134" s="33">
        <f>Data!P3149</f>
        <v>0</v>
      </c>
    </row>
    <row r="3135" spans="7:22" x14ac:dyDescent="0.25">
      <c r="G3135">
        <f>Data!A3148</f>
        <v>0</v>
      </c>
      <c r="H3135" s="21">
        <f>Data!B3148</f>
        <v>0</v>
      </c>
      <c r="I3135" s="21">
        <f>Data!C3148</f>
        <v>0</v>
      </c>
      <c r="J3135">
        <f>Data!D3148</f>
        <v>0</v>
      </c>
      <c r="K3135">
        <f>Data!E3148</f>
        <v>0</v>
      </c>
      <c r="L3135">
        <f>Data!F3148</f>
        <v>0</v>
      </c>
      <c r="M3135">
        <f>Data!G3148</f>
        <v>0</v>
      </c>
      <c r="N3135">
        <f>Data!H3148</f>
        <v>0</v>
      </c>
      <c r="O3135">
        <f>Data!I3148</f>
        <v>0</v>
      </c>
      <c r="P3135" s="21">
        <f>Data!J3152</f>
        <v>0</v>
      </c>
      <c r="Q3135">
        <f>Data!K3152</f>
        <v>0</v>
      </c>
      <c r="R3135">
        <f>Data!L3152</f>
        <v>0</v>
      </c>
      <c r="S3135">
        <f>Data!M3152</f>
        <v>0</v>
      </c>
      <c r="T3135">
        <f>Data!N3152</f>
        <v>0</v>
      </c>
      <c r="U3135">
        <f>Data!O3152</f>
        <v>0</v>
      </c>
      <c r="V3135" s="33">
        <f>Data!P3150</f>
        <v>0</v>
      </c>
    </row>
    <row r="3136" spans="7:22" x14ac:dyDescent="0.25">
      <c r="G3136">
        <f>Data!A3149</f>
        <v>0</v>
      </c>
      <c r="H3136" s="21">
        <f>Data!B3149</f>
        <v>0</v>
      </c>
      <c r="I3136" s="21">
        <f>Data!C3149</f>
        <v>0</v>
      </c>
      <c r="J3136">
        <f>Data!D3149</f>
        <v>0</v>
      </c>
      <c r="K3136">
        <f>Data!E3149</f>
        <v>0</v>
      </c>
      <c r="L3136">
        <f>Data!F3149</f>
        <v>0</v>
      </c>
      <c r="M3136">
        <f>Data!G3149</f>
        <v>0</v>
      </c>
      <c r="N3136">
        <f>Data!H3149</f>
        <v>0</v>
      </c>
      <c r="O3136">
        <f>Data!I3149</f>
        <v>0</v>
      </c>
      <c r="P3136" s="21">
        <f>Data!J3153</f>
        <v>0</v>
      </c>
      <c r="Q3136">
        <f>Data!K3153</f>
        <v>0</v>
      </c>
      <c r="R3136">
        <f>Data!L3153</f>
        <v>0</v>
      </c>
      <c r="S3136">
        <f>Data!M3153</f>
        <v>0</v>
      </c>
      <c r="T3136">
        <f>Data!N3153</f>
        <v>0</v>
      </c>
      <c r="U3136">
        <f>Data!O3153</f>
        <v>0</v>
      </c>
      <c r="V3136" s="33">
        <f>Data!P3151</f>
        <v>0</v>
      </c>
    </row>
    <row r="3137" spans="7:22" x14ac:dyDescent="0.25">
      <c r="G3137">
        <f>Data!A3150</f>
        <v>0</v>
      </c>
      <c r="H3137" s="21">
        <f>Data!B3150</f>
        <v>0</v>
      </c>
      <c r="I3137" s="21">
        <f>Data!C3150</f>
        <v>0</v>
      </c>
      <c r="J3137">
        <f>Data!D3150</f>
        <v>0</v>
      </c>
      <c r="K3137">
        <f>Data!E3150</f>
        <v>0</v>
      </c>
      <c r="L3137">
        <f>Data!F3150</f>
        <v>0</v>
      </c>
      <c r="M3137">
        <f>Data!G3150</f>
        <v>0</v>
      </c>
      <c r="N3137">
        <f>Data!H3150</f>
        <v>0</v>
      </c>
      <c r="O3137">
        <f>Data!I3150</f>
        <v>0</v>
      </c>
      <c r="P3137" s="21">
        <f>Data!J3154</f>
        <v>0</v>
      </c>
      <c r="Q3137">
        <f>Data!K3154</f>
        <v>0</v>
      </c>
      <c r="R3137">
        <f>Data!L3154</f>
        <v>0</v>
      </c>
      <c r="S3137">
        <f>Data!M3154</f>
        <v>0</v>
      </c>
      <c r="T3137">
        <f>Data!N3154</f>
        <v>0</v>
      </c>
      <c r="U3137">
        <f>Data!O3154</f>
        <v>0</v>
      </c>
      <c r="V3137" s="33">
        <f>Data!P3152</f>
        <v>0</v>
      </c>
    </row>
    <row r="3138" spans="7:22" x14ac:dyDescent="0.25">
      <c r="G3138">
        <f>Data!A3151</f>
        <v>0</v>
      </c>
      <c r="H3138" s="21">
        <f>Data!B3151</f>
        <v>0</v>
      </c>
      <c r="I3138" s="21">
        <f>Data!C3151</f>
        <v>0</v>
      </c>
      <c r="J3138">
        <f>Data!D3151</f>
        <v>0</v>
      </c>
      <c r="K3138">
        <f>Data!E3151</f>
        <v>0</v>
      </c>
      <c r="L3138">
        <f>Data!F3151</f>
        <v>0</v>
      </c>
      <c r="M3138">
        <f>Data!G3151</f>
        <v>0</v>
      </c>
      <c r="N3138">
        <f>Data!H3151</f>
        <v>0</v>
      </c>
      <c r="O3138">
        <f>Data!I3151</f>
        <v>0</v>
      </c>
      <c r="P3138" s="21">
        <f>Data!J3155</f>
        <v>0</v>
      </c>
      <c r="Q3138">
        <f>Data!K3155</f>
        <v>0</v>
      </c>
      <c r="R3138">
        <f>Data!L3155</f>
        <v>0</v>
      </c>
      <c r="S3138">
        <f>Data!M3155</f>
        <v>0</v>
      </c>
      <c r="T3138">
        <f>Data!N3155</f>
        <v>0</v>
      </c>
      <c r="U3138">
        <f>Data!O3155</f>
        <v>0</v>
      </c>
      <c r="V3138" s="33">
        <f>Data!P3153</f>
        <v>0</v>
      </c>
    </row>
    <row r="3139" spans="7:22" x14ac:dyDescent="0.25">
      <c r="G3139">
        <f>Data!A3152</f>
        <v>0</v>
      </c>
      <c r="H3139" s="21">
        <f>Data!B3152</f>
        <v>0</v>
      </c>
      <c r="I3139" s="21">
        <f>Data!C3152</f>
        <v>0</v>
      </c>
      <c r="J3139">
        <f>Data!D3152</f>
        <v>0</v>
      </c>
      <c r="K3139">
        <f>Data!E3152</f>
        <v>0</v>
      </c>
      <c r="L3139">
        <f>Data!F3152</f>
        <v>0</v>
      </c>
      <c r="M3139">
        <f>Data!G3152</f>
        <v>0</v>
      </c>
      <c r="N3139">
        <f>Data!H3152</f>
        <v>0</v>
      </c>
      <c r="O3139">
        <f>Data!I3152</f>
        <v>0</v>
      </c>
      <c r="P3139" s="21">
        <f>Data!J3156</f>
        <v>0</v>
      </c>
      <c r="Q3139">
        <f>Data!K3156</f>
        <v>0</v>
      </c>
      <c r="R3139">
        <f>Data!L3156</f>
        <v>0</v>
      </c>
      <c r="S3139">
        <f>Data!M3156</f>
        <v>0</v>
      </c>
      <c r="T3139">
        <f>Data!N3156</f>
        <v>0</v>
      </c>
      <c r="U3139">
        <f>Data!O3156</f>
        <v>0</v>
      </c>
      <c r="V3139" s="33">
        <f>Data!P3154</f>
        <v>0</v>
      </c>
    </row>
    <row r="3140" spans="7:22" x14ac:dyDescent="0.25">
      <c r="G3140">
        <f>Data!A3153</f>
        <v>0</v>
      </c>
      <c r="H3140" s="21">
        <f>Data!B3153</f>
        <v>0</v>
      </c>
      <c r="I3140" s="21">
        <f>Data!C3153</f>
        <v>0</v>
      </c>
      <c r="J3140">
        <f>Data!D3153</f>
        <v>0</v>
      </c>
      <c r="K3140">
        <f>Data!E3153</f>
        <v>0</v>
      </c>
      <c r="L3140">
        <f>Data!F3153</f>
        <v>0</v>
      </c>
      <c r="M3140">
        <f>Data!G3153</f>
        <v>0</v>
      </c>
      <c r="N3140">
        <f>Data!H3153</f>
        <v>0</v>
      </c>
      <c r="O3140">
        <f>Data!I3153</f>
        <v>0</v>
      </c>
      <c r="P3140" s="21">
        <f>Data!J3157</f>
        <v>0</v>
      </c>
      <c r="Q3140">
        <f>Data!K3157</f>
        <v>0</v>
      </c>
      <c r="R3140">
        <f>Data!L3157</f>
        <v>0</v>
      </c>
      <c r="S3140">
        <f>Data!M3157</f>
        <v>0</v>
      </c>
      <c r="T3140">
        <f>Data!N3157</f>
        <v>0</v>
      </c>
      <c r="U3140">
        <f>Data!O3157</f>
        <v>0</v>
      </c>
      <c r="V3140" s="33">
        <f>Data!P3155</f>
        <v>0</v>
      </c>
    </row>
    <row r="3141" spans="7:22" x14ac:dyDescent="0.25">
      <c r="G3141">
        <f>Data!A3154</f>
        <v>0</v>
      </c>
      <c r="H3141" s="21">
        <f>Data!B3154</f>
        <v>0</v>
      </c>
      <c r="I3141" s="21">
        <f>Data!C3154</f>
        <v>0</v>
      </c>
      <c r="J3141">
        <f>Data!D3154</f>
        <v>0</v>
      </c>
      <c r="K3141">
        <f>Data!E3154</f>
        <v>0</v>
      </c>
      <c r="L3141">
        <f>Data!F3154</f>
        <v>0</v>
      </c>
      <c r="M3141">
        <f>Data!G3154</f>
        <v>0</v>
      </c>
      <c r="N3141">
        <f>Data!H3154</f>
        <v>0</v>
      </c>
      <c r="O3141">
        <f>Data!I3154</f>
        <v>0</v>
      </c>
      <c r="P3141" s="21">
        <f>Data!J3158</f>
        <v>0</v>
      </c>
      <c r="Q3141">
        <f>Data!K3158</f>
        <v>0</v>
      </c>
      <c r="R3141">
        <f>Data!L3158</f>
        <v>0</v>
      </c>
      <c r="S3141">
        <f>Data!M3158</f>
        <v>0</v>
      </c>
      <c r="T3141">
        <f>Data!N3158</f>
        <v>0</v>
      </c>
      <c r="U3141">
        <f>Data!O3158</f>
        <v>0</v>
      </c>
      <c r="V3141" s="33">
        <f>Data!P3156</f>
        <v>0</v>
      </c>
    </row>
    <row r="3142" spans="7:22" x14ac:dyDescent="0.25">
      <c r="G3142">
        <f>Data!A3155</f>
        <v>0</v>
      </c>
      <c r="H3142" s="21">
        <f>Data!B3155</f>
        <v>0</v>
      </c>
      <c r="I3142" s="21">
        <f>Data!C3155</f>
        <v>0</v>
      </c>
      <c r="J3142">
        <f>Data!D3155</f>
        <v>0</v>
      </c>
      <c r="K3142">
        <f>Data!E3155</f>
        <v>0</v>
      </c>
      <c r="L3142">
        <f>Data!F3155</f>
        <v>0</v>
      </c>
      <c r="M3142">
        <f>Data!G3155</f>
        <v>0</v>
      </c>
      <c r="N3142">
        <f>Data!H3155</f>
        <v>0</v>
      </c>
      <c r="O3142">
        <f>Data!I3155</f>
        <v>0</v>
      </c>
      <c r="P3142" s="21">
        <f>Data!J3159</f>
        <v>0</v>
      </c>
      <c r="Q3142">
        <f>Data!K3159</f>
        <v>0</v>
      </c>
      <c r="R3142">
        <f>Data!L3159</f>
        <v>0</v>
      </c>
      <c r="S3142">
        <f>Data!M3159</f>
        <v>0</v>
      </c>
      <c r="T3142">
        <f>Data!N3159</f>
        <v>0</v>
      </c>
      <c r="U3142">
        <f>Data!O3159</f>
        <v>0</v>
      </c>
      <c r="V3142" s="33">
        <f>Data!P3157</f>
        <v>0</v>
      </c>
    </row>
    <row r="3143" spans="7:22" x14ac:dyDescent="0.25">
      <c r="G3143">
        <f>Data!A3156</f>
        <v>0</v>
      </c>
      <c r="H3143" s="21">
        <f>Data!B3156</f>
        <v>0</v>
      </c>
      <c r="I3143" s="21">
        <f>Data!C3156</f>
        <v>0</v>
      </c>
      <c r="J3143">
        <f>Data!D3156</f>
        <v>0</v>
      </c>
      <c r="K3143">
        <f>Data!E3156</f>
        <v>0</v>
      </c>
      <c r="L3143">
        <f>Data!F3156</f>
        <v>0</v>
      </c>
      <c r="M3143">
        <f>Data!G3156</f>
        <v>0</v>
      </c>
      <c r="N3143">
        <f>Data!H3156</f>
        <v>0</v>
      </c>
      <c r="O3143">
        <f>Data!I3156</f>
        <v>0</v>
      </c>
      <c r="P3143" s="21">
        <f>Data!J3160</f>
        <v>0</v>
      </c>
      <c r="Q3143">
        <f>Data!K3160</f>
        <v>0</v>
      </c>
      <c r="R3143">
        <f>Data!L3160</f>
        <v>0</v>
      </c>
      <c r="S3143">
        <f>Data!M3160</f>
        <v>0</v>
      </c>
      <c r="T3143">
        <f>Data!N3160</f>
        <v>0</v>
      </c>
      <c r="U3143">
        <f>Data!O3160</f>
        <v>0</v>
      </c>
      <c r="V3143" s="33">
        <f>Data!P3158</f>
        <v>0</v>
      </c>
    </row>
    <row r="3144" spans="7:22" x14ac:dyDescent="0.25">
      <c r="G3144">
        <f>Data!A3157</f>
        <v>0</v>
      </c>
      <c r="H3144" s="21">
        <f>Data!B3157</f>
        <v>0</v>
      </c>
      <c r="I3144" s="21">
        <f>Data!C3157</f>
        <v>0</v>
      </c>
      <c r="J3144">
        <f>Data!D3157</f>
        <v>0</v>
      </c>
      <c r="K3144">
        <f>Data!E3157</f>
        <v>0</v>
      </c>
      <c r="L3144">
        <f>Data!F3157</f>
        <v>0</v>
      </c>
      <c r="M3144">
        <f>Data!G3157</f>
        <v>0</v>
      </c>
      <c r="N3144">
        <f>Data!H3157</f>
        <v>0</v>
      </c>
      <c r="O3144">
        <f>Data!I3157</f>
        <v>0</v>
      </c>
      <c r="P3144" s="21">
        <f>Data!J3161</f>
        <v>0</v>
      </c>
      <c r="Q3144">
        <f>Data!K3161</f>
        <v>0</v>
      </c>
      <c r="R3144">
        <f>Data!L3161</f>
        <v>0</v>
      </c>
      <c r="S3144">
        <f>Data!M3161</f>
        <v>0</v>
      </c>
      <c r="T3144">
        <f>Data!N3161</f>
        <v>0</v>
      </c>
      <c r="U3144">
        <f>Data!O3161</f>
        <v>0</v>
      </c>
      <c r="V3144" s="33">
        <f>Data!P3159</f>
        <v>0</v>
      </c>
    </row>
    <row r="3145" spans="7:22" x14ac:dyDescent="0.25">
      <c r="G3145">
        <f>Data!A3158</f>
        <v>0</v>
      </c>
      <c r="H3145" s="21">
        <f>Data!B3158</f>
        <v>0</v>
      </c>
      <c r="I3145" s="21">
        <f>Data!C3158</f>
        <v>0</v>
      </c>
      <c r="J3145">
        <f>Data!D3158</f>
        <v>0</v>
      </c>
      <c r="K3145">
        <f>Data!E3158</f>
        <v>0</v>
      </c>
      <c r="L3145">
        <f>Data!F3158</f>
        <v>0</v>
      </c>
      <c r="M3145">
        <f>Data!G3158</f>
        <v>0</v>
      </c>
      <c r="N3145">
        <f>Data!H3158</f>
        <v>0</v>
      </c>
      <c r="O3145">
        <f>Data!I3158</f>
        <v>0</v>
      </c>
      <c r="P3145" s="21">
        <f>Data!J3162</f>
        <v>0</v>
      </c>
      <c r="Q3145">
        <f>Data!K3162</f>
        <v>0</v>
      </c>
      <c r="R3145">
        <f>Data!L3162</f>
        <v>0</v>
      </c>
      <c r="S3145">
        <f>Data!M3162</f>
        <v>0</v>
      </c>
      <c r="T3145">
        <f>Data!N3162</f>
        <v>0</v>
      </c>
      <c r="U3145">
        <f>Data!O3162</f>
        <v>0</v>
      </c>
      <c r="V3145" s="33">
        <f>Data!P3160</f>
        <v>0</v>
      </c>
    </row>
    <row r="3146" spans="7:22" x14ac:dyDescent="0.25">
      <c r="G3146">
        <f>Data!A3159</f>
        <v>0</v>
      </c>
      <c r="H3146" s="21">
        <f>Data!B3159</f>
        <v>0</v>
      </c>
      <c r="I3146" s="21">
        <f>Data!C3159</f>
        <v>0</v>
      </c>
      <c r="J3146">
        <f>Data!D3159</f>
        <v>0</v>
      </c>
      <c r="K3146">
        <f>Data!E3159</f>
        <v>0</v>
      </c>
      <c r="L3146">
        <f>Data!F3159</f>
        <v>0</v>
      </c>
      <c r="M3146">
        <f>Data!G3159</f>
        <v>0</v>
      </c>
      <c r="N3146">
        <f>Data!H3159</f>
        <v>0</v>
      </c>
      <c r="O3146">
        <f>Data!I3159</f>
        <v>0</v>
      </c>
      <c r="P3146" s="21">
        <f>Data!J3163</f>
        <v>0</v>
      </c>
      <c r="Q3146">
        <f>Data!K3163</f>
        <v>0</v>
      </c>
      <c r="R3146">
        <f>Data!L3163</f>
        <v>0</v>
      </c>
      <c r="S3146">
        <f>Data!M3163</f>
        <v>0</v>
      </c>
      <c r="T3146">
        <f>Data!N3163</f>
        <v>0</v>
      </c>
      <c r="U3146">
        <f>Data!O3163</f>
        <v>0</v>
      </c>
      <c r="V3146" s="33">
        <f>Data!P3161</f>
        <v>0</v>
      </c>
    </row>
    <row r="3147" spans="7:22" x14ac:dyDescent="0.25">
      <c r="G3147">
        <f>Data!A3160</f>
        <v>0</v>
      </c>
      <c r="H3147" s="21">
        <f>Data!B3160</f>
        <v>0</v>
      </c>
      <c r="I3147" s="21">
        <f>Data!C3160</f>
        <v>0</v>
      </c>
      <c r="J3147">
        <f>Data!D3160</f>
        <v>0</v>
      </c>
      <c r="K3147">
        <f>Data!E3160</f>
        <v>0</v>
      </c>
      <c r="L3147">
        <f>Data!F3160</f>
        <v>0</v>
      </c>
      <c r="M3147">
        <f>Data!G3160</f>
        <v>0</v>
      </c>
      <c r="N3147">
        <f>Data!H3160</f>
        <v>0</v>
      </c>
      <c r="O3147">
        <f>Data!I3160</f>
        <v>0</v>
      </c>
      <c r="P3147" s="21">
        <f>Data!J3164</f>
        <v>0</v>
      </c>
      <c r="Q3147">
        <f>Data!K3164</f>
        <v>0</v>
      </c>
      <c r="R3147">
        <f>Data!L3164</f>
        <v>0</v>
      </c>
      <c r="S3147">
        <f>Data!M3164</f>
        <v>0</v>
      </c>
      <c r="T3147">
        <f>Data!N3164</f>
        <v>0</v>
      </c>
      <c r="U3147">
        <f>Data!O3164</f>
        <v>0</v>
      </c>
      <c r="V3147" s="33">
        <f>Data!P3162</f>
        <v>0</v>
      </c>
    </row>
    <row r="3148" spans="7:22" x14ac:dyDescent="0.25">
      <c r="G3148">
        <f>Data!A3161</f>
        <v>0</v>
      </c>
      <c r="H3148" s="21">
        <f>Data!B3161</f>
        <v>0</v>
      </c>
      <c r="I3148" s="21">
        <f>Data!C3161</f>
        <v>0</v>
      </c>
      <c r="J3148">
        <f>Data!D3161</f>
        <v>0</v>
      </c>
      <c r="K3148">
        <f>Data!E3161</f>
        <v>0</v>
      </c>
      <c r="L3148">
        <f>Data!F3161</f>
        <v>0</v>
      </c>
      <c r="M3148">
        <f>Data!G3161</f>
        <v>0</v>
      </c>
      <c r="N3148">
        <f>Data!H3161</f>
        <v>0</v>
      </c>
      <c r="O3148">
        <f>Data!I3161</f>
        <v>0</v>
      </c>
      <c r="P3148" s="21">
        <f>Data!J3165</f>
        <v>0</v>
      </c>
      <c r="Q3148">
        <f>Data!K3165</f>
        <v>0</v>
      </c>
      <c r="R3148">
        <f>Data!L3165</f>
        <v>0</v>
      </c>
      <c r="S3148">
        <f>Data!M3165</f>
        <v>0</v>
      </c>
      <c r="T3148">
        <f>Data!N3165</f>
        <v>0</v>
      </c>
      <c r="U3148">
        <f>Data!O3165</f>
        <v>0</v>
      </c>
      <c r="V3148" s="33">
        <f>Data!P3163</f>
        <v>0</v>
      </c>
    </row>
    <row r="3149" spans="7:22" x14ac:dyDescent="0.25">
      <c r="G3149">
        <f>Data!A3162</f>
        <v>0</v>
      </c>
      <c r="H3149" s="21">
        <f>Data!B3162</f>
        <v>0</v>
      </c>
      <c r="I3149" s="21">
        <f>Data!C3162</f>
        <v>0</v>
      </c>
      <c r="J3149">
        <f>Data!D3162</f>
        <v>0</v>
      </c>
      <c r="K3149">
        <f>Data!E3162</f>
        <v>0</v>
      </c>
      <c r="L3149">
        <f>Data!F3162</f>
        <v>0</v>
      </c>
      <c r="M3149">
        <f>Data!G3162</f>
        <v>0</v>
      </c>
      <c r="N3149">
        <f>Data!H3162</f>
        <v>0</v>
      </c>
      <c r="O3149">
        <f>Data!I3162</f>
        <v>0</v>
      </c>
      <c r="P3149" s="21">
        <f>Data!J3166</f>
        <v>0</v>
      </c>
      <c r="Q3149">
        <f>Data!K3166</f>
        <v>0</v>
      </c>
      <c r="R3149">
        <f>Data!L3166</f>
        <v>0</v>
      </c>
      <c r="S3149">
        <f>Data!M3166</f>
        <v>0</v>
      </c>
      <c r="T3149">
        <f>Data!N3166</f>
        <v>0</v>
      </c>
      <c r="U3149">
        <f>Data!O3166</f>
        <v>0</v>
      </c>
      <c r="V3149" s="33">
        <f>Data!P3164</f>
        <v>0</v>
      </c>
    </row>
    <row r="3150" spans="7:22" x14ac:dyDescent="0.25">
      <c r="G3150">
        <f>Data!A3163</f>
        <v>0</v>
      </c>
      <c r="H3150" s="21">
        <f>Data!B3163</f>
        <v>0</v>
      </c>
      <c r="I3150" s="21">
        <f>Data!C3163</f>
        <v>0</v>
      </c>
      <c r="J3150">
        <f>Data!D3163</f>
        <v>0</v>
      </c>
      <c r="K3150">
        <f>Data!E3163</f>
        <v>0</v>
      </c>
      <c r="L3150">
        <f>Data!F3163</f>
        <v>0</v>
      </c>
      <c r="M3150">
        <f>Data!G3163</f>
        <v>0</v>
      </c>
      <c r="N3150">
        <f>Data!H3163</f>
        <v>0</v>
      </c>
      <c r="O3150">
        <f>Data!I3163</f>
        <v>0</v>
      </c>
      <c r="P3150" s="21">
        <f>Data!J3167</f>
        <v>0</v>
      </c>
      <c r="Q3150">
        <f>Data!K3167</f>
        <v>0</v>
      </c>
      <c r="R3150">
        <f>Data!L3167</f>
        <v>0</v>
      </c>
      <c r="S3150">
        <f>Data!M3167</f>
        <v>0</v>
      </c>
      <c r="T3150">
        <f>Data!N3167</f>
        <v>0</v>
      </c>
      <c r="U3150">
        <f>Data!O3167</f>
        <v>0</v>
      </c>
      <c r="V3150" s="33">
        <f>Data!P3165</f>
        <v>0</v>
      </c>
    </row>
    <row r="3151" spans="7:22" x14ac:dyDescent="0.25">
      <c r="G3151">
        <f>Data!A3164</f>
        <v>0</v>
      </c>
      <c r="H3151" s="21">
        <f>Data!B3164</f>
        <v>0</v>
      </c>
      <c r="I3151" s="21">
        <f>Data!C3164</f>
        <v>0</v>
      </c>
      <c r="J3151">
        <f>Data!D3164</f>
        <v>0</v>
      </c>
      <c r="K3151">
        <f>Data!E3164</f>
        <v>0</v>
      </c>
      <c r="L3151">
        <f>Data!F3164</f>
        <v>0</v>
      </c>
      <c r="M3151">
        <f>Data!G3164</f>
        <v>0</v>
      </c>
      <c r="N3151">
        <f>Data!H3164</f>
        <v>0</v>
      </c>
      <c r="O3151">
        <f>Data!I3164</f>
        <v>0</v>
      </c>
      <c r="P3151" s="21">
        <f>Data!J3168</f>
        <v>0</v>
      </c>
      <c r="Q3151">
        <f>Data!K3168</f>
        <v>0</v>
      </c>
      <c r="R3151">
        <f>Data!L3168</f>
        <v>0</v>
      </c>
      <c r="S3151">
        <f>Data!M3168</f>
        <v>0</v>
      </c>
      <c r="T3151">
        <f>Data!N3168</f>
        <v>0</v>
      </c>
      <c r="U3151">
        <f>Data!O3168</f>
        <v>0</v>
      </c>
      <c r="V3151" s="33">
        <f>Data!P3166</f>
        <v>0</v>
      </c>
    </row>
    <row r="3152" spans="7:22" x14ac:dyDescent="0.25">
      <c r="G3152">
        <f>Data!A3165</f>
        <v>0</v>
      </c>
      <c r="H3152" s="21">
        <f>Data!B3165</f>
        <v>0</v>
      </c>
      <c r="I3152" s="21">
        <f>Data!C3165</f>
        <v>0</v>
      </c>
      <c r="J3152">
        <f>Data!D3165</f>
        <v>0</v>
      </c>
      <c r="K3152">
        <f>Data!E3165</f>
        <v>0</v>
      </c>
      <c r="L3152">
        <f>Data!F3165</f>
        <v>0</v>
      </c>
      <c r="M3152">
        <f>Data!G3165</f>
        <v>0</v>
      </c>
      <c r="N3152">
        <f>Data!H3165</f>
        <v>0</v>
      </c>
      <c r="O3152">
        <f>Data!I3165</f>
        <v>0</v>
      </c>
      <c r="P3152" s="21">
        <f>Data!J3169</f>
        <v>0</v>
      </c>
      <c r="Q3152">
        <f>Data!K3169</f>
        <v>0</v>
      </c>
      <c r="R3152">
        <f>Data!L3169</f>
        <v>0</v>
      </c>
      <c r="S3152">
        <f>Data!M3169</f>
        <v>0</v>
      </c>
      <c r="T3152">
        <f>Data!N3169</f>
        <v>0</v>
      </c>
      <c r="U3152">
        <f>Data!O3169</f>
        <v>0</v>
      </c>
      <c r="V3152" s="33">
        <f>Data!P3167</f>
        <v>0</v>
      </c>
    </row>
    <row r="3153" spans="7:22" x14ac:dyDescent="0.25">
      <c r="G3153">
        <f>Data!A3166</f>
        <v>0</v>
      </c>
      <c r="H3153" s="21">
        <f>Data!B3166</f>
        <v>0</v>
      </c>
      <c r="I3153" s="21">
        <f>Data!C3166</f>
        <v>0</v>
      </c>
      <c r="J3153">
        <f>Data!D3166</f>
        <v>0</v>
      </c>
      <c r="K3153">
        <f>Data!E3166</f>
        <v>0</v>
      </c>
      <c r="L3153">
        <f>Data!F3166</f>
        <v>0</v>
      </c>
      <c r="M3153">
        <f>Data!G3166</f>
        <v>0</v>
      </c>
      <c r="N3153">
        <f>Data!H3166</f>
        <v>0</v>
      </c>
      <c r="O3153">
        <f>Data!I3166</f>
        <v>0</v>
      </c>
      <c r="P3153" s="21">
        <f>Data!J3170</f>
        <v>0</v>
      </c>
      <c r="Q3153">
        <f>Data!K3170</f>
        <v>0</v>
      </c>
      <c r="R3153">
        <f>Data!L3170</f>
        <v>0</v>
      </c>
      <c r="S3153">
        <f>Data!M3170</f>
        <v>0</v>
      </c>
      <c r="T3153">
        <f>Data!N3170</f>
        <v>0</v>
      </c>
      <c r="U3153">
        <f>Data!O3170</f>
        <v>0</v>
      </c>
      <c r="V3153" s="33">
        <f>Data!P3168</f>
        <v>0</v>
      </c>
    </row>
    <row r="3154" spans="7:22" x14ac:dyDescent="0.25">
      <c r="G3154">
        <f>Data!A3167</f>
        <v>0</v>
      </c>
      <c r="H3154" s="21">
        <f>Data!B3167</f>
        <v>0</v>
      </c>
      <c r="I3154" s="21">
        <f>Data!C3167</f>
        <v>0</v>
      </c>
      <c r="J3154">
        <f>Data!D3167</f>
        <v>0</v>
      </c>
      <c r="K3154">
        <f>Data!E3167</f>
        <v>0</v>
      </c>
      <c r="L3154">
        <f>Data!F3167</f>
        <v>0</v>
      </c>
      <c r="M3154">
        <f>Data!G3167</f>
        <v>0</v>
      </c>
      <c r="N3154">
        <f>Data!H3167</f>
        <v>0</v>
      </c>
      <c r="O3154">
        <f>Data!I3167</f>
        <v>0</v>
      </c>
      <c r="P3154" s="21">
        <f>Data!J3171</f>
        <v>0</v>
      </c>
      <c r="Q3154">
        <f>Data!K3171</f>
        <v>0</v>
      </c>
      <c r="R3154">
        <f>Data!L3171</f>
        <v>0</v>
      </c>
      <c r="S3154">
        <f>Data!M3171</f>
        <v>0</v>
      </c>
      <c r="T3154">
        <f>Data!N3171</f>
        <v>0</v>
      </c>
      <c r="U3154">
        <f>Data!O3171</f>
        <v>0</v>
      </c>
      <c r="V3154" s="33">
        <f>Data!P3169</f>
        <v>0</v>
      </c>
    </row>
    <row r="3155" spans="7:22" x14ac:dyDescent="0.25">
      <c r="G3155">
        <f>Data!A3168</f>
        <v>0</v>
      </c>
      <c r="H3155" s="21">
        <f>Data!B3168</f>
        <v>0</v>
      </c>
      <c r="I3155" s="21">
        <f>Data!C3168</f>
        <v>0</v>
      </c>
      <c r="J3155">
        <f>Data!D3168</f>
        <v>0</v>
      </c>
      <c r="K3155">
        <f>Data!E3168</f>
        <v>0</v>
      </c>
      <c r="L3155">
        <f>Data!F3168</f>
        <v>0</v>
      </c>
      <c r="M3155">
        <f>Data!G3168</f>
        <v>0</v>
      </c>
      <c r="N3155">
        <f>Data!H3168</f>
        <v>0</v>
      </c>
      <c r="O3155">
        <f>Data!I3168</f>
        <v>0</v>
      </c>
      <c r="P3155" s="21">
        <f>Data!J3172</f>
        <v>0</v>
      </c>
      <c r="Q3155">
        <f>Data!K3172</f>
        <v>0</v>
      </c>
      <c r="R3155">
        <f>Data!L3172</f>
        <v>0</v>
      </c>
      <c r="S3155">
        <f>Data!M3172</f>
        <v>0</v>
      </c>
      <c r="T3155">
        <f>Data!N3172</f>
        <v>0</v>
      </c>
      <c r="U3155">
        <f>Data!O3172</f>
        <v>0</v>
      </c>
      <c r="V3155" s="33">
        <f>Data!P3170</f>
        <v>0</v>
      </c>
    </row>
    <row r="3156" spans="7:22" x14ac:dyDescent="0.25">
      <c r="G3156">
        <f>Data!A3169</f>
        <v>0</v>
      </c>
      <c r="H3156" s="21">
        <f>Data!B3169</f>
        <v>0</v>
      </c>
      <c r="I3156" s="21">
        <f>Data!C3169</f>
        <v>0</v>
      </c>
      <c r="J3156">
        <f>Data!D3169</f>
        <v>0</v>
      </c>
      <c r="K3156">
        <f>Data!E3169</f>
        <v>0</v>
      </c>
      <c r="L3156">
        <f>Data!F3169</f>
        <v>0</v>
      </c>
      <c r="M3156">
        <f>Data!G3169</f>
        <v>0</v>
      </c>
      <c r="N3156">
        <f>Data!H3169</f>
        <v>0</v>
      </c>
      <c r="O3156">
        <f>Data!I3169</f>
        <v>0</v>
      </c>
      <c r="P3156" s="21">
        <f>Data!J3173</f>
        <v>0</v>
      </c>
      <c r="Q3156">
        <f>Data!K3173</f>
        <v>0</v>
      </c>
      <c r="R3156">
        <f>Data!L3173</f>
        <v>0</v>
      </c>
      <c r="S3156">
        <f>Data!M3173</f>
        <v>0</v>
      </c>
      <c r="T3156">
        <f>Data!N3173</f>
        <v>0</v>
      </c>
      <c r="U3156">
        <f>Data!O3173</f>
        <v>0</v>
      </c>
      <c r="V3156" s="33">
        <f>Data!P3171</f>
        <v>0</v>
      </c>
    </row>
    <row r="3157" spans="7:22" x14ac:dyDescent="0.25">
      <c r="G3157">
        <f>Data!A3170</f>
        <v>0</v>
      </c>
      <c r="H3157" s="21">
        <f>Data!B3170</f>
        <v>0</v>
      </c>
      <c r="I3157" s="21">
        <f>Data!C3170</f>
        <v>0</v>
      </c>
      <c r="J3157">
        <f>Data!D3170</f>
        <v>0</v>
      </c>
      <c r="K3157">
        <f>Data!E3170</f>
        <v>0</v>
      </c>
      <c r="L3157">
        <f>Data!F3170</f>
        <v>0</v>
      </c>
      <c r="M3157">
        <f>Data!G3170</f>
        <v>0</v>
      </c>
      <c r="N3157">
        <f>Data!H3170</f>
        <v>0</v>
      </c>
      <c r="O3157">
        <f>Data!I3170</f>
        <v>0</v>
      </c>
      <c r="P3157" s="21">
        <f>Data!J3174</f>
        <v>0</v>
      </c>
      <c r="Q3157">
        <f>Data!K3174</f>
        <v>0</v>
      </c>
      <c r="R3157">
        <f>Data!L3174</f>
        <v>0</v>
      </c>
      <c r="S3157">
        <f>Data!M3174</f>
        <v>0</v>
      </c>
      <c r="T3157">
        <f>Data!N3174</f>
        <v>0</v>
      </c>
      <c r="U3157">
        <f>Data!O3174</f>
        <v>0</v>
      </c>
      <c r="V3157" s="33">
        <f>Data!P3172</f>
        <v>0</v>
      </c>
    </row>
    <row r="3158" spans="7:22" x14ac:dyDescent="0.25">
      <c r="G3158">
        <f>Data!A3171</f>
        <v>0</v>
      </c>
      <c r="H3158" s="21">
        <f>Data!B3171</f>
        <v>0</v>
      </c>
      <c r="I3158" s="21">
        <f>Data!C3171</f>
        <v>0</v>
      </c>
      <c r="J3158">
        <f>Data!D3171</f>
        <v>0</v>
      </c>
      <c r="K3158">
        <f>Data!E3171</f>
        <v>0</v>
      </c>
      <c r="L3158">
        <f>Data!F3171</f>
        <v>0</v>
      </c>
      <c r="M3158">
        <f>Data!G3171</f>
        <v>0</v>
      </c>
      <c r="N3158">
        <f>Data!H3171</f>
        <v>0</v>
      </c>
      <c r="O3158">
        <f>Data!I3171</f>
        <v>0</v>
      </c>
      <c r="P3158" s="21">
        <f>Data!J3175</f>
        <v>0</v>
      </c>
      <c r="Q3158">
        <f>Data!K3175</f>
        <v>0</v>
      </c>
      <c r="R3158">
        <f>Data!L3175</f>
        <v>0</v>
      </c>
      <c r="S3158">
        <f>Data!M3175</f>
        <v>0</v>
      </c>
      <c r="T3158">
        <f>Data!N3175</f>
        <v>0</v>
      </c>
      <c r="U3158">
        <f>Data!O3175</f>
        <v>0</v>
      </c>
      <c r="V3158" s="33">
        <f>Data!P3173</f>
        <v>0</v>
      </c>
    </row>
    <row r="3159" spans="7:22" x14ac:dyDescent="0.25">
      <c r="G3159">
        <f>Data!A3172</f>
        <v>0</v>
      </c>
      <c r="H3159" s="21">
        <f>Data!B3172</f>
        <v>0</v>
      </c>
      <c r="I3159" s="21">
        <f>Data!C3172</f>
        <v>0</v>
      </c>
      <c r="J3159">
        <f>Data!D3172</f>
        <v>0</v>
      </c>
      <c r="K3159">
        <f>Data!E3172</f>
        <v>0</v>
      </c>
      <c r="L3159">
        <f>Data!F3172</f>
        <v>0</v>
      </c>
      <c r="M3159">
        <f>Data!G3172</f>
        <v>0</v>
      </c>
      <c r="N3159">
        <f>Data!H3172</f>
        <v>0</v>
      </c>
      <c r="O3159">
        <f>Data!I3172</f>
        <v>0</v>
      </c>
      <c r="P3159" s="21">
        <f>Data!J3176</f>
        <v>0</v>
      </c>
      <c r="Q3159">
        <f>Data!K3176</f>
        <v>0</v>
      </c>
      <c r="R3159">
        <f>Data!L3176</f>
        <v>0</v>
      </c>
      <c r="S3159">
        <f>Data!M3176</f>
        <v>0</v>
      </c>
      <c r="T3159">
        <f>Data!N3176</f>
        <v>0</v>
      </c>
      <c r="U3159">
        <f>Data!O3176</f>
        <v>0</v>
      </c>
      <c r="V3159" s="33">
        <f>Data!P3174</f>
        <v>0</v>
      </c>
    </row>
    <row r="3160" spans="7:22" x14ac:dyDescent="0.25">
      <c r="G3160">
        <f>Data!A3173</f>
        <v>0</v>
      </c>
      <c r="H3160" s="21">
        <f>Data!B3173</f>
        <v>0</v>
      </c>
      <c r="I3160" s="21">
        <f>Data!C3173</f>
        <v>0</v>
      </c>
      <c r="J3160">
        <f>Data!D3173</f>
        <v>0</v>
      </c>
      <c r="K3160">
        <f>Data!E3173</f>
        <v>0</v>
      </c>
      <c r="L3160">
        <f>Data!F3173</f>
        <v>0</v>
      </c>
      <c r="M3160">
        <f>Data!G3173</f>
        <v>0</v>
      </c>
      <c r="N3160">
        <f>Data!H3173</f>
        <v>0</v>
      </c>
      <c r="O3160">
        <f>Data!I3173</f>
        <v>0</v>
      </c>
      <c r="P3160" s="21">
        <f>Data!J3177</f>
        <v>0</v>
      </c>
      <c r="Q3160">
        <f>Data!K3177</f>
        <v>0</v>
      </c>
      <c r="R3160">
        <f>Data!L3177</f>
        <v>0</v>
      </c>
      <c r="S3160">
        <f>Data!M3177</f>
        <v>0</v>
      </c>
      <c r="T3160">
        <f>Data!N3177</f>
        <v>0</v>
      </c>
      <c r="U3160">
        <f>Data!O3177</f>
        <v>0</v>
      </c>
      <c r="V3160" s="33">
        <f>Data!P3175</f>
        <v>0</v>
      </c>
    </row>
    <row r="3161" spans="7:22" x14ac:dyDescent="0.25">
      <c r="G3161">
        <f>Data!A3174</f>
        <v>0</v>
      </c>
      <c r="H3161" s="21">
        <f>Data!B3174</f>
        <v>0</v>
      </c>
      <c r="I3161" s="21">
        <f>Data!C3174</f>
        <v>0</v>
      </c>
      <c r="J3161">
        <f>Data!D3174</f>
        <v>0</v>
      </c>
      <c r="K3161">
        <f>Data!E3174</f>
        <v>0</v>
      </c>
      <c r="L3161">
        <f>Data!F3174</f>
        <v>0</v>
      </c>
      <c r="M3161">
        <f>Data!G3174</f>
        <v>0</v>
      </c>
      <c r="N3161">
        <f>Data!H3174</f>
        <v>0</v>
      </c>
      <c r="O3161">
        <f>Data!I3174</f>
        <v>0</v>
      </c>
      <c r="P3161" s="21">
        <f>Data!J3178</f>
        <v>0</v>
      </c>
      <c r="Q3161">
        <f>Data!K3178</f>
        <v>0</v>
      </c>
      <c r="R3161">
        <f>Data!L3178</f>
        <v>0</v>
      </c>
      <c r="S3161">
        <f>Data!M3178</f>
        <v>0</v>
      </c>
      <c r="T3161">
        <f>Data!N3178</f>
        <v>0</v>
      </c>
      <c r="U3161">
        <f>Data!O3178</f>
        <v>0</v>
      </c>
      <c r="V3161" s="33">
        <f>Data!P3176</f>
        <v>0</v>
      </c>
    </row>
    <row r="3162" spans="7:22" x14ac:dyDescent="0.25">
      <c r="G3162">
        <f>Data!A3175</f>
        <v>0</v>
      </c>
      <c r="H3162" s="21">
        <f>Data!B3175</f>
        <v>0</v>
      </c>
      <c r="I3162" s="21">
        <f>Data!C3175</f>
        <v>0</v>
      </c>
      <c r="J3162">
        <f>Data!D3175</f>
        <v>0</v>
      </c>
      <c r="K3162">
        <f>Data!E3175</f>
        <v>0</v>
      </c>
      <c r="L3162">
        <f>Data!F3175</f>
        <v>0</v>
      </c>
      <c r="M3162">
        <f>Data!G3175</f>
        <v>0</v>
      </c>
      <c r="N3162">
        <f>Data!H3175</f>
        <v>0</v>
      </c>
      <c r="O3162">
        <f>Data!I3175</f>
        <v>0</v>
      </c>
      <c r="P3162" s="21">
        <f>Data!J3179</f>
        <v>0</v>
      </c>
      <c r="Q3162">
        <f>Data!K3179</f>
        <v>0</v>
      </c>
      <c r="R3162">
        <f>Data!L3179</f>
        <v>0</v>
      </c>
      <c r="S3162">
        <f>Data!M3179</f>
        <v>0</v>
      </c>
      <c r="T3162">
        <f>Data!N3179</f>
        <v>0</v>
      </c>
      <c r="U3162">
        <f>Data!O3179</f>
        <v>0</v>
      </c>
      <c r="V3162" s="33">
        <f>Data!P3177</f>
        <v>0</v>
      </c>
    </row>
    <row r="3163" spans="7:22" x14ac:dyDescent="0.25">
      <c r="G3163">
        <f>Data!A3176</f>
        <v>0</v>
      </c>
      <c r="H3163" s="21">
        <f>Data!B3176</f>
        <v>0</v>
      </c>
      <c r="I3163" s="21">
        <f>Data!C3176</f>
        <v>0</v>
      </c>
      <c r="J3163">
        <f>Data!D3176</f>
        <v>0</v>
      </c>
      <c r="K3163">
        <f>Data!E3176</f>
        <v>0</v>
      </c>
      <c r="L3163">
        <f>Data!F3176</f>
        <v>0</v>
      </c>
      <c r="M3163">
        <f>Data!G3176</f>
        <v>0</v>
      </c>
      <c r="N3163">
        <f>Data!H3176</f>
        <v>0</v>
      </c>
      <c r="O3163">
        <f>Data!I3176</f>
        <v>0</v>
      </c>
      <c r="P3163" s="21">
        <f>Data!J3180</f>
        <v>0</v>
      </c>
      <c r="Q3163">
        <f>Data!K3180</f>
        <v>0</v>
      </c>
      <c r="R3163">
        <f>Data!L3180</f>
        <v>0</v>
      </c>
      <c r="S3163">
        <f>Data!M3180</f>
        <v>0</v>
      </c>
      <c r="T3163">
        <f>Data!N3180</f>
        <v>0</v>
      </c>
      <c r="U3163">
        <f>Data!O3180</f>
        <v>0</v>
      </c>
      <c r="V3163" s="33">
        <f>Data!P3178</f>
        <v>0</v>
      </c>
    </row>
    <row r="3164" spans="7:22" x14ac:dyDescent="0.25">
      <c r="G3164">
        <f>Data!A3177</f>
        <v>0</v>
      </c>
      <c r="H3164" s="21">
        <f>Data!B3177</f>
        <v>0</v>
      </c>
      <c r="I3164" s="21">
        <f>Data!C3177</f>
        <v>0</v>
      </c>
      <c r="J3164">
        <f>Data!D3177</f>
        <v>0</v>
      </c>
      <c r="K3164">
        <f>Data!E3177</f>
        <v>0</v>
      </c>
      <c r="L3164">
        <f>Data!F3177</f>
        <v>0</v>
      </c>
      <c r="M3164">
        <f>Data!G3177</f>
        <v>0</v>
      </c>
      <c r="N3164">
        <f>Data!H3177</f>
        <v>0</v>
      </c>
      <c r="O3164">
        <f>Data!I3177</f>
        <v>0</v>
      </c>
      <c r="P3164" s="21">
        <f>Data!J3181</f>
        <v>0</v>
      </c>
      <c r="Q3164">
        <f>Data!K3181</f>
        <v>0</v>
      </c>
      <c r="R3164">
        <f>Data!L3181</f>
        <v>0</v>
      </c>
      <c r="S3164">
        <f>Data!M3181</f>
        <v>0</v>
      </c>
      <c r="T3164">
        <f>Data!N3181</f>
        <v>0</v>
      </c>
      <c r="U3164">
        <f>Data!O3181</f>
        <v>0</v>
      </c>
      <c r="V3164" s="33">
        <f>Data!P3179</f>
        <v>0</v>
      </c>
    </row>
    <row r="3165" spans="7:22" x14ac:dyDescent="0.25">
      <c r="G3165">
        <f>Data!A3178</f>
        <v>0</v>
      </c>
      <c r="H3165" s="21">
        <f>Data!B3178</f>
        <v>0</v>
      </c>
      <c r="I3165" s="21">
        <f>Data!C3178</f>
        <v>0</v>
      </c>
      <c r="J3165">
        <f>Data!D3178</f>
        <v>0</v>
      </c>
      <c r="K3165">
        <f>Data!E3178</f>
        <v>0</v>
      </c>
      <c r="L3165">
        <f>Data!F3178</f>
        <v>0</v>
      </c>
      <c r="M3165">
        <f>Data!G3178</f>
        <v>0</v>
      </c>
      <c r="N3165">
        <f>Data!H3178</f>
        <v>0</v>
      </c>
      <c r="O3165">
        <f>Data!I3178</f>
        <v>0</v>
      </c>
      <c r="P3165" s="21">
        <f>Data!J3182</f>
        <v>0</v>
      </c>
      <c r="Q3165">
        <f>Data!K3182</f>
        <v>0</v>
      </c>
      <c r="R3165">
        <f>Data!L3182</f>
        <v>0</v>
      </c>
      <c r="S3165">
        <f>Data!M3182</f>
        <v>0</v>
      </c>
      <c r="T3165">
        <f>Data!N3182</f>
        <v>0</v>
      </c>
      <c r="U3165">
        <f>Data!O3182</f>
        <v>0</v>
      </c>
      <c r="V3165" s="33">
        <f>Data!P3180</f>
        <v>0</v>
      </c>
    </row>
    <row r="3166" spans="7:22" x14ac:dyDescent="0.25">
      <c r="G3166">
        <f>Data!A3179</f>
        <v>0</v>
      </c>
      <c r="H3166" s="21">
        <f>Data!B3179</f>
        <v>0</v>
      </c>
      <c r="I3166" s="21">
        <f>Data!C3179</f>
        <v>0</v>
      </c>
      <c r="J3166">
        <f>Data!D3179</f>
        <v>0</v>
      </c>
      <c r="K3166">
        <f>Data!E3179</f>
        <v>0</v>
      </c>
      <c r="L3166">
        <f>Data!F3179</f>
        <v>0</v>
      </c>
      <c r="M3166">
        <f>Data!G3179</f>
        <v>0</v>
      </c>
      <c r="N3166">
        <f>Data!H3179</f>
        <v>0</v>
      </c>
      <c r="O3166">
        <f>Data!I3179</f>
        <v>0</v>
      </c>
      <c r="P3166" s="21">
        <f>Data!J3183</f>
        <v>0</v>
      </c>
      <c r="Q3166">
        <f>Data!K3183</f>
        <v>0</v>
      </c>
      <c r="R3166">
        <f>Data!L3183</f>
        <v>0</v>
      </c>
      <c r="S3166">
        <f>Data!M3183</f>
        <v>0</v>
      </c>
      <c r="T3166">
        <f>Data!N3183</f>
        <v>0</v>
      </c>
      <c r="U3166">
        <f>Data!O3183</f>
        <v>0</v>
      </c>
      <c r="V3166" s="33">
        <f>Data!P3181</f>
        <v>0</v>
      </c>
    </row>
    <row r="3167" spans="7:22" x14ac:dyDescent="0.25">
      <c r="G3167">
        <f>Data!A3180</f>
        <v>0</v>
      </c>
      <c r="H3167" s="21">
        <f>Data!B3180</f>
        <v>0</v>
      </c>
      <c r="I3167" s="21">
        <f>Data!C3180</f>
        <v>0</v>
      </c>
      <c r="J3167">
        <f>Data!D3180</f>
        <v>0</v>
      </c>
      <c r="K3167">
        <f>Data!E3180</f>
        <v>0</v>
      </c>
      <c r="L3167">
        <f>Data!F3180</f>
        <v>0</v>
      </c>
      <c r="M3167">
        <f>Data!G3180</f>
        <v>0</v>
      </c>
      <c r="N3167">
        <f>Data!H3180</f>
        <v>0</v>
      </c>
      <c r="O3167">
        <f>Data!I3180</f>
        <v>0</v>
      </c>
      <c r="P3167" s="21">
        <f>Data!J3184</f>
        <v>0</v>
      </c>
      <c r="Q3167">
        <f>Data!K3184</f>
        <v>0</v>
      </c>
      <c r="R3167">
        <f>Data!L3184</f>
        <v>0</v>
      </c>
      <c r="S3167">
        <f>Data!M3184</f>
        <v>0</v>
      </c>
      <c r="T3167">
        <f>Data!N3184</f>
        <v>0</v>
      </c>
      <c r="U3167">
        <f>Data!O3184</f>
        <v>0</v>
      </c>
      <c r="V3167" s="33">
        <f>Data!P3182</f>
        <v>0</v>
      </c>
    </row>
    <row r="3168" spans="7:22" x14ac:dyDescent="0.25">
      <c r="G3168">
        <f>Data!A3181</f>
        <v>0</v>
      </c>
      <c r="H3168" s="21">
        <f>Data!B3181</f>
        <v>0</v>
      </c>
      <c r="I3168" s="21">
        <f>Data!C3181</f>
        <v>0</v>
      </c>
      <c r="J3168">
        <f>Data!D3181</f>
        <v>0</v>
      </c>
      <c r="K3168">
        <f>Data!E3181</f>
        <v>0</v>
      </c>
      <c r="L3168">
        <f>Data!F3181</f>
        <v>0</v>
      </c>
      <c r="M3168">
        <f>Data!G3181</f>
        <v>0</v>
      </c>
      <c r="N3168">
        <f>Data!H3181</f>
        <v>0</v>
      </c>
      <c r="O3168">
        <f>Data!I3181</f>
        <v>0</v>
      </c>
      <c r="P3168" s="21">
        <f>Data!J3185</f>
        <v>0</v>
      </c>
      <c r="Q3168">
        <f>Data!K3185</f>
        <v>0</v>
      </c>
      <c r="R3168">
        <f>Data!L3185</f>
        <v>0</v>
      </c>
      <c r="S3168">
        <f>Data!M3185</f>
        <v>0</v>
      </c>
      <c r="T3168">
        <f>Data!N3185</f>
        <v>0</v>
      </c>
      <c r="U3168">
        <f>Data!O3185</f>
        <v>0</v>
      </c>
      <c r="V3168" s="33">
        <f>Data!P3183</f>
        <v>0</v>
      </c>
    </row>
    <row r="3169" spans="7:22" x14ac:dyDescent="0.25">
      <c r="G3169">
        <f>Data!A3182</f>
        <v>0</v>
      </c>
      <c r="H3169" s="21">
        <f>Data!B3182</f>
        <v>0</v>
      </c>
      <c r="I3169" s="21">
        <f>Data!C3182</f>
        <v>0</v>
      </c>
      <c r="J3169">
        <f>Data!D3182</f>
        <v>0</v>
      </c>
      <c r="K3169">
        <f>Data!E3182</f>
        <v>0</v>
      </c>
      <c r="L3169">
        <f>Data!F3182</f>
        <v>0</v>
      </c>
      <c r="M3169">
        <f>Data!G3182</f>
        <v>0</v>
      </c>
      <c r="N3169">
        <f>Data!H3182</f>
        <v>0</v>
      </c>
      <c r="O3169">
        <f>Data!I3182</f>
        <v>0</v>
      </c>
      <c r="P3169" s="21">
        <f>Data!J3186</f>
        <v>0</v>
      </c>
      <c r="Q3169">
        <f>Data!K3186</f>
        <v>0</v>
      </c>
      <c r="R3169">
        <f>Data!L3186</f>
        <v>0</v>
      </c>
      <c r="S3169">
        <f>Data!M3186</f>
        <v>0</v>
      </c>
      <c r="T3169">
        <f>Data!N3186</f>
        <v>0</v>
      </c>
      <c r="U3169">
        <f>Data!O3186</f>
        <v>0</v>
      </c>
      <c r="V3169" s="33">
        <f>Data!P3184</f>
        <v>0</v>
      </c>
    </row>
    <row r="3170" spans="7:22" x14ac:dyDescent="0.25">
      <c r="G3170">
        <f>Data!A3183</f>
        <v>0</v>
      </c>
      <c r="H3170" s="21">
        <f>Data!B3183</f>
        <v>0</v>
      </c>
      <c r="I3170" s="21">
        <f>Data!C3183</f>
        <v>0</v>
      </c>
      <c r="J3170">
        <f>Data!D3183</f>
        <v>0</v>
      </c>
      <c r="K3170">
        <f>Data!E3183</f>
        <v>0</v>
      </c>
      <c r="L3170">
        <f>Data!F3183</f>
        <v>0</v>
      </c>
      <c r="M3170">
        <f>Data!G3183</f>
        <v>0</v>
      </c>
      <c r="N3170">
        <f>Data!H3183</f>
        <v>0</v>
      </c>
      <c r="O3170">
        <f>Data!I3183</f>
        <v>0</v>
      </c>
      <c r="P3170" s="21">
        <f>Data!J3187</f>
        <v>0</v>
      </c>
      <c r="Q3170">
        <f>Data!K3187</f>
        <v>0</v>
      </c>
      <c r="R3170">
        <f>Data!L3187</f>
        <v>0</v>
      </c>
      <c r="S3170">
        <f>Data!M3187</f>
        <v>0</v>
      </c>
      <c r="T3170">
        <f>Data!N3187</f>
        <v>0</v>
      </c>
      <c r="U3170">
        <f>Data!O3187</f>
        <v>0</v>
      </c>
      <c r="V3170" s="33">
        <f>Data!P3185</f>
        <v>0</v>
      </c>
    </row>
    <row r="3171" spans="7:22" x14ac:dyDescent="0.25">
      <c r="G3171">
        <f>Data!A3184</f>
        <v>0</v>
      </c>
      <c r="H3171" s="21">
        <f>Data!B3184</f>
        <v>0</v>
      </c>
      <c r="I3171" s="21">
        <f>Data!C3184</f>
        <v>0</v>
      </c>
      <c r="J3171">
        <f>Data!D3184</f>
        <v>0</v>
      </c>
      <c r="K3171">
        <f>Data!E3184</f>
        <v>0</v>
      </c>
      <c r="L3171">
        <f>Data!F3184</f>
        <v>0</v>
      </c>
      <c r="M3171">
        <f>Data!G3184</f>
        <v>0</v>
      </c>
      <c r="N3171">
        <f>Data!H3184</f>
        <v>0</v>
      </c>
      <c r="O3171">
        <f>Data!I3184</f>
        <v>0</v>
      </c>
      <c r="P3171" s="21">
        <f>Data!J3188</f>
        <v>0</v>
      </c>
      <c r="Q3171">
        <f>Data!K3188</f>
        <v>0</v>
      </c>
      <c r="R3171">
        <f>Data!L3188</f>
        <v>0</v>
      </c>
      <c r="S3171">
        <f>Data!M3188</f>
        <v>0</v>
      </c>
      <c r="T3171">
        <f>Data!N3188</f>
        <v>0</v>
      </c>
      <c r="U3171">
        <f>Data!O3188</f>
        <v>0</v>
      </c>
      <c r="V3171" s="33">
        <f>Data!P3186</f>
        <v>0</v>
      </c>
    </row>
    <row r="3172" spans="7:22" x14ac:dyDescent="0.25">
      <c r="G3172">
        <f>Data!A3185</f>
        <v>0</v>
      </c>
      <c r="H3172" s="21">
        <f>Data!B3185</f>
        <v>0</v>
      </c>
      <c r="I3172" s="21">
        <f>Data!C3185</f>
        <v>0</v>
      </c>
      <c r="J3172">
        <f>Data!D3185</f>
        <v>0</v>
      </c>
      <c r="K3172">
        <f>Data!E3185</f>
        <v>0</v>
      </c>
      <c r="L3172">
        <f>Data!F3185</f>
        <v>0</v>
      </c>
      <c r="M3172">
        <f>Data!G3185</f>
        <v>0</v>
      </c>
      <c r="N3172">
        <f>Data!H3185</f>
        <v>0</v>
      </c>
      <c r="O3172">
        <f>Data!I3185</f>
        <v>0</v>
      </c>
      <c r="P3172" s="21">
        <f>Data!J3189</f>
        <v>0</v>
      </c>
      <c r="Q3172">
        <f>Data!K3189</f>
        <v>0</v>
      </c>
      <c r="R3172">
        <f>Data!L3189</f>
        <v>0</v>
      </c>
      <c r="S3172">
        <f>Data!M3189</f>
        <v>0</v>
      </c>
      <c r="T3172">
        <f>Data!N3189</f>
        <v>0</v>
      </c>
      <c r="U3172">
        <f>Data!O3189</f>
        <v>0</v>
      </c>
      <c r="V3172" s="33">
        <f>Data!P3187</f>
        <v>0</v>
      </c>
    </row>
    <row r="3173" spans="7:22" x14ac:dyDescent="0.25">
      <c r="G3173">
        <f>Data!A3186</f>
        <v>0</v>
      </c>
      <c r="H3173" s="21">
        <f>Data!B3186</f>
        <v>0</v>
      </c>
      <c r="I3173" s="21">
        <f>Data!C3186</f>
        <v>0</v>
      </c>
      <c r="J3173">
        <f>Data!D3186</f>
        <v>0</v>
      </c>
      <c r="K3173">
        <f>Data!E3186</f>
        <v>0</v>
      </c>
      <c r="L3173">
        <f>Data!F3186</f>
        <v>0</v>
      </c>
      <c r="M3173">
        <f>Data!G3186</f>
        <v>0</v>
      </c>
      <c r="N3173">
        <f>Data!H3186</f>
        <v>0</v>
      </c>
      <c r="O3173">
        <f>Data!I3186</f>
        <v>0</v>
      </c>
      <c r="P3173" s="21">
        <f>Data!J3190</f>
        <v>0</v>
      </c>
      <c r="Q3173">
        <f>Data!K3190</f>
        <v>0</v>
      </c>
      <c r="R3173">
        <f>Data!L3190</f>
        <v>0</v>
      </c>
      <c r="S3173">
        <f>Data!M3190</f>
        <v>0</v>
      </c>
      <c r="T3173">
        <f>Data!N3190</f>
        <v>0</v>
      </c>
      <c r="U3173">
        <f>Data!O3190</f>
        <v>0</v>
      </c>
      <c r="V3173" s="33">
        <f>Data!P3188</f>
        <v>0</v>
      </c>
    </row>
    <row r="3174" spans="7:22" x14ac:dyDescent="0.25">
      <c r="G3174">
        <f>Data!A3187</f>
        <v>0</v>
      </c>
      <c r="H3174" s="21">
        <f>Data!B3187</f>
        <v>0</v>
      </c>
      <c r="I3174" s="21">
        <f>Data!C3187</f>
        <v>0</v>
      </c>
      <c r="J3174">
        <f>Data!D3187</f>
        <v>0</v>
      </c>
      <c r="K3174">
        <f>Data!E3187</f>
        <v>0</v>
      </c>
      <c r="L3174">
        <f>Data!F3187</f>
        <v>0</v>
      </c>
      <c r="M3174">
        <f>Data!G3187</f>
        <v>0</v>
      </c>
      <c r="N3174">
        <f>Data!H3187</f>
        <v>0</v>
      </c>
      <c r="O3174">
        <f>Data!I3187</f>
        <v>0</v>
      </c>
      <c r="P3174" s="21">
        <f>Data!J3191</f>
        <v>0</v>
      </c>
      <c r="Q3174">
        <f>Data!K3191</f>
        <v>0</v>
      </c>
      <c r="R3174">
        <f>Data!L3191</f>
        <v>0</v>
      </c>
      <c r="S3174">
        <f>Data!M3191</f>
        <v>0</v>
      </c>
      <c r="T3174">
        <f>Data!N3191</f>
        <v>0</v>
      </c>
      <c r="U3174">
        <f>Data!O3191</f>
        <v>0</v>
      </c>
      <c r="V3174" s="33">
        <f>Data!P3189</f>
        <v>0</v>
      </c>
    </row>
    <row r="3175" spans="7:22" x14ac:dyDescent="0.25">
      <c r="G3175">
        <f>Data!A3188</f>
        <v>0</v>
      </c>
      <c r="H3175" s="21">
        <f>Data!B3188</f>
        <v>0</v>
      </c>
      <c r="I3175" s="21">
        <f>Data!C3188</f>
        <v>0</v>
      </c>
      <c r="J3175">
        <f>Data!D3188</f>
        <v>0</v>
      </c>
      <c r="K3175">
        <f>Data!E3188</f>
        <v>0</v>
      </c>
      <c r="L3175">
        <f>Data!F3188</f>
        <v>0</v>
      </c>
      <c r="M3175">
        <f>Data!G3188</f>
        <v>0</v>
      </c>
      <c r="N3175">
        <f>Data!H3188</f>
        <v>0</v>
      </c>
      <c r="O3175">
        <f>Data!I3188</f>
        <v>0</v>
      </c>
      <c r="P3175" s="21">
        <f>Data!J3192</f>
        <v>0</v>
      </c>
      <c r="Q3175">
        <f>Data!K3192</f>
        <v>0</v>
      </c>
      <c r="R3175">
        <f>Data!L3192</f>
        <v>0</v>
      </c>
      <c r="S3175">
        <f>Data!M3192</f>
        <v>0</v>
      </c>
      <c r="T3175">
        <f>Data!N3192</f>
        <v>0</v>
      </c>
      <c r="U3175">
        <f>Data!O3192</f>
        <v>0</v>
      </c>
      <c r="V3175" s="33">
        <f>Data!P3190</f>
        <v>0</v>
      </c>
    </row>
    <row r="3176" spans="7:22" x14ac:dyDescent="0.25">
      <c r="G3176">
        <f>Data!A3189</f>
        <v>0</v>
      </c>
      <c r="H3176" s="21">
        <f>Data!B3189</f>
        <v>0</v>
      </c>
      <c r="I3176" s="21">
        <f>Data!C3189</f>
        <v>0</v>
      </c>
      <c r="J3176">
        <f>Data!D3189</f>
        <v>0</v>
      </c>
      <c r="K3176">
        <f>Data!E3189</f>
        <v>0</v>
      </c>
      <c r="L3176">
        <f>Data!F3189</f>
        <v>0</v>
      </c>
      <c r="M3176">
        <f>Data!G3189</f>
        <v>0</v>
      </c>
      <c r="N3176">
        <f>Data!H3189</f>
        <v>0</v>
      </c>
      <c r="O3176">
        <f>Data!I3189</f>
        <v>0</v>
      </c>
      <c r="P3176" s="21">
        <f>Data!J3193</f>
        <v>0</v>
      </c>
      <c r="Q3176">
        <f>Data!K3193</f>
        <v>0</v>
      </c>
      <c r="R3176">
        <f>Data!L3193</f>
        <v>0</v>
      </c>
      <c r="S3176">
        <f>Data!M3193</f>
        <v>0</v>
      </c>
      <c r="T3176">
        <f>Data!N3193</f>
        <v>0</v>
      </c>
      <c r="U3176">
        <f>Data!O3193</f>
        <v>0</v>
      </c>
      <c r="V3176" s="33">
        <f>Data!P3191</f>
        <v>0</v>
      </c>
    </row>
    <row r="3177" spans="7:22" x14ac:dyDescent="0.25">
      <c r="G3177">
        <f>Data!A3190</f>
        <v>0</v>
      </c>
      <c r="H3177" s="21">
        <f>Data!B3190</f>
        <v>0</v>
      </c>
      <c r="I3177" s="21">
        <f>Data!C3190</f>
        <v>0</v>
      </c>
      <c r="J3177">
        <f>Data!D3190</f>
        <v>0</v>
      </c>
      <c r="K3177">
        <f>Data!E3190</f>
        <v>0</v>
      </c>
      <c r="L3177">
        <f>Data!F3190</f>
        <v>0</v>
      </c>
      <c r="M3177">
        <f>Data!G3190</f>
        <v>0</v>
      </c>
      <c r="N3177">
        <f>Data!H3190</f>
        <v>0</v>
      </c>
      <c r="O3177">
        <f>Data!I3190</f>
        <v>0</v>
      </c>
      <c r="P3177" s="21">
        <f>Data!J3194</f>
        <v>0</v>
      </c>
      <c r="Q3177">
        <f>Data!K3194</f>
        <v>0</v>
      </c>
      <c r="R3177">
        <f>Data!L3194</f>
        <v>0</v>
      </c>
      <c r="S3177">
        <f>Data!M3194</f>
        <v>0</v>
      </c>
      <c r="T3177">
        <f>Data!N3194</f>
        <v>0</v>
      </c>
      <c r="U3177">
        <f>Data!O3194</f>
        <v>0</v>
      </c>
      <c r="V3177" s="33">
        <f>Data!P3192</f>
        <v>0</v>
      </c>
    </row>
    <row r="3178" spans="7:22" x14ac:dyDescent="0.25">
      <c r="G3178">
        <f>Data!A3191</f>
        <v>0</v>
      </c>
      <c r="H3178" s="21">
        <f>Data!B3191</f>
        <v>0</v>
      </c>
      <c r="I3178" s="21">
        <f>Data!C3191</f>
        <v>0</v>
      </c>
      <c r="J3178">
        <f>Data!D3191</f>
        <v>0</v>
      </c>
      <c r="K3178">
        <f>Data!E3191</f>
        <v>0</v>
      </c>
      <c r="L3178">
        <f>Data!F3191</f>
        <v>0</v>
      </c>
      <c r="M3178">
        <f>Data!G3191</f>
        <v>0</v>
      </c>
      <c r="N3178">
        <f>Data!H3191</f>
        <v>0</v>
      </c>
      <c r="O3178">
        <f>Data!I3191</f>
        <v>0</v>
      </c>
      <c r="P3178" s="21">
        <f>Data!J3195</f>
        <v>0</v>
      </c>
      <c r="Q3178">
        <f>Data!K3195</f>
        <v>0</v>
      </c>
      <c r="R3178">
        <f>Data!L3195</f>
        <v>0</v>
      </c>
      <c r="S3178">
        <f>Data!M3195</f>
        <v>0</v>
      </c>
      <c r="T3178">
        <f>Data!N3195</f>
        <v>0</v>
      </c>
      <c r="U3178">
        <f>Data!O3195</f>
        <v>0</v>
      </c>
      <c r="V3178" s="33">
        <f>Data!P3193</f>
        <v>0</v>
      </c>
    </row>
    <row r="3179" spans="7:22" x14ac:dyDescent="0.25">
      <c r="G3179">
        <f>Data!A3192</f>
        <v>0</v>
      </c>
      <c r="H3179" s="21">
        <f>Data!B3192</f>
        <v>0</v>
      </c>
      <c r="I3179" s="21">
        <f>Data!C3192</f>
        <v>0</v>
      </c>
      <c r="J3179">
        <f>Data!D3192</f>
        <v>0</v>
      </c>
      <c r="K3179">
        <f>Data!E3192</f>
        <v>0</v>
      </c>
      <c r="L3179">
        <f>Data!F3192</f>
        <v>0</v>
      </c>
      <c r="M3179">
        <f>Data!G3192</f>
        <v>0</v>
      </c>
      <c r="N3179">
        <f>Data!H3192</f>
        <v>0</v>
      </c>
      <c r="O3179">
        <f>Data!I3192</f>
        <v>0</v>
      </c>
      <c r="P3179" s="21">
        <f>Data!J3196</f>
        <v>0</v>
      </c>
      <c r="Q3179">
        <f>Data!K3196</f>
        <v>0</v>
      </c>
      <c r="R3179">
        <f>Data!L3196</f>
        <v>0</v>
      </c>
      <c r="S3179">
        <f>Data!M3196</f>
        <v>0</v>
      </c>
      <c r="T3179">
        <f>Data!N3196</f>
        <v>0</v>
      </c>
      <c r="U3179">
        <f>Data!O3196</f>
        <v>0</v>
      </c>
      <c r="V3179" s="33">
        <f>Data!P3194</f>
        <v>0</v>
      </c>
    </row>
    <row r="3180" spans="7:22" x14ac:dyDescent="0.25">
      <c r="G3180">
        <f>Data!A3193</f>
        <v>0</v>
      </c>
      <c r="H3180" s="21">
        <f>Data!B3193</f>
        <v>0</v>
      </c>
      <c r="I3180" s="21">
        <f>Data!C3193</f>
        <v>0</v>
      </c>
      <c r="J3180">
        <f>Data!D3193</f>
        <v>0</v>
      </c>
      <c r="K3180">
        <f>Data!E3193</f>
        <v>0</v>
      </c>
      <c r="L3180">
        <f>Data!F3193</f>
        <v>0</v>
      </c>
      <c r="M3180">
        <f>Data!G3193</f>
        <v>0</v>
      </c>
      <c r="N3180">
        <f>Data!H3193</f>
        <v>0</v>
      </c>
      <c r="O3180">
        <f>Data!I3193</f>
        <v>0</v>
      </c>
      <c r="P3180" s="21">
        <f>Data!J3197</f>
        <v>0</v>
      </c>
      <c r="Q3180">
        <f>Data!K3197</f>
        <v>0</v>
      </c>
      <c r="R3180">
        <f>Data!L3197</f>
        <v>0</v>
      </c>
      <c r="S3180">
        <f>Data!M3197</f>
        <v>0</v>
      </c>
      <c r="T3180">
        <f>Data!N3197</f>
        <v>0</v>
      </c>
      <c r="U3180">
        <f>Data!O3197</f>
        <v>0</v>
      </c>
      <c r="V3180" s="33">
        <f>Data!P3195</f>
        <v>0</v>
      </c>
    </row>
    <row r="3181" spans="7:22" x14ac:dyDescent="0.25">
      <c r="G3181">
        <f>Data!A3194</f>
        <v>0</v>
      </c>
      <c r="H3181" s="21">
        <f>Data!B3194</f>
        <v>0</v>
      </c>
      <c r="I3181" s="21">
        <f>Data!C3194</f>
        <v>0</v>
      </c>
      <c r="J3181">
        <f>Data!D3194</f>
        <v>0</v>
      </c>
      <c r="K3181">
        <f>Data!E3194</f>
        <v>0</v>
      </c>
      <c r="L3181">
        <f>Data!F3194</f>
        <v>0</v>
      </c>
      <c r="M3181">
        <f>Data!G3194</f>
        <v>0</v>
      </c>
      <c r="N3181">
        <f>Data!H3194</f>
        <v>0</v>
      </c>
      <c r="O3181">
        <f>Data!I3194</f>
        <v>0</v>
      </c>
      <c r="P3181" s="21">
        <f>Data!J3198</f>
        <v>0</v>
      </c>
      <c r="Q3181">
        <f>Data!K3198</f>
        <v>0</v>
      </c>
      <c r="R3181">
        <f>Data!L3198</f>
        <v>0</v>
      </c>
      <c r="S3181">
        <f>Data!M3198</f>
        <v>0</v>
      </c>
      <c r="T3181">
        <f>Data!N3198</f>
        <v>0</v>
      </c>
      <c r="U3181">
        <f>Data!O3198</f>
        <v>0</v>
      </c>
      <c r="V3181" s="33">
        <f>Data!P3196</f>
        <v>0</v>
      </c>
    </row>
    <row r="3182" spans="7:22" x14ac:dyDescent="0.25">
      <c r="G3182">
        <f>Data!A3195</f>
        <v>0</v>
      </c>
      <c r="H3182" s="21">
        <f>Data!B3195</f>
        <v>0</v>
      </c>
      <c r="I3182" s="21">
        <f>Data!C3195</f>
        <v>0</v>
      </c>
      <c r="J3182">
        <f>Data!D3195</f>
        <v>0</v>
      </c>
      <c r="K3182">
        <f>Data!E3195</f>
        <v>0</v>
      </c>
      <c r="L3182">
        <f>Data!F3195</f>
        <v>0</v>
      </c>
      <c r="M3182">
        <f>Data!G3195</f>
        <v>0</v>
      </c>
      <c r="N3182">
        <f>Data!H3195</f>
        <v>0</v>
      </c>
      <c r="O3182">
        <f>Data!I3195</f>
        <v>0</v>
      </c>
      <c r="P3182" s="21">
        <f>Data!J3199</f>
        <v>0</v>
      </c>
      <c r="Q3182">
        <f>Data!K3199</f>
        <v>0</v>
      </c>
      <c r="R3182">
        <f>Data!L3199</f>
        <v>0</v>
      </c>
      <c r="S3182">
        <f>Data!M3199</f>
        <v>0</v>
      </c>
      <c r="T3182">
        <f>Data!N3199</f>
        <v>0</v>
      </c>
      <c r="U3182">
        <f>Data!O3199</f>
        <v>0</v>
      </c>
      <c r="V3182" s="33">
        <f>Data!P3197</f>
        <v>0</v>
      </c>
    </row>
    <row r="3183" spans="7:22" x14ac:dyDescent="0.25">
      <c r="G3183">
        <f>Data!A3196</f>
        <v>0</v>
      </c>
      <c r="H3183" s="21">
        <f>Data!B3196</f>
        <v>0</v>
      </c>
      <c r="I3183" s="21">
        <f>Data!C3196</f>
        <v>0</v>
      </c>
      <c r="J3183">
        <f>Data!D3196</f>
        <v>0</v>
      </c>
      <c r="K3183">
        <f>Data!E3196</f>
        <v>0</v>
      </c>
      <c r="L3183">
        <f>Data!F3196</f>
        <v>0</v>
      </c>
      <c r="M3183">
        <f>Data!G3196</f>
        <v>0</v>
      </c>
      <c r="N3183">
        <f>Data!H3196</f>
        <v>0</v>
      </c>
      <c r="O3183">
        <f>Data!I3196</f>
        <v>0</v>
      </c>
      <c r="P3183" s="21">
        <f>Data!J3200</f>
        <v>0</v>
      </c>
      <c r="Q3183">
        <f>Data!K3200</f>
        <v>0</v>
      </c>
      <c r="R3183">
        <f>Data!L3200</f>
        <v>0</v>
      </c>
      <c r="S3183">
        <f>Data!M3200</f>
        <v>0</v>
      </c>
      <c r="T3183">
        <f>Data!N3200</f>
        <v>0</v>
      </c>
      <c r="U3183">
        <f>Data!O3200</f>
        <v>0</v>
      </c>
      <c r="V3183" s="33">
        <f>Data!P3198</f>
        <v>0</v>
      </c>
    </row>
    <row r="3184" spans="7:22" x14ac:dyDescent="0.25">
      <c r="G3184">
        <f>Data!A3197</f>
        <v>0</v>
      </c>
      <c r="H3184" s="21">
        <f>Data!B3197</f>
        <v>0</v>
      </c>
      <c r="I3184" s="21">
        <f>Data!C3197</f>
        <v>0</v>
      </c>
      <c r="J3184">
        <f>Data!D3197</f>
        <v>0</v>
      </c>
      <c r="K3184">
        <f>Data!E3197</f>
        <v>0</v>
      </c>
      <c r="L3184">
        <f>Data!F3197</f>
        <v>0</v>
      </c>
      <c r="M3184">
        <f>Data!G3197</f>
        <v>0</v>
      </c>
      <c r="N3184">
        <f>Data!H3197</f>
        <v>0</v>
      </c>
      <c r="O3184">
        <f>Data!I3197</f>
        <v>0</v>
      </c>
      <c r="P3184" s="21">
        <f>Data!J3201</f>
        <v>0</v>
      </c>
      <c r="Q3184">
        <f>Data!K3201</f>
        <v>0</v>
      </c>
      <c r="R3184">
        <f>Data!L3201</f>
        <v>0</v>
      </c>
      <c r="S3184">
        <f>Data!M3201</f>
        <v>0</v>
      </c>
      <c r="T3184">
        <f>Data!N3201</f>
        <v>0</v>
      </c>
      <c r="U3184">
        <f>Data!O3201</f>
        <v>0</v>
      </c>
      <c r="V3184" s="33">
        <f>Data!P3199</f>
        <v>0</v>
      </c>
    </row>
    <row r="3185" spans="7:22" x14ac:dyDescent="0.25">
      <c r="G3185">
        <f>Data!A3198</f>
        <v>0</v>
      </c>
      <c r="H3185" s="21">
        <f>Data!B3198</f>
        <v>0</v>
      </c>
      <c r="I3185" s="21">
        <f>Data!C3198</f>
        <v>0</v>
      </c>
      <c r="J3185">
        <f>Data!D3198</f>
        <v>0</v>
      </c>
      <c r="K3185">
        <f>Data!E3198</f>
        <v>0</v>
      </c>
      <c r="L3185">
        <f>Data!F3198</f>
        <v>0</v>
      </c>
      <c r="M3185">
        <f>Data!G3198</f>
        <v>0</v>
      </c>
      <c r="N3185">
        <f>Data!H3198</f>
        <v>0</v>
      </c>
      <c r="O3185">
        <f>Data!I3198</f>
        <v>0</v>
      </c>
      <c r="P3185" s="21">
        <f>Data!J3202</f>
        <v>0</v>
      </c>
      <c r="Q3185">
        <f>Data!K3202</f>
        <v>0</v>
      </c>
      <c r="R3185">
        <f>Data!L3202</f>
        <v>0</v>
      </c>
      <c r="S3185">
        <f>Data!M3202</f>
        <v>0</v>
      </c>
      <c r="T3185">
        <f>Data!N3202</f>
        <v>0</v>
      </c>
      <c r="U3185">
        <f>Data!O3202</f>
        <v>0</v>
      </c>
      <c r="V3185" s="33">
        <f>Data!P3200</f>
        <v>0</v>
      </c>
    </row>
    <row r="3186" spans="7:22" x14ac:dyDescent="0.25">
      <c r="G3186">
        <f>Data!A3199</f>
        <v>0</v>
      </c>
      <c r="H3186" s="21">
        <f>Data!B3199</f>
        <v>0</v>
      </c>
      <c r="I3186" s="21">
        <f>Data!C3199</f>
        <v>0</v>
      </c>
      <c r="J3186">
        <f>Data!D3199</f>
        <v>0</v>
      </c>
      <c r="K3186">
        <f>Data!E3199</f>
        <v>0</v>
      </c>
      <c r="L3186">
        <f>Data!F3199</f>
        <v>0</v>
      </c>
      <c r="M3186">
        <f>Data!G3199</f>
        <v>0</v>
      </c>
      <c r="N3186">
        <f>Data!H3199</f>
        <v>0</v>
      </c>
      <c r="O3186">
        <f>Data!I3199</f>
        <v>0</v>
      </c>
      <c r="P3186" s="21">
        <f>Data!J3203</f>
        <v>0</v>
      </c>
      <c r="Q3186">
        <f>Data!K3203</f>
        <v>0</v>
      </c>
      <c r="R3186">
        <f>Data!L3203</f>
        <v>0</v>
      </c>
      <c r="S3186">
        <f>Data!M3203</f>
        <v>0</v>
      </c>
      <c r="T3186">
        <f>Data!N3203</f>
        <v>0</v>
      </c>
      <c r="U3186">
        <f>Data!O3203</f>
        <v>0</v>
      </c>
      <c r="V3186" s="33">
        <f>Data!P3201</f>
        <v>0</v>
      </c>
    </row>
    <row r="3187" spans="7:22" x14ac:dyDescent="0.25">
      <c r="G3187">
        <f>Data!A3200</f>
        <v>0</v>
      </c>
      <c r="H3187" s="21">
        <f>Data!B3200</f>
        <v>0</v>
      </c>
      <c r="I3187" s="21">
        <f>Data!C3200</f>
        <v>0</v>
      </c>
      <c r="J3187">
        <f>Data!D3200</f>
        <v>0</v>
      </c>
      <c r="K3187">
        <f>Data!E3200</f>
        <v>0</v>
      </c>
      <c r="L3187">
        <f>Data!F3200</f>
        <v>0</v>
      </c>
      <c r="M3187">
        <f>Data!G3200</f>
        <v>0</v>
      </c>
      <c r="N3187">
        <f>Data!H3200</f>
        <v>0</v>
      </c>
      <c r="O3187">
        <f>Data!I3200</f>
        <v>0</v>
      </c>
      <c r="P3187" s="21">
        <f>Data!J3204</f>
        <v>0</v>
      </c>
      <c r="Q3187">
        <f>Data!K3204</f>
        <v>0</v>
      </c>
      <c r="R3187">
        <f>Data!L3204</f>
        <v>0</v>
      </c>
      <c r="S3187">
        <f>Data!M3204</f>
        <v>0</v>
      </c>
      <c r="T3187">
        <f>Data!N3204</f>
        <v>0</v>
      </c>
      <c r="U3187">
        <f>Data!O3204</f>
        <v>0</v>
      </c>
      <c r="V3187" s="33">
        <f>Data!P3202</f>
        <v>0</v>
      </c>
    </row>
    <row r="3188" spans="7:22" x14ac:dyDescent="0.25">
      <c r="G3188">
        <f>Data!A3201</f>
        <v>0</v>
      </c>
      <c r="H3188" s="21">
        <f>Data!B3201</f>
        <v>0</v>
      </c>
      <c r="I3188" s="21">
        <f>Data!C3201</f>
        <v>0</v>
      </c>
      <c r="J3188">
        <f>Data!D3201</f>
        <v>0</v>
      </c>
      <c r="K3188">
        <f>Data!E3201</f>
        <v>0</v>
      </c>
      <c r="L3188">
        <f>Data!F3201</f>
        <v>0</v>
      </c>
      <c r="M3188">
        <f>Data!G3201</f>
        <v>0</v>
      </c>
      <c r="N3188">
        <f>Data!H3201</f>
        <v>0</v>
      </c>
      <c r="O3188">
        <f>Data!I3201</f>
        <v>0</v>
      </c>
      <c r="P3188" s="21">
        <f>Data!J3205</f>
        <v>0</v>
      </c>
      <c r="Q3188">
        <f>Data!K3205</f>
        <v>0</v>
      </c>
      <c r="R3188">
        <f>Data!L3205</f>
        <v>0</v>
      </c>
      <c r="S3188">
        <f>Data!M3205</f>
        <v>0</v>
      </c>
      <c r="T3188">
        <f>Data!N3205</f>
        <v>0</v>
      </c>
      <c r="U3188">
        <f>Data!O3205</f>
        <v>0</v>
      </c>
      <c r="V3188" s="33">
        <f>Data!P3203</f>
        <v>0</v>
      </c>
    </row>
    <row r="3189" spans="7:22" x14ac:dyDescent="0.25">
      <c r="G3189">
        <f>Data!A3202</f>
        <v>0</v>
      </c>
      <c r="H3189" s="21">
        <f>Data!B3202</f>
        <v>0</v>
      </c>
      <c r="I3189" s="21">
        <f>Data!C3202</f>
        <v>0</v>
      </c>
      <c r="J3189">
        <f>Data!D3202</f>
        <v>0</v>
      </c>
      <c r="K3189">
        <f>Data!E3202</f>
        <v>0</v>
      </c>
      <c r="L3189">
        <f>Data!F3202</f>
        <v>0</v>
      </c>
      <c r="M3189">
        <f>Data!G3202</f>
        <v>0</v>
      </c>
      <c r="N3189">
        <f>Data!H3202</f>
        <v>0</v>
      </c>
      <c r="O3189">
        <f>Data!I3202</f>
        <v>0</v>
      </c>
      <c r="P3189" s="21">
        <f>Data!J3206</f>
        <v>0</v>
      </c>
      <c r="Q3189">
        <f>Data!K3206</f>
        <v>0</v>
      </c>
      <c r="R3189">
        <f>Data!L3206</f>
        <v>0</v>
      </c>
      <c r="S3189">
        <f>Data!M3206</f>
        <v>0</v>
      </c>
      <c r="T3189">
        <f>Data!N3206</f>
        <v>0</v>
      </c>
      <c r="U3189">
        <f>Data!O3206</f>
        <v>0</v>
      </c>
      <c r="V3189" s="33">
        <f>Data!P3204</f>
        <v>0</v>
      </c>
    </row>
    <row r="3190" spans="7:22" x14ac:dyDescent="0.25">
      <c r="G3190">
        <f>Data!A3203</f>
        <v>0</v>
      </c>
      <c r="H3190" s="21">
        <f>Data!B3203</f>
        <v>0</v>
      </c>
      <c r="I3190" s="21">
        <f>Data!C3203</f>
        <v>0</v>
      </c>
      <c r="J3190">
        <f>Data!D3203</f>
        <v>0</v>
      </c>
      <c r="K3190">
        <f>Data!E3203</f>
        <v>0</v>
      </c>
      <c r="L3190">
        <f>Data!F3203</f>
        <v>0</v>
      </c>
      <c r="M3190">
        <f>Data!G3203</f>
        <v>0</v>
      </c>
      <c r="N3190">
        <f>Data!H3203</f>
        <v>0</v>
      </c>
      <c r="O3190">
        <f>Data!I3203</f>
        <v>0</v>
      </c>
      <c r="P3190" s="21">
        <f>Data!J3207</f>
        <v>0</v>
      </c>
      <c r="Q3190">
        <f>Data!K3207</f>
        <v>0</v>
      </c>
      <c r="R3190">
        <f>Data!L3207</f>
        <v>0</v>
      </c>
      <c r="S3190">
        <f>Data!M3207</f>
        <v>0</v>
      </c>
      <c r="T3190">
        <f>Data!N3207</f>
        <v>0</v>
      </c>
      <c r="U3190">
        <f>Data!O3207</f>
        <v>0</v>
      </c>
      <c r="V3190" s="33">
        <f>Data!P3205</f>
        <v>0</v>
      </c>
    </row>
    <row r="3191" spans="7:22" x14ac:dyDescent="0.25">
      <c r="G3191">
        <f>Data!A3204</f>
        <v>0</v>
      </c>
      <c r="H3191" s="21">
        <f>Data!B3204</f>
        <v>0</v>
      </c>
      <c r="I3191" s="21">
        <f>Data!C3204</f>
        <v>0</v>
      </c>
      <c r="J3191">
        <f>Data!D3204</f>
        <v>0</v>
      </c>
      <c r="K3191">
        <f>Data!E3204</f>
        <v>0</v>
      </c>
      <c r="L3191">
        <f>Data!F3204</f>
        <v>0</v>
      </c>
      <c r="M3191">
        <f>Data!G3204</f>
        <v>0</v>
      </c>
      <c r="N3191">
        <f>Data!H3204</f>
        <v>0</v>
      </c>
      <c r="O3191">
        <f>Data!I3204</f>
        <v>0</v>
      </c>
      <c r="P3191" s="21">
        <f>Data!J3208</f>
        <v>0</v>
      </c>
      <c r="Q3191">
        <f>Data!K3208</f>
        <v>0</v>
      </c>
      <c r="R3191">
        <f>Data!L3208</f>
        <v>0</v>
      </c>
      <c r="S3191">
        <f>Data!M3208</f>
        <v>0</v>
      </c>
      <c r="T3191">
        <f>Data!N3208</f>
        <v>0</v>
      </c>
      <c r="U3191">
        <f>Data!O3208</f>
        <v>0</v>
      </c>
      <c r="V3191" s="33">
        <f>Data!P3206</f>
        <v>0</v>
      </c>
    </row>
    <row r="3192" spans="7:22" x14ac:dyDescent="0.25">
      <c r="G3192">
        <f>Data!A3205</f>
        <v>0</v>
      </c>
      <c r="H3192" s="21">
        <f>Data!B3205</f>
        <v>0</v>
      </c>
      <c r="I3192" s="21">
        <f>Data!C3205</f>
        <v>0</v>
      </c>
      <c r="J3192">
        <f>Data!D3205</f>
        <v>0</v>
      </c>
      <c r="K3192">
        <f>Data!E3205</f>
        <v>0</v>
      </c>
      <c r="L3192">
        <f>Data!F3205</f>
        <v>0</v>
      </c>
      <c r="M3192">
        <f>Data!G3205</f>
        <v>0</v>
      </c>
      <c r="N3192">
        <f>Data!H3205</f>
        <v>0</v>
      </c>
      <c r="O3192">
        <f>Data!I3205</f>
        <v>0</v>
      </c>
      <c r="P3192" s="21">
        <f>Data!J3209</f>
        <v>0</v>
      </c>
      <c r="Q3192">
        <f>Data!K3209</f>
        <v>0</v>
      </c>
      <c r="R3192">
        <f>Data!L3209</f>
        <v>0</v>
      </c>
      <c r="S3192">
        <f>Data!M3209</f>
        <v>0</v>
      </c>
      <c r="T3192">
        <f>Data!N3209</f>
        <v>0</v>
      </c>
      <c r="U3192">
        <f>Data!O3209</f>
        <v>0</v>
      </c>
      <c r="V3192" s="33">
        <f>Data!P3207</f>
        <v>0</v>
      </c>
    </row>
    <row r="3193" spans="7:22" x14ac:dyDescent="0.25">
      <c r="G3193">
        <f>Data!A3206</f>
        <v>0</v>
      </c>
      <c r="H3193" s="21">
        <f>Data!B3206</f>
        <v>0</v>
      </c>
      <c r="I3193" s="21">
        <f>Data!C3206</f>
        <v>0</v>
      </c>
      <c r="J3193">
        <f>Data!D3206</f>
        <v>0</v>
      </c>
      <c r="K3193">
        <f>Data!E3206</f>
        <v>0</v>
      </c>
      <c r="L3193">
        <f>Data!F3206</f>
        <v>0</v>
      </c>
      <c r="M3193">
        <f>Data!G3206</f>
        <v>0</v>
      </c>
      <c r="N3193">
        <f>Data!H3206</f>
        <v>0</v>
      </c>
      <c r="O3193">
        <f>Data!I3206</f>
        <v>0</v>
      </c>
      <c r="P3193" s="21">
        <f>Data!J3210</f>
        <v>0</v>
      </c>
      <c r="Q3193">
        <f>Data!K3210</f>
        <v>0</v>
      </c>
      <c r="R3193">
        <f>Data!L3210</f>
        <v>0</v>
      </c>
      <c r="S3193">
        <f>Data!M3210</f>
        <v>0</v>
      </c>
      <c r="T3193">
        <f>Data!N3210</f>
        <v>0</v>
      </c>
      <c r="U3193">
        <f>Data!O3210</f>
        <v>0</v>
      </c>
      <c r="V3193" s="33">
        <f>Data!P3208</f>
        <v>0</v>
      </c>
    </row>
    <row r="3194" spans="7:22" x14ac:dyDescent="0.25">
      <c r="G3194">
        <f>Data!A3207</f>
        <v>0</v>
      </c>
      <c r="H3194" s="21">
        <f>Data!B3207</f>
        <v>0</v>
      </c>
      <c r="I3194" s="21">
        <f>Data!C3207</f>
        <v>0</v>
      </c>
      <c r="J3194">
        <f>Data!D3207</f>
        <v>0</v>
      </c>
      <c r="K3194">
        <f>Data!E3207</f>
        <v>0</v>
      </c>
      <c r="L3194">
        <f>Data!F3207</f>
        <v>0</v>
      </c>
      <c r="M3194">
        <f>Data!G3207</f>
        <v>0</v>
      </c>
      <c r="N3194">
        <f>Data!H3207</f>
        <v>0</v>
      </c>
      <c r="O3194">
        <f>Data!I3207</f>
        <v>0</v>
      </c>
      <c r="P3194" s="21">
        <f>Data!J3211</f>
        <v>0</v>
      </c>
      <c r="Q3194">
        <f>Data!K3211</f>
        <v>0</v>
      </c>
      <c r="R3194">
        <f>Data!L3211</f>
        <v>0</v>
      </c>
      <c r="S3194">
        <f>Data!M3211</f>
        <v>0</v>
      </c>
      <c r="T3194">
        <f>Data!N3211</f>
        <v>0</v>
      </c>
      <c r="U3194">
        <f>Data!O3211</f>
        <v>0</v>
      </c>
      <c r="V3194" s="33">
        <f>Data!P3209</f>
        <v>0</v>
      </c>
    </row>
    <row r="3195" spans="7:22" x14ac:dyDescent="0.25">
      <c r="G3195">
        <f>Data!A3208</f>
        <v>0</v>
      </c>
      <c r="H3195" s="21">
        <f>Data!B3208</f>
        <v>0</v>
      </c>
      <c r="I3195" s="21">
        <f>Data!C3208</f>
        <v>0</v>
      </c>
      <c r="J3195">
        <f>Data!D3208</f>
        <v>0</v>
      </c>
      <c r="K3195">
        <f>Data!E3208</f>
        <v>0</v>
      </c>
      <c r="L3195">
        <f>Data!F3208</f>
        <v>0</v>
      </c>
      <c r="M3195">
        <f>Data!G3208</f>
        <v>0</v>
      </c>
      <c r="N3195">
        <f>Data!H3208</f>
        <v>0</v>
      </c>
      <c r="O3195">
        <f>Data!I3208</f>
        <v>0</v>
      </c>
      <c r="P3195" s="21">
        <f>Data!J3212</f>
        <v>0</v>
      </c>
      <c r="Q3195">
        <f>Data!K3212</f>
        <v>0</v>
      </c>
      <c r="R3195">
        <f>Data!L3212</f>
        <v>0</v>
      </c>
      <c r="S3195">
        <f>Data!M3212</f>
        <v>0</v>
      </c>
      <c r="T3195">
        <f>Data!N3212</f>
        <v>0</v>
      </c>
      <c r="U3195">
        <f>Data!O3212</f>
        <v>0</v>
      </c>
      <c r="V3195" s="33">
        <f>Data!P3210</f>
        <v>0</v>
      </c>
    </row>
    <row r="3196" spans="7:22" x14ac:dyDescent="0.25">
      <c r="G3196">
        <f>Data!A3209</f>
        <v>0</v>
      </c>
      <c r="H3196" s="21">
        <f>Data!B3209</f>
        <v>0</v>
      </c>
      <c r="I3196" s="21">
        <f>Data!C3209</f>
        <v>0</v>
      </c>
      <c r="J3196">
        <f>Data!D3209</f>
        <v>0</v>
      </c>
      <c r="K3196">
        <f>Data!E3209</f>
        <v>0</v>
      </c>
      <c r="L3196">
        <f>Data!F3209</f>
        <v>0</v>
      </c>
      <c r="M3196">
        <f>Data!G3209</f>
        <v>0</v>
      </c>
      <c r="N3196">
        <f>Data!H3209</f>
        <v>0</v>
      </c>
      <c r="O3196">
        <f>Data!I3209</f>
        <v>0</v>
      </c>
      <c r="P3196" s="21">
        <f>Data!J3213</f>
        <v>0</v>
      </c>
      <c r="Q3196">
        <f>Data!K3213</f>
        <v>0</v>
      </c>
      <c r="R3196">
        <f>Data!L3213</f>
        <v>0</v>
      </c>
      <c r="S3196">
        <f>Data!M3213</f>
        <v>0</v>
      </c>
      <c r="T3196">
        <f>Data!N3213</f>
        <v>0</v>
      </c>
      <c r="U3196">
        <f>Data!O3213</f>
        <v>0</v>
      </c>
      <c r="V3196" s="33">
        <f>Data!P3211</f>
        <v>0</v>
      </c>
    </row>
    <row r="3197" spans="7:22" x14ac:dyDescent="0.25">
      <c r="G3197">
        <f>Data!A3210</f>
        <v>0</v>
      </c>
      <c r="H3197" s="21">
        <f>Data!B3210</f>
        <v>0</v>
      </c>
      <c r="I3197" s="21">
        <f>Data!C3210</f>
        <v>0</v>
      </c>
      <c r="J3197">
        <f>Data!D3210</f>
        <v>0</v>
      </c>
      <c r="K3197">
        <f>Data!E3210</f>
        <v>0</v>
      </c>
      <c r="L3197">
        <f>Data!F3210</f>
        <v>0</v>
      </c>
      <c r="M3197">
        <f>Data!G3210</f>
        <v>0</v>
      </c>
      <c r="N3197">
        <f>Data!H3210</f>
        <v>0</v>
      </c>
      <c r="O3197">
        <f>Data!I3210</f>
        <v>0</v>
      </c>
      <c r="P3197" s="21">
        <f>Data!J3214</f>
        <v>0</v>
      </c>
      <c r="Q3197">
        <f>Data!K3214</f>
        <v>0</v>
      </c>
      <c r="R3197">
        <f>Data!L3214</f>
        <v>0</v>
      </c>
      <c r="S3197">
        <f>Data!M3214</f>
        <v>0</v>
      </c>
      <c r="T3197">
        <f>Data!N3214</f>
        <v>0</v>
      </c>
      <c r="U3197">
        <f>Data!O3214</f>
        <v>0</v>
      </c>
      <c r="V3197" s="33">
        <f>Data!P3212</f>
        <v>0</v>
      </c>
    </row>
    <row r="3198" spans="7:22" x14ac:dyDescent="0.25">
      <c r="G3198">
        <f>Data!A3211</f>
        <v>0</v>
      </c>
      <c r="H3198" s="21">
        <f>Data!B3211</f>
        <v>0</v>
      </c>
      <c r="I3198" s="21">
        <f>Data!C3211</f>
        <v>0</v>
      </c>
      <c r="J3198">
        <f>Data!D3211</f>
        <v>0</v>
      </c>
      <c r="K3198">
        <f>Data!E3211</f>
        <v>0</v>
      </c>
      <c r="L3198">
        <f>Data!F3211</f>
        <v>0</v>
      </c>
      <c r="M3198">
        <f>Data!G3211</f>
        <v>0</v>
      </c>
      <c r="N3198">
        <f>Data!H3211</f>
        <v>0</v>
      </c>
      <c r="O3198">
        <f>Data!I3211</f>
        <v>0</v>
      </c>
      <c r="P3198" s="21">
        <f>Data!J3215</f>
        <v>0</v>
      </c>
      <c r="Q3198">
        <f>Data!K3215</f>
        <v>0</v>
      </c>
      <c r="R3198">
        <f>Data!L3215</f>
        <v>0</v>
      </c>
      <c r="S3198">
        <f>Data!M3215</f>
        <v>0</v>
      </c>
      <c r="T3198">
        <f>Data!N3215</f>
        <v>0</v>
      </c>
      <c r="U3198">
        <f>Data!O3215</f>
        <v>0</v>
      </c>
      <c r="V3198" s="33">
        <f>Data!P3213</f>
        <v>0</v>
      </c>
    </row>
    <row r="3199" spans="7:22" x14ac:dyDescent="0.25">
      <c r="G3199">
        <f>Data!A3212</f>
        <v>0</v>
      </c>
      <c r="H3199" s="21">
        <f>Data!B3212</f>
        <v>0</v>
      </c>
      <c r="I3199" s="21">
        <f>Data!C3212</f>
        <v>0</v>
      </c>
      <c r="J3199">
        <f>Data!D3212</f>
        <v>0</v>
      </c>
      <c r="K3199">
        <f>Data!E3212</f>
        <v>0</v>
      </c>
      <c r="L3199">
        <f>Data!F3212</f>
        <v>0</v>
      </c>
      <c r="M3199">
        <f>Data!G3212</f>
        <v>0</v>
      </c>
      <c r="N3199">
        <f>Data!H3212</f>
        <v>0</v>
      </c>
      <c r="O3199">
        <f>Data!I3212</f>
        <v>0</v>
      </c>
      <c r="P3199" s="21">
        <f>Data!J3216</f>
        <v>0</v>
      </c>
      <c r="Q3199">
        <f>Data!K3216</f>
        <v>0</v>
      </c>
      <c r="R3199">
        <f>Data!L3216</f>
        <v>0</v>
      </c>
      <c r="S3199">
        <f>Data!M3216</f>
        <v>0</v>
      </c>
      <c r="T3199">
        <f>Data!N3216</f>
        <v>0</v>
      </c>
      <c r="U3199">
        <f>Data!O3216</f>
        <v>0</v>
      </c>
      <c r="V3199" s="33">
        <f>Data!P3214</f>
        <v>0</v>
      </c>
    </row>
    <row r="3200" spans="7:22" x14ac:dyDescent="0.25">
      <c r="G3200">
        <f>Data!A3213</f>
        <v>0</v>
      </c>
      <c r="H3200" s="21">
        <f>Data!B3213</f>
        <v>0</v>
      </c>
      <c r="I3200" s="21">
        <f>Data!C3213</f>
        <v>0</v>
      </c>
      <c r="J3200">
        <f>Data!D3213</f>
        <v>0</v>
      </c>
      <c r="K3200">
        <f>Data!E3213</f>
        <v>0</v>
      </c>
      <c r="L3200">
        <f>Data!F3213</f>
        <v>0</v>
      </c>
      <c r="M3200">
        <f>Data!G3213</f>
        <v>0</v>
      </c>
      <c r="N3200">
        <f>Data!H3213</f>
        <v>0</v>
      </c>
      <c r="O3200">
        <f>Data!I3213</f>
        <v>0</v>
      </c>
      <c r="P3200" s="21">
        <f>Data!J3217</f>
        <v>0</v>
      </c>
      <c r="Q3200">
        <f>Data!K3217</f>
        <v>0</v>
      </c>
      <c r="R3200">
        <f>Data!L3217</f>
        <v>0</v>
      </c>
      <c r="S3200">
        <f>Data!M3217</f>
        <v>0</v>
      </c>
      <c r="T3200">
        <f>Data!N3217</f>
        <v>0</v>
      </c>
      <c r="U3200">
        <f>Data!O3217</f>
        <v>0</v>
      </c>
      <c r="V3200" s="33">
        <f>Data!P3215</f>
        <v>0</v>
      </c>
    </row>
    <row r="3201" spans="7:22" x14ac:dyDescent="0.25">
      <c r="G3201">
        <f>Data!A3214</f>
        <v>0</v>
      </c>
      <c r="H3201" s="21">
        <f>Data!B3214</f>
        <v>0</v>
      </c>
      <c r="I3201" s="21">
        <f>Data!C3214</f>
        <v>0</v>
      </c>
      <c r="J3201">
        <f>Data!D3214</f>
        <v>0</v>
      </c>
      <c r="K3201">
        <f>Data!E3214</f>
        <v>0</v>
      </c>
      <c r="L3201">
        <f>Data!F3214</f>
        <v>0</v>
      </c>
      <c r="M3201">
        <f>Data!G3214</f>
        <v>0</v>
      </c>
      <c r="N3201">
        <f>Data!H3214</f>
        <v>0</v>
      </c>
      <c r="O3201">
        <f>Data!I3214</f>
        <v>0</v>
      </c>
      <c r="P3201" s="21">
        <f>Data!J3218</f>
        <v>0</v>
      </c>
      <c r="Q3201">
        <f>Data!K3218</f>
        <v>0</v>
      </c>
      <c r="R3201">
        <f>Data!L3218</f>
        <v>0</v>
      </c>
      <c r="S3201">
        <f>Data!M3218</f>
        <v>0</v>
      </c>
      <c r="T3201">
        <f>Data!N3218</f>
        <v>0</v>
      </c>
      <c r="U3201">
        <f>Data!O3218</f>
        <v>0</v>
      </c>
      <c r="V3201" s="33">
        <f>Data!P3216</f>
        <v>0</v>
      </c>
    </row>
    <row r="3202" spans="7:22" x14ac:dyDescent="0.25">
      <c r="G3202">
        <f>Data!A3215</f>
        <v>0</v>
      </c>
      <c r="H3202" s="21">
        <f>Data!B3215</f>
        <v>0</v>
      </c>
      <c r="I3202" s="21">
        <f>Data!C3215</f>
        <v>0</v>
      </c>
      <c r="J3202">
        <f>Data!D3215</f>
        <v>0</v>
      </c>
      <c r="K3202">
        <f>Data!E3215</f>
        <v>0</v>
      </c>
      <c r="L3202">
        <f>Data!F3215</f>
        <v>0</v>
      </c>
      <c r="M3202">
        <f>Data!G3215</f>
        <v>0</v>
      </c>
      <c r="N3202">
        <f>Data!H3215</f>
        <v>0</v>
      </c>
      <c r="O3202">
        <f>Data!I3215</f>
        <v>0</v>
      </c>
      <c r="P3202" s="21">
        <f>Data!J3219</f>
        <v>0</v>
      </c>
      <c r="Q3202">
        <f>Data!K3219</f>
        <v>0</v>
      </c>
      <c r="R3202">
        <f>Data!L3219</f>
        <v>0</v>
      </c>
      <c r="S3202">
        <f>Data!M3219</f>
        <v>0</v>
      </c>
      <c r="T3202">
        <f>Data!N3219</f>
        <v>0</v>
      </c>
      <c r="U3202">
        <f>Data!O3219</f>
        <v>0</v>
      </c>
      <c r="V3202" s="33">
        <f>Data!P3217</f>
        <v>0</v>
      </c>
    </row>
    <row r="3203" spans="7:22" x14ac:dyDescent="0.25">
      <c r="G3203">
        <f>Data!A3216</f>
        <v>0</v>
      </c>
      <c r="H3203" s="21">
        <f>Data!B3216</f>
        <v>0</v>
      </c>
      <c r="I3203" s="21">
        <f>Data!C3216</f>
        <v>0</v>
      </c>
      <c r="J3203">
        <f>Data!D3216</f>
        <v>0</v>
      </c>
      <c r="K3203">
        <f>Data!E3216</f>
        <v>0</v>
      </c>
      <c r="L3203">
        <f>Data!F3216</f>
        <v>0</v>
      </c>
      <c r="M3203">
        <f>Data!G3216</f>
        <v>0</v>
      </c>
      <c r="N3203">
        <f>Data!H3216</f>
        <v>0</v>
      </c>
      <c r="O3203">
        <f>Data!I3216</f>
        <v>0</v>
      </c>
      <c r="P3203" s="21">
        <f>Data!J3220</f>
        <v>0</v>
      </c>
      <c r="Q3203">
        <f>Data!K3220</f>
        <v>0</v>
      </c>
      <c r="R3203">
        <f>Data!L3220</f>
        <v>0</v>
      </c>
      <c r="S3203">
        <f>Data!M3220</f>
        <v>0</v>
      </c>
      <c r="T3203">
        <f>Data!N3220</f>
        <v>0</v>
      </c>
      <c r="U3203">
        <f>Data!O3220</f>
        <v>0</v>
      </c>
      <c r="V3203" s="33">
        <f>Data!P3218</f>
        <v>0</v>
      </c>
    </row>
    <row r="3204" spans="7:22" x14ac:dyDescent="0.25">
      <c r="G3204">
        <f>Data!A3217</f>
        <v>0</v>
      </c>
      <c r="H3204" s="21">
        <f>Data!B3217</f>
        <v>0</v>
      </c>
      <c r="I3204" s="21">
        <f>Data!C3217</f>
        <v>0</v>
      </c>
      <c r="J3204">
        <f>Data!D3217</f>
        <v>0</v>
      </c>
      <c r="K3204">
        <f>Data!E3217</f>
        <v>0</v>
      </c>
      <c r="L3204">
        <f>Data!F3217</f>
        <v>0</v>
      </c>
      <c r="M3204">
        <f>Data!G3217</f>
        <v>0</v>
      </c>
      <c r="N3204">
        <f>Data!H3217</f>
        <v>0</v>
      </c>
      <c r="O3204">
        <f>Data!I3217</f>
        <v>0</v>
      </c>
      <c r="P3204" s="21">
        <f>Data!J3221</f>
        <v>0</v>
      </c>
      <c r="Q3204">
        <f>Data!K3221</f>
        <v>0</v>
      </c>
      <c r="R3204">
        <f>Data!L3221</f>
        <v>0</v>
      </c>
      <c r="S3204">
        <f>Data!M3221</f>
        <v>0</v>
      </c>
      <c r="T3204">
        <f>Data!N3221</f>
        <v>0</v>
      </c>
      <c r="U3204">
        <f>Data!O3221</f>
        <v>0</v>
      </c>
      <c r="V3204" s="33">
        <f>Data!P3219</f>
        <v>0</v>
      </c>
    </row>
    <row r="3205" spans="7:22" x14ac:dyDescent="0.25">
      <c r="G3205">
        <f>Data!A3218</f>
        <v>0</v>
      </c>
      <c r="H3205" s="21">
        <f>Data!B3218</f>
        <v>0</v>
      </c>
      <c r="I3205" s="21">
        <f>Data!C3218</f>
        <v>0</v>
      </c>
      <c r="J3205">
        <f>Data!D3218</f>
        <v>0</v>
      </c>
      <c r="K3205">
        <f>Data!E3218</f>
        <v>0</v>
      </c>
      <c r="L3205">
        <f>Data!F3218</f>
        <v>0</v>
      </c>
      <c r="M3205">
        <f>Data!G3218</f>
        <v>0</v>
      </c>
      <c r="N3205">
        <f>Data!H3218</f>
        <v>0</v>
      </c>
      <c r="O3205">
        <f>Data!I3218</f>
        <v>0</v>
      </c>
      <c r="P3205" s="21">
        <f>Data!J3222</f>
        <v>0</v>
      </c>
      <c r="Q3205">
        <f>Data!K3222</f>
        <v>0</v>
      </c>
      <c r="R3205">
        <f>Data!L3222</f>
        <v>0</v>
      </c>
      <c r="S3205">
        <f>Data!M3222</f>
        <v>0</v>
      </c>
      <c r="T3205">
        <f>Data!N3222</f>
        <v>0</v>
      </c>
      <c r="U3205">
        <f>Data!O3222</f>
        <v>0</v>
      </c>
      <c r="V3205" s="33">
        <f>Data!P3220</f>
        <v>0</v>
      </c>
    </row>
    <row r="3206" spans="7:22" x14ac:dyDescent="0.25">
      <c r="G3206">
        <f>Data!A3219</f>
        <v>0</v>
      </c>
      <c r="H3206" s="21">
        <f>Data!B3219</f>
        <v>0</v>
      </c>
      <c r="I3206" s="21">
        <f>Data!C3219</f>
        <v>0</v>
      </c>
      <c r="J3206">
        <f>Data!D3219</f>
        <v>0</v>
      </c>
      <c r="K3206">
        <f>Data!E3219</f>
        <v>0</v>
      </c>
      <c r="L3206">
        <f>Data!F3219</f>
        <v>0</v>
      </c>
      <c r="M3206">
        <f>Data!G3219</f>
        <v>0</v>
      </c>
      <c r="N3206">
        <f>Data!H3219</f>
        <v>0</v>
      </c>
      <c r="O3206">
        <f>Data!I3219</f>
        <v>0</v>
      </c>
      <c r="P3206" s="21">
        <f>Data!J3223</f>
        <v>0</v>
      </c>
      <c r="Q3206">
        <f>Data!K3223</f>
        <v>0</v>
      </c>
      <c r="R3206">
        <f>Data!L3223</f>
        <v>0</v>
      </c>
      <c r="S3206">
        <f>Data!M3223</f>
        <v>0</v>
      </c>
      <c r="T3206">
        <f>Data!N3223</f>
        <v>0</v>
      </c>
      <c r="U3206">
        <f>Data!O3223</f>
        <v>0</v>
      </c>
      <c r="V3206" s="33">
        <f>Data!P3221</f>
        <v>0</v>
      </c>
    </row>
    <row r="3207" spans="7:22" x14ac:dyDescent="0.25">
      <c r="G3207">
        <f>Data!A3220</f>
        <v>0</v>
      </c>
      <c r="H3207" s="21">
        <f>Data!B3220</f>
        <v>0</v>
      </c>
      <c r="I3207" s="21">
        <f>Data!C3220</f>
        <v>0</v>
      </c>
      <c r="J3207">
        <f>Data!D3220</f>
        <v>0</v>
      </c>
      <c r="K3207">
        <f>Data!E3220</f>
        <v>0</v>
      </c>
      <c r="L3207">
        <f>Data!F3220</f>
        <v>0</v>
      </c>
      <c r="M3207">
        <f>Data!G3220</f>
        <v>0</v>
      </c>
      <c r="N3207">
        <f>Data!H3220</f>
        <v>0</v>
      </c>
      <c r="O3207">
        <f>Data!I3220</f>
        <v>0</v>
      </c>
      <c r="P3207" s="21">
        <f>Data!J3224</f>
        <v>0</v>
      </c>
      <c r="Q3207">
        <f>Data!K3224</f>
        <v>0</v>
      </c>
      <c r="R3207">
        <f>Data!L3224</f>
        <v>0</v>
      </c>
      <c r="S3207">
        <f>Data!M3224</f>
        <v>0</v>
      </c>
      <c r="T3207">
        <f>Data!N3224</f>
        <v>0</v>
      </c>
      <c r="U3207">
        <f>Data!O3224</f>
        <v>0</v>
      </c>
      <c r="V3207" s="33">
        <f>Data!P3222</f>
        <v>0</v>
      </c>
    </row>
    <row r="3208" spans="7:22" x14ac:dyDescent="0.25">
      <c r="G3208">
        <f>Data!A3221</f>
        <v>0</v>
      </c>
      <c r="H3208" s="21">
        <f>Data!B3221</f>
        <v>0</v>
      </c>
      <c r="I3208" s="21">
        <f>Data!C3221</f>
        <v>0</v>
      </c>
      <c r="J3208">
        <f>Data!D3221</f>
        <v>0</v>
      </c>
      <c r="K3208">
        <f>Data!E3221</f>
        <v>0</v>
      </c>
      <c r="L3208">
        <f>Data!F3221</f>
        <v>0</v>
      </c>
      <c r="M3208">
        <f>Data!G3221</f>
        <v>0</v>
      </c>
      <c r="N3208">
        <f>Data!H3221</f>
        <v>0</v>
      </c>
      <c r="O3208">
        <f>Data!I3221</f>
        <v>0</v>
      </c>
      <c r="P3208" s="21">
        <f>Data!J3225</f>
        <v>0</v>
      </c>
      <c r="Q3208">
        <f>Data!K3225</f>
        <v>0</v>
      </c>
      <c r="R3208">
        <f>Data!L3225</f>
        <v>0</v>
      </c>
      <c r="S3208">
        <f>Data!M3225</f>
        <v>0</v>
      </c>
      <c r="T3208">
        <f>Data!N3225</f>
        <v>0</v>
      </c>
      <c r="U3208">
        <f>Data!O3225</f>
        <v>0</v>
      </c>
      <c r="V3208" s="33">
        <f>Data!P3223</f>
        <v>0</v>
      </c>
    </row>
    <row r="3209" spans="7:22" x14ac:dyDescent="0.25">
      <c r="G3209">
        <f>Data!A3222</f>
        <v>0</v>
      </c>
      <c r="H3209" s="21">
        <f>Data!B3222</f>
        <v>0</v>
      </c>
      <c r="I3209" s="21">
        <f>Data!C3222</f>
        <v>0</v>
      </c>
      <c r="J3209">
        <f>Data!D3222</f>
        <v>0</v>
      </c>
      <c r="K3209">
        <f>Data!E3222</f>
        <v>0</v>
      </c>
      <c r="L3209">
        <f>Data!F3222</f>
        <v>0</v>
      </c>
      <c r="M3209">
        <f>Data!G3222</f>
        <v>0</v>
      </c>
      <c r="N3209">
        <f>Data!H3222</f>
        <v>0</v>
      </c>
      <c r="O3209">
        <f>Data!I3222</f>
        <v>0</v>
      </c>
      <c r="P3209" s="21">
        <f>Data!J3226</f>
        <v>0</v>
      </c>
      <c r="Q3209">
        <f>Data!K3226</f>
        <v>0</v>
      </c>
      <c r="R3209">
        <f>Data!L3226</f>
        <v>0</v>
      </c>
      <c r="S3209">
        <f>Data!M3226</f>
        <v>0</v>
      </c>
      <c r="T3209">
        <f>Data!N3226</f>
        <v>0</v>
      </c>
      <c r="U3209">
        <f>Data!O3226</f>
        <v>0</v>
      </c>
      <c r="V3209" s="33">
        <f>Data!P3224</f>
        <v>0</v>
      </c>
    </row>
    <row r="3210" spans="7:22" x14ac:dyDescent="0.25">
      <c r="G3210">
        <f>Data!A3223</f>
        <v>0</v>
      </c>
      <c r="H3210" s="21">
        <f>Data!B3223</f>
        <v>0</v>
      </c>
      <c r="I3210" s="21">
        <f>Data!C3223</f>
        <v>0</v>
      </c>
      <c r="J3210">
        <f>Data!D3223</f>
        <v>0</v>
      </c>
      <c r="K3210">
        <f>Data!E3223</f>
        <v>0</v>
      </c>
      <c r="L3210">
        <f>Data!F3223</f>
        <v>0</v>
      </c>
      <c r="M3210">
        <f>Data!G3223</f>
        <v>0</v>
      </c>
      <c r="N3210">
        <f>Data!H3223</f>
        <v>0</v>
      </c>
      <c r="O3210">
        <f>Data!I3223</f>
        <v>0</v>
      </c>
      <c r="P3210" s="21">
        <f>Data!J3227</f>
        <v>0</v>
      </c>
      <c r="Q3210">
        <f>Data!K3227</f>
        <v>0</v>
      </c>
      <c r="R3210">
        <f>Data!L3227</f>
        <v>0</v>
      </c>
      <c r="S3210">
        <f>Data!M3227</f>
        <v>0</v>
      </c>
      <c r="T3210">
        <f>Data!N3227</f>
        <v>0</v>
      </c>
      <c r="U3210">
        <f>Data!O3227</f>
        <v>0</v>
      </c>
      <c r="V3210" s="33">
        <f>Data!P3225</f>
        <v>0</v>
      </c>
    </row>
    <row r="3211" spans="7:22" x14ac:dyDescent="0.25">
      <c r="G3211">
        <f>Data!A3224</f>
        <v>0</v>
      </c>
      <c r="H3211" s="21">
        <f>Data!B3224</f>
        <v>0</v>
      </c>
      <c r="I3211" s="21">
        <f>Data!C3224</f>
        <v>0</v>
      </c>
      <c r="J3211">
        <f>Data!D3224</f>
        <v>0</v>
      </c>
      <c r="K3211">
        <f>Data!E3224</f>
        <v>0</v>
      </c>
      <c r="L3211">
        <f>Data!F3224</f>
        <v>0</v>
      </c>
      <c r="M3211">
        <f>Data!G3224</f>
        <v>0</v>
      </c>
      <c r="N3211">
        <f>Data!H3224</f>
        <v>0</v>
      </c>
      <c r="O3211">
        <f>Data!I3224</f>
        <v>0</v>
      </c>
      <c r="P3211" s="21">
        <f>Data!J3228</f>
        <v>0</v>
      </c>
      <c r="Q3211">
        <f>Data!K3228</f>
        <v>0</v>
      </c>
      <c r="R3211">
        <f>Data!L3228</f>
        <v>0</v>
      </c>
      <c r="S3211">
        <f>Data!M3228</f>
        <v>0</v>
      </c>
      <c r="T3211">
        <f>Data!N3228</f>
        <v>0</v>
      </c>
      <c r="U3211">
        <f>Data!O3228</f>
        <v>0</v>
      </c>
      <c r="V3211" s="33">
        <f>Data!P3226</f>
        <v>0</v>
      </c>
    </row>
    <row r="3212" spans="7:22" x14ac:dyDescent="0.25">
      <c r="G3212">
        <f>Data!A3225</f>
        <v>0</v>
      </c>
      <c r="H3212" s="21">
        <f>Data!B3225</f>
        <v>0</v>
      </c>
      <c r="I3212" s="21">
        <f>Data!C3225</f>
        <v>0</v>
      </c>
      <c r="J3212">
        <f>Data!D3225</f>
        <v>0</v>
      </c>
      <c r="K3212">
        <f>Data!E3225</f>
        <v>0</v>
      </c>
      <c r="L3212">
        <f>Data!F3225</f>
        <v>0</v>
      </c>
      <c r="M3212">
        <f>Data!G3225</f>
        <v>0</v>
      </c>
      <c r="N3212">
        <f>Data!H3225</f>
        <v>0</v>
      </c>
      <c r="O3212">
        <f>Data!I3225</f>
        <v>0</v>
      </c>
      <c r="P3212" s="21">
        <f>Data!J3229</f>
        <v>0</v>
      </c>
      <c r="Q3212">
        <f>Data!K3229</f>
        <v>0</v>
      </c>
      <c r="R3212">
        <f>Data!L3229</f>
        <v>0</v>
      </c>
      <c r="S3212">
        <f>Data!M3229</f>
        <v>0</v>
      </c>
      <c r="T3212">
        <f>Data!N3229</f>
        <v>0</v>
      </c>
      <c r="U3212">
        <f>Data!O3229</f>
        <v>0</v>
      </c>
      <c r="V3212" s="33">
        <f>Data!P3227</f>
        <v>0</v>
      </c>
    </row>
    <row r="3213" spans="7:22" x14ac:dyDescent="0.25">
      <c r="G3213">
        <f>Data!A3226</f>
        <v>0</v>
      </c>
      <c r="H3213" s="21">
        <f>Data!B3226</f>
        <v>0</v>
      </c>
      <c r="I3213" s="21">
        <f>Data!C3226</f>
        <v>0</v>
      </c>
      <c r="J3213">
        <f>Data!D3226</f>
        <v>0</v>
      </c>
      <c r="K3213">
        <f>Data!E3226</f>
        <v>0</v>
      </c>
      <c r="L3213">
        <f>Data!F3226</f>
        <v>0</v>
      </c>
      <c r="M3213">
        <f>Data!G3226</f>
        <v>0</v>
      </c>
      <c r="N3213">
        <f>Data!H3226</f>
        <v>0</v>
      </c>
      <c r="O3213">
        <f>Data!I3226</f>
        <v>0</v>
      </c>
      <c r="P3213" s="21">
        <f>Data!J3230</f>
        <v>0</v>
      </c>
      <c r="Q3213">
        <f>Data!K3230</f>
        <v>0</v>
      </c>
      <c r="R3213">
        <f>Data!L3230</f>
        <v>0</v>
      </c>
      <c r="S3213">
        <f>Data!M3230</f>
        <v>0</v>
      </c>
      <c r="T3213">
        <f>Data!N3230</f>
        <v>0</v>
      </c>
      <c r="U3213">
        <f>Data!O3230</f>
        <v>0</v>
      </c>
      <c r="V3213" s="33">
        <f>Data!P3228</f>
        <v>0</v>
      </c>
    </row>
    <row r="3214" spans="7:22" x14ac:dyDescent="0.25">
      <c r="G3214">
        <f>Data!A3227</f>
        <v>0</v>
      </c>
      <c r="H3214" s="21">
        <f>Data!B3227</f>
        <v>0</v>
      </c>
      <c r="I3214" s="21">
        <f>Data!C3227</f>
        <v>0</v>
      </c>
      <c r="J3214">
        <f>Data!D3227</f>
        <v>0</v>
      </c>
      <c r="K3214">
        <f>Data!E3227</f>
        <v>0</v>
      </c>
      <c r="L3214">
        <f>Data!F3227</f>
        <v>0</v>
      </c>
      <c r="M3214">
        <f>Data!G3227</f>
        <v>0</v>
      </c>
      <c r="N3214">
        <f>Data!H3227</f>
        <v>0</v>
      </c>
      <c r="O3214">
        <f>Data!I3227</f>
        <v>0</v>
      </c>
      <c r="P3214" s="21">
        <f>Data!J3231</f>
        <v>0</v>
      </c>
      <c r="Q3214">
        <f>Data!K3231</f>
        <v>0</v>
      </c>
      <c r="R3214">
        <f>Data!L3231</f>
        <v>0</v>
      </c>
      <c r="S3214">
        <f>Data!M3231</f>
        <v>0</v>
      </c>
      <c r="T3214">
        <f>Data!N3231</f>
        <v>0</v>
      </c>
      <c r="U3214">
        <f>Data!O3231</f>
        <v>0</v>
      </c>
      <c r="V3214" s="33">
        <f>Data!P3229</f>
        <v>0</v>
      </c>
    </row>
    <row r="3215" spans="7:22" x14ac:dyDescent="0.25">
      <c r="G3215">
        <f>Data!A3228</f>
        <v>0</v>
      </c>
      <c r="H3215" s="21">
        <f>Data!B3228</f>
        <v>0</v>
      </c>
      <c r="I3215" s="21">
        <f>Data!C3228</f>
        <v>0</v>
      </c>
      <c r="J3215">
        <f>Data!D3228</f>
        <v>0</v>
      </c>
      <c r="K3215">
        <f>Data!E3228</f>
        <v>0</v>
      </c>
      <c r="L3215">
        <f>Data!F3228</f>
        <v>0</v>
      </c>
      <c r="M3215">
        <f>Data!G3228</f>
        <v>0</v>
      </c>
      <c r="N3215">
        <f>Data!H3228</f>
        <v>0</v>
      </c>
      <c r="O3215">
        <f>Data!I3228</f>
        <v>0</v>
      </c>
      <c r="P3215" s="21">
        <f>Data!J3232</f>
        <v>0</v>
      </c>
      <c r="Q3215">
        <f>Data!K3232</f>
        <v>0</v>
      </c>
      <c r="R3215">
        <f>Data!L3232</f>
        <v>0</v>
      </c>
      <c r="S3215">
        <f>Data!M3232</f>
        <v>0</v>
      </c>
      <c r="T3215">
        <f>Data!N3232</f>
        <v>0</v>
      </c>
      <c r="U3215">
        <f>Data!O3232</f>
        <v>0</v>
      </c>
      <c r="V3215" s="33">
        <f>Data!P3230</f>
        <v>0</v>
      </c>
    </row>
    <row r="3216" spans="7:22" x14ac:dyDescent="0.25">
      <c r="G3216">
        <f>Data!A3229</f>
        <v>0</v>
      </c>
      <c r="H3216" s="21">
        <f>Data!B3229</f>
        <v>0</v>
      </c>
      <c r="I3216" s="21">
        <f>Data!C3229</f>
        <v>0</v>
      </c>
      <c r="J3216">
        <f>Data!D3229</f>
        <v>0</v>
      </c>
      <c r="K3216">
        <f>Data!E3229</f>
        <v>0</v>
      </c>
      <c r="L3216">
        <f>Data!F3229</f>
        <v>0</v>
      </c>
      <c r="M3216">
        <f>Data!G3229</f>
        <v>0</v>
      </c>
      <c r="N3216">
        <f>Data!H3229</f>
        <v>0</v>
      </c>
      <c r="O3216">
        <f>Data!I3229</f>
        <v>0</v>
      </c>
      <c r="P3216" s="21">
        <f>Data!J3233</f>
        <v>0</v>
      </c>
      <c r="Q3216">
        <f>Data!K3233</f>
        <v>0</v>
      </c>
      <c r="R3216">
        <f>Data!L3233</f>
        <v>0</v>
      </c>
      <c r="S3216">
        <f>Data!M3233</f>
        <v>0</v>
      </c>
      <c r="T3216">
        <f>Data!N3233</f>
        <v>0</v>
      </c>
      <c r="U3216">
        <f>Data!O3233</f>
        <v>0</v>
      </c>
      <c r="V3216" s="33">
        <f>Data!P3231</f>
        <v>0</v>
      </c>
    </row>
    <row r="3217" spans="7:22" x14ac:dyDescent="0.25">
      <c r="G3217">
        <f>Data!A3230</f>
        <v>0</v>
      </c>
      <c r="H3217" s="21">
        <f>Data!B3230</f>
        <v>0</v>
      </c>
      <c r="I3217" s="21">
        <f>Data!C3230</f>
        <v>0</v>
      </c>
      <c r="J3217">
        <f>Data!D3230</f>
        <v>0</v>
      </c>
      <c r="K3217">
        <f>Data!E3230</f>
        <v>0</v>
      </c>
      <c r="L3217">
        <f>Data!F3230</f>
        <v>0</v>
      </c>
      <c r="M3217">
        <f>Data!G3230</f>
        <v>0</v>
      </c>
      <c r="N3217">
        <f>Data!H3230</f>
        <v>0</v>
      </c>
      <c r="O3217">
        <f>Data!I3230</f>
        <v>0</v>
      </c>
      <c r="P3217" s="21">
        <f>Data!J3234</f>
        <v>0</v>
      </c>
      <c r="Q3217">
        <f>Data!K3234</f>
        <v>0</v>
      </c>
      <c r="R3217">
        <f>Data!L3234</f>
        <v>0</v>
      </c>
      <c r="S3217">
        <f>Data!M3234</f>
        <v>0</v>
      </c>
      <c r="T3217">
        <f>Data!N3234</f>
        <v>0</v>
      </c>
      <c r="U3217">
        <f>Data!O3234</f>
        <v>0</v>
      </c>
      <c r="V3217" s="33">
        <f>Data!P3232</f>
        <v>0</v>
      </c>
    </row>
    <row r="3218" spans="7:22" x14ac:dyDescent="0.25">
      <c r="G3218">
        <f>Data!A3231</f>
        <v>0</v>
      </c>
      <c r="H3218" s="21">
        <f>Data!B3231</f>
        <v>0</v>
      </c>
      <c r="I3218" s="21">
        <f>Data!C3231</f>
        <v>0</v>
      </c>
      <c r="J3218">
        <f>Data!D3231</f>
        <v>0</v>
      </c>
      <c r="K3218">
        <f>Data!E3231</f>
        <v>0</v>
      </c>
      <c r="L3218">
        <f>Data!F3231</f>
        <v>0</v>
      </c>
      <c r="M3218">
        <f>Data!G3231</f>
        <v>0</v>
      </c>
      <c r="N3218">
        <f>Data!H3231</f>
        <v>0</v>
      </c>
      <c r="O3218">
        <f>Data!I3231</f>
        <v>0</v>
      </c>
      <c r="P3218" s="21">
        <f>Data!J3235</f>
        <v>0</v>
      </c>
      <c r="Q3218">
        <f>Data!K3235</f>
        <v>0</v>
      </c>
      <c r="R3218">
        <f>Data!L3235</f>
        <v>0</v>
      </c>
      <c r="S3218">
        <f>Data!M3235</f>
        <v>0</v>
      </c>
      <c r="T3218">
        <f>Data!N3235</f>
        <v>0</v>
      </c>
      <c r="U3218">
        <f>Data!O3235</f>
        <v>0</v>
      </c>
      <c r="V3218" s="33">
        <f>Data!P3233</f>
        <v>0</v>
      </c>
    </row>
    <row r="3219" spans="7:22" x14ac:dyDescent="0.25">
      <c r="G3219">
        <f>Data!A3232</f>
        <v>0</v>
      </c>
      <c r="H3219" s="21">
        <f>Data!B3232</f>
        <v>0</v>
      </c>
      <c r="I3219" s="21">
        <f>Data!C3232</f>
        <v>0</v>
      </c>
      <c r="J3219">
        <f>Data!D3232</f>
        <v>0</v>
      </c>
      <c r="K3219">
        <f>Data!E3232</f>
        <v>0</v>
      </c>
      <c r="L3219">
        <f>Data!F3232</f>
        <v>0</v>
      </c>
      <c r="M3219">
        <f>Data!G3232</f>
        <v>0</v>
      </c>
      <c r="N3219">
        <f>Data!H3232</f>
        <v>0</v>
      </c>
      <c r="O3219">
        <f>Data!I3232</f>
        <v>0</v>
      </c>
      <c r="P3219" s="21">
        <f>Data!J3236</f>
        <v>0</v>
      </c>
      <c r="Q3219">
        <f>Data!K3236</f>
        <v>0</v>
      </c>
      <c r="R3219">
        <f>Data!L3236</f>
        <v>0</v>
      </c>
      <c r="S3219">
        <f>Data!M3236</f>
        <v>0</v>
      </c>
      <c r="T3219">
        <f>Data!N3236</f>
        <v>0</v>
      </c>
      <c r="U3219">
        <f>Data!O3236</f>
        <v>0</v>
      </c>
      <c r="V3219" s="33">
        <f>Data!P3234</f>
        <v>0</v>
      </c>
    </row>
    <row r="3220" spans="7:22" x14ac:dyDescent="0.25">
      <c r="G3220">
        <f>Data!A3233</f>
        <v>0</v>
      </c>
      <c r="H3220" s="21">
        <f>Data!B3233</f>
        <v>0</v>
      </c>
      <c r="I3220" s="21">
        <f>Data!C3233</f>
        <v>0</v>
      </c>
      <c r="J3220">
        <f>Data!D3233</f>
        <v>0</v>
      </c>
      <c r="K3220">
        <f>Data!E3233</f>
        <v>0</v>
      </c>
      <c r="L3220">
        <f>Data!F3233</f>
        <v>0</v>
      </c>
      <c r="M3220">
        <f>Data!G3233</f>
        <v>0</v>
      </c>
      <c r="N3220">
        <f>Data!H3233</f>
        <v>0</v>
      </c>
      <c r="O3220">
        <f>Data!I3233</f>
        <v>0</v>
      </c>
      <c r="P3220" s="21">
        <f>Data!J3237</f>
        <v>0</v>
      </c>
      <c r="Q3220">
        <f>Data!K3237</f>
        <v>0</v>
      </c>
      <c r="R3220">
        <f>Data!L3237</f>
        <v>0</v>
      </c>
      <c r="S3220">
        <f>Data!M3237</f>
        <v>0</v>
      </c>
      <c r="T3220">
        <f>Data!N3237</f>
        <v>0</v>
      </c>
      <c r="U3220">
        <f>Data!O3237</f>
        <v>0</v>
      </c>
      <c r="V3220" s="33">
        <f>Data!P3235</f>
        <v>0</v>
      </c>
    </row>
    <row r="3221" spans="7:22" x14ac:dyDescent="0.25">
      <c r="G3221">
        <f>Data!A3234</f>
        <v>0</v>
      </c>
      <c r="H3221" s="21">
        <f>Data!B3234</f>
        <v>0</v>
      </c>
      <c r="I3221" s="21">
        <f>Data!C3234</f>
        <v>0</v>
      </c>
      <c r="J3221">
        <f>Data!D3234</f>
        <v>0</v>
      </c>
      <c r="K3221">
        <f>Data!E3234</f>
        <v>0</v>
      </c>
      <c r="L3221">
        <f>Data!F3234</f>
        <v>0</v>
      </c>
      <c r="M3221">
        <f>Data!G3234</f>
        <v>0</v>
      </c>
      <c r="N3221">
        <f>Data!H3234</f>
        <v>0</v>
      </c>
      <c r="O3221">
        <f>Data!I3234</f>
        <v>0</v>
      </c>
      <c r="P3221" s="21">
        <f>Data!J3238</f>
        <v>0</v>
      </c>
      <c r="Q3221">
        <f>Data!K3238</f>
        <v>0</v>
      </c>
      <c r="R3221">
        <f>Data!L3238</f>
        <v>0</v>
      </c>
      <c r="S3221">
        <f>Data!M3238</f>
        <v>0</v>
      </c>
      <c r="T3221">
        <f>Data!N3238</f>
        <v>0</v>
      </c>
      <c r="U3221">
        <f>Data!O3238</f>
        <v>0</v>
      </c>
      <c r="V3221" s="33">
        <f>Data!P3236</f>
        <v>0</v>
      </c>
    </row>
    <row r="3222" spans="7:22" x14ac:dyDescent="0.25">
      <c r="G3222">
        <f>Data!A3235</f>
        <v>0</v>
      </c>
      <c r="H3222" s="21">
        <f>Data!B3235</f>
        <v>0</v>
      </c>
      <c r="I3222" s="21">
        <f>Data!C3235</f>
        <v>0</v>
      </c>
      <c r="J3222">
        <f>Data!D3235</f>
        <v>0</v>
      </c>
      <c r="K3222">
        <f>Data!E3235</f>
        <v>0</v>
      </c>
      <c r="L3222">
        <f>Data!F3235</f>
        <v>0</v>
      </c>
      <c r="M3222">
        <f>Data!G3235</f>
        <v>0</v>
      </c>
      <c r="N3222">
        <f>Data!H3235</f>
        <v>0</v>
      </c>
      <c r="O3222">
        <f>Data!I3235</f>
        <v>0</v>
      </c>
      <c r="P3222" s="21">
        <f>Data!J3239</f>
        <v>0</v>
      </c>
      <c r="Q3222">
        <f>Data!K3239</f>
        <v>0</v>
      </c>
      <c r="R3222">
        <f>Data!L3239</f>
        <v>0</v>
      </c>
      <c r="S3222">
        <f>Data!M3239</f>
        <v>0</v>
      </c>
      <c r="T3222">
        <f>Data!N3239</f>
        <v>0</v>
      </c>
      <c r="U3222">
        <f>Data!O3239</f>
        <v>0</v>
      </c>
      <c r="V3222" s="33">
        <f>Data!P3237</f>
        <v>0</v>
      </c>
    </row>
    <row r="3223" spans="7:22" x14ac:dyDescent="0.25">
      <c r="G3223">
        <f>Data!A3236</f>
        <v>0</v>
      </c>
      <c r="H3223" s="21">
        <f>Data!B3236</f>
        <v>0</v>
      </c>
      <c r="I3223" s="21">
        <f>Data!C3236</f>
        <v>0</v>
      </c>
      <c r="J3223">
        <f>Data!D3236</f>
        <v>0</v>
      </c>
      <c r="K3223">
        <f>Data!E3236</f>
        <v>0</v>
      </c>
      <c r="L3223">
        <f>Data!F3236</f>
        <v>0</v>
      </c>
      <c r="M3223">
        <f>Data!G3236</f>
        <v>0</v>
      </c>
      <c r="N3223">
        <f>Data!H3236</f>
        <v>0</v>
      </c>
      <c r="O3223">
        <f>Data!I3236</f>
        <v>0</v>
      </c>
      <c r="P3223" s="21">
        <f>Data!J3240</f>
        <v>0</v>
      </c>
      <c r="Q3223">
        <f>Data!K3240</f>
        <v>0</v>
      </c>
      <c r="R3223">
        <f>Data!L3240</f>
        <v>0</v>
      </c>
      <c r="S3223">
        <f>Data!M3240</f>
        <v>0</v>
      </c>
      <c r="T3223">
        <f>Data!N3240</f>
        <v>0</v>
      </c>
      <c r="U3223">
        <f>Data!O3240</f>
        <v>0</v>
      </c>
      <c r="V3223" s="33">
        <f>Data!P3238</f>
        <v>0</v>
      </c>
    </row>
    <row r="3224" spans="7:22" x14ac:dyDescent="0.25">
      <c r="G3224">
        <f>Data!A3237</f>
        <v>0</v>
      </c>
      <c r="H3224" s="21">
        <f>Data!B3237</f>
        <v>0</v>
      </c>
      <c r="I3224" s="21">
        <f>Data!C3237</f>
        <v>0</v>
      </c>
      <c r="J3224">
        <f>Data!D3237</f>
        <v>0</v>
      </c>
      <c r="K3224">
        <f>Data!E3237</f>
        <v>0</v>
      </c>
      <c r="L3224">
        <f>Data!F3237</f>
        <v>0</v>
      </c>
      <c r="M3224">
        <f>Data!G3237</f>
        <v>0</v>
      </c>
      <c r="N3224">
        <f>Data!H3237</f>
        <v>0</v>
      </c>
      <c r="O3224">
        <f>Data!I3237</f>
        <v>0</v>
      </c>
      <c r="P3224" s="21">
        <f>Data!J3241</f>
        <v>0</v>
      </c>
      <c r="Q3224">
        <f>Data!K3241</f>
        <v>0</v>
      </c>
      <c r="R3224">
        <f>Data!L3241</f>
        <v>0</v>
      </c>
      <c r="S3224">
        <f>Data!M3241</f>
        <v>0</v>
      </c>
      <c r="T3224">
        <f>Data!N3241</f>
        <v>0</v>
      </c>
      <c r="U3224">
        <f>Data!O3241</f>
        <v>0</v>
      </c>
      <c r="V3224" s="33">
        <f>Data!P3239</f>
        <v>0</v>
      </c>
    </row>
    <row r="3225" spans="7:22" x14ac:dyDescent="0.25">
      <c r="G3225">
        <f>Data!A3238</f>
        <v>0</v>
      </c>
      <c r="H3225" s="21">
        <f>Data!B3238</f>
        <v>0</v>
      </c>
      <c r="I3225" s="21">
        <f>Data!C3238</f>
        <v>0</v>
      </c>
      <c r="J3225">
        <f>Data!D3238</f>
        <v>0</v>
      </c>
      <c r="K3225">
        <f>Data!E3238</f>
        <v>0</v>
      </c>
      <c r="L3225">
        <f>Data!F3238</f>
        <v>0</v>
      </c>
      <c r="M3225">
        <f>Data!G3238</f>
        <v>0</v>
      </c>
      <c r="N3225">
        <f>Data!H3238</f>
        <v>0</v>
      </c>
      <c r="O3225">
        <f>Data!I3238</f>
        <v>0</v>
      </c>
      <c r="P3225" s="21">
        <f>Data!J3242</f>
        <v>0</v>
      </c>
      <c r="Q3225">
        <f>Data!K3242</f>
        <v>0</v>
      </c>
      <c r="R3225">
        <f>Data!L3242</f>
        <v>0</v>
      </c>
      <c r="S3225">
        <f>Data!M3242</f>
        <v>0</v>
      </c>
      <c r="T3225">
        <f>Data!N3242</f>
        <v>0</v>
      </c>
      <c r="U3225">
        <f>Data!O3242</f>
        <v>0</v>
      </c>
      <c r="V3225" s="33">
        <f>Data!P3240</f>
        <v>0</v>
      </c>
    </row>
    <row r="3226" spans="7:22" x14ac:dyDescent="0.25">
      <c r="G3226">
        <f>Data!A3239</f>
        <v>0</v>
      </c>
      <c r="H3226" s="21">
        <f>Data!B3239</f>
        <v>0</v>
      </c>
      <c r="I3226" s="21">
        <f>Data!C3239</f>
        <v>0</v>
      </c>
      <c r="J3226">
        <f>Data!D3239</f>
        <v>0</v>
      </c>
      <c r="K3226">
        <f>Data!E3239</f>
        <v>0</v>
      </c>
      <c r="L3226">
        <f>Data!F3239</f>
        <v>0</v>
      </c>
      <c r="M3226">
        <f>Data!G3239</f>
        <v>0</v>
      </c>
      <c r="N3226">
        <f>Data!H3239</f>
        <v>0</v>
      </c>
      <c r="O3226">
        <f>Data!I3239</f>
        <v>0</v>
      </c>
      <c r="P3226" s="21">
        <f>Data!J3243</f>
        <v>0</v>
      </c>
      <c r="Q3226">
        <f>Data!K3243</f>
        <v>0</v>
      </c>
      <c r="R3226">
        <f>Data!L3243</f>
        <v>0</v>
      </c>
      <c r="S3226">
        <f>Data!M3243</f>
        <v>0</v>
      </c>
      <c r="T3226">
        <f>Data!N3243</f>
        <v>0</v>
      </c>
      <c r="U3226">
        <f>Data!O3243</f>
        <v>0</v>
      </c>
      <c r="V3226" s="33">
        <f>Data!P3241</f>
        <v>0</v>
      </c>
    </row>
    <row r="3227" spans="7:22" x14ac:dyDescent="0.25">
      <c r="G3227">
        <f>Data!A3240</f>
        <v>0</v>
      </c>
      <c r="H3227" s="21">
        <f>Data!B3240</f>
        <v>0</v>
      </c>
      <c r="I3227" s="21">
        <f>Data!C3240</f>
        <v>0</v>
      </c>
      <c r="J3227">
        <f>Data!D3240</f>
        <v>0</v>
      </c>
      <c r="K3227">
        <f>Data!E3240</f>
        <v>0</v>
      </c>
      <c r="L3227">
        <f>Data!F3240</f>
        <v>0</v>
      </c>
      <c r="M3227">
        <f>Data!G3240</f>
        <v>0</v>
      </c>
      <c r="N3227">
        <f>Data!H3240</f>
        <v>0</v>
      </c>
      <c r="O3227">
        <f>Data!I3240</f>
        <v>0</v>
      </c>
      <c r="P3227" s="21">
        <f>Data!J3244</f>
        <v>0</v>
      </c>
      <c r="Q3227">
        <f>Data!K3244</f>
        <v>0</v>
      </c>
      <c r="R3227">
        <f>Data!L3244</f>
        <v>0</v>
      </c>
      <c r="S3227">
        <f>Data!M3244</f>
        <v>0</v>
      </c>
      <c r="T3227">
        <f>Data!N3244</f>
        <v>0</v>
      </c>
      <c r="U3227">
        <f>Data!O3244</f>
        <v>0</v>
      </c>
      <c r="V3227" s="33">
        <f>Data!P3242</f>
        <v>0</v>
      </c>
    </row>
    <row r="3228" spans="7:22" x14ac:dyDescent="0.25">
      <c r="G3228">
        <f>Data!A3241</f>
        <v>0</v>
      </c>
      <c r="H3228" s="21">
        <f>Data!B3241</f>
        <v>0</v>
      </c>
      <c r="I3228" s="21">
        <f>Data!C3241</f>
        <v>0</v>
      </c>
      <c r="J3228">
        <f>Data!D3241</f>
        <v>0</v>
      </c>
      <c r="K3228">
        <f>Data!E3241</f>
        <v>0</v>
      </c>
      <c r="L3228">
        <f>Data!F3241</f>
        <v>0</v>
      </c>
      <c r="M3228">
        <f>Data!G3241</f>
        <v>0</v>
      </c>
      <c r="N3228">
        <f>Data!H3241</f>
        <v>0</v>
      </c>
      <c r="O3228">
        <f>Data!I3241</f>
        <v>0</v>
      </c>
      <c r="P3228" s="21">
        <f>Data!J3245</f>
        <v>0</v>
      </c>
      <c r="Q3228">
        <f>Data!K3245</f>
        <v>0</v>
      </c>
      <c r="R3228">
        <f>Data!L3245</f>
        <v>0</v>
      </c>
      <c r="S3228">
        <f>Data!M3245</f>
        <v>0</v>
      </c>
      <c r="T3228">
        <f>Data!N3245</f>
        <v>0</v>
      </c>
      <c r="U3228">
        <f>Data!O3245</f>
        <v>0</v>
      </c>
      <c r="V3228" s="33">
        <f>Data!P3243</f>
        <v>0</v>
      </c>
    </row>
    <row r="3229" spans="7:22" x14ac:dyDescent="0.25">
      <c r="G3229">
        <f>Data!A3242</f>
        <v>0</v>
      </c>
      <c r="H3229" s="21">
        <f>Data!B3242</f>
        <v>0</v>
      </c>
      <c r="I3229" s="21">
        <f>Data!C3242</f>
        <v>0</v>
      </c>
      <c r="J3229">
        <f>Data!D3242</f>
        <v>0</v>
      </c>
      <c r="K3229">
        <f>Data!E3242</f>
        <v>0</v>
      </c>
      <c r="L3229">
        <f>Data!F3242</f>
        <v>0</v>
      </c>
      <c r="M3229">
        <f>Data!G3242</f>
        <v>0</v>
      </c>
      <c r="N3229">
        <f>Data!H3242</f>
        <v>0</v>
      </c>
      <c r="O3229">
        <f>Data!I3242</f>
        <v>0</v>
      </c>
      <c r="P3229" s="21">
        <f>Data!J3246</f>
        <v>0</v>
      </c>
      <c r="Q3229">
        <f>Data!K3246</f>
        <v>0</v>
      </c>
      <c r="R3229">
        <f>Data!L3246</f>
        <v>0</v>
      </c>
      <c r="S3229">
        <f>Data!M3246</f>
        <v>0</v>
      </c>
      <c r="T3229">
        <f>Data!N3246</f>
        <v>0</v>
      </c>
      <c r="U3229">
        <f>Data!O3246</f>
        <v>0</v>
      </c>
      <c r="V3229" s="33">
        <f>Data!P3244</f>
        <v>0</v>
      </c>
    </row>
    <row r="3230" spans="7:22" x14ac:dyDescent="0.25">
      <c r="G3230">
        <f>Data!A3243</f>
        <v>0</v>
      </c>
      <c r="H3230" s="21">
        <f>Data!B3243</f>
        <v>0</v>
      </c>
      <c r="I3230" s="21">
        <f>Data!C3243</f>
        <v>0</v>
      </c>
      <c r="J3230">
        <f>Data!D3243</f>
        <v>0</v>
      </c>
      <c r="K3230">
        <f>Data!E3243</f>
        <v>0</v>
      </c>
      <c r="L3230">
        <f>Data!F3243</f>
        <v>0</v>
      </c>
      <c r="M3230">
        <f>Data!G3243</f>
        <v>0</v>
      </c>
      <c r="N3230">
        <f>Data!H3243</f>
        <v>0</v>
      </c>
      <c r="O3230">
        <f>Data!I3243</f>
        <v>0</v>
      </c>
      <c r="P3230" s="21">
        <f>Data!J3247</f>
        <v>0</v>
      </c>
      <c r="Q3230">
        <f>Data!K3247</f>
        <v>0</v>
      </c>
      <c r="R3230">
        <f>Data!L3247</f>
        <v>0</v>
      </c>
      <c r="S3230">
        <f>Data!M3247</f>
        <v>0</v>
      </c>
      <c r="T3230">
        <f>Data!N3247</f>
        <v>0</v>
      </c>
      <c r="U3230">
        <f>Data!O3247</f>
        <v>0</v>
      </c>
      <c r="V3230" s="33">
        <f>Data!P3245</f>
        <v>0</v>
      </c>
    </row>
    <row r="3231" spans="7:22" x14ac:dyDescent="0.25">
      <c r="G3231">
        <f>Data!A3244</f>
        <v>0</v>
      </c>
      <c r="H3231" s="21">
        <f>Data!B3244</f>
        <v>0</v>
      </c>
      <c r="I3231" s="21">
        <f>Data!C3244</f>
        <v>0</v>
      </c>
      <c r="J3231">
        <f>Data!D3244</f>
        <v>0</v>
      </c>
      <c r="K3231">
        <f>Data!E3244</f>
        <v>0</v>
      </c>
      <c r="L3231">
        <f>Data!F3244</f>
        <v>0</v>
      </c>
      <c r="M3231">
        <f>Data!G3244</f>
        <v>0</v>
      </c>
      <c r="N3231">
        <f>Data!H3244</f>
        <v>0</v>
      </c>
      <c r="O3231">
        <f>Data!I3244</f>
        <v>0</v>
      </c>
      <c r="P3231" s="21">
        <f>Data!J3248</f>
        <v>0</v>
      </c>
      <c r="Q3231">
        <f>Data!K3248</f>
        <v>0</v>
      </c>
      <c r="R3231">
        <f>Data!L3248</f>
        <v>0</v>
      </c>
      <c r="S3231">
        <f>Data!M3248</f>
        <v>0</v>
      </c>
      <c r="T3231">
        <f>Data!N3248</f>
        <v>0</v>
      </c>
      <c r="U3231">
        <f>Data!O3248</f>
        <v>0</v>
      </c>
      <c r="V3231" s="33">
        <f>Data!P3246</f>
        <v>0</v>
      </c>
    </row>
    <row r="3232" spans="7:22" x14ac:dyDescent="0.25">
      <c r="G3232">
        <f>Data!A3245</f>
        <v>0</v>
      </c>
      <c r="H3232" s="21">
        <f>Data!B3245</f>
        <v>0</v>
      </c>
      <c r="I3232" s="21">
        <f>Data!C3245</f>
        <v>0</v>
      </c>
      <c r="J3232">
        <f>Data!D3245</f>
        <v>0</v>
      </c>
      <c r="K3232">
        <f>Data!E3245</f>
        <v>0</v>
      </c>
      <c r="L3232">
        <f>Data!F3245</f>
        <v>0</v>
      </c>
      <c r="M3232">
        <f>Data!G3245</f>
        <v>0</v>
      </c>
      <c r="N3232">
        <f>Data!H3245</f>
        <v>0</v>
      </c>
      <c r="O3232">
        <f>Data!I3245</f>
        <v>0</v>
      </c>
      <c r="P3232" s="21">
        <f>Data!J3249</f>
        <v>0</v>
      </c>
      <c r="Q3232">
        <f>Data!K3249</f>
        <v>0</v>
      </c>
      <c r="R3232">
        <f>Data!L3249</f>
        <v>0</v>
      </c>
      <c r="S3232">
        <f>Data!M3249</f>
        <v>0</v>
      </c>
      <c r="T3232">
        <f>Data!N3249</f>
        <v>0</v>
      </c>
      <c r="U3232">
        <f>Data!O3249</f>
        <v>0</v>
      </c>
      <c r="V3232" s="33">
        <f>Data!P3247</f>
        <v>0</v>
      </c>
    </row>
    <row r="3233" spans="7:22" x14ac:dyDescent="0.25">
      <c r="G3233">
        <f>Data!A3246</f>
        <v>0</v>
      </c>
      <c r="H3233" s="21">
        <f>Data!B3246</f>
        <v>0</v>
      </c>
      <c r="I3233" s="21">
        <f>Data!C3246</f>
        <v>0</v>
      </c>
      <c r="J3233">
        <f>Data!D3246</f>
        <v>0</v>
      </c>
      <c r="K3233">
        <f>Data!E3246</f>
        <v>0</v>
      </c>
      <c r="L3233">
        <f>Data!F3246</f>
        <v>0</v>
      </c>
      <c r="M3233">
        <f>Data!G3246</f>
        <v>0</v>
      </c>
      <c r="N3233">
        <f>Data!H3246</f>
        <v>0</v>
      </c>
      <c r="O3233">
        <f>Data!I3246</f>
        <v>0</v>
      </c>
      <c r="P3233" s="21">
        <f>Data!J3250</f>
        <v>0</v>
      </c>
      <c r="Q3233">
        <f>Data!K3250</f>
        <v>0</v>
      </c>
      <c r="R3233">
        <f>Data!L3250</f>
        <v>0</v>
      </c>
      <c r="S3233">
        <f>Data!M3250</f>
        <v>0</v>
      </c>
      <c r="T3233">
        <f>Data!N3250</f>
        <v>0</v>
      </c>
      <c r="U3233">
        <f>Data!O3250</f>
        <v>0</v>
      </c>
      <c r="V3233" s="33">
        <f>Data!P3248</f>
        <v>0</v>
      </c>
    </row>
    <row r="3234" spans="7:22" x14ac:dyDescent="0.25">
      <c r="G3234">
        <f>Data!A3247</f>
        <v>0</v>
      </c>
      <c r="H3234" s="21">
        <f>Data!B3247</f>
        <v>0</v>
      </c>
      <c r="I3234" s="21">
        <f>Data!C3247</f>
        <v>0</v>
      </c>
      <c r="J3234">
        <f>Data!D3247</f>
        <v>0</v>
      </c>
      <c r="K3234">
        <f>Data!E3247</f>
        <v>0</v>
      </c>
      <c r="L3234">
        <f>Data!F3247</f>
        <v>0</v>
      </c>
      <c r="M3234">
        <f>Data!G3247</f>
        <v>0</v>
      </c>
      <c r="N3234">
        <f>Data!H3247</f>
        <v>0</v>
      </c>
      <c r="O3234">
        <f>Data!I3247</f>
        <v>0</v>
      </c>
      <c r="P3234" s="21">
        <f>Data!J3251</f>
        <v>0</v>
      </c>
      <c r="Q3234">
        <f>Data!K3251</f>
        <v>0</v>
      </c>
      <c r="R3234">
        <f>Data!L3251</f>
        <v>0</v>
      </c>
      <c r="S3234">
        <f>Data!M3251</f>
        <v>0</v>
      </c>
      <c r="T3234">
        <f>Data!N3251</f>
        <v>0</v>
      </c>
      <c r="U3234">
        <f>Data!O3251</f>
        <v>0</v>
      </c>
      <c r="V3234" s="33">
        <f>Data!P3249</f>
        <v>0</v>
      </c>
    </row>
    <row r="3235" spans="7:22" x14ac:dyDescent="0.25">
      <c r="G3235">
        <f>Data!A3248</f>
        <v>0</v>
      </c>
      <c r="H3235" s="21">
        <f>Data!B3248</f>
        <v>0</v>
      </c>
      <c r="I3235" s="21">
        <f>Data!C3248</f>
        <v>0</v>
      </c>
      <c r="J3235">
        <f>Data!D3248</f>
        <v>0</v>
      </c>
      <c r="K3235">
        <f>Data!E3248</f>
        <v>0</v>
      </c>
      <c r="L3235">
        <f>Data!F3248</f>
        <v>0</v>
      </c>
      <c r="M3235">
        <f>Data!G3248</f>
        <v>0</v>
      </c>
      <c r="N3235">
        <f>Data!H3248</f>
        <v>0</v>
      </c>
      <c r="O3235">
        <f>Data!I3248</f>
        <v>0</v>
      </c>
      <c r="P3235" s="21">
        <f>Data!J3252</f>
        <v>0</v>
      </c>
      <c r="Q3235">
        <f>Data!K3252</f>
        <v>0</v>
      </c>
      <c r="R3235">
        <f>Data!L3252</f>
        <v>0</v>
      </c>
      <c r="S3235">
        <f>Data!M3252</f>
        <v>0</v>
      </c>
      <c r="T3235">
        <f>Data!N3252</f>
        <v>0</v>
      </c>
      <c r="U3235">
        <f>Data!O3252</f>
        <v>0</v>
      </c>
      <c r="V3235" s="33">
        <f>Data!P3250</f>
        <v>0</v>
      </c>
    </row>
    <row r="3236" spans="7:22" x14ac:dyDescent="0.25">
      <c r="G3236">
        <f>Data!A3249</f>
        <v>0</v>
      </c>
      <c r="H3236" s="21">
        <f>Data!B3249</f>
        <v>0</v>
      </c>
      <c r="I3236" s="21">
        <f>Data!C3249</f>
        <v>0</v>
      </c>
      <c r="J3236">
        <f>Data!D3249</f>
        <v>0</v>
      </c>
      <c r="K3236">
        <f>Data!E3249</f>
        <v>0</v>
      </c>
      <c r="L3236">
        <f>Data!F3249</f>
        <v>0</v>
      </c>
      <c r="M3236">
        <f>Data!G3249</f>
        <v>0</v>
      </c>
      <c r="N3236">
        <f>Data!H3249</f>
        <v>0</v>
      </c>
      <c r="O3236">
        <f>Data!I3249</f>
        <v>0</v>
      </c>
      <c r="P3236" s="21">
        <f>Data!J3253</f>
        <v>0</v>
      </c>
      <c r="Q3236">
        <f>Data!K3253</f>
        <v>0</v>
      </c>
      <c r="R3236">
        <f>Data!L3253</f>
        <v>0</v>
      </c>
      <c r="S3236">
        <f>Data!M3253</f>
        <v>0</v>
      </c>
      <c r="T3236">
        <f>Data!N3253</f>
        <v>0</v>
      </c>
      <c r="U3236">
        <f>Data!O3253</f>
        <v>0</v>
      </c>
      <c r="V3236" s="33">
        <f>Data!P3251</f>
        <v>0</v>
      </c>
    </row>
    <row r="3237" spans="7:22" x14ac:dyDescent="0.25">
      <c r="G3237">
        <f>Data!A3250</f>
        <v>0</v>
      </c>
      <c r="H3237" s="21">
        <f>Data!B3250</f>
        <v>0</v>
      </c>
      <c r="I3237" s="21">
        <f>Data!C3250</f>
        <v>0</v>
      </c>
      <c r="J3237">
        <f>Data!D3250</f>
        <v>0</v>
      </c>
      <c r="K3237">
        <f>Data!E3250</f>
        <v>0</v>
      </c>
      <c r="L3237">
        <f>Data!F3250</f>
        <v>0</v>
      </c>
      <c r="M3237">
        <f>Data!G3250</f>
        <v>0</v>
      </c>
      <c r="N3237">
        <f>Data!H3250</f>
        <v>0</v>
      </c>
      <c r="O3237">
        <f>Data!I3250</f>
        <v>0</v>
      </c>
      <c r="P3237" s="21">
        <f>Data!J3254</f>
        <v>0</v>
      </c>
      <c r="Q3237">
        <f>Data!K3254</f>
        <v>0</v>
      </c>
      <c r="R3237">
        <f>Data!L3254</f>
        <v>0</v>
      </c>
      <c r="S3237">
        <f>Data!M3254</f>
        <v>0</v>
      </c>
      <c r="T3237">
        <f>Data!N3254</f>
        <v>0</v>
      </c>
      <c r="U3237">
        <f>Data!O3254</f>
        <v>0</v>
      </c>
      <c r="V3237" s="33">
        <f>Data!P3252</f>
        <v>0</v>
      </c>
    </row>
    <row r="3238" spans="7:22" x14ac:dyDescent="0.25">
      <c r="G3238">
        <f>Data!A3251</f>
        <v>0</v>
      </c>
      <c r="H3238" s="21">
        <f>Data!B3251</f>
        <v>0</v>
      </c>
      <c r="I3238" s="21">
        <f>Data!C3251</f>
        <v>0</v>
      </c>
      <c r="J3238">
        <f>Data!D3251</f>
        <v>0</v>
      </c>
      <c r="K3238">
        <f>Data!E3251</f>
        <v>0</v>
      </c>
      <c r="L3238">
        <f>Data!F3251</f>
        <v>0</v>
      </c>
      <c r="M3238">
        <f>Data!G3251</f>
        <v>0</v>
      </c>
      <c r="N3238">
        <f>Data!H3251</f>
        <v>0</v>
      </c>
      <c r="O3238">
        <f>Data!I3251</f>
        <v>0</v>
      </c>
      <c r="P3238" s="21">
        <f>Data!J3255</f>
        <v>0</v>
      </c>
      <c r="Q3238">
        <f>Data!K3255</f>
        <v>0</v>
      </c>
      <c r="R3238">
        <f>Data!L3255</f>
        <v>0</v>
      </c>
      <c r="S3238">
        <f>Data!M3255</f>
        <v>0</v>
      </c>
      <c r="T3238">
        <f>Data!N3255</f>
        <v>0</v>
      </c>
      <c r="U3238">
        <f>Data!O3255</f>
        <v>0</v>
      </c>
      <c r="V3238" s="33">
        <f>Data!P3253</f>
        <v>0</v>
      </c>
    </row>
    <row r="3239" spans="7:22" x14ac:dyDescent="0.25">
      <c r="G3239">
        <f>Data!A3252</f>
        <v>0</v>
      </c>
      <c r="H3239" s="21">
        <f>Data!B3252</f>
        <v>0</v>
      </c>
      <c r="I3239" s="21">
        <f>Data!C3252</f>
        <v>0</v>
      </c>
      <c r="J3239">
        <f>Data!D3252</f>
        <v>0</v>
      </c>
      <c r="K3239">
        <f>Data!E3252</f>
        <v>0</v>
      </c>
      <c r="L3239">
        <f>Data!F3252</f>
        <v>0</v>
      </c>
      <c r="M3239">
        <f>Data!G3252</f>
        <v>0</v>
      </c>
      <c r="N3239">
        <f>Data!H3252</f>
        <v>0</v>
      </c>
      <c r="O3239">
        <f>Data!I3252</f>
        <v>0</v>
      </c>
      <c r="P3239" s="21">
        <f>Data!J3256</f>
        <v>0</v>
      </c>
      <c r="Q3239">
        <f>Data!K3256</f>
        <v>0</v>
      </c>
      <c r="R3239">
        <f>Data!L3256</f>
        <v>0</v>
      </c>
      <c r="S3239">
        <f>Data!M3256</f>
        <v>0</v>
      </c>
      <c r="T3239">
        <f>Data!N3256</f>
        <v>0</v>
      </c>
      <c r="U3239">
        <f>Data!O3256</f>
        <v>0</v>
      </c>
      <c r="V3239" s="33">
        <f>Data!P3254</f>
        <v>0</v>
      </c>
    </row>
    <row r="3240" spans="7:22" x14ac:dyDescent="0.25">
      <c r="G3240">
        <f>Data!A3253</f>
        <v>0</v>
      </c>
      <c r="H3240" s="21">
        <f>Data!B3253</f>
        <v>0</v>
      </c>
      <c r="I3240" s="21">
        <f>Data!C3253</f>
        <v>0</v>
      </c>
      <c r="J3240">
        <f>Data!D3253</f>
        <v>0</v>
      </c>
      <c r="K3240">
        <f>Data!E3253</f>
        <v>0</v>
      </c>
      <c r="L3240">
        <f>Data!F3253</f>
        <v>0</v>
      </c>
      <c r="M3240">
        <f>Data!G3253</f>
        <v>0</v>
      </c>
      <c r="N3240">
        <f>Data!H3253</f>
        <v>0</v>
      </c>
      <c r="O3240">
        <f>Data!I3253</f>
        <v>0</v>
      </c>
      <c r="P3240" s="21">
        <f>Data!J3257</f>
        <v>0</v>
      </c>
      <c r="Q3240">
        <f>Data!K3257</f>
        <v>0</v>
      </c>
      <c r="R3240">
        <f>Data!L3257</f>
        <v>0</v>
      </c>
      <c r="S3240">
        <f>Data!M3257</f>
        <v>0</v>
      </c>
      <c r="T3240">
        <f>Data!N3257</f>
        <v>0</v>
      </c>
      <c r="U3240">
        <f>Data!O3257</f>
        <v>0</v>
      </c>
      <c r="V3240" s="33">
        <f>Data!P3255</f>
        <v>0</v>
      </c>
    </row>
    <row r="3241" spans="7:22" x14ac:dyDescent="0.25">
      <c r="G3241">
        <f>Data!A3254</f>
        <v>0</v>
      </c>
      <c r="H3241" s="21">
        <f>Data!B3254</f>
        <v>0</v>
      </c>
      <c r="I3241" s="21">
        <f>Data!C3254</f>
        <v>0</v>
      </c>
      <c r="J3241">
        <f>Data!D3254</f>
        <v>0</v>
      </c>
      <c r="K3241">
        <f>Data!E3254</f>
        <v>0</v>
      </c>
      <c r="L3241">
        <f>Data!F3254</f>
        <v>0</v>
      </c>
      <c r="M3241">
        <f>Data!G3254</f>
        <v>0</v>
      </c>
      <c r="N3241">
        <f>Data!H3254</f>
        <v>0</v>
      </c>
      <c r="O3241">
        <f>Data!I3254</f>
        <v>0</v>
      </c>
      <c r="P3241" s="21">
        <f>Data!J3258</f>
        <v>0</v>
      </c>
      <c r="Q3241">
        <f>Data!K3258</f>
        <v>0</v>
      </c>
      <c r="R3241">
        <f>Data!L3258</f>
        <v>0</v>
      </c>
      <c r="S3241">
        <f>Data!M3258</f>
        <v>0</v>
      </c>
      <c r="T3241">
        <f>Data!N3258</f>
        <v>0</v>
      </c>
      <c r="U3241">
        <f>Data!O3258</f>
        <v>0</v>
      </c>
      <c r="V3241" s="33">
        <f>Data!P3256</f>
        <v>0</v>
      </c>
    </row>
    <row r="3242" spans="7:22" x14ac:dyDescent="0.25">
      <c r="G3242">
        <f>Data!A3255</f>
        <v>0</v>
      </c>
      <c r="H3242" s="21">
        <f>Data!B3255</f>
        <v>0</v>
      </c>
      <c r="I3242" s="21">
        <f>Data!C3255</f>
        <v>0</v>
      </c>
      <c r="J3242">
        <f>Data!D3255</f>
        <v>0</v>
      </c>
      <c r="K3242">
        <f>Data!E3255</f>
        <v>0</v>
      </c>
      <c r="L3242">
        <f>Data!F3255</f>
        <v>0</v>
      </c>
      <c r="M3242">
        <f>Data!G3255</f>
        <v>0</v>
      </c>
      <c r="N3242">
        <f>Data!H3255</f>
        <v>0</v>
      </c>
      <c r="O3242">
        <f>Data!I3255</f>
        <v>0</v>
      </c>
      <c r="P3242" s="21">
        <f>Data!J3259</f>
        <v>0</v>
      </c>
      <c r="Q3242">
        <f>Data!K3259</f>
        <v>0</v>
      </c>
      <c r="R3242">
        <f>Data!L3259</f>
        <v>0</v>
      </c>
      <c r="S3242">
        <f>Data!M3259</f>
        <v>0</v>
      </c>
      <c r="T3242">
        <f>Data!N3259</f>
        <v>0</v>
      </c>
      <c r="U3242">
        <f>Data!O3259</f>
        <v>0</v>
      </c>
      <c r="V3242" s="33">
        <f>Data!P3257</f>
        <v>0</v>
      </c>
    </row>
    <row r="3243" spans="7:22" x14ac:dyDescent="0.25">
      <c r="G3243">
        <f>Data!A3256</f>
        <v>0</v>
      </c>
      <c r="H3243" s="21">
        <f>Data!B3256</f>
        <v>0</v>
      </c>
      <c r="I3243" s="21">
        <f>Data!C3256</f>
        <v>0</v>
      </c>
      <c r="J3243">
        <f>Data!D3256</f>
        <v>0</v>
      </c>
      <c r="K3243">
        <f>Data!E3256</f>
        <v>0</v>
      </c>
      <c r="L3243">
        <f>Data!F3256</f>
        <v>0</v>
      </c>
      <c r="M3243">
        <f>Data!G3256</f>
        <v>0</v>
      </c>
      <c r="N3243">
        <f>Data!H3256</f>
        <v>0</v>
      </c>
      <c r="O3243">
        <f>Data!I3256</f>
        <v>0</v>
      </c>
      <c r="P3243" s="21">
        <f>Data!J3260</f>
        <v>0</v>
      </c>
      <c r="Q3243">
        <f>Data!K3260</f>
        <v>0</v>
      </c>
      <c r="R3243">
        <f>Data!L3260</f>
        <v>0</v>
      </c>
      <c r="S3243">
        <f>Data!M3260</f>
        <v>0</v>
      </c>
      <c r="T3243">
        <f>Data!N3260</f>
        <v>0</v>
      </c>
      <c r="U3243">
        <f>Data!O3260</f>
        <v>0</v>
      </c>
      <c r="V3243" s="33">
        <f>Data!P3258</f>
        <v>0</v>
      </c>
    </row>
    <row r="3244" spans="7:22" x14ac:dyDescent="0.25">
      <c r="G3244">
        <f>Data!A3257</f>
        <v>0</v>
      </c>
      <c r="H3244" s="21">
        <f>Data!B3257</f>
        <v>0</v>
      </c>
      <c r="I3244" s="21">
        <f>Data!C3257</f>
        <v>0</v>
      </c>
      <c r="J3244">
        <f>Data!D3257</f>
        <v>0</v>
      </c>
      <c r="K3244">
        <f>Data!E3257</f>
        <v>0</v>
      </c>
      <c r="L3244">
        <f>Data!F3257</f>
        <v>0</v>
      </c>
      <c r="M3244">
        <f>Data!G3257</f>
        <v>0</v>
      </c>
      <c r="N3244">
        <f>Data!H3257</f>
        <v>0</v>
      </c>
      <c r="O3244">
        <f>Data!I3257</f>
        <v>0</v>
      </c>
      <c r="P3244" s="21">
        <f>Data!J3261</f>
        <v>0</v>
      </c>
      <c r="Q3244">
        <f>Data!K3261</f>
        <v>0</v>
      </c>
      <c r="R3244">
        <f>Data!L3261</f>
        <v>0</v>
      </c>
      <c r="S3244">
        <f>Data!M3261</f>
        <v>0</v>
      </c>
      <c r="T3244">
        <f>Data!N3261</f>
        <v>0</v>
      </c>
      <c r="U3244">
        <f>Data!O3261</f>
        <v>0</v>
      </c>
      <c r="V3244" s="33">
        <f>Data!P3259</f>
        <v>0</v>
      </c>
    </row>
    <row r="3245" spans="7:22" x14ac:dyDescent="0.25">
      <c r="G3245">
        <f>Data!A3258</f>
        <v>0</v>
      </c>
      <c r="H3245" s="21">
        <f>Data!B3258</f>
        <v>0</v>
      </c>
      <c r="I3245" s="21">
        <f>Data!C3258</f>
        <v>0</v>
      </c>
      <c r="J3245">
        <f>Data!D3258</f>
        <v>0</v>
      </c>
      <c r="K3245">
        <f>Data!E3258</f>
        <v>0</v>
      </c>
      <c r="L3245">
        <f>Data!F3258</f>
        <v>0</v>
      </c>
      <c r="M3245">
        <f>Data!G3258</f>
        <v>0</v>
      </c>
      <c r="N3245">
        <f>Data!H3258</f>
        <v>0</v>
      </c>
      <c r="O3245">
        <f>Data!I3258</f>
        <v>0</v>
      </c>
      <c r="P3245" s="21">
        <f>Data!J3262</f>
        <v>0</v>
      </c>
      <c r="Q3245">
        <f>Data!K3262</f>
        <v>0</v>
      </c>
      <c r="R3245">
        <f>Data!L3262</f>
        <v>0</v>
      </c>
      <c r="S3245">
        <f>Data!M3262</f>
        <v>0</v>
      </c>
      <c r="T3245">
        <f>Data!N3262</f>
        <v>0</v>
      </c>
      <c r="U3245">
        <f>Data!O3262</f>
        <v>0</v>
      </c>
      <c r="V3245" s="33">
        <f>Data!P3260</f>
        <v>0</v>
      </c>
    </row>
    <row r="3246" spans="7:22" x14ac:dyDescent="0.25">
      <c r="G3246">
        <f>Data!A3259</f>
        <v>0</v>
      </c>
      <c r="H3246" s="21">
        <f>Data!B3259</f>
        <v>0</v>
      </c>
      <c r="I3246" s="21">
        <f>Data!C3259</f>
        <v>0</v>
      </c>
      <c r="J3246">
        <f>Data!D3259</f>
        <v>0</v>
      </c>
      <c r="K3246">
        <f>Data!E3259</f>
        <v>0</v>
      </c>
      <c r="L3246">
        <f>Data!F3259</f>
        <v>0</v>
      </c>
      <c r="M3246">
        <f>Data!G3259</f>
        <v>0</v>
      </c>
      <c r="N3246">
        <f>Data!H3259</f>
        <v>0</v>
      </c>
      <c r="O3246">
        <f>Data!I3259</f>
        <v>0</v>
      </c>
      <c r="P3246" s="21">
        <f>Data!J3263</f>
        <v>0</v>
      </c>
      <c r="Q3246">
        <f>Data!K3263</f>
        <v>0</v>
      </c>
      <c r="R3246">
        <f>Data!L3263</f>
        <v>0</v>
      </c>
      <c r="S3246">
        <f>Data!M3263</f>
        <v>0</v>
      </c>
      <c r="T3246">
        <f>Data!N3263</f>
        <v>0</v>
      </c>
      <c r="U3246">
        <f>Data!O3263</f>
        <v>0</v>
      </c>
      <c r="V3246" s="33">
        <f>Data!P3261</f>
        <v>0</v>
      </c>
    </row>
    <row r="3247" spans="7:22" x14ac:dyDescent="0.25">
      <c r="G3247">
        <f>Data!A3260</f>
        <v>0</v>
      </c>
      <c r="H3247" s="21">
        <f>Data!B3260</f>
        <v>0</v>
      </c>
      <c r="I3247" s="21">
        <f>Data!C3260</f>
        <v>0</v>
      </c>
      <c r="J3247">
        <f>Data!D3260</f>
        <v>0</v>
      </c>
      <c r="K3247">
        <f>Data!E3260</f>
        <v>0</v>
      </c>
      <c r="L3247">
        <f>Data!F3260</f>
        <v>0</v>
      </c>
      <c r="M3247">
        <f>Data!G3260</f>
        <v>0</v>
      </c>
      <c r="N3247">
        <f>Data!H3260</f>
        <v>0</v>
      </c>
      <c r="O3247">
        <f>Data!I3260</f>
        <v>0</v>
      </c>
      <c r="P3247" s="21">
        <f>Data!J3264</f>
        <v>0</v>
      </c>
      <c r="Q3247">
        <f>Data!K3264</f>
        <v>0</v>
      </c>
      <c r="R3247">
        <f>Data!L3264</f>
        <v>0</v>
      </c>
      <c r="S3247">
        <f>Data!M3264</f>
        <v>0</v>
      </c>
      <c r="T3247">
        <f>Data!N3264</f>
        <v>0</v>
      </c>
      <c r="U3247">
        <f>Data!O3264</f>
        <v>0</v>
      </c>
      <c r="V3247" s="33">
        <f>Data!P3262</f>
        <v>0</v>
      </c>
    </row>
    <row r="3248" spans="7:22" x14ac:dyDescent="0.25">
      <c r="G3248">
        <f>Data!A3261</f>
        <v>0</v>
      </c>
      <c r="H3248" s="21">
        <f>Data!B3261</f>
        <v>0</v>
      </c>
      <c r="I3248" s="21">
        <f>Data!C3261</f>
        <v>0</v>
      </c>
      <c r="J3248">
        <f>Data!D3261</f>
        <v>0</v>
      </c>
      <c r="K3248">
        <f>Data!E3261</f>
        <v>0</v>
      </c>
      <c r="L3248">
        <f>Data!F3261</f>
        <v>0</v>
      </c>
      <c r="M3248">
        <f>Data!G3261</f>
        <v>0</v>
      </c>
      <c r="N3248">
        <f>Data!H3261</f>
        <v>0</v>
      </c>
      <c r="O3248">
        <f>Data!I3261</f>
        <v>0</v>
      </c>
      <c r="P3248" s="21">
        <f>Data!J3265</f>
        <v>0</v>
      </c>
      <c r="Q3248">
        <f>Data!K3265</f>
        <v>0</v>
      </c>
      <c r="R3248">
        <f>Data!L3265</f>
        <v>0</v>
      </c>
      <c r="S3248">
        <f>Data!M3265</f>
        <v>0</v>
      </c>
      <c r="T3248">
        <f>Data!N3265</f>
        <v>0</v>
      </c>
      <c r="U3248">
        <f>Data!O3265</f>
        <v>0</v>
      </c>
      <c r="V3248" s="33">
        <f>Data!P3263</f>
        <v>0</v>
      </c>
    </row>
    <row r="3249" spans="7:22" x14ac:dyDescent="0.25">
      <c r="G3249">
        <f>Data!A3262</f>
        <v>0</v>
      </c>
      <c r="H3249" s="21">
        <f>Data!B3262</f>
        <v>0</v>
      </c>
      <c r="I3249" s="21">
        <f>Data!C3262</f>
        <v>0</v>
      </c>
      <c r="J3249">
        <f>Data!D3262</f>
        <v>0</v>
      </c>
      <c r="K3249">
        <f>Data!E3262</f>
        <v>0</v>
      </c>
      <c r="L3249">
        <f>Data!F3262</f>
        <v>0</v>
      </c>
      <c r="M3249">
        <f>Data!G3262</f>
        <v>0</v>
      </c>
      <c r="N3249">
        <f>Data!H3262</f>
        <v>0</v>
      </c>
      <c r="O3249">
        <f>Data!I3262</f>
        <v>0</v>
      </c>
      <c r="P3249" s="21">
        <f>Data!J3266</f>
        <v>0</v>
      </c>
      <c r="Q3249">
        <f>Data!K3266</f>
        <v>0</v>
      </c>
      <c r="R3249">
        <f>Data!L3266</f>
        <v>0</v>
      </c>
      <c r="S3249">
        <f>Data!M3266</f>
        <v>0</v>
      </c>
      <c r="T3249">
        <f>Data!N3266</f>
        <v>0</v>
      </c>
      <c r="U3249">
        <f>Data!O3266</f>
        <v>0</v>
      </c>
      <c r="V3249" s="33">
        <f>Data!P3264</f>
        <v>0</v>
      </c>
    </row>
    <row r="3250" spans="7:22" x14ac:dyDescent="0.25">
      <c r="G3250">
        <f>Data!A3263</f>
        <v>0</v>
      </c>
      <c r="H3250" s="21">
        <f>Data!B3263</f>
        <v>0</v>
      </c>
      <c r="I3250" s="21">
        <f>Data!C3263</f>
        <v>0</v>
      </c>
      <c r="J3250">
        <f>Data!D3263</f>
        <v>0</v>
      </c>
      <c r="K3250">
        <f>Data!E3263</f>
        <v>0</v>
      </c>
      <c r="L3250">
        <f>Data!F3263</f>
        <v>0</v>
      </c>
      <c r="M3250">
        <f>Data!G3263</f>
        <v>0</v>
      </c>
      <c r="N3250">
        <f>Data!H3263</f>
        <v>0</v>
      </c>
      <c r="O3250">
        <f>Data!I3263</f>
        <v>0</v>
      </c>
      <c r="P3250" s="21">
        <f>Data!J3267</f>
        <v>0</v>
      </c>
      <c r="Q3250">
        <f>Data!K3267</f>
        <v>0</v>
      </c>
      <c r="R3250">
        <f>Data!L3267</f>
        <v>0</v>
      </c>
      <c r="S3250">
        <f>Data!M3267</f>
        <v>0</v>
      </c>
      <c r="T3250">
        <f>Data!N3267</f>
        <v>0</v>
      </c>
      <c r="U3250">
        <f>Data!O3267</f>
        <v>0</v>
      </c>
      <c r="V3250" s="33">
        <f>Data!P3265</f>
        <v>0</v>
      </c>
    </row>
    <row r="3251" spans="7:22" x14ac:dyDescent="0.25">
      <c r="G3251">
        <f>Data!A3264</f>
        <v>0</v>
      </c>
      <c r="H3251" s="21">
        <f>Data!B3264</f>
        <v>0</v>
      </c>
      <c r="I3251" s="21">
        <f>Data!C3264</f>
        <v>0</v>
      </c>
      <c r="J3251">
        <f>Data!D3264</f>
        <v>0</v>
      </c>
      <c r="K3251">
        <f>Data!E3264</f>
        <v>0</v>
      </c>
      <c r="L3251">
        <f>Data!F3264</f>
        <v>0</v>
      </c>
      <c r="M3251">
        <f>Data!G3264</f>
        <v>0</v>
      </c>
      <c r="N3251">
        <f>Data!H3264</f>
        <v>0</v>
      </c>
      <c r="O3251">
        <f>Data!I3264</f>
        <v>0</v>
      </c>
      <c r="P3251" s="21">
        <f>Data!J3268</f>
        <v>0</v>
      </c>
      <c r="Q3251">
        <f>Data!K3268</f>
        <v>0</v>
      </c>
      <c r="R3251">
        <f>Data!L3268</f>
        <v>0</v>
      </c>
      <c r="S3251">
        <f>Data!M3268</f>
        <v>0</v>
      </c>
      <c r="T3251">
        <f>Data!N3268</f>
        <v>0</v>
      </c>
      <c r="U3251">
        <f>Data!O3268</f>
        <v>0</v>
      </c>
      <c r="V3251" s="33">
        <f>Data!P3266</f>
        <v>0</v>
      </c>
    </row>
    <row r="3252" spans="7:22" x14ac:dyDescent="0.25">
      <c r="G3252">
        <f>Data!A3265</f>
        <v>0</v>
      </c>
      <c r="H3252" s="21">
        <f>Data!B3265</f>
        <v>0</v>
      </c>
      <c r="I3252" s="21">
        <f>Data!C3265</f>
        <v>0</v>
      </c>
      <c r="J3252">
        <f>Data!D3265</f>
        <v>0</v>
      </c>
      <c r="K3252">
        <f>Data!E3265</f>
        <v>0</v>
      </c>
      <c r="L3252">
        <f>Data!F3265</f>
        <v>0</v>
      </c>
      <c r="M3252">
        <f>Data!G3265</f>
        <v>0</v>
      </c>
      <c r="N3252">
        <f>Data!H3265</f>
        <v>0</v>
      </c>
      <c r="O3252">
        <f>Data!I3265</f>
        <v>0</v>
      </c>
      <c r="P3252" s="21">
        <f>Data!J3269</f>
        <v>0</v>
      </c>
      <c r="Q3252">
        <f>Data!K3269</f>
        <v>0</v>
      </c>
      <c r="R3252">
        <f>Data!L3269</f>
        <v>0</v>
      </c>
      <c r="S3252">
        <f>Data!M3269</f>
        <v>0</v>
      </c>
      <c r="T3252">
        <f>Data!N3269</f>
        <v>0</v>
      </c>
      <c r="U3252">
        <f>Data!O3269</f>
        <v>0</v>
      </c>
      <c r="V3252" s="33">
        <f>Data!P3267</f>
        <v>0</v>
      </c>
    </row>
    <row r="3253" spans="7:22" x14ac:dyDescent="0.25">
      <c r="G3253">
        <f>Data!A3266</f>
        <v>0</v>
      </c>
      <c r="H3253" s="21">
        <f>Data!B3266</f>
        <v>0</v>
      </c>
      <c r="I3253" s="21">
        <f>Data!C3266</f>
        <v>0</v>
      </c>
      <c r="J3253">
        <f>Data!D3266</f>
        <v>0</v>
      </c>
      <c r="K3253">
        <f>Data!E3266</f>
        <v>0</v>
      </c>
      <c r="L3253">
        <f>Data!F3266</f>
        <v>0</v>
      </c>
      <c r="M3253">
        <f>Data!G3266</f>
        <v>0</v>
      </c>
      <c r="N3253">
        <f>Data!H3266</f>
        <v>0</v>
      </c>
      <c r="O3253">
        <f>Data!I3266</f>
        <v>0</v>
      </c>
      <c r="P3253" s="21">
        <f>Data!J3270</f>
        <v>0</v>
      </c>
      <c r="Q3253">
        <f>Data!K3270</f>
        <v>0</v>
      </c>
      <c r="R3253">
        <f>Data!L3270</f>
        <v>0</v>
      </c>
      <c r="S3253">
        <f>Data!M3270</f>
        <v>0</v>
      </c>
      <c r="T3253">
        <f>Data!N3270</f>
        <v>0</v>
      </c>
      <c r="U3253">
        <f>Data!O3270</f>
        <v>0</v>
      </c>
      <c r="V3253" s="33">
        <f>Data!P3268</f>
        <v>0</v>
      </c>
    </row>
    <row r="3254" spans="7:22" x14ac:dyDescent="0.25">
      <c r="G3254">
        <f>Data!A3267</f>
        <v>0</v>
      </c>
      <c r="H3254" s="21">
        <f>Data!B3267</f>
        <v>0</v>
      </c>
      <c r="I3254" s="21">
        <f>Data!C3267</f>
        <v>0</v>
      </c>
      <c r="J3254">
        <f>Data!D3267</f>
        <v>0</v>
      </c>
      <c r="K3254">
        <f>Data!E3267</f>
        <v>0</v>
      </c>
      <c r="L3254">
        <f>Data!F3267</f>
        <v>0</v>
      </c>
      <c r="M3254">
        <f>Data!G3267</f>
        <v>0</v>
      </c>
      <c r="N3254">
        <f>Data!H3267</f>
        <v>0</v>
      </c>
      <c r="O3254">
        <f>Data!I3267</f>
        <v>0</v>
      </c>
      <c r="P3254" s="21">
        <f>Data!J3271</f>
        <v>0</v>
      </c>
      <c r="Q3254">
        <f>Data!K3271</f>
        <v>0</v>
      </c>
      <c r="R3254">
        <f>Data!L3271</f>
        <v>0</v>
      </c>
      <c r="S3254">
        <f>Data!M3271</f>
        <v>0</v>
      </c>
      <c r="T3254">
        <f>Data!N3271</f>
        <v>0</v>
      </c>
      <c r="U3254">
        <f>Data!O3271</f>
        <v>0</v>
      </c>
      <c r="V3254" s="33">
        <f>Data!P3269</f>
        <v>0</v>
      </c>
    </row>
    <row r="3255" spans="7:22" x14ac:dyDescent="0.25">
      <c r="G3255">
        <f>Data!A3268</f>
        <v>0</v>
      </c>
      <c r="H3255" s="21">
        <f>Data!B3268</f>
        <v>0</v>
      </c>
      <c r="I3255" s="21">
        <f>Data!C3268</f>
        <v>0</v>
      </c>
      <c r="J3255">
        <f>Data!D3268</f>
        <v>0</v>
      </c>
      <c r="K3255">
        <f>Data!E3268</f>
        <v>0</v>
      </c>
      <c r="L3255">
        <f>Data!F3268</f>
        <v>0</v>
      </c>
      <c r="M3255">
        <f>Data!G3268</f>
        <v>0</v>
      </c>
      <c r="N3255">
        <f>Data!H3268</f>
        <v>0</v>
      </c>
      <c r="O3255">
        <f>Data!I3268</f>
        <v>0</v>
      </c>
      <c r="P3255" s="21">
        <f>Data!J3272</f>
        <v>0</v>
      </c>
      <c r="Q3255">
        <f>Data!K3272</f>
        <v>0</v>
      </c>
      <c r="R3255">
        <f>Data!L3272</f>
        <v>0</v>
      </c>
      <c r="S3255">
        <f>Data!M3272</f>
        <v>0</v>
      </c>
      <c r="T3255">
        <f>Data!N3272</f>
        <v>0</v>
      </c>
      <c r="U3255">
        <f>Data!O3272</f>
        <v>0</v>
      </c>
      <c r="V3255" s="33">
        <f>Data!P3270</f>
        <v>0</v>
      </c>
    </row>
    <row r="3256" spans="7:22" x14ac:dyDescent="0.25">
      <c r="G3256">
        <f>Data!A3269</f>
        <v>0</v>
      </c>
      <c r="H3256" s="21">
        <f>Data!B3269</f>
        <v>0</v>
      </c>
      <c r="I3256" s="21">
        <f>Data!C3269</f>
        <v>0</v>
      </c>
      <c r="J3256">
        <f>Data!D3269</f>
        <v>0</v>
      </c>
      <c r="K3256">
        <f>Data!E3269</f>
        <v>0</v>
      </c>
      <c r="L3256">
        <f>Data!F3269</f>
        <v>0</v>
      </c>
      <c r="M3256">
        <f>Data!G3269</f>
        <v>0</v>
      </c>
      <c r="N3256">
        <f>Data!H3269</f>
        <v>0</v>
      </c>
      <c r="O3256">
        <f>Data!I3269</f>
        <v>0</v>
      </c>
      <c r="P3256" s="21">
        <f>Data!J3273</f>
        <v>0</v>
      </c>
      <c r="Q3256">
        <f>Data!K3273</f>
        <v>0</v>
      </c>
      <c r="R3256">
        <f>Data!L3273</f>
        <v>0</v>
      </c>
      <c r="S3256">
        <f>Data!M3273</f>
        <v>0</v>
      </c>
      <c r="T3256">
        <f>Data!N3273</f>
        <v>0</v>
      </c>
      <c r="U3256">
        <f>Data!O3273</f>
        <v>0</v>
      </c>
      <c r="V3256" s="33">
        <f>Data!P3271</f>
        <v>0</v>
      </c>
    </row>
    <row r="3257" spans="7:22" x14ac:dyDescent="0.25">
      <c r="G3257">
        <f>Data!A3270</f>
        <v>0</v>
      </c>
      <c r="H3257" s="21">
        <f>Data!B3270</f>
        <v>0</v>
      </c>
      <c r="I3257" s="21">
        <f>Data!C3270</f>
        <v>0</v>
      </c>
      <c r="J3257">
        <f>Data!D3270</f>
        <v>0</v>
      </c>
      <c r="K3257">
        <f>Data!E3270</f>
        <v>0</v>
      </c>
      <c r="L3257">
        <f>Data!F3270</f>
        <v>0</v>
      </c>
      <c r="M3257">
        <f>Data!G3270</f>
        <v>0</v>
      </c>
      <c r="N3257">
        <f>Data!H3270</f>
        <v>0</v>
      </c>
      <c r="O3257">
        <f>Data!I3270</f>
        <v>0</v>
      </c>
      <c r="P3257" s="21">
        <f>Data!J3274</f>
        <v>0</v>
      </c>
      <c r="Q3257">
        <f>Data!K3274</f>
        <v>0</v>
      </c>
      <c r="R3257">
        <f>Data!L3274</f>
        <v>0</v>
      </c>
      <c r="S3257">
        <f>Data!M3274</f>
        <v>0</v>
      </c>
      <c r="T3257">
        <f>Data!N3274</f>
        <v>0</v>
      </c>
      <c r="U3257">
        <f>Data!O3274</f>
        <v>0</v>
      </c>
      <c r="V3257" s="33">
        <f>Data!P3272</f>
        <v>0</v>
      </c>
    </row>
    <row r="3258" spans="7:22" x14ac:dyDescent="0.25">
      <c r="G3258">
        <f>Data!A3271</f>
        <v>0</v>
      </c>
      <c r="H3258" s="21">
        <f>Data!B3271</f>
        <v>0</v>
      </c>
      <c r="I3258" s="21">
        <f>Data!C3271</f>
        <v>0</v>
      </c>
      <c r="J3258">
        <f>Data!D3271</f>
        <v>0</v>
      </c>
      <c r="K3258">
        <f>Data!E3271</f>
        <v>0</v>
      </c>
      <c r="L3258">
        <f>Data!F3271</f>
        <v>0</v>
      </c>
      <c r="M3258">
        <f>Data!G3271</f>
        <v>0</v>
      </c>
      <c r="N3258">
        <f>Data!H3271</f>
        <v>0</v>
      </c>
      <c r="O3258">
        <f>Data!I3271</f>
        <v>0</v>
      </c>
      <c r="P3258" s="21">
        <f>Data!J3275</f>
        <v>0</v>
      </c>
      <c r="Q3258">
        <f>Data!K3275</f>
        <v>0</v>
      </c>
      <c r="R3258">
        <f>Data!L3275</f>
        <v>0</v>
      </c>
      <c r="S3258">
        <f>Data!M3275</f>
        <v>0</v>
      </c>
      <c r="T3258">
        <f>Data!N3275</f>
        <v>0</v>
      </c>
      <c r="U3258">
        <f>Data!O3275</f>
        <v>0</v>
      </c>
      <c r="V3258" s="33">
        <f>Data!P3273</f>
        <v>0</v>
      </c>
    </row>
    <row r="3259" spans="7:22" x14ac:dyDescent="0.25">
      <c r="G3259">
        <f>Data!A3272</f>
        <v>0</v>
      </c>
      <c r="H3259" s="21">
        <f>Data!B3272</f>
        <v>0</v>
      </c>
      <c r="I3259" s="21">
        <f>Data!C3272</f>
        <v>0</v>
      </c>
      <c r="J3259">
        <f>Data!D3272</f>
        <v>0</v>
      </c>
      <c r="K3259">
        <f>Data!E3272</f>
        <v>0</v>
      </c>
      <c r="L3259">
        <f>Data!F3272</f>
        <v>0</v>
      </c>
      <c r="M3259">
        <f>Data!G3272</f>
        <v>0</v>
      </c>
      <c r="N3259">
        <f>Data!H3272</f>
        <v>0</v>
      </c>
      <c r="O3259">
        <f>Data!I3272</f>
        <v>0</v>
      </c>
      <c r="P3259" s="21">
        <f>Data!J3276</f>
        <v>0</v>
      </c>
      <c r="Q3259">
        <f>Data!K3276</f>
        <v>0</v>
      </c>
      <c r="R3259">
        <f>Data!L3276</f>
        <v>0</v>
      </c>
      <c r="S3259">
        <f>Data!M3276</f>
        <v>0</v>
      </c>
      <c r="T3259">
        <f>Data!N3276</f>
        <v>0</v>
      </c>
      <c r="U3259">
        <f>Data!O3276</f>
        <v>0</v>
      </c>
      <c r="V3259" s="33">
        <f>Data!P3274</f>
        <v>0</v>
      </c>
    </row>
    <row r="3260" spans="7:22" x14ac:dyDescent="0.25">
      <c r="G3260">
        <f>Data!A3273</f>
        <v>0</v>
      </c>
      <c r="H3260" s="21">
        <f>Data!B3273</f>
        <v>0</v>
      </c>
      <c r="I3260" s="21">
        <f>Data!C3273</f>
        <v>0</v>
      </c>
      <c r="J3260">
        <f>Data!D3273</f>
        <v>0</v>
      </c>
      <c r="K3260">
        <f>Data!E3273</f>
        <v>0</v>
      </c>
      <c r="L3260">
        <f>Data!F3273</f>
        <v>0</v>
      </c>
      <c r="M3260">
        <f>Data!G3273</f>
        <v>0</v>
      </c>
      <c r="N3260">
        <f>Data!H3273</f>
        <v>0</v>
      </c>
      <c r="O3260">
        <f>Data!I3273</f>
        <v>0</v>
      </c>
      <c r="P3260" s="21">
        <f>Data!J3277</f>
        <v>0</v>
      </c>
      <c r="Q3260">
        <f>Data!K3277</f>
        <v>0</v>
      </c>
      <c r="R3260">
        <f>Data!L3277</f>
        <v>0</v>
      </c>
      <c r="S3260">
        <f>Data!M3277</f>
        <v>0</v>
      </c>
      <c r="T3260">
        <f>Data!N3277</f>
        <v>0</v>
      </c>
      <c r="U3260">
        <f>Data!O3277</f>
        <v>0</v>
      </c>
      <c r="V3260" s="33">
        <f>Data!P3275</f>
        <v>0</v>
      </c>
    </row>
    <row r="3261" spans="7:22" x14ac:dyDescent="0.25">
      <c r="G3261">
        <f>Data!A3274</f>
        <v>0</v>
      </c>
      <c r="H3261" s="21">
        <f>Data!B3274</f>
        <v>0</v>
      </c>
      <c r="I3261" s="21">
        <f>Data!C3274</f>
        <v>0</v>
      </c>
      <c r="J3261">
        <f>Data!D3274</f>
        <v>0</v>
      </c>
      <c r="K3261">
        <f>Data!E3274</f>
        <v>0</v>
      </c>
      <c r="L3261">
        <f>Data!F3274</f>
        <v>0</v>
      </c>
      <c r="M3261">
        <f>Data!G3274</f>
        <v>0</v>
      </c>
      <c r="N3261">
        <f>Data!H3274</f>
        <v>0</v>
      </c>
      <c r="O3261">
        <f>Data!I3274</f>
        <v>0</v>
      </c>
      <c r="P3261" s="21">
        <f>Data!J3278</f>
        <v>0</v>
      </c>
      <c r="Q3261">
        <f>Data!K3278</f>
        <v>0</v>
      </c>
      <c r="R3261">
        <f>Data!L3278</f>
        <v>0</v>
      </c>
      <c r="S3261">
        <f>Data!M3278</f>
        <v>0</v>
      </c>
      <c r="T3261">
        <f>Data!N3278</f>
        <v>0</v>
      </c>
      <c r="U3261">
        <f>Data!O3278</f>
        <v>0</v>
      </c>
      <c r="V3261" s="33">
        <f>Data!P3276</f>
        <v>0</v>
      </c>
    </row>
    <row r="3262" spans="7:22" x14ac:dyDescent="0.25">
      <c r="G3262">
        <f>Data!A3275</f>
        <v>0</v>
      </c>
      <c r="H3262" s="21">
        <f>Data!B3275</f>
        <v>0</v>
      </c>
      <c r="I3262" s="21">
        <f>Data!C3275</f>
        <v>0</v>
      </c>
      <c r="J3262">
        <f>Data!D3275</f>
        <v>0</v>
      </c>
      <c r="K3262">
        <f>Data!E3275</f>
        <v>0</v>
      </c>
      <c r="L3262">
        <f>Data!F3275</f>
        <v>0</v>
      </c>
      <c r="M3262">
        <f>Data!G3275</f>
        <v>0</v>
      </c>
      <c r="N3262">
        <f>Data!H3275</f>
        <v>0</v>
      </c>
      <c r="O3262">
        <f>Data!I3275</f>
        <v>0</v>
      </c>
      <c r="P3262" s="21">
        <f>Data!J3279</f>
        <v>0</v>
      </c>
      <c r="Q3262">
        <f>Data!K3279</f>
        <v>0</v>
      </c>
      <c r="R3262">
        <f>Data!L3279</f>
        <v>0</v>
      </c>
      <c r="S3262">
        <f>Data!M3279</f>
        <v>0</v>
      </c>
      <c r="T3262">
        <f>Data!N3279</f>
        <v>0</v>
      </c>
      <c r="U3262">
        <f>Data!O3279</f>
        <v>0</v>
      </c>
      <c r="V3262" s="33">
        <f>Data!P3277</f>
        <v>0</v>
      </c>
    </row>
    <row r="3263" spans="7:22" x14ac:dyDescent="0.25">
      <c r="G3263">
        <f>Data!A3276</f>
        <v>0</v>
      </c>
      <c r="H3263" s="21">
        <f>Data!B3276</f>
        <v>0</v>
      </c>
      <c r="I3263" s="21">
        <f>Data!C3276</f>
        <v>0</v>
      </c>
      <c r="J3263">
        <f>Data!D3276</f>
        <v>0</v>
      </c>
      <c r="K3263">
        <f>Data!E3276</f>
        <v>0</v>
      </c>
      <c r="L3263">
        <f>Data!F3276</f>
        <v>0</v>
      </c>
      <c r="M3263">
        <f>Data!G3276</f>
        <v>0</v>
      </c>
      <c r="N3263">
        <f>Data!H3276</f>
        <v>0</v>
      </c>
      <c r="O3263">
        <f>Data!I3276</f>
        <v>0</v>
      </c>
      <c r="P3263" s="21">
        <f>Data!J3280</f>
        <v>0</v>
      </c>
      <c r="Q3263">
        <f>Data!K3280</f>
        <v>0</v>
      </c>
      <c r="R3263">
        <f>Data!L3280</f>
        <v>0</v>
      </c>
      <c r="S3263">
        <f>Data!M3280</f>
        <v>0</v>
      </c>
      <c r="T3263">
        <f>Data!N3280</f>
        <v>0</v>
      </c>
      <c r="U3263">
        <f>Data!O3280</f>
        <v>0</v>
      </c>
      <c r="V3263" s="33">
        <f>Data!P3278</f>
        <v>0</v>
      </c>
    </row>
    <row r="3264" spans="7:22" x14ac:dyDescent="0.25">
      <c r="G3264">
        <f>Data!A3277</f>
        <v>0</v>
      </c>
      <c r="H3264" s="21">
        <f>Data!B3277</f>
        <v>0</v>
      </c>
      <c r="I3264" s="21">
        <f>Data!C3277</f>
        <v>0</v>
      </c>
      <c r="J3264">
        <f>Data!D3277</f>
        <v>0</v>
      </c>
      <c r="K3264">
        <f>Data!E3277</f>
        <v>0</v>
      </c>
      <c r="L3264">
        <f>Data!F3277</f>
        <v>0</v>
      </c>
      <c r="M3264">
        <f>Data!G3277</f>
        <v>0</v>
      </c>
      <c r="N3264">
        <f>Data!H3277</f>
        <v>0</v>
      </c>
      <c r="O3264">
        <f>Data!I3277</f>
        <v>0</v>
      </c>
      <c r="P3264" s="21">
        <f>Data!J3281</f>
        <v>0</v>
      </c>
      <c r="Q3264">
        <f>Data!K3281</f>
        <v>0</v>
      </c>
      <c r="R3264">
        <f>Data!L3281</f>
        <v>0</v>
      </c>
      <c r="S3264">
        <f>Data!M3281</f>
        <v>0</v>
      </c>
      <c r="T3264">
        <f>Data!N3281</f>
        <v>0</v>
      </c>
      <c r="U3264">
        <f>Data!O3281</f>
        <v>0</v>
      </c>
      <c r="V3264" s="33">
        <f>Data!P3279</f>
        <v>0</v>
      </c>
    </row>
    <row r="3265" spans="7:22" x14ac:dyDescent="0.25">
      <c r="G3265">
        <f>Data!A3278</f>
        <v>0</v>
      </c>
      <c r="H3265" s="21">
        <f>Data!B3278</f>
        <v>0</v>
      </c>
      <c r="I3265" s="21">
        <f>Data!C3278</f>
        <v>0</v>
      </c>
      <c r="J3265">
        <f>Data!D3278</f>
        <v>0</v>
      </c>
      <c r="K3265">
        <f>Data!E3278</f>
        <v>0</v>
      </c>
      <c r="L3265">
        <f>Data!F3278</f>
        <v>0</v>
      </c>
      <c r="M3265">
        <f>Data!G3278</f>
        <v>0</v>
      </c>
      <c r="N3265">
        <f>Data!H3278</f>
        <v>0</v>
      </c>
      <c r="O3265">
        <f>Data!I3278</f>
        <v>0</v>
      </c>
      <c r="P3265" s="21">
        <f>Data!J3282</f>
        <v>0</v>
      </c>
      <c r="Q3265">
        <f>Data!K3282</f>
        <v>0</v>
      </c>
      <c r="R3265">
        <f>Data!L3282</f>
        <v>0</v>
      </c>
      <c r="S3265">
        <f>Data!M3282</f>
        <v>0</v>
      </c>
      <c r="T3265">
        <f>Data!N3282</f>
        <v>0</v>
      </c>
      <c r="U3265">
        <f>Data!O3282</f>
        <v>0</v>
      </c>
      <c r="V3265" s="33">
        <f>Data!P3280</f>
        <v>0</v>
      </c>
    </row>
    <row r="3266" spans="7:22" x14ac:dyDescent="0.25">
      <c r="G3266">
        <f>Data!A3279</f>
        <v>0</v>
      </c>
      <c r="H3266" s="21">
        <f>Data!B3279</f>
        <v>0</v>
      </c>
      <c r="I3266" s="21">
        <f>Data!C3279</f>
        <v>0</v>
      </c>
      <c r="J3266">
        <f>Data!D3279</f>
        <v>0</v>
      </c>
      <c r="K3266">
        <f>Data!E3279</f>
        <v>0</v>
      </c>
      <c r="L3266">
        <f>Data!F3279</f>
        <v>0</v>
      </c>
      <c r="M3266">
        <f>Data!G3279</f>
        <v>0</v>
      </c>
      <c r="N3266">
        <f>Data!H3279</f>
        <v>0</v>
      </c>
      <c r="O3266">
        <f>Data!I3279</f>
        <v>0</v>
      </c>
      <c r="P3266" s="21">
        <f>Data!J3283</f>
        <v>0</v>
      </c>
      <c r="Q3266">
        <f>Data!K3283</f>
        <v>0</v>
      </c>
      <c r="R3266">
        <f>Data!L3283</f>
        <v>0</v>
      </c>
      <c r="S3266">
        <f>Data!M3283</f>
        <v>0</v>
      </c>
      <c r="T3266">
        <f>Data!N3283</f>
        <v>0</v>
      </c>
      <c r="U3266">
        <f>Data!O3283</f>
        <v>0</v>
      </c>
      <c r="V3266" s="33">
        <f>Data!P3281</f>
        <v>0</v>
      </c>
    </row>
    <row r="3267" spans="7:22" x14ac:dyDescent="0.25">
      <c r="G3267">
        <f>Data!A3280</f>
        <v>0</v>
      </c>
      <c r="H3267" s="21">
        <f>Data!B3280</f>
        <v>0</v>
      </c>
      <c r="I3267" s="21">
        <f>Data!C3280</f>
        <v>0</v>
      </c>
      <c r="J3267">
        <f>Data!D3280</f>
        <v>0</v>
      </c>
      <c r="K3267">
        <f>Data!E3280</f>
        <v>0</v>
      </c>
      <c r="L3267">
        <f>Data!F3280</f>
        <v>0</v>
      </c>
      <c r="M3267">
        <f>Data!G3280</f>
        <v>0</v>
      </c>
      <c r="N3267">
        <f>Data!H3280</f>
        <v>0</v>
      </c>
      <c r="O3267">
        <f>Data!I3280</f>
        <v>0</v>
      </c>
      <c r="P3267" s="21">
        <f>Data!J3284</f>
        <v>0</v>
      </c>
      <c r="Q3267">
        <f>Data!K3284</f>
        <v>0</v>
      </c>
      <c r="R3267">
        <f>Data!L3284</f>
        <v>0</v>
      </c>
      <c r="S3267">
        <f>Data!M3284</f>
        <v>0</v>
      </c>
      <c r="T3267">
        <f>Data!N3284</f>
        <v>0</v>
      </c>
      <c r="U3267">
        <f>Data!O3284</f>
        <v>0</v>
      </c>
      <c r="V3267" s="33">
        <f>Data!P3282</f>
        <v>0</v>
      </c>
    </row>
    <row r="3268" spans="7:22" x14ac:dyDescent="0.25">
      <c r="G3268">
        <f>Data!A3281</f>
        <v>0</v>
      </c>
      <c r="H3268" s="21">
        <f>Data!B3281</f>
        <v>0</v>
      </c>
      <c r="I3268" s="21">
        <f>Data!C3281</f>
        <v>0</v>
      </c>
      <c r="J3268">
        <f>Data!D3281</f>
        <v>0</v>
      </c>
      <c r="K3268">
        <f>Data!E3281</f>
        <v>0</v>
      </c>
      <c r="L3268">
        <f>Data!F3281</f>
        <v>0</v>
      </c>
      <c r="M3268">
        <f>Data!G3281</f>
        <v>0</v>
      </c>
      <c r="N3268">
        <f>Data!H3281</f>
        <v>0</v>
      </c>
      <c r="O3268">
        <f>Data!I3281</f>
        <v>0</v>
      </c>
      <c r="P3268" s="21">
        <f>Data!J3285</f>
        <v>0</v>
      </c>
      <c r="Q3268">
        <f>Data!K3285</f>
        <v>0</v>
      </c>
      <c r="R3268">
        <f>Data!L3285</f>
        <v>0</v>
      </c>
      <c r="S3268">
        <f>Data!M3285</f>
        <v>0</v>
      </c>
      <c r="T3268">
        <f>Data!N3285</f>
        <v>0</v>
      </c>
      <c r="U3268">
        <f>Data!O3285</f>
        <v>0</v>
      </c>
      <c r="V3268" s="33">
        <f>Data!P3283</f>
        <v>0</v>
      </c>
    </row>
    <row r="3269" spans="7:22" x14ac:dyDescent="0.25">
      <c r="G3269">
        <f>Data!A3282</f>
        <v>0</v>
      </c>
      <c r="H3269" s="21">
        <f>Data!B3282</f>
        <v>0</v>
      </c>
      <c r="I3269" s="21">
        <f>Data!C3282</f>
        <v>0</v>
      </c>
      <c r="J3269">
        <f>Data!D3282</f>
        <v>0</v>
      </c>
      <c r="K3269">
        <f>Data!E3282</f>
        <v>0</v>
      </c>
      <c r="L3269">
        <f>Data!F3282</f>
        <v>0</v>
      </c>
      <c r="M3269">
        <f>Data!G3282</f>
        <v>0</v>
      </c>
      <c r="N3269">
        <f>Data!H3282</f>
        <v>0</v>
      </c>
      <c r="O3269">
        <f>Data!I3282</f>
        <v>0</v>
      </c>
      <c r="P3269" s="21">
        <f>Data!J3286</f>
        <v>0</v>
      </c>
      <c r="Q3269">
        <f>Data!K3286</f>
        <v>0</v>
      </c>
      <c r="R3269">
        <f>Data!L3286</f>
        <v>0</v>
      </c>
      <c r="S3269">
        <f>Data!M3286</f>
        <v>0</v>
      </c>
      <c r="T3269">
        <f>Data!N3286</f>
        <v>0</v>
      </c>
      <c r="U3269">
        <f>Data!O3286</f>
        <v>0</v>
      </c>
      <c r="V3269" s="33">
        <f>Data!P3284</f>
        <v>0</v>
      </c>
    </row>
    <row r="3270" spans="7:22" x14ac:dyDescent="0.25">
      <c r="G3270">
        <f>Data!A3283</f>
        <v>0</v>
      </c>
      <c r="H3270" s="21">
        <f>Data!B3283</f>
        <v>0</v>
      </c>
      <c r="I3270" s="21">
        <f>Data!C3283</f>
        <v>0</v>
      </c>
      <c r="J3270">
        <f>Data!D3283</f>
        <v>0</v>
      </c>
      <c r="K3270">
        <f>Data!E3283</f>
        <v>0</v>
      </c>
      <c r="L3270">
        <f>Data!F3283</f>
        <v>0</v>
      </c>
      <c r="M3270">
        <f>Data!G3283</f>
        <v>0</v>
      </c>
      <c r="N3270">
        <f>Data!H3283</f>
        <v>0</v>
      </c>
      <c r="O3270">
        <f>Data!I3283</f>
        <v>0</v>
      </c>
      <c r="P3270" s="21">
        <f>Data!J3287</f>
        <v>0</v>
      </c>
      <c r="Q3270">
        <f>Data!K3287</f>
        <v>0</v>
      </c>
      <c r="R3270">
        <f>Data!L3287</f>
        <v>0</v>
      </c>
      <c r="S3270">
        <f>Data!M3287</f>
        <v>0</v>
      </c>
      <c r="T3270">
        <f>Data!N3287</f>
        <v>0</v>
      </c>
      <c r="U3270">
        <f>Data!O3287</f>
        <v>0</v>
      </c>
      <c r="V3270" s="33">
        <f>Data!P3285</f>
        <v>0</v>
      </c>
    </row>
    <row r="3271" spans="7:22" x14ac:dyDescent="0.25">
      <c r="G3271">
        <f>Data!A3284</f>
        <v>0</v>
      </c>
      <c r="H3271" s="21">
        <f>Data!B3284</f>
        <v>0</v>
      </c>
      <c r="I3271" s="21">
        <f>Data!C3284</f>
        <v>0</v>
      </c>
      <c r="J3271">
        <f>Data!D3284</f>
        <v>0</v>
      </c>
      <c r="K3271">
        <f>Data!E3284</f>
        <v>0</v>
      </c>
      <c r="L3271">
        <f>Data!F3284</f>
        <v>0</v>
      </c>
      <c r="M3271">
        <f>Data!G3284</f>
        <v>0</v>
      </c>
      <c r="N3271">
        <f>Data!H3284</f>
        <v>0</v>
      </c>
      <c r="O3271">
        <f>Data!I3284</f>
        <v>0</v>
      </c>
      <c r="P3271" s="21">
        <f>Data!J3288</f>
        <v>0</v>
      </c>
      <c r="Q3271">
        <f>Data!K3288</f>
        <v>0</v>
      </c>
      <c r="R3271">
        <f>Data!L3288</f>
        <v>0</v>
      </c>
      <c r="S3271">
        <f>Data!M3288</f>
        <v>0</v>
      </c>
      <c r="T3271">
        <f>Data!N3288</f>
        <v>0</v>
      </c>
      <c r="U3271">
        <f>Data!O3288</f>
        <v>0</v>
      </c>
      <c r="V3271" s="33">
        <f>Data!P3286</f>
        <v>0</v>
      </c>
    </row>
    <row r="3272" spans="7:22" x14ac:dyDescent="0.25">
      <c r="G3272">
        <f>Data!A3285</f>
        <v>0</v>
      </c>
      <c r="H3272" s="21">
        <f>Data!B3285</f>
        <v>0</v>
      </c>
      <c r="I3272" s="21">
        <f>Data!C3285</f>
        <v>0</v>
      </c>
      <c r="J3272">
        <f>Data!D3285</f>
        <v>0</v>
      </c>
      <c r="K3272">
        <f>Data!E3285</f>
        <v>0</v>
      </c>
      <c r="L3272">
        <f>Data!F3285</f>
        <v>0</v>
      </c>
      <c r="M3272">
        <f>Data!G3285</f>
        <v>0</v>
      </c>
      <c r="N3272">
        <f>Data!H3285</f>
        <v>0</v>
      </c>
      <c r="O3272">
        <f>Data!I3285</f>
        <v>0</v>
      </c>
      <c r="P3272" s="21">
        <f>Data!J3289</f>
        <v>0</v>
      </c>
      <c r="Q3272">
        <f>Data!K3289</f>
        <v>0</v>
      </c>
      <c r="R3272">
        <f>Data!L3289</f>
        <v>0</v>
      </c>
      <c r="S3272">
        <f>Data!M3289</f>
        <v>0</v>
      </c>
      <c r="T3272">
        <f>Data!N3289</f>
        <v>0</v>
      </c>
      <c r="U3272">
        <f>Data!O3289</f>
        <v>0</v>
      </c>
      <c r="V3272" s="33">
        <f>Data!P3287</f>
        <v>0</v>
      </c>
    </row>
    <row r="3273" spans="7:22" x14ac:dyDescent="0.25">
      <c r="G3273">
        <f>Data!A3286</f>
        <v>0</v>
      </c>
      <c r="H3273" s="21">
        <f>Data!B3286</f>
        <v>0</v>
      </c>
      <c r="I3273" s="21">
        <f>Data!C3286</f>
        <v>0</v>
      </c>
      <c r="J3273">
        <f>Data!D3286</f>
        <v>0</v>
      </c>
      <c r="K3273">
        <f>Data!E3286</f>
        <v>0</v>
      </c>
      <c r="L3273">
        <f>Data!F3286</f>
        <v>0</v>
      </c>
      <c r="M3273">
        <f>Data!G3286</f>
        <v>0</v>
      </c>
      <c r="N3273">
        <f>Data!H3286</f>
        <v>0</v>
      </c>
      <c r="O3273">
        <f>Data!I3286</f>
        <v>0</v>
      </c>
      <c r="P3273" s="21">
        <f>Data!J3290</f>
        <v>0</v>
      </c>
      <c r="Q3273">
        <f>Data!K3290</f>
        <v>0</v>
      </c>
      <c r="R3273">
        <f>Data!L3290</f>
        <v>0</v>
      </c>
      <c r="S3273">
        <f>Data!M3290</f>
        <v>0</v>
      </c>
      <c r="T3273">
        <f>Data!N3290</f>
        <v>0</v>
      </c>
      <c r="U3273">
        <f>Data!O3290</f>
        <v>0</v>
      </c>
      <c r="V3273" s="33">
        <f>Data!P3288</f>
        <v>0</v>
      </c>
    </row>
    <row r="3274" spans="7:22" x14ac:dyDescent="0.25">
      <c r="G3274">
        <f>Data!A3287</f>
        <v>0</v>
      </c>
      <c r="H3274" s="21">
        <f>Data!B3287</f>
        <v>0</v>
      </c>
      <c r="I3274" s="21">
        <f>Data!C3287</f>
        <v>0</v>
      </c>
      <c r="J3274">
        <f>Data!D3287</f>
        <v>0</v>
      </c>
      <c r="K3274">
        <f>Data!E3287</f>
        <v>0</v>
      </c>
      <c r="L3274">
        <f>Data!F3287</f>
        <v>0</v>
      </c>
      <c r="M3274">
        <f>Data!G3287</f>
        <v>0</v>
      </c>
      <c r="N3274">
        <f>Data!H3287</f>
        <v>0</v>
      </c>
      <c r="O3274">
        <f>Data!I3287</f>
        <v>0</v>
      </c>
      <c r="P3274" s="21">
        <f>Data!J3291</f>
        <v>0</v>
      </c>
      <c r="Q3274">
        <f>Data!K3291</f>
        <v>0</v>
      </c>
      <c r="R3274">
        <f>Data!L3291</f>
        <v>0</v>
      </c>
      <c r="S3274">
        <f>Data!M3291</f>
        <v>0</v>
      </c>
      <c r="T3274">
        <f>Data!N3291</f>
        <v>0</v>
      </c>
      <c r="U3274">
        <f>Data!O3291</f>
        <v>0</v>
      </c>
      <c r="V3274" s="33">
        <f>Data!P3289</f>
        <v>0</v>
      </c>
    </row>
    <row r="3275" spans="7:22" x14ac:dyDescent="0.25">
      <c r="G3275">
        <f>Data!A3288</f>
        <v>0</v>
      </c>
      <c r="H3275" s="21">
        <f>Data!B3288</f>
        <v>0</v>
      </c>
      <c r="I3275" s="21">
        <f>Data!C3288</f>
        <v>0</v>
      </c>
      <c r="J3275">
        <f>Data!D3288</f>
        <v>0</v>
      </c>
      <c r="K3275">
        <f>Data!E3288</f>
        <v>0</v>
      </c>
      <c r="L3275">
        <f>Data!F3288</f>
        <v>0</v>
      </c>
      <c r="M3275">
        <f>Data!G3288</f>
        <v>0</v>
      </c>
      <c r="N3275">
        <f>Data!H3288</f>
        <v>0</v>
      </c>
      <c r="O3275">
        <f>Data!I3288</f>
        <v>0</v>
      </c>
      <c r="P3275" s="21">
        <f>Data!J3292</f>
        <v>0</v>
      </c>
      <c r="Q3275">
        <f>Data!K3292</f>
        <v>0</v>
      </c>
      <c r="R3275">
        <f>Data!L3292</f>
        <v>0</v>
      </c>
      <c r="S3275">
        <f>Data!M3292</f>
        <v>0</v>
      </c>
      <c r="T3275">
        <f>Data!N3292</f>
        <v>0</v>
      </c>
      <c r="U3275">
        <f>Data!O3292</f>
        <v>0</v>
      </c>
      <c r="V3275" s="33">
        <f>Data!P3290</f>
        <v>0</v>
      </c>
    </row>
    <row r="3276" spans="7:22" x14ac:dyDescent="0.25">
      <c r="G3276">
        <f>Data!A3289</f>
        <v>0</v>
      </c>
      <c r="H3276" s="21">
        <f>Data!B3289</f>
        <v>0</v>
      </c>
      <c r="I3276" s="21">
        <f>Data!C3289</f>
        <v>0</v>
      </c>
      <c r="J3276">
        <f>Data!D3289</f>
        <v>0</v>
      </c>
      <c r="K3276">
        <f>Data!E3289</f>
        <v>0</v>
      </c>
      <c r="L3276">
        <f>Data!F3289</f>
        <v>0</v>
      </c>
      <c r="M3276">
        <f>Data!G3289</f>
        <v>0</v>
      </c>
      <c r="N3276">
        <f>Data!H3289</f>
        <v>0</v>
      </c>
      <c r="O3276">
        <f>Data!I3289</f>
        <v>0</v>
      </c>
      <c r="P3276" s="21">
        <f>Data!J3293</f>
        <v>0</v>
      </c>
      <c r="Q3276">
        <f>Data!K3293</f>
        <v>0</v>
      </c>
      <c r="R3276">
        <f>Data!L3293</f>
        <v>0</v>
      </c>
      <c r="S3276">
        <f>Data!M3293</f>
        <v>0</v>
      </c>
      <c r="T3276">
        <f>Data!N3293</f>
        <v>0</v>
      </c>
      <c r="U3276">
        <f>Data!O3293</f>
        <v>0</v>
      </c>
      <c r="V3276" s="33">
        <f>Data!P3291</f>
        <v>0</v>
      </c>
    </row>
    <row r="3277" spans="7:22" x14ac:dyDescent="0.25">
      <c r="G3277">
        <f>Data!A3290</f>
        <v>0</v>
      </c>
      <c r="H3277" s="21">
        <f>Data!B3290</f>
        <v>0</v>
      </c>
      <c r="I3277" s="21">
        <f>Data!C3290</f>
        <v>0</v>
      </c>
      <c r="J3277">
        <f>Data!D3290</f>
        <v>0</v>
      </c>
      <c r="K3277">
        <f>Data!E3290</f>
        <v>0</v>
      </c>
      <c r="L3277">
        <f>Data!F3290</f>
        <v>0</v>
      </c>
      <c r="M3277">
        <f>Data!G3290</f>
        <v>0</v>
      </c>
      <c r="N3277">
        <f>Data!H3290</f>
        <v>0</v>
      </c>
      <c r="O3277">
        <f>Data!I3290</f>
        <v>0</v>
      </c>
      <c r="P3277" s="21">
        <f>Data!J3294</f>
        <v>0</v>
      </c>
      <c r="Q3277">
        <f>Data!K3294</f>
        <v>0</v>
      </c>
      <c r="R3277">
        <f>Data!L3294</f>
        <v>0</v>
      </c>
      <c r="S3277">
        <f>Data!M3294</f>
        <v>0</v>
      </c>
      <c r="T3277">
        <f>Data!N3294</f>
        <v>0</v>
      </c>
      <c r="U3277">
        <f>Data!O3294</f>
        <v>0</v>
      </c>
      <c r="V3277" s="33">
        <f>Data!P3292</f>
        <v>0</v>
      </c>
    </row>
    <row r="3278" spans="7:22" x14ac:dyDescent="0.25">
      <c r="G3278">
        <f>Data!A3291</f>
        <v>0</v>
      </c>
      <c r="H3278" s="21">
        <f>Data!B3291</f>
        <v>0</v>
      </c>
      <c r="I3278" s="21">
        <f>Data!C3291</f>
        <v>0</v>
      </c>
      <c r="J3278">
        <f>Data!D3291</f>
        <v>0</v>
      </c>
      <c r="K3278">
        <f>Data!E3291</f>
        <v>0</v>
      </c>
      <c r="L3278">
        <f>Data!F3291</f>
        <v>0</v>
      </c>
      <c r="M3278">
        <f>Data!G3291</f>
        <v>0</v>
      </c>
      <c r="N3278">
        <f>Data!H3291</f>
        <v>0</v>
      </c>
      <c r="O3278">
        <f>Data!I3291</f>
        <v>0</v>
      </c>
      <c r="P3278" s="21">
        <f>Data!J3295</f>
        <v>0</v>
      </c>
      <c r="Q3278">
        <f>Data!K3295</f>
        <v>0</v>
      </c>
      <c r="R3278">
        <f>Data!L3295</f>
        <v>0</v>
      </c>
      <c r="S3278">
        <f>Data!M3295</f>
        <v>0</v>
      </c>
      <c r="T3278">
        <f>Data!N3295</f>
        <v>0</v>
      </c>
      <c r="U3278">
        <f>Data!O3295</f>
        <v>0</v>
      </c>
      <c r="V3278" s="33">
        <f>Data!P3293</f>
        <v>0</v>
      </c>
    </row>
    <row r="3279" spans="7:22" x14ac:dyDescent="0.25">
      <c r="G3279">
        <f>Data!A3292</f>
        <v>0</v>
      </c>
      <c r="H3279" s="21">
        <f>Data!B3292</f>
        <v>0</v>
      </c>
      <c r="I3279" s="21">
        <f>Data!C3292</f>
        <v>0</v>
      </c>
      <c r="J3279">
        <f>Data!D3292</f>
        <v>0</v>
      </c>
      <c r="K3279">
        <f>Data!E3292</f>
        <v>0</v>
      </c>
      <c r="L3279">
        <f>Data!F3292</f>
        <v>0</v>
      </c>
      <c r="M3279">
        <f>Data!G3292</f>
        <v>0</v>
      </c>
      <c r="N3279">
        <f>Data!H3292</f>
        <v>0</v>
      </c>
      <c r="O3279">
        <f>Data!I3292</f>
        <v>0</v>
      </c>
      <c r="P3279" s="21">
        <f>Data!J3296</f>
        <v>0</v>
      </c>
      <c r="Q3279">
        <f>Data!K3296</f>
        <v>0</v>
      </c>
      <c r="R3279">
        <f>Data!L3296</f>
        <v>0</v>
      </c>
      <c r="S3279">
        <f>Data!M3296</f>
        <v>0</v>
      </c>
      <c r="T3279">
        <f>Data!N3296</f>
        <v>0</v>
      </c>
      <c r="U3279">
        <f>Data!O3296</f>
        <v>0</v>
      </c>
      <c r="V3279" s="33">
        <f>Data!P3294</f>
        <v>0</v>
      </c>
    </row>
    <row r="3280" spans="7:22" x14ac:dyDescent="0.25">
      <c r="G3280">
        <f>Data!A3293</f>
        <v>0</v>
      </c>
      <c r="H3280" s="21">
        <f>Data!B3293</f>
        <v>0</v>
      </c>
      <c r="I3280" s="21">
        <f>Data!C3293</f>
        <v>0</v>
      </c>
      <c r="J3280">
        <f>Data!D3293</f>
        <v>0</v>
      </c>
      <c r="K3280">
        <f>Data!E3293</f>
        <v>0</v>
      </c>
      <c r="L3280">
        <f>Data!F3293</f>
        <v>0</v>
      </c>
      <c r="M3280">
        <f>Data!G3293</f>
        <v>0</v>
      </c>
      <c r="N3280">
        <f>Data!H3293</f>
        <v>0</v>
      </c>
      <c r="O3280">
        <f>Data!I3293</f>
        <v>0</v>
      </c>
      <c r="P3280" s="21">
        <f>Data!J3297</f>
        <v>0</v>
      </c>
      <c r="Q3280">
        <f>Data!K3297</f>
        <v>0</v>
      </c>
      <c r="R3280">
        <f>Data!L3297</f>
        <v>0</v>
      </c>
      <c r="S3280">
        <f>Data!M3297</f>
        <v>0</v>
      </c>
      <c r="T3280">
        <f>Data!N3297</f>
        <v>0</v>
      </c>
      <c r="U3280">
        <f>Data!O3297</f>
        <v>0</v>
      </c>
      <c r="V3280" s="33">
        <f>Data!P3295</f>
        <v>0</v>
      </c>
    </row>
    <row r="3281" spans="7:22" x14ac:dyDescent="0.25">
      <c r="G3281">
        <f>Data!A3294</f>
        <v>0</v>
      </c>
      <c r="H3281" s="21">
        <f>Data!B3294</f>
        <v>0</v>
      </c>
      <c r="I3281" s="21">
        <f>Data!C3294</f>
        <v>0</v>
      </c>
      <c r="J3281">
        <f>Data!D3294</f>
        <v>0</v>
      </c>
      <c r="K3281">
        <f>Data!E3294</f>
        <v>0</v>
      </c>
      <c r="L3281">
        <f>Data!F3294</f>
        <v>0</v>
      </c>
      <c r="M3281">
        <f>Data!G3294</f>
        <v>0</v>
      </c>
      <c r="N3281">
        <f>Data!H3294</f>
        <v>0</v>
      </c>
      <c r="O3281">
        <f>Data!I3294</f>
        <v>0</v>
      </c>
      <c r="P3281" s="21">
        <f>Data!J3298</f>
        <v>0</v>
      </c>
      <c r="Q3281">
        <f>Data!K3298</f>
        <v>0</v>
      </c>
      <c r="R3281">
        <f>Data!L3298</f>
        <v>0</v>
      </c>
      <c r="S3281">
        <f>Data!M3298</f>
        <v>0</v>
      </c>
      <c r="T3281">
        <f>Data!N3298</f>
        <v>0</v>
      </c>
      <c r="U3281">
        <f>Data!O3298</f>
        <v>0</v>
      </c>
      <c r="V3281" s="33">
        <f>Data!P3296</f>
        <v>0</v>
      </c>
    </row>
    <row r="3282" spans="7:22" x14ac:dyDescent="0.25">
      <c r="G3282">
        <f>Data!A3295</f>
        <v>0</v>
      </c>
      <c r="H3282" s="21">
        <f>Data!B3295</f>
        <v>0</v>
      </c>
      <c r="I3282" s="21">
        <f>Data!C3295</f>
        <v>0</v>
      </c>
      <c r="J3282">
        <f>Data!D3295</f>
        <v>0</v>
      </c>
      <c r="K3282">
        <f>Data!E3295</f>
        <v>0</v>
      </c>
      <c r="L3282">
        <f>Data!F3295</f>
        <v>0</v>
      </c>
      <c r="M3282">
        <f>Data!G3295</f>
        <v>0</v>
      </c>
      <c r="N3282">
        <f>Data!H3295</f>
        <v>0</v>
      </c>
      <c r="O3282">
        <f>Data!I3295</f>
        <v>0</v>
      </c>
      <c r="P3282" s="21">
        <f>Data!J3299</f>
        <v>0</v>
      </c>
      <c r="Q3282">
        <f>Data!K3299</f>
        <v>0</v>
      </c>
      <c r="R3282">
        <f>Data!L3299</f>
        <v>0</v>
      </c>
      <c r="S3282">
        <f>Data!M3299</f>
        <v>0</v>
      </c>
      <c r="T3282">
        <f>Data!N3299</f>
        <v>0</v>
      </c>
      <c r="U3282">
        <f>Data!O3299</f>
        <v>0</v>
      </c>
      <c r="V3282" s="33">
        <f>Data!P3297</f>
        <v>0</v>
      </c>
    </row>
    <row r="3283" spans="7:22" x14ac:dyDescent="0.25">
      <c r="G3283">
        <f>Data!A3296</f>
        <v>0</v>
      </c>
      <c r="H3283" s="21">
        <f>Data!B3296</f>
        <v>0</v>
      </c>
      <c r="I3283" s="21">
        <f>Data!C3296</f>
        <v>0</v>
      </c>
      <c r="J3283">
        <f>Data!D3296</f>
        <v>0</v>
      </c>
      <c r="K3283">
        <f>Data!E3296</f>
        <v>0</v>
      </c>
      <c r="L3283">
        <f>Data!F3296</f>
        <v>0</v>
      </c>
      <c r="M3283">
        <f>Data!G3296</f>
        <v>0</v>
      </c>
      <c r="N3283">
        <f>Data!H3296</f>
        <v>0</v>
      </c>
      <c r="O3283">
        <f>Data!I3296</f>
        <v>0</v>
      </c>
      <c r="P3283" s="21">
        <f>Data!J3300</f>
        <v>0</v>
      </c>
      <c r="Q3283">
        <f>Data!K3300</f>
        <v>0</v>
      </c>
      <c r="R3283">
        <f>Data!L3300</f>
        <v>0</v>
      </c>
      <c r="S3283">
        <f>Data!M3300</f>
        <v>0</v>
      </c>
      <c r="T3283">
        <f>Data!N3300</f>
        <v>0</v>
      </c>
      <c r="U3283">
        <f>Data!O3300</f>
        <v>0</v>
      </c>
      <c r="V3283" s="33">
        <f>Data!P3298</f>
        <v>0</v>
      </c>
    </row>
    <row r="3284" spans="7:22" x14ac:dyDescent="0.25">
      <c r="G3284">
        <f>Data!A3297</f>
        <v>0</v>
      </c>
      <c r="H3284" s="21">
        <f>Data!B3297</f>
        <v>0</v>
      </c>
      <c r="I3284" s="21">
        <f>Data!C3297</f>
        <v>0</v>
      </c>
      <c r="J3284">
        <f>Data!D3297</f>
        <v>0</v>
      </c>
      <c r="K3284">
        <f>Data!E3297</f>
        <v>0</v>
      </c>
      <c r="L3284">
        <f>Data!F3297</f>
        <v>0</v>
      </c>
      <c r="M3284">
        <f>Data!G3297</f>
        <v>0</v>
      </c>
      <c r="N3284">
        <f>Data!H3297</f>
        <v>0</v>
      </c>
      <c r="O3284">
        <f>Data!I3297</f>
        <v>0</v>
      </c>
      <c r="P3284" s="21">
        <f>Data!J3301</f>
        <v>0</v>
      </c>
      <c r="Q3284">
        <f>Data!K3301</f>
        <v>0</v>
      </c>
      <c r="R3284">
        <f>Data!L3301</f>
        <v>0</v>
      </c>
      <c r="S3284">
        <f>Data!M3301</f>
        <v>0</v>
      </c>
      <c r="T3284">
        <f>Data!N3301</f>
        <v>0</v>
      </c>
      <c r="U3284">
        <f>Data!O3301</f>
        <v>0</v>
      </c>
      <c r="V3284" s="33">
        <f>Data!P3299</f>
        <v>0</v>
      </c>
    </row>
    <row r="3285" spans="7:22" x14ac:dyDescent="0.25">
      <c r="G3285">
        <f>Data!A3298</f>
        <v>0</v>
      </c>
      <c r="H3285" s="21">
        <f>Data!B3298</f>
        <v>0</v>
      </c>
      <c r="I3285" s="21">
        <f>Data!C3298</f>
        <v>0</v>
      </c>
      <c r="J3285">
        <f>Data!D3298</f>
        <v>0</v>
      </c>
      <c r="K3285">
        <f>Data!E3298</f>
        <v>0</v>
      </c>
      <c r="L3285">
        <f>Data!F3298</f>
        <v>0</v>
      </c>
      <c r="M3285">
        <f>Data!G3298</f>
        <v>0</v>
      </c>
      <c r="N3285">
        <f>Data!H3298</f>
        <v>0</v>
      </c>
      <c r="O3285">
        <f>Data!I3298</f>
        <v>0</v>
      </c>
      <c r="P3285" s="21">
        <f>Data!J3302</f>
        <v>0</v>
      </c>
      <c r="Q3285">
        <f>Data!K3302</f>
        <v>0</v>
      </c>
      <c r="R3285">
        <f>Data!L3302</f>
        <v>0</v>
      </c>
      <c r="S3285">
        <f>Data!M3302</f>
        <v>0</v>
      </c>
      <c r="T3285">
        <f>Data!N3302</f>
        <v>0</v>
      </c>
      <c r="U3285">
        <f>Data!O3302</f>
        <v>0</v>
      </c>
      <c r="V3285" s="33">
        <f>Data!P3300</f>
        <v>0</v>
      </c>
    </row>
    <row r="3286" spans="7:22" x14ac:dyDescent="0.25">
      <c r="G3286">
        <f>Data!A3299</f>
        <v>0</v>
      </c>
      <c r="H3286" s="21">
        <f>Data!B3299</f>
        <v>0</v>
      </c>
      <c r="I3286" s="21">
        <f>Data!C3299</f>
        <v>0</v>
      </c>
      <c r="J3286">
        <f>Data!D3299</f>
        <v>0</v>
      </c>
      <c r="K3286">
        <f>Data!E3299</f>
        <v>0</v>
      </c>
      <c r="L3286">
        <f>Data!F3299</f>
        <v>0</v>
      </c>
      <c r="M3286">
        <f>Data!G3299</f>
        <v>0</v>
      </c>
      <c r="N3286">
        <f>Data!H3299</f>
        <v>0</v>
      </c>
      <c r="O3286">
        <f>Data!I3299</f>
        <v>0</v>
      </c>
      <c r="P3286" s="21">
        <f>Data!J3303</f>
        <v>0</v>
      </c>
      <c r="Q3286">
        <f>Data!K3303</f>
        <v>0</v>
      </c>
      <c r="R3286">
        <f>Data!L3303</f>
        <v>0</v>
      </c>
      <c r="S3286">
        <f>Data!M3303</f>
        <v>0</v>
      </c>
      <c r="T3286">
        <f>Data!N3303</f>
        <v>0</v>
      </c>
      <c r="U3286">
        <f>Data!O3303</f>
        <v>0</v>
      </c>
      <c r="V3286" s="33">
        <f>Data!P3301</f>
        <v>0</v>
      </c>
    </row>
    <row r="3287" spans="7:22" x14ac:dyDescent="0.25">
      <c r="G3287">
        <f>Data!A3300</f>
        <v>0</v>
      </c>
      <c r="H3287" s="21">
        <f>Data!B3300</f>
        <v>0</v>
      </c>
      <c r="I3287" s="21">
        <f>Data!C3300</f>
        <v>0</v>
      </c>
      <c r="J3287">
        <f>Data!D3300</f>
        <v>0</v>
      </c>
      <c r="K3287">
        <f>Data!E3300</f>
        <v>0</v>
      </c>
      <c r="L3287">
        <f>Data!F3300</f>
        <v>0</v>
      </c>
      <c r="M3287">
        <f>Data!G3300</f>
        <v>0</v>
      </c>
      <c r="N3287">
        <f>Data!H3300</f>
        <v>0</v>
      </c>
      <c r="O3287">
        <f>Data!I3300</f>
        <v>0</v>
      </c>
      <c r="P3287" s="21">
        <f>Data!J3304</f>
        <v>0</v>
      </c>
      <c r="Q3287">
        <f>Data!K3304</f>
        <v>0</v>
      </c>
      <c r="R3287">
        <f>Data!L3304</f>
        <v>0</v>
      </c>
      <c r="S3287">
        <f>Data!M3304</f>
        <v>0</v>
      </c>
      <c r="T3287">
        <f>Data!N3304</f>
        <v>0</v>
      </c>
      <c r="U3287">
        <f>Data!O3304</f>
        <v>0</v>
      </c>
      <c r="V3287" s="33">
        <f>Data!P3302</f>
        <v>0</v>
      </c>
    </row>
    <row r="3288" spans="7:22" x14ac:dyDescent="0.25">
      <c r="G3288">
        <f>Data!A3301</f>
        <v>0</v>
      </c>
      <c r="H3288" s="21">
        <f>Data!B3301</f>
        <v>0</v>
      </c>
      <c r="I3288" s="21">
        <f>Data!C3301</f>
        <v>0</v>
      </c>
      <c r="J3288">
        <f>Data!D3301</f>
        <v>0</v>
      </c>
      <c r="K3288">
        <f>Data!E3301</f>
        <v>0</v>
      </c>
      <c r="L3288">
        <f>Data!F3301</f>
        <v>0</v>
      </c>
      <c r="M3288">
        <f>Data!G3301</f>
        <v>0</v>
      </c>
      <c r="N3288">
        <f>Data!H3301</f>
        <v>0</v>
      </c>
      <c r="O3288">
        <f>Data!I3301</f>
        <v>0</v>
      </c>
      <c r="P3288" s="21">
        <f>Data!J3305</f>
        <v>0</v>
      </c>
      <c r="Q3288">
        <f>Data!K3305</f>
        <v>0</v>
      </c>
      <c r="R3288">
        <f>Data!L3305</f>
        <v>0</v>
      </c>
      <c r="S3288">
        <f>Data!M3305</f>
        <v>0</v>
      </c>
      <c r="T3288">
        <f>Data!N3305</f>
        <v>0</v>
      </c>
      <c r="U3288">
        <f>Data!O3305</f>
        <v>0</v>
      </c>
      <c r="V3288" s="33">
        <f>Data!P3303</f>
        <v>0</v>
      </c>
    </row>
    <row r="3289" spans="7:22" x14ac:dyDescent="0.25">
      <c r="G3289">
        <f>Data!A3302</f>
        <v>0</v>
      </c>
      <c r="H3289" s="21">
        <f>Data!B3302</f>
        <v>0</v>
      </c>
      <c r="I3289" s="21">
        <f>Data!C3302</f>
        <v>0</v>
      </c>
      <c r="J3289">
        <f>Data!D3302</f>
        <v>0</v>
      </c>
      <c r="K3289">
        <f>Data!E3302</f>
        <v>0</v>
      </c>
      <c r="L3289">
        <f>Data!F3302</f>
        <v>0</v>
      </c>
      <c r="M3289">
        <f>Data!G3302</f>
        <v>0</v>
      </c>
      <c r="N3289">
        <f>Data!H3302</f>
        <v>0</v>
      </c>
      <c r="O3289">
        <f>Data!I3302</f>
        <v>0</v>
      </c>
      <c r="P3289" s="21">
        <f>Data!J3306</f>
        <v>0</v>
      </c>
      <c r="Q3289">
        <f>Data!K3306</f>
        <v>0</v>
      </c>
      <c r="R3289">
        <f>Data!L3306</f>
        <v>0</v>
      </c>
      <c r="S3289">
        <f>Data!M3306</f>
        <v>0</v>
      </c>
      <c r="T3289">
        <f>Data!N3306</f>
        <v>0</v>
      </c>
      <c r="U3289">
        <f>Data!O3306</f>
        <v>0</v>
      </c>
      <c r="V3289" s="33">
        <f>Data!P3304</f>
        <v>0</v>
      </c>
    </row>
    <row r="3290" spans="7:22" x14ac:dyDescent="0.25">
      <c r="G3290">
        <f>Data!A3303</f>
        <v>0</v>
      </c>
      <c r="H3290" s="21">
        <f>Data!B3303</f>
        <v>0</v>
      </c>
      <c r="I3290" s="21">
        <f>Data!C3303</f>
        <v>0</v>
      </c>
      <c r="J3290">
        <f>Data!D3303</f>
        <v>0</v>
      </c>
      <c r="K3290">
        <f>Data!E3303</f>
        <v>0</v>
      </c>
      <c r="L3290">
        <f>Data!F3303</f>
        <v>0</v>
      </c>
      <c r="M3290">
        <f>Data!G3303</f>
        <v>0</v>
      </c>
      <c r="N3290">
        <f>Data!H3303</f>
        <v>0</v>
      </c>
      <c r="O3290">
        <f>Data!I3303</f>
        <v>0</v>
      </c>
      <c r="P3290" s="21">
        <f>Data!J3307</f>
        <v>0</v>
      </c>
      <c r="Q3290">
        <f>Data!K3307</f>
        <v>0</v>
      </c>
      <c r="R3290">
        <f>Data!L3307</f>
        <v>0</v>
      </c>
      <c r="S3290">
        <f>Data!M3307</f>
        <v>0</v>
      </c>
      <c r="T3290">
        <f>Data!N3307</f>
        <v>0</v>
      </c>
      <c r="U3290">
        <f>Data!O3307</f>
        <v>0</v>
      </c>
      <c r="V3290" s="33">
        <f>Data!P3305</f>
        <v>0</v>
      </c>
    </row>
    <row r="3291" spans="7:22" x14ac:dyDescent="0.25">
      <c r="G3291">
        <f>Data!A3304</f>
        <v>0</v>
      </c>
      <c r="H3291" s="21">
        <f>Data!B3304</f>
        <v>0</v>
      </c>
      <c r="I3291" s="21">
        <f>Data!C3304</f>
        <v>0</v>
      </c>
      <c r="J3291">
        <f>Data!D3304</f>
        <v>0</v>
      </c>
      <c r="K3291">
        <f>Data!E3304</f>
        <v>0</v>
      </c>
      <c r="L3291">
        <f>Data!F3304</f>
        <v>0</v>
      </c>
      <c r="M3291">
        <f>Data!G3304</f>
        <v>0</v>
      </c>
      <c r="N3291">
        <f>Data!H3304</f>
        <v>0</v>
      </c>
      <c r="O3291">
        <f>Data!I3304</f>
        <v>0</v>
      </c>
      <c r="P3291" s="21">
        <f>Data!J3308</f>
        <v>0</v>
      </c>
      <c r="Q3291">
        <f>Data!K3308</f>
        <v>0</v>
      </c>
      <c r="R3291">
        <f>Data!L3308</f>
        <v>0</v>
      </c>
      <c r="S3291">
        <f>Data!M3308</f>
        <v>0</v>
      </c>
      <c r="T3291">
        <f>Data!N3308</f>
        <v>0</v>
      </c>
      <c r="U3291">
        <f>Data!O3308</f>
        <v>0</v>
      </c>
      <c r="V3291" s="33">
        <f>Data!P3306</f>
        <v>0</v>
      </c>
    </row>
    <row r="3292" spans="7:22" x14ac:dyDescent="0.25">
      <c r="G3292">
        <f>Data!A3305</f>
        <v>0</v>
      </c>
      <c r="H3292" s="21">
        <f>Data!B3305</f>
        <v>0</v>
      </c>
      <c r="I3292" s="21">
        <f>Data!C3305</f>
        <v>0</v>
      </c>
      <c r="J3292">
        <f>Data!D3305</f>
        <v>0</v>
      </c>
      <c r="K3292">
        <f>Data!E3305</f>
        <v>0</v>
      </c>
      <c r="L3292">
        <f>Data!F3305</f>
        <v>0</v>
      </c>
      <c r="M3292">
        <f>Data!G3305</f>
        <v>0</v>
      </c>
      <c r="N3292">
        <f>Data!H3305</f>
        <v>0</v>
      </c>
      <c r="O3292">
        <f>Data!I3305</f>
        <v>0</v>
      </c>
      <c r="P3292" s="21">
        <f>Data!J3309</f>
        <v>0</v>
      </c>
      <c r="Q3292">
        <f>Data!K3309</f>
        <v>0</v>
      </c>
      <c r="R3292">
        <f>Data!L3309</f>
        <v>0</v>
      </c>
      <c r="S3292">
        <f>Data!M3309</f>
        <v>0</v>
      </c>
      <c r="T3292">
        <f>Data!N3309</f>
        <v>0</v>
      </c>
      <c r="U3292">
        <f>Data!O3309</f>
        <v>0</v>
      </c>
      <c r="V3292" s="33">
        <f>Data!P3307</f>
        <v>0</v>
      </c>
    </row>
    <row r="3293" spans="7:22" x14ac:dyDescent="0.25">
      <c r="G3293">
        <f>Data!A3306</f>
        <v>0</v>
      </c>
      <c r="H3293" s="21">
        <f>Data!B3306</f>
        <v>0</v>
      </c>
      <c r="I3293" s="21">
        <f>Data!C3306</f>
        <v>0</v>
      </c>
      <c r="J3293">
        <f>Data!D3306</f>
        <v>0</v>
      </c>
      <c r="K3293">
        <f>Data!E3306</f>
        <v>0</v>
      </c>
      <c r="L3293">
        <f>Data!F3306</f>
        <v>0</v>
      </c>
      <c r="M3293">
        <f>Data!G3306</f>
        <v>0</v>
      </c>
      <c r="N3293">
        <f>Data!H3306</f>
        <v>0</v>
      </c>
      <c r="O3293">
        <f>Data!I3306</f>
        <v>0</v>
      </c>
      <c r="P3293" s="21">
        <f>Data!J3310</f>
        <v>0</v>
      </c>
      <c r="Q3293">
        <f>Data!K3310</f>
        <v>0</v>
      </c>
      <c r="R3293">
        <f>Data!L3310</f>
        <v>0</v>
      </c>
      <c r="S3293">
        <f>Data!M3310</f>
        <v>0</v>
      </c>
      <c r="T3293">
        <f>Data!N3310</f>
        <v>0</v>
      </c>
      <c r="U3293">
        <f>Data!O3310</f>
        <v>0</v>
      </c>
      <c r="V3293" s="33">
        <f>Data!P3308</f>
        <v>0</v>
      </c>
    </row>
    <row r="3294" spans="7:22" x14ac:dyDescent="0.25">
      <c r="G3294">
        <f>Data!A3307</f>
        <v>0</v>
      </c>
      <c r="H3294" s="21">
        <f>Data!B3307</f>
        <v>0</v>
      </c>
      <c r="I3294" s="21">
        <f>Data!C3307</f>
        <v>0</v>
      </c>
      <c r="J3294">
        <f>Data!D3307</f>
        <v>0</v>
      </c>
      <c r="K3294">
        <f>Data!E3307</f>
        <v>0</v>
      </c>
      <c r="L3294">
        <f>Data!F3307</f>
        <v>0</v>
      </c>
      <c r="M3294">
        <f>Data!G3307</f>
        <v>0</v>
      </c>
      <c r="N3294">
        <f>Data!H3307</f>
        <v>0</v>
      </c>
      <c r="O3294">
        <f>Data!I3307</f>
        <v>0</v>
      </c>
      <c r="P3294" s="21">
        <f>Data!J3311</f>
        <v>0</v>
      </c>
      <c r="Q3294">
        <f>Data!K3311</f>
        <v>0</v>
      </c>
      <c r="R3294">
        <f>Data!L3311</f>
        <v>0</v>
      </c>
      <c r="S3294">
        <f>Data!M3311</f>
        <v>0</v>
      </c>
      <c r="T3294">
        <f>Data!N3311</f>
        <v>0</v>
      </c>
      <c r="U3294">
        <f>Data!O3311</f>
        <v>0</v>
      </c>
      <c r="V3294" s="33">
        <f>Data!P3309</f>
        <v>0</v>
      </c>
    </row>
    <row r="3295" spans="7:22" x14ac:dyDescent="0.25">
      <c r="G3295">
        <f>Data!A3308</f>
        <v>0</v>
      </c>
      <c r="H3295" s="21">
        <f>Data!B3308</f>
        <v>0</v>
      </c>
      <c r="I3295" s="21">
        <f>Data!C3308</f>
        <v>0</v>
      </c>
      <c r="J3295">
        <f>Data!D3308</f>
        <v>0</v>
      </c>
      <c r="K3295">
        <f>Data!E3308</f>
        <v>0</v>
      </c>
      <c r="L3295">
        <f>Data!F3308</f>
        <v>0</v>
      </c>
      <c r="M3295">
        <f>Data!G3308</f>
        <v>0</v>
      </c>
      <c r="N3295">
        <f>Data!H3308</f>
        <v>0</v>
      </c>
      <c r="O3295">
        <f>Data!I3308</f>
        <v>0</v>
      </c>
      <c r="P3295" s="21">
        <f>Data!J3312</f>
        <v>0</v>
      </c>
      <c r="Q3295">
        <f>Data!K3312</f>
        <v>0</v>
      </c>
      <c r="R3295">
        <f>Data!L3312</f>
        <v>0</v>
      </c>
      <c r="S3295">
        <f>Data!M3312</f>
        <v>0</v>
      </c>
      <c r="T3295">
        <f>Data!N3312</f>
        <v>0</v>
      </c>
      <c r="U3295">
        <f>Data!O3312</f>
        <v>0</v>
      </c>
      <c r="V3295" s="33">
        <f>Data!P3310</f>
        <v>0</v>
      </c>
    </row>
    <row r="3296" spans="7:22" x14ac:dyDescent="0.25">
      <c r="G3296">
        <f>Data!A3309</f>
        <v>0</v>
      </c>
      <c r="H3296" s="21">
        <f>Data!B3309</f>
        <v>0</v>
      </c>
      <c r="I3296" s="21">
        <f>Data!C3309</f>
        <v>0</v>
      </c>
      <c r="J3296">
        <f>Data!D3309</f>
        <v>0</v>
      </c>
      <c r="K3296">
        <f>Data!E3309</f>
        <v>0</v>
      </c>
      <c r="L3296">
        <f>Data!F3309</f>
        <v>0</v>
      </c>
      <c r="M3296">
        <f>Data!G3309</f>
        <v>0</v>
      </c>
      <c r="N3296">
        <f>Data!H3309</f>
        <v>0</v>
      </c>
      <c r="O3296">
        <f>Data!I3309</f>
        <v>0</v>
      </c>
      <c r="P3296" s="21">
        <f>Data!J3313</f>
        <v>0</v>
      </c>
      <c r="Q3296">
        <f>Data!K3313</f>
        <v>0</v>
      </c>
      <c r="R3296">
        <f>Data!L3313</f>
        <v>0</v>
      </c>
      <c r="S3296">
        <f>Data!M3313</f>
        <v>0</v>
      </c>
      <c r="T3296">
        <f>Data!N3313</f>
        <v>0</v>
      </c>
      <c r="U3296">
        <f>Data!O3313</f>
        <v>0</v>
      </c>
      <c r="V3296" s="33">
        <f>Data!P3311</f>
        <v>0</v>
      </c>
    </row>
    <row r="3297" spans="7:22" x14ac:dyDescent="0.25">
      <c r="G3297">
        <f>Data!A3310</f>
        <v>0</v>
      </c>
      <c r="H3297" s="21">
        <f>Data!B3310</f>
        <v>0</v>
      </c>
      <c r="I3297" s="21">
        <f>Data!C3310</f>
        <v>0</v>
      </c>
      <c r="J3297">
        <f>Data!D3310</f>
        <v>0</v>
      </c>
      <c r="K3297">
        <f>Data!E3310</f>
        <v>0</v>
      </c>
      <c r="L3297">
        <f>Data!F3310</f>
        <v>0</v>
      </c>
      <c r="M3297">
        <f>Data!G3310</f>
        <v>0</v>
      </c>
      <c r="N3297">
        <f>Data!H3310</f>
        <v>0</v>
      </c>
      <c r="O3297">
        <f>Data!I3310</f>
        <v>0</v>
      </c>
      <c r="P3297" s="21">
        <f>Data!J3314</f>
        <v>0</v>
      </c>
      <c r="Q3297">
        <f>Data!K3314</f>
        <v>0</v>
      </c>
      <c r="R3297">
        <f>Data!L3314</f>
        <v>0</v>
      </c>
      <c r="S3297">
        <f>Data!M3314</f>
        <v>0</v>
      </c>
      <c r="T3297">
        <f>Data!N3314</f>
        <v>0</v>
      </c>
      <c r="U3297">
        <f>Data!O3314</f>
        <v>0</v>
      </c>
      <c r="V3297" s="33">
        <f>Data!P3312</f>
        <v>0</v>
      </c>
    </row>
    <row r="3298" spans="7:22" x14ac:dyDescent="0.25">
      <c r="G3298">
        <f>Data!A3311</f>
        <v>0</v>
      </c>
      <c r="H3298" s="21">
        <f>Data!B3311</f>
        <v>0</v>
      </c>
      <c r="I3298" s="21">
        <f>Data!C3311</f>
        <v>0</v>
      </c>
      <c r="J3298">
        <f>Data!D3311</f>
        <v>0</v>
      </c>
      <c r="K3298">
        <f>Data!E3311</f>
        <v>0</v>
      </c>
      <c r="L3298">
        <f>Data!F3311</f>
        <v>0</v>
      </c>
      <c r="M3298">
        <f>Data!G3311</f>
        <v>0</v>
      </c>
      <c r="N3298">
        <f>Data!H3311</f>
        <v>0</v>
      </c>
      <c r="O3298">
        <f>Data!I3311</f>
        <v>0</v>
      </c>
      <c r="P3298" s="21">
        <f>Data!J3315</f>
        <v>0</v>
      </c>
      <c r="Q3298">
        <f>Data!K3315</f>
        <v>0</v>
      </c>
      <c r="R3298">
        <f>Data!L3315</f>
        <v>0</v>
      </c>
      <c r="S3298">
        <f>Data!M3315</f>
        <v>0</v>
      </c>
      <c r="T3298">
        <f>Data!N3315</f>
        <v>0</v>
      </c>
      <c r="U3298">
        <f>Data!O3315</f>
        <v>0</v>
      </c>
      <c r="V3298" s="33">
        <f>Data!P3313</f>
        <v>0</v>
      </c>
    </row>
    <row r="3299" spans="7:22" x14ac:dyDescent="0.25">
      <c r="G3299">
        <f>Data!A3312</f>
        <v>0</v>
      </c>
      <c r="H3299" s="21">
        <f>Data!B3312</f>
        <v>0</v>
      </c>
      <c r="I3299" s="21">
        <f>Data!C3312</f>
        <v>0</v>
      </c>
      <c r="J3299">
        <f>Data!D3312</f>
        <v>0</v>
      </c>
      <c r="K3299">
        <f>Data!E3312</f>
        <v>0</v>
      </c>
      <c r="L3299">
        <f>Data!F3312</f>
        <v>0</v>
      </c>
      <c r="M3299">
        <f>Data!G3312</f>
        <v>0</v>
      </c>
      <c r="N3299">
        <f>Data!H3312</f>
        <v>0</v>
      </c>
      <c r="O3299">
        <f>Data!I3312</f>
        <v>0</v>
      </c>
      <c r="P3299" s="21">
        <f>Data!J3316</f>
        <v>0</v>
      </c>
      <c r="Q3299">
        <f>Data!K3316</f>
        <v>0</v>
      </c>
      <c r="R3299">
        <f>Data!L3316</f>
        <v>0</v>
      </c>
      <c r="S3299">
        <f>Data!M3316</f>
        <v>0</v>
      </c>
      <c r="T3299">
        <f>Data!N3316</f>
        <v>0</v>
      </c>
      <c r="U3299">
        <f>Data!O3316</f>
        <v>0</v>
      </c>
      <c r="V3299" s="33">
        <f>Data!P3314</f>
        <v>0</v>
      </c>
    </row>
    <row r="3300" spans="7:22" x14ac:dyDescent="0.25">
      <c r="G3300">
        <f>Data!A3313</f>
        <v>0</v>
      </c>
      <c r="H3300" s="21">
        <f>Data!B3313</f>
        <v>0</v>
      </c>
      <c r="I3300" s="21">
        <f>Data!C3313</f>
        <v>0</v>
      </c>
      <c r="J3300">
        <f>Data!D3313</f>
        <v>0</v>
      </c>
      <c r="K3300">
        <f>Data!E3313</f>
        <v>0</v>
      </c>
      <c r="L3300">
        <f>Data!F3313</f>
        <v>0</v>
      </c>
      <c r="M3300">
        <f>Data!G3313</f>
        <v>0</v>
      </c>
      <c r="N3300">
        <f>Data!H3313</f>
        <v>0</v>
      </c>
      <c r="O3300">
        <f>Data!I3313</f>
        <v>0</v>
      </c>
      <c r="P3300" s="21">
        <f>Data!J3317</f>
        <v>0</v>
      </c>
      <c r="Q3300">
        <f>Data!K3317</f>
        <v>0</v>
      </c>
      <c r="R3300">
        <f>Data!L3317</f>
        <v>0</v>
      </c>
      <c r="S3300">
        <f>Data!M3317</f>
        <v>0</v>
      </c>
      <c r="T3300">
        <f>Data!N3317</f>
        <v>0</v>
      </c>
      <c r="U3300">
        <f>Data!O3317</f>
        <v>0</v>
      </c>
      <c r="V3300" s="33">
        <f>Data!P3315</f>
        <v>0</v>
      </c>
    </row>
    <row r="3301" spans="7:22" x14ac:dyDescent="0.25">
      <c r="G3301">
        <f>Data!A3314</f>
        <v>0</v>
      </c>
      <c r="H3301" s="21">
        <f>Data!B3314</f>
        <v>0</v>
      </c>
      <c r="I3301" s="21">
        <f>Data!C3314</f>
        <v>0</v>
      </c>
      <c r="J3301">
        <f>Data!D3314</f>
        <v>0</v>
      </c>
      <c r="K3301">
        <f>Data!E3314</f>
        <v>0</v>
      </c>
      <c r="L3301">
        <f>Data!F3314</f>
        <v>0</v>
      </c>
      <c r="M3301">
        <f>Data!G3314</f>
        <v>0</v>
      </c>
      <c r="N3301">
        <f>Data!H3314</f>
        <v>0</v>
      </c>
      <c r="O3301">
        <f>Data!I3314</f>
        <v>0</v>
      </c>
      <c r="P3301" s="21">
        <f>Data!J3318</f>
        <v>0</v>
      </c>
      <c r="Q3301">
        <f>Data!K3318</f>
        <v>0</v>
      </c>
      <c r="R3301">
        <f>Data!L3318</f>
        <v>0</v>
      </c>
      <c r="S3301">
        <f>Data!M3318</f>
        <v>0</v>
      </c>
      <c r="T3301">
        <f>Data!N3318</f>
        <v>0</v>
      </c>
      <c r="U3301">
        <f>Data!O3318</f>
        <v>0</v>
      </c>
      <c r="V3301" s="33">
        <f>Data!P3316</f>
        <v>0</v>
      </c>
    </row>
    <row r="3302" spans="7:22" x14ac:dyDescent="0.25">
      <c r="G3302">
        <f>Data!A3315</f>
        <v>0</v>
      </c>
      <c r="H3302" s="21">
        <f>Data!B3315</f>
        <v>0</v>
      </c>
      <c r="I3302" s="21">
        <f>Data!C3315</f>
        <v>0</v>
      </c>
      <c r="J3302">
        <f>Data!D3315</f>
        <v>0</v>
      </c>
      <c r="K3302">
        <f>Data!E3315</f>
        <v>0</v>
      </c>
      <c r="L3302">
        <f>Data!F3315</f>
        <v>0</v>
      </c>
      <c r="M3302">
        <f>Data!G3315</f>
        <v>0</v>
      </c>
      <c r="N3302">
        <f>Data!H3315</f>
        <v>0</v>
      </c>
      <c r="O3302">
        <f>Data!I3315</f>
        <v>0</v>
      </c>
      <c r="P3302" s="21">
        <f>Data!J3319</f>
        <v>0</v>
      </c>
      <c r="Q3302">
        <f>Data!K3319</f>
        <v>0</v>
      </c>
      <c r="R3302">
        <f>Data!L3319</f>
        <v>0</v>
      </c>
      <c r="S3302">
        <f>Data!M3319</f>
        <v>0</v>
      </c>
      <c r="T3302">
        <f>Data!N3319</f>
        <v>0</v>
      </c>
      <c r="U3302">
        <f>Data!O3319</f>
        <v>0</v>
      </c>
      <c r="V3302" s="33">
        <f>Data!P3317</f>
        <v>0</v>
      </c>
    </row>
    <row r="3303" spans="7:22" x14ac:dyDescent="0.25">
      <c r="G3303">
        <f>Data!A3316</f>
        <v>0</v>
      </c>
      <c r="H3303" s="21">
        <f>Data!B3316</f>
        <v>0</v>
      </c>
      <c r="I3303" s="21">
        <f>Data!C3316</f>
        <v>0</v>
      </c>
      <c r="J3303">
        <f>Data!D3316</f>
        <v>0</v>
      </c>
      <c r="K3303">
        <f>Data!E3316</f>
        <v>0</v>
      </c>
      <c r="L3303">
        <f>Data!F3316</f>
        <v>0</v>
      </c>
      <c r="M3303">
        <f>Data!G3316</f>
        <v>0</v>
      </c>
      <c r="N3303">
        <f>Data!H3316</f>
        <v>0</v>
      </c>
      <c r="O3303">
        <f>Data!I3316</f>
        <v>0</v>
      </c>
      <c r="P3303" s="21">
        <f>Data!J3320</f>
        <v>0</v>
      </c>
      <c r="Q3303">
        <f>Data!K3320</f>
        <v>0</v>
      </c>
      <c r="R3303">
        <f>Data!L3320</f>
        <v>0</v>
      </c>
      <c r="S3303">
        <f>Data!M3320</f>
        <v>0</v>
      </c>
      <c r="T3303">
        <f>Data!N3320</f>
        <v>0</v>
      </c>
      <c r="U3303">
        <f>Data!O3320</f>
        <v>0</v>
      </c>
      <c r="V3303" s="33">
        <f>Data!P3318</f>
        <v>0</v>
      </c>
    </row>
    <row r="3304" spans="7:22" x14ac:dyDescent="0.25">
      <c r="G3304">
        <f>Data!A3317</f>
        <v>0</v>
      </c>
      <c r="H3304" s="21">
        <f>Data!B3317</f>
        <v>0</v>
      </c>
      <c r="I3304" s="21">
        <f>Data!C3317</f>
        <v>0</v>
      </c>
      <c r="J3304">
        <f>Data!D3317</f>
        <v>0</v>
      </c>
      <c r="K3304">
        <f>Data!E3317</f>
        <v>0</v>
      </c>
      <c r="L3304">
        <f>Data!F3317</f>
        <v>0</v>
      </c>
      <c r="M3304">
        <f>Data!G3317</f>
        <v>0</v>
      </c>
      <c r="N3304">
        <f>Data!H3317</f>
        <v>0</v>
      </c>
      <c r="O3304">
        <f>Data!I3317</f>
        <v>0</v>
      </c>
      <c r="P3304" s="21">
        <f>Data!J3321</f>
        <v>0</v>
      </c>
      <c r="Q3304">
        <f>Data!K3321</f>
        <v>0</v>
      </c>
      <c r="R3304">
        <f>Data!L3321</f>
        <v>0</v>
      </c>
      <c r="S3304">
        <f>Data!M3321</f>
        <v>0</v>
      </c>
      <c r="T3304">
        <f>Data!N3321</f>
        <v>0</v>
      </c>
      <c r="U3304">
        <f>Data!O3321</f>
        <v>0</v>
      </c>
      <c r="V3304" s="33">
        <f>Data!P3319</f>
        <v>0</v>
      </c>
    </row>
    <row r="3305" spans="7:22" x14ac:dyDescent="0.25">
      <c r="G3305">
        <f>Data!A3318</f>
        <v>0</v>
      </c>
      <c r="H3305" s="21">
        <f>Data!B3318</f>
        <v>0</v>
      </c>
      <c r="I3305" s="21">
        <f>Data!C3318</f>
        <v>0</v>
      </c>
      <c r="J3305">
        <f>Data!D3318</f>
        <v>0</v>
      </c>
      <c r="K3305">
        <f>Data!E3318</f>
        <v>0</v>
      </c>
      <c r="L3305">
        <f>Data!F3318</f>
        <v>0</v>
      </c>
      <c r="M3305">
        <f>Data!G3318</f>
        <v>0</v>
      </c>
      <c r="N3305">
        <f>Data!H3318</f>
        <v>0</v>
      </c>
      <c r="O3305">
        <f>Data!I3318</f>
        <v>0</v>
      </c>
      <c r="P3305" s="21">
        <f>Data!J3322</f>
        <v>0</v>
      </c>
      <c r="Q3305">
        <f>Data!K3322</f>
        <v>0</v>
      </c>
      <c r="R3305">
        <f>Data!L3322</f>
        <v>0</v>
      </c>
      <c r="S3305">
        <f>Data!M3322</f>
        <v>0</v>
      </c>
      <c r="T3305">
        <f>Data!N3322</f>
        <v>0</v>
      </c>
      <c r="U3305">
        <f>Data!O3322</f>
        <v>0</v>
      </c>
      <c r="V3305" s="33">
        <f>Data!P3320</f>
        <v>0</v>
      </c>
    </row>
    <row r="3306" spans="7:22" x14ac:dyDescent="0.25">
      <c r="G3306">
        <f>Data!A3319</f>
        <v>0</v>
      </c>
      <c r="H3306" s="21">
        <f>Data!B3319</f>
        <v>0</v>
      </c>
      <c r="I3306" s="21">
        <f>Data!C3319</f>
        <v>0</v>
      </c>
      <c r="J3306">
        <f>Data!D3319</f>
        <v>0</v>
      </c>
      <c r="K3306">
        <f>Data!E3319</f>
        <v>0</v>
      </c>
      <c r="L3306">
        <f>Data!F3319</f>
        <v>0</v>
      </c>
      <c r="M3306">
        <f>Data!G3319</f>
        <v>0</v>
      </c>
      <c r="N3306">
        <f>Data!H3319</f>
        <v>0</v>
      </c>
      <c r="O3306">
        <f>Data!I3319</f>
        <v>0</v>
      </c>
      <c r="P3306" s="21">
        <f>Data!J3323</f>
        <v>0</v>
      </c>
      <c r="Q3306">
        <f>Data!K3323</f>
        <v>0</v>
      </c>
      <c r="R3306">
        <f>Data!L3323</f>
        <v>0</v>
      </c>
      <c r="S3306">
        <f>Data!M3323</f>
        <v>0</v>
      </c>
      <c r="T3306">
        <f>Data!N3323</f>
        <v>0</v>
      </c>
      <c r="U3306">
        <f>Data!O3323</f>
        <v>0</v>
      </c>
      <c r="V3306" s="33">
        <f>Data!P3321</f>
        <v>0</v>
      </c>
    </row>
    <row r="3307" spans="7:22" x14ac:dyDescent="0.25">
      <c r="G3307">
        <f>Data!A3320</f>
        <v>0</v>
      </c>
      <c r="H3307" s="21">
        <f>Data!B3320</f>
        <v>0</v>
      </c>
      <c r="I3307" s="21">
        <f>Data!C3320</f>
        <v>0</v>
      </c>
      <c r="J3307">
        <f>Data!D3320</f>
        <v>0</v>
      </c>
      <c r="K3307">
        <f>Data!E3320</f>
        <v>0</v>
      </c>
      <c r="L3307">
        <f>Data!F3320</f>
        <v>0</v>
      </c>
      <c r="M3307">
        <f>Data!G3320</f>
        <v>0</v>
      </c>
      <c r="N3307">
        <f>Data!H3320</f>
        <v>0</v>
      </c>
      <c r="O3307">
        <f>Data!I3320</f>
        <v>0</v>
      </c>
      <c r="P3307" s="21">
        <f>Data!J3324</f>
        <v>0</v>
      </c>
      <c r="Q3307">
        <f>Data!K3324</f>
        <v>0</v>
      </c>
      <c r="R3307">
        <f>Data!L3324</f>
        <v>0</v>
      </c>
      <c r="S3307">
        <f>Data!M3324</f>
        <v>0</v>
      </c>
      <c r="T3307">
        <f>Data!N3324</f>
        <v>0</v>
      </c>
      <c r="U3307">
        <f>Data!O3324</f>
        <v>0</v>
      </c>
      <c r="V3307" s="33">
        <f>Data!P3322</f>
        <v>0</v>
      </c>
    </row>
    <row r="3308" spans="7:22" x14ac:dyDescent="0.25">
      <c r="G3308">
        <f>Data!A3321</f>
        <v>0</v>
      </c>
      <c r="H3308" s="21">
        <f>Data!B3321</f>
        <v>0</v>
      </c>
      <c r="I3308" s="21">
        <f>Data!C3321</f>
        <v>0</v>
      </c>
      <c r="J3308">
        <f>Data!D3321</f>
        <v>0</v>
      </c>
      <c r="K3308">
        <f>Data!E3321</f>
        <v>0</v>
      </c>
      <c r="L3308">
        <f>Data!F3321</f>
        <v>0</v>
      </c>
      <c r="M3308">
        <f>Data!G3321</f>
        <v>0</v>
      </c>
      <c r="N3308">
        <f>Data!H3321</f>
        <v>0</v>
      </c>
      <c r="O3308">
        <f>Data!I3321</f>
        <v>0</v>
      </c>
      <c r="P3308" s="21">
        <f>Data!J3325</f>
        <v>0</v>
      </c>
      <c r="Q3308">
        <f>Data!K3325</f>
        <v>0</v>
      </c>
      <c r="R3308">
        <f>Data!L3325</f>
        <v>0</v>
      </c>
      <c r="S3308">
        <f>Data!M3325</f>
        <v>0</v>
      </c>
      <c r="T3308">
        <f>Data!N3325</f>
        <v>0</v>
      </c>
      <c r="U3308">
        <f>Data!O3325</f>
        <v>0</v>
      </c>
      <c r="V3308" s="33">
        <f>Data!P3323</f>
        <v>0</v>
      </c>
    </row>
    <row r="3309" spans="7:22" x14ac:dyDescent="0.25">
      <c r="G3309">
        <f>Data!A3322</f>
        <v>0</v>
      </c>
      <c r="H3309" s="21">
        <f>Data!B3322</f>
        <v>0</v>
      </c>
      <c r="I3309" s="21">
        <f>Data!C3322</f>
        <v>0</v>
      </c>
      <c r="J3309">
        <f>Data!D3322</f>
        <v>0</v>
      </c>
      <c r="K3309">
        <f>Data!E3322</f>
        <v>0</v>
      </c>
      <c r="L3309">
        <f>Data!F3322</f>
        <v>0</v>
      </c>
      <c r="M3309">
        <f>Data!G3322</f>
        <v>0</v>
      </c>
      <c r="N3309">
        <f>Data!H3322</f>
        <v>0</v>
      </c>
      <c r="O3309">
        <f>Data!I3322</f>
        <v>0</v>
      </c>
      <c r="P3309" s="21">
        <f>Data!J3326</f>
        <v>0</v>
      </c>
      <c r="Q3309">
        <f>Data!K3326</f>
        <v>0</v>
      </c>
      <c r="R3309">
        <f>Data!L3326</f>
        <v>0</v>
      </c>
      <c r="S3309">
        <f>Data!M3326</f>
        <v>0</v>
      </c>
      <c r="T3309">
        <f>Data!N3326</f>
        <v>0</v>
      </c>
      <c r="U3309">
        <f>Data!O3326</f>
        <v>0</v>
      </c>
      <c r="V3309" s="33">
        <f>Data!P3324</f>
        <v>0</v>
      </c>
    </row>
    <row r="3310" spans="7:22" x14ac:dyDescent="0.25">
      <c r="G3310">
        <f>Data!A3323</f>
        <v>0</v>
      </c>
      <c r="H3310" s="21">
        <f>Data!B3323</f>
        <v>0</v>
      </c>
      <c r="I3310" s="21">
        <f>Data!C3323</f>
        <v>0</v>
      </c>
      <c r="J3310">
        <f>Data!D3323</f>
        <v>0</v>
      </c>
      <c r="K3310">
        <f>Data!E3323</f>
        <v>0</v>
      </c>
      <c r="L3310">
        <f>Data!F3323</f>
        <v>0</v>
      </c>
      <c r="M3310">
        <f>Data!G3323</f>
        <v>0</v>
      </c>
      <c r="N3310">
        <f>Data!H3323</f>
        <v>0</v>
      </c>
      <c r="O3310">
        <f>Data!I3323</f>
        <v>0</v>
      </c>
      <c r="P3310" s="21">
        <f>Data!J3327</f>
        <v>0</v>
      </c>
      <c r="Q3310">
        <f>Data!K3327</f>
        <v>0</v>
      </c>
      <c r="R3310">
        <f>Data!L3327</f>
        <v>0</v>
      </c>
      <c r="S3310">
        <f>Data!M3327</f>
        <v>0</v>
      </c>
      <c r="T3310">
        <f>Data!N3327</f>
        <v>0</v>
      </c>
      <c r="U3310">
        <f>Data!O3327</f>
        <v>0</v>
      </c>
      <c r="V3310" s="33">
        <f>Data!P3325</f>
        <v>0</v>
      </c>
    </row>
    <row r="3311" spans="7:22" x14ac:dyDescent="0.25">
      <c r="G3311">
        <f>Data!A3324</f>
        <v>0</v>
      </c>
      <c r="H3311" s="21">
        <f>Data!B3324</f>
        <v>0</v>
      </c>
      <c r="I3311" s="21">
        <f>Data!C3324</f>
        <v>0</v>
      </c>
      <c r="J3311">
        <f>Data!D3324</f>
        <v>0</v>
      </c>
      <c r="K3311">
        <f>Data!E3324</f>
        <v>0</v>
      </c>
      <c r="L3311">
        <f>Data!F3324</f>
        <v>0</v>
      </c>
      <c r="M3311">
        <f>Data!G3324</f>
        <v>0</v>
      </c>
      <c r="N3311">
        <f>Data!H3324</f>
        <v>0</v>
      </c>
      <c r="O3311">
        <f>Data!I3324</f>
        <v>0</v>
      </c>
      <c r="P3311" s="21">
        <f>Data!J3328</f>
        <v>0</v>
      </c>
      <c r="Q3311">
        <f>Data!K3328</f>
        <v>0</v>
      </c>
      <c r="R3311">
        <f>Data!L3328</f>
        <v>0</v>
      </c>
      <c r="S3311">
        <f>Data!M3328</f>
        <v>0</v>
      </c>
      <c r="T3311">
        <f>Data!N3328</f>
        <v>0</v>
      </c>
      <c r="U3311">
        <f>Data!O3328</f>
        <v>0</v>
      </c>
      <c r="V3311" s="33">
        <f>Data!P3326</f>
        <v>0</v>
      </c>
    </row>
    <row r="3312" spans="7:22" x14ac:dyDescent="0.25">
      <c r="G3312">
        <f>Data!A3325</f>
        <v>0</v>
      </c>
      <c r="H3312" s="21">
        <f>Data!B3325</f>
        <v>0</v>
      </c>
      <c r="I3312" s="21">
        <f>Data!C3325</f>
        <v>0</v>
      </c>
      <c r="J3312">
        <f>Data!D3325</f>
        <v>0</v>
      </c>
      <c r="K3312">
        <f>Data!E3325</f>
        <v>0</v>
      </c>
      <c r="L3312">
        <f>Data!F3325</f>
        <v>0</v>
      </c>
      <c r="M3312">
        <f>Data!G3325</f>
        <v>0</v>
      </c>
      <c r="N3312">
        <f>Data!H3325</f>
        <v>0</v>
      </c>
      <c r="O3312">
        <f>Data!I3325</f>
        <v>0</v>
      </c>
      <c r="P3312" s="21">
        <f>Data!J3329</f>
        <v>0</v>
      </c>
      <c r="Q3312">
        <f>Data!K3329</f>
        <v>0</v>
      </c>
      <c r="R3312">
        <f>Data!L3329</f>
        <v>0</v>
      </c>
      <c r="S3312">
        <f>Data!M3329</f>
        <v>0</v>
      </c>
      <c r="T3312">
        <f>Data!N3329</f>
        <v>0</v>
      </c>
      <c r="U3312">
        <f>Data!O3329</f>
        <v>0</v>
      </c>
      <c r="V3312" s="33">
        <f>Data!P3327</f>
        <v>0</v>
      </c>
    </row>
    <row r="3313" spans="7:22" x14ac:dyDescent="0.25">
      <c r="G3313">
        <f>Data!A3326</f>
        <v>0</v>
      </c>
      <c r="H3313" s="21">
        <f>Data!B3326</f>
        <v>0</v>
      </c>
      <c r="I3313" s="21">
        <f>Data!C3326</f>
        <v>0</v>
      </c>
      <c r="J3313">
        <f>Data!D3326</f>
        <v>0</v>
      </c>
      <c r="K3313">
        <f>Data!E3326</f>
        <v>0</v>
      </c>
      <c r="L3313">
        <f>Data!F3326</f>
        <v>0</v>
      </c>
      <c r="M3313">
        <f>Data!G3326</f>
        <v>0</v>
      </c>
      <c r="N3313">
        <f>Data!H3326</f>
        <v>0</v>
      </c>
      <c r="O3313">
        <f>Data!I3326</f>
        <v>0</v>
      </c>
      <c r="P3313" s="21">
        <f>Data!J3330</f>
        <v>0</v>
      </c>
      <c r="Q3313">
        <f>Data!K3330</f>
        <v>0</v>
      </c>
      <c r="R3313">
        <f>Data!L3330</f>
        <v>0</v>
      </c>
      <c r="S3313">
        <f>Data!M3330</f>
        <v>0</v>
      </c>
      <c r="T3313">
        <f>Data!N3330</f>
        <v>0</v>
      </c>
      <c r="U3313">
        <f>Data!O3330</f>
        <v>0</v>
      </c>
      <c r="V3313" s="33">
        <f>Data!P3328</f>
        <v>0</v>
      </c>
    </row>
    <row r="3314" spans="7:22" x14ac:dyDescent="0.25">
      <c r="G3314">
        <f>Data!A3327</f>
        <v>0</v>
      </c>
      <c r="H3314" s="21">
        <f>Data!B3327</f>
        <v>0</v>
      </c>
      <c r="I3314" s="21">
        <f>Data!C3327</f>
        <v>0</v>
      </c>
      <c r="J3314">
        <f>Data!D3327</f>
        <v>0</v>
      </c>
      <c r="K3314">
        <f>Data!E3327</f>
        <v>0</v>
      </c>
      <c r="L3314">
        <f>Data!F3327</f>
        <v>0</v>
      </c>
      <c r="M3314">
        <f>Data!G3327</f>
        <v>0</v>
      </c>
      <c r="N3314">
        <f>Data!H3327</f>
        <v>0</v>
      </c>
      <c r="O3314">
        <f>Data!I3327</f>
        <v>0</v>
      </c>
      <c r="P3314" s="21">
        <f>Data!J3331</f>
        <v>0</v>
      </c>
      <c r="Q3314">
        <f>Data!K3331</f>
        <v>0</v>
      </c>
      <c r="R3314">
        <f>Data!L3331</f>
        <v>0</v>
      </c>
      <c r="S3314">
        <f>Data!M3331</f>
        <v>0</v>
      </c>
      <c r="T3314">
        <f>Data!N3331</f>
        <v>0</v>
      </c>
      <c r="U3314">
        <f>Data!O3331</f>
        <v>0</v>
      </c>
      <c r="V3314" s="33">
        <f>Data!P3329</f>
        <v>0</v>
      </c>
    </row>
    <row r="3315" spans="7:22" x14ac:dyDescent="0.25">
      <c r="G3315">
        <f>Data!A3328</f>
        <v>0</v>
      </c>
      <c r="H3315" s="21">
        <f>Data!B3328</f>
        <v>0</v>
      </c>
      <c r="I3315" s="21">
        <f>Data!C3328</f>
        <v>0</v>
      </c>
      <c r="J3315">
        <f>Data!D3328</f>
        <v>0</v>
      </c>
      <c r="K3315">
        <f>Data!E3328</f>
        <v>0</v>
      </c>
      <c r="L3315">
        <f>Data!F3328</f>
        <v>0</v>
      </c>
      <c r="M3315">
        <f>Data!G3328</f>
        <v>0</v>
      </c>
      <c r="N3315">
        <f>Data!H3328</f>
        <v>0</v>
      </c>
      <c r="O3315">
        <f>Data!I3328</f>
        <v>0</v>
      </c>
      <c r="P3315" s="21">
        <f>Data!J3332</f>
        <v>0</v>
      </c>
      <c r="Q3315">
        <f>Data!K3332</f>
        <v>0</v>
      </c>
      <c r="R3315">
        <f>Data!L3332</f>
        <v>0</v>
      </c>
      <c r="S3315">
        <f>Data!M3332</f>
        <v>0</v>
      </c>
      <c r="T3315">
        <f>Data!N3332</f>
        <v>0</v>
      </c>
      <c r="U3315">
        <f>Data!O3332</f>
        <v>0</v>
      </c>
      <c r="V3315" s="33">
        <f>Data!P3330</f>
        <v>0</v>
      </c>
    </row>
    <row r="3316" spans="7:22" x14ac:dyDescent="0.25">
      <c r="G3316">
        <f>Data!A3329</f>
        <v>0</v>
      </c>
      <c r="H3316" s="21">
        <f>Data!B3329</f>
        <v>0</v>
      </c>
      <c r="I3316" s="21">
        <f>Data!C3329</f>
        <v>0</v>
      </c>
      <c r="J3316">
        <f>Data!D3329</f>
        <v>0</v>
      </c>
      <c r="K3316">
        <f>Data!E3329</f>
        <v>0</v>
      </c>
      <c r="L3316">
        <f>Data!F3329</f>
        <v>0</v>
      </c>
      <c r="M3316">
        <f>Data!G3329</f>
        <v>0</v>
      </c>
      <c r="N3316">
        <f>Data!H3329</f>
        <v>0</v>
      </c>
      <c r="O3316">
        <f>Data!I3329</f>
        <v>0</v>
      </c>
      <c r="P3316" s="21">
        <f>Data!J3333</f>
        <v>0</v>
      </c>
      <c r="Q3316">
        <f>Data!K3333</f>
        <v>0</v>
      </c>
      <c r="R3316">
        <f>Data!L3333</f>
        <v>0</v>
      </c>
      <c r="S3316">
        <f>Data!M3333</f>
        <v>0</v>
      </c>
      <c r="T3316">
        <f>Data!N3333</f>
        <v>0</v>
      </c>
      <c r="U3316">
        <f>Data!O3333</f>
        <v>0</v>
      </c>
      <c r="V3316" s="33">
        <f>Data!P3331</f>
        <v>0</v>
      </c>
    </row>
    <row r="3317" spans="7:22" x14ac:dyDescent="0.25">
      <c r="G3317">
        <f>Data!A3330</f>
        <v>0</v>
      </c>
      <c r="H3317" s="21">
        <f>Data!B3330</f>
        <v>0</v>
      </c>
      <c r="I3317" s="21">
        <f>Data!C3330</f>
        <v>0</v>
      </c>
      <c r="J3317">
        <f>Data!D3330</f>
        <v>0</v>
      </c>
      <c r="K3317">
        <f>Data!E3330</f>
        <v>0</v>
      </c>
      <c r="L3317">
        <f>Data!F3330</f>
        <v>0</v>
      </c>
      <c r="M3317">
        <f>Data!G3330</f>
        <v>0</v>
      </c>
      <c r="N3317">
        <f>Data!H3330</f>
        <v>0</v>
      </c>
      <c r="O3317">
        <f>Data!I3330</f>
        <v>0</v>
      </c>
      <c r="P3317" s="21">
        <f>Data!J3334</f>
        <v>0</v>
      </c>
      <c r="Q3317">
        <f>Data!K3334</f>
        <v>0</v>
      </c>
      <c r="R3317">
        <f>Data!L3334</f>
        <v>0</v>
      </c>
      <c r="S3317">
        <f>Data!M3334</f>
        <v>0</v>
      </c>
      <c r="T3317">
        <f>Data!N3334</f>
        <v>0</v>
      </c>
      <c r="U3317">
        <f>Data!O3334</f>
        <v>0</v>
      </c>
      <c r="V3317" s="33">
        <f>Data!P3332</f>
        <v>0</v>
      </c>
    </row>
    <row r="3318" spans="7:22" x14ac:dyDescent="0.25">
      <c r="G3318">
        <f>Data!A3331</f>
        <v>0</v>
      </c>
      <c r="H3318" s="21">
        <f>Data!B3331</f>
        <v>0</v>
      </c>
      <c r="I3318" s="21">
        <f>Data!C3331</f>
        <v>0</v>
      </c>
      <c r="J3318">
        <f>Data!D3331</f>
        <v>0</v>
      </c>
      <c r="K3318">
        <f>Data!E3331</f>
        <v>0</v>
      </c>
      <c r="L3318">
        <f>Data!F3331</f>
        <v>0</v>
      </c>
      <c r="M3318">
        <f>Data!G3331</f>
        <v>0</v>
      </c>
      <c r="N3318">
        <f>Data!H3331</f>
        <v>0</v>
      </c>
      <c r="O3318">
        <f>Data!I3331</f>
        <v>0</v>
      </c>
      <c r="P3318" s="21">
        <f>Data!J3335</f>
        <v>0</v>
      </c>
      <c r="Q3318">
        <f>Data!K3335</f>
        <v>0</v>
      </c>
      <c r="R3318">
        <f>Data!L3335</f>
        <v>0</v>
      </c>
      <c r="S3318">
        <f>Data!M3335</f>
        <v>0</v>
      </c>
      <c r="T3318">
        <f>Data!N3335</f>
        <v>0</v>
      </c>
      <c r="U3318">
        <f>Data!O3335</f>
        <v>0</v>
      </c>
      <c r="V3318" s="33">
        <f>Data!P3333</f>
        <v>0</v>
      </c>
    </row>
    <row r="3319" spans="7:22" x14ac:dyDescent="0.25">
      <c r="G3319">
        <f>Data!A3332</f>
        <v>0</v>
      </c>
      <c r="H3319" s="21">
        <f>Data!B3332</f>
        <v>0</v>
      </c>
      <c r="I3319" s="21">
        <f>Data!C3332</f>
        <v>0</v>
      </c>
      <c r="J3319">
        <f>Data!D3332</f>
        <v>0</v>
      </c>
      <c r="K3319">
        <f>Data!E3332</f>
        <v>0</v>
      </c>
      <c r="L3319">
        <f>Data!F3332</f>
        <v>0</v>
      </c>
      <c r="M3319">
        <f>Data!G3332</f>
        <v>0</v>
      </c>
      <c r="N3319">
        <f>Data!H3332</f>
        <v>0</v>
      </c>
      <c r="O3319">
        <f>Data!I3332</f>
        <v>0</v>
      </c>
      <c r="P3319" s="21">
        <f>Data!J3336</f>
        <v>0</v>
      </c>
      <c r="Q3319">
        <f>Data!K3336</f>
        <v>0</v>
      </c>
      <c r="R3319">
        <f>Data!L3336</f>
        <v>0</v>
      </c>
      <c r="S3319">
        <f>Data!M3336</f>
        <v>0</v>
      </c>
      <c r="T3319">
        <f>Data!N3336</f>
        <v>0</v>
      </c>
      <c r="U3319">
        <f>Data!O3336</f>
        <v>0</v>
      </c>
      <c r="V3319" s="33">
        <f>Data!P3334</f>
        <v>0</v>
      </c>
    </row>
    <row r="3320" spans="7:22" x14ac:dyDescent="0.25">
      <c r="G3320">
        <f>Data!A3333</f>
        <v>0</v>
      </c>
      <c r="H3320" s="21">
        <f>Data!B3333</f>
        <v>0</v>
      </c>
      <c r="I3320" s="21">
        <f>Data!C3333</f>
        <v>0</v>
      </c>
      <c r="J3320">
        <f>Data!D3333</f>
        <v>0</v>
      </c>
      <c r="K3320">
        <f>Data!E3333</f>
        <v>0</v>
      </c>
      <c r="L3320">
        <f>Data!F3333</f>
        <v>0</v>
      </c>
      <c r="M3320">
        <f>Data!G3333</f>
        <v>0</v>
      </c>
      <c r="N3320">
        <f>Data!H3333</f>
        <v>0</v>
      </c>
      <c r="O3320">
        <f>Data!I3333</f>
        <v>0</v>
      </c>
      <c r="P3320" s="21">
        <f>Data!J3337</f>
        <v>0</v>
      </c>
      <c r="Q3320">
        <f>Data!K3337</f>
        <v>0</v>
      </c>
      <c r="R3320">
        <f>Data!L3337</f>
        <v>0</v>
      </c>
      <c r="S3320">
        <f>Data!M3337</f>
        <v>0</v>
      </c>
      <c r="T3320">
        <f>Data!N3337</f>
        <v>0</v>
      </c>
      <c r="U3320">
        <f>Data!O3337</f>
        <v>0</v>
      </c>
      <c r="V3320" s="33">
        <f>Data!P3335</f>
        <v>0</v>
      </c>
    </row>
    <row r="3321" spans="7:22" x14ac:dyDescent="0.25">
      <c r="G3321">
        <f>Data!A3334</f>
        <v>0</v>
      </c>
      <c r="H3321" s="21">
        <f>Data!B3334</f>
        <v>0</v>
      </c>
      <c r="I3321" s="21">
        <f>Data!C3334</f>
        <v>0</v>
      </c>
      <c r="J3321">
        <f>Data!D3334</f>
        <v>0</v>
      </c>
      <c r="K3321">
        <f>Data!E3334</f>
        <v>0</v>
      </c>
      <c r="L3321">
        <f>Data!F3334</f>
        <v>0</v>
      </c>
      <c r="M3321">
        <f>Data!G3334</f>
        <v>0</v>
      </c>
      <c r="N3321">
        <f>Data!H3334</f>
        <v>0</v>
      </c>
      <c r="O3321">
        <f>Data!I3334</f>
        <v>0</v>
      </c>
      <c r="P3321" s="21">
        <f>Data!J3338</f>
        <v>0</v>
      </c>
      <c r="Q3321">
        <f>Data!K3338</f>
        <v>0</v>
      </c>
      <c r="R3321">
        <f>Data!L3338</f>
        <v>0</v>
      </c>
      <c r="S3321">
        <f>Data!M3338</f>
        <v>0</v>
      </c>
      <c r="T3321">
        <f>Data!N3338</f>
        <v>0</v>
      </c>
      <c r="U3321">
        <f>Data!O3338</f>
        <v>0</v>
      </c>
      <c r="V3321" s="33">
        <f>Data!P3336</f>
        <v>0</v>
      </c>
    </row>
    <row r="3322" spans="7:22" x14ac:dyDescent="0.25">
      <c r="G3322">
        <f>Data!A3335</f>
        <v>0</v>
      </c>
      <c r="H3322" s="21">
        <f>Data!B3335</f>
        <v>0</v>
      </c>
      <c r="I3322" s="21">
        <f>Data!C3335</f>
        <v>0</v>
      </c>
      <c r="J3322">
        <f>Data!D3335</f>
        <v>0</v>
      </c>
      <c r="K3322">
        <f>Data!E3335</f>
        <v>0</v>
      </c>
      <c r="L3322">
        <f>Data!F3335</f>
        <v>0</v>
      </c>
      <c r="M3322">
        <f>Data!G3335</f>
        <v>0</v>
      </c>
      <c r="N3322">
        <f>Data!H3335</f>
        <v>0</v>
      </c>
      <c r="O3322">
        <f>Data!I3335</f>
        <v>0</v>
      </c>
      <c r="P3322" s="21">
        <f>Data!J3339</f>
        <v>0</v>
      </c>
      <c r="Q3322">
        <f>Data!K3339</f>
        <v>0</v>
      </c>
      <c r="R3322">
        <f>Data!L3339</f>
        <v>0</v>
      </c>
      <c r="S3322">
        <f>Data!M3339</f>
        <v>0</v>
      </c>
      <c r="T3322">
        <f>Data!N3339</f>
        <v>0</v>
      </c>
      <c r="U3322">
        <f>Data!O3339</f>
        <v>0</v>
      </c>
      <c r="V3322" s="33">
        <f>Data!P3337</f>
        <v>0</v>
      </c>
    </row>
    <row r="3323" spans="7:22" x14ac:dyDescent="0.25">
      <c r="G3323">
        <f>Data!A3336</f>
        <v>0</v>
      </c>
      <c r="H3323" s="21">
        <f>Data!B3336</f>
        <v>0</v>
      </c>
      <c r="I3323" s="21">
        <f>Data!C3336</f>
        <v>0</v>
      </c>
      <c r="J3323">
        <f>Data!D3336</f>
        <v>0</v>
      </c>
      <c r="K3323">
        <f>Data!E3336</f>
        <v>0</v>
      </c>
      <c r="L3323">
        <f>Data!F3336</f>
        <v>0</v>
      </c>
      <c r="M3323">
        <f>Data!G3336</f>
        <v>0</v>
      </c>
      <c r="N3323">
        <f>Data!H3336</f>
        <v>0</v>
      </c>
      <c r="O3323">
        <f>Data!I3336</f>
        <v>0</v>
      </c>
      <c r="P3323" s="21">
        <f>Data!J3340</f>
        <v>0</v>
      </c>
      <c r="Q3323">
        <f>Data!K3340</f>
        <v>0</v>
      </c>
      <c r="R3323">
        <f>Data!L3340</f>
        <v>0</v>
      </c>
      <c r="S3323">
        <f>Data!M3340</f>
        <v>0</v>
      </c>
      <c r="T3323">
        <f>Data!N3340</f>
        <v>0</v>
      </c>
      <c r="U3323">
        <f>Data!O3340</f>
        <v>0</v>
      </c>
      <c r="V3323" s="33">
        <f>Data!P3338</f>
        <v>0</v>
      </c>
    </row>
    <row r="3324" spans="7:22" x14ac:dyDescent="0.25">
      <c r="G3324">
        <f>Data!A3337</f>
        <v>0</v>
      </c>
      <c r="H3324" s="21">
        <f>Data!B3337</f>
        <v>0</v>
      </c>
      <c r="I3324" s="21">
        <f>Data!C3337</f>
        <v>0</v>
      </c>
      <c r="J3324">
        <f>Data!D3337</f>
        <v>0</v>
      </c>
      <c r="K3324">
        <f>Data!E3337</f>
        <v>0</v>
      </c>
      <c r="L3324">
        <f>Data!F3337</f>
        <v>0</v>
      </c>
      <c r="M3324">
        <f>Data!G3337</f>
        <v>0</v>
      </c>
      <c r="N3324">
        <f>Data!H3337</f>
        <v>0</v>
      </c>
      <c r="O3324">
        <f>Data!I3337</f>
        <v>0</v>
      </c>
      <c r="P3324" s="21">
        <f>Data!J3341</f>
        <v>0</v>
      </c>
      <c r="Q3324">
        <f>Data!K3341</f>
        <v>0</v>
      </c>
      <c r="R3324">
        <f>Data!L3341</f>
        <v>0</v>
      </c>
      <c r="S3324">
        <f>Data!M3341</f>
        <v>0</v>
      </c>
      <c r="T3324">
        <f>Data!N3341</f>
        <v>0</v>
      </c>
      <c r="U3324">
        <f>Data!O3341</f>
        <v>0</v>
      </c>
      <c r="V3324" s="33">
        <f>Data!P3339</f>
        <v>0</v>
      </c>
    </row>
    <row r="3325" spans="7:22" x14ac:dyDescent="0.25">
      <c r="G3325">
        <f>Data!A3338</f>
        <v>0</v>
      </c>
      <c r="H3325" s="21">
        <f>Data!B3338</f>
        <v>0</v>
      </c>
      <c r="I3325" s="21">
        <f>Data!C3338</f>
        <v>0</v>
      </c>
      <c r="J3325">
        <f>Data!D3338</f>
        <v>0</v>
      </c>
      <c r="K3325">
        <f>Data!E3338</f>
        <v>0</v>
      </c>
      <c r="L3325">
        <f>Data!F3338</f>
        <v>0</v>
      </c>
      <c r="M3325">
        <f>Data!G3338</f>
        <v>0</v>
      </c>
      <c r="N3325">
        <f>Data!H3338</f>
        <v>0</v>
      </c>
      <c r="O3325">
        <f>Data!I3338</f>
        <v>0</v>
      </c>
      <c r="P3325" s="21">
        <f>Data!J3342</f>
        <v>0</v>
      </c>
      <c r="Q3325">
        <f>Data!K3342</f>
        <v>0</v>
      </c>
      <c r="R3325">
        <f>Data!L3342</f>
        <v>0</v>
      </c>
      <c r="S3325">
        <f>Data!M3342</f>
        <v>0</v>
      </c>
      <c r="T3325">
        <f>Data!N3342</f>
        <v>0</v>
      </c>
      <c r="U3325">
        <f>Data!O3342</f>
        <v>0</v>
      </c>
      <c r="V3325" s="33">
        <f>Data!P3340</f>
        <v>0</v>
      </c>
    </row>
    <row r="3326" spans="7:22" x14ac:dyDescent="0.25">
      <c r="G3326">
        <f>Data!A3339</f>
        <v>0</v>
      </c>
      <c r="H3326" s="21">
        <f>Data!B3339</f>
        <v>0</v>
      </c>
      <c r="I3326" s="21">
        <f>Data!C3339</f>
        <v>0</v>
      </c>
      <c r="J3326">
        <f>Data!D3339</f>
        <v>0</v>
      </c>
      <c r="K3326">
        <f>Data!E3339</f>
        <v>0</v>
      </c>
      <c r="L3326">
        <f>Data!F3339</f>
        <v>0</v>
      </c>
      <c r="M3326">
        <f>Data!G3339</f>
        <v>0</v>
      </c>
      <c r="N3326">
        <f>Data!H3339</f>
        <v>0</v>
      </c>
      <c r="O3326">
        <f>Data!I3339</f>
        <v>0</v>
      </c>
      <c r="P3326" s="21">
        <f>Data!J3343</f>
        <v>0</v>
      </c>
      <c r="Q3326">
        <f>Data!K3343</f>
        <v>0</v>
      </c>
      <c r="R3326">
        <f>Data!L3343</f>
        <v>0</v>
      </c>
      <c r="S3326">
        <f>Data!M3343</f>
        <v>0</v>
      </c>
      <c r="T3326">
        <f>Data!N3343</f>
        <v>0</v>
      </c>
      <c r="U3326">
        <f>Data!O3343</f>
        <v>0</v>
      </c>
      <c r="V3326" s="33">
        <f>Data!P3341</f>
        <v>0</v>
      </c>
    </row>
    <row r="3327" spans="7:22" x14ac:dyDescent="0.25">
      <c r="G3327">
        <f>Data!A3340</f>
        <v>0</v>
      </c>
      <c r="H3327" s="21">
        <f>Data!B3340</f>
        <v>0</v>
      </c>
      <c r="I3327" s="21">
        <f>Data!C3340</f>
        <v>0</v>
      </c>
      <c r="J3327">
        <f>Data!D3340</f>
        <v>0</v>
      </c>
      <c r="K3327">
        <f>Data!E3340</f>
        <v>0</v>
      </c>
      <c r="L3327">
        <f>Data!F3340</f>
        <v>0</v>
      </c>
      <c r="M3327">
        <f>Data!G3340</f>
        <v>0</v>
      </c>
      <c r="N3327">
        <f>Data!H3340</f>
        <v>0</v>
      </c>
      <c r="O3327">
        <f>Data!I3340</f>
        <v>0</v>
      </c>
      <c r="P3327" s="21">
        <f>Data!J3344</f>
        <v>0</v>
      </c>
      <c r="Q3327">
        <f>Data!K3344</f>
        <v>0</v>
      </c>
      <c r="R3327">
        <f>Data!L3344</f>
        <v>0</v>
      </c>
      <c r="S3327">
        <f>Data!M3344</f>
        <v>0</v>
      </c>
      <c r="T3327">
        <f>Data!N3344</f>
        <v>0</v>
      </c>
      <c r="U3327">
        <f>Data!O3344</f>
        <v>0</v>
      </c>
      <c r="V3327" s="33">
        <f>Data!P3342</f>
        <v>0</v>
      </c>
    </row>
    <row r="3328" spans="7:22" x14ac:dyDescent="0.25">
      <c r="G3328">
        <f>Data!A3341</f>
        <v>0</v>
      </c>
      <c r="H3328" s="21">
        <f>Data!B3341</f>
        <v>0</v>
      </c>
      <c r="I3328" s="21">
        <f>Data!C3341</f>
        <v>0</v>
      </c>
      <c r="J3328">
        <f>Data!D3341</f>
        <v>0</v>
      </c>
      <c r="K3328">
        <f>Data!E3341</f>
        <v>0</v>
      </c>
      <c r="L3328">
        <f>Data!F3341</f>
        <v>0</v>
      </c>
      <c r="M3328">
        <f>Data!G3341</f>
        <v>0</v>
      </c>
      <c r="N3328">
        <f>Data!H3341</f>
        <v>0</v>
      </c>
      <c r="O3328">
        <f>Data!I3341</f>
        <v>0</v>
      </c>
      <c r="P3328" s="21">
        <f>Data!J3345</f>
        <v>0</v>
      </c>
      <c r="Q3328">
        <f>Data!K3345</f>
        <v>0</v>
      </c>
      <c r="R3328">
        <f>Data!L3345</f>
        <v>0</v>
      </c>
      <c r="S3328">
        <f>Data!M3345</f>
        <v>0</v>
      </c>
      <c r="T3328">
        <f>Data!N3345</f>
        <v>0</v>
      </c>
      <c r="U3328">
        <f>Data!O3345</f>
        <v>0</v>
      </c>
      <c r="V3328" s="33">
        <f>Data!P3343</f>
        <v>0</v>
      </c>
    </row>
    <row r="3329" spans="7:22" x14ac:dyDescent="0.25">
      <c r="G3329">
        <f>Data!A3342</f>
        <v>0</v>
      </c>
      <c r="H3329" s="21">
        <f>Data!B3342</f>
        <v>0</v>
      </c>
      <c r="I3329" s="21">
        <f>Data!C3342</f>
        <v>0</v>
      </c>
      <c r="J3329">
        <f>Data!D3342</f>
        <v>0</v>
      </c>
      <c r="K3329">
        <f>Data!E3342</f>
        <v>0</v>
      </c>
      <c r="L3329">
        <f>Data!F3342</f>
        <v>0</v>
      </c>
      <c r="M3329">
        <f>Data!G3342</f>
        <v>0</v>
      </c>
      <c r="N3329">
        <f>Data!H3342</f>
        <v>0</v>
      </c>
      <c r="O3329">
        <f>Data!I3342</f>
        <v>0</v>
      </c>
      <c r="P3329" s="21">
        <f>Data!J3346</f>
        <v>0</v>
      </c>
      <c r="Q3329">
        <f>Data!K3346</f>
        <v>0</v>
      </c>
      <c r="R3329">
        <f>Data!L3346</f>
        <v>0</v>
      </c>
      <c r="S3329">
        <f>Data!M3346</f>
        <v>0</v>
      </c>
      <c r="T3329">
        <f>Data!N3346</f>
        <v>0</v>
      </c>
      <c r="U3329">
        <f>Data!O3346</f>
        <v>0</v>
      </c>
      <c r="V3329" s="33">
        <f>Data!P3344</f>
        <v>0</v>
      </c>
    </row>
    <row r="3330" spans="7:22" x14ac:dyDescent="0.25">
      <c r="G3330">
        <f>Data!A3343</f>
        <v>0</v>
      </c>
      <c r="H3330" s="21">
        <f>Data!B3343</f>
        <v>0</v>
      </c>
      <c r="I3330" s="21">
        <f>Data!C3343</f>
        <v>0</v>
      </c>
      <c r="J3330">
        <f>Data!D3343</f>
        <v>0</v>
      </c>
      <c r="K3330">
        <f>Data!E3343</f>
        <v>0</v>
      </c>
      <c r="L3330">
        <f>Data!F3343</f>
        <v>0</v>
      </c>
      <c r="M3330">
        <f>Data!G3343</f>
        <v>0</v>
      </c>
      <c r="N3330">
        <f>Data!H3343</f>
        <v>0</v>
      </c>
      <c r="O3330">
        <f>Data!I3343</f>
        <v>0</v>
      </c>
      <c r="P3330" s="21">
        <f>Data!J3347</f>
        <v>0</v>
      </c>
      <c r="Q3330">
        <f>Data!K3347</f>
        <v>0</v>
      </c>
      <c r="R3330">
        <f>Data!L3347</f>
        <v>0</v>
      </c>
      <c r="S3330">
        <f>Data!M3347</f>
        <v>0</v>
      </c>
      <c r="T3330">
        <f>Data!N3347</f>
        <v>0</v>
      </c>
      <c r="U3330">
        <f>Data!O3347</f>
        <v>0</v>
      </c>
      <c r="V3330" s="33">
        <f>Data!P3345</f>
        <v>0</v>
      </c>
    </row>
    <row r="3331" spans="7:22" x14ac:dyDescent="0.25">
      <c r="G3331">
        <f>Data!A3344</f>
        <v>0</v>
      </c>
      <c r="H3331" s="21">
        <f>Data!B3344</f>
        <v>0</v>
      </c>
      <c r="I3331" s="21">
        <f>Data!C3344</f>
        <v>0</v>
      </c>
      <c r="J3331">
        <f>Data!D3344</f>
        <v>0</v>
      </c>
      <c r="K3331">
        <f>Data!E3344</f>
        <v>0</v>
      </c>
      <c r="L3331">
        <f>Data!F3344</f>
        <v>0</v>
      </c>
      <c r="M3331">
        <f>Data!G3344</f>
        <v>0</v>
      </c>
      <c r="N3331">
        <f>Data!H3344</f>
        <v>0</v>
      </c>
      <c r="O3331">
        <f>Data!I3344</f>
        <v>0</v>
      </c>
      <c r="P3331" s="21">
        <f>Data!J3348</f>
        <v>0</v>
      </c>
      <c r="Q3331">
        <f>Data!K3348</f>
        <v>0</v>
      </c>
      <c r="R3331">
        <f>Data!L3348</f>
        <v>0</v>
      </c>
      <c r="S3331">
        <f>Data!M3348</f>
        <v>0</v>
      </c>
      <c r="T3331">
        <f>Data!N3348</f>
        <v>0</v>
      </c>
      <c r="U3331">
        <f>Data!O3348</f>
        <v>0</v>
      </c>
      <c r="V3331" s="33">
        <f>Data!P3346</f>
        <v>0</v>
      </c>
    </row>
    <row r="3332" spans="7:22" x14ac:dyDescent="0.25">
      <c r="G3332">
        <f>Data!A3345</f>
        <v>0</v>
      </c>
      <c r="H3332" s="21">
        <f>Data!B3345</f>
        <v>0</v>
      </c>
      <c r="I3332" s="21">
        <f>Data!C3345</f>
        <v>0</v>
      </c>
      <c r="J3332">
        <f>Data!D3345</f>
        <v>0</v>
      </c>
      <c r="K3332">
        <f>Data!E3345</f>
        <v>0</v>
      </c>
      <c r="L3332">
        <f>Data!F3345</f>
        <v>0</v>
      </c>
      <c r="M3332">
        <f>Data!G3345</f>
        <v>0</v>
      </c>
      <c r="N3332">
        <f>Data!H3345</f>
        <v>0</v>
      </c>
      <c r="O3332">
        <f>Data!I3345</f>
        <v>0</v>
      </c>
      <c r="P3332" s="21">
        <f>Data!J3349</f>
        <v>0</v>
      </c>
      <c r="Q3332">
        <f>Data!K3349</f>
        <v>0</v>
      </c>
      <c r="R3332">
        <f>Data!L3349</f>
        <v>0</v>
      </c>
      <c r="S3332">
        <f>Data!M3349</f>
        <v>0</v>
      </c>
      <c r="T3332">
        <f>Data!N3349</f>
        <v>0</v>
      </c>
      <c r="U3332">
        <f>Data!O3349</f>
        <v>0</v>
      </c>
      <c r="V3332" s="33">
        <f>Data!P3347</f>
        <v>0</v>
      </c>
    </row>
    <row r="3333" spans="7:22" x14ac:dyDescent="0.25">
      <c r="G3333">
        <f>Data!A3346</f>
        <v>0</v>
      </c>
      <c r="H3333" s="21">
        <f>Data!B3346</f>
        <v>0</v>
      </c>
      <c r="I3333" s="21">
        <f>Data!C3346</f>
        <v>0</v>
      </c>
      <c r="J3333">
        <f>Data!D3346</f>
        <v>0</v>
      </c>
      <c r="K3333">
        <f>Data!E3346</f>
        <v>0</v>
      </c>
      <c r="L3333">
        <f>Data!F3346</f>
        <v>0</v>
      </c>
      <c r="M3333">
        <f>Data!G3346</f>
        <v>0</v>
      </c>
      <c r="N3333">
        <f>Data!H3346</f>
        <v>0</v>
      </c>
      <c r="O3333">
        <f>Data!I3346</f>
        <v>0</v>
      </c>
      <c r="P3333" s="21">
        <f>Data!J3350</f>
        <v>0</v>
      </c>
      <c r="Q3333">
        <f>Data!K3350</f>
        <v>0</v>
      </c>
      <c r="R3333">
        <f>Data!L3350</f>
        <v>0</v>
      </c>
      <c r="S3333">
        <f>Data!M3350</f>
        <v>0</v>
      </c>
      <c r="T3333">
        <f>Data!N3350</f>
        <v>0</v>
      </c>
      <c r="U3333">
        <f>Data!O3350</f>
        <v>0</v>
      </c>
      <c r="V3333" s="33">
        <f>Data!P3348</f>
        <v>0</v>
      </c>
    </row>
    <row r="3334" spans="7:22" x14ac:dyDescent="0.25">
      <c r="G3334">
        <f>Data!A3347</f>
        <v>0</v>
      </c>
      <c r="H3334" s="21">
        <f>Data!B3347</f>
        <v>0</v>
      </c>
      <c r="I3334" s="21">
        <f>Data!C3347</f>
        <v>0</v>
      </c>
      <c r="J3334">
        <f>Data!D3347</f>
        <v>0</v>
      </c>
      <c r="K3334">
        <f>Data!E3347</f>
        <v>0</v>
      </c>
      <c r="L3334">
        <f>Data!F3347</f>
        <v>0</v>
      </c>
      <c r="M3334">
        <f>Data!G3347</f>
        <v>0</v>
      </c>
      <c r="N3334">
        <f>Data!H3347</f>
        <v>0</v>
      </c>
      <c r="O3334">
        <f>Data!I3347</f>
        <v>0</v>
      </c>
      <c r="P3334" s="21">
        <f>Data!J3351</f>
        <v>0</v>
      </c>
      <c r="Q3334">
        <f>Data!K3351</f>
        <v>0</v>
      </c>
      <c r="R3334">
        <f>Data!L3351</f>
        <v>0</v>
      </c>
      <c r="S3334">
        <f>Data!M3351</f>
        <v>0</v>
      </c>
      <c r="T3334">
        <f>Data!N3351</f>
        <v>0</v>
      </c>
      <c r="U3334">
        <f>Data!O3351</f>
        <v>0</v>
      </c>
      <c r="V3334" s="33">
        <f>Data!P3349</f>
        <v>0</v>
      </c>
    </row>
    <row r="3335" spans="7:22" x14ac:dyDescent="0.25">
      <c r="G3335">
        <f>Data!A3348</f>
        <v>0</v>
      </c>
      <c r="H3335" s="21">
        <f>Data!B3348</f>
        <v>0</v>
      </c>
      <c r="I3335" s="21">
        <f>Data!C3348</f>
        <v>0</v>
      </c>
      <c r="J3335">
        <f>Data!D3348</f>
        <v>0</v>
      </c>
      <c r="K3335">
        <f>Data!E3348</f>
        <v>0</v>
      </c>
      <c r="L3335">
        <f>Data!F3348</f>
        <v>0</v>
      </c>
      <c r="M3335">
        <f>Data!G3348</f>
        <v>0</v>
      </c>
      <c r="N3335">
        <f>Data!H3348</f>
        <v>0</v>
      </c>
      <c r="O3335">
        <f>Data!I3348</f>
        <v>0</v>
      </c>
      <c r="P3335" s="21">
        <f>Data!J3352</f>
        <v>0</v>
      </c>
      <c r="Q3335">
        <f>Data!K3352</f>
        <v>0</v>
      </c>
      <c r="R3335">
        <f>Data!L3352</f>
        <v>0</v>
      </c>
      <c r="S3335">
        <f>Data!M3352</f>
        <v>0</v>
      </c>
      <c r="T3335">
        <f>Data!N3352</f>
        <v>0</v>
      </c>
      <c r="U3335">
        <f>Data!O3352</f>
        <v>0</v>
      </c>
      <c r="V3335" s="33">
        <f>Data!P3350</f>
        <v>0</v>
      </c>
    </row>
    <row r="3336" spans="7:22" x14ac:dyDescent="0.25">
      <c r="G3336">
        <f>Data!A3349</f>
        <v>0</v>
      </c>
      <c r="H3336" s="21">
        <f>Data!B3349</f>
        <v>0</v>
      </c>
      <c r="I3336" s="21">
        <f>Data!C3349</f>
        <v>0</v>
      </c>
      <c r="J3336">
        <f>Data!D3349</f>
        <v>0</v>
      </c>
      <c r="K3336">
        <f>Data!E3349</f>
        <v>0</v>
      </c>
      <c r="L3336">
        <f>Data!F3349</f>
        <v>0</v>
      </c>
      <c r="M3336">
        <f>Data!G3349</f>
        <v>0</v>
      </c>
      <c r="N3336">
        <f>Data!H3349</f>
        <v>0</v>
      </c>
      <c r="O3336">
        <f>Data!I3349</f>
        <v>0</v>
      </c>
      <c r="P3336" s="21">
        <f>Data!J3353</f>
        <v>0</v>
      </c>
      <c r="Q3336">
        <f>Data!K3353</f>
        <v>0</v>
      </c>
      <c r="R3336">
        <f>Data!L3353</f>
        <v>0</v>
      </c>
      <c r="S3336">
        <f>Data!M3353</f>
        <v>0</v>
      </c>
      <c r="T3336">
        <f>Data!N3353</f>
        <v>0</v>
      </c>
      <c r="U3336">
        <f>Data!O3353</f>
        <v>0</v>
      </c>
      <c r="V3336" s="33">
        <f>Data!P3351</f>
        <v>0</v>
      </c>
    </row>
    <row r="3337" spans="7:22" x14ac:dyDescent="0.25">
      <c r="G3337">
        <f>Data!A3350</f>
        <v>0</v>
      </c>
      <c r="H3337" s="21">
        <f>Data!B3350</f>
        <v>0</v>
      </c>
      <c r="I3337" s="21">
        <f>Data!C3350</f>
        <v>0</v>
      </c>
      <c r="J3337">
        <f>Data!D3350</f>
        <v>0</v>
      </c>
      <c r="K3337">
        <f>Data!E3350</f>
        <v>0</v>
      </c>
      <c r="L3337">
        <f>Data!F3350</f>
        <v>0</v>
      </c>
      <c r="M3337">
        <f>Data!G3350</f>
        <v>0</v>
      </c>
      <c r="N3337">
        <f>Data!H3350</f>
        <v>0</v>
      </c>
      <c r="O3337">
        <f>Data!I3350</f>
        <v>0</v>
      </c>
      <c r="P3337" s="21">
        <f>Data!J3354</f>
        <v>0</v>
      </c>
      <c r="Q3337">
        <f>Data!K3354</f>
        <v>0</v>
      </c>
      <c r="R3337">
        <f>Data!L3354</f>
        <v>0</v>
      </c>
      <c r="S3337">
        <f>Data!M3354</f>
        <v>0</v>
      </c>
      <c r="T3337">
        <f>Data!N3354</f>
        <v>0</v>
      </c>
      <c r="U3337">
        <f>Data!O3354</f>
        <v>0</v>
      </c>
      <c r="V3337" s="33">
        <f>Data!P3352</f>
        <v>0</v>
      </c>
    </row>
    <row r="3338" spans="7:22" x14ac:dyDescent="0.25">
      <c r="G3338">
        <f>Data!A3351</f>
        <v>0</v>
      </c>
      <c r="H3338" s="21">
        <f>Data!B3351</f>
        <v>0</v>
      </c>
      <c r="I3338" s="21">
        <f>Data!C3351</f>
        <v>0</v>
      </c>
      <c r="J3338">
        <f>Data!D3351</f>
        <v>0</v>
      </c>
      <c r="K3338">
        <f>Data!E3351</f>
        <v>0</v>
      </c>
      <c r="L3338">
        <f>Data!F3351</f>
        <v>0</v>
      </c>
      <c r="M3338">
        <f>Data!G3351</f>
        <v>0</v>
      </c>
      <c r="N3338">
        <f>Data!H3351</f>
        <v>0</v>
      </c>
      <c r="O3338">
        <f>Data!I3351</f>
        <v>0</v>
      </c>
      <c r="P3338" s="21">
        <f>Data!J3355</f>
        <v>0</v>
      </c>
      <c r="Q3338">
        <f>Data!K3355</f>
        <v>0</v>
      </c>
      <c r="R3338">
        <f>Data!L3355</f>
        <v>0</v>
      </c>
      <c r="S3338">
        <f>Data!M3355</f>
        <v>0</v>
      </c>
      <c r="T3338">
        <f>Data!N3355</f>
        <v>0</v>
      </c>
      <c r="U3338">
        <f>Data!O3355</f>
        <v>0</v>
      </c>
      <c r="V3338" s="33">
        <f>Data!P3353</f>
        <v>0</v>
      </c>
    </row>
    <row r="3339" spans="7:22" x14ac:dyDescent="0.25">
      <c r="G3339">
        <f>Data!A3352</f>
        <v>0</v>
      </c>
      <c r="H3339" s="21">
        <f>Data!B3352</f>
        <v>0</v>
      </c>
      <c r="I3339" s="21">
        <f>Data!C3352</f>
        <v>0</v>
      </c>
      <c r="J3339">
        <f>Data!D3352</f>
        <v>0</v>
      </c>
      <c r="K3339">
        <f>Data!E3352</f>
        <v>0</v>
      </c>
      <c r="L3339">
        <f>Data!F3352</f>
        <v>0</v>
      </c>
      <c r="M3339">
        <f>Data!G3352</f>
        <v>0</v>
      </c>
      <c r="N3339">
        <f>Data!H3352</f>
        <v>0</v>
      </c>
      <c r="O3339">
        <f>Data!I3352</f>
        <v>0</v>
      </c>
      <c r="P3339" s="21">
        <f>Data!J3356</f>
        <v>0</v>
      </c>
      <c r="Q3339">
        <f>Data!K3356</f>
        <v>0</v>
      </c>
      <c r="R3339">
        <f>Data!L3356</f>
        <v>0</v>
      </c>
      <c r="S3339">
        <f>Data!M3356</f>
        <v>0</v>
      </c>
      <c r="T3339">
        <f>Data!N3356</f>
        <v>0</v>
      </c>
      <c r="U3339">
        <f>Data!O3356</f>
        <v>0</v>
      </c>
      <c r="V3339" s="33">
        <f>Data!P3354</f>
        <v>0</v>
      </c>
    </row>
    <row r="3340" spans="7:22" x14ac:dyDescent="0.25">
      <c r="G3340">
        <f>Data!A3353</f>
        <v>0</v>
      </c>
      <c r="H3340" s="21">
        <f>Data!B3353</f>
        <v>0</v>
      </c>
      <c r="I3340" s="21">
        <f>Data!C3353</f>
        <v>0</v>
      </c>
      <c r="J3340">
        <f>Data!D3353</f>
        <v>0</v>
      </c>
      <c r="K3340">
        <f>Data!E3353</f>
        <v>0</v>
      </c>
      <c r="L3340">
        <f>Data!F3353</f>
        <v>0</v>
      </c>
      <c r="M3340">
        <f>Data!G3353</f>
        <v>0</v>
      </c>
      <c r="N3340">
        <f>Data!H3353</f>
        <v>0</v>
      </c>
      <c r="O3340">
        <f>Data!I3353</f>
        <v>0</v>
      </c>
      <c r="P3340" s="21">
        <f>Data!J3357</f>
        <v>0</v>
      </c>
      <c r="Q3340">
        <f>Data!K3357</f>
        <v>0</v>
      </c>
      <c r="R3340">
        <f>Data!L3357</f>
        <v>0</v>
      </c>
      <c r="S3340">
        <f>Data!M3357</f>
        <v>0</v>
      </c>
      <c r="T3340">
        <f>Data!N3357</f>
        <v>0</v>
      </c>
      <c r="U3340">
        <f>Data!O3357</f>
        <v>0</v>
      </c>
      <c r="V3340" s="33">
        <f>Data!P3355</f>
        <v>0</v>
      </c>
    </row>
    <row r="3341" spans="7:22" x14ac:dyDescent="0.25">
      <c r="G3341">
        <f>Data!A3354</f>
        <v>0</v>
      </c>
      <c r="H3341" s="21">
        <f>Data!B3354</f>
        <v>0</v>
      </c>
      <c r="I3341" s="21">
        <f>Data!C3354</f>
        <v>0</v>
      </c>
      <c r="J3341">
        <f>Data!D3354</f>
        <v>0</v>
      </c>
      <c r="K3341">
        <f>Data!E3354</f>
        <v>0</v>
      </c>
      <c r="L3341">
        <f>Data!F3354</f>
        <v>0</v>
      </c>
      <c r="M3341">
        <f>Data!G3354</f>
        <v>0</v>
      </c>
      <c r="N3341">
        <f>Data!H3354</f>
        <v>0</v>
      </c>
      <c r="O3341">
        <f>Data!I3354</f>
        <v>0</v>
      </c>
      <c r="P3341" s="21">
        <f>Data!J3358</f>
        <v>0</v>
      </c>
      <c r="Q3341">
        <f>Data!K3358</f>
        <v>0</v>
      </c>
      <c r="R3341">
        <f>Data!L3358</f>
        <v>0</v>
      </c>
      <c r="S3341">
        <f>Data!M3358</f>
        <v>0</v>
      </c>
      <c r="T3341">
        <f>Data!N3358</f>
        <v>0</v>
      </c>
      <c r="U3341">
        <f>Data!O3358</f>
        <v>0</v>
      </c>
      <c r="V3341" s="33">
        <f>Data!P3356</f>
        <v>0</v>
      </c>
    </row>
    <row r="3342" spans="7:22" x14ac:dyDescent="0.25">
      <c r="G3342">
        <f>Data!A3355</f>
        <v>0</v>
      </c>
      <c r="H3342" s="21">
        <f>Data!B3355</f>
        <v>0</v>
      </c>
      <c r="I3342" s="21">
        <f>Data!C3355</f>
        <v>0</v>
      </c>
      <c r="J3342">
        <f>Data!D3355</f>
        <v>0</v>
      </c>
      <c r="K3342">
        <f>Data!E3355</f>
        <v>0</v>
      </c>
      <c r="L3342">
        <f>Data!F3355</f>
        <v>0</v>
      </c>
      <c r="M3342">
        <f>Data!G3355</f>
        <v>0</v>
      </c>
      <c r="N3342">
        <f>Data!H3355</f>
        <v>0</v>
      </c>
      <c r="O3342">
        <f>Data!I3355</f>
        <v>0</v>
      </c>
      <c r="P3342" s="21">
        <f>Data!J3359</f>
        <v>0</v>
      </c>
      <c r="Q3342">
        <f>Data!K3359</f>
        <v>0</v>
      </c>
      <c r="R3342">
        <f>Data!L3359</f>
        <v>0</v>
      </c>
      <c r="S3342">
        <f>Data!M3359</f>
        <v>0</v>
      </c>
      <c r="T3342">
        <f>Data!N3359</f>
        <v>0</v>
      </c>
      <c r="U3342">
        <f>Data!O3359</f>
        <v>0</v>
      </c>
      <c r="V3342" s="33">
        <f>Data!P3357</f>
        <v>0</v>
      </c>
    </row>
    <row r="3343" spans="7:22" x14ac:dyDescent="0.25">
      <c r="G3343">
        <f>Data!A3356</f>
        <v>0</v>
      </c>
      <c r="H3343" s="21">
        <f>Data!B3356</f>
        <v>0</v>
      </c>
      <c r="I3343" s="21">
        <f>Data!C3356</f>
        <v>0</v>
      </c>
      <c r="J3343">
        <f>Data!D3356</f>
        <v>0</v>
      </c>
      <c r="K3343">
        <f>Data!E3356</f>
        <v>0</v>
      </c>
      <c r="L3343">
        <f>Data!F3356</f>
        <v>0</v>
      </c>
      <c r="M3343">
        <f>Data!G3356</f>
        <v>0</v>
      </c>
      <c r="N3343">
        <f>Data!H3356</f>
        <v>0</v>
      </c>
      <c r="O3343">
        <f>Data!I3356</f>
        <v>0</v>
      </c>
      <c r="P3343" s="21">
        <f>Data!J3360</f>
        <v>0</v>
      </c>
      <c r="Q3343">
        <f>Data!K3360</f>
        <v>0</v>
      </c>
      <c r="R3343">
        <f>Data!L3360</f>
        <v>0</v>
      </c>
      <c r="S3343">
        <f>Data!M3360</f>
        <v>0</v>
      </c>
      <c r="T3343">
        <f>Data!N3360</f>
        <v>0</v>
      </c>
      <c r="U3343">
        <f>Data!O3360</f>
        <v>0</v>
      </c>
      <c r="V3343" s="33">
        <f>Data!P3358</f>
        <v>0</v>
      </c>
    </row>
    <row r="3344" spans="7:22" x14ac:dyDescent="0.25">
      <c r="G3344">
        <f>Data!A3357</f>
        <v>0</v>
      </c>
      <c r="H3344" s="21">
        <f>Data!B3357</f>
        <v>0</v>
      </c>
      <c r="I3344" s="21">
        <f>Data!C3357</f>
        <v>0</v>
      </c>
      <c r="J3344">
        <f>Data!D3357</f>
        <v>0</v>
      </c>
      <c r="K3344">
        <f>Data!E3357</f>
        <v>0</v>
      </c>
      <c r="L3344">
        <f>Data!F3357</f>
        <v>0</v>
      </c>
      <c r="M3344">
        <f>Data!G3357</f>
        <v>0</v>
      </c>
      <c r="N3344">
        <f>Data!H3357</f>
        <v>0</v>
      </c>
      <c r="O3344">
        <f>Data!I3357</f>
        <v>0</v>
      </c>
      <c r="P3344" s="21">
        <f>Data!J3361</f>
        <v>0</v>
      </c>
      <c r="Q3344">
        <f>Data!K3361</f>
        <v>0</v>
      </c>
      <c r="R3344">
        <f>Data!L3361</f>
        <v>0</v>
      </c>
      <c r="S3344">
        <f>Data!M3361</f>
        <v>0</v>
      </c>
      <c r="T3344">
        <f>Data!N3361</f>
        <v>0</v>
      </c>
      <c r="U3344">
        <f>Data!O3361</f>
        <v>0</v>
      </c>
      <c r="V3344" s="33">
        <f>Data!P3359</f>
        <v>0</v>
      </c>
    </row>
    <row r="3345" spans="7:22" x14ac:dyDescent="0.25">
      <c r="G3345">
        <f>Data!A3358</f>
        <v>0</v>
      </c>
      <c r="H3345" s="21">
        <f>Data!B3358</f>
        <v>0</v>
      </c>
      <c r="I3345" s="21">
        <f>Data!C3358</f>
        <v>0</v>
      </c>
      <c r="J3345">
        <f>Data!D3358</f>
        <v>0</v>
      </c>
      <c r="K3345">
        <f>Data!E3358</f>
        <v>0</v>
      </c>
      <c r="L3345">
        <f>Data!F3358</f>
        <v>0</v>
      </c>
      <c r="M3345">
        <f>Data!G3358</f>
        <v>0</v>
      </c>
      <c r="N3345">
        <f>Data!H3358</f>
        <v>0</v>
      </c>
      <c r="O3345">
        <f>Data!I3358</f>
        <v>0</v>
      </c>
      <c r="P3345" s="21">
        <f>Data!J3362</f>
        <v>0</v>
      </c>
      <c r="Q3345">
        <f>Data!K3362</f>
        <v>0</v>
      </c>
      <c r="R3345">
        <f>Data!L3362</f>
        <v>0</v>
      </c>
      <c r="S3345">
        <f>Data!M3362</f>
        <v>0</v>
      </c>
      <c r="T3345">
        <f>Data!N3362</f>
        <v>0</v>
      </c>
      <c r="U3345">
        <f>Data!O3362</f>
        <v>0</v>
      </c>
      <c r="V3345" s="33">
        <f>Data!P3360</f>
        <v>0</v>
      </c>
    </row>
    <row r="3346" spans="7:22" x14ac:dyDescent="0.25">
      <c r="G3346">
        <f>Data!A3359</f>
        <v>0</v>
      </c>
      <c r="H3346" s="21">
        <f>Data!B3359</f>
        <v>0</v>
      </c>
      <c r="I3346" s="21">
        <f>Data!C3359</f>
        <v>0</v>
      </c>
      <c r="J3346">
        <f>Data!D3359</f>
        <v>0</v>
      </c>
      <c r="K3346">
        <f>Data!E3359</f>
        <v>0</v>
      </c>
      <c r="L3346">
        <f>Data!F3359</f>
        <v>0</v>
      </c>
      <c r="M3346">
        <f>Data!G3359</f>
        <v>0</v>
      </c>
      <c r="N3346">
        <f>Data!H3359</f>
        <v>0</v>
      </c>
      <c r="O3346">
        <f>Data!I3359</f>
        <v>0</v>
      </c>
      <c r="P3346" s="21">
        <f>Data!J3363</f>
        <v>0</v>
      </c>
      <c r="Q3346">
        <f>Data!K3363</f>
        <v>0</v>
      </c>
      <c r="R3346">
        <f>Data!L3363</f>
        <v>0</v>
      </c>
      <c r="S3346">
        <f>Data!M3363</f>
        <v>0</v>
      </c>
      <c r="T3346">
        <f>Data!N3363</f>
        <v>0</v>
      </c>
      <c r="U3346">
        <f>Data!O3363</f>
        <v>0</v>
      </c>
      <c r="V3346" s="33">
        <f>Data!P3361</f>
        <v>0</v>
      </c>
    </row>
    <row r="3347" spans="7:22" x14ac:dyDescent="0.25">
      <c r="G3347">
        <f>Data!A3360</f>
        <v>0</v>
      </c>
      <c r="H3347" s="21">
        <f>Data!B3360</f>
        <v>0</v>
      </c>
      <c r="I3347" s="21">
        <f>Data!C3360</f>
        <v>0</v>
      </c>
      <c r="J3347">
        <f>Data!D3360</f>
        <v>0</v>
      </c>
      <c r="K3347">
        <f>Data!E3360</f>
        <v>0</v>
      </c>
      <c r="L3347">
        <f>Data!F3360</f>
        <v>0</v>
      </c>
      <c r="M3347">
        <f>Data!G3360</f>
        <v>0</v>
      </c>
      <c r="N3347">
        <f>Data!H3360</f>
        <v>0</v>
      </c>
      <c r="O3347">
        <f>Data!I3360</f>
        <v>0</v>
      </c>
      <c r="P3347" s="21">
        <f>Data!J3364</f>
        <v>0</v>
      </c>
      <c r="Q3347">
        <f>Data!K3364</f>
        <v>0</v>
      </c>
      <c r="R3347">
        <f>Data!L3364</f>
        <v>0</v>
      </c>
      <c r="S3347">
        <f>Data!M3364</f>
        <v>0</v>
      </c>
      <c r="T3347">
        <f>Data!N3364</f>
        <v>0</v>
      </c>
      <c r="U3347">
        <f>Data!O3364</f>
        <v>0</v>
      </c>
      <c r="V3347" s="33">
        <f>Data!P3362</f>
        <v>0</v>
      </c>
    </row>
    <row r="3348" spans="7:22" x14ac:dyDescent="0.25">
      <c r="G3348">
        <f>Data!A3361</f>
        <v>0</v>
      </c>
      <c r="H3348" s="21">
        <f>Data!B3361</f>
        <v>0</v>
      </c>
      <c r="I3348" s="21">
        <f>Data!C3361</f>
        <v>0</v>
      </c>
      <c r="J3348">
        <f>Data!D3361</f>
        <v>0</v>
      </c>
      <c r="K3348">
        <f>Data!E3361</f>
        <v>0</v>
      </c>
      <c r="L3348">
        <f>Data!F3361</f>
        <v>0</v>
      </c>
      <c r="M3348">
        <f>Data!G3361</f>
        <v>0</v>
      </c>
      <c r="N3348">
        <f>Data!H3361</f>
        <v>0</v>
      </c>
      <c r="O3348">
        <f>Data!I3361</f>
        <v>0</v>
      </c>
      <c r="P3348" s="21">
        <f>Data!J3365</f>
        <v>0</v>
      </c>
      <c r="Q3348">
        <f>Data!K3365</f>
        <v>0</v>
      </c>
      <c r="R3348">
        <f>Data!L3365</f>
        <v>0</v>
      </c>
      <c r="S3348">
        <f>Data!M3365</f>
        <v>0</v>
      </c>
      <c r="T3348">
        <f>Data!N3365</f>
        <v>0</v>
      </c>
      <c r="U3348">
        <f>Data!O3365</f>
        <v>0</v>
      </c>
      <c r="V3348" s="33">
        <f>Data!P3363</f>
        <v>0</v>
      </c>
    </row>
    <row r="3349" spans="7:22" x14ac:dyDescent="0.25">
      <c r="G3349">
        <f>Data!A3362</f>
        <v>0</v>
      </c>
      <c r="H3349" s="21">
        <f>Data!B3362</f>
        <v>0</v>
      </c>
      <c r="I3349" s="21">
        <f>Data!C3362</f>
        <v>0</v>
      </c>
      <c r="J3349">
        <f>Data!D3362</f>
        <v>0</v>
      </c>
      <c r="K3349">
        <f>Data!E3362</f>
        <v>0</v>
      </c>
      <c r="L3349">
        <f>Data!F3362</f>
        <v>0</v>
      </c>
      <c r="M3349">
        <f>Data!G3362</f>
        <v>0</v>
      </c>
      <c r="N3349">
        <f>Data!H3362</f>
        <v>0</v>
      </c>
      <c r="O3349">
        <f>Data!I3362</f>
        <v>0</v>
      </c>
      <c r="P3349" s="21">
        <f>Data!J3366</f>
        <v>0</v>
      </c>
      <c r="Q3349">
        <f>Data!K3366</f>
        <v>0</v>
      </c>
      <c r="R3349">
        <f>Data!L3366</f>
        <v>0</v>
      </c>
      <c r="S3349">
        <f>Data!M3366</f>
        <v>0</v>
      </c>
      <c r="T3349">
        <f>Data!N3366</f>
        <v>0</v>
      </c>
      <c r="U3349">
        <f>Data!O3366</f>
        <v>0</v>
      </c>
      <c r="V3349" s="33">
        <f>Data!P3364</f>
        <v>0</v>
      </c>
    </row>
    <row r="3350" spans="7:22" x14ac:dyDescent="0.25">
      <c r="G3350">
        <f>Data!A3363</f>
        <v>0</v>
      </c>
      <c r="H3350" s="21">
        <f>Data!B3363</f>
        <v>0</v>
      </c>
      <c r="I3350" s="21">
        <f>Data!C3363</f>
        <v>0</v>
      </c>
      <c r="J3350">
        <f>Data!D3363</f>
        <v>0</v>
      </c>
      <c r="K3350">
        <f>Data!E3363</f>
        <v>0</v>
      </c>
      <c r="L3350">
        <f>Data!F3363</f>
        <v>0</v>
      </c>
      <c r="M3350">
        <f>Data!G3363</f>
        <v>0</v>
      </c>
      <c r="N3350">
        <f>Data!H3363</f>
        <v>0</v>
      </c>
      <c r="O3350">
        <f>Data!I3363</f>
        <v>0</v>
      </c>
      <c r="P3350" s="21">
        <f>Data!J3367</f>
        <v>0</v>
      </c>
      <c r="Q3350">
        <f>Data!K3367</f>
        <v>0</v>
      </c>
      <c r="R3350">
        <f>Data!L3367</f>
        <v>0</v>
      </c>
      <c r="S3350">
        <f>Data!M3367</f>
        <v>0</v>
      </c>
      <c r="T3350">
        <f>Data!N3367</f>
        <v>0</v>
      </c>
      <c r="U3350">
        <f>Data!O3367</f>
        <v>0</v>
      </c>
      <c r="V3350" s="33">
        <f>Data!P3365</f>
        <v>0</v>
      </c>
    </row>
    <row r="3351" spans="7:22" x14ac:dyDescent="0.25">
      <c r="G3351">
        <f>Data!A3364</f>
        <v>0</v>
      </c>
      <c r="H3351" s="21">
        <f>Data!B3364</f>
        <v>0</v>
      </c>
      <c r="I3351" s="21">
        <f>Data!C3364</f>
        <v>0</v>
      </c>
      <c r="J3351">
        <f>Data!D3364</f>
        <v>0</v>
      </c>
      <c r="K3351">
        <f>Data!E3364</f>
        <v>0</v>
      </c>
      <c r="L3351">
        <f>Data!F3364</f>
        <v>0</v>
      </c>
      <c r="M3351">
        <f>Data!G3364</f>
        <v>0</v>
      </c>
      <c r="N3351">
        <f>Data!H3364</f>
        <v>0</v>
      </c>
      <c r="O3351">
        <f>Data!I3364</f>
        <v>0</v>
      </c>
      <c r="P3351" s="21">
        <f>Data!J3368</f>
        <v>0</v>
      </c>
      <c r="Q3351">
        <f>Data!K3368</f>
        <v>0</v>
      </c>
      <c r="R3351">
        <f>Data!L3368</f>
        <v>0</v>
      </c>
      <c r="S3351">
        <f>Data!M3368</f>
        <v>0</v>
      </c>
      <c r="T3351">
        <f>Data!N3368</f>
        <v>0</v>
      </c>
      <c r="U3351">
        <f>Data!O3368</f>
        <v>0</v>
      </c>
      <c r="V3351" s="33">
        <f>Data!P3366</f>
        <v>0</v>
      </c>
    </row>
    <row r="3352" spans="7:22" x14ac:dyDescent="0.25">
      <c r="G3352">
        <f>Data!A3365</f>
        <v>0</v>
      </c>
      <c r="H3352" s="21">
        <f>Data!B3365</f>
        <v>0</v>
      </c>
      <c r="I3352" s="21">
        <f>Data!C3365</f>
        <v>0</v>
      </c>
      <c r="J3352">
        <f>Data!D3365</f>
        <v>0</v>
      </c>
      <c r="K3352">
        <f>Data!E3365</f>
        <v>0</v>
      </c>
      <c r="L3352">
        <f>Data!F3365</f>
        <v>0</v>
      </c>
      <c r="M3352">
        <f>Data!G3365</f>
        <v>0</v>
      </c>
      <c r="N3352">
        <f>Data!H3365</f>
        <v>0</v>
      </c>
      <c r="O3352">
        <f>Data!I3365</f>
        <v>0</v>
      </c>
      <c r="P3352" s="21">
        <f>Data!J3369</f>
        <v>0</v>
      </c>
      <c r="Q3352">
        <f>Data!K3369</f>
        <v>0</v>
      </c>
      <c r="R3352">
        <f>Data!L3369</f>
        <v>0</v>
      </c>
      <c r="S3352">
        <f>Data!M3369</f>
        <v>0</v>
      </c>
      <c r="T3352">
        <f>Data!N3369</f>
        <v>0</v>
      </c>
      <c r="U3352">
        <f>Data!O3369</f>
        <v>0</v>
      </c>
      <c r="V3352" s="33">
        <f>Data!P3367</f>
        <v>0</v>
      </c>
    </row>
    <row r="3353" spans="7:22" x14ac:dyDescent="0.25">
      <c r="G3353">
        <f>Data!A3366</f>
        <v>0</v>
      </c>
      <c r="H3353" s="21">
        <f>Data!B3366</f>
        <v>0</v>
      </c>
      <c r="I3353" s="21">
        <f>Data!C3366</f>
        <v>0</v>
      </c>
      <c r="J3353">
        <f>Data!D3366</f>
        <v>0</v>
      </c>
      <c r="K3353">
        <f>Data!E3366</f>
        <v>0</v>
      </c>
      <c r="L3353">
        <f>Data!F3366</f>
        <v>0</v>
      </c>
      <c r="M3353">
        <f>Data!G3366</f>
        <v>0</v>
      </c>
      <c r="N3353">
        <f>Data!H3366</f>
        <v>0</v>
      </c>
      <c r="O3353">
        <f>Data!I3366</f>
        <v>0</v>
      </c>
      <c r="P3353" s="21">
        <f>Data!J3370</f>
        <v>0</v>
      </c>
      <c r="Q3353">
        <f>Data!K3370</f>
        <v>0</v>
      </c>
      <c r="R3353">
        <f>Data!L3370</f>
        <v>0</v>
      </c>
      <c r="S3353">
        <f>Data!M3370</f>
        <v>0</v>
      </c>
      <c r="T3353">
        <f>Data!N3370</f>
        <v>0</v>
      </c>
      <c r="U3353">
        <f>Data!O3370</f>
        <v>0</v>
      </c>
      <c r="V3353" s="33">
        <f>Data!P3368</f>
        <v>0</v>
      </c>
    </row>
    <row r="3354" spans="7:22" x14ac:dyDescent="0.25">
      <c r="G3354">
        <f>Data!A3367</f>
        <v>0</v>
      </c>
      <c r="H3354" s="21">
        <f>Data!B3367</f>
        <v>0</v>
      </c>
      <c r="I3354" s="21">
        <f>Data!C3367</f>
        <v>0</v>
      </c>
      <c r="J3354">
        <f>Data!D3367</f>
        <v>0</v>
      </c>
      <c r="K3354">
        <f>Data!E3367</f>
        <v>0</v>
      </c>
      <c r="L3354">
        <f>Data!F3367</f>
        <v>0</v>
      </c>
      <c r="M3354">
        <f>Data!G3367</f>
        <v>0</v>
      </c>
      <c r="N3354">
        <f>Data!H3367</f>
        <v>0</v>
      </c>
      <c r="O3354">
        <f>Data!I3367</f>
        <v>0</v>
      </c>
      <c r="P3354" s="21">
        <f>Data!J3371</f>
        <v>0</v>
      </c>
      <c r="Q3354">
        <f>Data!K3371</f>
        <v>0</v>
      </c>
      <c r="R3354">
        <f>Data!L3371</f>
        <v>0</v>
      </c>
      <c r="S3354">
        <f>Data!M3371</f>
        <v>0</v>
      </c>
      <c r="T3354">
        <f>Data!N3371</f>
        <v>0</v>
      </c>
      <c r="U3354">
        <f>Data!O3371</f>
        <v>0</v>
      </c>
      <c r="V3354" s="33">
        <f>Data!P3369</f>
        <v>0</v>
      </c>
    </row>
    <row r="3355" spans="7:22" x14ac:dyDescent="0.25">
      <c r="G3355">
        <f>Data!A3368</f>
        <v>0</v>
      </c>
      <c r="H3355" s="21">
        <f>Data!B3368</f>
        <v>0</v>
      </c>
      <c r="I3355" s="21">
        <f>Data!C3368</f>
        <v>0</v>
      </c>
      <c r="J3355">
        <f>Data!D3368</f>
        <v>0</v>
      </c>
      <c r="K3355">
        <f>Data!E3368</f>
        <v>0</v>
      </c>
      <c r="L3355">
        <f>Data!F3368</f>
        <v>0</v>
      </c>
      <c r="M3355">
        <f>Data!G3368</f>
        <v>0</v>
      </c>
      <c r="N3355">
        <f>Data!H3368</f>
        <v>0</v>
      </c>
      <c r="O3355">
        <f>Data!I3368</f>
        <v>0</v>
      </c>
      <c r="P3355" s="21">
        <f>Data!J3372</f>
        <v>0</v>
      </c>
      <c r="Q3355">
        <f>Data!K3372</f>
        <v>0</v>
      </c>
      <c r="R3355">
        <f>Data!L3372</f>
        <v>0</v>
      </c>
      <c r="S3355">
        <f>Data!M3372</f>
        <v>0</v>
      </c>
      <c r="T3355">
        <f>Data!N3372</f>
        <v>0</v>
      </c>
      <c r="U3355">
        <f>Data!O3372</f>
        <v>0</v>
      </c>
      <c r="V3355" s="33">
        <f>Data!P3370</f>
        <v>0</v>
      </c>
    </row>
    <row r="3356" spans="7:22" x14ac:dyDescent="0.25">
      <c r="G3356">
        <f>Data!A3369</f>
        <v>0</v>
      </c>
      <c r="H3356" s="21">
        <f>Data!B3369</f>
        <v>0</v>
      </c>
      <c r="I3356" s="21">
        <f>Data!C3369</f>
        <v>0</v>
      </c>
      <c r="J3356">
        <f>Data!D3369</f>
        <v>0</v>
      </c>
      <c r="K3356">
        <f>Data!E3369</f>
        <v>0</v>
      </c>
      <c r="L3356">
        <f>Data!F3369</f>
        <v>0</v>
      </c>
      <c r="M3356">
        <f>Data!G3369</f>
        <v>0</v>
      </c>
      <c r="N3356">
        <f>Data!H3369</f>
        <v>0</v>
      </c>
      <c r="O3356">
        <f>Data!I3369</f>
        <v>0</v>
      </c>
      <c r="P3356" s="21">
        <f>Data!J3373</f>
        <v>0</v>
      </c>
      <c r="Q3356">
        <f>Data!K3373</f>
        <v>0</v>
      </c>
      <c r="R3356">
        <f>Data!L3373</f>
        <v>0</v>
      </c>
      <c r="S3356">
        <f>Data!M3373</f>
        <v>0</v>
      </c>
      <c r="T3356">
        <f>Data!N3373</f>
        <v>0</v>
      </c>
      <c r="U3356">
        <f>Data!O3373</f>
        <v>0</v>
      </c>
      <c r="V3356" s="33">
        <f>Data!P3371</f>
        <v>0</v>
      </c>
    </row>
    <row r="3357" spans="7:22" x14ac:dyDescent="0.25">
      <c r="G3357">
        <f>Data!A3370</f>
        <v>0</v>
      </c>
      <c r="H3357" s="21">
        <f>Data!B3370</f>
        <v>0</v>
      </c>
      <c r="I3357" s="21">
        <f>Data!C3370</f>
        <v>0</v>
      </c>
      <c r="J3357">
        <f>Data!D3370</f>
        <v>0</v>
      </c>
      <c r="K3357">
        <f>Data!E3370</f>
        <v>0</v>
      </c>
      <c r="L3357">
        <f>Data!F3370</f>
        <v>0</v>
      </c>
      <c r="M3357">
        <f>Data!G3370</f>
        <v>0</v>
      </c>
      <c r="N3357">
        <f>Data!H3370</f>
        <v>0</v>
      </c>
      <c r="O3357">
        <f>Data!I3370</f>
        <v>0</v>
      </c>
      <c r="P3357" s="21">
        <f>Data!J3374</f>
        <v>0</v>
      </c>
      <c r="Q3357">
        <f>Data!K3374</f>
        <v>0</v>
      </c>
      <c r="R3357">
        <f>Data!L3374</f>
        <v>0</v>
      </c>
      <c r="S3357">
        <f>Data!M3374</f>
        <v>0</v>
      </c>
      <c r="T3357">
        <f>Data!N3374</f>
        <v>0</v>
      </c>
      <c r="U3357">
        <f>Data!O3374</f>
        <v>0</v>
      </c>
      <c r="V3357" s="33">
        <f>Data!P3372</f>
        <v>0</v>
      </c>
    </row>
    <row r="3358" spans="7:22" x14ac:dyDescent="0.25">
      <c r="G3358">
        <f>Data!A3371</f>
        <v>0</v>
      </c>
      <c r="H3358" s="21">
        <f>Data!B3371</f>
        <v>0</v>
      </c>
      <c r="I3358" s="21">
        <f>Data!C3371</f>
        <v>0</v>
      </c>
      <c r="J3358">
        <f>Data!D3371</f>
        <v>0</v>
      </c>
      <c r="K3358">
        <f>Data!E3371</f>
        <v>0</v>
      </c>
      <c r="L3358">
        <f>Data!F3371</f>
        <v>0</v>
      </c>
      <c r="M3358">
        <f>Data!G3371</f>
        <v>0</v>
      </c>
      <c r="N3358">
        <f>Data!H3371</f>
        <v>0</v>
      </c>
      <c r="O3358">
        <f>Data!I3371</f>
        <v>0</v>
      </c>
      <c r="P3358" s="21">
        <f>Data!J3375</f>
        <v>0</v>
      </c>
      <c r="Q3358">
        <f>Data!K3375</f>
        <v>0</v>
      </c>
      <c r="R3358">
        <f>Data!L3375</f>
        <v>0</v>
      </c>
      <c r="S3358">
        <f>Data!M3375</f>
        <v>0</v>
      </c>
      <c r="T3358">
        <f>Data!N3375</f>
        <v>0</v>
      </c>
      <c r="U3358">
        <f>Data!O3375</f>
        <v>0</v>
      </c>
      <c r="V3358" s="33">
        <f>Data!P3373</f>
        <v>0</v>
      </c>
    </row>
    <row r="3359" spans="7:22" x14ac:dyDescent="0.25">
      <c r="G3359">
        <f>Data!A3372</f>
        <v>0</v>
      </c>
      <c r="H3359" s="21">
        <f>Data!B3372</f>
        <v>0</v>
      </c>
      <c r="I3359" s="21">
        <f>Data!C3372</f>
        <v>0</v>
      </c>
      <c r="J3359">
        <f>Data!D3372</f>
        <v>0</v>
      </c>
      <c r="K3359">
        <f>Data!E3372</f>
        <v>0</v>
      </c>
      <c r="L3359">
        <f>Data!F3372</f>
        <v>0</v>
      </c>
      <c r="M3359">
        <f>Data!G3372</f>
        <v>0</v>
      </c>
      <c r="N3359">
        <f>Data!H3372</f>
        <v>0</v>
      </c>
      <c r="O3359">
        <f>Data!I3372</f>
        <v>0</v>
      </c>
      <c r="P3359" s="21">
        <f>Data!J3376</f>
        <v>0</v>
      </c>
      <c r="Q3359">
        <f>Data!K3376</f>
        <v>0</v>
      </c>
      <c r="R3359">
        <f>Data!L3376</f>
        <v>0</v>
      </c>
      <c r="S3359">
        <f>Data!M3376</f>
        <v>0</v>
      </c>
      <c r="T3359">
        <f>Data!N3376</f>
        <v>0</v>
      </c>
      <c r="U3359">
        <f>Data!O3376</f>
        <v>0</v>
      </c>
      <c r="V3359" s="33">
        <f>Data!P3374</f>
        <v>0</v>
      </c>
    </row>
    <row r="3360" spans="7:22" x14ac:dyDescent="0.25">
      <c r="G3360">
        <f>Data!A3373</f>
        <v>0</v>
      </c>
      <c r="H3360" s="21">
        <f>Data!B3373</f>
        <v>0</v>
      </c>
      <c r="I3360" s="21">
        <f>Data!C3373</f>
        <v>0</v>
      </c>
      <c r="J3360">
        <f>Data!D3373</f>
        <v>0</v>
      </c>
      <c r="K3360">
        <f>Data!E3373</f>
        <v>0</v>
      </c>
      <c r="L3360">
        <f>Data!F3373</f>
        <v>0</v>
      </c>
      <c r="M3360">
        <f>Data!G3373</f>
        <v>0</v>
      </c>
      <c r="N3360">
        <f>Data!H3373</f>
        <v>0</v>
      </c>
      <c r="O3360">
        <f>Data!I3373</f>
        <v>0</v>
      </c>
      <c r="P3360" s="21">
        <f>Data!J3377</f>
        <v>0</v>
      </c>
      <c r="Q3360">
        <f>Data!K3377</f>
        <v>0</v>
      </c>
      <c r="R3360">
        <f>Data!L3377</f>
        <v>0</v>
      </c>
      <c r="S3360">
        <f>Data!M3377</f>
        <v>0</v>
      </c>
      <c r="T3360">
        <f>Data!N3377</f>
        <v>0</v>
      </c>
      <c r="U3360">
        <f>Data!O3377</f>
        <v>0</v>
      </c>
      <c r="V3360" s="33">
        <f>Data!P3375</f>
        <v>0</v>
      </c>
    </row>
    <row r="3361" spans="7:22" x14ac:dyDescent="0.25">
      <c r="G3361">
        <f>Data!A3374</f>
        <v>0</v>
      </c>
      <c r="H3361" s="21">
        <f>Data!B3374</f>
        <v>0</v>
      </c>
      <c r="I3361" s="21">
        <f>Data!C3374</f>
        <v>0</v>
      </c>
      <c r="J3361">
        <f>Data!D3374</f>
        <v>0</v>
      </c>
      <c r="K3361">
        <f>Data!E3374</f>
        <v>0</v>
      </c>
      <c r="L3361">
        <f>Data!F3374</f>
        <v>0</v>
      </c>
      <c r="M3361">
        <f>Data!G3374</f>
        <v>0</v>
      </c>
      <c r="N3361">
        <f>Data!H3374</f>
        <v>0</v>
      </c>
      <c r="O3361">
        <f>Data!I3374</f>
        <v>0</v>
      </c>
      <c r="P3361" s="21">
        <f>Data!J3378</f>
        <v>0</v>
      </c>
      <c r="Q3361">
        <f>Data!K3378</f>
        <v>0</v>
      </c>
      <c r="R3361">
        <f>Data!L3378</f>
        <v>0</v>
      </c>
      <c r="S3361">
        <f>Data!M3378</f>
        <v>0</v>
      </c>
      <c r="T3361">
        <f>Data!N3378</f>
        <v>0</v>
      </c>
      <c r="U3361">
        <f>Data!O3378</f>
        <v>0</v>
      </c>
      <c r="V3361" s="33">
        <f>Data!P3376</f>
        <v>0</v>
      </c>
    </row>
    <row r="3362" spans="7:22" x14ac:dyDescent="0.25">
      <c r="G3362">
        <f>Data!A3375</f>
        <v>0</v>
      </c>
      <c r="H3362" s="21">
        <f>Data!B3375</f>
        <v>0</v>
      </c>
      <c r="I3362" s="21">
        <f>Data!C3375</f>
        <v>0</v>
      </c>
      <c r="J3362">
        <f>Data!D3375</f>
        <v>0</v>
      </c>
      <c r="K3362">
        <f>Data!E3375</f>
        <v>0</v>
      </c>
      <c r="L3362">
        <f>Data!F3375</f>
        <v>0</v>
      </c>
      <c r="M3362">
        <f>Data!G3375</f>
        <v>0</v>
      </c>
      <c r="N3362">
        <f>Data!H3375</f>
        <v>0</v>
      </c>
      <c r="O3362">
        <f>Data!I3375</f>
        <v>0</v>
      </c>
      <c r="P3362" s="21">
        <f>Data!J3379</f>
        <v>0</v>
      </c>
      <c r="Q3362">
        <f>Data!K3379</f>
        <v>0</v>
      </c>
      <c r="R3362">
        <f>Data!L3379</f>
        <v>0</v>
      </c>
      <c r="S3362">
        <f>Data!M3379</f>
        <v>0</v>
      </c>
      <c r="T3362">
        <f>Data!N3379</f>
        <v>0</v>
      </c>
      <c r="U3362">
        <f>Data!O3379</f>
        <v>0</v>
      </c>
      <c r="V3362" s="33">
        <f>Data!P3377</f>
        <v>0</v>
      </c>
    </row>
    <row r="3363" spans="7:22" x14ac:dyDescent="0.25">
      <c r="G3363">
        <f>Data!A3376</f>
        <v>0</v>
      </c>
      <c r="H3363" s="21">
        <f>Data!B3376</f>
        <v>0</v>
      </c>
      <c r="I3363" s="21">
        <f>Data!C3376</f>
        <v>0</v>
      </c>
      <c r="J3363">
        <f>Data!D3376</f>
        <v>0</v>
      </c>
      <c r="K3363">
        <f>Data!E3376</f>
        <v>0</v>
      </c>
      <c r="L3363">
        <f>Data!F3376</f>
        <v>0</v>
      </c>
      <c r="M3363">
        <f>Data!G3376</f>
        <v>0</v>
      </c>
      <c r="N3363">
        <f>Data!H3376</f>
        <v>0</v>
      </c>
      <c r="O3363">
        <f>Data!I3376</f>
        <v>0</v>
      </c>
      <c r="P3363" s="21">
        <f>Data!J3380</f>
        <v>0</v>
      </c>
      <c r="Q3363">
        <f>Data!K3380</f>
        <v>0</v>
      </c>
      <c r="R3363">
        <f>Data!L3380</f>
        <v>0</v>
      </c>
      <c r="S3363">
        <f>Data!M3380</f>
        <v>0</v>
      </c>
      <c r="T3363">
        <f>Data!N3380</f>
        <v>0</v>
      </c>
      <c r="U3363">
        <f>Data!O3380</f>
        <v>0</v>
      </c>
      <c r="V3363" s="33">
        <f>Data!P3378</f>
        <v>0</v>
      </c>
    </row>
    <row r="3364" spans="7:22" x14ac:dyDescent="0.25">
      <c r="G3364">
        <f>Data!A3377</f>
        <v>0</v>
      </c>
      <c r="H3364" s="21">
        <f>Data!B3377</f>
        <v>0</v>
      </c>
      <c r="I3364" s="21">
        <f>Data!C3377</f>
        <v>0</v>
      </c>
      <c r="J3364">
        <f>Data!D3377</f>
        <v>0</v>
      </c>
      <c r="K3364">
        <f>Data!E3377</f>
        <v>0</v>
      </c>
      <c r="L3364">
        <f>Data!F3377</f>
        <v>0</v>
      </c>
      <c r="M3364">
        <f>Data!G3377</f>
        <v>0</v>
      </c>
      <c r="N3364">
        <f>Data!H3377</f>
        <v>0</v>
      </c>
      <c r="O3364">
        <f>Data!I3377</f>
        <v>0</v>
      </c>
      <c r="P3364" s="21">
        <f>Data!J3381</f>
        <v>0</v>
      </c>
      <c r="Q3364">
        <f>Data!K3381</f>
        <v>0</v>
      </c>
      <c r="R3364">
        <f>Data!L3381</f>
        <v>0</v>
      </c>
      <c r="S3364">
        <f>Data!M3381</f>
        <v>0</v>
      </c>
      <c r="T3364">
        <f>Data!N3381</f>
        <v>0</v>
      </c>
      <c r="U3364">
        <f>Data!O3381</f>
        <v>0</v>
      </c>
      <c r="V3364" s="33">
        <f>Data!P3379</f>
        <v>0</v>
      </c>
    </row>
    <row r="3365" spans="7:22" x14ac:dyDescent="0.25">
      <c r="G3365">
        <f>Data!A3378</f>
        <v>0</v>
      </c>
      <c r="H3365" s="21">
        <f>Data!B3378</f>
        <v>0</v>
      </c>
      <c r="I3365" s="21">
        <f>Data!C3378</f>
        <v>0</v>
      </c>
      <c r="J3365">
        <f>Data!D3378</f>
        <v>0</v>
      </c>
      <c r="K3365">
        <f>Data!E3378</f>
        <v>0</v>
      </c>
      <c r="L3365">
        <f>Data!F3378</f>
        <v>0</v>
      </c>
      <c r="M3365">
        <f>Data!G3378</f>
        <v>0</v>
      </c>
      <c r="N3365">
        <f>Data!H3378</f>
        <v>0</v>
      </c>
      <c r="O3365">
        <f>Data!I3378</f>
        <v>0</v>
      </c>
      <c r="P3365" s="21">
        <f>Data!J3382</f>
        <v>0</v>
      </c>
      <c r="Q3365">
        <f>Data!K3382</f>
        <v>0</v>
      </c>
      <c r="R3365">
        <f>Data!L3382</f>
        <v>0</v>
      </c>
      <c r="S3365">
        <f>Data!M3382</f>
        <v>0</v>
      </c>
      <c r="T3365">
        <f>Data!N3382</f>
        <v>0</v>
      </c>
      <c r="U3365">
        <f>Data!O3382</f>
        <v>0</v>
      </c>
      <c r="V3365" s="33">
        <f>Data!P3380</f>
        <v>0</v>
      </c>
    </row>
    <row r="3366" spans="7:22" x14ac:dyDescent="0.25">
      <c r="G3366">
        <f>Data!A3379</f>
        <v>0</v>
      </c>
      <c r="H3366" s="21">
        <f>Data!B3379</f>
        <v>0</v>
      </c>
      <c r="I3366" s="21">
        <f>Data!C3379</f>
        <v>0</v>
      </c>
      <c r="J3366">
        <f>Data!D3379</f>
        <v>0</v>
      </c>
      <c r="K3366">
        <f>Data!E3379</f>
        <v>0</v>
      </c>
      <c r="L3366">
        <f>Data!F3379</f>
        <v>0</v>
      </c>
      <c r="M3366">
        <f>Data!G3379</f>
        <v>0</v>
      </c>
      <c r="N3366">
        <f>Data!H3379</f>
        <v>0</v>
      </c>
      <c r="O3366">
        <f>Data!I3379</f>
        <v>0</v>
      </c>
      <c r="P3366" s="21">
        <f>Data!J3383</f>
        <v>0</v>
      </c>
      <c r="Q3366">
        <f>Data!K3383</f>
        <v>0</v>
      </c>
      <c r="R3366">
        <f>Data!L3383</f>
        <v>0</v>
      </c>
      <c r="S3366">
        <f>Data!M3383</f>
        <v>0</v>
      </c>
      <c r="T3366">
        <f>Data!N3383</f>
        <v>0</v>
      </c>
      <c r="U3366">
        <f>Data!O3383</f>
        <v>0</v>
      </c>
      <c r="V3366" s="33">
        <f>Data!P3381</f>
        <v>0</v>
      </c>
    </row>
    <row r="3367" spans="7:22" x14ac:dyDescent="0.25">
      <c r="G3367">
        <f>Data!A3380</f>
        <v>0</v>
      </c>
      <c r="H3367" s="21">
        <f>Data!B3380</f>
        <v>0</v>
      </c>
      <c r="I3367" s="21">
        <f>Data!C3380</f>
        <v>0</v>
      </c>
      <c r="J3367">
        <f>Data!D3380</f>
        <v>0</v>
      </c>
      <c r="K3367">
        <f>Data!E3380</f>
        <v>0</v>
      </c>
      <c r="L3367">
        <f>Data!F3380</f>
        <v>0</v>
      </c>
      <c r="M3367">
        <f>Data!G3380</f>
        <v>0</v>
      </c>
      <c r="N3367">
        <f>Data!H3380</f>
        <v>0</v>
      </c>
      <c r="O3367">
        <f>Data!I3380</f>
        <v>0</v>
      </c>
      <c r="P3367" s="21">
        <f>Data!J3384</f>
        <v>0</v>
      </c>
      <c r="Q3367">
        <f>Data!K3384</f>
        <v>0</v>
      </c>
      <c r="R3367">
        <f>Data!L3384</f>
        <v>0</v>
      </c>
      <c r="S3367">
        <f>Data!M3384</f>
        <v>0</v>
      </c>
      <c r="T3367">
        <f>Data!N3384</f>
        <v>0</v>
      </c>
      <c r="U3367">
        <f>Data!O3384</f>
        <v>0</v>
      </c>
      <c r="V3367" s="33">
        <f>Data!P3382</f>
        <v>0</v>
      </c>
    </row>
    <row r="3368" spans="7:22" x14ac:dyDescent="0.25">
      <c r="G3368">
        <f>Data!A3381</f>
        <v>0</v>
      </c>
      <c r="H3368" s="21">
        <f>Data!B3381</f>
        <v>0</v>
      </c>
      <c r="I3368" s="21">
        <f>Data!C3381</f>
        <v>0</v>
      </c>
      <c r="J3368">
        <f>Data!D3381</f>
        <v>0</v>
      </c>
      <c r="K3368">
        <f>Data!E3381</f>
        <v>0</v>
      </c>
      <c r="L3368">
        <f>Data!F3381</f>
        <v>0</v>
      </c>
      <c r="M3368">
        <f>Data!G3381</f>
        <v>0</v>
      </c>
      <c r="N3368">
        <f>Data!H3381</f>
        <v>0</v>
      </c>
      <c r="O3368">
        <f>Data!I3381</f>
        <v>0</v>
      </c>
      <c r="P3368" s="21">
        <f>Data!J3385</f>
        <v>0</v>
      </c>
      <c r="Q3368">
        <f>Data!K3385</f>
        <v>0</v>
      </c>
      <c r="R3368">
        <f>Data!L3385</f>
        <v>0</v>
      </c>
      <c r="S3368">
        <f>Data!M3385</f>
        <v>0</v>
      </c>
      <c r="T3368">
        <f>Data!N3385</f>
        <v>0</v>
      </c>
      <c r="U3368">
        <f>Data!O3385</f>
        <v>0</v>
      </c>
      <c r="V3368" s="33">
        <f>Data!P3383</f>
        <v>0</v>
      </c>
    </row>
    <row r="3369" spans="7:22" x14ac:dyDescent="0.25">
      <c r="G3369">
        <f>Data!A3382</f>
        <v>0</v>
      </c>
      <c r="H3369" s="21">
        <f>Data!B3382</f>
        <v>0</v>
      </c>
      <c r="I3369" s="21">
        <f>Data!C3382</f>
        <v>0</v>
      </c>
      <c r="J3369">
        <f>Data!D3382</f>
        <v>0</v>
      </c>
      <c r="K3369">
        <f>Data!E3382</f>
        <v>0</v>
      </c>
      <c r="L3369">
        <f>Data!F3382</f>
        <v>0</v>
      </c>
      <c r="M3369">
        <f>Data!G3382</f>
        <v>0</v>
      </c>
      <c r="N3369">
        <f>Data!H3382</f>
        <v>0</v>
      </c>
      <c r="O3369">
        <f>Data!I3382</f>
        <v>0</v>
      </c>
      <c r="P3369" s="21">
        <f>Data!J3386</f>
        <v>0</v>
      </c>
      <c r="Q3369">
        <f>Data!K3386</f>
        <v>0</v>
      </c>
      <c r="R3369">
        <f>Data!L3386</f>
        <v>0</v>
      </c>
      <c r="S3369">
        <f>Data!M3386</f>
        <v>0</v>
      </c>
      <c r="T3369">
        <f>Data!N3386</f>
        <v>0</v>
      </c>
      <c r="U3369">
        <f>Data!O3386</f>
        <v>0</v>
      </c>
      <c r="V3369" s="33">
        <f>Data!P3384</f>
        <v>0</v>
      </c>
    </row>
    <row r="3370" spans="7:22" x14ac:dyDescent="0.25">
      <c r="G3370">
        <f>Data!A3383</f>
        <v>0</v>
      </c>
      <c r="H3370" s="21">
        <f>Data!B3383</f>
        <v>0</v>
      </c>
      <c r="I3370" s="21">
        <f>Data!C3383</f>
        <v>0</v>
      </c>
      <c r="J3370">
        <f>Data!D3383</f>
        <v>0</v>
      </c>
      <c r="K3370">
        <f>Data!E3383</f>
        <v>0</v>
      </c>
      <c r="L3370">
        <f>Data!F3383</f>
        <v>0</v>
      </c>
      <c r="M3370">
        <f>Data!G3383</f>
        <v>0</v>
      </c>
      <c r="N3370">
        <f>Data!H3383</f>
        <v>0</v>
      </c>
      <c r="O3370">
        <f>Data!I3383</f>
        <v>0</v>
      </c>
      <c r="P3370" s="21">
        <f>Data!J3387</f>
        <v>0</v>
      </c>
      <c r="Q3370">
        <f>Data!K3387</f>
        <v>0</v>
      </c>
      <c r="R3370">
        <f>Data!L3387</f>
        <v>0</v>
      </c>
      <c r="S3370">
        <f>Data!M3387</f>
        <v>0</v>
      </c>
      <c r="T3370">
        <f>Data!N3387</f>
        <v>0</v>
      </c>
      <c r="U3370">
        <f>Data!O3387</f>
        <v>0</v>
      </c>
      <c r="V3370" s="33">
        <f>Data!P3385</f>
        <v>0</v>
      </c>
    </row>
    <row r="3371" spans="7:22" x14ac:dyDescent="0.25">
      <c r="G3371">
        <f>Data!A3384</f>
        <v>0</v>
      </c>
      <c r="H3371" s="21">
        <f>Data!B3384</f>
        <v>0</v>
      </c>
      <c r="I3371" s="21">
        <f>Data!C3384</f>
        <v>0</v>
      </c>
      <c r="J3371">
        <f>Data!D3384</f>
        <v>0</v>
      </c>
      <c r="K3371">
        <f>Data!E3384</f>
        <v>0</v>
      </c>
      <c r="L3371">
        <f>Data!F3384</f>
        <v>0</v>
      </c>
      <c r="M3371">
        <f>Data!G3384</f>
        <v>0</v>
      </c>
      <c r="N3371">
        <f>Data!H3384</f>
        <v>0</v>
      </c>
      <c r="O3371">
        <f>Data!I3384</f>
        <v>0</v>
      </c>
      <c r="P3371" s="21">
        <f>Data!J3388</f>
        <v>0</v>
      </c>
      <c r="Q3371">
        <f>Data!K3388</f>
        <v>0</v>
      </c>
      <c r="R3371">
        <f>Data!L3388</f>
        <v>0</v>
      </c>
      <c r="S3371">
        <f>Data!M3388</f>
        <v>0</v>
      </c>
      <c r="T3371">
        <f>Data!N3388</f>
        <v>0</v>
      </c>
      <c r="U3371">
        <f>Data!O3388</f>
        <v>0</v>
      </c>
      <c r="V3371" s="33">
        <f>Data!P3386</f>
        <v>0</v>
      </c>
    </row>
    <row r="3372" spans="7:22" x14ac:dyDescent="0.25">
      <c r="G3372">
        <f>Data!A3385</f>
        <v>0</v>
      </c>
      <c r="H3372" s="21">
        <f>Data!B3385</f>
        <v>0</v>
      </c>
      <c r="I3372" s="21">
        <f>Data!C3385</f>
        <v>0</v>
      </c>
      <c r="J3372">
        <f>Data!D3385</f>
        <v>0</v>
      </c>
      <c r="K3372">
        <f>Data!E3385</f>
        <v>0</v>
      </c>
      <c r="L3372">
        <f>Data!F3385</f>
        <v>0</v>
      </c>
      <c r="M3372">
        <f>Data!G3385</f>
        <v>0</v>
      </c>
      <c r="N3372">
        <f>Data!H3385</f>
        <v>0</v>
      </c>
      <c r="O3372">
        <f>Data!I3385</f>
        <v>0</v>
      </c>
      <c r="P3372" s="21">
        <f>Data!J3389</f>
        <v>0</v>
      </c>
      <c r="Q3372">
        <f>Data!K3389</f>
        <v>0</v>
      </c>
      <c r="R3372">
        <f>Data!L3389</f>
        <v>0</v>
      </c>
      <c r="S3372">
        <f>Data!M3389</f>
        <v>0</v>
      </c>
      <c r="T3372">
        <f>Data!N3389</f>
        <v>0</v>
      </c>
      <c r="U3372">
        <f>Data!O3389</f>
        <v>0</v>
      </c>
      <c r="V3372" s="33">
        <f>Data!P3387</f>
        <v>0</v>
      </c>
    </row>
    <row r="3373" spans="7:22" x14ac:dyDescent="0.25">
      <c r="G3373">
        <f>Data!A3386</f>
        <v>0</v>
      </c>
      <c r="H3373" s="21">
        <f>Data!B3386</f>
        <v>0</v>
      </c>
      <c r="I3373" s="21">
        <f>Data!C3386</f>
        <v>0</v>
      </c>
      <c r="J3373">
        <f>Data!D3386</f>
        <v>0</v>
      </c>
      <c r="K3373">
        <f>Data!E3386</f>
        <v>0</v>
      </c>
      <c r="L3373">
        <f>Data!F3386</f>
        <v>0</v>
      </c>
      <c r="M3373">
        <f>Data!G3386</f>
        <v>0</v>
      </c>
      <c r="N3373">
        <f>Data!H3386</f>
        <v>0</v>
      </c>
      <c r="O3373">
        <f>Data!I3386</f>
        <v>0</v>
      </c>
      <c r="P3373" s="21">
        <f>Data!J3390</f>
        <v>0</v>
      </c>
      <c r="Q3373">
        <f>Data!K3390</f>
        <v>0</v>
      </c>
      <c r="R3373">
        <f>Data!L3390</f>
        <v>0</v>
      </c>
      <c r="S3373">
        <f>Data!M3390</f>
        <v>0</v>
      </c>
      <c r="T3373">
        <f>Data!N3390</f>
        <v>0</v>
      </c>
      <c r="U3373">
        <f>Data!O3390</f>
        <v>0</v>
      </c>
      <c r="V3373" s="33">
        <f>Data!P3388</f>
        <v>0</v>
      </c>
    </row>
    <row r="3374" spans="7:22" x14ac:dyDescent="0.25">
      <c r="G3374">
        <f>Data!A3387</f>
        <v>0</v>
      </c>
      <c r="H3374" s="21">
        <f>Data!B3387</f>
        <v>0</v>
      </c>
      <c r="I3374" s="21">
        <f>Data!C3387</f>
        <v>0</v>
      </c>
      <c r="J3374">
        <f>Data!D3387</f>
        <v>0</v>
      </c>
      <c r="K3374">
        <f>Data!E3387</f>
        <v>0</v>
      </c>
      <c r="L3374">
        <f>Data!F3387</f>
        <v>0</v>
      </c>
      <c r="M3374">
        <f>Data!G3387</f>
        <v>0</v>
      </c>
      <c r="N3374">
        <f>Data!H3387</f>
        <v>0</v>
      </c>
      <c r="O3374">
        <f>Data!I3387</f>
        <v>0</v>
      </c>
      <c r="P3374" s="21">
        <f>Data!J3391</f>
        <v>0</v>
      </c>
      <c r="Q3374">
        <f>Data!K3391</f>
        <v>0</v>
      </c>
      <c r="R3374">
        <f>Data!L3391</f>
        <v>0</v>
      </c>
      <c r="S3374">
        <f>Data!M3391</f>
        <v>0</v>
      </c>
      <c r="T3374">
        <f>Data!N3391</f>
        <v>0</v>
      </c>
      <c r="U3374">
        <f>Data!O3391</f>
        <v>0</v>
      </c>
      <c r="V3374" s="33">
        <f>Data!P3389</f>
        <v>0</v>
      </c>
    </row>
    <row r="3375" spans="7:22" x14ac:dyDescent="0.25">
      <c r="G3375">
        <f>Data!A3388</f>
        <v>0</v>
      </c>
      <c r="H3375" s="21">
        <f>Data!B3388</f>
        <v>0</v>
      </c>
      <c r="I3375" s="21">
        <f>Data!C3388</f>
        <v>0</v>
      </c>
      <c r="J3375">
        <f>Data!D3388</f>
        <v>0</v>
      </c>
      <c r="K3375">
        <f>Data!E3388</f>
        <v>0</v>
      </c>
      <c r="L3375">
        <f>Data!F3388</f>
        <v>0</v>
      </c>
      <c r="M3375">
        <f>Data!G3388</f>
        <v>0</v>
      </c>
      <c r="N3375">
        <f>Data!H3388</f>
        <v>0</v>
      </c>
      <c r="O3375">
        <f>Data!I3388</f>
        <v>0</v>
      </c>
      <c r="P3375" s="21">
        <f>Data!J3392</f>
        <v>0</v>
      </c>
      <c r="Q3375">
        <f>Data!K3392</f>
        <v>0</v>
      </c>
      <c r="R3375">
        <f>Data!L3392</f>
        <v>0</v>
      </c>
      <c r="S3375">
        <f>Data!M3392</f>
        <v>0</v>
      </c>
      <c r="T3375">
        <f>Data!N3392</f>
        <v>0</v>
      </c>
      <c r="U3375">
        <f>Data!O3392</f>
        <v>0</v>
      </c>
      <c r="V3375" s="33">
        <f>Data!P3390</f>
        <v>0</v>
      </c>
    </row>
    <row r="3376" spans="7:22" x14ac:dyDescent="0.25">
      <c r="G3376">
        <f>Data!A3389</f>
        <v>0</v>
      </c>
      <c r="H3376" s="21">
        <f>Data!B3389</f>
        <v>0</v>
      </c>
      <c r="I3376" s="21">
        <f>Data!C3389</f>
        <v>0</v>
      </c>
      <c r="J3376">
        <f>Data!D3389</f>
        <v>0</v>
      </c>
      <c r="K3376">
        <f>Data!E3389</f>
        <v>0</v>
      </c>
      <c r="L3376">
        <f>Data!F3389</f>
        <v>0</v>
      </c>
      <c r="M3376">
        <f>Data!G3389</f>
        <v>0</v>
      </c>
      <c r="N3376">
        <f>Data!H3389</f>
        <v>0</v>
      </c>
      <c r="O3376">
        <f>Data!I3389</f>
        <v>0</v>
      </c>
      <c r="P3376" s="21">
        <f>Data!J3393</f>
        <v>0</v>
      </c>
      <c r="Q3376">
        <f>Data!K3393</f>
        <v>0</v>
      </c>
      <c r="R3376">
        <f>Data!L3393</f>
        <v>0</v>
      </c>
      <c r="S3376">
        <f>Data!M3393</f>
        <v>0</v>
      </c>
      <c r="T3376">
        <f>Data!N3393</f>
        <v>0</v>
      </c>
      <c r="U3376">
        <f>Data!O3393</f>
        <v>0</v>
      </c>
      <c r="V3376" s="33">
        <f>Data!P3391</f>
        <v>0</v>
      </c>
    </row>
    <row r="3377" spans="7:22" x14ac:dyDescent="0.25">
      <c r="G3377">
        <f>Data!A3390</f>
        <v>0</v>
      </c>
      <c r="H3377" s="21">
        <f>Data!B3390</f>
        <v>0</v>
      </c>
      <c r="I3377" s="21">
        <f>Data!C3390</f>
        <v>0</v>
      </c>
      <c r="J3377">
        <f>Data!D3390</f>
        <v>0</v>
      </c>
      <c r="K3377">
        <f>Data!E3390</f>
        <v>0</v>
      </c>
      <c r="L3377">
        <f>Data!F3390</f>
        <v>0</v>
      </c>
      <c r="M3377">
        <f>Data!G3390</f>
        <v>0</v>
      </c>
      <c r="N3377">
        <f>Data!H3390</f>
        <v>0</v>
      </c>
      <c r="O3377">
        <f>Data!I3390</f>
        <v>0</v>
      </c>
      <c r="P3377" s="21">
        <f>Data!J3394</f>
        <v>0</v>
      </c>
      <c r="Q3377">
        <f>Data!K3394</f>
        <v>0</v>
      </c>
      <c r="R3377">
        <f>Data!L3394</f>
        <v>0</v>
      </c>
      <c r="S3377">
        <f>Data!M3394</f>
        <v>0</v>
      </c>
      <c r="T3377">
        <f>Data!N3394</f>
        <v>0</v>
      </c>
      <c r="U3377">
        <f>Data!O3394</f>
        <v>0</v>
      </c>
      <c r="V3377" s="33">
        <f>Data!P3392</f>
        <v>0</v>
      </c>
    </row>
    <row r="3378" spans="7:22" x14ac:dyDescent="0.25">
      <c r="G3378">
        <f>Data!A3391</f>
        <v>0</v>
      </c>
      <c r="H3378" s="21">
        <f>Data!B3391</f>
        <v>0</v>
      </c>
      <c r="I3378" s="21">
        <f>Data!C3391</f>
        <v>0</v>
      </c>
      <c r="J3378">
        <f>Data!D3391</f>
        <v>0</v>
      </c>
      <c r="K3378">
        <f>Data!E3391</f>
        <v>0</v>
      </c>
      <c r="L3378">
        <f>Data!F3391</f>
        <v>0</v>
      </c>
      <c r="M3378">
        <f>Data!G3391</f>
        <v>0</v>
      </c>
      <c r="N3378">
        <f>Data!H3391</f>
        <v>0</v>
      </c>
      <c r="O3378">
        <f>Data!I3391</f>
        <v>0</v>
      </c>
      <c r="P3378" s="21">
        <f>Data!J3395</f>
        <v>0</v>
      </c>
      <c r="Q3378">
        <f>Data!K3395</f>
        <v>0</v>
      </c>
      <c r="R3378">
        <f>Data!L3395</f>
        <v>0</v>
      </c>
      <c r="S3378">
        <f>Data!M3395</f>
        <v>0</v>
      </c>
      <c r="T3378">
        <f>Data!N3395</f>
        <v>0</v>
      </c>
      <c r="U3378">
        <f>Data!O3395</f>
        <v>0</v>
      </c>
      <c r="V3378" s="33">
        <f>Data!P3393</f>
        <v>0</v>
      </c>
    </row>
    <row r="3379" spans="7:22" x14ac:dyDescent="0.25">
      <c r="G3379">
        <f>Data!A3392</f>
        <v>0</v>
      </c>
      <c r="H3379" s="21">
        <f>Data!B3392</f>
        <v>0</v>
      </c>
      <c r="I3379" s="21">
        <f>Data!C3392</f>
        <v>0</v>
      </c>
      <c r="J3379">
        <f>Data!D3392</f>
        <v>0</v>
      </c>
      <c r="K3379">
        <f>Data!E3392</f>
        <v>0</v>
      </c>
      <c r="L3379">
        <f>Data!F3392</f>
        <v>0</v>
      </c>
      <c r="M3379">
        <f>Data!G3392</f>
        <v>0</v>
      </c>
      <c r="N3379">
        <f>Data!H3392</f>
        <v>0</v>
      </c>
      <c r="O3379">
        <f>Data!I3392</f>
        <v>0</v>
      </c>
      <c r="P3379" s="21">
        <f>Data!J3396</f>
        <v>0</v>
      </c>
      <c r="Q3379">
        <f>Data!K3396</f>
        <v>0</v>
      </c>
      <c r="R3379">
        <f>Data!L3396</f>
        <v>0</v>
      </c>
      <c r="S3379">
        <f>Data!M3396</f>
        <v>0</v>
      </c>
      <c r="T3379">
        <f>Data!N3396</f>
        <v>0</v>
      </c>
      <c r="U3379">
        <f>Data!O3396</f>
        <v>0</v>
      </c>
      <c r="V3379" s="33">
        <f>Data!P3394</f>
        <v>0</v>
      </c>
    </row>
    <row r="3380" spans="7:22" x14ac:dyDescent="0.25">
      <c r="G3380">
        <f>Data!A3393</f>
        <v>0</v>
      </c>
      <c r="H3380" s="21">
        <f>Data!B3393</f>
        <v>0</v>
      </c>
      <c r="I3380" s="21">
        <f>Data!C3393</f>
        <v>0</v>
      </c>
      <c r="J3380">
        <f>Data!D3393</f>
        <v>0</v>
      </c>
      <c r="K3380">
        <f>Data!E3393</f>
        <v>0</v>
      </c>
      <c r="L3380">
        <f>Data!F3393</f>
        <v>0</v>
      </c>
      <c r="M3380">
        <f>Data!G3393</f>
        <v>0</v>
      </c>
      <c r="N3380">
        <f>Data!H3393</f>
        <v>0</v>
      </c>
      <c r="O3380">
        <f>Data!I3393</f>
        <v>0</v>
      </c>
      <c r="P3380" s="21">
        <f>Data!J3397</f>
        <v>0</v>
      </c>
      <c r="Q3380">
        <f>Data!K3397</f>
        <v>0</v>
      </c>
      <c r="R3380">
        <f>Data!L3397</f>
        <v>0</v>
      </c>
      <c r="S3380">
        <f>Data!M3397</f>
        <v>0</v>
      </c>
      <c r="T3380">
        <f>Data!N3397</f>
        <v>0</v>
      </c>
      <c r="U3380">
        <f>Data!O3397</f>
        <v>0</v>
      </c>
      <c r="V3380" s="33">
        <f>Data!P3395</f>
        <v>0</v>
      </c>
    </row>
    <row r="3381" spans="7:22" x14ac:dyDescent="0.25">
      <c r="G3381">
        <f>Data!A3394</f>
        <v>0</v>
      </c>
      <c r="H3381" s="21">
        <f>Data!B3394</f>
        <v>0</v>
      </c>
      <c r="I3381" s="21">
        <f>Data!C3394</f>
        <v>0</v>
      </c>
      <c r="J3381">
        <f>Data!D3394</f>
        <v>0</v>
      </c>
      <c r="K3381">
        <f>Data!E3394</f>
        <v>0</v>
      </c>
      <c r="L3381">
        <f>Data!F3394</f>
        <v>0</v>
      </c>
      <c r="M3381">
        <f>Data!G3394</f>
        <v>0</v>
      </c>
      <c r="N3381">
        <f>Data!H3394</f>
        <v>0</v>
      </c>
      <c r="O3381">
        <f>Data!I3394</f>
        <v>0</v>
      </c>
      <c r="P3381" s="21">
        <f>Data!J3398</f>
        <v>0</v>
      </c>
      <c r="Q3381">
        <f>Data!K3398</f>
        <v>0</v>
      </c>
      <c r="R3381">
        <f>Data!L3398</f>
        <v>0</v>
      </c>
      <c r="S3381">
        <f>Data!M3398</f>
        <v>0</v>
      </c>
      <c r="T3381">
        <f>Data!N3398</f>
        <v>0</v>
      </c>
      <c r="U3381">
        <f>Data!O3398</f>
        <v>0</v>
      </c>
      <c r="V3381" s="33">
        <f>Data!P3396</f>
        <v>0</v>
      </c>
    </row>
    <row r="3382" spans="7:22" x14ac:dyDescent="0.25">
      <c r="G3382">
        <f>Data!A3395</f>
        <v>0</v>
      </c>
      <c r="H3382" s="21">
        <f>Data!B3395</f>
        <v>0</v>
      </c>
      <c r="I3382" s="21">
        <f>Data!C3395</f>
        <v>0</v>
      </c>
      <c r="J3382">
        <f>Data!D3395</f>
        <v>0</v>
      </c>
      <c r="K3382">
        <f>Data!E3395</f>
        <v>0</v>
      </c>
      <c r="L3382">
        <f>Data!F3395</f>
        <v>0</v>
      </c>
      <c r="M3382">
        <f>Data!G3395</f>
        <v>0</v>
      </c>
      <c r="N3382">
        <f>Data!H3395</f>
        <v>0</v>
      </c>
      <c r="O3382">
        <f>Data!I3395</f>
        <v>0</v>
      </c>
      <c r="P3382" s="21">
        <f>Data!J3399</f>
        <v>0</v>
      </c>
      <c r="Q3382">
        <f>Data!K3399</f>
        <v>0</v>
      </c>
      <c r="R3382">
        <f>Data!L3399</f>
        <v>0</v>
      </c>
      <c r="S3382">
        <f>Data!M3399</f>
        <v>0</v>
      </c>
      <c r="T3382">
        <f>Data!N3399</f>
        <v>0</v>
      </c>
      <c r="U3382">
        <f>Data!O3399</f>
        <v>0</v>
      </c>
      <c r="V3382" s="33">
        <f>Data!P3397</f>
        <v>0</v>
      </c>
    </row>
    <row r="3383" spans="7:22" x14ac:dyDescent="0.25">
      <c r="G3383">
        <f>Data!A3396</f>
        <v>0</v>
      </c>
      <c r="H3383" s="21">
        <f>Data!B3396</f>
        <v>0</v>
      </c>
      <c r="I3383" s="21">
        <f>Data!C3396</f>
        <v>0</v>
      </c>
      <c r="J3383">
        <f>Data!D3396</f>
        <v>0</v>
      </c>
      <c r="K3383">
        <f>Data!E3396</f>
        <v>0</v>
      </c>
      <c r="L3383">
        <f>Data!F3396</f>
        <v>0</v>
      </c>
      <c r="M3383">
        <f>Data!G3396</f>
        <v>0</v>
      </c>
      <c r="N3383">
        <f>Data!H3396</f>
        <v>0</v>
      </c>
      <c r="O3383">
        <f>Data!I3396</f>
        <v>0</v>
      </c>
      <c r="P3383" s="21">
        <f>Data!J3400</f>
        <v>0</v>
      </c>
      <c r="Q3383">
        <f>Data!K3400</f>
        <v>0</v>
      </c>
      <c r="R3383">
        <f>Data!L3400</f>
        <v>0</v>
      </c>
      <c r="S3383">
        <f>Data!M3400</f>
        <v>0</v>
      </c>
      <c r="T3383">
        <f>Data!N3400</f>
        <v>0</v>
      </c>
      <c r="U3383">
        <f>Data!O3400</f>
        <v>0</v>
      </c>
      <c r="V3383" s="33">
        <f>Data!P3398</f>
        <v>0</v>
      </c>
    </row>
    <row r="3384" spans="7:22" x14ac:dyDescent="0.25">
      <c r="G3384">
        <f>Data!A3397</f>
        <v>0</v>
      </c>
      <c r="H3384" s="21">
        <f>Data!B3397</f>
        <v>0</v>
      </c>
      <c r="I3384" s="21">
        <f>Data!C3397</f>
        <v>0</v>
      </c>
      <c r="J3384">
        <f>Data!D3397</f>
        <v>0</v>
      </c>
      <c r="K3384">
        <f>Data!E3397</f>
        <v>0</v>
      </c>
      <c r="L3384">
        <f>Data!F3397</f>
        <v>0</v>
      </c>
      <c r="M3384">
        <f>Data!G3397</f>
        <v>0</v>
      </c>
      <c r="N3384">
        <f>Data!H3397</f>
        <v>0</v>
      </c>
      <c r="O3384">
        <f>Data!I3397</f>
        <v>0</v>
      </c>
      <c r="P3384" s="21">
        <f>Data!J3401</f>
        <v>0</v>
      </c>
      <c r="Q3384">
        <f>Data!K3401</f>
        <v>0</v>
      </c>
      <c r="R3384">
        <f>Data!L3401</f>
        <v>0</v>
      </c>
      <c r="S3384">
        <f>Data!M3401</f>
        <v>0</v>
      </c>
      <c r="T3384">
        <f>Data!N3401</f>
        <v>0</v>
      </c>
      <c r="U3384">
        <f>Data!O3401</f>
        <v>0</v>
      </c>
      <c r="V3384" s="33">
        <f>Data!P3399</f>
        <v>0</v>
      </c>
    </row>
    <row r="3385" spans="7:22" x14ac:dyDescent="0.25">
      <c r="G3385">
        <f>Data!A3398</f>
        <v>0</v>
      </c>
      <c r="H3385" s="21">
        <f>Data!B3398</f>
        <v>0</v>
      </c>
      <c r="I3385" s="21">
        <f>Data!C3398</f>
        <v>0</v>
      </c>
      <c r="J3385">
        <f>Data!D3398</f>
        <v>0</v>
      </c>
      <c r="K3385">
        <f>Data!E3398</f>
        <v>0</v>
      </c>
      <c r="L3385">
        <f>Data!F3398</f>
        <v>0</v>
      </c>
      <c r="M3385">
        <f>Data!G3398</f>
        <v>0</v>
      </c>
      <c r="N3385">
        <f>Data!H3398</f>
        <v>0</v>
      </c>
      <c r="O3385">
        <f>Data!I3398</f>
        <v>0</v>
      </c>
      <c r="P3385" s="21">
        <f>Data!J3402</f>
        <v>0</v>
      </c>
      <c r="Q3385">
        <f>Data!K3402</f>
        <v>0</v>
      </c>
      <c r="R3385">
        <f>Data!L3402</f>
        <v>0</v>
      </c>
      <c r="S3385">
        <f>Data!M3402</f>
        <v>0</v>
      </c>
      <c r="T3385">
        <f>Data!N3402</f>
        <v>0</v>
      </c>
      <c r="U3385">
        <f>Data!O3402</f>
        <v>0</v>
      </c>
      <c r="V3385" s="33">
        <f>Data!P3400</f>
        <v>0</v>
      </c>
    </row>
    <row r="3386" spans="7:22" x14ac:dyDescent="0.25">
      <c r="G3386">
        <f>Data!A3399</f>
        <v>0</v>
      </c>
      <c r="H3386" s="21">
        <f>Data!B3399</f>
        <v>0</v>
      </c>
      <c r="I3386" s="21">
        <f>Data!C3399</f>
        <v>0</v>
      </c>
      <c r="J3386">
        <f>Data!D3399</f>
        <v>0</v>
      </c>
      <c r="K3386">
        <f>Data!E3399</f>
        <v>0</v>
      </c>
      <c r="L3386">
        <f>Data!F3399</f>
        <v>0</v>
      </c>
      <c r="M3386">
        <f>Data!G3399</f>
        <v>0</v>
      </c>
      <c r="N3386">
        <f>Data!H3399</f>
        <v>0</v>
      </c>
      <c r="O3386">
        <f>Data!I3399</f>
        <v>0</v>
      </c>
      <c r="P3386" s="21">
        <f>Data!J3403</f>
        <v>0</v>
      </c>
      <c r="Q3386">
        <f>Data!K3403</f>
        <v>0</v>
      </c>
      <c r="R3386">
        <f>Data!L3403</f>
        <v>0</v>
      </c>
      <c r="S3386">
        <f>Data!M3403</f>
        <v>0</v>
      </c>
      <c r="T3386">
        <f>Data!N3403</f>
        <v>0</v>
      </c>
      <c r="U3386">
        <f>Data!O3403</f>
        <v>0</v>
      </c>
      <c r="V3386" s="33">
        <f>Data!P3401</f>
        <v>0</v>
      </c>
    </row>
    <row r="3387" spans="7:22" x14ac:dyDescent="0.25">
      <c r="G3387">
        <f>Data!A3400</f>
        <v>0</v>
      </c>
      <c r="H3387" s="21">
        <f>Data!B3400</f>
        <v>0</v>
      </c>
      <c r="I3387" s="21">
        <f>Data!C3400</f>
        <v>0</v>
      </c>
      <c r="J3387">
        <f>Data!D3400</f>
        <v>0</v>
      </c>
      <c r="K3387">
        <f>Data!E3400</f>
        <v>0</v>
      </c>
      <c r="L3387">
        <f>Data!F3400</f>
        <v>0</v>
      </c>
      <c r="M3387">
        <f>Data!G3400</f>
        <v>0</v>
      </c>
      <c r="N3387">
        <f>Data!H3400</f>
        <v>0</v>
      </c>
      <c r="O3387">
        <f>Data!I3400</f>
        <v>0</v>
      </c>
      <c r="P3387" s="21">
        <f>Data!J3404</f>
        <v>0</v>
      </c>
      <c r="Q3387">
        <f>Data!K3404</f>
        <v>0</v>
      </c>
      <c r="R3387">
        <f>Data!L3404</f>
        <v>0</v>
      </c>
      <c r="S3387">
        <f>Data!M3404</f>
        <v>0</v>
      </c>
      <c r="T3387">
        <f>Data!N3404</f>
        <v>0</v>
      </c>
      <c r="U3387">
        <f>Data!O3404</f>
        <v>0</v>
      </c>
      <c r="V3387" s="33">
        <f>Data!P3402</f>
        <v>0</v>
      </c>
    </row>
    <row r="3388" spans="7:22" x14ac:dyDescent="0.25">
      <c r="G3388">
        <f>Data!A3401</f>
        <v>0</v>
      </c>
      <c r="H3388" s="21">
        <f>Data!B3401</f>
        <v>0</v>
      </c>
      <c r="I3388" s="21">
        <f>Data!C3401</f>
        <v>0</v>
      </c>
      <c r="J3388">
        <f>Data!D3401</f>
        <v>0</v>
      </c>
      <c r="K3388">
        <f>Data!E3401</f>
        <v>0</v>
      </c>
      <c r="L3388">
        <f>Data!F3401</f>
        <v>0</v>
      </c>
      <c r="M3388">
        <f>Data!G3401</f>
        <v>0</v>
      </c>
      <c r="N3388">
        <f>Data!H3401</f>
        <v>0</v>
      </c>
      <c r="O3388">
        <f>Data!I3401</f>
        <v>0</v>
      </c>
      <c r="P3388" s="21">
        <f>Data!J3405</f>
        <v>0</v>
      </c>
      <c r="Q3388">
        <f>Data!K3405</f>
        <v>0</v>
      </c>
      <c r="R3388">
        <f>Data!L3405</f>
        <v>0</v>
      </c>
      <c r="S3388">
        <f>Data!M3405</f>
        <v>0</v>
      </c>
      <c r="T3388">
        <f>Data!N3405</f>
        <v>0</v>
      </c>
      <c r="U3388">
        <f>Data!O3405</f>
        <v>0</v>
      </c>
      <c r="V3388" s="33">
        <f>Data!P3403</f>
        <v>0</v>
      </c>
    </row>
    <row r="3389" spans="7:22" x14ac:dyDescent="0.25">
      <c r="G3389">
        <f>Data!A3402</f>
        <v>0</v>
      </c>
      <c r="H3389" s="21">
        <f>Data!B3402</f>
        <v>0</v>
      </c>
      <c r="I3389" s="21">
        <f>Data!C3402</f>
        <v>0</v>
      </c>
      <c r="J3389">
        <f>Data!D3402</f>
        <v>0</v>
      </c>
      <c r="K3389">
        <f>Data!E3402</f>
        <v>0</v>
      </c>
      <c r="L3389">
        <f>Data!F3402</f>
        <v>0</v>
      </c>
      <c r="M3389">
        <f>Data!G3402</f>
        <v>0</v>
      </c>
      <c r="N3389">
        <f>Data!H3402</f>
        <v>0</v>
      </c>
      <c r="O3389">
        <f>Data!I3402</f>
        <v>0</v>
      </c>
      <c r="P3389" s="21">
        <f>Data!J3406</f>
        <v>0</v>
      </c>
      <c r="Q3389">
        <f>Data!K3406</f>
        <v>0</v>
      </c>
      <c r="R3389">
        <f>Data!L3406</f>
        <v>0</v>
      </c>
      <c r="S3389">
        <f>Data!M3406</f>
        <v>0</v>
      </c>
      <c r="T3389">
        <f>Data!N3406</f>
        <v>0</v>
      </c>
      <c r="U3389">
        <f>Data!O3406</f>
        <v>0</v>
      </c>
      <c r="V3389" s="33">
        <f>Data!P3404</f>
        <v>0</v>
      </c>
    </row>
    <row r="3390" spans="7:22" x14ac:dyDescent="0.25">
      <c r="G3390">
        <f>Data!A3403</f>
        <v>0</v>
      </c>
      <c r="H3390" s="21">
        <f>Data!B3403</f>
        <v>0</v>
      </c>
      <c r="I3390" s="21">
        <f>Data!C3403</f>
        <v>0</v>
      </c>
      <c r="J3390">
        <f>Data!D3403</f>
        <v>0</v>
      </c>
      <c r="K3390">
        <f>Data!E3403</f>
        <v>0</v>
      </c>
      <c r="L3390">
        <f>Data!F3403</f>
        <v>0</v>
      </c>
      <c r="M3390">
        <f>Data!G3403</f>
        <v>0</v>
      </c>
      <c r="N3390">
        <f>Data!H3403</f>
        <v>0</v>
      </c>
      <c r="O3390">
        <f>Data!I3403</f>
        <v>0</v>
      </c>
      <c r="P3390" s="21">
        <f>Data!J3407</f>
        <v>0</v>
      </c>
      <c r="Q3390">
        <f>Data!K3407</f>
        <v>0</v>
      </c>
      <c r="R3390">
        <f>Data!L3407</f>
        <v>0</v>
      </c>
      <c r="S3390">
        <f>Data!M3407</f>
        <v>0</v>
      </c>
      <c r="T3390">
        <f>Data!N3407</f>
        <v>0</v>
      </c>
      <c r="U3390">
        <f>Data!O3407</f>
        <v>0</v>
      </c>
      <c r="V3390" s="33">
        <f>Data!P3405</f>
        <v>0</v>
      </c>
    </row>
    <row r="3391" spans="7:22" x14ac:dyDescent="0.25">
      <c r="G3391">
        <f>Data!A3404</f>
        <v>0</v>
      </c>
      <c r="H3391" s="21">
        <f>Data!B3404</f>
        <v>0</v>
      </c>
      <c r="I3391" s="21">
        <f>Data!C3404</f>
        <v>0</v>
      </c>
      <c r="J3391">
        <f>Data!D3404</f>
        <v>0</v>
      </c>
      <c r="K3391">
        <f>Data!E3404</f>
        <v>0</v>
      </c>
      <c r="L3391">
        <f>Data!F3404</f>
        <v>0</v>
      </c>
      <c r="M3391">
        <f>Data!G3404</f>
        <v>0</v>
      </c>
      <c r="N3391">
        <f>Data!H3404</f>
        <v>0</v>
      </c>
      <c r="O3391">
        <f>Data!I3404</f>
        <v>0</v>
      </c>
      <c r="P3391" s="21">
        <f>Data!J3408</f>
        <v>0</v>
      </c>
      <c r="Q3391">
        <f>Data!K3408</f>
        <v>0</v>
      </c>
      <c r="R3391">
        <f>Data!L3408</f>
        <v>0</v>
      </c>
      <c r="S3391">
        <f>Data!M3408</f>
        <v>0</v>
      </c>
      <c r="T3391">
        <f>Data!N3408</f>
        <v>0</v>
      </c>
      <c r="U3391">
        <f>Data!O3408</f>
        <v>0</v>
      </c>
      <c r="V3391" s="33">
        <f>Data!P3406</f>
        <v>0</v>
      </c>
    </row>
    <row r="3392" spans="7:22" x14ac:dyDescent="0.25">
      <c r="G3392">
        <f>Data!A3405</f>
        <v>0</v>
      </c>
      <c r="H3392" s="21">
        <f>Data!B3405</f>
        <v>0</v>
      </c>
      <c r="I3392" s="21">
        <f>Data!C3405</f>
        <v>0</v>
      </c>
      <c r="J3392">
        <f>Data!D3405</f>
        <v>0</v>
      </c>
      <c r="K3392">
        <f>Data!E3405</f>
        <v>0</v>
      </c>
      <c r="L3392">
        <f>Data!F3405</f>
        <v>0</v>
      </c>
      <c r="M3392">
        <f>Data!G3405</f>
        <v>0</v>
      </c>
      <c r="N3392">
        <f>Data!H3405</f>
        <v>0</v>
      </c>
      <c r="O3392">
        <f>Data!I3405</f>
        <v>0</v>
      </c>
      <c r="P3392" s="21">
        <f>Data!J3409</f>
        <v>0</v>
      </c>
      <c r="Q3392">
        <f>Data!K3409</f>
        <v>0</v>
      </c>
      <c r="R3392">
        <f>Data!L3409</f>
        <v>0</v>
      </c>
      <c r="S3392">
        <f>Data!M3409</f>
        <v>0</v>
      </c>
      <c r="T3392">
        <f>Data!N3409</f>
        <v>0</v>
      </c>
      <c r="U3392">
        <f>Data!O3409</f>
        <v>0</v>
      </c>
      <c r="V3392" s="33">
        <f>Data!P3407</f>
        <v>0</v>
      </c>
    </row>
    <row r="3393" spans="7:22" x14ac:dyDescent="0.25">
      <c r="G3393">
        <f>Data!A3406</f>
        <v>0</v>
      </c>
      <c r="H3393" s="21">
        <f>Data!B3406</f>
        <v>0</v>
      </c>
      <c r="I3393" s="21">
        <f>Data!C3406</f>
        <v>0</v>
      </c>
      <c r="J3393">
        <f>Data!D3406</f>
        <v>0</v>
      </c>
      <c r="K3393">
        <f>Data!E3406</f>
        <v>0</v>
      </c>
      <c r="L3393">
        <f>Data!F3406</f>
        <v>0</v>
      </c>
      <c r="M3393">
        <f>Data!G3406</f>
        <v>0</v>
      </c>
      <c r="N3393">
        <f>Data!H3406</f>
        <v>0</v>
      </c>
      <c r="O3393">
        <f>Data!I3406</f>
        <v>0</v>
      </c>
      <c r="P3393" s="21">
        <f>Data!J3410</f>
        <v>0</v>
      </c>
      <c r="Q3393">
        <f>Data!K3410</f>
        <v>0</v>
      </c>
      <c r="R3393">
        <f>Data!L3410</f>
        <v>0</v>
      </c>
      <c r="S3393">
        <f>Data!M3410</f>
        <v>0</v>
      </c>
      <c r="T3393">
        <f>Data!N3410</f>
        <v>0</v>
      </c>
      <c r="U3393">
        <f>Data!O3410</f>
        <v>0</v>
      </c>
      <c r="V3393" s="33">
        <f>Data!P3408</f>
        <v>0</v>
      </c>
    </row>
    <row r="3394" spans="7:22" x14ac:dyDescent="0.25">
      <c r="G3394">
        <f>Data!A3407</f>
        <v>0</v>
      </c>
      <c r="H3394" s="21">
        <f>Data!B3407</f>
        <v>0</v>
      </c>
      <c r="I3394" s="21">
        <f>Data!C3407</f>
        <v>0</v>
      </c>
      <c r="J3394">
        <f>Data!D3407</f>
        <v>0</v>
      </c>
      <c r="K3394">
        <f>Data!E3407</f>
        <v>0</v>
      </c>
      <c r="L3394">
        <f>Data!F3407</f>
        <v>0</v>
      </c>
      <c r="M3394">
        <f>Data!G3407</f>
        <v>0</v>
      </c>
      <c r="N3394">
        <f>Data!H3407</f>
        <v>0</v>
      </c>
      <c r="O3394">
        <f>Data!I3407</f>
        <v>0</v>
      </c>
      <c r="P3394" s="21">
        <f>Data!J3411</f>
        <v>0</v>
      </c>
      <c r="Q3394">
        <f>Data!K3411</f>
        <v>0</v>
      </c>
      <c r="R3394">
        <f>Data!L3411</f>
        <v>0</v>
      </c>
      <c r="S3394">
        <f>Data!M3411</f>
        <v>0</v>
      </c>
      <c r="T3394">
        <f>Data!N3411</f>
        <v>0</v>
      </c>
      <c r="U3394">
        <f>Data!O3411</f>
        <v>0</v>
      </c>
      <c r="V3394" s="33">
        <f>Data!P3409</f>
        <v>0</v>
      </c>
    </row>
    <row r="3395" spans="7:22" x14ac:dyDescent="0.25">
      <c r="G3395">
        <f>Data!A3408</f>
        <v>0</v>
      </c>
      <c r="H3395" s="21">
        <f>Data!B3408</f>
        <v>0</v>
      </c>
      <c r="I3395" s="21">
        <f>Data!C3408</f>
        <v>0</v>
      </c>
      <c r="J3395">
        <f>Data!D3408</f>
        <v>0</v>
      </c>
      <c r="K3395">
        <f>Data!E3408</f>
        <v>0</v>
      </c>
      <c r="L3395">
        <f>Data!F3408</f>
        <v>0</v>
      </c>
      <c r="M3395">
        <f>Data!G3408</f>
        <v>0</v>
      </c>
      <c r="N3395">
        <f>Data!H3408</f>
        <v>0</v>
      </c>
      <c r="O3395">
        <f>Data!I3408</f>
        <v>0</v>
      </c>
      <c r="P3395" s="21">
        <f>Data!J3412</f>
        <v>0</v>
      </c>
      <c r="Q3395">
        <f>Data!K3412</f>
        <v>0</v>
      </c>
      <c r="R3395">
        <f>Data!L3412</f>
        <v>0</v>
      </c>
      <c r="S3395">
        <f>Data!M3412</f>
        <v>0</v>
      </c>
      <c r="T3395">
        <f>Data!N3412</f>
        <v>0</v>
      </c>
      <c r="U3395">
        <f>Data!O3412</f>
        <v>0</v>
      </c>
      <c r="V3395" s="33">
        <f>Data!P3410</f>
        <v>0</v>
      </c>
    </row>
    <row r="3396" spans="7:22" x14ac:dyDescent="0.25">
      <c r="G3396">
        <f>Data!A3409</f>
        <v>0</v>
      </c>
      <c r="H3396" s="21">
        <f>Data!B3409</f>
        <v>0</v>
      </c>
      <c r="I3396" s="21">
        <f>Data!C3409</f>
        <v>0</v>
      </c>
      <c r="J3396">
        <f>Data!D3409</f>
        <v>0</v>
      </c>
      <c r="K3396">
        <f>Data!E3409</f>
        <v>0</v>
      </c>
      <c r="L3396">
        <f>Data!F3409</f>
        <v>0</v>
      </c>
      <c r="M3396">
        <f>Data!G3409</f>
        <v>0</v>
      </c>
      <c r="N3396">
        <f>Data!H3409</f>
        <v>0</v>
      </c>
      <c r="O3396">
        <f>Data!I3409</f>
        <v>0</v>
      </c>
      <c r="P3396" s="21">
        <f>Data!J3413</f>
        <v>0</v>
      </c>
      <c r="Q3396">
        <f>Data!K3413</f>
        <v>0</v>
      </c>
      <c r="R3396">
        <f>Data!L3413</f>
        <v>0</v>
      </c>
      <c r="S3396">
        <f>Data!M3413</f>
        <v>0</v>
      </c>
      <c r="T3396">
        <f>Data!N3413</f>
        <v>0</v>
      </c>
      <c r="U3396">
        <f>Data!O3413</f>
        <v>0</v>
      </c>
      <c r="V3396" s="33">
        <f>Data!P3411</f>
        <v>0</v>
      </c>
    </row>
    <row r="3397" spans="7:22" x14ac:dyDescent="0.25">
      <c r="G3397">
        <f>Data!A3410</f>
        <v>0</v>
      </c>
      <c r="H3397" s="21">
        <f>Data!B3410</f>
        <v>0</v>
      </c>
      <c r="I3397" s="21">
        <f>Data!C3410</f>
        <v>0</v>
      </c>
      <c r="J3397">
        <f>Data!D3410</f>
        <v>0</v>
      </c>
      <c r="K3397">
        <f>Data!E3410</f>
        <v>0</v>
      </c>
      <c r="L3397">
        <f>Data!F3410</f>
        <v>0</v>
      </c>
      <c r="M3397">
        <f>Data!G3410</f>
        <v>0</v>
      </c>
      <c r="N3397">
        <f>Data!H3410</f>
        <v>0</v>
      </c>
      <c r="O3397">
        <f>Data!I3410</f>
        <v>0</v>
      </c>
      <c r="P3397" s="21">
        <f>Data!J3414</f>
        <v>0</v>
      </c>
      <c r="Q3397">
        <f>Data!K3414</f>
        <v>0</v>
      </c>
      <c r="R3397">
        <f>Data!L3414</f>
        <v>0</v>
      </c>
      <c r="S3397">
        <f>Data!M3414</f>
        <v>0</v>
      </c>
      <c r="T3397">
        <f>Data!N3414</f>
        <v>0</v>
      </c>
      <c r="U3397">
        <f>Data!O3414</f>
        <v>0</v>
      </c>
      <c r="V3397" s="33">
        <f>Data!P3412</f>
        <v>0</v>
      </c>
    </row>
    <row r="3398" spans="7:22" x14ac:dyDescent="0.25">
      <c r="G3398">
        <f>Data!A3411</f>
        <v>0</v>
      </c>
      <c r="H3398" s="21">
        <f>Data!B3411</f>
        <v>0</v>
      </c>
      <c r="I3398" s="21">
        <f>Data!C3411</f>
        <v>0</v>
      </c>
      <c r="J3398">
        <f>Data!D3411</f>
        <v>0</v>
      </c>
      <c r="K3398">
        <f>Data!E3411</f>
        <v>0</v>
      </c>
      <c r="L3398">
        <f>Data!F3411</f>
        <v>0</v>
      </c>
      <c r="M3398">
        <f>Data!G3411</f>
        <v>0</v>
      </c>
      <c r="N3398">
        <f>Data!H3411</f>
        <v>0</v>
      </c>
      <c r="O3398">
        <f>Data!I3411</f>
        <v>0</v>
      </c>
      <c r="P3398" s="21">
        <f>Data!J3415</f>
        <v>0</v>
      </c>
      <c r="Q3398">
        <f>Data!K3415</f>
        <v>0</v>
      </c>
      <c r="R3398">
        <f>Data!L3415</f>
        <v>0</v>
      </c>
      <c r="S3398">
        <f>Data!M3415</f>
        <v>0</v>
      </c>
      <c r="T3398">
        <f>Data!N3415</f>
        <v>0</v>
      </c>
      <c r="U3398">
        <f>Data!O3415</f>
        <v>0</v>
      </c>
      <c r="V3398" s="33">
        <f>Data!P3413</f>
        <v>0</v>
      </c>
    </row>
    <row r="3399" spans="7:22" x14ac:dyDescent="0.25">
      <c r="G3399">
        <f>Data!A3412</f>
        <v>0</v>
      </c>
      <c r="H3399" s="21">
        <f>Data!B3412</f>
        <v>0</v>
      </c>
      <c r="I3399" s="21">
        <f>Data!C3412</f>
        <v>0</v>
      </c>
      <c r="J3399">
        <f>Data!D3412</f>
        <v>0</v>
      </c>
      <c r="K3399">
        <f>Data!E3412</f>
        <v>0</v>
      </c>
      <c r="L3399">
        <f>Data!F3412</f>
        <v>0</v>
      </c>
      <c r="M3399">
        <f>Data!G3412</f>
        <v>0</v>
      </c>
      <c r="N3399">
        <f>Data!H3412</f>
        <v>0</v>
      </c>
      <c r="O3399">
        <f>Data!I3412</f>
        <v>0</v>
      </c>
      <c r="P3399" s="21">
        <f>Data!J3416</f>
        <v>0</v>
      </c>
      <c r="Q3399">
        <f>Data!K3416</f>
        <v>0</v>
      </c>
      <c r="R3399">
        <f>Data!L3416</f>
        <v>0</v>
      </c>
      <c r="S3399">
        <f>Data!M3416</f>
        <v>0</v>
      </c>
      <c r="T3399">
        <f>Data!N3416</f>
        <v>0</v>
      </c>
      <c r="U3399">
        <f>Data!O3416</f>
        <v>0</v>
      </c>
      <c r="V3399" s="33">
        <f>Data!P3414</f>
        <v>0</v>
      </c>
    </row>
    <row r="3400" spans="7:22" x14ac:dyDescent="0.25">
      <c r="G3400">
        <f>Data!A3413</f>
        <v>0</v>
      </c>
      <c r="H3400" s="21">
        <f>Data!B3413</f>
        <v>0</v>
      </c>
      <c r="I3400" s="21">
        <f>Data!C3413</f>
        <v>0</v>
      </c>
      <c r="J3400">
        <f>Data!D3413</f>
        <v>0</v>
      </c>
      <c r="K3400">
        <f>Data!E3413</f>
        <v>0</v>
      </c>
      <c r="L3400">
        <f>Data!F3413</f>
        <v>0</v>
      </c>
      <c r="M3400">
        <f>Data!G3413</f>
        <v>0</v>
      </c>
      <c r="N3400">
        <f>Data!H3413</f>
        <v>0</v>
      </c>
      <c r="O3400">
        <f>Data!I3413</f>
        <v>0</v>
      </c>
      <c r="P3400" s="21">
        <f>Data!J3417</f>
        <v>0</v>
      </c>
      <c r="Q3400">
        <f>Data!K3417</f>
        <v>0</v>
      </c>
      <c r="R3400">
        <f>Data!L3417</f>
        <v>0</v>
      </c>
      <c r="S3400">
        <f>Data!M3417</f>
        <v>0</v>
      </c>
      <c r="T3400">
        <f>Data!N3417</f>
        <v>0</v>
      </c>
      <c r="U3400">
        <f>Data!O3417</f>
        <v>0</v>
      </c>
      <c r="V3400" s="33">
        <f>Data!P3415</f>
        <v>0</v>
      </c>
    </row>
    <row r="3401" spans="7:22" x14ac:dyDescent="0.25">
      <c r="G3401">
        <f>Data!A3414</f>
        <v>0</v>
      </c>
      <c r="H3401" s="21">
        <f>Data!B3414</f>
        <v>0</v>
      </c>
      <c r="I3401" s="21">
        <f>Data!C3414</f>
        <v>0</v>
      </c>
      <c r="J3401">
        <f>Data!D3414</f>
        <v>0</v>
      </c>
      <c r="K3401">
        <f>Data!E3414</f>
        <v>0</v>
      </c>
      <c r="L3401">
        <f>Data!F3414</f>
        <v>0</v>
      </c>
      <c r="M3401">
        <f>Data!G3414</f>
        <v>0</v>
      </c>
      <c r="N3401">
        <f>Data!H3414</f>
        <v>0</v>
      </c>
      <c r="O3401">
        <f>Data!I3414</f>
        <v>0</v>
      </c>
      <c r="P3401" s="21">
        <f>Data!J3418</f>
        <v>0</v>
      </c>
      <c r="Q3401">
        <f>Data!K3418</f>
        <v>0</v>
      </c>
      <c r="R3401">
        <f>Data!L3418</f>
        <v>0</v>
      </c>
      <c r="S3401">
        <f>Data!M3418</f>
        <v>0</v>
      </c>
      <c r="T3401">
        <f>Data!N3418</f>
        <v>0</v>
      </c>
      <c r="U3401">
        <f>Data!O3418</f>
        <v>0</v>
      </c>
      <c r="V3401" s="33">
        <f>Data!P3416</f>
        <v>0</v>
      </c>
    </row>
    <row r="3402" spans="7:22" x14ac:dyDescent="0.25">
      <c r="G3402">
        <f>Data!A3415</f>
        <v>0</v>
      </c>
      <c r="H3402" s="21">
        <f>Data!B3415</f>
        <v>0</v>
      </c>
      <c r="I3402" s="21">
        <f>Data!C3415</f>
        <v>0</v>
      </c>
      <c r="J3402">
        <f>Data!D3415</f>
        <v>0</v>
      </c>
      <c r="K3402">
        <f>Data!E3415</f>
        <v>0</v>
      </c>
      <c r="L3402">
        <f>Data!F3415</f>
        <v>0</v>
      </c>
      <c r="M3402">
        <f>Data!G3415</f>
        <v>0</v>
      </c>
      <c r="N3402">
        <f>Data!H3415</f>
        <v>0</v>
      </c>
      <c r="O3402">
        <f>Data!I3415</f>
        <v>0</v>
      </c>
      <c r="P3402" s="21">
        <f>Data!J3419</f>
        <v>0</v>
      </c>
      <c r="Q3402">
        <f>Data!K3419</f>
        <v>0</v>
      </c>
      <c r="R3402">
        <f>Data!L3419</f>
        <v>0</v>
      </c>
      <c r="S3402">
        <f>Data!M3419</f>
        <v>0</v>
      </c>
      <c r="T3402">
        <f>Data!N3419</f>
        <v>0</v>
      </c>
      <c r="U3402">
        <f>Data!O3419</f>
        <v>0</v>
      </c>
      <c r="V3402" s="33">
        <f>Data!P3417</f>
        <v>0</v>
      </c>
    </row>
    <row r="3403" spans="7:22" x14ac:dyDescent="0.25">
      <c r="G3403">
        <f>Data!A3416</f>
        <v>0</v>
      </c>
      <c r="H3403" s="21">
        <f>Data!B3416</f>
        <v>0</v>
      </c>
      <c r="I3403" s="21">
        <f>Data!C3416</f>
        <v>0</v>
      </c>
      <c r="J3403">
        <f>Data!D3416</f>
        <v>0</v>
      </c>
      <c r="K3403">
        <f>Data!E3416</f>
        <v>0</v>
      </c>
      <c r="L3403">
        <f>Data!F3416</f>
        <v>0</v>
      </c>
      <c r="M3403">
        <f>Data!G3416</f>
        <v>0</v>
      </c>
      <c r="N3403">
        <f>Data!H3416</f>
        <v>0</v>
      </c>
      <c r="O3403">
        <f>Data!I3416</f>
        <v>0</v>
      </c>
      <c r="P3403" s="21">
        <f>Data!J3420</f>
        <v>0</v>
      </c>
      <c r="Q3403">
        <f>Data!K3420</f>
        <v>0</v>
      </c>
      <c r="R3403">
        <f>Data!L3420</f>
        <v>0</v>
      </c>
      <c r="S3403">
        <f>Data!M3420</f>
        <v>0</v>
      </c>
      <c r="T3403">
        <f>Data!N3420</f>
        <v>0</v>
      </c>
      <c r="U3403">
        <f>Data!O3420</f>
        <v>0</v>
      </c>
      <c r="V3403" s="33">
        <f>Data!P3418</f>
        <v>0</v>
      </c>
    </row>
    <row r="3404" spans="7:22" x14ac:dyDescent="0.25">
      <c r="G3404">
        <f>Data!A3417</f>
        <v>0</v>
      </c>
      <c r="H3404" s="21">
        <f>Data!B3417</f>
        <v>0</v>
      </c>
      <c r="I3404" s="21">
        <f>Data!C3417</f>
        <v>0</v>
      </c>
      <c r="J3404">
        <f>Data!D3417</f>
        <v>0</v>
      </c>
      <c r="K3404">
        <f>Data!E3417</f>
        <v>0</v>
      </c>
      <c r="L3404">
        <f>Data!F3417</f>
        <v>0</v>
      </c>
      <c r="M3404">
        <f>Data!G3417</f>
        <v>0</v>
      </c>
      <c r="N3404">
        <f>Data!H3417</f>
        <v>0</v>
      </c>
      <c r="O3404">
        <f>Data!I3417</f>
        <v>0</v>
      </c>
      <c r="P3404" s="21">
        <f>Data!J3421</f>
        <v>0</v>
      </c>
      <c r="Q3404">
        <f>Data!K3421</f>
        <v>0</v>
      </c>
      <c r="R3404">
        <f>Data!L3421</f>
        <v>0</v>
      </c>
      <c r="S3404">
        <f>Data!M3421</f>
        <v>0</v>
      </c>
      <c r="T3404">
        <f>Data!N3421</f>
        <v>0</v>
      </c>
      <c r="U3404">
        <f>Data!O3421</f>
        <v>0</v>
      </c>
      <c r="V3404" s="33">
        <f>Data!P3419</f>
        <v>0</v>
      </c>
    </row>
    <row r="3405" spans="7:22" x14ac:dyDescent="0.25">
      <c r="G3405">
        <f>Data!A3418</f>
        <v>0</v>
      </c>
      <c r="H3405" s="21">
        <f>Data!B3418</f>
        <v>0</v>
      </c>
      <c r="I3405" s="21">
        <f>Data!C3418</f>
        <v>0</v>
      </c>
      <c r="J3405">
        <f>Data!D3418</f>
        <v>0</v>
      </c>
      <c r="K3405">
        <f>Data!E3418</f>
        <v>0</v>
      </c>
      <c r="L3405">
        <f>Data!F3418</f>
        <v>0</v>
      </c>
      <c r="M3405">
        <f>Data!G3418</f>
        <v>0</v>
      </c>
      <c r="N3405">
        <f>Data!H3418</f>
        <v>0</v>
      </c>
      <c r="O3405">
        <f>Data!I3418</f>
        <v>0</v>
      </c>
      <c r="P3405" s="21">
        <f>Data!J3422</f>
        <v>0</v>
      </c>
      <c r="Q3405">
        <f>Data!K3422</f>
        <v>0</v>
      </c>
      <c r="R3405">
        <f>Data!L3422</f>
        <v>0</v>
      </c>
      <c r="S3405">
        <f>Data!M3422</f>
        <v>0</v>
      </c>
      <c r="T3405">
        <f>Data!N3422</f>
        <v>0</v>
      </c>
      <c r="U3405">
        <f>Data!O3422</f>
        <v>0</v>
      </c>
      <c r="V3405" s="33">
        <f>Data!P3420</f>
        <v>0</v>
      </c>
    </row>
    <row r="3406" spans="7:22" x14ac:dyDescent="0.25">
      <c r="G3406">
        <f>Data!A3419</f>
        <v>0</v>
      </c>
      <c r="H3406" s="21">
        <f>Data!B3419</f>
        <v>0</v>
      </c>
      <c r="I3406" s="21">
        <f>Data!C3419</f>
        <v>0</v>
      </c>
      <c r="J3406">
        <f>Data!D3419</f>
        <v>0</v>
      </c>
      <c r="K3406">
        <f>Data!E3419</f>
        <v>0</v>
      </c>
      <c r="L3406">
        <f>Data!F3419</f>
        <v>0</v>
      </c>
      <c r="M3406">
        <f>Data!G3419</f>
        <v>0</v>
      </c>
      <c r="N3406">
        <f>Data!H3419</f>
        <v>0</v>
      </c>
      <c r="O3406">
        <f>Data!I3419</f>
        <v>0</v>
      </c>
      <c r="P3406" s="21">
        <f>Data!J3423</f>
        <v>0</v>
      </c>
      <c r="Q3406">
        <f>Data!K3423</f>
        <v>0</v>
      </c>
      <c r="R3406">
        <f>Data!L3423</f>
        <v>0</v>
      </c>
      <c r="S3406">
        <f>Data!M3423</f>
        <v>0</v>
      </c>
      <c r="T3406">
        <f>Data!N3423</f>
        <v>0</v>
      </c>
      <c r="U3406">
        <f>Data!O3423</f>
        <v>0</v>
      </c>
      <c r="V3406" s="33">
        <f>Data!P3421</f>
        <v>0</v>
      </c>
    </row>
    <row r="3407" spans="7:22" x14ac:dyDescent="0.25">
      <c r="G3407">
        <f>Data!A3420</f>
        <v>0</v>
      </c>
      <c r="H3407" s="21">
        <f>Data!B3420</f>
        <v>0</v>
      </c>
      <c r="I3407" s="21">
        <f>Data!C3420</f>
        <v>0</v>
      </c>
      <c r="J3407">
        <f>Data!D3420</f>
        <v>0</v>
      </c>
      <c r="K3407">
        <f>Data!E3420</f>
        <v>0</v>
      </c>
      <c r="L3407">
        <f>Data!F3420</f>
        <v>0</v>
      </c>
      <c r="M3407">
        <f>Data!G3420</f>
        <v>0</v>
      </c>
      <c r="N3407">
        <f>Data!H3420</f>
        <v>0</v>
      </c>
      <c r="O3407">
        <f>Data!I3420</f>
        <v>0</v>
      </c>
      <c r="P3407" s="21">
        <f>Data!J3424</f>
        <v>0</v>
      </c>
      <c r="Q3407">
        <f>Data!K3424</f>
        <v>0</v>
      </c>
      <c r="R3407">
        <f>Data!L3424</f>
        <v>0</v>
      </c>
      <c r="S3407">
        <f>Data!M3424</f>
        <v>0</v>
      </c>
      <c r="T3407">
        <f>Data!N3424</f>
        <v>0</v>
      </c>
      <c r="U3407">
        <f>Data!O3424</f>
        <v>0</v>
      </c>
      <c r="V3407" s="33">
        <f>Data!P3422</f>
        <v>0</v>
      </c>
    </row>
    <row r="3408" spans="7:22" x14ac:dyDescent="0.25">
      <c r="G3408">
        <f>Data!A3421</f>
        <v>0</v>
      </c>
      <c r="H3408" s="21">
        <f>Data!B3421</f>
        <v>0</v>
      </c>
      <c r="I3408" s="21">
        <f>Data!C3421</f>
        <v>0</v>
      </c>
      <c r="J3408">
        <f>Data!D3421</f>
        <v>0</v>
      </c>
      <c r="K3408">
        <f>Data!E3421</f>
        <v>0</v>
      </c>
      <c r="L3408">
        <f>Data!F3421</f>
        <v>0</v>
      </c>
      <c r="M3408">
        <f>Data!G3421</f>
        <v>0</v>
      </c>
      <c r="N3408">
        <f>Data!H3421</f>
        <v>0</v>
      </c>
      <c r="O3408">
        <f>Data!I3421</f>
        <v>0</v>
      </c>
      <c r="P3408" s="21">
        <f>Data!J3425</f>
        <v>0</v>
      </c>
      <c r="Q3408">
        <f>Data!K3425</f>
        <v>0</v>
      </c>
      <c r="R3408">
        <f>Data!L3425</f>
        <v>0</v>
      </c>
      <c r="S3408">
        <f>Data!M3425</f>
        <v>0</v>
      </c>
      <c r="T3408">
        <f>Data!N3425</f>
        <v>0</v>
      </c>
      <c r="U3408">
        <f>Data!O3425</f>
        <v>0</v>
      </c>
      <c r="V3408" s="33">
        <f>Data!P3423</f>
        <v>0</v>
      </c>
    </row>
    <row r="3409" spans="7:22" x14ac:dyDescent="0.25">
      <c r="G3409">
        <f>Data!A3422</f>
        <v>0</v>
      </c>
      <c r="H3409" s="21">
        <f>Data!B3422</f>
        <v>0</v>
      </c>
      <c r="I3409" s="21">
        <f>Data!C3422</f>
        <v>0</v>
      </c>
      <c r="J3409">
        <f>Data!D3422</f>
        <v>0</v>
      </c>
      <c r="K3409">
        <f>Data!E3422</f>
        <v>0</v>
      </c>
      <c r="L3409">
        <f>Data!F3422</f>
        <v>0</v>
      </c>
      <c r="M3409">
        <f>Data!G3422</f>
        <v>0</v>
      </c>
      <c r="N3409">
        <f>Data!H3422</f>
        <v>0</v>
      </c>
      <c r="O3409">
        <f>Data!I3422</f>
        <v>0</v>
      </c>
      <c r="P3409" s="21">
        <f>Data!J3426</f>
        <v>0</v>
      </c>
      <c r="Q3409">
        <f>Data!K3426</f>
        <v>0</v>
      </c>
      <c r="R3409">
        <f>Data!L3426</f>
        <v>0</v>
      </c>
      <c r="S3409">
        <f>Data!M3426</f>
        <v>0</v>
      </c>
      <c r="T3409">
        <f>Data!N3426</f>
        <v>0</v>
      </c>
      <c r="U3409">
        <f>Data!O3426</f>
        <v>0</v>
      </c>
      <c r="V3409" s="33">
        <f>Data!P3424</f>
        <v>0</v>
      </c>
    </row>
    <row r="3410" spans="7:22" x14ac:dyDescent="0.25">
      <c r="G3410">
        <f>Data!A3423</f>
        <v>0</v>
      </c>
      <c r="H3410" s="21">
        <f>Data!B3423</f>
        <v>0</v>
      </c>
      <c r="I3410" s="21">
        <f>Data!C3423</f>
        <v>0</v>
      </c>
      <c r="J3410">
        <f>Data!D3423</f>
        <v>0</v>
      </c>
      <c r="K3410">
        <f>Data!E3423</f>
        <v>0</v>
      </c>
      <c r="L3410">
        <f>Data!F3423</f>
        <v>0</v>
      </c>
      <c r="M3410">
        <f>Data!G3423</f>
        <v>0</v>
      </c>
      <c r="N3410">
        <f>Data!H3423</f>
        <v>0</v>
      </c>
      <c r="O3410">
        <f>Data!I3423</f>
        <v>0</v>
      </c>
      <c r="P3410" s="21">
        <f>Data!J3427</f>
        <v>0</v>
      </c>
      <c r="Q3410">
        <f>Data!K3427</f>
        <v>0</v>
      </c>
      <c r="R3410">
        <f>Data!L3427</f>
        <v>0</v>
      </c>
      <c r="S3410">
        <f>Data!M3427</f>
        <v>0</v>
      </c>
      <c r="T3410">
        <f>Data!N3427</f>
        <v>0</v>
      </c>
      <c r="U3410">
        <f>Data!O3427</f>
        <v>0</v>
      </c>
      <c r="V3410" s="33">
        <f>Data!P3425</f>
        <v>0</v>
      </c>
    </row>
    <row r="3411" spans="7:22" x14ac:dyDescent="0.25">
      <c r="G3411">
        <f>Data!A3424</f>
        <v>0</v>
      </c>
      <c r="H3411" s="21">
        <f>Data!B3424</f>
        <v>0</v>
      </c>
      <c r="I3411" s="21">
        <f>Data!C3424</f>
        <v>0</v>
      </c>
      <c r="J3411">
        <f>Data!D3424</f>
        <v>0</v>
      </c>
      <c r="K3411">
        <f>Data!E3424</f>
        <v>0</v>
      </c>
      <c r="L3411">
        <f>Data!F3424</f>
        <v>0</v>
      </c>
      <c r="M3411">
        <f>Data!G3424</f>
        <v>0</v>
      </c>
      <c r="N3411">
        <f>Data!H3424</f>
        <v>0</v>
      </c>
      <c r="O3411">
        <f>Data!I3424</f>
        <v>0</v>
      </c>
      <c r="P3411" s="21">
        <f>Data!J3428</f>
        <v>0</v>
      </c>
      <c r="Q3411">
        <f>Data!K3428</f>
        <v>0</v>
      </c>
      <c r="R3411">
        <f>Data!L3428</f>
        <v>0</v>
      </c>
      <c r="S3411">
        <f>Data!M3428</f>
        <v>0</v>
      </c>
      <c r="T3411">
        <f>Data!N3428</f>
        <v>0</v>
      </c>
      <c r="U3411">
        <f>Data!O3428</f>
        <v>0</v>
      </c>
      <c r="V3411" s="33">
        <f>Data!P3426</f>
        <v>0</v>
      </c>
    </row>
    <row r="3412" spans="7:22" x14ac:dyDescent="0.25">
      <c r="G3412">
        <f>Data!A3425</f>
        <v>0</v>
      </c>
      <c r="H3412" s="21">
        <f>Data!B3425</f>
        <v>0</v>
      </c>
      <c r="I3412" s="21">
        <f>Data!C3425</f>
        <v>0</v>
      </c>
      <c r="J3412">
        <f>Data!D3425</f>
        <v>0</v>
      </c>
      <c r="K3412">
        <f>Data!E3425</f>
        <v>0</v>
      </c>
      <c r="L3412">
        <f>Data!F3425</f>
        <v>0</v>
      </c>
      <c r="M3412">
        <f>Data!G3425</f>
        <v>0</v>
      </c>
      <c r="N3412">
        <f>Data!H3425</f>
        <v>0</v>
      </c>
      <c r="O3412">
        <f>Data!I3425</f>
        <v>0</v>
      </c>
      <c r="P3412" s="21">
        <f>Data!J3429</f>
        <v>0</v>
      </c>
      <c r="Q3412">
        <f>Data!K3429</f>
        <v>0</v>
      </c>
      <c r="R3412">
        <f>Data!L3429</f>
        <v>0</v>
      </c>
      <c r="S3412">
        <f>Data!M3429</f>
        <v>0</v>
      </c>
      <c r="T3412">
        <f>Data!N3429</f>
        <v>0</v>
      </c>
      <c r="U3412">
        <f>Data!O3429</f>
        <v>0</v>
      </c>
      <c r="V3412" s="33">
        <f>Data!P3427</f>
        <v>0</v>
      </c>
    </row>
    <row r="3413" spans="7:22" x14ac:dyDescent="0.25">
      <c r="G3413">
        <f>Data!A3426</f>
        <v>0</v>
      </c>
      <c r="H3413" s="21">
        <f>Data!B3426</f>
        <v>0</v>
      </c>
      <c r="I3413" s="21">
        <f>Data!C3426</f>
        <v>0</v>
      </c>
      <c r="J3413">
        <f>Data!D3426</f>
        <v>0</v>
      </c>
      <c r="K3413">
        <f>Data!E3426</f>
        <v>0</v>
      </c>
      <c r="L3413">
        <f>Data!F3426</f>
        <v>0</v>
      </c>
      <c r="M3413">
        <f>Data!G3426</f>
        <v>0</v>
      </c>
      <c r="N3413">
        <f>Data!H3426</f>
        <v>0</v>
      </c>
      <c r="O3413">
        <f>Data!I3426</f>
        <v>0</v>
      </c>
      <c r="P3413" s="21">
        <f>Data!J3430</f>
        <v>0</v>
      </c>
      <c r="Q3413">
        <f>Data!K3430</f>
        <v>0</v>
      </c>
      <c r="R3413">
        <f>Data!L3430</f>
        <v>0</v>
      </c>
      <c r="S3413">
        <f>Data!M3430</f>
        <v>0</v>
      </c>
      <c r="T3413">
        <f>Data!N3430</f>
        <v>0</v>
      </c>
      <c r="U3413">
        <f>Data!O3430</f>
        <v>0</v>
      </c>
      <c r="V3413" s="33">
        <f>Data!P3428</f>
        <v>0</v>
      </c>
    </row>
    <row r="3414" spans="7:22" x14ac:dyDescent="0.25">
      <c r="G3414">
        <f>Data!A3427</f>
        <v>0</v>
      </c>
      <c r="H3414" s="21">
        <f>Data!B3427</f>
        <v>0</v>
      </c>
      <c r="I3414" s="21">
        <f>Data!C3427</f>
        <v>0</v>
      </c>
      <c r="J3414">
        <f>Data!D3427</f>
        <v>0</v>
      </c>
      <c r="K3414">
        <f>Data!E3427</f>
        <v>0</v>
      </c>
      <c r="L3414">
        <f>Data!F3427</f>
        <v>0</v>
      </c>
      <c r="M3414">
        <f>Data!G3427</f>
        <v>0</v>
      </c>
      <c r="N3414">
        <f>Data!H3427</f>
        <v>0</v>
      </c>
      <c r="O3414">
        <f>Data!I3427</f>
        <v>0</v>
      </c>
      <c r="P3414" s="21">
        <f>Data!J3431</f>
        <v>0</v>
      </c>
      <c r="Q3414">
        <f>Data!K3431</f>
        <v>0</v>
      </c>
      <c r="R3414">
        <f>Data!L3431</f>
        <v>0</v>
      </c>
      <c r="S3414">
        <f>Data!M3431</f>
        <v>0</v>
      </c>
      <c r="T3414">
        <f>Data!N3431</f>
        <v>0</v>
      </c>
      <c r="U3414">
        <f>Data!O3431</f>
        <v>0</v>
      </c>
      <c r="V3414" s="33">
        <f>Data!P3429</f>
        <v>0</v>
      </c>
    </row>
    <row r="3415" spans="7:22" x14ac:dyDescent="0.25">
      <c r="G3415">
        <f>Data!A3428</f>
        <v>0</v>
      </c>
      <c r="H3415" s="21">
        <f>Data!B3428</f>
        <v>0</v>
      </c>
      <c r="I3415" s="21">
        <f>Data!C3428</f>
        <v>0</v>
      </c>
      <c r="J3415">
        <f>Data!D3428</f>
        <v>0</v>
      </c>
      <c r="K3415">
        <f>Data!E3428</f>
        <v>0</v>
      </c>
      <c r="L3415">
        <f>Data!F3428</f>
        <v>0</v>
      </c>
      <c r="M3415">
        <f>Data!G3428</f>
        <v>0</v>
      </c>
      <c r="N3415">
        <f>Data!H3428</f>
        <v>0</v>
      </c>
      <c r="O3415">
        <f>Data!I3428</f>
        <v>0</v>
      </c>
      <c r="P3415" s="21">
        <f>Data!J3432</f>
        <v>0</v>
      </c>
      <c r="Q3415">
        <f>Data!K3432</f>
        <v>0</v>
      </c>
      <c r="R3415">
        <f>Data!L3432</f>
        <v>0</v>
      </c>
      <c r="S3415">
        <f>Data!M3432</f>
        <v>0</v>
      </c>
      <c r="T3415">
        <f>Data!N3432</f>
        <v>0</v>
      </c>
      <c r="U3415">
        <f>Data!O3432</f>
        <v>0</v>
      </c>
      <c r="V3415" s="33">
        <f>Data!P3430</f>
        <v>0</v>
      </c>
    </row>
    <row r="3416" spans="7:22" x14ac:dyDescent="0.25">
      <c r="G3416">
        <f>Data!A3429</f>
        <v>0</v>
      </c>
      <c r="H3416" s="21">
        <f>Data!B3429</f>
        <v>0</v>
      </c>
      <c r="I3416" s="21">
        <f>Data!C3429</f>
        <v>0</v>
      </c>
      <c r="J3416">
        <f>Data!D3429</f>
        <v>0</v>
      </c>
      <c r="K3416">
        <f>Data!E3429</f>
        <v>0</v>
      </c>
      <c r="L3416">
        <f>Data!F3429</f>
        <v>0</v>
      </c>
      <c r="M3416">
        <f>Data!G3429</f>
        <v>0</v>
      </c>
      <c r="N3416">
        <f>Data!H3429</f>
        <v>0</v>
      </c>
      <c r="O3416">
        <f>Data!I3429</f>
        <v>0</v>
      </c>
      <c r="P3416" s="21">
        <f>Data!J3433</f>
        <v>0</v>
      </c>
      <c r="Q3416">
        <f>Data!K3433</f>
        <v>0</v>
      </c>
      <c r="R3416">
        <f>Data!L3433</f>
        <v>0</v>
      </c>
      <c r="S3416">
        <f>Data!M3433</f>
        <v>0</v>
      </c>
      <c r="T3416">
        <f>Data!N3433</f>
        <v>0</v>
      </c>
      <c r="U3416">
        <f>Data!O3433</f>
        <v>0</v>
      </c>
      <c r="V3416" s="33">
        <f>Data!P3431</f>
        <v>0</v>
      </c>
    </row>
    <row r="3417" spans="7:22" x14ac:dyDescent="0.25">
      <c r="G3417">
        <f>Data!A3430</f>
        <v>0</v>
      </c>
      <c r="H3417" s="21">
        <f>Data!B3430</f>
        <v>0</v>
      </c>
      <c r="I3417" s="21">
        <f>Data!C3430</f>
        <v>0</v>
      </c>
      <c r="J3417">
        <f>Data!D3430</f>
        <v>0</v>
      </c>
      <c r="K3417">
        <f>Data!E3430</f>
        <v>0</v>
      </c>
      <c r="L3417">
        <f>Data!F3430</f>
        <v>0</v>
      </c>
      <c r="M3417">
        <f>Data!G3430</f>
        <v>0</v>
      </c>
      <c r="N3417">
        <f>Data!H3430</f>
        <v>0</v>
      </c>
      <c r="O3417">
        <f>Data!I3430</f>
        <v>0</v>
      </c>
      <c r="P3417" s="21">
        <f>Data!J3434</f>
        <v>0</v>
      </c>
      <c r="Q3417">
        <f>Data!K3434</f>
        <v>0</v>
      </c>
      <c r="R3417">
        <f>Data!L3434</f>
        <v>0</v>
      </c>
      <c r="S3417">
        <f>Data!M3434</f>
        <v>0</v>
      </c>
      <c r="T3417">
        <f>Data!N3434</f>
        <v>0</v>
      </c>
      <c r="U3417">
        <f>Data!O3434</f>
        <v>0</v>
      </c>
      <c r="V3417" s="33">
        <f>Data!P3432</f>
        <v>0</v>
      </c>
    </row>
    <row r="3418" spans="7:22" x14ac:dyDescent="0.25">
      <c r="G3418">
        <f>Data!A3431</f>
        <v>0</v>
      </c>
      <c r="H3418" s="21">
        <f>Data!B3431</f>
        <v>0</v>
      </c>
      <c r="I3418" s="21">
        <f>Data!C3431</f>
        <v>0</v>
      </c>
      <c r="J3418">
        <f>Data!D3431</f>
        <v>0</v>
      </c>
      <c r="K3418">
        <f>Data!E3431</f>
        <v>0</v>
      </c>
      <c r="L3418">
        <f>Data!F3431</f>
        <v>0</v>
      </c>
      <c r="M3418">
        <f>Data!G3431</f>
        <v>0</v>
      </c>
      <c r="N3418">
        <f>Data!H3431</f>
        <v>0</v>
      </c>
      <c r="O3418">
        <f>Data!I3431</f>
        <v>0</v>
      </c>
      <c r="P3418" s="21">
        <f>Data!J3435</f>
        <v>0</v>
      </c>
      <c r="Q3418">
        <f>Data!K3435</f>
        <v>0</v>
      </c>
      <c r="R3418">
        <f>Data!L3435</f>
        <v>0</v>
      </c>
      <c r="S3418">
        <f>Data!M3435</f>
        <v>0</v>
      </c>
      <c r="T3418">
        <f>Data!N3435</f>
        <v>0</v>
      </c>
      <c r="U3418">
        <f>Data!O3435</f>
        <v>0</v>
      </c>
      <c r="V3418" s="33">
        <f>Data!P3433</f>
        <v>0</v>
      </c>
    </row>
    <row r="3419" spans="7:22" x14ac:dyDescent="0.25">
      <c r="G3419">
        <f>Data!A3432</f>
        <v>0</v>
      </c>
      <c r="H3419" s="21">
        <f>Data!B3432</f>
        <v>0</v>
      </c>
      <c r="I3419" s="21">
        <f>Data!C3432</f>
        <v>0</v>
      </c>
      <c r="J3419">
        <f>Data!D3432</f>
        <v>0</v>
      </c>
      <c r="K3419">
        <f>Data!E3432</f>
        <v>0</v>
      </c>
      <c r="L3419">
        <f>Data!F3432</f>
        <v>0</v>
      </c>
      <c r="M3419">
        <f>Data!G3432</f>
        <v>0</v>
      </c>
      <c r="N3419">
        <f>Data!H3432</f>
        <v>0</v>
      </c>
      <c r="O3419">
        <f>Data!I3432</f>
        <v>0</v>
      </c>
      <c r="P3419" s="21">
        <f>Data!J3436</f>
        <v>0</v>
      </c>
      <c r="Q3419">
        <f>Data!K3436</f>
        <v>0</v>
      </c>
      <c r="R3419">
        <f>Data!L3436</f>
        <v>0</v>
      </c>
      <c r="S3419">
        <f>Data!M3436</f>
        <v>0</v>
      </c>
      <c r="T3419">
        <f>Data!N3436</f>
        <v>0</v>
      </c>
      <c r="U3419">
        <f>Data!O3436</f>
        <v>0</v>
      </c>
      <c r="V3419" s="33">
        <f>Data!P3434</f>
        <v>0</v>
      </c>
    </row>
    <row r="3420" spans="7:22" x14ac:dyDescent="0.25">
      <c r="G3420">
        <f>Data!A3433</f>
        <v>0</v>
      </c>
      <c r="H3420" s="21">
        <f>Data!B3433</f>
        <v>0</v>
      </c>
      <c r="I3420" s="21">
        <f>Data!C3433</f>
        <v>0</v>
      </c>
      <c r="J3420">
        <f>Data!D3433</f>
        <v>0</v>
      </c>
      <c r="K3420">
        <f>Data!E3433</f>
        <v>0</v>
      </c>
      <c r="L3420">
        <f>Data!F3433</f>
        <v>0</v>
      </c>
      <c r="M3420">
        <f>Data!G3433</f>
        <v>0</v>
      </c>
      <c r="N3420">
        <f>Data!H3433</f>
        <v>0</v>
      </c>
      <c r="O3420">
        <f>Data!I3433</f>
        <v>0</v>
      </c>
      <c r="P3420" s="21">
        <f>Data!J3437</f>
        <v>0</v>
      </c>
      <c r="Q3420">
        <f>Data!K3437</f>
        <v>0</v>
      </c>
      <c r="R3420">
        <f>Data!L3437</f>
        <v>0</v>
      </c>
      <c r="S3420">
        <f>Data!M3437</f>
        <v>0</v>
      </c>
      <c r="T3420">
        <f>Data!N3437</f>
        <v>0</v>
      </c>
      <c r="U3420">
        <f>Data!O3437</f>
        <v>0</v>
      </c>
      <c r="V3420" s="33">
        <f>Data!P3435</f>
        <v>0</v>
      </c>
    </row>
    <row r="3421" spans="7:22" x14ac:dyDescent="0.25">
      <c r="G3421">
        <f>Data!A3434</f>
        <v>0</v>
      </c>
      <c r="H3421" s="21">
        <f>Data!B3434</f>
        <v>0</v>
      </c>
      <c r="I3421" s="21">
        <f>Data!C3434</f>
        <v>0</v>
      </c>
      <c r="J3421">
        <f>Data!D3434</f>
        <v>0</v>
      </c>
      <c r="K3421">
        <f>Data!E3434</f>
        <v>0</v>
      </c>
      <c r="L3421">
        <f>Data!F3434</f>
        <v>0</v>
      </c>
      <c r="M3421">
        <f>Data!G3434</f>
        <v>0</v>
      </c>
      <c r="N3421">
        <f>Data!H3434</f>
        <v>0</v>
      </c>
      <c r="O3421">
        <f>Data!I3434</f>
        <v>0</v>
      </c>
      <c r="P3421" s="21">
        <f>Data!J3438</f>
        <v>0</v>
      </c>
      <c r="Q3421">
        <f>Data!K3438</f>
        <v>0</v>
      </c>
      <c r="R3421">
        <f>Data!L3438</f>
        <v>0</v>
      </c>
      <c r="S3421">
        <f>Data!M3438</f>
        <v>0</v>
      </c>
      <c r="T3421">
        <f>Data!N3438</f>
        <v>0</v>
      </c>
      <c r="U3421">
        <f>Data!O3438</f>
        <v>0</v>
      </c>
      <c r="V3421" s="33">
        <f>Data!P3436</f>
        <v>0</v>
      </c>
    </row>
    <row r="3422" spans="7:22" x14ac:dyDescent="0.25">
      <c r="G3422">
        <f>Data!A3435</f>
        <v>0</v>
      </c>
      <c r="H3422" s="21">
        <f>Data!B3435</f>
        <v>0</v>
      </c>
      <c r="I3422" s="21">
        <f>Data!C3435</f>
        <v>0</v>
      </c>
      <c r="J3422">
        <f>Data!D3435</f>
        <v>0</v>
      </c>
      <c r="K3422">
        <f>Data!E3435</f>
        <v>0</v>
      </c>
      <c r="L3422">
        <f>Data!F3435</f>
        <v>0</v>
      </c>
      <c r="M3422">
        <f>Data!G3435</f>
        <v>0</v>
      </c>
      <c r="N3422">
        <f>Data!H3435</f>
        <v>0</v>
      </c>
      <c r="O3422">
        <f>Data!I3435</f>
        <v>0</v>
      </c>
      <c r="P3422" s="21">
        <f>Data!J3439</f>
        <v>0</v>
      </c>
      <c r="Q3422">
        <f>Data!K3439</f>
        <v>0</v>
      </c>
      <c r="R3422">
        <f>Data!L3439</f>
        <v>0</v>
      </c>
      <c r="S3422">
        <f>Data!M3439</f>
        <v>0</v>
      </c>
      <c r="T3422">
        <f>Data!N3439</f>
        <v>0</v>
      </c>
      <c r="U3422">
        <f>Data!O3439</f>
        <v>0</v>
      </c>
      <c r="V3422" s="33">
        <f>Data!P3437</f>
        <v>0</v>
      </c>
    </row>
    <row r="3423" spans="7:22" x14ac:dyDescent="0.25">
      <c r="G3423">
        <f>Data!A3436</f>
        <v>0</v>
      </c>
      <c r="H3423" s="21">
        <f>Data!B3436</f>
        <v>0</v>
      </c>
      <c r="I3423" s="21">
        <f>Data!C3436</f>
        <v>0</v>
      </c>
      <c r="J3423">
        <f>Data!D3436</f>
        <v>0</v>
      </c>
      <c r="K3423">
        <f>Data!E3436</f>
        <v>0</v>
      </c>
      <c r="L3423">
        <f>Data!F3436</f>
        <v>0</v>
      </c>
      <c r="M3423">
        <f>Data!G3436</f>
        <v>0</v>
      </c>
      <c r="N3423">
        <f>Data!H3436</f>
        <v>0</v>
      </c>
      <c r="O3423">
        <f>Data!I3436</f>
        <v>0</v>
      </c>
      <c r="P3423" s="21">
        <f>Data!J3440</f>
        <v>0</v>
      </c>
      <c r="Q3423">
        <f>Data!K3440</f>
        <v>0</v>
      </c>
      <c r="R3423">
        <f>Data!L3440</f>
        <v>0</v>
      </c>
      <c r="S3423">
        <f>Data!M3440</f>
        <v>0</v>
      </c>
      <c r="T3423">
        <f>Data!N3440</f>
        <v>0</v>
      </c>
      <c r="U3423">
        <f>Data!O3440</f>
        <v>0</v>
      </c>
      <c r="V3423" s="33">
        <f>Data!P3438</f>
        <v>0</v>
      </c>
    </row>
    <row r="3424" spans="7:22" x14ac:dyDescent="0.25">
      <c r="G3424">
        <f>Data!A3437</f>
        <v>0</v>
      </c>
      <c r="H3424" s="21">
        <f>Data!B3437</f>
        <v>0</v>
      </c>
      <c r="I3424" s="21">
        <f>Data!C3437</f>
        <v>0</v>
      </c>
      <c r="J3424">
        <f>Data!D3437</f>
        <v>0</v>
      </c>
      <c r="K3424">
        <f>Data!E3437</f>
        <v>0</v>
      </c>
      <c r="L3424">
        <f>Data!F3437</f>
        <v>0</v>
      </c>
      <c r="M3424">
        <f>Data!G3437</f>
        <v>0</v>
      </c>
      <c r="N3424">
        <f>Data!H3437</f>
        <v>0</v>
      </c>
      <c r="O3424">
        <f>Data!I3437</f>
        <v>0</v>
      </c>
      <c r="P3424" s="21">
        <f>Data!J3441</f>
        <v>0</v>
      </c>
      <c r="Q3424">
        <f>Data!K3441</f>
        <v>0</v>
      </c>
      <c r="R3424">
        <f>Data!L3441</f>
        <v>0</v>
      </c>
      <c r="S3424">
        <f>Data!M3441</f>
        <v>0</v>
      </c>
      <c r="T3424">
        <f>Data!N3441</f>
        <v>0</v>
      </c>
      <c r="U3424">
        <f>Data!O3441</f>
        <v>0</v>
      </c>
      <c r="V3424" s="33">
        <f>Data!P3439</f>
        <v>0</v>
      </c>
    </row>
    <row r="3425" spans="7:22" x14ac:dyDescent="0.25">
      <c r="G3425">
        <f>Data!A3438</f>
        <v>0</v>
      </c>
      <c r="H3425" s="21">
        <f>Data!B3438</f>
        <v>0</v>
      </c>
      <c r="I3425" s="21">
        <f>Data!C3438</f>
        <v>0</v>
      </c>
      <c r="J3425">
        <f>Data!D3438</f>
        <v>0</v>
      </c>
      <c r="K3425">
        <f>Data!E3438</f>
        <v>0</v>
      </c>
      <c r="L3425">
        <f>Data!F3438</f>
        <v>0</v>
      </c>
      <c r="M3425">
        <f>Data!G3438</f>
        <v>0</v>
      </c>
      <c r="N3425">
        <f>Data!H3438</f>
        <v>0</v>
      </c>
      <c r="O3425">
        <f>Data!I3438</f>
        <v>0</v>
      </c>
      <c r="P3425" s="21">
        <f>Data!J3442</f>
        <v>0</v>
      </c>
      <c r="Q3425">
        <f>Data!K3442</f>
        <v>0</v>
      </c>
      <c r="R3425">
        <f>Data!L3442</f>
        <v>0</v>
      </c>
      <c r="S3425">
        <f>Data!M3442</f>
        <v>0</v>
      </c>
      <c r="T3425">
        <f>Data!N3442</f>
        <v>0</v>
      </c>
      <c r="U3425">
        <f>Data!O3442</f>
        <v>0</v>
      </c>
      <c r="V3425" s="33">
        <f>Data!P3440</f>
        <v>0</v>
      </c>
    </row>
    <row r="3426" spans="7:22" x14ac:dyDescent="0.25">
      <c r="G3426">
        <f>Data!A3439</f>
        <v>0</v>
      </c>
      <c r="H3426" s="21">
        <f>Data!B3439</f>
        <v>0</v>
      </c>
      <c r="I3426" s="21">
        <f>Data!C3439</f>
        <v>0</v>
      </c>
      <c r="J3426">
        <f>Data!D3439</f>
        <v>0</v>
      </c>
      <c r="K3426">
        <f>Data!E3439</f>
        <v>0</v>
      </c>
      <c r="L3426">
        <f>Data!F3439</f>
        <v>0</v>
      </c>
      <c r="M3426">
        <f>Data!G3439</f>
        <v>0</v>
      </c>
      <c r="N3426">
        <f>Data!H3439</f>
        <v>0</v>
      </c>
      <c r="O3426">
        <f>Data!I3439</f>
        <v>0</v>
      </c>
      <c r="P3426" s="21">
        <f>Data!J3443</f>
        <v>0</v>
      </c>
      <c r="Q3426">
        <f>Data!K3443</f>
        <v>0</v>
      </c>
      <c r="R3426">
        <f>Data!L3443</f>
        <v>0</v>
      </c>
      <c r="S3426">
        <f>Data!M3443</f>
        <v>0</v>
      </c>
      <c r="T3426">
        <f>Data!N3443</f>
        <v>0</v>
      </c>
      <c r="U3426">
        <f>Data!O3443</f>
        <v>0</v>
      </c>
      <c r="V3426" s="33">
        <f>Data!P3441</f>
        <v>0</v>
      </c>
    </row>
    <row r="3427" spans="7:22" x14ac:dyDescent="0.25">
      <c r="G3427">
        <f>Data!A3440</f>
        <v>0</v>
      </c>
      <c r="H3427" s="21">
        <f>Data!B3440</f>
        <v>0</v>
      </c>
      <c r="I3427" s="21">
        <f>Data!C3440</f>
        <v>0</v>
      </c>
      <c r="J3427">
        <f>Data!D3440</f>
        <v>0</v>
      </c>
      <c r="K3427">
        <f>Data!E3440</f>
        <v>0</v>
      </c>
      <c r="L3427">
        <f>Data!F3440</f>
        <v>0</v>
      </c>
      <c r="M3427">
        <f>Data!G3440</f>
        <v>0</v>
      </c>
      <c r="N3427">
        <f>Data!H3440</f>
        <v>0</v>
      </c>
      <c r="O3427">
        <f>Data!I3440</f>
        <v>0</v>
      </c>
      <c r="P3427" s="21">
        <f>Data!J3444</f>
        <v>0</v>
      </c>
      <c r="Q3427">
        <f>Data!K3444</f>
        <v>0</v>
      </c>
      <c r="R3427">
        <f>Data!L3444</f>
        <v>0</v>
      </c>
      <c r="S3427">
        <f>Data!M3444</f>
        <v>0</v>
      </c>
      <c r="T3427">
        <f>Data!N3444</f>
        <v>0</v>
      </c>
      <c r="U3427">
        <f>Data!O3444</f>
        <v>0</v>
      </c>
      <c r="V3427" s="33">
        <f>Data!P3442</f>
        <v>0</v>
      </c>
    </row>
    <row r="3428" spans="7:22" x14ac:dyDescent="0.25">
      <c r="G3428">
        <f>Data!A3441</f>
        <v>0</v>
      </c>
      <c r="H3428" s="21">
        <f>Data!B3441</f>
        <v>0</v>
      </c>
      <c r="I3428" s="21">
        <f>Data!C3441</f>
        <v>0</v>
      </c>
      <c r="J3428">
        <f>Data!D3441</f>
        <v>0</v>
      </c>
      <c r="K3428">
        <f>Data!E3441</f>
        <v>0</v>
      </c>
      <c r="L3428">
        <f>Data!F3441</f>
        <v>0</v>
      </c>
      <c r="M3428">
        <f>Data!G3441</f>
        <v>0</v>
      </c>
      <c r="N3428">
        <f>Data!H3441</f>
        <v>0</v>
      </c>
      <c r="O3428">
        <f>Data!I3441</f>
        <v>0</v>
      </c>
      <c r="P3428" s="21">
        <f>Data!J3445</f>
        <v>0</v>
      </c>
      <c r="Q3428">
        <f>Data!K3445</f>
        <v>0</v>
      </c>
      <c r="R3428">
        <f>Data!L3445</f>
        <v>0</v>
      </c>
      <c r="S3428">
        <f>Data!M3445</f>
        <v>0</v>
      </c>
      <c r="T3428">
        <f>Data!N3445</f>
        <v>0</v>
      </c>
      <c r="U3428">
        <f>Data!O3445</f>
        <v>0</v>
      </c>
      <c r="V3428" s="33">
        <f>Data!P3443</f>
        <v>0</v>
      </c>
    </row>
    <row r="3429" spans="7:22" x14ac:dyDescent="0.25">
      <c r="G3429">
        <f>Data!A3442</f>
        <v>0</v>
      </c>
      <c r="H3429" s="21">
        <f>Data!B3442</f>
        <v>0</v>
      </c>
      <c r="I3429" s="21">
        <f>Data!C3442</f>
        <v>0</v>
      </c>
      <c r="J3429">
        <f>Data!D3442</f>
        <v>0</v>
      </c>
      <c r="K3429">
        <f>Data!E3442</f>
        <v>0</v>
      </c>
      <c r="L3429">
        <f>Data!F3442</f>
        <v>0</v>
      </c>
      <c r="M3429">
        <f>Data!G3442</f>
        <v>0</v>
      </c>
      <c r="N3429">
        <f>Data!H3442</f>
        <v>0</v>
      </c>
      <c r="O3429">
        <f>Data!I3442</f>
        <v>0</v>
      </c>
      <c r="P3429" s="21">
        <f>Data!J3446</f>
        <v>0</v>
      </c>
      <c r="Q3429">
        <f>Data!K3446</f>
        <v>0</v>
      </c>
      <c r="R3429">
        <f>Data!L3446</f>
        <v>0</v>
      </c>
      <c r="S3429">
        <f>Data!M3446</f>
        <v>0</v>
      </c>
      <c r="T3429">
        <f>Data!N3446</f>
        <v>0</v>
      </c>
      <c r="U3429">
        <f>Data!O3446</f>
        <v>0</v>
      </c>
      <c r="V3429" s="33">
        <f>Data!P3444</f>
        <v>0</v>
      </c>
    </row>
    <row r="3430" spans="7:22" x14ac:dyDescent="0.25">
      <c r="G3430">
        <f>Data!A3443</f>
        <v>0</v>
      </c>
      <c r="H3430" s="21">
        <f>Data!B3443</f>
        <v>0</v>
      </c>
      <c r="I3430" s="21">
        <f>Data!C3443</f>
        <v>0</v>
      </c>
      <c r="J3430">
        <f>Data!D3443</f>
        <v>0</v>
      </c>
      <c r="K3430">
        <f>Data!E3443</f>
        <v>0</v>
      </c>
      <c r="L3430">
        <f>Data!F3443</f>
        <v>0</v>
      </c>
      <c r="M3430">
        <f>Data!G3443</f>
        <v>0</v>
      </c>
      <c r="N3430">
        <f>Data!H3443</f>
        <v>0</v>
      </c>
      <c r="O3430">
        <f>Data!I3443</f>
        <v>0</v>
      </c>
      <c r="P3430" s="21">
        <f>Data!J3447</f>
        <v>0</v>
      </c>
      <c r="Q3430">
        <f>Data!K3447</f>
        <v>0</v>
      </c>
      <c r="R3430">
        <f>Data!L3447</f>
        <v>0</v>
      </c>
      <c r="S3430">
        <f>Data!M3447</f>
        <v>0</v>
      </c>
      <c r="T3430">
        <f>Data!N3447</f>
        <v>0</v>
      </c>
      <c r="U3430">
        <f>Data!O3447</f>
        <v>0</v>
      </c>
      <c r="V3430" s="33">
        <f>Data!P3445</f>
        <v>0</v>
      </c>
    </row>
    <row r="3431" spans="7:22" x14ac:dyDescent="0.25">
      <c r="G3431">
        <f>Data!A3444</f>
        <v>0</v>
      </c>
      <c r="H3431" s="21">
        <f>Data!B3444</f>
        <v>0</v>
      </c>
      <c r="I3431" s="21">
        <f>Data!C3444</f>
        <v>0</v>
      </c>
      <c r="J3431">
        <f>Data!D3444</f>
        <v>0</v>
      </c>
      <c r="K3431">
        <f>Data!E3444</f>
        <v>0</v>
      </c>
      <c r="L3431">
        <f>Data!F3444</f>
        <v>0</v>
      </c>
      <c r="M3431">
        <f>Data!G3444</f>
        <v>0</v>
      </c>
      <c r="N3431">
        <f>Data!H3444</f>
        <v>0</v>
      </c>
      <c r="O3431">
        <f>Data!I3444</f>
        <v>0</v>
      </c>
      <c r="P3431" s="21">
        <f>Data!J3448</f>
        <v>0</v>
      </c>
      <c r="Q3431">
        <f>Data!K3448</f>
        <v>0</v>
      </c>
      <c r="R3431">
        <f>Data!L3448</f>
        <v>0</v>
      </c>
      <c r="S3431">
        <f>Data!M3448</f>
        <v>0</v>
      </c>
      <c r="T3431">
        <f>Data!N3448</f>
        <v>0</v>
      </c>
      <c r="U3431">
        <f>Data!O3448</f>
        <v>0</v>
      </c>
      <c r="V3431" s="33">
        <f>Data!P3446</f>
        <v>0</v>
      </c>
    </row>
    <row r="3432" spans="7:22" x14ac:dyDescent="0.25">
      <c r="G3432">
        <f>Data!A3445</f>
        <v>0</v>
      </c>
      <c r="H3432" s="21">
        <f>Data!B3445</f>
        <v>0</v>
      </c>
      <c r="I3432" s="21">
        <f>Data!C3445</f>
        <v>0</v>
      </c>
      <c r="J3432">
        <f>Data!D3445</f>
        <v>0</v>
      </c>
      <c r="K3432">
        <f>Data!E3445</f>
        <v>0</v>
      </c>
      <c r="L3432">
        <f>Data!F3445</f>
        <v>0</v>
      </c>
      <c r="M3432">
        <f>Data!G3445</f>
        <v>0</v>
      </c>
      <c r="N3432">
        <f>Data!H3445</f>
        <v>0</v>
      </c>
      <c r="O3432">
        <f>Data!I3445</f>
        <v>0</v>
      </c>
      <c r="P3432" s="21">
        <f>Data!J3449</f>
        <v>0</v>
      </c>
      <c r="Q3432">
        <f>Data!K3449</f>
        <v>0</v>
      </c>
      <c r="R3432">
        <f>Data!L3449</f>
        <v>0</v>
      </c>
      <c r="S3432">
        <f>Data!M3449</f>
        <v>0</v>
      </c>
      <c r="T3432">
        <f>Data!N3449</f>
        <v>0</v>
      </c>
      <c r="U3432">
        <f>Data!O3449</f>
        <v>0</v>
      </c>
      <c r="V3432" s="33">
        <f>Data!P3447</f>
        <v>0</v>
      </c>
    </row>
    <row r="3433" spans="7:22" x14ac:dyDescent="0.25">
      <c r="G3433">
        <f>Data!A3446</f>
        <v>0</v>
      </c>
      <c r="H3433" s="21">
        <f>Data!B3446</f>
        <v>0</v>
      </c>
      <c r="I3433" s="21">
        <f>Data!C3446</f>
        <v>0</v>
      </c>
      <c r="J3433">
        <f>Data!D3446</f>
        <v>0</v>
      </c>
      <c r="K3433">
        <f>Data!E3446</f>
        <v>0</v>
      </c>
      <c r="L3433">
        <f>Data!F3446</f>
        <v>0</v>
      </c>
      <c r="M3433">
        <f>Data!G3446</f>
        <v>0</v>
      </c>
      <c r="N3433">
        <f>Data!H3446</f>
        <v>0</v>
      </c>
      <c r="O3433">
        <f>Data!I3446</f>
        <v>0</v>
      </c>
      <c r="P3433" s="21">
        <f>Data!J3450</f>
        <v>0</v>
      </c>
      <c r="Q3433">
        <f>Data!K3450</f>
        <v>0</v>
      </c>
      <c r="R3433">
        <f>Data!L3450</f>
        <v>0</v>
      </c>
      <c r="S3433">
        <f>Data!M3450</f>
        <v>0</v>
      </c>
      <c r="T3433">
        <f>Data!N3450</f>
        <v>0</v>
      </c>
      <c r="U3433">
        <f>Data!O3450</f>
        <v>0</v>
      </c>
      <c r="V3433" s="33">
        <f>Data!P3448</f>
        <v>0</v>
      </c>
    </row>
    <row r="3434" spans="7:22" x14ac:dyDescent="0.25">
      <c r="G3434">
        <f>Data!A3447</f>
        <v>0</v>
      </c>
      <c r="H3434" s="21">
        <f>Data!B3447</f>
        <v>0</v>
      </c>
      <c r="I3434" s="21">
        <f>Data!C3447</f>
        <v>0</v>
      </c>
      <c r="J3434">
        <f>Data!D3447</f>
        <v>0</v>
      </c>
      <c r="K3434">
        <f>Data!E3447</f>
        <v>0</v>
      </c>
      <c r="L3434">
        <f>Data!F3447</f>
        <v>0</v>
      </c>
      <c r="M3434">
        <f>Data!G3447</f>
        <v>0</v>
      </c>
      <c r="N3434">
        <f>Data!H3447</f>
        <v>0</v>
      </c>
      <c r="O3434">
        <f>Data!I3447</f>
        <v>0</v>
      </c>
      <c r="P3434" s="21">
        <f>Data!J3451</f>
        <v>0</v>
      </c>
      <c r="Q3434">
        <f>Data!K3451</f>
        <v>0</v>
      </c>
      <c r="R3434">
        <f>Data!L3451</f>
        <v>0</v>
      </c>
      <c r="S3434">
        <f>Data!M3451</f>
        <v>0</v>
      </c>
      <c r="T3434">
        <f>Data!N3451</f>
        <v>0</v>
      </c>
      <c r="U3434">
        <f>Data!O3451</f>
        <v>0</v>
      </c>
      <c r="V3434" s="33">
        <f>Data!P3449</f>
        <v>0</v>
      </c>
    </row>
    <row r="3435" spans="7:22" x14ac:dyDescent="0.25">
      <c r="G3435">
        <f>Data!A3448</f>
        <v>0</v>
      </c>
      <c r="H3435" s="21">
        <f>Data!B3448</f>
        <v>0</v>
      </c>
      <c r="I3435" s="21">
        <f>Data!C3448</f>
        <v>0</v>
      </c>
      <c r="J3435">
        <f>Data!D3448</f>
        <v>0</v>
      </c>
      <c r="K3435">
        <f>Data!E3448</f>
        <v>0</v>
      </c>
      <c r="L3435">
        <f>Data!F3448</f>
        <v>0</v>
      </c>
      <c r="M3435">
        <f>Data!G3448</f>
        <v>0</v>
      </c>
      <c r="N3435">
        <f>Data!H3448</f>
        <v>0</v>
      </c>
      <c r="O3435">
        <f>Data!I3448</f>
        <v>0</v>
      </c>
      <c r="P3435" s="21">
        <f>Data!J3452</f>
        <v>0</v>
      </c>
      <c r="Q3435">
        <f>Data!K3452</f>
        <v>0</v>
      </c>
      <c r="R3435">
        <f>Data!L3452</f>
        <v>0</v>
      </c>
      <c r="S3435">
        <f>Data!M3452</f>
        <v>0</v>
      </c>
      <c r="T3435">
        <f>Data!N3452</f>
        <v>0</v>
      </c>
      <c r="U3435">
        <f>Data!O3452</f>
        <v>0</v>
      </c>
      <c r="V3435" s="33">
        <f>Data!P3450</f>
        <v>0</v>
      </c>
    </row>
    <row r="3436" spans="7:22" x14ac:dyDescent="0.25">
      <c r="G3436">
        <f>Data!A3449</f>
        <v>0</v>
      </c>
      <c r="H3436" s="21">
        <f>Data!B3449</f>
        <v>0</v>
      </c>
      <c r="I3436" s="21">
        <f>Data!C3449</f>
        <v>0</v>
      </c>
      <c r="J3436">
        <f>Data!D3449</f>
        <v>0</v>
      </c>
      <c r="K3436">
        <f>Data!E3449</f>
        <v>0</v>
      </c>
      <c r="L3436">
        <f>Data!F3449</f>
        <v>0</v>
      </c>
      <c r="M3436">
        <f>Data!G3449</f>
        <v>0</v>
      </c>
      <c r="N3436">
        <f>Data!H3449</f>
        <v>0</v>
      </c>
      <c r="O3436">
        <f>Data!I3449</f>
        <v>0</v>
      </c>
      <c r="P3436" s="21">
        <f>Data!J3453</f>
        <v>0</v>
      </c>
      <c r="Q3436">
        <f>Data!K3453</f>
        <v>0</v>
      </c>
      <c r="R3436">
        <f>Data!L3453</f>
        <v>0</v>
      </c>
      <c r="S3436">
        <f>Data!M3453</f>
        <v>0</v>
      </c>
      <c r="T3436">
        <f>Data!N3453</f>
        <v>0</v>
      </c>
      <c r="U3436">
        <f>Data!O3453</f>
        <v>0</v>
      </c>
      <c r="V3436" s="33">
        <f>Data!P3451</f>
        <v>0</v>
      </c>
    </row>
    <row r="3437" spans="7:22" x14ac:dyDescent="0.25">
      <c r="G3437">
        <f>Data!A3450</f>
        <v>0</v>
      </c>
      <c r="H3437" s="21">
        <f>Data!B3450</f>
        <v>0</v>
      </c>
      <c r="I3437" s="21">
        <f>Data!C3450</f>
        <v>0</v>
      </c>
      <c r="J3437">
        <f>Data!D3450</f>
        <v>0</v>
      </c>
      <c r="K3437">
        <f>Data!E3450</f>
        <v>0</v>
      </c>
      <c r="L3437">
        <f>Data!F3450</f>
        <v>0</v>
      </c>
      <c r="M3437">
        <f>Data!G3450</f>
        <v>0</v>
      </c>
      <c r="N3437">
        <f>Data!H3450</f>
        <v>0</v>
      </c>
      <c r="O3437">
        <f>Data!I3450</f>
        <v>0</v>
      </c>
      <c r="P3437" s="21">
        <f>Data!J3454</f>
        <v>0</v>
      </c>
      <c r="Q3437">
        <f>Data!K3454</f>
        <v>0</v>
      </c>
      <c r="R3437">
        <f>Data!L3454</f>
        <v>0</v>
      </c>
      <c r="S3437">
        <f>Data!M3454</f>
        <v>0</v>
      </c>
      <c r="T3437">
        <f>Data!N3454</f>
        <v>0</v>
      </c>
      <c r="U3437">
        <f>Data!O3454</f>
        <v>0</v>
      </c>
      <c r="V3437" s="33">
        <f>Data!P3452</f>
        <v>0</v>
      </c>
    </row>
    <row r="3438" spans="7:22" x14ac:dyDescent="0.25">
      <c r="G3438">
        <f>Data!A3451</f>
        <v>0</v>
      </c>
      <c r="H3438" s="21">
        <f>Data!B3451</f>
        <v>0</v>
      </c>
      <c r="I3438" s="21">
        <f>Data!C3451</f>
        <v>0</v>
      </c>
      <c r="J3438">
        <f>Data!D3451</f>
        <v>0</v>
      </c>
      <c r="K3438">
        <f>Data!E3451</f>
        <v>0</v>
      </c>
      <c r="L3438">
        <f>Data!F3451</f>
        <v>0</v>
      </c>
      <c r="M3438">
        <f>Data!G3451</f>
        <v>0</v>
      </c>
      <c r="N3438">
        <f>Data!H3451</f>
        <v>0</v>
      </c>
      <c r="O3438">
        <f>Data!I3451</f>
        <v>0</v>
      </c>
      <c r="P3438" s="21">
        <f>Data!J3455</f>
        <v>0</v>
      </c>
      <c r="Q3438">
        <f>Data!K3455</f>
        <v>0</v>
      </c>
      <c r="R3438">
        <f>Data!L3455</f>
        <v>0</v>
      </c>
      <c r="S3438">
        <f>Data!M3455</f>
        <v>0</v>
      </c>
      <c r="T3438">
        <f>Data!N3455</f>
        <v>0</v>
      </c>
      <c r="U3438">
        <f>Data!O3455</f>
        <v>0</v>
      </c>
      <c r="V3438" s="33">
        <f>Data!P3453</f>
        <v>0</v>
      </c>
    </row>
    <row r="3439" spans="7:22" x14ac:dyDescent="0.25">
      <c r="G3439">
        <f>Data!A3452</f>
        <v>0</v>
      </c>
      <c r="H3439" s="21">
        <f>Data!B3452</f>
        <v>0</v>
      </c>
      <c r="I3439" s="21">
        <f>Data!C3452</f>
        <v>0</v>
      </c>
      <c r="J3439">
        <f>Data!D3452</f>
        <v>0</v>
      </c>
      <c r="K3439">
        <f>Data!E3452</f>
        <v>0</v>
      </c>
      <c r="L3439">
        <f>Data!F3452</f>
        <v>0</v>
      </c>
      <c r="M3439">
        <f>Data!G3452</f>
        <v>0</v>
      </c>
      <c r="N3439">
        <f>Data!H3452</f>
        <v>0</v>
      </c>
      <c r="O3439">
        <f>Data!I3452</f>
        <v>0</v>
      </c>
      <c r="P3439" s="21">
        <f>Data!J3456</f>
        <v>0</v>
      </c>
      <c r="Q3439">
        <f>Data!K3456</f>
        <v>0</v>
      </c>
      <c r="R3439">
        <f>Data!L3456</f>
        <v>0</v>
      </c>
      <c r="S3439">
        <f>Data!M3456</f>
        <v>0</v>
      </c>
      <c r="T3439">
        <f>Data!N3456</f>
        <v>0</v>
      </c>
      <c r="U3439">
        <f>Data!O3456</f>
        <v>0</v>
      </c>
      <c r="V3439" s="33">
        <f>Data!P3454</f>
        <v>0</v>
      </c>
    </row>
    <row r="3440" spans="7:22" x14ac:dyDescent="0.25">
      <c r="G3440">
        <f>Data!A3453</f>
        <v>0</v>
      </c>
      <c r="H3440" s="21">
        <f>Data!B3453</f>
        <v>0</v>
      </c>
      <c r="I3440" s="21">
        <f>Data!C3453</f>
        <v>0</v>
      </c>
      <c r="J3440">
        <f>Data!D3453</f>
        <v>0</v>
      </c>
      <c r="K3440">
        <f>Data!E3453</f>
        <v>0</v>
      </c>
      <c r="L3440">
        <f>Data!F3453</f>
        <v>0</v>
      </c>
      <c r="M3440">
        <f>Data!G3453</f>
        <v>0</v>
      </c>
      <c r="N3440">
        <f>Data!H3453</f>
        <v>0</v>
      </c>
      <c r="O3440">
        <f>Data!I3453</f>
        <v>0</v>
      </c>
      <c r="P3440" s="21">
        <f>Data!J3457</f>
        <v>0</v>
      </c>
      <c r="Q3440">
        <f>Data!K3457</f>
        <v>0</v>
      </c>
      <c r="R3440">
        <f>Data!L3457</f>
        <v>0</v>
      </c>
      <c r="S3440">
        <f>Data!M3457</f>
        <v>0</v>
      </c>
      <c r="T3440">
        <f>Data!N3457</f>
        <v>0</v>
      </c>
      <c r="U3440">
        <f>Data!O3457</f>
        <v>0</v>
      </c>
      <c r="V3440" s="33">
        <f>Data!P3455</f>
        <v>0</v>
      </c>
    </row>
    <row r="3441" spans="7:22" x14ac:dyDescent="0.25">
      <c r="G3441">
        <f>Data!A3454</f>
        <v>0</v>
      </c>
      <c r="H3441" s="21">
        <f>Data!B3454</f>
        <v>0</v>
      </c>
      <c r="I3441" s="21">
        <f>Data!C3454</f>
        <v>0</v>
      </c>
      <c r="J3441">
        <f>Data!D3454</f>
        <v>0</v>
      </c>
      <c r="K3441">
        <f>Data!E3454</f>
        <v>0</v>
      </c>
      <c r="L3441">
        <f>Data!F3454</f>
        <v>0</v>
      </c>
      <c r="M3441">
        <f>Data!G3454</f>
        <v>0</v>
      </c>
      <c r="N3441">
        <f>Data!H3454</f>
        <v>0</v>
      </c>
      <c r="O3441">
        <f>Data!I3454</f>
        <v>0</v>
      </c>
      <c r="P3441" s="21">
        <f>Data!J3458</f>
        <v>0</v>
      </c>
      <c r="Q3441">
        <f>Data!K3458</f>
        <v>0</v>
      </c>
      <c r="R3441">
        <f>Data!L3458</f>
        <v>0</v>
      </c>
      <c r="S3441">
        <f>Data!M3458</f>
        <v>0</v>
      </c>
      <c r="T3441">
        <f>Data!N3458</f>
        <v>0</v>
      </c>
      <c r="U3441">
        <f>Data!O3458</f>
        <v>0</v>
      </c>
      <c r="V3441" s="33">
        <f>Data!P3456</f>
        <v>0</v>
      </c>
    </row>
    <row r="3442" spans="7:22" x14ac:dyDescent="0.25">
      <c r="G3442">
        <f>Data!A3455</f>
        <v>0</v>
      </c>
      <c r="H3442" s="21">
        <f>Data!B3455</f>
        <v>0</v>
      </c>
      <c r="I3442" s="21">
        <f>Data!C3455</f>
        <v>0</v>
      </c>
      <c r="J3442">
        <f>Data!D3455</f>
        <v>0</v>
      </c>
      <c r="K3442">
        <f>Data!E3455</f>
        <v>0</v>
      </c>
      <c r="L3442">
        <f>Data!F3455</f>
        <v>0</v>
      </c>
      <c r="M3442">
        <f>Data!G3455</f>
        <v>0</v>
      </c>
      <c r="N3442">
        <f>Data!H3455</f>
        <v>0</v>
      </c>
      <c r="O3442">
        <f>Data!I3455</f>
        <v>0</v>
      </c>
      <c r="P3442" s="21">
        <f>Data!J3459</f>
        <v>0</v>
      </c>
      <c r="Q3442">
        <f>Data!K3459</f>
        <v>0</v>
      </c>
      <c r="R3442">
        <f>Data!L3459</f>
        <v>0</v>
      </c>
      <c r="S3442">
        <f>Data!M3459</f>
        <v>0</v>
      </c>
      <c r="T3442">
        <f>Data!N3459</f>
        <v>0</v>
      </c>
      <c r="U3442">
        <f>Data!O3459</f>
        <v>0</v>
      </c>
      <c r="V3442" s="33">
        <f>Data!P3457</f>
        <v>0</v>
      </c>
    </row>
    <row r="3443" spans="7:22" x14ac:dyDescent="0.25">
      <c r="G3443">
        <f>Data!A3456</f>
        <v>0</v>
      </c>
      <c r="H3443" s="21">
        <f>Data!B3456</f>
        <v>0</v>
      </c>
      <c r="I3443" s="21">
        <f>Data!C3456</f>
        <v>0</v>
      </c>
      <c r="J3443">
        <f>Data!D3456</f>
        <v>0</v>
      </c>
      <c r="K3443">
        <f>Data!E3456</f>
        <v>0</v>
      </c>
      <c r="L3443">
        <f>Data!F3456</f>
        <v>0</v>
      </c>
      <c r="M3443">
        <f>Data!G3456</f>
        <v>0</v>
      </c>
      <c r="N3443">
        <f>Data!H3456</f>
        <v>0</v>
      </c>
      <c r="O3443">
        <f>Data!I3456</f>
        <v>0</v>
      </c>
      <c r="P3443" s="21">
        <f>Data!J3460</f>
        <v>0</v>
      </c>
      <c r="Q3443">
        <f>Data!K3460</f>
        <v>0</v>
      </c>
      <c r="R3443">
        <f>Data!L3460</f>
        <v>0</v>
      </c>
      <c r="S3443">
        <f>Data!M3460</f>
        <v>0</v>
      </c>
      <c r="T3443">
        <f>Data!N3460</f>
        <v>0</v>
      </c>
      <c r="U3443">
        <f>Data!O3460</f>
        <v>0</v>
      </c>
      <c r="V3443" s="33">
        <f>Data!P3458</f>
        <v>0</v>
      </c>
    </row>
    <row r="3444" spans="7:22" x14ac:dyDescent="0.25">
      <c r="G3444">
        <f>Data!A3457</f>
        <v>0</v>
      </c>
      <c r="H3444" s="21">
        <f>Data!B3457</f>
        <v>0</v>
      </c>
      <c r="I3444" s="21">
        <f>Data!C3457</f>
        <v>0</v>
      </c>
      <c r="J3444">
        <f>Data!D3457</f>
        <v>0</v>
      </c>
      <c r="K3444">
        <f>Data!E3457</f>
        <v>0</v>
      </c>
      <c r="L3444">
        <f>Data!F3457</f>
        <v>0</v>
      </c>
      <c r="M3444">
        <f>Data!G3457</f>
        <v>0</v>
      </c>
      <c r="N3444">
        <f>Data!H3457</f>
        <v>0</v>
      </c>
      <c r="O3444">
        <f>Data!I3457</f>
        <v>0</v>
      </c>
      <c r="P3444" s="21">
        <f>Data!J3461</f>
        <v>0</v>
      </c>
      <c r="Q3444">
        <f>Data!K3461</f>
        <v>0</v>
      </c>
      <c r="R3444">
        <f>Data!L3461</f>
        <v>0</v>
      </c>
      <c r="S3444">
        <f>Data!M3461</f>
        <v>0</v>
      </c>
      <c r="T3444">
        <f>Data!N3461</f>
        <v>0</v>
      </c>
      <c r="U3444">
        <f>Data!O3461</f>
        <v>0</v>
      </c>
      <c r="V3444" s="33">
        <f>Data!P3459</f>
        <v>0</v>
      </c>
    </row>
    <row r="3445" spans="7:22" x14ac:dyDescent="0.25">
      <c r="G3445">
        <f>Data!A3458</f>
        <v>0</v>
      </c>
      <c r="H3445" s="21">
        <f>Data!B3458</f>
        <v>0</v>
      </c>
      <c r="I3445" s="21">
        <f>Data!C3458</f>
        <v>0</v>
      </c>
      <c r="J3445">
        <f>Data!D3458</f>
        <v>0</v>
      </c>
      <c r="K3445">
        <f>Data!E3458</f>
        <v>0</v>
      </c>
      <c r="L3445">
        <f>Data!F3458</f>
        <v>0</v>
      </c>
      <c r="M3445">
        <f>Data!G3458</f>
        <v>0</v>
      </c>
      <c r="N3445">
        <f>Data!H3458</f>
        <v>0</v>
      </c>
      <c r="O3445">
        <f>Data!I3458</f>
        <v>0</v>
      </c>
      <c r="P3445" s="21">
        <f>Data!J3462</f>
        <v>0</v>
      </c>
      <c r="Q3445">
        <f>Data!K3462</f>
        <v>0</v>
      </c>
      <c r="R3445">
        <f>Data!L3462</f>
        <v>0</v>
      </c>
      <c r="S3445">
        <f>Data!M3462</f>
        <v>0</v>
      </c>
      <c r="T3445">
        <f>Data!N3462</f>
        <v>0</v>
      </c>
      <c r="U3445">
        <f>Data!O3462</f>
        <v>0</v>
      </c>
      <c r="V3445" s="33">
        <f>Data!P3460</f>
        <v>0</v>
      </c>
    </row>
    <row r="3446" spans="7:22" x14ac:dyDescent="0.25">
      <c r="G3446">
        <f>Data!A3459</f>
        <v>0</v>
      </c>
      <c r="H3446" s="21">
        <f>Data!B3459</f>
        <v>0</v>
      </c>
      <c r="I3446" s="21">
        <f>Data!C3459</f>
        <v>0</v>
      </c>
      <c r="J3446">
        <f>Data!D3459</f>
        <v>0</v>
      </c>
      <c r="K3446">
        <f>Data!E3459</f>
        <v>0</v>
      </c>
      <c r="L3446">
        <f>Data!F3459</f>
        <v>0</v>
      </c>
      <c r="M3446">
        <f>Data!G3459</f>
        <v>0</v>
      </c>
      <c r="N3446">
        <f>Data!H3459</f>
        <v>0</v>
      </c>
      <c r="O3446">
        <f>Data!I3459</f>
        <v>0</v>
      </c>
      <c r="P3446" s="21">
        <f>Data!J3463</f>
        <v>0</v>
      </c>
      <c r="Q3446">
        <f>Data!K3463</f>
        <v>0</v>
      </c>
      <c r="R3446">
        <f>Data!L3463</f>
        <v>0</v>
      </c>
      <c r="S3446">
        <f>Data!M3463</f>
        <v>0</v>
      </c>
      <c r="T3446">
        <f>Data!N3463</f>
        <v>0</v>
      </c>
      <c r="U3446">
        <f>Data!O3463</f>
        <v>0</v>
      </c>
      <c r="V3446" s="33">
        <f>Data!P3461</f>
        <v>0</v>
      </c>
    </row>
    <row r="3447" spans="7:22" x14ac:dyDescent="0.25">
      <c r="G3447">
        <f>Data!A3460</f>
        <v>0</v>
      </c>
      <c r="H3447" s="21">
        <f>Data!B3460</f>
        <v>0</v>
      </c>
      <c r="I3447" s="21">
        <f>Data!C3460</f>
        <v>0</v>
      </c>
      <c r="J3447">
        <f>Data!D3460</f>
        <v>0</v>
      </c>
      <c r="K3447">
        <f>Data!E3460</f>
        <v>0</v>
      </c>
      <c r="L3447">
        <f>Data!F3460</f>
        <v>0</v>
      </c>
      <c r="M3447">
        <f>Data!G3460</f>
        <v>0</v>
      </c>
      <c r="N3447">
        <f>Data!H3460</f>
        <v>0</v>
      </c>
      <c r="O3447">
        <f>Data!I3460</f>
        <v>0</v>
      </c>
      <c r="P3447" s="21">
        <f>Data!J3464</f>
        <v>0</v>
      </c>
      <c r="Q3447">
        <f>Data!K3464</f>
        <v>0</v>
      </c>
      <c r="R3447">
        <f>Data!L3464</f>
        <v>0</v>
      </c>
      <c r="S3447">
        <f>Data!M3464</f>
        <v>0</v>
      </c>
      <c r="T3447">
        <f>Data!N3464</f>
        <v>0</v>
      </c>
      <c r="U3447">
        <f>Data!O3464</f>
        <v>0</v>
      </c>
      <c r="V3447" s="33">
        <f>Data!P3462</f>
        <v>0</v>
      </c>
    </row>
    <row r="3448" spans="7:22" x14ac:dyDescent="0.25">
      <c r="G3448">
        <f>Data!A3461</f>
        <v>0</v>
      </c>
      <c r="H3448" s="21">
        <f>Data!B3461</f>
        <v>0</v>
      </c>
      <c r="I3448" s="21">
        <f>Data!C3461</f>
        <v>0</v>
      </c>
      <c r="J3448">
        <f>Data!D3461</f>
        <v>0</v>
      </c>
      <c r="K3448">
        <f>Data!E3461</f>
        <v>0</v>
      </c>
      <c r="L3448">
        <f>Data!F3461</f>
        <v>0</v>
      </c>
      <c r="M3448">
        <f>Data!G3461</f>
        <v>0</v>
      </c>
      <c r="N3448">
        <f>Data!H3461</f>
        <v>0</v>
      </c>
      <c r="O3448">
        <f>Data!I3461</f>
        <v>0</v>
      </c>
      <c r="P3448" s="21">
        <f>Data!J3465</f>
        <v>0</v>
      </c>
      <c r="Q3448">
        <f>Data!K3465</f>
        <v>0</v>
      </c>
      <c r="R3448">
        <f>Data!L3465</f>
        <v>0</v>
      </c>
      <c r="S3448">
        <f>Data!M3465</f>
        <v>0</v>
      </c>
      <c r="T3448">
        <f>Data!N3465</f>
        <v>0</v>
      </c>
      <c r="U3448">
        <f>Data!O3465</f>
        <v>0</v>
      </c>
      <c r="V3448" s="33">
        <f>Data!P3463</f>
        <v>0</v>
      </c>
    </row>
    <row r="3449" spans="7:22" x14ac:dyDescent="0.25">
      <c r="G3449">
        <f>Data!A3462</f>
        <v>0</v>
      </c>
      <c r="H3449" s="21">
        <f>Data!B3462</f>
        <v>0</v>
      </c>
      <c r="I3449" s="21">
        <f>Data!C3462</f>
        <v>0</v>
      </c>
      <c r="J3449">
        <f>Data!D3462</f>
        <v>0</v>
      </c>
      <c r="K3449">
        <f>Data!E3462</f>
        <v>0</v>
      </c>
      <c r="L3449">
        <f>Data!F3462</f>
        <v>0</v>
      </c>
      <c r="M3449">
        <f>Data!G3462</f>
        <v>0</v>
      </c>
      <c r="N3449">
        <f>Data!H3462</f>
        <v>0</v>
      </c>
      <c r="O3449">
        <f>Data!I3462</f>
        <v>0</v>
      </c>
      <c r="P3449" s="21">
        <f>Data!J3466</f>
        <v>0</v>
      </c>
      <c r="Q3449">
        <f>Data!K3466</f>
        <v>0</v>
      </c>
      <c r="R3449">
        <f>Data!L3466</f>
        <v>0</v>
      </c>
      <c r="S3449">
        <f>Data!M3466</f>
        <v>0</v>
      </c>
      <c r="T3449">
        <f>Data!N3466</f>
        <v>0</v>
      </c>
      <c r="U3449">
        <f>Data!O3466</f>
        <v>0</v>
      </c>
      <c r="V3449" s="33">
        <f>Data!P3464</f>
        <v>0</v>
      </c>
    </row>
    <row r="3450" spans="7:22" x14ac:dyDescent="0.25">
      <c r="G3450">
        <f>Data!A3463</f>
        <v>0</v>
      </c>
      <c r="H3450" s="21">
        <f>Data!B3463</f>
        <v>0</v>
      </c>
      <c r="I3450" s="21">
        <f>Data!C3463</f>
        <v>0</v>
      </c>
      <c r="J3450">
        <f>Data!D3463</f>
        <v>0</v>
      </c>
      <c r="K3450">
        <f>Data!E3463</f>
        <v>0</v>
      </c>
      <c r="L3450">
        <f>Data!F3463</f>
        <v>0</v>
      </c>
      <c r="M3450">
        <f>Data!G3463</f>
        <v>0</v>
      </c>
      <c r="N3450">
        <f>Data!H3463</f>
        <v>0</v>
      </c>
      <c r="O3450">
        <f>Data!I3463</f>
        <v>0</v>
      </c>
      <c r="P3450" s="21">
        <f>Data!J3467</f>
        <v>0</v>
      </c>
      <c r="Q3450">
        <f>Data!K3467</f>
        <v>0</v>
      </c>
      <c r="R3450">
        <f>Data!L3467</f>
        <v>0</v>
      </c>
      <c r="S3450">
        <f>Data!M3467</f>
        <v>0</v>
      </c>
      <c r="T3450">
        <f>Data!N3467</f>
        <v>0</v>
      </c>
      <c r="U3450">
        <f>Data!O3467</f>
        <v>0</v>
      </c>
      <c r="V3450" s="33">
        <f>Data!P3465</f>
        <v>0</v>
      </c>
    </row>
    <row r="3451" spans="7:22" x14ac:dyDescent="0.25">
      <c r="G3451">
        <f>Data!A3464</f>
        <v>0</v>
      </c>
      <c r="H3451" s="21">
        <f>Data!B3464</f>
        <v>0</v>
      </c>
      <c r="I3451" s="21">
        <f>Data!C3464</f>
        <v>0</v>
      </c>
      <c r="J3451">
        <f>Data!D3464</f>
        <v>0</v>
      </c>
      <c r="K3451">
        <f>Data!E3464</f>
        <v>0</v>
      </c>
      <c r="L3451">
        <f>Data!F3464</f>
        <v>0</v>
      </c>
      <c r="M3451">
        <f>Data!G3464</f>
        <v>0</v>
      </c>
      <c r="N3451">
        <f>Data!H3464</f>
        <v>0</v>
      </c>
      <c r="O3451">
        <f>Data!I3464</f>
        <v>0</v>
      </c>
      <c r="P3451" s="21">
        <f>Data!J3468</f>
        <v>0</v>
      </c>
      <c r="Q3451">
        <f>Data!K3468</f>
        <v>0</v>
      </c>
      <c r="R3451">
        <f>Data!L3468</f>
        <v>0</v>
      </c>
      <c r="S3451">
        <f>Data!M3468</f>
        <v>0</v>
      </c>
      <c r="T3451">
        <f>Data!N3468</f>
        <v>0</v>
      </c>
      <c r="U3451">
        <f>Data!O3468</f>
        <v>0</v>
      </c>
      <c r="V3451" s="33">
        <f>Data!P3466</f>
        <v>0</v>
      </c>
    </row>
    <row r="3452" spans="7:22" x14ac:dyDescent="0.25">
      <c r="G3452">
        <f>Data!A3465</f>
        <v>0</v>
      </c>
      <c r="H3452" s="21">
        <f>Data!B3465</f>
        <v>0</v>
      </c>
      <c r="I3452" s="21">
        <f>Data!C3465</f>
        <v>0</v>
      </c>
      <c r="J3452">
        <f>Data!D3465</f>
        <v>0</v>
      </c>
      <c r="K3452">
        <f>Data!E3465</f>
        <v>0</v>
      </c>
      <c r="L3452">
        <f>Data!F3465</f>
        <v>0</v>
      </c>
      <c r="M3452">
        <f>Data!G3465</f>
        <v>0</v>
      </c>
      <c r="N3452">
        <f>Data!H3465</f>
        <v>0</v>
      </c>
      <c r="O3452">
        <f>Data!I3465</f>
        <v>0</v>
      </c>
      <c r="P3452" s="21">
        <f>Data!J3469</f>
        <v>0</v>
      </c>
      <c r="Q3452">
        <f>Data!K3469</f>
        <v>0</v>
      </c>
      <c r="R3452">
        <f>Data!L3469</f>
        <v>0</v>
      </c>
      <c r="S3452">
        <f>Data!M3469</f>
        <v>0</v>
      </c>
      <c r="T3452">
        <f>Data!N3469</f>
        <v>0</v>
      </c>
      <c r="U3452">
        <f>Data!O3469</f>
        <v>0</v>
      </c>
      <c r="V3452" s="33">
        <f>Data!P3467</f>
        <v>0</v>
      </c>
    </row>
    <row r="3453" spans="7:22" x14ac:dyDescent="0.25">
      <c r="G3453">
        <f>Data!A3466</f>
        <v>0</v>
      </c>
      <c r="H3453" s="21">
        <f>Data!B3466</f>
        <v>0</v>
      </c>
      <c r="I3453" s="21">
        <f>Data!C3466</f>
        <v>0</v>
      </c>
      <c r="J3453">
        <f>Data!D3466</f>
        <v>0</v>
      </c>
      <c r="K3453">
        <f>Data!E3466</f>
        <v>0</v>
      </c>
      <c r="L3453">
        <f>Data!F3466</f>
        <v>0</v>
      </c>
      <c r="M3453">
        <f>Data!G3466</f>
        <v>0</v>
      </c>
      <c r="N3453">
        <f>Data!H3466</f>
        <v>0</v>
      </c>
      <c r="O3453">
        <f>Data!I3466</f>
        <v>0</v>
      </c>
      <c r="P3453" s="21">
        <f>Data!J3470</f>
        <v>0</v>
      </c>
      <c r="Q3453">
        <f>Data!K3470</f>
        <v>0</v>
      </c>
      <c r="R3453">
        <f>Data!L3470</f>
        <v>0</v>
      </c>
      <c r="S3453">
        <f>Data!M3470</f>
        <v>0</v>
      </c>
      <c r="T3453">
        <f>Data!N3470</f>
        <v>0</v>
      </c>
      <c r="U3453">
        <f>Data!O3470</f>
        <v>0</v>
      </c>
      <c r="V3453" s="33">
        <f>Data!P3468</f>
        <v>0</v>
      </c>
    </row>
    <row r="3454" spans="7:22" x14ac:dyDescent="0.25">
      <c r="G3454">
        <f>Data!A3467</f>
        <v>0</v>
      </c>
      <c r="H3454" s="21">
        <f>Data!B3467</f>
        <v>0</v>
      </c>
      <c r="I3454" s="21">
        <f>Data!C3467</f>
        <v>0</v>
      </c>
      <c r="J3454">
        <f>Data!D3467</f>
        <v>0</v>
      </c>
      <c r="K3454">
        <f>Data!E3467</f>
        <v>0</v>
      </c>
      <c r="L3454">
        <f>Data!F3467</f>
        <v>0</v>
      </c>
      <c r="M3454">
        <f>Data!G3467</f>
        <v>0</v>
      </c>
      <c r="N3454">
        <f>Data!H3467</f>
        <v>0</v>
      </c>
      <c r="O3454">
        <f>Data!I3467</f>
        <v>0</v>
      </c>
      <c r="P3454" s="21">
        <f>Data!J3471</f>
        <v>0</v>
      </c>
      <c r="Q3454">
        <f>Data!K3471</f>
        <v>0</v>
      </c>
      <c r="R3454">
        <f>Data!L3471</f>
        <v>0</v>
      </c>
      <c r="S3454">
        <f>Data!M3471</f>
        <v>0</v>
      </c>
      <c r="T3454">
        <f>Data!N3471</f>
        <v>0</v>
      </c>
      <c r="U3454">
        <f>Data!O3471</f>
        <v>0</v>
      </c>
      <c r="V3454" s="33">
        <f>Data!P3469</f>
        <v>0</v>
      </c>
    </row>
    <row r="3455" spans="7:22" x14ac:dyDescent="0.25">
      <c r="G3455">
        <f>Data!A3468</f>
        <v>0</v>
      </c>
      <c r="H3455" s="21">
        <f>Data!B3468</f>
        <v>0</v>
      </c>
      <c r="I3455" s="21">
        <f>Data!C3468</f>
        <v>0</v>
      </c>
      <c r="J3455">
        <f>Data!D3468</f>
        <v>0</v>
      </c>
      <c r="K3455">
        <f>Data!E3468</f>
        <v>0</v>
      </c>
      <c r="L3455">
        <f>Data!F3468</f>
        <v>0</v>
      </c>
      <c r="M3455">
        <f>Data!G3468</f>
        <v>0</v>
      </c>
      <c r="N3455">
        <f>Data!H3468</f>
        <v>0</v>
      </c>
      <c r="O3455">
        <f>Data!I3468</f>
        <v>0</v>
      </c>
      <c r="P3455" s="21">
        <f>Data!J3472</f>
        <v>0</v>
      </c>
      <c r="Q3455">
        <f>Data!K3472</f>
        <v>0</v>
      </c>
      <c r="R3455">
        <f>Data!L3472</f>
        <v>0</v>
      </c>
      <c r="S3455">
        <f>Data!M3472</f>
        <v>0</v>
      </c>
      <c r="T3455">
        <f>Data!N3472</f>
        <v>0</v>
      </c>
      <c r="U3455">
        <f>Data!O3472</f>
        <v>0</v>
      </c>
      <c r="V3455" s="33">
        <f>Data!P3470</f>
        <v>0</v>
      </c>
    </row>
    <row r="3456" spans="7:22" x14ac:dyDescent="0.25">
      <c r="G3456">
        <f>Data!A3469</f>
        <v>0</v>
      </c>
      <c r="H3456" s="21">
        <f>Data!B3469</f>
        <v>0</v>
      </c>
      <c r="I3456" s="21">
        <f>Data!C3469</f>
        <v>0</v>
      </c>
      <c r="J3456">
        <f>Data!D3469</f>
        <v>0</v>
      </c>
      <c r="K3456">
        <f>Data!E3469</f>
        <v>0</v>
      </c>
      <c r="L3456">
        <f>Data!F3469</f>
        <v>0</v>
      </c>
      <c r="M3456">
        <f>Data!G3469</f>
        <v>0</v>
      </c>
      <c r="N3456">
        <f>Data!H3469</f>
        <v>0</v>
      </c>
      <c r="O3456">
        <f>Data!I3469</f>
        <v>0</v>
      </c>
      <c r="P3456" s="21">
        <f>Data!J3473</f>
        <v>0</v>
      </c>
      <c r="Q3456">
        <f>Data!K3473</f>
        <v>0</v>
      </c>
      <c r="R3456">
        <f>Data!L3473</f>
        <v>0</v>
      </c>
      <c r="S3456">
        <f>Data!M3473</f>
        <v>0</v>
      </c>
      <c r="T3456">
        <f>Data!N3473</f>
        <v>0</v>
      </c>
      <c r="U3456">
        <f>Data!O3473</f>
        <v>0</v>
      </c>
      <c r="V3456" s="33">
        <f>Data!P3471</f>
        <v>0</v>
      </c>
    </row>
    <row r="3457" spans="7:22" x14ac:dyDescent="0.25">
      <c r="G3457">
        <f>Data!A3470</f>
        <v>0</v>
      </c>
      <c r="H3457" s="21">
        <f>Data!B3470</f>
        <v>0</v>
      </c>
      <c r="I3457" s="21">
        <f>Data!C3470</f>
        <v>0</v>
      </c>
      <c r="J3457">
        <f>Data!D3470</f>
        <v>0</v>
      </c>
      <c r="K3457">
        <f>Data!E3470</f>
        <v>0</v>
      </c>
      <c r="L3457">
        <f>Data!F3470</f>
        <v>0</v>
      </c>
      <c r="M3457">
        <f>Data!G3470</f>
        <v>0</v>
      </c>
      <c r="N3457">
        <f>Data!H3470</f>
        <v>0</v>
      </c>
      <c r="O3457">
        <f>Data!I3470</f>
        <v>0</v>
      </c>
      <c r="P3457" s="21">
        <f>Data!J3474</f>
        <v>0</v>
      </c>
      <c r="Q3457">
        <f>Data!K3474</f>
        <v>0</v>
      </c>
      <c r="R3457">
        <f>Data!L3474</f>
        <v>0</v>
      </c>
      <c r="S3457">
        <f>Data!M3474</f>
        <v>0</v>
      </c>
      <c r="T3457">
        <f>Data!N3474</f>
        <v>0</v>
      </c>
      <c r="U3457">
        <f>Data!O3474</f>
        <v>0</v>
      </c>
      <c r="V3457" s="33">
        <f>Data!P3472</f>
        <v>0</v>
      </c>
    </row>
    <row r="3458" spans="7:22" x14ac:dyDescent="0.25">
      <c r="G3458">
        <f>Data!A3471</f>
        <v>0</v>
      </c>
      <c r="H3458" s="21">
        <f>Data!B3471</f>
        <v>0</v>
      </c>
      <c r="I3458" s="21">
        <f>Data!C3471</f>
        <v>0</v>
      </c>
      <c r="J3458">
        <f>Data!D3471</f>
        <v>0</v>
      </c>
      <c r="K3458">
        <f>Data!E3471</f>
        <v>0</v>
      </c>
      <c r="L3458">
        <f>Data!F3471</f>
        <v>0</v>
      </c>
      <c r="M3458">
        <f>Data!G3471</f>
        <v>0</v>
      </c>
      <c r="N3458">
        <f>Data!H3471</f>
        <v>0</v>
      </c>
      <c r="O3458">
        <f>Data!I3471</f>
        <v>0</v>
      </c>
      <c r="P3458" s="21">
        <f>Data!J3475</f>
        <v>0</v>
      </c>
      <c r="Q3458">
        <f>Data!K3475</f>
        <v>0</v>
      </c>
      <c r="R3458">
        <f>Data!L3475</f>
        <v>0</v>
      </c>
      <c r="S3458">
        <f>Data!M3475</f>
        <v>0</v>
      </c>
      <c r="T3458">
        <f>Data!N3475</f>
        <v>0</v>
      </c>
      <c r="U3458">
        <f>Data!O3475</f>
        <v>0</v>
      </c>
      <c r="V3458" s="33">
        <f>Data!P3473</f>
        <v>0</v>
      </c>
    </row>
    <row r="3459" spans="7:22" x14ac:dyDescent="0.25">
      <c r="G3459">
        <f>Data!A3472</f>
        <v>0</v>
      </c>
      <c r="H3459" s="21">
        <f>Data!B3472</f>
        <v>0</v>
      </c>
      <c r="I3459" s="21">
        <f>Data!C3472</f>
        <v>0</v>
      </c>
      <c r="J3459">
        <f>Data!D3472</f>
        <v>0</v>
      </c>
      <c r="K3459">
        <f>Data!E3472</f>
        <v>0</v>
      </c>
      <c r="L3459">
        <f>Data!F3472</f>
        <v>0</v>
      </c>
      <c r="M3459">
        <f>Data!G3472</f>
        <v>0</v>
      </c>
      <c r="N3459">
        <f>Data!H3472</f>
        <v>0</v>
      </c>
      <c r="O3459">
        <f>Data!I3472</f>
        <v>0</v>
      </c>
      <c r="P3459" s="21">
        <f>Data!J3476</f>
        <v>0</v>
      </c>
      <c r="Q3459">
        <f>Data!K3476</f>
        <v>0</v>
      </c>
      <c r="R3459">
        <f>Data!L3476</f>
        <v>0</v>
      </c>
      <c r="S3459">
        <f>Data!M3476</f>
        <v>0</v>
      </c>
      <c r="T3459">
        <f>Data!N3476</f>
        <v>0</v>
      </c>
      <c r="U3459">
        <f>Data!O3476</f>
        <v>0</v>
      </c>
      <c r="V3459" s="33">
        <f>Data!P3474</f>
        <v>0</v>
      </c>
    </row>
    <row r="3460" spans="7:22" x14ac:dyDescent="0.25">
      <c r="G3460">
        <f>Data!A3473</f>
        <v>0</v>
      </c>
      <c r="H3460" s="21">
        <f>Data!B3473</f>
        <v>0</v>
      </c>
      <c r="I3460" s="21">
        <f>Data!C3473</f>
        <v>0</v>
      </c>
      <c r="J3460">
        <f>Data!D3473</f>
        <v>0</v>
      </c>
      <c r="K3460">
        <f>Data!E3473</f>
        <v>0</v>
      </c>
      <c r="L3460">
        <f>Data!F3473</f>
        <v>0</v>
      </c>
      <c r="M3460">
        <f>Data!G3473</f>
        <v>0</v>
      </c>
      <c r="N3460">
        <f>Data!H3473</f>
        <v>0</v>
      </c>
      <c r="O3460">
        <f>Data!I3473</f>
        <v>0</v>
      </c>
      <c r="P3460" s="21">
        <f>Data!J3477</f>
        <v>0</v>
      </c>
      <c r="Q3460">
        <f>Data!K3477</f>
        <v>0</v>
      </c>
      <c r="R3460">
        <f>Data!L3477</f>
        <v>0</v>
      </c>
      <c r="S3460">
        <f>Data!M3477</f>
        <v>0</v>
      </c>
      <c r="T3460">
        <f>Data!N3477</f>
        <v>0</v>
      </c>
      <c r="U3460">
        <f>Data!O3477</f>
        <v>0</v>
      </c>
      <c r="V3460" s="33">
        <f>Data!P3475</f>
        <v>0</v>
      </c>
    </row>
    <row r="3461" spans="7:22" x14ac:dyDescent="0.25">
      <c r="G3461">
        <f>Data!A3474</f>
        <v>0</v>
      </c>
      <c r="H3461" s="21">
        <f>Data!B3474</f>
        <v>0</v>
      </c>
      <c r="I3461" s="21">
        <f>Data!C3474</f>
        <v>0</v>
      </c>
      <c r="J3461">
        <f>Data!D3474</f>
        <v>0</v>
      </c>
      <c r="K3461">
        <f>Data!E3474</f>
        <v>0</v>
      </c>
      <c r="L3461">
        <f>Data!F3474</f>
        <v>0</v>
      </c>
      <c r="M3461">
        <f>Data!G3474</f>
        <v>0</v>
      </c>
      <c r="N3461">
        <f>Data!H3474</f>
        <v>0</v>
      </c>
      <c r="O3461">
        <f>Data!I3474</f>
        <v>0</v>
      </c>
      <c r="P3461" s="21">
        <f>Data!J3478</f>
        <v>0</v>
      </c>
      <c r="Q3461">
        <f>Data!K3478</f>
        <v>0</v>
      </c>
      <c r="R3461">
        <f>Data!L3478</f>
        <v>0</v>
      </c>
      <c r="S3461">
        <f>Data!M3478</f>
        <v>0</v>
      </c>
      <c r="T3461">
        <f>Data!N3478</f>
        <v>0</v>
      </c>
      <c r="U3461">
        <f>Data!O3478</f>
        <v>0</v>
      </c>
      <c r="V3461" s="33">
        <f>Data!P3476</f>
        <v>0</v>
      </c>
    </row>
    <row r="3462" spans="7:22" x14ac:dyDescent="0.25">
      <c r="G3462">
        <f>Data!A3475</f>
        <v>0</v>
      </c>
      <c r="H3462" s="21">
        <f>Data!B3475</f>
        <v>0</v>
      </c>
      <c r="I3462" s="21">
        <f>Data!C3475</f>
        <v>0</v>
      </c>
      <c r="J3462">
        <f>Data!D3475</f>
        <v>0</v>
      </c>
      <c r="K3462">
        <f>Data!E3475</f>
        <v>0</v>
      </c>
      <c r="L3462">
        <f>Data!F3475</f>
        <v>0</v>
      </c>
      <c r="M3462">
        <f>Data!G3475</f>
        <v>0</v>
      </c>
      <c r="N3462">
        <f>Data!H3475</f>
        <v>0</v>
      </c>
      <c r="O3462">
        <f>Data!I3475</f>
        <v>0</v>
      </c>
      <c r="P3462" s="21">
        <f>Data!J3479</f>
        <v>0</v>
      </c>
      <c r="Q3462">
        <f>Data!K3479</f>
        <v>0</v>
      </c>
      <c r="R3462">
        <f>Data!L3479</f>
        <v>0</v>
      </c>
      <c r="S3462">
        <f>Data!M3479</f>
        <v>0</v>
      </c>
      <c r="T3462">
        <f>Data!N3479</f>
        <v>0</v>
      </c>
      <c r="U3462">
        <f>Data!O3479</f>
        <v>0</v>
      </c>
      <c r="V3462" s="33">
        <f>Data!P3477</f>
        <v>0</v>
      </c>
    </row>
    <row r="3463" spans="7:22" x14ac:dyDescent="0.25">
      <c r="G3463">
        <f>Data!A3476</f>
        <v>0</v>
      </c>
      <c r="H3463" s="21">
        <f>Data!B3476</f>
        <v>0</v>
      </c>
      <c r="I3463" s="21">
        <f>Data!C3476</f>
        <v>0</v>
      </c>
      <c r="J3463">
        <f>Data!D3476</f>
        <v>0</v>
      </c>
      <c r="K3463">
        <f>Data!E3476</f>
        <v>0</v>
      </c>
      <c r="L3463">
        <f>Data!F3476</f>
        <v>0</v>
      </c>
      <c r="M3463">
        <f>Data!G3476</f>
        <v>0</v>
      </c>
      <c r="N3463">
        <f>Data!H3476</f>
        <v>0</v>
      </c>
      <c r="O3463">
        <f>Data!I3476</f>
        <v>0</v>
      </c>
      <c r="P3463" s="21">
        <f>Data!J3480</f>
        <v>0</v>
      </c>
      <c r="Q3463">
        <f>Data!K3480</f>
        <v>0</v>
      </c>
      <c r="R3463">
        <f>Data!L3480</f>
        <v>0</v>
      </c>
      <c r="S3463">
        <f>Data!M3480</f>
        <v>0</v>
      </c>
      <c r="T3463">
        <f>Data!N3480</f>
        <v>0</v>
      </c>
      <c r="U3463">
        <f>Data!O3480</f>
        <v>0</v>
      </c>
      <c r="V3463" s="33">
        <f>Data!P3478</f>
        <v>0</v>
      </c>
    </row>
    <row r="3464" spans="7:22" x14ac:dyDescent="0.25">
      <c r="G3464">
        <f>Data!A3477</f>
        <v>0</v>
      </c>
      <c r="H3464" s="21">
        <f>Data!B3477</f>
        <v>0</v>
      </c>
      <c r="I3464" s="21">
        <f>Data!C3477</f>
        <v>0</v>
      </c>
      <c r="J3464">
        <f>Data!D3477</f>
        <v>0</v>
      </c>
      <c r="K3464">
        <f>Data!E3477</f>
        <v>0</v>
      </c>
      <c r="L3464">
        <f>Data!F3477</f>
        <v>0</v>
      </c>
      <c r="M3464">
        <f>Data!G3477</f>
        <v>0</v>
      </c>
      <c r="N3464">
        <f>Data!H3477</f>
        <v>0</v>
      </c>
      <c r="O3464">
        <f>Data!I3477</f>
        <v>0</v>
      </c>
      <c r="P3464" s="21">
        <f>Data!J3481</f>
        <v>0</v>
      </c>
      <c r="Q3464">
        <f>Data!K3481</f>
        <v>0</v>
      </c>
      <c r="R3464">
        <f>Data!L3481</f>
        <v>0</v>
      </c>
      <c r="S3464">
        <f>Data!M3481</f>
        <v>0</v>
      </c>
      <c r="T3464">
        <f>Data!N3481</f>
        <v>0</v>
      </c>
      <c r="U3464">
        <f>Data!O3481</f>
        <v>0</v>
      </c>
      <c r="V3464" s="33">
        <f>Data!P3479</f>
        <v>0</v>
      </c>
    </row>
    <row r="3465" spans="7:22" x14ac:dyDescent="0.25">
      <c r="G3465">
        <f>Data!A3478</f>
        <v>0</v>
      </c>
      <c r="H3465" s="21">
        <f>Data!B3478</f>
        <v>0</v>
      </c>
      <c r="I3465" s="21">
        <f>Data!C3478</f>
        <v>0</v>
      </c>
      <c r="J3465">
        <f>Data!D3478</f>
        <v>0</v>
      </c>
      <c r="K3465">
        <f>Data!E3478</f>
        <v>0</v>
      </c>
      <c r="L3465">
        <f>Data!F3478</f>
        <v>0</v>
      </c>
      <c r="M3465">
        <f>Data!G3478</f>
        <v>0</v>
      </c>
      <c r="N3465">
        <f>Data!H3478</f>
        <v>0</v>
      </c>
      <c r="O3465">
        <f>Data!I3478</f>
        <v>0</v>
      </c>
      <c r="P3465" s="21">
        <f>Data!J3482</f>
        <v>0</v>
      </c>
      <c r="Q3465">
        <f>Data!K3482</f>
        <v>0</v>
      </c>
      <c r="R3465">
        <f>Data!L3482</f>
        <v>0</v>
      </c>
      <c r="S3465">
        <f>Data!M3482</f>
        <v>0</v>
      </c>
      <c r="T3465">
        <f>Data!N3482</f>
        <v>0</v>
      </c>
      <c r="U3465">
        <f>Data!O3482</f>
        <v>0</v>
      </c>
      <c r="V3465" s="33">
        <f>Data!P3480</f>
        <v>0</v>
      </c>
    </row>
    <row r="3466" spans="7:22" x14ac:dyDescent="0.25">
      <c r="G3466">
        <f>Data!A3479</f>
        <v>0</v>
      </c>
      <c r="H3466" s="21">
        <f>Data!B3479</f>
        <v>0</v>
      </c>
      <c r="I3466" s="21">
        <f>Data!C3479</f>
        <v>0</v>
      </c>
      <c r="J3466">
        <f>Data!D3479</f>
        <v>0</v>
      </c>
      <c r="K3466">
        <f>Data!E3479</f>
        <v>0</v>
      </c>
      <c r="L3466">
        <f>Data!F3479</f>
        <v>0</v>
      </c>
      <c r="M3466">
        <f>Data!G3479</f>
        <v>0</v>
      </c>
      <c r="N3466">
        <f>Data!H3479</f>
        <v>0</v>
      </c>
      <c r="O3466">
        <f>Data!I3479</f>
        <v>0</v>
      </c>
      <c r="P3466" s="21">
        <f>Data!J3483</f>
        <v>0</v>
      </c>
      <c r="Q3466">
        <f>Data!K3483</f>
        <v>0</v>
      </c>
      <c r="R3466">
        <f>Data!L3483</f>
        <v>0</v>
      </c>
      <c r="S3466">
        <f>Data!M3483</f>
        <v>0</v>
      </c>
      <c r="T3466">
        <f>Data!N3483</f>
        <v>0</v>
      </c>
      <c r="U3466">
        <f>Data!O3483</f>
        <v>0</v>
      </c>
      <c r="V3466" s="33">
        <f>Data!P3481</f>
        <v>0</v>
      </c>
    </row>
    <row r="3467" spans="7:22" x14ac:dyDescent="0.25">
      <c r="G3467">
        <f>Data!A3480</f>
        <v>0</v>
      </c>
      <c r="H3467" s="21">
        <f>Data!B3480</f>
        <v>0</v>
      </c>
      <c r="I3467" s="21">
        <f>Data!C3480</f>
        <v>0</v>
      </c>
      <c r="J3467">
        <f>Data!D3480</f>
        <v>0</v>
      </c>
      <c r="K3467">
        <f>Data!E3480</f>
        <v>0</v>
      </c>
      <c r="L3467">
        <f>Data!F3480</f>
        <v>0</v>
      </c>
      <c r="M3467">
        <f>Data!G3480</f>
        <v>0</v>
      </c>
      <c r="N3467">
        <f>Data!H3480</f>
        <v>0</v>
      </c>
      <c r="O3467">
        <f>Data!I3480</f>
        <v>0</v>
      </c>
      <c r="P3467" s="21">
        <f>Data!J3484</f>
        <v>0</v>
      </c>
      <c r="Q3467">
        <f>Data!K3484</f>
        <v>0</v>
      </c>
      <c r="R3467">
        <f>Data!L3484</f>
        <v>0</v>
      </c>
      <c r="S3467">
        <f>Data!M3484</f>
        <v>0</v>
      </c>
      <c r="T3467">
        <f>Data!N3484</f>
        <v>0</v>
      </c>
      <c r="U3467">
        <f>Data!O3484</f>
        <v>0</v>
      </c>
      <c r="V3467" s="33">
        <f>Data!P3482</f>
        <v>0</v>
      </c>
    </row>
    <row r="3468" spans="7:22" x14ac:dyDescent="0.25">
      <c r="G3468">
        <f>Data!A3481</f>
        <v>0</v>
      </c>
      <c r="H3468" s="21">
        <f>Data!B3481</f>
        <v>0</v>
      </c>
      <c r="I3468" s="21">
        <f>Data!C3481</f>
        <v>0</v>
      </c>
      <c r="J3468">
        <f>Data!D3481</f>
        <v>0</v>
      </c>
      <c r="K3468">
        <f>Data!E3481</f>
        <v>0</v>
      </c>
      <c r="L3468">
        <f>Data!F3481</f>
        <v>0</v>
      </c>
      <c r="M3468">
        <f>Data!G3481</f>
        <v>0</v>
      </c>
      <c r="N3468">
        <f>Data!H3481</f>
        <v>0</v>
      </c>
      <c r="O3468">
        <f>Data!I3481</f>
        <v>0</v>
      </c>
      <c r="P3468" s="21">
        <f>Data!J3485</f>
        <v>0</v>
      </c>
      <c r="Q3468">
        <f>Data!K3485</f>
        <v>0</v>
      </c>
      <c r="R3468">
        <f>Data!L3485</f>
        <v>0</v>
      </c>
      <c r="S3468">
        <f>Data!M3485</f>
        <v>0</v>
      </c>
      <c r="T3468">
        <f>Data!N3485</f>
        <v>0</v>
      </c>
      <c r="U3468">
        <f>Data!O3485</f>
        <v>0</v>
      </c>
      <c r="V3468" s="33">
        <f>Data!P3483</f>
        <v>0</v>
      </c>
    </row>
    <row r="3469" spans="7:22" x14ac:dyDescent="0.25">
      <c r="G3469">
        <f>Data!A3482</f>
        <v>0</v>
      </c>
      <c r="H3469" s="21">
        <f>Data!B3482</f>
        <v>0</v>
      </c>
      <c r="I3469" s="21">
        <f>Data!C3482</f>
        <v>0</v>
      </c>
      <c r="J3469">
        <f>Data!D3482</f>
        <v>0</v>
      </c>
      <c r="K3469">
        <f>Data!E3482</f>
        <v>0</v>
      </c>
      <c r="L3469">
        <f>Data!F3482</f>
        <v>0</v>
      </c>
      <c r="M3469">
        <f>Data!G3482</f>
        <v>0</v>
      </c>
      <c r="N3469">
        <f>Data!H3482</f>
        <v>0</v>
      </c>
      <c r="O3469">
        <f>Data!I3482</f>
        <v>0</v>
      </c>
      <c r="P3469" s="21">
        <f>Data!J3486</f>
        <v>0</v>
      </c>
      <c r="Q3469">
        <f>Data!K3486</f>
        <v>0</v>
      </c>
      <c r="R3469">
        <f>Data!L3486</f>
        <v>0</v>
      </c>
      <c r="S3469">
        <f>Data!M3486</f>
        <v>0</v>
      </c>
      <c r="T3469">
        <f>Data!N3486</f>
        <v>0</v>
      </c>
      <c r="U3469">
        <f>Data!O3486</f>
        <v>0</v>
      </c>
      <c r="V3469" s="33">
        <f>Data!P3484</f>
        <v>0</v>
      </c>
    </row>
    <row r="3470" spans="7:22" x14ac:dyDescent="0.25">
      <c r="G3470">
        <f>Data!A3483</f>
        <v>0</v>
      </c>
      <c r="H3470" s="21">
        <f>Data!B3483</f>
        <v>0</v>
      </c>
      <c r="I3470" s="21">
        <f>Data!C3483</f>
        <v>0</v>
      </c>
      <c r="J3470">
        <f>Data!D3483</f>
        <v>0</v>
      </c>
      <c r="K3470">
        <f>Data!E3483</f>
        <v>0</v>
      </c>
      <c r="L3470">
        <f>Data!F3483</f>
        <v>0</v>
      </c>
      <c r="M3470">
        <f>Data!G3483</f>
        <v>0</v>
      </c>
      <c r="N3470">
        <f>Data!H3483</f>
        <v>0</v>
      </c>
      <c r="O3470">
        <f>Data!I3483</f>
        <v>0</v>
      </c>
      <c r="P3470" s="21">
        <f>Data!J3487</f>
        <v>0</v>
      </c>
      <c r="Q3470">
        <f>Data!K3487</f>
        <v>0</v>
      </c>
      <c r="R3470">
        <f>Data!L3487</f>
        <v>0</v>
      </c>
      <c r="S3470">
        <f>Data!M3487</f>
        <v>0</v>
      </c>
      <c r="T3470">
        <f>Data!N3487</f>
        <v>0</v>
      </c>
      <c r="U3470">
        <f>Data!O3487</f>
        <v>0</v>
      </c>
      <c r="V3470" s="33">
        <f>Data!P3485</f>
        <v>0</v>
      </c>
    </row>
    <row r="3471" spans="7:22" x14ac:dyDescent="0.25">
      <c r="G3471">
        <f>Data!A3484</f>
        <v>0</v>
      </c>
      <c r="H3471" s="21">
        <f>Data!B3484</f>
        <v>0</v>
      </c>
      <c r="I3471" s="21">
        <f>Data!C3484</f>
        <v>0</v>
      </c>
      <c r="J3471">
        <f>Data!D3484</f>
        <v>0</v>
      </c>
      <c r="K3471">
        <f>Data!E3484</f>
        <v>0</v>
      </c>
      <c r="L3471">
        <f>Data!F3484</f>
        <v>0</v>
      </c>
      <c r="M3471">
        <f>Data!G3484</f>
        <v>0</v>
      </c>
      <c r="N3471">
        <f>Data!H3484</f>
        <v>0</v>
      </c>
      <c r="O3471">
        <f>Data!I3484</f>
        <v>0</v>
      </c>
      <c r="P3471" s="21">
        <f>Data!J3488</f>
        <v>0</v>
      </c>
      <c r="Q3471">
        <f>Data!K3488</f>
        <v>0</v>
      </c>
      <c r="R3471">
        <f>Data!L3488</f>
        <v>0</v>
      </c>
      <c r="S3471">
        <f>Data!M3488</f>
        <v>0</v>
      </c>
      <c r="T3471">
        <f>Data!N3488</f>
        <v>0</v>
      </c>
      <c r="U3471">
        <f>Data!O3488</f>
        <v>0</v>
      </c>
      <c r="V3471" s="33">
        <f>Data!P3486</f>
        <v>0</v>
      </c>
    </row>
    <row r="3472" spans="7:22" x14ac:dyDescent="0.25">
      <c r="G3472">
        <f>Data!A3485</f>
        <v>0</v>
      </c>
      <c r="H3472" s="21">
        <f>Data!B3485</f>
        <v>0</v>
      </c>
      <c r="I3472" s="21">
        <f>Data!C3485</f>
        <v>0</v>
      </c>
      <c r="J3472">
        <f>Data!D3485</f>
        <v>0</v>
      </c>
      <c r="K3472">
        <f>Data!E3485</f>
        <v>0</v>
      </c>
      <c r="L3472">
        <f>Data!F3485</f>
        <v>0</v>
      </c>
      <c r="M3472">
        <f>Data!G3485</f>
        <v>0</v>
      </c>
      <c r="N3472">
        <f>Data!H3485</f>
        <v>0</v>
      </c>
      <c r="O3472">
        <f>Data!I3485</f>
        <v>0</v>
      </c>
      <c r="P3472" s="21">
        <f>Data!J3489</f>
        <v>0</v>
      </c>
      <c r="Q3472">
        <f>Data!K3489</f>
        <v>0</v>
      </c>
      <c r="R3472">
        <f>Data!L3489</f>
        <v>0</v>
      </c>
      <c r="S3472">
        <f>Data!M3489</f>
        <v>0</v>
      </c>
      <c r="T3472">
        <f>Data!N3489</f>
        <v>0</v>
      </c>
      <c r="U3472">
        <f>Data!O3489</f>
        <v>0</v>
      </c>
      <c r="V3472" s="33">
        <f>Data!P3487</f>
        <v>0</v>
      </c>
    </row>
    <row r="3473" spans="7:22" x14ac:dyDescent="0.25">
      <c r="G3473">
        <f>Data!A3486</f>
        <v>0</v>
      </c>
      <c r="H3473" s="21">
        <f>Data!B3486</f>
        <v>0</v>
      </c>
      <c r="I3473" s="21">
        <f>Data!C3486</f>
        <v>0</v>
      </c>
      <c r="J3473">
        <f>Data!D3486</f>
        <v>0</v>
      </c>
      <c r="K3473">
        <f>Data!E3486</f>
        <v>0</v>
      </c>
      <c r="L3473">
        <f>Data!F3486</f>
        <v>0</v>
      </c>
      <c r="M3473">
        <f>Data!G3486</f>
        <v>0</v>
      </c>
      <c r="N3473">
        <f>Data!H3486</f>
        <v>0</v>
      </c>
      <c r="O3473">
        <f>Data!I3486</f>
        <v>0</v>
      </c>
      <c r="P3473" s="21">
        <f>Data!J3490</f>
        <v>0</v>
      </c>
      <c r="Q3473">
        <f>Data!K3490</f>
        <v>0</v>
      </c>
      <c r="R3473">
        <f>Data!L3490</f>
        <v>0</v>
      </c>
      <c r="S3473">
        <f>Data!M3490</f>
        <v>0</v>
      </c>
      <c r="T3473">
        <f>Data!N3490</f>
        <v>0</v>
      </c>
      <c r="U3473">
        <f>Data!O3490</f>
        <v>0</v>
      </c>
      <c r="V3473" s="33">
        <f>Data!P3488</f>
        <v>0</v>
      </c>
    </row>
    <row r="3474" spans="7:22" x14ac:dyDescent="0.25">
      <c r="G3474">
        <f>Data!A3487</f>
        <v>0</v>
      </c>
      <c r="H3474" s="21">
        <f>Data!B3487</f>
        <v>0</v>
      </c>
      <c r="I3474" s="21">
        <f>Data!C3487</f>
        <v>0</v>
      </c>
      <c r="J3474">
        <f>Data!D3487</f>
        <v>0</v>
      </c>
      <c r="K3474">
        <f>Data!E3487</f>
        <v>0</v>
      </c>
      <c r="L3474">
        <f>Data!F3487</f>
        <v>0</v>
      </c>
      <c r="M3474">
        <f>Data!G3487</f>
        <v>0</v>
      </c>
      <c r="N3474">
        <f>Data!H3487</f>
        <v>0</v>
      </c>
      <c r="O3474">
        <f>Data!I3487</f>
        <v>0</v>
      </c>
      <c r="P3474" s="21">
        <f>Data!J3491</f>
        <v>0</v>
      </c>
      <c r="Q3474">
        <f>Data!K3491</f>
        <v>0</v>
      </c>
      <c r="R3474">
        <f>Data!L3491</f>
        <v>0</v>
      </c>
      <c r="S3474">
        <f>Data!M3491</f>
        <v>0</v>
      </c>
      <c r="T3474">
        <f>Data!N3491</f>
        <v>0</v>
      </c>
      <c r="U3474">
        <f>Data!O3491</f>
        <v>0</v>
      </c>
      <c r="V3474" s="33">
        <f>Data!P3489</f>
        <v>0</v>
      </c>
    </row>
    <row r="3475" spans="7:22" x14ac:dyDescent="0.25">
      <c r="G3475">
        <f>Data!A3488</f>
        <v>0</v>
      </c>
      <c r="H3475" s="21">
        <f>Data!B3488</f>
        <v>0</v>
      </c>
      <c r="I3475" s="21">
        <f>Data!C3488</f>
        <v>0</v>
      </c>
      <c r="J3475">
        <f>Data!D3488</f>
        <v>0</v>
      </c>
      <c r="K3475">
        <f>Data!E3488</f>
        <v>0</v>
      </c>
      <c r="L3475">
        <f>Data!F3488</f>
        <v>0</v>
      </c>
      <c r="M3475">
        <f>Data!G3488</f>
        <v>0</v>
      </c>
      <c r="N3475">
        <f>Data!H3488</f>
        <v>0</v>
      </c>
      <c r="O3475">
        <f>Data!I3488</f>
        <v>0</v>
      </c>
      <c r="P3475" s="21">
        <f>Data!J3492</f>
        <v>0</v>
      </c>
      <c r="Q3475">
        <f>Data!K3492</f>
        <v>0</v>
      </c>
      <c r="R3475">
        <f>Data!L3492</f>
        <v>0</v>
      </c>
      <c r="S3475">
        <f>Data!M3492</f>
        <v>0</v>
      </c>
      <c r="T3475">
        <f>Data!N3492</f>
        <v>0</v>
      </c>
      <c r="U3475">
        <f>Data!O3492</f>
        <v>0</v>
      </c>
      <c r="V3475" s="33">
        <f>Data!P3490</f>
        <v>0</v>
      </c>
    </row>
    <row r="3476" spans="7:22" x14ac:dyDescent="0.25">
      <c r="G3476">
        <f>Data!A3489</f>
        <v>0</v>
      </c>
      <c r="H3476" s="21">
        <f>Data!B3489</f>
        <v>0</v>
      </c>
      <c r="I3476" s="21">
        <f>Data!C3489</f>
        <v>0</v>
      </c>
      <c r="J3476">
        <f>Data!D3489</f>
        <v>0</v>
      </c>
      <c r="K3476">
        <f>Data!E3489</f>
        <v>0</v>
      </c>
      <c r="L3476">
        <f>Data!F3489</f>
        <v>0</v>
      </c>
      <c r="M3476">
        <f>Data!G3489</f>
        <v>0</v>
      </c>
      <c r="N3476">
        <f>Data!H3489</f>
        <v>0</v>
      </c>
      <c r="O3476">
        <f>Data!I3489</f>
        <v>0</v>
      </c>
      <c r="P3476" s="21">
        <f>Data!J3493</f>
        <v>0</v>
      </c>
      <c r="Q3476">
        <f>Data!K3493</f>
        <v>0</v>
      </c>
      <c r="R3476">
        <f>Data!L3493</f>
        <v>0</v>
      </c>
      <c r="S3476">
        <f>Data!M3493</f>
        <v>0</v>
      </c>
      <c r="T3476">
        <f>Data!N3493</f>
        <v>0</v>
      </c>
      <c r="U3476">
        <f>Data!O3493</f>
        <v>0</v>
      </c>
      <c r="V3476" s="33">
        <f>Data!P3491</f>
        <v>0</v>
      </c>
    </row>
    <row r="3477" spans="7:22" x14ac:dyDescent="0.25">
      <c r="G3477">
        <f>Data!A3490</f>
        <v>0</v>
      </c>
      <c r="H3477" s="21">
        <f>Data!B3490</f>
        <v>0</v>
      </c>
      <c r="I3477" s="21">
        <f>Data!C3490</f>
        <v>0</v>
      </c>
      <c r="J3477">
        <f>Data!D3490</f>
        <v>0</v>
      </c>
      <c r="K3477">
        <f>Data!E3490</f>
        <v>0</v>
      </c>
      <c r="L3477">
        <f>Data!F3490</f>
        <v>0</v>
      </c>
      <c r="M3477">
        <f>Data!G3490</f>
        <v>0</v>
      </c>
      <c r="N3477">
        <f>Data!H3490</f>
        <v>0</v>
      </c>
      <c r="O3477">
        <f>Data!I3490</f>
        <v>0</v>
      </c>
      <c r="P3477" s="21">
        <f>Data!J3494</f>
        <v>0</v>
      </c>
      <c r="Q3477">
        <f>Data!K3494</f>
        <v>0</v>
      </c>
      <c r="R3477">
        <f>Data!L3494</f>
        <v>0</v>
      </c>
      <c r="S3477">
        <f>Data!M3494</f>
        <v>0</v>
      </c>
      <c r="T3477">
        <f>Data!N3494</f>
        <v>0</v>
      </c>
      <c r="U3477">
        <f>Data!O3494</f>
        <v>0</v>
      </c>
      <c r="V3477" s="33">
        <f>Data!P3492</f>
        <v>0</v>
      </c>
    </row>
    <row r="3478" spans="7:22" x14ac:dyDescent="0.25">
      <c r="G3478">
        <f>Data!A3491</f>
        <v>0</v>
      </c>
      <c r="H3478" s="21">
        <f>Data!B3491</f>
        <v>0</v>
      </c>
      <c r="I3478" s="21">
        <f>Data!C3491</f>
        <v>0</v>
      </c>
      <c r="J3478">
        <f>Data!D3491</f>
        <v>0</v>
      </c>
      <c r="K3478">
        <f>Data!E3491</f>
        <v>0</v>
      </c>
      <c r="L3478">
        <f>Data!F3491</f>
        <v>0</v>
      </c>
      <c r="M3478">
        <f>Data!G3491</f>
        <v>0</v>
      </c>
      <c r="N3478">
        <f>Data!H3491</f>
        <v>0</v>
      </c>
      <c r="O3478">
        <f>Data!I3491</f>
        <v>0</v>
      </c>
      <c r="P3478" s="21">
        <f>Data!J3495</f>
        <v>0</v>
      </c>
      <c r="Q3478">
        <f>Data!K3495</f>
        <v>0</v>
      </c>
      <c r="R3478">
        <f>Data!L3495</f>
        <v>0</v>
      </c>
      <c r="S3478">
        <f>Data!M3495</f>
        <v>0</v>
      </c>
      <c r="T3478">
        <f>Data!N3495</f>
        <v>0</v>
      </c>
      <c r="U3478">
        <f>Data!O3495</f>
        <v>0</v>
      </c>
      <c r="V3478" s="33">
        <f>Data!P3493</f>
        <v>0</v>
      </c>
    </row>
    <row r="3479" spans="7:22" x14ac:dyDescent="0.25">
      <c r="G3479">
        <f>Data!A3492</f>
        <v>0</v>
      </c>
      <c r="H3479" s="21">
        <f>Data!B3492</f>
        <v>0</v>
      </c>
      <c r="I3479" s="21">
        <f>Data!C3492</f>
        <v>0</v>
      </c>
      <c r="J3479">
        <f>Data!D3492</f>
        <v>0</v>
      </c>
      <c r="K3479">
        <f>Data!E3492</f>
        <v>0</v>
      </c>
      <c r="L3479">
        <f>Data!F3492</f>
        <v>0</v>
      </c>
      <c r="M3479">
        <f>Data!G3492</f>
        <v>0</v>
      </c>
      <c r="N3479">
        <f>Data!H3492</f>
        <v>0</v>
      </c>
      <c r="O3479">
        <f>Data!I3492</f>
        <v>0</v>
      </c>
      <c r="P3479" s="21">
        <f>Data!J3496</f>
        <v>0</v>
      </c>
      <c r="Q3479">
        <f>Data!K3496</f>
        <v>0</v>
      </c>
      <c r="R3479">
        <f>Data!L3496</f>
        <v>0</v>
      </c>
      <c r="S3479">
        <f>Data!M3496</f>
        <v>0</v>
      </c>
      <c r="T3479">
        <f>Data!N3496</f>
        <v>0</v>
      </c>
      <c r="U3479">
        <f>Data!O3496</f>
        <v>0</v>
      </c>
      <c r="V3479" s="33">
        <f>Data!P3494</f>
        <v>0</v>
      </c>
    </row>
    <row r="3480" spans="7:22" x14ac:dyDescent="0.25">
      <c r="G3480">
        <f>Data!A3493</f>
        <v>0</v>
      </c>
      <c r="H3480" s="21">
        <f>Data!B3493</f>
        <v>0</v>
      </c>
      <c r="I3480" s="21">
        <f>Data!C3493</f>
        <v>0</v>
      </c>
      <c r="J3480">
        <f>Data!D3493</f>
        <v>0</v>
      </c>
      <c r="K3480">
        <f>Data!E3493</f>
        <v>0</v>
      </c>
      <c r="L3480">
        <f>Data!F3493</f>
        <v>0</v>
      </c>
      <c r="M3480">
        <f>Data!G3493</f>
        <v>0</v>
      </c>
      <c r="N3480">
        <f>Data!H3493</f>
        <v>0</v>
      </c>
      <c r="O3480">
        <f>Data!I3493</f>
        <v>0</v>
      </c>
      <c r="P3480" s="21">
        <f>Data!J3497</f>
        <v>0</v>
      </c>
      <c r="Q3480">
        <f>Data!K3497</f>
        <v>0</v>
      </c>
      <c r="R3480">
        <f>Data!L3497</f>
        <v>0</v>
      </c>
      <c r="S3480">
        <f>Data!M3497</f>
        <v>0</v>
      </c>
      <c r="T3480">
        <f>Data!N3497</f>
        <v>0</v>
      </c>
      <c r="U3480">
        <f>Data!O3497</f>
        <v>0</v>
      </c>
      <c r="V3480" s="33">
        <f>Data!P3495</f>
        <v>0</v>
      </c>
    </row>
    <row r="3481" spans="7:22" x14ac:dyDescent="0.25">
      <c r="G3481">
        <f>Data!A3494</f>
        <v>0</v>
      </c>
      <c r="H3481" s="21">
        <f>Data!B3494</f>
        <v>0</v>
      </c>
      <c r="I3481" s="21">
        <f>Data!C3494</f>
        <v>0</v>
      </c>
      <c r="J3481">
        <f>Data!D3494</f>
        <v>0</v>
      </c>
      <c r="K3481">
        <f>Data!E3494</f>
        <v>0</v>
      </c>
      <c r="L3481">
        <f>Data!F3494</f>
        <v>0</v>
      </c>
      <c r="M3481">
        <f>Data!G3494</f>
        <v>0</v>
      </c>
      <c r="N3481">
        <f>Data!H3494</f>
        <v>0</v>
      </c>
      <c r="O3481">
        <f>Data!I3494</f>
        <v>0</v>
      </c>
      <c r="P3481" s="21">
        <f>Data!J3498</f>
        <v>0</v>
      </c>
      <c r="Q3481">
        <f>Data!K3498</f>
        <v>0</v>
      </c>
      <c r="R3481">
        <f>Data!L3498</f>
        <v>0</v>
      </c>
      <c r="S3481">
        <f>Data!M3498</f>
        <v>0</v>
      </c>
      <c r="T3481">
        <f>Data!N3498</f>
        <v>0</v>
      </c>
      <c r="U3481">
        <f>Data!O3498</f>
        <v>0</v>
      </c>
      <c r="V3481" s="33">
        <f>Data!P3496</f>
        <v>0</v>
      </c>
    </row>
    <row r="3482" spans="7:22" x14ac:dyDescent="0.25">
      <c r="G3482">
        <f>Data!A3495</f>
        <v>0</v>
      </c>
      <c r="H3482" s="21">
        <f>Data!B3495</f>
        <v>0</v>
      </c>
      <c r="I3482" s="21">
        <f>Data!C3495</f>
        <v>0</v>
      </c>
      <c r="J3482">
        <f>Data!D3495</f>
        <v>0</v>
      </c>
      <c r="K3482">
        <f>Data!E3495</f>
        <v>0</v>
      </c>
      <c r="L3482">
        <f>Data!F3495</f>
        <v>0</v>
      </c>
      <c r="M3482">
        <f>Data!G3495</f>
        <v>0</v>
      </c>
      <c r="N3482">
        <f>Data!H3495</f>
        <v>0</v>
      </c>
      <c r="O3482">
        <f>Data!I3495</f>
        <v>0</v>
      </c>
      <c r="P3482" s="21">
        <f>Data!J3499</f>
        <v>0</v>
      </c>
      <c r="Q3482">
        <f>Data!K3499</f>
        <v>0</v>
      </c>
      <c r="R3482">
        <f>Data!L3499</f>
        <v>0</v>
      </c>
      <c r="S3482">
        <f>Data!M3499</f>
        <v>0</v>
      </c>
      <c r="T3482">
        <f>Data!N3499</f>
        <v>0</v>
      </c>
      <c r="U3482">
        <f>Data!O3499</f>
        <v>0</v>
      </c>
      <c r="V3482" s="33">
        <f>Data!P3497</f>
        <v>0</v>
      </c>
    </row>
    <row r="3483" spans="7:22" x14ac:dyDescent="0.25">
      <c r="G3483">
        <f>Data!A3496</f>
        <v>0</v>
      </c>
      <c r="H3483" s="21">
        <f>Data!B3496</f>
        <v>0</v>
      </c>
      <c r="I3483" s="21">
        <f>Data!C3496</f>
        <v>0</v>
      </c>
      <c r="J3483">
        <f>Data!D3496</f>
        <v>0</v>
      </c>
      <c r="K3483">
        <f>Data!E3496</f>
        <v>0</v>
      </c>
      <c r="L3483">
        <f>Data!F3496</f>
        <v>0</v>
      </c>
      <c r="M3483">
        <f>Data!G3496</f>
        <v>0</v>
      </c>
      <c r="N3483">
        <f>Data!H3496</f>
        <v>0</v>
      </c>
      <c r="O3483">
        <f>Data!I3496</f>
        <v>0</v>
      </c>
      <c r="P3483" s="21">
        <f>Data!J3500</f>
        <v>0</v>
      </c>
      <c r="Q3483">
        <f>Data!K3500</f>
        <v>0</v>
      </c>
      <c r="R3483">
        <f>Data!L3500</f>
        <v>0</v>
      </c>
      <c r="S3483">
        <f>Data!M3500</f>
        <v>0</v>
      </c>
      <c r="T3483">
        <f>Data!N3500</f>
        <v>0</v>
      </c>
      <c r="U3483">
        <f>Data!O3500</f>
        <v>0</v>
      </c>
      <c r="V3483" s="33">
        <f>Data!P3498</f>
        <v>0</v>
      </c>
    </row>
    <row r="3484" spans="7:22" x14ac:dyDescent="0.25">
      <c r="G3484">
        <f>Data!A3497</f>
        <v>0</v>
      </c>
      <c r="H3484" s="21">
        <f>Data!B3497</f>
        <v>0</v>
      </c>
      <c r="I3484" s="21">
        <f>Data!C3497</f>
        <v>0</v>
      </c>
      <c r="J3484">
        <f>Data!D3497</f>
        <v>0</v>
      </c>
      <c r="K3484">
        <f>Data!E3497</f>
        <v>0</v>
      </c>
      <c r="L3484">
        <f>Data!F3497</f>
        <v>0</v>
      </c>
      <c r="M3484">
        <f>Data!G3497</f>
        <v>0</v>
      </c>
      <c r="N3484">
        <f>Data!H3497</f>
        <v>0</v>
      </c>
      <c r="O3484">
        <f>Data!I3497</f>
        <v>0</v>
      </c>
      <c r="P3484" s="21">
        <f>Data!J3501</f>
        <v>0</v>
      </c>
      <c r="Q3484">
        <f>Data!K3501</f>
        <v>0</v>
      </c>
      <c r="R3484">
        <f>Data!L3501</f>
        <v>0</v>
      </c>
      <c r="S3484">
        <f>Data!M3501</f>
        <v>0</v>
      </c>
      <c r="T3484">
        <f>Data!N3501</f>
        <v>0</v>
      </c>
      <c r="U3484">
        <f>Data!O3501</f>
        <v>0</v>
      </c>
      <c r="V3484" s="33">
        <f>Data!P3499</f>
        <v>0</v>
      </c>
    </row>
    <row r="3485" spans="7:22" x14ac:dyDescent="0.25">
      <c r="G3485">
        <f>Data!A3498</f>
        <v>0</v>
      </c>
      <c r="H3485" s="21">
        <f>Data!B3498</f>
        <v>0</v>
      </c>
      <c r="I3485" s="21">
        <f>Data!C3498</f>
        <v>0</v>
      </c>
      <c r="J3485">
        <f>Data!D3498</f>
        <v>0</v>
      </c>
      <c r="K3485">
        <f>Data!E3498</f>
        <v>0</v>
      </c>
      <c r="L3485">
        <f>Data!F3498</f>
        <v>0</v>
      </c>
      <c r="M3485">
        <f>Data!G3498</f>
        <v>0</v>
      </c>
      <c r="N3485">
        <f>Data!H3498</f>
        <v>0</v>
      </c>
      <c r="O3485">
        <f>Data!I3498</f>
        <v>0</v>
      </c>
      <c r="P3485" s="21">
        <f>Data!J3502</f>
        <v>0</v>
      </c>
      <c r="Q3485">
        <f>Data!K3502</f>
        <v>0</v>
      </c>
      <c r="R3485">
        <f>Data!L3502</f>
        <v>0</v>
      </c>
      <c r="S3485">
        <f>Data!M3502</f>
        <v>0</v>
      </c>
      <c r="T3485">
        <f>Data!N3502</f>
        <v>0</v>
      </c>
      <c r="U3485">
        <f>Data!O3502</f>
        <v>0</v>
      </c>
      <c r="V3485" s="33">
        <f>Data!P3500</f>
        <v>0</v>
      </c>
    </row>
    <row r="3486" spans="7:22" x14ac:dyDescent="0.25">
      <c r="G3486">
        <f>Data!A3499</f>
        <v>0</v>
      </c>
      <c r="H3486" s="21">
        <f>Data!B3499</f>
        <v>0</v>
      </c>
      <c r="I3486" s="21">
        <f>Data!C3499</f>
        <v>0</v>
      </c>
      <c r="J3486">
        <f>Data!D3499</f>
        <v>0</v>
      </c>
      <c r="K3486">
        <f>Data!E3499</f>
        <v>0</v>
      </c>
      <c r="L3486">
        <f>Data!F3499</f>
        <v>0</v>
      </c>
      <c r="M3486">
        <f>Data!G3499</f>
        <v>0</v>
      </c>
      <c r="N3486">
        <f>Data!H3499</f>
        <v>0</v>
      </c>
      <c r="O3486">
        <f>Data!I3499</f>
        <v>0</v>
      </c>
      <c r="P3486" s="21">
        <f>Data!J3503</f>
        <v>0</v>
      </c>
      <c r="Q3486">
        <f>Data!K3503</f>
        <v>0</v>
      </c>
      <c r="R3486">
        <f>Data!L3503</f>
        <v>0</v>
      </c>
      <c r="S3486">
        <f>Data!M3503</f>
        <v>0</v>
      </c>
      <c r="T3486">
        <f>Data!N3503</f>
        <v>0</v>
      </c>
      <c r="U3486">
        <f>Data!O3503</f>
        <v>0</v>
      </c>
      <c r="V3486" s="33">
        <f>Data!P3501</f>
        <v>0</v>
      </c>
    </row>
    <row r="3487" spans="7:22" x14ac:dyDescent="0.25">
      <c r="G3487">
        <f>Data!A3500</f>
        <v>0</v>
      </c>
      <c r="H3487" s="21">
        <f>Data!B3500</f>
        <v>0</v>
      </c>
      <c r="I3487" s="21">
        <f>Data!C3500</f>
        <v>0</v>
      </c>
      <c r="J3487">
        <f>Data!D3500</f>
        <v>0</v>
      </c>
      <c r="K3487">
        <f>Data!E3500</f>
        <v>0</v>
      </c>
      <c r="L3487">
        <f>Data!F3500</f>
        <v>0</v>
      </c>
      <c r="M3487">
        <f>Data!G3500</f>
        <v>0</v>
      </c>
      <c r="N3487">
        <f>Data!H3500</f>
        <v>0</v>
      </c>
      <c r="O3487">
        <f>Data!I3500</f>
        <v>0</v>
      </c>
      <c r="P3487" s="21">
        <f>Data!J3504</f>
        <v>0</v>
      </c>
      <c r="Q3487">
        <f>Data!K3504</f>
        <v>0</v>
      </c>
      <c r="R3487">
        <f>Data!L3504</f>
        <v>0</v>
      </c>
      <c r="S3487">
        <f>Data!M3504</f>
        <v>0</v>
      </c>
      <c r="T3487">
        <f>Data!N3504</f>
        <v>0</v>
      </c>
      <c r="U3487">
        <f>Data!O3504</f>
        <v>0</v>
      </c>
      <c r="V3487" s="33">
        <f>Data!P3502</f>
        <v>0</v>
      </c>
    </row>
    <row r="3488" spans="7:22" x14ac:dyDescent="0.25">
      <c r="G3488">
        <f>Data!A3501</f>
        <v>0</v>
      </c>
      <c r="H3488" s="21">
        <f>Data!B3501</f>
        <v>0</v>
      </c>
      <c r="I3488" s="21">
        <f>Data!C3501</f>
        <v>0</v>
      </c>
      <c r="J3488">
        <f>Data!D3501</f>
        <v>0</v>
      </c>
      <c r="K3488">
        <f>Data!E3501</f>
        <v>0</v>
      </c>
      <c r="L3488">
        <f>Data!F3501</f>
        <v>0</v>
      </c>
      <c r="M3488">
        <f>Data!G3501</f>
        <v>0</v>
      </c>
      <c r="N3488">
        <f>Data!H3501</f>
        <v>0</v>
      </c>
      <c r="O3488">
        <f>Data!I3501</f>
        <v>0</v>
      </c>
      <c r="P3488" s="21">
        <f>Data!J3505</f>
        <v>0</v>
      </c>
      <c r="Q3488">
        <f>Data!K3505</f>
        <v>0</v>
      </c>
      <c r="R3488">
        <f>Data!L3505</f>
        <v>0</v>
      </c>
      <c r="S3488">
        <f>Data!M3505</f>
        <v>0</v>
      </c>
      <c r="T3488">
        <f>Data!N3505</f>
        <v>0</v>
      </c>
      <c r="U3488">
        <f>Data!O3505</f>
        <v>0</v>
      </c>
      <c r="V3488" s="33">
        <f>Data!P3503</f>
        <v>0</v>
      </c>
    </row>
    <row r="3489" spans="7:22" x14ac:dyDescent="0.25">
      <c r="G3489">
        <f>Data!A3502</f>
        <v>0</v>
      </c>
      <c r="H3489" s="21">
        <f>Data!B3502</f>
        <v>0</v>
      </c>
      <c r="I3489" s="21">
        <f>Data!C3502</f>
        <v>0</v>
      </c>
      <c r="J3489">
        <f>Data!D3502</f>
        <v>0</v>
      </c>
      <c r="K3489">
        <f>Data!E3502</f>
        <v>0</v>
      </c>
      <c r="L3489">
        <f>Data!F3502</f>
        <v>0</v>
      </c>
      <c r="M3489">
        <f>Data!G3502</f>
        <v>0</v>
      </c>
      <c r="N3489">
        <f>Data!H3502</f>
        <v>0</v>
      </c>
      <c r="O3489">
        <f>Data!I3502</f>
        <v>0</v>
      </c>
      <c r="P3489" s="21">
        <f>Data!J3506</f>
        <v>0</v>
      </c>
      <c r="Q3489">
        <f>Data!K3506</f>
        <v>0</v>
      </c>
      <c r="R3489">
        <f>Data!L3506</f>
        <v>0</v>
      </c>
      <c r="S3489">
        <f>Data!M3506</f>
        <v>0</v>
      </c>
      <c r="T3489">
        <f>Data!N3506</f>
        <v>0</v>
      </c>
      <c r="U3489">
        <f>Data!O3506</f>
        <v>0</v>
      </c>
      <c r="V3489" s="33">
        <f>Data!P3504</f>
        <v>0</v>
      </c>
    </row>
    <row r="3490" spans="7:22" x14ac:dyDescent="0.25">
      <c r="G3490">
        <f>Data!A3503</f>
        <v>0</v>
      </c>
      <c r="H3490" s="21">
        <f>Data!B3503</f>
        <v>0</v>
      </c>
      <c r="I3490" s="21">
        <f>Data!C3503</f>
        <v>0</v>
      </c>
      <c r="J3490">
        <f>Data!D3503</f>
        <v>0</v>
      </c>
      <c r="K3490">
        <f>Data!E3503</f>
        <v>0</v>
      </c>
      <c r="L3490">
        <f>Data!F3503</f>
        <v>0</v>
      </c>
      <c r="M3490">
        <f>Data!G3503</f>
        <v>0</v>
      </c>
      <c r="N3490">
        <f>Data!H3503</f>
        <v>0</v>
      </c>
      <c r="O3490">
        <f>Data!I3503</f>
        <v>0</v>
      </c>
      <c r="P3490" s="21">
        <f>Data!J3507</f>
        <v>0</v>
      </c>
      <c r="Q3490">
        <f>Data!K3507</f>
        <v>0</v>
      </c>
      <c r="R3490">
        <f>Data!L3507</f>
        <v>0</v>
      </c>
      <c r="S3490">
        <f>Data!M3507</f>
        <v>0</v>
      </c>
      <c r="T3490">
        <f>Data!N3507</f>
        <v>0</v>
      </c>
      <c r="U3490">
        <f>Data!O3507</f>
        <v>0</v>
      </c>
      <c r="V3490" s="33">
        <f>Data!P3505</f>
        <v>0</v>
      </c>
    </row>
    <row r="3491" spans="7:22" x14ac:dyDescent="0.25">
      <c r="G3491">
        <f>Data!A3504</f>
        <v>0</v>
      </c>
      <c r="H3491" s="21">
        <f>Data!B3504</f>
        <v>0</v>
      </c>
      <c r="I3491" s="21">
        <f>Data!C3504</f>
        <v>0</v>
      </c>
      <c r="J3491">
        <f>Data!D3504</f>
        <v>0</v>
      </c>
      <c r="K3491">
        <f>Data!E3504</f>
        <v>0</v>
      </c>
      <c r="L3491">
        <f>Data!F3504</f>
        <v>0</v>
      </c>
      <c r="M3491">
        <f>Data!G3504</f>
        <v>0</v>
      </c>
      <c r="N3491">
        <f>Data!H3504</f>
        <v>0</v>
      </c>
      <c r="O3491">
        <f>Data!I3504</f>
        <v>0</v>
      </c>
      <c r="P3491" s="21">
        <f>Data!J3508</f>
        <v>0</v>
      </c>
      <c r="Q3491">
        <f>Data!K3508</f>
        <v>0</v>
      </c>
      <c r="R3491">
        <f>Data!L3508</f>
        <v>0</v>
      </c>
      <c r="S3491">
        <f>Data!M3508</f>
        <v>0</v>
      </c>
      <c r="T3491">
        <f>Data!N3508</f>
        <v>0</v>
      </c>
      <c r="U3491">
        <f>Data!O3508</f>
        <v>0</v>
      </c>
      <c r="V3491" s="33">
        <f>Data!P3506</f>
        <v>0</v>
      </c>
    </row>
    <row r="3492" spans="7:22" x14ac:dyDescent="0.25">
      <c r="G3492">
        <f>Data!A3505</f>
        <v>0</v>
      </c>
      <c r="H3492" s="21">
        <f>Data!B3505</f>
        <v>0</v>
      </c>
      <c r="I3492" s="21">
        <f>Data!C3505</f>
        <v>0</v>
      </c>
      <c r="J3492">
        <f>Data!D3505</f>
        <v>0</v>
      </c>
      <c r="K3492">
        <f>Data!E3505</f>
        <v>0</v>
      </c>
      <c r="L3492">
        <f>Data!F3505</f>
        <v>0</v>
      </c>
      <c r="M3492">
        <f>Data!G3505</f>
        <v>0</v>
      </c>
      <c r="N3492">
        <f>Data!H3505</f>
        <v>0</v>
      </c>
      <c r="O3492">
        <f>Data!I3505</f>
        <v>0</v>
      </c>
      <c r="P3492" s="21">
        <f>Data!J3509</f>
        <v>0</v>
      </c>
      <c r="Q3492">
        <f>Data!K3509</f>
        <v>0</v>
      </c>
      <c r="R3492">
        <f>Data!L3509</f>
        <v>0</v>
      </c>
      <c r="S3492">
        <f>Data!M3509</f>
        <v>0</v>
      </c>
      <c r="T3492">
        <f>Data!N3509</f>
        <v>0</v>
      </c>
      <c r="U3492">
        <f>Data!O3509</f>
        <v>0</v>
      </c>
      <c r="V3492" s="33">
        <f>Data!P3507</f>
        <v>0</v>
      </c>
    </row>
    <row r="3493" spans="7:22" x14ac:dyDescent="0.25">
      <c r="G3493">
        <f>Data!A3506</f>
        <v>0</v>
      </c>
      <c r="H3493" s="21">
        <f>Data!B3506</f>
        <v>0</v>
      </c>
      <c r="I3493" s="21">
        <f>Data!C3506</f>
        <v>0</v>
      </c>
      <c r="J3493">
        <f>Data!D3506</f>
        <v>0</v>
      </c>
      <c r="K3493">
        <f>Data!E3506</f>
        <v>0</v>
      </c>
      <c r="L3493">
        <f>Data!F3506</f>
        <v>0</v>
      </c>
      <c r="M3493">
        <f>Data!G3506</f>
        <v>0</v>
      </c>
      <c r="N3493">
        <f>Data!H3506</f>
        <v>0</v>
      </c>
      <c r="O3493">
        <f>Data!I3506</f>
        <v>0</v>
      </c>
      <c r="P3493" s="21">
        <f>Data!J3510</f>
        <v>0</v>
      </c>
      <c r="Q3493">
        <f>Data!K3510</f>
        <v>0</v>
      </c>
      <c r="R3493">
        <f>Data!L3510</f>
        <v>0</v>
      </c>
      <c r="S3493">
        <f>Data!M3510</f>
        <v>0</v>
      </c>
      <c r="T3493">
        <f>Data!N3510</f>
        <v>0</v>
      </c>
      <c r="U3493">
        <f>Data!O3510</f>
        <v>0</v>
      </c>
      <c r="V3493" s="33">
        <f>Data!P3508</f>
        <v>0</v>
      </c>
    </row>
    <row r="3494" spans="7:22" x14ac:dyDescent="0.25">
      <c r="G3494">
        <f>Data!A3507</f>
        <v>0</v>
      </c>
      <c r="H3494" s="21">
        <f>Data!B3507</f>
        <v>0</v>
      </c>
      <c r="I3494" s="21">
        <f>Data!C3507</f>
        <v>0</v>
      </c>
      <c r="J3494">
        <f>Data!D3507</f>
        <v>0</v>
      </c>
      <c r="K3494">
        <f>Data!E3507</f>
        <v>0</v>
      </c>
      <c r="L3494">
        <f>Data!F3507</f>
        <v>0</v>
      </c>
      <c r="M3494">
        <f>Data!G3507</f>
        <v>0</v>
      </c>
      <c r="N3494">
        <f>Data!H3507</f>
        <v>0</v>
      </c>
      <c r="O3494">
        <f>Data!I3507</f>
        <v>0</v>
      </c>
      <c r="P3494" s="21">
        <f>Data!J3511</f>
        <v>0</v>
      </c>
      <c r="Q3494">
        <f>Data!K3511</f>
        <v>0</v>
      </c>
      <c r="R3494">
        <f>Data!L3511</f>
        <v>0</v>
      </c>
      <c r="S3494">
        <f>Data!M3511</f>
        <v>0</v>
      </c>
      <c r="T3494">
        <f>Data!N3511</f>
        <v>0</v>
      </c>
      <c r="U3494">
        <f>Data!O3511</f>
        <v>0</v>
      </c>
      <c r="V3494" s="33">
        <f>Data!P3509</f>
        <v>0</v>
      </c>
    </row>
    <row r="3495" spans="7:22" x14ac:dyDescent="0.25">
      <c r="G3495">
        <f>Data!A3508</f>
        <v>0</v>
      </c>
      <c r="H3495" s="21">
        <f>Data!B3508</f>
        <v>0</v>
      </c>
      <c r="I3495" s="21">
        <f>Data!C3508</f>
        <v>0</v>
      </c>
      <c r="J3495">
        <f>Data!D3508</f>
        <v>0</v>
      </c>
      <c r="K3495">
        <f>Data!E3508</f>
        <v>0</v>
      </c>
      <c r="L3495">
        <f>Data!F3508</f>
        <v>0</v>
      </c>
      <c r="M3495">
        <f>Data!G3508</f>
        <v>0</v>
      </c>
      <c r="N3495">
        <f>Data!H3508</f>
        <v>0</v>
      </c>
      <c r="O3495">
        <f>Data!I3508</f>
        <v>0</v>
      </c>
      <c r="P3495" s="21">
        <f>Data!J3512</f>
        <v>0</v>
      </c>
      <c r="Q3495">
        <f>Data!K3512</f>
        <v>0</v>
      </c>
      <c r="R3495">
        <f>Data!L3512</f>
        <v>0</v>
      </c>
      <c r="S3495">
        <f>Data!M3512</f>
        <v>0</v>
      </c>
      <c r="T3495">
        <f>Data!N3512</f>
        <v>0</v>
      </c>
      <c r="U3495">
        <f>Data!O3512</f>
        <v>0</v>
      </c>
      <c r="V3495" s="33">
        <f>Data!P3510</f>
        <v>0</v>
      </c>
    </row>
    <row r="3496" spans="7:22" x14ac:dyDescent="0.25">
      <c r="G3496">
        <f>Data!A3509</f>
        <v>0</v>
      </c>
      <c r="H3496" s="21">
        <f>Data!B3509</f>
        <v>0</v>
      </c>
      <c r="I3496" s="21">
        <f>Data!C3509</f>
        <v>0</v>
      </c>
      <c r="J3496">
        <f>Data!D3509</f>
        <v>0</v>
      </c>
      <c r="K3496">
        <f>Data!E3509</f>
        <v>0</v>
      </c>
      <c r="L3496">
        <f>Data!F3509</f>
        <v>0</v>
      </c>
      <c r="M3496">
        <f>Data!G3509</f>
        <v>0</v>
      </c>
      <c r="N3496">
        <f>Data!H3509</f>
        <v>0</v>
      </c>
      <c r="O3496">
        <f>Data!I3509</f>
        <v>0</v>
      </c>
      <c r="P3496" s="21">
        <f>Data!J3513</f>
        <v>0</v>
      </c>
      <c r="Q3496">
        <f>Data!K3513</f>
        <v>0</v>
      </c>
      <c r="R3496">
        <f>Data!L3513</f>
        <v>0</v>
      </c>
      <c r="S3496">
        <f>Data!M3513</f>
        <v>0</v>
      </c>
      <c r="T3496">
        <f>Data!N3513</f>
        <v>0</v>
      </c>
      <c r="U3496">
        <f>Data!O3513</f>
        <v>0</v>
      </c>
      <c r="V3496" s="33">
        <f>Data!P3511</f>
        <v>0</v>
      </c>
    </row>
    <row r="3497" spans="7:22" x14ac:dyDescent="0.25">
      <c r="G3497">
        <f>Data!A3510</f>
        <v>0</v>
      </c>
      <c r="H3497" s="21">
        <f>Data!B3510</f>
        <v>0</v>
      </c>
      <c r="I3497" s="21">
        <f>Data!C3510</f>
        <v>0</v>
      </c>
      <c r="J3497">
        <f>Data!D3510</f>
        <v>0</v>
      </c>
      <c r="K3497">
        <f>Data!E3510</f>
        <v>0</v>
      </c>
      <c r="L3497">
        <f>Data!F3510</f>
        <v>0</v>
      </c>
      <c r="M3497">
        <f>Data!G3510</f>
        <v>0</v>
      </c>
      <c r="N3497">
        <f>Data!H3510</f>
        <v>0</v>
      </c>
      <c r="O3497">
        <f>Data!I3510</f>
        <v>0</v>
      </c>
      <c r="P3497" s="21">
        <f>Data!J3514</f>
        <v>0</v>
      </c>
      <c r="Q3497">
        <f>Data!K3514</f>
        <v>0</v>
      </c>
      <c r="R3497">
        <f>Data!L3514</f>
        <v>0</v>
      </c>
      <c r="S3497">
        <f>Data!M3514</f>
        <v>0</v>
      </c>
      <c r="T3497">
        <f>Data!N3514</f>
        <v>0</v>
      </c>
      <c r="U3497">
        <f>Data!O3514</f>
        <v>0</v>
      </c>
      <c r="V3497" s="33">
        <f>Data!P3512</f>
        <v>0</v>
      </c>
    </row>
    <row r="3498" spans="7:22" x14ac:dyDescent="0.25">
      <c r="G3498">
        <f>Data!A3511</f>
        <v>0</v>
      </c>
      <c r="H3498" s="21">
        <f>Data!B3511</f>
        <v>0</v>
      </c>
      <c r="I3498" s="21">
        <f>Data!C3511</f>
        <v>0</v>
      </c>
      <c r="J3498">
        <f>Data!D3511</f>
        <v>0</v>
      </c>
      <c r="K3498">
        <f>Data!E3511</f>
        <v>0</v>
      </c>
      <c r="L3498">
        <f>Data!F3511</f>
        <v>0</v>
      </c>
      <c r="M3498">
        <f>Data!G3511</f>
        <v>0</v>
      </c>
      <c r="N3498">
        <f>Data!H3511</f>
        <v>0</v>
      </c>
      <c r="O3498">
        <f>Data!I3511</f>
        <v>0</v>
      </c>
      <c r="P3498" s="21">
        <f>Data!J3515</f>
        <v>0</v>
      </c>
      <c r="Q3498">
        <f>Data!K3515</f>
        <v>0</v>
      </c>
      <c r="R3498">
        <f>Data!L3515</f>
        <v>0</v>
      </c>
      <c r="S3498">
        <f>Data!M3515</f>
        <v>0</v>
      </c>
      <c r="T3498">
        <f>Data!N3515</f>
        <v>0</v>
      </c>
      <c r="U3498">
        <f>Data!O3515</f>
        <v>0</v>
      </c>
      <c r="V3498" s="33">
        <f>Data!P3513</f>
        <v>0</v>
      </c>
    </row>
    <row r="3499" spans="7:22" x14ac:dyDescent="0.25">
      <c r="G3499">
        <f>Data!A3512</f>
        <v>0</v>
      </c>
      <c r="H3499" s="21">
        <f>Data!B3512</f>
        <v>0</v>
      </c>
      <c r="I3499" s="21">
        <f>Data!C3512</f>
        <v>0</v>
      </c>
      <c r="J3499">
        <f>Data!D3512</f>
        <v>0</v>
      </c>
      <c r="K3499">
        <f>Data!E3512</f>
        <v>0</v>
      </c>
      <c r="L3499">
        <f>Data!F3512</f>
        <v>0</v>
      </c>
      <c r="M3499">
        <f>Data!G3512</f>
        <v>0</v>
      </c>
      <c r="N3499">
        <f>Data!H3512</f>
        <v>0</v>
      </c>
      <c r="O3499">
        <f>Data!I3512</f>
        <v>0</v>
      </c>
      <c r="P3499" s="21">
        <f>Data!J3516</f>
        <v>0</v>
      </c>
      <c r="Q3499">
        <f>Data!K3516</f>
        <v>0</v>
      </c>
      <c r="R3499">
        <f>Data!L3516</f>
        <v>0</v>
      </c>
      <c r="S3499">
        <f>Data!M3516</f>
        <v>0</v>
      </c>
      <c r="T3499">
        <f>Data!N3516</f>
        <v>0</v>
      </c>
      <c r="U3499">
        <f>Data!O3516</f>
        <v>0</v>
      </c>
      <c r="V3499" s="33">
        <f>Data!P3514</f>
        <v>0</v>
      </c>
    </row>
    <row r="3500" spans="7:22" x14ac:dyDescent="0.25">
      <c r="G3500">
        <f>Data!A3513</f>
        <v>0</v>
      </c>
      <c r="H3500" s="21">
        <f>Data!B3513</f>
        <v>0</v>
      </c>
      <c r="I3500" s="21">
        <f>Data!C3513</f>
        <v>0</v>
      </c>
      <c r="J3500">
        <f>Data!D3513</f>
        <v>0</v>
      </c>
      <c r="K3500">
        <f>Data!E3513</f>
        <v>0</v>
      </c>
      <c r="L3500">
        <f>Data!F3513</f>
        <v>0</v>
      </c>
      <c r="M3500">
        <f>Data!G3513</f>
        <v>0</v>
      </c>
      <c r="N3500">
        <f>Data!H3513</f>
        <v>0</v>
      </c>
      <c r="O3500">
        <f>Data!I3513</f>
        <v>0</v>
      </c>
      <c r="P3500" s="21">
        <f>Data!J3517</f>
        <v>0</v>
      </c>
      <c r="Q3500">
        <f>Data!K3517</f>
        <v>0</v>
      </c>
      <c r="R3500">
        <f>Data!L3517</f>
        <v>0</v>
      </c>
      <c r="S3500">
        <f>Data!M3517</f>
        <v>0</v>
      </c>
      <c r="T3500">
        <f>Data!N3517</f>
        <v>0</v>
      </c>
      <c r="U3500">
        <f>Data!O3517</f>
        <v>0</v>
      </c>
      <c r="V3500" s="33">
        <f>Data!P3515</f>
        <v>0</v>
      </c>
    </row>
    <row r="3501" spans="7:22" x14ac:dyDescent="0.25">
      <c r="G3501">
        <f>Data!A3514</f>
        <v>0</v>
      </c>
      <c r="H3501" s="21">
        <f>Data!B3514</f>
        <v>0</v>
      </c>
      <c r="I3501" s="21">
        <f>Data!C3514</f>
        <v>0</v>
      </c>
      <c r="J3501">
        <f>Data!D3514</f>
        <v>0</v>
      </c>
      <c r="K3501">
        <f>Data!E3514</f>
        <v>0</v>
      </c>
      <c r="L3501">
        <f>Data!F3514</f>
        <v>0</v>
      </c>
      <c r="M3501">
        <f>Data!G3514</f>
        <v>0</v>
      </c>
      <c r="N3501">
        <f>Data!H3514</f>
        <v>0</v>
      </c>
      <c r="O3501">
        <f>Data!I3514</f>
        <v>0</v>
      </c>
      <c r="P3501" s="21">
        <f>Data!J3518</f>
        <v>0</v>
      </c>
      <c r="Q3501">
        <f>Data!K3518</f>
        <v>0</v>
      </c>
      <c r="R3501">
        <f>Data!L3518</f>
        <v>0</v>
      </c>
      <c r="S3501">
        <f>Data!M3518</f>
        <v>0</v>
      </c>
      <c r="T3501">
        <f>Data!N3518</f>
        <v>0</v>
      </c>
      <c r="U3501">
        <f>Data!O3518</f>
        <v>0</v>
      </c>
      <c r="V3501" s="33">
        <f>Data!P3516</f>
        <v>0</v>
      </c>
    </row>
    <row r="3502" spans="7:22" x14ac:dyDescent="0.25">
      <c r="G3502">
        <f>Data!A3515</f>
        <v>0</v>
      </c>
      <c r="H3502" s="21">
        <f>Data!B3515</f>
        <v>0</v>
      </c>
      <c r="I3502" s="21">
        <f>Data!C3515</f>
        <v>0</v>
      </c>
      <c r="J3502">
        <f>Data!D3515</f>
        <v>0</v>
      </c>
      <c r="K3502">
        <f>Data!E3515</f>
        <v>0</v>
      </c>
      <c r="L3502">
        <f>Data!F3515</f>
        <v>0</v>
      </c>
      <c r="M3502">
        <f>Data!G3515</f>
        <v>0</v>
      </c>
      <c r="N3502">
        <f>Data!H3515</f>
        <v>0</v>
      </c>
      <c r="O3502">
        <f>Data!I3515</f>
        <v>0</v>
      </c>
      <c r="P3502" s="21">
        <f>Data!J3519</f>
        <v>0</v>
      </c>
      <c r="Q3502">
        <f>Data!K3519</f>
        <v>0</v>
      </c>
      <c r="R3502">
        <f>Data!L3519</f>
        <v>0</v>
      </c>
      <c r="S3502">
        <f>Data!M3519</f>
        <v>0</v>
      </c>
      <c r="T3502">
        <f>Data!N3519</f>
        <v>0</v>
      </c>
      <c r="U3502">
        <f>Data!O3519</f>
        <v>0</v>
      </c>
      <c r="V3502" s="33">
        <f>Data!P3517</f>
        <v>0</v>
      </c>
    </row>
    <row r="3503" spans="7:22" x14ac:dyDescent="0.25">
      <c r="G3503">
        <f>Data!A3516</f>
        <v>0</v>
      </c>
      <c r="H3503" s="21">
        <f>Data!B3516</f>
        <v>0</v>
      </c>
      <c r="I3503" s="21">
        <f>Data!C3516</f>
        <v>0</v>
      </c>
      <c r="J3503">
        <f>Data!D3516</f>
        <v>0</v>
      </c>
      <c r="K3503">
        <f>Data!E3516</f>
        <v>0</v>
      </c>
      <c r="L3503">
        <f>Data!F3516</f>
        <v>0</v>
      </c>
      <c r="M3503">
        <f>Data!G3516</f>
        <v>0</v>
      </c>
      <c r="N3503">
        <f>Data!H3516</f>
        <v>0</v>
      </c>
      <c r="O3503">
        <f>Data!I3516</f>
        <v>0</v>
      </c>
      <c r="P3503" s="21">
        <f>Data!J3520</f>
        <v>0</v>
      </c>
      <c r="Q3503">
        <f>Data!K3520</f>
        <v>0</v>
      </c>
      <c r="R3503">
        <f>Data!L3520</f>
        <v>0</v>
      </c>
      <c r="S3503">
        <f>Data!M3520</f>
        <v>0</v>
      </c>
      <c r="T3503">
        <f>Data!N3520</f>
        <v>0</v>
      </c>
      <c r="U3503">
        <f>Data!O3520</f>
        <v>0</v>
      </c>
      <c r="V3503" s="33">
        <f>Data!P3518</f>
        <v>0</v>
      </c>
    </row>
    <row r="3504" spans="7:22" x14ac:dyDescent="0.25">
      <c r="G3504">
        <f>Data!A3517</f>
        <v>0</v>
      </c>
      <c r="H3504" s="21">
        <f>Data!B3517</f>
        <v>0</v>
      </c>
      <c r="I3504" s="21">
        <f>Data!C3517</f>
        <v>0</v>
      </c>
      <c r="J3504">
        <f>Data!D3517</f>
        <v>0</v>
      </c>
      <c r="K3504">
        <f>Data!E3517</f>
        <v>0</v>
      </c>
      <c r="L3504">
        <f>Data!F3517</f>
        <v>0</v>
      </c>
      <c r="M3504">
        <f>Data!G3517</f>
        <v>0</v>
      </c>
      <c r="N3504">
        <f>Data!H3517</f>
        <v>0</v>
      </c>
      <c r="O3504">
        <f>Data!I3517</f>
        <v>0</v>
      </c>
      <c r="P3504" s="21">
        <f>Data!J3521</f>
        <v>0</v>
      </c>
      <c r="Q3504">
        <f>Data!K3521</f>
        <v>0</v>
      </c>
      <c r="R3504">
        <f>Data!L3521</f>
        <v>0</v>
      </c>
      <c r="S3504">
        <f>Data!M3521</f>
        <v>0</v>
      </c>
      <c r="T3504">
        <f>Data!N3521</f>
        <v>0</v>
      </c>
      <c r="U3504">
        <f>Data!O3521</f>
        <v>0</v>
      </c>
      <c r="V3504" s="33">
        <f>Data!P3519</f>
        <v>0</v>
      </c>
    </row>
    <row r="3505" spans="7:22" x14ac:dyDescent="0.25">
      <c r="G3505">
        <f>Data!A3518</f>
        <v>0</v>
      </c>
      <c r="H3505" s="21">
        <f>Data!B3518</f>
        <v>0</v>
      </c>
      <c r="I3505" s="21">
        <f>Data!C3518</f>
        <v>0</v>
      </c>
      <c r="J3505">
        <f>Data!D3518</f>
        <v>0</v>
      </c>
      <c r="K3505">
        <f>Data!E3518</f>
        <v>0</v>
      </c>
      <c r="L3505">
        <f>Data!F3518</f>
        <v>0</v>
      </c>
      <c r="M3505">
        <f>Data!G3518</f>
        <v>0</v>
      </c>
      <c r="N3505">
        <f>Data!H3518</f>
        <v>0</v>
      </c>
      <c r="O3505">
        <f>Data!I3518</f>
        <v>0</v>
      </c>
      <c r="P3505" s="21">
        <f>Data!J3522</f>
        <v>0</v>
      </c>
      <c r="Q3505">
        <f>Data!K3522</f>
        <v>0</v>
      </c>
      <c r="R3505">
        <f>Data!L3522</f>
        <v>0</v>
      </c>
      <c r="S3505">
        <f>Data!M3522</f>
        <v>0</v>
      </c>
      <c r="T3505">
        <f>Data!N3522</f>
        <v>0</v>
      </c>
      <c r="U3505">
        <f>Data!O3522</f>
        <v>0</v>
      </c>
      <c r="V3505" s="33">
        <f>Data!P3520</f>
        <v>0</v>
      </c>
    </row>
    <row r="3506" spans="7:22" x14ac:dyDescent="0.25">
      <c r="G3506">
        <f>Data!A3519</f>
        <v>0</v>
      </c>
      <c r="H3506" s="21">
        <f>Data!B3519</f>
        <v>0</v>
      </c>
      <c r="I3506" s="21">
        <f>Data!C3519</f>
        <v>0</v>
      </c>
      <c r="J3506">
        <f>Data!D3519</f>
        <v>0</v>
      </c>
      <c r="K3506">
        <f>Data!E3519</f>
        <v>0</v>
      </c>
      <c r="L3506">
        <f>Data!F3519</f>
        <v>0</v>
      </c>
      <c r="M3506">
        <f>Data!G3519</f>
        <v>0</v>
      </c>
      <c r="N3506">
        <f>Data!H3519</f>
        <v>0</v>
      </c>
      <c r="O3506">
        <f>Data!I3519</f>
        <v>0</v>
      </c>
      <c r="P3506" s="21">
        <f>Data!J3523</f>
        <v>0</v>
      </c>
      <c r="Q3506">
        <f>Data!K3523</f>
        <v>0</v>
      </c>
      <c r="R3506">
        <f>Data!L3523</f>
        <v>0</v>
      </c>
      <c r="S3506">
        <f>Data!M3523</f>
        <v>0</v>
      </c>
      <c r="T3506">
        <f>Data!N3523</f>
        <v>0</v>
      </c>
      <c r="U3506">
        <f>Data!O3523</f>
        <v>0</v>
      </c>
      <c r="V3506" s="33">
        <f>Data!P3521</f>
        <v>0</v>
      </c>
    </row>
    <row r="3507" spans="7:22" x14ac:dyDescent="0.25">
      <c r="G3507">
        <f>Data!A3520</f>
        <v>0</v>
      </c>
      <c r="H3507" s="21">
        <f>Data!B3520</f>
        <v>0</v>
      </c>
      <c r="I3507" s="21">
        <f>Data!C3520</f>
        <v>0</v>
      </c>
      <c r="J3507">
        <f>Data!D3520</f>
        <v>0</v>
      </c>
      <c r="K3507">
        <f>Data!E3520</f>
        <v>0</v>
      </c>
      <c r="L3507">
        <f>Data!F3520</f>
        <v>0</v>
      </c>
      <c r="M3507">
        <f>Data!G3520</f>
        <v>0</v>
      </c>
      <c r="N3507">
        <f>Data!H3520</f>
        <v>0</v>
      </c>
      <c r="O3507">
        <f>Data!I3520</f>
        <v>0</v>
      </c>
      <c r="P3507" s="21">
        <f>Data!J3524</f>
        <v>0</v>
      </c>
      <c r="Q3507">
        <f>Data!K3524</f>
        <v>0</v>
      </c>
      <c r="R3507">
        <f>Data!L3524</f>
        <v>0</v>
      </c>
      <c r="S3507">
        <f>Data!M3524</f>
        <v>0</v>
      </c>
      <c r="T3507">
        <f>Data!N3524</f>
        <v>0</v>
      </c>
      <c r="U3507">
        <f>Data!O3524</f>
        <v>0</v>
      </c>
      <c r="V3507" s="33">
        <f>Data!P3522</f>
        <v>0</v>
      </c>
    </row>
    <row r="3508" spans="7:22" x14ac:dyDescent="0.25">
      <c r="G3508">
        <f>Data!A3521</f>
        <v>0</v>
      </c>
      <c r="H3508" s="21">
        <f>Data!B3521</f>
        <v>0</v>
      </c>
      <c r="I3508" s="21">
        <f>Data!C3521</f>
        <v>0</v>
      </c>
      <c r="J3508">
        <f>Data!D3521</f>
        <v>0</v>
      </c>
      <c r="K3508">
        <f>Data!E3521</f>
        <v>0</v>
      </c>
      <c r="L3508">
        <f>Data!F3521</f>
        <v>0</v>
      </c>
      <c r="M3508">
        <f>Data!G3521</f>
        <v>0</v>
      </c>
      <c r="N3508">
        <f>Data!H3521</f>
        <v>0</v>
      </c>
      <c r="O3508">
        <f>Data!I3521</f>
        <v>0</v>
      </c>
      <c r="P3508" s="21">
        <f>Data!J3525</f>
        <v>0</v>
      </c>
      <c r="Q3508">
        <f>Data!K3525</f>
        <v>0</v>
      </c>
      <c r="R3508">
        <f>Data!L3525</f>
        <v>0</v>
      </c>
      <c r="S3508">
        <f>Data!M3525</f>
        <v>0</v>
      </c>
      <c r="T3508">
        <f>Data!N3525</f>
        <v>0</v>
      </c>
      <c r="U3508">
        <f>Data!O3525</f>
        <v>0</v>
      </c>
      <c r="V3508" s="33">
        <f>Data!P3523</f>
        <v>0</v>
      </c>
    </row>
    <row r="3509" spans="7:22" x14ac:dyDescent="0.25">
      <c r="G3509">
        <f>Data!A3522</f>
        <v>0</v>
      </c>
      <c r="H3509" s="21">
        <f>Data!B3522</f>
        <v>0</v>
      </c>
      <c r="I3509" s="21">
        <f>Data!C3522</f>
        <v>0</v>
      </c>
      <c r="J3509">
        <f>Data!D3522</f>
        <v>0</v>
      </c>
      <c r="K3509">
        <f>Data!E3522</f>
        <v>0</v>
      </c>
      <c r="L3509">
        <f>Data!F3522</f>
        <v>0</v>
      </c>
      <c r="M3509">
        <f>Data!G3522</f>
        <v>0</v>
      </c>
      <c r="N3509">
        <f>Data!H3522</f>
        <v>0</v>
      </c>
      <c r="O3509">
        <f>Data!I3522</f>
        <v>0</v>
      </c>
      <c r="P3509" s="21">
        <f>Data!J3526</f>
        <v>0</v>
      </c>
      <c r="Q3509">
        <f>Data!K3526</f>
        <v>0</v>
      </c>
      <c r="R3509">
        <f>Data!L3526</f>
        <v>0</v>
      </c>
      <c r="S3509">
        <f>Data!M3526</f>
        <v>0</v>
      </c>
      <c r="T3509">
        <f>Data!N3526</f>
        <v>0</v>
      </c>
      <c r="U3509">
        <f>Data!O3526</f>
        <v>0</v>
      </c>
      <c r="V3509" s="33">
        <f>Data!P3524</f>
        <v>0</v>
      </c>
    </row>
    <row r="3510" spans="7:22" x14ac:dyDescent="0.25">
      <c r="G3510">
        <f>Data!A3523</f>
        <v>0</v>
      </c>
      <c r="H3510" s="21">
        <f>Data!B3523</f>
        <v>0</v>
      </c>
      <c r="I3510" s="21">
        <f>Data!C3523</f>
        <v>0</v>
      </c>
      <c r="J3510">
        <f>Data!D3523</f>
        <v>0</v>
      </c>
      <c r="K3510">
        <f>Data!E3523</f>
        <v>0</v>
      </c>
      <c r="L3510">
        <f>Data!F3523</f>
        <v>0</v>
      </c>
      <c r="M3510">
        <f>Data!G3523</f>
        <v>0</v>
      </c>
      <c r="N3510">
        <f>Data!H3523</f>
        <v>0</v>
      </c>
      <c r="O3510">
        <f>Data!I3523</f>
        <v>0</v>
      </c>
      <c r="P3510" s="21">
        <f>Data!J3527</f>
        <v>0</v>
      </c>
      <c r="Q3510">
        <f>Data!K3527</f>
        <v>0</v>
      </c>
      <c r="R3510">
        <f>Data!L3527</f>
        <v>0</v>
      </c>
      <c r="S3510">
        <f>Data!M3527</f>
        <v>0</v>
      </c>
      <c r="T3510">
        <f>Data!N3527</f>
        <v>0</v>
      </c>
      <c r="U3510">
        <f>Data!O3527</f>
        <v>0</v>
      </c>
      <c r="V3510" s="33">
        <f>Data!P3525</f>
        <v>0</v>
      </c>
    </row>
    <row r="3511" spans="7:22" x14ac:dyDescent="0.25">
      <c r="G3511">
        <f>Data!A3524</f>
        <v>0</v>
      </c>
      <c r="H3511" s="21">
        <f>Data!B3524</f>
        <v>0</v>
      </c>
      <c r="I3511" s="21">
        <f>Data!C3524</f>
        <v>0</v>
      </c>
      <c r="J3511">
        <f>Data!D3524</f>
        <v>0</v>
      </c>
      <c r="K3511">
        <f>Data!E3524</f>
        <v>0</v>
      </c>
      <c r="L3511">
        <f>Data!F3524</f>
        <v>0</v>
      </c>
      <c r="M3511">
        <f>Data!G3524</f>
        <v>0</v>
      </c>
      <c r="N3511">
        <f>Data!H3524</f>
        <v>0</v>
      </c>
      <c r="O3511">
        <f>Data!I3524</f>
        <v>0</v>
      </c>
      <c r="P3511" s="21">
        <f>Data!J3528</f>
        <v>0</v>
      </c>
      <c r="Q3511">
        <f>Data!K3528</f>
        <v>0</v>
      </c>
      <c r="R3511">
        <f>Data!L3528</f>
        <v>0</v>
      </c>
      <c r="S3511">
        <f>Data!M3528</f>
        <v>0</v>
      </c>
      <c r="T3511">
        <f>Data!N3528</f>
        <v>0</v>
      </c>
      <c r="U3511">
        <f>Data!O3528</f>
        <v>0</v>
      </c>
      <c r="V3511" s="33">
        <f>Data!P3526</f>
        <v>0</v>
      </c>
    </row>
    <row r="3512" spans="7:22" x14ac:dyDescent="0.25">
      <c r="G3512">
        <f>Data!A3525</f>
        <v>0</v>
      </c>
      <c r="H3512" s="21">
        <f>Data!B3525</f>
        <v>0</v>
      </c>
      <c r="I3512" s="21">
        <f>Data!C3525</f>
        <v>0</v>
      </c>
      <c r="J3512">
        <f>Data!D3525</f>
        <v>0</v>
      </c>
      <c r="K3512">
        <f>Data!E3525</f>
        <v>0</v>
      </c>
      <c r="L3512">
        <f>Data!F3525</f>
        <v>0</v>
      </c>
      <c r="M3512">
        <f>Data!G3525</f>
        <v>0</v>
      </c>
      <c r="N3512">
        <f>Data!H3525</f>
        <v>0</v>
      </c>
      <c r="O3512">
        <f>Data!I3525</f>
        <v>0</v>
      </c>
      <c r="P3512" s="21">
        <f>Data!J3529</f>
        <v>0</v>
      </c>
      <c r="Q3512">
        <f>Data!K3529</f>
        <v>0</v>
      </c>
      <c r="R3512">
        <f>Data!L3529</f>
        <v>0</v>
      </c>
      <c r="S3512">
        <f>Data!M3529</f>
        <v>0</v>
      </c>
      <c r="T3512">
        <f>Data!N3529</f>
        <v>0</v>
      </c>
      <c r="U3512">
        <f>Data!O3529</f>
        <v>0</v>
      </c>
      <c r="V3512" s="33">
        <f>Data!P3527</f>
        <v>0</v>
      </c>
    </row>
    <row r="3513" spans="7:22" x14ac:dyDescent="0.25">
      <c r="G3513">
        <f>Data!A3526</f>
        <v>0</v>
      </c>
      <c r="H3513" s="21">
        <f>Data!B3526</f>
        <v>0</v>
      </c>
      <c r="I3513" s="21">
        <f>Data!C3526</f>
        <v>0</v>
      </c>
      <c r="J3513">
        <f>Data!D3526</f>
        <v>0</v>
      </c>
      <c r="K3513">
        <f>Data!E3526</f>
        <v>0</v>
      </c>
      <c r="L3513">
        <f>Data!F3526</f>
        <v>0</v>
      </c>
      <c r="M3513">
        <f>Data!G3526</f>
        <v>0</v>
      </c>
      <c r="N3513">
        <f>Data!H3526</f>
        <v>0</v>
      </c>
      <c r="O3513">
        <f>Data!I3526</f>
        <v>0</v>
      </c>
      <c r="P3513" s="21">
        <f>Data!J3530</f>
        <v>0</v>
      </c>
      <c r="Q3513">
        <f>Data!K3530</f>
        <v>0</v>
      </c>
      <c r="R3513">
        <f>Data!L3530</f>
        <v>0</v>
      </c>
      <c r="S3513">
        <f>Data!M3530</f>
        <v>0</v>
      </c>
      <c r="T3513">
        <f>Data!N3530</f>
        <v>0</v>
      </c>
      <c r="U3513">
        <f>Data!O3530</f>
        <v>0</v>
      </c>
      <c r="V3513" s="33">
        <f>Data!P3528</f>
        <v>0</v>
      </c>
    </row>
    <row r="3514" spans="7:22" x14ac:dyDescent="0.25">
      <c r="G3514">
        <f>Data!A3527</f>
        <v>0</v>
      </c>
      <c r="H3514" s="21">
        <f>Data!B3527</f>
        <v>0</v>
      </c>
      <c r="I3514" s="21">
        <f>Data!C3527</f>
        <v>0</v>
      </c>
      <c r="J3514">
        <f>Data!D3527</f>
        <v>0</v>
      </c>
      <c r="K3514">
        <f>Data!E3527</f>
        <v>0</v>
      </c>
      <c r="L3514">
        <f>Data!F3527</f>
        <v>0</v>
      </c>
      <c r="M3514">
        <f>Data!G3527</f>
        <v>0</v>
      </c>
      <c r="N3514">
        <f>Data!H3527</f>
        <v>0</v>
      </c>
      <c r="O3514">
        <f>Data!I3527</f>
        <v>0</v>
      </c>
      <c r="P3514" s="21">
        <f>Data!J3531</f>
        <v>0</v>
      </c>
      <c r="Q3514">
        <f>Data!K3531</f>
        <v>0</v>
      </c>
      <c r="R3514">
        <f>Data!L3531</f>
        <v>0</v>
      </c>
      <c r="S3514">
        <f>Data!M3531</f>
        <v>0</v>
      </c>
      <c r="T3514">
        <f>Data!N3531</f>
        <v>0</v>
      </c>
      <c r="U3514">
        <f>Data!O3531</f>
        <v>0</v>
      </c>
      <c r="V3514" s="33">
        <f>Data!P3529</f>
        <v>0</v>
      </c>
    </row>
    <row r="3515" spans="7:22" x14ac:dyDescent="0.25">
      <c r="G3515">
        <f>Data!A3528</f>
        <v>0</v>
      </c>
      <c r="H3515" s="21">
        <f>Data!B3528</f>
        <v>0</v>
      </c>
      <c r="I3515" s="21">
        <f>Data!C3528</f>
        <v>0</v>
      </c>
      <c r="J3515">
        <f>Data!D3528</f>
        <v>0</v>
      </c>
      <c r="K3515">
        <f>Data!E3528</f>
        <v>0</v>
      </c>
      <c r="L3515">
        <f>Data!F3528</f>
        <v>0</v>
      </c>
      <c r="M3515">
        <f>Data!G3528</f>
        <v>0</v>
      </c>
      <c r="N3515">
        <f>Data!H3528</f>
        <v>0</v>
      </c>
      <c r="O3515">
        <f>Data!I3528</f>
        <v>0</v>
      </c>
      <c r="P3515" s="21">
        <f>Data!J3532</f>
        <v>0</v>
      </c>
      <c r="Q3515">
        <f>Data!K3532</f>
        <v>0</v>
      </c>
      <c r="R3515">
        <f>Data!L3532</f>
        <v>0</v>
      </c>
      <c r="S3515">
        <f>Data!M3532</f>
        <v>0</v>
      </c>
      <c r="T3515">
        <f>Data!N3532</f>
        <v>0</v>
      </c>
      <c r="U3515">
        <f>Data!O3532</f>
        <v>0</v>
      </c>
      <c r="V3515" s="33">
        <f>Data!P3530</f>
        <v>0</v>
      </c>
    </row>
    <row r="3516" spans="7:22" x14ac:dyDescent="0.25">
      <c r="G3516">
        <f>Data!A3529</f>
        <v>0</v>
      </c>
      <c r="H3516" s="21">
        <f>Data!B3529</f>
        <v>0</v>
      </c>
      <c r="I3516" s="21">
        <f>Data!C3529</f>
        <v>0</v>
      </c>
      <c r="J3516">
        <f>Data!D3529</f>
        <v>0</v>
      </c>
      <c r="K3516">
        <f>Data!E3529</f>
        <v>0</v>
      </c>
      <c r="L3516">
        <f>Data!F3529</f>
        <v>0</v>
      </c>
      <c r="M3516">
        <f>Data!G3529</f>
        <v>0</v>
      </c>
      <c r="N3516">
        <f>Data!H3529</f>
        <v>0</v>
      </c>
      <c r="O3516">
        <f>Data!I3529</f>
        <v>0</v>
      </c>
      <c r="P3516" s="21">
        <f>Data!J3533</f>
        <v>0</v>
      </c>
      <c r="Q3516">
        <f>Data!K3533</f>
        <v>0</v>
      </c>
      <c r="R3516">
        <f>Data!L3533</f>
        <v>0</v>
      </c>
      <c r="S3516">
        <f>Data!M3533</f>
        <v>0</v>
      </c>
      <c r="T3516">
        <f>Data!N3533</f>
        <v>0</v>
      </c>
      <c r="U3516">
        <f>Data!O3533</f>
        <v>0</v>
      </c>
      <c r="V3516" s="33">
        <f>Data!P3531</f>
        <v>0</v>
      </c>
    </row>
    <row r="3517" spans="7:22" x14ac:dyDescent="0.25">
      <c r="G3517">
        <f>Data!A3530</f>
        <v>0</v>
      </c>
      <c r="H3517" s="21">
        <f>Data!B3530</f>
        <v>0</v>
      </c>
      <c r="I3517" s="21">
        <f>Data!C3530</f>
        <v>0</v>
      </c>
      <c r="J3517">
        <f>Data!D3530</f>
        <v>0</v>
      </c>
      <c r="K3517">
        <f>Data!E3530</f>
        <v>0</v>
      </c>
      <c r="L3517">
        <f>Data!F3530</f>
        <v>0</v>
      </c>
      <c r="M3517">
        <f>Data!G3530</f>
        <v>0</v>
      </c>
      <c r="N3517">
        <f>Data!H3530</f>
        <v>0</v>
      </c>
      <c r="O3517">
        <f>Data!I3530</f>
        <v>0</v>
      </c>
      <c r="P3517" s="21">
        <f>Data!J3534</f>
        <v>0</v>
      </c>
      <c r="Q3517">
        <f>Data!K3534</f>
        <v>0</v>
      </c>
      <c r="R3517">
        <f>Data!L3534</f>
        <v>0</v>
      </c>
      <c r="S3517">
        <f>Data!M3534</f>
        <v>0</v>
      </c>
      <c r="T3517">
        <f>Data!N3534</f>
        <v>0</v>
      </c>
      <c r="U3517">
        <f>Data!O3534</f>
        <v>0</v>
      </c>
      <c r="V3517" s="33">
        <f>Data!P3532</f>
        <v>0</v>
      </c>
    </row>
    <row r="3518" spans="7:22" x14ac:dyDescent="0.25">
      <c r="G3518">
        <f>Data!A3531</f>
        <v>0</v>
      </c>
      <c r="H3518" s="21">
        <f>Data!B3531</f>
        <v>0</v>
      </c>
      <c r="I3518" s="21">
        <f>Data!C3531</f>
        <v>0</v>
      </c>
      <c r="J3518">
        <f>Data!D3531</f>
        <v>0</v>
      </c>
      <c r="K3518">
        <f>Data!E3531</f>
        <v>0</v>
      </c>
      <c r="L3518">
        <f>Data!F3531</f>
        <v>0</v>
      </c>
      <c r="M3518">
        <f>Data!G3531</f>
        <v>0</v>
      </c>
      <c r="N3518">
        <f>Data!H3531</f>
        <v>0</v>
      </c>
      <c r="O3518">
        <f>Data!I3531</f>
        <v>0</v>
      </c>
      <c r="P3518" s="21">
        <f>Data!J3535</f>
        <v>0</v>
      </c>
      <c r="Q3518">
        <f>Data!K3535</f>
        <v>0</v>
      </c>
      <c r="R3518">
        <f>Data!L3535</f>
        <v>0</v>
      </c>
      <c r="S3518">
        <f>Data!M3535</f>
        <v>0</v>
      </c>
      <c r="T3518">
        <f>Data!N3535</f>
        <v>0</v>
      </c>
      <c r="U3518">
        <f>Data!O3535</f>
        <v>0</v>
      </c>
      <c r="V3518" s="33">
        <f>Data!P3533</f>
        <v>0</v>
      </c>
    </row>
    <row r="3519" spans="7:22" x14ac:dyDescent="0.25">
      <c r="G3519">
        <f>Data!A3532</f>
        <v>0</v>
      </c>
      <c r="H3519" s="21">
        <f>Data!B3532</f>
        <v>0</v>
      </c>
      <c r="I3519" s="21">
        <f>Data!C3532</f>
        <v>0</v>
      </c>
      <c r="J3519">
        <f>Data!D3532</f>
        <v>0</v>
      </c>
      <c r="K3519">
        <f>Data!E3532</f>
        <v>0</v>
      </c>
      <c r="L3519">
        <f>Data!F3532</f>
        <v>0</v>
      </c>
      <c r="M3519">
        <f>Data!G3532</f>
        <v>0</v>
      </c>
      <c r="N3519">
        <f>Data!H3532</f>
        <v>0</v>
      </c>
      <c r="O3519">
        <f>Data!I3532</f>
        <v>0</v>
      </c>
      <c r="P3519" s="21">
        <f>Data!J3536</f>
        <v>0</v>
      </c>
      <c r="Q3519">
        <f>Data!K3536</f>
        <v>0</v>
      </c>
      <c r="R3519">
        <f>Data!L3536</f>
        <v>0</v>
      </c>
      <c r="S3519">
        <f>Data!M3536</f>
        <v>0</v>
      </c>
      <c r="T3519">
        <f>Data!N3536</f>
        <v>0</v>
      </c>
      <c r="U3519">
        <f>Data!O3536</f>
        <v>0</v>
      </c>
      <c r="V3519" s="33">
        <f>Data!P3534</f>
        <v>0</v>
      </c>
    </row>
    <row r="3520" spans="7:22" x14ac:dyDescent="0.25">
      <c r="G3520">
        <f>Data!A3533</f>
        <v>0</v>
      </c>
      <c r="H3520" s="21">
        <f>Data!B3533</f>
        <v>0</v>
      </c>
      <c r="I3520" s="21">
        <f>Data!C3533</f>
        <v>0</v>
      </c>
      <c r="J3520">
        <f>Data!D3533</f>
        <v>0</v>
      </c>
      <c r="K3520">
        <f>Data!E3533</f>
        <v>0</v>
      </c>
      <c r="L3520">
        <f>Data!F3533</f>
        <v>0</v>
      </c>
      <c r="M3520">
        <f>Data!G3533</f>
        <v>0</v>
      </c>
      <c r="N3520">
        <f>Data!H3533</f>
        <v>0</v>
      </c>
      <c r="O3520">
        <f>Data!I3533</f>
        <v>0</v>
      </c>
      <c r="P3520" s="21">
        <f>Data!J3537</f>
        <v>0</v>
      </c>
      <c r="Q3520">
        <f>Data!K3537</f>
        <v>0</v>
      </c>
      <c r="R3520">
        <f>Data!L3537</f>
        <v>0</v>
      </c>
      <c r="S3520">
        <f>Data!M3537</f>
        <v>0</v>
      </c>
      <c r="T3520">
        <f>Data!N3537</f>
        <v>0</v>
      </c>
      <c r="U3520">
        <f>Data!O3537</f>
        <v>0</v>
      </c>
      <c r="V3520" s="33">
        <f>Data!P3535</f>
        <v>0</v>
      </c>
    </row>
    <row r="3521" spans="7:22" x14ac:dyDescent="0.25">
      <c r="G3521">
        <f>Data!A3534</f>
        <v>0</v>
      </c>
      <c r="H3521" s="21">
        <f>Data!B3534</f>
        <v>0</v>
      </c>
      <c r="I3521" s="21">
        <f>Data!C3534</f>
        <v>0</v>
      </c>
      <c r="J3521">
        <f>Data!D3534</f>
        <v>0</v>
      </c>
      <c r="K3521">
        <f>Data!E3534</f>
        <v>0</v>
      </c>
      <c r="L3521">
        <f>Data!F3534</f>
        <v>0</v>
      </c>
      <c r="M3521">
        <f>Data!G3534</f>
        <v>0</v>
      </c>
      <c r="N3521">
        <f>Data!H3534</f>
        <v>0</v>
      </c>
      <c r="O3521">
        <f>Data!I3534</f>
        <v>0</v>
      </c>
      <c r="P3521" s="21">
        <f>Data!J3538</f>
        <v>0</v>
      </c>
      <c r="Q3521">
        <f>Data!K3538</f>
        <v>0</v>
      </c>
      <c r="R3521">
        <f>Data!L3538</f>
        <v>0</v>
      </c>
      <c r="S3521">
        <f>Data!M3538</f>
        <v>0</v>
      </c>
      <c r="T3521">
        <f>Data!N3538</f>
        <v>0</v>
      </c>
      <c r="U3521">
        <f>Data!O3538</f>
        <v>0</v>
      </c>
      <c r="V3521" s="33">
        <f>Data!P3536</f>
        <v>0</v>
      </c>
    </row>
    <row r="3522" spans="7:22" x14ac:dyDescent="0.25">
      <c r="G3522">
        <f>Data!A3535</f>
        <v>0</v>
      </c>
      <c r="H3522" s="21">
        <f>Data!B3535</f>
        <v>0</v>
      </c>
      <c r="I3522" s="21">
        <f>Data!C3535</f>
        <v>0</v>
      </c>
      <c r="J3522">
        <f>Data!D3535</f>
        <v>0</v>
      </c>
      <c r="K3522">
        <f>Data!E3535</f>
        <v>0</v>
      </c>
      <c r="L3522">
        <f>Data!F3535</f>
        <v>0</v>
      </c>
      <c r="M3522">
        <f>Data!G3535</f>
        <v>0</v>
      </c>
      <c r="N3522">
        <f>Data!H3535</f>
        <v>0</v>
      </c>
      <c r="O3522">
        <f>Data!I3535</f>
        <v>0</v>
      </c>
      <c r="P3522" s="21">
        <f>Data!J3539</f>
        <v>0</v>
      </c>
      <c r="Q3522">
        <f>Data!K3539</f>
        <v>0</v>
      </c>
      <c r="R3522">
        <f>Data!L3539</f>
        <v>0</v>
      </c>
      <c r="S3522">
        <f>Data!M3539</f>
        <v>0</v>
      </c>
      <c r="T3522">
        <f>Data!N3539</f>
        <v>0</v>
      </c>
      <c r="U3522">
        <f>Data!O3539</f>
        <v>0</v>
      </c>
      <c r="V3522" s="33">
        <f>Data!P3537</f>
        <v>0</v>
      </c>
    </row>
    <row r="3523" spans="7:22" x14ac:dyDescent="0.25">
      <c r="G3523">
        <f>Data!A3536</f>
        <v>0</v>
      </c>
      <c r="H3523" s="21">
        <f>Data!B3536</f>
        <v>0</v>
      </c>
      <c r="I3523" s="21">
        <f>Data!C3536</f>
        <v>0</v>
      </c>
      <c r="J3523">
        <f>Data!D3536</f>
        <v>0</v>
      </c>
      <c r="K3523">
        <f>Data!E3536</f>
        <v>0</v>
      </c>
      <c r="L3523">
        <f>Data!F3536</f>
        <v>0</v>
      </c>
      <c r="M3523">
        <f>Data!G3536</f>
        <v>0</v>
      </c>
      <c r="N3523">
        <f>Data!H3536</f>
        <v>0</v>
      </c>
      <c r="O3523">
        <f>Data!I3536</f>
        <v>0</v>
      </c>
      <c r="P3523" s="21">
        <f>Data!J3540</f>
        <v>0</v>
      </c>
      <c r="Q3523">
        <f>Data!K3540</f>
        <v>0</v>
      </c>
      <c r="R3523">
        <f>Data!L3540</f>
        <v>0</v>
      </c>
      <c r="S3523">
        <f>Data!M3540</f>
        <v>0</v>
      </c>
      <c r="T3523">
        <f>Data!N3540</f>
        <v>0</v>
      </c>
      <c r="U3523">
        <f>Data!O3540</f>
        <v>0</v>
      </c>
      <c r="V3523" s="33">
        <f>Data!P3538</f>
        <v>0</v>
      </c>
    </row>
    <row r="3524" spans="7:22" x14ac:dyDescent="0.25">
      <c r="G3524">
        <f>Data!A3537</f>
        <v>0</v>
      </c>
      <c r="H3524" s="21">
        <f>Data!B3537</f>
        <v>0</v>
      </c>
      <c r="I3524" s="21">
        <f>Data!C3537</f>
        <v>0</v>
      </c>
      <c r="J3524">
        <f>Data!D3537</f>
        <v>0</v>
      </c>
      <c r="K3524">
        <f>Data!E3537</f>
        <v>0</v>
      </c>
      <c r="L3524">
        <f>Data!F3537</f>
        <v>0</v>
      </c>
      <c r="M3524">
        <f>Data!G3537</f>
        <v>0</v>
      </c>
      <c r="N3524">
        <f>Data!H3537</f>
        <v>0</v>
      </c>
      <c r="O3524">
        <f>Data!I3537</f>
        <v>0</v>
      </c>
      <c r="P3524" s="21">
        <f>Data!J3541</f>
        <v>0</v>
      </c>
      <c r="Q3524">
        <f>Data!K3541</f>
        <v>0</v>
      </c>
      <c r="R3524">
        <f>Data!L3541</f>
        <v>0</v>
      </c>
      <c r="S3524">
        <f>Data!M3541</f>
        <v>0</v>
      </c>
      <c r="T3524">
        <f>Data!N3541</f>
        <v>0</v>
      </c>
      <c r="U3524">
        <f>Data!O3541</f>
        <v>0</v>
      </c>
      <c r="V3524" s="33">
        <f>Data!P3539</f>
        <v>0</v>
      </c>
    </row>
    <row r="3525" spans="7:22" x14ac:dyDescent="0.25">
      <c r="G3525">
        <f>Data!A3538</f>
        <v>0</v>
      </c>
      <c r="H3525" s="21">
        <f>Data!B3538</f>
        <v>0</v>
      </c>
      <c r="I3525" s="21">
        <f>Data!C3538</f>
        <v>0</v>
      </c>
      <c r="J3525">
        <f>Data!D3538</f>
        <v>0</v>
      </c>
      <c r="K3525">
        <f>Data!E3538</f>
        <v>0</v>
      </c>
      <c r="L3525">
        <f>Data!F3538</f>
        <v>0</v>
      </c>
      <c r="M3525">
        <f>Data!G3538</f>
        <v>0</v>
      </c>
      <c r="N3525">
        <f>Data!H3538</f>
        <v>0</v>
      </c>
      <c r="O3525">
        <f>Data!I3538</f>
        <v>0</v>
      </c>
      <c r="P3525" s="21">
        <f>Data!J3542</f>
        <v>0</v>
      </c>
      <c r="Q3525">
        <f>Data!K3542</f>
        <v>0</v>
      </c>
      <c r="R3525">
        <f>Data!L3542</f>
        <v>0</v>
      </c>
      <c r="S3525">
        <f>Data!M3542</f>
        <v>0</v>
      </c>
      <c r="T3525">
        <f>Data!N3542</f>
        <v>0</v>
      </c>
      <c r="U3525">
        <f>Data!O3542</f>
        <v>0</v>
      </c>
      <c r="V3525" s="33">
        <f>Data!P3540</f>
        <v>0</v>
      </c>
    </row>
    <row r="3526" spans="7:22" x14ac:dyDescent="0.25">
      <c r="G3526">
        <f>Data!A3539</f>
        <v>0</v>
      </c>
      <c r="H3526" s="21">
        <f>Data!B3539</f>
        <v>0</v>
      </c>
      <c r="I3526" s="21">
        <f>Data!C3539</f>
        <v>0</v>
      </c>
      <c r="J3526">
        <f>Data!D3539</f>
        <v>0</v>
      </c>
      <c r="K3526">
        <f>Data!E3539</f>
        <v>0</v>
      </c>
      <c r="L3526">
        <f>Data!F3539</f>
        <v>0</v>
      </c>
      <c r="M3526">
        <f>Data!G3539</f>
        <v>0</v>
      </c>
      <c r="N3526">
        <f>Data!H3539</f>
        <v>0</v>
      </c>
      <c r="O3526">
        <f>Data!I3539</f>
        <v>0</v>
      </c>
      <c r="P3526" s="21">
        <f>Data!J3543</f>
        <v>0</v>
      </c>
      <c r="Q3526">
        <f>Data!K3543</f>
        <v>0</v>
      </c>
      <c r="R3526">
        <f>Data!L3543</f>
        <v>0</v>
      </c>
      <c r="S3526">
        <f>Data!M3543</f>
        <v>0</v>
      </c>
      <c r="T3526">
        <f>Data!N3543</f>
        <v>0</v>
      </c>
      <c r="U3526">
        <f>Data!O3543</f>
        <v>0</v>
      </c>
      <c r="V3526" s="33">
        <f>Data!P3541</f>
        <v>0</v>
      </c>
    </row>
    <row r="3527" spans="7:22" x14ac:dyDescent="0.25">
      <c r="G3527">
        <f>Data!A3540</f>
        <v>0</v>
      </c>
      <c r="H3527" s="21">
        <f>Data!B3540</f>
        <v>0</v>
      </c>
      <c r="I3527" s="21">
        <f>Data!C3540</f>
        <v>0</v>
      </c>
      <c r="J3527">
        <f>Data!D3540</f>
        <v>0</v>
      </c>
      <c r="K3527">
        <f>Data!E3540</f>
        <v>0</v>
      </c>
      <c r="L3527">
        <f>Data!F3540</f>
        <v>0</v>
      </c>
      <c r="M3527">
        <f>Data!G3540</f>
        <v>0</v>
      </c>
      <c r="N3527">
        <f>Data!H3540</f>
        <v>0</v>
      </c>
      <c r="O3527">
        <f>Data!I3540</f>
        <v>0</v>
      </c>
      <c r="P3527" s="21">
        <f>Data!J3544</f>
        <v>0</v>
      </c>
      <c r="Q3527">
        <f>Data!K3544</f>
        <v>0</v>
      </c>
      <c r="R3527">
        <f>Data!L3544</f>
        <v>0</v>
      </c>
      <c r="S3527">
        <f>Data!M3544</f>
        <v>0</v>
      </c>
      <c r="T3527">
        <f>Data!N3544</f>
        <v>0</v>
      </c>
      <c r="U3527">
        <f>Data!O3544</f>
        <v>0</v>
      </c>
      <c r="V3527" s="33">
        <f>Data!P3542</f>
        <v>0</v>
      </c>
    </row>
    <row r="3528" spans="7:22" x14ac:dyDescent="0.25">
      <c r="G3528">
        <f>Data!A3541</f>
        <v>0</v>
      </c>
      <c r="H3528" s="21">
        <f>Data!B3541</f>
        <v>0</v>
      </c>
      <c r="I3528" s="21">
        <f>Data!C3541</f>
        <v>0</v>
      </c>
      <c r="J3528">
        <f>Data!D3541</f>
        <v>0</v>
      </c>
      <c r="K3528">
        <f>Data!E3541</f>
        <v>0</v>
      </c>
      <c r="L3528">
        <f>Data!F3541</f>
        <v>0</v>
      </c>
      <c r="M3528">
        <f>Data!G3541</f>
        <v>0</v>
      </c>
      <c r="N3528">
        <f>Data!H3541</f>
        <v>0</v>
      </c>
      <c r="O3528">
        <f>Data!I3541</f>
        <v>0</v>
      </c>
      <c r="P3528" s="21">
        <f>Data!J3545</f>
        <v>0</v>
      </c>
      <c r="Q3528">
        <f>Data!K3545</f>
        <v>0</v>
      </c>
      <c r="R3528">
        <f>Data!L3545</f>
        <v>0</v>
      </c>
      <c r="S3528">
        <f>Data!M3545</f>
        <v>0</v>
      </c>
      <c r="T3528">
        <f>Data!N3545</f>
        <v>0</v>
      </c>
      <c r="U3528">
        <f>Data!O3545</f>
        <v>0</v>
      </c>
      <c r="V3528" s="33">
        <f>Data!P3543</f>
        <v>0</v>
      </c>
    </row>
    <row r="3529" spans="7:22" x14ac:dyDescent="0.25">
      <c r="G3529">
        <f>Data!A3542</f>
        <v>0</v>
      </c>
      <c r="H3529" s="21">
        <f>Data!B3542</f>
        <v>0</v>
      </c>
      <c r="I3529" s="21">
        <f>Data!C3542</f>
        <v>0</v>
      </c>
      <c r="J3529">
        <f>Data!D3542</f>
        <v>0</v>
      </c>
      <c r="K3529">
        <f>Data!E3542</f>
        <v>0</v>
      </c>
      <c r="L3529">
        <f>Data!F3542</f>
        <v>0</v>
      </c>
      <c r="M3529">
        <f>Data!G3542</f>
        <v>0</v>
      </c>
      <c r="N3529">
        <f>Data!H3542</f>
        <v>0</v>
      </c>
      <c r="O3529">
        <f>Data!I3542</f>
        <v>0</v>
      </c>
      <c r="P3529" s="21">
        <f>Data!J3546</f>
        <v>0</v>
      </c>
      <c r="Q3529">
        <f>Data!K3546</f>
        <v>0</v>
      </c>
      <c r="R3529">
        <f>Data!L3546</f>
        <v>0</v>
      </c>
      <c r="S3529">
        <f>Data!M3546</f>
        <v>0</v>
      </c>
      <c r="T3529">
        <f>Data!N3546</f>
        <v>0</v>
      </c>
      <c r="U3529">
        <f>Data!O3546</f>
        <v>0</v>
      </c>
      <c r="V3529" s="33">
        <f>Data!P3544</f>
        <v>0</v>
      </c>
    </row>
    <row r="3530" spans="7:22" x14ac:dyDescent="0.25">
      <c r="G3530">
        <f>Data!A3543</f>
        <v>0</v>
      </c>
      <c r="H3530" s="21">
        <f>Data!B3543</f>
        <v>0</v>
      </c>
      <c r="I3530" s="21">
        <f>Data!C3543</f>
        <v>0</v>
      </c>
      <c r="J3530">
        <f>Data!D3543</f>
        <v>0</v>
      </c>
      <c r="K3530">
        <f>Data!E3543</f>
        <v>0</v>
      </c>
      <c r="L3530">
        <f>Data!F3543</f>
        <v>0</v>
      </c>
      <c r="M3530">
        <f>Data!G3543</f>
        <v>0</v>
      </c>
      <c r="N3530">
        <f>Data!H3543</f>
        <v>0</v>
      </c>
      <c r="O3530">
        <f>Data!I3543</f>
        <v>0</v>
      </c>
      <c r="P3530" s="21">
        <f>Data!J3547</f>
        <v>0</v>
      </c>
      <c r="Q3530">
        <f>Data!K3547</f>
        <v>0</v>
      </c>
      <c r="R3530">
        <f>Data!L3547</f>
        <v>0</v>
      </c>
      <c r="S3530">
        <f>Data!M3547</f>
        <v>0</v>
      </c>
      <c r="T3530">
        <f>Data!N3547</f>
        <v>0</v>
      </c>
      <c r="U3530">
        <f>Data!O3547</f>
        <v>0</v>
      </c>
      <c r="V3530" s="33">
        <f>Data!P3545</f>
        <v>0</v>
      </c>
    </row>
    <row r="3531" spans="7:22" x14ac:dyDescent="0.25">
      <c r="G3531">
        <f>Data!A3544</f>
        <v>0</v>
      </c>
      <c r="H3531" s="21">
        <f>Data!B3544</f>
        <v>0</v>
      </c>
      <c r="I3531" s="21">
        <f>Data!C3544</f>
        <v>0</v>
      </c>
      <c r="J3531">
        <f>Data!D3544</f>
        <v>0</v>
      </c>
      <c r="K3531">
        <f>Data!E3544</f>
        <v>0</v>
      </c>
      <c r="L3531">
        <f>Data!F3544</f>
        <v>0</v>
      </c>
      <c r="M3531">
        <f>Data!G3544</f>
        <v>0</v>
      </c>
      <c r="N3531">
        <f>Data!H3544</f>
        <v>0</v>
      </c>
      <c r="O3531">
        <f>Data!I3544</f>
        <v>0</v>
      </c>
      <c r="P3531" s="21">
        <f>Data!J3548</f>
        <v>0</v>
      </c>
      <c r="Q3531">
        <f>Data!K3548</f>
        <v>0</v>
      </c>
      <c r="R3531">
        <f>Data!L3548</f>
        <v>0</v>
      </c>
      <c r="S3531">
        <f>Data!M3548</f>
        <v>0</v>
      </c>
      <c r="T3531">
        <f>Data!N3548</f>
        <v>0</v>
      </c>
      <c r="U3531">
        <f>Data!O3548</f>
        <v>0</v>
      </c>
      <c r="V3531" s="33">
        <f>Data!P3546</f>
        <v>0</v>
      </c>
    </row>
    <row r="3532" spans="7:22" x14ac:dyDescent="0.25">
      <c r="G3532">
        <f>Data!A3545</f>
        <v>0</v>
      </c>
      <c r="H3532" s="21">
        <f>Data!B3545</f>
        <v>0</v>
      </c>
      <c r="I3532" s="21">
        <f>Data!C3545</f>
        <v>0</v>
      </c>
      <c r="J3532">
        <f>Data!D3545</f>
        <v>0</v>
      </c>
      <c r="K3532">
        <f>Data!E3545</f>
        <v>0</v>
      </c>
      <c r="L3532">
        <f>Data!F3545</f>
        <v>0</v>
      </c>
      <c r="M3532">
        <f>Data!G3545</f>
        <v>0</v>
      </c>
      <c r="N3532">
        <f>Data!H3545</f>
        <v>0</v>
      </c>
      <c r="O3532">
        <f>Data!I3545</f>
        <v>0</v>
      </c>
      <c r="P3532" s="21">
        <f>Data!J3549</f>
        <v>0</v>
      </c>
      <c r="Q3532">
        <f>Data!K3549</f>
        <v>0</v>
      </c>
      <c r="R3532">
        <f>Data!L3549</f>
        <v>0</v>
      </c>
      <c r="S3532">
        <f>Data!M3549</f>
        <v>0</v>
      </c>
      <c r="T3532">
        <f>Data!N3549</f>
        <v>0</v>
      </c>
      <c r="U3532">
        <f>Data!O3549</f>
        <v>0</v>
      </c>
      <c r="V3532" s="33">
        <f>Data!P3547</f>
        <v>0</v>
      </c>
    </row>
    <row r="3533" spans="7:22" x14ac:dyDescent="0.25">
      <c r="G3533">
        <f>Data!A3546</f>
        <v>0</v>
      </c>
      <c r="H3533" s="21">
        <f>Data!B3546</f>
        <v>0</v>
      </c>
      <c r="I3533" s="21">
        <f>Data!C3546</f>
        <v>0</v>
      </c>
      <c r="J3533">
        <f>Data!D3546</f>
        <v>0</v>
      </c>
      <c r="K3533">
        <f>Data!E3546</f>
        <v>0</v>
      </c>
      <c r="L3533">
        <f>Data!F3546</f>
        <v>0</v>
      </c>
      <c r="M3533">
        <f>Data!G3546</f>
        <v>0</v>
      </c>
      <c r="N3533">
        <f>Data!H3546</f>
        <v>0</v>
      </c>
      <c r="O3533">
        <f>Data!I3546</f>
        <v>0</v>
      </c>
      <c r="P3533" s="21">
        <f>Data!J3550</f>
        <v>0</v>
      </c>
      <c r="Q3533">
        <f>Data!K3550</f>
        <v>0</v>
      </c>
      <c r="R3533">
        <f>Data!L3550</f>
        <v>0</v>
      </c>
      <c r="S3533">
        <f>Data!M3550</f>
        <v>0</v>
      </c>
      <c r="T3533">
        <f>Data!N3550</f>
        <v>0</v>
      </c>
      <c r="U3533">
        <f>Data!O3550</f>
        <v>0</v>
      </c>
      <c r="V3533" s="33">
        <f>Data!P3548</f>
        <v>0</v>
      </c>
    </row>
    <row r="3534" spans="7:22" x14ac:dyDescent="0.25">
      <c r="G3534">
        <f>Data!A3547</f>
        <v>0</v>
      </c>
      <c r="H3534" s="21">
        <f>Data!B3547</f>
        <v>0</v>
      </c>
      <c r="I3534" s="21">
        <f>Data!C3547</f>
        <v>0</v>
      </c>
      <c r="J3534">
        <f>Data!D3547</f>
        <v>0</v>
      </c>
      <c r="K3534">
        <f>Data!E3547</f>
        <v>0</v>
      </c>
      <c r="L3534">
        <f>Data!F3547</f>
        <v>0</v>
      </c>
      <c r="M3534">
        <f>Data!G3547</f>
        <v>0</v>
      </c>
      <c r="N3534">
        <f>Data!H3547</f>
        <v>0</v>
      </c>
      <c r="O3534">
        <f>Data!I3547</f>
        <v>0</v>
      </c>
      <c r="P3534" s="21">
        <f>Data!J3551</f>
        <v>0</v>
      </c>
      <c r="Q3534">
        <f>Data!K3551</f>
        <v>0</v>
      </c>
      <c r="R3534">
        <f>Data!L3551</f>
        <v>0</v>
      </c>
      <c r="S3534">
        <f>Data!M3551</f>
        <v>0</v>
      </c>
      <c r="T3534">
        <f>Data!N3551</f>
        <v>0</v>
      </c>
      <c r="U3534">
        <f>Data!O3551</f>
        <v>0</v>
      </c>
      <c r="V3534" s="33">
        <f>Data!P3549</f>
        <v>0</v>
      </c>
    </row>
    <row r="3535" spans="7:22" x14ac:dyDescent="0.25">
      <c r="G3535">
        <f>Data!A3548</f>
        <v>0</v>
      </c>
      <c r="H3535" s="21">
        <f>Data!B3548</f>
        <v>0</v>
      </c>
      <c r="I3535" s="21">
        <f>Data!C3548</f>
        <v>0</v>
      </c>
      <c r="J3535">
        <f>Data!D3548</f>
        <v>0</v>
      </c>
      <c r="K3535">
        <f>Data!E3548</f>
        <v>0</v>
      </c>
      <c r="L3535">
        <f>Data!F3548</f>
        <v>0</v>
      </c>
      <c r="M3535">
        <f>Data!G3548</f>
        <v>0</v>
      </c>
      <c r="N3535">
        <f>Data!H3548</f>
        <v>0</v>
      </c>
      <c r="O3535">
        <f>Data!I3548</f>
        <v>0</v>
      </c>
      <c r="P3535" s="21">
        <f>Data!J3552</f>
        <v>0</v>
      </c>
      <c r="Q3535">
        <f>Data!K3552</f>
        <v>0</v>
      </c>
      <c r="R3535">
        <f>Data!L3552</f>
        <v>0</v>
      </c>
      <c r="S3535">
        <f>Data!M3552</f>
        <v>0</v>
      </c>
      <c r="T3535">
        <f>Data!N3552</f>
        <v>0</v>
      </c>
      <c r="U3535">
        <f>Data!O3552</f>
        <v>0</v>
      </c>
      <c r="V3535" s="33">
        <f>Data!P3550</f>
        <v>0</v>
      </c>
    </row>
    <row r="3536" spans="7:22" x14ac:dyDescent="0.25">
      <c r="G3536">
        <f>Data!A3549</f>
        <v>0</v>
      </c>
      <c r="H3536" s="21">
        <f>Data!B3549</f>
        <v>0</v>
      </c>
      <c r="I3536" s="21">
        <f>Data!C3549</f>
        <v>0</v>
      </c>
      <c r="J3536">
        <f>Data!D3549</f>
        <v>0</v>
      </c>
      <c r="K3536">
        <f>Data!E3549</f>
        <v>0</v>
      </c>
      <c r="L3536">
        <f>Data!F3549</f>
        <v>0</v>
      </c>
      <c r="M3536">
        <f>Data!G3549</f>
        <v>0</v>
      </c>
      <c r="N3536">
        <f>Data!H3549</f>
        <v>0</v>
      </c>
      <c r="O3536">
        <f>Data!I3549</f>
        <v>0</v>
      </c>
      <c r="P3536" s="21">
        <f>Data!J3553</f>
        <v>0</v>
      </c>
      <c r="Q3536">
        <f>Data!K3553</f>
        <v>0</v>
      </c>
      <c r="R3536">
        <f>Data!L3553</f>
        <v>0</v>
      </c>
      <c r="S3536">
        <f>Data!M3553</f>
        <v>0</v>
      </c>
      <c r="T3536">
        <f>Data!N3553</f>
        <v>0</v>
      </c>
      <c r="U3536">
        <f>Data!O3553</f>
        <v>0</v>
      </c>
      <c r="V3536" s="33">
        <f>Data!P3551</f>
        <v>0</v>
      </c>
    </row>
    <row r="3537" spans="7:22" x14ac:dyDescent="0.25">
      <c r="G3537">
        <f>Data!A3550</f>
        <v>0</v>
      </c>
      <c r="H3537" s="21">
        <f>Data!B3550</f>
        <v>0</v>
      </c>
      <c r="I3537" s="21">
        <f>Data!C3550</f>
        <v>0</v>
      </c>
      <c r="J3537">
        <f>Data!D3550</f>
        <v>0</v>
      </c>
      <c r="K3537">
        <f>Data!E3550</f>
        <v>0</v>
      </c>
      <c r="L3537">
        <f>Data!F3550</f>
        <v>0</v>
      </c>
      <c r="M3537">
        <f>Data!G3550</f>
        <v>0</v>
      </c>
      <c r="N3537">
        <f>Data!H3550</f>
        <v>0</v>
      </c>
      <c r="O3537">
        <f>Data!I3550</f>
        <v>0</v>
      </c>
      <c r="P3537" s="21">
        <f>Data!J3554</f>
        <v>0</v>
      </c>
      <c r="Q3537">
        <f>Data!K3554</f>
        <v>0</v>
      </c>
      <c r="R3537">
        <f>Data!L3554</f>
        <v>0</v>
      </c>
      <c r="S3537">
        <f>Data!M3554</f>
        <v>0</v>
      </c>
      <c r="T3537">
        <f>Data!N3554</f>
        <v>0</v>
      </c>
      <c r="U3537">
        <f>Data!O3554</f>
        <v>0</v>
      </c>
      <c r="V3537" s="33">
        <f>Data!P3552</f>
        <v>0</v>
      </c>
    </row>
    <row r="3538" spans="7:22" x14ac:dyDescent="0.25">
      <c r="G3538">
        <f>Data!A3551</f>
        <v>0</v>
      </c>
      <c r="H3538" s="21">
        <f>Data!B3551</f>
        <v>0</v>
      </c>
      <c r="I3538" s="21">
        <f>Data!C3551</f>
        <v>0</v>
      </c>
      <c r="J3538">
        <f>Data!D3551</f>
        <v>0</v>
      </c>
      <c r="K3538">
        <f>Data!E3551</f>
        <v>0</v>
      </c>
      <c r="L3538">
        <f>Data!F3551</f>
        <v>0</v>
      </c>
      <c r="M3538">
        <f>Data!G3551</f>
        <v>0</v>
      </c>
      <c r="N3538">
        <f>Data!H3551</f>
        <v>0</v>
      </c>
      <c r="O3538">
        <f>Data!I3551</f>
        <v>0</v>
      </c>
      <c r="P3538" s="21">
        <f>Data!J3555</f>
        <v>0</v>
      </c>
      <c r="Q3538">
        <f>Data!K3555</f>
        <v>0</v>
      </c>
      <c r="R3538">
        <f>Data!L3555</f>
        <v>0</v>
      </c>
      <c r="S3538">
        <f>Data!M3555</f>
        <v>0</v>
      </c>
      <c r="T3538">
        <f>Data!N3555</f>
        <v>0</v>
      </c>
      <c r="U3538">
        <f>Data!O3555</f>
        <v>0</v>
      </c>
      <c r="V3538" s="33">
        <f>Data!P3553</f>
        <v>0</v>
      </c>
    </row>
    <row r="3539" spans="7:22" x14ac:dyDescent="0.25">
      <c r="G3539">
        <f>Data!A3552</f>
        <v>0</v>
      </c>
      <c r="H3539" s="21">
        <f>Data!B3552</f>
        <v>0</v>
      </c>
      <c r="I3539" s="21">
        <f>Data!C3552</f>
        <v>0</v>
      </c>
      <c r="J3539">
        <f>Data!D3552</f>
        <v>0</v>
      </c>
      <c r="K3539">
        <f>Data!E3552</f>
        <v>0</v>
      </c>
      <c r="L3539">
        <f>Data!F3552</f>
        <v>0</v>
      </c>
      <c r="M3539">
        <f>Data!G3552</f>
        <v>0</v>
      </c>
      <c r="N3539">
        <f>Data!H3552</f>
        <v>0</v>
      </c>
      <c r="O3539">
        <f>Data!I3552</f>
        <v>0</v>
      </c>
      <c r="P3539" s="21">
        <f>Data!J3556</f>
        <v>0</v>
      </c>
      <c r="Q3539">
        <f>Data!K3556</f>
        <v>0</v>
      </c>
      <c r="R3539">
        <f>Data!L3556</f>
        <v>0</v>
      </c>
      <c r="S3539">
        <f>Data!M3556</f>
        <v>0</v>
      </c>
      <c r="T3539">
        <f>Data!N3556</f>
        <v>0</v>
      </c>
      <c r="U3539">
        <f>Data!O3556</f>
        <v>0</v>
      </c>
      <c r="V3539" s="33">
        <f>Data!P3554</f>
        <v>0</v>
      </c>
    </row>
    <row r="3540" spans="7:22" x14ac:dyDescent="0.25">
      <c r="G3540">
        <f>Data!A3553</f>
        <v>0</v>
      </c>
      <c r="H3540" s="21">
        <f>Data!B3553</f>
        <v>0</v>
      </c>
      <c r="I3540" s="21">
        <f>Data!C3553</f>
        <v>0</v>
      </c>
      <c r="J3540">
        <f>Data!D3553</f>
        <v>0</v>
      </c>
      <c r="K3540">
        <f>Data!E3553</f>
        <v>0</v>
      </c>
      <c r="L3540">
        <f>Data!F3553</f>
        <v>0</v>
      </c>
      <c r="M3540">
        <f>Data!G3553</f>
        <v>0</v>
      </c>
      <c r="N3540">
        <f>Data!H3553</f>
        <v>0</v>
      </c>
      <c r="O3540">
        <f>Data!I3553</f>
        <v>0</v>
      </c>
      <c r="P3540" s="21">
        <f>Data!J3557</f>
        <v>0</v>
      </c>
      <c r="Q3540">
        <f>Data!K3557</f>
        <v>0</v>
      </c>
      <c r="R3540">
        <f>Data!L3557</f>
        <v>0</v>
      </c>
      <c r="S3540">
        <f>Data!M3557</f>
        <v>0</v>
      </c>
      <c r="T3540">
        <f>Data!N3557</f>
        <v>0</v>
      </c>
      <c r="U3540">
        <f>Data!O3557</f>
        <v>0</v>
      </c>
      <c r="V3540" s="33">
        <f>Data!P3555</f>
        <v>0</v>
      </c>
    </row>
    <row r="3541" spans="7:22" x14ac:dyDescent="0.25">
      <c r="G3541">
        <f>Data!A3554</f>
        <v>0</v>
      </c>
      <c r="H3541" s="21">
        <f>Data!B3554</f>
        <v>0</v>
      </c>
      <c r="I3541" s="21">
        <f>Data!C3554</f>
        <v>0</v>
      </c>
      <c r="J3541">
        <f>Data!D3554</f>
        <v>0</v>
      </c>
      <c r="K3541">
        <f>Data!E3554</f>
        <v>0</v>
      </c>
      <c r="L3541">
        <f>Data!F3554</f>
        <v>0</v>
      </c>
      <c r="M3541">
        <f>Data!G3554</f>
        <v>0</v>
      </c>
      <c r="N3541">
        <f>Data!H3554</f>
        <v>0</v>
      </c>
      <c r="O3541">
        <f>Data!I3554</f>
        <v>0</v>
      </c>
      <c r="P3541" s="21">
        <f>Data!J3558</f>
        <v>0</v>
      </c>
      <c r="Q3541">
        <f>Data!K3558</f>
        <v>0</v>
      </c>
      <c r="R3541">
        <f>Data!L3558</f>
        <v>0</v>
      </c>
      <c r="S3541">
        <f>Data!M3558</f>
        <v>0</v>
      </c>
      <c r="T3541">
        <f>Data!N3558</f>
        <v>0</v>
      </c>
      <c r="U3541">
        <f>Data!O3558</f>
        <v>0</v>
      </c>
      <c r="V3541" s="33">
        <f>Data!P3556</f>
        <v>0</v>
      </c>
    </row>
    <row r="3542" spans="7:22" x14ac:dyDescent="0.25">
      <c r="G3542">
        <f>Data!A3555</f>
        <v>0</v>
      </c>
      <c r="H3542" s="21">
        <f>Data!B3555</f>
        <v>0</v>
      </c>
      <c r="I3542" s="21">
        <f>Data!C3555</f>
        <v>0</v>
      </c>
      <c r="J3542">
        <f>Data!D3555</f>
        <v>0</v>
      </c>
      <c r="K3542">
        <f>Data!E3555</f>
        <v>0</v>
      </c>
      <c r="L3542">
        <f>Data!F3555</f>
        <v>0</v>
      </c>
      <c r="M3542">
        <f>Data!G3555</f>
        <v>0</v>
      </c>
      <c r="N3542">
        <f>Data!H3555</f>
        <v>0</v>
      </c>
      <c r="O3542">
        <f>Data!I3555</f>
        <v>0</v>
      </c>
      <c r="P3542" s="21">
        <f>Data!J3559</f>
        <v>0</v>
      </c>
      <c r="Q3542">
        <f>Data!K3559</f>
        <v>0</v>
      </c>
      <c r="R3542">
        <f>Data!L3559</f>
        <v>0</v>
      </c>
      <c r="S3542">
        <f>Data!M3559</f>
        <v>0</v>
      </c>
      <c r="T3542">
        <f>Data!N3559</f>
        <v>0</v>
      </c>
      <c r="U3542">
        <f>Data!O3559</f>
        <v>0</v>
      </c>
      <c r="V3542" s="33">
        <f>Data!P3557</f>
        <v>0</v>
      </c>
    </row>
    <row r="3543" spans="7:22" x14ac:dyDescent="0.25">
      <c r="G3543">
        <f>Data!A3556</f>
        <v>0</v>
      </c>
      <c r="H3543" s="21">
        <f>Data!B3556</f>
        <v>0</v>
      </c>
      <c r="I3543" s="21">
        <f>Data!C3556</f>
        <v>0</v>
      </c>
      <c r="J3543">
        <f>Data!D3556</f>
        <v>0</v>
      </c>
      <c r="K3543">
        <f>Data!E3556</f>
        <v>0</v>
      </c>
      <c r="L3543">
        <f>Data!F3556</f>
        <v>0</v>
      </c>
      <c r="M3543">
        <f>Data!G3556</f>
        <v>0</v>
      </c>
      <c r="N3543">
        <f>Data!H3556</f>
        <v>0</v>
      </c>
      <c r="O3543">
        <f>Data!I3556</f>
        <v>0</v>
      </c>
      <c r="P3543" s="21">
        <f>Data!J3560</f>
        <v>0</v>
      </c>
      <c r="Q3543">
        <f>Data!K3560</f>
        <v>0</v>
      </c>
      <c r="R3543">
        <f>Data!L3560</f>
        <v>0</v>
      </c>
      <c r="S3543">
        <f>Data!M3560</f>
        <v>0</v>
      </c>
      <c r="T3543">
        <f>Data!N3560</f>
        <v>0</v>
      </c>
      <c r="U3543">
        <f>Data!O3560</f>
        <v>0</v>
      </c>
      <c r="V3543" s="33">
        <f>Data!P3558</f>
        <v>0</v>
      </c>
    </row>
    <row r="3544" spans="7:22" x14ac:dyDescent="0.25">
      <c r="G3544">
        <f>Data!A3557</f>
        <v>0</v>
      </c>
      <c r="H3544" s="21">
        <f>Data!B3557</f>
        <v>0</v>
      </c>
      <c r="I3544" s="21">
        <f>Data!C3557</f>
        <v>0</v>
      </c>
      <c r="J3544">
        <f>Data!D3557</f>
        <v>0</v>
      </c>
      <c r="K3544">
        <f>Data!E3557</f>
        <v>0</v>
      </c>
      <c r="L3544">
        <f>Data!F3557</f>
        <v>0</v>
      </c>
      <c r="M3544">
        <f>Data!G3557</f>
        <v>0</v>
      </c>
      <c r="N3544">
        <f>Data!H3557</f>
        <v>0</v>
      </c>
      <c r="O3544">
        <f>Data!I3557</f>
        <v>0</v>
      </c>
      <c r="P3544" s="21">
        <f>Data!J3561</f>
        <v>0</v>
      </c>
      <c r="Q3544">
        <f>Data!K3561</f>
        <v>0</v>
      </c>
      <c r="R3544">
        <f>Data!L3561</f>
        <v>0</v>
      </c>
      <c r="S3544">
        <f>Data!M3561</f>
        <v>0</v>
      </c>
      <c r="T3544">
        <f>Data!N3561</f>
        <v>0</v>
      </c>
      <c r="U3544">
        <f>Data!O3561</f>
        <v>0</v>
      </c>
      <c r="V3544" s="33">
        <f>Data!P3559</f>
        <v>0</v>
      </c>
    </row>
    <row r="3545" spans="7:22" x14ac:dyDescent="0.25">
      <c r="G3545">
        <f>Data!A3558</f>
        <v>0</v>
      </c>
      <c r="H3545" s="21">
        <f>Data!B3558</f>
        <v>0</v>
      </c>
      <c r="I3545" s="21">
        <f>Data!C3558</f>
        <v>0</v>
      </c>
      <c r="J3545">
        <f>Data!D3558</f>
        <v>0</v>
      </c>
      <c r="K3545">
        <f>Data!E3558</f>
        <v>0</v>
      </c>
      <c r="L3545">
        <f>Data!F3558</f>
        <v>0</v>
      </c>
      <c r="M3545">
        <f>Data!G3558</f>
        <v>0</v>
      </c>
      <c r="N3545">
        <f>Data!H3558</f>
        <v>0</v>
      </c>
      <c r="O3545">
        <f>Data!I3558</f>
        <v>0</v>
      </c>
      <c r="P3545" s="21">
        <f>Data!J3562</f>
        <v>0</v>
      </c>
      <c r="Q3545">
        <f>Data!K3562</f>
        <v>0</v>
      </c>
      <c r="R3545">
        <f>Data!L3562</f>
        <v>0</v>
      </c>
      <c r="S3545">
        <f>Data!M3562</f>
        <v>0</v>
      </c>
      <c r="T3545">
        <f>Data!N3562</f>
        <v>0</v>
      </c>
      <c r="U3545">
        <f>Data!O3562</f>
        <v>0</v>
      </c>
      <c r="V3545" s="33">
        <f>Data!P3560</f>
        <v>0</v>
      </c>
    </row>
    <row r="3546" spans="7:22" x14ac:dyDescent="0.25">
      <c r="G3546">
        <f>Data!A3559</f>
        <v>0</v>
      </c>
      <c r="H3546" s="21">
        <f>Data!B3559</f>
        <v>0</v>
      </c>
      <c r="I3546" s="21">
        <f>Data!C3559</f>
        <v>0</v>
      </c>
      <c r="J3546">
        <f>Data!D3559</f>
        <v>0</v>
      </c>
      <c r="K3546">
        <f>Data!E3559</f>
        <v>0</v>
      </c>
      <c r="L3546">
        <f>Data!F3559</f>
        <v>0</v>
      </c>
      <c r="M3546">
        <f>Data!G3559</f>
        <v>0</v>
      </c>
      <c r="N3546">
        <f>Data!H3559</f>
        <v>0</v>
      </c>
      <c r="O3546">
        <f>Data!I3559</f>
        <v>0</v>
      </c>
      <c r="P3546" s="21">
        <f>Data!J3563</f>
        <v>0</v>
      </c>
      <c r="Q3546">
        <f>Data!K3563</f>
        <v>0</v>
      </c>
      <c r="R3546">
        <f>Data!L3563</f>
        <v>0</v>
      </c>
      <c r="S3546">
        <f>Data!M3563</f>
        <v>0</v>
      </c>
      <c r="T3546">
        <f>Data!N3563</f>
        <v>0</v>
      </c>
      <c r="U3546">
        <f>Data!O3563</f>
        <v>0</v>
      </c>
      <c r="V3546" s="33">
        <f>Data!P3561</f>
        <v>0</v>
      </c>
    </row>
    <row r="3547" spans="7:22" x14ac:dyDescent="0.25">
      <c r="G3547">
        <f>Data!A3560</f>
        <v>0</v>
      </c>
      <c r="H3547" s="21">
        <f>Data!B3560</f>
        <v>0</v>
      </c>
      <c r="I3547" s="21">
        <f>Data!C3560</f>
        <v>0</v>
      </c>
      <c r="J3547">
        <f>Data!D3560</f>
        <v>0</v>
      </c>
      <c r="K3547">
        <f>Data!E3560</f>
        <v>0</v>
      </c>
      <c r="L3547">
        <f>Data!F3560</f>
        <v>0</v>
      </c>
      <c r="M3547">
        <f>Data!G3560</f>
        <v>0</v>
      </c>
      <c r="N3547">
        <f>Data!H3560</f>
        <v>0</v>
      </c>
      <c r="O3547">
        <f>Data!I3560</f>
        <v>0</v>
      </c>
      <c r="P3547" s="21">
        <f>Data!J3564</f>
        <v>0</v>
      </c>
      <c r="Q3547">
        <f>Data!K3564</f>
        <v>0</v>
      </c>
      <c r="R3547">
        <f>Data!L3564</f>
        <v>0</v>
      </c>
      <c r="S3547">
        <f>Data!M3564</f>
        <v>0</v>
      </c>
      <c r="T3547">
        <f>Data!N3564</f>
        <v>0</v>
      </c>
      <c r="U3547">
        <f>Data!O3564</f>
        <v>0</v>
      </c>
      <c r="V3547" s="33">
        <f>Data!P3562</f>
        <v>0</v>
      </c>
    </row>
    <row r="3548" spans="7:22" x14ac:dyDescent="0.25">
      <c r="G3548">
        <f>Data!A3561</f>
        <v>0</v>
      </c>
      <c r="H3548" s="21">
        <f>Data!B3561</f>
        <v>0</v>
      </c>
      <c r="I3548" s="21">
        <f>Data!C3561</f>
        <v>0</v>
      </c>
      <c r="J3548">
        <f>Data!D3561</f>
        <v>0</v>
      </c>
      <c r="K3548">
        <f>Data!E3561</f>
        <v>0</v>
      </c>
      <c r="L3548">
        <f>Data!F3561</f>
        <v>0</v>
      </c>
      <c r="M3548">
        <f>Data!G3561</f>
        <v>0</v>
      </c>
      <c r="N3548">
        <f>Data!H3561</f>
        <v>0</v>
      </c>
      <c r="O3548">
        <f>Data!I3561</f>
        <v>0</v>
      </c>
      <c r="P3548" s="21">
        <f>Data!J3565</f>
        <v>0</v>
      </c>
      <c r="Q3548">
        <f>Data!K3565</f>
        <v>0</v>
      </c>
      <c r="R3548">
        <f>Data!L3565</f>
        <v>0</v>
      </c>
      <c r="S3548">
        <f>Data!M3565</f>
        <v>0</v>
      </c>
      <c r="T3548">
        <f>Data!N3565</f>
        <v>0</v>
      </c>
      <c r="U3548">
        <f>Data!O3565</f>
        <v>0</v>
      </c>
      <c r="V3548" s="33">
        <f>Data!P3563</f>
        <v>0</v>
      </c>
    </row>
    <row r="3549" spans="7:22" x14ac:dyDescent="0.25">
      <c r="G3549">
        <f>Data!A3562</f>
        <v>0</v>
      </c>
      <c r="H3549" s="21">
        <f>Data!B3562</f>
        <v>0</v>
      </c>
      <c r="I3549" s="21">
        <f>Data!C3562</f>
        <v>0</v>
      </c>
      <c r="J3549">
        <f>Data!D3562</f>
        <v>0</v>
      </c>
      <c r="K3549">
        <f>Data!E3562</f>
        <v>0</v>
      </c>
      <c r="L3549">
        <f>Data!F3562</f>
        <v>0</v>
      </c>
      <c r="M3549">
        <f>Data!G3562</f>
        <v>0</v>
      </c>
      <c r="N3549">
        <f>Data!H3562</f>
        <v>0</v>
      </c>
      <c r="O3549">
        <f>Data!I3562</f>
        <v>0</v>
      </c>
      <c r="P3549" s="21">
        <f>Data!J3566</f>
        <v>0</v>
      </c>
      <c r="Q3549">
        <f>Data!K3566</f>
        <v>0</v>
      </c>
      <c r="R3549">
        <f>Data!L3566</f>
        <v>0</v>
      </c>
      <c r="S3549">
        <f>Data!M3566</f>
        <v>0</v>
      </c>
      <c r="T3549">
        <f>Data!N3566</f>
        <v>0</v>
      </c>
      <c r="U3549">
        <f>Data!O3566</f>
        <v>0</v>
      </c>
      <c r="V3549" s="33">
        <f>Data!P3564</f>
        <v>0</v>
      </c>
    </row>
    <row r="3550" spans="7:22" x14ac:dyDescent="0.25">
      <c r="G3550">
        <f>Data!A3563</f>
        <v>0</v>
      </c>
      <c r="H3550" s="21">
        <f>Data!B3563</f>
        <v>0</v>
      </c>
      <c r="I3550" s="21">
        <f>Data!C3563</f>
        <v>0</v>
      </c>
      <c r="J3550">
        <f>Data!D3563</f>
        <v>0</v>
      </c>
      <c r="K3550">
        <f>Data!E3563</f>
        <v>0</v>
      </c>
      <c r="L3550">
        <f>Data!F3563</f>
        <v>0</v>
      </c>
      <c r="M3550">
        <f>Data!G3563</f>
        <v>0</v>
      </c>
      <c r="N3550">
        <f>Data!H3563</f>
        <v>0</v>
      </c>
      <c r="O3550">
        <f>Data!I3563</f>
        <v>0</v>
      </c>
      <c r="P3550" s="21">
        <f>Data!J3567</f>
        <v>0</v>
      </c>
      <c r="Q3550">
        <f>Data!K3567</f>
        <v>0</v>
      </c>
      <c r="R3550">
        <f>Data!L3567</f>
        <v>0</v>
      </c>
      <c r="S3550">
        <f>Data!M3567</f>
        <v>0</v>
      </c>
      <c r="T3550">
        <f>Data!N3567</f>
        <v>0</v>
      </c>
      <c r="U3550">
        <f>Data!O3567</f>
        <v>0</v>
      </c>
      <c r="V3550" s="33">
        <f>Data!P3565</f>
        <v>0</v>
      </c>
    </row>
    <row r="3551" spans="7:22" x14ac:dyDescent="0.25">
      <c r="G3551">
        <f>Data!A3564</f>
        <v>0</v>
      </c>
      <c r="H3551" s="21">
        <f>Data!B3564</f>
        <v>0</v>
      </c>
      <c r="I3551" s="21">
        <f>Data!C3564</f>
        <v>0</v>
      </c>
      <c r="J3551">
        <f>Data!D3564</f>
        <v>0</v>
      </c>
      <c r="K3551">
        <f>Data!E3564</f>
        <v>0</v>
      </c>
      <c r="L3551">
        <f>Data!F3564</f>
        <v>0</v>
      </c>
      <c r="M3551">
        <f>Data!G3564</f>
        <v>0</v>
      </c>
      <c r="N3551">
        <f>Data!H3564</f>
        <v>0</v>
      </c>
      <c r="O3551">
        <f>Data!I3564</f>
        <v>0</v>
      </c>
      <c r="P3551" s="21">
        <f>Data!J3568</f>
        <v>0</v>
      </c>
      <c r="Q3551">
        <f>Data!K3568</f>
        <v>0</v>
      </c>
      <c r="R3551">
        <f>Data!L3568</f>
        <v>0</v>
      </c>
      <c r="S3551">
        <f>Data!M3568</f>
        <v>0</v>
      </c>
      <c r="T3551">
        <f>Data!N3568</f>
        <v>0</v>
      </c>
      <c r="U3551">
        <f>Data!O3568</f>
        <v>0</v>
      </c>
      <c r="V3551" s="33">
        <f>Data!P3566</f>
        <v>0</v>
      </c>
    </row>
    <row r="3552" spans="7:22" x14ac:dyDescent="0.25">
      <c r="G3552">
        <f>Data!A3565</f>
        <v>0</v>
      </c>
      <c r="H3552" s="21">
        <f>Data!B3565</f>
        <v>0</v>
      </c>
      <c r="I3552" s="21">
        <f>Data!C3565</f>
        <v>0</v>
      </c>
      <c r="J3552">
        <f>Data!D3565</f>
        <v>0</v>
      </c>
      <c r="K3552">
        <f>Data!E3565</f>
        <v>0</v>
      </c>
      <c r="L3552">
        <f>Data!F3565</f>
        <v>0</v>
      </c>
      <c r="M3552">
        <f>Data!G3565</f>
        <v>0</v>
      </c>
      <c r="N3552">
        <f>Data!H3565</f>
        <v>0</v>
      </c>
      <c r="O3552">
        <f>Data!I3565</f>
        <v>0</v>
      </c>
      <c r="P3552" s="21">
        <f>Data!J3569</f>
        <v>0</v>
      </c>
      <c r="Q3552">
        <f>Data!K3569</f>
        <v>0</v>
      </c>
      <c r="R3552">
        <f>Data!L3569</f>
        <v>0</v>
      </c>
      <c r="S3552">
        <f>Data!M3569</f>
        <v>0</v>
      </c>
      <c r="T3552">
        <f>Data!N3569</f>
        <v>0</v>
      </c>
      <c r="U3552">
        <f>Data!O3569</f>
        <v>0</v>
      </c>
      <c r="V3552" s="33">
        <f>Data!P3567</f>
        <v>0</v>
      </c>
    </row>
    <row r="3553" spans="7:22" x14ac:dyDescent="0.25">
      <c r="G3553">
        <f>Data!A3566</f>
        <v>0</v>
      </c>
      <c r="H3553" s="21">
        <f>Data!B3566</f>
        <v>0</v>
      </c>
      <c r="I3553" s="21">
        <f>Data!C3566</f>
        <v>0</v>
      </c>
      <c r="J3553">
        <f>Data!D3566</f>
        <v>0</v>
      </c>
      <c r="K3553">
        <f>Data!E3566</f>
        <v>0</v>
      </c>
      <c r="L3553">
        <f>Data!F3566</f>
        <v>0</v>
      </c>
      <c r="M3553">
        <f>Data!G3566</f>
        <v>0</v>
      </c>
      <c r="N3553">
        <f>Data!H3566</f>
        <v>0</v>
      </c>
      <c r="O3553">
        <f>Data!I3566</f>
        <v>0</v>
      </c>
      <c r="P3553" s="21">
        <f>Data!J3570</f>
        <v>0</v>
      </c>
      <c r="Q3553">
        <f>Data!K3570</f>
        <v>0</v>
      </c>
      <c r="R3553">
        <f>Data!L3570</f>
        <v>0</v>
      </c>
      <c r="S3553">
        <f>Data!M3570</f>
        <v>0</v>
      </c>
      <c r="T3553">
        <f>Data!N3570</f>
        <v>0</v>
      </c>
      <c r="U3553">
        <f>Data!O3570</f>
        <v>0</v>
      </c>
      <c r="V3553" s="33">
        <f>Data!P3568</f>
        <v>0</v>
      </c>
    </row>
    <row r="3554" spans="7:22" x14ac:dyDescent="0.25">
      <c r="G3554">
        <f>Data!A3567</f>
        <v>0</v>
      </c>
      <c r="H3554" s="21">
        <f>Data!B3567</f>
        <v>0</v>
      </c>
      <c r="I3554" s="21">
        <f>Data!C3567</f>
        <v>0</v>
      </c>
      <c r="J3554">
        <f>Data!D3567</f>
        <v>0</v>
      </c>
      <c r="K3554">
        <f>Data!E3567</f>
        <v>0</v>
      </c>
      <c r="L3554">
        <f>Data!F3567</f>
        <v>0</v>
      </c>
      <c r="M3554">
        <f>Data!G3567</f>
        <v>0</v>
      </c>
      <c r="N3554">
        <f>Data!H3567</f>
        <v>0</v>
      </c>
      <c r="O3554">
        <f>Data!I3567</f>
        <v>0</v>
      </c>
      <c r="P3554" s="21">
        <f>Data!J3571</f>
        <v>0</v>
      </c>
      <c r="Q3554">
        <f>Data!K3571</f>
        <v>0</v>
      </c>
      <c r="R3554">
        <f>Data!L3571</f>
        <v>0</v>
      </c>
      <c r="S3554">
        <f>Data!M3571</f>
        <v>0</v>
      </c>
      <c r="T3554">
        <f>Data!N3571</f>
        <v>0</v>
      </c>
      <c r="U3554">
        <f>Data!O3571</f>
        <v>0</v>
      </c>
      <c r="V3554" s="33">
        <f>Data!P3569</f>
        <v>0</v>
      </c>
    </row>
    <row r="3555" spans="7:22" x14ac:dyDescent="0.25">
      <c r="G3555">
        <f>Data!A3568</f>
        <v>0</v>
      </c>
      <c r="H3555" s="21">
        <f>Data!B3568</f>
        <v>0</v>
      </c>
      <c r="I3555" s="21">
        <f>Data!C3568</f>
        <v>0</v>
      </c>
      <c r="J3555">
        <f>Data!D3568</f>
        <v>0</v>
      </c>
      <c r="K3555">
        <f>Data!E3568</f>
        <v>0</v>
      </c>
      <c r="L3555">
        <f>Data!F3568</f>
        <v>0</v>
      </c>
      <c r="M3555">
        <f>Data!G3568</f>
        <v>0</v>
      </c>
      <c r="N3555">
        <f>Data!H3568</f>
        <v>0</v>
      </c>
      <c r="O3555">
        <f>Data!I3568</f>
        <v>0</v>
      </c>
      <c r="P3555" s="21">
        <f>Data!J3572</f>
        <v>0</v>
      </c>
      <c r="Q3555">
        <f>Data!K3572</f>
        <v>0</v>
      </c>
      <c r="R3555">
        <f>Data!L3572</f>
        <v>0</v>
      </c>
      <c r="S3555">
        <f>Data!M3572</f>
        <v>0</v>
      </c>
      <c r="T3555">
        <f>Data!N3572</f>
        <v>0</v>
      </c>
      <c r="U3555">
        <f>Data!O3572</f>
        <v>0</v>
      </c>
      <c r="V3555" s="33">
        <f>Data!P3570</f>
        <v>0</v>
      </c>
    </row>
    <row r="3556" spans="7:22" x14ac:dyDescent="0.25">
      <c r="G3556">
        <f>Data!A3569</f>
        <v>0</v>
      </c>
      <c r="H3556" s="21">
        <f>Data!B3569</f>
        <v>0</v>
      </c>
      <c r="I3556" s="21">
        <f>Data!C3569</f>
        <v>0</v>
      </c>
      <c r="J3556">
        <f>Data!D3569</f>
        <v>0</v>
      </c>
      <c r="K3556">
        <f>Data!E3569</f>
        <v>0</v>
      </c>
      <c r="L3556">
        <f>Data!F3569</f>
        <v>0</v>
      </c>
      <c r="M3556">
        <f>Data!G3569</f>
        <v>0</v>
      </c>
      <c r="N3556">
        <f>Data!H3569</f>
        <v>0</v>
      </c>
      <c r="O3556">
        <f>Data!I3569</f>
        <v>0</v>
      </c>
      <c r="P3556" s="21">
        <f>Data!J3573</f>
        <v>0</v>
      </c>
      <c r="Q3556">
        <f>Data!K3573</f>
        <v>0</v>
      </c>
      <c r="R3556">
        <f>Data!L3573</f>
        <v>0</v>
      </c>
      <c r="S3556">
        <f>Data!M3573</f>
        <v>0</v>
      </c>
      <c r="T3556">
        <f>Data!N3573</f>
        <v>0</v>
      </c>
      <c r="U3556">
        <f>Data!O3573</f>
        <v>0</v>
      </c>
      <c r="V3556" s="33">
        <f>Data!P3571</f>
        <v>0</v>
      </c>
    </row>
    <row r="3557" spans="7:22" x14ac:dyDescent="0.25">
      <c r="G3557">
        <f>Data!A3570</f>
        <v>0</v>
      </c>
      <c r="H3557" s="21">
        <f>Data!B3570</f>
        <v>0</v>
      </c>
      <c r="I3557" s="21">
        <f>Data!C3570</f>
        <v>0</v>
      </c>
      <c r="J3557">
        <f>Data!D3570</f>
        <v>0</v>
      </c>
      <c r="K3557">
        <f>Data!E3570</f>
        <v>0</v>
      </c>
      <c r="L3557">
        <f>Data!F3570</f>
        <v>0</v>
      </c>
      <c r="M3557">
        <f>Data!G3570</f>
        <v>0</v>
      </c>
      <c r="N3557">
        <f>Data!H3570</f>
        <v>0</v>
      </c>
      <c r="O3557">
        <f>Data!I3570</f>
        <v>0</v>
      </c>
      <c r="P3557" s="21">
        <f>Data!J3574</f>
        <v>0</v>
      </c>
      <c r="Q3557">
        <f>Data!K3574</f>
        <v>0</v>
      </c>
      <c r="R3557">
        <f>Data!L3574</f>
        <v>0</v>
      </c>
      <c r="S3557">
        <f>Data!M3574</f>
        <v>0</v>
      </c>
      <c r="T3557">
        <f>Data!N3574</f>
        <v>0</v>
      </c>
      <c r="U3557">
        <f>Data!O3574</f>
        <v>0</v>
      </c>
      <c r="V3557" s="33">
        <f>Data!P3572</f>
        <v>0</v>
      </c>
    </row>
    <row r="3558" spans="7:22" x14ac:dyDescent="0.25">
      <c r="G3558">
        <f>Data!A3571</f>
        <v>0</v>
      </c>
      <c r="H3558" s="21">
        <f>Data!B3571</f>
        <v>0</v>
      </c>
      <c r="I3558" s="21">
        <f>Data!C3571</f>
        <v>0</v>
      </c>
      <c r="J3558">
        <f>Data!D3571</f>
        <v>0</v>
      </c>
      <c r="K3558">
        <f>Data!E3571</f>
        <v>0</v>
      </c>
      <c r="L3558">
        <f>Data!F3571</f>
        <v>0</v>
      </c>
      <c r="M3558">
        <f>Data!G3571</f>
        <v>0</v>
      </c>
      <c r="N3558">
        <f>Data!H3571</f>
        <v>0</v>
      </c>
      <c r="O3558">
        <f>Data!I3571</f>
        <v>0</v>
      </c>
      <c r="P3558" s="21">
        <f>Data!J3575</f>
        <v>0</v>
      </c>
      <c r="Q3558">
        <f>Data!K3575</f>
        <v>0</v>
      </c>
      <c r="R3558">
        <f>Data!L3575</f>
        <v>0</v>
      </c>
      <c r="S3558">
        <f>Data!M3575</f>
        <v>0</v>
      </c>
      <c r="T3558">
        <f>Data!N3575</f>
        <v>0</v>
      </c>
      <c r="U3558">
        <f>Data!O3575</f>
        <v>0</v>
      </c>
      <c r="V3558" s="33">
        <f>Data!P3573</f>
        <v>0</v>
      </c>
    </row>
    <row r="3559" spans="7:22" x14ac:dyDescent="0.25">
      <c r="G3559">
        <f>Data!A3572</f>
        <v>0</v>
      </c>
      <c r="H3559" s="21">
        <f>Data!B3572</f>
        <v>0</v>
      </c>
      <c r="I3559" s="21">
        <f>Data!C3572</f>
        <v>0</v>
      </c>
      <c r="J3559">
        <f>Data!D3572</f>
        <v>0</v>
      </c>
      <c r="K3559">
        <f>Data!E3572</f>
        <v>0</v>
      </c>
      <c r="L3559">
        <f>Data!F3572</f>
        <v>0</v>
      </c>
      <c r="M3559">
        <f>Data!G3572</f>
        <v>0</v>
      </c>
      <c r="N3559">
        <f>Data!H3572</f>
        <v>0</v>
      </c>
      <c r="O3559">
        <f>Data!I3572</f>
        <v>0</v>
      </c>
      <c r="P3559" s="21">
        <f>Data!J3576</f>
        <v>0</v>
      </c>
      <c r="Q3559">
        <f>Data!K3576</f>
        <v>0</v>
      </c>
      <c r="R3559">
        <f>Data!L3576</f>
        <v>0</v>
      </c>
      <c r="S3559">
        <f>Data!M3576</f>
        <v>0</v>
      </c>
      <c r="T3559">
        <f>Data!N3576</f>
        <v>0</v>
      </c>
      <c r="U3559">
        <f>Data!O3576</f>
        <v>0</v>
      </c>
      <c r="V3559" s="33">
        <f>Data!P3574</f>
        <v>0</v>
      </c>
    </row>
    <row r="3560" spans="7:22" x14ac:dyDescent="0.25">
      <c r="G3560">
        <f>Data!A3573</f>
        <v>0</v>
      </c>
      <c r="H3560" s="21">
        <f>Data!B3573</f>
        <v>0</v>
      </c>
      <c r="I3560" s="21">
        <f>Data!C3573</f>
        <v>0</v>
      </c>
      <c r="J3560">
        <f>Data!D3573</f>
        <v>0</v>
      </c>
      <c r="K3560">
        <f>Data!E3573</f>
        <v>0</v>
      </c>
      <c r="L3560">
        <f>Data!F3573</f>
        <v>0</v>
      </c>
      <c r="M3560">
        <f>Data!G3573</f>
        <v>0</v>
      </c>
      <c r="N3560">
        <f>Data!H3573</f>
        <v>0</v>
      </c>
      <c r="O3560">
        <f>Data!I3573</f>
        <v>0</v>
      </c>
      <c r="P3560" s="21">
        <f>Data!J3577</f>
        <v>0</v>
      </c>
      <c r="Q3560">
        <f>Data!K3577</f>
        <v>0</v>
      </c>
      <c r="R3560">
        <f>Data!L3577</f>
        <v>0</v>
      </c>
      <c r="S3560">
        <f>Data!M3577</f>
        <v>0</v>
      </c>
      <c r="T3560">
        <f>Data!N3577</f>
        <v>0</v>
      </c>
      <c r="U3560">
        <f>Data!O3577</f>
        <v>0</v>
      </c>
      <c r="V3560" s="33">
        <f>Data!P3575</f>
        <v>0</v>
      </c>
    </row>
    <row r="3561" spans="7:22" x14ac:dyDescent="0.25">
      <c r="G3561">
        <f>Data!A3574</f>
        <v>0</v>
      </c>
      <c r="H3561" s="21">
        <f>Data!B3574</f>
        <v>0</v>
      </c>
      <c r="I3561" s="21">
        <f>Data!C3574</f>
        <v>0</v>
      </c>
      <c r="J3561">
        <f>Data!D3574</f>
        <v>0</v>
      </c>
      <c r="K3561">
        <f>Data!E3574</f>
        <v>0</v>
      </c>
      <c r="L3561">
        <f>Data!F3574</f>
        <v>0</v>
      </c>
      <c r="M3561">
        <f>Data!G3574</f>
        <v>0</v>
      </c>
      <c r="N3561">
        <f>Data!H3574</f>
        <v>0</v>
      </c>
      <c r="O3561">
        <f>Data!I3574</f>
        <v>0</v>
      </c>
      <c r="P3561" s="21">
        <f>Data!J3578</f>
        <v>0</v>
      </c>
      <c r="Q3561">
        <f>Data!K3578</f>
        <v>0</v>
      </c>
      <c r="R3561">
        <f>Data!L3578</f>
        <v>0</v>
      </c>
      <c r="S3561">
        <f>Data!M3578</f>
        <v>0</v>
      </c>
      <c r="T3561">
        <f>Data!N3578</f>
        <v>0</v>
      </c>
      <c r="U3561">
        <f>Data!O3578</f>
        <v>0</v>
      </c>
      <c r="V3561" s="33">
        <f>Data!P3576</f>
        <v>0</v>
      </c>
    </row>
    <row r="3562" spans="7:22" x14ac:dyDescent="0.25">
      <c r="G3562">
        <f>Data!A3575</f>
        <v>0</v>
      </c>
      <c r="H3562" s="21">
        <f>Data!B3575</f>
        <v>0</v>
      </c>
      <c r="I3562" s="21">
        <f>Data!C3575</f>
        <v>0</v>
      </c>
      <c r="J3562">
        <f>Data!D3575</f>
        <v>0</v>
      </c>
      <c r="K3562">
        <f>Data!E3575</f>
        <v>0</v>
      </c>
      <c r="L3562">
        <f>Data!F3575</f>
        <v>0</v>
      </c>
      <c r="M3562">
        <f>Data!G3575</f>
        <v>0</v>
      </c>
      <c r="N3562">
        <f>Data!H3575</f>
        <v>0</v>
      </c>
      <c r="O3562">
        <f>Data!I3575</f>
        <v>0</v>
      </c>
      <c r="P3562" s="21">
        <f>Data!J3579</f>
        <v>0</v>
      </c>
      <c r="Q3562">
        <f>Data!K3579</f>
        <v>0</v>
      </c>
      <c r="R3562">
        <f>Data!L3579</f>
        <v>0</v>
      </c>
      <c r="S3562">
        <f>Data!M3579</f>
        <v>0</v>
      </c>
      <c r="T3562">
        <f>Data!N3579</f>
        <v>0</v>
      </c>
      <c r="U3562">
        <f>Data!O3579</f>
        <v>0</v>
      </c>
      <c r="V3562" s="33">
        <f>Data!P3577</f>
        <v>0</v>
      </c>
    </row>
    <row r="3563" spans="7:22" x14ac:dyDescent="0.25">
      <c r="G3563">
        <f>Data!A3576</f>
        <v>0</v>
      </c>
      <c r="H3563" s="21">
        <f>Data!B3576</f>
        <v>0</v>
      </c>
      <c r="I3563" s="21">
        <f>Data!C3576</f>
        <v>0</v>
      </c>
      <c r="J3563">
        <f>Data!D3576</f>
        <v>0</v>
      </c>
      <c r="K3563">
        <f>Data!E3576</f>
        <v>0</v>
      </c>
      <c r="L3563">
        <f>Data!F3576</f>
        <v>0</v>
      </c>
      <c r="M3563">
        <f>Data!G3576</f>
        <v>0</v>
      </c>
      <c r="N3563">
        <f>Data!H3576</f>
        <v>0</v>
      </c>
      <c r="O3563">
        <f>Data!I3576</f>
        <v>0</v>
      </c>
      <c r="P3563" s="21">
        <f>Data!J3580</f>
        <v>0</v>
      </c>
      <c r="Q3563">
        <f>Data!K3580</f>
        <v>0</v>
      </c>
      <c r="R3563">
        <f>Data!L3580</f>
        <v>0</v>
      </c>
      <c r="S3563">
        <f>Data!M3580</f>
        <v>0</v>
      </c>
      <c r="T3563">
        <f>Data!N3580</f>
        <v>0</v>
      </c>
      <c r="U3563">
        <f>Data!O3580</f>
        <v>0</v>
      </c>
      <c r="V3563" s="33">
        <f>Data!P3578</f>
        <v>0</v>
      </c>
    </row>
    <row r="3564" spans="7:22" x14ac:dyDescent="0.25">
      <c r="G3564">
        <f>Data!A3577</f>
        <v>0</v>
      </c>
      <c r="H3564" s="21">
        <f>Data!B3577</f>
        <v>0</v>
      </c>
      <c r="I3564" s="21">
        <f>Data!C3577</f>
        <v>0</v>
      </c>
      <c r="J3564">
        <f>Data!D3577</f>
        <v>0</v>
      </c>
      <c r="K3564">
        <f>Data!E3577</f>
        <v>0</v>
      </c>
      <c r="L3564">
        <f>Data!F3577</f>
        <v>0</v>
      </c>
      <c r="M3564">
        <f>Data!G3577</f>
        <v>0</v>
      </c>
      <c r="N3564">
        <f>Data!H3577</f>
        <v>0</v>
      </c>
      <c r="O3564">
        <f>Data!I3577</f>
        <v>0</v>
      </c>
      <c r="P3564" s="21">
        <f>Data!J3581</f>
        <v>0</v>
      </c>
      <c r="Q3564">
        <f>Data!K3581</f>
        <v>0</v>
      </c>
      <c r="R3564">
        <f>Data!L3581</f>
        <v>0</v>
      </c>
      <c r="S3564">
        <f>Data!M3581</f>
        <v>0</v>
      </c>
      <c r="T3564">
        <f>Data!N3581</f>
        <v>0</v>
      </c>
      <c r="U3564">
        <f>Data!O3581</f>
        <v>0</v>
      </c>
      <c r="V3564" s="33">
        <f>Data!P3579</f>
        <v>0</v>
      </c>
    </row>
    <row r="3565" spans="7:22" x14ac:dyDescent="0.25">
      <c r="G3565">
        <f>Data!A3578</f>
        <v>0</v>
      </c>
      <c r="H3565" s="21">
        <f>Data!B3578</f>
        <v>0</v>
      </c>
      <c r="I3565" s="21">
        <f>Data!C3578</f>
        <v>0</v>
      </c>
      <c r="J3565">
        <f>Data!D3578</f>
        <v>0</v>
      </c>
      <c r="K3565">
        <f>Data!E3578</f>
        <v>0</v>
      </c>
      <c r="L3565">
        <f>Data!F3578</f>
        <v>0</v>
      </c>
      <c r="M3565">
        <f>Data!G3578</f>
        <v>0</v>
      </c>
      <c r="N3565">
        <f>Data!H3578</f>
        <v>0</v>
      </c>
      <c r="O3565">
        <f>Data!I3578</f>
        <v>0</v>
      </c>
      <c r="P3565" s="21">
        <f>Data!J3582</f>
        <v>0</v>
      </c>
      <c r="Q3565">
        <f>Data!K3582</f>
        <v>0</v>
      </c>
      <c r="R3565">
        <f>Data!L3582</f>
        <v>0</v>
      </c>
      <c r="S3565">
        <f>Data!M3582</f>
        <v>0</v>
      </c>
      <c r="T3565">
        <f>Data!N3582</f>
        <v>0</v>
      </c>
      <c r="U3565">
        <f>Data!O3582</f>
        <v>0</v>
      </c>
      <c r="V3565" s="33">
        <f>Data!P3580</f>
        <v>0</v>
      </c>
    </row>
    <row r="3566" spans="7:22" x14ac:dyDescent="0.25">
      <c r="G3566">
        <f>Data!A3579</f>
        <v>0</v>
      </c>
      <c r="H3566" s="21">
        <f>Data!B3579</f>
        <v>0</v>
      </c>
      <c r="I3566" s="21">
        <f>Data!C3579</f>
        <v>0</v>
      </c>
      <c r="J3566">
        <f>Data!D3579</f>
        <v>0</v>
      </c>
      <c r="K3566">
        <f>Data!E3579</f>
        <v>0</v>
      </c>
      <c r="L3566">
        <f>Data!F3579</f>
        <v>0</v>
      </c>
      <c r="M3566">
        <f>Data!G3579</f>
        <v>0</v>
      </c>
      <c r="N3566">
        <f>Data!H3579</f>
        <v>0</v>
      </c>
      <c r="O3566">
        <f>Data!I3579</f>
        <v>0</v>
      </c>
      <c r="P3566" s="21">
        <f>Data!J3583</f>
        <v>0</v>
      </c>
      <c r="Q3566">
        <f>Data!K3583</f>
        <v>0</v>
      </c>
      <c r="R3566">
        <f>Data!L3583</f>
        <v>0</v>
      </c>
      <c r="S3566">
        <f>Data!M3583</f>
        <v>0</v>
      </c>
      <c r="T3566">
        <f>Data!N3583</f>
        <v>0</v>
      </c>
      <c r="U3566">
        <f>Data!O3583</f>
        <v>0</v>
      </c>
      <c r="V3566" s="33">
        <f>Data!P3581</f>
        <v>0</v>
      </c>
    </row>
    <row r="3567" spans="7:22" x14ac:dyDescent="0.25">
      <c r="G3567">
        <f>Data!A3580</f>
        <v>0</v>
      </c>
      <c r="H3567" s="21">
        <f>Data!B3580</f>
        <v>0</v>
      </c>
      <c r="I3567" s="21">
        <f>Data!C3580</f>
        <v>0</v>
      </c>
      <c r="J3567">
        <f>Data!D3580</f>
        <v>0</v>
      </c>
      <c r="K3567">
        <f>Data!E3580</f>
        <v>0</v>
      </c>
      <c r="L3567">
        <f>Data!F3580</f>
        <v>0</v>
      </c>
      <c r="M3567">
        <f>Data!G3580</f>
        <v>0</v>
      </c>
      <c r="N3567">
        <f>Data!H3580</f>
        <v>0</v>
      </c>
      <c r="O3567">
        <f>Data!I3580</f>
        <v>0</v>
      </c>
      <c r="P3567" s="21">
        <f>Data!J3584</f>
        <v>0</v>
      </c>
      <c r="Q3567">
        <f>Data!K3584</f>
        <v>0</v>
      </c>
      <c r="R3567">
        <f>Data!L3584</f>
        <v>0</v>
      </c>
      <c r="S3567">
        <f>Data!M3584</f>
        <v>0</v>
      </c>
      <c r="T3567">
        <f>Data!N3584</f>
        <v>0</v>
      </c>
      <c r="U3567">
        <f>Data!O3584</f>
        <v>0</v>
      </c>
      <c r="V3567" s="33">
        <f>Data!P3582</f>
        <v>0</v>
      </c>
    </row>
    <row r="3568" spans="7:22" x14ac:dyDescent="0.25">
      <c r="G3568">
        <f>Data!A3581</f>
        <v>0</v>
      </c>
      <c r="H3568" s="21">
        <f>Data!B3581</f>
        <v>0</v>
      </c>
      <c r="I3568" s="21">
        <f>Data!C3581</f>
        <v>0</v>
      </c>
      <c r="J3568">
        <f>Data!D3581</f>
        <v>0</v>
      </c>
      <c r="K3568">
        <f>Data!E3581</f>
        <v>0</v>
      </c>
      <c r="L3568">
        <f>Data!F3581</f>
        <v>0</v>
      </c>
      <c r="M3568">
        <f>Data!G3581</f>
        <v>0</v>
      </c>
      <c r="N3568">
        <f>Data!H3581</f>
        <v>0</v>
      </c>
      <c r="O3568">
        <f>Data!I3581</f>
        <v>0</v>
      </c>
      <c r="P3568" s="21">
        <f>Data!J3585</f>
        <v>0</v>
      </c>
      <c r="Q3568">
        <f>Data!K3585</f>
        <v>0</v>
      </c>
      <c r="R3568">
        <f>Data!L3585</f>
        <v>0</v>
      </c>
      <c r="S3568">
        <f>Data!M3585</f>
        <v>0</v>
      </c>
      <c r="T3568">
        <f>Data!N3585</f>
        <v>0</v>
      </c>
      <c r="U3568">
        <f>Data!O3585</f>
        <v>0</v>
      </c>
      <c r="V3568" s="33">
        <f>Data!P3583</f>
        <v>0</v>
      </c>
    </row>
    <row r="3569" spans="7:22" x14ac:dyDescent="0.25">
      <c r="G3569">
        <f>Data!A3582</f>
        <v>0</v>
      </c>
      <c r="H3569" s="21">
        <f>Data!B3582</f>
        <v>0</v>
      </c>
      <c r="I3569" s="21">
        <f>Data!C3582</f>
        <v>0</v>
      </c>
      <c r="J3569">
        <f>Data!D3582</f>
        <v>0</v>
      </c>
      <c r="K3569">
        <f>Data!E3582</f>
        <v>0</v>
      </c>
      <c r="L3569">
        <f>Data!F3582</f>
        <v>0</v>
      </c>
      <c r="M3569">
        <f>Data!G3582</f>
        <v>0</v>
      </c>
      <c r="N3569">
        <f>Data!H3582</f>
        <v>0</v>
      </c>
      <c r="O3569">
        <f>Data!I3582</f>
        <v>0</v>
      </c>
      <c r="P3569" s="21">
        <f>Data!J3586</f>
        <v>0</v>
      </c>
      <c r="Q3569">
        <f>Data!K3586</f>
        <v>0</v>
      </c>
      <c r="R3569">
        <f>Data!L3586</f>
        <v>0</v>
      </c>
      <c r="S3569">
        <f>Data!M3586</f>
        <v>0</v>
      </c>
      <c r="T3569">
        <f>Data!N3586</f>
        <v>0</v>
      </c>
      <c r="U3569">
        <f>Data!O3586</f>
        <v>0</v>
      </c>
      <c r="V3569" s="33">
        <f>Data!P3584</f>
        <v>0</v>
      </c>
    </row>
    <row r="3570" spans="7:22" x14ac:dyDescent="0.25">
      <c r="G3570">
        <f>Data!A3583</f>
        <v>0</v>
      </c>
      <c r="H3570" s="21">
        <f>Data!B3583</f>
        <v>0</v>
      </c>
      <c r="I3570" s="21">
        <f>Data!C3583</f>
        <v>0</v>
      </c>
      <c r="J3570">
        <f>Data!D3583</f>
        <v>0</v>
      </c>
      <c r="K3570">
        <f>Data!E3583</f>
        <v>0</v>
      </c>
      <c r="L3570">
        <f>Data!F3583</f>
        <v>0</v>
      </c>
      <c r="M3570">
        <f>Data!G3583</f>
        <v>0</v>
      </c>
      <c r="N3570">
        <f>Data!H3583</f>
        <v>0</v>
      </c>
      <c r="O3570">
        <f>Data!I3583</f>
        <v>0</v>
      </c>
      <c r="P3570" s="21">
        <f>Data!J3587</f>
        <v>0</v>
      </c>
      <c r="Q3570">
        <f>Data!K3587</f>
        <v>0</v>
      </c>
      <c r="R3570">
        <f>Data!L3587</f>
        <v>0</v>
      </c>
      <c r="S3570">
        <f>Data!M3587</f>
        <v>0</v>
      </c>
      <c r="T3570">
        <f>Data!N3587</f>
        <v>0</v>
      </c>
      <c r="U3570">
        <f>Data!O3587</f>
        <v>0</v>
      </c>
      <c r="V3570" s="33">
        <f>Data!P3585</f>
        <v>0</v>
      </c>
    </row>
    <row r="3571" spans="7:22" x14ac:dyDescent="0.25">
      <c r="G3571">
        <f>Data!A3584</f>
        <v>0</v>
      </c>
      <c r="H3571" s="21">
        <f>Data!B3584</f>
        <v>0</v>
      </c>
      <c r="I3571" s="21">
        <f>Data!C3584</f>
        <v>0</v>
      </c>
      <c r="J3571">
        <f>Data!D3584</f>
        <v>0</v>
      </c>
      <c r="K3571">
        <f>Data!E3584</f>
        <v>0</v>
      </c>
      <c r="L3571">
        <f>Data!F3584</f>
        <v>0</v>
      </c>
      <c r="M3571">
        <f>Data!G3584</f>
        <v>0</v>
      </c>
      <c r="N3571">
        <f>Data!H3584</f>
        <v>0</v>
      </c>
      <c r="O3571">
        <f>Data!I3584</f>
        <v>0</v>
      </c>
      <c r="P3571" s="21">
        <f>Data!J3588</f>
        <v>0</v>
      </c>
      <c r="Q3571">
        <f>Data!K3588</f>
        <v>0</v>
      </c>
      <c r="R3571">
        <f>Data!L3588</f>
        <v>0</v>
      </c>
      <c r="S3571">
        <f>Data!M3588</f>
        <v>0</v>
      </c>
      <c r="T3571">
        <f>Data!N3588</f>
        <v>0</v>
      </c>
      <c r="U3571">
        <f>Data!O3588</f>
        <v>0</v>
      </c>
      <c r="V3571" s="33">
        <f>Data!P3586</f>
        <v>0</v>
      </c>
    </row>
    <row r="3572" spans="7:22" x14ac:dyDescent="0.25">
      <c r="G3572">
        <f>Data!A3585</f>
        <v>0</v>
      </c>
      <c r="H3572" s="21">
        <f>Data!B3585</f>
        <v>0</v>
      </c>
      <c r="I3572" s="21">
        <f>Data!C3585</f>
        <v>0</v>
      </c>
      <c r="J3572">
        <f>Data!D3585</f>
        <v>0</v>
      </c>
      <c r="K3572">
        <f>Data!E3585</f>
        <v>0</v>
      </c>
      <c r="L3572">
        <f>Data!F3585</f>
        <v>0</v>
      </c>
      <c r="M3572">
        <f>Data!G3585</f>
        <v>0</v>
      </c>
      <c r="N3572">
        <f>Data!H3585</f>
        <v>0</v>
      </c>
      <c r="O3572">
        <f>Data!I3585</f>
        <v>0</v>
      </c>
      <c r="P3572" s="21">
        <f>Data!J3589</f>
        <v>0</v>
      </c>
      <c r="Q3572">
        <f>Data!K3589</f>
        <v>0</v>
      </c>
      <c r="R3572">
        <f>Data!L3589</f>
        <v>0</v>
      </c>
      <c r="S3572">
        <f>Data!M3589</f>
        <v>0</v>
      </c>
      <c r="T3572">
        <f>Data!N3589</f>
        <v>0</v>
      </c>
      <c r="U3572">
        <f>Data!O3589</f>
        <v>0</v>
      </c>
      <c r="V3572" s="33">
        <f>Data!P3587</f>
        <v>0</v>
      </c>
    </row>
    <row r="3573" spans="7:22" x14ac:dyDescent="0.25">
      <c r="G3573">
        <f>Data!A3586</f>
        <v>0</v>
      </c>
      <c r="H3573" s="21">
        <f>Data!B3586</f>
        <v>0</v>
      </c>
      <c r="I3573" s="21">
        <f>Data!C3586</f>
        <v>0</v>
      </c>
      <c r="J3573">
        <f>Data!D3586</f>
        <v>0</v>
      </c>
      <c r="K3573">
        <f>Data!E3586</f>
        <v>0</v>
      </c>
      <c r="L3573">
        <f>Data!F3586</f>
        <v>0</v>
      </c>
      <c r="M3573">
        <f>Data!G3586</f>
        <v>0</v>
      </c>
      <c r="N3573">
        <f>Data!H3586</f>
        <v>0</v>
      </c>
      <c r="O3573">
        <f>Data!I3586</f>
        <v>0</v>
      </c>
      <c r="P3573" s="21">
        <f>Data!J3590</f>
        <v>0</v>
      </c>
      <c r="Q3573">
        <f>Data!K3590</f>
        <v>0</v>
      </c>
      <c r="R3573">
        <f>Data!L3590</f>
        <v>0</v>
      </c>
      <c r="S3573">
        <f>Data!M3590</f>
        <v>0</v>
      </c>
      <c r="T3573">
        <f>Data!N3590</f>
        <v>0</v>
      </c>
      <c r="U3573">
        <f>Data!O3590</f>
        <v>0</v>
      </c>
      <c r="V3573" s="33">
        <f>Data!P3588</f>
        <v>0</v>
      </c>
    </row>
    <row r="3574" spans="7:22" x14ac:dyDescent="0.25">
      <c r="G3574">
        <f>Data!A3587</f>
        <v>0</v>
      </c>
      <c r="H3574" s="21">
        <f>Data!B3587</f>
        <v>0</v>
      </c>
      <c r="I3574" s="21">
        <f>Data!C3587</f>
        <v>0</v>
      </c>
      <c r="J3574">
        <f>Data!D3587</f>
        <v>0</v>
      </c>
      <c r="K3574">
        <f>Data!E3587</f>
        <v>0</v>
      </c>
      <c r="L3574">
        <f>Data!F3587</f>
        <v>0</v>
      </c>
      <c r="M3574">
        <f>Data!G3587</f>
        <v>0</v>
      </c>
      <c r="N3574">
        <f>Data!H3587</f>
        <v>0</v>
      </c>
      <c r="O3574">
        <f>Data!I3587</f>
        <v>0</v>
      </c>
      <c r="P3574" s="21">
        <f>Data!J3591</f>
        <v>0</v>
      </c>
      <c r="Q3574">
        <f>Data!K3591</f>
        <v>0</v>
      </c>
      <c r="R3574">
        <f>Data!L3591</f>
        <v>0</v>
      </c>
      <c r="S3574">
        <f>Data!M3591</f>
        <v>0</v>
      </c>
      <c r="T3574">
        <f>Data!N3591</f>
        <v>0</v>
      </c>
      <c r="U3574">
        <f>Data!O3591</f>
        <v>0</v>
      </c>
      <c r="V3574" s="33">
        <f>Data!P3589</f>
        <v>0</v>
      </c>
    </row>
    <row r="3575" spans="7:22" x14ac:dyDescent="0.25">
      <c r="G3575">
        <f>Data!A3588</f>
        <v>0</v>
      </c>
      <c r="H3575" s="21">
        <f>Data!B3588</f>
        <v>0</v>
      </c>
      <c r="I3575" s="21">
        <f>Data!C3588</f>
        <v>0</v>
      </c>
      <c r="J3575">
        <f>Data!D3588</f>
        <v>0</v>
      </c>
      <c r="K3575">
        <f>Data!E3588</f>
        <v>0</v>
      </c>
      <c r="L3575">
        <f>Data!F3588</f>
        <v>0</v>
      </c>
      <c r="M3575">
        <f>Data!G3588</f>
        <v>0</v>
      </c>
      <c r="N3575">
        <f>Data!H3588</f>
        <v>0</v>
      </c>
      <c r="O3575">
        <f>Data!I3588</f>
        <v>0</v>
      </c>
      <c r="P3575" s="21">
        <f>Data!J3592</f>
        <v>0</v>
      </c>
      <c r="Q3575">
        <f>Data!K3592</f>
        <v>0</v>
      </c>
      <c r="R3575">
        <f>Data!L3592</f>
        <v>0</v>
      </c>
      <c r="S3575">
        <f>Data!M3592</f>
        <v>0</v>
      </c>
      <c r="T3575">
        <f>Data!N3592</f>
        <v>0</v>
      </c>
      <c r="U3575">
        <f>Data!O3592</f>
        <v>0</v>
      </c>
      <c r="V3575" s="33">
        <f>Data!P3590</f>
        <v>0</v>
      </c>
    </row>
    <row r="3576" spans="7:22" x14ac:dyDescent="0.25">
      <c r="G3576">
        <f>Data!A3589</f>
        <v>0</v>
      </c>
      <c r="H3576" s="21">
        <f>Data!B3589</f>
        <v>0</v>
      </c>
      <c r="I3576" s="21">
        <f>Data!C3589</f>
        <v>0</v>
      </c>
      <c r="J3576">
        <f>Data!D3589</f>
        <v>0</v>
      </c>
      <c r="K3576">
        <f>Data!E3589</f>
        <v>0</v>
      </c>
      <c r="L3576">
        <f>Data!F3589</f>
        <v>0</v>
      </c>
      <c r="M3576">
        <f>Data!G3589</f>
        <v>0</v>
      </c>
      <c r="N3576">
        <f>Data!H3589</f>
        <v>0</v>
      </c>
      <c r="O3576">
        <f>Data!I3589</f>
        <v>0</v>
      </c>
      <c r="P3576" s="21">
        <f>Data!J3593</f>
        <v>0</v>
      </c>
      <c r="Q3576">
        <f>Data!K3593</f>
        <v>0</v>
      </c>
      <c r="R3576">
        <f>Data!L3593</f>
        <v>0</v>
      </c>
      <c r="S3576">
        <f>Data!M3593</f>
        <v>0</v>
      </c>
      <c r="T3576">
        <f>Data!N3593</f>
        <v>0</v>
      </c>
      <c r="U3576">
        <f>Data!O3593</f>
        <v>0</v>
      </c>
      <c r="V3576" s="33">
        <f>Data!P3591</f>
        <v>0</v>
      </c>
    </row>
    <row r="3577" spans="7:22" x14ac:dyDescent="0.25">
      <c r="G3577">
        <f>Data!A3590</f>
        <v>0</v>
      </c>
      <c r="H3577" s="21">
        <f>Data!B3590</f>
        <v>0</v>
      </c>
      <c r="I3577" s="21">
        <f>Data!C3590</f>
        <v>0</v>
      </c>
      <c r="J3577">
        <f>Data!D3590</f>
        <v>0</v>
      </c>
      <c r="K3577">
        <f>Data!E3590</f>
        <v>0</v>
      </c>
      <c r="L3577">
        <f>Data!F3590</f>
        <v>0</v>
      </c>
      <c r="M3577">
        <f>Data!G3590</f>
        <v>0</v>
      </c>
      <c r="N3577">
        <f>Data!H3590</f>
        <v>0</v>
      </c>
      <c r="O3577">
        <f>Data!I3590</f>
        <v>0</v>
      </c>
      <c r="P3577" s="21">
        <f>Data!J3594</f>
        <v>0</v>
      </c>
      <c r="Q3577">
        <f>Data!K3594</f>
        <v>0</v>
      </c>
      <c r="R3577">
        <f>Data!L3594</f>
        <v>0</v>
      </c>
      <c r="S3577">
        <f>Data!M3594</f>
        <v>0</v>
      </c>
      <c r="T3577">
        <f>Data!N3594</f>
        <v>0</v>
      </c>
      <c r="U3577">
        <f>Data!O3594</f>
        <v>0</v>
      </c>
      <c r="V3577" s="33">
        <f>Data!P3592</f>
        <v>0</v>
      </c>
    </row>
    <row r="3578" spans="7:22" x14ac:dyDescent="0.25">
      <c r="G3578">
        <f>Data!A3591</f>
        <v>0</v>
      </c>
      <c r="H3578" s="21">
        <f>Data!B3591</f>
        <v>0</v>
      </c>
      <c r="I3578" s="21">
        <f>Data!C3591</f>
        <v>0</v>
      </c>
      <c r="J3578">
        <f>Data!D3591</f>
        <v>0</v>
      </c>
      <c r="K3578">
        <f>Data!E3591</f>
        <v>0</v>
      </c>
      <c r="L3578">
        <f>Data!F3591</f>
        <v>0</v>
      </c>
      <c r="M3578">
        <f>Data!G3591</f>
        <v>0</v>
      </c>
      <c r="N3578">
        <f>Data!H3591</f>
        <v>0</v>
      </c>
      <c r="O3578">
        <f>Data!I3591</f>
        <v>0</v>
      </c>
      <c r="P3578" s="21">
        <f>Data!J3595</f>
        <v>0</v>
      </c>
      <c r="Q3578">
        <f>Data!K3595</f>
        <v>0</v>
      </c>
      <c r="R3578">
        <f>Data!L3595</f>
        <v>0</v>
      </c>
      <c r="S3578">
        <f>Data!M3595</f>
        <v>0</v>
      </c>
      <c r="T3578">
        <f>Data!N3595</f>
        <v>0</v>
      </c>
      <c r="U3578">
        <f>Data!O3595</f>
        <v>0</v>
      </c>
      <c r="V3578" s="33">
        <f>Data!P3593</f>
        <v>0</v>
      </c>
    </row>
    <row r="3579" spans="7:22" x14ac:dyDescent="0.25">
      <c r="G3579">
        <f>Data!A3592</f>
        <v>0</v>
      </c>
      <c r="H3579" s="21">
        <f>Data!B3592</f>
        <v>0</v>
      </c>
      <c r="I3579" s="21">
        <f>Data!C3592</f>
        <v>0</v>
      </c>
      <c r="J3579">
        <f>Data!D3592</f>
        <v>0</v>
      </c>
      <c r="K3579">
        <f>Data!E3592</f>
        <v>0</v>
      </c>
      <c r="L3579">
        <f>Data!F3592</f>
        <v>0</v>
      </c>
      <c r="M3579">
        <f>Data!G3592</f>
        <v>0</v>
      </c>
      <c r="N3579">
        <f>Data!H3592</f>
        <v>0</v>
      </c>
      <c r="O3579">
        <f>Data!I3592</f>
        <v>0</v>
      </c>
      <c r="P3579" s="21">
        <f>Data!J3596</f>
        <v>0</v>
      </c>
      <c r="Q3579">
        <f>Data!K3596</f>
        <v>0</v>
      </c>
      <c r="R3579">
        <f>Data!L3596</f>
        <v>0</v>
      </c>
      <c r="S3579">
        <f>Data!M3596</f>
        <v>0</v>
      </c>
      <c r="T3579">
        <f>Data!N3596</f>
        <v>0</v>
      </c>
      <c r="U3579">
        <f>Data!O3596</f>
        <v>0</v>
      </c>
      <c r="V3579" s="33">
        <f>Data!P3594</f>
        <v>0</v>
      </c>
    </row>
    <row r="3580" spans="7:22" x14ac:dyDescent="0.25">
      <c r="G3580">
        <f>Data!A3593</f>
        <v>0</v>
      </c>
      <c r="H3580" s="21">
        <f>Data!B3593</f>
        <v>0</v>
      </c>
      <c r="I3580" s="21">
        <f>Data!C3593</f>
        <v>0</v>
      </c>
      <c r="J3580">
        <f>Data!D3593</f>
        <v>0</v>
      </c>
      <c r="K3580">
        <f>Data!E3593</f>
        <v>0</v>
      </c>
      <c r="L3580">
        <f>Data!F3593</f>
        <v>0</v>
      </c>
      <c r="M3580">
        <f>Data!G3593</f>
        <v>0</v>
      </c>
      <c r="N3580">
        <f>Data!H3593</f>
        <v>0</v>
      </c>
      <c r="O3580">
        <f>Data!I3593</f>
        <v>0</v>
      </c>
      <c r="P3580" s="21">
        <f>Data!J3597</f>
        <v>0</v>
      </c>
      <c r="Q3580">
        <f>Data!K3597</f>
        <v>0</v>
      </c>
      <c r="R3580">
        <f>Data!L3597</f>
        <v>0</v>
      </c>
      <c r="S3580">
        <f>Data!M3597</f>
        <v>0</v>
      </c>
      <c r="T3580">
        <f>Data!N3597</f>
        <v>0</v>
      </c>
      <c r="U3580">
        <f>Data!O3597</f>
        <v>0</v>
      </c>
      <c r="V3580" s="33">
        <f>Data!P3595</f>
        <v>0</v>
      </c>
    </row>
    <row r="3581" spans="7:22" x14ac:dyDescent="0.25">
      <c r="G3581">
        <f>Data!A3594</f>
        <v>0</v>
      </c>
      <c r="H3581" s="21">
        <f>Data!B3594</f>
        <v>0</v>
      </c>
      <c r="I3581" s="21">
        <f>Data!C3594</f>
        <v>0</v>
      </c>
      <c r="J3581">
        <f>Data!D3594</f>
        <v>0</v>
      </c>
      <c r="K3581">
        <f>Data!E3594</f>
        <v>0</v>
      </c>
      <c r="L3581">
        <f>Data!F3594</f>
        <v>0</v>
      </c>
      <c r="M3581">
        <f>Data!G3594</f>
        <v>0</v>
      </c>
      <c r="N3581">
        <f>Data!H3594</f>
        <v>0</v>
      </c>
      <c r="O3581">
        <f>Data!I3594</f>
        <v>0</v>
      </c>
      <c r="P3581" s="21">
        <f>Data!J3598</f>
        <v>0</v>
      </c>
      <c r="Q3581">
        <f>Data!K3598</f>
        <v>0</v>
      </c>
      <c r="R3581">
        <f>Data!L3598</f>
        <v>0</v>
      </c>
      <c r="S3581">
        <f>Data!M3598</f>
        <v>0</v>
      </c>
      <c r="T3581">
        <f>Data!N3598</f>
        <v>0</v>
      </c>
      <c r="U3581">
        <f>Data!O3598</f>
        <v>0</v>
      </c>
      <c r="V3581" s="33">
        <f>Data!P3596</f>
        <v>0</v>
      </c>
    </row>
    <row r="3582" spans="7:22" x14ac:dyDescent="0.25">
      <c r="G3582">
        <f>Data!A3595</f>
        <v>0</v>
      </c>
      <c r="H3582" s="21">
        <f>Data!B3595</f>
        <v>0</v>
      </c>
      <c r="I3582" s="21">
        <f>Data!C3595</f>
        <v>0</v>
      </c>
      <c r="J3582">
        <f>Data!D3595</f>
        <v>0</v>
      </c>
      <c r="K3582">
        <f>Data!E3595</f>
        <v>0</v>
      </c>
      <c r="L3582">
        <f>Data!F3595</f>
        <v>0</v>
      </c>
      <c r="M3582">
        <f>Data!G3595</f>
        <v>0</v>
      </c>
      <c r="N3582">
        <f>Data!H3595</f>
        <v>0</v>
      </c>
      <c r="O3582">
        <f>Data!I3595</f>
        <v>0</v>
      </c>
      <c r="P3582" s="21">
        <f>Data!J3599</f>
        <v>0</v>
      </c>
      <c r="Q3582">
        <f>Data!K3599</f>
        <v>0</v>
      </c>
      <c r="R3582">
        <f>Data!L3599</f>
        <v>0</v>
      </c>
      <c r="S3582">
        <f>Data!M3599</f>
        <v>0</v>
      </c>
      <c r="T3582">
        <f>Data!N3599</f>
        <v>0</v>
      </c>
      <c r="U3582">
        <f>Data!O3599</f>
        <v>0</v>
      </c>
      <c r="V3582" s="33">
        <f>Data!P3597</f>
        <v>0</v>
      </c>
    </row>
    <row r="3583" spans="7:22" x14ac:dyDescent="0.25">
      <c r="G3583">
        <f>Data!A3596</f>
        <v>0</v>
      </c>
      <c r="H3583" s="21">
        <f>Data!B3596</f>
        <v>0</v>
      </c>
      <c r="I3583" s="21">
        <f>Data!C3596</f>
        <v>0</v>
      </c>
      <c r="J3583">
        <f>Data!D3596</f>
        <v>0</v>
      </c>
      <c r="K3583">
        <f>Data!E3596</f>
        <v>0</v>
      </c>
      <c r="L3583">
        <f>Data!F3596</f>
        <v>0</v>
      </c>
      <c r="M3583">
        <f>Data!G3596</f>
        <v>0</v>
      </c>
      <c r="N3583">
        <f>Data!H3596</f>
        <v>0</v>
      </c>
      <c r="O3583">
        <f>Data!I3596</f>
        <v>0</v>
      </c>
      <c r="P3583" s="21">
        <f>Data!J3600</f>
        <v>0</v>
      </c>
      <c r="Q3583">
        <f>Data!K3600</f>
        <v>0</v>
      </c>
      <c r="R3583">
        <f>Data!L3600</f>
        <v>0</v>
      </c>
      <c r="S3583">
        <f>Data!M3600</f>
        <v>0</v>
      </c>
      <c r="T3583">
        <f>Data!N3600</f>
        <v>0</v>
      </c>
      <c r="U3583">
        <f>Data!O3600</f>
        <v>0</v>
      </c>
      <c r="V3583" s="33">
        <f>Data!P3598</f>
        <v>0</v>
      </c>
    </row>
    <row r="3584" spans="7:22" x14ac:dyDescent="0.25">
      <c r="G3584">
        <f>Data!A3597</f>
        <v>0</v>
      </c>
      <c r="H3584" s="21">
        <f>Data!B3597</f>
        <v>0</v>
      </c>
      <c r="I3584" s="21">
        <f>Data!C3597</f>
        <v>0</v>
      </c>
      <c r="J3584">
        <f>Data!D3597</f>
        <v>0</v>
      </c>
      <c r="K3584">
        <f>Data!E3597</f>
        <v>0</v>
      </c>
      <c r="L3584">
        <f>Data!F3597</f>
        <v>0</v>
      </c>
      <c r="M3584">
        <f>Data!G3597</f>
        <v>0</v>
      </c>
      <c r="N3584">
        <f>Data!H3597</f>
        <v>0</v>
      </c>
      <c r="O3584">
        <f>Data!I3597</f>
        <v>0</v>
      </c>
      <c r="P3584" s="21">
        <f>Data!J3601</f>
        <v>0</v>
      </c>
      <c r="Q3584">
        <f>Data!K3601</f>
        <v>0</v>
      </c>
      <c r="R3584">
        <f>Data!L3601</f>
        <v>0</v>
      </c>
      <c r="S3584">
        <f>Data!M3601</f>
        <v>0</v>
      </c>
      <c r="T3584">
        <f>Data!N3601</f>
        <v>0</v>
      </c>
      <c r="U3584">
        <f>Data!O3601</f>
        <v>0</v>
      </c>
      <c r="V3584" s="33">
        <f>Data!P3599</f>
        <v>0</v>
      </c>
    </row>
    <row r="3585" spans="7:22" x14ac:dyDescent="0.25">
      <c r="G3585">
        <f>Data!A3598</f>
        <v>0</v>
      </c>
      <c r="H3585" s="21">
        <f>Data!B3598</f>
        <v>0</v>
      </c>
      <c r="I3585" s="21">
        <f>Data!C3598</f>
        <v>0</v>
      </c>
      <c r="J3585">
        <f>Data!D3598</f>
        <v>0</v>
      </c>
      <c r="K3585">
        <f>Data!E3598</f>
        <v>0</v>
      </c>
      <c r="L3585">
        <f>Data!F3598</f>
        <v>0</v>
      </c>
      <c r="M3585">
        <f>Data!G3598</f>
        <v>0</v>
      </c>
      <c r="N3585">
        <f>Data!H3598</f>
        <v>0</v>
      </c>
      <c r="O3585">
        <f>Data!I3598</f>
        <v>0</v>
      </c>
      <c r="P3585" s="21">
        <f>Data!J3602</f>
        <v>0</v>
      </c>
      <c r="Q3585">
        <f>Data!K3602</f>
        <v>0</v>
      </c>
      <c r="R3585">
        <f>Data!L3602</f>
        <v>0</v>
      </c>
      <c r="S3585">
        <f>Data!M3602</f>
        <v>0</v>
      </c>
      <c r="T3585">
        <f>Data!N3602</f>
        <v>0</v>
      </c>
      <c r="U3585">
        <f>Data!O3602</f>
        <v>0</v>
      </c>
      <c r="V3585" s="33">
        <f>Data!P3600</f>
        <v>0</v>
      </c>
    </row>
    <row r="3586" spans="7:22" x14ac:dyDescent="0.25">
      <c r="G3586">
        <f>Data!A3599</f>
        <v>0</v>
      </c>
      <c r="H3586" s="21">
        <f>Data!B3599</f>
        <v>0</v>
      </c>
      <c r="I3586" s="21">
        <f>Data!C3599</f>
        <v>0</v>
      </c>
      <c r="J3586">
        <f>Data!D3599</f>
        <v>0</v>
      </c>
      <c r="K3586">
        <f>Data!E3599</f>
        <v>0</v>
      </c>
      <c r="L3586">
        <f>Data!F3599</f>
        <v>0</v>
      </c>
      <c r="M3586">
        <f>Data!G3599</f>
        <v>0</v>
      </c>
      <c r="N3586">
        <f>Data!H3599</f>
        <v>0</v>
      </c>
      <c r="O3586">
        <f>Data!I3599</f>
        <v>0</v>
      </c>
      <c r="P3586" s="21">
        <f>Data!J3603</f>
        <v>0</v>
      </c>
      <c r="Q3586">
        <f>Data!K3603</f>
        <v>0</v>
      </c>
      <c r="R3586">
        <f>Data!L3603</f>
        <v>0</v>
      </c>
      <c r="S3586">
        <f>Data!M3603</f>
        <v>0</v>
      </c>
      <c r="T3586">
        <f>Data!N3603</f>
        <v>0</v>
      </c>
      <c r="U3586">
        <f>Data!O3603</f>
        <v>0</v>
      </c>
      <c r="V3586" s="33">
        <f>Data!P3601</f>
        <v>0</v>
      </c>
    </row>
    <row r="3587" spans="7:22" x14ac:dyDescent="0.25">
      <c r="G3587">
        <f>Data!A3600</f>
        <v>0</v>
      </c>
      <c r="H3587" s="21">
        <f>Data!B3600</f>
        <v>0</v>
      </c>
      <c r="I3587" s="21">
        <f>Data!C3600</f>
        <v>0</v>
      </c>
      <c r="J3587">
        <f>Data!D3600</f>
        <v>0</v>
      </c>
      <c r="K3587">
        <f>Data!E3600</f>
        <v>0</v>
      </c>
      <c r="L3587">
        <f>Data!F3600</f>
        <v>0</v>
      </c>
      <c r="M3587">
        <f>Data!G3600</f>
        <v>0</v>
      </c>
      <c r="N3587">
        <f>Data!H3600</f>
        <v>0</v>
      </c>
      <c r="O3587">
        <f>Data!I3600</f>
        <v>0</v>
      </c>
      <c r="P3587" s="21">
        <f>Data!J3604</f>
        <v>0</v>
      </c>
      <c r="Q3587">
        <f>Data!K3604</f>
        <v>0</v>
      </c>
      <c r="R3587">
        <f>Data!L3604</f>
        <v>0</v>
      </c>
      <c r="S3587">
        <f>Data!M3604</f>
        <v>0</v>
      </c>
      <c r="T3587">
        <f>Data!N3604</f>
        <v>0</v>
      </c>
      <c r="U3587">
        <f>Data!O3604</f>
        <v>0</v>
      </c>
      <c r="V3587" s="33">
        <f>Data!P3602</f>
        <v>0</v>
      </c>
    </row>
    <row r="3588" spans="7:22" x14ac:dyDescent="0.25">
      <c r="G3588">
        <f>Data!A3601</f>
        <v>0</v>
      </c>
      <c r="H3588" s="21">
        <f>Data!B3601</f>
        <v>0</v>
      </c>
      <c r="I3588" s="21">
        <f>Data!C3601</f>
        <v>0</v>
      </c>
      <c r="J3588">
        <f>Data!D3601</f>
        <v>0</v>
      </c>
      <c r="K3588">
        <f>Data!E3601</f>
        <v>0</v>
      </c>
      <c r="L3588">
        <f>Data!F3601</f>
        <v>0</v>
      </c>
      <c r="M3588">
        <f>Data!G3601</f>
        <v>0</v>
      </c>
      <c r="N3588">
        <f>Data!H3601</f>
        <v>0</v>
      </c>
      <c r="O3588">
        <f>Data!I3601</f>
        <v>0</v>
      </c>
      <c r="P3588" s="21">
        <f>Data!J3605</f>
        <v>0</v>
      </c>
      <c r="Q3588">
        <f>Data!K3605</f>
        <v>0</v>
      </c>
      <c r="R3588">
        <f>Data!L3605</f>
        <v>0</v>
      </c>
      <c r="S3588">
        <f>Data!M3605</f>
        <v>0</v>
      </c>
      <c r="T3588">
        <f>Data!N3605</f>
        <v>0</v>
      </c>
      <c r="U3588">
        <f>Data!O3605</f>
        <v>0</v>
      </c>
      <c r="V3588" s="33">
        <f>Data!P3603</f>
        <v>0</v>
      </c>
    </row>
    <row r="3589" spans="7:22" x14ac:dyDescent="0.25">
      <c r="G3589">
        <f>Data!A3602</f>
        <v>0</v>
      </c>
      <c r="H3589" s="21">
        <f>Data!B3602</f>
        <v>0</v>
      </c>
      <c r="I3589" s="21">
        <f>Data!C3602</f>
        <v>0</v>
      </c>
      <c r="J3589">
        <f>Data!D3602</f>
        <v>0</v>
      </c>
      <c r="K3589">
        <f>Data!E3602</f>
        <v>0</v>
      </c>
      <c r="L3589">
        <f>Data!F3602</f>
        <v>0</v>
      </c>
      <c r="M3589">
        <f>Data!G3602</f>
        <v>0</v>
      </c>
      <c r="N3589">
        <f>Data!H3602</f>
        <v>0</v>
      </c>
      <c r="O3589">
        <f>Data!I3602</f>
        <v>0</v>
      </c>
      <c r="P3589" s="21">
        <f>Data!J3606</f>
        <v>0</v>
      </c>
      <c r="Q3589">
        <f>Data!K3606</f>
        <v>0</v>
      </c>
      <c r="R3589">
        <f>Data!L3606</f>
        <v>0</v>
      </c>
      <c r="S3589">
        <f>Data!M3606</f>
        <v>0</v>
      </c>
      <c r="T3589">
        <f>Data!N3606</f>
        <v>0</v>
      </c>
      <c r="U3589">
        <f>Data!O3606</f>
        <v>0</v>
      </c>
      <c r="V3589" s="33">
        <f>Data!P3604</f>
        <v>0</v>
      </c>
    </row>
    <row r="3590" spans="7:22" x14ac:dyDescent="0.25">
      <c r="G3590">
        <f>Data!A3603</f>
        <v>0</v>
      </c>
      <c r="H3590" s="21">
        <f>Data!B3603</f>
        <v>0</v>
      </c>
      <c r="I3590" s="21">
        <f>Data!C3603</f>
        <v>0</v>
      </c>
      <c r="J3590">
        <f>Data!D3603</f>
        <v>0</v>
      </c>
      <c r="K3590">
        <f>Data!E3603</f>
        <v>0</v>
      </c>
      <c r="L3590">
        <f>Data!F3603</f>
        <v>0</v>
      </c>
      <c r="M3590">
        <f>Data!G3603</f>
        <v>0</v>
      </c>
      <c r="N3590">
        <f>Data!H3603</f>
        <v>0</v>
      </c>
      <c r="O3590">
        <f>Data!I3603</f>
        <v>0</v>
      </c>
      <c r="P3590" s="21">
        <f>Data!J3607</f>
        <v>0</v>
      </c>
      <c r="Q3590">
        <f>Data!K3607</f>
        <v>0</v>
      </c>
      <c r="R3590">
        <f>Data!L3607</f>
        <v>0</v>
      </c>
      <c r="S3590">
        <f>Data!M3607</f>
        <v>0</v>
      </c>
      <c r="T3590">
        <f>Data!N3607</f>
        <v>0</v>
      </c>
      <c r="U3590">
        <f>Data!O3607</f>
        <v>0</v>
      </c>
      <c r="V3590" s="33">
        <f>Data!P3605</f>
        <v>0</v>
      </c>
    </row>
    <row r="3591" spans="7:22" x14ac:dyDescent="0.25">
      <c r="G3591">
        <f>Data!A3604</f>
        <v>0</v>
      </c>
      <c r="H3591" s="21">
        <f>Data!B3604</f>
        <v>0</v>
      </c>
      <c r="I3591" s="21">
        <f>Data!C3604</f>
        <v>0</v>
      </c>
      <c r="J3591">
        <f>Data!D3604</f>
        <v>0</v>
      </c>
      <c r="K3591">
        <f>Data!E3604</f>
        <v>0</v>
      </c>
      <c r="L3591">
        <f>Data!F3604</f>
        <v>0</v>
      </c>
      <c r="M3591">
        <f>Data!G3604</f>
        <v>0</v>
      </c>
      <c r="N3591">
        <f>Data!H3604</f>
        <v>0</v>
      </c>
      <c r="O3591">
        <f>Data!I3604</f>
        <v>0</v>
      </c>
      <c r="P3591" s="21">
        <f>Data!J3608</f>
        <v>0</v>
      </c>
      <c r="Q3591">
        <f>Data!K3608</f>
        <v>0</v>
      </c>
      <c r="R3591">
        <f>Data!L3608</f>
        <v>0</v>
      </c>
      <c r="S3591">
        <f>Data!M3608</f>
        <v>0</v>
      </c>
      <c r="T3591">
        <f>Data!N3608</f>
        <v>0</v>
      </c>
      <c r="U3591">
        <f>Data!O3608</f>
        <v>0</v>
      </c>
      <c r="V3591" s="33">
        <f>Data!P3606</f>
        <v>0</v>
      </c>
    </row>
    <row r="3592" spans="7:22" x14ac:dyDescent="0.25">
      <c r="G3592">
        <f>Data!A3605</f>
        <v>0</v>
      </c>
      <c r="H3592" s="21">
        <f>Data!B3605</f>
        <v>0</v>
      </c>
      <c r="I3592" s="21">
        <f>Data!C3605</f>
        <v>0</v>
      </c>
      <c r="J3592">
        <f>Data!D3605</f>
        <v>0</v>
      </c>
      <c r="K3592">
        <f>Data!E3605</f>
        <v>0</v>
      </c>
      <c r="L3592">
        <f>Data!F3605</f>
        <v>0</v>
      </c>
      <c r="M3592">
        <f>Data!G3605</f>
        <v>0</v>
      </c>
      <c r="N3592">
        <f>Data!H3605</f>
        <v>0</v>
      </c>
      <c r="O3592">
        <f>Data!I3605</f>
        <v>0</v>
      </c>
      <c r="P3592" s="21">
        <f>Data!J3609</f>
        <v>0</v>
      </c>
      <c r="Q3592">
        <f>Data!K3609</f>
        <v>0</v>
      </c>
      <c r="R3592">
        <f>Data!L3609</f>
        <v>0</v>
      </c>
      <c r="S3592">
        <f>Data!M3609</f>
        <v>0</v>
      </c>
      <c r="T3592">
        <f>Data!N3609</f>
        <v>0</v>
      </c>
      <c r="U3592">
        <f>Data!O3609</f>
        <v>0</v>
      </c>
      <c r="V3592" s="33">
        <f>Data!P3607</f>
        <v>0</v>
      </c>
    </row>
    <row r="3593" spans="7:22" x14ac:dyDescent="0.25">
      <c r="G3593">
        <f>Data!A3606</f>
        <v>0</v>
      </c>
      <c r="H3593" s="21">
        <f>Data!B3606</f>
        <v>0</v>
      </c>
      <c r="I3593" s="21">
        <f>Data!C3606</f>
        <v>0</v>
      </c>
      <c r="J3593">
        <f>Data!D3606</f>
        <v>0</v>
      </c>
      <c r="K3593">
        <f>Data!E3606</f>
        <v>0</v>
      </c>
      <c r="L3593">
        <f>Data!F3606</f>
        <v>0</v>
      </c>
      <c r="M3593">
        <f>Data!G3606</f>
        <v>0</v>
      </c>
      <c r="N3593">
        <f>Data!H3606</f>
        <v>0</v>
      </c>
      <c r="O3593">
        <f>Data!I3606</f>
        <v>0</v>
      </c>
      <c r="P3593" s="21">
        <f>Data!J3610</f>
        <v>0</v>
      </c>
      <c r="Q3593">
        <f>Data!K3610</f>
        <v>0</v>
      </c>
      <c r="R3593">
        <f>Data!L3610</f>
        <v>0</v>
      </c>
      <c r="S3593">
        <f>Data!M3610</f>
        <v>0</v>
      </c>
      <c r="T3593">
        <f>Data!N3610</f>
        <v>0</v>
      </c>
      <c r="U3593">
        <f>Data!O3610</f>
        <v>0</v>
      </c>
      <c r="V3593" s="33">
        <f>Data!P3608</f>
        <v>0</v>
      </c>
    </row>
    <row r="3594" spans="7:22" x14ac:dyDescent="0.25">
      <c r="G3594">
        <f>Data!A3607</f>
        <v>0</v>
      </c>
      <c r="H3594" s="21">
        <f>Data!B3607</f>
        <v>0</v>
      </c>
      <c r="I3594" s="21">
        <f>Data!C3607</f>
        <v>0</v>
      </c>
      <c r="J3594">
        <f>Data!D3607</f>
        <v>0</v>
      </c>
      <c r="K3594">
        <f>Data!E3607</f>
        <v>0</v>
      </c>
      <c r="L3594">
        <f>Data!F3607</f>
        <v>0</v>
      </c>
      <c r="M3594">
        <f>Data!G3607</f>
        <v>0</v>
      </c>
      <c r="N3594">
        <f>Data!H3607</f>
        <v>0</v>
      </c>
      <c r="O3594">
        <f>Data!I3607</f>
        <v>0</v>
      </c>
      <c r="P3594" s="21">
        <f>Data!J3611</f>
        <v>0</v>
      </c>
      <c r="Q3594">
        <f>Data!K3611</f>
        <v>0</v>
      </c>
      <c r="R3594">
        <f>Data!L3611</f>
        <v>0</v>
      </c>
      <c r="S3594">
        <f>Data!M3611</f>
        <v>0</v>
      </c>
      <c r="T3594">
        <f>Data!N3611</f>
        <v>0</v>
      </c>
      <c r="U3594">
        <f>Data!O3611</f>
        <v>0</v>
      </c>
      <c r="V3594" s="33">
        <f>Data!P3609</f>
        <v>0</v>
      </c>
    </row>
    <row r="3595" spans="7:22" x14ac:dyDescent="0.25">
      <c r="G3595">
        <f>Data!A3608</f>
        <v>0</v>
      </c>
      <c r="H3595" s="21">
        <f>Data!B3608</f>
        <v>0</v>
      </c>
      <c r="I3595" s="21">
        <f>Data!C3608</f>
        <v>0</v>
      </c>
      <c r="J3595">
        <f>Data!D3608</f>
        <v>0</v>
      </c>
      <c r="K3595">
        <f>Data!E3608</f>
        <v>0</v>
      </c>
      <c r="L3595">
        <f>Data!F3608</f>
        <v>0</v>
      </c>
      <c r="M3595">
        <f>Data!G3608</f>
        <v>0</v>
      </c>
      <c r="N3595">
        <f>Data!H3608</f>
        <v>0</v>
      </c>
      <c r="O3595">
        <f>Data!I3608</f>
        <v>0</v>
      </c>
      <c r="P3595" s="21">
        <f>Data!J3612</f>
        <v>0</v>
      </c>
      <c r="Q3595">
        <f>Data!K3612</f>
        <v>0</v>
      </c>
      <c r="R3595">
        <f>Data!L3612</f>
        <v>0</v>
      </c>
      <c r="S3595">
        <f>Data!M3612</f>
        <v>0</v>
      </c>
      <c r="T3595">
        <f>Data!N3612</f>
        <v>0</v>
      </c>
      <c r="U3595">
        <f>Data!O3612</f>
        <v>0</v>
      </c>
      <c r="V3595" s="33">
        <f>Data!P3610</f>
        <v>0</v>
      </c>
    </row>
    <row r="3596" spans="7:22" x14ac:dyDescent="0.25">
      <c r="G3596">
        <f>Data!A3609</f>
        <v>0</v>
      </c>
      <c r="H3596" s="21">
        <f>Data!B3609</f>
        <v>0</v>
      </c>
      <c r="I3596" s="21">
        <f>Data!C3609</f>
        <v>0</v>
      </c>
      <c r="J3596">
        <f>Data!D3609</f>
        <v>0</v>
      </c>
      <c r="K3596">
        <f>Data!E3609</f>
        <v>0</v>
      </c>
      <c r="L3596">
        <f>Data!F3609</f>
        <v>0</v>
      </c>
      <c r="M3596">
        <f>Data!G3609</f>
        <v>0</v>
      </c>
      <c r="N3596">
        <f>Data!H3609</f>
        <v>0</v>
      </c>
      <c r="O3596">
        <f>Data!I3609</f>
        <v>0</v>
      </c>
      <c r="P3596" s="21">
        <f>Data!J3613</f>
        <v>0</v>
      </c>
      <c r="Q3596">
        <f>Data!K3613</f>
        <v>0</v>
      </c>
      <c r="R3596">
        <f>Data!L3613</f>
        <v>0</v>
      </c>
      <c r="S3596">
        <f>Data!M3613</f>
        <v>0</v>
      </c>
      <c r="T3596">
        <f>Data!N3613</f>
        <v>0</v>
      </c>
      <c r="U3596">
        <f>Data!O3613</f>
        <v>0</v>
      </c>
      <c r="V3596" s="33">
        <f>Data!P3611</f>
        <v>0</v>
      </c>
    </row>
    <row r="3597" spans="7:22" x14ac:dyDescent="0.25">
      <c r="G3597">
        <f>Data!A3610</f>
        <v>0</v>
      </c>
      <c r="H3597" s="21">
        <f>Data!B3610</f>
        <v>0</v>
      </c>
      <c r="I3597" s="21">
        <f>Data!C3610</f>
        <v>0</v>
      </c>
      <c r="J3597">
        <f>Data!D3610</f>
        <v>0</v>
      </c>
      <c r="K3597">
        <f>Data!E3610</f>
        <v>0</v>
      </c>
      <c r="L3597">
        <f>Data!F3610</f>
        <v>0</v>
      </c>
      <c r="M3597">
        <f>Data!G3610</f>
        <v>0</v>
      </c>
      <c r="N3597">
        <f>Data!H3610</f>
        <v>0</v>
      </c>
      <c r="O3597">
        <f>Data!I3610</f>
        <v>0</v>
      </c>
      <c r="P3597" s="21">
        <f>Data!J3614</f>
        <v>0</v>
      </c>
      <c r="Q3597">
        <f>Data!K3614</f>
        <v>0</v>
      </c>
      <c r="R3597">
        <f>Data!L3614</f>
        <v>0</v>
      </c>
      <c r="S3597">
        <f>Data!M3614</f>
        <v>0</v>
      </c>
      <c r="T3597">
        <f>Data!N3614</f>
        <v>0</v>
      </c>
      <c r="U3597">
        <f>Data!O3614</f>
        <v>0</v>
      </c>
      <c r="V3597" s="33">
        <f>Data!P3612</f>
        <v>0</v>
      </c>
    </row>
    <row r="3598" spans="7:22" x14ac:dyDescent="0.25">
      <c r="G3598">
        <f>Data!A3611</f>
        <v>0</v>
      </c>
      <c r="H3598" s="21">
        <f>Data!B3611</f>
        <v>0</v>
      </c>
      <c r="I3598" s="21">
        <f>Data!C3611</f>
        <v>0</v>
      </c>
      <c r="J3598">
        <f>Data!D3611</f>
        <v>0</v>
      </c>
      <c r="K3598">
        <f>Data!E3611</f>
        <v>0</v>
      </c>
      <c r="L3598">
        <f>Data!F3611</f>
        <v>0</v>
      </c>
      <c r="M3598">
        <f>Data!G3611</f>
        <v>0</v>
      </c>
      <c r="N3598">
        <f>Data!H3611</f>
        <v>0</v>
      </c>
      <c r="O3598">
        <f>Data!I3611</f>
        <v>0</v>
      </c>
      <c r="P3598" s="21">
        <f>Data!J3615</f>
        <v>0</v>
      </c>
      <c r="Q3598">
        <f>Data!K3615</f>
        <v>0</v>
      </c>
      <c r="R3598">
        <f>Data!L3615</f>
        <v>0</v>
      </c>
      <c r="S3598">
        <f>Data!M3615</f>
        <v>0</v>
      </c>
      <c r="T3598">
        <f>Data!N3615</f>
        <v>0</v>
      </c>
      <c r="U3598">
        <f>Data!O3615</f>
        <v>0</v>
      </c>
      <c r="V3598" s="33">
        <f>Data!P3613</f>
        <v>0</v>
      </c>
    </row>
    <row r="3599" spans="7:22" x14ac:dyDescent="0.25">
      <c r="G3599">
        <f>Data!A3612</f>
        <v>0</v>
      </c>
      <c r="H3599" s="21">
        <f>Data!B3612</f>
        <v>0</v>
      </c>
      <c r="I3599" s="21">
        <f>Data!C3612</f>
        <v>0</v>
      </c>
      <c r="J3599">
        <f>Data!D3612</f>
        <v>0</v>
      </c>
      <c r="K3599">
        <f>Data!E3612</f>
        <v>0</v>
      </c>
      <c r="L3599">
        <f>Data!F3612</f>
        <v>0</v>
      </c>
      <c r="M3599">
        <f>Data!G3612</f>
        <v>0</v>
      </c>
      <c r="N3599">
        <f>Data!H3612</f>
        <v>0</v>
      </c>
      <c r="O3599">
        <f>Data!I3612</f>
        <v>0</v>
      </c>
      <c r="P3599" s="21">
        <f>Data!J3616</f>
        <v>0</v>
      </c>
      <c r="Q3599">
        <f>Data!K3616</f>
        <v>0</v>
      </c>
      <c r="R3599">
        <f>Data!L3616</f>
        <v>0</v>
      </c>
      <c r="S3599">
        <f>Data!M3616</f>
        <v>0</v>
      </c>
      <c r="T3599">
        <f>Data!N3616</f>
        <v>0</v>
      </c>
      <c r="U3599">
        <f>Data!O3616</f>
        <v>0</v>
      </c>
      <c r="V3599" s="33">
        <f>Data!P3614</f>
        <v>0</v>
      </c>
    </row>
    <row r="3600" spans="7:22" x14ac:dyDescent="0.25">
      <c r="G3600">
        <f>Data!A3613</f>
        <v>0</v>
      </c>
      <c r="H3600" s="21">
        <f>Data!B3613</f>
        <v>0</v>
      </c>
      <c r="I3600" s="21">
        <f>Data!C3613</f>
        <v>0</v>
      </c>
      <c r="J3600">
        <f>Data!D3613</f>
        <v>0</v>
      </c>
      <c r="K3600">
        <f>Data!E3613</f>
        <v>0</v>
      </c>
      <c r="L3600">
        <f>Data!F3613</f>
        <v>0</v>
      </c>
      <c r="M3600">
        <f>Data!G3613</f>
        <v>0</v>
      </c>
      <c r="N3600">
        <f>Data!H3613</f>
        <v>0</v>
      </c>
      <c r="O3600">
        <f>Data!I3613</f>
        <v>0</v>
      </c>
      <c r="P3600" s="21">
        <f>Data!J3617</f>
        <v>0</v>
      </c>
      <c r="Q3600">
        <f>Data!K3617</f>
        <v>0</v>
      </c>
      <c r="R3600">
        <f>Data!L3617</f>
        <v>0</v>
      </c>
      <c r="S3600">
        <f>Data!M3617</f>
        <v>0</v>
      </c>
      <c r="T3600">
        <f>Data!N3617</f>
        <v>0</v>
      </c>
      <c r="U3600">
        <f>Data!O3617</f>
        <v>0</v>
      </c>
      <c r="V3600" s="33">
        <f>Data!P3615</f>
        <v>0</v>
      </c>
    </row>
    <row r="3601" spans="7:22" x14ac:dyDescent="0.25">
      <c r="G3601">
        <f>Data!A3614</f>
        <v>0</v>
      </c>
      <c r="H3601" s="21">
        <f>Data!B3614</f>
        <v>0</v>
      </c>
      <c r="I3601" s="21">
        <f>Data!C3614</f>
        <v>0</v>
      </c>
      <c r="J3601">
        <f>Data!D3614</f>
        <v>0</v>
      </c>
      <c r="K3601">
        <f>Data!E3614</f>
        <v>0</v>
      </c>
      <c r="L3601">
        <f>Data!F3614</f>
        <v>0</v>
      </c>
      <c r="M3601">
        <f>Data!G3614</f>
        <v>0</v>
      </c>
      <c r="N3601">
        <f>Data!H3614</f>
        <v>0</v>
      </c>
      <c r="O3601">
        <f>Data!I3614</f>
        <v>0</v>
      </c>
      <c r="P3601" s="21">
        <f>Data!J3618</f>
        <v>0</v>
      </c>
      <c r="Q3601">
        <f>Data!K3618</f>
        <v>0</v>
      </c>
      <c r="R3601">
        <f>Data!L3618</f>
        <v>0</v>
      </c>
      <c r="S3601">
        <f>Data!M3618</f>
        <v>0</v>
      </c>
      <c r="T3601">
        <f>Data!N3618</f>
        <v>0</v>
      </c>
      <c r="U3601">
        <f>Data!O3618</f>
        <v>0</v>
      </c>
      <c r="V3601" s="33">
        <f>Data!P3616</f>
        <v>0</v>
      </c>
    </row>
    <row r="3602" spans="7:22" x14ac:dyDescent="0.25">
      <c r="G3602">
        <f>Data!A3615</f>
        <v>0</v>
      </c>
      <c r="H3602" s="21">
        <f>Data!B3615</f>
        <v>0</v>
      </c>
      <c r="I3602" s="21">
        <f>Data!C3615</f>
        <v>0</v>
      </c>
      <c r="J3602">
        <f>Data!D3615</f>
        <v>0</v>
      </c>
      <c r="K3602">
        <f>Data!E3615</f>
        <v>0</v>
      </c>
      <c r="L3602">
        <f>Data!F3615</f>
        <v>0</v>
      </c>
      <c r="M3602">
        <f>Data!G3615</f>
        <v>0</v>
      </c>
      <c r="N3602">
        <f>Data!H3615</f>
        <v>0</v>
      </c>
      <c r="O3602">
        <f>Data!I3615</f>
        <v>0</v>
      </c>
      <c r="P3602" s="21">
        <f>Data!J3619</f>
        <v>0</v>
      </c>
      <c r="Q3602">
        <f>Data!K3619</f>
        <v>0</v>
      </c>
      <c r="R3602">
        <f>Data!L3619</f>
        <v>0</v>
      </c>
      <c r="S3602">
        <f>Data!M3619</f>
        <v>0</v>
      </c>
      <c r="T3602">
        <f>Data!N3619</f>
        <v>0</v>
      </c>
      <c r="U3602">
        <f>Data!O3619</f>
        <v>0</v>
      </c>
      <c r="V3602" s="33">
        <f>Data!P3617</f>
        <v>0</v>
      </c>
    </row>
    <row r="3603" spans="7:22" x14ac:dyDescent="0.25">
      <c r="G3603">
        <f>Data!A3616</f>
        <v>0</v>
      </c>
      <c r="H3603" s="21">
        <f>Data!B3616</f>
        <v>0</v>
      </c>
      <c r="I3603" s="21">
        <f>Data!C3616</f>
        <v>0</v>
      </c>
      <c r="J3603">
        <f>Data!D3616</f>
        <v>0</v>
      </c>
      <c r="K3603">
        <f>Data!E3616</f>
        <v>0</v>
      </c>
      <c r="L3603">
        <f>Data!F3616</f>
        <v>0</v>
      </c>
      <c r="M3603">
        <f>Data!G3616</f>
        <v>0</v>
      </c>
      <c r="N3603">
        <f>Data!H3616</f>
        <v>0</v>
      </c>
      <c r="O3603">
        <f>Data!I3616</f>
        <v>0</v>
      </c>
      <c r="P3603" s="21">
        <f>Data!J3620</f>
        <v>0</v>
      </c>
      <c r="Q3603">
        <f>Data!K3620</f>
        <v>0</v>
      </c>
      <c r="R3603">
        <f>Data!L3620</f>
        <v>0</v>
      </c>
      <c r="S3603">
        <f>Data!M3620</f>
        <v>0</v>
      </c>
      <c r="T3603">
        <f>Data!N3620</f>
        <v>0</v>
      </c>
      <c r="U3603">
        <f>Data!O3620</f>
        <v>0</v>
      </c>
      <c r="V3603" s="33">
        <f>Data!P3618</f>
        <v>0</v>
      </c>
    </row>
    <row r="3604" spans="7:22" x14ac:dyDescent="0.25">
      <c r="G3604">
        <f>Data!A3617</f>
        <v>0</v>
      </c>
      <c r="H3604" s="21">
        <f>Data!B3617</f>
        <v>0</v>
      </c>
      <c r="I3604" s="21">
        <f>Data!C3617</f>
        <v>0</v>
      </c>
      <c r="J3604">
        <f>Data!D3617</f>
        <v>0</v>
      </c>
      <c r="K3604">
        <f>Data!E3617</f>
        <v>0</v>
      </c>
      <c r="L3604">
        <f>Data!F3617</f>
        <v>0</v>
      </c>
      <c r="M3604">
        <f>Data!G3617</f>
        <v>0</v>
      </c>
      <c r="N3604">
        <f>Data!H3617</f>
        <v>0</v>
      </c>
      <c r="O3604">
        <f>Data!I3617</f>
        <v>0</v>
      </c>
      <c r="P3604" s="21">
        <f>Data!J3621</f>
        <v>0</v>
      </c>
      <c r="Q3604">
        <f>Data!K3621</f>
        <v>0</v>
      </c>
      <c r="R3604">
        <f>Data!L3621</f>
        <v>0</v>
      </c>
      <c r="S3604">
        <f>Data!M3621</f>
        <v>0</v>
      </c>
      <c r="T3604">
        <f>Data!N3621</f>
        <v>0</v>
      </c>
      <c r="U3604">
        <f>Data!O3621</f>
        <v>0</v>
      </c>
      <c r="V3604" s="33">
        <f>Data!P3619</f>
        <v>0</v>
      </c>
    </row>
    <row r="3605" spans="7:22" x14ac:dyDescent="0.25">
      <c r="G3605">
        <f>Data!A3618</f>
        <v>0</v>
      </c>
      <c r="H3605" s="21">
        <f>Data!B3618</f>
        <v>0</v>
      </c>
      <c r="I3605" s="21">
        <f>Data!C3618</f>
        <v>0</v>
      </c>
      <c r="J3605">
        <f>Data!D3618</f>
        <v>0</v>
      </c>
      <c r="K3605">
        <f>Data!E3618</f>
        <v>0</v>
      </c>
      <c r="L3605">
        <f>Data!F3618</f>
        <v>0</v>
      </c>
      <c r="M3605">
        <f>Data!G3618</f>
        <v>0</v>
      </c>
      <c r="N3605">
        <f>Data!H3618</f>
        <v>0</v>
      </c>
      <c r="O3605">
        <f>Data!I3618</f>
        <v>0</v>
      </c>
      <c r="P3605" s="21">
        <f>Data!J3622</f>
        <v>0</v>
      </c>
      <c r="Q3605">
        <f>Data!K3622</f>
        <v>0</v>
      </c>
      <c r="R3605">
        <f>Data!L3622</f>
        <v>0</v>
      </c>
      <c r="S3605">
        <f>Data!M3622</f>
        <v>0</v>
      </c>
      <c r="T3605">
        <f>Data!N3622</f>
        <v>0</v>
      </c>
      <c r="U3605">
        <f>Data!O3622</f>
        <v>0</v>
      </c>
      <c r="V3605" s="33">
        <f>Data!P3620</f>
        <v>0</v>
      </c>
    </row>
    <row r="3606" spans="7:22" x14ac:dyDescent="0.25">
      <c r="G3606">
        <f>Data!A3619</f>
        <v>0</v>
      </c>
      <c r="H3606" s="21">
        <f>Data!B3619</f>
        <v>0</v>
      </c>
      <c r="I3606" s="21">
        <f>Data!C3619</f>
        <v>0</v>
      </c>
      <c r="J3606">
        <f>Data!D3619</f>
        <v>0</v>
      </c>
      <c r="K3606">
        <f>Data!E3619</f>
        <v>0</v>
      </c>
      <c r="L3606">
        <f>Data!F3619</f>
        <v>0</v>
      </c>
      <c r="M3606">
        <f>Data!G3619</f>
        <v>0</v>
      </c>
      <c r="N3606">
        <f>Data!H3619</f>
        <v>0</v>
      </c>
      <c r="O3606">
        <f>Data!I3619</f>
        <v>0</v>
      </c>
      <c r="P3606" s="21">
        <f>Data!J3623</f>
        <v>0</v>
      </c>
      <c r="Q3606">
        <f>Data!K3623</f>
        <v>0</v>
      </c>
      <c r="R3606">
        <f>Data!L3623</f>
        <v>0</v>
      </c>
      <c r="S3606">
        <f>Data!M3623</f>
        <v>0</v>
      </c>
      <c r="T3606">
        <f>Data!N3623</f>
        <v>0</v>
      </c>
      <c r="U3606">
        <f>Data!O3623</f>
        <v>0</v>
      </c>
      <c r="V3606" s="33">
        <f>Data!P3621</f>
        <v>0</v>
      </c>
    </row>
    <row r="3607" spans="7:22" x14ac:dyDescent="0.25">
      <c r="G3607">
        <f>Data!A3620</f>
        <v>0</v>
      </c>
      <c r="H3607" s="21">
        <f>Data!B3620</f>
        <v>0</v>
      </c>
      <c r="I3607" s="21">
        <f>Data!C3620</f>
        <v>0</v>
      </c>
      <c r="J3607">
        <f>Data!D3620</f>
        <v>0</v>
      </c>
      <c r="K3607">
        <f>Data!E3620</f>
        <v>0</v>
      </c>
      <c r="L3607">
        <f>Data!F3620</f>
        <v>0</v>
      </c>
      <c r="M3607">
        <f>Data!G3620</f>
        <v>0</v>
      </c>
      <c r="N3607">
        <f>Data!H3620</f>
        <v>0</v>
      </c>
      <c r="O3607">
        <f>Data!I3620</f>
        <v>0</v>
      </c>
      <c r="P3607" s="21">
        <f>Data!J3624</f>
        <v>0</v>
      </c>
      <c r="Q3607">
        <f>Data!K3624</f>
        <v>0</v>
      </c>
      <c r="R3607">
        <f>Data!L3624</f>
        <v>0</v>
      </c>
      <c r="S3607">
        <f>Data!M3624</f>
        <v>0</v>
      </c>
      <c r="T3607">
        <f>Data!N3624</f>
        <v>0</v>
      </c>
      <c r="U3607">
        <f>Data!O3624</f>
        <v>0</v>
      </c>
      <c r="V3607" s="33">
        <f>Data!P3622</f>
        <v>0</v>
      </c>
    </row>
    <row r="3608" spans="7:22" x14ac:dyDescent="0.25">
      <c r="G3608">
        <f>Data!A3621</f>
        <v>0</v>
      </c>
      <c r="H3608" s="21">
        <f>Data!B3621</f>
        <v>0</v>
      </c>
      <c r="I3608" s="21">
        <f>Data!C3621</f>
        <v>0</v>
      </c>
      <c r="J3608">
        <f>Data!D3621</f>
        <v>0</v>
      </c>
      <c r="K3608">
        <f>Data!E3621</f>
        <v>0</v>
      </c>
      <c r="L3608">
        <f>Data!F3621</f>
        <v>0</v>
      </c>
      <c r="M3608">
        <f>Data!G3621</f>
        <v>0</v>
      </c>
      <c r="N3608">
        <f>Data!H3621</f>
        <v>0</v>
      </c>
      <c r="O3608">
        <f>Data!I3621</f>
        <v>0</v>
      </c>
      <c r="P3608" s="21">
        <f>Data!J3625</f>
        <v>0</v>
      </c>
      <c r="Q3608">
        <f>Data!K3625</f>
        <v>0</v>
      </c>
      <c r="R3608">
        <f>Data!L3625</f>
        <v>0</v>
      </c>
      <c r="S3608">
        <f>Data!M3625</f>
        <v>0</v>
      </c>
      <c r="T3608">
        <f>Data!N3625</f>
        <v>0</v>
      </c>
      <c r="U3608">
        <f>Data!O3625</f>
        <v>0</v>
      </c>
      <c r="V3608" s="33">
        <f>Data!P3623</f>
        <v>0</v>
      </c>
    </row>
    <row r="3609" spans="7:22" x14ac:dyDescent="0.25">
      <c r="G3609">
        <f>Data!A3622</f>
        <v>0</v>
      </c>
      <c r="H3609" s="21">
        <f>Data!B3622</f>
        <v>0</v>
      </c>
      <c r="I3609" s="21">
        <f>Data!C3622</f>
        <v>0</v>
      </c>
      <c r="J3609">
        <f>Data!D3622</f>
        <v>0</v>
      </c>
      <c r="K3609">
        <f>Data!E3622</f>
        <v>0</v>
      </c>
      <c r="L3609">
        <f>Data!F3622</f>
        <v>0</v>
      </c>
      <c r="M3609">
        <f>Data!G3622</f>
        <v>0</v>
      </c>
      <c r="N3609">
        <f>Data!H3622</f>
        <v>0</v>
      </c>
      <c r="O3609">
        <f>Data!I3622</f>
        <v>0</v>
      </c>
      <c r="P3609" s="21">
        <f>Data!J3626</f>
        <v>0</v>
      </c>
      <c r="Q3609">
        <f>Data!K3626</f>
        <v>0</v>
      </c>
      <c r="R3609">
        <f>Data!L3626</f>
        <v>0</v>
      </c>
      <c r="S3609">
        <f>Data!M3626</f>
        <v>0</v>
      </c>
      <c r="T3609">
        <f>Data!N3626</f>
        <v>0</v>
      </c>
      <c r="U3609">
        <f>Data!O3626</f>
        <v>0</v>
      </c>
      <c r="V3609" s="33">
        <f>Data!P3624</f>
        <v>0</v>
      </c>
    </row>
    <row r="3610" spans="7:22" x14ac:dyDescent="0.25">
      <c r="G3610">
        <f>Data!A3623</f>
        <v>0</v>
      </c>
      <c r="H3610" s="21">
        <f>Data!B3623</f>
        <v>0</v>
      </c>
      <c r="I3610" s="21">
        <f>Data!C3623</f>
        <v>0</v>
      </c>
      <c r="J3610">
        <f>Data!D3623</f>
        <v>0</v>
      </c>
      <c r="K3610">
        <f>Data!E3623</f>
        <v>0</v>
      </c>
      <c r="L3610">
        <f>Data!F3623</f>
        <v>0</v>
      </c>
      <c r="M3610">
        <f>Data!G3623</f>
        <v>0</v>
      </c>
      <c r="N3610">
        <f>Data!H3623</f>
        <v>0</v>
      </c>
      <c r="O3610">
        <f>Data!I3623</f>
        <v>0</v>
      </c>
      <c r="P3610" s="21">
        <f>Data!J3627</f>
        <v>0</v>
      </c>
      <c r="Q3610">
        <f>Data!K3627</f>
        <v>0</v>
      </c>
      <c r="R3610">
        <f>Data!L3627</f>
        <v>0</v>
      </c>
      <c r="S3610">
        <f>Data!M3627</f>
        <v>0</v>
      </c>
      <c r="T3610">
        <f>Data!N3627</f>
        <v>0</v>
      </c>
      <c r="U3610">
        <f>Data!O3627</f>
        <v>0</v>
      </c>
      <c r="V3610" s="33">
        <f>Data!P3625</f>
        <v>0</v>
      </c>
    </row>
    <row r="3611" spans="7:22" x14ac:dyDescent="0.25">
      <c r="G3611">
        <f>Data!A3624</f>
        <v>0</v>
      </c>
      <c r="H3611" s="21">
        <f>Data!B3624</f>
        <v>0</v>
      </c>
      <c r="I3611" s="21">
        <f>Data!C3624</f>
        <v>0</v>
      </c>
      <c r="J3611">
        <f>Data!D3624</f>
        <v>0</v>
      </c>
      <c r="K3611">
        <f>Data!E3624</f>
        <v>0</v>
      </c>
      <c r="L3611">
        <f>Data!F3624</f>
        <v>0</v>
      </c>
      <c r="M3611">
        <f>Data!G3624</f>
        <v>0</v>
      </c>
      <c r="N3611">
        <f>Data!H3624</f>
        <v>0</v>
      </c>
      <c r="O3611">
        <f>Data!I3624</f>
        <v>0</v>
      </c>
      <c r="P3611" s="21">
        <f>Data!J3628</f>
        <v>0</v>
      </c>
      <c r="Q3611">
        <f>Data!K3628</f>
        <v>0</v>
      </c>
      <c r="R3611">
        <f>Data!L3628</f>
        <v>0</v>
      </c>
      <c r="S3611">
        <f>Data!M3628</f>
        <v>0</v>
      </c>
      <c r="T3611">
        <f>Data!N3628</f>
        <v>0</v>
      </c>
      <c r="U3611">
        <f>Data!O3628</f>
        <v>0</v>
      </c>
      <c r="V3611" s="33">
        <f>Data!P3626</f>
        <v>0</v>
      </c>
    </row>
    <row r="3612" spans="7:22" x14ac:dyDescent="0.25">
      <c r="G3612">
        <f>Data!A3625</f>
        <v>0</v>
      </c>
      <c r="H3612" s="21">
        <f>Data!B3625</f>
        <v>0</v>
      </c>
      <c r="I3612" s="21">
        <f>Data!C3625</f>
        <v>0</v>
      </c>
      <c r="J3612">
        <f>Data!D3625</f>
        <v>0</v>
      </c>
      <c r="K3612">
        <f>Data!E3625</f>
        <v>0</v>
      </c>
      <c r="L3612">
        <f>Data!F3625</f>
        <v>0</v>
      </c>
      <c r="M3612">
        <f>Data!G3625</f>
        <v>0</v>
      </c>
      <c r="N3612">
        <f>Data!H3625</f>
        <v>0</v>
      </c>
      <c r="O3612">
        <f>Data!I3625</f>
        <v>0</v>
      </c>
      <c r="P3612" s="21">
        <f>Data!J3629</f>
        <v>0</v>
      </c>
      <c r="Q3612">
        <f>Data!K3629</f>
        <v>0</v>
      </c>
      <c r="R3612">
        <f>Data!L3629</f>
        <v>0</v>
      </c>
      <c r="S3612">
        <f>Data!M3629</f>
        <v>0</v>
      </c>
      <c r="T3612">
        <f>Data!N3629</f>
        <v>0</v>
      </c>
      <c r="U3612">
        <f>Data!O3629</f>
        <v>0</v>
      </c>
      <c r="V3612" s="33">
        <f>Data!P3627</f>
        <v>0</v>
      </c>
    </row>
    <row r="3613" spans="7:22" x14ac:dyDescent="0.25">
      <c r="G3613">
        <f>Data!A3626</f>
        <v>0</v>
      </c>
      <c r="H3613" s="21">
        <f>Data!B3626</f>
        <v>0</v>
      </c>
      <c r="I3613" s="21">
        <f>Data!C3626</f>
        <v>0</v>
      </c>
      <c r="J3613">
        <f>Data!D3626</f>
        <v>0</v>
      </c>
      <c r="K3613">
        <f>Data!E3626</f>
        <v>0</v>
      </c>
      <c r="L3613">
        <f>Data!F3626</f>
        <v>0</v>
      </c>
      <c r="M3613">
        <f>Data!G3626</f>
        <v>0</v>
      </c>
      <c r="N3613">
        <f>Data!H3626</f>
        <v>0</v>
      </c>
      <c r="O3613">
        <f>Data!I3626</f>
        <v>0</v>
      </c>
      <c r="P3613" s="21">
        <f>Data!J3630</f>
        <v>0</v>
      </c>
      <c r="Q3613">
        <f>Data!K3630</f>
        <v>0</v>
      </c>
      <c r="R3613">
        <f>Data!L3630</f>
        <v>0</v>
      </c>
      <c r="S3613">
        <f>Data!M3630</f>
        <v>0</v>
      </c>
      <c r="T3613">
        <f>Data!N3630</f>
        <v>0</v>
      </c>
      <c r="U3613">
        <f>Data!O3630</f>
        <v>0</v>
      </c>
      <c r="V3613" s="33">
        <f>Data!P3628</f>
        <v>0</v>
      </c>
    </row>
    <row r="3614" spans="7:22" x14ac:dyDescent="0.25">
      <c r="G3614">
        <f>Data!A3627</f>
        <v>0</v>
      </c>
      <c r="H3614" s="21">
        <f>Data!B3627</f>
        <v>0</v>
      </c>
      <c r="I3614" s="21">
        <f>Data!C3627</f>
        <v>0</v>
      </c>
      <c r="J3614">
        <f>Data!D3627</f>
        <v>0</v>
      </c>
      <c r="K3614">
        <f>Data!E3627</f>
        <v>0</v>
      </c>
      <c r="L3614">
        <f>Data!F3627</f>
        <v>0</v>
      </c>
      <c r="M3614">
        <f>Data!G3627</f>
        <v>0</v>
      </c>
      <c r="N3614">
        <f>Data!H3627</f>
        <v>0</v>
      </c>
      <c r="O3614">
        <f>Data!I3627</f>
        <v>0</v>
      </c>
      <c r="P3614" s="21">
        <f>Data!J3631</f>
        <v>0</v>
      </c>
      <c r="Q3614">
        <f>Data!K3631</f>
        <v>0</v>
      </c>
      <c r="R3614">
        <f>Data!L3631</f>
        <v>0</v>
      </c>
      <c r="S3614">
        <f>Data!M3631</f>
        <v>0</v>
      </c>
      <c r="T3614">
        <f>Data!N3631</f>
        <v>0</v>
      </c>
      <c r="U3614">
        <f>Data!O3631</f>
        <v>0</v>
      </c>
      <c r="V3614" s="33">
        <f>Data!P3629</f>
        <v>0</v>
      </c>
    </row>
    <row r="3615" spans="7:22" x14ac:dyDescent="0.25">
      <c r="G3615">
        <f>Data!A3628</f>
        <v>0</v>
      </c>
      <c r="H3615" s="21">
        <f>Data!B3628</f>
        <v>0</v>
      </c>
      <c r="I3615" s="21">
        <f>Data!C3628</f>
        <v>0</v>
      </c>
      <c r="J3615">
        <f>Data!D3628</f>
        <v>0</v>
      </c>
      <c r="K3615">
        <f>Data!E3628</f>
        <v>0</v>
      </c>
      <c r="L3615">
        <f>Data!F3628</f>
        <v>0</v>
      </c>
      <c r="M3615">
        <f>Data!G3628</f>
        <v>0</v>
      </c>
      <c r="N3615">
        <f>Data!H3628</f>
        <v>0</v>
      </c>
      <c r="O3615">
        <f>Data!I3628</f>
        <v>0</v>
      </c>
      <c r="P3615" s="21">
        <f>Data!J3632</f>
        <v>0</v>
      </c>
      <c r="Q3615">
        <f>Data!K3632</f>
        <v>0</v>
      </c>
      <c r="R3615">
        <f>Data!L3632</f>
        <v>0</v>
      </c>
      <c r="S3615">
        <f>Data!M3632</f>
        <v>0</v>
      </c>
      <c r="T3615">
        <f>Data!N3632</f>
        <v>0</v>
      </c>
      <c r="U3615">
        <f>Data!O3632</f>
        <v>0</v>
      </c>
      <c r="V3615" s="33">
        <f>Data!P3630</f>
        <v>0</v>
      </c>
    </row>
    <row r="3616" spans="7:22" x14ac:dyDescent="0.25">
      <c r="G3616">
        <f>Data!A3629</f>
        <v>0</v>
      </c>
      <c r="H3616" s="21">
        <f>Data!B3629</f>
        <v>0</v>
      </c>
      <c r="I3616" s="21">
        <f>Data!C3629</f>
        <v>0</v>
      </c>
      <c r="J3616">
        <f>Data!D3629</f>
        <v>0</v>
      </c>
      <c r="K3616">
        <f>Data!E3629</f>
        <v>0</v>
      </c>
      <c r="L3616">
        <f>Data!F3629</f>
        <v>0</v>
      </c>
      <c r="M3616">
        <f>Data!G3629</f>
        <v>0</v>
      </c>
      <c r="N3616">
        <f>Data!H3629</f>
        <v>0</v>
      </c>
      <c r="O3616">
        <f>Data!I3629</f>
        <v>0</v>
      </c>
      <c r="P3616" s="21">
        <f>Data!J3633</f>
        <v>0</v>
      </c>
      <c r="Q3616">
        <f>Data!K3633</f>
        <v>0</v>
      </c>
      <c r="R3616">
        <f>Data!L3633</f>
        <v>0</v>
      </c>
      <c r="S3616">
        <f>Data!M3633</f>
        <v>0</v>
      </c>
      <c r="T3616">
        <f>Data!N3633</f>
        <v>0</v>
      </c>
      <c r="U3616">
        <f>Data!O3633</f>
        <v>0</v>
      </c>
      <c r="V3616" s="33">
        <f>Data!P3631</f>
        <v>0</v>
      </c>
    </row>
    <row r="3617" spans="7:22" x14ac:dyDescent="0.25">
      <c r="G3617">
        <f>Data!A3630</f>
        <v>0</v>
      </c>
      <c r="H3617" s="21">
        <f>Data!B3630</f>
        <v>0</v>
      </c>
      <c r="I3617" s="21">
        <f>Data!C3630</f>
        <v>0</v>
      </c>
      <c r="J3617">
        <f>Data!D3630</f>
        <v>0</v>
      </c>
      <c r="K3617">
        <f>Data!E3630</f>
        <v>0</v>
      </c>
      <c r="L3617">
        <f>Data!F3630</f>
        <v>0</v>
      </c>
      <c r="M3617">
        <f>Data!G3630</f>
        <v>0</v>
      </c>
      <c r="N3617">
        <f>Data!H3630</f>
        <v>0</v>
      </c>
      <c r="O3617">
        <f>Data!I3630</f>
        <v>0</v>
      </c>
      <c r="P3617" s="21">
        <f>Data!J3634</f>
        <v>0</v>
      </c>
      <c r="Q3617">
        <f>Data!K3634</f>
        <v>0</v>
      </c>
      <c r="R3617">
        <f>Data!L3634</f>
        <v>0</v>
      </c>
      <c r="S3617">
        <f>Data!M3634</f>
        <v>0</v>
      </c>
      <c r="T3617">
        <f>Data!N3634</f>
        <v>0</v>
      </c>
      <c r="U3617">
        <f>Data!O3634</f>
        <v>0</v>
      </c>
      <c r="V3617" s="33">
        <f>Data!P3632</f>
        <v>0</v>
      </c>
    </row>
    <row r="3618" spans="7:22" x14ac:dyDescent="0.25">
      <c r="G3618">
        <f>Data!A3631</f>
        <v>0</v>
      </c>
      <c r="H3618" s="21">
        <f>Data!B3631</f>
        <v>0</v>
      </c>
      <c r="I3618" s="21">
        <f>Data!C3631</f>
        <v>0</v>
      </c>
      <c r="J3618">
        <f>Data!D3631</f>
        <v>0</v>
      </c>
      <c r="K3618">
        <f>Data!E3631</f>
        <v>0</v>
      </c>
      <c r="L3618">
        <f>Data!F3631</f>
        <v>0</v>
      </c>
      <c r="M3618">
        <f>Data!G3631</f>
        <v>0</v>
      </c>
      <c r="N3618">
        <f>Data!H3631</f>
        <v>0</v>
      </c>
      <c r="O3618">
        <f>Data!I3631</f>
        <v>0</v>
      </c>
      <c r="P3618" s="21">
        <f>Data!J3635</f>
        <v>0</v>
      </c>
      <c r="Q3618">
        <f>Data!K3635</f>
        <v>0</v>
      </c>
      <c r="R3618">
        <f>Data!L3635</f>
        <v>0</v>
      </c>
      <c r="S3618">
        <f>Data!M3635</f>
        <v>0</v>
      </c>
      <c r="T3618">
        <f>Data!N3635</f>
        <v>0</v>
      </c>
      <c r="U3618">
        <f>Data!O3635</f>
        <v>0</v>
      </c>
      <c r="V3618" s="33">
        <f>Data!P3633</f>
        <v>0</v>
      </c>
    </row>
    <row r="3619" spans="7:22" x14ac:dyDescent="0.25">
      <c r="G3619">
        <f>Data!A3632</f>
        <v>0</v>
      </c>
      <c r="H3619" s="21">
        <f>Data!B3632</f>
        <v>0</v>
      </c>
      <c r="I3619" s="21">
        <f>Data!C3632</f>
        <v>0</v>
      </c>
      <c r="J3619">
        <f>Data!D3632</f>
        <v>0</v>
      </c>
      <c r="K3619">
        <f>Data!E3632</f>
        <v>0</v>
      </c>
      <c r="L3619">
        <f>Data!F3632</f>
        <v>0</v>
      </c>
      <c r="M3619">
        <f>Data!G3632</f>
        <v>0</v>
      </c>
      <c r="N3619">
        <f>Data!H3632</f>
        <v>0</v>
      </c>
      <c r="O3619">
        <f>Data!I3632</f>
        <v>0</v>
      </c>
      <c r="P3619" s="21">
        <f>Data!J3636</f>
        <v>0</v>
      </c>
      <c r="Q3619">
        <f>Data!K3636</f>
        <v>0</v>
      </c>
      <c r="R3619">
        <f>Data!L3636</f>
        <v>0</v>
      </c>
      <c r="S3619">
        <f>Data!M3636</f>
        <v>0</v>
      </c>
      <c r="T3619">
        <f>Data!N3636</f>
        <v>0</v>
      </c>
      <c r="U3619">
        <f>Data!O3636</f>
        <v>0</v>
      </c>
      <c r="V3619" s="33">
        <f>Data!P3634</f>
        <v>0</v>
      </c>
    </row>
    <row r="3620" spans="7:22" x14ac:dyDescent="0.25">
      <c r="G3620">
        <f>Data!A3633</f>
        <v>0</v>
      </c>
      <c r="H3620" s="21">
        <f>Data!B3633</f>
        <v>0</v>
      </c>
      <c r="I3620" s="21">
        <f>Data!C3633</f>
        <v>0</v>
      </c>
      <c r="J3620">
        <f>Data!D3633</f>
        <v>0</v>
      </c>
      <c r="K3620">
        <f>Data!E3633</f>
        <v>0</v>
      </c>
      <c r="L3620">
        <f>Data!F3633</f>
        <v>0</v>
      </c>
      <c r="M3620">
        <f>Data!G3633</f>
        <v>0</v>
      </c>
      <c r="N3620">
        <f>Data!H3633</f>
        <v>0</v>
      </c>
      <c r="O3620">
        <f>Data!I3633</f>
        <v>0</v>
      </c>
      <c r="P3620" s="21">
        <f>Data!J3637</f>
        <v>0</v>
      </c>
      <c r="Q3620">
        <f>Data!K3637</f>
        <v>0</v>
      </c>
      <c r="R3620">
        <f>Data!L3637</f>
        <v>0</v>
      </c>
      <c r="S3620">
        <f>Data!M3637</f>
        <v>0</v>
      </c>
      <c r="T3620">
        <f>Data!N3637</f>
        <v>0</v>
      </c>
      <c r="U3620">
        <f>Data!O3637</f>
        <v>0</v>
      </c>
      <c r="V3620" s="33">
        <f>Data!P3635</f>
        <v>0</v>
      </c>
    </row>
    <row r="3621" spans="7:22" x14ac:dyDescent="0.25">
      <c r="G3621">
        <f>Data!A3634</f>
        <v>0</v>
      </c>
      <c r="H3621" s="21">
        <f>Data!B3634</f>
        <v>0</v>
      </c>
      <c r="I3621" s="21">
        <f>Data!C3634</f>
        <v>0</v>
      </c>
      <c r="J3621">
        <f>Data!D3634</f>
        <v>0</v>
      </c>
      <c r="K3621">
        <f>Data!E3634</f>
        <v>0</v>
      </c>
      <c r="L3621">
        <f>Data!F3634</f>
        <v>0</v>
      </c>
      <c r="M3621">
        <f>Data!G3634</f>
        <v>0</v>
      </c>
      <c r="N3621">
        <f>Data!H3634</f>
        <v>0</v>
      </c>
      <c r="O3621">
        <f>Data!I3634</f>
        <v>0</v>
      </c>
      <c r="P3621" s="21">
        <f>Data!J3638</f>
        <v>0</v>
      </c>
      <c r="Q3621">
        <f>Data!K3638</f>
        <v>0</v>
      </c>
      <c r="R3621">
        <f>Data!L3638</f>
        <v>0</v>
      </c>
      <c r="S3621">
        <f>Data!M3638</f>
        <v>0</v>
      </c>
      <c r="T3621">
        <f>Data!N3638</f>
        <v>0</v>
      </c>
      <c r="U3621">
        <f>Data!O3638</f>
        <v>0</v>
      </c>
      <c r="V3621" s="33">
        <f>Data!P3636</f>
        <v>0</v>
      </c>
    </row>
    <row r="3622" spans="7:22" x14ac:dyDescent="0.25">
      <c r="G3622">
        <f>Data!A3635</f>
        <v>0</v>
      </c>
      <c r="H3622" s="21">
        <f>Data!B3635</f>
        <v>0</v>
      </c>
      <c r="I3622" s="21">
        <f>Data!C3635</f>
        <v>0</v>
      </c>
      <c r="J3622">
        <f>Data!D3635</f>
        <v>0</v>
      </c>
      <c r="K3622">
        <f>Data!E3635</f>
        <v>0</v>
      </c>
      <c r="L3622">
        <f>Data!F3635</f>
        <v>0</v>
      </c>
      <c r="M3622">
        <f>Data!G3635</f>
        <v>0</v>
      </c>
      <c r="N3622">
        <f>Data!H3635</f>
        <v>0</v>
      </c>
      <c r="O3622">
        <f>Data!I3635</f>
        <v>0</v>
      </c>
      <c r="P3622" s="21">
        <f>Data!J3639</f>
        <v>0</v>
      </c>
      <c r="Q3622">
        <f>Data!K3639</f>
        <v>0</v>
      </c>
      <c r="R3622">
        <f>Data!L3639</f>
        <v>0</v>
      </c>
      <c r="S3622">
        <f>Data!M3639</f>
        <v>0</v>
      </c>
      <c r="T3622">
        <f>Data!N3639</f>
        <v>0</v>
      </c>
      <c r="U3622">
        <f>Data!O3639</f>
        <v>0</v>
      </c>
      <c r="V3622" s="33">
        <f>Data!P3637</f>
        <v>0</v>
      </c>
    </row>
    <row r="3623" spans="7:22" x14ac:dyDescent="0.25">
      <c r="G3623">
        <f>Data!A3636</f>
        <v>0</v>
      </c>
      <c r="H3623" s="21">
        <f>Data!B3636</f>
        <v>0</v>
      </c>
      <c r="I3623" s="21">
        <f>Data!C3636</f>
        <v>0</v>
      </c>
      <c r="J3623">
        <f>Data!D3636</f>
        <v>0</v>
      </c>
      <c r="K3623">
        <f>Data!E3636</f>
        <v>0</v>
      </c>
      <c r="L3623">
        <f>Data!F3636</f>
        <v>0</v>
      </c>
      <c r="M3623">
        <f>Data!G3636</f>
        <v>0</v>
      </c>
      <c r="N3623">
        <f>Data!H3636</f>
        <v>0</v>
      </c>
      <c r="O3623">
        <f>Data!I3636</f>
        <v>0</v>
      </c>
      <c r="P3623" s="21">
        <f>Data!J3640</f>
        <v>0</v>
      </c>
      <c r="Q3623">
        <f>Data!K3640</f>
        <v>0</v>
      </c>
      <c r="R3623">
        <f>Data!L3640</f>
        <v>0</v>
      </c>
      <c r="S3623">
        <f>Data!M3640</f>
        <v>0</v>
      </c>
      <c r="T3623">
        <f>Data!N3640</f>
        <v>0</v>
      </c>
      <c r="U3623">
        <f>Data!O3640</f>
        <v>0</v>
      </c>
      <c r="V3623" s="33">
        <f>Data!P3638</f>
        <v>0</v>
      </c>
    </row>
    <row r="3624" spans="7:22" x14ac:dyDescent="0.25">
      <c r="G3624">
        <f>Data!A3637</f>
        <v>0</v>
      </c>
      <c r="H3624" s="21">
        <f>Data!B3637</f>
        <v>0</v>
      </c>
      <c r="I3624" s="21">
        <f>Data!C3637</f>
        <v>0</v>
      </c>
      <c r="J3624">
        <f>Data!D3637</f>
        <v>0</v>
      </c>
      <c r="K3624">
        <f>Data!E3637</f>
        <v>0</v>
      </c>
      <c r="L3624">
        <f>Data!F3637</f>
        <v>0</v>
      </c>
      <c r="M3624">
        <f>Data!G3637</f>
        <v>0</v>
      </c>
      <c r="N3624">
        <f>Data!H3637</f>
        <v>0</v>
      </c>
      <c r="O3624">
        <f>Data!I3637</f>
        <v>0</v>
      </c>
      <c r="P3624" s="21">
        <f>Data!J3641</f>
        <v>0</v>
      </c>
      <c r="Q3624">
        <f>Data!K3641</f>
        <v>0</v>
      </c>
      <c r="R3624">
        <f>Data!L3641</f>
        <v>0</v>
      </c>
      <c r="S3624">
        <f>Data!M3641</f>
        <v>0</v>
      </c>
      <c r="T3624">
        <f>Data!N3641</f>
        <v>0</v>
      </c>
      <c r="U3624">
        <f>Data!O3641</f>
        <v>0</v>
      </c>
      <c r="V3624" s="33">
        <f>Data!P3639</f>
        <v>0</v>
      </c>
    </row>
    <row r="3625" spans="7:22" x14ac:dyDescent="0.25">
      <c r="G3625">
        <f>Data!A3638</f>
        <v>0</v>
      </c>
      <c r="H3625" s="21">
        <f>Data!B3638</f>
        <v>0</v>
      </c>
      <c r="I3625" s="21">
        <f>Data!C3638</f>
        <v>0</v>
      </c>
      <c r="J3625">
        <f>Data!D3638</f>
        <v>0</v>
      </c>
      <c r="K3625">
        <f>Data!E3638</f>
        <v>0</v>
      </c>
      <c r="L3625">
        <f>Data!F3638</f>
        <v>0</v>
      </c>
      <c r="M3625">
        <f>Data!G3638</f>
        <v>0</v>
      </c>
      <c r="N3625">
        <f>Data!H3638</f>
        <v>0</v>
      </c>
      <c r="O3625">
        <f>Data!I3638</f>
        <v>0</v>
      </c>
      <c r="P3625" s="21">
        <f>Data!J3642</f>
        <v>0</v>
      </c>
      <c r="Q3625">
        <f>Data!K3642</f>
        <v>0</v>
      </c>
      <c r="R3625">
        <f>Data!L3642</f>
        <v>0</v>
      </c>
      <c r="S3625">
        <f>Data!M3642</f>
        <v>0</v>
      </c>
      <c r="T3625">
        <f>Data!N3642</f>
        <v>0</v>
      </c>
      <c r="U3625">
        <f>Data!O3642</f>
        <v>0</v>
      </c>
      <c r="V3625" s="33">
        <f>Data!P3640</f>
        <v>0</v>
      </c>
    </row>
    <row r="3626" spans="7:22" x14ac:dyDescent="0.25">
      <c r="G3626">
        <f>Data!A3639</f>
        <v>0</v>
      </c>
      <c r="H3626" s="21">
        <f>Data!B3639</f>
        <v>0</v>
      </c>
      <c r="I3626" s="21">
        <f>Data!C3639</f>
        <v>0</v>
      </c>
      <c r="J3626">
        <f>Data!D3639</f>
        <v>0</v>
      </c>
      <c r="K3626">
        <f>Data!E3639</f>
        <v>0</v>
      </c>
      <c r="L3626">
        <f>Data!F3639</f>
        <v>0</v>
      </c>
      <c r="M3626">
        <f>Data!G3639</f>
        <v>0</v>
      </c>
      <c r="N3626">
        <f>Data!H3639</f>
        <v>0</v>
      </c>
      <c r="O3626">
        <f>Data!I3639</f>
        <v>0</v>
      </c>
      <c r="P3626" s="21">
        <f>Data!J3643</f>
        <v>0</v>
      </c>
      <c r="Q3626">
        <f>Data!K3643</f>
        <v>0</v>
      </c>
      <c r="R3626">
        <f>Data!L3643</f>
        <v>0</v>
      </c>
      <c r="S3626">
        <f>Data!M3643</f>
        <v>0</v>
      </c>
      <c r="T3626">
        <f>Data!N3643</f>
        <v>0</v>
      </c>
      <c r="U3626">
        <f>Data!O3643</f>
        <v>0</v>
      </c>
      <c r="V3626" s="33">
        <f>Data!P3641</f>
        <v>0</v>
      </c>
    </row>
    <row r="3627" spans="7:22" x14ac:dyDescent="0.25">
      <c r="G3627">
        <f>Data!A3640</f>
        <v>0</v>
      </c>
      <c r="H3627" s="21">
        <f>Data!B3640</f>
        <v>0</v>
      </c>
      <c r="I3627" s="21">
        <f>Data!C3640</f>
        <v>0</v>
      </c>
      <c r="J3627">
        <f>Data!D3640</f>
        <v>0</v>
      </c>
      <c r="K3627">
        <f>Data!E3640</f>
        <v>0</v>
      </c>
      <c r="L3627">
        <f>Data!F3640</f>
        <v>0</v>
      </c>
      <c r="M3627">
        <f>Data!G3640</f>
        <v>0</v>
      </c>
      <c r="N3627">
        <f>Data!H3640</f>
        <v>0</v>
      </c>
      <c r="O3627">
        <f>Data!I3640</f>
        <v>0</v>
      </c>
      <c r="P3627" s="21">
        <f>Data!J3644</f>
        <v>0</v>
      </c>
      <c r="Q3627">
        <f>Data!K3644</f>
        <v>0</v>
      </c>
      <c r="R3627">
        <f>Data!L3644</f>
        <v>0</v>
      </c>
      <c r="S3627">
        <f>Data!M3644</f>
        <v>0</v>
      </c>
      <c r="T3627">
        <f>Data!N3644</f>
        <v>0</v>
      </c>
      <c r="U3627">
        <f>Data!O3644</f>
        <v>0</v>
      </c>
      <c r="V3627" s="33">
        <f>Data!P3642</f>
        <v>0</v>
      </c>
    </row>
    <row r="3628" spans="7:22" x14ac:dyDescent="0.25">
      <c r="G3628">
        <f>Data!A3641</f>
        <v>0</v>
      </c>
      <c r="H3628" s="21">
        <f>Data!B3641</f>
        <v>0</v>
      </c>
      <c r="I3628" s="21">
        <f>Data!C3641</f>
        <v>0</v>
      </c>
      <c r="J3628">
        <f>Data!D3641</f>
        <v>0</v>
      </c>
      <c r="K3628">
        <f>Data!E3641</f>
        <v>0</v>
      </c>
      <c r="L3628">
        <f>Data!F3641</f>
        <v>0</v>
      </c>
      <c r="M3628">
        <f>Data!G3641</f>
        <v>0</v>
      </c>
      <c r="N3628">
        <f>Data!H3641</f>
        <v>0</v>
      </c>
      <c r="O3628">
        <f>Data!I3641</f>
        <v>0</v>
      </c>
      <c r="P3628" s="21">
        <f>Data!J3645</f>
        <v>0</v>
      </c>
      <c r="Q3628">
        <f>Data!K3645</f>
        <v>0</v>
      </c>
      <c r="R3628">
        <f>Data!L3645</f>
        <v>0</v>
      </c>
      <c r="S3628">
        <f>Data!M3645</f>
        <v>0</v>
      </c>
      <c r="T3628">
        <f>Data!N3645</f>
        <v>0</v>
      </c>
      <c r="U3628">
        <f>Data!O3645</f>
        <v>0</v>
      </c>
      <c r="V3628" s="33">
        <f>Data!P3643</f>
        <v>0</v>
      </c>
    </row>
    <row r="3629" spans="7:22" x14ac:dyDescent="0.25">
      <c r="G3629">
        <f>Data!A3642</f>
        <v>0</v>
      </c>
      <c r="H3629" s="21">
        <f>Data!B3642</f>
        <v>0</v>
      </c>
      <c r="I3629" s="21">
        <f>Data!C3642</f>
        <v>0</v>
      </c>
      <c r="J3629">
        <f>Data!D3642</f>
        <v>0</v>
      </c>
      <c r="K3629">
        <f>Data!E3642</f>
        <v>0</v>
      </c>
      <c r="L3629">
        <f>Data!F3642</f>
        <v>0</v>
      </c>
      <c r="M3629">
        <f>Data!G3642</f>
        <v>0</v>
      </c>
      <c r="N3629">
        <f>Data!H3642</f>
        <v>0</v>
      </c>
      <c r="O3629">
        <f>Data!I3642</f>
        <v>0</v>
      </c>
      <c r="P3629" s="21">
        <f>Data!J3646</f>
        <v>0</v>
      </c>
      <c r="Q3629">
        <f>Data!K3646</f>
        <v>0</v>
      </c>
      <c r="R3629">
        <f>Data!L3646</f>
        <v>0</v>
      </c>
      <c r="S3629">
        <f>Data!M3646</f>
        <v>0</v>
      </c>
      <c r="T3629">
        <f>Data!N3646</f>
        <v>0</v>
      </c>
      <c r="U3629">
        <f>Data!O3646</f>
        <v>0</v>
      </c>
      <c r="V3629" s="33">
        <f>Data!P3644</f>
        <v>0</v>
      </c>
    </row>
    <row r="3630" spans="7:22" x14ac:dyDescent="0.25">
      <c r="G3630">
        <f>Data!A3643</f>
        <v>0</v>
      </c>
      <c r="H3630" s="21">
        <f>Data!B3643</f>
        <v>0</v>
      </c>
      <c r="I3630" s="21">
        <f>Data!C3643</f>
        <v>0</v>
      </c>
      <c r="J3630">
        <f>Data!D3643</f>
        <v>0</v>
      </c>
      <c r="K3630">
        <f>Data!E3643</f>
        <v>0</v>
      </c>
      <c r="L3630">
        <f>Data!F3643</f>
        <v>0</v>
      </c>
      <c r="M3630">
        <f>Data!G3643</f>
        <v>0</v>
      </c>
      <c r="N3630">
        <f>Data!H3643</f>
        <v>0</v>
      </c>
      <c r="O3630">
        <f>Data!I3643</f>
        <v>0</v>
      </c>
      <c r="P3630" s="21">
        <f>Data!J3647</f>
        <v>0</v>
      </c>
      <c r="Q3630">
        <f>Data!K3647</f>
        <v>0</v>
      </c>
      <c r="R3630">
        <f>Data!L3647</f>
        <v>0</v>
      </c>
      <c r="S3630">
        <f>Data!M3647</f>
        <v>0</v>
      </c>
      <c r="T3630">
        <f>Data!N3647</f>
        <v>0</v>
      </c>
      <c r="U3630">
        <f>Data!O3647</f>
        <v>0</v>
      </c>
      <c r="V3630" s="33">
        <f>Data!P3645</f>
        <v>0</v>
      </c>
    </row>
    <row r="3631" spans="7:22" x14ac:dyDescent="0.25">
      <c r="G3631">
        <f>Data!A3644</f>
        <v>0</v>
      </c>
      <c r="H3631" s="21">
        <f>Data!B3644</f>
        <v>0</v>
      </c>
      <c r="I3631" s="21">
        <f>Data!C3644</f>
        <v>0</v>
      </c>
      <c r="J3631">
        <f>Data!D3644</f>
        <v>0</v>
      </c>
      <c r="K3631">
        <f>Data!E3644</f>
        <v>0</v>
      </c>
      <c r="L3631">
        <f>Data!F3644</f>
        <v>0</v>
      </c>
      <c r="M3631">
        <f>Data!G3644</f>
        <v>0</v>
      </c>
      <c r="N3631">
        <f>Data!H3644</f>
        <v>0</v>
      </c>
      <c r="O3631">
        <f>Data!I3644</f>
        <v>0</v>
      </c>
      <c r="P3631" s="21">
        <f>Data!J3648</f>
        <v>0</v>
      </c>
      <c r="Q3631">
        <f>Data!K3648</f>
        <v>0</v>
      </c>
      <c r="R3631">
        <f>Data!L3648</f>
        <v>0</v>
      </c>
      <c r="S3631">
        <f>Data!M3648</f>
        <v>0</v>
      </c>
      <c r="T3631">
        <f>Data!N3648</f>
        <v>0</v>
      </c>
      <c r="U3631">
        <f>Data!O3648</f>
        <v>0</v>
      </c>
      <c r="V3631" s="33">
        <f>Data!P3646</f>
        <v>0</v>
      </c>
    </row>
    <row r="3632" spans="7:22" x14ac:dyDescent="0.25">
      <c r="G3632">
        <f>Data!A3645</f>
        <v>0</v>
      </c>
      <c r="H3632" s="21">
        <f>Data!B3645</f>
        <v>0</v>
      </c>
      <c r="I3632" s="21">
        <f>Data!C3645</f>
        <v>0</v>
      </c>
      <c r="J3632">
        <f>Data!D3645</f>
        <v>0</v>
      </c>
      <c r="K3632">
        <f>Data!E3645</f>
        <v>0</v>
      </c>
      <c r="L3632">
        <f>Data!F3645</f>
        <v>0</v>
      </c>
      <c r="M3632">
        <f>Data!G3645</f>
        <v>0</v>
      </c>
      <c r="N3632">
        <f>Data!H3645</f>
        <v>0</v>
      </c>
      <c r="O3632">
        <f>Data!I3645</f>
        <v>0</v>
      </c>
      <c r="P3632" s="21">
        <f>Data!J3649</f>
        <v>0</v>
      </c>
      <c r="Q3632">
        <f>Data!K3649</f>
        <v>0</v>
      </c>
      <c r="R3632">
        <f>Data!L3649</f>
        <v>0</v>
      </c>
      <c r="S3632">
        <f>Data!M3649</f>
        <v>0</v>
      </c>
      <c r="T3632">
        <f>Data!N3649</f>
        <v>0</v>
      </c>
      <c r="U3632">
        <f>Data!O3649</f>
        <v>0</v>
      </c>
      <c r="V3632" s="33">
        <f>Data!P3647</f>
        <v>0</v>
      </c>
    </row>
    <row r="3633" spans="7:22" x14ac:dyDescent="0.25">
      <c r="G3633">
        <f>Data!A3646</f>
        <v>0</v>
      </c>
      <c r="H3633" s="21">
        <f>Data!B3646</f>
        <v>0</v>
      </c>
      <c r="I3633" s="21">
        <f>Data!C3646</f>
        <v>0</v>
      </c>
      <c r="J3633">
        <f>Data!D3646</f>
        <v>0</v>
      </c>
      <c r="K3633">
        <f>Data!E3646</f>
        <v>0</v>
      </c>
      <c r="L3633">
        <f>Data!F3646</f>
        <v>0</v>
      </c>
      <c r="M3633">
        <f>Data!G3646</f>
        <v>0</v>
      </c>
      <c r="N3633">
        <f>Data!H3646</f>
        <v>0</v>
      </c>
      <c r="O3633">
        <f>Data!I3646</f>
        <v>0</v>
      </c>
      <c r="P3633" s="21">
        <f>Data!J3650</f>
        <v>0</v>
      </c>
      <c r="Q3633">
        <f>Data!K3650</f>
        <v>0</v>
      </c>
      <c r="R3633">
        <f>Data!L3650</f>
        <v>0</v>
      </c>
      <c r="S3633">
        <f>Data!M3650</f>
        <v>0</v>
      </c>
      <c r="T3633">
        <f>Data!N3650</f>
        <v>0</v>
      </c>
      <c r="U3633">
        <f>Data!O3650</f>
        <v>0</v>
      </c>
      <c r="V3633" s="33">
        <f>Data!P3648</f>
        <v>0</v>
      </c>
    </row>
    <row r="3634" spans="7:22" x14ac:dyDescent="0.25">
      <c r="G3634">
        <f>Data!A3647</f>
        <v>0</v>
      </c>
      <c r="H3634" s="21">
        <f>Data!B3647</f>
        <v>0</v>
      </c>
      <c r="I3634" s="21">
        <f>Data!C3647</f>
        <v>0</v>
      </c>
      <c r="J3634">
        <f>Data!D3647</f>
        <v>0</v>
      </c>
      <c r="K3634">
        <f>Data!E3647</f>
        <v>0</v>
      </c>
      <c r="L3634">
        <f>Data!F3647</f>
        <v>0</v>
      </c>
      <c r="M3634">
        <f>Data!G3647</f>
        <v>0</v>
      </c>
      <c r="N3634">
        <f>Data!H3647</f>
        <v>0</v>
      </c>
      <c r="O3634">
        <f>Data!I3647</f>
        <v>0</v>
      </c>
      <c r="P3634" s="21">
        <f>Data!J3651</f>
        <v>0</v>
      </c>
      <c r="Q3634">
        <f>Data!K3651</f>
        <v>0</v>
      </c>
      <c r="R3634">
        <f>Data!L3651</f>
        <v>0</v>
      </c>
      <c r="S3634">
        <f>Data!M3651</f>
        <v>0</v>
      </c>
      <c r="T3634">
        <f>Data!N3651</f>
        <v>0</v>
      </c>
      <c r="U3634">
        <f>Data!O3651</f>
        <v>0</v>
      </c>
      <c r="V3634" s="33">
        <f>Data!P3649</f>
        <v>0</v>
      </c>
    </row>
    <row r="3635" spans="7:22" x14ac:dyDescent="0.25">
      <c r="G3635">
        <f>Data!A3648</f>
        <v>0</v>
      </c>
      <c r="H3635" s="21">
        <f>Data!B3648</f>
        <v>0</v>
      </c>
      <c r="I3635" s="21">
        <f>Data!C3648</f>
        <v>0</v>
      </c>
      <c r="J3635">
        <f>Data!D3648</f>
        <v>0</v>
      </c>
      <c r="K3635">
        <f>Data!E3648</f>
        <v>0</v>
      </c>
      <c r="L3635">
        <f>Data!F3648</f>
        <v>0</v>
      </c>
      <c r="M3635">
        <f>Data!G3648</f>
        <v>0</v>
      </c>
      <c r="N3635">
        <f>Data!H3648</f>
        <v>0</v>
      </c>
      <c r="O3635">
        <f>Data!I3648</f>
        <v>0</v>
      </c>
      <c r="P3635" s="21">
        <f>Data!J3652</f>
        <v>0</v>
      </c>
      <c r="Q3635">
        <f>Data!K3652</f>
        <v>0</v>
      </c>
      <c r="R3635">
        <f>Data!L3652</f>
        <v>0</v>
      </c>
      <c r="S3635">
        <f>Data!M3652</f>
        <v>0</v>
      </c>
      <c r="T3635">
        <f>Data!N3652</f>
        <v>0</v>
      </c>
      <c r="U3635">
        <f>Data!O3652</f>
        <v>0</v>
      </c>
      <c r="V3635" s="33">
        <f>Data!P3650</f>
        <v>0</v>
      </c>
    </row>
    <row r="3636" spans="7:22" x14ac:dyDescent="0.25">
      <c r="G3636">
        <f>Data!A3649</f>
        <v>0</v>
      </c>
      <c r="H3636" s="21">
        <f>Data!B3649</f>
        <v>0</v>
      </c>
      <c r="I3636" s="21">
        <f>Data!C3649</f>
        <v>0</v>
      </c>
      <c r="J3636">
        <f>Data!D3649</f>
        <v>0</v>
      </c>
      <c r="K3636">
        <f>Data!E3649</f>
        <v>0</v>
      </c>
      <c r="L3636">
        <f>Data!F3649</f>
        <v>0</v>
      </c>
      <c r="M3636">
        <f>Data!G3649</f>
        <v>0</v>
      </c>
      <c r="N3636">
        <f>Data!H3649</f>
        <v>0</v>
      </c>
      <c r="O3636">
        <f>Data!I3649</f>
        <v>0</v>
      </c>
      <c r="P3636" s="21">
        <f>Data!J3653</f>
        <v>0</v>
      </c>
      <c r="Q3636">
        <f>Data!K3653</f>
        <v>0</v>
      </c>
      <c r="R3636">
        <f>Data!L3653</f>
        <v>0</v>
      </c>
      <c r="S3636">
        <f>Data!M3653</f>
        <v>0</v>
      </c>
      <c r="T3636">
        <f>Data!N3653</f>
        <v>0</v>
      </c>
      <c r="U3636">
        <f>Data!O3653</f>
        <v>0</v>
      </c>
      <c r="V3636" s="33">
        <f>Data!P3651</f>
        <v>0</v>
      </c>
    </row>
    <row r="3637" spans="7:22" x14ac:dyDescent="0.25">
      <c r="G3637">
        <f>Data!A3650</f>
        <v>0</v>
      </c>
      <c r="H3637" s="21">
        <f>Data!B3650</f>
        <v>0</v>
      </c>
      <c r="I3637" s="21">
        <f>Data!C3650</f>
        <v>0</v>
      </c>
      <c r="J3637">
        <f>Data!D3650</f>
        <v>0</v>
      </c>
      <c r="K3637">
        <f>Data!E3650</f>
        <v>0</v>
      </c>
      <c r="L3637">
        <f>Data!F3650</f>
        <v>0</v>
      </c>
      <c r="M3637">
        <f>Data!G3650</f>
        <v>0</v>
      </c>
      <c r="N3637">
        <f>Data!H3650</f>
        <v>0</v>
      </c>
      <c r="O3637">
        <f>Data!I3650</f>
        <v>0</v>
      </c>
      <c r="P3637" s="21">
        <f>Data!J3654</f>
        <v>0</v>
      </c>
      <c r="Q3637">
        <f>Data!K3654</f>
        <v>0</v>
      </c>
      <c r="R3637">
        <f>Data!L3654</f>
        <v>0</v>
      </c>
      <c r="S3637">
        <f>Data!M3654</f>
        <v>0</v>
      </c>
      <c r="T3637">
        <f>Data!N3654</f>
        <v>0</v>
      </c>
      <c r="U3637">
        <f>Data!O3654</f>
        <v>0</v>
      </c>
      <c r="V3637" s="33">
        <f>Data!P3652</f>
        <v>0</v>
      </c>
    </row>
    <row r="3638" spans="7:22" x14ac:dyDescent="0.25">
      <c r="G3638">
        <f>Data!A3651</f>
        <v>0</v>
      </c>
      <c r="H3638" s="21">
        <f>Data!B3651</f>
        <v>0</v>
      </c>
      <c r="I3638" s="21">
        <f>Data!C3651</f>
        <v>0</v>
      </c>
      <c r="J3638">
        <f>Data!D3651</f>
        <v>0</v>
      </c>
      <c r="K3638">
        <f>Data!E3651</f>
        <v>0</v>
      </c>
      <c r="L3638">
        <f>Data!F3651</f>
        <v>0</v>
      </c>
      <c r="M3638">
        <f>Data!G3651</f>
        <v>0</v>
      </c>
      <c r="N3638">
        <f>Data!H3651</f>
        <v>0</v>
      </c>
      <c r="O3638">
        <f>Data!I3651</f>
        <v>0</v>
      </c>
      <c r="P3638" s="21">
        <f>Data!J3655</f>
        <v>0</v>
      </c>
      <c r="Q3638">
        <f>Data!K3655</f>
        <v>0</v>
      </c>
      <c r="R3638">
        <f>Data!L3655</f>
        <v>0</v>
      </c>
      <c r="S3638">
        <f>Data!M3655</f>
        <v>0</v>
      </c>
      <c r="T3638">
        <f>Data!N3655</f>
        <v>0</v>
      </c>
      <c r="U3638">
        <f>Data!O3655</f>
        <v>0</v>
      </c>
      <c r="V3638" s="33">
        <f>Data!P3653</f>
        <v>0</v>
      </c>
    </row>
    <row r="3639" spans="7:22" x14ac:dyDescent="0.25">
      <c r="G3639">
        <f>Data!A3652</f>
        <v>0</v>
      </c>
      <c r="H3639" s="21">
        <f>Data!B3652</f>
        <v>0</v>
      </c>
      <c r="I3639" s="21">
        <f>Data!C3652</f>
        <v>0</v>
      </c>
      <c r="J3639">
        <f>Data!D3652</f>
        <v>0</v>
      </c>
      <c r="K3639">
        <f>Data!E3652</f>
        <v>0</v>
      </c>
      <c r="L3639">
        <f>Data!F3652</f>
        <v>0</v>
      </c>
      <c r="M3639">
        <f>Data!G3652</f>
        <v>0</v>
      </c>
      <c r="N3639">
        <f>Data!H3652</f>
        <v>0</v>
      </c>
      <c r="O3639">
        <f>Data!I3652</f>
        <v>0</v>
      </c>
      <c r="P3639" s="21">
        <f>Data!J3656</f>
        <v>0</v>
      </c>
      <c r="Q3639">
        <f>Data!K3656</f>
        <v>0</v>
      </c>
      <c r="R3639">
        <f>Data!L3656</f>
        <v>0</v>
      </c>
      <c r="S3639">
        <f>Data!M3656</f>
        <v>0</v>
      </c>
      <c r="T3639">
        <f>Data!N3656</f>
        <v>0</v>
      </c>
      <c r="U3639">
        <f>Data!O3656</f>
        <v>0</v>
      </c>
      <c r="V3639" s="33">
        <f>Data!P3654</f>
        <v>0</v>
      </c>
    </row>
    <row r="3640" spans="7:22" x14ac:dyDescent="0.25">
      <c r="G3640">
        <f>Data!A3653</f>
        <v>0</v>
      </c>
      <c r="H3640" s="21">
        <f>Data!B3653</f>
        <v>0</v>
      </c>
      <c r="I3640" s="21">
        <f>Data!C3653</f>
        <v>0</v>
      </c>
      <c r="J3640">
        <f>Data!D3653</f>
        <v>0</v>
      </c>
      <c r="K3640">
        <f>Data!E3653</f>
        <v>0</v>
      </c>
      <c r="L3640">
        <f>Data!F3653</f>
        <v>0</v>
      </c>
      <c r="M3640">
        <f>Data!G3653</f>
        <v>0</v>
      </c>
      <c r="N3640">
        <f>Data!H3653</f>
        <v>0</v>
      </c>
      <c r="O3640">
        <f>Data!I3653</f>
        <v>0</v>
      </c>
      <c r="P3640" s="21">
        <f>Data!J3657</f>
        <v>0</v>
      </c>
      <c r="Q3640">
        <f>Data!K3657</f>
        <v>0</v>
      </c>
      <c r="R3640">
        <f>Data!L3657</f>
        <v>0</v>
      </c>
      <c r="S3640">
        <f>Data!M3657</f>
        <v>0</v>
      </c>
      <c r="T3640">
        <f>Data!N3657</f>
        <v>0</v>
      </c>
      <c r="U3640">
        <f>Data!O3657</f>
        <v>0</v>
      </c>
      <c r="V3640" s="33">
        <f>Data!P3655</f>
        <v>0</v>
      </c>
    </row>
    <row r="3641" spans="7:22" x14ac:dyDescent="0.25">
      <c r="G3641">
        <f>Data!A3654</f>
        <v>0</v>
      </c>
      <c r="H3641" s="21">
        <f>Data!B3654</f>
        <v>0</v>
      </c>
      <c r="I3641" s="21">
        <f>Data!C3654</f>
        <v>0</v>
      </c>
      <c r="J3641">
        <f>Data!D3654</f>
        <v>0</v>
      </c>
      <c r="K3641">
        <f>Data!E3654</f>
        <v>0</v>
      </c>
      <c r="L3641">
        <f>Data!F3654</f>
        <v>0</v>
      </c>
      <c r="M3641">
        <f>Data!G3654</f>
        <v>0</v>
      </c>
      <c r="N3641">
        <f>Data!H3654</f>
        <v>0</v>
      </c>
      <c r="O3641">
        <f>Data!I3654</f>
        <v>0</v>
      </c>
      <c r="P3641" s="21">
        <f>Data!J3658</f>
        <v>0</v>
      </c>
      <c r="Q3641">
        <f>Data!K3658</f>
        <v>0</v>
      </c>
      <c r="R3641">
        <f>Data!L3658</f>
        <v>0</v>
      </c>
      <c r="S3641">
        <f>Data!M3658</f>
        <v>0</v>
      </c>
      <c r="T3641">
        <f>Data!N3658</f>
        <v>0</v>
      </c>
      <c r="U3641">
        <f>Data!O3658</f>
        <v>0</v>
      </c>
      <c r="V3641" s="33">
        <f>Data!P3656</f>
        <v>0</v>
      </c>
    </row>
    <row r="3642" spans="7:22" x14ac:dyDescent="0.25">
      <c r="G3642">
        <f>Data!A3655</f>
        <v>0</v>
      </c>
      <c r="H3642" s="21">
        <f>Data!B3655</f>
        <v>0</v>
      </c>
      <c r="I3642" s="21">
        <f>Data!C3655</f>
        <v>0</v>
      </c>
      <c r="J3642">
        <f>Data!D3655</f>
        <v>0</v>
      </c>
      <c r="K3642">
        <f>Data!E3655</f>
        <v>0</v>
      </c>
      <c r="L3642">
        <f>Data!F3655</f>
        <v>0</v>
      </c>
      <c r="M3642">
        <f>Data!G3655</f>
        <v>0</v>
      </c>
      <c r="N3642">
        <f>Data!H3655</f>
        <v>0</v>
      </c>
      <c r="O3642">
        <f>Data!I3655</f>
        <v>0</v>
      </c>
      <c r="P3642" s="21">
        <f>Data!J3659</f>
        <v>0</v>
      </c>
      <c r="Q3642">
        <f>Data!K3659</f>
        <v>0</v>
      </c>
      <c r="R3642">
        <f>Data!L3659</f>
        <v>0</v>
      </c>
      <c r="S3642">
        <f>Data!M3659</f>
        <v>0</v>
      </c>
      <c r="T3642">
        <f>Data!N3659</f>
        <v>0</v>
      </c>
      <c r="U3642">
        <f>Data!O3659</f>
        <v>0</v>
      </c>
      <c r="V3642" s="33">
        <f>Data!P3657</f>
        <v>0</v>
      </c>
    </row>
    <row r="3643" spans="7:22" x14ac:dyDescent="0.25">
      <c r="G3643">
        <f>Data!A3656</f>
        <v>0</v>
      </c>
      <c r="H3643" s="21">
        <f>Data!B3656</f>
        <v>0</v>
      </c>
      <c r="I3643" s="21">
        <f>Data!C3656</f>
        <v>0</v>
      </c>
      <c r="J3643">
        <f>Data!D3656</f>
        <v>0</v>
      </c>
      <c r="K3643">
        <f>Data!E3656</f>
        <v>0</v>
      </c>
      <c r="L3643">
        <f>Data!F3656</f>
        <v>0</v>
      </c>
      <c r="M3643">
        <f>Data!G3656</f>
        <v>0</v>
      </c>
      <c r="N3643">
        <f>Data!H3656</f>
        <v>0</v>
      </c>
      <c r="O3643">
        <f>Data!I3656</f>
        <v>0</v>
      </c>
      <c r="P3643" s="21">
        <f>Data!J3660</f>
        <v>0</v>
      </c>
      <c r="Q3643">
        <f>Data!K3660</f>
        <v>0</v>
      </c>
      <c r="R3643">
        <f>Data!L3660</f>
        <v>0</v>
      </c>
      <c r="S3643">
        <f>Data!M3660</f>
        <v>0</v>
      </c>
      <c r="T3643">
        <f>Data!N3660</f>
        <v>0</v>
      </c>
      <c r="U3643">
        <f>Data!O3660</f>
        <v>0</v>
      </c>
      <c r="V3643" s="33">
        <f>Data!P3658</f>
        <v>0</v>
      </c>
    </row>
    <row r="3644" spans="7:22" x14ac:dyDescent="0.25">
      <c r="G3644">
        <f>Data!A3657</f>
        <v>0</v>
      </c>
      <c r="H3644" s="21">
        <f>Data!B3657</f>
        <v>0</v>
      </c>
      <c r="I3644" s="21">
        <f>Data!C3657</f>
        <v>0</v>
      </c>
      <c r="J3644">
        <f>Data!D3657</f>
        <v>0</v>
      </c>
      <c r="K3644">
        <f>Data!E3657</f>
        <v>0</v>
      </c>
      <c r="L3644">
        <f>Data!F3657</f>
        <v>0</v>
      </c>
      <c r="M3644">
        <f>Data!G3657</f>
        <v>0</v>
      </c>
      <c r="N3644">
        <f>Data!H3657</f>
        <v>0</v>
      </c>
      <c r="O3644">
        <f>Data!I3657</f>
        <v>0</v>
      </c>
      <c r="P3644" s="21">
        <f>Data!J3661</f>
        <v>0</v>
      </c>
      <c r="Q3644">
        <f>Data!K3661</f>
        <v>0</v>
      </c>
      <c r="R3644">
        <f>Data!L3661</f>
        <v>0</v>
      </c>
      <c r="S3644">
        <f>Data!M3661</f>
        <v>0</v>
      </c>
      <c r="T3644">
        <f>Data!N3661</f>
        <v>0</v>
      </c>
      <c r="U3644">
        <f>Data!O3661</f>
        <v>0</v>
      </c>
      <c r="V3644" s="33">
        <f>Data!P3659</f>
        <v>0</v>
      </c>
    </row>
    <row r="3645" spans="7:22" x14ac:dyDescent="0.25">
      <c r="G3645">
        <f>Data!A3658</f>
        <v>0</v>
      </c>
      <c r="H3645" s="21">
        <f>Data!B3658</f>
        <v>0</v>
      </c>
      <c r="I3645" s="21">
        <f>Data!C3658</f>
        <v>0</v>
      </c>
      <c r="J3645">
        <f>Data!D3658</f>
        <v>0</v>
      </c>
      <c r="K3645">
        <f>Data!E3658</f>
        <v>0</v>
      </c>
      <c r="L3645">
        <f>Data!F3658</f>
        <v>0</v>
      </c>
      <c r="M3645">
        <f>Data!G3658</f>
        <v>0</v>
      </c>
      <c r="N3645">
        <f>Data!H3658</f>
        <v>0</v>
      </c>
      <c r="O3645">
        <f>Data!I3658</f>
        <v>0</v>
      </c>
      <c r="P3645" s="21">
        <f>Data!J3662</f>
        <v>0</v>
      </c>
      <c r="Q3645">
        <f>Data!K3662</f>
        <v>0</v>
      </c>
      <c r="R3645">
        <f>Data!L3662</f>
        <v>0</v>
      </c>
      <c r="S3645">
        <f>Data!M3662</f>
        <v>0</v>
      </c>
      <c r="T3645">
        <f>Data!N3662</f>
        <v>0</v>
      </c>
      <c r="U3645">
        <f>Data!O3662</f>
        <v>0</v>
      </c>
      <c r="V3645" s="33">
        <f>Data!P3660</f>
        <v>0</v>
      </c>
    </row>
    <row r="3646" spans="7:22" x14ac:dyDescent="0.25">
      <c r="G3646">
        <f>Data!A3659</f>
        <v>0</v>
      </c>
      <c r="H3646" s="21">
        <f>Data!B3659</f>
        <v>0</v>
      </c>
      <c r="I3646" s="21">
        <f>Data!C3659</f>
        <v>0</v>
      </c>
      <c r="J3646">
        <f>Data!D3659</f>
        <v>0</v>
      </c>
      <c r="K3646">
        <f>Data!E3659</f>
        <v>0</v>
      </c>
      <c r="L3646">
        <f>Data!F3659</f>
        <v>0</v>
      </c>
      <c r="M3646">
        <f>Data!G3659</f>
        <v>0</v>
      </c>
      <c r="N3646">
        <f>Data!H3659</f>
        <v>0</v>
      </c>
      <c r="O3646">
        <f>Data!I3659</f>
        <v>0</v>
      </c>
      <c r="P3646" s="21">
        <f>Data!J3663</f>
        <v>0</v>
      </c>
      <c r="Q3646">
        <f>Data!K3663</f>
        <v>0</v>
      </c>
      <c r="R3646">
        <f>Data!L3663</f>
        <v>0</v>
      </c>
      <c r="S3646">
        <f>Data!M3663</f>
        <v>0</v>
      </c>
      <c r="T3646">
        <f>Data!N3663</f>
        <v>0</v>
      </c>
      <c r="U3646">
        <f>Data!O3663</f>
        <v>0</v>
      </c>
      <c r="V3646" s="33">
        <f>Data!P3661</f>
        <v>0</v>
      </c>
    </row>
    <row r="3647" spans="7:22" x14ac:dyDescent="0.25">
      <c r="G3647">
        <f>Data!A3660</f>
        <v>0</v>
      </c>
      <c r="H3647" s="21">
        <f>Data!B3660</f>
        <v>0</v>
      </c>
      <c r="I3647" s="21">
        <f>Data!C3660</f>
        <v>0</v>
      </c>
      <c r="J3647">
        <f>Data!D3660</f>
        <v>0</v>
      </c>
      <c r="K3647">
        <f>Data!E3660</f>
        <v>0</v>
      </c>
      <c r="L3647">
        <f>Data!F3660</f>
        <v>0</v>
      </c>
      <c r="M3647">
        <f>Data!G3660</f>
        <v>0</v>
      </c>
      <c r="N3647">
        <f>Data!H3660</f>
        <v>0</v>
      </c>
      <c r="O3647">
        <f>Data!I3660</f>
        <v>0</v>
      </c>
      <c r="P3647" s="21">
        <f>Data!J3664</f>
        <v>0</v>
      </c>
      <c r="Q3647">
        <f>Data!K3664</f>
        <v>0</v>
      </c>
      <c r="R3647">
        <f>Data!L3664</f>
        <v>0</v>
      </c>
      <c r="S3647">
        <f>Data!M3664</f>
        <v>0</v>
      </c>
      <c r="T3647">
        <f>Data!N3664</f>
        <v>0</v>
      </c>
      <c r="U3647">
        <f>Data!O3664</f>
        <v>0</v>
      </c>
      <c r="V3647" s="33">
        <f>Data!P3662</f>
        <v>0</v>
      </c>
    </row>
    <row r="3648" spans="7:22" x14ac:dyDescent="0.25">
      <c r="G3648">
        <f>Data!A3661</f>
        <v>0</v>
      </c>
      <c r="H3648" s="21">
        <f>Data!B3661</f>
        <v>0</v>
      </c>
      <c r="I3648" s="21">
        <f>Data!C3661</f>
        <v>0</v>
      </c>
      <c r="J3648">
        <f>Data!D3661</f>
        <v>0</v>
      </c>
      <c r="K3648">
        <f>Data!E3661</f>
        <v>0</v>
      </c>
      <c r="L3648">
        <f>Data!F3661</f>
        <v>0</v>
      </c>
      <c r="M3648">
        <f>Data!G3661</f>
        <v>0</v>
      </c>
      <c r="N3648">
        <f>Data!H3661</f>
        <v>0</v>
      </c>
      <c r="O3648">
        <f>Data!I3661</f>
        <v>0</v>
      </c>
      <c r="P3648" s="21">
        <f>Data!J3665</f>
        <v>0</v>
      </c>
      <c r="Q3648">
        <f>Data!K3665</f>
        <v>0</v>
      </c>
      <c r="R3648">
        <f>Data!L3665</f>
        <v>0</v>
      </c>
      <c r="S3648">
        <f>Data!M3665</f>
        <v>0</v>
      </c>
      <c r="T3648">
        <f>Data!N3665</f>
        <v>0</v>
      </c>
      <c r="U3648">
        <f>Data!O3665</f>
        <v>0</v>
      </c>
      <c r="V3648" s="33">
        <f>Data!P3663</f>
        <v>0</v>
      </c>
    </row>
    <row r="3649" spans="7:22" x14ac:dyDescent="0.25">
      <c r="G3649">
        <f>Data!A3662</f>
        <v>0</v>
      </c>
      <c r="H3649" s="21">
        <f>Data!B3662</f>
        <v>0</v>
      </c>
      <c r="I3649" s="21">
        <f>Data!C3662</f>
        <v>0</v>
      </c>
      <c r="J3649">
        <f>Data!D3662</f>
        <v>0</v>
      </c>
      <c r="K3649">
        <f>Data!E3662</f>
        <v>0</v>
      </c>
      <c r="L3649">
        <f>Data!F3662</f>
        <v>0</v>
      </c>
      <c r="M3649">
        <f>Data!G3662</f>
        <v>0</v>
      </c>
      <c r="N3649">
        <f>Data!H3662</f>
        <v>0</v>
      </c>
      <c r="O3649">
        <f>Data!I3662</f>
        <v>0</v>
      </c>
      <c r="P3649" s="21">
        <f>Data!J3666</f>
        <v>0</v>
      </c>
      <c r="Q3649">
        <f>Data!K3666</f>
        <v>0</v>
      </c>
      <c r="R3649">
        <f>Data!L3666</f>
        <v>0</v>
      </c>
      <c r="S3649">
        <f>Data!M3666</f>
        <v>0</v>
      </c>
      <c r="T3649">
        <f>Data!N3666</f>
        <v>0</v>
      </c>
      <c r="U3649">
        <f>Data!O3666</f>
        <v>0</v>
      </c>
      <c r="V3649" s="33">
        <f>Data!P3664</f>
        <v>0</v>
      </c>
    </row>
    <row r="3650" spans="7:22" x14ac:dyDescent="0.25">
      <c r="G3650">
        <f>Data!A3663</f>
        <v>0</v>
      </c>
      <c r="H3650" s="21">
        <f>Data!B3663</f>
        <v>0</v>
      </c>
      <c r="I3650" s="21">
        <f>Data!C3663</f>
        <v>0</v>
      </c>
      <c r="J3650">
        <f>Data!D3663</f>
        <v>0</v>
      </c>
      <c r="K3650">
        <f>Data!E3663</f>
        <v>0</v>
      </c>
      <c r="L3650">
        <f>Data!F3663</f>
        <v>0</v>
      </c>
      <c r="M3650">
        <f>Data!G3663</f>
        <v>0</v>
      </c>
      <c r="N3650">
        <f>Data!H3663</f>
        <v>0</v>
      </c>
      <c r="O3650">
        <f>Data!I3663</f>
        <v>0</v>
      </c>
      <c r="P3650" s="21">
        <f>Data!J3667</f>
        <v>0</v>
      </c>
      <c r="Q3650">
        <f>Data!K3667</f>
        <v>0</v>
      </c>
      <c r="R3650">
        <f>Data!L3667</f>
        <v>0</v>
      </c>
      <c r="S3650">
        <f>Data!M3667</f>
        <v>0</v>
      </c>
      <c r="T3650">
        <f>Data!N3667</f>
        <v>0</v>
      </c>
      <c r="U3650">
        <f>Data!O3667</f>
        <v>0</v>
      </c>
      <c r="V3650" s="33">
        <f>Data!P3665</f>
        <v>0</v>
      </c>
    </row>
    <row r="3651" spans="7:22" x14ac:dyDescent="0.25">
      <c r="G3651">
        <f>Data!A3664</f>
        <v>0</v>
      </c>
      <c r="H3651" s="21">
        <f>Data!B3664</f>
        <v>0</v>
      </c>
      <c r="I3651" s="21">
        <f>Data!C3664</f>
        <v>0</v>
      </c>
      <c r="J3651">
        <f>Data!D3664</f>
        <v>0</v>
      </c>
      <c r="K3651">
        <f>Data!E3664</f>
        <v>0</v>
      </c>
      <c r="L3651">
        <f>Data!F3664</f>
        <v>0</v>
      </c>
      <c r="M3651">
        <f>Data!G3664</f>
        <v>0</v>
      </c>
      <c r="N3651">
        <f>Data!H3664</f>
        <v>0</v>
      </c>
      <c r="O3651">
        <f>Data!I3664</f>
        <v>0</v>
      </c>
      <c r="P3651" s="21">
        <f>Data!J3668</f>
        <v>0</v>
      </c>
      <c r="Q3651">
        <f>Data!K3668</f>
        <v>0</v>
      </c>
      <c r="R3651">
        <f>Data!L3668</f>
        <v>0</v>
      </c>
      <c r="S3651">
        <f>Data!M3668</f>
        <v>0</v>
      </c>
      <c r="T3651">
        <f>Data!N3668</f>
        <v>0</v>
      </c>
      <c r="U3651">
        <f>Data!O3668</f>
        <v>0</v>
      </c>
      <c r="V3651" s="33">
        <f>Data!P3666</f>
        <v>0</v>
      </c>
    </row>
    <row r="3652" spans="7:22" x14ac:dyDescent="0.25">
      <c r="G3652">
        <f>Data!A3665</f>
        <v>0</v>
      </c>
      <c r="H3652" s="21">
        <f>Data!B3665</f>
        <v>0</v>
      </c>
      <c r="I3652" s="21">
        <f>Data!C3665</f>
        <v>0</v>
      </c>
      <c r="J3652">
        <f>Data!D3665</f>
        <v>0</v>
      </c>
      <c r="K3652">
        <f>Data!E3665</f>
        <v>0</v>
      </c>
      <c r="L3652">
        <f>Data!F3665</f>
        <v>0</v>
      </c>
      <c r="M3652">
        <f>Data!G3665</f>
        <v>0</v>
      </c>
      <c r="N3652">
        <f>Data!H3665</f>
        <v>0</v>
      </c>
      <c r="O3652">
        <f>Data!I3665</f>
        <v>0</v>
      </c>
      <c r="P3652" s="21">
        <f>Data!J3669</f>
        <v>0</v>
      </c>
      <c r="Q3652">
        <f>Data!K3669</f>
        <v>0</v>
      </c>
      <c r="R3652">
        <f>Data!L3669</f>
        <v>0</v>
      </c>
      <c r="S3652">
        <f>Data!M3669</f>
        <v>0</v>
      </c>
      <c r="T3652">
        <f>Data!N3669</f>
        <v>0</v>
      </c>
      <c r="U3652">
        <f>Data!O3669</f>
        <v>0</v>
      </c>
      <c r="V3652" s="33">
        <f>Data!P3667</f>
        <v>0</v>
      </c>
    </row>
    <row r="3653" spans="7:22" x14ac:dyDescent="0.25">
      <c r="G3653">
        <f>Data!A3666</f>
        <v>0</v>
      </c>
      <c r="H3653" s="21">
        <f>Data!B3666</f>
        <v>0</v>
      </c>
      <c r="I3653" s="21">
        <f>Data!C3666</f>
        <v>0</v>
      </c>
      <c r="J3653">
        <f>Data!D3666</f>
        <v>0</v>
      </c>
      <c r="K3653">
        <f>Data!E3666</f>
        <v>0</v>
      </c>
      <c r="L3653">
        <f>Data!F3666</f>
        <v>0</v>
      </c>
      <c r="M3653">
        <f>Data!G3666</f>
        <v>0</v>
      </c>
      <c r="N3653">
        <f>Data!H3666</f>
        <v>0</v>
      </c>
      <c r="O3653">
        <f>Data!I3666</f>
        <v>0</v>
      </c>
      <c r="P3653" s="21">
        <f>Data!J3670</f>
        <v>0</v>
      </c>
      <c r="Q3653">
        <f>Data!K3670</f>
        <v>0</v>
      </c>
      <c r="R3653">
        <f>Data!L3670</f>
        <v>0</v>
      </c>
      <c r="S3653">
        <f>Data!M3670</f>
        <v>0</v>
      </c>
      <c r="T3653">
        <f>Data!N3670</f>
        <v>0</v>
      </c>
      <c r="U3653">
        <f>Data!O3670</f>
        <v>0</v>
      </c>
      <c r="V3653" s="33">
        <f>Data!P3668</f>
        <v>0</v>
      </c>
    </row>
    <row r="3654" spans="7:22" x14ac:dyDescent="0.25">
      <c r="G3654">
        <f>Data!A3667</f>
        <v>0</v>
      </c>
      <c r="H3654" s="21">
        <f>Data!B3667</f>
        <v>0</v>
      </c>
      <c r="I3654" s="21">
        <f>Data!C3667</f>
        <v>0</v>
      </c>
      <c r="J3654">
        <f>Data!D3667</f>
        <v>0</v>
      </c>
      <c r="K3654">
        <f>Data!E3667</f>
        <v>0</v>
      </c>
      <c r="L3654">
        <f>Data!F3667</f>
        <v>0</v>
      </c>
      <c r="M3654">
        <f>Data!G3667</f>
        <v>0</v>
      </c>
      <c r="N3654">
        <f>Data!H3667</f>
        <v>0</v>
      </c>
      <c r="O3654">
        <f>Data!I3667</f>
        <v>0</v>
      </c>
      <c r="P3654" s="21">
        <f>Data!J3671</f>
        <v>0</v>
      </c>
      <c r="Q3654">
        <f>Data!K3671</f>
        <v>0</v>
      </c>
      <c r="R3654">
        <f>Data!L3671</f>
        <v>0</v>
      </c>
      <c r="S3654">
        <f>Data!M3671</f>
        <v>0</v>
      </c>
      <c r="T3654">
        <f>Data!N3671</f>
        <v>0</v>
      </c>
      <c r="U3654">
        <f>Data!O3671</f>
        <v>0</v>
      </c>
      <c r="V3654" s="33">
        <f>Data!P3669</f>
        <v>0</v>
      </c>
    </row>
    <row r="3655" spans="7:22" x14ac:dyDescent="0.25">
      <c r="G3655">
        <f>Data!A3668</f>
        <v>0</v>
      </c>
      <c r="H3655" s="21">
        <f>Data!B3668</f>
        <v>0</v>
      </c>
      <c r="I3655" s="21">
        <f>Data!C3668</f>
        <v>0</v>
      </c>
      <c r="J3655">
        <f>Data!D3668</f>
        <v>0</v>
      </c>
      <c r="K3655">
        <f>Data!E3668</f>
        <v>0</v>
      </c>
      <c r="L3655">
        <f>Data!F3668</f>
        <v>0</v>
      </c>
      <c r="M3655">
        <f>Data!G3668</f>
        <v>0</v>
      </c>
      <c r="N3655">
        <f>Data!H3668</f>
        <v>0</v>
      </c>
      <c r="O3655">
        <f>Data!I3668</f>
        <v>0</v>
      </c>
      <c r="P3655" s="21">
        <f>Data!J3672</f>
        <v>0</v>
      </c>
      <c r="Q3655">
        <f>Data!K3672</f>
        <v>0</v>
      </c>
      <c r="R3655">
        <f>Data!L3672</f>
        <v>0</v>
      </c>
      <c r="S3655">
        <f>Data!M3672</f>
        <v>0</v>
      </c>
      <c r="T3655">
        <f>Data!N3672</f>
        <v>0</v>
      </c>
      <c r="U3655">
        <f>Data!O3672</f>
        <v>0</v>
      </c>
      <c r="V3655" s="33">
        <f>Data!P3670</f>
        <v>0</v>
      </c>
    </row>
    <row r="3656" spans="7:22" x14ac:dyDescent="0.25">
      <c r="G3656">
        <f>Data!A3669</f>
        <v>0</v>
      </c>
      <c r="H3656" s="21">
        <f>Data!B3669</f>
        <v>0</v>
      </c>
      <c r="I3656" s="21">
        <f>Data!C3669</f>
        <v>0</v>
      </c>
      <c r="J3656">
        <f>Data!D3669</f>
        <v>0</v>
      </c>
      <c r="K3656">
        <f>Data!E3669</f>
        <v>0</v>
      </c>
      <c r="L3656">
        <f>Data!F3669</f>
        <v>0</v>
      </c>
      <c r="M3656">
        <f>Data!G3669</f>
        <v>0</v>
      </c>
      <c r="N3656">
        <f>Data!H3669</f>
        <v>0</v>
      </c>
      <c r="O3656">
        <f>Data!I3669</f>
        <v>0</v>
      </c>
      <c r="P3656" s="21">
        <f>Data!J3673</f>
        <v>0</v>
      </c>
      <c r="Q3656">
        <f>Data!K3673</f>
        <v>0</v>
      </c>
      <c r="R3656">
        <f>Data!L3673</f>
        <v>0</v>
      </c>
      <c r="S3656">
        <f>Data!M3673</f>
        <v>0</v>
      </c>
      <c r="T3656">
        <f>Data!N3673</f>
        <v>0</v>
      </c>
      <c r="U3656">
        <f>Data!O3673</f>
        <v>0</v>
      </c>
      <c r="V3656" s="33">
        <f>Data!P3671</f>
        <v>0</v>
      </c>
    </row>
    <row r="3657" spans="7:22" x14ac:dyDescent="0.25">
      <c r="G3657">
        <f>Data!A3670</f>
        <v>0</v>
      </c>
      <c r="H3657" s="21">
        <f>Data!B3670</f>
        <v>0</v>
      </c>
      <c r="I3657" s="21">
        <f>Data!C3670</f>
        <v>0</v>
      </c>
      <c r="J3657">
        <f>Data!D3670</f>
        <v>0</v>
      </c>
      <c r="K3657">
        <f>Data!E3670</f>
        <v>0</v>
      </c>
      <c r="L3657">
        <f>Data!F3670</f>
        <v>0</v>
      </c>
      <c r="M3657">
        <f>Data!G3670</f>
        <v>0</v>
      </c>
      <c r="N3657">
        <f>Data!H3670</f>
        <v>0</v>
      </c>
      <c r="O3657">
        <f>Data!I3670</f>
        <v>0</v>
      </c>
      <c r="P3657" s="21">
        <f>Data!J3674</f>
        <v>0</v>
      </c>
      <c r="Q3657">
        <f>Data!K3674</f>
        <v>0</v>
      </c>
      <c r="R3657">
        <f>Data!L3674</f>
        <v>0</v>
      </c>
      <c r="S3657">
        <f>Data!M3674</f>
        <v>0</v>
      </c>
      <c r="T3657">
        <f>Data!N3674</f>
        <v>0</v>
      </c>
      <c r="U3657">
        <f>Data!O3674</f>
        <v>0</v>
      </c>
      <c r="V3657" s="33">
        <f>Data!P3672</f>
        <v>0</v>
      </c>
    </row>
    <row r="3658" spans="7:22" x14ac:dyDescent="0.25">
      <c r="G3658">
        <f>Data!A3671</f>
        <v>0</v>
      </c>
      <c r="H3658" s="21">
        <f>Data!B3671</f>
        <v>0</v>
      </c>
      <c r="I3658" s="21">
        <f>Data!C3671</f>
        <v>0</v>
      </c>
      <c r="J3658">
        <f>Data!D3671</f>
        <v>0</v>
      </c>
      <c r="K3658">
        <f>Data!E3671</f>
        <v>0</v>
      </c>
      <c r="L3658">
        <f>Data!F3671</f>
        <v>0</v>
      </c>
      <c r="M3658">
        <f>Data!G3671</f>
        <v>0</v>
      </c>
      <c r="N3658">
        <f>Data!H3671</f>
        <v>0</v>
      </c>
      <c r="O3658">
        <f>Data!I3671</f>
        <v>0</v>
      </c>
      <c r="P3658" s="21">
        <f>Data!J3675</f>
        <v>0</v>
      </c>
      <c r="Q3658">
        <f>Data!K3675</f>
        <v>0</v>
      </c>
      <c r="R3658">
        <f>Data!L3675</f>
        <v>0</v>
      </c>
      <c r="S3658">
        <f>Data!M3675</f>
        <v>0</v>
      </c>
      <c r="T3658">
        <f>Data!N3675</f>
        <v>0</v>
      </c>
      <c r="U3658">
        <f>Data!O3675</f>
        <v>0</v>
      </c>
      <c r="V3658" s="33">
        <f>Data!P3673</f>
        <v>0</v>
      </c>
    </row>
    <row r="3659" spans="7:22" x14ac:dyDescent="0.25">
      <c r="G3659">
        <f>Data!A3672</f>
        <v>0</v>
      </c>
      <c r="H3659" s="21">
        <f>Data!B3672</f>
        <v>0</v>
      </c>
      <c r="I3659" s="21">
        <f>Data!C3672</f>
        <v>0</v>
      </c>
      <c r="J3659">
        <f>Data!D3672</f>
        <v>0</v>
      </c>
      <c r="K3659">
        <f>Data!E3672</f>
        <v>0</v>
      </c>
      <c r="L3659">
        <f>Data!F3672</f>
        <v>0</v>
      </c>
      <c r="M3659">
        <f>Data!G3672</f>
        <v>0</v>
      </c>
      <c r="N3659">
        <f>Data!H3672</f>
        <v>0</v>
      </c>
      <c r="O3659">
        <f>Data!I3672</f>
        <v>0</v>
      </c>
      <c r="P3659" s="21">
        <f>Data!J3676</f>
        <v>0</v>
      </c>
      <c r="Q3659">
        <f>Data!K3676</f>
        <v>0</v>
      </c>
      <c r="R3659">
        <f>Data!L3676</f>
        <v>0</v>
      </c>
      <c r="S3659">
        <f>Data!M3676</f>
        <v>0</v>
      </c>
      <c r="T3659">
        <f>Data!N3676</f>
        <v>0</v>
      </c>
      <c r="U3659">
        <f>Data!O3676</f>
        <v>0</v>
      </c>
      <c r="V3659" s="33">
        <f>Data!P3674</f>
        <v>0</v>
      </c>
    </row>
    <row r="3660" spans="7:22" x14ac:dyDescent="0.25">
      <c r="G3660">
        <f>Data!A3673</f>
        <v>0</v>
      </c>
      <c r="H3660" s="21">
        <f>Data!B3673</f>
        <v>0</v>
      </c>
      <c r="I3660" s="21">
        <f>Data!C3673</f>
        <v>0</v>
      </c>
      <c r="J3660">
        <f>Data!D3673</f>
        <v>0</v>
      </c>
      <c r="K3660">
        <f>Data!E3673</f>
        <v>0</v>
      </c>
      <c r="L3660">
        <f>Data!F3673</f>
        <v>0</v>
      </c>
      <c r="M3660">
        <f>Data!G3673</f>
        <v>0</v>
      </c>
      <c r="N3660">
        <f>Data!H3673</f>
        <v>0</v>
      </c>
      <c r="O3660">
        <f>Data!I3673</f>
        <v>0</v>
      </c>
      <c r="P3660" s="21">
        <f>Data!J3677</f>
        <v>0</v>
      </c>
      <c r="Q3660">
        <f>Data!K3677</f>
        <v>0</v>
      </c>
      <c r="R3660">
        <f>Data!L3677</f>
        <v>0</v>
      </c>
      <c r="S3660">
        <f>Data!M3677</f>
        <v>0</v>
      </c>
      <c r="T3660">
        <f>Data!N3677</f>
        <v>0</v>
      </c>
      <c r="U3660">
        <f>Data!O3677</f>
        <v>0</v>
      </c>
      <c r="V3660" s="33">
        <f>Data!P3675</f>
        <v>0</v>
      </c>
    </row>
    <row r="3661" spans="7:22" x14ac:dyDescent="0.25">
      <c r="G3661">
        <f>Data!A3674</f>
        <v>0</v>
      </c>
      <c r="H3661" s="21">
        <f>Data!B3674</f>
        <v>0</v>
      </c>
      <c r="I3661" s="21">
        <f>Data!C3674</f>
        <v>0</v>
      </c>
      <c r="J3661">
        <f>Data!D3674</f>
        <v>0</v>
      </c>
      <c r="K3661">
        <f>Data!E3674</f>
        <v>0</v>
      </c>
      <c r="L3661">
        <f>Data!F3674</f>
        <v>0</v>
      </c>
      <c r="M3661">
        <f>Data!G3674</f>
        <v>0</v>
      </c>
      <c r="N3661">
        <f>Data!H3674</f>
        <v>0</v>
      </c>
      <c r="O3661">
        <f>Data!I3674</f>
        <v>0</v>
      </c>
      <c r="P3661" s="21">
        <f>Data!J3678</f>
        <v>0</v>
      </c>
      <c r="Q3661">
        <f>Data!K3678</f>
        <v>0</v>
      </c>
      <c r="R3661">
        <f>Data!L3678</f>
        <v>0</v>
      </c>
      <c r="S3661">
        <f>Data!M3678</f>
        <v>0</v>
      </c>
      <c r="T3661">
        <f>Data!N3678</f>
        <v>0</v>
      </c>
      <c r="U3661">
        <f>Data!O3678</f>
        <v>0</v>
      </c>
      <c r="V3661" s="33">
        <f>Data!P3676</f>
        <v>0</v>
      </c>
    </row>
    <row r="3662" spans="7:22" x14ac:dyDescent="0.25">
      <c r="G3662">
        <f>Data!A3675</f>
        <v>0</v>
      </c>
      <c r="H3662" s="21">
        <f>Data!B3675</f>
        <v>0</v>
      </c>
      <c r="I3662" s="21">
        <f>Data!C3675</f>
        <v>0</v>
      </c>
      <c r="J3662">
        <f>Data!D3675</f>
        <v>0</v>
      </c>
      <c r="K3662">
        <f>Data!E3675</f>
        <v>0</v>
      </c>
      <c r="L3662">
        <f>Data!F3675</f>
        <v>0</v>
      </c>
      <c r="M3662">
        <f>Data!G3675</f>
        <v>0</v>
      </c>
      <c r="N3662">
        <f>Data!H3675</f>
        <v>0</v>
      </c>
      <c r="O3662">
        <f>Data!I3675</f>
        <v>0</v>
      </c>
      <c r="P3662" s="21">
        <f>Data!J3679</f>
        <v>0</v>
      </c>
      <c r="Q3662">
        <f>Data!K3679</f>
        <v>0</v>
      </c>
      <c r="R3662">
        <f>Data!L3679</f>
        <v>0</v>
      </c>
      <c r="S3662">
        <f>Data!M3679</f>
        <v>0</v>
      </c>
      <c r="T3662">
        <f>Data!N3679</f>
        <v>0</v>
      </c>
      <c r="U3662">
        <f>Data!O3679</f>
        <v>0</v>
      </c>
      <c r="V3662" s="33">
        <f>Data!P3677</f>
        <v>0</v>
      </c>
    </row>
    <row r="3663" spans="7:22" x14ac:dyDescent="0.25">
      <c r="G3663">
        <f>Data!A3676</f>
        <v>0</v>
      </c>
      <c r="H3663" s="21">
        <f>Data!B3676</f>
        <v>0</v>
      </c>
      <c r="I3663" s="21">
        <f>Data!C3676</f>
        <v>0</v>
      </c>
      <c r="J3663">
        <f>Data!D3676</f>
        <v>0</v>
      </c>
      <c r="K3663">
        <f>Data!E3676</f>
        <v>0</v>
      </c>
      <c r="L3663">
        <f>Data!F3676</f>
        <v>0</v>
      </c>
      <c r="M3663">
        <f>Data!G3676</f>
        <v>0</v>
      </c>
      <c r="N3663">
        <f>Data!H3676</f>
        <v>0</v>
      </c>
      <c r="O3663">
        <f>Data!I3676</f>
        <v>0</v>
      </c>
      <c r="P3663" s="21">
        <f>Data!J3680</f>
        <v>0</v>
      </c>
      <c r="Q3663">
        <f>Data!K3680</f>
        <v>0</v>
      </c>
      <c r="R3663">
        <f>Data!L3680</f>
        <v>0</v>
      </c>
      <c r="S3663">
        <f>Data!M3680</f>
        <v>0</v>
      </c>
      <c r="T3663">
        <f>Data!N3680</f>
        <v>0</v>
      </c>
      <c r="U3663">
        <f>Data!O3680</f>
        <v>0</v>
      </c>
      <c r="V3663" s="33">
        <f>Data!P3678</f>
        <v>0</v>
      </c>
    </row>
    <row r="3664" spans="7:22" x14ac:dyDescent="0.25">
      <c r="G3664">
        <f>Data!A3677</f>
        <v>0</v>
      </c>
      <c r="H3664" s="21">
        <f>Data!B3677</f>
        <v>0</v>
      </c>
      <c r="I3664" s="21">
        <f>Data!C3677</f>
        <v>0</v>
      </c>
      <c r="J3664">
        <f>Data!D3677</f>
        <v>0</v>
      </c>
      <c r="K3664">
        <f>Data!E3677</f>
        <v>0</v>
      </c>
      <c r="L3664">
        <f>Data!F3677</f>
        <v>0</v>
      </c>
      <c r="M3664">
        <f>Data!G3677</f>
        <v>0</v>
      </c>
      <c r="N3664">
        <f>Data!H3677</f>
        <v>0</v>
      </c>
      <c r="O3664">
        <f>Data!I3677</f>
        <v>0</v>
      </c>
      <c r="P3664" s="21">
        <f>Data!J3681</f>
        <v>0</v>
      </c>
      <c r="Q3664">
        <f>Data!K3681</f>
        <v>0</v>
      </c>
      <c r="R3664">
        <f>Data!L3681</f>
        <v>0</v>
      </c>
      <c r="S3664">
        <f>Data!M3681</f>
        <v>0</v>
      </c>
      <c r="T3664">
        <f>Data!N3681</f>
        <v>0</v>
      </c>
      <c r="U3664">
        <f>Data!O3681</f>
        <v>0</v>
      </c>
      <c r="V3664" s="33">
        <f>Data!P3679</f>
        <v>0</v>
      </c>
    </row>
    <row r="3665" spans="7:22" x14ac:dyDescent="0.25">
      <c r="G3665">
        <f>Data!A3678</f>
        <v>0</v>
      </c>
      <c r="H3665" s="21">
        <f>Data!B3678</f>
        <v>0</v>
      </c>
      <c r="I3665" s="21">
        <f>Data!C3678</f>
        <v>0</v>
      </c>
      <c r="J3665">
        <f>Data!D3678</f>
        <v>0</v>
      </c>
      <c r="K3665">
        <f>Data!E3678</f>
        <v>0</v>
      </c>
      <c r="L3665">
        <f>Data!F3678</f>
        <v>0</v>
      </c>
      <c r="M3665">
        <f>Data!G3678</f>
        <v>0</v>
      </c>
      <c r="N3665">
        <f>Data!H3678</f>
        <v>0</v>
      </c>
      <c r="O3665">
        <f>Data!I3678</f>
        <v>0</v>
      </c>
      <c r="P3665" s="21">
        <f>Data!J3682</f>
        <v>0</v>
      </c>
      <c r="Q3665">
        <f>Data!K3682</f>
        <v>0</v>
      </c>
      <c r="R3665">
        <f>Data!L3682</f>
        <v>0</v>
      </c>
      <c r="S3665">
        <f>Data!M3682</f>
        <v>0</v>
      </c>
      <c r="T3665">
        <f>Data!N3682</f>
        <v>0</v>
      </c>
      <c r="U3665">
        <f>Data!O3682</f>
        <v>0</v>
      </c>
      <c r="V3665" s="33">
        <f>Data!P3680</f>
        <v>0</v>
      </c>
    </row>
    <row r="3666" spans="7:22" x14ac:dyDescent="0.25">
      <c r="G3666">
        <f>Data!A3679</f>
        <v>0</v>
      </c>
      <c r="H3666" s="21">
        <f>Data!B3679</f>
        <v>0</v>
      </c>
      <c r="I3666" s="21">
        <f>Data!C3679</f>
        <v>0</v>
      </c>
      <c r="J3666">
        <f>Data!D3679</f>
        <v>0</v>
      </c>
      <c r="K3666">
        <f>Data!E3679</f>
        <v>0</v>
      </c>
      <c r="L3666">
        <f>Data!F3679</f>
        <v>0</v>
      </c>
      <c r="M3666">
        <f>Data!G3679</f>
        <v>0</v>
      </c>
      <c r="N3666">
        <f>Data!H3679</f>
        <v>0</v>
      </c>
      <c r="O3666">
        <f>Data!I3679</f>
        <v>0</v>
      </c>
      <c r="P3666" s="21">
        <f>Data!J3683</f>
        <v>0</v>
      </c>
      <c r="Q3666">
        <f>Data!K3683</f>
        <v>0</v>
      </c>
      <c r="R3666">
        <f>Data!L3683</f>
        <v>0</v>
      </c>
      <c r="S3666">
        <f>Data!M3683</f>
        <v>0</v>
      </c>
      <c r="T3666">
        <f>Data!N3683</f>
        <v>0</v>
      </c>
      <c r="U3666">
        <f>Data!O3683</f>
        <v>0</v>
      </c>
      <c r="V3666" s="33">
        <f>Data!P3681</f>
        <v>0</v>
      </c>
    </row>
    <row r="3667" spans="7:22" x14ac:dyDescent="0.25">
      <c r="G3667">
        <f>Data!A3680</f>
        <v>0</v>
      </c>
      <c r="H3667" s="21">
        <f>Data!B3680</f>
        <v>0</v>
      </c>
      <c r="I3667" s="21">
        <f>Data!C3680</f>
        <v>0</v>
      </c>
      <c r="J3667">
        <f>Data!D3680</f>
        <v>0</v>
      </c>
      <c r="K3667">
        <f>Data!E3680</f>
        <v>0</v>
      </c>
      <c r="L3667">
        <f>Data!F3680</f>
        <v>0</v>
      </c>
      <c r="M3667">
        <f>Data!G3680</f>
        <v>0</v>
      </c>
      <c r="N3667">
        <f>Data!H3680</f>
        <v>0</v>
      </c>
      <c r="O3667">
        <f>Data!I3680</f>
        <v>0</v>
      </c>
      <c r="P3667" s="21">
        <f>Data!J3684</f>
        <v>0</v>
      </c>
      <c r="Q3667">
        <f>Data!K3684</f>
        <v>0</v>
      </c>
      <c r="R3667">
        <f>Data!L3684</f>
        <v>0</v>
      </c>
      <c r="S3667">
        <f>Data!M3684</f>
        <v>0</v>
      </c>
      <c r="T3667">
        <f>Data!N3684</f>
        <v>0</v>
      </c>
      <c r="U3667">
        <f>Data!O3684</f>
        <v>0</v>
      </c>
      <c r="V3667" s="33">
        <f>Data!P3682</f>
        <v>0</v>
      </c>
    </row>
    <row r="3668" spans="7:22" x14ac:dyDescent="0.25">
      <c r="G3668">
        <f>Data!A3681</f>
        <v>0</v>
      </c>
      <c r="H3668" s="21">
        <f>Data!B3681</f>
        <v>0</v>
      </c>
      <c r="I3668" s="21">
        <f>Data!C3681</f>
        <v>0</v>
      </c>
      <c r="J3668">
        <f>Data!D3681</f>
        <v>0</v>
      </c>
      <c r="K3668">
        <f>Data!E3681</f>
        <v>0</v>
      </c>
      <c r="L3668">
        <f>Data!F3681</f>
        <v>0</v>
      </c>
      <c r="M3668">
        <f>Data!G3681</f>
        <v>0</v>
      </c>
      <c r="N3668">
        <f>Data!H3681</f>
        <v>0</v>
      </c>
      <c r="O3668">
        <f>Data!I3681</f>
        <v>0</v>
      </c>
      <c r="P3668" s="21">
        <f>Data!J3685</f>
        <v>0</v>
      </c>
      <c r="Q3668">
        <f>Data!K3685</f>
        <v>0</v>
      </c>
      <c r="R3668">
        <f>Data!L3685</f>
        <v>0</v>
      </c>
      <c r="S3668">
        <f>Data!M3685</f>
        <v>0</v>
      </c>
      <c r="T3668">
        <f>Data!N3685</f>
        <v>0</v>
      </c>
      <c r="U3668">
        <f>Data!O3685</f>
        <v>0</v>
      </c>
      <c r="V3668" s="33">
        <f>Data!P3683</f>
        <v>0</v>
      </c>
    </row>
    <row r="3669" spans="7:22" x14ac:dyDescent="0.25">
      <c r="G3669">
        <f>Data!A3682</f>
        <v>0</v>
      </c>
      <c r="H3669" s="21">
        <f>Data!B3682</f>
        <v>0</v>
      </c>
      <c r="I3669" s="21">
        <f>Data!C3682</f>
        <v>0</v>
      </c>
      <c r="J3669">
        <f>Data!D3682</f>
        <v>0</v>
      </c>
      <c r="K3669">
        <f>Data!E3682</f>
        <v>0</v>
      </c>
      <c r="L3669">
        <f>Data!F3682</f>
        <v>0</v>
      </c>
      <c r="M3669">
        <f>Data!G3682</f>
        <v>0</v>
      </c>
      <c r="N3669">
        <f>Data!H3682</f>
        <v>0</v>
      </c>
      <c r="O3669">
        <f>Data!I3682</f>
        <v>0</v>
      </c>
      <c r="P3669" s="21">
        <f>Data!J3686</f>
        <v>0</v>
      </c>
      <c r="Q3669">
        <f>Data!K3686</f>
        <v>0</v>
      </c>
      <c r="R3669">
        <f>Data!L3686</f>
        <v>0</v>
      </c>
      <c r="S3669">
        <f>Data!M3686</f>
        <v>0</v>
      </c>
      <c r="T3669">
        <f>Data!N3686</f>
        <v>0</v>
      </c>
      <c r="U3669">
        <f>Data!O3686</f>
        <v>0</v>
      </c>
      <c r="V3669" s="33">
        <f>Data!P3684</f>
        <v>0</v>
      </c>
    </row>
    <row r="3670" spans="7:22" x14ac:dyDescent="0.25">
      <c r="G3670">
        <f>Data!A3683</f>
        <v>0</v>
      </c>
      <c r="H3670" s="21">
        <f>Data!B3683</f>
        <v>0</v>
      </c>
      <c r="I3670" s="21">
        <f>Data!C3683</f>
        <v>0</v>
      </c>
      <c r="J3670">
        <f>Data!D3683</f>
        <v>0</v>
      </c>
      <c r="K3670">
        <f>Data!E3683</f>
        <v>0</v>
      </c>
      <c r="L3670">
        <f>Data!F3683</f>
        <v>0</v>
      </c>
      <c r="M3670">
        <f>Data!G3683</f>
        <v>0</v>
      </c>
      <c r="N3670">
        <f>Data!H3683</f>
        <v>0</v>
      </c>
      <c r="O3670">
        <f>Data!I3683</f>
        <v>0</v>
      </c>
      <c r="P3670" s="21">
        <f>Data!J3687</f>
        <v>0</v>
      </c>
      <c r="Q3670">
        <f>Data!K3687</f>
        <v>0</v>
      </c>
      <c r="R3670">
        <f>Data!L3687</f>
        <v>0</v>
      </c>
      <c r="S3670">
        <f>Data!M3687</f>
        <v>0</v>
      </c>
      <c r="T3670">
        <f>Data!N3687</f>
        <v>0</v>
      </c>
      <c r="U3670">
        <f>Data!O3687</f>
        <v>0</v>
      </c>
      <c r="V3670" s="33">
        <f>Data!P3685</f>
        <v>0</v>
      </c>
    </row>
    <row r="3671" spans="7:22" x14ac:dyDescent="0.25">
      <c r="G3671">
        <f>Data!A3684</f>
        <v>0</v>
      </c>
      <c r="H3671" s="21">
        <f>Data!B3684</f>
        <v>0</v>
      </c>
      <c r="I3671" s="21">
        <f>Data!C3684</f>
        <v>0</v>
      </c>
      <c r="J3671">
        <f>Data!D3684</f>
        <v>0</v>
      </c>
      <c r="K3671">
        <f>Data!E3684</f>
        <v>0</v>
      </c>
      <c r="L3671">
        <f>Data!F3684</f>
        <v>0</v>
      </c>
      <c r="M3671">
        <f>Data!G3684</f>
        <v>0</v>
      </c>
      <c r="N3671">
        <f>Data!H3684</f>
        <v>0</v>
      </c>
      <c r="O3671">
        <f>Data!I3684</f>
        <v>0</v>
      </c>
      <c r="P3671" s="21">
        <f>Data!J3688</f>
        <v>0</v>
      </c>
      <c r="Q3671">
        <f>Data!K3688</f>
        <v>0</v>
      </c>
      <c r="R3671">
        <f>Data!L3688</f>
        <v>0</v>
      </c>
      <c r="S3671">
        <f>Data!M3688</f>
        <v>0</v>
      </c>
      <c r="T3671">
        <f>Data!N3688</f>
        <v>0</v>
      </c>
      <c r="U3671">
        <f>Data!O3688</f>
        <v>0</v>
      </c>
      <c r="V3671" s="33">
        <f>Data!P3686</f>
        <v>0</v>
      </c>
    </row>
    <row r="3672" spans="7:22" x14ac:dyDescent="0.25">
      <c r="G3672">
        <f>Data!A3685</f>
        <v>0</v>
      </c>
      <c r="H3672" s="21">
        <f>Data!B3685</f>
        <v>0</v>
      </c>
      <c r="I3672" s="21">
        <f>Data!C3685</f>
        <v>0</v>
      </c>
      <c r="J3672">
        <f>Data!D3685</f>
        <v>0</v>
      </c>
      <c r="K3672">
        <f>Data!E3685</f>
        <v>0</v>
      </c>
      <c r="L3672">
        <f>Data!F3685</f>
        <v>0</v>
      </c>
      <c r="M3672">
        <f>Data!G3685</f>
        <v>0</v>
      </c>
      <c r="N3672">
        <f>Data!H3685</f>
        <v>0</v>
      </c>
      <c r="O3672">
        <f>Data!I3685</f>
        <v>0</v>
      </c>
      <c r="P3672" s="21">
        <f>Data!J3689</f>
        <v>0</v>
      </c>
      <c r="Q3672">
        <f>Data!K3689</f>
        <v>0</v>
      </c>
      <c r="R3672">
        <f>Data!L3689</f>
        <v>0</v>
      </c>
      <c r="S3672">
        <f>Data!M3689</f>
        <v>0</v>
      </c>
      <c r="T3672">
        <f>Data!N3689</f>
        <v>0</v>
      </c>
      <c r="U3672">
        <f>Data!O3689</f>
        <v>0</v>
      </c>
      <c r="V3672" s="33">
        <f>Data!P3687</f>
        <v>0</v>
      </c>
    </row>
    <row r="3673" spans="7:22" x14ac:dyDescent="0.25">
      <c r="G3673">
        <f>Data!A3686</f>
        <v>0</v>
      </c>
      <c r="H3673" s="21">
        <f>Data!B3686</f>
        <v>0</v>
      </c>
      <c r="I3673" s="21">
        <f>Data!C3686</f>
        <v>0</v>
      </c>
      <c r="J3673">
        <f>Data!D3686</f>
        <v>0</v>
      </c>
      <c r="K3673">
        <f>Data!E3686</f>
        <v>0</v>
      </c>
      <c r="L3673">
        <f>Data!F3686</f>
        <v>0</v>
      </c>
      <c r="M3673">
        <f>Data!G3686</f>
        <v>0</v>
      </c>
      <c r="N3673">
        <f>Data!H3686</f>
        <v>0</v>
      </c>
      <c r="O3673">
        <f>Data!I3686</f>
        <v>0</v>
      </c>
      <c r="P3673" s="21">
        <f>Data!J3690</f>
        <v>0</v>
      </c>
      <c r="Q3673">
        <f>Data!K3690</f>
        <v>0</v>
      </c>
      <c r="R3673">
        <f>Data!L3690</f>
        <v>0</v>
      </c>
      <c r="S3673">
        <f>Data!M3690</f>
        <v>0</v>
      </c>
      <c r="T3673">
        <f>Data!N3690</f>
        <v>0</v>
      </c>
      <c r="U3673">
        <f>Data!O3690</f>
        <v>0</v>
      </c>
      <c r="V3673" s="33">
        <f>Data!P3688</f>
        <v>0</v>
      </c>
    </row>
    <row r="3674" spans="7:22" x14ac:dyDescent="0.25">
      <c r="G3674">
        <f>Data!A3687</f>
        <v>0</v>
      </c>
      <c r="H3674" s="21">
        <f>Data!B3687</f>
        <v>0</v>
      </c>
      <c r="I3674" s="21">
        <f>Data!C3687</f>
        <v>0</v>
      </c>
      <c r="J3674">
        <f>Data!D3687</f>
        <v>0</v>
      </c>
      <c r="K3674">
        <f>Data!E3687</f>
        <v>0</v>
      </c>
      <c r="L3674">
        <f>Data!F3687</f>
        <v>0</v>
      </c>
      <c r="M3674">
        <f>Data!G3687</f>
        <v>0</v>
      </c>
      <c r="N3674">
        <f>Data!H3687</f>
        <v>0</v>
      </c>
      <c r="O3674">
        <f>Data!I3687</f>
        <v>0</v>
      </c>
      <c r="P3674" s="21">
        <f>Data!J3691</f>
        <v>0</v>
      </c>
      <c r="Q3674">
        <f>Data!K3691</f>
        <v>0</v>
      </c>
      <c r="R3674">
        <f>Data!L3691</f>
        <v>0</v>
      </c>
      <c r="S3674">
        <f>Data!M3691</f>
        <v>0</v>
      </c>
      <c r="T3674">
        <f>Data!N3691</f>
        <v>0</v>
      </c>
      <c r="U3674">
        <f>Data!O3691</f>
        <v>0</v>
      </c>
      <c r="V3674" s="33">
        <f>Data!P3689</f>
        <v>0</v>
      </c>
    </row>
    <row r="3675" spans="7:22" x14ac:dyDescent="0.25">
      <c r="G3675">
        <f>Data!A3688</f>
        <v>0</v>
      </c>
      <c r="H3675" s="21">
        <f>Data!B3688</f>
        <v>0</v>
      </c>
      <c r="I3675" s="21">
        <f>Data!C3688</f>
        <v>0</v>
      </c>
      <c r="J3675">
        <f>Data!D3688</f>
        <v>0</v>
      </c>
      <c r="K3675">
        <f>Data!E3688</f>
        <v>0</v>
      </c>
      <c r="L3675">
        <f>Data!F3688</f>
        <v>0</v>
      </c>
      <c r="M3675">
        <f>Data!G3688</f>
        <v>0</v>
      </c>
      <c r="N3675">
        <f>Data!H3688</f>
        <v>0</v>
      </c>
      <c r="O3675">
        <f>Data!I3688</f>
        <v>0</v>
      </c>
      <c r="P3675" s="21">
        <f>Data!J3692</f>
        <v>0</v>
      </c>
      <c r="Q3675">
        <f>Data!K3692</f>
        <v>0</v>
      </c>
      <c r="R3675">
        <f>Data!L3692</f>
        <v>0</v>
      </c>
      <c r="S3675">
        <f>Data!M3692</f>
        <v>0</v>
      </c>
      <c r="T3675">
        <f>Data!N3692</f>
        <v>0</v>
      </c>
      <c r="U3675">
        <f>Data!O3692</f>
        <v>0</v>
      </c>
      <c r="V3675" s="33">
        <f>Data!P3690</f>
        <v>0</v>
      </c>
    </row>
    <row r="3676" spans="7:22" x14ac:dyDescent="0.25">
      <c r="G3676">
        <f>Data!A3689</f>
        <v>0</v>
      </c>
      <c r="H3676" s="21">
        <f>Data!B3689</f>
        <v>0</v>
      </c>
      <c r="I3676" s="21">
        <f>Data!C3689</f>
        <v>0</v>
      </c>
      <c r="J3676">
        <f>Data!D3689</f>
        <v>0</v>
      </c>
      <c r="K3676">
        <f>Data!E3689</f>
        <v>0</v>
      </c>
      <c r="L3676">
        <f>Data!F3689</f>
        <v>0</v>
      </c>
      <c r="M3676">
        <f>Data!G3689</f>
        <v>0</v>
      </c>
      <c r="N3676">
        <f>Data!H3689</f>
        <v>0</v>
      </c>
      <c r="O3676">
        <f>Data!I3689</f>
        <v>0</v>
      </c>
      <c r="P3676" s="21">
        <f>Data!J3693</f>
        <v>0</v>
      </c>
      <c r="Q3676">
        <f>Data!K3693</f>
        <v>0</v>
      </c>
      <c r="R3676">
        <f>Data!L3693</f>
        <v>0</v>
      </c>
      <c r="S3676">
        <f>Data!M3693</f>
        <v>0</v>
      </c>
      <c r="T3676">
        <f>Data!N3693</f>
        <v>0</v>
      </c>
      <c r="U3676">
        <f>Data!O3693</f>
        <v>0</v>
      </c>
      <c r="V3676" s="33">
        <f>Data!P3691</f>
        <v>0</v>
      </c>
    </row>
    <row r="3677" spans="7:22" x14ac:dyDescent="0.25">
      <c r="G3677">
        <f>Data!A3690</f>
        <v>0</v>
      </c>
      <c r="H3677" s="21">
        <f>Data!B3690</f>
        <v>0</v>
      </c>
      <c r="I3677" s="21">
        <f>Data!C3690</f>
        <v>0</v>
      </c>
      <c r="J3677">
        <f>Data!D3690</f>
        <v>0</v>
      </c>
      <c r="K3677">
        <f>Data!E3690</f>
        <v>0</v>
      </c>
      <c r="L3677">
        <f>Data!F3690</f>
        <v>0</v>
      </c>
      <c r="M3677">
        <f>Data!G3690</f>
        <v>0</v>
      </c>
      <c r="N3677">
        <f>Data!H3690</f>
        <v>0</v>
      </c>
      <c r="O3677">
        <f>Data!I3690</f>
        <v>0</v>
      </c>
      <c r="P3677" s="21">
        <f>Data!J3694</f>
        <v>0</v>
      </c>
      <c r="Q3677">
        <f>Data!K3694</f>
        <v>0</v>
      </c>
      <c r="R3677">
        <f>Data!L3694</f>
        <v>0</v>
      </c>
      <c r="S3677">
        <f>Data!M3694</f>
        <v>0</v>
      </c>
      <c r="T3677">
        <f>Data!N3694</f>
        <v>0</v>
      </c>
      <c r="U3677">
        <f>Data!O3694</f>
        <v>0</v>
      </c>
      <c r="V3677" s="33">
        <f>Data!P3692</f>
        <v>0</v>
      </c>
    </row>
    <row r="3678" spans="7:22" x14ac:dyDescent="0.25">
      <c r="G3678">
        <f>Data!A3691</f>
        <v>0</v>
      </c>
      <c r="H3678" s="21">
        <f>Data!B3691</f>
        <v>0</v>
      </c>
      <c r="I3678" s="21">
        <f>Data!C3691</f>
        <v>0</v>
      </c>
      <c r="J3678">
        <f>Data!D3691</f>
        <v>0</v>
      </c>
      <c r="K3678">
        <f>Data!E3691</f>
        <v>0</v>
      </c>
      <c r="L3678">
        <f>Data!F3691</f>
        <v>0</v>
      </c>
      <c r="M3678">
        <f>Data!G3691</f>
        <v>0</v>
      </c>
      <c r="N3678">
        <f>Data!H3691</f>
        <v>0</v>
      </c>
      <c r="O3678">
        <f>Data!I3691</f>
        <v>0</v>
      </c>
      <c r="P3678" s="21">
        <f>Data!J3695</f>
        <v>0</v>
      </c>
      <c r="Q3678">
        <f>Data!K3695</f>
        <v>0</v>
      </c>
      <c r="R3678">
        <f>Data!L3695</f>
        <v>0</v>
      </c>
      <c r="S3678">
        <f>Data!M3695</f>
        <v>0</v>
      </c>
      <c r="T3678">
        <f>Data!N3695</f>
        <v>0</v>
      </c>
      <c r="U3678">
        <f>Data!O3695</f>
        <v>0</v>
      </c>
      <c r="V3678" s="33">
        <f>Data!P3693</f>
        <v>0</v>
      </c>
    </row>
    <row r="3679" spans="7:22" x14ac:dyDescent="0.25">
      <c r="G3679">
        <f>Data!A3692</f>
        <v>0</v>
      </c>
      <c r="H3679" s="21">
        <f>Data!B3692</f>
        <v>0</v>
      </c>
      <c r="I3679" s="21">
        <f>Data!C3692</f>
        <v>0</v>
      </c>
      <c r="J3679">
        <f>Data!D3692</f>
        <v>0</v>
      </c>
      <c r="K3679">
        <f>Data!E3692</f>
        <v>0</v>
      </c>
      <c r="L3679">
        <f>Data!F3692</f>
        <v>0</v>
      </c>
      <c r="M3679">
        <f>Data!G3692</f>
        <v>0</v>
      </c>
      <c r="N3679">
        <f>Data!H3692</f>
        <v>0</v>
      </c>
      <c r="O3679">
        <f>Data!I3692</f>
        <v>0</v>
      </c>
      <c r="P3679" s="21">
        <f>Data!J3696</f>
        <v>0</v>
      </c>
      <c r="Q3679">
        <f>Data!K3696</f>
        <v>0</v>
      </c>
      <c r="R3679">
        <f>Data!L3696</f>
        <v>0</v>
      </c>
      <c r="S3679">
        <f>Data!M3696</f>
        <v>0</v>
      </c>
      <c r="T3679">
        <f>Data!N3696</f>
        <v>0</v>
      </c>
      <c r="U3679">
        <f>Data!O3696</f>
        <v>0</v>
      </c>
      <c r="V3679" s="33">
        <f>Data!P3694</f>
        <v>0</v>
      </c>
    </row>
    <row r="3680" spans="7:22" x14ac:dyDescent="0.25">
      <c r="G3680">
        <f>Data!A3693</f>
        <v>0</v>
      </c>
      <c r="H3680" s="21">
        <f>Data!B3693</f>
        <v>0</v>
      </c>
      <c r="I3680" s="21">
        <f>Data!C3693</f>
        <v>0</v>
      </c>
      <c r="J3680">
        <f>Data!D3693</f>
        <v>0</v>
      </c>
      <c r="K3680">
        <f>Data!E3693</f>
        <v>0</v>
      </c>
      <c r="L3680">
        <f>Data!F3693</f>
        <v>0</v>
      </c>
      <c r="M3680">
        <f>Data!G3693</f>
        <v>0</v>
      </c>
      <c r="N3680">
        <f>Data!H3693</f>
        <v>0</v>
      </c>
      <c r="O3680">
        <f>Data!I3693</f>
        <v>0</v>
      </c>
      <c r="P3680" s="21">
        <f>Data!J3697</f>
        <v>0</v>
      </c>
      <c r="Q3680">
        <f>Data!K3697</f>
        <v>0</v>
      </c>
      <c r="R3680">
        <f>Data!L3697</f>
        <v>0</v>
      </c>
      <c r="S3680">
        <f>Data!M3697</f>
        <v>0</v>
      </c>
      <c r="T3680">
        <f>Data!N3697</f>
        <v>0</v>
      </c>
      <c r="U3680">
        <f>Data!O3697</f>
        <v>0</v>
      </c>
      <c r="V3680" s="33">
        <f>Data!P3695</f>
        <v>0</v>
      </c>
    </row>
    <row r="3681" spans="7:22" x14ac:dyDescent="0.25">
      <c r="G3681">
        <f>Data!A3694</f>
        <v>0</v>
      </c>
      <c r="H3681" s="21">
        <f>Data!B3694</f>
        <v>0</v>
      </c>
      <c r="I3681" s="21">
        <f>Data!C3694</f>
        <v>0</v>
      </c>
      <c r="J3681">
        <f>Data!D3694</f>
        <v>0</v>
      </c>
      <c r="K3681">
        <f>Data!E3694</f>
        <v>0</v>
      </c>
      <c r="L3681">
        <f>Data!F3694</f>
        <v>0</v>
      </c>
      <c r="M3681">
        <f>Data!G3694</f>
        <v>0</v>
      </c>
      <c r="N3681">
        <f>Data!H3694</f>
        <v>0</v>
      </c>
      <c r="O3681">
        <f>Data!I3694</f>
        <v>0</v>
      </c>
      <c r="P3681" s="21">
        <f>Data!J3698</f>
        <v>0</v>
      </c>
      <c r="Q3681">
        <f>Data!K3698</f>
        <v>0</v>
      </c>
      <c r="R3681">
        <f>Data!L3698</f>
        <v>0</v>
      </c>
      <c r="S3681">
        <f>Data!M3698</f>
        <v>0</v>
      </c>
      <c r="T3681">
        <f>Data!N3698</f>
        <v>0</v>
      </c>
      <c r="U3681">
        <f>Data!O3698</f>
        <v>0</v>
      </c>
      <c r="V3681" s="33">
        <f>Data!P3696</f>
        <v>0</v>
      </c>
    </row>
    <row r="3682" spans="7:22" x14ac:dyDescent="0.25">
      <c r="G3682">
        <f>Data!A3695</f>
        <v>0</v>
      </c>
      <c r="H3682" s="21">
        <f>Data!B3695</f>
        <v>0</v>
      </c>
      <c r="I3682" s="21">
        <f>Data!C3695</f>
        <v>0</v>
      </c>
      <c r="J3682">
        <f>Data!D3695</f>
        <v>0</v>
      </c>
      <c r="K3682">
        <f>Data!E3695</f>
        <v>0</v>
      </c>
      <c r="L3682">
        <f>Data!F3695</f>
        <v>0</v>
      </c>
      <c r="M3682">
        <f>Data!G3695</f>
        <v>0</v>
      </c>
      <c r="N3682">
        <f>Data!H3695</f>
        <v>0</v>
      </c>
      <c r="O3682">
        <f>Data!I3695</f>
        <v>0</v>
      </c>
      <c r="P3682" s="21">
        <f>Data!J3699</f>
        <v>0</v>
      </c>
      <c r="Q3682">
        <f>Data!K3699</f>
        <v>0</v>
      </c>
      <c r="R3682">
        <f>Data!L3699</f>
        <v>0</v>
      </c>
      <c r="S3682">
        <f>Data!M3699</f>
        <v>0</v>
      </c>
      <c r="T3682">
        <f>Data!N3699</f>
        <v>0</v>
      </c>
      <c r="U3682">
        <f>Data!O3699</f>
        <v>0</v>
      </c>
      <c r="V3682" s="33">
        <f>Data!P3697</f>
        <v>0</v>
      </c>
    </row>
    <row r="3683" spans="7:22" x14ac:dyDescent="0.25">
      <c r="G3683">
        <f>Data!A3696</f>
        <v>0</v>
      </c>
      <c r="H3683" s="21">
        <f>Data!B3696</f>
        <v>0</v>
      </c>
      <c r="I3683" s="21">
        <f>Data!C3696</f>
        <v>0</v>
      </c>
      <c r="J3683">
        <f>Data!D3696</f>
        <v>0</v>
      </c>
      <c r="K3683">
        <f>Data!E3696</f>
        <v>0</v>
      </c>
      <c r="L3683">
        <f>Data!F3696</f>
        <v>0</v>
      </c>
      <c r="M3683">
        <f>Data!G3696</f>
        <v>0</v>
      </c>
      <c r="N3683">
        <f>Data!H3696</f>
        <v>0</v>
      </c>
      <c r="O3683">
        <f>Data!I3696</f>
        <v>0</v>
      </c>
      <c r="P3683" s="21">
        <f>Data!J3700</f>
        <v>0</v>
      </c>
      <c r="Q3683">
        <f>Data!K3700</f>
        <v>0</v>
      </c>
      <c r="R3683">
        <f>Data!L3700</f>
        <v>0</v>
      </c>
      <c r="S3683">
        <f>Data!M3700</f>
        <v>0</v>
      </c>
      <c r="T3683">
        <f>Data!N3700</f>
        <v>0</v>
      </c>
      <c r="U3683">
        <f>Data!O3700</f>
        <v>0</v>
      </c>
      <c r="V3683" s="33">
        <f>Data!P3698</f>
        <v>0</v>
      </c>
    </row>
    <row r="3684" spans="7:22" x14ac:dyDescent="0.25">
      <c r="G3684">
        <f>Data!A3697</f>
        <v>0</v>
      </c>
      <c r="H3684" s="21">
        <f>Data!B3697</f>
        <v>0</v>
      </c>
      <c r="I3684" s="21">
        <f>Data!C3697</f>
        <v>0</v>
      </c>
      <c r="J3684">
        <f>Data!D3697</f>
        <v>0</v>
      </c>
      <c r="K3684">
        <f>Data!E3697</f>
        <v>0</v>
      </c>
      <c r="L3684">
        <f>Data!F3697</f>
        <v>0</v>
      </c>
      <c r="M3684">
        <f>Data!G3697</f>
        <v>0</v>
      </c>
      <c r="N3684">
        <f>Data!H3697</f>
        <v>0</v>
      </c>
      <c r="O3684">
        <f>Data!I3697</f>
        <v>0</v>
      </c>
      <c r="P3684" s="21">
        <f>Data!J3701</f>
        <v>0</v>
      </c>
      <c r="Q3684">
        <f>Data!K3701</f>
        <v>0</v>
      </c>
      <c r="R3684">
        <f>Data!L3701</f>
        <v>0</v>
      </c>
      <c r="S3684">
        <f>Data!M3701</f>
        <v>0</v>
      </c>
      <c r="T3684">
        <f>Data!N3701</f>
        <v>0</v>
      </c>
      <c r="U3684">
        <f>Data!O3701</f>
        <v>0</v>
      </c>
      <c r="V3684" s="33">
        <f>Data!P3699</f>
        <v>0</v>
      </c>
    </row>
    <row r="3685" spans="7:22" x14ac:dyDescent="0.25">
      <c r="G3685">
        <f>Data!A3698</f>
        <v>0</v>
      </c>
      <c r="H3685" s="21">
        <f>Data!B3698</f>
        <v>0</v>
      </c>
      <c r="I3685" s="21">
        <f>Data!C3698</f>
        <v>0</v>
      </c>
      <c r="J3685">
        <f>Data!D3698</f>
        <v>0</v>
      </c>
      <c r="K3685">
        <f>Data!E3698</f>
        <v>0</v>
      </c>
      <c r="L3685">
        <f>Data!F3698</f>
        <v>0</v>
      </c>
      <c r="M3685">
        <f>Data!G3698</f>
        <v>0</v>
      </c>
      <c r="N3685">
        <f>Data!H3698</f>
        <v>0</v>
      </c>
      <c r="O3685">
        <f>Data!I3698</f>
        <v>0</v>
      </c>
      <c r="P3685" s="21">
        <f>Data!J3702</f>
        <v>0</v>
      </c>
      <c r="Q3685">
        <f>Data!K3702</f>
        <v>0</v>
      </c>
      <c r="R3685">
        <f>Data!L3702</f>
        <v>0</v>
      </c>
      <c r="S3685">
        <f>Data!M3702</f>
        <v>0</v>
      </c>
      <c r="T3685">
        <f>Data!N3702</f>
        <v>0</v>
      </c>
      <c r="U3685">
        <f>Data!O3702</f>
        <v>0</v>
      </c>
      <c r="V3685" s="33">
        <f>Data!P3700</f>
        <v>0</v>
      </c>
    </row>
    <row r="3686" spans="7:22" x14ac:dyDescent="0.25">
      <c r="G3686">
        <f>Data!A3699</f>
        <v>0</v>
      </c>
      <c r="H3686" s="21">
        <f>Data!B3699</f>
        <v>0</v>
      </c>
      <c r="I3686" s="21">
        <f>Data!C3699</f>
        <v>0</v>
      </c>
      <c r="J3686">
        <f>Data!D3699</f>
        <v>0</v>
      </c>
      <c r="K3686">
        <f>Data!E3699</f>
        <v>0</v>
      </c>
      <c r="L3686">
        <f>Data!F3699</f>
        <v>0</v>
      </c>
      <c r="M3686">
        <f>Data!G3699</f>
        <v>0</v>
      </c>
      <c r="N3686">
        <f>Data!H3699</f>
        <v>0</v>
      </c>
      <c r="O3686">
        <f>Data!I3699</f>
        <v>0</v>
      </c>
      <c r="P3686" s="21">
        <f>Data!J3703</f>
        <v>0</v>
      </c>
      <c r="Q3686">
        <f>Data!K3703</f>
        <v>0</v>
      </c>
      <c r="R3686">
        <f>Data!L3703</f>
        <v>0</v>
      </c>
      <c r="S3686">
        <f>Data!M3703</f>
        <v>0</v>
      </c>
      <c r="T3686">
        <f>Data!N3703</f>
        <v>0</v>
      </c>
      <c r="U3686">
        <f>Data!O3703</f>
        <v>0</v>
      </c>
      <c r="V3686" s="33">
        <f>Data!P3701</f>
        <v>0</v>
      </c>
    </row>
    <row r="3687" spans="7:22" x14ac:dyDescent="0.25">
      <c r="G3687">
        <f>Data!A3700</f>
        <v>0</v>
      </c>
      <c r="H3687" s="21">
        <f>Data!B3700</f>
        <v>0</v>
      </c>
      <c r="I3687" s="21">
        <f>Data!C3700</f>
        <v>0</v>
      </c>
      <c r="J3687">
        <f>Data!D3700</f>
        <v>0</v>
      </c>
      <c r="K3687">
        <f>Data!E3700</f>
        <v>0</v>
      </c>
      <c r="L3687">
        <f>Data!F3700</f>
        <v>0</v>
      </c>
      <c r="M3687">
        <f>Data!G3700</f>
        <v>0</v>
      </c>
      <c r="N3687">
        <f>Data!H3700</f>
        <v>0</v>
      </c>
      <c r="O3687">
        <f>Data!I3700</f>
        <v>0</v>
      </c>
      <c r="P3687" s="21">
        <f>Data!J3704</f>
        <v>0</v>
      </c>
      <c r="Q3687">
        <f>Data!K3704</f>
        <v>0</v>
      </c>
      <c r="R3687">
        <f>Data!L3704</f>
        <v>0</v>
      </c>
      <c r="S3687">
        <f>Data!M3704</f>
        <v>0</v>
      </c>
      <c r="T3687">
        <f>Data!N3704</f>
        <v>0</v>
      </c>
      <c r="U3687">
        <f>Data!O3704</f>
        <v>0</v>
      </c>
      <c r="V3687" s="33">
        <f>Data!P3702</f>
        <v>0</v>
      </c>
    </row>
    <row r="3688" spans="7:22" x14ac:dyDescent="0.25">
      <c r="G3688">
        <f>Data!A3701</f>
        <v>0</v>
      </c>
      <c r="H3688" s="21">
        <f>Data!B3701</f>
        <v>0</v>
      </c>
      <c r="I3688" s="21">
        <f>Data!C3701</f>
        <v>0</v>
      </c>
      <c r="J3688">
        <f>Data!D3701</f>
        <v>0</v>
      </c>
      <c r="K3688">
        <f>Data!E3701</f>
        <v>0</v>
      </c>
      <c r="L3688">
        <f>Data!F3701</f>
        <v>0</v>
      </c>
      <c r="M3688">
        <f>Data!G3701</f>
        <v>0</v>
      </c>
      <c r="N3688">
        <f>Data!H3701</f>
        <v>0</v>
      </c>
      <c r="O3688">
        <f>Data!I3701</f>
        <v>0</v>
      </c>
      <c r="P3688" s="21">
        <f>Data!J3705</f>
        <v>0</v>
      </c>
      <c r="Q3688">
        <f>Data!K3705</f>
        <v>0</v>
      </c>
      <c r="R3688">
        <f>Data!L3705</f>
        <v>0</v>
      </c>
      <c r="S3688">
        <f>Data!M3705</f>
        <v>0</v>
      </c>
      <c r="T3688">
        <f>Data!N3705</f>
        <v>0</v>
      </c>
      <c r="U3688">
        <f>Data!O3705</f>
        <v>0</v>
      </c>
      <c r="V3688" s="33">
        <f>Data!P3703</f>
        <v>0</v>
      </c>
    </row>
    <row r="3689" spans="7:22" x14ac:dyDescent="0.25">
      <c r="G3689">
        <f>Data!A3702</f>
        <v>0</v>
      </c>
      <c r="H3689" s="21">
        <f>Data!B3702</f>
        <v>0</v>
      </c>
      <c r="I3689" s="21">
        <f>Data!C3702</f>
        <v>0</v>
      </c>
      <c r="J3689">
        <f>Data!D3702</f>
        <v>0</v>
      </c>
      <c r="K3689">
        <f>Data!E3702</f>
        <v>0</v>
      </c>
      <c r="L3689">
        <f>Data!F3702</f>
        <v>0</v>
      </c>
      <c r="M3689">
        <f>Data!G3702</f>
        <v>0</v>
      </c>
      <c r="N3689">
        <f>Data!H3702</f>
        <v>0</v>
      </c>
      <c r="O3689">
        <f>Data!I3702</f>
        <v>0</v>
      </c>
      <c r="P3689" s="21">
        <f>Data!J3706</f>
        <v>0</v>
      </c>
      <c r="Q3689">
        <f>Data!K3706</f>
        <v>0</v>
      </c>
      <c r="R3689">
        <f>Data!L3706</f>
        <v>0</v>
      </c>
      <c r="S3689">
        <f>Data!M3706</f>
        <v>0</v>
      </c>
      <c r="T3689">
        <f>Data!N3706</f>
        <v>0</v>
      </c>
      <c r="U3689">
        <f>Data!O3706</f>
        <v>0</v>
      </c>
      <c r="V3689" s="33">
        <f>Data!P3704</f>
        <v>0</v>
      </c>
    </row>
    <row r="3690" spans="7:22" x14ac:dyDescent="0.25">
      <c r="G3690">
        <f>Data!A3703</f>
        <v>0</v>
      </c>
      <c r="H3690" s="21">
        <f>Data!B3703</f>
        <v>0</v>
      </c>
      <c r="I3690" s="21">
        <f>Data!C3703</f>
        <v>0</v>
      </c>
      <c r="J3690">
        <f>Data!D3703</f>
        <v>0</v>
      </c>
      <c r="K3690">
        <f>Data!E3703</f>
        <v>0</v>
      </c>
      <c r="L3690">
        <f>Data!F3703</f>
        <v>0</v>
      </c>
      <c r="M3690">
        <f>Data!G3703</f>
        <v>0</v>
      </c>
      <c r="N3690">
        <f>Data!H3703</f>
        <v>0</v>
      </c>
      <c r="O3690">
        <f>Data!I3703</f>
        <v>0</v>
      </c>
      <c r="P3690" s="21">
        <f>Data!J3707</f>
        <v>0</v>
      </c>
      <c r="Q3690">
        <f>Data!K3707</f>
        <v>0</v>
      </c>
      <c r="R3690">
        <f>Data!L3707</f>
        <v>0</v>
      </c>
      <c r="S3690">
        <f>Data!M3707</f>
        <v>0</v>
      </c>
      <c r="T3690">
        <f>Data!N3707</f>
        <v>0</v>
      </c>
      <c r="U3690">
        <f>Data!O3707</f>
        <v>0</v>
      </c>
      <c r="V3690" s="33">
        <f>Data!P3705</f>
        <v>0</v>
      </c>
    </row>
    <row r="3691" spans="7:22" x14ac:dyDescent="0.25">
      <c r="G3691">
        <f>Data!A3704</f>
        <v>0</v>
      </c>
      <c r="H3691" s="21">
        <f>Data!B3704</f>
        <v>0</v>
      </c>
      <c r="I3691" s="21">
        <f>Data!C3704</f>
        <v>0</v>
      </c>
      <c r="J3691">
        <f>Data!D3704</f>
        <v>0</v>
      </c>
      <c r="K3691">
        <f>Data!E3704</f>
        <v>0</v>
      </c>
      <c r="L3691">
        <f>Data!F3704</f>
        <v>0</v>
      </c>
      <c r="M3691">
        <f>Data!G3704</f>
        <v>0</v>
      </c>
      <c r="N3691">
        <f>Data!H3704</f>
        <v>0</v>
      </c>
      <c r="O3691">
        <f>Data!I3704</f>
        <v>0</v>
      </c>
      <c r="P3691" s="21">
        <f>Data!J3708</f>
        <v>0</v>
      </c>
      <c r="Q3691">
        <f>Data!K3708</f>
        <v>0</v>
      </c>
      <c r="R3691">
        <f>Data!L3708</f>
        <v>0</v>
      </c>
      <c r="S3691">
        <f>Data!M3708</f>
        <v>0</v>
      </c>
      <c r="T3691">
        <f>Data!N3708</f>
        <v>0</v>
      </c>
      <c r="U3691">
        <f>Data!O3708</f>
        <v>0</v>
      </c>
      <c r="V3691" s="33">
        <f>Data!P3706</f>
        <v>0</v>
      </c>
    </row>
    <row r="3692" spans="7:22" x14ac:dyDescent="0.25">
      <c r="G3692">
        <f>Data!A3705</f>
        <v>0</v>
      </c>
      <c r="H3692" s="21">
        <f>Data!B3705</f>
        <v>0</v>
      </c>
      <c r="I3692" s="21">
        <f>Data!C3705</f>
        <v>0</v>
      </c>
      <c r="J3692">
        <f>Data!D3705</f>
        <v>0</v>
      </c>
      <c r="K3692">
        <f>Data!E3705</f>
        <v>0</v>
      </c>
      <c r="L3692">
        <f>Data!F3705</f>
        <v>0</v>
      </c>
      <c r="M3692">
        <f>Data!G3705</f>
        <v>0</v>
      </c>
      <c r="N3692">
        <f>Data!H3705</f>
        <v>0</v>
      </c>
      <c r="O3692">
        <f>Data!I3705</f>
        <v>0</v>
      </c>
      <c r="P3692" s="21">
        <f>Data!J3709</f>
        <v>0</v>
      </c>
      <c r="Q3692">
        <f>Data!K3709</f>
        <v>0</v>
      </c>
      <c r="R3692">
        <f>Data!L3709</f>
        <v>0</v>
      </c>
      <c r="S3692">
        <f>Data!M3709</f>
        <v>0</v>
      </c>
      <c r="T3692">
        <f>Data!N3709</f>
        <v>0</v>
      </c>
      <c r="U3692">
        <f>Data!O3709</f>
        <v>0</v>
      </c>
      <c r="V3692" s="33">
        <f>Data!P3707</f>
        <v>0</v>
      </c>
    </row>
    <row r="3693" spans="7:22" x14ac:dyDescent="0.25">
      <c r="G3693">
        <f>Data!A3706</f>
        <v>0</v>
      </c>
      <c r="H3693" s="21">
        <f>Data!B3706</f>
        <v>0</v>
      </c>
      <c r="I3693" s="21">
        <f>Data!C3706</f>
        <v>0</v>
      </c>
      <c r="J3693">
        <f>Data!D3706</f>
        <v>0</v>
      </c>
      <c r="K3693">
        <f>Data!E3706</f>
        <v>0</v>
      </c>
      <c r="L3693">
        <f>Data!F3706</f>
        <v>0</v>
      </c>
      <c r="M3693">
        <f>Data!G3706</f>
        <v>0</v>
      </c>
      <c r="N3693">
        <f>Data!H3706</f>
        <v>0</v>
      </c>
      <c r="O3693">
        <f>Data!I3706</f>
        <v>0</v>
      </c>
      <c r="P3693" s="21">
        <f>Data!J3710</f>
        <v>0</v>
      </c>
      <c r="Q3693">
        <f>Data!K3710</f>
        <v>0</v>
      </c>
      <c r="R3693">
        <f>Data!L3710</f>
        <v>0</v>
      </c>
      <c r="S3693">
        <f>Data!M3710</f>
        <v>0</v>
      </c>
      <c r="T3693">
        <f>Data!N3710</f>
        <v>0</v>
      </c>
      <c r="U3693">
        <f>Data!O3710</f>
        <v>0</v>
      </c>
      <c r="V3693" s="33">
        <f>Data!P3708</f>
        <v>0</v>
      </c>
    </row>
    <row r="3694" spans="7:22" x14ac:dyDescent="0.25">
      <c r="G3694">
        <f>Data!A3707</f>
        <v>0</v>
      </c>
      <c r="H3694" s="21">
        <f>Data!B3707</f>
        <v>0</v>
      </c>
      <c r="I3694" s="21">
        <f>Data!C3707</f>
        <v>0</v>
      </c>
      <c r="J3694">
        <f>Data!D3707</f>
        <v>0</v>
      </c>
      <c r="K3694">
        <f>Data!E3707</f>
        <v>0</v>
      </c>
      <c r="L3694">
        <f>Data!F3707</f>
        <v>0</v>
      </c>
      <c r="M3694">
        <f>Data!G3707</f>
        <v>0</v>
      </c>
      <c r="N3694">
        <f>Data!H3707</f>
        <v>0</v>
      </c>
      <c r="O3694">
        <f>Data!I3707</f>
        <v>0</v>
      </c>
      <c r="P3694" s="21">
        <f>Data!J3711</f>
        <v>0</v>
      </c>
      <c r="Q3694">
        <f>Data!K3711</f>
        <v>0</v>
      </c>
      <c r="R3694">
        <f>Data!L3711</f>
        <v>0</v>
      </c>
      <c r="S3694">
        <f>Data!M3711</f>
        <v>0</v>
      </c>
      <c r="T3694">
        <f>Data!N3711</f>
        <v>0</v>
      </c>
      <c r="U3694">
        <f>Data!O3711</f>
        <v>0</v>
      </c>
      <c r="V3694" s="33">
        <f>Data!P3709</f>
        <v>0</v>
      </c>
    </row>
    <row r="3695" spans="7:22" x14ac:dyDescent="0.25">
      <c r="G3695">
        <f>Data!A3708</f>
        <v>0</v>
      </c>
      <c r="H3695" s="21">
        <f>Data!B3708</f>
        <v>0</v>
      </c>
      <c r="I3695" s="21">
        <f>Data!C3708</f>
        <v>0</v>
      </c>
      <c r="J3695">
        <f>Data!D3708</f>
        <v>0</v>
      </c>
      <c r="K3695">
        <f>Data!E3708</f>
        <v>0</v>
      </c>
      <c r="L3695">
        <f>Data!F3708</f>
        <v>0</v>
      </c>
      <c r="M3695">
        <f>Data!G3708</f>
        <v>0</v>
      </c>
      <c r="N3695">
        <f>Data!H3708</f>
        <v>0</v>
      </c>
      <c r="O3695">
        <f>Data!I3708</f>
        <v>0</v>
      </c>
      <c r="P3695" s="21">
        <f>Data!J3712</f>
        <v>0</v>
      </c>
      <c r="Q3695">
        <f>Data!K3712</f>
        <v>0</v>
      </c>
      <c r="R3695">
        <f>Data!L3712</f>
        <v>0</v>
      </c>
      <c r="S3695">
        <f>Data!M3712</f>
        <v>0</v>
      </c>
      <c r="T3695">
        <f>Data!N3712</f>
        <v>0</v>
      </c>
      <c r="U3695">
        <f>Data!O3712</f>
        <v>0</v>
      </c>
      <c r="V3695" s="33">
        <f>Data!P3710</f>
        <v>0</v>
      </c>
    </row>
    <row r="3696" spans="7:22" x14ac:dyDescent="0.25">
      <c r="G3696">
        <f>Data!A3709</f>
        <v>0</v>
      </c>
      <c r="H3696" s="21">
        <f>Data!B3709</f>
        <v>0</v>
      </c>
      <c r="I3696" s="21">
        <f>Data!C3709</f>
        <v>0</v>
      </c>
      <c r="J3696">
        <f>Data!D3709</f>
        <v>0</v>
      </c>
      <c r="K3696">
        <f>Data!E3709</f>
        <v>0</v>
      </c>
      <c r="L3696">
        <f>Data!F3709</f>
        <v>0</v>
      </c>
      <c r="M3696">
        <f>Data!G3709</f>
        <v>0</v>
      </c>
      <c r="N3696">
        <f>Data!H3709</f>
        <v>0</v>
      </c>
      <c r="O3696">
        <f>Data!I3709</f>
        <v>0</v>
      </c>
      <c r="P3696" s="21">
        <f>Data!J3713</f>
        <v>0</v>
      </c>
      <c r="Q3696">
        <f>Data!K3713</f>
        <v>0</v>
      </c>
      <c r="R3696">
        <f>Data!L3713</f>
        <v>0</v>
      </c>
      <c r="S3696">
        <f>Data!M3713</f>
        <v>0</v>
      </c>
      <c r="T3696">
        <f>Data!N3713</f>
        <v>0</v>
      </c>
      <c r="U3696">
        <f>Data!O3713</f>
        <v>0</v>
      </c>
      <c r="V3696" s="33">
        <f>Data!P3711</f>
        <v>0</v>
      </c>
    </row>
    <row r="3697" spans="7:22" x14ac:dyDescent="0.25">
      <c r="G3697">
        <f>Data!A3710</f>
        <v>0</v>
      </c>
      <c r="H3697" s="21">
        <f>Data!B3710</f>
        <v>0</v>
      </c>
      <c r="I3697" s="21">
        <f>Data!C3710</f>
        <v>0</v>
      </c>
      <c r="J3697">
        <f>Data!D3710</f>
        <v>0</v>
      </c>
      <c r="K3697">
        <f>Data!E3710</f>
        <v>0</v>
      </c>
      <c r="L3697">
        <f>Data!F3710</f>
        <v>0</v>
      </c>
      <c r="M3697">
        <f>Data!G3710</f>
        <v>0</v>
      </c>
      <c r="N3697">
        <f>Data!H3710</f>
        <v>0</v>
      </c>
      <c r="O3697">
        <f>Data!I3710</f>
        <v>0</v>
      </c>
      <c r="P3697" s="21">
        <f>Data!J3714</f>
        <v>0</v>
      </c>
      <c r="Q3697">
        <f>Data!K3714</f>
        <v>0</v>
      </c>
      <c r="R3697">
        <f>Data!L3714</f>
        <v>0</v>
      </c>
      <c r="S3697">
        <f>Data!M3714</f>
        <v>0</v>
      </c>
      <c r="T3697">
        <f>Data!N3714</f>
        <v>0</v>
      </c>
      <c r="U3697">
        <f>Data!O3714</f>
        <v>0</v>
      </c>
      <c r="V3697" s="33">
        <f>Data!P3712</f>
        <v>0</v>
      </c>
    </row>
    <row r="3698" spans="7:22" x14ac:dyDescent="0.25">
      <c r="G3698">
        <f>Data!A3711</f>
        <v>0</v>
      </c>
      <c r="H3698" s="21">
        <f>Data!B3711</f>
        <v>0</v>
      </c>
      <c r="I3698" s="21">
        <f>Data!C3711</f>
        <v>0</v>
      </c>
      <c r="J3698">
        <f>Data!D3711</f>
        <v>0</v>
      </c>
      <c r="K3698">
        <f>Data!E3711</f>
        <v>0</v>
      </c>
      <c r="L3698">
        <f>Data!F3711</f>
        <v>0</v>
      </c>
      <c r="M3698">
        <f>Data!G3711</f>
        <v>0</v>
      </c>
      <c r="N3698">
        <f>Data!H3711</f>
        <v>0</v>
      </c>
      <c r="O3698">
        <f>Data!I3711</f>
        <v>0</v>
      </c>
      <c r="P3698" s="21">
        <f>Data!J3715</f>
        <v>0</v>
      </c>
      <c r="Q3698">
        <f>Data!K3715</f>
        <v>0</v>
      </c>
      <c r="R3698">
        <f>Data!L3715</f>
        <v>0</v>
      </c>
      <c r="S3698">
        <f>Data!M3715</f>
        <v>0</v>
      </c>
      <c r="T3698">
        <f>Data!N3715</f>
        <v>0</v>
      </c>
      <c r="U3698">
        <f>Data!O3715</f>
        <v>0</v>
      </c>
      <c r="V3698" s="33">
        <f>Data!P3713</f>
        <v>0</v>
      </c>
    </row>
    <row r="3699" spans="7:22" x14ac:dyDescent="0.25">
      <c r="G3699">
        <f>Data!A3712</f>
        <v>0</v>
      </c>
      <c r="H3699" s="21">
        <f>Data!B3712</f>
        <v>0</v>
      </c>
      <c r="I3699" s="21">
        <f>Data!C3712</f>
        <v>0</v>
      </c>
      <c r="J3699">
        <f>Data!D3712</f>
        <v>0</v>
      </c>
      <c r="K3699">
        <f>Data!E3712</f>
        <v>0</v>
      </c>
      <c r="L3699">
        <f>Data!F3712</f>
        <v>0</v>
      </c>
      <c r="M3699">
        <f>Data!G3712</f>
        <v>0</v>
      </c>
      <c r="N3699">
        <f>Data!H3712</f>
        <v>0</v>
      </c>
      <c r="O3699">
        <f>Data!I3712</f>
        <v>0</v>
      </c>
      <c r="P3699" s="21">
        <f>Data!J3716</f>
        <v>0</v>
      </c>
      <c r="Q3699">
        <f>Data!K3716</f>
        <v>0</v>
      </c>
      <c r="R3699">
        <f>Data!L3716</f>
        <v>0</v>
      </c>
      <c r="S3699">
        <f>Data!M3716</f>
        <v>0</v>
      </c>
      <c r="T3699">
        <f>Data!N3716</f>
        <v>0</v>
      </c>
      <c r="U3699">
        <f>Data!O3716</f>
        <v>0</v>
      </c>
      <c r="V3699" s="33">
        <f>Data!P3714</f>
        <v>0</v>
      </c>
    </row>
    <row r="3700" spans="7:22" x14ac:dyDescent="0.25">
      <c r="G3700">
        <f>Data!A3713</f>
        <v>0</v>
      </c>
      <c r="H3700" s="21">
        <f>Data!B3713</f>
        <v>0</v>
      </c>
      <c r="I3700" s="21">
        <f>Data!C3713</f>
        <v>0</v>
      </c>
      <c r="J3700">
        <f>Data!D3713</f>
        <v>0</v>
      </c>
      <c r="K3700">
        <f>Data!E3713</f>
        <v>0</v>
      </c>
      <c r="L3700">
        <f>Data!F3713</f>
        <v>0</v>
      </c>
      <c r="M3700">
        <f>Data!G3713</f>
        <v>0</v>
      </c>
      <c r="N3700">
        <f>Data!H3713</f>
        <v>0</v>
      </c>
      <c r="O3700">
        <f>Data!I3713</f>
        <v>0</v>
      </c>
      <c r="P3700" s="21">
        <f>Data!J3717</f>
        <v>0</v>
      </c>
      <c r="Q3700">
        <f>Data!K3717</f>
        <v>0</v>
      </c>
      <c r="R3700">
        <f>Data!L3717</f>
        <v>0</v>
      </c>
      <c r="S3700">
        <f>Data!M3717</f>
        <v>0</v>
      </c>
      <c r="T3700">
        <f>Data!N3717</f>
        <v>0</v>
      </c>
      <c r="U3700">
        <f>Data!O3717</f>
        <v>0</v>
      </c>
      <c r="V3700" s="33">
        <f>Data!P3715</f>
        <v>0</v>
      </c>
    </row>
    <row r="3701" spans="7:22" x14ac:dyDescent="0.25">
      <c r="G3701">
        <f>Data!A3714</f>
        <v>0</v>
      </c>
      <c r="H3701" s="21">
        <f>Data!B3714</f>
        <v>0</v>
      </c>
      <c r="I3701" s="21">
        <f>Data!C3714</f>
        <v>0</v>
      </c>
      <c r="J3701">
        <f>Data!D3714</f>
        <v>0</v>
      </c>
      <c r="K3701">
        <f>Data!E3714</f>
        <v>0</v>
      </c>
      <c r="L3701">
        <f>Data!F3714</f>
        <v>0</v>
      </c>
      <c r="M3701">
        <f>Data!G3714</f>
        <v>0</v>
      </c>
      <c r="N3701">
        <f>Data!H3714</f>
        <v>0</v>
      </c>
      <c r="O3701">
        <f>Data!I3714</f>
        <v>0</v>
      </c>
      <c r="P3701" s="21">
        <f>Data!J3718</f>
        <v>0</v>
      </c>
      <c r="Q3701">
        <f>Data!K3718</f>
        <v>0</v>
      </c>
      <c r="R3701">
        <f>Data!L3718</f>
        <v>0</v>
      </c>
      <c r="S3701">
        <f>Data!M3718</f>
        <v>0</v>
      </c>
      <c r="T3701">
        <f>Data!N3718</f>
        <v>0</v>
      </c>
      <c r="U3701">
        <f>Data!O3718</f>
        <v>0</v>
      </c>
      <c r="V3701" s="33">
        <f>Data!P3716</f>
        <v>0</v>
      </c>
    </row>
    <row r="3702" spans="7:22" x14ac:dyDescent="0.25">
      <c r="G3702">
        <f>Data!A3715</f>
        <v>0</v>
      </c>
      <c r="H3702" s="21">
        <f>Data!B3715</f>
        <v>0</v>
      </c>
      <c r="I3702" s="21">
        <f>Data!C3715</f>
        <v>0</v>
      </c>
      <c r="J3702">
        <f>Data!D3715</f>
        <v>0</v>
      </c>
      <c r="K3702">
        <f>Data!E3715</f>
        <v>0</v>
      </c>
      <c r="L3702">
        <f>Data!F3715</f>
        <v>0</v>
      </c>
      <c r="M3702">
        <f>Data!G3715</f>
        <v>0</v>
      </c>
      <c r="N3702">
        <f>Data!H3715</f>
        <v>0</v>
      </c>
      <c r="O3702">
        <f>Data!I3715</f>
        <v>0</v>
      </c>
      <c r="P3702" s="21">
        <f>Data!J3719</f>
        <v>0</v>
      </c>
      <c r="Q3702">
        <f>Data!K3719</f>
        <v>0</v>
      </c>
      <c r="R3702">
        <f>Data!L3719</f>
        <v>0</v>
      </c>
      <c r="S3702">
        <f>Data!M3719</f>
        <v>0</v>
      </c>
      <c r="T3702">
        <f>Data!N3719</f>
        <v>0</v>
      </c>
      <c r="U3702">
        <f>Data!O3719</f>
        <v>0</v>
      </c>
      <c r="V3702" s="33">
        <f>Data!P3717</f>
        <v>0</v>
      </c>
    </row>
    <row r="3703" spans="7:22" x14ac:dyDescent="0.25">
      <c r="G3703">
        <f>Data!A3716</f>
        <v>0</v>
      </c>
      <c r="H3703" s="21">
        <f>Data!B3716</f>
        <v>0</v>
      </c>
      <c r="I3703" s="21">
        <f>Data!C3716</f>
        <v>0</v>
      </c>
      <c r="J3703">
        <f>Data!D3716</f>
        <v>0</v>
      </c>
      <c r="K3703">
        <f>Data!E3716</f>
        <v>0</v>
      </c>
      <c r="L3703">
        <f>Data!F3716</f>
        <v>0</v>
      </c>
      <c r="M3703">
        <f>Data!G3716</f>
        <v>0</v>
      </c>
      <c r="N3703">
        <f>Data!H3716</f>
        <v>0</v>
      </c>
      <c r="O3703">
        <f>Data!I3716</f>
        <v>0</v>
      </c>
      <c r="P3703" s="21">
        <f>Data!J3720</f>
        <v>0</v>
      </c>
      <c r="Q3703">
        <f>Data!K3720</f>
        <v>0</v>
      </c>
      <c r="R3703">
        <f>Data!L3720</f>
        <v>0</v>
      </c>
      <c r="S3703">
        <f>Data!M3720</f>
        <v>0</v>
      </c>
      <c r="T3703">
        <f>Data!N3720</f>
        <v>0</v>
      </c>
      <c r="U3703">
        <f>Data!O3720</f>
        <v>0</v>
      </c>
      <c r="V3703" s="33">
        <f>Data!P3718</f>
        <v>0</v>
      </c>
    </row>
    <row r="3704" spans="7:22" x14ac:dyDescent="0.25">
      <c r="G3704">
        <f>Data!A3717</f>
        <v>0</v>
      </c>
      <c r="H3704" s="21">
        <f>Data!B3717</f>
        <v>0</v>
      </c>
      <c r="I3704" s="21">
        <f>Data!C3717</f>
        <v>0</v>
      </c>
      <c r="J3704">
        <f>Data!D3717</f>
        <v>0</v>
      </c>
      <c r="K3704">
        <f>Data!E3717</f>
        <v>0</v>
      </c>
      <c r="L3704">
        <f>Data!F3717</f>
        <v>0</v>
      </c>
      <c r="M3704">
        <f>Data!G3717</f>
        <v>0</v>
      </c>
      <c r="N3704">
        <f>Data!H3717</f>
        <v>0</v>
      </c>
      <c r="O3704">
        <f>Data!I3717</f>
        <v>0</v>
      </c>
      <c r="P3704" s="21">
        <f>Data!J3721</f>
        <v>0</v>
      </c>
      <c r="Q3704">
        <f>Data!K3721</f>
        <v>0</v>
      </c>
      <c r="R3704">
        <f>Data!L3721</f>
        <v>0</v>
      </c>
      <c r="S3704">
        <f>Data!M3721</f>
        <v>0</v>
      </c>
      <c r="T3704">
        <f>Data!N3721</f>
        <v>0</v>
      </c>
      <c r="U3704">
        <f>Data!O3721</f>
        <v>0</v>
      </c>
      <c r="V3704" s="33">
        <f>Data!P3719</f>
        <v>0</v>
      </c>
    </row>
    <row r="3705" spans="7:22" x14ac:dyDescent="0.25">
      <c r="G3705">
        <f>Data!A3718</f>
        <v>0</v>
      </c>
      <c r="H3705" s="21">
        <f>Data!B3718</f>
        <v>0</v>
      </c>
      <c r="I3705" s="21">
        <f>Data!C3718</f>
        <v>0</v>
      </c>
      <c r="J3705">
        <f>Data!D3718</f>
        <v>0</v>
      </c>
      <c r="K3705">
        <f>Data!E3718</f>
        <v>0</v>
      </c>
      <c r="L3705">
        <f>Data!F3718</f>
        <v>0</v>
      </c>
      <c r="M3705">
        <f>Data!G3718</f>
        <v>0</v>
      </c>
      <c r="N3705">
        <f>Data!H3718</f>
        <v>0</v>
      </c>
      <c r="O3705">
        <f>Data!I3718</f>
        <v>0</v>
      </c>
      <c r="P3705" s="21">
        <f>Data!J3722</f>
        <v>0</v>
      </c>
      <c r="Q3705">
        <f>Data!K3722</f>
        <v>0</v>
      </c>
      <c r="R3705">
        <f>Data!L3722</f>
        <v>0</v>
      </c>
      <c r="S3705">
        <f>Data!M3722</f>
        <v>0</v>
      </c>
      <c r="T3705">
        <f>Data!N3722</f>
        <v>0</v>
      </c>
      <c r="U3705">
        <f>Data!O3722</f>
        <v>0</v>
      </c>
      <c r="V3705" s="33">
        <f>Data!P3720</f>
        <v>0</v>
      </c>
    </row>
    <row r="3706" spans="7:22" x14ac:dyDescent="0.25">
      <c r="G3706">
        <f>Data!A3719</f>
        <v>0</v>
      </c>
      <c r="H3706" s="21">
        <f>Data!B3719</f>
        <v>0</v>
      </c>
      <c r="I3706" s="21">
        <f>Data!C3719</f>
        <v>0</v>
      </c>
      <c r="J3706">
        <f>Data!D3719</f>
        <v>0</v>
      </c>
      <c r="K3706">
        <f>Data!E3719</f>
        <v>0</v>
      </c>
      <c r="L3706">
        <f>Data!F3719</f>
        <v>0</v>
      </c>
      <c r="M3706">
        <f>Data!G3719</f>
        <v>0</v>
      </c>
      <c r="N3706">
        <f>Data!H3719</f>
        <v>0</v>
      </c>
      <c r="O3706">
        <f>Data!I3719</f>
        <v>0</v>
      </c>
      <c r="P3706" s="21">
        <f>Data!J3723</f>
        <v>0</v>
      </c>
      <c r="Q3706">
        <f>Data!K3723</f>
        <v>0</v>
      </c>
      <c r="R3706">
        <f>Data!L3723</f>
        <v>0</v>
      </c>
      <c r="S3706">
        <f>Data!M3723</f>
        <v>0</v>
      </c>
      <c r="T3706">
        <f>Data!N3723</f>
        <v>0</v>
      </c>
      <c r="U3706">
        <f>Data!O3723</f>
        <v>0</v>
      </c>
      <c r="V3706" s="33">
        <f>Data!P3721</f>
        <v>0</v>
      </c>
    </row>
    <row r="3707" spans="7:22" x14ac:dyDescent="0.25">
      <c r="G3707">
        <f>Data!A3720</f>
        <v>0</v>
      </c>
      <c r="H3707" s="21">
        <f>Data!B3720</f>
        <v>0</v>
      </c>
      <c r="I3707" s="21">
        <f>Data!C3720</f>
        <v>0</v>
      </c>
      <c r="J3707">
        <f>Data!D3720</f>
        <v>0</v>
      </c>
      <c r="K3707">
        <f>Data!E3720</f>
        <v>0</v>
      </c>
      <c r="L3707">
        <f>Data!F3720</f>
        <v>0</v>
      </c>
      <c r="M3707">
        <f>Data!G3720</f>
        <v>0</v>
      </c>
      <c r="N3707">
        <f>Data!H3720</f>
        <v>0</v>
      </c>
      <c r="O3707">
        <f>Data!I3720</f>
        <v>0</v>
      </c>
      <c r="P3707" s="21">
        <f>Data!J3724</f>
        <v>0</v>
      </c>
      <c r="Q3707">
        <f>Data!K3724</f>
        <v>0</v>
      </c>
      <c r="R3707">
        <f>Data!L3724</f>
        <v>0</v>
      </c>
      <c r="S3707">
        <f>Data!M3724</f>
        <v>0</v>
      </c>
      <c r="T3707">
        <f>Data!N3724</f>
        <v>0</v>
      </c>
      <c r="U3707">
        <f>Data!O3724</f>
        <v>0</v>
      </c>
      <c r="V3707" s="33">
        <f>Data!P3722</f>
        <v>0</v>
      </c>
    </row>
    <row r="3708" spans="7:22" x14ac:dyDescent="0.25">
      <c r="G3708">
        <f>Data!A3721</f>
        <v>0</v>
      </c>
      <c r="H3708" s="21">
        <f>Data!B3721</f>
        <v>0</v>
      </c>
      <c r="I3708" s="21">
        <f>Data!C3721</f>
        <v>0</v>
      </c>
      <c r="J3708">
        <f>Data!D3721</f>
        <v>0</v>
      </c>
      <c r="K3708">
        <f>Data!E3721</f>
        <v>0</v>
      </c>
      <c r="L3708">
        <f>Data!F3721</f>
        <v>0</v>
      </c>
      <c r="M3708">
        <f>Data!G3721</f>
        <v>0</v>
      </c>
      <c r="N3708">
        <f>Data!H3721</f>
        <v>0</v>
      </c>
      <c r="O3708">
        <f>Data!I3721</f>
        <v>0</v>
      </c>
      <c r="P3708" s="21">
        <f>Data!J3725</f>
        <v>0</v>
      </c>
      <c r="Q3708">
        <f>Data!K3725</f>
        <v>0</v>
      </c>
      <c r="R3708">
        <f>Data!L3725</f>
        <v>0</v>
      </c>
      <c r="S3708">
        <f>Data!M3725</f>
        <v>0</v>
      </c>
      <c r="T3708">
        <f>Data!N3725</f>
        <v>0</v>
      </c>
      <c r="U3708">
        <f>Data!O3725</f>
        <v>0</v>
      </c>
      <c r="V3708" s="33">
        <f>Data!P3723</f>
        <v>0</v>
      </c>
    </row>
    <row r="3709" spans="7:22" x14ac:dyDescent="0.25">
      <c r="G3709">
        <f>Data!A3722</f>
        <v>0</v>
      </c>
      <c r="H3709" s="21">
        <f>Data!B3722</f>
        <v>0</v>
      </c>
      <c r="I3709" s="21">
        <f>Data!C3722</f>
        <v>0</v>
      </c>
      <c r="J3709">
        <f>Data!D3722</f>
        <v>0</v>
      </c>
      <c r="K3709">
        <f>Data!E3722</f>
        <v>0</v>
      </c>
      <c r="L3709">
        <f>Data!F3722</f>
        <v>0</v>
      </c>
      <c r="M3709">
        <f>Data!G3722</f>
        <v>0</v>
      </c>
      <c r="N3709">
        <f>Data!H3722</f>
        <v>0</v>
      </c>
      <c r="O3709">
        <f>Data!I3722</f>
        <v>0</v>
      </c>
      <c r="P3709" s="21">
        <f>Data!J3726</f>
        <v>0</v>
      </c>
      <c r="Q3709">
        <f>Data!K3726</f>
        <v>0</v>
      </c>
      <c r="R3709">
        <f>Data!L3726</f>
        <v>0</v>
      </c>
      <c r="S3709">
        <f>Data!M3726</f>
        <v>0</v>
      </c>
      <c r="T3709">
        <f>Data!N3726</f>
        <v>0</v>
      </c>
      <c r="U3709">
        <f>Data!O3726</f>
        <v>0</v>
      </c>
      <c r="V3709" s="33">
        <f>Data!P3724</f>
        <v>0</v>
      </c>
    </row>
    <row r="3710" spans="7:22" x14ac:dyDescent="0.25">
      <c r="G3710">
        <f>Data!A3723</f>
        <v>0</v>
      </c>
      <c r="H3710" s="21">
        <f>Data!B3723</f>
        <v>0</v>
      </c>
      <c r="I3710" s="21">
        <f>Data!C3723</f>
        <v>0</v>
      </c>
      <c r="J3710">
        <f>Data!D3723</f>
        <v>0</v>
      </c>
      <c r="K3710">
        <f>Data!E3723</f>
        <v>0</v>
      </c>
      <c r="L3710">
        <f>Data!F3723</f>
        <v>0</v>
      </c>
      <c r="M3710">
        <f>Data!G3723</f>
        <v>0</v>
      </c>
      <c r="N3710">
        <f>Data!H3723</f>
        <v>0</v>
      </c>
      <c r="O3710">
        <f>Data!I3723</f>
        <v>0</v>
      </c>
      <c r="P3710" s="21">
        <f>Data!J3727</f>
        <v>0</v>
      </c>
      <c r="Q3710">
        <f>Data!K3727</f>
        <v>0</v>
      </c>
      <c r="R3710">
        <f>Data!L3727</f>
        <v>0</v>
      </c>
      <c r="S3710">
        <f>Data!M3727</f>
        <v>0</v>
      </c>
      <c r="T3710">
        <f>Data!N3727</f>
        <v>0</v>
      </c>
      <c r="U3710">
        <f>Data!O3727</f>
        <v>0</v>
      </c>
      <c r="V3710" s="33">
        <f>Data!P3725</f>
        <v>0</v>
      </c>
    </row>
    <row r="3711" spans="7:22" x14ac:dyDescent="0.25">
      <c r="G3711">
        <f>Data!A3724</f>
        <v>0</v>
      </c>
      <c r="H3711" s="21">
        <f>Data!B3724</f>
        <v>0</v>
      </c>
      <c r="I3711" s="21">
        <f>Data!C3724</f>
        <v>0</v>
      </c>
      <c r="J3711">
        <f>Data!D3724</f>
        <v>0</v>
      </c>
      <c r="K3711">
        <f>Data!E3724</f>
        <v>0</v>
      </c>
      <c r="L3711">
        <f>Data!F3724</f>
        <v>0</v>
      </c>
      <c r="M3711">
        <f>Data!G3724</f>
        <v>0</v>
      </c>
      <c r="N3711">
        <f>Data!H3724</f>
        <v>0</v>
      </c>
      <c r="O3711">
        <f>Data!I3724</f>
        <v>0</v>
      </c>
      <c r="P3711" s="21">
        <f>Data!J3728</f>
        <v>0</v>
      </c>
      <c r="Q3711">
        <f>Data!K3728</f>
        <v>0</v>
      </c>
      <c r="R3711">
        <f>Data!L3728</f>
        <v>0</v>
      </c>
      <c r="S3711">
        <f>Data!M3728</f>
        <v>0</v>
      </c>
      <c r="T3711">
        <f>Data!N3728</f>
        <v>0</v>
      </c>
      <c r="U3711">
        <f>Data!O3728</f>
        <v>0</v>
      </c>
      <c r="V3711" s="33">
        <f>Data!P3726</f>
        <v>0</v>
      </c>
    </row>
    <row r="3712" spans="7:22" x14ac:dyDescent="0.25">
      <c r="G3712">
        <f>Data!A3725</f>
        <v>0</v>
      </c>
      <c r="H3712" s="21">
        <f>Data!B3725</f>
        <v>0</v>
      </c>
      <c r="I3712" s="21">
        <f>Data!C3725</f>
        <v>0</v>
      </c>
      <c r="J3712">
        <f>Data!D3725</f>
        <v>0</v>
      </c>
      <c r="K3712">
        <f>Data!E3725</f>
        <v>0</v>
      </c>
      <c r="L3712">
        <f>Data!F3725</f>
        <v>0</v>
      </c>
      <c r="M3712">
        <f>Data!G3725</f>
        <v>0</v>
      </c>
      <c r="N3712">
        <f>Data!H3725</f>
        <v>0</v>
      </c>
      <c r="O3712">
        <f>Data!I3725</f>
        <v>0</v>
      </c>
      <c r="P3712" s="21">
        <f>Data!J3729</f>
        <v>0</v>
      </c>
      <c r="Q3712">
        <f>Data!K3729</f>
        <v>0</v>
      </c>
      <c r="R3712">
        <f>Data!L3729</f>
        <v>0</v>
      </c>
      <c r="S3712">
        <f>Data!M3729</f>
        <v>0</v>
      </c>
      <c r="T3712">
        <f>Data!N3729</f>
        <v>0</v>
      </c>
      <c r="U3712">
        <f>Data!O3729</f>
        <v>0</v>
      </c>
      <c r="V3712" s="33">
        <f>Data!P3727</f>
        <v>0</v>
      </c>
    </row>
    <row r="3713" spans="7:22" x14ac:dyDescent="0.25">
      <c r="G3713">
        <f>Data!A3726</f>
        <v>0</v>
      </c>
      <c r="H3713" s="21">
        <f>Data!B3726</f>
        <v>0</v>
      </c>
      <c r="I3713" s="21">
        <f>Data!C3726</f>
        <v>0</v>
      </c>
      <c r="J3713">
        <f>Data!D3726</f>
        <v>0</v>
      </c>
      <c r="K3713">
        <f>Data!E3726</f>
        <v>0</v>
      </c>
      <c r="L3713">
        <f>Data!F3726</f>
        <v>0</v>
      </c>
      <c r="M3713">
        <f>Data!G3726</f>
        <v>0</v>
      </c>
      <c r="N3713">
        <f>Data!H3726</f>
        <v>0</v>
      </c>
      <c r="O3713">
        <f>Data!I3726</f>
        <v>0</v>
      </c>
      <c r="P3713" s="21">
        <f>Data!J3730</f>
        <v>0</v>
      </c>
      <c r="Q3713">
        <f>Data!K3730</f>
        <v>0</v>
      </c>
      <c r="R3713">
        <f>Data!L3730</f>
        <v>0</v>
      </c>
      <c r="S3713">
        <f>Data!M3730</f>
        <v>0</v>
      </c>
      <c r="T3713">
        <f>Data!N3730</f>
        <v>0</v>
      </c>
      <c r="U3713">
        <f>Data!O3730</f>
        <v>0</v>
      </c>
      <c r="V3713" s="33">
        <f>Data!P3728</f>
        <v>0</v>
      </c>
    </row>
    <row r="3714" spans="7:22" x14ac:dyDescent="0.25">
      <c r="G3714">
        <f>Data!A3727</f>
        <v>0</v>
      </c>
      <c r="H3714" s="21">
        <f>Data!B3727</f>
        <v>0</v>
      </c>
      <c r="I3714" s="21">
        <f>Data!C3727</f>
        <v>0</v>
      </c>
      <c r="J3714">
        <f>Data!D3727</f>
        <v>0</v>
      </c>
      <c r="K3714">
        <f>Data!E3727</f>
        <v>0</v>
      </c>
      <c r="L3714">
        <f>Data!F3727</f>
        <v>0</v>
      </c>
      <c r="M3714">
        <f>Data!G3727</f>
        <v>0</v>
      </c>
      <c r="N3714">
        <f>Data!H3727</f>
        <v>0</v>
      </c>
      <c r="O3714">
        <f>Data!I3727</f>
        <v>0</v>
      </c>
      <c r="P3714" s="21">
        <f>Data!J3731</f>
        <v>0</v>
      </c>
      <c r="Q3714">
        <f>Data!K3731</f>
        <v>0</v>
      </c>
      <c r="R3714">
        <f>Data!L3731</f>
        <v>0</v>
      </c>
      <c r="S3714">
        <f>Data!M3731</f>
        <v>0</v>
      </c>
      <c r="T3714">
        <f>Data!N3731</f>
        <v>0</v>
      </c>
      <c r="U3714">
        <f>Data!O3731</f>
        <v>0</v>
      </c>
      <c r="V3714" s="33">
        <f>Data!P3729</f>
        <v>0</v>
      </c>
    </row>
    <row r="3715" spans="7:22" x14ac:dyDescent="0.25">
      <c r="G3715">
        <f>Data!A3728</f>
        <v>0</v>
      </c>
      <c r="H3715" s="21">
        <f>Data!B3728</f>
        <v>0</v>
      </c>
      <c r="I3715" s="21">
        <f>Data!C3728</f>
        <v>0</v>
      </c>
      <c r="J3715">
        <f>Data!D3728</f>
        <v>0</v>
      </c>
      <c r="K3715">
        <f>Data!E3728</f>
        <v>0</v>
      </c>
      <c r="L3715">
        <f>Data!F3728</f>
        <v>0</v>
      </c>
      <c r="M3715">
        <f>Data!G3728</f>
        <v>0</v>
      </c>
      <c r="N3715">
        <f>Data!H3728</f>
        <v>0</v>
      </c>
      <c r="O3715">
        <f>Data!I3728</f>
        <v>0</v>
      </c>
      <c r="P3715" s="21">
        <f>Data!J3732</f>
        <v>0</v>
      </c>
      <c r="Q3715">
        <f>Data!K3732</f>
        <v>0</v>
      </c>
      <c r="R3715">
        <f>Data!L3732</f>
        <v>0</v>
      </c>
      <c r="S3715">
        <f>Data!M3732</f>
        <v>0</v>
      </c>
      <c r="T3715">
        <f>Data!N3732</f>
        <v>0</v>
      </c>
      <c r="U3715">
        <f>Data!O3732</f>
        <v>0</v>
      </c>
      <c r="V3715" s="33">
        <f>Data!P3730</f>
        <v>0</v>
      </c>
    </row>
    <row r="3716" spans="7:22" x14ac:dyDescent="0.25">
      <c r="G3716">
        <f>Data!A3729</f>
        <v>0</v>
      </c>
      <c r="H3716" s="21">
        <f>Data!B3729</f>
        <v>0</v>
      </c>
      <c r="I3716" s="21">
        <f>Data!C3729</f>
        <v>0</v>
      </c>
      <c r="J3716">
        <f>Data!D3729</f>
        <v>0</v>
      </c>
      <c r="K3716">
        <f>Data!E3729</f>
        <v>0</v>
      </c>
      <c r="L3716">
        <f>Data!F3729</f>
        <v>0</v>
      </c>
      <c r="M3716">
        <f>Data!G3729</f>
        <v>0</v>
      </c>
      <c r="N3716">
        <f>Data!H3729</f>
        <v>0</v>
      </c>
      <c r="O3716">
        <f>Data!I3729</f>
        <v>0</v>
      </c>
      <c r="P3716" s="21">
        <f>Data!J3733</f>
        <v>0</v>
      </c>
      <c r="Q3716">
        <f>Data!K3733</f>
        <v>0</v>
      </c>
      <c r="R3716">
        <f>Data!L3733</f>
        <v>0</v>
      </c>
      <c r="S3716">
        <f>Data!M3733</f>
        <v>0</v>
      </c>
      <c r="T3716">
        <f>Data!N3733</f>
        <v>0</v>
      </c>
      <c r="U3716">
        <f>Data!O3733</f>
        <v>0</v>
      </c>
      <c r="V3716" s="33">
        <f>Data!P3731</f>
        <v>0</v>
      </c>
    </row>
    <row r="3717" spans="7:22" x14ac:dyDescent="0.25">
      <c r="G3717">
        <f>Data!A3730</f>
        <v>0</v>
      </c>
      <c r="H3717" s="21">
        <f>Data!B3730</f>
        <v>0</v>
      </c>
      <c r="I3717" s="21">
        <f>Data!C3730</f>
        <v>0</v>
      </c>
      <c r="J3717">
        <f>Data!D3730</f>
        <v>0</v>
      </c>
      <c r="K3717">
        <f>Data!E3730</f>
        <v>0</v>
      </c>
      <c r="L3717">
        <f>Data!F3730</f>
        <v>0</v>
      </c>
      <c r="M3717">
        <f>Data!G3730</f>
        <v>0</v>
      </c>
      <c r="N3717">
        <f>Data!H3730</f>
        <v>0</v>
      </c>
      <c r="O3717">
        <f>Data!I3730</f>
        <v>0</v>
      </c>
      <c r="P3717" s="21">
        <f>Data!J3734</f>
        <v>0</v>
      </c>
      <c r="Q3717">
        <f>Data!K3734</f>
        <v>0</v>
      </c>
      <c r="R3717">
        <f>Data!L3734</f>
        <v>0</v>
      </c>
      <c r="S3717">
        <f>Data!M3734</f>
        <v>0</v>
      </c>
      <c r="T3717">
        <f>Data!N3734</f>
        <v>0</v>
      </c>
      <c r="U3717">
        <f>Data!O3734</f>
        <v>0</v>
      </c>
      <c r="V3717" s="33">
        <f>Data!P3732</f>
        <v>0</v>
      </c>
    </row>
    <row r="3718" spans="7:22" x14ac:dyDescent="0.25">
      <c r="G3718">
        <f>Data!A3731</f>
        <v>0</v>
      </c>
      <c r="H3718" s="21">
        <f>Data!B3731</f>
        <v>0</v>
      </c>
      <c r="I3718" s="21">
        <f>Data!C3731</f>
        <v>0</v>
      </c>
      <c r="J3718">
        <f>Data!D3731</f>
        <v>0</v>
      </c>
      <c r="K3718">
        <f>Data!E3731</f>
        <v>0</v>
      </c>
      <c r="L3718">
        <f>Data!F3731</f>
        <v>0</v>
      </c>
      <c r="M3718">
        <f>Data!G3731</f>
        <v>0</v>
      </c>
      <c r="N3718">
        <f>Data!H3731</f>
        <v>0</v>
      </c>
      <c r="O3718">
        <f>Data!I3731</f>
        <v>0</v>
      </c>
      <c r="P3718" s="21">
        <f>Data!J3735</f>
        <v>0</v>
      </c>
      <c r="Q3718">
        <f>Data!K3735</f>
        <v>0</v>
      </c>
      <c r="R3718">
        <f>Data!L3735</f>
        <v>0</v>
      </c>
      <c r="S3718">
        <f>Data!M3735</f>
        <v>0</v>
      </c>
      <c r="T3718">
        <f>Data!N3735</f>
        <v>0</v>
      </c>
      <c r="U3718">
        <f>Data!O3735</f>
        <v>0</v>
      </c>
      <c r="V3718" s="33">
        <f>Data!P3733</f>
        <v>0</v>
      </c>
    </row>
    <row r="3719" spans="7:22" x14ac:dyDescent="0.25">
      <c r="G3719">
        <f>Data!A3732</f>
        <v>0</v>
      </c>
      <c r="H3719" s="21">
        <f>Data!B3732</f>
        <v>0</v>
      </c>
      <c r="I3719" s="21">
        <f>Data!C3732</f>
        <v>0</v>
      </c>
      <c r="J3719">
        <f>Data!D3732</f>
        <v>0</v>
      </c>
      <c r="K3719">
        <f>Data!E3732</f>
        <v>0</v>
      </c>
      <c r="L3719">
        <f>Data!F3732</f>
        <v>0</v>
      </c>
      <c r="M3719">
        <f>Data!G3732</f>
        <v>0</v>
      </c>
      <c r="N3719">
        <f>Data!H3732</f>
        <v>0</v>
      </c>
      <c r="O3719">
        <f>Data!I3732</f>
        <v>0</v>
      </c>
      <c r="P3719" s="21">
        <f>Data!J3736</f>
        <v>0</v>
      </c>
      <c r="Q3719">
        <f>Data!K3736</f>
        <v>0</v>
      </c>
      <c r="R3719">
        <f>Data!L3736</f>
        <v>0</v>
      </c>
      <c r="S3719">
        <f>Data!M3736</f>
        <v>0</v>
      </c>
      <c r="T3719">
        <f>Data!N3736</f>
        <v>0</v>
      </c>
      <c r="U3719">
        <f>Data!O3736</f>
        <v>0</v>
      </c>
      <c r="V3719" s="33">
        <f>Data!P3734</f>
        <v>0</v>
      </c>
    </row>
    <row r="3720" spans="7:22" x14ac:dyDescent="0.25">
      <c r="G3720">
        <f>Data!A3733</f>
        <v>0</v>
      </c>
      <c r="H3720" s="21">
        <f>Data!B3733</f>
        <v>0</v>
      </c>
      <c r="I3720" s="21">
        <f>Data!C3733</f>
        <v>0</v>
      </c>
      <c r="J3720">
        <f>Data!D3733</f>
        <v>0</v>
      </c>
      <c r="K3720">
        <f>Data!E3733</f>
        <v>0</v>
      </c>
      <c r="L3720">
        <f>Data!F3733</f>
        <v>0</v>
      </c>
      <c r="M3720">
        <f>Data!G3733</f>
        <v>0</v>
      </c>
      <c r="N3720">
        <f>Data!H3733</f>
        <v>0</v>
      </c>
      <c r="O3720">
        <f>Data!I3733</f>
        <v>0</v>
      </c>
      <c r="P3720" s="21">
        <f>Data!J3737</f>
        <v>0</v>
      </c>
      <c r="Q3720">
        <f>Data!K3737</f>
        <v>0</v>
      </c>
      <c r="R3720">
        <f>Data!L3737</f>
        <v>0</v>
      </c>
      <c r="S3720">
        <f>Data!M3737</f>
        <v>0</v>
      </c>
      <c r="T3720">
        <f>Data!N3737</f>
        <v>0</v>
      </c>
      <c r="U3720">
        <f>Data!O3737</f>
        <v>0</v>
      </c>
      <c r="V3720" s="33">
        <f>Data!P3735</f>
        <v>0</v>
      </c>
    </row>
    <row r="3721" spans="7:22" x14ac:dyDescent="0.25">
      <c r="G3721">
        <f>Data!A3734</f>
        <v>0</v>
      </c>
      <c r="H3721" s="21">
        <f>Data!B3734</f>
        <v>0</v>
      </c>
      <c r="I3721" s="21">
        <f>Data!C3734</f>
        <v>0</v>
      </c>
      <c r="J3721">
        <f>Data!D3734</f>
        <v>0</v>
      </c>
      <c r="K3721">
        <f>Data!E3734</f>
        <v>0</v>
      </c>
      <c r="L3721">
        <f>Data!F3734</f>
        <v>0</v>
      </c>
      <c r="M3721">
        <f>Data!G3734</f>
        <v>0</v>
      </c>
      <c r="N3721">
        <f>Data!H3734</f>
        <v>0</v>
      </c>
      <c r="O3721">
        <f>Data!I3734</f>
        <v>0</v>
      </c>
      <c r="P3721" s="21">
        <f>Data!J3738</f>
        <v>0</v>
      </c>
      <c r="Q3721">
        <f>Data!K3738</f>
        <v>0</v>
      </c>
      <c r="R3721">
        <f>Data!L3738</f>
        <v>0</v>
      </c>
      <c r="S3721">
        <f>Data!M3738</f>
        <v>0</v>
      </c>
      <c r="T3721">
        <f>Data!N3738</f>
        <v>0</v>
      </c>
      <c r="U3721">
        <f>Data!O3738</f>
        <v>0</v>
      </c>
      <c r="V3721" s="33">
        <f>Data!P3736</f>
        <v>0</v>
      </c>
    </row>
    <row r="3722" spans="7:22" x14ac:dyDescent="0.25">
      <c r="G3722">
        <f>Data!A3735</f>
        <v>0</v>
      </c>
      <c r="H3722" s="21">
        <f>Data!B3735</f>
        <v>0</v>
      </c>
      <c r="I3722" s="21">
        <f>Data!C3735</f>
        <v>0</v>
      </c>
      <c r="J3722">
        <f>Data!D3735</f>
        <v>0</v>
      </c>
      <c r="K3722">
        <f>Data!E3735</f>
        <v>0</v>
      </c>
      <c r="L3722">
        <f>Data!F3735</f>
        <v>0</v>
      </c>
      <c r="M3722">
        <f>Data!G3735</f>
        <v>0</v>
      </c>
      <c r="N3722">
        <f>Data!H3735</f>
        <v>0</v>
      </c>
      <c r="O3722">
        <f>Data!I3735</f>
        <v>0</v>
      </c>
      <c r="P3722" s="21">
        <f>Data!J3739</f>
        <v>0</v>
      </c>
      <c r="Q3722">
        <f>Data!K3739</f>
        <v>0</v>
      </c>
      <c r="R3722">
        <f>Data!L3739</f>
        <v>0</v>
      </c>
      <c r="S3722">
        <f>Data!M3739</f>
        <v>0</v>
      </c>
      <c r="T3722">
        <f>Data!N3739</f>
        <v>0</v>
      </c>
      <c r="U3722">
        <f>Data!O3739</f>
        <v>0</v>
      </c>
      <c r="V3722" s="33">
        <f>Data!P3737</f>
        <v>0</v>
      </c>
    </row>
    <row r="3723" spans="7:22" x14ac:dyDescent="0.25">
      <c r="G3723">
        <f>Data!A3736</f>
        <v>0</v>
      </c>
      <c r="H3723" s="21">
        <f>Data!B3736</f>
        <v>0</v>
      </c>
      <c r="I3723" s="21">
        <f>Data!C3736</f>
        <v>0</v>
      </c>
      <c r="J3723">
        <f>Data!D3736</f>
        <v>0</v>
      </c>
      <c r="K3723">
        <f>Data!E3736</f>
        <v>0</v>
      </c>
      <c r="L3723">
        <f>Data!F3736</f>
        <v>0</v>
      </c>
      <c r="M3723">
        <f>Data!G3736</f>
        <v>0</v>
      </c>
      <c r="N3723">
        <f>Data!H3736</f>
        <v>0</v>
      </c>
      <c r="O3723">
        <f>Data!I3736</f>
        <v>0</v>
      </c>
      <c r="P3723" s="21">
        <f>Data!J3740</f>
        <v>0</v>
      </c>
      <c r="Q3723">
        <f>Data!K3740</f>
        <v>0</v>
      </c>
      <c r="R3723">
        <f>Data!L3740</f>
        <v>0</v>
      </c>
      <c r="S3723">
        <f>Data!M3740</f>
        <v>0</v>
      </c>
      <c r="T3723">
        <f>Data!N3740</f>
        <v>0</v>
      </c>
      <c r="U3723">
        <f>Data!O3740</f>
        <v>0</v>
      </c>
      <c r="V3723" s="33">
        <f>Data!P3738</f>
        <v>0</v>
      </c>
    </row>
    <row r="3724" spans="7:22" x14ac:dyDescent="0.25">
      <c r="G3724">
        <f>Data!A3737</f>
        <v>0</v>
      </c>
      <c r="H3724" s="21">
        <f>Data!B3737</f>
        <v>0</v>
      </c>
      <c r="I3724" s="21">
        <f>Data!C3737</f>
        <v>0</v>
      </c>
      <c r="J3724">
        <f>Data!D3737</f>
        <v>0</v>
      </c>
      <c r="K3724">
        <f>Data!E3737</f>
        <v>0</v>
      </c>
      <c r="L3724">
        <f>Data!F3737</f>
        <v>0</v>
      </c>
      <c r="M3724">
        <f>Data!G3737</f>
        <v>0</v>
      </c>
      <c r="N3724">
        <f>Data!H3737</f>
        <v>0</v>
      </c>
      <c r="O3724">
        <f>Data!I3737</f>
        <v>0</v>
      </c>
      <c r="P3724" s="21">
        <f>Data!J3741</f>
        <v>0</v>
      </c>
      <c r="Q3724">
        <f>Data!K3741</f>
        <v>0</v>
      </c>
      <c r="R3724">
        <f>Data!L3741</f>
        <v>0</v>
      </c>
      <c r="S3724">
        <f>Data!M3741</f>
        <v>0</v>
      </c>
      <c r="T3724">
        <f>Data!N3741</f>
        <v>0</v>
      </c>
      <c r="U3724">
        <f>Data!O3741</f>
        <v>0</v>
      </c>
      <c r="V3724" s="33">
        <f>Data!P3739</f>
        <v>0</v>
      </c>
    </row>
    <row r="3725" spans="7:22" x14ac:dyDescent="0.25">
      <c r="G3725">
        <f>Data!A3738</f>
        <v>0</v>
      </c>
      <c r="H3725" s="21">
        <f>Data!B3738</f>
        <v>0</v>
      </c>
      <c r="I3725" s="21">
        <f>Data!C3738</f>
        <v>0</v>
      </c>
      <c r="J3725">
        <f>Data!D3738</f>
        <v>0</v>
      </c>
      <c r="K3725">
        <f>Data!E3738</f>
        <v>0</v>
      </c>
      <c r="L3725">
        <f>Data!F3738</f>
        <v>0</v>
      </c>
      <c r="M3725">
        <f>Data!G3738</f>
        <v>0</v>
      </c>
      <c r="N3725">
        <f>Data!H3738</f>
        <v>0</v>
      </c>
      <c r="O3725">
        <f>Data!I3738</f>
        <v>0</v>
      </c>
      <c r="P3725" s="21">
        <f>Data!J3742</f>
        <v>0</v>
      </c>
      <c r="Q3725">
        <f>Data!K3742</f>
        <v>0</v>
      </c>
      <c r="R3725">
        <f>Data!L3742</f>
        <v>0</v>
      </c>
      <c r="S3725">
        <f>Data!M3742</f>
        <v>0</v>
      </c>
      <c r="T3725">
        <f>Data!N3742</f>
        <v>0</v>
      </c>
      <c r="U3725">
        <f>Data!O3742</f>
        <v>0</v>
      </c>
      <c r="V3725" s="33">
        <f>Data!P3740</f>
        <v>0</v>
      </c>
    </row>
    <row r="3726" spans="7:22" x14ac:dyDescent="0.25">
      <c r="G3726">
        <f>Data!A3739</f>
        <v>0</v>
      </c>
      <c r="H3726" s="21">
        <f>Data!B3739</f>
        <v>0</v>
      </c>
      <c r="I3726" s="21">
        <f>Data!C3739</f>
        <v>0</v>
      </c>
      <c r="J3726">
        <f>Data!D3739</f>
        <v>0</v>
      </c>
      <c r="K3726">
        <f>Data!E3739</f>
        <v>0</v>
      </c>
      <c r="L3726">
        <f>Data!F3739</f>
        <v>0</v>
      </c>
      <c r="M3726">
        <f>Data!G3739</f>
        <v>0</v>
      </c>
      <c r="N3726">
        <f>Data!H3739</f>
        <v>0</v>
      </c>
      <c r="O3726">
        <f>Data!I3739</f>
        <v>0</v>
      </c>
      <c r="P3726" s="21">
        <f>Data!J3743</f>
        <v>0</v>
      </c>
      <c r="Q3726">
        <f>Data!K3743</f>
        <v>0</v>
      </c>
      <c r="R3726">
        <f>Data!L3743</f>
        <v>0</v>
      </c>
      <c r="S3726">
        <f>Data!M3743</f>
        <v>0</v>
      </c>
      <c r="T3726">
        <f>Data!N3743</f>
        <v>0</v>
      </c>
      <c r="U3726">
        <f>Data!O3743</f>
        <v>0</v>
      </c>
      <c r="V3726" s="33">
        <f>Data!P3741</f>
        <v>0</v>
      </c>
    </row>
    <row r="3727" spans="7:22" x14ac:dyDescent="0.25">
      <c r="G3727">
        <f>Data!A3740</f>
        <v>0</v>
      </c>
      <c r="H3727" s="21">
        <f>Data!B3740</f>
        <v>0</v>
      </c>
      <c r="I3727" s="21">
        <f>Data!C3740</f>
        <v>0</v>
      </c>
      <c r="J3727">
        <f>Data!D3740</f>
        <v>0</v>
      </c>
      <c r="K3727">
        <f>Data!E3740</f>
        <v>0</v>
      </c>
      <c r="L3727">
        <f>Data!F3740</f>
        <v>0</v>
      </c>
      <c r="M3727">
        <f>Data!G3740</f>
        <v>0</v>
      </c>
      <c r="N3727">
        <f>Data!H3740</f>
        <v>0</v>
      </c>
      <c r="O3727">
        <f>Data!I3740</f>
        <v>0</v>
      </c>
      <c r="P3727" s="21">
        <f>Data!J3744</f>
        <v>0</v>
      </c>
      <c r="Q3727">
        <f>Data!K3744</f>
        <v>0</v>
      </c>
      <c r="R3727">
        <f>Data!L3744</f>
        <v>0</v>
      </c>
      <c r="S3727">
        <f>Data!M3744</f>
        <v>0</v>
      </c>
      <c r="T3727">
        <f>Data!N3744</f>
        <v>0</v>
      </c>
      <c r="U3727">
        <f>Data!O3744</f>
        <v>0</v>
      </c>
      <c r="V3727" s="33">
        <f>Data!P3742</f>
        <v>0</v>
      </c>
    </row>
    <row r="3728" spans="7:22" x14ac:dyDescent="0.25">
      <c r="G3728">
        <f>Data!A3741</f>
        <v>0</v>
      </c>
      <c r="H3728" s="21">
        <f>Data!B3741</f>
        <v>0</v>
      </c>
      <c r="I3728" s="21">
        <f>Data!C3741</f>
        <v>0</v>
      </c>
      <c r="J3728">
        <f>Data!D3741</f>
        <v>0</v>
      </c>
      <c r="K3728">
        <f>Data!E3741</f>
        <v>0</v>
      </c>
      <c r="L3728">
        <f>Data!F3741</f>
        <v>0</v>
      </c>
      <c r="M3728">
        <f>Data!G3741</f>
        <v>0</v>
      </c>
      <c r="N3728">
        <f>Data!H3741</f>
        <v>0</v>
      </c>
      <c r="O3728">
        <f>Data!I3741</f>
        <v>0</v>
      </c>
      <c r="P3728" s="21">
        <f>Data!J3745</f>
        <v>0</v>
      </c>
      <c r="Q3728">
        <f>Data!K3745</f>
        <v>0</v>
      </c>
      <c r="R3728">
        <f>Data!L3745</f>
        <v>0</v>
      </c>
      <c r="S3728">
        <f>Data!M3745</f>
        <v>0</v>
      </c>
      <c r="T3728">
        <f>Data!N3745</f>
        <v>0</v>
      </c>
      <c r="U3728">
        <f>Data!O3745</f>
        <v>0</v>
      </c>
      <c r="V3728" s="33">
        <f>Data!P3743</f>
        <v>0</v>
      </c>
    </row>
    <row r="3729" spans="7:22" x14ac:dyDescent="0.25">
      <c r="G3729">
        <f>Data!A3742</f>
        <v>0</v>
      </c>
      <c r="H3729" s="21">
        <f>Data!B3742</f>
        <v>0</v>
      </c>
      <c r="I3729" s="21">
        <f>Data!C3742</f>
        <v>0</v>
      </c>
      <c r="J3729">
        <f>Data!D3742</f>
        <v>0</v>
      </c>
      <c r="K3729">
        <f>Data!E3742</f>
        <v>0</v>
      </c>
      <c r="L3729">
        <f>Data!F3742</f>
        <v>0</v>
      </c>
      <c r="M3729">
        <f>Data!G3742</f>
        <v>0</v>
      </c>
      <c r="N3729">
        <f>Data!H3742</f>
        <v>0</v>
      </c>
      <c r="O3729">
        <f>Data!I3742</f>
        <v>0</v>
      </c>
      <c r="P3729" s="21">
        <f>Data!J3746</f>
        <v>0</v>
      </c>
      <c r="Q3729">
        <f>Data!K3746</f>
        <v>0</v>
      </c>
      <c r="R3729">
        <f>Data!L3746</f>
        <v>0</v>
      </c>
      <c r="S3729">
        <f>Data!M3746</f>
        <v>0</v>
      </c>
      <c r="T3729">
        <f>Data!N3746</f>
        <v>0</v>
      </c>
      <c r="U3729">
        <f>Data!O3746</f>
        <v>0</v>
      </c>
      <c r="V3729" s="33">
        <f>Data!P3744</f>
        <v>0</v>
      </c>
    </row>
    <row r="3730" spans="7:22" x14ac:dyDescent="0.25">
      <c r="G3730">
        <f>Data!A3743</f>
        <v>0</v>
      </c>
      <c r="H3730" s="21">
        <f>Data!B3743</f>
        <v>0</v>
      </c>
      <c r="I3730" s="21">
        <f>Data!C3743</f>
        <v>0</v>
      </c>
      <c r="J3730">
        <f>Data!D3743</f>
        <v>0</v>
      </c>
      <c r="K3730">
        <f>Data!E3743</f>
        <v>0</v>
      </c>
      <c r="L3730">
        <f>Data!F3743</f>
        <v>0</v>
      </c>
      <c r="M3730">
        <f>Data!G3743</f>
        <v>0</v>
      </c>
      <c r="N3730">
        <f>Data!H3743</f>
        <v>0</v>
      </c>
      <c r="O3730">
        <f>Data!I3743</f>
        <v>0</v>
      </c>
      <c r="P3730" s="21">
        <f>Data!J3747</f>
        <v>0</v>
      </c>
      <c r="Q3730">
        <f>Data!K3747</f>
        <v>0</v>
      </c>
      <c r="R3730">
        <f>Data!L3747</f>
        <v>0</v>
      </c>
      <c r="S3730">
        <f>Data!M3747</f>
        <v>0</v>
      </c>
      <c r="T3730">
        <f>Data!N3747</f>
        <v>0</v>
      </c>
      <c r="U3730">
        <f>Data!O3747</f>
        <v>0</v>
      </c>
      <c r="V3730" s="33">
        <f>Data!P3745</f>
        <v>0</v>
      </c>
    </row>
    <row r="3731" spans="7:22" x14ac:dyDescent="0.25">
      <c r="G3731">
        <f>Data!A3744</f>
        <v>0</v>
      </c>
      <c r="H3731" s="21">
        <f>Data!B3744</f>
        <v>0</v>
      </c>
      <c r="I3731" s="21">
        <f>Data!C3744</f>
        <v>0</v>
      </c>
      <c r="J3731">
        <f>Data!D3744</f>
        <v>0</v>
      </c>
      <c r="K3731">
        <f>Data!E3744</f>
        <v>0</v>
      </c>
      <c r="L3731">
        <f>Data!F3744</f>
        <v>0</v>
      </c>
      <c r="M3731">
        <f>Data!G3744</f>
        <v>0</v>
      </c>
      <c r="N3731">
        <f>Data!H3744</f>
        <v>0</v>
      </c>
      <c r="O3731">
        <f>Data!I3744</f>
        <v>0</v>
      </c>
      <c r="P3731" s="21">
        <f>Data!J3748</f>
        <v>0</v>
      </c>
      <c r="Q3731">
        <f>Data!K3748</f>
        <v>0</v>
      </c>
      <c r="R3731">
        <f>Data!L3748</f>
        <v>0</v>
      </c>
      <c r="S3731">
        <f>Data!M3748</f>
        <v>0</v>
      </c>
      <c r="T3731">
        <f>Data!N3748</f>
        <v>0</v>
      </c>
      <c r="U3731">
        <f>Data!O3748</f>
        <v>0</v>
      </c>
      <c r="V3731" s="33">
        <f>Data!P3746</f>
        <v>0</v>
      </c>
    </row>
    <row r="3732" spans="7:22" x14ac:dyDescent="0.25">
      <c r="G3732">
        <f>Data!A3745</f>
        <v>0</v>
      </c>
      <c r="H3732" s="21">
        <f>Data!B3745</f>
        <v>0</v>
      </c>
      <c r="I3732" s="21">
        <f>Data!C3745</f>
        <v>0</v>
      </c>
      <c r="J3732">
        <f>Data!D3745</f>
        <v>0</v>
      </c>
      <c r="K3732">
        <f>Data!E3745</f>
        <v>0</v>
      </c>
      <c r="L3732">
        <f>Data!F3745</f>
        <v>0</v>
      </c>
      <c r="M3732">
        <f>Data!G3745</f>
        <v>0</v>
      </c>
      <c r="N3732">
        <f>Data!H3745</f>
        <v>0</v>
      </c>
      <c r="O3732">
        <f>Data!I3745</f>
        <v>0</v>
      </c>
      <c r="P3732" s="21">
        <f>Data!J3749</f>
        <v>0</v>
      </c>
      <c r="Q3732">
        <f>Data!K3749</f>
        <v>0</v>
      </c>
      <c r="R3732">
        <f>Data!L3749</f>
        <v>0</v>
      </c>
      <c r="S3732">
        <f>Data!M3749</f>
        <v>0</v>
      </c>
      <c r="T3732">
        <f>Data!N3749</f>
        <v>0</v>
      </c>
      <c r="U3732">
        <f>Data!O3749</f>
        <v>0</v>
      </c>
      <c r="V3732" s="33">
        <f>Data!P3747</f>
        <v>0</v>
      </c>
    </row>
    <row r="3733" spans="7:22" x14ac:dyDescent="0.25">
      <c r="G3733">
        <f>Data!A3746</f>
        <v>0</v>
      </c>
      <c r="H3733" s="21">
        <f>Data!B3746</f>
        <v>0</v>
      </c>
      <c r="I3733" s="21">
        <f>Data!C3746</f>
        <v>0</v>
      </c>
      <c r="J3733">
        <f>Data!D3746</f>
        <v>0</v>
      </c>
      <c r="K3733">
        <f>Data!E3746</f>
        <v>0</v>
      </c>
      <c r="L3733">
        <f>Data!F3746</f>
        <v>0</v>
      </c>
      <c r="M3733">
        <f>Data!G3746</f>
        <v>0</v>
      </c>
      <c r="N3733">
        <f>Data!H3746</f>
        <v>0</v>
      </c>
      <c r="O3733">
        <f>Data!I3746</f>
        <v>0</v>
      </c>
      <c r="P3733" s="21">
        <f>Data!J3750</f>
        <v>0</v>
      </c>
      <c r="Q3733">
        <f>Data!K3750</f>
        <v>0</v>
      </c>
      <c r="R3733">
        <f>Data!L3750</f>
        <v>0</v>
      </c>
      <c r="S3733">
        <f>Data!M3750</f>
        <v>0</v>
      </c>
      <c r="T3733">
        <f>Data!N3750</f>
        <v>0</v>
      </c>
      <c r="U3733">
        <f>Data!O3750</f>
        <v>0</v>
      </c>
      <c r="V3733" s="33">
        <f>Data!P3748</f>
        <v>0</v>
      </c>
    </row>
    <row r="3734" spans="7:22" x14ac:dyDescent="0.25">
      <c r="G3734">
        <f>Data!A3747</f>
        <v>0</v>
      </c>
      <c r="H3734" s="21">
        <f>Data!B3747</f>
        <v>0</v>
      </c>
      <c r="I3734" s="21">
        <f>Data!C3747</f>
        <v>0</v>
      </c>
      <c r="J3734">
        <f>Data!D3747</f>
        <v>0</v>
      </c>
      <c r="K3734">
        <f>Data!E3747</f>
        <v>0</v>
      </c>
      <c r="L3734">
        <f>Data!F3747</f>
        <v>0</v>
      </c>
      <c r="M3734">
        <f>Data!G3747</f>
        <v>0</v>
      </c>
      <c r="N3734">
        <f>Data!H3747</f>
        <v>0</v>
      </c>
      <c r="O3734">
        <f>Data!I3747</f>
        <v>0</v>
      </c>
      <c r="P3734" s="21">
        <f>Data!J3751</f>
        <v>0</v>
      </c>
      <c r="Q3734">
        <f>Data!K3751</f>
        <v>0</v>
      </c>
      <c r="R3734">
        <f>Data!L3751</f>
        <v>0</v>
      </c>
      <c r="S3734">
        <f>Data!M3751</f>
        <v>0</v>
      </c>
      <c r="T3734">
        <f>Data!N3751</f>
        <v>0</v>
      </c>
      <c r="U3734">
        <f>Data!O3751</f>
        <v>0</v>
      </c>
      <c r="V3734" s="33">
        <f>Data!P3749</f>
        <v>0</v>
      </c>
    </row>
    <row r="3735" spans="7:22" x14ac:dyDescent="0.25">
      <c r="G3735">
        <f>Data!A3748</f>
        <v>0</v>
      </c>
      <c r="H3735" s="21">
        <f>Data!B3748</f>
        <v>0</v>
      </c>
      <c r="I3735" s="21">
        <f>Data!C3748</f>
        <v>0</v>
      </c>
      <c r="J3735">
        <f>Data!D3748</f>
        <v>0</v>
      </c>
      <c r="K3735">
        <f>Data!E3748</f>
        <v>0</v>
      </c>
      <c r="L3735">
        <f>Data!F3748</f>
        <v>0</v>
      </c>
      <c r="M3735">
        <f>Data!G3748</f>
        <v>0</v>
      </c>
      <c r="N3735">
        <f>Data!H3748</f>
        <v>0</v>
      </c>
      <c r="O3735">
        <f>Data!I3748</f>
        <v>0</v>
      </c>
      <c r="P3735" s="21">
        <f>Data!J3752</f>
        <v>0</v>
      </c>
      <c r="Q3735">
        <f>Data!K3752</f>
        <v>0</v>
      </c>
      <c r="R3735">
        <f>Data!L3752</f>
        <v>0</v>
      </c>
      <c r="S3735">
        <f>Data!M3752</f>
        <v>0</v>
      </c>
      <c r="T3735">
        <f>Data!N3752</f>
        <v>0</v>
      </c>
      <c r="U3735">
        <f>Data!O3752</f>
        <v>0</v>
      </c>
      <c r="V3735" s="33">
        <f>Data!P3750</f>
        <v>0</v>
      </c>
    </row>
    <row r="3736" spans="7:22" x14ac:dyDescent="0.25">
      <c r="G3736">
        <f>Data!A3749</f>
        <v>0</v>
      </c>
      <c r="H3736" s="21">
        <f>Data!B3749</f>
        <v>0</v>
      </c>
      <c r="I3736" s="21">
        <f>Data!C3749</f>
        <v>0</v>
      </c>
      <c r="J3736">
        <f>Data!D3749</f>
        <v>0</v>
      </c>
      <c r="K3736">
        <f>Data!E3749</f>
        <v>0</v>
      </c>
      <c r="L3736">
        <f>Data!F3749</f>
        <v>0</v>
      </c>
      <c r="M3736">
        <f>Data!G3749</f>
        <v>0</v>
      </c>
      <c r="N3736">
        <f>Data!H3749</f>
        <v>0</v>
      </c>
      <c r="O3736">
        <f>Data!I3749</f>
        <v>0</v>
      </c>
      <c r="P3736" s="21">
        <f>Data!J3753</f>
        <v>0</v>
      </c>
      <c r="Q3736">
        <f>Data!K3753</f>
        <v>0</v>
      </c>
      <c r="R3736">
        <f>Data!L3753</f>
        <v>0</v>
      </c>
      <c r="S3736">
        <f>Data!M3753</f>
        <v>0</v>
      </c>
      <c r="T3736">
        <f>Data!N3753</f>
        <v>0</v>
      </c>
      <c r="U3736">
        <f>Data!O3753</f>
        <v>0</v>
      </c>
      <c r="V3736" s="33">
        <f>Data!P3751</f>
        <v>0</v>
      </c>
    </row>
    <row r="3737" spans="7:22" x14ac:dyDescent="0.25">
      <c r="G3737">
        <f>Data!A3750</f>
        <v>0</v>
      </c>
      <c r="H3737" s="21">
        <f>Data!B3750</f>
        <v>0</v>
      </c>
      <c r="I3737" s="21">
        <f>Data!C3750</f>
        <v>0</v>
      </c>
      <c r="J3737">
        <f>Data!D3750</f>
        <v>0</v>
      </c>
      <c r="K3737">
        <f>Data!E3750</f>
        <v>0</v>
      </c>
      <c r="L3737">
        <f>Data!F3750</f>
        <v>0</v>
      </c>
      <c r="M3737">
        <f>Data!G3750</f>
        <v>0</v>
      </c>
      <c r="N3737">
        <f>Data!H3750</f>
        <v>0</v>
      </c>
      <c r="O3737">
        <f>Data!I3750</f>
        <v>0</v>
      </c>
      <c r="P3737" s="21">
        <f>Data!J3754</f>
        <v>0</v>
      </c>
      <c r="Q3737">
        <f>Data!K3754</f>
        <v>0</v>
      </c>
      <c r="R3737">
        <f>Data!L3754</f>
        <v>0</v>
      </c>
      <c r="S3737">
        <f>Data!M3754</f>
        <v>0</v>
      </c>
      <c r="T3737">
        <f>Data!N3754</f>
        <v>0</v>
      </c>
      <c r="U3737">
        <f>Data!O3754</f>
        <v>0</v>
      </c>
      <c r="V3737" s="33">
        <f>Data!P3752</f>
        <v>0</v>
      </c>
    </row>
    <row r="3738" spans="7:22" x14ac:dyDescent="0.25">
      <c r="G3738">
        <f>Data!A3751</f>
        <v>0</v>
      </c>
      <c r="H3738" s="21">
        <f>Data!B3751</f>
        <v>0</v>
      </c>
      <c r="I3738" s="21">
        <f>Data!C3751</f>
        <v>0</v>
      </c>
      <c r="J3738">
        <f>Data!D3751</f>
        <v>0</v>
      </c>
      <c r="K3738">
        <f>Data!E3751</f>
        <v>0</v>
      </c>
      <c r="L3738">
        <f>Data!F3751</f>
        <v>0</v>
      </c>
      <c r="M3738">
        <f>Data!G3751</f>
        <v>0</v>
      </c>
      <c r="N3738">
        <f>Data!H3751</f>
        <v>0</v>
      </c>
      <c r="O3738">
        <f>Data!I3751</f>
        <v>0</v>
      </c>
      <c r="P3738" s="21">
        <f>Data!J3755</f>
        <v>0</v>
      </c>
      <c r="Q3738">
        <f>Data!K3755</f>
        <v>0</v>
      </c>
      <c r="R3738">
        <f>Data!L3755</f>
        <v>0</v>
      </c>
      <c r="S3738">
        <f>Data!M3755</f>
        <v>0</v>
      </c>
      <c r="T3738">
        <f>Data!N3755</f>
        <v>0</v>
      </c>
      <c r="U3738">
        <f>Data!O3755</f>
        <v>0</v>
      </c>
      <c r="V3738" s="33">
        <f>Data!P3753</f>
        <v>0</v>
      </c>
    </row>
    <row r="3739" spans="7:22" x14ac:dyDescent="0.25">
      <c r="G3739">
        <f>Data!A3752</f>
        <v>0</v>
      </c>
      <c r="H3739" s="21">
        <f>Data!B3752</f>
        <v>0</v>
      </c>
      <c r="I3739" s="21">
        <f>Data!C3752</f>
        <v>0</v>
      </c>
      <c r="J3739">
        <f>Data!D3752</f>
        <v>0</v>
      </c>
      <c r="K3739">
        <f>Data!E3752</f>
        <v>0</v>
      </c>
      <c r="L3739">
        <f>Data!F3752</f>
        <v>0</v>
      </c>
      <c r="M3739">
        <f>Data!G3752</f>
        <v>0</v>
      </c>
      <c r="N3739">
        <f>Data!H3752</f>
        <v>0</v>
      </c>
      <c r="O3739">
        <f>Data!I3752</f>
        <v>0</v>
      </c>
      <c r="P3739" s="21">
        <f>Data!J3756</f>
        <v>0</v>
      </c>
      <c r="Q3739">
        <f>Data!K3756</f>
        <v>0</v>
      </c>
      <c r="R3739">
        <f>Data!L3756</f>
        <v>0</v>
      </c>
      <c r="S3739">
        <f>Data!M3756</f>
        <v>0</v>
      </c>
      <c r="T3739">
        <f>Data!N3756</f>
        <v>0</v>
      </c>
      <c r="U3739">
        <f>Data!O3756</f>
        <v>0</v>
      </c>
      <c r="V3739" s="33">
        <f>Data!P3754</f>
        <v>0</v>
      </c>
    </row>
    <row r="3740" spans="7:22" x14ac:dyDescent="0.25">
      <c r="G3740">
        <f>Data!A3753</f>
        <v>0</v>
      </c>
      <c r="H3740" s="21">
        <f>Data!B3753</f>
        <v>0</v>
      </c>
      <c r="I3740" s="21">
        <f>Data!C3753</f>
        <v>0</v>
      </c>
      <c r="J3740">
        <f>Data!D3753</f>
        <v>0</v>
      </c>
      <c r="K3740">
        <f>Data!E3753</f>
        <v>0</v>
      </c>
      <c r="L3740">
        <f>Data!F3753</f>
        <v>0</v>
      </c>
      <c r="M3740">
        <f>Data!G3753</f>
        <v>0</v>
      </c>
      <c r="N3740">
        <f>Data!H3753</f>
        <v>0</v>
      </c>
      <c r="O3740">
        <f>Data!I3753</f>
        <v>0</v>
      </c>
      <c r="P3740" s="21">
        <f>Data!J3757</f>
        <v>0</v>
      </c>
      <c r="Q3740">
        <f>Data!K3757</f>
        <v>0</v>
      </c>
      <c r="R3740">
        <f>Data!L3757</f>
        <v>0</v>
      </c>
      <c r="S3740">
        <f>Data!M3757</f>
        <v>0</v>
      </c>
      <c r="T3740">
        <f>Data!N3757</f>
        <v>0</v>
      </c>
      <c r="U3740">
        <f>Data!O3757</f>
        <v>0</v>
      </c>
      <c r="V3740" s="33">
        <f>Data!P3755</f>
        <v>0</v>
      </c>
    </row>
    <row r="3741" spans="7:22" x14ac:dyDescent="0.25">
      <c r="G3741">
        <f>Data!A3754</f>
        <v>0</v>
      </c>
      <c r="H3741" s="21">
        <f>Data!B3754</f>
        <v>0</v>
      </c>
      <c r="I3741" s="21">
        <f>Data!C3754</f>
        <v>0</v>
      </c>
      <c r="J3741">
        <f>Data!D3754</f>
        <v>0</v>
      </c>
      <c r="K3741">
        <f>Data!E3754</f>
        <v>0</v>
      </c>
      <c r="L3741">
        <f>Data!F3754</f>
        <v>0</v>
      </c>
      <c r="M3741">
        <f>Data!G3754</f>
        <v>0</v>
      </c>
      <c r="N3741">
        <f>Data!H3754</f>
        <v>0</v>
      </c>
      <c r="O3741">
        <f>Data!I3754</f>
        <v>0</v>
      </c>
      <c r="P3741" s="21">
        <f>Data!J3758</f>
        <v>0</v>
      </c>
      <c r="Q3741">
        <f>Data!K3758</f>
        <v>0</v>
      </c>
      <c r="R3741">
        <f>Data!L3758</f>
        <v>0</v>
      </c>
      <c r="S3741">
        <f>Data!M3758</f>
        <v>0</v>
      </c>
      <c r="T3741">
        <f>Data!N3758</f>
        <v>0</v>
      </c>
      <c r="U3741">
        <f>Data!O3758</f>
        <v>0</v>
      </c>
      <c r="V3741" s="33">
        <f>Data!P3756</f>
        <v>0</v>
      </c>
    </row>
    <row r="3742" spans="7:22" x14ac:dyDescent="0.25">
      <c r="G3742">
        <f>Data!A3755</f>
        <v>0</v>
      </c>
      <c r="H3742" s="21">
        <f>Data!B3755</f>
        <v>0</v>
      </c>
      <c r="I3742" s="21">
        <f>Data!C3755</f>
        <v>0</v>
      </c>
      <c r="J3742">
        <f>Data!D3755</f>
        <v>0</v>
      </c>
      <c r="K3742">
        <f>Data!E3755</f>
        <v>0</v>
      </c>
      <c r="L3742">
        <f>Data!F3755</f>
        <v>0</v>
      </c>
      <c r="M3742">
        <f>Data!G3755</f>
        <v>0</v>
      </c>
      <c r="N3742">
        <f>Data!H3755</f>
        <v>0</v>
      </c>
      <c r="O3742">
        <f>Data!I3755</f>
        <v>0</v>
      </c>
      <c r="P3742" s="21">
        <f>Data!J3759</f>
        <v>0</v>
      </c>
      <c r="Q3742">
        <f>Data!K3759</f>
        <v>0</v>
      </c>
      <c r="R3742">
        <f>Data!L3759</f>
        <v>0</v>
      </c>
      <c r="S3742">
        <f>Data!M3759</f>
        <v>0</v>
      </c>
      <c r="T3742">
        <f>Data!N3759</f>
        <v>0</v>
      </c>
      <c r="U3742">
        <f>Data!O3759</f>
        <v>0</v>
      </c>
      <c r="V3742" s="33">
        <f>Data!P3757</f>
        <v>0</v>
      </c>
    </row>
    <row r="3743" spans="7:22" x14ac:dyDescent="0.25">
      <c r="G3743">
        <f>Data!A3756</f>
        <v>0</v>
      </c>
      <c r="H3743" s="21">
        <f>Data!B3756</f>
        <v>0</v>
      </c>
      <c r="I3743" s="21">
        <f>Data!C3756</f>
        <v>0</v>
      </c>
      <c r="J3743">
        <f>Data!D3756</f>
        <v>0</v>
      </c>
      <c r="K3743">
        <f>Data!E3756</f>
        <v>0</v>
      </c>
      <c r="L3743">
        <f>Data!F3756</f>
        <v>0</v>
      </c>
      <c r="M3743">
        <f>Data!G3756</f>
        <v>0</v>
      </c>
      <c r="N3743">
        <f>Data!H3756</f>
        <v>0</v>
      </c>
      <c r="O3743">
        <f>Data!I3756</f>
        <v>0</v>
      </c>
      <c r="P3743" s="21">
        <f>Data!J3760</f>
        <v>0</v>
      </c>
      <c r="Q3743">
        <f>Data!K3760</f>
        <v>0</v>
      </c>
      <c r="R3743">
        <f>Data!L3760</f>
        <v>0</v>
      </c>
      <c r="S3743">
        <f>Data!M3760</f>
        <v>0</v>
      </c>
      <c r="T3743">
        <f>Data!N3760</f>
        <v>0</v>
      </c>
      <c r="U3743">
        <f>Data!O3760</f>
        <v>0</v>
      </c>
      <c r="V3743" s="33">
        <f>Data!P3758</f>
        <v>0</v>
      </c>
    </row>
    <row r="3744" spans="7:22" x14ac:dyDescent="0.25">
      <c r="G3744">
        <f>Data!A3757</f>
        <v>0</v>
      </c>
      <c r="H3744" s="21">
        <f>Data!B3757</f>
        <v>0</v>
      </c>
      <c r="I3744" s="21">
        <f>Data!C3757</f>
        <v>0</v>
      </c>
      <c r="J3744">
        <f>Data!D3757</f>
        <v>0</v>
      </c>
      <c r="K3744">
        <f>Data!E3757</f>
        <v>0</v>
      </c>
      <c r="L3744">
        <f>Data!F3757</f>
        <v>0</v>
      </c>
      <c r="M3744">
        <f>Data!G3757</f>
        <v>0</v>
      </c>
      <c r="N3744">
        <f>Data!H3757</f>
        <v>0</v>
      </c>
      <c r="O3744">
        <f>Data!I3757</f>
        <v>0</v>
      </c>
      <c r="P3744" s="21">
        <f>Data!J3761</f>
        <v>0</v>
      </c>
      <c r="Q3744">
        <f>Data!K3761</f>
        <v>0</v>
      </c>
      <c r="R3744">
        <f>Data!L3761</f>
        <v>0</v>
      </c>
      <c r="S3744">
        <f>Data!M3761</f>
        <v>0</v>
      </c>
      <c r="T3744">
        <f>Data!N3761</f>
        <v>0</v>
      </c>
      <c r="U3744">
        <f>Data!O3761</f>
        <v>0</v>
      </c>
      <c r="V3744" s="33">
        <f>Data!P3759</f>
        <v>0</v>
      </c>
    </row>
    <row r="3745" spans="7:22" x14ac:dyDescent="0.25">
      <c r="G3745">
        <f>Data!A3758</f>
        <v>0</v>
      </c>
      <c r="H3745" s="21">
        <f>Data!B3758</f>
        <v>0</v>
      </c>
      <c r="I3745" s="21">
        <f>Data!C3758</f>
        <v>0</v>
      </c>
      <c r="J3745">
        <f>Data!D3758</f>
        <v>0</v>
      </c>
      <c r="K3745">
        <f>Data!E3758</f>
        <v>0</v>
      </c>
      <c r="L3745">
        <f>Data!F3758</f>
        <v>0</v>
      </c>
      <c r="M3745">
        <f>Data!G3758</f>
        <v>0</v>
      </c>
      <c r="N3745">
        <f>Data!H3758</f>
        <v>0</v>
      </c>
      <c r="O3745">
        <f>Data!I3758</f>
        <v>0</v>
      </c>
      <c r="P3745" s="21">
        <f>Data!J3762</f>
        <v>0</v>
      </c>
      <c r="Q3745">
        <f>Data!K3762</f>
        <v>0</v>
      </c>
      <c r="R3745">
        <f>Data!L3762</f>
        <v>0</v>
      </c>
      <c r="S3745">
        <f>Data!M3762</f>
        <v>0</v>
      </c>
      <c r="T3745">
        <f>Data!N3762</f>
        <v>0</v>
      </c>
      <c r="U3745">
        <f>Data!O3762</f>
        <v>0</v>
      </c>
      <c r="V3745" s="33">
        <f>Data!P3760</f>
        <v>0</v>
      </c>
    </row>
    <row r="3746" spans="7:22" x14ac:dyDescent="0.25">
      <c r="G3746">
        <f>Data!A3759</f>
        <v>0</v>
      </c>
      <c r="H3746" s="21">
        <f>Data!B3759</f>
        <v>0</v>
      </c>
      <c r="I3746" s="21">
        <f>Data!C3759</f>
        <v>0</v>
      </c>
      <c r="J3746">
        <f>Data!D3759</f>
        <v>0</v>
      </c>
      <c r="K3746">
        <f>Data!E3759</f>
        <v>0</v>
      </c>
      <c r="L3746">
        <f>Data!F3759</f>
        <v>0</v>
      </c>
      <c r="M3746">
        <f>Data!G3759</f>
        <v>0</v>
      </c>
      <c r="N3746">
        <f>Data!H3759</f>
        <v>0</v>
      </c>
      <c r="O3746">
        <f>Data!I3759</f>
        <v>0</v>
      </c>
      <c r="P3746" s="21">
        <f>Data!J3763</f>
        <v>0</v>
      </c>
      <c r="Q3746">
        <f>Data!K3763</f>
        <v>0</v>
      </c>
      <c r="R3746">
        <f>Data!L3763</f>
        <v>0</v>
      </c>
      <c r="S3746">
        <f>Data!M3763</f>
        <v>0</v>
      </c>
      <c r="T3746">
        <f>Data!N3763</f>
        <v>0</v>
      </c>
      <c r="U3746">
        <f>Data!O3763</f>
        <v>0</v>
      </c>
      <c r="V3746" s="33">
        <f>Data!P3761</f>
        <v>0</v>
      </c>
    </row>
    <row r="3747" spans="7:22" x14ac:dyDescent="0.25">
      <c r="G3747">
        <f>Data!A3760</f>
        <v>0</v>
      </c>
      <c r="H3747" s="21">
        <f>Data!B3760</f>
        <v>0</v>
      </c>
      <c r="I3747" s="21">
        <f>Data!C3760</f>
        <v>0</v>
      </c>
      <c r="J3747">
        <f>Data!D3760</f>
        <v>0</v>
      </c>
      <c r="K3747">
        <f>Data!E3760</f>
        <v>0</v>
      </c>
      <c r="L3747">
        <f>Data!F3760</f>
        <v>0</v>
      </c>
      <c r="M3747">
        <f>Data!G3760</f>
        <v>0</v>
      </c>
      <c r="N3747">
        <f>Data!H3760</f>
        <v>0</v>
      </c>
      <c r="O3747">
        <f>Data!I3760</f>
        <v>0</v>
      </c>
      <c r="P3747" s="21">
        <f>Data!J3764</f>
        <v>0</v>
      </c>
      <c r="Q3747">
        <f>Data!K3764</f>
        <v>0</v>
      </c>
      <c r="R3747">
        <f>Data!L3764</f>
        <v>0</v>
      </c>
      <c r="S3747">
        <f>Data!M3764</f>
        <v>0</v>
      </c>
      <c r="T3747">
        <f>Data!N3764</f>
        <v>0</v>
      </c>
      <c r="U3747">
        <f>Data!O3764</f>
        <v>0</v>
      </c>
      <c r="V3747" s="33">
        <f>Data!P3762</f>
        <v>0</v>
      </c>
    </row>
    <row r="3748" spans="7:22" x14ac:dyDescent="0.25">
      <c r="G3748">
        <f>Data!A3761</f>
        <v>0</v>
      </c>
      <c r="H3748" s="21">
        <f>Data!B3761</f>
        <v>0</v>
      </c>
      <c r="I3748" s="21">
        <f>Data!C3761</f>
        <v>0</v>
      </c>
      <c r="J3748">
        <f>Data!D3761</f>
        <v>0</v>
      </c>
      <c r="K3748">
        <f>Data!E3761</f>
        <v>0</v>
      </c>
      <c r="L3748">
        <f>Data!F3761</f>
        <v>0</v>
      </c>
      <c r="M3748">
        <f>Data!G3761</f>
        <v>0</v>
      </c>
      <c r="N3748">
        <f>Data!H3761</f>
        <v>0</v>
      </c>
      <c r="O3748">
        <f>Data!I3761</f>
        <v>0</v>
      </c>
      <c r="P3748" s="21">
        <f>Data!J3765</f>
        <v>0</v>
      </c>
      <c r="Q3748">
        <f>Data!K3765</f>
        <v>0</v>
      </c>
      <c r="R3748">
        <f>Data!L3765</f>
        <v>0</v>
      </c>
      <c r="S3748">
        <f>Data!M3765</f>
        <v>0</v>
      </c>
      <c r="T3748">
        <f>Data!N3765</f>
        <v>0</v>
      </c>
      <c r="U3748">
        <f>Data!O3765</f>
        <v>0</v>
      </c>
      <c r="V3748" s="33">
        <f>Data!P3763</f>
        <v>0</v>
      </c>
    </row>
    <row r="3749" spans="7:22" x14ac:dyDescent="0.25">
      <c r="G3749">
        <f>Data!A3762</f>
        <v>0</v>
      </c>
      <c r="H3749" s="21">
        <f>Data!B3762</f>
        <v>0</v>
      </c>
      <c r="I3749" s="21">
        <f>Data!C3762</f>
        <v>0</v>
      </c>
      <c r="J3749">
        <f>Data!D3762</f>
        <v>0</v>
      </c>
      <c r="K3749">
        <f>Data!E3762</f>
        <v>0</v>
      </c>
      <c r="L3749">
        <f>Data!F3762</f>
        <v>0</v>
      </c>
      <c r="M3749">
        <f>Data!G3762</f>
        <v>0</v>
      </c>
      <c r="N3749">
        <f>Data!H3762</f>
        <v>0</v>
      </c>
      <c r="O3749">
        <f>Data!I3762</f>
        <v>0</v>
      </c>
      <c r="P3749" s="21">
        <f>Data!J3766</f>
        <v>0</v>
      </c>
      <c r="Q3749">
        <f>Data!K3766</f>
        <v>0</v>
      </c>
      <c r="R3749">
        <f>Data!L3766</f>
        <v>0</v>
      </c>
      <c r="S3749">
        <f>Data!M3766</f>
        <v>0</v>
      </c>
      <c r="T3749">
        <f>Data!N3766</f>
        <v>0</v>
      </c>
      <c r="U3749">
        <f>Data!O3766</f>
        <v>0</v>
      </c>
      <c r="V3749" s="33">
        <f>Data!P3764</f>
        <v>0</v>
      </c>
    </row>
    <row r="3750" spans="7:22" x14ac:dyDescent="0.25">
      <c r="G3750">
        <f>Data!A3763</f>
        <v>0</v>
      </c>
      <c r="H3750" s="21">
        <f>Data!B3763</f>
        <v>0</v>
      </c>
      <c r="I3750" s="21">
        <f>Data!C3763</f>
        <v>0</v>
      </c>
      <c r="J3750">
        <f>Data!D3763</f>
        <v>0</v>
      </c>
      <c r="K3750">
        <f>Data!E3763</f>
        <v>0</v>
      </c>
      <c r="L3750">
        <f>Data!F3763</f>
        <v>0</v>
      </c>
      <c r="M3750">
        <f>Data!G3763</f>
        <v>0</v>
      </c>
      <c r="N3750">
        <f>Data!H3763</f>
        <v>0</v>
      </c>
      <c r="O3750">
        <f>Data!I3763</f>
        <v>0</v>
      </c>
      <c r="P3750" s="21">
        <f>Data!J3767</f>
        <v>0</v>
      </c>
      <c r="Q3750">
        <f>Data!K3767</f>
        <v>0</v>
      </c>
      <c r="R3750">
        <f>Data!L3767</f>
        <v>0</v>
      </c>
      <c r="S3750">
        <f>Data!M3767</f>
        <v>0</v>
      </c>
      <c r="T3750">
        <f>Data!N3767</f>
        <v>0</v>
      </c>
      <c r="U3750">
        <f>Data!O3767</f>
        <v>0</v>
      </c>
      <c r="V3750" s="33">
        <f>Data!P3765</f>
        <v>0</v>
      </c>
    </row>
    <row r="3751" spans="7:22" x14ac:dyDescent="0.25">
      <c r="G3751">
        <f>Data!A3764</f>
        <v>0</v>
      </c>
      <c r="H3751" s="21">
        <f>Data!B3764</f>
        <v>0</v>
      </c>
      <c r="I3751" s="21">
        <f>Data!C3764</f>
        <v>0</v>
      </c>
      <c r="J3751">
        <f>Data!D3764</f>
        <v>0</v>
      </c>
      <c r="K3751">
        <f>Data!E3764</f>
        <v>0</v>
      </c>
      <c r="L3751">
        <f>Data!F3764</f>
        <v>0</v>
      </c>
      <c r="M3751">
        <f>Data!G3764</f>
        <v>0</v>
      </c>
      <c r="N3751">
        <f>Data!H3764</f>
        <v>0</v>
      </c>
      <c r="O3751">
        <f>Data!I3764</f>
        <v>0</v>
      </c>
      <c r="P3751" s="21">
        <f>Data!J3768</f>
        <v>0</v>
      </c>
      <c r="Q3751">
        <f>Data!K3768</f>
        <v>0</v>
      </c>
      <c r="R3751">
        <f>Data!L3768</f>
        <v>0</v>
      </c>
      <c r="S3751">
        <f>Data!M3768</f>
        <v>0</v>
      </c>
      <c r="T3751">
        <f>Data!N3768</f>
        <v>0</v>
      </c>
      <c r="U3751">
        <f>Data!O3768</f>
        <v>0</v>
      </c>
      <c r="V3751" s="33">
        <f>Data!P3766</f>
        <v>0</v>
      </c>
    </row>
    <row r="3752" spans="7:22" x14ac:dyDescent="0.25">
      <c r="G3752">
        <f>Data!A3765</f>
        <v>0</v>
      </c>
      <c r="H3752" s="21">
        <f>Data!B3765</f>
        <v>0</v>
      </c>
      <c r="I3752" s="21">
        <f>Data!C3765</f>
        <v>0</v>
      </c>
      <c r="J3752">
        <f>Data!D3765</f>
        <v>0</v>
      </c>
      <c r="K3752">
        <f>Data!E3765</f>
        <v>0</v>
      </c>
      <c r="L3752">
        <f>Data!F3765</f>
        <v>0</v>
      </c>
      <c r="M3752">
        <f>Data!G3765</f>
        <v>0</v>
      </c>
      <c r="N3752">
        <f>Data!H3765</f>
        <v>0</v>
      </c>
      <c r="O3752">
        <f>Data!I3765</f>
        <v>0</v>
      </c>
      <c r="P3752" s="21">
        <f>Data!J3769</f>
        <v>0</v>
      </c>
      <c r="Q3752">
        <f>Data!K3769</f>
        <v>0</v>
      </c>
      <c r="R3752">
        <f>Data!L3769</f>
        <v>0</v>
      </c>
      <c r="S3752">
        <f>Data!M3769</f>
        <v>0</v>
      </c>
      <c r="T3752">
        <f>Data!N3769</f>
        <v>0</v>
      </c>
      <c r="U3752">
        <f>Data!O3769</f>
        <v>0</v>
      </c>
      <c r="V3752" s="33">
        <f>Data!P3767</f>
        <v>0</v>
      </c>
    </row>
    <row r="3753" spans="7:22" x14ac:dyDescent="0.25">
      <c r="G3753">
        <f>Data!A3766</f>
        <v>0</v>
      </c>
      <c r="H3753" s="21">
        <f>Data!B3766</f>
        <v>0</v>
      </c>
      <c r="I3753" s="21">
        <f>Data!C3766</f>
        <v>0</v>
      </c>
      <c r="J3753">
        <f>Data!D3766</f>
        <v>0</v>
      </c>
      <c r="K3753">
        <f>Data!E3766</f>
        <v>0</v>
      </c>
      <c r="L3753">
        <f>Data!F3766</f>
        <v>0</v>
      </c>
      <c r="M3753">
        <f>Data!G3766</f>
        <v>0</v>
      </c>
      <c r="N3753">
        <f>Data!H3766</f>
        <v>0</v>
      </c>
      <c r="O3753">
        <f>Data!I3766</f>
        <v>0</v>
      </c>
      <c r="P3753" s="21">
        <f>Data!J3770</f>
        <v>0</v>
      </c>
      <c r="Q3753">
        <f>Data!K3770</f>
        <v>0</v>
      </c>
      <c r="R3753">
        <f>Data!L3770</f>
        <v>0</v>
      </c>
      <c r="S3753">
        <f>Data!M3770</f>
        <v>0</v>
      </c>
      <c r="T3753">
        <f>Data!N3770</f>
        <v>0</v>
      </c>
      <c r="U3753">
        <f>Data!O3770</f>
        <v>0</v>
      </c>
      <c r="V3753" s="33">
        <f>Data!P3768</f>
        <v>0</v>
      </c>
    </row>
    <row r="3754" spans="7:22" x14ac:dyDescent="0.25">
      <c r="G3754">
        <f>Data!A3767</f>
        <v>0</v>
      </c>
      <c r="H3754" s="21">
        <f>Data!B3767</f>
        <v>0</v>
      </c>
      <c r="I3754" s="21">
        <f>Data!C3767</f>
        <v>0</v>
      </c>
      <c r="J3754">
        <f>Data!D3767</f>
        <v>0</v>
      </c>
      <c r="K3754">
        <f>Data!E3767</f>
        <v>0</v>
      </c>
      <c r="L3754">
        <f>Data!F3767</f>
        <v>0</v>
      </c>
      <c r="M3754">
        <f>Data!G3767</f>
        <v>0</v>
      </c>
      <c r="N3754">
        <f>Data!H3767</f>
        <v>0</v>
      </c>
      <c r="O3754">
        <f>Data!I3767</f>
        <v>0</v>
      </c>
      <c r="P3754" s="21">
        <f>Data!J3771</f>
        <v>0</v>
      </c>
      <c r="Q3754">
        <f>Data!K3771</f>
        <v>0</v>
      </c>
      <c r="R3754">
        <f>Data!L3771</f>
        <v>0</v>
      </c>
      <c r="S3754">
        <f>Data!M3771</f>
        <v>0</v>
      </c>
      <c r="T3754">
        <f>Data!N3771</f>
        <v>0</v>
      </c>
      <c r="U3754">
        <f>Data!O3771</f>
        <v>0</v>
      </c>
      <c r="V3754" s="33">
        <f>Data!P3769</f>
        <v>0</v>
      </c>
    </row>
    <row r="3755" spans="7:22" x14ac:dyDescent="0.25">
      <c r="G3755">
        <f>Data!A3768</f>
        <v>0</v>
      </c>
      <c r="H3755" s="21">
        <f>Data!B3768</f>
        <v>0</v>
      </c>
      <c r="I3755" s="21">
        <f>Data!C3768</f>
        <v>0</v>
      </c>
      <c r="J3755">
        <f>Data!D3768</f>
        <v>0</v>
      </c>
      <c r="K3755">
        <f>Data!E3768</f>
        <v>0</v>
      </c>
      <c r="L3755">
        <f>Data!F3768</f>
        <v>0</v>
      </c>
      <c r="M3755">
        <f>Data!G3768</f>
        <v>0</v>
      </c>
      <c r="N3755">
        <f>Data!H3768</f>
        <v>0</v>
      </c>
      <c r="O3755">
        <f>Data!I3768</f>
        <v>0</v>
      </c>
      <c r="P3755" s="21">
        <f>Data!J3772</f>
        <v>0</v>
      </c>
      <c r="Q3755">
        <f>Data!K3772</f>
        <v>0</v>
      </c>
      <c r="R3755">
        <f>Data!L3772</f>
        <v>0</v>
      </c>
      <c r="S3755">
        <f>Data!M3772</f>
        <v>0</v>
      </c>
      <c r="T3755">
        <f>Data!N3772</f>
        <v>0</v>
      </c>
      <c r="U3755">
        <f>Data!O3772</f>
        <v>0</v>
      </c>
      <c r="V3755" s="33">
        <f>Data!P3770</f>
        <v>0</v>
      </c>
    </row>
    <row r="3756" spans="7:22" x14ac:dyDescent="0.25">
      <c r="G3756">
        <f>Data!A3769</f>
        <v>0</v>
      </c>
      <c r="H3756" s="21">
        <f>Data!B3769</f>
        <v>0</v>
      </c>
      <c r="I3756" s="21">
        <f>Data!C3769</f>
        <v>0</v>
      </c>
      <c r="J3756">
        <f>Data!D3769</f>
        <v>0</v>
      </c>
      <c r="K3756">
        <f>Data!E3769</f>
        <v>0</v>
      </c>
      <c r="L3756">
        <f>Data!F3769</f>
        <v>0</v>
      </c>
      <c r="M3756">
        <f>Data!G3769</f>
        <v>0</v>
      </c>
      <c r="N3756">
        <f>Data!H3769</f>
        <v>0</v>
      </c>
      <c r="O3756">
        <f>Data!I3769</f>
        <v>0</v>
      </c>
      <c r="P3756" s="21">
        <f>Data!J3773</f>
        <v>0</v>
      </c>
      <c r="Q3756">
        <f>Data!K3773</f>
        <v>0</v>
      </c>
      <c r="R3756">
        <f>Data!L3773</f>
        <v>0</v>
      </c>
      <c r="S3756">
        <f>Data!M3773</f>
        <v>0</v>
      </c>
      <c r="T3756">
        <f>Data!N3773</f>
        <v>0</v>
      </c>
      <c r="U3756">
        <f>Data!O3773</f>
        <v>0</v>
      </c>
      <c r="V3756" s="33">
        <f>Data!P3771</f>
        <v>0</v>
      </c>
    </row>
    <row r="3757" spans="7:22" x14ac:dyDescent="0.25">
      <c r="G3757">
        <f>Data!A3770</f>
        <v>0</v>
      </c>
      <c r="H3757" s="21">
        <f>Data!B3770</f>
        <v>0</v>
      </c>
      <c r="I3757" s="21">
        <f>Data!C3770</f>
        <v>0</v>
      </c>
      <c r="J3757">
        <f>Data!D3770</f>
        <v>0</v>
      </c>
      <c r="K3757">
        <f>Data!E3770</f>
        <v>0</v>
      </c>
      <c r="L3757">
        <f>Data!F3770</f>
        <v>0</v>
      </c>
      <c r="M3757">
        <f>Data!G3770</f>
        <v>0</v>
      </c>
      <c r="N3757">
        <f>Data!H3770</f>
        <v>0</v>
      </c>
      <c r="O3757">
        <f>Data!I3770</f>
        <v>0</v>
      </c>
      <c r="P3757" s="21">
        <f>Data!J3774</f>
        <v>0</v>
      </c>
      <c r="Q3757">
        <f>Data!K3774</f>
        <v>0</v>
      </c>
      <c r="R3757">
        <f>Data!L3774</f>
        <v>0</v>
      </c>
      <c r="S3757">
        <f>Data!M3774</f>
        <v>0</v>
      </c>
      <c r="T3757">
        <f>Data!N3774</f>
        <v>0</v>
      </c>
      <c r="U3757">
        <f>Data!O3774</f>
        <v>0</v>
      </c>
      <c r="V3757" s="33">
        <f>Data!P3772</f>
        <v>0</v>
      </c>
    </row>
    <row r="3758" spans="7:22" x14ac:dyDescent="0.25">
      <c r="G3758">
        <f>Data!A3771</f>
        <v>0</v>
      </c>
      <c r="H3758" s="21">
        <f>Data!B3771</f>
        <v>0</v>
      </c>
      <c r="I3758" s="21">
        <f>Data!C3771</f>
        <v>0</v>
      </c>
      <c r="J3758">
        <f>Data!D3771</f>
        <v>0</v>
      </c>
      <c r="K3758">
        <f>Data!E3771</f>
        <v>0</v>
      </c>
      <c r="L3758">
        <f>Data!F3771</f>
        <v>0</v>
      </c>
      <c r="M3758">
        <f>Data!G3771</f>
        <v>0</v>
      </c>
      <c r="N3758">
        <f>Data!H3771</f>
        <v>0</v>
      </c>
      <c r="O3758">
        <f>Data!I3771</f>
        <v>0</v>
      </c>
      <c r="P3758" s="21">
        <f>Data!J3775</f>
        <v>0</v>
      </c>
      <c r="Q3758">
        <f>Data!K3775</f>
        <v>0</v>
      </c>
      <c r="R3758">
        <f>Data!L3775</f>
        <v>0</v>
      </c>
      <c r="S3758">
        <f>Data!M3775</f>
        <v>0</v>
      </c>
      <c r="T3758">
        <f>Data!N3775</f>
        <v>0</v>
      </c>
      <c r="U3758">
        <f>Data!O3775</f>
        <v>0</v>
      </c>
      <c r="V3758" s="33">
        <f>Data!P3773</f>
        <v>0</v>
      </c>
    </row>
    <row r="3759" spans="7:22" x14ac:dyDescent="0.25">
      <c r="G3759">
        <f>Data!A3772</f>
        <v>0</v>
      </c>
      <c r="H3759" s="21">
        <f>Data!B3772</f>
        <v>0</v>
      </c>
      <c r="I3759" s="21">
        <f>Data!C3772</f>
        <v>0</v>
      </c>
      <c r="J3759">
        <f>Data!D3772</f>
        <v>0</v>
      </c>
      <c r="K3759">
        <f>Data!E3772</f>
        <v>0</v>
      </c>
      <c r="L3759">
        <f>Data!F3772</f>
        <v>0</v>
      </c>
      <c r="M3759">
        <f>Data!G3772</f>
        <v>0</v>
      </c>
      <c r="N3759">
        <f>Data!H3772</f>
        <v>0</v>
      </c>
      <c r="O3759">
        <f>Data!I3772</f>
        <v>0</v>
      </c>
      <c r="P3759" s="21">
        <f>Data!J3776</f>
        <v>0</v>
      </c>
      <c r="Q3759">
        <f>Data!K3776</f>
        <v>0</v>
      </c>
      <c r="R3759">
        <f>Data!L3776</f>
        <v>0</v>
      </c>
      <c r="S3759">
        <f>Data!M3776</f>
        <v>0</v>
      </c>
      <c r="T3759">
        <f>Data!N3776</f>
        <v>0</v>
      </c>
      <c r="U3759">
        <f>Data!O3776</f>
        <v>0</v>
      </c>
      <c r="V3759" s="33">
        <f>Data!P3774</f>
        <v>0</v>
      </c>
    </row>
    <row r="3760" spans="7:22" x14ac:dyDescent="0.25">
      <c r="G3760">
        <f>Data!A3773</f>
        <v>0</v>
      </c>
      <c r="H3760" s="21">
        <f>Data!B3773</f>
        <v>0</v>
      </c>
      <c r="I3760" s="21">
        <f>Data!C3773</f>
        <v>0</v>
      </c>
      <c r="J3760">
        <f>Data!D3773</f>
        <v>0</v>
      </c>
      <c r="K3760">
        <f>Data!E3773</f>
        <v>0</v>
      </c>
      <c r="L3760">
        <f>Data!F3773</f>
        <v>0</v>
      </c>
      <c r="M3760">
        <f>Data!G3773</f>
        <v>0</v>
      </c>
      <c r="N3760">
        <f>Data!H3773</f>
        <v>0</v>
      </c>
      <c r="O3760">
        <f>Data!I3773</f>
        <v>0</v>
      </c>
      <c r="P3760" s="21">
        <f>Data!J3777</f>
        <v>0</v>
      </c>
      <c r="Q3760">
        <f>Data!K3777</f>
        <v>0</v>
      </c>
      <c r="R3760">
        <f>Data!L3777</f>
        <v>0</v>
      </c>
      <c r="S3760">
        <f>Data!M3777</f>
        <v>0</v>
      </c>
      <c r="T3760">
        <f>Data!N3777</f>
        <v>0</v>
      </c>
      <c r="U3760">
        <f>Data!O3777</f>
        <v>0</v>
      </c>
      <c r="V3760" s="33">
        <f>Data!P3775</f>
        <v>0</v>
      </c>
    </row>
    <row r="3761" spans="7:22" x14ac:dyDescent="0.25">
      <c r="G3761">
        <f>Data!A3774</f>
        <v>0</v>
      </c>
      <c r="H3761" s="21">
        <f>Data!B3774</f>
        <v>0</v>
      </c>
      <c r="I3761" s="21">
        <f>Data!C3774</f>
        <v>0</v>
      </c>
      <c r="J3761">
        <f>Data!D3774</f>
        <v>0</v>
      </c>
      <c r="K3761">
        <f>Data!E3774</f>
        <v>0</v>
      </c>
      <c r="L3761">
        <f>Data!F3774</f>
        <v>0</v>
      </c>
      <c r="M3761">
        <f>Data!G3774</f>
        <v>0</v>
      </c>
      <c r="N3761">
        <f>Data!H3774</f>
        <v>0</v>
      </c>
      <c r="O3761">
        <f>Data!I3774</f>
        <v>0</v>
      </c>
      <c r="P3761" s="21">
        <f>Data!J3778</f>
        <v>0</v>
      </c>
      <c r="Q3761">
        <f>Data!K3778</f>
        <v>0</v>
      </c>
      <c r="R3761">
        <f>Data!L3778</f>
        <v>0</v>
      </c>
      <c r="S3761">
        <f>Data!M3778</f>
        <v>0</v>
      </c>
      <c r="T3761">
        <f>Data!N3778</f>
        <v>0</v>
      </c>
      <c r="U3761">
        <f>Data!O3778</f>
        <v>0</v>
      </c>
      <c r="V3761" s="33">
        <f>Data!P3776</f>
        <v>0</v>
      </c>
    </row>
    <row r="3762" spans="7:22" x14ac:dyDescent="0.25">
      <c r="G3762">
        <f>Data!A3775</f>
        <v>0</v>
      </c>
      <c r="H3762" s="21">
        <f>Data!B3775</f>
        <v>0</v>
      </c>
      <c r="I3762" s="21">
        <f>Data!C3775</f>
        <v>0</v>
      </c>
      <c r="J3762">
        <f>Data!D3775</f>
        <v>0</v>
      </c>
      <c r="K3762">
        <f>Data!E3775</f>
        <v>0</v>
      </c>
      <c r="L3762">
        <f>Data!F3775</f>
        <v>0</v>
      </c>
      <c r="M3762">
        <f>Data!G3775</f>
        <v>0</v>
      </c>
      <c r="N3762">
        <f>Data!H3775</f>
        <v>0</v>
      </c>
      <c r="O3762">
        <f>Data!I3775</f>
        <v>0</v>
      </c>
      <c r="P3762" s="21">
        <f>Data!J3779</f>
        <v>0</v>
      </c>
      <c r="Q3762">
        <f>Data!K3779</f>
        <v>0</v>
      </c>
      <c r="R3762">
        <f>Data!L3779</f>
        <v>0</v>
      </c>
      <c r="S3762">
        <f>Data!M3779</f>
        <v>0</v>
      </c>
      <c r="T3762">
        <f>Data!N3779</f>
        <v>0</v>
      </c>
      <c r="U3762">
        <f>Data!O3779</f>
        <v>0</v>
      </c>
      <c r="V3762" s="33">
        <f>Data!P3777</f>
        <v>0</v>
      </c>
    </row>
    <row r="3763" spans="7:22" x14ac:dyDescent="0.25">
      <c r="G3763">
        <f>Data!A3776</f>
        <v>0</v>
      </c>
      <c r="H3763" s="21">
        <f>Data!B3776</f>
        <v>0</v>
      </c>
      <c r="I3763" s="21">
        <f>Data!C3776</f>
        <v>0</v>
      </c>
      <c r="J3763">
        <f>Data!D3776</f>
        <v>0</v>
      </c>
      <c r="K3763">
        <f>Data!E3776</f>
        <v>0</v>
      </c>
      <c r="L3763">
        <f>Data!F3776</f>
        <v>0</v>
      </c>
      <c r="M3763">
        <f>Data!G3776</f>
        <v>0</v>
      </c>
      <c r="N3763">
        <f>Data!H3776</f>
        <v>0</v>
      </c>
      <c r="O3763">
        <f>Data!I3776</f>
        <v>0</v>
      </c>
      <c r="P3763" s="21">
        <f>Data!J3780</f>
        <v>0</v>
      </c>
      <c r="Q3763">
        <f>Data!K3780</f>
        <v>0</v>
      </c>
      <c r="R3763">
        <f>Data!L3780</f>
        <v>0</v>
      </c>
      <c r="S3763">
        <f>Data!M3780</f>
        <v>0</v>
      </c>
      <c r="T3763">
        <f>Data!N3780</f>
        <v>0</v>
      </c>
      <c r="U3763">
        <f>Data!O3780</f>
        <v>0</v>
      </c>
      <c r="V3763" s="33">
        <f>Data!P3778</f>
        <v>0</v>
      </c>
    </row>
    <row r="3764" spans="7:22" x14ac:dyDescent="0.25">
      <c r="G3764">
        <f>Data!A3777</f>
        <v>0</v>
      </c>
      <c r="H3764" s="21">
        <f>Data!B3777</f>
        <v>0</v>
      </c>
      <c r="I3764" s="21">
        <f>Data!C3777</f>
        <v>0</v>
      </c>
      <c r="J3764">
        <f>Data!D3777</f>
        <v>0</v>
      </c>
      <c r="K3764">
        <f>Data!E3777</f>
        <v>0</v>
      </c>
      <c r="L3764">
        <f>Data!F3777</f>
        <v>0</v>
      </c>
      <c r="M3764">
        <f>Data!G3777</f>
        <v>0</v>
      </c>
      <c r="N3764">
        <f>Data!H3777</f>
        <v>0</v>
      </c>
      <c r="O3764">
        <f>Data!I3777</f>
        <v>0</v>
      </c>
      <c r="P3764" s="21">
        <f>Data!J3781</f>
        <v>0</v>
      </c>
      <c r="Q3764">
        <f>Data!K3781</f>
        <v>0</v>
      </c>
      <c r="R3764">
        <f>Data!L3781</f>
        <v>0</v>
      </c>
      <c r="S3764">
        <f>Data!M3781</f>
        <v>0</v>
      </c>
      <c r="T3764">
        <f>Data!N3781</f>
        <v>0</v>
      </c>
      <c r="U3764">
        <f>Data!O3781</f>
        <v>0</v>
      </c>
      <c r="V3764" s="33">
        <f>Data!P3779</f>
        <v>0</v>
      </c>
    </row>
    <row r="3765" spans="7:22" x14ac:dyDescent="0.25">
      <c r="G3765">
        <f>Data!A3778</f>
        <v>0</v>
      </c>
      <c r="H3765" s="21">
        <f>Data!B3778</f>
        <v>0</v>
      </c>
      <c r="I3765" s="21">
        <f>Data!C3778</f>
        <v>0</v>
      </c>
      <c r="J3765">
        <f>Data!D3778</f>
        <v>0</v>
      </c>
      <c r="K3765">
        <f>Data!E3778</f>
        <v>0</v>
      </c>
      <c r="L3765">
        <f>Data!F3778</f>
        <v>0</v>
      </c>
      <c r="M3765">
        <f>Data!G3778</f>
        <v>0</v>
      </c>
      <c r="N3765">
        <f>Data!H3778</f>
        <v>0</v>
      </c>
      <c r="O3765">
        <f>Data!I3778</f>
        <v>0</v>
      </c>
      <c r="P3765" s="21">
        <f>Data!J3782</f>
        <v>0</v>
      </c>
      <c r="Q3765">
        <f>Data!K3782</f>
        <v>0</v>
      </c>
      <c r="R3765">
        <f>Data!L3782</f>
        <v>0</v>
      </c>
      <c r="S3765">
        <f>Data!M3782</f>
        <v>0</v>
      </c>
      <c r="T3765">
        <f>Data!N3782</f>
        <v>0</v>
      </c>
      <c r="U3765">
        <f>Data!O3782</f>
        <v>0</v>
      </c>
      <c r="V3765" s="33">
        <f>Data!P3780</f>
        <v>0</v>
      </c>
    </row>
    <row r="3766" spans="7:22" x14ac:dyDescent="0.25">
      <c r="G3766">
        <f>Data!A3779</f>
        <v>0</v>
      </c>
      <c r="H3766" s="21">
        <f>Data!B3779</f>
        <v>0</v>
      </c>
      <c r="I3766" s="21">
        <f>Data!C3779</f>
        <v>0</v>
      </c>
      <c r="J3766">
        <f>Data!D3779</f>
        <v>0</v>
      </c>
      <c r="K3766">
        <f>Data!E3779</f>
        <v>0</v>
      </c>
      <c r="L3766">
        <f>Data!F3779</f>
        <v>0</v>
      </c>
      <c r="M3766">
        <f>Data!G3779</f>
        <v>0</v>
      </c>
      <c r="N3766">
        <f>Data!H3779</f>
        <v>0</v>
      </c>
      <c r="O3766">
        <f>Data!I3779</f>
        <v>0</v>
      </c>
      <c r="P3766" s="21">
        <f>Data!J3783</f>
        <v>0</v>
      </c>
      <c r="Q3766">
        <f>Data!K3783</f>
        <v>0</v>
      </c>
      <c r="R3766">
        <f>Data!L3783</f>
        <v>0</v>
      </c>
      <c r="S3766">
        <f>Data!M3783</f>
        <v>0</v>
      </c>
      <c r="T3766">
        <f>Data!N3783</f>
        <v>0</v>
      </c>
      <c r="U3766">
        <f>Data!O3783</f>
        <v>0</v>
      </c>
      <c r="V3766" s="33">
        <f>Data!P3781</f>
        <v>0</v>
      </c>
    </row>
    <row r="3767" spans="7:22" x14ac:dyDescent="0.25">
      <c r="G3767">
        <f>Data!A3780</f>
        <v>0</v>
      </c>
      <c r="H3767" s="21">
        <f>Data!B3780</f>
        <v>0</v>
      </c>
      <c r="I3767" s="21">
        <f>Data!C3780</f>
        <v>0</v>
      </c>
      <c r="J3767">
        <f>Data!D3780</f>
        <v>0</v>
      </c>
      <c r="K3767">
        <f>Data!E3780</f>
        <v>0</v>
      </c>
      <c r="L3767">
        <f>Data!F3780</f>
        <v>0</v>
      </c>
      <c r="M3767">
        <f>Data!G3780</f>
        <v>0</v>
      </c>
      <c r="N3767">
        <f>Data!H3780</f>
        <v>0</v>
      </c>
      <c r="O3767">
        <f>Data!I3780</f>
        <v>0</v>
      </c>
      <c r="P3767" s="21">
        <f>Data!J3784</f>
        <v>0</v>
      </c>
      <c r="Q3767">
        <f>Data!K3784</f>
        <v>0</v>
      </c>
      <c r="R3767">
        <f>Data!L3784</f>
        <v>0</v>
      </c>
      <c r="S3767">
        <f>Data!M3784</f>
        <v>0</v>
      </c>
      <c r="T3767">
        <f>Data!N3784</f>
        <v>0</v>
      </c>
      <c r="U3767">
        <f>Data!O3784</f>
        <v>0</v>
      </c>
      <c r="V3767" s="33">
        <f>Data!P3782</f>
        <v>0</v>
      </c>
    </row>
    <row r="3768" spans="7:22" x14ac:dyDescent="0.25">
      <c r="G3768">
        <f>Data!A3781</f>
        <v>0</v>
      </c>
      <c r="H3768" s="21">
        <f>Data!B3781</f>
        <v>0</v>
      </c>
      <c r="I3768" s="21">
        <f>Data!C3781</f>
        <v>0</v>
      </c>
      <c r="J3768">
        <f>Data!D3781</f>
        <v>0</v>
      </c>
      <c r="K3768">
        <f>Data!E3781</f>
        <v>0</v>
      </c>
      <c r="L3768">
        <f>Data!F3781</f>
        <v>0</v>
      </c>
      <c r="M3768">
        <f>Data!G3781</f>
        <v>0</v>
      </c>
      <c r="N3768">
        <f>Data!H3781</f>
        <v>0</v>
      </c>
      <c r="O3768">
        <f>Data!I3781</f>
        <v>0</v>
      </c>
      <c r="P3768" s="21">
        <f>Data!J3785</f>
        <v>0</v>
      </c>
      <c r="Q3768">
        <f>Data!K3785</f>
        <v>0</v>
      </c>
      <c r="R3768">
        <f>Data!L3785</f>
        <v>0</v>
      </c>
      <c r="S3768">
        <f>Data!M3785</f>
        <v>0</v>
      </c>
      <c r="T3768">
        <f>Data!N3785</f>
        <v>0</v>
      </c>
      <c r="U3768">
        <f>Data!O3785</f>
        <v>0</v>
      </c>
      <c r="V3768" s="33">
        <f>Data!P3783</f>
        <v>0</v>
      </c>
    </row>
    <row r="3769" spans="7:22" x14ac:dyDescent="0.25">
      <c r="G3769">
        <f>Data!A3782</f>
        <v>0</v>
      </c>
      <c r="H3769" s="21">
        <f>Data!B3782</f>
        <v>0</v>
      </c>
      <c r="I3769" s="21">
        <f>Data!C3782</f>
        <v>0</v>
      </c>
      <c r="J3769">
        <f>Data!D3782</f>
        <v>0</v>
      </c>
      <c r="K3769">
        <f>Data!E3782</f>
        <v>0</v>
      </c>
      <c r="L3769">
        <f>Data!F3782</f>
        <v>0</v>
      </c>
      <c r="M3769">
        <f>Data!G3782</f>
        <v>0</v>
      </c>
      <c r="N3769">
        <f>Data!H3782</f>
        <v>0</v>
      </c>
      <c r="O3769">
        <f>Data!I3782</f>
        <v>0</v>
      </c>
      <c r="P3769" s="21">
        <f>Data!J3786</f>
        <v>0</v>
      </c>
      <c r="Q3769">
        <f>Data!K3786</f>
        <v>0</v>
      </c>
      <c r="R3769">
        <f>Data!L3786</f>
        <v>0</v>
      </c>
      <c r="S3769">
        <f>Data!M3786</f>
        <v>0</v>
      </c>
      <c r="T3769">
        <f>Data!N3786</f>
        <v>0</v>
      </c>
      <c r="U3769">
        <f>Data!O3786</f>
        <v>0</v>
      </c>
      <c r="V3769" s="33">
        <f>Data!P3784</f>
        <v>0</v>
      </c>
    </row>
    <row r="3770" spans="7:22" x14ac:dyDescent="0.25">
      <c r="G3770">
        <f>Data!A3783</f>
        <v>0</v>
      </c>
      <c r="H3770" s="21">
        <f>Data!B3783</f>
        <v>0</v>
      </c>
      <c r="I3770" s="21">
        <f>Data!C3783</f>
        <v>0</v>
      </c>
      <c r="J3770">
        <f>Data!D3783</f>
        <v>0</v>
      </c>
      <c r="K3770">
        <f>Data!E3783</f>
        <v>0</v>
      </c>
      <c r="L3770">
        <f>Data!F3783</f>
        <v>0</v>
      </c>
      <c r="M3770">
        <f>Data!G3783</f>
        <v>0</v>
      </c>
      <c r="N3770">
        <f>Data!H3783</f>
        <v>0</v>
      </c>
      <c r="O3770">
        <f>Data!I3783</f>
        <v>0</v>
      </c>
      <c r="P3770" s="21">
        <f>Data!J3787</f>
        <v>0</v>
      </c>
      <c r="Q3770">
        <f>Data!K3787</f>
        <v>0</v>
      </c>
      <c r="R3770">
        <f>Data!L3787</f>
        <v>0</v>
      </c>
      <c r="S3770">
        <f>Data!M3787</f>
        <v>0</v>
      </c>
      <c r="T3770">
        <f>Data!N3787</f>
        <v>0</v>
      </c>
      <c r="U3770">
        <f>Data!O3787</f>
        <v>0</v>
      </c>
      <c r="V3770" s="33">
        <f>Data!P3785</f>
        <v>0</v>
      </c>
    </row>
    <row r="3771" spans="7:22" x14ac:dyDescent="0.25">
      <c r="G3771">
        <f>Data!A3784</f>
        <v>0</v>
      </c>
      <c r="H3771" s="21">
        <f>Data!B3784</f>
        <v>0</v>
      </c>
      <c r="I3771" s="21">
        <f>Data!C3784</f>
        <v>0</v>
      </c>
      <c r="J3771">
        <f>Data!D3784</f>
        <v>0</v>
      </c>
      <c r="K3771">
        <f>Data!E3784</f>
        <v>0</v>
      </c>
      <c r="L3771">
        <f>Data!F3784</f>
        <v>0</v>
      </c>
      <c r="M3771">
        <f>Data!G3784</f>
        <v>0</v>
      </c>
      <c r="N3771">
        <f>Data!H3784</f>
        <v>0</v>
      </c>
      <c r="O3771">
        <f>Data!I3784</f>
        <v>0</v>
      </c>
      <c r="P3771" s="21">
        <f>Data!J3788</f>
        <v>0</v>
      </c>
      <c r="Q3771">
        <f>Data!K3788</f>
        <v>0</v>
      </c>
      <c r="R3771">
        <f>Data!L3788</f>
        <v>0</v>
      </c>
      <c r="S3771">
        <f>Data!M3788</f>
        <v>0</v>
      </c>
      <c r="T3771">
        <f>Data!N3788</f>
        <v>0</v>
      </c>
      <c r="U3771">
        <f>Data!O3788</f>
        <v>0</v>
      </c>
      <c r="V3771" s="33">
        <f>Data!P3786</f>
        <v>0</v>
      </c>
    </row>
    <row r="3772" spans="7:22" x14ac:dyDescent="0.25">
      <c r="G3772">
        <f>Data!A3785</f>
        <v>0</v>
      </c>
      <c r="H3772" s="21">
        <f>Data!B3785</f>
        <v>0</v>
      </c>
      <c r="I3772" s="21">
        <f>Data!C3785</f>
        <v>0</v>
      </c>
      <c r="J3772">
        <f>Data!D3785</f>
        <v>0</v>
      </c>
      <c r="K3772">
        <f>Data!E3785</f>
        <v>0</v>
      </c>
      <c r="L3772">
        <f>Data!F3785</f>
        <v>0</v>
      </c>
      <c r="M3772">
        <f>Data!G3785</f>
        <v>0</v>
      </c>
      <c r="N3772">
        <f>Data!H3785</f>
        <v>0</v>
      </c>
      <c r="O3772">
        <f>Data!I3785</f>
        <v>0</v>
      </c>
      <c r="P3772" s="21">
        <f>Data!J3789</f>
        <v>0</v>
      </c>
      <c r="Q3772">
        <f>Data!K3789</f>
        <v>0</v>
      </c>
      <c r="R3772">
        <f>Data!L3789</f>
        <v>0</v>
      </c>
      <c r="S3772">
        <f>Data!M3789</f>
        <v>0</v>
      </c>
      <c r="T3772">
        <f>Data!N3789</f>
        <v>0</v>
      </c>
      <c r="U3772">
        <f>Data!O3789</f>
        <v>0</v>
      </c>
      <c r="V3772" s="33">
        <f>Data!P3787</f>
        <v>0</v>
      </c>
    </row>
    <row r="3773" spans="7:22" x14ac:dyDescent="0.25">
      <c r="G3773">
        <f>Data!A3786</f>
        <v>0</v>
      </c>
      <c r="H3773" s="21">
        <f>Data!B3786</f>
        <v>0</v>
      </c>
      <c r="I3773" s="21">
        <f>Data!C3786</f>
        <v>0</v>
      </c>
      <c r="J3773">
        <f>Data!D3786</f>
        <v>0</v>
      </c>
      <c r="K3773">
        <f>Data!E3786</f>
        <v>0</v>
      </c>
      <c r="L3773">
        <f>Data!F3786</f>
        <v>0</v>
      </c>
      <c r="M3773">
        <f>Data!G3786</f>
        <v>0</v>
      </c>
      <c r="N3773">
        <f>Data!H3786</f>
        <v>0</v>
      </c>
      <c r="O3773">
        <f>Data!I3786</f>
        <v>0</v>
      </c>
      <c r="P3773" s="21">
        <f>Data!J3790</f>
        <v>0</v>
      </c>
      <c r="Q3773">
        <f>Data!K3790</f>
        <v>0</v>
      </c>
      <c r="R3773">
        <f>Data!L3790</f>
        <v>0</v>
      </c>
      <c r="S3773">
        <f>Data!M3790</f>
        <v>0</v>
      </c>
      <c r="T3773">
        <f>Data!N3790</f>
        <v>0</v>
      </c>
      <c r="U3773">
        <f>Data!O3790</f>
        <v>0</v>
      </c>
      <c r="V3773" s="33">
        <f>Data!P3788</f>
        <v>0</v>
      </c>
    </row>
    <row r="3774" spans="7:22" x14ac:dyDescent="0.25">
      <c r="G3774">
        <f>Data!A3787</f>
        <v>0</v>
      </c>
      <c r="H3774" s="21">
        <f>Data!B3787</f>
        <v>0</v>
      </c>
      <c r="I3774" s="21">
        <f>Data!C3787</f>
        <v>0</v>
      </c>
      <c r="J3774">
        <f>Data!D3787</f>
        <v>0</v>
      </c>
      <c r="K3774">
        <f>Data!E3787</f>
        <v>0</v>
      </c>
      <c r="L3774">
        <f>Data!F3787</f>
        <v>0</v>
      </c>
      <c r="M3774">
        <f>Data!G3787</f>
        <v>0</v>
      </c>
      <c r="N3774">
        <f>Data!H3787</f>
        <v>0</v>
      </c>
      <c r="O3774">
        <f>Data!I3787</f>
        <v>0</v>
      </c>
      <c r="P3774" s="21">
        <f>Data!J3791</f>
        <v>0</v>
      </c>
      <c r="Q3774">
        <f>Data!K3791</f>
        <v>0</v>
      </c>
      <c r="R3774">
        <f>Data!L3791</f>
        <v>0</v>
      </c>
      <c r="S3774">
        <f>Data!M3791</f>
        <v>0</v>
      </c>
      <c r="T3774">
        <f>Data!N3791</f>
        <v>0</v>
      </c>
      <c r="U3774">
        <f>Data!O3791</f>
        <v>0</v>
      </c>
      <c r="V3774" s="33">
        <f>Data!P3789</f>
        <v>0</v>
      </c>
    </row>
    <row r="3775" spans="7:22" x14ac:dyDescent="0.25">
      <c r="G3775">
        <f>Data!A3788</f>
        <v>0</v>
      </c>
      <c r="H3775" s="21">
        <f>Data!B3788</f>
        <v>0</v>
      </c>
      <c r="I3775" s="21">
        <f>Data!C3788</f>
        <v>0</v>
      </c>
      <c r="J3775">
        <f>Data!D3788</f>
        <v>0</v>
      </c>
      <c r="K3775">
        <f>Data!E3788</f>
        <v>0</v>
      </c>
      <c r="L3775">
        <f>Data!F3788</f>
        <v>0</v>
      </c>
      <c r="M3775">
        <f>Data!G3788</f>
        <v>0</v>
      </c>
      <c r="N3775">
        <f>Data!H3788</f>
        <v>0</v>
      </c>
      <c r="O3775">
        <f>Data!I3788</f>
        <v>0</v>
      </c>
      <c r="P3775" s="21">
        <f>Data!J3792</f>
        <v>0</v>
      </c>
      <c r="Q3775">
        <f>Data!K3792</f>
        <v>0</v>
      </c>
      <c r="R3775">
        <f>Data!L3792</f>
        <v>0</v>
      </c>
      <c r="S3775">
        <f>Data!M3792</f>
        <v>0</v>
      </c>
      <c r="T3775">
        <f>Data!N3792</f>
        <v>0</v>
      </c>
      <c r="U3775">
        <f>Data!O3792</f>
        <v>0</v>
      </c>
      <c r="V3775" s="33">
        <f>Data!P3790</f>
        <v>0</v>
      </c>
    </row>
    <row r="3776" spans="7:22" x14ac:dyDescent="0.25">
      <c r="G3776">
        <f>Data!A3789</f>
        <v>0</v>
      </c>
      <c r="H3776" s="21">
        <f>Data!B3789</f>
        <v>0</v>
      </c>
      <c r="I3776" s="21">
        <f>Data!C3789</f>
        <v>0</v>
      </c>
      <c r="J3776">
        <f>Data!D3789</f>
        <v>0</v>
      </c>
      <c r="K3776">
        <f>Data!E3789</f>
        <v>0</v>
      </c>
      <c r="L3776">
        <f>Data!F3789</f>
        <v>0</v>
      </c>
      <c r="M3776">
        <f>Data!G3789</f>
        <v>0</v>
      </c>
      <c r="N3776">
        <f>Data!H3789</f>
        <v>0</v>
      </c>
      <c r="O3776">
        <f>Data!I3789</f>
        <v>0</v>
      </c>
      <c r="P3776" s="21">
        <f>Data!J3793</f>
        <v>0</v>
      </c>
      <c r="Q3776">
        <f>Data!K3793</f>
        <v>0</v>
      </c>
      <c r="R3776">
        <f>Data!L3793</f>
        <v>0</v>
      </c>
      <c r="S3776">
        <f>Data!M3793</f>
        <v>0</v>
      </c>
      <c r="T3776">
        <f>Data!N3793</f>
        <v>0</v>
      </c>
      <c r="U3776">
        <f>Data!O3793</f>
        <v>0</v>
      </c>
      <c r="V3776" s="33">
        <f>Data!P3791</f>
        <v>0</v>
      </c>
    </row>
    <row r="3777" spans="7:22" x14ac:dyDescent="0.25">
      <c r="G3777">
        <f>Data!A3790</f>
        <v>0</v>
      </c>
      <c r="H3777" s="21">
        <f>Data!B3790</f>
        <v>0</v>
      </c>
      <c r="I3777" s="21">
        <f>Data!C3790</f>
        <v>0</v>
      </c>
      <c r="J3777">
        <f>Data!D3790</f>
        <v>0</v>
      </c>
      <c r="K3777">
        <f>Data!E3790</f>
        <v>0</v>
      </c>
      <c r="L3777">
        <f>Data!F3790</f>
        <v>0</v>
      </c>
      <c r="M3777">
        <f>Data!G3790</f>
        <v>0</v>
      </c>
      <c r="N3777">
        <f>Data!H3790</f>
        <v>0</v>
      </c>
      <c r="O3777">
        <f>Data!I3790</f>
        <v>0</v>
      </c>
      <c r="P3777" s="21">
        <f>Data!J3794</f>
        <v>0</v>
      </c>
      <c r="Q3777">
        <f>Data!K3794</f>
        <v>0</v>
      </c>
      <c r="R3777">
        <f>Data!L3794</f>
        <v>0</v>
      </c>
      <c r="S3777">
        <f>Data!M3794</f>
        <v>0</v>
      </c>
      <c r="T3777">
        <f>Data!N3794</f>
        <v>0</v>
      </c>
      <c r="U3777">
        <f>Data!O3794</f>
        <v>0</v>
      </c>
      <c r="V3777" s="33">
        <f>Data!P3792</f>
        <v>0</v>
      </c>
    </row>
    <row r="3778" spans="7:22" x14ac:dyDescent="0.25">
      <c r="G3778">
        <f>Data!A3791</f>
        <v>0</v>
      </c>
      <c r="H3778" s="21">
        <f>Data!B3791</f>
        <v>0</v>
      </c>
      <c r="I3778" s="21">
        <f>Data!C3791</f>
        <v>0</v>
      </c>
      <c r="J3778">
        <f>Data!D3791</f>
        <v>0</v>
      </c>
      <c r="K3778">
        <f>Data!E3791</f>
        <v>0</v>
      </c>
      <c r="L3778">
        <f>Data!F3791</f>
        <v>0</v>
      </c>
      <c r="M3778">
        <f>Data!G3791</f>
        <v>0</v>
      </c>
      <c r="N3778">
        <f>Data!H3791</f>
        <v>0</v>
      </c>
      <c r="O3778">
        <f>Data!I3791</f>
        <v>0</v>
      </c>
      <c r="P3778" s="21">
        <f>Data!J3795</f>
        <v>0</v>
      </c>
      <c r="Q3778">
        <f>Data!K3795</f>
        <v>0</v>
      </c>
      <c r="R3778">
        <f>Data!L3795</f>
        <v>0</v>
      </c>
      <c r="S3778">
        <f>Data!M3795</f>
        <v>0</v>
      </c>
      <c r="T3778">
        <f>Data!N3795</f>
        <v>0</v>
      </c>
      <c r="U3778">
        <f>Data!O3795</f>
        <v>0</v>
      </c>
      <c r="V3778" s="33">
        <f>Data!P3793</f>
        <v>0</v>
      </c>
    </row>
    <row r="3779" spans="7:22" x14ac:dyDescent="0.25">
      <c r="G3779">
        <f>Data!A3792</f>
        <v>0</v>
      </c>
      <c r="H3779" s="21">
        <f>Data!B3792</f>
        <v>0</v>
      </c>
      <c r="I3779" s="21">
        <f>Data!C3792</f>
        <v>0</v>
      </c>
      <c r="J3779">
        <f>Data!D3792</f>
        <v>0</v>
      </c>
      <c r="K3779">
        <f>Data!E3792</f>
        <v>0</v>
      </c>
      <c r="L3779">
        <f>Data!F3792</f>
        <v>0</v>
      </c>
      <c r="M3779">
        <f>Data!G3792</f>
        <v>0</v>
      </c>
      <c r="N3779">
        <f>Data!H3792</f>
        <v>0</v>
      </c>
      <c r="O3779">
        <f>Data!I3792</f>
        <v>0</v>
      </c>
      <c r="P3779" s="21">
        <f>Data!J3796</f>
        <v>0</v>
      </c>
      <c r="Q3779">
        <f>Data!K3796</f>
        <v>0</v>
      </c>
      <c r="R3779">
        <f>Data!L3796</f>
        <v>0</v>
      </c>
      <c r="S3779">
        <f>Data!M3796</f>
        <v>0</v>
      </c>
      <c r="T3779">
        <f>Data!N3796</f>
        <v>0</v>
      </c>
      <c r="U3779">
        <f>Data!O3796</f>
        <v>0</v>
      </c>
      <c r="V3779" s="33">
        <f>Data!P3794</f>
        <v>0</v>
      </c>
    </row>
    <row r="3780" spans="7:22" x14ac:dyDescent="0.25">
      <c r="G3780">
        <f>Data!A3793</f>
        <v>0</v>
      </c>
      <c r="H3780" s="21">
        <f>Data!B3793</f>
        <v>0</v>
      </c>
      <c r="I3780" s="21">
        <f>Data!C3793</f>
        <v>0</v>
      </c>
      <c r="J3780">
        <f>Data!D3793</f>
        <v>0</v>
      </c>
      <c r="K3780">
        <f>Data!E3793</f>
        <v>0</v>
      </c>
      <c r="L3780">
        <f>Data!F3793</f>
        <v>0</v>
      </c>
      <c r="M3780">
        <f>Data!G3793</f>
        <v>0</v>
      </c>
      <c r="N3780">
        <f>Data!H3793</f>
        <v>0</v>
      </c>
      <c r="O3780">
        <f>Data!I3793</f>
        <v>0</v>
      </c>
      <c r="P3780" s="21">
        <f>Data!J3797</f>
        <v>0</v>
      </c>
      <c r="Q3780">
        <f>Data!K3797</f>
        <v>0</v>
      </c>
      <c r="R3780">
        <f>Data!L3797</f>
        <v>0</v>
      </c>
      <c r="S3780">
        <f>Data!M3797</f>
        <v>0</v>
      </c>
      <c r="T3780">
        <f>Data!N3797</f>
        <v>0</v>
      </c>
      <c r="U3780">
        <f>Data!O3797</f>
        <v>0</v>
      </c>
      <c r="V3780" s="33">
        <f>Data!P3795</f>
        <v>0</v>
      </c>
    </row>
    <row r="3781" spans="7:22" x14ac:dyDescent="0.25">
      <c r="G3781">
        <f>Data!A3794</f>
        <v>0</v>
      </c>
      <c r="H3781" s="21">
        <f>Data!B3794</f>
        <v>0</v>
      </c>
      <c r="I3781" s="21">
        <f>Data!C3794</f>
        <v>0</v>
      </c>
      <c r="J3781">
        <f>Data!D3794</f>
        <v>0</v>
      </c>
      <c r="K3781">
        <f>Data!E3794</f>
        <v>0</v>
      </c>
      <c r="L3781">
        <f>Data!F3794</f>
        <v>0</v>
      </c>
      <c r="M3781">
        <f>Data!G3794</f>
        <v>0</v>
      </c>
      <c r="N3781">
        <f>Data!H3794</f>
        <v>0</v>
      </c>
      <c r="O3781">
        <f>Data!I3794</f>
        <v>0</v>
      </c>
      <c r="P3781" s="21">
        <f>Data!J3798</f>
        <v>0</v>
      </c>
      <c r="Q3781">
        <f>Data!K3798</f>
        <v>0</v>
      </c>
      <c r="R3781">
        <f>Data!L3798</f>
        <v>0</v>
      </c>
      <c r="S3781">
        <f>Data!M3798</f>
        <v>0</v>
      </c>
      <c r="T3781">
        <f>Data!N3798</f>
        <v>0</v>
      </c>
      <c r="U3781">
        <f>Data!O3798</f>
        <v>0</v>
      </c>
      <c r="V3781" s="33">
        <f>Data!P3796</f>
        <v>0</v>
      </c>
    </row>
    <row r="3782" spans="7:22" x14ac:dyDescent="0.25">
      <c r="G3782">
        <f>Data!A3795</f>
        <v>0</v>
      </c>
      <c r="H3782" s="21">
        <f>Data!B3795</f>
        <v>0</v>
      </c>
      <c r="I3782" s="21">
        <f>Data!C3795</f>
        <v>0</v>
      </c>
      <c r="J3782">
        <f>Data!D3795</f>
        <v>0</v>
      </c>
      <c r="K3782">
        <f>Data!E3795</f>
        <v>0</v>
      </c>
      <c r="L3782">
        <f>Data!F3795</f>
        <v>0</v>
      </c>
      <c r="M3782">
        <f>Data!G3795</f>
        <v>0</v>
      </c>
      <c r="N3782">
        <f>Data!H3795</f>
        <v>0</v>
      </c>
      <c r="O3782">
        <f>Data!I3795</f>
        <v>0</v>
      </c>
      <c r="P3782" s="21">
        <f>Data!J3799</f>
        <v>0</v>
      </c>
      <c r="Q3782">
        <f>Data!K3799</f>
        <v>0</v>
      </c>
      <c r="R3782">
        <f>Data!L3799</f>
        <v>0</v>
      </c>
      <c r="S3782">
        <f>Data!M3799</f>
        <v>0</v>
      </c>
      <c r="T3782">
        <f>Data!N3799</f>
        <v>0</v>
      </c>
      <c r="U3782">
        <f>Data!O3799</f>
        <v>0</v>
      </c>
      <c r="V3782" s="33">
        <f>Data!P3797</f>
        <v>0</v>
      </c>
    </row>
    <row r="3783" spans="7:22" x14ac:dyDescent="0.25">
      <c r="G3783">
        <f>Data!A3796</f>
        <v>0</v>
      </c>
      <c r="H3783" s="21">
        <f>Data!B3796</f>
        <v>0</v>
      </c>
      <c r="I3783" s="21">
        <f>Data!C3796</f>
        <v>0</v>
      </c>
      <c r="J3783">
        <f>Data!D3796</f>
        <v>0</v>
      </c>
      <c r="K3783">
        <f>Data!E3796</f>
        <v>0</v>
      </c>
      <c r="L3783">
        <f>Data!F3796</f>
        <v>0</v>
      </c>
      <c r="M3783">
        <f>Data!G3796</f>
        <v>0</v>
      </c>
      <c r="N3783">
        <f>Data!H3796</f>
        <v>0</v>
      </c>
      <c r="O3783">
        <f>Data!I3796</f>
        <v>0</v>
      </c>
      <c r="P3783" s="21">
        <f>Data!J3800</f>
        <v>0</v>
      </c>
      <c r="Q3783">
        <f>Data!K3800</f>
        <v>0</v>
      </c>
      <c r="R3783">
        <f>Data!L3800</f>
        <v>0</v>
      </c>
      <c r="S3783">
        <f>Data!M3800</f>
        <v>0</v>
      </c>
      <c r="T3783">
        <f>Data!N3800</f>
        <v>0</v>
      </c>
      <c r="U3783">
        <f>Data!O3800</f>
        <v>0</v>
      </c>
      <c r="V3783" s="33">
        <f>Data!P3798</f>
        <v>0</v>
      </c>
    </row>
    <row r="3784" spans="7:22" x14ac:dyDescent="0.25">
      <c r="G3784">
        <f>Data!A3797</f>
        <v>0</v>
      </c>
      <c r="H3784" s="21">
        <f>Data!B3797</f>
        <v>0</v>
      </c>
      <c r="I3784" s="21">
        <f>Data!C3797</f>
        <v>0</v>
      </c>
      <c r="J3784">
        <f>Data!D3797</f>
        <v>0</v>
      </c>
      <c r="K3784">
        <f>Data!E3797</f>
        <v>0</v>
      </c>
      <c r="L3784">
        <f>Data!F3797</f>
        <v>0</v>
      </c>
      <c r="M3784">
        <f>Data!G3797</f>
        <v>0</v>
      </c>
      <c r="N3784">
        <f>Data!H3797</f>
        <v>0</v>
      </c>
      <c r="O3784">
        <f>Data!I3797</f>
        <v>0</v>
      </c>
      <c r="P3784" s="21">
        <f>Data!J3801</f>
        <v>0</v>
      </c>
      <c r="Q3784">
        <f>Data!K3801</f>
        <v>0</v>
      </c>
      <c r="R3784">
        <f>Data!L3801</f>
        <v>0</v>
      </c>
      <c r="S3784">
        <f>Data!M3801</f>
        <v>0</v>
      </c>
      <c r="T3784">
        <f>Data!N3801</f>
        <v>0</v>
      </c>
      <c r="U3784">
        <f>Data!O3801</f>
        <v>0</v>
      </c>
      <c r="V3784" s="33">
        <f>Data!P3799</f>
        <v>0</v>
      </c>
    </row>
    <row r="3785" spans="7:22" x14ac:dyDescent="0.25">
      <c r="G3785">
        <f>Data!A3798</f>
        <v>0</v>
      </c>
      <c r="H3785" s="21">
        <f>Data!B3798</f>
        <v>0</v>
      </c>
      <c r="I3785" s="21">
        <f>Data!C3798</f>
        <v>0</v>
      </c>
      <c r="J3785">
        <f>Data!D3798</f>
        <v>0</v>
      </c>
      <c r="K3785">
        <f>Data!E3798</f>
        <v>0</v>
      </c>
      <c r="L3785">
        <f>Data!F3798</f>
        <v>0</v>
      </c>
      <c r="M3785">
        <f>Data!G3798</f>
        <v>0</v>
      </c>
      <c r="N3785">
        <f>Data!H3798</f>
        <v>0</v>
      </c>
      <c r="O3785">
        <f>Data!I3798</f>
        <v>0</v>
      </c>
      <c r="P3785" s="21">
        <f>Data!J3802</f>
        <v>0</v>
      </c>
      <c r="Q3785">
        <f>Data!K3802</f>
        <v>0</v>
      </c>
      <c r="R3785">
        <f>Data!L3802</f>
        <v>0</v>
      </c>
      <c r="S3785">
        <f>Data!M3802</f>
        <v>0</v>
      </c>
      <c r="T3785">
        <f>Data!N3802</f>
        <v>0</v>
      </c>
      <c r="U3785">
        <f>Data!O3802</f>
        <v>0</v>
      </c>
      <c r="V3785" s="33">
        <f>Data!P3800</f>
        <v>0</v>
      </c>
    </row>
    <row r="3786" spans="7:22" x14ac:dyDescent="0.25">
      <c r="G3786">
        <f>Data!A3799</f>
        <v>0</v>
      </c>
      <c r="H3786" s="21">
        <f>Data!B3799</f>
        <v>0</v>
      </c>
      <c r="I3786" s="21">
        <f>Data!C3799</f>
        <v>0</v>
      </c>
      <c r="J3786">
        <f>Data!D3799</f>
        <v>0</v>
      </c>
      <c r="K3786">
        <f>Data!E3799</f>
        <v>0</v>
      </c>
      <c r="L3786">
        <f>Data!F3799</f>
        <v>0</v>
      </c>
      <c r="M3786">
        <f>Data!G3799</f>
        <v>0</v>
      </c>
      <c r="N3786">
        <f>Data!H3799</f>
        <v>0</v>
      </c>
      <c r="O3786">
        <f>Data!I3799</f>
        <v>0</v>
      </c>
      <c r="P3786" s="21">
        <f>Data!J3803</f>
        <v>0</v>
      </c>
      <c r="Q3786">
        <f>Data!K3803</f>
        <v>0</v>
      </c>
      <c r="R3786">
        <f>Data!L3803</f>
        <v>0</v>
      </c>
      <c r="S3786">
        <f>Data!M3803</f>
        <v>0</v>
      </c>
      <c r="T3786">
        <f>Data!N3803</f>
        <v>0</v>
      </c>
      <c r="U3786">
        <f>Data!O3803</f>
        <v>0</v>
      </c>
      <c r="V3786" s="33">
        <f>Data!P3801</f>
        <v>0</v>
      </c>
    </row>
    <row r="3787" spans="7:22" x14ac:dyDescent="0.25">
      <c r="G3787">
        <f>Data!A3800</f>
        <v>0</v>
      </c>
      <c r="H3787" s="21">
        <f>Data!B3800</f>
        <v>0</v>
      </c>
      <c r="I3787" s="21">
        <f>Data!C3800</f>
        <v>0</v>
      </c>
      <c r="J3787">
        <f>Data!D3800</f>
        <v>0</v>
      </c>
      <c r="K3787">
        <f>Data!E3800</f>
        <v>0</v>
      </c>
      <c r="L3787">
        <f>Data!F3800</f>
        <v>0</v>
      </c>
      <c r="M3787">
        <f>Data!G3800</f>
        <v>0</v>
      </c>
      <c r="N3787">
        <f>Data!H3800</f>
        <v>0</v>
      </c>
      <c r="O3787">
        <f>Data!I3800</f>
        <v>0</v>
      </c>
      <c r="P3787" s="21">
        <f>Data!J3804</f>
        <v>0</v>
      </c>
      <c r="Q3787">
        <f>Data!K3804</f>
        <v>0</v>
      </c>
      <c r="R3787">
        <f>Data!L3804</f>
        <v>0</v>
      </c>
      <c r="S3787">
        <f>Data!M3804</f>
        <v>0</v>
      </c>
      <c r="T3787">
        <f>Data!N3804</f>
        <v>0</v>
      </c>
      <c r="U3787">
        <f>Data!O3804</f>
        <v>0</v>
      </c>
      <c r="V3787" s="33">
        <f>Data!P3802</f>
        <v>0</v>
      </c>
    </row>
    <row r="3788" spans="7:22" x14ac:dyDescent="0.25">
      <c r="G3788">
        <f>Data!A3801</f>
        <v>0</v>
      </c>
      <c r="H3788" s="21">
        <f>Data!B3801</f>
        <v>0</v>
      </c>
      <c r="I3788" s="21">
        <f>Data!C3801</f>
        <v>0</v>
      </c>
      <c r="J3788">
        <f>Data!D3801</f>
        <v>0</v>
      </c>
      <c r="K3788">
        <f>Data!E3801</f>
        <v>0</v>
      </c>
      <c r="L3788">
        <f>Data!F3801</f>
        <v>0</v>
      </c>
      <c r="M3788">
        <f>Data!G3801</f>
        <v>0</v>
      </c>
      <c r="N3788">
        <f>Data!H3801</f>
        <v>0</v>
      </c>
      <c r="O3788">
        <f>Data!I3801</f>
        <v>0</v>
      </c>
      <c r="P3788" s="21">
        <f>Data!J3805</f>
        <v>0</v>
      </c>
      <c r="Q3788">
        <f>Data!K3805</f>
        <v>0</v>
      </c>
      <c r="R3788">
        <f>Data!L3805</f>
        <v>0</v>
      </c>
      <c r="S3788">
        <f>Data!M3805</f>
        <v>0</v>
      </c>
      <c r="T3788">
        <f>Data!N3805</f>
        <v>0</v>
      </c>
      <c r="U3788">
        <f>Data!O3805</f>
        <v>0</v>
      </c>
      <c r="V3788" s="33">
        <f>Data!P3803</f>
        <v>0</v>
      </c>
    </row>
    <row r="3789" spans="7:22" x14ac:dyDescent="0.25">
      <c r="G3789">
        <f>Data!A3802</f>
        <v>0</v>
      </c>
      <c r="H3789" s="21">
        <f>Data!B3802</f>
        <v>0</v>
      </c>
      <c r="I3789" s="21">
        <f>Data!C3802</f>
        <v>0</v>
      </c>
      <c r="J3789">
        <f>Data!D3802</f>
        <v>0</v>
      </c>
      <c r="K3789">
        <f>Data!E3802</f>
        <v>0</v>
      </c>
      <c r="L3789">
        <f>Data!F3802</f>
        <v>0</v>
      </c>
      <c r="M3789">
        <f>Data!G3802</f>
        <v>0</v>
      </c>
      <c r="N3789">
        <f>Data!H3802</f>
        <v>0</v>
      </c>
      <c r="O3789">
        <f>Data!I3802</f>
        <v>0</v>
      </c>
      <c r="P3789" s="21">
        <f>Data!J3806</f>
        <v>0</v>
      </c>
      <c r="Q3789">
        <f>Data!K3806</f>
        <v>0</v>
      </c>
      <c r="R3789">
        <f>Data!L3806</f>
        <v>0</v>
      </c>
      <c r="S3789">
        <f>Data!M3806</f>
        <v>0</v>
      </c>
      <c r="T3789">
        <f>Data!N3806</f>
        <v>0</v>
      </c>
      <c r="U3789">
        <f>Data!O3806</f>
        <v>0</v>
      </c>
      <c r="V3789" s="33">
        <f>Data!P3804</f>
        <v>0</v>
      </c>
    </row>
    <row r="3790" spans="7:22" x14ac:dyDescent="0.25">
      <c r="G3790">
        <f>Data!A3803</f>
        <v>0</v>
      </c>
      <c r="H3790" s="21">
        <f>Data!B3803</f>
        <v>0</v>
      </c>
      <c r="I3790" s="21">
        <f>Data!C3803</f>
        <v>0</v>
      </c>
      <c r="J3790">
        <f>Data!D3803</f>
        <v>0</v>
      </c>
      <c r="K3790">
        <f>Data!E3803</f>
        <v>0</v>
      </c>
      <c r="L3790">
        <f>Data!F3803</f>
        <v>0</v>
      </c>
      <c r="M3790">
        <f>Data!G3803</f>
        <v>0</v>
      </c>
      <c r="N3790">
        <f>Data!H3803</f>
        <v>0</v>
      </c>
      <c r="O3790">
        <f>Data!I3803</f>
        <v>0</v>
      </c>
      <c r="P3790" s="21">
        <f>Data!J3807</f>
        <v>0</v>
      </c>
      <c r="Q3790">
        <f>Data!K3807</f>
        <v>0</v>
      </c>
      <c r="R3790">
        <f>Data!L3807</f>
        <v>0</v>
      </c>
      <c r="S3790">
        <f>Data!M3807</f>
        <v>0</v>
      </c>
      <c r="T3790">
        <f>Data!N3807</f>
        <v>0</v>
      </c>
      <c r="U3790">
        <f>Data!O3807</f>
        <v>0</v>
      </c>
      <c r="V3790" s="33">
        <f>Data!P3805</f>
        <v>0</v>
      </c>
    </row>
    <row r="3791" spans="7:22" x14ac:dyDescent="0.25">
      <c r="G3791">
        <f>Data!A3804</f>
        <v>0</v>
      </c>
      <c r="H3791" s="21">
        <f>Data!B3804</f>
        <v>0</v>
      </c>
      <c r="I3791" s="21">
        <f>Data!C3804</f>
        <v>0</v>
      </c>
      <c r="J3791">
        <f>Data!D3804</f>
        <v>0</v>
      </c>
      <c r="K3791">
        <f>Data!E3804</f>
        <v>0</v>
      </c>
      <c r="L3791">
        <f>Data!F3804</f>
        <v>0</v>
      </c>
      <c r="M3791">
        <f>Data!G3804</f>
        <v>0</v>
      </c>
      <c r="N3791">
        <f>Data!H3804</f>
        <v>0</v>
      </c>
      <c r="O3791">
        <f>Data!I3804</f>
        <v>0</v>
      </c>
      <c r="P3791" s="21">
        <f>Data!J3808</f>
        <v>0</v>
      </c>
      <c r="Q3791">
        <f>Data!K3808</f>
        <v>0</v>
      </c>
      <c r="R3791">
        <f>Data!L3808</f>
        <v>0</v>
      </c>
      <c r="S3791">
        <f>Data!M3808</f>
        <v>0</v>
      </c>
      <c r="T3791">
        <f>Data!N3808</f>
        <v>0</v>
      </c>
      <c r="U3791">
        <f>Data!O3808</f>
        <v>0</v>
      </c>
      <c r="V3791" s="33">
        <f>Data!P3806</f>
        <v>0</v>
      </c>
    </row>
    <row r="3792" spans="7:22" x14ac:dyDescent="0.25">
      <c r="G3792">
        <f>Data!A3805</f>
        <v>0</v>
      </c>
      <c r="H3792" s="21">
        <f>Data!B3805</f>
        <v>0</v>
      </c>
      <c r="I3792" s="21">
        <f>Data!C3805</f>
        <v>0</v>
      </c>
      <c r="J3792">
        <f>Data!D3805</f>
        <v>0</v>
      </c>
      <c r="K3792">
        <f>Data!E3805</f>
        <v>0</v>
      </c>
      <c r="L3792">
        <f>Data!F3805</f>
        <v>0</v>
      </c>
      <c r="M3792">
        <f>Data!G3805</f>
        <v>0</v>
      </c>
      <c r="N3792">
        <f>Data!H3805</f>
        <v>0</v>
      </c>
      <c r="O3792">
        <f>Data!I3805</f>
        <v>0</v>
      </c>
      <c r="P3792" s="21">
        <f>Data!J3809</f>
        <v>0</v>
      </c>
      <c r="Q3792">
        <f>Data!K3809</f>
        <v>0</v>
      </c>
      <c r="R3792">
        <f>Data!L3809</f>
        <v>0</v>
      </c>
      <c r="S3792">
        <f>Data!M3809</f>
        <v>0</v>
      </c>
      <c r="T3792">
        <f>Data!N3809</f>
        <v>0</v>
      </c>
      <c r="U3792">
        <f>Data!O3809</f>
        <v>0</v>
      </c>
      <c r="V3792" s="33">
        <f>Data!P3807</f>
        <v>0</v>
      </c>
    </row>
    <row r="3793" spans="7:22" x14ac:dyDescent="0.25">
      <c r="G3793">
        <f>Data!A3806</f>
        <v>0</v>
      </c>
      <c r="H3793" s="21">
        <f>Data!B3806</f>
        <v>0</v>
      </c>
      <c r="I3793" s="21">
        <f>Data!C3806</f>
        <v>0</v>
      </c>
      <c r="J3793">
        <f>Data!D3806</f>
        <v>0</v>
      </c>
      <c r="K3793">
        <f>Data!E3806</f>
        <v>0</v>
      </c>
      <c r="L3793">
        <f>Data!F3806</f>
        <v>0</v>
      </c>
      <c r="M3793">
        <f>Data!G3806</f>
        <v>0</v>
      </c>
      <c r="N3793">
        <f>Data!H3806</f>
        <v>0</v>
      </c>
      <c r="O3793">
        <f>Data!I3806</f>
        <v>0</v>
      </c>
      <c r="P3793" s="21">
        <f>Data!J3810</f>
        <v>0</v>
      </c>
      <c r="Q3793">
        <f>Data!K3810</f>
        <v>0</v>
      </c>
      <c r="R3793">
        <f>Data!L3810</f>
        <v>0</v>
      </c>
      <c r="S3793">
        <f>Data!M3810</f>
        <v>0</v>
      </c>
      <c r="T3793">
        <f>Data!N3810</f>
        <v>0</v>
      </c>
      <c r="U3793">
        <f>Data!O3810</f>
        <v>0</v>
      </c>
      <c r="V3793" s="33">
        <f>Data!P3808</f>
        <v>0</v>
      </c>
    </row>
    <row r="3794" spans="7:22" x14ac:dyDescent="0.25">
      <c r="G3794">
        <f>Data!A3807</f>
        <v>0</v>
      </c>
      <c r="H3794" s="21">
        <f>Data!B3807</f>
        <v>0</v>
      </c>
      <c r="I3794" s="21">
        <f>Data!C3807</f>
        <v>0</v>
      </c>
      <c r="J3794">
        <f>Data!D3807</f>
        <v>0</v>
      </c>
      <c r="K3794">
        <f>Data!E3807</f>
        <v>0</v>
      </c>
      <c r="L3794">
        <f>Data!F3807</f>
        <v>0</v>
      </c>
      <c r="M3794">
        <f>Data!G3807</f>
        <v>0</v>
      </c>
      <c r="N3794">
        <f>Data!H3807</f>
        <v>0</v>
      </c>
      <c r="O3794">
        <f>Data!I3807</f>
        <v>0</v>
      </c>
      <c r="P3794" s="21">
        <f>Data!J3811</f>
        <v>0</v>
      </c>
      <c r="Q3794">
        <f>Data!K3811</f>
        <v>0</v>
      </c>
      <c r="R3794">
        <f>Data!L3811</f>
        <v>0</v>
      </c>
      <c r="S3794">
        <f>Data!M3811</f>
        <v>0</v>
      </c>
      <c r="T3794">
        <f>Data!N3811</f>
        <v>0</v>
      </c>
      <c r="U3794">
        <f>Data!O3811</f>
        <v>0</v>
      </c>
      <c r="V3794" s="33">
        <f>Data!P3809</f>
        <v>0</v>
      </c>
    </row>
    <row r="3795" spans="7:22" x14ac:dyDescent="0.25">
      <c r="G3795">
        <f>Data!A3808</f>
        <v>0</v>
      </c>
      <c r="H3795" s="21">
        <f>Data!B3808</f>
        <v>0</v>
      </c>
      <c r="I3795" s="21">
        <f>Data!C3808</f>
        <v>0</v>
      </c>
      <c r="J3795">
        <f>Data!D3808</f>
        <v>0</v>
      </c>
      <c r="K3795">
        <f>Data!E3808</f>
        <v>0</v>
      </c>
      <c r="L3795">
        <f>Data!F3808</f>
        <v>0</v>
      </c>
      <c r="M3795">
        <f>Data!G3808</f>
        <v>0</v>
      </c>
      <c r="N3795">
        <f>Data!H3808</f>
        <v>0</v>
      </c>
      <c r="O3795">
        <f>Data!I3808</f>
        <v>0</v>
      </c>
      <c r="P3795" s="21">
        <f>Data!J3812</f>
        <v>0</v>
      </c>
      <c r="Q3795">
        <f>Data!K3812</f>
        <v>0</v>
      </c>
      <c r="R3795">
        <f>Data!L3812</f>
        <v>0</v>
      </c>
      <c r="S3795">
        <f>Data!M3812</f>
        <v>0</v>
      </c>
      <c r="T3795">
        <f>Data!N3812</f>
        <v>0</v>
      </c>
      <c r="U3795">
        <f>Data!O3812</f>
        <v>0</v>
      </c>
      <c r="V3795" s="33">
        <f>Data!P3810</f>
        <v>0</v>
      </c>
    </row>
    <row r="3796" spans="7:22" x14ac:dyDescent="0.25">
      <c r="G3796">
        <f>Data!A3809</f>
        <v>0</v>
      </c>
      <c r="H3796" s="21">
        <f>Data!B3809</f>
        <v>0</v>
      </c>
      <c r="I3796" s="21">
        <f>Data!C3809</f>
        <v>0</v>
      </c>
      <c r="J3796">
        <f>Data!D3809</f>
        <v>0</v>
      </c>
      <c r="K3796">
        <f>Data!E3809</f>
        <v>0</v>
      </c>
      <c r="L3796">
        <f>Data!F3809</f>
        <v>0</v>
      </c>
      <c r="M3796">
        <f>Data!G3809</f>
        <v>0</v>
      </c>
      <c r="N3796">
        <f>Data!H3809</f>
        <v>0</v>
      </c>
      <c r="O3796">
        <f>Data!I3809</f>
        <v>0</v>
      </c>
      <c r="P3796" s="21">
        <f>Data!J3813</f>
        <v>0</v>
      </c>
      <c r="Q3796">
        <f>Data!K3813</f>
        <v>0</v>
      </c>
      <c r="R3796">
        <f>Data!L3813</f>
        <v>0</v>
      </c>
      <c r="S3796">
        <f>Data!M3813</f>
        <v>0</v>
      </c>
      <c r="T3796">
        <f>Data!N3813</f>
        <v>0</v>
      </c>
      <c r="U3796">
        <f>Data!O3813</f>
        <v>0</v>
      </c>
      <c r="V3796" s="33">
        <f>Data!P3811</f>
        <v>0</v>
      </c>
    </row>
    <row r="3797" spans="7:22" x14ac:dyDescent="0.25">
      <c r="G3797">
        <f>Data!A3810</f>
        <v>0</v>
      </c>
      <c r="H3797" s="21">
        <f>Data!B3810</f>
        <v>0</v>
      </c>
      <c r="I3797" s="21">
        <f>Data!C3810</f>
        <v>0</v>
      </c>
      <c r="J3797">
        <f>Data!D3810</f>
        <v>0</v>
      </c>
      <c r="K3797">
        <f>Data!E3810</f>
        <v>0</v>
      </c>
      <c r="L3797">
        <f>Data!F3810</f>
        <v>0</v>
      </c>
      <c r="M3797">
        <f>Data!G3810</f>
        <v>0</v>
      </c>
      <c r="N3797">
        <f>Data!H3810</f>
        <v>0</v>
      </c>
      <c r="O3797">
        <f>Data!I3810</f>
        <v>0</v>
      </c>
      <c r="P3797" s="21">
        <f>Data!J3814</f>
        <v>0</v>
      </c>
      <c r="Q3797">
        <f>Data!K3814</f>
        <v>0</v>
      </c>
      <c r="R3797">
        <f>Data!L3814</f>
        <v>0</v>
      </c>
      <c r="S3797">
        <f>Data!M3814</f>
        <v>0</v>
      </c>
      <c r="T3797">
        <f>Data!N3814</f>
        <v>0</v>
      </c>
      <c r="U3797">
        <f>Data!O3814</f>
        <v>0</v>
      </c>
      <c r="V3797" s="33">
        <f>Data!P3812</f>
        <v>0</v>
      </c>
    </row>
    <row r="3798" spans="7:22" x14ac:dyDescent="0.25">
      <c r="G3798">
        <f>Data!A3811</f>
        <v>0</v>
      </c>
      <c r="H3798" s="21">
        <f>Data!B3811</f>
        <v>0</v>
      </c>
      <c r="I3798" s="21">
        <f>Data!C3811</f>
        <v>0</v>
      </c>
      <c r="J3798">
        <f>Data!D3811</f>
        <v>0</v>
      </c>
      <c r="K3798">
        <f>Data!E3811</f>
        <v>0</v>
      </c>
      <c r="L3798">
        <f>Data!F3811</f>
        <v>0</v>
      </c>
      <c r="M3798">
        <f>Data!G3811</f>
        <v>0</v>
      </c>
      <c r="N3798">
        <f>Data!H3811</f>
        <v>0</v>
      </c>
      <c r="O3798">
        <f>Data!I3811</f>
        <v>0</v>
      </c>
      <c r="P3798" s="21">
        <f>Data!J3815</f>
        <v>0</v>
      </c>
      <c r="Q3798">
        <f>Data!K3815</f>
        <v>0</v>
      </c>
      <c r="R3798">
        <f>Data!L3815</f>
        <v>0</v>
      </c>
      <c r="S3798">
        <f>Data!M3815</f>
        <v>0</v>
      </c>
      <c r="T3798">
        <f>Data!N3815</f>
        <v>0</v>
      </c>
      <c r="U3798">
        <f>Data!O3815</f>
        <v>0</v>
      </c>
      <c r="V3798" s="33">
        <f>Data!P3813</f>
        <v>0</v>
      </c>
    </row>
    <row r="3799" spans="7:22" x14ac:dyDescent="0.25">
      <c r="G3799">
        <f>Data!A3812</f>
        <v>0</v>
      </c>
      <c r="H3799" s="21">
        <f>Data!B3812</f>
        <v>0</v>
      </c>
      <c r="I3799" s="21">
        <f>Data!C3812</f>
        <v>0</v>
      </c>
      <c r="J3799">
        <f>Data!D3812</f>
        <v>0</v>
      </c>
      <c r="K3799">
        <f>Data!E3812</f>
        <v>0</v>
      </c>
      <c r="L3799">
        <f>Data!F3812</f>
        <v>0</v>
      </c>
      <c r="M3799">
        <f>Data!G3812</f>
        <v>0</v>
      </c>
      <c r="N3799">
        <f>Data!H3812</f>
        <v>0</v>
      </c>
      <c r="O3799">
        <f>Data!I3812</f>
        <v>0</v>
      </c>
      <c r="P3799" s="21">
        <f>Data!J3816</f>
        <v>0</v>
      </c>
      <c r="Q3799">
        <f>Data!K3816</f>
        <v>0</v>
      </c>
      <c r="R3799">
        <f>Data!L3816</f>
        <v>0</v>
      </c>
      <c r="S3799">
        <f>Data!M3816</f>
        <v>0</v>
      </c>
      <c r="T3799">
        <f>Data!N3816</f>
        <v>0</v>
      </c>
      <c r="U3799">
        <f>Data!O3816</f>
        <v>0</v>
      </c>
      <c r="V3799" s="33">
        <f>Data!P3814</f>
        <v>0</v>
      </c>
    </row>
    <row r="3800" spans="7:22" x14ac:dyDescent="0.25">
      <c r="G3800">
        <f>Data!A3813</f>
        <v>0</v>
      </c>
      <c r="H3800" s="21">
        <f>Data!B3813</f>
        <v>0</v>
      </c>
      <c r="I3800" s="21">
        <f>Data!C3813</f>
        <v>0</v>
      </c>
      <c r="J3800">
        <f>Data!D3813</f>
        <v>0</v>
      </c>
      <c r="K3800">
        <f>Data!E3813</f>
        <v>0</v>
      </c>
      <c r="L3800">
        <f>Data!F3813</f>
        <v>0</v>
      </c>
      <c r="M3800">
        <f>Data!G3813</f>
        <v>0</v>
      </c>
      <c r="N3800">
        <f>Data!H3813</f>
        <v>0</v>
      </c>
      <c r="O3800">
        <f>Data!I3813</f>
        <v>0</v>
      </c>
      <c r="P3800" s="21">
        <f>Data!J3817</f>
        <v>0</v>
      </c>
      <c r="Q3800">
        <f>Data!K3817</f>
        <v>0</v>
      </c>
      <c r="R3800">
        <f>Data!L3817</f>
        <v>0</v>
      </c>
      <c r="S3800">
        <f>Data!M3817</f>
        <v>0</v>
      </c>
      <c r="T3800">
        <f>Data!N3817</f>
        <v>0</v>
      </c>
      <c r="U3800">
        <f>Data!O3817</f>
        <v>0</v>
      </c>
      <c r="V3800" s="33">
        <f>Data!P3815</f>
        <v>0</v>
      </c>
    </row>
    <row r="3801" spans="7:22" x14ac:dyDescent="0.25">
      <c r="G3801">
        <f>Data!A3814</f>
        <v>0</v>
      </c>
      <c r="H3801" s="21">
        <f>Data!B3814</f>
        <v>0</v>
      </c>
      <c r="I3801" s="21">
        <f>Data!C3814</f>
        <v>0</v>
      </c>
      <c r="J3801">
        <f>Data!D3814</f>
        <v>0</v>
      </c>
      <c r="K3801">
        <f>Data!E3814</f>
        <v>0</v>
      </c>
      <c r="L3801">
        <f>Data!F3814</f>
        <v>0</v>
      </c>
      <c r="M3801">
        <f>Data!G3814</f>
        <v>0</v>
      </c>
      <c r="N3801">
        <f>Data!H3814</f>
        <v>0</v>
      </c>
      <c r="O3801">
        <f>Data!I3814</f>
        <v>0</v>
      </c>
      <c r="P3801" s="21">
        <f>Data!J3818</f>
        <v>0</v>
      </c>
      <c r="Q3801">
        <f>Data!K3818</f>
        <v>0</v>
      </c>
      <c r="R3801">
        <f>Data!L3818</f>
        <v>0</v>
      </c>
      <c r="S3801">
        <f>Data!M3818</f>
        <v>0</v>
      </c>
      <c r="T3801">
        <f>Data!N3818</f>
        <v>0</v>
      </c>
      <c r="U3801">
        <f>Data!O3818</f>
        <v>0</v>
      </c>
      <c r="V3801" s="33">
        <f>Data!P3816</f>
        <v>0</v>
      </c>
    </row>
    <row r="3802" spans="7:22" x14ac:dyDescent="0.25">
      <c r="G3802">
        <f>Data!A3815</f>
        <v>0</v>
      </c>
      <c r="H3802" s="21">
        <f>Data!B3815</f>
        <v>0</v>
      </c>
      <c r="I3802" s="21">
        <f>Data!C3815</f>
        <v>0</v>
      </c>
      <c r="J3802">
        <f>Data!D3815</f>
        <v>0</v>
      </c>
      <c r="K3802">
        <f>Data!E3815</f>
        <v>0</v>
      </c>
      <c r="L3802">
        <f>Data!F3815</f>
        <v>0</v>
      </c>
      <c r="M3802">
        <f>Data!G3815</f>
        <v>0</v>
      </c>
      <c r="N3802">
        <f>Data!H3815</f>
        <v>0</v>
      </c>
      <c r="O3802">
        <f>Data!I3815</f>
        <v>0</v>
      </c>
      <c r="P3802" s="21">
        <f>Data!J3819</f>
        <v>0</v>
      </c>
      <c r="Q3802">
        <f>Data!K3819</f>
        <v>0</v>
      </c>
      <c r="R3802">
        <f>Data!L3819</f>
        <v>0</v>
      </c>
      <c r="S3802">
        <f>Data!M3819</f>
        <v>0</v>
      </c>
      <c r="T3802">
        <f>Data!N3819</f>
        <v>0</v>
      </c>
      <c r="U3802">
        <f>Data!O3819</f>
        <v>0</v>
      </c>
      <c r="V3802" s="33">
        <f>Data!P3817</f>
        <v>0</v>
      </c>
    </row>
    <row r="3803" spans="7:22" x14ac:dyDescent="0.25">
      <c r="G3803">
        <f>Data!A3816</f>
        <v>0</v>
      </c>
      <c r="H3803" s="21">
        <f>Data!B3816</f>
        <v>0</v>
      </c>
      <c r="I3803" s="21">
        <f>Data!C3816</f>
        <v>0</v>
      </c>
      <c r="J3803">
        <f>Data!D3816</f>
        <v>0</v>
      </c>
      <c r="K3803">
        <f>Data!E3816</f>
        <v>0</v>
      </c>
      <c r="L3803">
        <f>Data!F3816</f>
        <v>0</v>
      </c>
      <c r="M3803">
        <f>Data!G3816</f>
        <v>0</v>
      </c>
      <c r="N3803">
        <f>Data!H3816</f>
        <v>0</v>
      </c>
      <c r="O3803">
        <f>Data!I3816</f>
        <v>0</v>
      </c>
      <c r="P3803" s="21">
        <f>Data!J3820</f>
        <v>0</v>
      </c>
      <c r="Q3803">
        <f>Data!K3820</f>
        <v>0</v>
      </c>
      <c r="R3803">
        <f>Data!L3820</f>
        <v>0</v>
      </c>
      <c r="S3803">
        <f>Data!M3820</f>
        <v>0</v>
      </c>
      <c r="T3803">
        <f>Data!N3820</f>
        <v>0</v>
      </c>
      <c r="U3803">
        <f>Data!O3820</f>
        <v>0</v>
      </c>
      <c r="V3803" s="33">
        <f>Data!P3818</f>
        <v>0</v>
      </c>
    </row>
    <row r="3804" spans="7:22" x14ac:dyDescent="0.25">
      <c r="G3804">
        <f>Data!A3817</f>
        <v>0</v>
      </c>
      <c r="H3804" s="21">
        <f>Data!B3817</f>
        <v>0</v>
      </c>
      <c r="I3804" s="21">
        <f>Data!C3817</f>
        <v>0</v>
      </c>
      <c r="J3804">
        <f>Data!D3817</f>
        <v>0</v>
      </c>
      <c r="K3804">
        <f>Data!E3817</f>
        <v>0</v>
      </c>
      <c r="L3804">
        <f>Data!F3817</f>
        <v>0</v>
      </c>
      <c r="M3804">
        <f>Data!G3817</f>
        <v>0</v>
      </c>
      <c r="N3804">
        <f>Data!H3817</f>
        <v>0</v>
      </c>
      <c r="O3804">
        <f>Data!I3817</f>
        <v>0</v>
      </c>
      <c r="P3804" s="21">
        <f>Data!J3821</f>
        <v>0</v>
      </c>
      <c r="Q3804">
        <f>Data!K3821</f>
        <v>0</v>
      </c>
      <c r="R3804">
        <f>Data!L3821</f>
        <v>0</v>
      </c>
      <c r="S3804">
        <f>Data!M3821</f>
        <v>0</v>
      </c>
      <c r="T3804">
        <f>Data!N3821</f>
        <v>0</v>
      </c>
      <c r="U3804">
        <f>Data!O3821</f>
        <v>0</v>
      </c>
      <c r="V3804" s="33">
        <f>Data!P3819</f>
        <v>0</v>
      </c>
    </row>
    <row r="3805" spans="7:22" x14ac:dyDescent="0.25">
      <c r="G3805">
        <f>Data!A3818</f>
        <v>0</v>
      </c>
      <c r="H3805" s="21">
        <f>Data!B3818</f>
        <v>0</v>
      </c>
      <c r="I3805" s="21">
        <f>Data!C3818</f>
        <v>0</v>
      </c>
      <c r="J3805">
        <f>Data!D3818</f>
        <v>0</v>
      </c>
      <c r="K3805">
        <f>Data!E3818</f>
        <v>0</v>
      </c>
      <c r="L3805">
        <f>Data!F3818</f>
        <v>0</v>
      </c>
      <c r="M3805">
        <f>Data!G3818</f>
        <v>0</v>
      </c>
      <c r="N3805">
        <f>Data!H3818</f>
        <v>0</v>
      </c>
      <c r="O3805">
        <f>Data!I3818</f>
        <v>0</v>
      </c>
      <c r="P3805" s="21">
        <f>Data!J3822</f>
        <v>0</v>
      </c>
      <c r="Q3805">
        <f>Data!K3822</f>
        <v>0</v>
      </c>
      <c r="R3805">
        <f>Data!L3822</f>
        <v>0</v>
      </c>
      <c r="S3805">
        <f>Data!M3822</f>
        <v>0</v>
      </c>
      <c r="T3805">
        <f>Data!N3822</f>
        <v>0</v>
      </c>
      <c r="U3805">
        <f>Data!O3822</f>
        <v>0</v>
      </c>
      <c r="V3805" s="33">
        <f>Data!P3820</f>
        <v>0</v>
      </c>
    </row>
    <row r="3806" spans="7:22" x14ac:dyDescent="0.25">
      <c r="G3806">
        <f>Data!A3819</f>
        <v>0</v>
      </c>
      <c r="H3806" s="21">
        <f>Data!B3819</f>
        <v>0</v>
      </c>
      <c r="I3806" s="21">
        <f>Data!C3819</f>
        <v>0</v>
      </c>
      <c r="J3806">
        <f>Data!D3819</f>
        <v>0</v>
      </c>
      <c r="K3806">
        <f>Data!E3819</f>
        <v>0</v>
      </c>
      <c r="L3806">
        <f>Data!F3819</f>
        <v>0</v>
      </c>
      <c r="M3806">
        <f>Data!G3819</f>
        <v>0</v>
      </c>
      <c r="N3806">
        <f>Data!H3819</f>
        <v>0</v>
      </c>
      <c r="O3806">
        <f>Data!I3819</f>
        <v>0</v>
      </c>
      <c r="P3806" s="21">
        <f>Data!J3823</f>
        <v>0</v>
      </c>
      <c r="Q3806">
        <f>Data!K3823</f>
        <v>0</v>
      </c>
      <c r="R3806">
        <f>Data!L3823</f>
        <v>0</v>
      </c>
      <c r="S3806">
        <f>Data!M3823</f>
        <v>0</v>
      </c>
      <c r="T3806">
        <f>Data!N3823</f>
        <v>0</v>
      </c>
      <c r="U3806">
        <f>Data!O3823</f>
        <v>0</v>
      </c>
      <c r="V3806" s="33">
        <f>Data!P3821</f>
        <v>0</v>
      </c>
    </row>
    <row r="3807" spans="7:22" x14ac:dyDescent="0.25">
      <c r="G3807">
        <f>Data!A3820</f>
        <v>0</v>
      </c>
      <c r="H3807" s="21">
        <f>Data!B3820</f>
        <v>0</v>
      </c>
      <c r="I3807" s="21">
        <f>Data!C3820</f>
        <v>0</v>
      </c>
      <c r="J3807">
        <f>Data!D3820</f>
        <v>0</v>
      </c>
      <c r="K3807">
        <f>Data!E3820</f>
        <v>0</v>
      </c>
      <c r="L3807">
        <f>Data!F3820</f>
        <v>0</v>
      </c>
      <c r="M3807">
        <f>Data!G3820</f>
        <v>0</v>
      </c>
      <c r="N3807">
        <f>Data!H3820</f>
        <v>0</v>
      </c>
      <c r="O3807">
        <f>Data!I3820</f>
        <v>0</v>
      </c>
      <c r="P3807" s="21">
        <f>Data!J3824</f>
        <v>0</v>
      </c>
      <c r="Q3807">
        <f>Data!K3824</f>
        <v>0</v>
      </c>
      <c r="R3807">
        <f>Data!L3824</f>
        <v>0</v>
      </c>
      <c r="S3807">
        <f>Data!M3824</f>
        <v>0</v>
      </c>
      <c r="T3807">
        <f>Data!N3824</f>
        <v>0</v>
      </c>
      <c r="U3807">
        <f>Data!O3824</f>
        <v>0</v>
      </c>
      <c r="V3807" s="33">
        <f>Data!P3822</f>
        <v>0</v>
      </c>
    </row>
    <row r="3808" spans="7:22" x14ac:dyDescent="0.25">
      <c r="G3808">
        <f>Data!A3821</f>
        <v>0</v>
      </c>
      <c r="H3808" s="21">
        <f>Data!B3821</f>
        <v>0</v>
      </c>
      <c r="I3808" s="21">
        <f>Data!C3821</f>
        <v>0</v>
      </c>
      <c r="J3808">
        <f>Data!D3821</f>
        <v>0</v>
      </c>
      <c r="K3808">
        <f>Data!E3821</f>
        <v>0</v>
      </c>
      <c r="L3808">
        <f>Data!F3821</f>
        <v>0</v>
      </c>
      <c r="M3808">
        <f>Data!G3821</f>
        <v>0</v>
      </c>
      <c r="N3808">
        <f>Data!H3821</f>
        <v>0</v>
      </c>
      <c r="O3808">
        <f>Data!I3821</f>
        <v>0</v>
      </c>
      <c r="P3808" s="21">
        <f>Data!J3825</f>
        <v>0</v>
      </c>
      <c r="Q3808">
        <f>Data!K3825</f>
        <v>0</v>
      </c>
      <c r="R3808">
        <f>Data!L3825</f>
        <v>0</v>
      </c>
      <c r="S3808">
        <f>Data!M3825</f>
        <v>0</v>
      </c>
      <c r="T3808">
        <f>Data!N3825</f>
        <v>0</v>
      </c>
      <c r="U3808">
        <f>Data!O3825</f>
        <v>0</v>
      </c>
      <c r="V3808" s="33">
        <f>Data!P3823</f>
        <v>0</v>
      </c>
    </row>
    <row r="3809" spans="7:22" x14ac:dyDescent="0.25">
      <c r="G3809">
        <f>Data!A3822</f>
        <v>0</v>
      </c>
      <c r="H3809" s="21">
        <f>Data!B3822</f>
        <v>0</v>
      </c>
      <c r="I3809" s="21">
        <f>Data!C3822</f>
        <v>0</v>
      </c>
      <c r="J3809">
        <f>Data!D3822</f>
        <v>0</v>
      </c>
      <c r="K3809">
        <f>Data!E3822</f>
        <v>0</v>
      </c>
      <c r="L3809">
        <f>Data!F3822</f>
        <v>0</v>
      </c>
      <c r="M3809">
        <f>Data!G3822</f>
        <v>0</v>
      </c>
      <c r="N3809">
        <f>Data!H3822</f>
        <v>0</v>
      </c>
      <c r="O3809">
        <f>Data!I3822</f>
        <v>0</v>
      </c>
      <c r="P3809" s="21">
        <f>Data!J3826</f>
        <v>0</v>
      </c>
      <c r="Q3809">
        <f>Data!K3826</f>
        <v>0</v>
      </c>
      <c r="R3809">
        <f>Data!L3826</f>
        <v>0</v>
      </c>
      <c r="S3809">
        <f>Data!M3826</f>
        <v>0</v>
      </c>
      <c r="T3809">
        <f>Data!N3826</f>
        <v>0</v>
      </c>
      <c r="U3809">
        <f>Data!O3826</f>
        <v>0</v>
      </c>
      <c r="V3809" s="33">
        <f>Data!P3824</f>
        <v>0</v>
      </c>
    </row>
    <row r="3810" spans="7:22" x14ac:dyDescent="0.25">
      <c r="G3810">
        <f>Data!A3823</f>
        <v>0</v>
      </c>
      <c r="H3810" s="21">
        <f>Data!B3823</f>
        <v>0</v>
      </c>
      <c r="I3810" s="21">
        <f>Data!C3823</f>
        <v>0</v>
      </c>
      <c r="J3810">
        <f>Data!D3823</f>
        <v>0</v>
      </c>
      <c r="K3810">
        <f>Data!E3823</f>
        <v>0</v>
      </c>
      <c r="L3810">
        <f>Data!F3823</f>
        <v>0</v>
      </c>
      <c r="M3810">
        <f>Data!G3823</f>
        <v>0</v>
      </c>
      <c r="N3810">
        <f>Data!H3823</f>
        <v>0</v>
      </c>
      <c r="O3810">
        <f>Data!I3823</f>
        <v>0</v>
      </c>
      <c r="P3810" s="21">
        <f>Data!J3827</f>
        <v>0</v>
      </c>
      <c r="Q3810">
        <f>Data!K3827</f>
        <v>0</v>
      </c>
      <c r="R3810">
        <f>Data!L3827</f>
        <v>0</v>
      </c>
      <c r="S3810">
        <f>Data!M3827</f>
        <v>0</v>
      </c>
      <c r="T3810">
        <f>Data!N3827</f>
        <v>0</v>
      </c>
      <c r="U3810">
        <f>Data!O3827</f>
        <v>0</v>
      </c>
      <c r="V3810" s="33">
        <f>Data!P3825</f>
        <v>0</v>
      </c>
    </row>
    <row r="3811" spans="7:22" x14ac:dyDescent="0.25">
      <c r="G3811">
        <f>Data!A3824</f>
        <v>0</v>
      </c>
      <c r="H3811" s="21">
        <f>Data!B3824</f>
        <v>0</v>
      </c>
      <c r="I3811" s="21">
        <f>Data!C3824</f>
        <v>0</v>
      </c>
      <c r="J3811">
        <f>Data!D3824</f>
        <v>0</v>
      </c>
      <c r="K3811">
        <f>Data!E3824</f>
        <v>0</v>
      </c>
      <c r="L3811">
        <f>Data!F3824</f>
        <v>0</v>
      </c>
      <c r="M3811">
        <f>Data!G3824</f>
        <v>0</v>
      </c>
      <c r="N3811">
        <f>Data!H3824</f>
        <v>0</v>
      </c>
      <c r="O3811">
        <f>Data!I3824</f>
        <v>0</v>
      </c>
      <c r="P3811" s="21">
        <f>Data!J3828</f>
        <v>0</v>
      </c>
      <c r="Q3811">
        <f>Data!K3828</f>
        <v>0</v>
      </c>
      <c r="R3811">
        <f>Data!L3828</f>
        <v>0</v>
      </c>
      <c r="S3811">
        <f>Data!M3828</f>
        <v>0</v>
      </c>
      <c r="T3811">
        <f>Data!N3828</f>
        <v>0</v>
      </c>
      <c r="U3811">
        <f>Data!O3828</f>
        <v>0</v>
      </c>
      <c r="V3811" s="33">
        <f>Data!P3826</f>
        <v>0</v>
      </c>
    </row>
    <row r="3812" spans="7:22" x14ac:dyDescent="0.25">
      <c r="G3812">
        <f>Data!A3825</f>
        <v>0</v>
      </c>
      <c r="H3812" s="21">
        <f>Data!B3825</f>
        <v>0</v>
      </c>
      <c r="I3812" s="21">
        <f>Data!C3825</f>
        <v>0</v>
      </c>
      <c r="J3812">
        <f>Data!D3825</f>
        <v>0</v>
      </c>
      <c r="K3812">
        <f>Data!E3825</f>
        <v>0</v>
      </c>
      <c r="L3812">
        <f>Data!F3825</f>
        <v>0</v>
      </c>
      <c r="M3812">
        <f>Data!G3825</f>
        <v>0</v>
      </c>
      <c r="N3812">
        <f>Data!H3825</f>
        <v>0</v>
      </c>
      <c r="O3812">
        <f>Data!I3825</f>
        <v>0</v>
      </c>
      <c r="P3812" s="21">
        <f>Data!J3829</f>
        <v>0</v>
      </c>
      <c r="Q3812">
        <f>Data!K3829</f>
        <v>0</v>
      </c>
      <c r="R3812">
        <f>Data!L3829</f>
        <v>0</v>
      </c>
      <c r="S3812">
        <f>Data!M3829</f>
        <v>0</v>
      </c>
      <c r="T3812">
        <f>Data!N3829</f>
        <v>0</v>
      </c>
      <c r="U3812">
        <f>Data!O3829</f>
        <v>0</v>
      </c>
      <c r="V3812" s="33">
        <f>Data!P3827</f>
        <v>0</v>
      </c>
    </row>
    <row r="3813" spans="7:22" x14ac:dyDescent="0.25">
      <c r="G3813">
        <f>Data!A3826</f>
        <v>0</v>
      </c>
      <c r="H3813" s="21">
        <f>Data!B3826</f>
        <v>0</v>
      </c>
      <c r="I3813" s="21">
        <f>Data!C3826</f>
        <v>0</v>
      </c>
      <c r="J3813">
        <f>Data!D3826</f>
        <v>0</v>
      </c>
      <c r="K3813">
        <f>Data!E3826</f>
        <v>0</v>
      </c>
      <c r="L3813">
        <f>Data!F3826</f>
        <v>0</v>
      </c>
      <c r="M3813">
        <f>Data!G3826</f>
        <v>0</v>
      </c>
      <c r="N3813">
        <f>Data!H3826</f>
        <v>0</v>
      </c>
      <c r="O3813">
        <f>Data!I3826</f>
        <v>0</v>
      </c>
      <c r="P3813" s="21">
        <f>Data!J3830</f>
        <v>0</v>
      </c>
      <c r="Q3813">
        <f>Data!K3830</f>
        <v>0</v>
      </c>
      <c r="R3813">
        <f>Data!L3830</f>
        <v>0</v>
      </c>
      <c r="S3813">
        <f>Data!M3830</f>
        <v>0</v>
      </c>
      <c r="T3813">
        <f>Data!N3830</f>
        <v>0</v>
      </c>
      <c r="U3813">
        <f>Data!O3830</f>
        <v>0</v>
      </c>
      <c r="V3813" s="33">
        <f>Data!P3828</f>
        <v>0</v>
      </c>
    </row>
    <row r="3814" spans="7:22" x14ac:dyDescent="0.25">
      <c r="G3814">
        <f>Data!A3827</f>
        <v>0</v>
      </c>
      <c r="H3814" s="21">
        <f>Data!B3827</f>
        <v>0</v>
      </c>
      <c r="I3814" s="21">
        <f>Data!C3827</f>
        <v>0</v>
      </c>
      <c r="J3814">
        <f>Data!D3827</f>
        <v>0</v>
      </c>
      <c r="K3814">
        <f>Data!E3827</f>
        <v>0</v>
      </c>
      <c r="L3814">
        <f>Data!F3827</f>
        <v>0</v>
      </c>
      <c r="M3814">
        <f>Data!G3827</f>
        <v>0</v>
      </c>
      <c r="N3814">
        <f>Data!H3827</f>
        <v>0</v>
      </c>
      <c r="O3814">
        <f>Data!I3827</f>
        <v>0</v>
      </c>
      <c r="P3814" s="21">
        <f>Data!J3831</f>
        <v>0</v>
      </c>
      <c r="Q3814">
        <f>Data!K3831</f>
        <v>0</v>
      </c>
      <c r="R3814">
        <f>Data!L3831</f>
        <v>0</v>
      </c>
      <c r="S3814">
        <f>Data!M3831</f>
        <v>0</v>
      </c>
      <c r="T3814">
        <f>Data!N3831</f>
        <v>0</v>
      </c>
      <c r="U3814">
        <f>Data!O3831</f>
        <v>0</v>
      </c>
      <c r="V3814" s="33">
        <f>Data!P3829</f>
        <v>0</v>
      </c>
    </row>
    <row r="3815" spans="7:22" x14ac:dyDescent="0.25">
      <c r="G3815">
        <f>Data!A3828</f>
        <v>0</v>
      </c>
      <c r="H3815" s="21">
        <f>Data!B3828</f>
        <v>0</v>
      </c>
      <c r="I3815" s="21">
        <f>Data!C3828</f>
        <v>0</v>
      </c>
      <c r="J3815">
        <f>Data!D3828</f>
        <v>0</v>
      </c>
      <c r="K3815">
        <f>Data!E3828</f>
        <v>0</v>
      </c>
      <c r="L3815">
        <f>Data!F3828</f>
        <v>0</v>
      </c>
      <c r="M3815">
        <f>Data!G3828</f>
        <v>0</v>
      </c>
      <c r="N3815">
        <f>Data!H3828</f>
        <v>0</v>
      </c>
      <c r="O3815">
        <f>Data!I3828</f>
        <v>0</v>
      </c>
      <c r="P3815" s="21">
        <f>Data!J3832</f>
        <v>0</v>
      </c>
      <c r="Q3815">
        <f>Data!K3832</f>
        <v>0</v>
      </c>
      <c r="R3815">
        <f>Data!L3832</f>
        <v>0</v>
      </c>
      <c r="S3815">
        <f>Data!M3832</f>
        <v>0</v>
      </c>
      <c r="T3815">
        <f>Data!N3832</f>
        <v>0</v>
      </c>
      <c r="U3815">
        <f>Data!O3832</f>
        <v>0</v>
      </c>
      <c r="V3815" s="33">
        <f>Data!P3830</f>
        <v>0</v>
      </c>
    </row>
    <row r="3816" spans="7:22" x14ac:dyDescent="0.25">
      <c r="G3816">
        <f>Data!A3829</f>
        <v>0</v>
      </c>
      <c r="H3816" s="21">
        <f>Data!B3829</f>
        <v>0</v>
      </c>
      <c r="I3816" s="21">
        <f>Data!C3829</f>
        <v>0</v>
      </c>
      <c r="J3816">
        <f>Data!D3829</f>
        <v>0</v>
      </c>
      <c r="K3816">
        <f>Data!E3829</f>
        <v>0</v>
      </c>
      <c r="L3816">
        <f>Data!F3829</f>
        <v>0</v>
      </c>
      <c r="M3816">
        <f>Data!G3829</f>
        <v>0</v>
      </c>
      <c r="N3816">
        <f>Data!H3829</f>
        <v>0</v>
      </c>
      <c r="O3816">
        <f>Data!I3829</f>
        <v>0</v>
      </c>
      <c r="P3816" s="21">
        <f>Data!J3833</f>
        <v>0</v>
      </c>
      <c r="Q3816">
        <f>Data!K3833</f>
        <v>0</v>
      </c>
      <c r="R3816">
        <f>Data!L3833</f>
        <v>0</v>
      </c>
      <c r="S3816">
        <f>Data!M3833</f>
        <v>0</v>
      </c>
      <c r="T3816">
        <f>Data!N3833</f>
        <v>0</v>
      </c>
      <c r="U3816">
        <f>Data!O3833</f>
        <v>0</v>
      </c>
      <c r="V3816" s="33">
        <f>Data!P3831</f>
        <v>0</v>
      </c>
    </row>
    <row r="3817" spans="7:22" x14ac:dyDescent="0.25">
      <c r="G3817">
        <f>Data!A3830</f>
        <v>0</v>
      </c>
      <c r="H3817" s="21">
        <f>Data!B3830</f>
        <v>0</v>
      </c>
      <c r="I3817" s="21">
        <f>Data!C3830</f>
        <v>0</v>
      </c>
      <c r="J3817">
        <f>Data!D3830</f>
        <v>0</v>
      </c>
      <c r="K3817">
        <f>Data!E3830</f>
        <v>0</v>
      </c>
      <c r="L3817">
        <f>Data!F3830</f>
        <v>0</v>
      </c>
      <c r="M3817">
        <f>Data!G3830</f>
        <v>0</v>
      </c>
      <c r="N3817">
        <f>Data!H3830</f>
        <v>0</v>
      </c>
      <c r="O3817">
        <f>Data!I3830</f>
        <v>0</v>
      </c>
      <c r="P3817" s="21">
        <f>Data!J3834</f>
        <v>0</v>
      </c>
      <c r="Q3817">
        <f>Data!K3834</f>
        <v>0</v>
      </c>
      <c r="R3817">
        <f>Data!L3834</f>
        <v>0</v>
      </c>
      <c r="S3817">
        <f>Data!M3834</f>
        <v>0</v>
      </c>
      <c r="T3817">
        <f>Data!N3834</f>
        <v>0</v>
      </c>
      <c r="U3817">
        <f>Data!O3834</f>
        <v>0</v>
      </c>
      <c r="V3817" s="33">
        <f>Data!P3832</f>
        <v>0</v>
      </c>
    </row>
    <row r="3818" spans="7:22" x14ac:dyDescent="0.25">
      <c r="G3818">
        <f>Data!A3831</f>
        <v>0</v>
      </c>
      <c r="H3818" s="21">
        <f>Data!B3831</f>
        <v>0</v>
      </c>
      <c r="I3818" s="21">
        <f>Data!C3831</f>
        <v>0</v>
      </c>
      <c r="J3818">
        <f>Data!D3831</f>
        <v>0</v>
      </c>
      <c r="K3818">
        <f>Data!E3831</f>
        <v>0</v>
      </c>
      <c r="L3818">
        <f>Data!F3831</f>
        <v>0</v>
      </c>
      <c r="M3818">
        <f>Data!G3831</f>
        <v>0</v>
      </c>
      <c r="N3818">
        <f>Data!H3831</f>
        <v>0</v>
      </c>
      <c r="O3818">
        <f>Data!I3831</f>
        <v>0</v>
      </c>
      <c r="P3818" s="21">
        <f>Data!J3835</f>
        <v>0</v>
      </c>
      <c r="Q3818">
        <f>Data!K3835</f>
        <v>0</v>
      </c>
      <c r="R3818">
        <f>Data!L3835</f>
        <v>0</v>
      </c>
      <c r="S3818">
        <f>Data!M3835</f>
        <v>0</v>
      </c>
      <c r="T3818">
        <f>Data!N3835</f>
        <v>0</v>
      </c>
      <c r="U3818">
        <f>Data!O3835</f>
        <v>0</v>
      </c>
      <c r="V3818" s="33">
        <f>Data!P3833</f>
        <v>0</v>
      </c>
    </row>
    <row r="3819" spans="7:22" x14ac:dyDescent="0.25">
      <c r="G3819">
        <f>Data!A3832</f>
        <v>0</v>
      </c>
      <c r="H3819" s="21">
        <f>Data!B3832</f>
        <v>0</v>
      </c>
      <c r="I3819" s="21">
        <f>Data!C3832</f>
        <v>0</v>
      </c>
      <c r="J3819">
        <f>Data!D3832</f>
        <v>0</v>
      </c>
      <c r="K3819">
        <f>Data!E3832</f>
        <v>0</v>
      </c>
      <c r="L3819">
        <f>Data!F3832</f>
        <v>0</v>
      </c>
      <c r="M3819">
        <f>Data!G3832</f>
        <v>0</v>
      </c>
      <c r="N3819">
        <f>Data!H3832</f>
        <v>0</v>
      </c>
      <c r="O3819">
        <f>Data!I3832</f>
        <v>0</v>
      </c>
      <c r="P3819" s="21">
        <f>Data!J3836</f>
        <v>0</v>
      </c>
      <c r="Q3819">
        <f>Data!K3836</f>
        <v>0</v>
      </c>
      <c r="R3819">
        <f>Data!L3836</f>
        <v>0</v>
      </c>
      <c r="S3819">
        <f>Data!M3836</f>
        <v>0</v>
      </c>
      <c r="T3819">
        <f>Data!N3836</f>
        <v>0</v>
      </c>
      <c r="U3819">
        <f>Data!O3836</f>
        <v>0</v>
      </c>
      <c r="V3819" s="33">
        <f>Data!P3834</f>
        <v>0</v>
      </c>
    </row>
    <row r="3820" spans="7:22" x14ac:dyDescent="0.25">
      <c r="G3820">
        <f>Data!A3833</f>
        <v>0</v>
      </c>
      <c r="H3820" s="21">
        <f>Data!B3833</f>
        <v>0</v>
      </c>
      <c r="I3820" s="21">
        <f>Data!C3833</f>
        <v>0</v>
      </c>
      <c r="J3820">
        <f>Data!D3833</f>
        <v>0</v>
      </c>
      <c r="K3820">
        <f>Data!E3833</f>
        <v>0</v>
      </c>
      <c r="L3820">
        <f>Data!F3833</f>
        <v>0</v>
      </c>
      <c r="M3820">
        <f>Data!G3833</f>
        <v>0</v>
      </c>
      <c r="N3820">
        <f>Data!H3833</f>
        <v>0</v>
      </c>
      <c r="O3820">
        <f>Data!I3833</f>
        <v>0</v>
      </c>
      <c r="P3820" s="21">
        <f>Data!J3837</f>
        <v>0</v>
      </c>
      <c r="Q3820">
        <f>Data!K3837</f>
        <v>0</v>
      </c>
      <c r="R3820">
        <f>Data!L3837</f>
        <v>0</v>
      </c>
      <c r="S3820">
        <f>Data!M3837</f>
        <v>0</v>
      </c>
      <c r="T3820">
        <f>Data!N3837</f>
        <v>0</v>
      </c>
      <c r="U3820">
        <f>Data!O3837</f>
        <v>0</v>
      </c>
      <c r="V3820" s="33">
        <f>Data!P3835</f>
        <v>0</v>
      </c>
    </row>
    <row r="3821" spans="7:22" x14ac:dyDescent="0.25">
      <c r="G3821">
        <f>Data!A3834</f>
        <v>0</v>
      </c>
      <c r="H3821" s="21">
        <f>Data!B3834</f>
        <v>0</v>
      </c>
      <c r="I3821" s="21">
        <f>Data!C3834</f>
        <v>0</v>
      </c>
      <c r="J3821">
        <f>Data!D3834</f>
        <v>0</v>
      </c>
      <c r="K3821">
        <f>Data!E3834</f>
        <v>0</v>
      </c>
      <c r="L3821">
        <f>Data!F3834</f>
        <v>0</v>
      </c>
      <c r="M3821">
        <f>Data!G3834</f>
        <v>0</v>
      </c>
      <c r="N3821">
        <f>Data!H3834</f>
        <v>0</v>
      </c>
      <c r="O3821">
        <f>Data!I3834</f>
        <v>0</v>
      </c>
      <c r="P3821" s="21">
        <f>Data!J3838</f>
        <v>0</v>
      </c>
      <c r="Q3821">
        <f>Data!K3838</f>
        <v>0</v>
      </c>
      <c r="R3821">
        <f>Data!L3838</f>
        <v>0</v>
      </c>
      <c r="S3821">
        <f>Data!M3838</f>
        <v>0</v>
      </c>
      <c r="T3821">
        <f>Data!N3838</f>
        <v>0</v>
      </c>
      <c r="U3821">
        <f>Data!O3838</f>
        <v>0</v>
      </c>
      <c r="V3821" s="33">
        <f>Data!P3836</f>
        <v>0</v>
      </c>
    </row>
    <row r="3822" spans="7:22" x14ac:dyDescent="0.25">
      <c r="G3822">
        <f>Data!A3835</f>
        <v>0</v>
      </c>
      <c r="H3822" s="21">
        <f>Data!B3835</f>
        <v>0</v>
      </c>
      <c r="I3822" s="21">
        <f>Data!C3835</f>
        <v>0</v>
      </c>
      <c r="J3822">
        <f>Data!D3835</f>
        <v>0</v>
      </c>
      <c r="K3822">
        <f>Data!E3835</f>
        <v>0</v>
      </c>
      <c r="L3822">
        <f>Data!F3835</f>
        <v>0</v>
      </c>
      <c r="M3822">
        <f>Data!G3835</f>
        <v>0</v>
      </c>
      <c r="N3822">
        <f>Data!H3835</f>
        <v>0</v>
      </c>
      <c r="O3822">
        <f>Data!I3835</f>
        <v>0</v>
      </c>
      <c r="P3822" s="21">
        <f>Data!J3839</f>
        <v>0</v>
      </c>
      <c r="Q3822">
        <f>Data!K3839</f>
        <v>0</v>
      </c>
      <c r="R3822">
        <f>Data!L3839</f>
        <v>0</v>
      </c>
      <c r="S3822">
        <f>Data!M3839</f>
        <v>0</v>
      </c>
      <c r="T3822">
        <f>Data!N3839</f>
        <v>0</v>
      </c>
      <c r="U3822">
        <f>Data!O3839</f>
        <v>0</v>
      </c>
      <c r="V3822" s="33">
        <f>Data!P3837</f>
        <v>0</v>
      </c>
    </row>
    <row r="3823" spans="7:22" x14ac:dyDescent="0.25">
      <c r="G3823">
        <f>Data!A3836</f>
        <v>0</v>
      </c>
      <c r="H3823" s="21">
        <f>Data!B3836</f>
        <v>0</v>
      </c>
      <c r="I3823" s="21">
        <f>Data!C3836</f>
        <v>0</v>
      </c>
      <c r="J3823">
        <f>Data!D3836</f>
        <v>0</v>
      </c>
      <c r="K3823">
        <f>Data!E3836</f>
        <v>0</v>
      </c>
      <c r="L3823">
        <f>Data!F3836</f>
        <v>0</v>
      </c>
      <c r="M3823">
        <f>Data!G3836</f>
        <v>0</v>
      </c>
      <c r="N3823">
        <f>Data!H3836</f>
        <v>0</v>
      </c>
      <c r="O3823">
        <f>Data!I3836</f>
        <v>0</v>
      </c>
      <c r="P3823" s="21">
        <f>Data!J3840</f>
        <v>0</v>
      </c>
      <c r="Q3823">
        <f>Data!K3840</f>
        <v>0</v>
      </c>
      <c r="R3823">
        <f>Data!L3840</f>
        <v>0</v>
      </c>
      <c r="S3823">
        <f>Data!M3840</f>
        <v>0</v>
      </c>
      <c r="T3823">
        <f>Data!N3840</f>
        <v>0</v>
      </c>
      <c r="U3823">
        <f>Data!O3840</f>
        <v>0</v>
      </c>
      <c r="V3823" s="33">
        <f>Data!P3838</f>
        <v>0</v>
      </c>
    </row>
    <row r="3824" spans="7:22" x14ac:dyDescent="0.25">
      <c r="G3824">
        <f>Data!A3837</f>
        <v>0</v>
      </c>
      <c r="H3824" s="21">
        <f>Data!B3837</f>
        <v>0</v>
      </c>
      <c r="I3824" s="21">
        <f>Data!C3837</f>
        <v>0</v>
      </c>
      <c r="J3824">
        <f>Data!D3837</f>
        <v>0</v>
      </c>
      <c r="K3824">
        <f>Data!E3837</f>
        <v>0</v>
      </c>
      <c r="L3824">
        <f>Data!F3837</f>
        <v>0</v>
      </c>
      <c r="M3824">
        <f>Data!G3837</f>
        <v>0</v>
      </c>
      <c r="N3824">
        <f>Data!H3837</f>
        <v>0</v>
      </c>
      <c r="O3824">
        <f>Data!I3837</f>
        <v>0</v>
      </c>
      <c r="P3824" s="21">
        <f>Data!J3841</f>
        <v>0</v>
      </c>
      <c r="Q3824">
        <f>Data!K3841</f>
        <v>0</v>
      </c>
      <c r="R3824">
        <f>Data!L3841</f>
        <v>0</v>
      </c>
      <c r="S3824">
        <f>Data!M3841</f>
        <v>0</v>
      </c>
      <c r="T3824">
        <f>Data!N3841</f>
        <v>0</v>
      </c>
      <c r="U3824">
        <f>Data!O3841</f>
        <v>0</v>
      </c>
      <c r="V3824" s="33">
        <f>Data!P3839</f>
        <v>0</v>
      </c>
    </row>
    <row r="3825" spans="7:22" x14ac:dyDescent="0.25">
      <c r="G3825">
        <f>Data!A3838</f>
        <v>0</v>
      </c>
      <c r="H3825" s="21">
        <f>Data!B3838</f>
        <v>0</v>
      </c>
      <c r="I3825" s="21">
        <f>Data!C3838</f>
        <v>0</v>
      </c>
      <c r="J3825">
        <f>Data!D3838</f>
        <v>0</v>
      </c>
      <c r="K3825">
        <f>Data!E3838</f>
        <v>0</v>
      </c>
      <c r="L3825">
        <f>Data!F3838</f>
        <v>0</v>
      </c>
      <c r="M3825">
        <f>Data!G3838</f>
        <v>0</v>
      </c>
      <c r="N3825">
        <f>Data!H3838</f>
        <v>0</v>
      </c>
      <c r="O3825">
        <f>Data!I3838</f>
        <v>0</v>
      </c>
      <c r="P3825" s="21">
        <f>Data!J3842</f>
        <v>0</v>
      </c>
      <c r="Q3825">
        <f>Data!K3842</f>
        <v>0</v>
      </c>
      <c r="R3825">
        <f>Data!L3842</f>
        <v>0</v>
      </c>
      <c r="S3825">
        <f>Data!M3842</f>
        <v>0</v>
      </c>
      <c r="T3825">
        <f>Data!N3842</f>
        <v>0</v>
      </c>
      <c r="U3825">
        <f>Data!O3842</f>
        <v>0</v>
      </c>
      <c r="V3825" s="33">
        <f>Data!P3840</f>
        <v>0</v>
      </c>
    </row>
    <row r="3826" spans="7:22" x14ac:dyDescent="0.25">
      <c r="G3826">
        <f>Data!A3839</f>
        <v>0</v>
      </c>
      <c r="H3826" s="21">
        <f>Data!B3839</f>
        <v>0</v>
      </c>
      <c r="I3826" s="21">
        <f>Data!C3839</f>
        <v>0</v>
      </c>
      <c r="J3826">
        <f>Data!D3839</f>
        <v>0</v>
      </c>
      <c r="K3826">
        <f>Data!E3839</f>
        <v>0</v>
      </c>
      <c r="L3826">
        <f>Data!F3839</f>
        <v>0</v>
      </c>
      <c r="M3826">
        <f>Data!G3839</f>
        <v>0</v>
      </c>
      <c r="N3826">
        <f>Data!H3839</f>
        <v>0</v>
      </c>
      <c r="O3826">
        <f>Data!I3839</f>
        <v>0</v>
      </c>
      <c r="P3826" s="21">
        <f>Data!J3843</f>
        <v>0</v>
      </c>
      <c r="Q3826">
        <f>Data!K3843</f>
        <v>0</v>
      </c>
      <c r="R3826">
        <f>Data!L3843</f>
        <v>0</v>
      </c>
      <c r="S3826">
        <f>Data!M3843</f>
        <v>0</v>
      </c>
      <c r="T3826">
        <f>Data!N3843</f>
        <v>0</v>
      </c>
      <c r="U3826">
        <f>Data!O3843</f>
        <v>0</v>
      </c>
      <c r="V3826" s="33">
        <f>Data!P3841</f>
        <v>0</v>
      </c>
    </row>
    <row r="3827" spans="7:22" x14ac:dyDescent="0.25">
      <c r="G3827">
        <f>Data!A3840</f>
        <v>0</v>
      </c>
      <c r="H3827" s="21">
        <f>Data!B3840</f>
        <v>0</v>
      </c>
      <c r="I3827" s="21">
        <f>Data!C3840</f>
        <v>0</v>
      </c>
      <c r="J3827">
        <f>Data!D3840</f>
        <v>0</v>
      </c>
      <c r="K3827">
        <f>Data!E3840</f>
        <v>0</v>
      </c>
      <c r="L3827">
        <f>Data!F3840</f>
        <v>0</v>
      </c>
      <c r="M3827">
        <f>Data!G3840</f>
        <v>0</v>
      </c>
      <c r="N3827">
        <f>Data!H3840</f>
        <v>0</v>
      </c>
      <c r="O3827">
        <f>Data!I3840</f>
        <v>0</v>
      </c>
      <c r="P3827" s="21">
        <f>Data!J3844</f>
        <v>0</v>
      </c>
      <c r="Q3827">
        <f>Data!K3844</f>
        <v>0</v>
      </c>
      <c r="R3827">
        <f>Data!L3844</f>
        <v>0</v>
      </c>
      <c r="S3827">
        <f>Data!M3844</f>
        <v>0</v>
      </c>
      <c r="T3827">
        <f>Data!N3844</f>
        <v>0</v>
      </c>
      <c r="U3827">
        <f>Data!O3844</f>
        <v>0</v>
      </c>
      <c r="V3827" s="33">
        <f>Data!P3842</f>
        <v>0</v>
      </c>
    </row>
    <row r="3828" spans="7:22" x14ac:dyDescent="0.25">
      <c r="G3828">
        <f>Data!A3841</f>
        <v>0</v>
      </c>
      <c r="H3828" s="21">
        <f>Data!B3841</f>
        <v>0</v>
      </c>
      <c r="I3828" s="21">
        <f>Data!C3841</f>
        <v>0</v>
      </c>
      <c r="J3828">
        <f>Data!D3841</f>
        <v>0</v>
      </c>
      <c r="K3828">
        <f>Data!E3841</f>
        <v>0</v>
      </c>
      <c r="L3828">
        <f>Data!F3841</f>
        <v>0</v>
      </c>
      <c r="M3828">
        <f>Data!G3841</f>
        <v>0</v>
      </c>
      <c r="N3828">
        <f>Data!H3841</f>
        <v>0</v>
      </c>
      <c r="O3828">
        <f>Data!I3841</f>
        <v>0</v>
      </c>
      <c r="P3828" s="21">
        <f>Data!J3845</f>
        <v>0</v>
      </c>
      <c r="Q3828">
        <f>Data!K3845</f>
        <v>0</v>
      </c>
      <c r="R3828">
        <f>Data!L3845</f>
        <v>0</v>
      </c>
      <c r="S3828">
        <f>Data!M3845</f>
        <v>0</v>
      </c>
      <c r="T3828">
        <f>Data!N3845</f>
        <v>0</v>
      </c>
      <c r="U3828">
        <f>Data!O3845</f>
        <v>0</v>
      </c>
      <c r="V3828" s="33">
        <f>Data!P3843</f>
        <v>0</v>
      </c>
    </row>
    <row r="3829" spans="7:22" x14ac:dyDescent="0.25">
      <c r="G3829">
        <f>Data!A3842</f>
        <v>0</v>
      </c>
      <c r="H3829" s="21">
        <f>Data!B3842</f>
        <v>0</v>
      </c>
      <c r="I3829" s="21">
        <f>Data!C3842</f>
        <v>0</v>
      </c>
      <c r="J3829">
        <f>Data!D3842</f>
        <v>0</v>
      </c>
      <c r="K3829">
        <f>Data!E3842</f>
        <v>0</v>
      </c>
      <c r="L3829">
        <f>Data!F3842</f>
        <v>0</v>
      </c>
      <c r="M3829">
        <f>Data!G3842</f>
        <v>0</v>
      </c>
      <c r="N3829">
        <f>Data!H3842</f>
        <v>0</v>
      </c>
      <c r="O3829">
        <f>Data!I3842</f>
        <v>0</v>
      </c>
      <c r="P3829" s="21">
        <f>Data!J3846</f>
        <v>0</v>
      </c>
      <c r="Q3829">
        <f>Data!K3846</f>
        <v>0</v>
      </c>
      <c r="R3829">
        <f>Data!L3846</f>
        <v>0</v>
      </c>
      <c r="S3829">
        <f>Data!M3846</f>
        <v>0</v>
      </c>
      <c r="T3829">
        <f>Data!N3846</f>
        <v>0</v>
      </c>
      <c r="U3829">
        <f>Data!O3846</f>
        <v>0</v>
      </c>
      <c r="V3829" s="33">
        <f>Data!P3844</f>
        <v>0</v>
      </c>
    </row>
    <row r="3830" spans="7:22" x14ac:dyDescent="0.25">
      <c r="G3830">
        <f>Data!A3843</f>
        <v>0</v>
      </c>
      <c r="H3830" s="21">
        <f>Data!B3843</f>
        <v>0</v>
      </c>
      <c r="I3830" s="21">
        <f>Data!C3843</f>
        <v>0</v>
      </c>
      <c r="J3830">
        <f>Data!D3843</f>
        <v>0</v>
      </c>
      <c r="K3830">
        <f>Data!E3843</f>
        <v>0</v>
      </c>
      <c r="L3830">
        <f>Data!F3843</f>
        <v>0</v>
      </c>
      <c r="M3830">
        <f>Data!G3843</f>
        <v>0</v>
      </c>
      <c r="N3830">
        <f>Data!H3843</f>
        <v>0</v>
      </c>
      <c r="O3830">
        <f>Data!I3843</f>
        <v>0</v>
      </c>
      <c r="P3830" s="21">
        <f>Data!J3847</f>
        <v>0</v>
      </c>
      <c r="Q3830">
        <f>Data!K3847</f>
        <v>0</v>
      </c>
      <c r="R3830">
        <f>Data!L3847</f>
        <v>0</v>
      </c>
      <c r="S3830">
        <f>Data!M3847</f>
        <v>0</v>
      </c>
      <c r="T3830">
        <f>Data!N3847</f>
        <v>0</v>
      </c>
      <c r="U3830">
        <f>Data!O3847</f>
        <v>0</v>
      </c>
      <c r="V3830" s="33">
        <f>Data!P3845</f>
        <v>0</v>
      </c>
    </row>
    <row r="3831" spans="7:22" x14ac:dyDescent="0.25">
      <c r="G3831">
        <f>Data!A3844</f>
        <v>0</v>
      </c>
      <c r="H3831" s="21">
        <f>Data!B3844</f>
        <v>0</v>
      </c>
      <c r="I3831" s="21">
        <f>Data!C3844</f>
        <v>0</v>
      </c>
      <c r="J3831">
        <f>Data!D3844</f>
        <v>0</v>
      </c>
      <c r="K3831">
        <f>Data!E3844</f>
        <v>0</v>
      </c>
      <c r="L3831">
        <f>Data!F3844</f>
        <v>0</v>
      </c>
      <c r="M3831">
        <f>Data!G3844</f>
        <v>0</v>
      </c>
      <c r="N3831">
        <f>Data!H3844</f>
        <v>0</v>
      </c>
      <c r="O3831">
        <f>Data!I3844</f>
        <v>0</v>
      </c>
      <c r="P3831" s="21">
        <f>Data!J3848</f>
        <v>0</v>
      </c>
      <c r="Q3831">
        <f>Data!K3848</f>
        <v>0</v>
      </c>
      <c r="R3831">
        <f>Data!L3848</f>
        <v>0</v>
      </c>
      <c r="S3831">
        <f>Data!M3848</f>
        <v>0</v>
      </c>
      <c r="T3831">
        <f>Data!N3848</f>
        <v>0</v>
      </c>
      <c r="U3831">
        <f>Data!O3848</f>
        <v>0</v>
      </c>
      <c r="V3831" s="33">
        <f>Data!P3846</f>
        <v>0</v>
      </c>
    </row>
    <row r="3832" spans="7:22" x14ac:dyDescent="0.25">
      <c r="G3832">
        <f>Data!A3845</f>
        <v>0</v>
      </c>
      <c r="H3832" s="21">
        <f>Data!B3845</f>
        <v>0</v>
      </c>
      <c r="I3832" s="21">
        <f>Data!C3845</f>
        <v>0</v>
      </c>
      <c r="J3832">
        <f>Data!D3845</f>
        <v>0</v>
      </c>
      <c r="K3832">
        <f>Data!E3845</f>
        <v>0</v>
      </c>
      <c r="L3832">
        <f>Data!F3845</f>
        <v>0</v>
      </c>
      <c r="M3832">
        <f>Data!G3845</f>
        <v>0</v>
      </c>
      <c r="N3832">
        <f>Data!H3845</f>
        <v>0</v>
      </c>
      <c r="O3832">
        <f>Data!I3845</f>
        <v>0</v>
      </c>
      <c r="P3832" s="21">
        <f>Data!J3849</f>
        <v>0</v>
      </c>
      <c r="Q3832">
        <f>Data!K3849</f>
        <v>0</v>
      </c>
      <c r="R3832">
        <f>Data!L3849</f>
        <v>0</v>
      </c>
      <c r="S3832">
        <f>Data!M3849</f>
        <v>0</v>
      </c>
      <c r="T3832">
        <f>Data!N3849</f>
        <v>0</v>
      </c>
      <c r="U3832">
        <f>Data!O3849</f>
        <v>0</v>
      </c>
      <c r="V3832" s="33">
        <f>Data!P3847</f>
        <v>0</v>
      </c>
    </row>
    <row r="3833" spans="7:22" x14ac:dyDescent="0.25">
      <c r="G3833">
        <f>Data!A3846</f>
        <v>0</v>
      </c>
      <c r="H3833" s="21">
        <f>Data!B3846</f>
        <v>0</v>
      </c>
      <c r="I3833" s="21">
        <f>Data!C3846</f>
        <v>0</v>
      </c>
      <c r="J3833">
        <f>Data!D3846</f>
        <v>0</v>
      </c>
      <c r="K3833">
        <f>Data!E3846</f>
        <v>0</v>
      </c>
      <c r="L3833">
        <f>Data!F3846</f>
        <v>0</v>
      </c>
      <c r="M3833">
        <f>Data!G3846</f>
        <v>0</v>
      </c>
      <c r="N3833">
        <f>Data!H3846</f>
        <v>0</v>
      </c>
      <c r="O3833">
        <f>Data!I3846</f>
        <v>0</v>
      </c>
      <c r="P3833" s="21">
        <f>Data!J3850</f>
        <v>0</v>
      </c>
      <c r="Q3833">
        <f>Data!K3850</f>
        <v>0</v>
      </c>
      <c r="R3833">
        <f>Data!L3850</f>
        <v>0</v>
      </c>
      <c r="S3833">
        <f>Data!M3850</f>
        <v>0</v>
      </c>
      <c r="T3833">
        <f>Data!N3850</f>
        <v>0</v>
      </c>
      <c r="U3833">
        <f>Data!O3850</f>
        <v>0</v>
      </c>
      <c r="V3833" s="33">
        <f>Data!P3848</f>
        <v>0</v>
      </c>
    </row>
    <row r="3834" spans="7:22" x14ac:dyDescent="0.25">
      <c r="G3834">
        <f>Data!A3847</f>
        <v>0</v>
      </c>
      <c r="H3834" s="21">
        <f>Data!B3847</f>
        <v>0</v>
      </c>
      <c r="I3834" s="21">
        <f>Data!C3847</f>
        <v>0</v>
      </c>
      <c r="J3834">
        <f>Data!D3847</f>
        <v>0</v>
      </c>
      <c r="K3834">
        <f>Data!E3847</f>
        <v>0</v>
      </c>
      <c r="L3834">
        <f>Data!F3847</f>
        <v>0</v>
      </c>
      <c r="M3834">
        <f>Data!G3847</f>
        <v>0</v>
      </c>
      <c r="N3834">
        <f>Data!H3847</f>
        <v>0</v>
      </c>
      <c r="O3834">
        <f>Data!I3847</f>
        <v>0</v>
      </c>
      <c r="P3834" s="21">
        <f>Data!J3851</f>
        <v>0</v>
      </c>
      <c r="Q3834">
        <f>Data!K3851</f>
        <v>0</v>
      </c>
      <c r="R3834">
        <f>Data!L3851</f>
        <v>0</v>
      </c>
      <c r="S3834">
        <f>Data!M3851</f>
        <v>0</v>
      </c>
      <c r="T3834">
        <f>Data!N3851</f>
        <v>0</v>
      </c>
      <c r="U3834">
        <f>Data!O3851</f>
        <v>0</v>
      </c>
      <c r="V3834" s="33">
        <f>Data!P3849</f>
        <v>0</v>
      </c>
    </row>
    <row r="3835" spans="7:22" x14ac:dyDescent="0.25">
      <c r="G3835">
        <f>Data!A3848</f>
        <v>0</v>
      </c>
      <c r="H3835" s="21">
        <f>Data!B3848</f>
        <v>0</v>
      </c>
      <c r="I3835" s="21">
        <f>Data!C3848</f>
        <v>0</v>
      </c>
      <c r="J3835">
        <f>Data!D3848</f>
        <v>0</v>
      </c>
      <c r="K3835">
        <f>Data!E3848</f>
        <v>0</v>
      </c>
      <c r="L3835">
        <f>Data!F3848</f>
        <v>0</v>
      </c>
      <c r="M3835">
        <f>Data!G3848</f>
        <v>0</v>
      </c>
      <c r="N3835">
        <f>Data!H3848</f>
        <v>0</v>
      </c>
      <c r="O3835">
        <f>Data!I3848</f>
        <v>0</v>
      </c>
      <c r="P3835" s="21">
        <f>Data!J3852</f>
        <v>0</v>
      </c>
      <c r="Q3835">
        <f>Data!K3852</f>
        <v>0</v>
      </c>
      <c r="R3835">
        <f>Data!L3852</f>
        <v>0</v>
      </c>
      <c r="S3835">
        <f>Data!M3852</f>
        <v>0</v>
      </c>
      <c r="T3835">
        <f>Data!N3852</f>
        <v>0</v>
      </c>
      <c r="U3835">
        <f>Data!O3852</f>
        <v>0</v>
      </c>
      <c r="V3835" s="33">
        <f>Data!P3850</f>
        <v>0</v>
      </c>
    </row>
    <row r="3836" spans="7:22" x14ac:dyDescent="0.25">
      <c r="G3836">
        <f>Data!A3849</f>
        <v>0</v>
      </c>
      <c r="H3836" s="21">
        <f>Data!B3849</f>
        <v>0</v>
      </c>
      <c r="I3836" s="21">
        <f>Data!C3849</f>
        <v>0</v>
      </c>
      <c r="J3836">
        <f>Data!D3849</f>
        <v>0</v>
      </c>
      <c r="K3836">
        <f>Data!E3849</f>
        <v>0</v>
      </c>
      <c r="L3836">
        <f>Data!F3849</f>
        <v>0</v>
      </c>
      <c r="M3836">
        <f>Data!G3849</f>
        <v>0</v>
      </c>
      <c r="N3836">
        <f>Data!H3849</f>
        <v>0</v>
      </c>
      <c r="O3836">
        <f>Data!I3849</f>
        <v>0</v>
      </c>
      <c r="P3836" s="21">
        <f>Data!J3853</f>
        <v>0</v>
      </c>
      <c r="Q3836">
        <f>Data!K3853</f>
        <v>0</v>
      </c>
      <c r="R3836">
        <f>Data!L3853</f>
        <v>0</v>
      </c>
      <c r="S3836">
        <f>Data!M3853</f>
        <v>0</v>
      </c>
      <c r="T3836">
        <f>Data!N3853</f>
        <v>0</v>
      </c>
      <c r="U3836">
        <f>Data!O3853</f>
        <v>0</v>
      </c>
      <c r="V3836" s="33">
        <f>Data!P3851</f>
        <v>0</v>
      </c>
    </row>
    <row r="3837" spans="7:22" x14ac:dyDescent="0.25">
      <c r="G3837">
        <f>Data!A3850</f>
        <v>0</v>
      </c>
      <c r="H3837" s="21">
        <f>Data!B3850</f>
        <v>0</v>
      </c>
      <c r="I3837" s="21">
        <f>Data!C3850</f>
        <v>0</v>
      </c>
      <c r="J3837">
        <f>Data!D3850</f>
        <v>0</v>
      </c>
      <c r="K3837">
        <f>Data!E3850</f>
        <v>0</v>
      </c>
      <c r="L3837">
        <f>Data!F3850</f>
        <v>0</v>
      </c>
      <c r="M3837">
        <f>Data!G3850</f>
        <v>0</v>
      </c>
      <c r="N3837">
        <f>Data!H3850</f>
        <v>0</v>
      </c>
      <c r="O3837">
        <f>Data!I3850</f>
        <v>0</v>
      </c>
      <c r="P3837" s="21">
        <f>Data!J3854</f>
        <v>0</v>
      </c>
      <c r="Q3837">
        <f>Data!K3854</f>
        <v>0</v>
      </c>
      <c r="R3837">
        <f>Data!L3854</f>
        <v>0</v>
      </c>
      <c r="S3837">
        <f>Data!M3854</f>
        <v>0</v>
      </c>
      <c r="T3837">
        <f>Data!N3854</f>
        <v>0</v>
      </c>
      <c r="U3837">
        <f>Data!O3854</f>
        <v>0</v>
      </c>
      <c r="V3837" s="33">
        <f>Data!P3852</f>
        <v>0</v>
      </c>
    </row>
    <row r="3838" spans="7:22" x14ac:dyDescent="0.25">
      <c r="G3838">
        <f>Data!A3851</f>
        <v>0</v>
      </c>
      <c r="H3838" s="21">
        <f>Data!B3851</f>
        <v>0</v>
      </c>
      <c r="I3838" s="21">
        <f>Data!C3851</f>
        <v>0</v>
      </c>
      <c r="J3838">
        <f>Data!D3851</f>
        <v>0</v>
      </c>
      <c r="K3838">
        <f>Data!E3851</f>
        <v>0</v>
      </c>
      <c r="L3838">
        <f>Data!F3851</f>
        <v>0</v>
      </c>
      <c r="M3838">
        <f>Data!G3851</f>
        <v>0</v>
      </c>
      <c r="N3838">
        <f>Data!H3851</f>
        <v>0</v>
      </c>
      <c r="O3838">
        <f>Data!I3851</f>
        <v>0</v>
      </c>
      <c r="P3838" s="21">
        <f>Data!J3855</f>
        <v>0</v>
      </c>
      <c r="Q3838">
        <f>Data!K3855</f>
        <v>0</v>
      </c>
      <c r="R3838">
        <f>Data!L3855</f>
        <v>0</v>
      </c>
      <c r="S3838">
        <f>Data!M3855</f>
        <v>0</v>
      </c>
      <c r="T3838">
        <f>Data!N3855</f>
        <v>0</v>
      </c>
      <c r="U3838">
        <f>Data!O3855</f>
        <v>0</v>
      </c>
      <c r="V3838" s="33">
        <f>Data!P3853</f>
        <v>0</v>
      </c>
    </row>
    <row r="3839" spans="7:22" x14ac:dyDescent="0.25">
      <c r="G3839">
        <f>Data!A3852</f>
        <v>0</v>
      </c>
      <c r="H3839" s="21">
        <f>Data!B3852</f>
        <v>0</v>
      </c>
      <c r="I3839" s="21">
        <f>Data!C3852</f>
        <v>0</v>
      </c>
      <c r="J3839">
        <f>Data!D3852</f>
        <v>0</v>
      </c>
      <c r="K3839">
        <f>Data!E3852</f>
        <v>0</v>
      </c>
      <c r="L3839">
        <f>Data!F3852</f>
        <v>0</v>
      </c>
      <c r="M3839">
        <f>Data!G3852</f>
        <v>0</v>
      </c>
      <c r="N3839">
        <f>Data!H3852</f>
        <v>0</v>
      </c>
      <c r="O3839">
        <f>Data!I3852</f>
        <v>0</v>
      </c>
      <c r="P3839" s="21">
        <f>Data!J3856</f>
        <v>0</v>
      </c>
      <c r="Q3839">
        <f>Data!K3856</f>
        <v>0</v>
      </c>
      <c r="R3839">
        <f>Data!L3856</f>
        <v>0</v>
      </c>
      <c r="S3839">
        <f>Data!M3856</f>
        <v>0</v>
      </c>
      <c r="T3839">
        <f>Data!N3856</f>
        <v>0</v>
      </c>
      <c r="U3839">
        <f>Data!O3856</f>
        <v>0</v>
      </c>
      <c r="V3839" s="33">
        <f>Data!P3854</f>
        <v>0</v>
      </c>
    </row>
    <row r="3840" spans="7:22" x14ac:dyDescent="0.25">
      <c r="G3840">
        <f>Data!A3853</f>
        <v>0</v>
      </c>
      <c r="H3840" s="21">
        <f>Data!B3853</f>
        <v>0</v>
      </c>
      <c r="I3840" s="21">
        <f>Data!C3853</f>
        <v>0</v>
      </c>
      <c r="J3840">
        <f>Data!D3853</f>
        <v>0</v>
      </c>
      <c r="K3840">
        <f>Data!E3853</f>
        <v>0</v>
      </c>
      <c r="L3840">
        <f>Data!F3853</f>
        <v>0</v>
      </c>
      <c r="M3840">
        <f>Data!G3853</f>
        <v>0</v>
      </c>
      <c r="N3840">
        <f>Data!H3853</f>
        <v>0</v>
      </c>
      <c r="O3840">
        <f>Data!I3853</f>
        <v>0</v>
      </c>
      <c r="P3840" s="21">
        <f>Data!J3857</f>
        <v>0</v>
      </c>
      <c r="Q3840">
        <f>Data!K3857</f>
        <v>0</v>
      </c>
      <c r="R3840">
        <f>Data!L3857</f>
        <v>0</v>
      </c>
      <c r="S3840">
        <f>Data!M3857</f>
        <v>0</v>
      </c>
      <c r="T3840">
        <f>Data!N3857</f>
        <v>0</v>
      </c>
      <c r="U3840">
        <f>Data!O3857</f>
        <v>0</v>
      </c>
      <c r="V3840" s="33">
        <f>Data!P3855</f>
        <v>0</v>
      </c>
    </row>
    <row r="3841" spans="7:22" x14ac:dyDescent="0.25">
      <c r="G3841">
        <f>Data!A3854</f>
        <v>0</v>
      </c>
      <c r="H3841" s="21">
        <f>Data!B3854</f>
        <v>0</v>
      </c>
      <c r="I3841" s="21">
        <f>Data!C3854</f>
        <v>0</v>
      </c>
      <c r="J3841">
        <f>Data!D3854</f>
        <v>0</v>
      </c>
      <c r="K3841">
        <f>Data!E3854</f>
        <v>0</v>
      </c>
      <c r="L3841">
        <f>Data!F3854</f>
        <v>0</v>
      </c>
      <c r="M3841">
        <f>Data!G3854</f>
        <v>0</v>
      </c>
      <c r="N3841">
        <f>Data!H3854</f>
        <v>0</v>
      </c>
      <c r="O3841">
        <f>Data!I3854</f>
        <v>0</v>
      </c>
      <c r="P3841" s="21">
        <f>Data!J3858</f>
        <v>0</v>
      </c>
      <c r="Q3841">
        <f>Data!K3858</f>
        <v>0</v>
      </c>
      <c r="R3841">
        <f>Data!L3858</f>
        <v>0</v>
      </c>
      <c r="S3841">
        <f>Data!M3858</f>
        <v>0</v>
      </c>
      <c r="T3841">
        <f>Data!N3858</f>
        <v>0</v>
      </c>
      <c r="U3841">
        <f>Data!O3858</f>
        <v>0</v>
      </c>
      <c r="V3841" s="33">
        <f>Data!P3856</f>
        <v>0</v>
      </c>
    </row>
    <row r="3842" spans="7:22" x14ac:dyDescent="0.25">
      <c r="G3842">
        <f>Data!A3855</f>
        <v>0</v>
      </c>
      <c r="H3842" s="21">
        <f>Data!B3855</f>
        <v>0</v>
      </c>
      <c r="I3842" s="21">
        <f>Data!C3855</f>
        <v>0</v>
      </c>
      <c r="J3842">
        <f>Data!D3855</f>
        <v>0</v>
      </c>
      <c r="K3842">
        <f>Data!E3855</f>
        <v>0</v>
      </c>
      <c r="L3842">
        <f>Data!F3855</f>
        <v>0</v>
      </c>
      <c r="M3842">
        <f>Data!G3855</f>
        <v>0</v>
      </c>
      <c r="N3842">
        <f>Data!H3855</f>
        <v>0</v>
      </c>
      <c r="O3842">
        <f>Data!I3855</f>
        <v>0</v>
      </c>
      <c r="P3842" s="21">
        <f>Data!J3859</f>
        <v>0</v>
      </c>
      <c r="Q3842">
        <f>Data!K3859</f>
        <v>0</v>
      </c>
      <c r="R3842">
        <f>Data!L3859</f>
        <v>0</v>
      </c>
      <c r="S3842">
        <f>Data!M3859</f>
        <v>0</v>
      </c>
      <c r="T3842">
        <f>Data!N3859</f>
        <v>0</v>
      </c>
      <c r="U3842">
        <f>Data!O3859</f>
        <v>0</v>
      </c>
      <c r="V3842" s="33">
        <f>Data!P3857</f>
        <v>0</v>
      </c>
    </row>
    <row r="3843" spans="7:22" x14ac:dyDescent="0.25">
      <c r="G3843">
        <f>Data!A3856</f>
        <v>0</v>
      </c>
      <c r="H3843" s="21">
        <f>Data!B3856</f>
        <v>0</v>
      </c>
      <c r="I3843" s="21">
        <f>Data!C3856</f>
        <v>0</v>
      </c>
      <c r="J3843">
        <f>Data!D3856</f>
        <v>0</v>
      </c>
      <c r="K3843">
        <f>Data!E3856</f>
        <v>0</v>
      </c>
      <c r="L3843">
        <f>Data!F3856</f>
        <v>0</v>
      </c>
      <c r="M3843">
        <f>Data!G3856</f>
        <v>0</v>
      </c>
      <c r="N3843">
        <f>Data!H3856</f>
        <v>0</v>
      </c>
      <c r="O3843">
        <f>Data!I3856</f>
        <v>0</v>
      </c>
      <c r="P3843" s="21">
        <f>Data!J3860</f>
        <v>0</v>
      </c>
      <c r="Q3843">
        <f>Data!K3860</f>
        <v>0</v>
      </c>
      <c r="R3843">
        <f>Data!L3860</f>
        <v>0</v>
      </c>
      <c r="S3843">
        <f>Data!M3860</f>
        <v>0</v>
      </c>
      <c r="T3843">
        <f>Data!N3860</f>
        <v>0</v>
      </c>
      <c r="U3843">
        <f>Data!O3860</f>
        <v>0</v>
      </c>
      <c r="V3843" s="33">
        <f>Data!P3858</f>
        <v>0</v>
      </c>
    </row>
    <row r="3844" spans="7:22" x14ac:dyDescent="0.25">
      <c r="G3844">
        <f>Data!A3857</f>
        <v>0</v>
      </c>
      <c r="H3844" s="21">
        <f>Data!B3857</f>
        <v>0</v>
      </c>
      <c r="I3844" s="21">
        <f>Data!C3857</f>
        <v>0</v>
      </c>
      <c r="J3844">
        <f>Data!D3857</f>
        <v>0</v>
      </c>
      <c r="K3844">
        <f>Data!E3857</f>
        <v>0</v>
      </c>
      <c r="L3844">
        <f>Data!F3857</f>
        <v>0</v>
      </c>
      <c r="M3844">
        <f>Data!G3857</f>
        <v>0</v>
      </c>
      <c r="N3844">
        <f>Data!H3857</f>
        <v>0</v>
      </c>
      <c r="O3844">
        <f>Data!I3857</f>
        <v>0</v>
      </c>
      <c r="P3844" s="21">
        <f>Data!J3861</f>
        <v>0</v>
      </c>
      <c r="Q3844">
        <f>Data!K3861</f>
        <v>0</v>
      </c>
      <c r="R3844">
        <f>Data!L3861</f>
        <v>0</v>
      </c>
      <c r="S3844">
        <f>Data!M3861</f>
        <v>0</v>
      </c>
      <c r="T3844">
        <f>Data!N3861</f>
        <v>0</v>
      </c>
      <c r="U3844">
        <f>Data!O3861</f>
        <v>0</v>
      </c>
      <c r="V3844" s="33">
        <f>Data!P3859</f>
        <v>0</v>
      </c>
    </row>
    <row r="3845" spans="7:22" x14ac:dyDescent="0.25">
      <c r="G3845">
        <f>Data!A3858</f>
        <v>0</v>
      </c>
      <c r="H3845" s="21">
        <f>Data!B3858</f>
        <v>0</v>
      </c>
      <c r="I3845" s="21">
        <f>Data!C3858</f>
        <v>0</v>
      </c>
      <c r="J3845">
        <f>Data!D3858</f>
        <v>0</v>
      </c>
      <c r="K3845">
        <f>Data!E3858</f>
        <v>0</v>
      </c>
      <c r="L3845">
        <f>Data!F3858</f>
        <v>0</v>
      </c>
      <c r="M3845">
        <f>Data!G3858</f>
        <v>0</v>
      </c>
      <c r="N3845">
        <f>Data!H3858</f>
        <v>0</v>
      </c>
      <c r="O3845">
        <f>Data!I3858</f>
        <v>0</v>
      </c>
      <c r="P3845" s="21">
        <f>Data!J3862</f>
        <v>0</v>
      </c>
      <c r="Q3845">
        <f>Data!K3862</f>
        <v>0</v>
      </c>
      <c r="R3845">
        <f>Data!L3862</f>
        <v>0</v>
      </c>
      <c r="S3845">
        <f>Data!M3862</f>
        <v>0</v>
      </c>
      <c r="T3845">
        <f>Data!N3862</f>
        <v>0</v>
      </c>
      <c r="U3845">
        <f>Data!O3862</f>
        <v>0</v>
      </c>
      <c r="V3845" s="33">
        <f>Data!P3860</f>
        <v>0</v>
      </c>
    </row>
    <row r="3846" spans="7:22" x14ac:dyDescent="0.25">
      <c r="G3846">
        <f>Data!A3859</f>
        <v>0</v>
      </c>
      <c r="H3846" s="21">
        <f>Data!B3859</f>
        <v>0</v>
      </c>
      <c r="I3846" s="21">
        <f>Data!C3859</f>
        <v>0</v>
      </c>
      <c r="J3846">
        <f>Data!D3859</f>
        <v>0</v>
      </c>
      <c r="K3846">
        <f>Data!E3859</f>
        <v>0</v>
      </c>
      <c r="L3846">
        <f>Data!F3859</f>
        <v>0</v>
      </c>
      <c r="M3846">
        <f>Data!G3859</f>
        <v>0</v>
      </c>
      <c r="N3846">
        <f>Data!H3859</f>
        <v>0</v>
      </c>
      <c r="O3846">
        <f>Data!I3859</f>
        <v>0</v>
      </c>
      <c r="P3846" s="21">
        <f>Data!J3863</f>
        <v>0</v>
      </c>
      <c r="Q3846">
        <f>Data!K3863</f>
        <v>0</v>
      </c>
      <c r="R3846">
        <f>Data!L3863</f>
        <v>0</v>
      </c>
      <c r="S3846">
        <f>Data!M3863</f>
        <v>0</v>
      </c>
      <c r="T3846">
        <f>Data!N3863</f>
        <v>0</v>
      </c>
      <c r="U3846">
        <f>Data!O3863</f>
        <v>0</v>
      </c>
      <c r="V3846" s="33">
        <f>Data!P3861</f>
        <v>0</v>
      </c>
    </row>
    <row r="3847" spans="7:22" x14ac:dyDescent="0.25">
      <c r="G3847">
        <f>Data!A3860</f>
        <v>0</v>
      </c>
      <c r="H3847" s="21">
        <f>Data!B3860</f>
        <v>0</v>
      </c>
      <c r="I3847" s="21">
        <f>Data!C3860</f>
        <v>0</v>
      </c>
      <c r="J3847">
        <f>Data!D3860</f>
        <v>0</v>
      </c>
      <c r="K3847">
        <f>Data!E3860</f>
        <v>0</v>
      </c>
      <c r="L3847">
        <f>Data!F3860</f>
        <v>0</v>
      </c>
      <c r="M3847">
        <f>Data!G3860</f>
        <v>0</v>
      </c>
      <c r="N3847">
        <f>Data!H3860</f>
        <v>0</v>
      </c>
      <c r="O3847">
        <f>Data!I3860</f>
        <v>0</v>
      </c>
      <c r="P3847" s="21">
        <f>Data!J3864</f>
        <v>0</v>
      </c>
      <c r="Q3847">
        <f>Data!K3864</f>
        <v>0</v>
      </c>
      <c r="R3847">
        <f>Data!L3864</f>
        <v>0</v>
      </c>
      <c r="S3847">
        <f>Data!M3864</f>
        <v>0</v>
      </c>
      <c r="T3847">
        <f>Data!N3864</f>
        <v>0</v>
      </c>
      <c r="U3847">
        <f>Data!O3864</f>
        <v>0</v>
      </c>
      <c r="V3847" s="33">
        <f>Data!P3862</f>
        <v>0</v>
      </c>
    </row>
    <row r="3848" spans="7:22" x14ac:dyDescent="0.25">
      <c r="G3848">
        <f>Data!A3861</f>
        <v>0</v>
      </c>
      <c r="H3848" s="21">
        <f>Data!B3861</f>
        <v>0</v>
      </c>
      <c r="I3848" s="21">
        <f>Data!C3861</f>
        <v>0</v>
      </c>
      <c r="J3848">
        <f>Data!D3861</f>
        <v>0</v>
      </c>
      <c r="K3848">
        <f>Data!E3861</f>
        <v>0</v>
      </c>
      <c r="L3848">
        <f>Data!F3861</f>
        <v>0</v>
      </c>
      <c r="M3848">
        <f>Data!G3861</f>
        <v>0</v>
      </c>
      <c r="N3848">
        <f>Data!H3861</f>
        <v>0</v>
      </c>
      <c r="O3848">
        <f>Data!I3861</f>
        <v>0</v>
      </c>
      <c r="P3848" s="21">
        <f>Data!J3865</f>
        <v>0</v>
      </c>
      <c r="Q3848">
        <f>Data!K3865</f>
        <v>0</v>
      </c>
      <c r="R3848">
        <f>Data!L3865</f>
        <v>0</v>
      </c>
      <c r="S3848">
        <f>Data!M3865</f>
        <v>0</v>
      </c>
      <c r="T3848">
        <f>Data!N3865</f>
        <v>0</v>
      </c>
      <c r="U3848">
        <f>Data!O3865</f>
        <v>0</v>
      </c>
      <c r="V3848" s="33">
        <f>Data!P3863</f>
        <v>0</v>
      </c>
    </row>
    <row r="3849" spans="7:22" x14ac:dyDescent="0.25">
      <c r="G3849">
        <f>Data!A3862</f>
        <v>0</v>
      </c>
      <c r="H3849" s="21">
        <f>Data!B3862</f>
        <v>0</v>
      </c>
      <c r="I3849" s="21">
        <f>Data!C3862</f>
        <v>0</v>
      </c>
      <c r="J3849">
        <f>Data!D3862</f>
        <v>0</v>
      </c>
      <c r="K3849">
        <f>Data!E3862</f>
        <v>0</v>
      </c>
      <c r="L3849">
        <f>Data!F3862</f>
        <v>0</v>
      </c>
      <c r="M3849">
        <f>Data!G3862</f>
        <v>0</v>
      </c>
      <c r="N3849">
        <f>Data!H3862</f>
        <v>0</v>
      </c>
      <c r="O3849">
        <f>Data!I3862</f>
        <v>0</v>
      </c>
      <c r="P3849" s="21">
        <f>Data!J3866</f>
        <v>0</v>
      </c>
      <c r="Q3849">
        <f>Data!K3866</f>
        <v>0</v>
      </c>
      <c r="R3849">
        <f>Data!L3866</f>
        <v>0</v>
      </c>
      <c r="S3849">
        <f>Data!M3866</f>
        <v>0</v>
      </c>
      <c r="T3849">
        <f>Data!N3866</f>
        <v>0</v>
      </c>
      <c r="U3849">
        <f>Data!O3866</f>
        <v>0</v>
      </c>
      <c r="V3849" s="33">
        <f>Data!P3864</f>
        <v>0</v>
      </c>
    </row>
    <row r="3850" spans="7:22" x14ac:dyDescent="0.25">
      <c r="G3850">
        <f>Data!A3863</f>
        <v>0</v>
      </c>
      <c r="H3850" s="21">
        <f>Data!B3863</f>
        <v>0</v>
      </c>
      <c r="I3850" s="21">
        <f>Data!C3863</f>
        <v>0</v>
      </c>
      <c r="J3850">
        <f>Data!D3863</f>
        <v>0</v>
      </c>
      <c r="K3850">
        <f>Data!E3863</f>
        <v>0</v>
      </c>
      <c r="L3850">
        <f>Data!F3863</f>
        <v>0</v>
      </c>
      <c r="M3850">
        <f>Data!G3863</f>
        <v>0</v>
      </c>
      <c r="N3850">
        <f>Data!H3863</f>
        <v>0</v>
      </c>
      <c r="O3850">
        <f>Data!I3863</f>
        <v>0</v>
      </c>
      <c r="P3850" s="21">
        <f>Data!J3867</f>
        <v>0</v>
      </c>
      <c r="Q3850">
        <f>Data!K3867</f>
        <v>0</v>
      </c>
      <c r="R3850">
        <f>Data!L3867</f>
        <v>0</v>
      </c>
      <c r="S3850">
        <f>Data!M3867</f>
        <v>0</v>
      </c>
      <c r="T3850">
        <f>Data!N3867</f>
        <v>0</v>
      </c>
      <c r="U3850">
        <f>Data!O3867</f>
        <v>0</v>
      </c>
      <c r="V3850" s="33">
        <f>Data!P3865</f>
        <v>0</v>
      </c>
    </row>
    <row r="3851" spans="7:22" x14ac:dyDescent="0.25">
      <c r="G3851">
        <f>Data!A3864</f>
        <v>0</v>
      </c>
      <c r="H3851" s="21">
        <f>Data!B3864</f>
        <v>0</v>
      </c>
      <c r="I3851" s="21">
        <f>Data!C3864</f>
        <v>0</v>
      </c>
      <c r="J3851">
        <f>Data!D3864</f>
        <v>0</v>
      </c>
      <c r="K3851">
        <f>Data!E3864</f>
        <v>0</v>
      </c>
      <c r="L3851">
        <f>Data!F3864</f>
        <v>0</v>
      </c>
      <c r="M3851">
        <f>Data!G3864</f>
        <v>0</v>
      </c>
      <c r="N3851">
        <f>Data!H3864</f>
        <v>0</v>
      </c>
      <c r="O3851">
        <f>Data!I3864</f>
        <v>0</v>
      </c>
      <c r="P3851" s="21">
        <f>Data!J3868</f>
        <v>0</v>
      </c>
      <c r="Q3851">
        <f>Data!K3868</f>
        <v>0</v>
      </c>
      <c r="R3851">
        <f>Data!L3868</f>
        <v>0</v>
      </c>
      <c r="S3851">
        <f>Data!M3868</f>
        <v>0</v>
      </c>
      <c r="T3851">
        <f>Data!N3868</f>
        <v>0</v>
      </c>
      <c r="U3851">
        <f>Data!O3868</f>
        <v>0</v>
      </c>
      <c r="V3851" s="33">
        <f>Data!P3866</f>
        <v>0</v>
      </c>
    </row>
    <row r="3852" spans="7:22" x14ac:dyDescent="0.25">
      <c r="G3852">
        <f>Data!A3865</f>
        <v>0</v>
      </c>
      <c r="H3852" s="21">
        <f>Data!B3865</f>
        <v>0</v>
      </c>
      <c r="I3852" s="21">
        <f>Data!C3865</f>
        <v>0</v>
      </c>
      <c r="J3852">
        <f>Data!D3865</f>
        <v>0</v>
      </c>
      <c r="K3852">
        <f>Data!E3865</f>
        <v>0</v>
      </c>
      <c r="L3852">
        <f>Data!F3865</f>
        <v>0</v>
      </c>
      <c r="M3852">
        <f>Data!G3865</f>
        <v>0</v>
      </c>
      <c r="N3852">
        <f>Data!H3865</f>
        <v>0</v>
      </c>
      <c r="O3852">
        <f>Data!I3865</f>
        <v>0</v>
      </c>
      <c r="P3852" s="21">
        <f>Data!J3869</f>
        <v>0</v>
      </c>
      <c r="Q3852">
        <f>Data!K3869</f>
        <v>0</v>
      </c>
      <c r="R3852">
        <f>Data!L3869</f>
        <v>0</v>
      </c>
      <c r="S3852">
        <f>Data!M3869</f>
        <v>0</v>
      </c>
      <c r="T3852">
        <f>Data!N3869</f>
        <v>0</v>
      </c>
      <c r="U3852">
        <f>Data!O3869</f>
        <v>0</v>
      </c>
      <c r="V3852" s="33">
        <f>Data!P3867</f>
        <v>0</v>
      </c>
    </row>
    <row r="3853" spans="7:22" x14ac:dyDescent="0.25">
      <c r="G3853">
        <f>Data!A3866</f>
        <v>0</v>
      </c>
      <c r="H3853" s="21">
        <f>Data!B3866</f>
        <v>0</v>
      </c>
      <c r="I3853" s="21">
        <f>Data!C3866</f>
        <v>0</v>
      </c>
      <c r="J3853">
        <f>Data!D3866</f>
        <v>0</v>
      </c>
      <c r="K3853">
        <f>Data!E3866</f>
        <v>0</v>
      </c>
      <c r="L3853">
        <f>Data!F3866</f>
        <v>0</v>
      </c>
      <c r="M3853">
        <f>Data!G3866</f>
        <v>0</v>
      </c>
      <c r="N3853">
        <f>Data!H3866</f>
        <v>0</v>
      </c>
      <c r="O3853">
        <f>Data!I3866</f>
        <v>0</v>
      </c>
      <c r="P3853" s="21">
        <f>Data!J3870</f>
        <v>0</v>
      </c>
      <c r="Q3853">
        <f>Data!K3870</f>
        <v>0</v>
      </c>
      <c r="R3853">
        <f>Data!L3870</f>
        <v>0</v>
      </c>
      <c r="S3853">
        <f>Data!M3870</f>
        <v>0</v>
      </c>
      <c r="T3853">
        <f>Data!N3870</f>
        <v>0</v>
      </c>
      <c r="U3853">
        <f>Data!O3870</f>
        <v>0</v>
      </c>
      <c r="V3853" s="33">
        <f>Data!P3868</f>
        <v>0</v>
      </c>
    </row>
    <row r="3854" spans="7:22" x14ac:dyDescent="0.25">
      <c r="G3854">
        <f>Data!A3867</f>
        <v>0</v>
      </c>
      <c r="H3854" s="21">
        <f>Data!B3867</f>
        <v>0</v>
      </c>
      <c r="I3854" s="21">
        <f>Data!C3867</f>
        <v>0</v>
      </c>
      <c r="J3854">
        <f>Data!D3867</f>
        <v>0</v>
      </c>
      <c r="K3854">
        <f>Data!E3867</f>
        <v>0</v>
      </c>
      <c r="L3854">
        <f>Data!F3867</f>
        <v>0</v>
      </c>
      <c r="M3854">
        <f>Data!G3867</f>
        <v>0</v>
      </c>
      <c r="N3854">
        <f>Data!H3867</f>
        <v>0</v>
      </c>
      <c r="O3854">
        <f>Data!I3867</f>
        <v>0</v>
      </c>
      <c r="P3854" s="21">
        <f>Data!J3871</f>
        <v>0</v>
      </c>
      <c r="Q3854">
        <f>Data!K3871</f>
        <v>0</v>
      </c>
      <c r="R3854">
        <f>Data!L3871</f>
        <v>0</v>
      </c>
      <c r="S3854">
        <f>Data!M3871</f>
        <v>0</v>
      </c>
      <c r="T3854">
        <f>Data!N3871</f>
        <v>0</v>
      </c>
      <c r="U3854">
        <f>Data!O3871</f>
        <v>0</v>
      </c>
      <c r="V3854" s="33">
        <f>Data!P3869</f>
        <v>0</v>
      </c>
    </row>
    <row r="3855" spans="7:22" x14ac:dyDescent="0.25">
      <c r="G3855">
        <f>Data!A3868</f>
        <v>0</v>
      </c>
      <c r="H3855" s="21">
        <f>Data!B3868</f>
        <v>0</v>
      </c>
      <c r="I3855" s="21">
        <f>Data!C3868</f>
        <v>0</v>
      </c>
      <c r="J3855">
        <f>Data!D3868</f>
        <v>0</v>
      </c>
      <c r="K3855">
        <f>Data!E3868</f>
        <v>0</v>
      </c>
      <c r="L3855">
        <f>Data!F3868</f>
        <v>0</v>
      </c>
      <c r="M3855">
        <f>Data!G3868</f>
        <v>0</v>
      </c>
      <c r="N3855">
        <f>Data!H3868</f>
        <v>0</v>
      </c>
      <c r="O3855">
        <f>Data!I3868</f>
        <v>0</v>
      </c>
      <c r="P3855" s="21">
        <f>Data!J3872</f>
        <v>0</v>
      </c>
      <c r="Q3855">
        <f>Data!K3872</f>
        <v>0</v>
      </c>
      <c r="R3855">
        <f>Data!L3872</f>
        <v>0</v>
      </c>
      <c r="S3855">
        <f>Data!M3872</f>
        <v>0</v>
      </c>
      <c r="T3855">
        <f>Data!N3872</f>
        <v>0</v>
      </c>
      <c r="U3855">
        <f>Data!O3872</f>
        <v>0</v>
      </c>
      <c r="V3855" s="33">
        <f>Data!P3870</f>
        <v>0</v>
      </c>
    </row>
    <row r="3856" spans="7:22" x14ac:dyDescent="0.25">
      <c r="G3856">
        <f>Data!A3869</f>
        <v>0</v>
      </c>
      <c r="H3856" s="21">
        <f>Data!B3869</f>
        <v>0</v>
      </c>
      <c r="I3856" s="21">
        <f>Data!C3869</f>
        <v>0</v>
      </c>
      <c r="J3856">
        <f>Data!D3869</f>
        <v>0</v>
      </c>
      <c r="K3856">
        <f>Data!E3869</f>
        <v>0</v>
      </c>
      <c r="L3856">
        <f>Data!F3869</f>
        <v>0</v>
      </c>
      <c r="M3856">
        <f>Data!G3869</f>
        <v>0</v>
      </c>
      <c r="N3856">
        <f>Data!H3869</f>
        <v>0</v>
      </c>
      <c r="O3856">
        <f>Data!I3869</f>
        <v>0</v>
      </c>
      <c r="P3856" s="21">
        <f>Data!J3873</f>
        <v>0</v>
      </c>
      <c r="Q3856">
        <f>Data!K3873</f>
        <v>0</v>
      </c>
      <c r="R3856">
        <f>Data!L3873</f>
        <v>0</v>
      </c>
      <c r="S3856">
        <f>Data!M3873</f>
        <v>0</v>
      </c>
      <c r="T3856">
        <f>Data!N3873</f>
        <v>0</v>
      </c>
      <c r="U3856">
        <f>Data!O3873</f>
        <v>0</v>
      </c>
      <c r="V3856" s="33">
        <f>Data!P3871</f>
        <v>0</v>
      </c>
    </row>
    <row r="3857" spans="7:22" x14ac:dyDescent="0.25">
      <c r="G3857">
        <f>Data!A3870</f>
        <v>0</v>
      </c>
      <c r="H3857" s="21">
        <f>Data!B3870</f>
        <v>0</v>
      </c>
      <c r="I3857" s="21">
        <f>Data!C3870</f>
        <v>0</v>
      </c>
      <c r="J3857">
        <f>Data!D3870</f>
        <v>0</v>
      </c>
      <c r="K3857">
        <f>Data!E3870</f>
        <v>0</v>
      </c>
      <c r="L3857">
        <f>Data!F3870</f>
        <v>0</v>
      </c>
      <c r="M3857">
        <f>Data!G3870</f>
        <v>0</v>
      </c>
      <c r="N3857">
        <f>Data!H3870</f>
        <v>0</v>
      </c>
      <c r="O3857">
        <f>Data!I3870</f>
        <v>0</v>
      </c>
      <c r="P3857" s="21">
        <f>Data!J3874</f>
        <v>0</v>
      </c>
      <c r="Q3857">
        <f>Data!K3874</f>
        <v>0</v>
      </c>
      <c r="R3857">
        <f>Data!L3874</f>
        <v>0</v>
      </c>
      <c r="S3857">
        <f>Data!M3874</f>
        <v>0</v>
      </c>
      <c r="T3857">
        <f>Data!N3874</f>
        <v>0</v>
      </c>
      <c r="U3857">
        <f>Data!O3874</f>
        <v>0</v>
      </c>
      <c r="V3857" s="33">
        <f>Data!P3872</f>
        <v>0</v>
      </c>
    </row>
    <row r="3858" spans="7:22" x14ac:dyDescent="0.25">
      <c r="G3858">
        <f>Data!A3871</f>
        <v>0</v>
      </c>
      <c r="H3858" s="21">
        <f>Data!B3871</f>
        <v>0</v>
      </c>
      <c r="I3858" s="21">
        <f>Data!C3871</f>
        <v>0</v>
      </c>
      <c r="J3858">
        <f>Data!D3871</f>
        <v>0</v>
      </c>
      <c r="K3858">
        <f>Data!E3871</f>
        <v>0</v>
      </c>
      <c r="L3858">
        <f>Data!F3871</f>
        <v>0</v>
      </c>
      <c r="M3858">
        <f>Data!G3871</f>
        <v>0</v>
      </c>
      <c r="N3858">
        <f>Data!H3871</f>
        <v>0</v>
      </c>
      <c r="O3858">
        <f>Data!I3871</f>
        <v>0</v>
      </c>
      <c r="P3858" s="21">
        <f>Data!J3875</f>
        <v>0</v>
      </c>
      <c r="Q3858">
        <f>Data!K3875</f>
        <v>0</v>
      </c>
      <c r="R3858">
        <f>Data!L3875</f>
        <v>0</v>
      </c>
      <c r="S3858">
        <f>Data!M3875</f>
        <v>0</v>
      </c>
      <c r="T3858">
        <f>Data!N3875</f>
        <v>0</v>
      </c>
      <c r="U3858">
        <f>Data!O3875</f>
        <v>0</v>
      </c>
      <c r="V3858" s="33">
        <f>Data!P3873</f>
        <v>0</v>
      </c>
    </row>
    <row r="3859" spans="7:22" x14ac:dyDescent="0.25">
      <c r="G3859">
        <f>Data!A3872</f>
        <v>0</v>
      </c>
      <c r="H3859" s="21">
        <f>Data!B3872</f>
        <v>0</v>
      </c>
      <c r="I3859" s="21">
        <f>Data!C3872</f>
        <v>0</v>
      </c>
      <c r="J3859">
        <f>Data!D3872</f>
        <v>0</v>
      </c>
      <c r="K3859">
        <f>Data!E3872</f>
        <v>0</v>
      </c>
      <c r="L3859">
        <f>Data!F3872</f>
        <v>0</v>
      </c>
      <c r="M3859">
        <f>Data!G3872</f>
        <v>0</v>
      </c>
      <c r="N3859">
        <f>Data!H3872</f>
        <v>0</v>
      </c>
      <c r="O3859">
        <f>Data!I3872</f>
        <v>0</v>
      </c>
      <c r="P3859" s="21">
        <f>Data!J3876</f>
        <v>0</v>
      </c>
      <c r="Q3859">
        <f>Data!K3876</f>
        <v>0</v>
      </c>
      <c r="R3859">
        <f>Data!L3876</f>
        <v>0</v>
      </c>
      <c r="S3859">
        <f>Data!M3876</f>
        <v>0</v>
      </c>
      <c r="T3859">
        <f>Data!N3876</f>
        <v>0</v>
      </c>
      <c r="U3859">
        <f>Data!O3876</f>
        <v>0</v>
      </c>
      <c r="V3859" s="33">
        <f>Data!P3874</f>
        <v>0</v>
      </c>
    </row>
    <row r="3860" spans="7:22" x14ac:dyDescent="0.25">
      <c r="G3860">
        <f>Data!A3873</f>
        <v>0</v>
      </c>
      <c r="H3860" s="21">
        <f>Data!B3873</f>
        <v>0</v>
      </c>
      <c r="I3860" s="21">
        <f>Data!C3873</f>
        <v>0</v>
      </c>
      <c r="J3860">
        <f>Data!D3873</f>
        <v>0</v>
      </c>
      <c r="K3860">
        <f>Data!E3873</f>
        <v>0</v>
      </c>
      <c r="L3860">
        <f>Data!F3873</f>
        <v>0</v>
      </c>
      <c r="M3860">
        <f>Data!G3873</f>
        <v>0</v>
      </c>
      <c r="N3860">
        <f>Data!H3873</f>
        <v>0</v>
      </c>
      <c r="O3860">
        <f>Data!I3873</f>
        <v>0</v>
      </c>
      <c r="P3860" s="21">
        <f>Data!J3877</f>
        <v>0</v>
      </c>
      <c r="Q3860">
        <f>Data!K3877</f>
        <v>0</v>
      </c>
      <c r="R3860">
        <f>Data!L3877</f>
        <v>0</v>
      </c>
      <c r="S3860">
        <f>Data!M3877</f>
        <v>0</v>
      </c>
      <c r="T3860">
        <f>Data!N3877</f>
        <v>0</v>
      </c>
      <c r="U3860">
        <f>Data!O3877</f>
        <v>0</v>
      </c>
      <c r="V3860" s="33">
        <f>Data!P3875</f>
        <v>0</v>
      </c>
    </row>
    <row r="3861" spans="7:22" x14ac:dyDescent="0.25">
      <c r="G3861">
        <f>Data!A3874</f>
        <v>0</v>
      </c>
      <c r="H3861" s="21">
        <f>Data!B3874</f>
        <v>0</v>
      </c>
      <c r="I3861" s="21">
        <f>Data!C3874</f>
        <v>0</v>
      </c>
      <c r="J3861">
        <f>Data!D3874</f>
        <v>0</v>
      </c>
      <c r="K3861">
        <f>Data!E3874</f>
        <v>0</v>
      </c>
      <c r="L3861">
        <f>Data!F3874</f>
        <v>0</v>
      </c>
      <c r="M3861">
        <f>Data!G3874</f>
        <v>0</v>
      </c>
      <c r="N3861">
        <f>Data!H3874</f>
        <v>0</v>
      </c>
      <c r="O3861">
        <f>Data!I3874</f>
        <v>0</v>
      </c>
      <c r="P3861" s="21">
        <f>Data!J3878</f>
        <v>0</v>
      </c>
      <c r="Q3861">
        <f>Data!K3878</f>
        <v>0</v>
      </c>
      <c r="R3861">
        <f>Data!L3878</f>
        <v>0</v>
      </c>
      <c r="S3861">
        <f>Data!M3878</f>
        <v>0</v>
      </c>
      <c r="T3861">
        <f>Data!N3878</f>
        <v>0</v>
      </c>
      <c r="U3861">
        <f>Data!O3878</f>
        <v>0</v>
      </c>
      <c r="V3861" s="33">
        <f>Data!P3876</f>
        <v>0</v>
      </c>
    </row>
    <row r="3862" spans="7:22" x14ac:dyDescent="0.25">
      <c r="G3862">
        <f>Data!A3875</f>
        <v>0</v>
      </c>
      <c r="H3862" s="21">
        <f>Data!B3875</f>
        <v>0</v>
      </c>
      <c r="I3862" s="21">
        <f>Data!C3875</f>
        <v>0</v>
      </c>
      <c r="J3862">
        <f>Data!D3875</f>
        <v>0</v>
      </c>
      <c r="K3862">
        <f>Data!E3875</f>
        <v>0</v>
      </c>
      <c r="L3862">
        <f>Data!F3875</f>
        <v>0</v>
      </c>
      <c r="M3862">
        <f>Data!G3875</f>
        <v>0</v>
      </c>
      <c r="N3862">
        <f>Data!H3875</f>
        <v>0</v>
      </c>
      <c r="O3862">
        <f>Data!I3875</f>
        <v>0</v>
      </c>
      <c r="P3862" s="21">
        <f>Data!J3879</f>
        <v>0</v>
      </c>
      <c r="Q3862">
        <f>Data!K3879</f>
        <v>0</v>
      </c>
      <c r="R3862">
        <f>Data!L3879</f>
        <v>0</v>
      </c>
      <c r="S3862">
        <f>Data!M3879</f>
        <v>0</v>
      </c>
      <c r="T3862">
        <f>Data!N3879</f>
        <v>0</v>
      </c>
      <c r="U3862">
        <f>Data!O3879</f>
        <v>0</v>
      </c>
      <c r="V3862" s="33">
        <f>Data!P3877</f>
        <v>0</v>
      </c>
    </row>
    <row r="3863" spans="7:22" x14ac:dyDescent="0.25">
      <c r="G3863">
        <f>Data!A3876</f>
        <v>0</v>
      </c>
      <c r="H3863" s="21">
        <f>Data!B3876</f>
        <v>0</v>
      </c>
      <c r="I3863" s="21">
        <f>Data!C3876</f>
        <v>0</v>
      </c>
      <c r="J3863">
        <f>Data!D3876</f>
        <v>0</v>
      </c>
      <c r="K3863">
        <f>Data!E3876</f>
        <v>0</v>
      </c>
      <c r="L3863">
        <f>Data!F3876</f>
        <v>0</v>
      </c>
      <c r="M3863">
        <f>Data!G3876</f>
        <v>0</v>
      </c>
      <c r="N3863">
        <f>Data!H3876</f>
        <v>0</v>
      </c>
      <c r="O3863">
        <f>Data!I3876</f>
        <v>0</v>
      </c>
      <c r="P3863" s="21">
        <f>Data!J3880</f>
        <v>0</v>
      </c>
      <c r="Q3863">
        <f>Data!K3880</f>
        <v>0</v>
      </c>
      <c r="R3863">
        <f>Data!L3880</f>
        <v>0</v>
      </c>
      <c r="S3863">
        <f>Data!M3880</f>
        <v>0</v>
      </c>
      <c r="T3863">
        <f>Data!N3880</f>
        <v>0</v>
      </c>
      <c r="U3863">
        <f>Data!O3880</f>
        <v>0</v>
      </c>
      <c r="V3863" s="33">
        <f>Data!P3878</f>
        <v>0</v>
      </c>
    </row>
    <row r="3864" spans="7:22" x14ac:dyDescent="0.25">
      <c r="G3864">
        <f>Data!A3877</f>
        <v>0</v>
      </c>
      <c r="H3864" s="21">
        <f>Data!B3877</f>
        <v>0</v>
      </c>
      <c r="I3864" s="21">
        <f>Data!C3877</f>
        <v>0</v>
      </c>
      <c r="J3864">
        <f>Data!D3877</f>
        <v>0</v>
      </c>
      <c r="K3864">
        <f>Data!E3877</f>
        <v>0</v>
      </c>
      <c r="L3864">
        <f>Data!F3877</f>
        <v>0</v>
      </c>
      <c r="M3864">
        <f>Data!G3877</f>
        <v>0</v>
      </c>
      <c r="N3864">
        <f>Data!H3877</f>
        <v>0</v>
      </c>
      <c r="O3864">
        <f>Data!I3877</f>
        <v>0</v>
      </c>
      <c r="P3864" s="21">
        <f>Data!J3881</f>
        <v>0</v>
      </c>
      <c r="Q3864">
        <f>Data!K3881</f>
        <v>0</v>
      </c>
      <c r="R3864">
        <f>Data!L3881</f>
        <v>0</v>
      </c>
      <c r="S3864">
        <f>Data!M3881</f>
        <v>0</v>
      </c>
      <c r="T3864">
        <f>Data!N3881</f>
        <v>0</v>
      </c>
      <c r="U3864">
        <f>Data!O3881</f>
        <v>0</v>
      </c>
      <c r="V3864" s="33">
        <f>Data!P3879</f>
        <v>0</v>
      </c>
    </row>
    <row r="3865" spans="7:22" x14ac:dyDescent="0.25">
      <c r="G3865">
        <f>Data!A3878</f>
        <v>0</v>
      </c>
      <c r="H3865" s="21">
        <f>Data!B3878</f>
        <v>0</v>
      </c>
      <c r="I3865" s="21">
        <f>Data!C3878</f>
        <v>0</v>
      </c>
      <c r="J3865">
        <f>Data!D3878</f>
        <v>0</v>
      </c>
      <c r="K3865">
        <f>Data!E3878</f>
        <v>0</v>
      </c>
      <c r="L3865">
        <f>Data!F3878</f>
        <v>0</v>
      </c>
      <c r="M3865">
        <f>Data!G3878</f>
        <v>0</v>
      </c>
      <c r="N3865">
        <f>Data!H3878</f>
        <v>0</v>
      </c>
      <c r="O3865">
        <f>Data!I3878</f>
        <v>0</v>
      </c>
      <c r="P3865" s="21">
        <f>Data!J3882</f>
        <v>0</v>
      </c>
      <c r="Q3865">
        <f>Data!K3882</f>
        <v>0</v>
      </c>
      <c r="R3865">
        <f>Data!L3882</f>
        <v>0</v>
      </c>
      <c r="S3865">
        <f>Data!M3882</f>
        <v>0</v>
      </c>
      <c r="T3865">
        <f>Data!N3882</f>
        <v>0</v>
      </c>
      <c r="U3865">
        <f>Data!O3882</f>
        <v>0</v>
      </c>
      <c r="V3865" s="33">
        <f>Data!P3880</f>
        <v>0</v>
      </c>
    </row>
    <row r="3866" spans="7:22" x14ac:dyDescent="0.25">
      <c r="G3866">
        <f>Data!A3879</f>
        <v>0</v>
      </c>
      <c r="H3866" s="21">
        <f>Data!B3879</f>
        <v>0</v>
      </c>
      <c r="I3866" s="21">
        <f>Data!C3879</f>
        <v>0</v>
      </c>
      <c r="J3866">
        <f>Data!D3879</f>
        <v>0</v>
      </c>
      <c r="K3866">
        <f>Data!E3879</f>
        <v>0</v>
      </c>
      <c r="L3866">
        <f>Data!F3879</f>
        <v>0</v>
      </c>
      <c r="M3866">
        <f>Data!G3879</f>
        <v>0</v>
      </c>
      <c r="N3866">
        <f>Data!H3879</f>
        <v>0</v>
      </c>
      <c r="O3866">
        <f>Data!I3879</f>
        <v>0</v>
      </c>
      <c r="P3866" s="21">
        <f>Data!J3883</f>
        <v>0</v>
      </c>
      <c r="Q3866">
        <f>Data!K3883</f>
        <v>0</v>
      </c>
      <c r="R3866">
        <f>Data!L3883</f>
        <v>0</v>
      </c>
      <c r="S3866">
        <f>Data!M3883</f>
        <v>0</v>
      </c>
      <c r="T3866">
        <f>Data!N3883</f>
        <v>0</v>
      </c>
      <c r="U3866">
        <f>Data!O3883</f>
        <v>0</v>
      </c>
      <c r="V3866" s="33">
        <f>Data!P3881</f>
        <v>0</v>
      </c>
    </row>
    <row r="3867" spans="7:22" x14ac:dyDescent="0.25">
      <c r="G3867">
        <f>Data!A3880</f>
        <v>0</v>
      </c>
      <c r="H3867" s="21">
        <f>Data!B3880</f>
        <v>0</v>
      </c>
      <c r="I3867" s="21">
        <f>Data!C3880</f>
        <v>0</v>
      </c>
      <c r="J3867">
        <f>Data!D3880</f>
        <v>0</v>
      </c>
      <c r="K3867">
        <f>Data!E3880</f>
        <v>0</v>
      </c>
      <c r="L3867">
        <f>Data!F3880</f>
        <v>0</v>
      </c>
      <c r="M3867">
        <f>Data!G3880</f>
        <v>0</v>
      </c>
      <c r="N3867">
        <f>Data!H3880</f>
        <v>0</v>
      </c>
      <c r="O3867">
        <f>Data!I3880</f>
        <v>0</v>
      </c>
      <c r="P3867" s="21">
        <f>Data!J3884</f>
        <v>0</v>
      </c>
      <c r="Q3867">
        <f>Data!K3884</f>
        <v>0</v>
      </c>
      <c r="R3867">
        <f>Data!L3884</f>
        <v>0</v>
      </c>
      <c r="S3867">
        <f>Data!M3884</f>
        <v>0</v>
      </c>
      <c r="T3867">
        <f>Data!N3884</f>
        <v>0</v>
      </c>
      <c r="U3867">
        <f>Data!O3884</f>
        <v>0</v>
      </c>
      <c r="V3867" s="33">
        <f>Data!P3882</f>
        <v>0</v>
      </c>
    </row>
    <row r="3868" spans="7:22" x14ac:dyDescent="0.25">
      <c r="G3868">
        <f>Data!A3881</f>
        <v>0</v>
      </c>
      <c r="H3868" s="21">
        <f>Data!B3881</f>
        <v>0</v>
      </c>
      <c r="I3868" s="21">
        <f>Data!C3881</f>
        <v>0</v>
      </c>
      <c r="J3868">
        <f>Data!D3881</f>
        <v>0</v>
      </c>
      <c r="K3868">
        <f>Data!E3881</f>
        <v>0</v>
      </c>
      <c r="L3868">
        <f>Data!F3881</f>
        <v>0</v>
      </c>
      <c r="M3868">
        <f>Data!G3881</f>
        <v>0</v>
      </c>
      <c r="N3868">
        <f>Data!H3881</f>
        <v>0</v>
      </c>
      <c r="O3868">
        <f>Data!I3881</f>
        <v>0</v>
      </c>
      <c r="P3868" s="21">
        <f>Data!J3885</f>
        <v>0</v>
      </c>
      <c r="Q3868">
        <f>Data!K3885</f>
        <v>0</v>
      </c>
      <c r="R3868">
        <f>Data!L3885</f>
        <v>0</v>
      </c>
      <c r="S3868">
        <f>Data!M3885</f>
        <v>0</v>
      </c>
      <c r="T3868">
        <f>Data!N3885</f>
        <v>0</v>
      </c>
      <c r="U3868">
        <f>Data!O3885</f>
        <v>0</v>
      </c>
      <c r="V3868" s="33">
        <f>Data!P3883</f>
        <v>0</v>
      </c>
    </row>
    <row r="3869" spans="7:22" x14ac:dyDescent="0.25">
      <c r="G3869">
        <f>Data!A3882</f>
        <v>0</v>
      </c>
      <c r="H3869" s="21">
        <f>Data!B3882</f>
        <v>0</v>
      </c>
      <c r="I3869" s="21">
        <f>Data!C3882</f>
        <v>0</v>
      </c>
      <c r="J3869">
        <f>Data!D3882</f>
        <v>0</v>
      </c>
      <c r="K3869">
        <f>Data!E3882</f>
        <v>0</v>
      </c>
      <c r="L3869">
        <f>Data!F3882</f>
        <v>0</v>
      </c>
      <c r="M3869">
        <f>Data!G3882</f>
        <v>0</v>
      </c>
      <c r="N3869">
        <f>Data!H3882</f>
        <v>0</v>
      </c>
      <c r="O3869">
        <f>Data!I3882</f>
        <v>0</v>
      </c>
      <c r="P3869" s="21">
        <f>Data!J3886</f>
        <v>0</v>
      </c>
      <c r="Q3869">
        <f>Data!K3886</f>
        <v>0</v>
      </c>
      <c r="R3869">
        <f>Data!L3886</f>
        <v>0</v>
      </c>
      <c r="S3869">
        <f>Data!M3886</f>
        <v>0</v>
      </c>
      <c r="T3869">
        <f>Data!N3886</f>
        <v>0</v>
      </c>
      <c r="U3869">
        <f>Data!O3886</f>
        <v>0</v>
      </c>
      <c r="V3869" s="33">
        <f>Data!P3884</f>
        <v>0</v>
      </c>
    </row>
    <row r="3870" spans="7:22" x14ac:dyDescent="0.25">
      <c r="G3870">
        <f>Data!A3883</f>
        <v>0</v>
      </c>
      <c r="H3870" s="21">
        <f>Data!B3883</f>
        <v>0</v>
      </c>
      <c r="I3870" s="21">
        <f>Data!C3883</f>
        <v>0</v>
      </c>
      <c r="J3870">
        <f>Data!D3883</f>
        <v>0</v>
      </c>
      <c r="K3870">
        <f>Data!E3883</f>
        <v>0</v>
      </c>
      <c r="L3870">
        <f>Data!F3883</f>
        <v>0</v>
      </c>
      <c r="M3870">
        <f>Data!G3883</f>
        <v>0</v>
      </c>
      <c r="N3870">
        <f>Data!H3883</f>
        <v>0</v>
      </c>
      <c r="O3870">
        <f>Data!I3883</f>
        <v>0</v>
      </c>
      <c r="P3870" s="21">
        <f>Data!J3887</f>
        <v>0</v>
      </c>
      <c r="Q3870">
        <f>Data!K3887</f>
        <v>0</v>
      </c>
      <c r="R3870">
        <f>Data!L3887</f>
        <v>0</v>
      </c>
      <c r="S3870">
        <f>Data!M3887</f>
        <v>0</v>
      </c>
      <c r="T3870">
        <f>Data!N3887</f>
        <v>0</v>
      </c>
      <c r="U3870">
        <f>Data!O3887</f>
        <v>0</v>
      </c>
      <c r="V3870" s="33">
        <f>Data!P3885</f>
        <v>0</v>
      </c>
    </row>
    <row r="3871" spans="7:22" x14ac:dyDescent="0.25">
      <c r="G3871">
        <f>Data!A3884</f>
        <v>0</v>
      </c>
      <c r="H3871" s="21">
        <f>Data!B3884</f>
        <v>0</v>
      </c>
      <c r="I3871" s="21">
        <f>Data!C3884</f>
        <v>0</v>
      </c>
      <c r="J3871">
        <f>Data!D3884</f>
        <v>0</v>
      </c>
      <c r="K3871">
        <f>Data!E3884</f>
        <v>0</v>
      </c>
      <c r="L3871">
        <f>Data!F3884</f>
        <v>0</v>
      </c>
      <c r="M3871">
        <f>Data!G3884</f>
        <v>0</v>
      </c>
      <c r="N3871">
        <f>Data!H3884</f>
        <v>0</v>
      </c>
      <c r="O3871">
        <f>Data!I3884</f>
        <v>0</v>
      </c>
      <c r="P3871" s="21">
        <f>Data!J3888</f>
        <v>0</v>
      </c>
      <c r="Q3871">
        <f>Data!K3888</f>
        <v>0</v>
      </c>
      <c r="R3871">
        <f>Data!L3888</f>
        <v>0</v>
      </c>
      <c r="S3871">
        <f>Data!M3888</f>
        <v>0</v>
      </c>
      <c r="T3871">
        <f>Data!N3888</f>
        <v>0</v>
      </c>
      <c r="U3871">
        <f>Data!O3888</f>
        <v>0</v>
      </c>
      <c r="V3871" s="33">
        <f>Data!P3886</f>
        <v>0</v>
      </c>
    </row>
    <row r="3872" spans="7:22" x14ac:dyDescent="0.25">
      <c r="G3872">
        <f>Data!A3885</f>
        <v>0</v>
      </c>
      <c r="H3872" s="21">
        <f>Data!B3885</f>
        <v>0</v>
      </c>
      <c r="I3872" s="21">
        <f>Data!C3885</f>
        <v>0</v>
      </c>
      <c r="J3872">
        <f>Data!D3885</f>
        <v>0</v>
      </c>
      <c r="K3872">
        <f>Data!E3885</f>
        <v>0</v>
      </c>
      <c r="L3872">
        <f>Data!F3885</f>
        <v>0</v>
      </c>
      <c r="M3872">
        <f>Data!G3885</f>
        <v>0</v>
      </c>
      <c r="N3872">
        <f>Data!H3885</f>
        <v>0</v>
      </c>
      <c r="O3872">
        <f>Data!I3885</f>
        <v>0</v>
      </c>
      <c r="P3872" s="21">
        <f>Data!J3889</f>
        <v>0</v>
      </c>
      <c r="Q3872">
        <f>Data!K3889</f>
        <v>0</v>
      </c>
      <c r="R3872">
        <f>Data!L3889</f>
        <v>0</v>
      </c>
      <c r="S3872">
        <f>Data!M3889</f>
        <v>0</v>
      </c>
      <c r="T3872">
        <f>Data!N3889</f>
        <v>0</v>
      </c>
      <c r="U3872">
        <f>Data!O3889</f>
        <v>0</v>
      </c>
      <c r="V3872" s="33">
        <f>Data!P3887</f>
        <v>0</v>
      </c>
    </row>
    <row r="3873" spans="7:22" x14ac:dyDescent="0.25">
      <c r="G3873">
        <f>Data!A3886</f>
        <v>0</v>
      </c>
      <c r="H3873" s="21">
        <f>Data!B3886</f>
        <v>0</v>
      </c>
      <c r="I3873" s="21">
        <f>Data!C3886</f>
        <v>0</v>
      </c>
      <c r="J3873">
        <f>Data!D3886</f>
        <v>0</v>
      </c>
      <c r="K3873">
        <f>Data!E3886</f>
        <v>0</v>
      </c>
      <c r="L3873">
        <f>Data!F3886</f>
        <v>0</v>
      </c>
      <c r="M3873">
        <f>Data!G3886</f>
        <v>0</v>
      </c>
      <c r="N3873">
        <f>Data!H3886</f>
        <v>0</v>
      </c>
      <c r="O3873">
        <f>Data!I3886</f>
        <v>0</v>
      </c>
      <c r="P3873" s="21">
        <f>Data!J3890</f>
        <v>0</v>
      </c>
      <c r="Q3873">
        <f>Data!K3890</f>
        <v>0</v>
      </c>
      <c r="R3873">
        <f>Data!L3890</f>
        <v>0</v>
      </c>
      <c r="S3873">
        <f>Data!M3890</f>
        <v>0</v>
      </c>
      <c r="T3873">
        <f>Data!N3890</f>
        <v>0</v>
      </c>
      <c r="U3873">
        <f>Data!O3890</f>
        <v>0</v>
      </c>
      <c r="V3873" s="33">
        <f>Data!P3888</f>
        <v>0</v>
      </c>
    </row>
    <row r="3874" spans="7:22" x14ac:dyDescent="0.25">
      <c r="G3874">
        <f>Data!A3887</f>
        <v>0</v>
      </c>
      <c r="H3874" s="21">
        <f>Data!B3887</f>
        <v>0</v>
      </c>
      <c r="I3874" s="21">
        <f>Data!C3887</f>
        <v>0</v>
      </c>
      <c r="J3874">
        <f>Data!D3887</f>
        <v>0</v>
      </c>
      <c r="K3874">
        <f>Data!E3887</f>
        <v>0</v>
      </c>
      <c r="L3874">
        <f>Data!F3887</f>
        <v>0</v>
      </c>
      <c r="M3874">
        <f>Data!G3887</f>
        <v>0</v>
      </c>
      <c r="N3874">
        <f>Data!H3887</f>
        <v>0</v>
      </c>
      <c r="O3874">
        <f>Data!I3887</f>
        <v>0</v>
      </c>
      <c r="P3874" s="21">
        <f>Data!J3891</f>
        <v>0</v>
      </c>
      <c r="Q3874">
        <f>Data!K3891</f>
        <v>0</v>
      </c>
      <c r="R3874">
        <f>Data!L3891</f>
        <v>0</v>
      </c>
      <c r="S3874">
        <f>Data!M3891</f>
        <v>0</v>
      </c>
      <c r="T3874">
        <f>Data!N3891</f>
        <v>0</v>
      </c>
      <c r="U3874">
        <f>Data!O3891</f>
        <v>0</v>
      </c>
      <c r="V3874" s="33">
        <f>Data!P3889</f>
        <v>0</v>
      </c>
    </row>
    <row r="3875" spans="7:22" x14ac:dyDescent="0.25">
      <c r="G3875">
        <f>Data!A3888</f>
        <v>0</v>
      </c>
      <c r="H3875" s="21">
        <f>Data!B3888</f>
        <v>0</v>
      </c>
      <c r="I3875" s="21">
        <f>Data!C3888</f>
        <v>0</v>
      </c>
      <c r="J3875">
        <f>Data!D3888</f>
        <v>0</v>
      </c>
      <c r="K3875">
        <f>Data!E3888</f>
        <v>0</v>
      </c>
      <c r="L3875">
        <f>Data!F3888</f>
        <v>0</v>
      </c>
      <c r="M3875">
        <f>Data!G3888</f>
        <v>0</v>
      </c>
      <c r="N3875">
        <f>Data!H3888</f>
        <v>0</v>
      </c>
      <c r="O3875">
        <f>Data!I3888</f>
        <v>0</v>
      </c>
      <c r="P3875" s="21">
        <f>Data!J3892</f>
        <v>0</v>
      </c>
      <c r="Q3875">
        <f>Data!K3892</f>
        <v>0</v>
      </c>
      <c r="R3875">
        <f>Data!L3892</f>
        <v>0</v>
      </c>
      <c r="S3875">
        <f>Data!M3892</f>
        <v>0</v>
      </c>
      <c r="T3875">
        <f>Data!N3892</f>
        <v>0</v>
      </c>
      <c r="U3875">
        <f>Data!O3892</f>
        <v>0</v>
      </c>
      <c r="V3875" s="33">
        <f>Data!P3890</f>
        <v>0</v>
      </c>
    </row>
    <row r="3876" spans="7:22" x14ac:dyDescent="0.25">
      <c r="G3876">
        <f>Data!A3889</f>
        <v>0</v>
      </c>
      <c r="H3876" s="21">
        <f>Data!B3889</f>
        <v>0</v>
      </c>
      <c r="I3876" s="21">
        <f>Data!C3889</f>
        <v>0</v>
      </c>
      <c r="J3876">
        <f>Data!D3889</f>
        <v>0</v>
      </c>
      <c r="K3876">
        <f>Data!E3889</f>
        <v>0</v>
      </c>
      <c r="L3876">
        <f>Data!F3889</f>
        <v>0</v>
      </c>
      <c r="M3876">
        <f>Data!G3889</f>
        <v>0</v>
      </c>
      <c r="N3876">
        <f>Data!H3889</f>
        <v>0</v>
      </c>
      <c r="O3876">
        <f>Data!I3889</f>
        <v>0</v>
      </c>
      <c r="P3876" s="21">
        <f>Data!J3893</f>
        <v>0</v>
      </c>
      <c r="Q3876">
        <f>Data!K3893</f>
        <v>0</v>
      </c>
      <c r="R3876">
        <f>Data!L3893</f>
        <v>0</v>
      </c>
      <c r="S3876">
        <f>Data!M3893</f>
        <v>0</v>
      </c>
      <c r="T3876">
        <f>Data!N3893</f>
        <v>0</v>
      </c>
      <c r="U3876">
        <f>Data!O3893</f>
        <v>0</v>
      </c>
      <c r="V3876" s="33">
        <f>Data!P3891</f>
        <v>0</v>
      </c>
    </row>
    <row r="3877" spans="7:22" x14ac:dyDescent="0.25">
      <c r="G3877">
        <f>Data!A3890</f>
        <v>0</v>
      </c>
      <c r="H3877" s="21">
        <f>Data!B3890</f>
        <v>0</v>
      </c>
      <c r="I3877" s="21">
        <f>Data!C3890</f>
        <v>0</v>
      </c>
      <c r="J3877">
        <f>Data!D3890</f>
        <v>0</v>
      </c>
      <c r="K3877">
        <f>Data!E3890</f>
        <v>0</v>
      </c>
      <c r="L3877">
        <f>Data!F3890</f>
        <v>0</v>
      </c>
      <c r="M3877">
        <f>Data!G3890</f>
        <v>0</v>
      </c>
      <c r="N3877">
        <f>Data!H3890</f>
        <v>0</v>
      </c>
      <c r="O3877">
        <f>Data!I3890</f>
        <v>0</v>
      </c>
      <c r="P3877" s="21">
        <f>Data!J3894</f>
        <v>0</v>
      </c>
      <c r="Q3877">
        <f>Data!K3894</f>
        <v>0</v>
      </c>
      <c r="R3877">
        <f>Data!L3894</f>
        <v>0</v>
      </c>
      <c r="S3877">
        <f>Data!M3894</f>
        <v>0</v>
      </c>
      <c r="T3877">
        <f>Data!N3894</f>
        <v>0</v>
      </c>
      <c r="U3877">
        <f>Data!O3894</f>
        <v>0</v>
      </c>
      <c r="V3877" s="33">
        <f>Data!P3892</f>
        <v>0</v>
      </c>
    </row>
    <row r="3878" spans="7:22" x14ac:dyDescent="0.25">
      <c r="G3878">
        <f>Data!A3891</f>
        <v>0</v>
      </c>
      <c r="H3878" s="21">
        <f>Data!B3891</f>
        <v>0</v>
      </c>
      <c r="I3878" s="21">
        <f>Data!C3891</f>
        <v>0</v>
      </c>
      <c r="J3878">
        <f>Data!D3891</f>
        <v>0</v>
      </c>
      <c r="K3878">
        <f>Data!E3891</f>
        <v>0</v>
      </c>
      <c r="L3878">
        <f>Data!F3891</f>
        <v>0</v>
      </c>
      <c r="M3878">
        <f>Data!G3891</f>
        <v>0</v>
      </c>
      <c r="N3878">
        <f>Data!H3891</f>
        <v>0</v>
      </c>
      <c r="O3878">
        <f>Data!I3891</f>
        <v>0</v>
      </c>
      <c r="P3878" s="21">
        <f>Data!J3895</f>
        <v>0</v>
      </c>
      <c r="Q3878">
        <f>Data!K3895</f>
        <v>0</v>
      </c>
      <c r="R3878">
        <f>Data!L3895</f>
        <v>0</v>
      </c>
      <c r="S3878">
        <f>Data!M3895</f>
        <v>0</v>
      </c>
      <c r="T3878">
        <f>Data!N3895</f>
        <v>0</v>
      </c>
      <c r="U3878">
        <f>Data!O3895</f>
        <v>0</v>
      </c>
      <c r="V3878" s="33">
        <f>Data!P3893</f>
        <v>0</v>
      </c>
    </row>
    <row r="3879" spans="7:22" x14ac:dyDescent="0.25">
      <c r="G3879">
        <f>Data!A3892</f>
        <v>0</v>
      </c>
      <c r="H3879" s="21">
        <f>Data!B3892</f>
        <v>0</v>
      </c>
      <c r="I3879" s="21">
        <f>Data!C3892</f>
        <v>0</v>
      </c>
      <c r="J3879">
        <f>Data!D3892</f>
        <v>0</v>
      </c>
      <c r="K3879">
        <f>Data!E3892</f>
        <v>0</v>
      </c>
      <c r="L3879">
        <f>Data!F3892</f>
        <v>0</v>
      </c>
      <c r="M3879">
        <f>Data!G3892</f>
        <v>0</v>
      </c>
      <c r="N3879">
        <f>Data!H3892</f>
        <v>0</v>
      </c>
      <c r="O3879">
        <f>Data!I3892</f>
        <v>0</v>
      </c>
      <c r="P3879" s="21">
        <f>Data!J3896</f>
        <v>0</v>
      </c>
      <c r="Q3879">
        <f>Data!K3896</f>
        <v>0</v>
      </c>
      <c r="R3879">
        <f>Data!L3896</f>
        <v>0</v>
      </c>
      <c r="S3879">
        <f>Data!M3896</f>
        <v>0</v>
      </c>
      <c r="T3879">
        <f>Data!N3896</f>
        <v>0</v>
      </c>
      <c r="U3879">
        <f>Data!O3896</f>
        <v>0</v>
      </c>
      <c r="V3879" s="33">
        <f>Data!P3894</f>
        <v>0</v>
      </c>
    </row>
    <row r="3880" spans="7:22" x14ac:dyDescent="0.25">
      <c r="G3880">
        <f>Data!A3893</f>
        <v>0</v>
      </c>
      <c r="H3880" s="21">
        <f>Data!B3893</f>
        <v>0</v>
      </c>
      <c r="I3880" s="21">
        <f>Data!C3893</f>
        <v>0</v>
      </c>
      <c r="J3880">
        <f>Data!D3893</f>
        <v>0</v>
      </c>
      <c r="K3880">
        <f>Data!E3893</f>
        <v>0</v>
      </c>
      <c r="L3880">
        <f>Data!F3893</f>
        <v>0</v>
      </c>
      <c r="M3880">
        <f>Data!G3893</f>
        <v>0</v>
      </c>
      <c r="N3880">
        <f>Data!H3893</f>
        <v>0</v>
      </c>
      <c r="O3880">
        <f>Data!I3893</f>
        <v>0</v>
      </c>
      <c r="P3880" s="21">
        <f>Data!J3897</f>
        <v>0</v>
      </c>
      <c r="Q3880">
        <f>Data!K3897</f>
        <v>0</v>
      </c>
      <c r="R3880">
        <f>Data!L3897</f>
        <v>0</v>
      </c>
      <c r="S3880">
        <f>Data!M3897</f>
        <v>0</v>
      </c>
      <c r="T3880">
        <f>Data!N3897</f>
        <v>0</v>
      </c>
      <c r="U3880">
        <f>Data!O3897</f>
        <v>0</v>
      </c>
      <c r="V3880" s="33">
        <f>Data!P3895</f>
        <v>0</v>
      </c>
    </row>
    <row r="3881" spans="7:22" x14ac:dyDescent="0.25">
      <c r="G3881">
        <f>Data!A3894</f>
        <v>0</v>
      </c>
      <c r="H3881" s="21">
        <f>Data!B3894</f>
        <v>0</v>
      </c>
      <c r="I3881" s="21">
        <f>Data!C3894</f>
        <v>0</v>
      </c>
      <c r="J3881">
        <f>Data!D3894</f>
        <v>0</v>
      </c>
      <c r="K3881">
        <f>Data!E3894</f>
        <v>0</v>
      </c>
      <c r="L3881">
        <f>Data!F3894</f>
        <v>0</v>
      </c>
      <c r="M3881">
        <f>Data!G3894</f>
        <v>0</v>
      </c>
      <c r="N3881">
        <f>Data!H3894</f>
        <v>0</v>
      </c>
      <c r="O3881">
        <f>Data!I3894</f>
        <v>0</v>
      </c>
      <c r="P3881" s="21">
        <f>Data!J3898</f>
        <v>0</v>
      </c>
      <c r="Q3881">
        <f>Data!K3898</f>
        <v>0</v>
      </c>
      <c r="R3881">
        <f>Data!L3898</f>
        <v>0</v>
      </c>
      <c r="S3881">
        <f>Data!M3898</f>
        <v>0</v>
      </c>
      <c r="T3881">
        <f>Data!N3898</f>
        <v>0</v>
      </c>
      <c r="U3881">
        <f>Data!O3898</f>
        <v>0</v>
      </c>
      <c r="V3881" s="33">
        <f>Data!P3896</f>
        <v>0</v>
      </c>
    </row>
    <row r="3882" spans="7:22" x14ac:dyDescent="0.25">
      <c r="G3882">
        <f>Data!A3895</f>
        <v>0</v>
      </c>
      <c r="H3882" s="21">
        <f>Data!B3895</f>
        <v>0</v>
      </c>
      <c r="I3882" s="21">
        <f>Data!C3895</f>
        <v>0</v>
      </c>
      <c r="J3882">
        <f>Data!D3895</f>
        <v>0</v>
      </c>
      <c r="K3882">
        <f>Data!E3895</f>
        <v>0</v>
      </c>
      <c r="L3882">
        <f>Data!F3895</f>
        <v>0</v>
      </c>
      <c r="M3882">
        <f>Data!G3895</f>
        <v>0</v>
      </c>
      <c r="N3882">
        <f>Data!H3895</f>
        <v>0</v>
      </c>
      <c r="O3882">
        <f>Data!I3895</f>
        <v>0</v>
      </c>
      <c r="P3882" s="21">
        <f>Data!J3899</f>
        <v>0</v>
      </c>
      <c r="Q3882">
        <f>Data!K3899</f>
        <v>0</v>
      </c>
      <c r="R3882">
        <f>Data!L3899</f>
        <v>0</v>
      </c>
      <c r="S3882">
        <f>Data!M3899</f>
        <v>0</v>
      </c>
      <c r="T3882">
        <f>Data!N3899</f>
        <v>0</v>
      </c>
      <c r="U3882">
        <f>Data!O3899</f>
        <v>0</v>
      </c>
      <c r="V3882" s="33">
        <f>Data!P3897</f>
        <v>0</v>
      </c>
    </row>
    <row r="3883" spans="7:22" x14ac:dyDescent="0.25">
      <c r="G3883">
        <f>Data!A3896</f>
        <v>0</v>
      </c>
      <c r="H3883" s="21">
        <f>Data!B3896</f>
        <v>0</v>
      </c>
      <c r="I3883" s="21">
        <f>Data!C3896</f>
        <v>0</v>
      </c>
      <c r="J3883">
        <f>Data!D3896</f>
        <v>0</v>
      </c>
      <c r="K3883">
        <f>Data!E3896</f>
        <v>0</v>
      </c>
      <c r="L3883">
        <f>Data!F3896</f>
        <v>0</v>
      </c>
      <c r="M3883">
        <f>Data!G3896</f>
        <v>0</v>
      </c>
      <c r="N3883">
        <f>Data!H3896</f>
        <v>0</v>
      </c>
      <c r="O3883">
        <f>Data!I3896</f>
        <v>0</v>
      </c>
      <c r="P3883" s="21">
        <f>Data!J3900</f>
        <v>0</v>
      </c>
      <c r="Q3883">
        <f>Data!K3900</f>
        <v>0</v>
      </c>
      <c r="R3883">
        <f>Data!L3900</f>
        <v>0</v>
      </c>
      <c r="S3883">
        <f>Data!M3900</f>
        <v>0</v>
      </c>
      <c r="T3883">
        <f>Data!N3900</f>
        <v>0</v>
      </c>
      <c r="U3883">
        <f>Data!O3900</f>
        <v>0</v>
      </c>
      <c r="V3883" s="33">
        <f>Data!P3898</f>
        <v>0</v>
      </c>
    </row>
    <row r="3884" spans="7:22" x14ac:dyDescent="0.25">
      <c r="G3884">
        <f>Data!A3897</f>
        <v>0</v>
      </c>
      <c r="H3884" s="21">
        <f>Data!B3897</f>
        <v>0</v>
      </c>
      <c r="I3884" s="21">
        <f>Data!C3897</f>
        <v>0</v>
      </c>
      <c r="J3884">
        <f>Data!D3897</f>
        <v>0</v>
      </c>
      <c r="K3884">
        <f>Data!E3897</f>
        <v>0</v>
      </c>
      <c r="L3884">
        <f>Data!F3897</f>
        <v>0</v>
      </c>
      <c r="M3884">
        <f>Data!G3897</f>
        <v>0</v>
      </c>
      <c r="N3884">
        <f>Data!H3897</f>
        <v>0</v>
      </c>
      <c r="O3884">
        <f>Data!I3897</f>
        <v>0</v>
      </c>
      <c r="P3884" s="21">
        <f>Data!J3901</f>
        <v>0</v>
      </c>
      <c r="Q3884">
        <f>Data!K3901</f>
        <v>0</v>
      </c>
      <c r="R3884">
        <f>Data!L3901</f>
        <v>0</v>
      </c>
      <c r="S3884">
        <f>Data!M3901</f>
        <v>0</v>
      </c>
      <c r="T3884">
        <f>Data!N3901</f>
        <v>0</v>
      </c>
      <c r="U3884">
        <f>Data!O3901</f>
        <v>0</v>
      </c>
      <c r="V3884" s="33">
        <f>Data!P3899</f>
        <v>0</v>
      </c>
    </row>
    <row r="3885" spans="7:22" x14ac:dyDescent="0.25">
      <c r="G3885">
        <f>Data!A3898</f>
        <v>0</v>
      </c>
      <c r="H3885" s="21">
        <f>Data!B3898</f>
        <v>0</v>
      </c>
      <c r="I3885" s="21">
        <f>Data!C3898</f>
        <v>0</v>
      </c>
      <c r="J3885">
        <f>Data!D3898</f>
        <v>0</v>
      </c>
      <c r="K3885">
        <f>Data!E3898</f>
        <v>0</v>
      </c>
      <c r="L3885">
        <f>Data!F3898</f>
        <v>0</v>
      </c>
      <c r="M3885">
        <f>Data!G3898</f>
        <v>0</v>
      </c>
      <c r="N3885">
        <f>Data!H3898</f>
        <v>0</v>
      </c>
      <c r="O3885">
        <f>Data!I3898</f>
        <v>0</v>
      </c>
      <c r="P3885" s="21">
        <f>Data!J3902</f>
        <v>0</v>
      </c>
      <c r="Q3885">
        <f>Data!K3902</f>
        <v>0</v>
      </c>
      <c r="R3885">
        <f>Data!L3902</f>
        <v>0</v>
      </c>
      <c r="S3885">
        <f>Data!M3902</f>
        <v>0</v>
      </c>
      <c r="T3885">
        <f>Data!N3902</f>
        <v>0</v>
      </c>
      <c r="U3885">
        <f>Data!O3902</f>
        <v>0</v>
      </c>
      <c r="V3885" s="33">
        <f>Data!P3900</f>
        <v>0</v>
      </c>
    </row>
    <row r="3886" spans="7:22" x14ac:dyDescent="0.25">
      <c r="G3886">
        <f>Data!A3899</f>
        <v>0</v>
      </c>
      <c r="H3886" s="21">
        <f>Data!B3899</f>
        <v>0</v>
      </c>
      <c r="I3886" s="21">
        <f>Data!C3899</f>
        <v>0</v>
      </c>
      <c r="J3886">
        <f>Data!D3899</f>
        <v>0</v>
      </c>
      <c r="K3886">
        <f>Data!E3899</f>
        <v>0</v>
      </c>
      <c r="L3886">
        <f>Data!F3899</f>
        <v>0</v>
      </c>
      <c r="M3886">
        <f>Data!G3899</f>
        <v>0</v>
      </c>
      <c r="N3886">
        <f>Data!H3899</f>
        <v>0</v>
      </c>
      <c r="O3886">
        <f>Data!I3899</f>
        <v>0</v>
      </c>
      <c r="P3886" s="21">
        <f>Data!J3903</f>
        <v>0</v>
      </c>
      <c r="Q3886">
        <f>Data!K3903</f>
        <v>0</v>
      </c>
      <c r="R3886">
        <f>Data!L3903</f>
        <v>0</v>
      </c>
      <c r="S3886">
        <f>Data!M3903</f>
        <v>0</v>
      </c>
      <c r="T3886">
        <f>Data!N3903</f>
        <v>0</v>
      </c>
      <c r="U3886">
        <f>Data!O3903</f>
        <v>0</v>
      </c>
      <c r="V3886" s="33">
        <f>Data!P3901</f>
        <v>0</v>
      </c>
    </row>
    <row r="3887" spans="7:22" x14ac:dyDescent="0.25">
      <c r="G3887">
        <f>Data!A3900</f>
        <v>0</v>
      </c>
      <c r="H3887" s="21">
        <f>Data!B3900</f>
        <v>0</v>
      </c>
      <c r="I3887" s="21">
        <f>Data!C3900</f>
        <v>0</v>
      </c>
      <c r="J3887">
        <f>Data!D3900</f>
        <v>0</v>
      </c>
      <c r="K3887">
        <f>Data!E3900</f>
        <v>0</v>
      </c>
      <c r="L3887">
        <f>Data!F3900</f>
        <v>0</v>
      </c>
      <c r="M3887">
        <f>Data!G3900</f>
        <v>0</v>
      </c>
      <c r="N3887">
        <f>Data!H3900</f>
        <v>0</v>
      </c>
      <c r="O3887">
        <f>Data!I3900</f>
        <v>0</v>
      </c>
      <c r="P3887" s="21">
        <f>Data!J3904</f>
        <v>0</v>
      </c>
      <c r="Q3887">
        <f>Data!K3904</f>
        <v>0</v>
      </c>
      <c r="R3887">
        <f>Data!L3904</f>
        <v>0</v>
      </c>
      <c r="S3887">
        <f>Data!M3904</f>
        <v>0</v>
      </c>
      <c r="T3887">
        <f>Data!N3904</f>
        <v>0</v>
      </c>
      <c r="U3887">
        <f>Data!O3904</f>
        <v>0</v>
      </c>
      <c r="V3887" s="33">
        <f>Data!P3902</f>
        <v>0</v>
      </c>
    </row>
    <row r="3888" spans="7:22" x14ac:dyDescent="0.25">
      <c r="G3888">
        <f>Data!A3901</f>
        <v>0</v>
      </c>
      <c r="H3888" s="21">
        <f>Data!B3901</f>
        <v>0</v>
      </c>
      <c r="I3888" s="21">
        <f>Data!C3901</f>
        <v>0</v>
      </c>
      <c r="J3888">
        <f>Data!D3901</f>
        <v>0</v>
      </c>
      <c r="K3888">
        <f>Data!E3901</f>
        <v>0</v>
      </c>
      <c r="L3888">
        <f>Data!F3901</f>
        <v>0</v>
      </c>
      <c r="M3888">
        <f>Data!G3901</f>
        <v>0</v>
      </c>
      <c r="N3888">
        <f>Data!H3901</f>
        <v>0</v>
      </c>
      <c r="O3888">
        <f>Data!I3901</f>
        <v>0</v>
      </c>
      <c r="P3888" s="21">
        <f>Data!J3905</f>
        <v>0</v>
      </c>
      <c r="Q3888">
        <f>Data!K3905</f>
        <v>0</v>
      </c>
      <c r="R3888">
        <f>Data!L3905</f>
        <v>0</v>
      </c>
      <c r="S3888">
        <f>Data!M3905</f>
        <v>0</v>
      </c>
      <c r="T3888">
        <f>Data!N3905</f>
        <v>0</v>
      </c>
      <c r="U3888">
        <f>Data!O3905</f>
        <v>0</v>
      </c>
      <c r="V3888" s="33">
        <f>Data!P3903</f>
        <v>0</v>
      </c>
    </row>
    <row r="3889" spans="7:22" x14ac:dyDescent="0.25">
      <c r="G3889">
        <f>Data!A3902</f>
        <v>0</v>
      </c>
      <c r="H3889" s="21">
        <f>Data!B3902</f>
        <v>0</v>
      </c>
      <c r="I3889" s="21">
        <f>Data!C3902</f>
        <v>0</v>
      </c>
      <c r="J3889">
        <f>Data!D3902</f>
        <v>0</v>
      </c>
      <c r="K3889">
        <f>Data!E3902</f>
        <v>0</v>
      </c>
      <c r="L3889">
        <f>Data!F3902</f>
        <v>0</v>
      </c>
      <c r="M3889">
        <f>Data!G3902</f>
        <v>0</v>
      </c>
      <c r="N3889">
        <f>Data!H3902</f>
        <v>0</v>
      </c>
      <c r="O3889">
        <f>Data!I3902</f>
        <v>0</v>
      </c>
      <c r="P3889" s="21">
        <f>Data!J3906</f>
        <v>0</v>
      </c>
      <c r="Q3889">
        <f>Data!K3906</f>
        <v>0</v>
      </c>
      <c r="R3889">
        <f>Data!L3906</f>
        <v>0</v>
      </c>
      <c r="S3889">
        <f>Data!M3906</f>
        <v>0</v>
      </c>
      <c r="T3889">
        <f>Data!N3906</f>
        <v>0</v>
      </c>
      <c r="U3889">
        <f>Data!O3906</f>
        <v>0</v>
      </c>
      <c r="V3889" s="33">
        <f>Data!P3904</f>
        <v>0</v>
      </c>
    </row>
    <row r="3890" spans="7:22" x14ac:dyDescent="0.25">
      <c r="G3890">
        <f>Data!A3903</f>
        <v>0</v>
      </c>
      <c r="H3890" s="21">
        <f>Data!B3903</f>
        <v>0</v>
      </c>
      <c r="I3890" s="21">
        <f>Data!C3903</f>
        <v>0</v>
      </c>
      <c r="J3890">
        <f>Data!D3903</f>
        <v>0</v>
      </c>
      <c r="K3890">
        <f>Data!E3903</f>
        <v>0</v>
      </c>
      <c r="L3890">
        <f>Data!F3903</f>
        <v>0</v>
      </c>
      <c r="M3890">
        <f>Data!G3903</f>
        <v>0</v>
      </c>
      <c r="N3890">
        <f>Data!H3903</f>
        <v>0</v>
      </c>
      <c r="O3890">
        <f>Data!I3903</f>
        <v>0</v>
      </c>
      <c r="P3890" s="21">
        <f>Data!J3907</f>
        <v>0</v>
      </c>
      <c r="Q3890">
        <f>Data!K3907</f>
        <v>0</v>
      </c>
      <c r="R3890">
        <f>Data!L3907</f>
        <v>0</v>
      </c>
      <c r="S3890">
        <f>Data!M3907</f>
        <v>0</v>
      </c>
      <c r="T3890">
        <f>Data!N3907</f>
        <v>0</v>
      </c>
      <c r="U3890">
        <f>Data!O3907</f>
        <v>0</v>
      </c>
      <c r="V3890" s="33">
        <f>Data!P3905</f>
        <v>0</v>
      </c>
    </row>
    <row r="3891" spans="7:22" x14ac:dyDescent="0.25">
      <c r="G3891">
        <f>Data!A3904</f>
        <v>0</v>
      </c>
      <c r="H3891" s="21">
        <f>Data!B3904</f>
        <v>0</v>
      </c>
      <c r="I3891" s="21">
        <f>Data!C3904</f>
        <v>0</v>
      </c>
      <c r="J3891">
        <f>Data!D3904</f>
        <v>0</v>
      </c>
      <c r="K3891">
        <f>Data!E3904</f>
        <v>0</v>
      </c>
      <c r="L3891">
        <f>Data!F3904</f>
        <v>0</v>
      </c>
      <c r="M3891">
        <f>Data!G3904</f>
        <v>0</v>
      </c>
      <c r="N3891">
        <f>Data!H3904</f>
        <v>0</v>
      </c>
      <c r="O3891">
        <f>Data!I3904</f>
        <v>0</v>
      </c>
      <c r="P3891" s="21">
        <f>Data!J3908</f>
        <v>0</v>
      </c>
      <c r="Q3891">
        <f>Data!K3908</f>
        <v>0</v>
      </c>
      <c r="R3891">
        <f>Data!L3908</f>
        <v>0</v>
      </c>
      <c r="S3891">
        <f>Data!M3908</f>
        <v>0</v>
      </c>
      <c r="T3891">
        <f>Data!N3908</f>
        <v>0</v>
      </c>
      <c r="U3891">
        <f>Data!O3908</f>
        <v>0</v>
      </c>
      <c r="V3891" s="33">
        <f>Data!P3906</f>
        <v>0</v>
      </c>
    </row>
    <row r="3892" spans="7:22" x14ac:dyDescent="0.25">
      <c r="G3892">
        <f>Data!A3905</f>
        <v>0</v>
      </c>
      <c r="H3892" s="21">
        <f>Data!B3905</f>
        <v>0</v>
      </c>
      <c r="I3892" s="21">
        <f>Data!C3905</f>
        <v>0</v>
      </c>
      <c r="J3892">
        <f>Data!D3905</f>
        <v>0</v>
      </c>
      <c r="K3892">
        <f>Data!E3905</f>
        <v>0</v>
      </c>
      <c r="L3892">
        <f>Data!F3905</f>
        <v>0</v>
      </c>
      <c r="M3892">
        <f>Data!G3905</f>
        <v>0</v>
      </c>
      <c r="N3892">
        <f>Data!H3905</f>
        <v>0</v>
      </c>
      <c r="O3892">
        <f>Data!I3905</f>
        <v>0</v>
      </c>
      <c r="P3892" s="21">
        <f>Data!J3909</f>
        <v>0</v>
      </c>
      <c r="Q3892">
        <f>Data!K3909</f>
        <v>0</v>
      </c>
      <c r="R3892">
        <f>Data!L3909</f>
        <v>0</v>
      </c>
      <c r="S3892">
        <f>Data!M3909</f>
        <v>0</v>
      </c>
      <c r="T3892">
        <f>Data!N3909</f>
        <v>0</v>
      </c>
      <c r="U3892">
        <f>Data!O3909</f>
        <v>0</v>
      </c>
      <c r="V3892" s="33">
        <f>Data!P3907</f>
        <v>0</v>
      </c>
    </row>
    <row r="3893" spans="7:22" x14ac:dyDescent="0.25">
      <c r="G3893">
        <f>Data!A3906</f>
        <v>0</v>
      </c>
      <c r="H3893" s="21">
        <f>Data!B3906</f>
        <v>0</v>
      </c>
      <c r="I3893" s="21">
        <f>Data!C3906</f>
        <v>0</v>
      </c>
      <c r="J3893">
        <f>Data!D3906</f>
        <v>0</v>
      </c>
      <c r="K3893">
        <f>Data!E3906</f>
        <v>0</v>
      </c>
      <c r="L3893">
        <f>Data!F3906</f>
        <v>0</v>
      </c>
      <c r="M3893">
        <f>Data!G3906</f>
        <v>0</v>
      </c>
      <c r="N3893">
        <f>Data!H3906</f>
        <v>0</v>
      </c>
      <c r="O3893">
        <f>Data!I3906</f>
        <v>0</v>
      </c>
      <c r="P3893" s="21">
        <f>Data!J3910</f>
        <v>0</v>
      </c>
      <c r="Q3893">
        <f>Data!K3910</f>
        <v>0</v>
      </c>
      <c r="R3893">
        <f>Data!L3910</f>
        <v>0</v>
      </c>
      <c r="S3893">
        <f>Data!M3910</f>
        <v>0</v>
      </c>
      <c r="T3893">
        <f>Data!N3910</f>
        <v>0</v>
      </c>
      <c r="U3893">
        <f>Data!O3910</f>
        <v>0</v>
      </c>
      <c r="V3893" s="33">
        <f>Data!P3908</f>
        <v>0</v>
      </c>
    </row>
    <row r="3894" spans="7:22" x14ac:dyDescent="0.25">
      <c r="G3894">
        <f>Data!A3907</f>
        <v>0</v>
      </c>
      <c r="H3894" s="21">
        <f>Data!B3907</f>
        <v>0</v>
      </c>
      <c r="I3894" s="21">
        <f>Data!C3907</f>
        <v>0</v>
      </c>
      <c r="J3894">
        <f>Data!D3907</f>
        <v>0</v>
      </c>
      <c r="K3894">
        <f>Data!E3907</f>
        <v>0</v>
      </c>
      <c r="L3894">
        <f>Data!F3907</f>
        <v>0</v>
      </c>
      <c r="M3894">
        <f>Data!G3907</f>
        <v>0</v>
      </c>
      <c r="N3894">
        <f>Data!H3907</f>
        <v>0</v>
      </c>
      <c r="O3894">
        <f>Data!I3907</f>
        <v>0</v>
      </c>
      <c r="P3894" s="21">
        <f>Data!J3911</f>
        <v>0</v>
      </c>
      <c r="Q3894">
        <f>Data!K3911</f>
        <v>0</v>
      </c>
      <c r="R3894">
        <f>Data!L3911</f>
        <v>0</v>
      </c>
      <c r="S3894">
        <f>Data!M3911</f>
        <v>0</v>
      </c>
      <c r="T3894">
        <f>Data!N3911</f>
        <v>0</v>
      </c>
      <c r="U3894">
        <f>Data!O3911</f>
        <v>0</v>
      </c>
      <c r="V3894" s="33">
        <f>Data!P3909</f>
        <v>0</v>
      </c>
    </row>
    <row r="3895" spans="7:22" x14ac:dyDescent="0.25">
      <c r="G3895">
        <f>Data!A3908</f>
        <v>0</v>
      </c>
      <c r="H3895" s="21">
        <f>Data!B3908</f>
        <v>0</v>
      </c>
      <c r="I3895" s="21">
        <f>Data!C3908</f>
        <v>0</v>
      </c>
      <c r="J3895">
        <f>Data!D3908</f>
        <v>0</v>
      </c>
      <c r="K3895">
        <f>Data!E3908</f>
        <v>0</v>
      </c>
      <c r="L3895">
        <f>Data!F3908</f>
        <v>0</v>
      </c>
      <c r="M3895">
        <f>Data!G3908</f>
        <v>0</v>
      </c>
      <c r="N3895">
        <f>Data!H3908</f>
        <v>0</v>
      </c>
      <c r="O3895">
        <f>Data!I3908</f>
        <v>0</v>
      </c>
      <c r="P3895" s="21">
        <f>Data!J3912</f>
        <v>0</v>
      </c>
      <c r="Q3895">
        <f>Data!K3912</f>
        <v>0</v>
      </c>
      <c r="R3895">
        <f>Data!L3912</f>
        <v>0</v>
      </c>
      <c r="S3895">
        <f>Data!M3912</f>
        <v>0</v>
      </c>
      <c r="T3895">
        <f>Data!N3912</f>
        <v>0</v>
      </c>
      <c r="U3895">
        <f>Data!O3912</f>
        <v>0</v>
      </c>
      <c r="V3895" s="33">
        <f>Data!P3910</f>
        <v>0</v>
      </c>
    </row>
    <row r="3896" spans="7:22" x14ac:dyDescent="0.25">
      <c r="G3896">
        <f>Data!A3909</f>
        <v>0</v>
      </c>
      <c r="H3896" s="21">
        <f>Data!B3909</f>
        <v>0</v>
      </c>
      <c r="I3896" s="21">
        <f>Data!C3909</f>
        <v>0</v>
      </c>
      <c r="J3896">
        <f>Data!D3909</f>
        <v>0</v>
      </c>
      <c r="K3896">
        <f>Data!E3909</f>
        <v>0</v>
      </c>
      <c r="L3896">
        <f>Data!F3909</f>
        <v>0</v>
      </c>
      <c r="M3896">
        <f>Data!G3909</f>
        <v>0</v>
      </c>
      <c r="N3896">
        <f>Data!H3909</f>
        <v>0</v>
      </c>
      <c r="O3896">
        <f>Data!I3909</f>
        <v>0</v>
      </c>
      <c r="P3896" s="21">
        <f>Data!J3913</f>
        <v>0</v>
      </c>
      <c r="Q3896">
        <f>Data!K3913</f>
        <v>0</v>
      </c>
      <c r="R3896">
        <f>Data!L3913</f>
        <v>0</v>
      </c>
      <c r="S3896">
        <f>Data!M3913</f>
        <v>0</v>
      </c>
      <c r="T3896">
        <f>Data!N3913</f>
        <v>0</v>
      </c>
      <c r="U3896">
        <f>Data!O3913</f>
        <v>0</v>
      </c>
      <c r="V3896" s="33">
        <f>Data!P3911</f>
        <v>0</v>
      </c>
    </row>
    <row r="3897" spans="7:22" x14ac:dyDescent="0.25">
      <c r="G3897">
        <f>Data!A3910</f>
        <v>0</v>
      </c>
      <c r="H3897" s="21">
        <f>Data!B3910</f>
        <v>0</v>
      </c>
      <c r="I3897" s="21">
        <f>Data!C3910</f>
        <v>0</v>
      </c>
      <c r="J3897">
        <f>Data!D3910</f>
        <v>0</v>
      </c>
      <c r="K3897">
        <f>Data!E3910</f>
        <v>0</v>
      </c>
      <c r="L3897">
        <f>Data!F3910</f>
        <v>0</v>
      </c>
      <c r="M3897">
        <f>Data!G3910</f>
        <v>0</v>
      </c>
      <c r="N3897">
        <f>Data!H3910</f>
        <v>0</v>
      </c>
      <c r="O3897">
        <f>Data!I3910</f>
        <v>0</v>
      </c>
      <c r="P3897" s="21">
        <f>Data!J3914</f>
        <v>0</v>
      </c>
      <c r="Q3897">
        <f>Data!K3914</f>
        <v>0</v>
      </c>
      <c r="R3897">
        <f>Data!L3914</f>
        <v>0</v>
      </c>
      <c r="S3897">
        <f>Data!M3914</f>
        <v>0</v>
      </c>
      <c r="T3897">
        <f>Data!N3914</f>
        <v>0</v>
      </c>
      <c r="U3897">
        <f>Data!O3914</f>
        <v>0</v>
      </c>
      <c r="V3897" s="33">
        <f>Data!P3912</f>
        <v>0</v>
      </c>
    </row>
    <row r="3898" spans="7:22" x14ac:dyDescent="0.25">
      <c r="G3898">
        <f>Data!A3911</f>
        <v>0</v>
      </c>
      <c r="H3898" s="21">
        <f>Data!B3911</f>
        <v>0</v>
      </c>
      <c r="I3898" s="21">
        <f>Data!C3911</f>
        <v>0</v>
      </c>
      <c r="J3898">
        <f>Data!D3911</f>
        <v>0</v>
      </c>
      <c r="K3898">
        <f>Data!E3911</f>
        <v>0</v>
      </c>
      <c r="L3898">
        <f>Data!F3911</f>
        <v>0</v>
      </c>
      <c r="M3898">
        <f>Data!G3911</f>
        <v>0</v>
      </c>
      <c r="N3898">
        <f>Data!H3911</f>
        <v>0</v>
      </c>
      <c r="O3898">
        <f>Data!I3911</f>
        <v>0</v>
      </c>
      <c r="P3898" s="21">
        <f>Data!J3915</f>
        <v>0</v>
      </c>
      <c r="Q3898">
        <f>Data!K3915</f>
        <v>0</v>
      </c>
      <c r="R3898">
        <f>Data!L3915</f>
        <v>0</v>
      </c>
      <c r="S3898">
        <f>Data!M3915</f>
        <v>0</v>
      </c>
      <c r="T3898">
        <f>Data!N3915</f>
        <v>0</v>
      </c>
      <c r="U3898">
        <f>Data!O3915</f>
        <v>0</v>
      </c>
      <c r="V3898" s="33">
        <f>Data!P3913</f>
        <v>0</v>
      </c>
    </row>
    <row r="3899" spans="7:22" x14ac:dyDescent="0.25">
      <c r="G3899">
        <f>Data!A3912</f>
        <v>0</v>
      </c>
      <c r="H3899" s="21">
        <f>Data!B3912</f>
        <v>0</v>
      </c>
      <c r="I3899" s="21">
        <f>Data!C3912</f>
        <v>0</v>
      </c>
      <c r="J3899">
        <f>Data!D3912</f>
        <v>0</v>
      </c>
      <c r="K3899">
        <f>Data!E3912</f>
        <v>0</v>
      </c>
      <c r="L3899">
        <f>Data!F3912</f>
        <v>0</v>
      </c>
      <c r="M3899">
        <f>Data!G3912</f>
        <v>0</v>
      </c>
      <c r="N3899">
        <f>Data!H3912</f>
        <v>0</v>
      </c>
      <c r="O3899">
        <f>Data!I3912</f>
        <v>0</v>
      </c>
      <c r="P3899" s="21">
        <f>Data!J3916</f>
        <v>0</v>
      </c>
      <c r="Q3899">
        <f>Data!K3916</f>
        <v>0</v>
      </c>
      <c r="R3899">
        <f>Data!L3916</f>
        <v>0</v>
      </c>
      <c r="S3899">
        <f>Data!M3916</f>
        <v>0</v>
      </c>
      <c r="T3899">
        <f>Data!N3916</f>
        <v>0</v>
      </c>
      <c r="U3899">
        <f>Data!O3916</f>
        <v>0</v>
      </c>
      <c r="V3899" s="33">
        <f>Data!P3914</f>
        <v>0</v>
      </c>
    </row>
    <row r="3900" spans="7:22" x14ac:dyDescent="0.25">
      <c r="G3900">
        <f>Data!A3913</f>
        <v>0</v>
      </c>
      <c r="H3900" s="21">
        <f>Data!B3913</f>
        <v>0</v>
      </c>
      <c r="I3900" s="21">
        <f>Data!C3913</f>
        <v>0</v>
      </c>
      <c r="J3900">
        <f>Data!D3913</f>
        <v>0</v>
      </c>
      <c r="K3900">
        <f>Data!E3913</f>
        <v>0</v>
      </c>
      <c r="L3900">
        <f>Data!F3913</f>
        <v>0</v>
      </c>
      <c r="M3900">
        <f>Data!G3913</f>
        <v>0</v>
      </c>
      <c r="N3900">
        <f>Data!H3913</f>
        <v>0</v>
      </c>
      <c r="O3900">
        <f>Data!I3913</f>
        <v>0</v>
      </c>
      <c r="P3900" s="21">
        <f>Data!J3917</f>
        <v>0</v>
      </c>
      <c r="Q3900">
        <f>Data!K3917</f>
        <v>0</v>
      </c>
      <c r="R3900">
        <f>Data!L3917</f>
        <v>0</v>
      </c>
      <c r="S3900">
        <f>Data!M3917</f>
        <v>0</v>
      </c>
      <c r="T3900">
        <f>Data!N3917</f>
        <v>0</v>
      </c>
      <c r="U3900">
        <f>Data!O3917</f>
        <v>0</v>
      </c>
      <c r="V3900" s="33">
        <f>Data!P3915</f>
        <v>0</v>
      </c>
    </row>
    <row r="3901" spans="7:22" x14ac:dyDescent="0.25">
      <c r="G3901">
        <f>Data!A3914</f>
        <v>0</v>
      </c>
      <c r="H3901" s="21">
        <f>Data!B3914</f>
        <v>0</v>
      </c>
      <c r="I3901" s="21">
        <f>Data!C3914</f>
        <v>0</v>
      </c>
      <c r="J3901">
        <f>Data!D3914</f>
        <v>0</v>
      </c>
      <c r="K3901">
        <f>Data!E3914</f>
        <v>0</v>
      </c>
      <c r="L3901">
        <f>Data!F3914</f>
        <v>0</v>
      </c>
      <c r="M3901">
        <f>Data!G3914</f>
        <v>0</v>
      </c>
      <c r="N3901">
        <f>Data!H3914</f>
        <v>0</v>
      </c>
      <c r="O3901">
        <f>Data!I3914</f>
        <v>0</v>
      </c>
      <c r="P3901" s="21">
        <f>Data!J3918</f>
        <v>0</v>
      </c>
      <c r="Q3901">
        <f>Data!K3918</f>
        <v>0</v>
      </c>
      <c r="R3901">
        <f>Data!L3918</f>
        <v>0</v>
      </c>
      <c r="S3901">
        <f>Data!M3918</f>
        <v>0</v>
      </c>
      <c r="T3901">
        <f>Data!N3918</f>
        <v>0</v>
      </c>
      <c r="U3901">
        <f>Data!O3918</f>
        <v>0</v>
      </c>
      <c r="V3901" s="33">
        <f>Data!P3916</f>
        <v>0</v>
      </c>
    </row>
    <row r="3902" spans="7:22" x14ac:dyDescent="0.25">
      <c r="G3902">
        <f>Data!A3915</f>
        <v>0</v>
      </c>
      <c r="H3902" s="21">
        <f>Data!B3915</f>
        <v>0</v>
      </c>
      <c r="I3902" s="21">
        <f>Data!C3915</f>
        <v>0</v>
      </c>
      <c r="J3902">
        <f>Data!D3915</f>
        <v>0</v>
      </c>
      <c r="K3902">
        <f>Data!E3915</f>
        <v>0</v>
      </c>
      <c r="L3902">
        <f>Data!F3915</f>
        <v>0</v>
      </c>
      <c r="M3902">
        <f>Data!G3915</f>
        <v>0</v>
      </c>
      <c r="N3902">
        <f>Data!H3915</f>
        <v>0</v>
      </c>
      <c r="O3902">
        <f>Data!I3915</f>
        <v>0</v>
      </c>
      <c r="P3902" s="21">
        <f>Data!J3919</f>
        <v>0</v>
      </c>
      <c r="Q3902">
        <f>Data!K3919</f>
        <v>0</v>
      </c>
      <c r="R3902">
        <f>Data!L3919</f>
        <v>0</v>
      </c>
      <c r="S3902">
        <f>Data!M3919</f>
        <v>0</v>
      </c>
      <c r="T3902">
        <f>Data!N3919</f>
        <v>0</v>
      </c>
      <c r="U3902">
        <f>Data!O3919</f>
        <v>0</v>
      </c>
      <c r="V3902" s="33">
        <f>Data!P3917</f>
        <v>0</v>
      </c>
    </row>
    <row r="3903" spans="7:22" x14ac:dyDescent="0.25">
      <c r="G3903">
        <f>Data!A3916</f>
        <v>0</v>
      </c>
      <c r="H3903" s="21">
        <f>Data!B3916</f>
        <v>0</v>
      </c>
      <c r="I3903" s="21">
        <f>Data!C3916</f>
        <v>0</v>
      </c>
      <c r="J3903">
        <f>Data!D3916</f>
        <v>0</v>
      </c>
      <c r="K3903">
        <f>Data!E3916</f>
        <v>0</v>
      </c>
      <c r="L3903">
        <f>Data!F3916</f>
        <v>0</v>
      </c>
      <c r="M3903">
        <f>Data!G3916</f>
        <v>0</v>
      </c>
      <c r="N3903">
        <f>Data!H3916</f>
        <v>0</v>
      </c>
      <c r="O3903">
        <f>Data!I3916</f>
        <v>0</v>
      </c>
      <c r="P3903" s="21">
        <f>Data!J3920</f>
        <v>0</v>
      </c>
      <c r="Q3903">
        <f>Data!K3920</f>
        <v>0</v>
      </c>
      <c r="R3903">
        <f>Data!L3920</f>
        <v>0</v>
      </c>
      <c r="S3903">
        <f>Data!M3920</f>
        <v>0</v>
      </c>
      <c r="T3903">
        <f>Data!N3920</f>
        <v>0</v>
      </c>
      <c r="U3903">
        <f>Data!O3920</f>
        <v>0</v>
      </c>
      <c r="V3903" s="33">
        <f>Data!P3918</f>
        <v>0</v>
      </c>
    </row>
    <row r="3904" spans="7:22" x14ac:dyDescent="0.25">
      <c r="G3904">
        <f>Data!A3917</f>
        <v>0</v>
      </c>
      <c r="H3904" s="21">
        <f>Data!B3917</f>
        <v>0</v>
      </c>
      <c r="I3904" s="21">
        <f>Data!C3917</f>
        <v>0</v>
      </c>
      <c r="J3904">
        <f>Data!D3917</f>
        <v>0</v>
      </c>
      <c r="K3904">
        <f>Data!E3917</f>
        <v>0</v>
      </c>
      <c r="L3904">
        <f>Data!F3917</f>
        <v>0</v>
      </c>
      <c r="M3904">
        <f>Data!G3917</f>
        <v>0</v>
      </c>
      <c r="N3904">
        <f>Data!H3917</f>
        <v>0</v>
      </c>
      <c r="O3904">
        <f>Data!I3917</f>
        <v>0</v>
      </c>
      <c r="P3904" s="21">
        <f>Data!J3921</f>
        <v>0</v>
      </c>
      <c r="Q3904">
        <f>Data!K3921</f>
        <v>0</v>
      </c>
      <c r="R3904">
        <f>Data!L3921</f>
        <v>0</v>
      </c>
      <c r="S3904">
        <f>Data!M3921</f>
        <v>0</v>
      </c>
      <c r="T3904">
        <f>Data!N3921</f>
        <v>0</v>
      </c>
      <c r="U3904">
        <f>Data!O3921</f>
        <v>0</v>
      </c>
      <c r="V3904" s="33">
        <f>Data!P3919</f>
        <v>0</v>
      </c>
    </row>
    <row r="3905" spans="7:22" x14ac:dyDescent="0.25">
      <c r="G3905">
        <f>Data!A3918</f>
        <v>0</v>
      </c>
      <c r="H3905" s="21">
        <f>Data!B3918</f>
        <v>0</v>
      </c>
      <c r="I3905" s="21">
        <f>Data!C3918</f>
        <v>0</v>
      </c>
      <c r="J3905">
        <f>Data!D3918</f>
        <v>0</v>
      </c>
      <c r="K3905">
        <f>Data!E3918</f>
        <v>0</v>
      </c>
      <c r="L3905">
        <f>Data!F3918</f>
        <v>0</v>
      </c>
      <c r="M3905">
        <f>Data!G3918</f>
        <v>0</v>
      </c>
      <c r="N3905">
        <f>Data!H3918</f>
        <v>0</v>
      </c>
      <c r="O3905">
        <f>Data!I3918</f>
        <v>0</v>
      </c>
      <c r="P3905" s="21">
        <f>Data!J3922</f>
        <v>0</v>
      </c>
      <c r="Q3905">
        <f>Data!K3922</f>
        <v>0</v>
      </c>
      <c r="R3905">
        <f>Data!L3922</f>
        <v>0</v>
      </c>
      <c r="S3905">
        <f>Data!M3922</f>
        <v>0</v>
      </c>
      <c r="T3905">
        <f>Data!N3922</f>
        <v>0</v>
      </c>
      <c r="U3905">
        <f>Data!O3922</f>
        <v>0</v>
      </c>
      <c r="V3905" s="33">
        <f>Data!P3920</f>
        <v>0</v>
      </c>
    </row>
    <row r="3906" spans="7:22" x14ac:dyDescent="0.25">
      <c r="G3906">
        <f>Data!A3919</f>
        <v>0</v>
      </c>
      <c r="H3906" s="21">
        <f>Data!B3919</f>
        <v>0</v>
      </c>
      <c r="I3906" s="21">
        <f>Data!C3919</f>
        <v>0</v>
      </c>
      <c r="J3906">
        <f>Data!D3919</f>
        <v>0</v>
      </c>
      <c r="K3906">
        <f>Data!E3919</f>
        <v>0</v>
      </c>
      <c r="L3906">
        <f>Data!F3919</f>
        <v>0</v>
      </c>
      <c r="M3906">
        <f>Data!G3919</f>
        <v>0</v>
      </c>
      <c r="N3906">
        <f>Data!H3919</f>
        <v>0</v>
      </c>
      <c r="O3906">
        <f>Data!I3919</f>
        <v>0</v>
      </c>
      <c r="P3906" s="21">
        <f>Data!J3923</f>
        <v>0</v>
      </c>
      <c r="Q3906">
        <f>Data!K3923</f>
        <v>0</v>
      </c>
      <c r="R3906">
        <f>Data!L3923</f>
        <v>0</v>
      </c>
      <c r="S3906">
        <f>Data!M3923</f>
        <v>0</v>
      </c>
      <c r="T3906">
        <f>Data!N3923</f>
        <v>0</v>
      </c>
      <c r="U3906">
        <f>Data!O3923</f>
        <v>0</v>
      </c>
      <c r="V3906" s="33">
        <f>Data!P3921</f>
        <v>0</v>
      </c>
    </row>
    <row r="3907" spans="7:22" x14ac:dyDescent="0.25">
      <c r="G3907">
        <f>Data!A3920</f>
        <v>0</v>
      </c>
      <c r="H3907" s="21">
        <f>Data!B3920</f>
        <v>0</v>
      </c>
      <c r="I3907" s="21">
        <f>Data!C3920</f>
        <v>0</v>
      </c>
      <c r="J3907">
        <f>Data!D3920</f>
        <v>0</v>
      </c>
      <c r="K3907">
        <f>Data!E3920</f>
        <v>0</v>
      </c>
      <c r="L3907">
        <f>Data!F3920</f>
        <v>0</v>
      </c>
      <c r="M3907">
        <f>Data!G3920</f>
        <v>0</v>
      </c>
      <c r="N3907">
        <f>Data!H3920</f>
        <v>0</v>
      </c>
      <c r="O3907">
        <f>Data!I3920</f>
        <v>0</v>
      </c>
      <c r="P3907" s="21">
        <f>Data!J3924</f>
        <v>0</v>
      </c>
      <c r="Q3907">
        <f>Data!K3924</f>
        <v>0</v>
      </c>
      <c r="R3907">
        <f>Data!L3924</f>
        <v>0</v>
      </c>
      <c r="S3907">
        <f>Data!M3924</f>
        <v>0</v>
      </c>
      <c r="T3907">
        <f>Data!N3924</f>
        <v>0</v>
      </c>
      <c r="U3907">
        <f>Data!O3924</f>
        <v>0</v>
      </c>
      <c r="V3907" s="33">
        <f>Data!P3922</f>
        <v>0</v>
      </c>
    </row>
    <row r="3908" spans="7:22" x14ac:dyDescent="0.25">
      <c r="G3908">
        <f>Data!A3921</f>
        <v>0</v>
      </c>
      <c r="H3908" s="21">
        <f>Data!B3921</f>
        <v>0</v>
      </c>
      <c r="I3908" s="21">
        <f>Data!C3921</f>
        <v>0</v>
      </c>
      <c r="J3908">
        <f>Data!D3921</f>
        <v>0</v>
      </c>
      <c r="K3908">
        <f>Data!E3921</f>
        <v>0</v>
      </c>
      <c r="L3908">
        <f>Data!F3921</f>
        <v>0</v>
      </c>
      <c r="M3908">
        <f>Data!G3921</f>
        <v>0</v>
      </c>
      <c r="N3908">
        <f>Data!H3921</f>
        <v>0</v>
      </c>
      <c r="O3908">
        <f>Data!I3921</f>
        <v>0</v>
      </c>
      <c r="P3908" s="21">
        <f>Data!J3925</f>
        <v>0</v>
      </c>
      <c r="Q3908">
        <f>Data!K3925</f>
        <v>0</v>
      </c>
      <c r="R3908">
        <f>Data!L3925</f>
        <v>0</v>
      </c>
      <c r="S3908">
        <f>Data!M3925</f>
        <v>0</v>
      </c>
      <c r="T3908">
        <f>Data!N3925</f>
        <v>0</v>
      </c>
      <c r="U3908">
        <f>Data!O3925</f>
        <v>0</v>
      </c>
      <c r="V3908" s="33">
        <f>Data!P3923</f>
        <v>0</v>
      </c>
    </row>
    <row r="3909" spans="7:22" x14ac:dyDescent="0.25">
      <c r="G3909">
        <f>Data!A3922</f>
        <v>0</v>
      </c>
      <c r="H3909" s="21">
        <f>Data!B3922</f>
        <v>0</v>
      </c>
      <c r="I3909" s="21">
        <f>Data!C3922</f>
        <v>0</v>
      </c>
      <c r="J3909">
        <f>Data!D3922</f>
        <v>0</v>
      </c>
      <c r="K3909">
        <f>Data!E3922</f>
        <v>0</v>
      </c>
      <c r="L3909">
        <f>Data!F3922</f>
        <v>0</v>
      </c>
      <c r="M3909">
        <f>Data!G3922</f>
        <v>0</v>
      </c>
      <c r="N3909">
        <f>Data!H3922</f>
        <v>0</v>
      </c>
      <c r="O3909">
        <f>Data!I3922</f>
        <v>0</v>
      </c>
      <c r="P3909" s="21">
        <f>Data!J3926</f>
        <v>0</v>
      </c>
      <c r="Q3909">
        <f>Data!K3926</f>
        <v>0</v>
      </c>
      <c r="R3909">
        <f>Data!L3926</f>
        <v>0</v>
      </c>
      <c r="S3909">
        <f>Data!M3926</f>
        <v>0</v>
      </c>
      <c r="T3909">
        <f>Data!N3926</f>
        <v>0</v>
      </c>
      <c r="U3909">
        <f>Data!O3926</f>
        <v>0</v>
      </c>
      <c r="V3909" s="33">
        <f>Data!P3924</f>
        <v>0</v>
      </c>
    </row>
    <row r="3910" spans="7:22" x14ac:dyDescent="0.25">
      <c r="G3910">
        <f>Data!A3923</f>
        <v>0</v>
      </c>
      <c r="H3910" s="21">
        <f>Data!B3923</f>
        <v>0</v>
      </c>
      <c r="I3910" s="21">
        <f>Data!C3923</f>
        <v>0</v>
      </c>
      <c r="J3910">
        <f>Data!D3923</f>
        <v>0</v>
      </c>
      <c r="K3910">
        <f>Data!E3923</f>
        <v>0</v>
      </c>
      <c r="L3910">
        <f>Data!F3923</f>
        <v>0</v>
      </c>
      <c r="M3910">
        <f>Data!G3923</f>
        <v>0</v>
      </c>
      <c r="N3910">
        <f>Data!H3923</f>
        <v>0</v>
      </c>
      <c r="O3910">
        <f>Data!I3923</f>
        <v>0</v>
      </c>
      <c r="P3910" s="21">
        <f>Data!J3927</f>
        <v>0</v>
      </c>
      <c r="Q3910">
        <f>Data!K3927</f>
        <v>0</v>
      </c>
      <c r="R3910">
        <f>Data!L3927</f>
        <v>0</v>
      </c>
      <c r="S3910">
        <f>Data!M3927</f>
        <v>0</v>
      </c>
      <c r="T3910">
        <f>Data!N3927</f>
        <v>0</v>
      </c>
      <c r="U3910">
        <f>Data!O3927</f>
        <v>0</v>
      </c>
      <c r="V3910" s="33">
        <f>Data!P3925</f>
        <v>0</v>
      </c>
    </row>
    <row r="3911" spans="7:22" x14ac:dyDescent="0.25">
      <c r="G3911">
        <f>Data!A3924</f>
        <v>0</v>
      </c>
      <c r="H3911" s="21">
        <f>Data!B3924</f>
        <v>0</v>
      </c>
      <c r="I3911" s="21">
        <f>Data!C3924</f>
        <v>0</v>
      </c>
      <c r="J3911">
        <f>Data!D3924</f>
        <v>0</v>
      </c>
      <c r="K3911">
        <f>Data!E3924</f>
        <v>0</v>
      </c>
      <c r="L3911">
        <f>Data!F3924</f>
        <v>0</v>
      </c>
      <c r="M3911">
        <f>Data!G3924</f>
        <v>0</v>
      </c>
      <c r="N3911">
        <f>Data!H3924</f>
        <v>0</v>
      </c>
      <c r="O3911">
        <f>Data!I3924</f>
        <v>0</v>
      </c>
      <c r="P3911" s="21">
        <f>Data!J3928</f>
        <v>0</v>
      </c>
      <c r="Q3911">
        <f>Data!K3928</f>
        <v>0</v>
      </c>
      <c r="R3911">
        <f>Data!L3928</f>
        <v>0</v>
      </c>
      <c r="S3911">
        <f>Data!M3928</f>
        <v>0</v>
      </c>
      <c r="T3911">
        <f>Data!N3928</f>
        <v>0</v>
      </c>
      <c r="U3911">
        <f>Data!O3928</f>
        <v>0</v>
      </c>
      <c r="V3911" s="33">
        <f>Data!P3926</f>
        <v>0</v>
      </c>
    </row>
    <row r="3912" spans="7:22" x14ac:dyDescent="0.25">
      <c r="G3912">
        <f>Data!A3925</f>
        <v>0</v>
      </c>
      <c r="H3912" s="21">
        <f>Data!B3925</f>
        <v>0</v>
      </c>
      <c r="I3912" s="21">
        <f>Data!C3925</f>
        <v>0</v>
      </c>
      <c r="J3912">
        <f>Data!D3925</f>
        <v>0</v>
      </c>
      <c r="K3912">
        <f>Data!E3925</f>
        <v>0</v>
      </c>
      <c r="L3912">
        <f>Data!F3925</f>
        <v>0</v>
      </c>
      <c r="M3912">
        <f>Data!G3925</f>
        <v>0</v>
      </c>
      <c r="N3912">
        <f>Data!H3925</f>
        <v>0</v>
      </c>
      <c r="O3912">
        <f>Data!I3925</f>
        <v>0</v>
      </c>
      <c r="P3912" s="21">
        <f>Data!J3929</f>
        <v>0</v>
      </c>
      <c r="Q3912">
        <f>Data!K3929</f>
        <v>0</v>
      </c>
      <c r="R3912">
        <f>Data!L3929</f>
        <v>0</v>
      </c>
      <c r="S3912">
        <f>Data!M3929</f>
        <v>0</v>
      </c>
      <c r="T3912">
        <f>Data!N3929</f>
        <v>0</v>
      </c>
      <c r="U3912">
        <f>Data!O3929</f>
        <v>0</v>
      </c>
      <c r="V3912" s="33">
        <f>Data!P3927</f>
        <v>0</v>
      </c>
    </row>
    <row r="3913" spans="7:22" x14ac:dyDescent="0.25">
      <c r="G3913">
        <f>Data!A3926</f>
        <v>0</v>
      </c>
      <c r="H3913" s="21">
        <f>Data!B3926</f>
        <v>0</v>
      </c>
      <c r="I3913" s="21">
        <f>Data!C3926</f>
        <v>0</v>
      </c>
      <c r="J3913">
        <f>Data!D3926</f>
        <v>0</v>
      </c>
      <c r="K3913">
        <f>Data!E3926</f>
        <v>0</v>
      </c>
      <c r="L3913">
        <f>Data!F3926</f>
        <v>0</v>
      </c>
      <c r="M3913">
        <f>Data!G3926</f>
        <v>0</v>
      </c>
      <c r="N3913">
        <f>Data!H3926</f>
        <v>0</v>
      </c>
      <c r="O3913">
        <f>Data!I3926</f>
        <v>0</v>
      </c>
      <c r="P3913" s="21">
        <f>Data!J3930</f>
        <v>0</v>
      </c>
      <c r="Q3913">
        <f>Data!K3930</f>
        <v>0</v>
      </c>
      <c r="R3913">
        <f>Data!L3930</f>
        <v>0</v>
      </c>
      <c r="S3913">
        <f>Data!M3930</f>
        <v>0</v>
      </c>
      <c r="T3913">
        <f>Data!N3930</f>
        <v>0</v>
      </c>
      <c r="U3913">
        <f>Data!O3930</f>
        <v>0</v>
      </c>
      <c r="V3913" s="33">
        <f>Data!P3928</f>
        <v>0</v>
      </c>
    </row>
    <row r="3914" spans="7:22" x14ac:dyDescent="0.25">
      <c r="G3914">
        <f>Data!A3927</f>
        <v>0</v>
      </c>
      <c r="H3914" s="21">
        <f>Data!B3927</f>
        <v>0</v>
      </c>
      <c r="I3914" s="21">
        <f>Data!C3927</f>
        <v>0</v>
      </c>
      <c r="J3914">
        <f>Data!D3927</f>
        <v>0</v>
      </c>
      <c r="K3914">
        <f>Data!E3927</f>
        <v>0</v>
      </c>
      <c r="L3914">
        <f>Data!F3927</f>
        <v>0</v>
      </c>
      <c r="M3914">
        <f>Data!G3927</f>
        <v>0</v>
      </c>
      <c r="N3914">
        <f>Data!H3927</f>
        <v>0</v>
      </c>
      <c r="O3914">
        <f>Data!I3927</f>
        <v>0</v>
      </c>
      <c r="P3914" s="21">
        <f>Data!J3931</f>
        <v>0</v>
      </c>
      <c r="Q3914">
        <f>Data!K3931</f>
        <v>0</v>
      </c>
      <c r="R3914">
        <f>Data!L3931</f>
        <v>0</v>
      </c>
      <c r="S3914">
        <f>Data!M3931</f>
        <v>0</v>
      </c>
      <c r="T3914">
        <f>Data!N3931</f>
        <v>0</v>
      </c>
      <c r="U3914">
        <f>Data!O3931</f>
        <v>0</v>
      </c>
      <c r="V3914" s="33">
        <f>Data!P3929</f>
        <v>0</v>
      </c>
    </row>
    <row r="3915" spans="7:22" x14ac:dyDescent="0.25">
      <c r="G3915">
        <f>Data!A3928</f>
        <v>0</v>
      </c>
      <c r="H3915" s="21">
        <f>Data!B3928</f>
        <v>0</v>
      </c>
      <c r="I3915" s="21">
        <f>Data!C3928</f>
        <v>0</v>
      </c>
      <c r="J3915">
        <f>Data!D3928</f>
        <v>0</v>
      </c>
      <c r="K3915">
        <f>Data!E3928</f>
        <v>0</v>
      </c>
      <c r="L3915">
        <f>Data!F3928</f>
        <v>0</v>
      </c>
      <c r="M3915">
        <f>Data!G3928</f>
        <v>0</v>
      </c>
      <c r="N3915">
        <f>Data!H3928</f>
        <v>0</v>
      </c>
      <c r="O3915">
        <f>Data!I3928</f>
        <v>0</v>
      </c>
      <c r="P3915" s="21">
        <f>Data!J3932</f>
        <v>0</v>
      </c>
      <c r="Q3915">
        <f>Data!K3932</f>
        <v>0</v>
      </c>
      <c r="R3915">
        <f>Data!L3932</f>
        <v>0</v>
      </c>
      <c r="S3915">
        <f>Data!M3932</f>
        <v>0</v>
      </c>
      <c r="T3915">
        <f>Data!N3932</f>
        <v>0</v>
      </c>
      <c r="U3915">
        <f>Data!O3932</f>
        <v>0</v>
      </c>
      <c r="V3915" s="33">
        <f>Data!P3930</f>
        <v>0</v>
      </c>
    </row>
    <row r="3916" spans="7:22" x14ac:dyDescent="0.25">
      <c r="G3916">
        <f>Data!A3929</f>
        <v>0</v>
      </c>
      <c r="H3916" s="21">
        <f>Data!B3929</f>
        <v>0</v>
      </c>
      <c r="I3916" s="21">
        <f>Data!C3929</f>
        <v>0</v>
      </c>
      <c r="J3916">
        <f>Data!D3929</f>
        <v>0</v>
      </c>
      <c r="K3916">
        <f>Data!E3929</f>
        <v>0</v>
      </c>
      <c r="L3916">
        <f>Data!F3929</f>
        <v>0</v>
      </c>
      <c r="M3916">
        <f>Data!G3929</f>
        <v>0</v>
      </c>
      <c r="N3916">
        <f>Data!H3929</f>
        <v>0</v>
      </c>
      <c r="O3916">
        <f>Data!I3929</f>
        <v>0</v>
      </c>
      <c r="P3916" s="21">
        <f>Data!J3933</f>
        <v>0</v>
      </c>
      <c r="Q3916">
        <f>Data!K3933</f>
        <v>0</v>
      </c>
      <c r="R3916">
        <f>Data!L3933</f>
        <v>0</v>
      </c>
      <c r="S3916">
        <f>Data!M3933</f>
        <v>0</v>
      </c>
      <c r="T3916">
        <f>Data!N3933</f>
        <v>0</v>
      </c>
      <c r="U3916">
        <f>Data!O3933</f>
        <v>0</v>
      </c>
      <c r="V3916" s="33">
        <f>Data!P3931</f>
        <v>0</v>
      </c>
    </row>
    <row r="3917" spans="7:22" x14ac:dyDescent="0.25">
      <c r="G3917">
        <f>Data!A3930</f>
        <v>0</v>
      </c>
      <c r="H3917" s="21">
        <f>Data!B3930</f>
        <v>0</v>
      </c>
      <c r="I3917" s="21">
        <f>Data!C3930</f>
        <v>0</v>
      </c>
      <c r="J3917">
        <f>Data!D3930</f>
        <v>0</v>
      </c>
      <c r="K3917">
        <f>Data!E3930</f>
        <v>0</v>
      </c>
      <c r="L3917">
        <f>Data!F3930</f>
        <v>0</v>
      </c>
      <c r="M3917">
        <f>Data!G3930</f>
        <v>0</v>
      </c>
      <c r="N3917">
        <f>Data!H3930</f>
        <v>0</v>
      </c>
      <c r="O3917">
        <f>Data!I3930</f>
        <v>0</v>
      </c>
      <c r="P3917" s="21">
        <f>Data!J3934</f>
        <v>0</v>
      </c>
      <c r="Q3917">
        <f>Data!K3934</f>
        <v>0</v>
      </c>
      <c r="R3917">
        <f>Data!L3934</f>
        <v>0</v>
      </c>
      <c r="S3917">
        <f>Data!M3934</f>
        <v>0</v>
      </c>
      <c r="T3917">
        <f>Data!N3934</f>
        <v>0</v>
      </c>
      <c r="U3917">
        <f>Data!O3934</f>
        <v>0</v>
      </c>
      <c r="V3917" s="33">
        <f>Data!P3932</f>
        <v>0</v>
      </c>
    </row>
    <row r="3918" spans="7:22" x14ac:dyDescent="0.25">
      <c r="G3918">
        <f>Data!A3931</f>
        <v>0</v>
      </c>
      <c r="H3918" s="21">
        <f>Data!B3931</f>
        <v>0</v>
      </c>
      <c r="I3918" s="21">
        <f>Data!C3931</f>
        <v>0</v>
      </c>
      <c r="J3918">
        <f>Data!D3931</f>
        <v>0</v>
      </c>
      <c r="K3918">
        <f>Data!E3931</f>
        <v>0</v>
      </c>
      <c r="L3918">
        <f>Data!F3931</f>
        <v>0</v>
      </c>
      <c r="M3918">
        <f>Data!G3931</f>
        <v>0</v>
      </c>
      <c r="N3918">
        <f>Data!H3931</f>
        <v>0</v>
      </c>
      <c r="O3918">
        <f>Data!I3931</f>
        <v>0</v>
      </c>
      <c r="P3918" s="21">
        <f>Data!J3935</f>
        <v>0</v>
      </c>
      <c r="Q3918">
        <f>Data!K3935</f>
        <v>0</v>
      </c>
      <c r="R3918">
        <f>Data!L3935</f>
        <v>0</v>
      </c>
      <c r="S3918">
        <f>Data!M3935</f>
        <v>0</v>
      </c>
      <c r="T3918">
        <f>Data!N3935</f>
        <v>0</v>
      </c>
      <c r="U3918">
        <f>Data!O3935</f>
        <v>0</v>
      </c>
      <c r="V3918" s="33">
        <f>Data!P3933</f>
        <v>0</v>
      </c>
    </row>
    <row r="3919" spans="7:22" x14ac:dyDescent="0.25">
      <c r="G3919">
        <f>Data!A3932</f>
        <v>0</v>
      </c>
      <c r="H3919" s="21">
        <f>Data!B3932</f>
        <v>0</v>
      </c>
      <c r="I3919" s="21">
        <f>Data!C3932</f>
        <v>0</v>
      </c>
      <c r="J3919">
        <f>Data!D3932</f>
        <v>0</v>
      </c>
      <c r="K3919">
        <f>Data!E3932</f>
        <v>0</v>
      </c>
      <c r="L3919">
        <f>Data!F3932</f>
        <v>0</v>
      </c>
      <c r="M3919">
        <f>Data!G3932</f>
        <v>0</v>
      </c>
      <c r="N3919">
        <f>Data!H3932</f>
        <v>0</v>
      </c>
      <c r="O3919">
        <f>Data!I3932</f>
        <v>0</v>
      </c>
      <c r="P3919" s="21">
        <f>Data!J3936</f>
        <v>0</v>
      </c>
      <c r="Q3919">
        <f>Data!K3936</f>
        <v>0</v>
      </c>
      <c r="R3919">
        <f>Data!L3936</f>
        <v>0</v>
      </c>
      <c r="S3919">
        <f>Data!M3936</f>
        <v>0</v>
      </c>
      <c r="T3919">
        <f>Data!N3936</f>
        <v>0</v>
      </c>
      <c r="U3919">
        <f>Data!O3936</f>
        <v>0</v>
      </c>
      <c r="V3919" s="33">
        <f>Data!P3934</f>
        <v>0</v>
      </c>
    </row>
    <row r="3920" spans="7:22" x14ac:dyDescent="0.25">
      <c r="G3920">
        <f>Data!A3933</f>
        <v>0</v>
      </c>
      <c r="H3920" s="21">
        <f>Data!B3933</f>
        <v>0</v>
      </c>
      <c r="I3920" s="21">
        <f>Data!C3933</f>
        <v>0</v>
      </c>
      <c r="J3920">
        <f>Data!D3933</f>
        <v>0</v>
      </c>
      <c r="K3920">
        <f>Data!E3933</f>
        <v>0</v>
      </c>
      <c r="L3920">
        <f>Data!F3933</f>
        <v>0</v>
      </c>
      <c r="M3920">
        <f>Data!G3933</f>
        <v>0</v>
      </c>
      <c r="N3920">
        <f>Data!H3933</f>
        <v>0</v>
      </c>
      <c r="O3920">
        <f>Data!I3933</f>
        <v>0</v>
      </c>
      <c r="P3920" s="21">
        <f>Data!J3937</f>
        <v>0</v>
      </c>
      <c r="Q3920">
        <f>Data!K3937</f>
        <v>0</v>
      </c>
      <c r="R3920">
        <f>Data!L3937</f>
        <v>0</v>
      </c>
      <c r="S3920">
        <f>Data!M3937</f>
        <v>0</v>
      </c>
      <c r="T3920">
        <f>Data!N3937</f>
        <v>0</v>
      </c>
      <c r="U3920">
        <f>Data!O3937</f>
        <v>0</v>
      </c>
      <c r="V3920" s="33">
        <f>Data!P3935</f>
        <v>0</v>
      </c>
    </row>
    <row r="3921" spans="7:22" x14ac:dyDescent="0.25">
      <c r="G3921">
        <f>Data!A3934</f>
        <v>0</v>
      </c>
      <c r="H3921" s="21">
        <f>Data!B3934</f>
        <v>0</v>
      </c>
      <c r="I3921" s="21">
        <f>Data!C3934</f>
        <v>0</v>
      </c>
      <c r="J3921">
        <f>Data!D3934</f>
        <v>0</v>
      </c>
      <c r="K3921">
        <f>Data!E3934</f>
        <v>0</v>
      </c>
      <c r="L3921">
        <f>Data!F3934</f>
        <v>0</v>
      </c>
      <c r="M3921">
        <f>Data!G3934</f>
        <v>0</v>
      </c>
      <c r="N3921">
        <f>Data!H3934</f>
        <v>0</v>
      </c>
      <c r="O3921">
        <f>Data!I3934</f>
        <v>0</v>
      </c>
      <c r="P3921" s="21">
        <f>Data!J3938</f>
        <v>0</v>
      </c>
      <c r="Q3921">
        <f>Data!K3938</f>
        <v>0</v>
      </c>
      <c r="R3921">
        <f>Data!L3938</f>
        <v>0</v>
      </c>
      <c r="S3921">
        <f>Data!M3938</f>
        <v>0</v>
      </c>
      <c r="T3921">
        <f>Data!N3938</f>
        <v>0</v>
      </c>
      <c r="U3921">
        <f>Data!O3938</f>
        <v>0</v>
      </c>
      <c r="V3921" s="33">
        <f>Data!P3936</f>
        <v>0</v>
      </c>
    </row>
    <row r="3922" spans="7:22" x14ac:dyDescent="0.25">
      <c r="G3922">
        <f>Data!A3935</f>
        <v>0</v>
      </c>
      <c r="H3922" s="21">
        <f>Data!B3935</f>
        <v>0</v>
      </c>
      <c r="I3922" s="21">
        <f>Data!C3935</f>
        <v>0</v>
      </c>
      <c r="J3922">
        <f>Data!D3935</f>
        <v>0</v>
      </c>
      <c r="K3922">
        <f>Data!E3935</f>
        <v>0</v>
      </c>
      <c r="L3922">
        <f>Data!F3935</f>
        <v>0</v>
      </c>
      <c r="M3922">
        <f>Data!G3935</f>
        <v>0</v>
      </c>
      <c r="N3922">
        <f>Data!H3935</f>
        <v>0</v>
      </c>
      <c r="O3922">
        <f>Data!I3935</f>
        <v>0</v>
      </c>
      <c r="P3922" s="21">
        <f>Data!J3939</f>
        <v>0</v>
      </c>
      <c r="Q3922">
        <f>Data!K3939</f>
        <v>0</v>
      </c>
      <c r="R3922">
        <f>Data!L3939</f>
        <v>0</v>
      </c>
      <c r="S3922">
        <f>Data!M3939</f>
        <v>0</v>
      </c>
      <c r="T3922">
        <f>Data!N3939</f>
        <v>0</v>
      </c>
      <c r="U3922">
        <f>Data!O3939</f>
        <v>0</v>
      </c>
      <c r="V3922" s="33">
        <f>Data!P3937</f>
        <v>0</v>
      </c>
    </row>
    <row r="3923" spans="7:22" x14ac:dyDescent="0.25">
      <c r="G3923">
        <f>Data!A3936</f>
        <v>0</v>
      </c>
      <c r="H3923" s="21">
        <f>Data!B3936</f>
        <v>0</v>
      </c>
      <c r="I3923" s="21">
        <f>Data!C3936</f>
        <v>0</v>
      </c>
      <c r="J3923">
        <f>Data!D3936</f>
        <v>0</v>
      </c>
      <c r="K3923">
        <f>Data!E3936</f>
        <v>0</v>
      </c>
      <c r="L3923">
        <f>Data!F3936</f>
        <v>0</v>
      </c>
      <c r="M3923">
        <f>Data!G3936</f>
        <v>0</v>
      </c>
      <c r="N3923">
        <f>Data!H3936</f>
        <v>0</v>
      </c>
      <c r="O3923">
        <f>Data!I3936</f>
        <v>0</v>
      </c>
      <c r="P3923" s="21">
        <f>Data!J3940</f>
        <v>0</v>
      </c>
      <c r="Q3923">
        <f>Data!K3940</f>
        <v>0</v>
      </c>
      <c r="R3923">
        <f>Data!L3940</f>
        <v>0</v>
      </c>
      <c r="S3923">
        <f>Data!M3940</f>
        <v>0</v>
      </c>
      <c r="T3923">
        <f>Data!N3940</f>
        <v>0</v>
      </c>
      <c r="U3923">
        <f>Data!O3940</f>
        <v>0</v>
      </c>
      <c r="V3923" s="33">
        <f>Data!P3938</f>
        <v>0</v>
      </c>
    </row>
    <row r="3924" spans="7:22" x14ac:dyDescent="0.25">
      <c r="G3924">
        <f>Data!A3937</f>
        <v>0</v>
      </c>
      <c r="H3924" s="21">
        <f>Data!B3937</f>
        <v>0</v>
      </c>
      <c r="I3924" s="21">
        <f>Data!C3937</f>
        <v>0</v>
      </c>
      <c r="J3924">
        <f>Data!D3937</f>
        <v>0</v>
      </c>
      <c r="K3924">
        <f>Data!E3937</f>
        <v>0</v>
      </c>
      <c r="L3924">
        <f>Data!F3937</f>
        <v>0</v>
      </c>
      <c r="M3924">
        <f>Data!G3937</f>
        <v>0</v>
      </c>
      <c r="N3924">
        <f>Data!H3937</f>
        <v>0</v>
      </c>
      <c r="O3924">
        <f>Data!I3937</f>
        <v>0</v>
      </c>
      <c r="P3924" s="21">
        <f>Data!J3941</f>
        <v>0</v>
      </c>
      <c r="Q3924">
        <f>Data!K3941</f>
        <v>0</v>
      </c>
      <c r="R3924">
        <f>Data!L3941</f>
        <v>0</v>
      </c>
      <c r="S3924">
        <f>Data!M3941</f>
        <v>0</v>
      </c>
      <c r="T3924">
        <f>Data!N3941</f>
        <v>0</v>
      </c>
      <c r="U3924">
        <f>Data!O3941</f>
        <v>0</v>
      </c>
      <c r="V3924" s="33">
        <f>Data!P3939</f>
        <v>0</v>
      </c>
    </row>
    <row r="3925" spans="7:22" x14ac:dyDescent="0.25">
      <c r="G3925">
        <f>Data!A3938</f>
        <v>0</v>
      </c>
      <c r="H3925" s="21">
        <f>Data!B3938</f>
        <v>0</v>
      </c>
      <c r="I3925" s="21">
        <f>Data!C3938</f>
        <v>0</v>
      </c>
      <c r="J3925">
        <f>Data!D3938</f>
        <v>0</v>
      </c>
      <c r="K3925">
        <f>Data!E3938</f>
        <v>0</v>
      </c>
      <c r="L3925">
        <f>Data!F3938</f>
        <v>0</v>
      </c>
      <c r="M3925">
        <f>Data!G3938</f>
        <v>0</v>
      </c>
      <c r="N3925">
        <f>Data!H3938</f>
        <v>0</v>
      </c>
      <c r="O3925">
        <f>Data!I3938</f>
        <v>0</v>
      </c>
      <c r="P3925" s="21">
        <f>Data!J3942</f>
        <v>0</v>
      </c>
      <c r="Q3925">
        <f>Data!K3942</f>
        <v>0</v>
      </c>
      <c r="R3925">
        <f>Data!L3942</f>
        <v>0</v>
      </c>
      <c r="S3925">
        <f>Data!M3942</f>
        <v>0</v>
      </c>
      <c r="T3925">
        <f>Data!N3942</f>
        <v>0</v>
      </c>
      <c r="U3925">
        <f>Data!O3942</f>
        <v>0</v>
      </c>
      <c r="V3925" s="33">
        <f>Data!P3940</f>
        <v>0</v>
      </c>
    </row>
    <row r="3926" spans="7:22" x14ac:dyDescent="0.25">
      <c r="G3926">
        <f>Data!A3939</f>
        <v>0</v>
      </c>
      <c r="H3926" s="21">
        <f>Data!B3939</f>
        <v>0</v>
      </c>
      <c r="I3926" s="21">
        <f>Data!C3939</f>
        <v>0</v>
      </c>
      <c r="J3926">
        <f>Data!D3939</f>
        <v>0</v>
      </c>
      <c r="K3926">
        <f>Data!E3939</f>
        <v>0</v>
      </c>
      <c r="L3926">
        <f>Data!F3939</f>
        <v>0</v>
      </c>
      <c r="M3926">
        <f>Data!G3939</f>
        <v>0</v>
      </c>
      <c r="N3926">
        <f>Data!H3939</f>
        <v>0</v>
      </c>
      <c r="O3926">
        <f>Data!I3939</f>
        <v>0</v>
      </c>
      <c r="P3926" s="21">
        <f>Data!J3943</f>
        <v>0</v>
      </c>
      <c r="Q3926">
        <f>Data!K3943</f>
        <v>0</v>
      </c>
      <c r="R3926">
        <f>Data!L3943</f>
        <v>0</v>
      </c>
      <c r="S3926">
        <f>Data!M3943</f>
        <v>0</v>
      </c>
      <c r="T3926">
        <f>Data!N3943</f>
        <v>0</v>
      </c>
      <c r="U3926">
        <f>Data!O3943</f>
        <v>0</v>
      </c>
      <c r="V3926" s="33">
        <f>Data!P3941</f>
        <v>0</v>
      </c>
    </row>
    <row r="3927" spans="7:22" x14ac:dyDescent="0.25">
      <c r="G3927">
        <f>Data!A3940</f>
        <v>0</v>
      </c>
      <c r="H3927" s="21">
        <f>Data!B3940</f>
        <v>0</v>
      </c>
      <c r="I3927" s="21">
        <f>Data!C3940</f>
        <v>0</v>
      </c>
      <c r="J3927">
        <f>Data!D3940</f>
        <v>0</v>
      </c>
      <c r="K3927">
        <f>Data!E3940</f>
        <v>0</v>
      </c>
      <c r="L3927">
        <f>Data!F3940</f>
        <v>0</v>
      </c>
      <c r="M3927">
        <f>Data!G3940</f>
        <v>0</v>
      </c>
      <c r="N3927">
        <f>Data!H3940</f>
        <v>0</v>
      </c>
      <c r="O3927">
        <f>Data!I3940</f>
        <v>0</v>
      </c>
      <c r="P3927" s="21">
        <f>Data!J3944</f>
        <v>0</v>
      </c>
      <c r="Q3927">
        <f>Data!K3944</f>
        <v>0</v>
      </c>
      <c r="R3927">
        <f>Data!L3944</f>
        <v>0</v>
      </c>
      <c r="S3927">
        <f>Data!M3944</f>
        <v>0</v>
      </c>
      <c r="T3927">
        <f>Data!N3944</f>
        <v>0</v>
      </c>
      <c r="U3927">
        <f>Data!O3944</f>
        <v>0</v>
      </c>
      <c r="V3927" s="33">
        <f>Data!P3942</f>
        <v>0</v>
      </c>
    </row>
    <row r="3928" spans="7:22" x14ac:dyDescent="0.25">
      <c r="G3928">
        <f>Data!A3941</f>
        <v>0</v>
      </c>
      <c r="H3928" s="21">
        <f>Data!B3941</f>
        <v>0</v>
      </c>
      <c r="I3928" s="21">
        <f>Data!C3941</f>
        <v>0</v>
      </c>
      <c r="J3928">
        <f>Data!D3941</f>
        <v>0</v>
      </c>
      <c r="K3928">
        <f>Data!E3941</f>
        <v>0</v>
      </c>
      <c r="L3928">
        <f>Data!F3941</f>
        <v>0</v>
      </c>
      <c r="M3928">
        <f>Data!G3941</f>
        <v>0</v>
      </c>
      <c r="N3928">
        <f>Data!H3941</f>
        <v>0</v>
      </c>
      <c r="O3928">
        <f>Data!I3941</f>
        <v>0</v>
      </c>
      <c r="P3928" s="21">
        <f>Data!J3945</f>
        <v>0</v>
      </c>
      <c r="Q3928">
        <f>Data!K3945</f>
        <v>0</v>
      </c>
      <c r="R3928">
        <f>Data!L3945</f>
        <v>0</v>
      </c>
      <c r="S3928">
        <f>Data!M3945</f>
        <v>0</v>
      </c>
      <c r="T3928">
        <f>Data!N3945</f>
        <v>0</v>
      </c>
      <c r="U3928">
        <f>Data!O3945</f>
        <v>0</v>
      </c>
      <c r="V3928" s="33">
        <f>Data!P3943</f>
        <v>0</v>
      </c>
    </row>
    <row r="3929" spans="7:22" x14ac:dyDescent="0.25">
      <c r="G3929">
        <f>Data!A3942</f>
        <v>0</v>
      </c>
      <c r="H3929" s="21">
        <f>Data!B3942</f>
        <v>0</v>
      </c>
      <c r="I3929" s="21">
        <f>Data!C3942</f>
        <v>0</v>
      </c>
      <c r="J3929">
        <f>Data!D3942</f>
        <v>0</v>
      </c>
      <c r="K3929">
        <f>Data!E3942</f>
        <v>0</v>
      </c>
      <c r="L3929">
        <f>Data!F3942</f>
        <v>0</v>
      </c>
      <c r="M3929">
        <f>Data!G3942</f>
        <v>0</v>
      </c>
      <c r="N3929">
        <f>Data!H3942</f>
        <v>0</v>
      </c>
      <c r="O3929">
        <f>Data!I3942</f>
        <v>0</v>
      </c>
      <c r="P3929" s="21">
        <f>Data!J3946</f>
        <v>0</v>
      </c>
      <c r="Q3929">
        <f>Data!K3946</f>
        <v>0</v>
      </c>
      <c r="R3929">
        <f>Data!L3946</f>
        <v>0</v>
      </c>
      <c r="S3929">
        <f>Data!M3946</f>
        <v>0</v>
      </c>
      <c r="T3929">
        <f>Data!N3946</f>
        <v>0</v>
      </c>
      <c r="U3929">
        <f>Data!O3946</f>
        <v>0</v>
      </c>
      <c r="V3929" s="33">
        <f>Data!P3944</f>
        <v>0</v>
      </c>
    </row>
    <row r="3930" spans="7:22" x14ac:dyDescent="0.25">
      <c r="G3930">
        <f>Data!A3943</f>
        <v>0</v>
      </c>
      <c r="H3930" s="21">
        <f>Data!B3943</f>
        <v>0</v>
      </c>
      <c r="I3930" s="21">
        <f>Data!C3943</f>
        <v>0</v>
      </c>
      <c r="J3930">
        <f>Data!D3943</f>
        <v>0</v>
      </c>
      <c r="K3930">
        <f>Data!E3943</f>
        <v>0</v>
      </c>
      <c r="L3930">
        <f>Data!F3943</f>
        <v>0</v>
      </c>
      <c r="M3930">
        <f>Data!G3943</f>
        <v>0</v>
      </c>
      <c r="N3930">
        <f>Data!H3943</f>
        <v>0</v>
      </c>
      <c r="O3930">
        <f>Data!I3943</f>
        <v>0</v>
      </c>
      <c r="P3930" s="21">
        <f>Data!J3947</f>
        <v>0</v>
      </c>
      <c r="Q3930">
        <f>Data!K3947</f>
        <v>0</v>
      </c>
      <c r="R3930">
        <f>Data!L3947</f>
        <v>0</v>
      </c>
      <c r="S3930">
        <f>Data!M3947</f>
        <v>0</v>
      </c>
      <c r="T3930">
        <f>Data!N3947</f>
        <v>0</v>
      </c>
      <c r="U3930">
        <f>Data!O3947</f>
        <v>0</v>
      </c>
      <c r="V3930" s="33">
        <f>Data!P3945</f>
        <v>0</v>
      </c>
    </row>
    <row r="3931" spans="7:22" x14ac:dyDescent="0.25">
      <c r="G3931">
        <f>Data!A3944</f>
        <v>0</v>
      </c>
      <c r="H3931" s="21">
        <f>Data!B3944</f>
        <v>0</v>
      </c>
      <c r="I3931" s="21">
        <f>Data!C3944</f>
        <v>0</v>
      </c>
      <c r="J3931">
        <f>Data!D3944</f>
        <v>0</v>
      </c>
      <c r="K3931">
        <f>Data!E3944</f>
        <v>0</v>
      </c>
      <c r="L3931">
        <f>Data!F3944</f>
        <v>0</v>
      </c>
      <c r="M3931">
        <f>Data!G3944</f>
        <v>0</v>
      </c>
      <c r="N3931">
        <f>Data!H3944</f>
        <v>0</v>
      </c>
      <c r="O3931">
        <f>Data!I3944</f>
        <v>0</v>
      </c>
      <c r="P3931" s="21">
        <f>Data!J3948</f>
        <v>0</v>
      </c>
      <c r="Q3931">
        <f>Data!K3948</f>
        <v>0</v>
      </c>
      <c r="R3931">
        <f>Data!L3948</f>
        <v>0</v>
      </c>
      <c r="S3931">
        <f>Data!M3948</f>
        <v>0</v>
      </c>
      <c r="T3931">
        <f>Data!N3948</f>
        <v>0</v>
      </c>
      <c r="U3931">
        <f>Data!O3948</f>
        <v>0</v>
      </c>
      <c r="V3931" s="33">
        <f>Data!P3946</f>
        <v>0</v>
      </c>
    </row>
    <row r="3932" spans="7:22" x14ac:dyDescent="0.25">
      <c r="G3932">
        <f>Data!A3945</f>
        <v>0</v>
      </c>
      <c r="H3932" s="21">
        <f>Data!B3945</f>
        <v>0</v>
      </c>
      <c r="I3932" s="21">
        <f>Data!C3945</f>
        <v>0</v>
      </c>
      <c r="J3932">
        <f>Data!D3945</f>
        <v>0</v>
      </c>
      <c r="K3932">
        <f>Data!E3945</f>
        <v>0</v>
      </c>
      <c r="L3932">
        <f>Data!F3945</f>
        <v>0</v>
      </c>
      <c r="M3932">
        <f>Data!G3945</f>
        <v>0</v>
      </c>
      <c r="N3932">
        <f>Data!H3945</f>
        <v>0</v>
      </c>
      <c r="O3932">
        <f>Data!I3945</f>
        <v>0</v>
      </c>
      <c r="P3932" s="21">
        <f>Data!J3949</f>
        <v>0</v>
      </c>
      <c r="Q3932">
        <f>Data!K3949</f>
        <v>0</v>
      </c>
      <c r="R3932">
        <f>Data!L3949</f>
        <v>0</v>
      </c>
      <c r="S3932">
        <f>Data!M3949</f>
        <v>0</v>
      </c>
      <c r="T3932">
        <f>Data!N3949</f>
        <v>0</v>
      </c>
      <c r="U3932">
        <f>Data!O3949</f>
        <v>0</v>
      </c>
      <c r="V3932" s="33">
        <f>Data!P3947</f>
        <v>0</v>
      </c>
    </row>
    <row r="3933" spans="7:22" x14ac:dyDescent="0.25">
      <c r="G3933">
        <f>Data!A3946</f>
        <v>0</v>
      </c>
      <c r="H3933" s="21">
        <f>Data!B3946</f>
        <v>0</v>
      </c>
      <c r="I3933" s="21">
        <f>Data!C3946</f>
        <v>0</v>
      </c>
      <c r="J3933">
        <f>Data!D3946</f>
        <v>0</v>
      </c>
      <c r="K3933">
        <f>Data!E3946</f>
        <v>0</v>
      </c>
      <c r="L3933">
        <f>Data!F3946</f>
        <v>0</v>
      </c>
      <c r="M3933">
        <f>Data!G3946</f>
        <v>0</v>
      </c>
      <c r="N3933">
        <f>Data!H3946</f>
        <v>0</v>
      </c>
      <c r="O3933">
        <f>Data!I3946</f>
        <v>0</v>
      </c>
      <c r="P3933" s="21">
        <f>Data!J3950</f>
        <v>0</v>
      </c>
      <c r="Q3933">
        <f>Data!K3950</f>
        <v>0</v>
      </c>
      <c r="R3933">
        <f>Data!L3950</f>
        <v>0</v>
      </c>
      <c r="S3933">
        <f>Data!M3950</f>
        <v>0</v>
      </c>
      <c r="T3933">
        <f>Data!N3950</f>
        <v>0</v>
      </c>
      <c r="U3933">
        <f>Data!O3950</f>
        <v>0</v>
      </c>
      <c r="V3933" s="33">
        <f>Data!P3948</f>
        <v>0</v>
      </c>
    </row>
    <row r="3934" spans="7:22" x14ac:dyDescent="0.25">
      <c r="G3934">
        <f>Data!A3947</f>
        <v>0</v>
      </c>
      <c r="H3934" s="21">
        <f>Data!B3947</f>
        <v>0</v>
      </c>
      <c r="I3934" s="21">
        <f>Data!C3947</f>
        <v>0</v>
      </c>
      <c r="J3934">
        <f>Data!D3947</f>
        <v>0</v>
      </c>
      <c r="K3934">
        <f>Data!E3947</f>
        <v>0</v>
      </c>
      <c r="L3934">
        <f>Data!F3947</f>
        <v>0</v>
      </c>
      <c r="M3934">
        <f>Data!G3947</f>
        <v>0</v>
      </c>
      <c r="N3934">
        <f>Data!H3947</f>
        <v>0</v>
      </c>
      <c r="O3934">
        <f>Data!I3947</f>
        <v>0</v>
      </c>
      <c r="P3934" s="21">
        <f>Data!J3951</f>
        <v>0</v>
      </c>
      <c r="Q3934">
        <f>Data!K3951</f>
        <v>0</v>
      </c>
      <c r="R3934">
        <f>Data!L3951</f>
        <v>0</v>
      </c>
      <c r="S3934">
        <f>Data!M3951</f>
        <v>0</v>
      </c>
      <c r="T3934">
        <f>Data!N3951</f>
        <v>0</v>
      </c>
      <c r="U3934">
        <f>Data!O3951</f>
        <v>0</v>
      </c>
      <c r="V3934" s="33">
        <f>Data!P3949</f>
        <v>0</v>
      </c>
    </row>
    <row r="3935" spans="7:22" x14ac:dyDescent="0.25">
      <c r="G3935">
        <f>Data!A3948</f>
        <v>0</v>
      </c>
      <c r="H3935" s="21">
        <f>Data!B3948</f>
        <v>0</v>
      </c>
      <c r="I3935" s="21">
        <f>Data!C3948</f>
        <v>0</v>
      </c>
      <c r="J3935">
        <f>Data!D3948</f>
        <v>0</v>
      </c>
      <c r="K3935">
        <f>Data!E3948</f>
        <v>0</v>
      </c>
      <c r="L3935">
        <f>Data!F3948</f>
        <v>0</v>
      </c>
      <c r="M3935">
        <f>Data!G3948</f>
        <v>0</v>
      </c>
      <c r="N3935">
        <f>Data!H3948</f>
        <v>0</v>
      </c>
      <c r="O3935">
        <f>Data!I3948</f>
        <v>0</v>
      </c>
      <c r="P3935" s="21">
        <f>Data!J3952</f>
        <v>0</v>
      </c>
      <c r="Q3935">
        <f>Data!K3952</f>
        <v>0</v>
      </c>
      <c r="R3935">
        <f>Data!L3952</f>
        <v>0</v>
      </c>
      <c r="S3935">
        <f>Data!M3952</f>
        <v>0</v>
      </c>
      <c r="T3935">
        <f>Data!N3952</f>
        <v>0</v>
      </c>
      <c r="U3935">
        <f>Data!O3952</f>
        <v>0</v>
      </c>
      <c r="V3935" s="33">
        <f>Data!P3950</f>
        <v>0</v>
      </c>
    </row>
    <row r="3936" spans="7:22" x14ac:dyDescent="0.25">
      <c r="G3936">
        <f>Data!A3949</f>
        <v>0</v>
      </c>
      <c r="H3936" s="21">
        <f>Data!B3949</f>
        <v>0</v>
      </c>
      <c r="I3936" s="21">
        <f>Data!C3949</f>
        <v>0</v>
      </c>
      <c r="J3936">
        <f>Data!D3949</f>
        <v>0</v>
      </c>
      <c r="K3936">
        <f>Data!E3949</f>
        <v>0</v>
      </c>
      <c r="L3936">
        <f>Data!F3949</f>
        <v>0</v>
      </c>
      <c r="M3936">
        <f>Data!G3949</f>
        <v>0</v>
      </c>
      <c r="N3936">
        <f>Data!H3949</f>
        <v>0</v>
      </c>
      <c r="O3936">
        <f>Data!I3949</f>
        <v>0</v>
      </c>
      <c r="P3936" s="21">
        <f>Data!J3953</f>
        <v>0</v>
      </c>
      <c r="Q3936">
        <f>Data!K3953</f>
        <v>0</v>
      </c>
      <c r="R3936">
        <f>Data!L3953</f>
        <v>0</v>
      </c>
      <c r="S3936">
        <f>Data!M3953</f>
        <v>0</v>
      </c>
      <c r="T3936">
        <f>Data!N3953</f>
        <v>0</v>
      </c>
      <c r="U3936">
        <f>Data!O3953</f>
        <v>0</v>
      </c>
      <c r="V3936" s="33">
        <f>Data!P3951</f>
        <v>0</v>
      </c>
    </row>
    <row r="3937" spans="7:22" x14ac:dyDescent="0.25">
      <c r="G3937">
        <f>Data!A3950</f>
        <v>0</v>
      </c>
      <c r="H3937" s="21">
        <f>Data!B3950</f>
        <v>0</v>
      </c>
      <c r="I3937" s="21">
        <f>Data!C3950</f>
        <v>0</v>
      </c>
      <c r="J3937">
        <f>Data!D3950</f>
        <v>0</v>
      </c>
      <c r="K3937">
        <f>Data!E3950</f>
        <v>0</v>
      </c>
      <c r="L3937">
        <f>Data!F3950</f>
        <v>0</v>
      </c>
      <c r="M3937">
        <f>Data!G3950</f>
        <v>0</v>
      </c>
      <c r="N3937">
        <f>Data!H3950</f>
        <v>0</v>
      </c>
      <c r="O3937">
        <f>Data!I3950</f>
        <v>0</v>
      </c>
      <c r="P3937" s="21">
        <f>Data!J3954</f>
        <v>0</v>
      </c>
      <c r="Q3937">
        <f>Data!K3954</f>
        <v>0</v>
      </c>
      <c r="R3937">
        <f>Data!L3954</f>
        <v>0</v>
      </c>
      <c r="S3937">
        <f>Data!M3954</f>
        <v>0</v>
      </c>
      <c r="T3937">
        <f>Data!N3954</f>
        <v>0</v>
      </c>
      <c r="U3937">
        <f>Data!O3954</f>
        <v>0</v>
      </c>
      <c r="V3937" s="33">
        <f>Data!P3952</f>
        <v>0</v>
      </c>
    </row>
    <row r="3938" spans="7:22" x14ac:dyDescent="0.25">
      <c r="G3938">
        <f>Data!A3951</f>
        <v>0</v>
      </c>
      <c r="H3938" s="21">
        <f>Data!B3951</f>
        <v>0</v>
      </c>
      <c r="I3938" s="21">
        <f>Data!C3951</f>
        <v>0</v>
      </c>
      <c r="J3938">
        <f>Data!D3951</f>
        <v>0</v>
      </c>
      <c r="K3938">
        <f>Data!E3951</f>
        <v>0</v>
      </c>
      <c r="L3938">
        <f>Data!F3951</f>
        <v>0</v>
      </c>
      <c r="M3938">
        <f>Data!G3951</f>
        <v>0</v>
      </c>
      <c r="N3938">
        <f>Data!H3951</f>
        <v>0</v>
      </c>
      <c r="O3938">
        <f>Data!I3951</f>
        <v>0</v>
      </c>
      <c r="P3938" s="21">
        <f>Data!J3955</f>
        <v>0</v>
      </c>
      <c r="Q3938">
        <f>Data!K3955</f>
        <v>0</v>
      </c>
      <c r="R3938">
        <f>Data!L3955</f>
        <v>0</v>
      </c>
      <c r="S3938">
        <f>Data!M3955</f>
        <v>0</v>
      </c>
      <c r="T3938">
        <f>Data!N3955</f>
        <v>0</v>
      </c>
      <c r="U3938">
        <f>Data!O3955</f>
        <v>0</v>
      </c>
      <c r="V3938" s="33">
        <f>Data!P3953</f>
        <v>0</v>
      </c>
    </row>
    <row r="3939" spans="7:22" x14ac:dyDescent="0.25">
      <c r="G3939">
        <f>Data!A3952</f>
        <v>0</v>
      </c>
      <c r="H3939" s="21">
        <f>Data!B3952</f>
        <v>0</v>
      </c>
      <c r="I3939" s="21">
        <f>Data!C3952</f>
        <v>0</v>
      </c>
      <c r="J3939">
        <f>Data!D3952</f>
        <v>0</v>
      </c>
      <c r="K3939">
        <f>Data!E3952</f>
        <v>0</v>
      </c>
      <c r="L3939">
        <f>Data!F3952</f>
        <v>0</v>
      </c>
      <c r="M3939">
        <f>Data!G3952</f>
        <v>0</v>
      </c>
      <c r="N3939">
        <f>Data!H3952</f>
        <v>0</v>
      </c>
      <c r="O3939">
        <f>Data!I3952</f>
        <v>0</v>
      </c>
      <c r="P3939" s="21">
        <f>Data!J3956</f>
        <v>0</v>
      </c>
      <c r="Q3939">
        <f>Data!K3956</f>
        <v>0</v>
      </c>
      <c r="R3939">
        <f>Data!L3956</f>
        <v>0</v>
      </c>
      <c r="S3939">
        <f>Data!M3956</f>
        <v>0</v>
      </c>
      <c r="T3939">
        <f>Data!N3956</f>
        <v>0</v>
      </c>
      <c r="U3939">
        <f>Data!O3956</f>
        <v>0</v>
      </c>
      <c r="V3939" s="33">
        <f>Data!P3954</f>
        <v>0</v>
      </c>
    </row>
    <row r="3940" spans="7:22" x14ac:dyDescent="0.25">
      <c r="G3940">
        <f>Data!A3953</f>
        <v>0</v>
      </c>
      <c r="H3940" s="21">
        <f>Data!B3953</f>
        <v>0</v>
      </c>
      <c r="I3940" s="21">
        <f>Data!C3953</f>
        <v>0</v>
      </c>
      <c r="J3940">
        <f>Data!D3953</f>
        <v>0</v>
      </c>
      <c r="K3940">
        <f>Data!E3953</f>
        <v>0</v>
      </c>
      <c r="L3940">
        <f>Data!F3953</f>
        <v>0</v>
      </c>
      <c r="M3940">
        <f>Data!G3953</f>
        <v>0</v>
      </c>
      <c r="N3940">
        <f>Data!H3953</f>
        <v>0</v>
      </c>
      <c r="O3940">
        <f>Data!I3953</f>
        <v>0</v>
      </c>
      <c r="P3940" s="21">
        <f>Data!J3957</f>
        <v>0</v>
      </c>
      <c r="Q3940">
        <f>Data!K3957</f>
        <v>0</v>
      </c>
      <c r="R3940">
        <f>Data!L3957</f>
        <v>0</v>
      </c>
      <c r="S3940">
        <f>Data!M3957</f>
        <v>0</v>
      </c>
      <c r="T3940">
        <f>Data!N3957</f>
        <v>0</v>
      </c>
      <c r="U3940">
        <f>Data!O3957</f>
        <v>0</v>
      </c>
      <c r="V3940" s="33">
        <f>Data!P3955</f>
        <v>0</v>
      </c>
    </row>
    <row r="3941" spans="7:22" x14ac:dyDescent="0.25">
      <c r="G3941">
        <f>Data!A3954</f>
        <v>0</v>
      </c>
      <c r="H3941" s="21">
        <f>Data!B3954</f>
        <v>0</v>
      </c>
      <c r="I3941" s="21">
        <f>Data!C3954</f>
        <v>0</v>
      </c>
      <c r="J3941">
        <f>Data!D3954</f>
        <v>0</v>
      </c>
      <c r="K3941">
        <f>Data!E3954</f>
        <v>0</v>
      </c>
      <c r="L3941">
        <f>Data!F3954</f>
        <v>0</v>
      </c>
      <c r="M3941">
        <f>Data!G3954</f>
        <v>0</v>
      </c>
      <c r="N3941">
        <f>Data!H3954</f>
        <v>0</v>
      </c>
      <c r="O3941">
        <f>Data!I3954</f>
        <v>0</v>
      </c>
      <c r="P3941" s="21">
        <f>Data!J3958</f>
        <v>0</v>
      </c>
      <c r="Q3941">
        <f>Data!K3958</f>
        <v>0</v>
      </c>
      <c r="R3941">
        <f>Data!L3958</f>
        <v>0</v>
      </c>
      <c r="S3941">
        <f>Data!M3958</f>
        <v>0</v>
      </c>
      <c r="T3941">
        <f>Data!N3958</f>
        <v>0</v>
      </c>
      <c r="U3941">
        <f>Data!O3958</f>
        <v>0</v>
      </c>
      <c r="V3941" s="33">
        <f>Data!P3956</f>
        <v>0</v>
      </c>
    </row>
    <row r="3942" spans="7:22" x14ac:dyDescent="0.25">
      <c r="G3942">
        <f>Data!A3955</f>
        <v>0</v>
      </c>
      <c r="H3942" s="21">
        <f>Data!B3955</f>
        <v>0</v>
      </c>
      <c r="I3942" s="21">
        <f>Data!C3955</f>
        <v>0</v>
      </c>
      <c r="J3942">
        <f>Data!D3955</f>
        <v>0</v>
      </c>
      <c r="K3942">
        <f>Data!E3955</f>
        <v>0</v>
      </c>
      <c r="L3942">
        <f>Data!F3955</f>
        <v>0</v>
      </c>
      <c r="M3942">
        <f>Data!G3955</f>
        <v>0</v>
      </c>
      <c r="N3942">
        <f>Data!H3955</f>
        <v>0</v>
      </c>
      <c r="O3942">
        <f>Data!I3955</f>
        <v>0</v>
      </c>
      <c r="P3942" s="21">
        <f>Data!J3959</f>
        <v>0</v>
      </c>
      <c r="Q3942">
        <f>Data!K3959</f>
        <v>0</v>
      </c>
      <c r="R3942">
        <f>Data!L3959</f>
        <v>0</v>
      </c>
      <c r="S3942">
        <f>Data!M3959</f>
        <v>0</v>
      </c>
      <c r="T3942">
        <f>Data!N3959</f>
        <v>0</v>
      </c>
      <c r="U3942">
        <f>Data!O3959</f>
        <v>0</v>
      </c>
      <c r="V3942" s="33">
        <f>Data!P3957</f>
        <v>0</v>
      </c>
    </row>
    <row r="3943" spans="7:22" x14ac:dyDescent="0.25">
      <c r="G3943">
        <f>Data!A3956</f>
        <v>0</v>
      </c>
      <c r="H3943" s="21">
        <f>Data!B3956</f>
        <v>0</v>
      </c>
      <c r="I3943" s="21">
        <f>Data!C3956</f>
        <v>0</v>
      </c>
      <c r="J3943">
        <f>Data!D3956</f>
        <v>0</v>
      </c>
      <c r="K3943">
        <f>Data!E3956</f>
        <v>0</v>
      </c>
      <c r="L3943">
        <f>Data!F3956</f>
        <v>0</v>
      </c>
      <c r="M3943">
        <f>Data!G3956</f>
        <v>0</v>
      </c>
      <c r="N3943">
        <f>Data!H3956</f>
        <v>0</v>
      </c>
      <c r="O3943">
        <f>Data!I3956</f>
        <v>0</v>
      </c>
      <c r="P3943" s="21">
        <f>Data!J3960</f>
        <v>0</v>
      </c>
      <c r="Q3943">
        <f>Data!K3960</f>
        <v>0</v>
      </c>
      <c r="R3943">
        <f>Data!L3960</f>
        <v>0</v>
      </c>
      <c r="S3943">
        <f>Data!M3960</f>
        <v>0</v>
      </c>
      <c r="T3943">
        <f>Data!N3960</f>
        <v>0</v>
      </c>
      <c r="U3943">
        <f>Data!O3960</f>
        <v>0</v>
      </c>
      <c r="V3943" s="33">
        <f>Data!P3958</f>
        <v>0</v>
      </c>
    </row>
    <row r="3944" spans="7:22" x14ac:dyDescent="0.25">
      <c r="G3944">
        <f>Data!A3957</f>
        <v>0</v>
      </c>
      <c r="H3944" s="21">
        <f>Data!B3957</f>
        <v>0</v>
      </c>
      <c r="I3944" s="21">
        <f>Data!C3957</f>
        <v>0</v>
      </c>
      <c r="J3944">
        <f>Data!D3957</f>
        <v>0</v>
      </c>
      <c r="K3944">
        <f>Data!E3957</f>
        <v>0</v>
      </c>
      <c r="L3944">
        <f>Data!F3957</f>
        <v>0</v>
      </c>
      <c r="M3944">
        <f>Data!G3957</f>
        <v>0</v>
      </c>
      <c r="N3944">
        <f>Data!H3957</f>
        <v>0</v>
      </c>
      <c r="O3944">
        <f>Data!I3957</f>
        <v>0</v>
      </c>
      <c r="P3944" s="21">
        <f>Data!J3961</f>
        <v>0</v>
      </c>
      <c r="Q3944">
        <f>Data!K3961</f>
        <v>0</v>
      </c>
      <c r="R3944">
        <f>Data!L3961</f>
        <v>0</v>
      </c>
      <c r="S3944">
        <f>Data!M3961</f>
        <v>0</v>
      </c>
      <c r="T3944">
        <f>Data!N3961</f>
        <v>0</v>
      </c>
      <c r="U3944">
        <f>Data!O3961</f>
        <v>0</v>
      </c>
      <c r="V3944" s="33">
        <f>Data!P3959</f>
        <v>0</v>
      </c>
    </row>
    <row r="3945" spans="7:22" x14ac:dyDescent="0.25">
      <c r="G3945">
        <f>Data!A3958</f>
        <v>0</v>
      </c>
      <c r="H3945" s="21">
        <f>Data!B3958</f>
        <v>0</v>
      </c>
      <c r="I3945" s="21">
        <f>Data!C3958</f>
        <v>0</v>
      </c>
      <c r="J3945">
        <f>Data!D3958</f>
        <v>0</v>
      </c>
      <c r="K3945">
        <f>Data!E3958</f>
        <v>0</v>
      </c>
      <c r="L3945">
        <f>Data!F3958</f>
        <v>0</v>
      </c>
      <c r="M3945">
        <f>Data!G3958</f>
        <v>0</v>
      </c>
      <c r="N3945">
        <f>Data!H3958</f>
        <v>0</v>
      </c>
      <c r="O3945">
        <f>Data!I3958</f>
        <v>0</v>
      </c>
      <c r="P3945" s="21">
        <f>Data!J3962</f>
        <v>0</v>
      </c>
      <c r="Q3945">
        <f>Data!K3962</f>
        <v>0</v>
      </c>
      <c r="R3945">
        <f>Data!L3962</f>
        <v>0</v>
      </c>
      <c r="S3945">
        <f>Data!M3962</f>
        <v>0</v>
      </c>
      <c r="T3945">
        <f>Data!N3962</f>
        <v>0</v>
      </c>
      <c r="U3945">
        <f>Data!O3962</f>
        <v>0</v>
      </c>
      <c r="V3945" s="33">
        <f>Data!P3960</f>
        <v>0</v>
      </c>
    </row>
    <row r="3946" spans="7:22" x14ac:dyDescent="0.25">
      <c r="G3946">
        <f>Data!A3959</f>
        <v>0</v>
      </c>
      <c r="H3946" s="21">
        <f>Data!B3959</f>
        <v>0</v>
      </c>
      <c r="I3946" s="21">
        <f>Data!C3959</f>
        <v>0</v>
      </c>
      <c r="J3946">
        <f>Data!D3959</f>
        <v>0</v>
      </c>
      <c r="K3946">
        <f>Data!E3959</f>
        <v>0</v>
      </c>
      <c r="L3946">
        <f>Data!F3959</f>
        <v>0</v>
      </c>
      <c r="M3946">
        <f>Data!G3959</f>
        <v>0</v>
      </c>
      <c r="N3946">
        <f>Data!H3959</f>
        <v>0</v>
      </c>
      <c r="O3946">
        <f>Data!I3959</f>
        <v>0</v>
      </c>
      <c r="P3946" s="21">
        <f>Data!J3963</f>
        <v>0</v>
      </c>
      <c r="Q3946">
        <f>Data!K3963</f>
        <v>0</v>
      </c>
      <c r="R3946">
        <f>Data!L3963</f>
        <v>0</v>
      </c>
      <c r="S3946">
        <f>Data!M3963</f>
        <v>0</v>
      </c>
      <c r="T3946">
        <f>Data!N3963</f>
        <v>0</v>
      </c>
      <c r="U3946">
        <f>Data!O3963</f>
        <v>0</v>
      </c>
      <c r="V3946" s="33">
        <f>Data!P3961</f>
        <v>0</v>
      </c>
    </row>
    <row r="3947" spans="7:22" x14ac:dyDescent="0.25">
      <c r="G3947">
        <f>Data!A3960</f>
        <v>0</v>
      </c>
      <c r="H3947" s="21">
        <f>Data!B3960</f>
        <v>0</v>
      </c>
      <c r="I3947" s="21">
        <f>Data!C3960</f>
        <v>0</v>
      </c>
      <c r="J3947">
        <f>Data!D3960</f>
        <v>0</v>
      </c>
      <c r="K3947">
        <f>Data!E3960</f>
        <v>0</v>
      </c>
      <c r="L3947">
        <f>Data!F3960</f>
        <v>0</v>
      </c>
      <c r="M3947">
        <f>Data!G3960</f>
        <v>0</v>
      </c>
      <c r="N3947">
        <f>Data!H3960</f>
        <v>0</v>
      </c>
      <c r="O3947">
        <f>Data!I3960</f>
        <v>0</v>
      </c>
      <c r="P3947" s="21">
        <f>Data!J3964</f>
        <v>0</v>
      </c>
      <c r="Q3947">
        <f>Data!K3964</f>
        <v>0</v>
      </c>
      <c r="R3947">
        <f>Data!L3964</f>
        <v>0</v>
      </c>
      <c r="S3947">
        <f>Data!M3964</f>
        <v>0</v>
      </c>
      <c r="T3947">
        <f>Data!N3964</f>
        <v>0</v>
      </c>
      <c r="U3947">
        <f>Data!O3964</f>
        <v>0</v>
      </c>
      <c r="V3947" s="33">
        <f>Data!P3962</f>
        <v>0</v>
      </c>
    </row>
    <row r="3948" spans="7:22" x14ac:dyDescent="0.25">
      <c r="G3948">
        <f>Data!A3961</f>
        <v>0</v>
      </c>
      <c r="H3948" s="21">
        <f>Data!B3961</f>
        <v>0</v>
      </c>
      <c r="I3948" s="21">
        <f>Data!C3961</f>
        <v>0</v>
      </c>
      <c r="J3948">
        <f>Data!D3961</f>
        <v>0</v>
      </c>
      <c r="K3948">
        <f>Data!E3961</f>
        <v>0</v>
      </c>
      <c r="L3948">
        <f>Data!F3961</f>
        <v>0</v>
      </c>
      <c r="M3948">
        <f>Data!G3961</f>
        <v>0</v>
      </c>
      <c r="N3948">
        <f>Data!H3961</f>
        <v>0</v>
      </c>
      <c r="O3948">
        <f>Data!I3961</f>
        <v>0</v>
      </c>
      <c r="P3948" s="21">
        <f>Data!J3965</f>
        <v>0</v>
      </c>
      <c r="Q3948">
        <f>Data!K3965</f>
        <v>0</v>
      </c>
      <c r="R3948">
        <f>Data!L3965</f>
        <v>0</v>
      </c>
      <c r="S3948">
        <f>Data!M3965</f>
        <v>0</v>
      </c>
      <c r="T3948">
        <f>Data!N3965</f>
        <v>0</v>
      </c>
      <c r="U3948">
        <f>Data!O3965</f>
        <v>0</v>
      </c>
      <c r="V3948" s="33">
        <f>Data!P3963</f>
        <v>0</v>
      </c>
    </row>
    <row r="3949" spans="7:22" x14ac:dyDescent="0.25">
      <c r="G3949">
        <f>Data!A3962</f>
        <v>0</v>
      </c>
      <c r="H3949" s="21">
        <f>Data!B3962</f>
        <v>0</v>
      </c>
      <c r="I3949" s="21">
        <f>Data!C3962</f>
        <v>0</v>
      </c>
      <c r="J3949">
        <f>Data!D3962</f>
        <v>0</v>
      </c>
      <c r="K3949">
        <f>Data!E3962</f>
        <v>0</v>
      </c>
      <c r="L3949">
        <f>Data!F3962</f>
        <v>0</v>
      </c>
      <c r="M3949">
        <f>Data!G3962</f>
        <v>0</v>
      </c>
      <c r="N3949">
        <f>Data!H3962</f>
        <v>0</v>
      </c>
      <c r="O3949">
        <f>Data!I3962</f>
        <v>0</v>
      </c>
      <c r="P3949" s="21">
        <f>Data!J3966</f>
        <v>0</v>
      </c>
      <c r="Q3949">
        <f>Data!K3966</f>
        <v>0</v>
      </c>
      <c r="R3949">
        <f>Data!L3966</f>
        <v>0</v>
      </c>
      <c r="S3949">
        <f>Data!M3966</f>
        <v>0</v>
      </c>
      <c r="T3949">
        <f>Data!N3966</f>
        <v>0</v>
      </c>
      <c r="U3949">
        <f>Data!O3966</f>
        <v>0</v>
      </c>
      <c r="V3949" s="33">
        <f>Data!P3964</f>
        <v>0</v>
      </c>
    </row>
    <row r="3950" spans="7:22" x14ac:dyDescent="0.25">
      <c r="G3950">
        <f>Data!A3963</f>
        <v>0</v>
      </c>
      <c r="H3950" s="21">
        <f>Data!B3963</f>
        <v>0</v>
      </c>
      <c r="I3950" s="21">
        <f>Data!C3963</f>
        <v>0</v>
      </c>
      <c r="J3950">
        <f>Data!D3963</f>
        <v>0</v>
      </c>
      <c r="K3950">
        <f>Data!E3963</f>
        <v>0</v>
      </c>
      <c r="L3950">
        <f>Data!F3963</f>
        <v>0</v>
      </c>
      <c r="M3950">
        <f>Data!G3963</f>
        <v>0</v>
      </c>
      <c r="N3950">
        <f>Data!H3963</f>
        <v>0</v>
      </c>
      <c r="O3950">
        <f>Data!I3963</f>
        <v>0</v>
      </c>
      <c r="P3950" s="21">
        <f>Data!J3967</f>
        <v>0</v>
      </c>
      <c r="Q3950">
        <f>Data!K3967</f>
        <v>0</v>
      </c>
      <c r="R3950">
        <f>Data!L3967</f>
        <v>0</v>
      </c>
      <c r="S3950">
        <f>Data!M3967</f>
        <v>0</v>
      </c>
      <c r="T3950">
        <f>Data!N3967</f>
        <v>0</v>
      </c>
      <c r="U3950">
        <f>Data!O3967</f>
        <v>0</v>
      </c>
      <c r="V3950" s="33">
        <f>Data!P3965</f>
        <v>0</v>
      </c>
    </row>
    <row r="3951" spans="7:22" x14ac:dyDescent="0.25">
      <c r="G3951">
        <f>Data!A3964</f>
        <v>0</v>
      </c>
      <c r="H3951" s="21">
        <f>Data!B3964</f>
        <v>0</v>
      </c>
      <c r="I3951" s="21">
        <f>Data!C3964</f>
        <v>0</v>
      </c>
      <c r="J3951">
        <f>Data!D3964</f>
        <v>0</v>
      </c>
      <c r="K3951">
        <f>Data!E3964</f>
        <v>0</v>
      </c>
      <c r="L3951">
        <f>Data!F3964</f>
        <v>0</v>
      </c>
      <c r="M3951">
        <f>Data!G3964</f>
        <v>0</v>
      </c>
      <c r="N3951">
        <f>Data!H3964</f>
        <v>0</v>
      </c>
      <c r="O3951">
        <f>Data!I3964</f>
        <v>0</v>
      </c>
      <c r="P3951" s="21">
        <f>Data!J3968</f>
        <v>0</v>
      </c>
      <c r="Q3951">
        <f>Data!K3968</f>
        <v>0</v>
      </c>
      <c r="R3951">
        <f>Data!L3968</f>
        <v>0</v>
      </c>
      <c r="S3951">
        <f>Data!M3968</f>
        <v>0</v>
      </c>
      <c r="T3951">
        <f>Data!N3968</f>
        <v>0</v>
      </c>
      <c r="U3951">
        <f>Data!O3968</f>
        <v>0</v>
      </c>
      <c r="V3951" s="33">
        <f>Data!P3966</f>
        <v>0</v>
      </c>
    </row>
    <row r="3952" spans="7:22" x14ac:dyDescent="0.25">
      <c r="G3952">
        <f>Data!A3965</f>
        <v>0</v>
      </c>
      <c r="H3952" s="21">
        <f>Data!B3965</f>
        <v>0</v>
      </c>
      <c r="I3952" s="21">
        <f>Data!C3965</f>
        <v>0</v>
      </c>
      <c r="J3952">
        <f>Data!D3965</f>
        <v>0</v>
      </c>
      <c r="K3952">
        <f>Data!E3965</f>
        <v>0</v>
      </c>
      <c r="L3952">
        <f>Data!F3965</f>
        <v>0</v>
      </c>
      <c r="M3952">
        <f>Data!G3965</f>
        <v>0</v>
      </c>
      <c r="N3952">
        <f>Data!H3965</f>
        <v>0</v>
      </c>
      <c r="O3952">
        <f>Data!I3965</f>
        <v>0</v>
      </c>
      <c r="P3952" s="21">
        <f>Data!J3969</f>
        <v>0</v>
      </c>
      <c r="Q3952">
        <f>Data!K3969</f>
        <v>0</v>
      </c>
      <c r="R3952">
        <f>Data!L3969</f>
        <v>0</v>
      </c>
      <c r="S3952">
        <f>Data!M3969</f>
        <v>0</v>
      </c>
      <c r="T3952">
        <f>Data!N3969</f>
        <v>0</v>
      </c>
      <c r="U3952">
        <f>Data!O3969</f>
        <v>0</v>
      </c>
      <c r="V3952" s="33">
        <f>Data!P3967</f>
        <v>0</v>
      </c>
    </row>
    <row r="3953" spans="7:22" x14ac:dyDescent="0.25">
      <c r="G3953">
        <f>Data!A3966</f>
        <v>0</v>
      </c>
      <c r="H3953" s="21">
        <f>Data!B3966</f>
        <v>0</v>
      </c>
      <c r="I3953" s="21">
        <f>Data!C3966</f>
        <v>0</v>
      </c>
      <c r="J3953">
        <f>Data!D3966</f>
        <v>0</v>
      </c>
      <c r="K3953">
        <f>Data!E3966</f>
        <v>0</v>
      </c>
      <c r="L3953">
        <f>Data!F3966</f>
        <v>0</v>
      </c>
      <c r="M3953">
        <f>Data!G3966</f>
        <v>0</v>
      </c>
      <c r="N3953">
        <f>Data!H3966</f>
        <v>0</v>
      </c>
      <c r="O3953">
        <f>Data!I3966</f>
        <v>0</v>
      </c>
      <c r="P3953" s="21">
        <f>Data!J3970</f>
        <v>0</v>
      </c>
      <c r="Q3953">
        <f>Data!K3970</f>
        <v>0</v>
      </c>
      <c r="R3953">
        <f>Data!L3970</f>
        <v>0</v>
      </c>
      <c r="S3953">
        <f>Data!M3970</f>
        <v>0</v>
      </c>
      <c r="T3953">
        <f>Data!N3970</f>
        <v>0</v>
      </c>
      <c r="U3953">
        <f>Data!O3970</f>
        <v>0</v>
      </c>
      <c r="V3953" s="33">
        <f>Data!P3968</f>
        <v>0</v>
      </c>
    </row>
    <row r="3954" spans="7:22" x14ac:dyDescent="0.25">
      <c r="G3954">
        <f>Data!A3967</f>
        <v>0</v>
      </c>
      <c r="H3954" s="21">
        <f>Data!B3967</f>
        <v>0</v>
      </c>
      <c r="I3954" s="21">
        <f>Data!C3967</f>
        <v>0</v>
      </c>
      <c r="J3954">
        <f>Data!D3967</f>
        <v>0</v>
      </c>
      <c r="K3954">
        <f>Data!E3967</f>
        <v>0</v>
      </c>
      <c r="L3954">
        <f>Data!F3967</f>
        <v>0</v>
      </c>
      <c r="M3954">
        <f>Data!G3967</f>
        <v>0</v>
      </c>
      <c r="N3954">
        <f>Data!H3967</f>
        <v>0</v>
      </c>
      <c r="O3954">
        <f>Data!I3967</f>
        <v>0</v>
      </c>
      <c r="P3954" s="21">
        <f>Data!J3971</f>
        <v>0</v>
      </c>
      <c r="Q3954">
        <f>Data!K3971</f>
        <v>0</v>
      </c>
      <c r="R3954">
        <f>Data!L3971</f>
        <v>0</v>
      </c>
      <c r="S3954">
        <f>Data!M3971</f>
        <v>0</v>
      </c>
      <c r="T3954">
        <f>Data!N3971</f>
        <v>0</v>
      </c>
      <c r="U3954">
        <f>Data!O3971</f>
        <v>0</v>
      </c>
      <c r="V3954" s="33">
        <f>Data!P3969</f>
        <v>0</v>
      </c>
    </row>
    <row r="3955" spans="7:22" x14ac:dyDescent="0.25">
      <c r="G3955">
        <f>Data!A3968</f>
        <v>0</v>
      </c>
      <c r="H3955" s="21">
        <f>Data!B3968</f>
        <v>0</v>
      </c>
      <c r="I3955" s="21">
        <f>Data!C3968</f>
        <v>0</v>
      </c>
      <c r="J3955">
        <f>Data!D3968</f>
        <v>0</v>
      </c>
      <c r="K3955">
        <f>Data!E3968</f>
        <v>0</v>
      </c>
      <c r="L3955">
        <f>Data!F3968</f>
        <v>0</v>
      </c>
      <c r="M3955">
        <f>Data!G3968</f>
        <v>0</v>
      </c>
      <c r="N3955">
        <f>Data!H3968</f>
        <v>0</v>
      </c>
      <c r="O3955">
        <f>Data!I3968</f>
        <v>0</v>
      </c>
      <c r="P3955" s="21">
        <f>Data!J3972</f>
        <v>0</v>
      </c>
      <c r="Q3955">
        <f>Data!K3972</f>
        <v>0</v>
      </c>
      <c r="R3955">
        <f>Data!L3972</f>
        <v>0</v>
      </c>
      <c r="S3955">
        <f>Data!M3972</f>
        <v>0</v>
      </c>
      <c r="T3955">
        <f>Data!N3972</f>
        <v>0</v>
      </c>
      <c r="U3955">
        <f>Data!O3972</f>
        <v>0</v>
      </c>
      <c r="V3955" s="33">
        <f>Data!P3970</f>
        <v>0</v>
      </c>
    </row>
    <row r="3956" spans="7:22" x14ac:dyDescent="0.25">
      <c r="G3956">
        <f>Data!A3969</f>
        <v>0</v>
      </c>
      <c r="H3956" s="21">
        <f>Data!B3969</f>
        <v>0</v>
      </c>
      <c r="I3956" s="21">
        <f>Data!C3969</f>
        <v>0</v>
      </c>
      <c r="J3956">
        <f>Data!D3969</f>
        <v>0</v>
      </c>
      <c r="K3956">
        <f>Data!E3969</f>
        <v>0</v>
      </c>
      <c r="L3956">
        <f>Data!F3969</f>
        <v>0</v>
      </c>
      <c r="M3956">
        <f>Data!G3969</f>
        <v>0</v>
      </c>
      <c r="N3956">
        <f>Data!H3969</f>
        <v>0</v>
      </c>
      <c r="O3956">
        <f>Data!I3969</f>
        <v>0</v>
      </c>
      <c r="P3956" s="21">
        <f>Data!J3973</f>
        <v>0</v>
      </c>
      <c r="Q3956">
        <f>Data!K3973</f>
        <v>0</v>
      </c>
      <c r="R3956">
        <f>Data!L3973</f>
        <v>0</v>
      </c>
      <c r="S3956">
        <f>Data!M3973</f>
        <v>0</v>
      </c>
      <c r="T3956">
        <f>Data!N3973</f>
        <v>0</v>
      </c>
      <c r="U3956">
        <f>Data!O3973</f>
        <v>0</v>
      </c>
      <c r="V3956" s="33">
        <f>Data!P3971</f>
        <v>0</v>
      </c>
    </row>
    <row r="3957" spans="7:22" x14ac:dyDescent="0.25">
      <c r="G3957">
        <f>Data!A3970</f>
        <v>0</v>
      </c>
      <c r="H3957" s="21">
        <f>Data!B3970</f>
        <v>0</v>
      </c>
      <c r="I3957" s="21">
        <f>Data!C3970</f>
        <v>0</v>
      </c>
      <c r="J3957">
        <f>Data!D3970</f>
        <v>0</v>
      </c>
      <c r="K3957">
        <f>Data!E3970</f>
        <v>0</v>
      </c>
      <c r="L3957">
        <f>Data!F3970</f>
        <v>0</v>
      </c>
      <c r="M3957">
        <f>Data!G3970</f>
        <v>0</v>
      </c>
      <c r="N3957">
        <f>Data!H3970</f>
        <v>0</v>
      </c>
      <c r="O3957">
        <f>Data!I3970</f>
        <v>0</v>
      </c>
      <c r="P3957" s="21">
        <f>Data!J3974</f>
        <v>0</v>
      </c>
      <c r="Q3957">
        <f>Data!K3974</f>
        <v>0</v>
      </c>
      <c r="R3957">
        <f>Data!L3974</f>
        <v>0</v>
      </c>
      <c r="S3957">
        <f>Data!M3974</f>
        <v>0</v>
      </c>
      <c r="T3957">
        <f>Data!N3974</f>
        <v>0</v>
      </c>
      <c r="U3957">
        <f>Data!O3974</f>
        <v>0</v>
      </c>
      <c r="V3957" s="33">
        <f>Data!P3972</f>
        <v>0</v>
      </c>
    </row>
    <row r="3958" spans="7:22" x14ac:dyDescent="0.25">
      <c r="G3958">
        <f>Data!A3971</f>
        <v>0</v>
      </c>
      <c r="H3958" s="21">
        <f>Data!B3971</f>
        <v>0</v>
      </c>
      <c r="I3958" s="21">
        <f>Data!C3971</f>
        <v>0</v>
      </c>
      <c r="J3958">
        <f>Data!D3971</f>
        <v>0</v>
      </c>
      <c r="K3958">
        <f>Data!E3971</f>
        <v>0</v>
      </c>
      <c r="L3958">
        <f>Data!F3971</f>
        <v>0</v>
      </c>
      <c r="M3958">
        <f>Data!G3971</f>
        <v>0</v>
      </c>
      <c r="N3958">
        <f>Data!H3971</f>
        <v>0</v>
      </c>
      <c r="O3958">
        <f>Data!I3971</f>
        <v>0</v>
      </c>
      <c r="P3958" s="21">
        <f>Data!J3975</f>
        <v>0</v>
      </c>
      <c r="Q3958">
        <f>Data!K3975</f>
        <v>0</v>
      </c>
      <c r="R3958">
        <f>Data!L3975</f>
        <v>0</v>
      </c>
      <c r="S3958">
        <f>Data!M3975</f>
        <v>0</v>
      </c>
      <c r="T3958">
        <f>Data!N3975</f>
        <v>0</v>
      </c>
      <c r="U3958">
        <f>Data!O3975</f>
        <v>0</v>
      </c>
      <c r="V3958" s="33">
        <f>Data!P3973</f>
        <v>0</v>
      </c>
    </row>
    <row r="3959" spans="7:22" x14ac:dyDescent="0.25">
      <c r="G3959">
        <f>Data!A3972</f>
        <v>0</v>
      </c>
      <c r="H3959" s="21">
        <f>Data!B3972</f>
        <v>0</v>
      </c>
      <c r="I3959" s="21">
        <f>Data!C3972</f>
        <v>0</v>
      </c>
      <c r="J3959">
        <f>Data!D3972</f>
        <v>0</v>
      </c>
      <c r="K3959">
        <f>Data!E3972</f>
        <v>0</v>
      </c>
      <c r="L3959">
        <f>Data!F3972</f>
        <v>0</v>
      </c>
      <c r="M3959">
        <f>Data!G3972</f>
        <v>0</v>
      </c>
      <c r="N3959">
        <f>Data!H3972</f>
        <v>0</v>
      </c>
      <c r="O3959">
        <f>Data!I3972</f>
        <v>0</v>
      </c>
      <c r="P3959" s="21">
        <f>Data!J3976</f>
        <v>0</v>
      </c>
      <c r="Q3959">
        <f>Data!K3976</f>
        <v>0</v>
      </c>
      <c r="R3959">
        <f>Data!L3976</f>
        <v>0</v>
      </c>
      <c r="S3959">
        <f>Data!M3976</f>
        <v>0</v>
      </c>
      <c r="T3959">
        <f>Data!N3976</f>
        <v>0</v>
      </c>
      <c r="U3959">
        <f>Data!O3976</f>
        <v>0</v>
      </c>
      <c r="V3959" s="33">
        <f>Data!P3974</f>
        <v>0</v>
      </c>
    </row>
    <row r="3960" spans="7:22" x14ac:dyDescent="0.25">
      <c r="G3960">
        <f>Data!A3973</f>
        <v>0</v>
      </c>
      <c r="H3960" s="21">
        <f>Data!B3973</f>
        <v>0</v>
      </c>
      <c r="I3960" s="21">
        <f>Data!C3973</f>
        <v>0</v>
      </c>
      <c r="J3960">
        <f>Data!D3973</f>
        <v>0</v>
      </c>
      <c r="K3960">
        <f>Data!E3973</f>
        <v>0</v>
      </c>
      <c r="L3960">
        <f>Data!F3973</f>
        <v>0</v>
      </c>
      <c r="M3960">
        <f>Data!G3973</f>
        <v>0</v>
      </c>
      <c r="N3960">
        <f>Data!H3973</f>
        <v>0</v>
      </c>
      <c r="O3960">
        <f>Data!I3973</f>
        <v>0</v>
      </c>
      <c r="P3960" s="21">
        <f>Data!J3977</f>
        <v>0</v>
      </c>
      <c r="Q3960">
        <f>Data!K3977</f>
        <v>0</v>
      </c>
      <c r="R3960">
        <f>Data!L3977</f>
        <v>0</v>
      </c>
      <c r="S3960">
        <f>Data!M3977</f>
        <v>0</v>
      </c>
      <c r="T3960">
        <f>Data!N3977</f>
        <v>0</v>
      </c>
      <c r="U3960">
        <f>Data!O3977</f>
        <v>0</v>
      </c>
      <c r="V3960" s="33">
        <f>Data!P3975</f>
        <v>0</v>
      </c>
    </row>
    <row r="3961" spans="7:22" x14ac:dyDescent="0.25">
      <c r="G3961">
        <f>Data!A3974</f>
        <v>0</v>
      </c>
      <c r="H3961" s="21">
        <f>Data!B3974</f>
        <v>0</v>
      </c>
      <c r="I3961" s="21">
        <f>Data!C3974</f>
        <v>0</v>
      </c>
      <c r="J3961">
        <f>Data!D3974</f>
        <v>0</v>
      </c>
      <c r="K3961">
        <f>Data!E3974</f>
        <v>0</v>
      </c>
      <c r="L3961">
        <f>Data!F3974</f>
        <v>0</v>
      </c>
      <c r="M3961">
        <f>Data!G3974</f>
        <v>0</v>
      </c>
      <c r="N3961">
        <f>Data!H3974</f>
        <v>0</v>
      </c>
      <c r="O3961">
        <f>Data!I3974</f>
        <v>0</v>
      </c>
      <c r="P3961" s="21">
        <f>Data!J3978</f>
        <v>0</v>
      </c>
      <c r="Q3961">
        <f>Data!K3978</f>
        <v>0</v>
      </c>
      <c r="R3961">
        <f>Data!L3978</f>
        <v>0</v>
      </c>
      <c r="S3961">
        <f>Data!M3978</f>
        <v>0</v>
      </c>
      <c r="T3961">
        <f>Data!N3978</f>
        <v>0</v>
      </c>
      <c r="U3961">
        <f>Data!O3978</f>
        <v>0</v>
      </c>
      <c r="V3961" s="33">
        <f>Data!P3976</f>
        <v>0</v>
      </c>
    </row>
    <row r="3962" spans="7:22" x14ac:dyDescent="0.25">
      <c r="G3962">
        <f>Data!A3975</f>
        <v>0</v>
      </c>
      <c r="H3962" s="21">
        <f>Data!B3975</f>
        <v>0</v>
      </c>
      <c r="I3962" s="21">
        <f>Data!C3975</f>
        <v>0</v>
      </c>
      <c r="J3962">
        <f>Data!D3975</f>
        <v>0</v>
      </c>
      <c r="K3962">
        <f>Data!E3975</f>
        <v>0</v>
      </c>
      <c r="L3962">
        <f>Data!F3975</f>
        <v>0</v>
      </c>
      <c r="M3962">
        <f>Data!G3975</f>
        <v>0</v>
      </c>
      <c r="N3962">
        <f>Data!H3975</f>
        <v>0</v>
      </c>
      <c r="O3962">
        <f>Data!I3975</f>
        <v>0</v>
      </c>
      <c r="P3962" s="21">
        <f>Data!J3979</f>
        <v>0</v>
      </c>
      <c r="Q3962">
        <f>Data!K3979</f>
        <v>0</v>
      </c>
      <c r="R3962">
        <f>Data!L3979</f>
        <v>0</v>
      </c>
      <c r="S3962">
        <f>Data!M3979</f>
        <v>0</v>
      </c>
      <c r="T3962">
        <f>Data!N3979</f>
        <v>0</v>
      </c>
      <c r="U3962">
        <f>Data!O3979</f>
        <v>0</v>
      </c>
      <c r="V3962" s="33">
        <f>Data!P3977</f>
        <v>0</v>
      </c>
    </row>
    <row r="3963" spans="7:22" x14ac:dyDescent="0.25">
      <c r="G3963">
        <f>Data!A3976</f>
        <v>0</v>
      </c>
      <c r="H3963" s="21">
        <f>Data!B3976</f>
        <v>0</v>
      </c>
      <c r="I3963" s="21">
        <f>Data!C3976</f>
        <v>0</v>
      </c>
      <c r="J3963">
        <f>Data!D3976</f>
        <v>0</v>
      </c>
      <c r="K3963">
        <f>Data!E3976</f>
        <v>0</v>
      </c>
      <c r="L3963">
        <f>Data!F3976</f>
        <v>0</v>
      </c>
      <c r="M3963">
        <f>Data!G3976</f>
        <v>0</v>
      </c>
      <c r="N3963">
        <f>Data!H3976</f>
        <v>0</v>
      </c>
      <c r="O3963">
        <f>Data!I3976</f>
        <v>0</v>
      </c>
      <c r="P3963" s="21">
        <f>Data!J3980</f>
        <v>0</v>
      </c>
      <c r="Q3963">
        <f>Data!K3980</f>
        <v>0</v>
      </c>
      <c r="R3963">
        <f>Data!L3980</f>
        <v>0</v>
      </c>
      <c r="S3963">
        <f>Data!M3980</f>
        <v>0</v>
      </c>
      <c r="T3963">
        <f>Data!N3980</f>
        <v>0</v>
      </c>
      <c r="U3963">
        <f>Data!O3980</f>
        <v>0</v>
      </c>
      <c r="V3963" s="33">
        <f>Data!P3978</f>
        <v>0</v>
      </c>
    </row>
    <row r="3964" spans="7:22" x14ac:dyDescent="0.25">
      <c r="G3964">
        <f>Data!A3977</f>
        <v>0</v>
      </c>
      <c r="H3964" s="21">
        <f>Data!B3977</f>
        <v>0</v>
      </c>
      <c r="I3964" s="21">
        <f>Data!C3977</f>
        <v>0</v>
      </c>
      <c r="J3964">
        <f>Data!D3977</f>
        <v>0</v>
      </c>
      <c r="K3964">
        <f>Data!E3977</f>
        <v>0</v>
      </c>
      <c r="L3964">
        <f>Data!F3977</f>
        <v>0</v>
      </c>
      <c r="M3964">
        <f>Data!G3977</f>
        <v>0</v>
      </c>
      <c r="N3964">
        <f>Data!H3977</f>
        <v>0</v>
      </c>
      <c r="O3964">
        <f>Data!I3977</f>
        <v>0</v>
      </c>
      <c r="P3964" s="21">
        <f>Data!J3981</f>
        <v>0</v>
      </c>
      <c r="Q3964">
        <f>Data!K3981</f>
        <v>0</v>
      </c>
      <c r="R3964">
        <f>Data!L3981</f>
        <v>0</v>
      </c>
      <c r="S3964">
        <f>Data!M3981</f>
        <v>0</v>
      </c>
      <c r="T3964">
        <f>Data!N3981</f>
        <v>0</v>
      </c>
      <c r="U3964">
        <f>Data!O3981</f>
        <v>0</v>
      </c>
      <c r="V3964" s="33">
        <f>Data!P3979</f>
        <v>0</v>
      </c>
    </row>
    <row r="3965" spans="7:22" x14ac:dyDescent="0.25">
      <c r="G3965">
        <f>Data!A3978</f>
        <v>0</v>
      </c>
      <c r="H3965" s="21">
        <f>Data!B3978</f>
        <v>0</v>
      </c>
      <c r="I3965" s="21">
        <f>Data!C3978</f>
        <v>0</v>
      </c>
      <c r="J3965">
        <f>Data!D3978</f>
        <v>0</v>
      </c>
      <c r="K3965">
        <f>Data!E3978</f>
        <v>0</v>
      </c>
      <c r="L3965">
        <f>Data!F3978</f>
        <v>0</v>
      </c>
      <c r="M3965">
        <f>Data!G3978</f>
        <v>0</v>
      </c>
      <c r="N3965">
        <f>Data!H3978</f>
        <v>0</v>
      </c>
      <c r="O3965">
        <f>Data!I3978</f>
        <v>0</v>
      </c>
      <c r="P3965" s="21">
        <f>Data!J3982</f>
        <v>0</v>
      </c>
      <c r="Q3965">
        <f>Data!K3982</f>
        <v>0</v>
      </c>
      <c r="R3965">
        <f>Data!L3982</f>
        <v>0</v>
      </c>
      <c r="S3965">
        <f>Data!M3982</f>
        <v>0</v>
      </c>
      <c r="T3965">
        <f>Data!N3982</f>
        <v>0</v>
      </c>
      <c r="U3965">
        <f>Data!O3982</f>
        <v>0</v>
      </c>
      <c r="V3965" s="33">
        <f>Data!P3980</f>
        <v>0</v>
      </c>
    </row>
    <row r="3966" spans="7:22" x14ac:dyDescent="0.25">
      <c r="G3966">
        <f>Data!A3979</f>
        <v>0</v>
      </c>
      <c r="H3966" s="21">
        <f>Data!B3979</f>
        <v>0</v>
      </c>
      <c r="I3966" s="21">
        <f>Data!C3979</f>
        <v>0</v>
      </c>
      <c r="J3966">
        <f>Data!D3979</f>
        <v>0</v>
      </c>
      <c r="K3966">
        <f>Data!E3979</f>
        <v>0</v>
      </c>
      <c r="L3966">
        <f>Data!F3979</f>
        <v>0</v>
      </c>
      <c r="M3966">
        <f>Data!G3979</f>
        <v>0</v>
      </c>
      <c r="N3966">
        <f>Data!H3979</f>
        <v>0</v>
      </c>
      <c r="O3966">
        <f>Data!I3979</f>
        <v>0</v>
      </c>
      <c r="P3966" s="21">
        <f>Data!J3983</f>
        <v>0</v>
      </c>
      <c r="Q3966">
        <f>Data!K3983</f>
        <v>0</v>
      </c>
      <c r="R3966">
        <f>Data!L3983</f>
        <v>0</v>
      </c>
      <c r="S3966">
        <f>Data!M3983</f>
        <v>0</v>
      </c>
      <c r="T3966">
        <f>Data!N3983</f>
        <v>0</v>
      </c>
      <c r="U3966">
        <f>Data!O3983</f>
        <v>0</v>
      </c>
      <c r="V3966" s="33">
        <f>Data!P3981</f>
        <v>0</v>
      </c>
    </row>
    <row r="3967" spans="7:22" x14ac:dyDescent="0.25">
      <c r="G3967">
        <f>Data!A3980</f>
        <v>0</v>
      </c>
      <c r="H3967" s="21">
        <f>Data!B3980</f>
        <v>0</v>
      </c>
      <c r="I3967" s="21">
        <f>Data!C3980</f>
        <v>0</v>
      </c>
      <c r="J3967">
        <f>Data!D3980</f>
        <v>0</v>
      </c>
      <c r="K3967">
        <f>Data!E3980</f>
        <v>0</v>
      </c>
      <c r="L3967">
        <f>Data!F3980</f>
        <v>0</v>
      </c>
      <c r="M3967">
        <f>Data!G3980</f>
        <v>0</v>
      </c>
      <c r="N3967">
        <f>Data!H3980</f>
        <v>0</v>
      </c>
      <c r="O3967">
        <f>Data!I3980</f>
        <v>0</v>
      </c>
      <c r="P3967" s="21">
        <f>Data!J3984</f>
        <v>0</v>
      </c>
      <c r="Q3967">
        <f>Data!K3984</f>
        <v>0</v>
      </c>
      <c r="R3967">
        <f>Data!L3984</f>
        <v>0</v>
      </c>
      <c r="S3967">
        <f>Data!M3984</f>
        <v>0</v>
      </c>
      <c r="T3967">
        <f>Data!N3984</f>
        <v>0</v>
      </c>
      <c r="U3967">
        <f>Data!O3984</f>
        <v>0</v>
      </c>
      <c r="V3967" s="33">
        <f>Data!P3982</f>
        <v>0</v>
      </c>
    </row>
    <row r="3968" spans="7:22" x14ac:dyDescent="0.25">
      <c r="G3968">
        <f>Data!A3981</f>
        <v>0</v>
      </c>
      <c r="H3968" s="21">
        <f>Data!B3981</f>
        <v>0</v>
      </c>
      <c r="I3968" s="21">
        <f>Data!C3981</f>
        <v>0</v>
      </c>
      <c r="J3968">
        <f>Data!D3981</f>
        <v>0</v>
      </c>
      <c r="K3968">
        <f>Data!E3981</f>
        <v>0</v>
      </c>
      <c r="L3968">
        <f>Data!F3981</f>
        <v>0</v>
      </c>
      <c r="M3968">
        <f>Data!G3981</f>
        <v>0</v>
      </c>
      <c r="N3968">
        <f>Data!H3981</f>
        <v>0</v>
      </c>
      <c r="O3968">
        <f>Data!I3981</f>
        <v>0</v>
      </c>
      <c r="P3968" s="21">
        <f>Data!J3985</f>
        <v>0</v>
      </c>
      <c r="Q3968">
        <f>Data!K3985</f>
        <v>0</v>
      </c>
      <c r="R3968">
        <f>Data!L3985</f>
        <v>0</v>
      </c>
      <c r="S3968">
        <f>Data!M3985</f>
        <v>0</v>
      </c>
      <c r="T3968">
        <f>Data!N3985</f>
        <v>0</v>
      </c>
      <c r="U3968">
        <f>Data!O3985</f>
        <v>0</v>
      </c>
      <c r="V3968" s="33">
        <f>Data!P3983</f>
        <v>0</v>
      </c>
    </row>
    <row r="3969" spans="7:22" x14ac:dyDescent="0.25">
      <c r="G3969">
        <f>Data!A3982</f>
        <v>0</v>
      </c>
      <c r="H3969" s="21">
        <f>Data!B3982</f>
        <v>0</v>
      </c>
      <c r="I3969" s="21">
        <f>Data!C3982</f>
        <v>0</v>
      </c>
      <c r="J3969">
        <f>Data!D3982</f>
        <v>0</v>
      </c>
      <c r="K3969">
        <f>Data!E3982</f>
        <v>0</v>
      </c>
      <c r="L3969">
        <f>Data!F3982</f>
        <v>0</v>
      </c>
      <c r="M3969">
        <f>Data!G3982</f>
        <v>0</v>
      </c>
      <c r="N3969">
        <f>Data!H3982</f>
        <v>0</v>
      </c>
      <c r="O3969">
        <f>Data!I3982</f>
        <v>0</v>
      </c>
      <c r="P3969" s="21">
        <f>Data!J3986</f>
        <v>0</v>
      </c>
      <c r="Q3969">
        <f>Data!K3986</f>
        <v>0</v>
      </c>
      <c r="R3969">
        <f>Data!L3986</f>
        <v>0</v>
      </c>
      <c r="S3969">
        <f>Data!M3986</f>
        <v>0</v>
      </c>
      <c r="T3969">
        <f>Data!N3986</f>
        <v>0</v>
      </c>
      <c r="U3969">
        <f>Data!O3986</f>
        <v>0</v>
      </c>
      <c r="V3969" s="33">
        <f>Data!P3984</f>
        <v>0</v>
      </c>
    </row>
    <row r="3970" spans="7:22" x14ac:dyDescent="0.25">
      <c r="G3970">
        <f>Data!A3983</f>
        <v>0</v>
      </c>
      <c r="H3970" s="21">
        <f>Data!B3983</f>
        <v>0</v>
      </c>
      <c r="I3970" s="21">
        <f>Data!C3983</f>
        <v>0</v>
      </c>
      <c r="J3970">
        <f>Data!D3983</f>
        <v>0</v>
      </c>
      <c r="K3970">
        <f>Data!E3983</f>
        <v>0</v>
      </c>
      <c r="L3970">
        <f>Data!F3983</f>
        <v>0</v>
      </c>
      <c r="M3970">
        <f>Data!G3983</f>
        <v>0</v>
      </c>
      <c r="N3970">
        <f>Data!H3983</f>
        <v>0</v>
      </c>
      <c r="O3970">
        <f>Data!I3983</f>
        <v>0</v>
      </c>
      <c r="P3970" s="21">
        <f>Data!J3987</f>
        <v>0</v>
      </c>
      <c r="Q3970">
        <f>Data!K3987</f>
        <v>0</v>
      </c>
      <c r="R3970">
        <f>Data!L3987</f>
        <v>0</v>
      </c>
      <c r="S3970">
        <f>Data!M3987</f>
        <v>0</v>
      </c>
      <c r="T3970">
        <f>Data!N3987</f>
        <v>0</v>
      </c>
      <c r="U3970">
        <f>Data!O3987</f>
        <v>0</v>
      </c>
      <c r="V3970" s="33">
        <f>Data!P3985</f>
        <v>0</v>
      </c>
    </row>
    <row r="3971" spans="7:22" x14ac:dyDescent="0.25">
      <c r="G3971">
        <f>Data!A3984</f>
        <v>0</v>
      </c>
      <c r="H3971" s="21">
        <f>Data!B3984</f>
        <v>0</v>
      </c>
      <c r="I3971" s="21">
        <f>Data!C3984</f>
        <v>0</v>
      </c>
      <c r="J3971">
        <f>Data!D3984</f>
        <v>0</v>
      </c>
      <c r="K3971">
        <f>Data!E3984</f>
        <v>0</v>
      </c>
      <c r="L3971">
        <f>Data!F3984</f>
        <v>0</v>
      </c>
      <c r="M3971">
        <f>Data!G3984</f>
        <v>0</v>
      </c>
      <c r="N3971">
        <f>Data!H3984</f>
        <v>0</v>
      </c>
      <c r="O3971">
        <f>Data!I3984</f>
        <v>0</v>
      </c>
      <c r="P3971" s="21">
        <f>Data!J3988</f>
        <v>0</v>
      </c>
      <c r="Q3971">
        <f>Data!K3988</f>
        <v>0</v>
      </c>
      <c r="R3971">
        <f>Data!L3988</f>
        <v>0</v>
      </c>
      <c r="S3971">
        <f>Data!M3988</f>
        <v>0</v>
      </c>
      <c r="T3971">
        <f>Data!N3988</f>
        <v>0</v>
      </c>
      <c r="U3971">
        <f>Data!O3988</f>
        <v>0</v>
      </c>
      <c r="V3971" s="33">
        <f>Data!P3986</f>
        <v>0</v>
      </c>
    </row>
    <row r="3972" spans="7:22" x14ac:dyDescent="0.25">
      <c r="G3972">
        <f>Data!A3985</f>
        <v>0</v>
      </c>
      <c r="H3972" s="21">
        <f>Data!B3985</f>
        <v>0</v>
      </c>
      <c r="I3972" s="21">
        <f>Data!C3985</f>
        <v>0</v>
      </c>
      <c r="J3972">
        <f>Data!D3985</f>
        <v>0</v>
      </c>
      <c r="K3972">
        <f>Data!E3985</f>
        <v>0</v>
      </c>
      <c r="L3972">
        <f>Data!F3985</f>
        <v>0</v>
      </c>
      <c r="M3972">
        <f>Data!G3985</f>
        <v>0</v>
      </c>
      <c r="N3972">
        <f>Data!H3985</f>
        <v>0</v>
      </c>
      <c r="O3972">
        <f>Data!I3985</f>
        <v>0</v>
      </c>
      <c r="P3972" s="21">
        <f>Data!J3989</f>
        <v>0</v>
      </c>
      <c r="Q3972">
        <f>Data!K3989</f>
        <v>0</v>
      </c>
      <c r="R3972">
        <f>Data!L3989</f>
        <v>0</v>
      </c>
      <c r="S3972">
        <f>Data!M3989</f>
        <v>0</v>
      </c>
      <c r="T3972">
        <f>Data!N3989</f>
        <v>0</v>
      </c>
      <c r="U3972">
        <f>Data!O3989</f>
        <v>0</v>
      </c>
      <c r="V3972" s="33">
        <f>Data!P3987</f>
        <v>0</v>
      </c>
    </row>
    <row r="3973" spans="7:22" x14ac:dyDescent="0.25">
      <c r="G3973">
        <f>Data!A3986</f>
        <v>0</v>
      </c>
      <c r="H3973" s="21">
        <f>Data!B3986</f>
        <v>0</v>
      </c>
      <c r="I3973" s="21">
        <f>Data!C3986</f>
        <v>0</v>
      </c>
      <c r="J3973">
        <f>Data!D3986</f>
        <v>0</v>
      </c>
      <c r="K3973">
        <f>Data!E3986</f>
        <v>0</v>
      </c>
      <c r="L3973">
        <f>Data!F3986</f>
        <v>0</v>
      </c>
      <c r="M3973">
        <f>Data!G3986</f>
        <v>0</v>
      </c>
      <c r="N3973">
        <f>Data!H3986</f>
        <v>0</v>
      </c>
      <c r="O3973">
        <f>Data!I3986</f>
        <v>0</v>
      </c>
      <c r="P3973" s="21">
        <f>Data!J3990</f>
        <v>0</v>
      </c>
      <c r="Q3973">
        <f>Data!K3990</f>
        <v>0</v>
      </c>
      <c r="R3973">
        <f>Data!L3990</f>
        <v>0</v>
      </c>
      <c r="S3973">
        <f>Data!M3990</f>
        <v>0</v>
      </c>
      <c r="T3973">
        <f>Data!N3990</f>
        <v>0</v>
      </c>
      <c r="U3973">
        <f>Data!O3990</f>
        <v>0</v>
      </c>
      <c r="V3973" s="33">
        <f>Data!P3988</f>
        <v>0</v>
      </c>
    </row>
    <row r="3974" spans="7:22" x14ac:dyDescent="0.25">
      <c r="G3974">
        <f>Data!A3987</f>
        <v>0</v>
      </c>
      <c r="H3974" s="21">
        <f>Data!B3987</f>
        <v>0</v>
      </c>
      <c r="I3974" s="21">
        <f>Data!C3987</f>
        <v>0</v>
      </c>
      <c r="J3974">
        <f>Data!D3987</f>
        <v>0</v>
      </c>
      <c r="K3974">
        <f>Data!E3987</f>
        <v>0</v>
      </c>
      <c r="L3974">
        <f>Data!F3987</f>
        <v>0</v>
      </c>
      <c r="M3974">
        <f>Data!G3987</f>
        <v>0</v>
      </c>
      <c r="N3974">
        <f>Data!H3987</f>
        <v>0</v>
      </c>
      <c r="O3974">
        <f>Data!I3987</f>
        <v>0</v>
      </c>
      <c r="P3974" s="21">
        <f>Data!J3991</f>
        <v>0</v>
      </c>
      <c r="Q3974">
        <f>Data!K3991</f>
        <v>0</v>
      </c>
      <c r="R3974">
        <f>Data!L3991</f>
        <v>0</v>
      </c>
      <c r="S3974">
        <f>Data!M3991</f>
        <v>0</v>
      </c>
      <c r="T3974">
        <f>Data!N3991</f>
        <v>0</v>
      </c>
      <c r="U3974">
        <f>Data!O3991</f>
        <v>0</v>
      </c>
      <c r="V3974" s="33">
        <f>Data!P3989</f>
        <v>0</v>
      </c>
    </row>
    <row r="3975" spans="7:22" x14ac:dyDescent="0.25">
      <c r="G3975">
        <f>Data!A3988</f>
        <v>0</v>
      </c>
      <c r="H3975" s="21">
        <f>Data!B3988</f>
        <v>0</v>
      </c>
      <c r="I3975" s="21">
        <f>Data!C3988</f>
        <v>0</v>
      </c>
      <c r="J3975">
        <f>Data!D3988</f>
        <v>0</v>
      </c>
      <c r="K3975">
        <f>Data!E3988</f>
        <v>0</v>
      </c>
      <c r="L3975">
        <f>Data!F3988</f>
        <v>0</v>
      </c>
      <c r="M3975">
        <f>Data!G3988</f>
        <v>0</v>
      </c>
      <c r="N3975">
        <f>Data!H3988</f>
        <v>0</v>
      </c>
      <c r="O3975">
        <f>Data!I3988</f>
        <v>0</v>
      </c>
      <c r="P3975" s="21">
        <f>Data!J3992</f>
        <v>0</v>
      </c>
      <c r="Q3975">
        <f>Data!K3992</f>
        <v>0</v>
      </c>
      <c r="R3975">
        <f>Data!L3992</f>
        <v>0</v>
      </c>
      <c r="S3975">
        <f>Data!M3992</f>
        <v>0</v>
      </c>
      <c r="T3975">
        <f>Data!N3992</f>
        <v>0</v>
      </c>
      <c r="U3975">
        <f>Data!O3992</f>
        <v>0</v>
      </c>
      <c r="V3975" s="33">
        <f>Data!P3990</f>
        <v>0</v>
      </c>
    </row>
    <row r="3976" spans="7:22" x14ac:dyDescent="0.25">
      <c r="G3976">
        <f>Data!A3989</f>
        <v>0</v>
      </c>
      <c r="H3976" s="21">
        <f>Data!B3989</f>
        <v>0</v>
      </c>
      <c r="I3976" s="21">
        <f>Data!C3989</f>
        <v>0</v>
      </c>
      <c r="J3976">
        <f>Data!D3989</f>
        <v>0</v>
      </c>
      <c r="K3976">
        <f>Data!E3989</f>
        <v>0</v>
      </c>
      <c r="L3976">
        <f>Data!F3989</f>
        <v>0</v>
      </c>
      <c r="M3976">
        <f>Data!G3989</f>
        <v>0</v>
      </c>
      <c r="N3976">
        <f>Data!H3989</f>
        <v>0</v>
      </c>
      <c r="O3976">
        <f>Data!I3989</f>
        <v>0</v>
      </c>
      <c r="P3976" s="21">
        <f>Data!J3993</f>
        <v>0</v>
      </c>
      <c r="Q3976">
        <f>Data!K3993</f>
        <v>0</v>
      </c>
      <c r="R3976">
        <f>Data!L3993</f>
        <v>0</v>
      </c>
      <c r="S3976">
        <f>Data!M3993</f>
        <v>0</v>
      </c>
      <c r="T3976">
        <f>Data!N3993</f>
        <v>0</v>
      </c>
      <c r="U3976">
        <f>Data!O3993</f>
        <v>0</v>
      </c>
      <c r="V3976" s="33">
        <f>Data!P3991</f>
        <v>0</v>
      </c>
    </row>
    <row r="3977" spans="7:22" x14ac:dyDescent="0.25">
      <c r="G3977">
        <f>Data!A3990</f>
        <v>0</v>
      </c>
      <c r="H3977" s="21">
        <f>Data!B3990</f>
        <v>0</v>
      </c>
      <c r="I3977" s="21">
        <f>Data!C3990</f>
        <v>0</v>
      </c>
      <c r="J3977">
        <f>Data!D3990</f>
        <v>0</v>
      </c>
      <c r="K3977">
        <f>Data!E3990</f>
        <v>0</v>
      </c>
      <c r="L3977">
        <f>Data!F3990</f>
        <v>0</v>
      </c>
      <c r="M3977">
        <f>Data!G3990</f>
        <v>0</v>
      </c>
      <c r="N3977">
        <f>Data!H3990</f>
        <v>0</v>
      </c>
      <c r="O3977">
        <f>Data!I3990</f>
        <v>0</v>
      </c>
      <c r="P3977" s="21">
        <f>Data!J3994</f>
        <v>0</v>
      </c>
      <c r="Q3977">
        <f>Data!K3994</f>
        <v>0</v>
      </c>
      <c r="R3977">
        <f>Data!L3994</f>
        <v>0</v>
      </c>
      <c r="S3977">
        <f>Data!M3994</f>
        <v>0</v>
      </c>
      <c r="T3977">
        <f>Data!N3994</f>
        <v>0</v>
      </c>
      <c r="U3977">
        <f>Data!O3994</f>
        <v>0</v>
      </c>
      <c r="V3977" s="33">
        <f>Data!P3992</f>
        <v>0</v>
      </c>
    </row>
    <row r="3978" spans="7:22" x14ac:dyDescent="0.25">
      <c r="G3978">
        <f>Data!A3991</f>
        <v>0</v>
      </c>
      <c r="H3978" s="21">
        <f>Data!B3991</f>
        <v>0</v>
      </c>
      <c r="I3978" s="21">
        <f>Data!C3991</f>
        <v>0</v>
      </c>
      <c r="J3978">
        <f>Data!D3991</f>
        <v>0</v>
      </c>
      <c r="K3978">
        <f>Data!E3991</f>
        <v>0</v>
      </c>
      <c r="L3978">
        <f>Data!F3991</f>
        <v>0</v>
      </c>
      <c r="M3978">
        <f>Data!G3991</f>
        <v>0</v>
      </c>
      <c r="N3978">
        <f>Data!H3991</f>
        <v>0</v>
      </c>
      <c r="O3978">
        <f>Data!I3991</f>
        <v>0</v>
      </c>
      <c r="P3978" s="21">
        <f>Data!J3995</f>
        <v>0</v>
      </c>
      <c r="Q3978">
        <f>Data!K3995</f>
        <v>0</v>
      </c>
      <c r="R3978">
        <f>Data!L3995</f>
        <v>0</v>
      </c>
      <c r="S3978">
        <f>Data!M3995</f>
        <v>0</v>
      </c>
      <c r="T3978">
        <f>Data!N3995</f>
        <v>0</v>
      </c>
      <c r="U3978">
        <f>Data!O3995</f>
        <v>0</v>
      </c>
      <c r="V3978" s="33">
        <f>Data!P3993</f>
        <v>0</v>
      </c>
    </row>
    <row r="3979" spans="7:22" x14ac:dyDescent="0.25">
      <c r="G3979">
        <f>Data!A3992</f>
        <v>0</v>
      </c>
      <c r="H3979" s="21">
        <f>Data!B3992</f>
        <v>0</v>
      </c>
      <c r="I3979" s="21">
        <f>Data!C3992</f>
        <v>0</v>
      </c>
      <c r="J3979">
        <f>Data!D3992</f>
        <v>0</v>
      </c>
      <c r="K3979">
        <f>Data!E3992</f>
        <v>0</v>
      </c>
      <c r="L3979">
        <f>Data!F3992</f>
        <v>0</v>
      </c>
      <c r="M3979">
        <f>Data!G3992</f>
        <v>0</v>
      </c>
      <c r="N3979">
        <f>Data!H3992</f>
        <v>0</v>
      </c>
      <c r="O3979">
        <f>Data!I3992</f>
        <v>0</v>
      </c>
      <c r="P3979" s="21">
        <f>Data!J3996</f>
        <v>0</v>
      </c>
      <c r="Q3979">
        <f>Data!K3996</f>
        <v>0</v>
      </c>
      <c r="R3979">
        <f>Data!L3996</f>
        <v>0</v>
      </c>
      <c r="S3979">
        <f>Data!M3996</f>
        <v>0</v>
      </c>
      <c r="T3979">
        <f>Data!N3996</f>
        <v>0</v>
      </c>
      <c r="U3979">
        <f>Data!O3996</f>
        <v>0</v>
      </c>
      <c r="V3979" s="33">
        <f>Data!P3994</f>
        <v>0</v>
      </c>
    </row>
    <row r="3980" spans="7:22" x14ac:dyDescent="0.25">
      <c r="G3980">
        <f>Data!A3993</f>
        <v>0</v>
      </c>
      <c r="H3980" s="21">
        <f>Data!B3993</f>
        <v>0</v>
      </c>
      <c r="I3980" s="21">
        <f>Data!C3993</f>
        <v>0</v>
      </c>
      <c r="J3980">
        <f>Data!D3993</f>
        <v>0</v>
      </c>
      <c r="K3980">
        <f>Data!E3993</f>
        <v>0</v>
      </c>
      <c r="L3980">
        <f>Data!F3993</f>
        <v>0</v>
      </c>
      <c r="M3980">
        <f>Data!G3993</f>
        <v>0</v>
      </c>
      <c r="N3980">
        <f>Data!H3993</f>
        <v>0</v>
      </c>
      <c r="O3980">
        <f>Data!I3993</f>
        <v>0</v>
      </c>
      <c r="P3980" s="21">
        <f>Data!J3997</f>
        <v>0</v>
      </c>
      <c r="Q3980">
        <f>Data!K3997</f>
        <v>0</v>
      </c>
      <c r="R3980">
        <f>Data!L3997</f>
        <v>0</v>
      </c>
      <c r="S3980">
        <f>Data!M3997</f>
        <v>0</v>
      </c>
      <c r="T3980">
        <f>Data!N3997</f>
        <v>0</v>
      </c>
      <c r="U3980">
        <f>Data!O3997</f>
        <v>0</v>
      </c>
      <c r="V3980" s="33">
        <f>Data!P3995</f>
        <v>0</v>
      </c>
    </row>
    <row r="3981" spans="7:22" x14ac:dyDescent="0.25">
      <c r="G3981">
        <f>Data!A3994</f>
        <v>0</v>
      </c>
      <c r="H3981" s="21">
        <f>Data!B3994</f>
        <v>0</v>
      </c>
      <c r="I3981" s="21">
        <f>Data!C3994</f>
        <v>0</v>
      </c>
      <c r="J3981">
        <f>Data!D3994</f>
        <v>0</v>
      </c>
      <c r="K3981">
        <f>Data!E3994</f>
        <v>0</v>
      </c>
      <c r="L3981">
        <f>Data!F3994</f>
        <v>0</v>
      </c>
      <c r="M3981">
        <f>Data!G3994</f>
        <v>0</v>
      </c>
      <c r="N3981">
        <f>Data!H3994</f>
        <v>0</v>
      </c>
      <c r="O3981">
        <f>Data!I3994</f>
        <v>0</v>
      </c>
      <c r="P3981" s="21">
        <f>Data!J3998</f>
        <v>0</v>
      </c>
      <c r="Q3981">
        <f>Data!K3998</f>
        <v>0</v>
      </c>
      <c r="R3981">
        <f>Data!L3998</f>
        <v>0</v>
      </c>
      <c r="S3981">
        <f>Data!M3998</f>
        <v>0</v>
      </c>
      <c r="T3981">
        <f>Data!N3998</f>
        <v>0</v>
      </c>
      <c r="U3981">
        <f>Data!O3998</f>
        <v>0</v>
      </c>
      <c r="V3981" s="33">
        <f>Data!P3996</f>
        <v>0</v>
      </c>
    </row>
    <row r="3982" spans="7:22" x14ac:dyDescent="0.25">
      <c r="G3982">
        <f>Data!A3995</f>
        <v>0</v>
      </c>
      <c r="H3982" s="21">
        <f>Data!B3995</f>
        <v>0</v>
      </c>
      <c r="I3982" s="21">
        <f>Data!C3995</f>
        <v>0</v>
      </c>
      <c r="J3982">
        <f>Data!D3995</f>
        <v>0</v>
      </c>
      <c r="K3982">
        <f>Data!E3995</f>
        <v>0</v>
      </c>
      <c r="L3982">
        <f>Data!F3995</f>
        <v>0</v>
      </c>
      <c r="M3982">
        <f>Data!G3995</f>
        <v>0</v>
      </c>
      <c r="N3982">
        <f>Data!H3995</f>
        <v>0</v>
      </c>
      <c r="O3982">
        <f>Data!I3995</f>
        <v>0</v>
      </c>
      <c r="P3982" s="21">
        <f>Data!J3999</f>
        <v>0</v>
      </c>
      <c r="Q3982">
        <f>Data!K3999</f>
        <v>0</v>
      </c>
      <c r="R3982">
        <f>Data!L3999</f>
        <v>0</v>
      </c>
      <c r="S3982">
        <f>Data!M3999</f>
        <v>0</v>
      </c>
      <c r="T3982">
        <f>Data!N3999</f>
        <v>0</v>
      </c>
      <c r="U3982">
        <f>Data!O3999</f>
        <v>0</v>
      </c>
      <c r="V3982" s="33">
        <f>Data!P3997</f>
        <v>0</v>
      </c>
    </row>
    <row r="3983" spans="7:22" x14ac:dyDescent="0.25">
      <c r="G3983">
        <f>Data!A3996</f>
        <v>0</v>
      </c>
      <c r="H3983" s="21">
        <f>Data!B3996</f>
        <v>0</v>
      </c>
      <c r="I3983" s="21">
        <f>Data!C3996</f>
        <v>0</v>
      </c>
      <c r="J3983">
        <f>Data!D3996</f>
        <v>0</v>
      </c>
      <c r="K3983">
        <f>Data!E3996</f>
        <v>0</v>
      </c>
      <c r="L3983">
        <f>Data!F3996</f>
        <v>0</v>
      </c>
      <c r="M3983">
        <f>Data!G3996</f>
        <v>0</v>
      </c>
      <c r="N3983">
        <f>Data!H3996</f>
        <v>0</v>
      </c>
      <c r="O3983">
        <f>Data!I3996</f>
        <v>0</v>
      </c>
      <c r="P3983" s="21">
        <f>Data!J4000</f>
        <v>0</v>
      </c>
      <c r="Q3983">
        <f>Data!K4000</f>
        <v>0</v>
      </c>
      <c r="R3983">
        <f>Data!L4000</f>
        <v>0</v>
      </c>
      <c r="S3983">
        <f>Data!M4000</f>
        <v>0</v>
      </c>
      <c r="T3983">
        <f>Data!N4000</f>
        <v>0</v>
      </c>
      <c r="U3983">
        <f>Data!O4000</f>
        <v>0</v>
      </c>
      <c r="V3983" s="33">
        <f>Data!P3998</f>
        <v>0</v>
      </c>
    </row>
    <row r="3984" spans="7:22" x14ac:dyDescent="0.25">
      <c r="G3984">
        <f>Data!A3997</f>
        <v>0</v>
      </c>
      <c r="H3984" s="21">
        <f>Data!B3997</f>
        <v>0</v>
      </c>
      <c r="I3984" s="21">
        <f>Data!C3997</f>
        <v>0</v>
      </c>
      <c r="J3984">
        <f>Data!D3997</f>
        <v>0</v>
      </c>
      <c r="K3984">
        <f>Data!E3997</f>
        <v>0</v>
      </c>
      <c r="L3984">
        <f>Data!F3997</f>
        <v>0</v>
      </c>
      <c r="M3984">
        <f>Data!G3997</f>
        <v>0</v>
      </c>
      <c r="N3984">
        <f>Data!H3997</f>
        <v>0</v>
      </c>
      <c r="O3984">
        <f>Data!I3997</f>
        <v>0</v>
      </c>
      <c r="P3984" s="21">
        <f>Data!J4001</f>
        <v>0</v>
      </c>
      <c r="Q3984">
        <f>Data!K4001</f>
        <v>0</v>
      </c>
      <c r="R3984">
        <f>Data!L4001</f>
        <v>0</v>
      </c>
      <c r="S3984">
        <f>Data!M4001</f>
        <v>0</v>
      </c>
      <c r="T3984">
        <f>Data!N4001</f>
        <v>0</v>
      </c>
      <c r="U3984">
        <f>Data!O4001</f>
        <v>0</v>
      </c>
      <c r="V3984" s="33">
        <f>Data!P3999</f>
        <v>0</v>
      </c>
    </row>
    <row r="3985" spans="7:22" x14ac:dyDescent="0.25">
      <c r="G3985">
        <f>Data!A3998</f>
        <v>0</v>
      </c>
      <c r="H3985" s="21">
        <f>Data!B3998</f>
        <v>0</v>
      </c>
      <c r="I3985" s="21">
        <f>Data!C3998</f>
        <v>0</v>
      </c>
      <c r="J3985">
        <f>Data!D3998</f>
        <v>0</v>
      </c>
      <c r="K3985">
        <f>Data!E3998</f>
        <v>0</v>
      </c>
      <c r="L3985">
        <f>Data!F3998</f>
        <v>0</v>
      </c>
      <c r="M3985">
        <f>Data!G3998</f>
        <v>0</v>
      </c>
      <c r="N3985">
        <f>Data!H3998</f>
        <v>0</v>
      </c>
      <c r="O3985">
        <f>Data!I3998</f>
        <v>0</v>
      </c>
      <c r="P3985" s="21">
        <f>Data!J4002</f>
        <v>0</v>
      </c>
      <c r="Q3985">
        <f>Data!K4002</f>
        <v>0</v>
      </c>
      <c r="R3985">
        <f>Data!L4002</f>
        <v>0</v>
      </c>
      <c r="S3985">
        <f>Data!M4002</f>
        <v>0</v>
      </c>
      <c r="T3985">
        <f>Data!N4002</f>
        <v>0</v>
      </c>
      <c r="U3985">
        <f>Data!O4002</f>
        <v>0</v>
      </c>
      <c r="V3985" s="33">
        <f>Data!P4000</f>
        <v>0</v>
      </c>
    </row>
    <row r="3986" spans="7:22" x14ac:dyDescent="0.25">
      <c r="G3986">
        <f>Data!A3999</f>
        <v>0</v>
      </c>
      <c r="H3986" s="21">
        <f>Data!B3999</f>
        <v>0</v>
      </c>
      <c r="I3986" s="21">
        <f>Data!C3999</f>
        <v>0</v>
      </c>
      <c r="J3986">
        <f>Data!D3999</f>
        <v>0</v>
      </c>
      <c r="K3986">
        <f>Data!E3999</f>
        <v>0</v>
      </c>
      <c r="L3986">
        <f>Data!F3999</f>
        <v>0</v>
      </c>
      <c r="M3986">
        <f>Data!G3999</f>
        <v>0</v>
      </c>
      <c r="N3986">
        <f>Data!H3999</f>
        <v>0</v>
      </c>
      <c r="O3986">
        <f>Data!I3999</f>
        <v>0</v>
      </c>
      <c r="P3986" s="21">
        <f>Data!J4003</f>
        <v>0</v>
      </c>
      <c r="Q3986">
        <f>Data!K4003</f>
        <v>0</v>
      </c>
      <c r="R3986">
        <f>Data!L4003</f>
        <v>0</v>
      </c>
      <c r="S3986">
        <f>Data!M4003</f>
        <v>0</v>
      </c>
      <c r="T3986">
        <f>Data!N4003</f>
        <v>0</v>
      </c>
      <c r="U3986">
        <f>Data!O4003</f>
        <v>0</v>
      </c>
      <c r="V3986" s="33">
        <f>Data!P4001</f>
        <v>0</v>
      </c>
    </row>
    <row r="3987" spans="7:22" x14ac:dyDescent="0.25">
      <c r="G3987">
        <f>Data!A4000</f>
        <v>0</v>
      </c>
      <c r="H3987" s="21">
        <f>Data!B4000</f>
        <v>0</v>
      </c>
      <c r="I3987" s="21">
        <f>Data!C4000</f>
        <v>0</v>
      </c>
      <c r="J3987">
        <f>Data!D4000</f>
        <v>0</v>
      </c>
      <c r="K3987">
        <f>Data!E4000</f>
        <v>0</v>
      </c>
      <c r="L3987">
        <f>Data!F4000</f>
        <v>0</v>
      </c>
      <c r="M3987">
        <f>Data!G4000</f>
        <v>0</v>
      </c>
      <c r="N3987">
        <f>Data!H4000</f>
        <v>0</v>
      </c>
      <c r="O3987">
        <f>Data!I4000</f>
        <v>0</v>
      </c>
      <c r="P3987" s="21">
        <f>Data!J4004</f>
        <v>0</v>
      </c>
      <c r="Q3987">
        <f>Data!K4004</f>
        <v>0</v>
      </c>
      <c r="R3987">
        <f>Data!L4004</f>
        <v>0</v>
      </c>
      <c r="S3987">
        <f>Data!M4004</f>
        <v>0</v>
      </c>
      <c r="T3987">
        <f>Data!N4004</f>
        <v>0</v>
      </c>
      <c r="U3987">
        <f>Data!O4004</f>
        <v>0</v>
      </c>
      <c r="V3987" s="33">
        <f>Data!P4002</f>
        <v>0</v>
      </c>
    </row>
    <row r="3988" spans="7:22" x14ac:dyDescent="0.25">
      <c r="G3988">
        <f>Data!A4001</f>
        <v>0</v>
      </c>
      <c r="H3988" s="21">
        <f>Data!B4001</f>
        <v>0</v>
      </c>
      <c r="I3988" s="21">
        <f>Data!C4001</f>
        <v>0</v>
      </c>
      <c r="J3988">
        <f>Data!D4001</f>
        <v>0</v>
      </c>
      <c r="K3988">
        <f>Data!E4001</f>
        <v>0</v>
      </c>
      <c r="L3988">
        <f>Data!F4001</f>
        <v>0</v>
      </c>
      <c r="M3988">
        <f>Data!G4001</f>
        <v>0</v>
      </c>
      <c r="N3988">
        <f>Data!H4001</f>
        <v>0</v>
      </c>
      <c r="O3988">
        <f>Data!I4001</f>
        <v>0</v>
      </c>
      <c r="P3988" s="21">
        <f>Data!J4005</f>
        <v>0</v>
      </c>
      <c r="Q3988">
        <f>Data!K4005</f>
        <v>0</v>
      </c>
      <c r="R3988">
        <f>Data!L4005</f>
        <v>0</v>
      </c>
      <c r="S3988">
        <f>Data!M4005</f>
        <v>0</v>
      </c>
      <c r="T3988">
        <f>Data!N4005</f>
        <v>0</v>
      </c>
      <c r="U3988">
        <f>Data!O4005</f>
        <v>0</v>
      </c>
      <c r="V3988" s="33">
        <f>Data!P4003</f>
        <v>0</v>
      </c>
    </row>
    <row r="3989" spans="7:22" x14ac:dyDescent="0.25">
      <c r="G3989">
        <f>Data!A4002</f>
        <v>0</v>
      </c>
      <c r="H3989" s="21">
        <f>Data!B4002</f>
        <v>0</v>
      </c>
      <c r="I3989" s="21">
        <f>Data!C4002</f>
        <v>0</v>
      </c>
      <c r="J3989">
        <f>Data!D4002</f>
        <v>0</v>
      </c>
      <c r="K3989">
        <f>Data!E4002</f>
        <v>0</v>
      </c>
      <c r="L3989">
        <f>Data!F4002</f>
        <v>0</v>
      </c>
      <c r="M3989">
        <f>Data!G4002</f>
        <v>0</v>
      </c>
      <c r="N3989">
        <f>Data!H4002</f>
        <v>0</v>
      </c>
      <c r="O3989">
        <f>Data!I4002</f>
        <v>0</v>
      </c>
      <c r="P3989" s="21">
        <f>Data!J4006</f>
        <v>0</v>
      </c>
      <c r="Q3989">
        <f>Data!K4006</f>
        <v>0</v>
      </c>
      <c r="R3989">
        <f>Data!L4006</f>
        <v>0</v>
      </c>
      <c r="S3989">
        <f>Data!M4006</f>
        <v>0</v>
      </c>
      <c r="T3989">
        <f>Data!N4006</f>
        <v>0</v>
      </c>
      <c r="U3989">
        <f>Data!O4006</f>
        <v>0</v>
      </c>
      <c r="V3989" s="33">
        <f>Data!P4004</f>
        <v>0</v>
      </c>
    </row>
    <row r="3990" spans="7:22" x14ac:dyDescent="0.25">
      <c r="G3990">
        <f>Data!A4003</f>
        <v>0</v>
      </c>
      <c r="H3990" s="21">
        <f>Data!B4003</f>
        <v>0</v>
      </c>
      <c r="I3990" s="21">
        <f>Data!C4003</f>
        <v>0</v>
      </c>
      <c r="J3990">
        <f>Data!D4003</f>
        <v>0</v>
      </c>
      <c r="K3990">
        <f>Data!E4003</f>
        <v>0</v>
      </c>
      <c r="L3990">
        <f>Data!F4003</f>
        <v>0</v>
      </c>
      <c r="M3990">
        <f>Data!G4003</f>
        <v>0</v>
      </c>
      <c r="N3990">
        <f>Data!H4003</f>
        <v>0</v>
      </c>
      <c r="O3990">
        <f>Data!I4003</f>
        <v>0</v>
      </c>
      <c r="P3990" s="21">
        <f>Data!J4007</f>
        <v>0</v>
      </c>
      <c r="Q3990">
        <f>Data!K4007</f>
        <v>0</v>
      </c>
      <c r="R3990">
        <f>Data!L4007</f>
        <v>0</v>
      </c>
      <c r="S3990">
        <f>Data!M4007</f>
        <v>0</v>
      </c>
      <c r="T3990">
        <f>Data!N4007</f>
        <v>0</v>
      </c>
      <c r="U3990">
        <f>Data!O4007</f>
        <v>0</v>
      </c>
      <c r="V3990" s="33">
        <f>Data!P4005</f>
        <v>0</v>
      </c>
    </row>
    <row r="3991" spans="7:22" x14ac:dyDescent="0.25">
      <c r="G3991">
        <f>Data!A4004</f>
        <v>0</v>
      </c>
      <c r="H3991" s="21">
        <f>Data!B4004</f>
        <v>0</v>
      </c>
      <c r="I3991" s="21">
        <f>Data!C4004</f>
        <v>0</v>
      </c>
      <c r="J3991">
        <f>Data!D4004</f>
        <v>0</v>
      </c>
      <c r="K3991">
        <f>Data!E4004</f>
        <v>0</v>
      </c>
      <c r="L3991">
        <f>Data!F4004</f>
        <v>0</v>
      </c>
      <c r="M3991">
        <f>Data!G4004</f>
        <v>0</v>
      </c>
      <c r="N3991">
        <f>Data!H4004</f>
        <v>0</v>
      </c>
      <c r="O3991">
        <f>Data!I4004</f>
        <v>0</v>
      </c>
      <c r="P3991" s="21">
        <f>Data!J4008</f>
        <v>0</v>
      </c>
      <c r="Q3991">
        <f>Data!K4008</f>
        <v>0</v>
      </c>
      <c r="R3991">
        <f>Data!L4008</f>
        <v>0</v>
      </c>
      <c r="S3991">
        <f>Data!M4008</f>
        <v>0</v>
      </c>
      <c r="T3991">
        <f>Data!N4008</f>
        <v>0</v>
      </c>
      <c r="U3991">
        <f>Data!O4008</f>
        <v>0</v>
      </c>
      <c r="V3991" s="33">
        <f>Data!P4006</f>
        <v>0</v>
      </c>
    </row>
    <row r="3992" spans="7:22" x14ac:dyDescent="0.25">
      <c r="G3992">
        <f>Data!A4005</f>
        <v>0</v>
      </c>
      <c r="H3992" s="21">
        <f>Data!B4005</f>
        <v>0</v>
      </c>
      <c r="I3992" s="21">
        <f>Data!C4005</f>
        <v>0</v>
      </c>
      <c r="J3992">
        <f>Data!D4005</f>
        <v>0</v>
      </c>
      <c r="K3992">
        <f>Data!E4005</f>
        <v>0</v>
      </c>
      <c r="L3992">
        <f>Data!F4005</f>
        <v>0</v>
      </c>
      <c r="M3992">
        <f>Data!G4005</f>
        <v>0</v>
      </c>
      <c r="N3992">
        <f>Data!H4005</f>
        <v>0</v>
      </c>
      <c r="O3992">
        <f>Data!I4005</f>
        <v>0</v>
      </c>
      <c r="P3992" s="21">
        <f>Data!J4009</f>
        <v>0</v>
      </c>
      <c r="Q3992">
        <f>Data!K4009</f>
        <v>0</v>
      </c>
      <c r="R3992">
        <f>Data!L4009</f>
        <v>0</v>
      </c>
      <c r="S3992">
        <f>Data!M4009</f>
        <v>0</v>
      </c>
      <c r="T3992">
        <f>Data!N4009</f>
        <v>0</v>
      </c>
      <c r="U3992">
        <f>Data!O4009</f>
        <v>0</v>
      </c>
      <c r="V3992" s="33">
        <f>Data!P4007</f>
        <v>0</v>
      </c>
    </row>
    <row r="3993" spans="7:22" x14ac:dyDescent="0.25">
      <c r="G3993">
        <f>Data!A4006</f>
        <v>0</v>
      </c>
      <c r="H3993" s="21">
        <f>Data!B4006</f>
        <v>0</v>
      </c>
      <c r="I3993" s="21">
        <f>Data!C4006</f>
        <v>0</v>
      </c>
      <c r="J3993">
        <f>Data!D4006</f>
        <v>0</v>
      </c>
      <c r="K3993">
        <f>Data!E4006</f>
        <v>0</v>
      </c>
      <c r="L3993">
        <f>Data!F4006</f>
        <v>0</v>
      </c>
      <c r="M3993">
        <f>Data!G4006</f>
        <v>0</v>
      </c>
      <c r="N3993">
        <f>Data!H4006</f>
        <v>0</v>
      </c>
      <c r="O3993">
        <f>Data!I4006</f>
        <v>0</v>
      </c>
      <c r="P3993" s="21">
        <f>Data!J4010</f>
        <v>0</v>
      </c>
      <c r="Q3993">
        <f>Data!K4010</f>
        <v>0</v>
      </c>
      <c r="R3993">
        <f>Data!L4010</f>
        <v>0</v>
      </c>
      <c r="S3993">
        <f>Data!M4010</f>
        <v>0</v>
      </c>
      <c r="T3993">
        <f>Data!N4010</f>
        <v>0</v>
      </c>
      <c r="U3993">
        <f>Data!O4010</f>
        <v>0</v>
      </c>
      <c r="V3993" s="33">
        <f>Data!P4008</f>
        <v>0</v>
      </c>
    </row>
    <row r="3994" spans="7:22" x14ac:dyDescent="0.25">
      <c r="G3994">
        <f>Data!A4007</f>
        <v>0</v>
      </c>
      <c r="H3994" s="21">
        <f>Data!B4007</f>
        <v>0</v>
      </c>
      <c r="I3994" s="21">
        <f>Data!C4007</f>
        <v>0</v>
      </c>
      <c r="J3994">
        <f>Data!D4007</f>
        <v>0</v>
      </c>
      <c r="K3994">
        <f>Data!E4007</f>
        <v>0</v>
      </c>
      <c r="L3994">
        <f>Data!F4007</f>
        <v>0</v>
      </c>
      <c r="M3994">
        <f>Data!G4007</f>
        <v>0</v>
      </c>
      <c r="N3994">
        <f>Data!H4007</f>
        <v>0</v>
      </c>
      <c r="O3994">
        <f>Data!I4007</f>
        <v>0</v>
      </c>
      <c r="P3994" s="21">
        <f>Data!J4011</f>
        <v>0</v>
      </c>
      <c r="Q3994">
        <f>Data!K4011</f>
        <v>0</v>
      </c>
      <c r="R3994">
        <f>Data!L4011</f>
        <v>0</v>
      </c>
      <c r="S3994">
        <f>Data!M4011</f>
        <v>0</v>
      </c>
      <c r="T3994">
        <f>Data!N4011</f>
        <v>0</v>
      </c>
      <c r="U3994">
        <f>Data!O4011</f>
        <v>0</v>
      </c>
      <c r="V3994" s="33">
        <f>Data!P4009</f>
        <v>0</v>
      </c>
    </row>
    <row r="3995" spans="7:22" x14ac:dyDescent="0.25">
      <c r="G3995">
        <f>Data!A4008</f>
        <v>0</v>
      </c>
      <c r="H3995" s="21">
        <f>Data!B4008</f>
        <v>0</v>
      </c>
      <c r="I3995" s="21">
        <f>Data!C4008</f>
        <v>0</v>
      </c>
      <c r="J3995">
        <f>Data!D4008</f>
        <v>0</v>
      </c>
      <c r="K3995">
        <f>Data!E4008</f>
        <v>0</v>
      </c>
      <c r="L3995">
        <f>Data!F4008</f>
        <v>0</v>
      </c>
      <c r="M3995">
        <f>Data!G4008</f>
        <v>0</v>
      </c>
      <c r="N3995">
        <f>Data!H4008</f>
        <v>0</v>
      </c>
      <c r="O3995">
        <f>Data!I4008</f>
        <v>0</v>
      </c>
      <c r="P3995" s="21">
        <f>Data!J4012</f>
        <v>0</v>
      </c>
      <c r="Q3995">
        <f>Data!K4012</f>
        <v>0</v>
      </c>
      <c r="R3995">
        <f>Data!L4012</f>
        <v>0</v>
      </c>
      <c r="S3995">
        <f>Data!M4012</f>
        <v>0</v>
      </c>
      <c r="T3995">
        <f>Data!N4012</f>
        <v>0</v>
      </c>
      <c r="U3995">
        <f>Data!O4012</f>
        <v>0</v>
      </c>
      <c r="V3995" s="33">
        <f>Data!P4010</f>
        <v>0</v>
      </c>
    </row>
    <row r="3996" spans="7:22" x14ac:dyDescent="0.25">
      <c r="G3996">
        <f>Data!A4009</f>
        <v>0</v>
      </c>
      <c r="H3996" s="21">
        <f>Data!B4009</f>
        <v>0</v>
      </c>
      <c r="I3996" s="21">
        <f>Data!C4009</f>
        <v>0</v>
      </c>
      <c r="J3996">
        <f>Data!D4009</f>
        <v>0</v>
      </c>
      <c r="K3996">
        <f>Data!E4009</f>
        <v>0</v>
      </c>
      <c r="L3996">
        <f>Data!F4009</f>
        <v>0</v>
      </c>
      <c r="M3996">
        <f>Data!G4009</f>
        <v>0</v>
      </c>
      <c r="N3996">
        <f>Data!H4009</f>
        <v>0</v>
      </c>
      <c r="O3996">
        <f>Data!I4009</f>
        <v>0</v>
      </c>
      <c r="P3996" s="21">
        <f>Data!J4013</f>
        <v>0</v>
      </c>
      <c r="Q3996">
        <f>Data!K4013</f>
        <v>0</v>
      </c>
      <c r="R3996">
        <f>Data!L4013</f>
        <v>0</v>
      </c>
      <c r="S3996">
        <f>Data!M4013</f>
        <v>0</v>
      </c>
      <c r="T3996">
        <f>Data!N4013</f>
        <v>0</v>
      </c>
      <c r="U3996">
        <f>Data!O4013</f>
        <v>0</v>
      </c>
      <c r="V3996" s="33">
        <f>Data!P4011</f>
        <v>0</v>
      </c>
    </row>
    <row r="3997" spans="7:22" x14ac:dyDescent="0.25">
      <c r="G3997">
        <f>Data!A4010</f>
        <v>0</v>
      </c>
      <c r="H3997" s="21">
        <f>Data!B4010</f>
        <v>0</v>
      </c>
      <c r="I3997" s="21">
        <f>Data!C4010</f>
        <v>0</v>
      </c>
      <c r="J3997">
        <f>Data!D4010</f>
        <v>0</v>
      </c>
      <c r="K3997">
        <f>Data!E4010</f>
        <v>0</v>
      </c>
      <c r="L3997">
        <f>Data!F4010</f>
        <v>0</v>
      </c>
      <c r="M3997">
        <f>Data!G4010</f>
        <v>0</v>
      </c>
      <c r="N3997">
        <f>Data!H4010</f>
        <v>0</v>
      </c>
      <c r="O3997">
        <f>Data!I4010</f>
        <v>0</v>
      </c>
      <c r="P3997" s="21">
        <f>Data!J4014</f>
        <v>0</v>
      </c>
      <c r="Q3997">
        <f>Data!K4014</f>
        <v>0</v>
      </c>
      <c r="R3997">
        <f>Data!L4014</f>
        <v>0</v>
      </c>
      <c r="S3997">
        <f>Data!M4014</f>
        <v>0</v>
      </c>
      <c r="T3997">
        <f>Data!N4014</f>
        <v>0</v>
      </c>
      <c r="U3997">
        <f>Data!O4014</f>
        <v>0</v>
      </c>
      <c r="V3997" s="33">
        <f>Data!P4012</f>
        <v>0</v>
      </c>
    </row>
    <row r="3998" spans="7:22" x14ac:dyDescent="0.25">
      <c r="G3998">
        <f>Data!A4011</f>
        <v>0</v>
      </c>
      <c r="H3998" s="21">
        <f>Data!B4011</f>
        <v>0</v>
      </c>
      <c r="I3998" s="21">
        <f>Data!C4011</f>
        <v>0</v>
      </c>
      <c r="J3998">
        <f>Data!D4011</f>
        <v>0</v>
      </c>
      <c r="K3998">
        <f>Data!E4011</f>
        <v>0</v>
      </c>
      <c r="L3998">
        <f>Data!F4011</f>
        <v>0</v>
      </c>
      <c r="M3998">
        <f>Data!G4011</f>
        <v>0</v>
      </c>
      <c r="N3998">
        <f>Data!H4011</f>
        <v>0</v>
      </c>
      <c r="O3998">
        <f>Data!I4011</f>
        <v>0</v>
      </c>
      <c r="P3998" s="21">
        <f>Data!J4015</f>
        <v>0</v>
      </c>
      <c r="Q3998">
        <f>Data!K4015</f>
        <v>0</v>
      </c>
      <c r="R3998">
        <f>Data!L4015</f>
        <v>0</v>
      </c>
      <c r="S3998">
        <f>Data!M4015</f>
        <v>0</v>
      </c>
      <c r="T3998">
        <f>Data!N4015</f>
        <v>0</v>
      </c>
      <c r="U3998">
        <f>Data!O4015</f>
        <v>0</v>
      </c>
      <c r="V3998" s="33">
        <f>Data!P4013</f>
        <v>0</v>
      </c>
    </row>
    <row r="3999" spans="7:22" x14ac:dyDescent="0.25">
      <c r="G3999">
        <f>Data!A4012</f>
        <v>0</v>
      </c>
      <c r="H3999" s="21">
        <f>Data!B4012</f>
        <v>0</v>
      </c>
      <c r="I3999" s="21">
        <f>Data!C4012</f>
        <v>0</v>
      </c>
      <c r="J3999">
        <f>Data!D4012</f>
        <v>0</v>
      </c>
      <c r="K3999">
        <f>Data!E4012</f>
        <v>0</v>
      </c>
      <c r="L3999">
        <f>Data!F4012</f>
        <v>0</v>
      </c>
      <c r="M3999">
        <f>Data!G4012</f>
        <v>0</v>
      </c>
      <c r="N3999">
        <f>Data!H4012</f>
        <v>0</v>
      </c>
      <c r="O3999">
        <f>Data!I4012</f>
        <v>0</v>
      </c>
      <c r="P3999" s="21">
        <f>Data!J4016</f>
        <v>0</v>
      </c>
      <c r="Q3999">
        <f>Data!K4016</f>
        <v>0</v>
      </c>
      <c r="R3999">
        <f>Data!L4016</f>
        <v>0</v>
      </c>
      <c r="S3999">
        <f>Data!M4016</f>
        <v>0</v>
      </c>
      <c r="T3999">
        <f>Data!N4016</f>
        <v>0</v>
      </c>
      <c r="U3999">
        <f>Data!O4016</f>
        <v>0</v>
      </c>
      <c r="V3999" s="33">
        <f>Data!P4014</f>
        <v>0</v>
      </c>
    </row>
    <row r="4000" spans="7:22" x14ac:dyDescent="0.25">
      <c r="G4000">
        <f>Data!A4013</f>
        <v>0</v>
      </c>
      <c r="H4000" s="21">
        <f>Data!B4013</f>
        <v>0</v>
      </c>
      <c r="I4000" s="21">
        <f>Data!C4013</f>
        <v>0</v>
      </c>
      <c r="J4000">
        <f>Data!D4013</f>
        <v>0</v>
      </c>
      <c r="K4000">
        <f>Data!E4013</f>
        <v>0</v>
      </c>
      <c r="L4000">
        <f>Data!F4013</f>
        <v>0</v>
      </c>
      <c r="M4000">
        <f>Data!G4013</f>
        <v>0</v>
      </c>
      <c r="N4000">
        <f>Data!H4013</f>
        <v>0</v>
      </c>
      <c r="O4000">
        <f>Data!I4013</f>
        <v>0</v>
      </c>
      <c r="P4000" s="21">
        <f>Data!J4017</f>
        <v>0</v>
      </c>
      <c r="Q4000">
        <f>Data!K4017</f>
        <v>0</v>
      </c>
      <c r="R4000">
        <f>Data!L4017</f>
        <v>0</v>
      </c>
      <c r="S4000">
        <f>Data!M4017</f>
        <v>0</v>
      </c>
      <c r="T4000">
        <f>Data!N4017</f>
        <v>0</v>
      </c>
      <c r="U4000">
        <f>Data!O4017</f>
        <v>0</v>
      </c>
      <c r="V4000" s="33">
        <f>Data!P4015</f>
        <v>0</v>
      </c>
    </row>
    <row r="4001" spans="7:22" x14ac:dyDescent="0.25">
      <c r="G4001">
        <f>Data!A4014</f>
        <v>0</v>
      </c>
      <c r="H4001" s="21">
        <f>Data!B4014</f>
        <v>0</v>
      </c>
      <c r="I4001" s="21">
        <f>Data!C4014</f>
        <v>0</v>
      </c>
      <c r="J4001">
        <f>Data!D4014</f>
        <v>0</v>
      </c>
      <c r="K4001">
        <f>Data!E4014</f>
        <v>0</v>
      </c>
      <c r="L4001">
        <f>Data!F4014</f>
        <v>0</v>
      </c>
      <c r="M4001">
        <f>Data!G4014</f>
        <v>0</v>
      </c>
      <c r="N4001">
        <f>Data!H4014</f>
        <v>0</v>
      </c>
      <c r="O4001">
        <f>Data!I4014</f>
        <v>0</v>
      </c>
      <c r="P4001" s="21">
        <f>Data!J4018</f>
        <v>0</v>
      </c>
      <c r="Q4001">
        <f>Data!K4018</f>
        <v>0</v>
      </c>
      <c r="R4001">
        <f>Data!L4018</f>
        <v>0</v>
      </c>
      <c r="S4001">
        <f>Data!M4018</f>
        <v>0</v>
      </c>
      <c r="T4001">
        <f>Data!N4018</f>
        <v>0</v>
      </c>
      <c r="U4001">
        <f>Data!O4018</f>
        <v>0</v>
      </c>
      <c r="V4001" s="33">
        <f>Data!P4016</f>
        <v>0</v>
      </c>
    </row>
    <row r="4002" spans="7:22" x14ac:dyDescent="0.25">
      <c r="G4002">
        <f>Data!A4015</f>
        <v>0</v>
      </c>
      <c r="H4002" s="21">
        <f>Data!B4015</f>
        <v>0</v>
      </c>
      <c r="I4002" s="21">
        <f>Data!C4015</f>
        <v>0</v>
      </c>
      <c r="J4002">
        <f>Data!D4015</f>
        <v>0</v>
      </c>
      <c r="K4002">
        <f>Data!E4015</f>
        <v>0</v>
      </c>
      <c r="L4002">
        <f>Data!F4015</f>
        <v>0</v>
      </c>
      <c r="M4002">
        <f>Data!G4015</f>
        <v>0</v>
      </c>
      <c r="N4002">
        <f>Data!H4015</f>
        <v>0</v>
      </c>
      <c r="O4002">
        <f>Data!I4015</f>
        <v>0</v>
      </c>
      <c r="P4002" s="21">
        <f>Data!J4019</f>
        <v>0</v>
      </c>
      <c r="Q4002">
        <f>Data!K4019</f>
        <v>0</v>
      </c>
      <c r="R4002">
        <f>Data!L4019</f>
        <v>0</v>
      </c>
      <c r="S4002">
        <f>Data!M4019</f>
        <v>0</v>
      </c>
      <c r="T4002">
        <f>Data!N4019</f>
        <v>0</v>
      </c>
      <c r="U4002">
        <f>Data!O4019</f>
        <v>0</v>
      </c>
      <c r="V4002" s="33">
        <f>Data!P4017</f>
        <v>0</v>
      </c>
    </row>
    <row r="4003" spans="7:22" x14ac:dyDescent="0.25">
      <c r="G4003">
        <f>Data!A4016</f>
        <v>0</v>
      </c>
      <c r="H4003" s="21">
        <f>Data!B4016</f>
        <v>0</v>
      </c>
      <c r="I4003" s="21">
        <f>Data!C4016</f>
        <v>0</v>
      </c>
      <c r="J4003">
        <f>Data!D4016</f>
        <v>0</v>
      </c>
      <c r="K4003">
        <f>Data!E4016</f>
        <v>0</v>
      </c>
      <c r="L4003">
        <f>Data!F4016</f>
        <v>0</v>
      </c>
      <c r="M4003">
        <f>Data!G4016</f>
        <v>0</v>
      </c>
      <c r="N4003">
        <f>Data!H4016</f>
        <v>0</v>
      </c>
      <c r="O4003">
        <f>Data!I4016</f>
        <v>0</v>
      </c>
      <c r="P4003" s="21">
        <f>Data!J4020</f>
        <v>0</v>
      </c>
      <c r="Q4003">
        <f>Data!K4020</f>
        <v>0</v>
      </c>
      <c r="R4003">
        <f>Data!L4020</f>
        <v>0</v>
      </c>
      <c r="S4003">
        <f>Data!M4020</f>
        <v>0</v>
      </c>
      <c r="T4003">
        <f>Data!N4020</f>
        <v>0</v>
      </c>
      <c r="U4003">
        <f>Data!O4020</f>
        <v>0</v>
      </c>
      <c r="V4003" s="33">
        <f>Data!P4018</f>
        <v>0</v>
      </c>
    </row>
    <row r="4004" spans="7:22" x14ac:dyDescent="0.25">
      <c r="G4004">
        <f>Data!A4017</f>
        <v>0</v>
      </c>
      <c r="H4004" s="21">
        <f>Data!B4017</f>
        <v>0</v>
      </c>
      <c r="I4004" s="21">
        <f>Data!C4017</f>
        <v>0</v>
      </c>
      <c r="J4004">
        <f>Data!D4017</f>
        <v>0</v>
      </c>
      <c r="K4004">
        <f>Data!E4017</f>
        <v>0</v>
      </c>
      <c r="L4004">
        <f>Data!F4017</f>
        <v>0</v>
      </c>
      <c r="M4004">
        <f>Data!G4017</f>
        <v>0</v>
      </c>
      <c r="N4004">
        <f>Data!H4017</f>
        <v>0</v>
      </c>
      <c r="O4004">
        <f>Data!I4017</f>
        <v>0</v>
      </c>
      <c r="P4004" s="21">
        <f>Data!J4021</f>
        <v>0</v>
      </c>
      <c r="Q4004">
        <f>Data!K4021</f>
        <v>0</v>
      </c>
      <c r="R4004">
        <f>Data!L4021</f>
        <v>0</v>
      </c>
      <c r="S4004">
        <f>Data!M4021</f>
        <v>0</v>
      </c>
      <c r="T4004">
        <f>Data!N4021</f>
        <v>0</v>
      </c>
      <c r="U4004">
        <f>Data!O4021</f>
        <v>0</v>
      </c>
      <c r="V4004" s="33">
        <f>Data!P4019</f>
        <v>0</v>
      </c>
    </row>
    <row r="4005" spans="7:22" x14ac:dyDescent="0.25">
      <c r="G4005">
        <f>Data!A4018</f>
        <v>0</v>
      </c>
      <c r="H4005" s="21">
        <f>Data!B4018</f>
        <v>0</v>
      </c>
      <c r="I4005" s="21">
        <f>Data!C4018</f>
        <v>0</v>
      </c>
      <c r="J4005">
        <f>Data!D4018</f>
        <v>0</v>
      </c>
      <c r="K4005">
        <f>Data!E4018</f>
        <v>0</v>
      </c>
      <c r="L4005">
        <f>Data!F4018</f>
        <v>0</v>
      </c>
      <c r="M4005">
        <f>Data!G4018</f>
        <v>0</v>
      </c>
      <c r="N4005">
        <f>Data!H4018</f>
        <v>0</v>
      </c>
      <c r="O4005">
        <f>Data!I4018</f>
        <v>0</v>
      </c>
      <c r="P4005" s="21">
        <f>Data!J4022</f>
        <v>0</v>
      </c>
      <c r="Q4005">
        <f>Data!K4022</f>
        <v>0</v>
      </c>
      <c r="R4005">
        <f>Data!L4022</f>
        <v>0</v>
      </c>
      <c r="S4005">
        <f>Data!M4022</f>
        <v>0</v>
      </c>
      <c r="T4005">
        <f>Data!N4022</f>
        <v>0</v>
      </c>
      <c r="U4005">
        <f>Data!O4022</f>
        <v>0</v>
      </c>
      <c r="V4005" s="33">
        <f>Data!P4020</f>
        <v>0</v>
      </c>
    </row>
    <row r="4006" spans="7:22" x14ac:dyDescent="0.25">
      <c r="G4006">
        <f>Data!A4019</f>
        <v>0</v>
      </c>
      <c r="H4006" s="21">
        <f>Data!B4019</f>
        <v>0</v>
      </c>
      <c r="I4006" s="21">
        <f>Data!C4019</f>
        <v>0</v>
      </c>
      <c r="J4006">
        <f>Data!D4019</f>
        <v>0</v>
      </c>
      <c r="K4006">
        <f>Data!E4019</f>
        <v>0</v>
      </c>
      <c r="L4006">
        <f>Data!F4019</f>
        <v>0</v>
      </c>
      <c r="M4006">
        <f>Data!G4019</f>
        <v>0</v>
      </c>
      <c r="N4006">
        <f>Data!H4019</f>
        <v>0</v>
      </c>
      <c r="O4006">
        <f>Data!I4019</f>
        <v>0</v>
      </c>
      <c r="P4006" s="21">
        <f>Data!J4023</f>
        <v>0</v>
      </c>
      <c r="Q4006">
        <f>Data!K4023</f>
        <v>0</v>
      </c>
      <c r="R4006">
        <f>Data!L4023</f>
        <v>0</v>
      </c>
      <c r="S4006">
        <f>Data!M4023</f>
        <v>0</v>
      </c>
      <c r="T4006">
        <f>Data!N4023</f>
        <v>0</v>
      </c>
      <c r="U4006">
        <f>Data!O4023</f>
        <v>0</v>
      </c>
      <c r="V4006" s="33">
        <f>Data!P4021</f>
        <v>0</v>
      </c>
    </row>
    <row r="4007" spans="7:22" x14ac:dyDescent="0.25">
      <c r="G4007">
        <f>Data!A4020</f>
        <v>0</v>
      </c>
      <c r="H4007" s="21">
        <f>Data!B4020</f>
        <v>0</v>
      </c>
      <c r="I4007" s="21">
        <f>Data!C4020</f>
        <v>0</v>
      </c>
      <c r="J4007">
        <f>Data!D4020</f>
        <v>0</v>
      </c>
      <c r="K4007">
        <f>Data!E4020</f>
        <v>0</v>
      </c>
      <c r="L4007">
        <f>Data!F4020</f>
        <v>0</v>
      </c>
      <c r="M4007">
        <f>Data!G4020</f>
        <v>0</v>
      </c>
      <c r="N4007">
        <f>Data!H4020</f>
        <v>0</v>
      </c>
      <c r="O4007">
        <f>Data!I4020</f>
        <v>0</v>
      </c>
      <c r="P4007" s="21">
        <f>Data!J4024</f>
        <v>0</v>
      </c>
      <c r="Q4007">
        <f>Data!K4024</f>
        <v>0</v>
      </c>
      <c r="R4007">
        <f>Data!L4024</f>
        <v>0</v>
      </c>
      <c r="S4007">
        <f>Data!M4024</f>
        <v>0</v>
      </c>
      <c r="T4007">
        <f>Data!N4024</f>
        <v>0</v>
      </c>
      <c r="U4007">
        <f>Data!O4024</f>
        <v>0</v>
      </c>
      <c r="V4007" s="33">
        <f>Data!P4022</f>
        <v>0</v>
      </c>
    </row>
    <row r="4008" spans="7:22" x14ac:dyDescent="0.25">
      <c r="G4008">
        <f>Data!A4021</f>
        <v>0</v>
      </c>
      <c r="H4008" s="21">
        <f>Data!B4021</f>
        <v>0</v>
      </c>
      <c r="I4008" s="21">
        <f>Data!C4021</f>
        <v>0</v>
      </c>
      <c r="J4008">
        <f>Data!D4021</f>
        <v>0</v>
      </c>
      <c r="K4008">
        <f>Data!E4021</f>
        <v>0</v>
      </c>
      <c r="L4008">
        <f>Data!F4021</f>
        <v>0</v>
      </c>
      <c r="M4008">
        <f>Data!G4021</f>
        <v>0</v>
      </c>
      <c r="N4008">
        <f>Data!H4021</f>
        <v>0</v>
      </c>
      <c r="O4008">
        <f>Data!I4021</f>
        <v>0</v>
      </c>
      <c r="P4008" s="21">
        <f>Data!J4025</f>
        <v>0</v>
      </c>
      <c r="Q4008">
        <f>Data!K4025</f>
        <v>0</v>
      </c>
      <c r="R4008">
        <f>Data!L4025</f>
        <v>0</v>
      </c>
      <c r="S4008">
        <f>Data!M4025</f>
        <v>0</v>
      </c>
      <c r="T4008">
        <f>Data!N4025</f>
        <v>0</v>
      </c>
      <c r="U4008">
        <f>Data!O4025</f>
        <v>0</v>
      </c>
      <c r="V4008" s="33">
        <f>Data!P4023</f>
        <v>0</v>
      </c>
    </row>
    <row r="4009" spans="7:22" x14ac:dyDescent="0.25">
      <c r="G4009">
        <f>Data!A4022</f>
        <v>0</v>
      </c>
      <c r="H4009" s="21">
        <f>Data!B4022</f>
        <v>0</v>
      </c>
      <c r="I4009" s="21">
        <f>Data!C4022</f>
        <v>0</v>
      </c>
      <c r="J4009">
        <f>Data!D4022</f>
        <v>0</v>
      </c>
      <c r="K4009">
        <f>Data!E4022</f>
        <v>0</v>
      </c>
      <c r="L4009">
        <f>Data!F4022</f>
        <v>0</v>
      </c>
      <c r="M4009">
        <f>Data!G4022</f>
        <v>0</v>
      </c>
      <c r="N4009">
        <f>Data!H4022</f>
        <v>0</v>
      </c>
      <c r="O4009">
        <f>Data!I4022</f>
        <v>0</v>
      </c>
      <c r="P4009" s="21">
        <f>Data!J4026</f>
        <v>0</v>
      </c>
      <c r="Q4009">
        <f>Data!K4026</f>
        <v>0</v>
      </c>
      <c r="R4009">
        <f>Data!L4026</f>
        <v>0</v>
      </c>
      <c r="S4009">
        <f>Data!M4026</f>
        <v>0</v>
      </c>
      <c r="T4009">
        <f>Data!N4026</f>
        <v>0</v>
      </c>
      <c r="U4009">
        <f>Data!O4026</f>
        <v>0</v>
      </c>
      <c r="V4009" s="33">
        <f>Data!P4024</f>
        <v>0</v>
      </c>
    </row>
    <row r="4010" spans="7:22" x14ac:dyDescent="0.25">
      <c r="G4010">
        <f>Data!A4023</f>
        <v>0</v>
      </c>
      <c r="H4010" s="21">
        <f>Data!B4023</f>
        <v>0</v>
      </c>
      <c r="I4010" s="21">
        <f>Data!C4023</f>
        <v>0</v>
      </c>
      <c r="J4010">
        <f>Data!D4023</f>
        <v>0</v>
      </c>
      <c r="K4010">
        <f>Data!E4023</f>
        <v>0</v>
      </c>
      <c r="L4010">
        <f>Data!F4023</f>
        <v>0</v>
      </c>
      <c r="M4010">
        <f>Data!G4023</f>
        <v>0</v>
      </c>
      <c r="N4010">
        <f>Data!H4023</f>
        <v>0</v>
      </c>
      <c r="O4010">
        <f>Data!I4023</f>
        <v>0</v>
      </c>
      <c r="P4010" s="21">
        <f>Data!J4027</f>
        <v>0</v>
      </c>
      <c r="Q4010">
        <f>Data!K4027</f>
        <v>0</v>
      </c>
      <c r="R4010">
        <f>Data!L4027</f>
        <v>0</v>
      </c>
      <c r="S4010">
        <f>Data!M4027</f>
        <v>0</v>
      </c>
      <c r="T4010">
        <f>Data!N4027</f>
        <v>0</v>
      </c>
      <c r="U4010">
        <f>Data!O4027</f>
        <v>0</v>
      </c>
      <c r="V4010" s="33">
        <f>Data!P4025</f>
        <v>0</v>
      </c>
    </row>
    <row r="4011" spans="7:22" x14ac:dyDescent="0.25">
      <c r="G4011">
        <f>Data!A4024</f>
        <v>0</v>
      </c>
      <c r="H4011" s="21">
        <f>Data!B4024</f>
        <v>0</v>
      </c>
      <c r="I4011" s="21">
        <f>Data!C4024</f>
        <v>0</v>
      </c>
      <c r="J4011">
        <f>Data!D4024</f>
        <v>0</v>
      </c>
      <c r="K4011">
        <f>Data!E4024</f>
        <v>0</v>
      </c>
      <c r="L4011">
        <f>Data!F4024</f>
        <v>0</v>
      </c>
      <c r="M4011">
        <f>Data!G4024</f>
        <v>0</v>
      </c>
      <c r="N4011">
        <f>Data!H4024</f>
        <v>0</v>
      </c>
      <c r="O4011">
        <f>Data!I4024</f>
        <v>0</v>
      </c>
      <c r="P4011" s="21">
        <f>Data!J4028</f>
        <v>0</v>
      </c>
      <c r="Q4011">
        <f>Data!K4028</f>
        <v>0</v>
      </c>
      <c r="R4011">
        <f>Data!L4028</f>
        <v>0</v>
      </c>
      <c r="S4011">
        <f>Data!M4028</f>
        <v>0</v>
      </c>
      <c r="T4011">
        <f>Data!N4028</f>
        <v>0</v>
      </c>
      <c r="U4011">
        <f>Data!O4028</f>
        <v>0</v>
      </c>
      <c r="V4011" s="33">
        <f>Data!P4026</f>
        <v>0</v>
      </c>
    </row>
    <row r="4012" spans="7:22" x14ac:dyDescent="0.25">
      <c r="G4012">
        <f>Data!A4025</f>
        <v>0</v>
      </c>
      <c r="H4012" s="21">
        <f>Data!B4025</f>
        <v>0</v>
      </c>
      <c r="I4012" s="21">
        <f>Data!C4025</f>
        <v>0</v>
      </c>
      <c r="J4012">
        <f>Data!D4025</f>
        <v>0</v>
      </c>
      <c r="K4012">
        <f>Data!E4025</f>
        <v>0</v>
      </c>
      <c r="L4012">
        <f>Data!F4025</f>
        <v>0</v>
      </c>
      <c r="M4012">
        <f>Data!G4025</f>
        <v>0</v>
      </c>
      <c r="N4012">
        <f>Data!H4025</f>
        <v>0</v>
      </c>
      <c r="O4012">
        <f>Data!I4025</f>
        <v>0</v>
      </c>
      <c r="P4012" s="21">
        <f>Data!J4029</f>
        <v>0</v>
      </c>
      <c r="Q4012">
        <f>Data!K4029</f>
        <v>0</v>
      </c>
      <c r="R4012">
        <f>Data!L4029</f>
        <v>0</v>
      </c>
      <c r="S4012">
        <f>Data!M4029</f>
        <v>0</v>
      </c>
      <c r="T4012">
        <f>Data!N4029</f>
        <v>0</v>
      </c>
      <c r="U4012">
        <f>Data!O4029</f>
        <v>0</v>
      </c>
      <c r="V4012" s="33">
        <f>Data!P4027</f>
        <v>0</v>
      </c>
    </row>
    <row r="4013" spans="7:22" x14ac:dyDescent="0.25">
      <c r="G4013">
        <f>Data!A4026</f>
        <v>0</v>
      </c>
      <c r="H4013" s="21">
        <f>Data!B4026</f>
        <v>0</v>
      </c>
      <c r="I4013" s="21">
        <f>Data!C4026</f>
        <v>0</v>
      </c>
      <c r="J4013">
        <f>Data!D4026</f>
        <v>0</v>
      </c>
      <c r="K4013">
        <f>Data!E4026</f>
        <v>0</v>
      </c>
      <c r="L4013">
        <f>Data!F4026</f>
        <v>0</v>
      </c>
      <c r="M4013">
        <f>Data!G4026</f>
        <v>0</v>
      </c>
      <c r="N4013">
        <f>Data!H4026</f>
        <v>0</v>
      </c>
      <c r="O4013">
        <f>Data!I4026</f>
        <v>0</v>
      </c>
      <c r="P4013" s="21">
        <f>Data!J4030</f>
        <v>0</v>
      </c>
      <c r="Q4013">
        <f>Data!K4030</f>
        <v>0</v>
      </c>
      <c r="R4013">
        <f>Data!L4030</f>
        <v>0</v>
      </c>
      <c r="S4013">
        <f>Data!M4030</f>
        <v>0</v>
      </c>
      <c r="T4013">
        <f>Data!N4030</f>
        <v>0</v>
      </c>
      <c r="U4013">
        <f>Data!O4030</f>
        <v>0</v>
      </c>
      <c r="V4013" s="33">
        <f>Data!P4028</f>
        <v>0</v>
      </c>
    </row>
    <row r="4014" spans="7:22" x14ac:dyDescent="0.25">
      <c r="G4014">
        <f>Data!A4027</f>
        <v>0</v>
      </c>
      <c r="H4014" s="21">
        <f>Data!B4027</f>
        <v>0</v>
      </c>
      <c r="I4014" s="21">
        <f>Data!C4027</f>
        <v>0</v>
      </c>
      <c r="J4014">
        <f>Data!D4027</f>
        <v>0</v>
      </c>
      <c r="K4014">
        <f>Data!E4027</f>
        <v>0</v>
      </c>
      <c r="L4014">
        <f>Data!F4027</f>
        <v>0</v>
      </c>
      <c r="M4014">
        <f>Data!G4027</f>
        <v>0</v>
      </c>
      <c r="N4014">
        <f>Data!H4027</f>
        <v>0</v>
      </c>
      <c r="O4014">
        <f>Data!I4027</f>
        <v>0</v>
      </c>
      <c r="P4014" s="21">
        <f>Data!J4031</f>
        <v>0</v>
      </c>
      <c r="Q4014">
        <f>Data!K4031</f>
        <v>0</v>
      </c>
      <c r="R4014">
        <f>Data!L4031</f>
        <v>0</v>
      </c>
      <c r="S4014">
        <f>Data!M4031</f>
        <v>0</v>
      </c>
      <c r="T4014">
        <f>Data!N4031</f>
        <v>0</v>
      </c>
      <c r="U4014">
        <f>Data!O4031</f>
        <v>0</v>
      </c>
      <c r="V4014" s="33">
        <f>Data!P4029</f>
        <v>0</v>
      </c>
    </row>
    <row r="4015" spans="7:22" x14ac:dyDescent="0.25">
      <c r="G4015">
        <f>Data!A4028</f>
        <v>0</v>
      </c>
      <c r="H4015" s="21">
        <f>Data!B4028</f>
        <v>0</v>
      </c>
      <c r="I4015" s="21">
        <f>Data!C4028</f>
        <v>0</v>
      </c>
      <c r="J4015">
        <f>Data!D4028</f>
        <v>0</v>
      </c>
      <c r="K4015">
        <f>Data!E4028</f>
        <v>0</v>
      </c>
      <c r="L4015">
        <f>Data!F4028</f>
        <v>0</v>
      </c>
      <c r="M4015">
        <f>Data!G4028</f>
        <v>0</v>
      </c>
      <c r="N4015">
        <f>Data!H4028</f>
        <v>0</v>
      </c>
      <c r="O4015">
        <f>Data!I4028</f>
        <v>0</v>
      </c>
      <c r="P4015" s="21">
        <f>Data!J4032</f>
        <v>0</v>
      </c>
      <c r="Q4015">
        <f>Data!K4032</f>
        <v>0</v>
      </c>
      <c r="R4015">
        <f>Data!L4032</f>
        <v>0</v>
      </c>
      <c r="S4015">
        <f>Data!M4032</f>
        <v>0</v>
      </c>
      <c r="T4015">
        <f>Data!N4032</f>
        <v>0</v>
      </c>
      <c r="U4015">
        <f>Data!O4032</f>
        <v>0</v>
      </c>
      <c r="V4015" s="33">
        <f>Data!P4030</f>
        <v>0</v>
      </c>
    </row>
    <row r="4016" spans="7:22" x14ac:dyDescent="0.25">
      <c r="G4016">
        <f>Data!A4029</f>
        <v>0</v>
      </c>
      <c r="H4016" s="21">
        <f>Data!B4029</f>
        <v>0</v>
      </c>
      <c r="I4016" s="21">
        <f>Data!C4029</f>
        <v>0</v>
      </c>
      <c r="J4016">
        <f>Data!D4029</f>
        <v>0</v>
      </c>
      <c r="K4016">
        <f>Data!E4029</f>
        <v>0</v>
      </c>
      <c r="L4016">
        <f>Data!F4029</f>
        <v>0</v>
      </c>
      <c r="M4016">
        <f>Data!G4029</f>
        <v>0</v>
      </c>
      <c r="N4016">
        <f>Data!H4029</f>
        <v>0</v>
      </c>
      <c r="O4016">
        <f>Data!I4029</f>
        <v>0</v>
      </c>
      <c r="P4016" s="21">
        <f>Data!J4033</f>
        <v>0</v>
      </c>
      <c r="Q4016">
        <f>Data!K4033</f>
        <v>0</v>
      </c>
      <c r="R4016">
        <f>Data!L4033</f>
        <v>0</v>
      </c>
      <c r="S4016">
        <f>Data!M4033</f>
        <v>0</v>
      </c>
      <c r="T4016">
        <f>Data!N4033</f>
        <v>0</v>
      </c>
      <c r="U4016">
        <f>Data!O4033</f>
        <v>0</v>
      </c>
      <c r="V4016" s="33">
        <f>Data!P4031</f>
        <v>0</v>
      </c>
    </row>
    <row r="4017" spans="7:22" x14ac:dyDescent="0.25">
      <c r="G4017">
        <f>Data!A4030</f>
        <v>0</v>
      </c>
      <c r="H4017" s="21">
        <f>Data!B4030</f>
        <v>0</v>
      </c>
      <c r="I4017" s="21">
        <f>Data!C4030</f>
        <v>0</v>
      </c>
      <c r="J4017">
        <f>Data!D4030</f>
        <v>0</v>
      </c>
      <c r="K4017">
        <f>Data!E4030</f>
        <v>0</v>
      </c>
      <c r="L4017">
        <f>Data!F4030</f>
        <v>0</v>
      </c>
      <c r="M4017">
        <f>Data!G4030</f>
        <v>0</v>
      </c>
      <c r="N4017">
        <f>Data!H4030</f>
        <v>0</v>
      </c>
      <c r="O4017">
        <f>Data!I4030</f>
        <v>0</v>
      </c>
      <c r="P4017" s="21">
        <f>Data!J4034</f>
        <v>0</v>
      </c>
      <c r="Q4017">
        <f>Data!K4034</f>
        <v>0</v>
      </c>
      <c r="R4017">
        <f>Data!L4034</f>
        <v>0</v>
      </c>
      <c r="S4017">
        <f>Data!M4034</f>
        <v>0</v>
      </c>
      <c r="T4017">
        <f>Data!N4034</f>
        <v>0</v>
      </c>
      <c r="U4017">
        <f>Data!O4034</f>
        <v>0</v>
      </c>
      <c r="V4017" s="33">
        <f>Data!P4032</f>
        <v>0</v>
      </c>
    </row>
    <row r="4018" spans="7:22" x14ac:dyDescent="0.25">
      <c r="G4018">
        <f>Data!A4031</f>
        <v>0</v>
      </c>
      <c r="H4018" s="21">
        <f>Data!B4031</f>
        <v>0</v>
      </c>
      <c r="I4018" s="21">
        <f>Data!C4031</f>
        <v>0</v>
      </c>
      <c r="J4018">
        <f>Data!D4031</f>
        <v>0</v>
      </c>
      <c r="K4018">
        <f>Data!E4031</f>
        <v>0</v>
      </c>
      <c r="L4018">
        <f>Data!F4031</f>
        <v>0</v>
      </c>
      <c r="M4018">
        <f>Data!G4031</f>
        <v>0</v>
      </c>
      <c r="N4018">
        <f>Data!H4031</f>
        <v>0</v>
      </c>
      <c r="O4018">
        <f>Data!I4031</f>
        <v>0</v>
      </c>
      <c r="P4018" s="21">
        <f>Data!J4035</f>
        <v>0</v>
      </c>
      <c r="Q4018">
        <f>Data!K4035</f>
        <v>0</v>
      </c>
      <c r="R4018">
        <f>Data!L4035</f>
        <v>0</v>
      </c>
      <c r="S4018">
        <f>Data!M4035</f>
        <v>0</v>
      </c>
      <c r="T4018">
        <f>Data!N4035</f>
        <v>0</v>
      </c>
      <c r="U4018">
        <f>Data!O4035</f>
        <v>0</v>
      </c>
      <c r="V4018" s="33">
        <f>Data!P4033</f>
        <v>0</v>
      </c>
    </row>
    <row r="4019" spans="7:22" x14ac:dyDescent="0.25">
      <c r="G4019">
        <f>Data!A4032</f>
        <v>0</v>
      </c>
      <c r="H4019" s="21">
        <f>Data!B4032</f>
        <v>0</v>
      </c>
      <c r="I4019" s="21">
        <f>Data!C4032</f>
        <v>0</v>
      </c>
      <c r="J4019">
        <f>Data!D4032</f>
        <v>0</v>
      </c>
      <c r="K4019">
        <f>Data!E4032</f>
        <v>0</v>
      </c>
      <c r="L4019">
        <f>Data!F4032</f>
        <v>0</v>
      </c>
      <c r="M4019">
        <f>Data!G4032</f>
        <v>0</v>
      </c>
      <c r="N4019">
        <f>Data!H4032</f>
        <v>0</v>
      </c>
      <c r="O4019">
        <f>Data!I4032</f>
        <v>0</v>
      </c>
      <c r="P4019" s="21">
        <f>Data!J4036</f>
        <v>0</v>
      </c>
      <c r="Q4019">
        <f>Data!K4036</f>
        <v>0</v>
      </c>
      <c r="R4019">
        <f>Data!L4036</f>
        <v>0</v>
      </c>
      <c r="S4019">
        <f>Data!M4036</f>
        <v>0</v>
      </c>
      <c r="T4019">
        <f>Data!N4036</f>
        <v>0</v>
      </c>
      <c r="U4019">
        <f>Data!O4036</f>
        <v>0</v>
      </c>
      <c r="V4019" s="33">
        <f>Data!P4034</f>
        <v>0</v>
      </c>
    </row>
    <row r="4020" spans="7:22" x14ac:dyDescent="0.25">
      <c r="G4020">
        <f>Data!A4033</f>
        <v>0</v>
      </c>
      <c r="H4020" s="21">
        <f>Data!B4033</f>
        <v>0</v>
      </c>
      <c r="I4020" s="21">
        <f>Data!C4033</f>
        <v>0</v>
      </c>
      <c r="J4020">
        <f>Data!D4033</f>
        <v>0</v>
      </c>
      <c r="K4020">
        <f>Data!E4033</f>
        <v>0</v>
      </c>
      <c r="L4020">
        <f>Data!F4033</f>
        <v>0</v>
      </c>
      <c r="M4020">
        <f>Data!G4033</f>
        <v>0</v>
      </c>
      <c r="N4020">
        <f>Data!H4033</f>
        <v>0</v>
      </c>
      <c r="O4020">
        <f>Data!I4033</f>
        <v>0</v>
      </c>
      <c r="P4020" s="21">
        <f>Data!J4037</f>
        <v>0</v>
      </c>
      <c r="Q4020">
        <f>Data!K4037</f>
        <v>0</v>
      </c>
      <c r="R4020">
        <f>Data!L4037</f>
        <v>0</v>
      </c>
      <c r="S4020">
        <f>Data!M4037</f>
        <v>0</v>
      </c>
      <c r="T4020">
        <f>Data!N4037</f>
        <v>0</v>
      </c>
      <c r="U4020">
        <f>Data!O4037</f>
        <v>0</v>
      </c>
      <c r="V4020" s="33">
        <f>Data!P4035</f>
        <v>0</v>
      </c>
    </row>
    <row r="4021" spans="7:22" x14ac:dyDescent="0.25">
      <c r="G4021">
        <f>Data!A4034</f>
        <v>0</v>
      </c>
      <c r="H4021" s="21">
        <f>Data!B4034</f>
        <v>0</v>
      </c>
      <c r="I4021" s="21">
        <f>Data!C4034</f>
        <v>0</v>
      </c>
      <c r="J4021">
        <f>Data!D4034</f>
        <v>0</v>
      </c>
      <c r="K4021">
        <f>Data!E4034</f>
        <v>0</v>
      </c>
      <c r="L4021">
        <f>Data!F4034</f>
        <v>0</v>
      </c>
      <c r="M4021">
        <f>Data!G4034</f>
        <v>0</v>
      </c>
      <c r="N4021">
        <f>Data!H4034</f>
        <v>0</v>
      </c>
      <c r="O4021">
        <f>Data!I4034</f>
        <v>0</v>
      </c>
      <c r="P4021" s="21">
        <f>Data!J4038</f>
        <v>0</v>
      </c>
      <c r="Q4021">
        <f>Data!K4038</f>
        <v>0</v>
      </c>
      <c r="R4021">
        <f>Data!L4038</f>
        <v>0</v>
      </c>
      <c r="S4021">
        <f>Data!M4038</f>
        <v>0</v>
      </c>
      <c r="T4021">
        <f>Data!N4038</f>
        <v>0</v>
      </c>
      <c r="U4021">
        <f>Data!O4038</f>
        <v>0</v>
      </c>
      <c r="V4021" s="33">
        <f>Data!P4036</f>
        <v>0</v>
      </c>
    </row>
    <row r="4022" spans="7:22" x14ac:dyDescent="0.25">
      <c r="G4022">
        <f>Data!A4035</f>
        <v>0</v>
      </c>
      <c r="H4022" s="21">
        <f>Data!B4035</f>
        <v>0</v>
      </c>
      <c r="I4022" s="21">
        <f>Data!C4035</f>
        <v>0</v>
      </c>
      <c r="J4022">
        <f>Data!D4035</f>
        <v>0</v>
      </c>
      <c r="K4022">
        <f>Data!E4035</f>
        <v>0</v>
      </c>
      <c r="L4022">
        <f>Data!F4035</f>
        <v>0</v>
      </c>
      <c r="M4022">
        <f>Data!G4035</f>
        <v>0</v>
      </c>
      <c r="N4022">
        <f>Data!H4035</f>
        <v>0</v>
      </c>
      <c r="O4022">
        <f>Data!I4035</f>
        <v>0</v>
      </c>
      <c r="P4022" s="21">
        <f>Data!J4039</f>
        <v>0</v>
      </c>
      <c r="Q4022">
        <f>Data!K4039</f>
        <v>0</v>
      </c>
      <c r="R4022">
        <f>Data!L4039</f>
        <v>0</v>
      </c>
      <c r="S4022">
        <f>Data!M4039</f>
        <v>0</v>
      </c>
      <c r="T4022">
        <f>Data!N4039</f>
        <v>0</v>
      </c>
      <c r="U4022">
        <f>Data!O4039</f>
        <v>0</v>
      </c>
      <c r="V4022" s="33">
        <f>Data!P4037</f>
        <v>0</v>
      </c>
    </row>
    <row r="4023" spans="7:22" x14ac:dyDescent="0.25">
      <c r="G4023">
        <f>Data!A4036</f>
        <v>0</v>
      </c>
      <c r="H4023" s="21">
        <f>Data!B4036</f>
        <v>0</v>
      </c>
      <c r="I4023" s="21">
        <f>Data!C4036</f>
        <v>0</v>
      </c>
      <c r="J4023">
        <f>Data!D4036</f>
        <v>0</v>
      </c>
      <c r="K4023">
        <f>Data!E4036</f>
        <v>0</v>
      </c>
      <c r="L4023">
        <f>Data!F4036</f>
        <v>0</v>
      </c>
      <c r="M4023">
        <f>Data!G4036</f>
        <v>0</v>
      </c>
      <c r="N4023">
        <f>Data!H4036</f>
        <v>0</v>
      </c>
      <c r="O4023">
        <f>Data!I4036</f>
        <v>0</v>
      </c>
      <c r="P4023" s="21">
        <f>Data!J4040</f>
        <v>0</v>
      </c>
      <c r="Q4023">
        <f>Data!K4040</f>
        <v>0</v>
      </c>
      <c r="R4023">
        <f>Data!L4040</f>
        <v>0</v>
      </c>
      <c r="S4023">
        <f>Data!M4040</f>
        <v>0</v>
      </c>
      <c r="T4023">
        <f>Data!N4040</f>
        <v>0</v>
      </c>
      <c r="U4023">
        <f>Data!O4040</f>
        <v>0</v>
      </c>
      <c r="V4023" s="33">
        <f>Data!P4038</f>
        <v>0</v>
      </c>
    </row>
    <row r="4024" spans="7:22" x14ac:dyDescent="0.25">
      <c r="G4024">
        <f>Data!A4037</f>
        <v>0</v>
      </c>
      <c r="H4024" s="21">
        <f>Data!B4037</f>
        <v>0</v>
      </c>
      <c r="I4024" s="21">
        <f>Data!C4037</f>
        <v>0</v>
      </c>
      <c r="J4024">
        <f>Data!D4037</f>
        <v>0</v>
      </c>
      <c r="K4024">
        <f>Data!E4037</f>
        <v>0</v>
      </c>
      <c r="L4024">
        <f>Data!F4037</f>
        <v>0</v>
      </c>
      <c r="M4024">
        <f>Data!G4037</f>
        <v>0</v>
      </c>
      <c r="N4024">
        <f>Data!H4037</f>
        <v>0</v>
      </c>
      <c r="O4024">
        <f>Data!I4037</f>
        <v>0</v>
      </c>
      <c r="P4024" s="21">
        <f>Data!J4041</f>
        <v>0</v>
      </c>
      <c r="Q4024">
        <f>Data!K4041</f>
        <v>0</v>
      </c>
      <c r="R4024">
        <f>Data!L4041</f>
        <v>0</v>
      </c>
      <c r="S4024">
        <f>Data!M4041</f>
        <v>0</v>
      </c>
      <c r="T4024">
        <f>Data!N4041</f>
        <v>0</v>
      </c>
      <c r="U4024">
        <f>Data!O4041</f>
        <v>0</v>
      </c>
      <c r="V4024" s="33">
        <f>Data!P4039</f>
        <v>0</v>
      </c>
    </row>
    <row r="4025" spans="7:22" x14ac:dyDescent="0.25">
      <c r="G4025">
        <f>Data!A4038</f>
        <v>0</v>
      </c>
      <c r="H4025" s="21">
        <f>Data!B4038</f>
        <v>0</v>
      </c>
      <c r="I4025" s="21">
        <f>Data!C4038</f>
        <v>0</v>
      </c>
      <c r="J4025">
        <f>Data!D4038</f>
        <v>0</v>
      </c>
      <c r="K4025">
        <f>Data!E4038</f>
        <v>0</v>
      </c>
      <c r="L4025">
        <f>Data!F4038</f>
        <v>0</v>
      </c>
      <c r="M4025">
        <f>Data!G4038</f>
        <v>0</v>
      </c>
      <c r="N4025">
        <f>Data!H4038</f>
        <v>0</v>
      </c>
      <c r="O4025">
        <f>Data!I4038</f>
        <v>0</v>
      </c>
      <c r="P4025" s="21">
        <f>Data!J4042</f>
        <v>0</v>
      </c>
      <c r="Q4025">
        <f>Data!K4042</f>
        <v>0</v>
      </c>
      <c r="R4025">
        <f>Data!L4042</f>
        <v>0</v>
      </c>
      <c r="S4025">
        <f>Data!M4042</f>
        <v>0</v>
      </c>
      <c r="T4025">
        <f>Data!N4042</f>
        <v>0</v>
      </c>
      <c r="U4025">
        <f>Data!O4042</f>
        <v>0</v>
      </c>
      <c r="V4025" s="33">
        <f>Data!P4040</f>
        <v>0</v>
      </c>
    </row>
    <row r="4026" spans="7:22" x14ac:dyDescent="0.25">
      <c r="G4026">
        <f>Data!A4039</f>
        <v>0</v>
      </c>
      <c r="H4026" s="21">
        <f>Data!B4039</f>
        <v>0</v>
      </c>
      <c r="I4026" s="21">
        <f>Data!C4039</f>
        <v>0</v>
      </c>
      <c r="J4026">
        <f>Data!D4039</f>
        <v>0</v>
      </c>
      <c r="K4026">
        <f>Data!E4039</f>
        <v>0</v>
      </c>
      <c r="L4026">
        <f>Data!F4039</f>
        <v>0</v>
      </c>
      <c r="M4026">
        <f>Data!G4039</f>
        <v>0</v>
      </c>
      <c r="N4026">
        <f>Data!H4039</f>
        <v>0</v>
      </c>
      <c r="O4026">
        <f>Data!I4039</f>
        <v>0</v>
      </c>
      <c r="P4026" s="21">
        <f>Data!J4043</f>
        <v>0</v>
      </c>
      <c r="Q4026">
        <f>Data!K4043</f>
        <v>0</v>
      </c>
      <c r="R4026">
        <f>Data!L4043</f>
        <v>0</v>
      </c>
      <c r="S4026">
        <f>Data!M4043</f>
        <v>0</v>
      </c>
      <c r="T4026">
        <f>Data!N4043</f>
        <v>0</v>
      </c>
      <c r="U4026">
        <f>Data!O4043</f>
        <v>0</v>
      </c>
      <c r="V4026" s="33">
        <f>Data!P4041</f>
        <v>0</v>
      </c>
    </row>
    <row r="4027" spans="7:22" x14ac:dyDescent="0.25">
      <c r="G4027">
        <f>Data!A4040</f>
        <v>0</v>
      </c>
      <c r="H4027" s="21">
        <f>Data!B4040</f>
        <v>0</v>
      </c>
      <c r="I4027" s="21">
        <f>Data!C4040</f>
        <v>0</v>
      </c>
      <c r="J4027">
        <f>Data!D4040</f>
        <v>0</v>
      </c>
      <c r="K4027">
        <f>Data!E4040</f>
        <v>0</v>
      </c>
      <c r="L4027">
        <f>Data!F4040</f>
        <v>0</v>
      </c>
      <c r="M4027">
        <f>Data!G4040</f>
        <v>0</v>
      </c>
      <c r="N4027">
        <f>Data!H4040</f>
        <v>0</v>
      </c>
      <c r="O4027">
        <f>Data!I4040</f>
        <v>0</v>
      </c>
      <c r="P4027" s="21">
        <f>Data!J4044</f>
        <v>0</v>
      </c>
      <c r="Q4027">
        <f>Data!K4044</f>
        <v>0</v>
      </c>
      <c r="R4027">
        <f>Data!L4044</f>
        <v>0</v>
      </c>
      <c r="S4027">
        <f>Data!M4044</f>
        <v>0</v>
      </c>
      <c r="T4027">
        <f>Data!N4044</f>
        <v>0</v>
      </c>
      <c r="U4027">
        <f>Data!O4044</f>
        <v>0</v>
      </c>
      <c r="V4027" s="33">
        <f>Data!P4042</f>
        <v>0</v>
      </c>
    </row>
    <row r="4028" spans="7:22" x14ac:dyDescent="0.25">
      <c r="G4028">
        <f>Data!A4041</f>
        <v>0</v>
      </c>
      <c r="H4028" s="21">
        <f>Data!B4041</f>
        <v>0</v>
      </c>
      <c r="I4028" s="21">
        <f>Data!C4041</f>
        <v>0</v>
      </c>
      <c r="J4028">
        <f>Data!D4041</f>
        <v>0</v>
      </c>
      <c r="K4028">
        <f>Data!E4041</f>
        <v>0</v>
      </c>
      <c r="L4028">
        <f>Data!F4041</f>
        <v>0</v>
      </c>
      <c r="M4028">
        <f>Data!G4041</f>
        <v>0</v>
      </c>
      <c r="N4028">
        <f>Data!H4041</f>
        <v>0</v>
      </c>
      <c r="O4028">
        <f>Data!I4041</f>
        <v>0</v>
      </c>
      <c r="P4028" s="21">
        <f>Data!J4045</f>
        <v>0</v>
      </c>
      <c r="Q4028">
        <f>Data!K4045</f>
        <v>0</v>
      </c>
      <c r="R4028">
        <f>Data!L4045</f>
        <v>0</v>
      </c>
      <c r="S4028">
        <f>Data!M4045</f>
        <v>0</v>
      </c>
      <c r="T4028">
        <f>Data!N4045</f>
        <v>0</v>
      </c>
      <c r="U4028">
        <f>Data!O4045</f>
        <v>0</v>
      </c>
      <c r="V4028" s="33">
        <f>Data!P4043</f>
        <v>0</v>
      </c>
    </row>
    <row r="4029" spans="7:22" x14ac:dyDescent="0.25">
      <c r="G4029">
        <f>Data!A4042</f>
        <v>0</v>
      </c>
      <c r="H4029" s="21">
        <f>Data!B4042</f>
        <v>0</v>
      </c>
      <c r="I4029" s="21">
        <f>Data!C4042</f>
        <v>0</v>
      </c>
      <c r="J4029">
        <f>Data!D4042</f>
        <v>0</v>
      </c>
      <c r="K4029">
        <f>Data!E4042</f>
        <v>0</v>
      </c>
      <c r="L4029">
        <f>Data!F4042</f>
        <v>0</v>
      </c>
      <c r="M4029">
        <f>Data!G4042</f>
        <v>0</v>
      </c>
      <c r="N4029">
        <f>Data!H4042</f>
        <v>0</v>
      </c>
      <c r="O4029">
        <f>Data!I4042</f>
        <v>0</v>
      </c>
      <c r="P4029" s="21">
        <f>Data!J4046</f>
        <v>0</v>
      </c>
      <c r="Q4029">
        <f>Data!K4046</f>
        <v>0</v>
      </c>
      <c r="R4029">
        <f>Data!L4046</f>
        <v>0</v>
      </c>
      <c r="S4029">
        <f>Data!M4046</f>
        <v>0</v>
      </c>
      <c r="T4029">
        <f>Data!N4046</f>
        <v>0</v>
      </c>
      <c r="U4029">
        <f>Data!O4046</f>
        <v>0</v>
      </c>
      <c r="V4029" s="33">
        <f>Data!P4044</f>
        <v>0</v>
      </c>
    </row>
    <row r="4030" spans="7:22" x14ac:dyDescent="0.25">
      <c r="G4030">
        <f>Data!A4043</f>
        <v>0</v>
      </c>
      <c r="H4030" s="21">
        <f>Data!B4043</f>
        <v>0</v>
      </c>
      <c r="I4030" s="21">
        <f>Data!C4043</f>
        <v>0</v>
      </c>
      <c r="J4030">
        <f>Data!D4043</f>
        <v>0</v>
      </c>
      <c r="K4030">
        <f>Data!E4043</f>
        <v>0</v>
      </c>
      <c r="L4030">
        <f>Data!F4043</f>
        <v>0</v>
      </c>
      <c r="M4030">
        <f>Data!G4043</f>
        <v>0</v>
      </c>
      <c r="N4030">
        <f>Data!H4043</f>
        <v>0</v>
      </c>
      <c r="O4030">
        <f>Data!I4043</f>
        <v>0</v>
      </c>
      <c r="P4030" s="21">
        <f>Data!J4047</f>
        <v>0</v>
      </c>
      <c r="Q4030">
        <f>Data!K4047</f>
        <v>0</v>
      </c>
      <c r="R4030">
        <f>Data!L4047</f>
        <v>0</v>
      </c>
      <c r="S4030">
        <f>Data!M4047</f>
        <v>0</v>
      </c>
      <c r="T4030">
        <f>Data!N4047</f>
        <v>0</v>
      </c>
      <c r="U4030">
        <f>Data!O4047</f>
        <v>0</v>
      </c>
      <c r="V4030" s="33">
        <f>Data!P4045</f>
        <v>0</v>
      </c>
    </row>
    <row r="4031" spans="7:22" x14ac:dyDescent="0.25">
      <c r="G4031">
        <f>Data!A4044</f>
        <v>0</v>
      </c>
      <c r="H4031" s="21">
        <f>Data!B4044</f>
        <v>0</v>
      </c>
      <c r="I4031" s="21">
        <f>Data!C4044</f>
        <v>0</v>
      </c>
      <c r="J4031">
        <f>Data!D4044</f>
        <v>0</v>
      </c>
      <c r="K4031">
        <f>Data!E4044</f>
        <v>0</v>
      </c>
      <c r="L4031">
        <f>Data!F4044</f>
        <v>0</v>
      </c>
      <c r="M4031">
        <f>Data!G4044</f>
        <v>0</v>
      </c>
      <c r="N4031">
        <f>Data!H4044</f>
        <v>0</v>
      </c>
      <c r="O4031">
        <f>Data!I4044</f>
        <v>0</v>
      </c>
      <c r="P4031" s="21">
        <f>Data!J4048</f>
        <v>0</v>
      </c>
      <c r="Q4031">
        <f>Data!K4048</f>
        <v>0</v>
      </c>
      <c r="R4031">
        <f>Data!L4048</f>
        <v>0</v>
      </c>
      <c r="S4031">
        <f>Data!M4048</f>
        <v>0</v>
      </c>
      <c r="T4031">
        <f>Data!N4048</f>
        <v>0</v>
      </c>
      <c r="U4031">
        <f>Data!O4048</f>
        <v>0</v>
      </c>
      <c r="V4031" s="33">
        <f>Data!P4046</f>
        <v>0</v>
      </c>
    </row>
    <row r="4032" spans="7:22" x14ac:dyDescent="0.25">
      <c r="G4032">
        <f>Data!A4045</f>
        <v>0</v>
      </c>
      <c r="H4032" s="21">
        <f>Data!B4045</f>
        <v>0</v>
      </c>
      <c r="I4032" s="21">
        <f>Data!C4045</f>
        <v>0</v>
      </c>
      <c r="J4032">
        <f>Data!D4045</f>
        <v>0</v>
      </c>
      <c r="K4032">
        <f>Data!E4045</f>
        <v>0</v>
      </c>
      <c r="L4032">
        <f>Data!F4045</f>
        <v>0</v>
      </c>
      <c r="M4032">
        <f>Data!G4045</f>
        <v>0</v>
      </c>
      <c r="N4032">
        <f>Data!H4045</f>
        <v>0</v>
      </c>
      <c r="O4032">
        <f>Data!I4045</f>
        <v>0</v>
      </c>
      <c r="P4032" s="21">
        <f>Data!J4049</f>
        <v>0</v>
      </c>
      <c r="Q4032">
        <f>Data!K4049</f>
        <v>0</v>
      </c>
      <c r="R4032">
        <f>Data!L4049</f>
        <v>0</v>
      </c>
      <c r="S4032">
        <f>Data!M4049</f>
        <v>0</v>
      </c>
      <c r="T4032">
        <f>Data!N4049</f>
        <v>0</v>
      </c>
      <c r="U4032">
        <f>Data!O4049</f>
        <v>0</v>
      </c>
      <c r="V4032" s="33">
        <f>Data!P4047</f>
        <v>0</v>
      </c>
    </row>
    <row r="4033" spans="7:22" x14ac:dyDescent="0.25">
      <c r="G4033">
        <f>Data!A4046</f>
        <v>0</v>
      </c>
      <c r="H4033" s="21">
        <f>Data!B4046</f>
        <v>0</v>
      </c>
      <c r="I4033" s="21">
        <f>Data!C4046</f>
        <v>0</v>
      </c>
      <c r="J4033">
        <f>Data!D4046</f>
        <v>0</v>
      </c>
      <c r="K4033">
        <f>Data!E4046</f>
        <v>0</v>
      </c>
      <c r="L4033">
        <f>Data!F4046</f>
        <v>0</v>
      </c>
      <c r="M4033">
        <f>Data!G4046</f>
        <v>0</v>
      </c>
      <c r="N4033">
        <f>Data!H4046</f>
        <v>0</v>
      </c>
      <c r="O4033">
        <f>Data!I4046</f>
        <v>0</v>
      </c>
      <c r="P4033" s="21">
        <f>Data!J4050</f>
        <v>0</v>
      </c>
      <c r="Q4033">
        <f>Data!K4050</f>
        <v>0</v>
      </c>
      <c r="R4033">
        <f>Data!L4050</f>
        <v>0</v>
      </c>
      <c r="S4033">
        <f>Data!M4050</f>
        <v>0</v>
      </c>
      <c r="T4033">
        <f>Data!N4050</f>
        <v>0</v>
      </c>
      <c r="U4033">
        <f>Data!O4050</f>
        <v>0</v>
      </c>
      <c r="V4033" s="33">
        <f>Data!P4048</f>
        <v>0</v>
      </c>
    </row>
    <row r="4034" spans="7:22" x14ac:dyDescent="0.25">
      <c r="G4034">
        <f>Data!A4047</f>
        <v>0</v>
      </c>
      <c r="H4034" s="21">
        <f>Data!B4047</f>
        <v>0</v>
      </c>
      <c r="I4034" s="21">
        <f>Data!C4047</f>
        <v>0</v>
      </c>
      <c r="J4034">
        <f>Data!D4047</f>
        <v>0</v>
      </c>
      <c r="K4034">
        <f>Data!E4047</f>
        <v>0</v>
      </c>
      <c r="L4034">
        <f>Data!F4047</f>
        <v>0</v>
      </c>
      <c r="M4034">
        <f>Data!G4047</f>
        <v>0</v>
      </c>
      <c r="N4034">
        <f>Data!H4047</f>
        <v>0</v>
      </c>
      <c r="O4034">
        <f>Data!I4047</f>
        <v>0</v>
      </c>
      <c r="P4034" s="21">
        <f>Data!J4051</f>
        <v>0</v>
      </c>
      <c r="Q4034">
        <f>Data!K4051</f>
        <v>0</v>
      </c>
      <c r="R4034">
        <f>Data!L4051</f>
        <v>0</v>
      </c>
      <c r="S4034">
        <f>Data!M4051</f>
        <v>0</v>
      </c>
      <c r="T4034">
        <f>Data!N4051</f>
        <v>0</v>
      </c>
      <c r="U4034">
        <f>Data!O4051</f>
        <v>0</v>
      </c>
      <c r="V4034" s="33">
        <f>Data!P4049</f>
        <v>0</v>
      </c>
    </row>
    <row r="4035" spans="7:22" x14ac:dyDescent="0.25">
      <c r="G4035">
        <f>Data!A4048</f>
        <v>0</v>
      </c>
      <c r="H4035" s="21">
        <f>Data!B4048</f>
        <v>0</v>
      </c>
      <c r="I4035" s="21">
        <f>Data!C4048</f>
        <v>0</v>
      </c>
      <c r="J4035">
        <f>Data!D4048</f>
        <v>0</v>
      </c>
      <c r="K4035">
        <f>Data!E4048</f>
        <v>0</v>
      </c>
      <c r="L4035">
        <f>Data!F4048</f>
        <v>0</v>
      </c>
      <c r="M4035">
        <f>Data!G4048</f>
        <v>0</v>
      </c>
      <c r="N4035">
        <f>Data!H4048</f>
        <v>0</v>
      </c>
      <c r="O4035">
        <f>Data!I4048</f>
        <v>0</v>
      </c>
      <c r="P4035" s="21">
        <f>Data!J4052</f>
        <v>0</v>
      </c>
      <c r="Q4035">
        <f>Data!K4052</f>
        <v>0</v>
      </c>
      <c r="R4035">
        <f>Data!L4052</f>
        <v>0</v>
      </c>
      <c r="S4035">
        <f>Data!M4052</f>
        <v>0</v>
      </c>
      <c r="T4035">
        <f>Data!N4052</f>
        <v>0</v>
      </c>
      <c r="U4035">
        <f>Data!O4052</f>
        <v>0</v>
      </c>
      <c r="V4035" s="33">
        <f>Data!P4050</f>
        <v>0</v>
      </c>
    </row>
    <row r="4036" spans="7:22" x14ac:dyDescent="0.25">
      <c r="G4036">
        <f>Data!A4049</f>
        <v>0</v>
      </c>
      <c r="H4036" s="21">
        <f>Data!B4049</f>
        <v>0</v>
      </c>
      <c r="I4036" s="21">
        <f>Data!C4049</f>
        <v>0</v>
      </c>
      <c r="J4036">
        <f>Data!D4049</f>
        <v>0</v>
      </c>
      <c r="K4036">
        <f>Data!E4049</f>
        <v>0</v>
      </c>
      <c r="L4036">
        <f>Data!F4049</f>
        <v>0</v>
      </c>
      <c r="M4036">
        <f>Data!G4049</f>
        <v>0</v>
      </c>
      <c r="N4036">
        <f>Data!H4049</f>
        <v>0</v>
      </c>
      <c r="O4036">
        <f>Data!I4049</f>
        <v>0</v>
      </c>
      <c r="P4036" s="21">
        <f>Data!J4053</f>
        <v>0</v>
      </c>
      <c r="Q4036">
        <f>Data!K4053</f>
        <v>0</v>
      </c>
      <c r="R4036">
        <f>Data!L4053</f>
        <v>0</v>
      </c>
      <c r="S4036">
        <f>Data!M4053</f>
        <v>0</v>
      </c>
      <c r="T4036">
        <f>Data!N4053</f>
        <v>0</v>
      </c>
      <c r="U4036">
        <f>Data!O4053</f>
        <v>0</v>
      </c>
      <c r="V4036" s="33">
        <f>Data!P4051</f>
        <v>0</v>
      </c>
    </row>
    <row r="4037" spans="7:22" x14ac:dyDescent="0.25">
      <c r="G4037">
        <f>Data!A4050</f>
        <v>0</v>
      </c>
      <c r="H4037" s="21">
        <f>Data!B4050</f>
        <v>0</v>
      </c>
      <c r="I4037" s="21">
        <f>Data!C4050</f>
        <v>0</v>
      </c>
      <c r="J4037">
        <f>Data!D4050</f>
        <v>0</v>
      </c>
      <c r="K4037">
        <f>Data!E4050</f>
        <v>0</v>
      </c>
      <c r="L4037">
        <f>Data!F4050</f>
        <v>0</v>
      </c>
      <c r="M4037">
        <f>Data!G4050</f>
        <v>0</v>
      </c>
      <c r="N4037">
        <f>Data!H4050</f>
        <v>0</v>
      </c>
      <c r="O4037">
        <f>Data!I4050</f>
        <v>0</v>
      </c>
      <c r="P4037" s="21">
        <f>Data!J4054</f>
        <v>0</v>
      </c>
      <c r="Q4037">
        <f>Data!K4054</f>
        <v>0</v>
      </c>
      <c r="R4037">
        <f>Data!L4054</f>
        <v>0</v>
      </c>
      <c r="S4037">
        <f>Data!M4054</f>
        <v>0</v>
      </c>
      <c r="T4037">
        <f>Data!N4054</f>
        <v>0</v>
      </c>
      <c r="U4037">
        <f>Data!O4054</f>
        <v>0</v>
      </c>
      <c r="V4037" s="33">
        <f>Data!P4052</f>
        <v>0</v>
      </c>
    </row>
    <row r="4038" spans="7:22" x14ac:dyDescent="0.25">
      <c r="G4038">
        <f>Data!A4051</f>
        <v>0</v>
      </c>
      <c r="H4038" s="21">
        <f>Data!B4051</f>
        <v>0</v>
      </c>
      <c r="I4038" s="21">
        <f>Data!C4051</f>
        <v>0</v>
      </c>
      <c r="J4038">
        <f>Data!D4051</f>
        <v>0</v>
      </c>
      <c r="K4038">
        <f>Data!E4051</f>
        <v>0</v>
      </c>
      <c r="L4038">
        <f>Data!F4051</f>
        <v>0</v>
      </c>
      <c r="M4038">
        <f>Data!G4051</f>
        <v>0</v>
      </c>
      <c r="N4038">
        <f>Data!H4051</f>
        <v>0</v>
      </c>
      <c r="O4038">
        <f>Data!I4051</f>
        <v>0</v>
      </c>
      <c r="P4038" s="21">
        <f>Data!J4055</f>
        <v>0</v>
      </c>
      <c r="Q4038">
        <f>Data!K4055</f>
        <v>0</v>
      </c>
      <c r="R4038">
        <f>Data!L4055</f>
        <v>0</v>
      </c>
      <c r="S4038">
        <f>Data!M4055</f>
        <v>0</v>
      </c>
      <c r="T4038">
        <f>Data!N4055</f>
        <v>0</v>
      </c>
      <c r="U4038">
        <f>Data!O4055</f>
        <v>0</v>
      </c>
      <c r="V4038" s="33">
        <f>Data!P4053</f>
        <v>0</v>
      </c>
    </row>
    <row r="4039" spans="7:22" x14ac:dyDescent="0.25">
      <c r="G4039">
        <f>Data!A4052</f>
        <v>0</v>
      </c>
      <c r="H4039" s="21">
        <f>Data!B4052</f>
        <v>0</v>
      </c>
      <c r="I4039" s="21">
        <f>Data!C4052</f>
        <v>0</v>
      </c>
      <c r="J4039">
        <f>Data!D4052</f>
        <v>0</v>
      </c>
      <c r="K4039">
        <f>Data!E4052</f>
        <v>0</v>
      </c>
      <c r="L4039">
        <f>Data!F4052</f>
        <v>0</v>
      </c>
      <c r="M4039">
        <f>Data!G4052</f>
        <v>0</v>
      </c>
      <c r="N4039">
        <f>Data!H4052</f>
        <v>0</v>
      </c>
      <c r="O4039">
        <f>Data!I4052</f>
        <v>0</v>
      </c>
      <c r="P4039" s="21">
        <f>Data!J4056</f>
        <v>0</v>
      </c>
      <c r="Q4039">
        <f>Data!K4056</f>
        <v>0</v>
      </c>
      <c r="R4039">
        <f>Data!L4056</f>
        <v>0</v>
      </c>
      <c r="S4039">
        <f>Data!M4056</f>
        <v>0</v>
      </c>
      <c r="T4039">
        <f>Data!N4056</f>
        <v>0</v>
      </c>
      <c r="U4039">
        <f>Data!O4056</f>
        <v>0</v>
      </c>
      <c r="V4039" s="33">
        <f>Data!P4054</f>
        <v>0</v>
      </c>
    </row>
    <row r="4040" spans="7:22" x14ac:dyDescent="0.25">
      <c r="G4040">
        <f>Data!A4053</f>
        <v>0</v>
      </c>
      <c r="H4040" s="21">
        <f>Data!B4053</f>
        <v>0</v>
      </c>
      <c r="I4040" s="21">
        <f>Data!C4053</f>
        <v>0</v>
      </c>
      <c r="J4040">
        <f>Data!D4053</f>
        <v>0</v>
      </c>
      <c r="K4040">
        <f>Data!E4053</f>
        <v>0</v>
      </c>
      <c r="L4040">
        <f>Data!F4053</f>
        <v>0</v>
      </c>
      <c r="M4040">
        <f>Data!G4053</f>
        <v>0</v>
      </c>
      <c r="N4040">
        <f>Data!H4053</f>
        <v>0</v>
      </c>
      <c r="O4040">
        <f>Data!I4053</f>
        <v>0</v>
      </c>
      <c r="P4040" s="21">
        <f>Data!J4057</f>
        <v>0</v>
      </c>
      <c r="Q4040">
        <f>Data!K4057</f>
        <v>0</v>
      </c>
      <c r="R4040">
        <f>Data!L4057</f>
        <v>0</v>
      </c>
      <c r="S4040">
        <f>Data!M4057</f>
        <v>0</v>
      </c>
      <c r="T4040">
        <f>Data!N4057</f>
        <v>0</v>
      </c>
      <c r="U4040">
        <f>Data!O4057</f>
        <v>0</v>
      </c>
      <c r="V4040" s="33">
        <f>Data!P4055</f>
        <v>0</v>
      </c>
    </row>
    <row r="4041" spans="7:22" x14ac:dyDescent="0.25">
      <c r="G4041">
        <f>Data!A4054</f>
        <v>0</v>
      </c>
      <c r="H4041" s="21">
        <f>Data!B4054</f>
        <v>0</v>
      </c>
      <c r="I4041" s="21">
        <f>Data!C4054</f>
        <v>0</v>
      </c>
      <c r="J4041">
        <f>Data!D4054</f>
        <v>0</v>
      </c>
      <c r="K4041">
        <f>Data!E4054</f>
        <v>0</v>
      </c>
      <c r="L4041">
        <f>Data!F4054</f>
        <v>0</v>
      </c>
      <c r="M4041">
        <f>Data!G4054</f>
        <v>0</v>
      </c>
      <c r="N4041">
        <f>Data!H4054</f>
        <v>0</v>
      </c>
      <c r="O4041">
        <f>Data!I4054</f>
        <v>0</v>
      </c>
      <c r="P4041" s="21">
        <f>Data!J4058</f>
        <v>0</v>
      </c>
      <c r="Q4041">
        <f>Data!K4058</f>
        <v>0</v>
      </c>
      <c r="R4041">
        <f>Data!L4058</f>
        <v>0</v>
      </c>
      <c r="S4041">
        <f>Data!M4058</f>
        <v>0</v>
      </c>
      <c r="T4041">
        <f>Data!N4058</f>
        <v>0</v>
      </c>
      <c r="U4041">
        <f>Data!O4058</f>
        <v>0</v>
      </c>
      <c r="V4041" s="33">
        <f>Data!P4056</f>
        <v>0</v>
      </c>
    </row>
    <row r="4042" spans="7:22" x14ac:dyDescent="0.25">
      <c r="G4042">
        <f>Data!A4055</f>
        <v>0</v>
      </c>
      <c r="H4042" s="21">
        <f>Data!B4055</f>
        <v>0</v>
      </c>
      <c r="I4042" s="21">
        <f>Data!C4055</f>
        <v>0</v>
      </c>
      <c r="J4042">
        <f>Data!D4055</f>
        <v>0</v>
      </c>
      <c r="K4042">
        <f>Data!E4055</f>
        <v>0</v>
      </c>
      <c r="L4042">
        <f>Data!F4055</f>
        <v>0</v>
      </c>
      <c r="M4042">
        <f>Data!G4055</f>
        <v>0</v>
      </c>
      <c r="N4042">
        <f>Data!H4055</f>
        <v>0</v>
      </c>
      <c r="O4042">
        <f>Data!I4055</f>
        <v>0</v>
      </c>
      <c r="P4042" s="21">
        <f>Data!J4059</f>
        <v>0</v>
      </c>
      <c r="Q4042">
        <f>Data!K4059</f>
        <v>0</v>
      </c>
      <c r="R4042">
        <f>Data!L4059</f>
        <v>0</v>
      </c>
      <c r="S4042">
        <f>Data!M4059</f>
        <v>0</v>
      </c>
      <c r="T4042">
        <f>Data!N4059</f>
        <v>0</v>
      </c>
      <c r="U4042">
        <f>Data!O4059</f>
        <v>0</v>
      </c>
      <c r="V4042" s="33">
        <f>Data!P4057</f>
        <v>0</v>
      </c>
    </row>
    <row r="4043" spans="7:22" x14ac:dyDescent="0.25">
      <c r="G4043">
        <f>Data!A4056</f>
        <v>0</v>
      </c>
      <c r="H4043" s="21">
        <f>Data!B4056</f>
        <v>0</v>
      </c>
      <c r="I4043" s="21">
        <f>Data!C4056</f>
        <v>0</v>
      </c>
      <c r="J4043">
        <f>Data!D4056</f>
        <v>0</v>
      </c>
      <c r="K4043">
        <f>Data!E4056</f>
        <v>0</v>
      </c>
      <c r="L4043">
        <f>Data!F4056</f>
        <v>0</v>
      </c>
      <c r="M4043">
        <f>Data!G4056</f>
        <v>0</v>
      </c>
      <c r="N4043">
        <f>Data!H4056</f>
        <v>0</v>
      </c>
      <c r="O4043">
        <f>Data!I4056</f>
        <v>0</v>
      </c>
      <c r="P4043" s="21">
        <f>Data!J4060</f>
        <v>0</v>
      </c>
      <c r="Q4043">
        <f>Data!K4060</f>
        <v>0</v>
      </c>
      <c r="R4043">
        <f>Data!L4060</f>
        <v>0</v>
      </c>
      <c r="S4043">
        <f>Data!M4060</f>
        <v>0</v>
      </c>
      <c r="T4043">
        <f>Data!N4060</f>
        <v>0</v>
      </c>
      <c r="U4043">
        <f>Data!O4060</f>
        <v>0</v>
      </c>
      <c r="V4043" s="33">
        <f>Data!P4058</f>
        <v>0</v>
      </c>
    </row>
    <row r="4044" spans="7:22" x14ac:dyDescent="0.25">
      <c r="G4044">
        <f>Data!A4057</f>
        <v>0</v>
      </c>
      <c r="H4044" s="21">
        <f>Data!B4057</f>
        <v>0</v>
      </c>
      <c r="I4044" s="21">
        <f>Data!C4057</f>
        <v>0</v>
      </c>
      <c r="J4044">
        <f>Data!D4057</f>
        <v>0</v>
      </c>
      <c r="K4044">
        <f>Data!E4057</f>
        <v>0</v>
      </c>
      <c r="L4044">
        <f>Data!F4057</f>
        <v>0</v>
      </c>
      <c r="M4044">
        <f>Data!G4057</f>
        <v>0</v>
      </c>
      <c r="N4044">
        <f>Data!H4057</f>
        <v>0</v>
      </c>
      <c r="O4044">
        <f>Data!I4057</f>
        <v>0</v>
      </c>
      <c r="P4044" s="21">
        <f>Data!J4061</f>
        <v>0</v>
      </c>
      <c r="Q4044">
        <f>Data!K4061</f>
        <v>0</v>
      </c>
      <c r="R4044">
        <f>Data!L4061</f>
        <v>0</v>
      </c>
      <c r="S4044">
        <f>Data!M4061</f>
        <v>0</v>
      </c>
      <c r="T4044">
        <f>Data!N4061</f>
        <v>0</v>
      </c>
      <c r="U4044">
        <f>Data!O4061</f>
        <v>0</v>
      </c>
      <c r="V4044" s="33">
        <f>Data!P4059</f>
        <v>0</v>
      </c>
    </row>
    <row r="4045" spans="7:22" x14ac:dyDescent="0.25">
      <c r="G4045">
        <f>Data!A4058</f>
        <v>0</v>
      </c>
      <c r="H4045" s="21">
        <f>Data!B4058</f>
        <v>0</v>
      </c>
      <c r="I4045" s="21">
        <f>Data!C4058</f>
        <v>0</v>
      </c>
      <c r="J4045">
        <f>Data!D4058</f>
        <v>0</v>
      </c>
      <c r="K4045">
        <f>Data!E4058</f>
        <v>0</v>
      </c>
      <c r="L4045">
        <f>Data!F4058</f>
        <v>0</v>
      </c>
      <c r="M4045">
        <f>Data!G4058</f>
        <v>0</v>
      </c>
      <c r="N4045">
        <f>Data!H4058</f>
        <v>0</v>
      </c>
      <c r="O4045">
        <f>Data!I4058</f>
        <v>0</v>
      </c>
      <c r="P4045" s="21">
        <f>Data!J4062</f>
        <v>0</v>
      </c>
      <c r="Q4045">
        <f>Data!K4062</f>
        <v>0</v>
      </c>
      <c r="R4045">
        <f>Data!L4062</f>
        <v>0</v>
      </c>
      <c r="S4045">
        <f>Data!M4062</f>
        <v>0</v>
      </c>
      <c r="T4045">
        <f>Data!N4062</f>
        <v>0</v>
      </c>
      <c r="U4045">
        <f>Data!O4062</f>
        <v>0</v>
      </c>
      <c r="V4045" s="33">
        <f>Data!P4060</f>
        <v>0</v>
      </c>
    </row>
    <row r="4046" spans="7:22" x14ac:dyDescent="0.25">
      <c r="G4046">
        <f>Data!A4059</f>
        <v>0</v>
      </c>
      <c r="H4046" s="21">
        <f>Data!B4059</f>
        <v>0</v>
      </c>
      <c r="I4046" s="21">
        <f>Data!C4059</f>
        <v>0</v>
      </c>
      <c r="J4046">
        <f>Data!D4059</f>
        <v>0</v>
      </c>
      <c r="K4046">
        <f>Data!E4059</f>
        <v>0</v>
      </c>
      <c r="L4046">
        <f>Data!F4059</f>
        <v>0</v>
      </c>
      <c r="M4046">
        <f>Data!G4059</f>
        <v>0</v>
      </c>
      <c r="N4046">
        <f>Data!H4059</f>
        <v>0</v>
      </c>
      <c r="O4046">
        <f>Data!I4059</f>
        <v>0</v>
      </c>
      <c r="P4046" s="21">
        <f>Data!J4063</f>
        <v>0</v>
      </c>
      <c r="Q4046">
        <f>Data!K4063</f>
        <v>0</v>
      </c>
      <c r="R4046">
        <f>Data!L4063</f>
        <v>0</v>
      </c>
      <c r="S4046">
        <f>Data!M4063</f>
        <v>0</v>
      </c>
      <c r="T4046">
        <f>Data!N4063</f>
        <v>0</v>
      </c>
      <c r="U4046">
        <f>Data!O4063</f>
        <v>0</v>
      </c>
      <c r="V4046" s="33">
        <f>Data!P4061</f>
        <v>0</v>
      </c>
    </row>
    <row r="4047" spans="7:22" x14ac:dyDescent="0.25">
      <c r="G4047">
        <f>Data!A4060</f>
        <v>0</v>
      </c>
      <c r="H4047" s="21">
        <f>Data!B4060</f>
        <v>0</v>
      </c>
      <c r="I4047" s="21">
        <f>Data!C4060</f>
        <v>0</v>
      </c>
      <c r="J4047">
        <f>Data!D4060</f>
        <v>0</v>
      </c>
      <c r="K4047">
        <f>Data!E4060</f>
        <v>0</v>
      </c>
      <c r="L4047">
        <f>Data!F4060</f>
        <v>0</v>
      </c>
      <c r="M4047">
        <f>Data!G4060</f>
        <v>0</v>
      </c>
      <c r="N4047">
        <f>Data!H4060</f>
        <v>0</v>
      </c>
      <c r="O4047">
        <f>Data!I4060</f>
        <v>0</v>
      </c>
      <c r="P4047" s="21">
        <f>Data!J4064</f>
        <v>0</v>
      </c>
      <c r="Q4047">
        <f>Data!K4064</f>
        <v>0</v>
      </c>
      <c r="R4047">
        <f>Data!L4064</f>
        <v>0</v>
      </c>
      <c r="S4047">
        <f>Data!M4064</f>
        <v>0</v>
      </c>
      <c r="T4047">
        <f>Data!N4064</f>
        <v>0</v>
      </c>
      <c r="U4047">
        <f>Data!O4064</f>
        <v>0</v>
      </c>
      <c r="V4047" s="33">
        <f>Data!P4062</f>
        <v>0</v>
      </c>
    </row>
    <row r="4048" spans="7:22" x14ac:dyDescent="0.25">
      <c r="G4048">
        <f>Data!A4061</f>
        <v>0</v>
      </c>
      <c r="H4048" s="21">
        <f>Data!B4061</f>
        <v>0</v>
      </c>
      <c r="I4048" s="21">
        <f>Data!C4061</f>
        <v>0</v>
      </c>
      <c r="J4048">
        <f>Data!D4061</f>
        <v>0</v>
      </c>
      <c r="K4048">
        <f>Data!E4061</f>
        <v>0</v>
      </c>
      <c r="L4048">
        <f>Data!F4061</f>
        <v>0</v>
      </c>
      <c r="M4048">
        <f>Data!G4061</f>
        <v>0</v>
      </c>
      <c r="N4048">
        <f>Data!H4061</f>
        <v>0</v>
      </c>
      <c r="O4048">
        <f>Data!I4061</f>
        <v>0</v>
      </c>
      <c r="P4048" s="21">
        <f>Data!J4065</f>
        <v>0</v>
      </c>
      <c r="Q4048">
        <f>Data!K4065</f>
        <v>0</v>
      </c>
      <c r="R4048">
        <f>Data!L4065</f>
        <v>0</v>
      </c>
      <c r="S4048">
        <f>Data!M4065</f>
        <v>0</v>
      </c>
      <c r="T4048">
        <f>Data!N4065</f>
        <v>0</v>
      </c>
      <c r="U4048">
        <f>Data!O4065</f>
        <v>0</v>
      </c>
      <c r="V4048" s="33">
        <f>Data!P4063</f>
        <v>0</v>
      </c>
    </row>
    <row r="4049" spans="7:22" x14ac:dyDescent="0.25">
      <c r="G4049">
        <f>Data!A4062</f>
        <v>0</v>
      </c>
      <c r="H4049" s="21">
        <f>Data!B4062</f>
        <v>0</v>
      </c>
      <c r="I4049" s="21">
        <f>Data!C4062</f>
        <v>0</v>
      </c>
      <c r="J4049">
        <f>Data!D4062</f>
        <v>0</v>
      </c>
      <c r="K4049">
        <f>Data!E4062</f>
        <v>0</v>
      </c>
      <c r="L4049">
        <f>Data!F4062</f>
        <v>0</v>
      </c>
      <c r="M4049">
        <f>Data!G4062</f>
        <v>0</v>
      </c>
      <c r="N4049">
        <f>Data!H4062</f>
        <v>0</v>
      </c>
      <c r="O4049">
        <f>Data!I4062</f>
        <v>0</v>
      </c>
      <c r="P4049" s="21">
        <f>Data!J4066</f>
        <v>0</v>
      </c>
      <c r="Q4049">
        <f>Data!K4066</f>
        <v>0</v>
      </c>
      <c r="R4049">
        <f>Data!L4066</f>
        <v>0</v>
      </c>
      <c r="S4049">
        <f>Data!M4066</f>
        <v>0</v>
      </c>
      <c r="T4049">
        <f>Data!N4066</f>
        <v>0</v>
      </c>
      <c r="U4049">
        <f>Data!O4066</f>
        <v>0</v>
      </c>
      <c r="V4049" s="33">
        <f>Data!P4064</f>
        <v>0</v>
      </c>
    </row>
    <row r="4050" spans="7:22" x14ac:dyDescent="0.25">
      <c r="G4050">
        <f>Data!A4063</f>
        <v>0</v>
      </c>
      <c r="H4050" s="21">
        <f>Data!B4063</f>
        <v>0</v>
      </c>
      <c r="I4050" s="21">
        <f>Data!C4063</f>
        <v>0</v>
      </c>
      <c r="J4050">
        <f>Data!D4063</f>
        <v>0</v>
      </c>
      <c r="K4050">
        <f>Data!E4063</f>
        <v>0</v>
      </c>
      <c r="L4050">
        <f>Data!F4063</f>
        <v>0</v>
      </c>
      <c r="M4050">
        <f>Data!G4063</f>
        <v>0</v>
      </c>
      <c r="N4050">
        <f>Data!H4063</f>
        <v>0</v>
      </c>
      <c r="O4050">
        <f>Data!I4063</f>
        <v>0</v>
      </c>
      <c r="P4050" s="21">
        <f>Data!J4067</f>
        <v>0</v>
      </c>
      <c r="Q4050">
        <f>Data!K4067</f>
        <v>0</v>
      </c>
      <c r="R4050">
        <f>Data!L4067</f>
        <v>0</v>
      </c>
      <c r="S4050">
        <f>Data!M4067</f>
        <v>0</v>
      </c>
      <c r="T4050">
        <f>Data!N4067</f>
        <v>0</v>
      </c>
      <c r="U4050">
        <f>Data!O4067</f>
        <v>0</v>
      </c>
      <c r="V4050" s="33">
        <f>Data!P4065</f>
        <v>0</v>
      </c>
    </row>
    <row r="4051" spans="7:22" x14ac:dyDescent="0.25">
      <c r="G4051">
        <f>Data!A4064</f>
        <v>0</v>
      </c>
      <c r="H4051" s="21">
        <f>Data!B4064</f>
        <v>0</v>
      </c>
      <c r="I4051" s="21">
        <f>Data!C4064</f>
        <v>0</v>
      </c>
      <c r="J4051">
        <f>Data!D4064</f>
        <v>0</v>
      </c>
      <c r="K4051">
        <f>Data!E4064</f>
        <v>0</v>
      </c>
      <c r="L4051">
        <f>Data!F4064</f>
        <v>0</v>
      </c>
      <c r="M4051">
        <f>Data!G4064</f>
        <v>0</v>
      </c>
      <c r="N4051">
        <f>Data!H4064</f>
        <v>0</v>
      </c>
      <c r="O4051">
        <f>Data!I4064</f>
        <v>0</v>
      </c>
      <c r="P4051" s="21">
        <f>Data!J4068</f>
        <v>0</v>
      </c>
      <c r="Q4051">
        <f>Data!K4068</f>
        <v>0</v>
      </c>
      <c r="R4051">
        <f>Data!L4068</f>
        <v>0</v>
      </c>
      <c r="S4051">
        <f>Data!M4068</f>
        <v>0</v>
      </c>
      <c r="T4051">
        <f>Data!N4068</f>
        <v>0</v>
      </c>
      <c r="U4051">
        <f>Data!O4068</f>
        <v>0</v>
      </c>
      <c r="V4051" s="33">
        <f>Data!P4066</f>
        <v>0</v>
      </c>
    </row>
    <row r="4052" spans="7:22" x14ac:dyDescent="0.25">
      <c r="G4052">
        <f>Data!A4065</f>
        <v>0</v>
      </c>
      <c r="H4052" s="21">
        <f>Data!B4065</f>
        <v>0</v>
      </c>
      <c r="I4052" s="21">
        <f>Data!C4065</f>
        <v>0</v>
      </c>
      <c r="J4052">
        <f>Data!D4065</f>
        <v>0</v>
      </c>
      <c r="K4052">
        <f>Data!E4065</f>
        <v>0</v>
      </c>
      <c r="L4052">
        <f>Data!F4065</f>
        <v>0</v>
      </c>
      <c r="M4052">
        <f>Data!G4065</f>
        <v>0</v>
      </c>
      <c r="N4052">
        <f>Data!H4065</f>
        <v>0</v>
      </c>
      <c r="O4052">
        <f>Data!I4065</f>
        <v>0</v>
      </c>
      <c r="P4052" s="21">
        <f>Data!J4069</f>
        <v>0</v>
      </c>
      <c r="Q4052">
        <f>Data!K4069</f>
        <v>0</v>
      </c>
      <c r="R4052">
        <f>Data!L4069</f>
        <v>0</v>
      </c>
      <c r="S4052">
        <f>Data!M4069</f>
        <v>0</v>
      </c>
      <c r="T4052">
        <f>Data!N4069</f>
        <v>0</v>
      </c>
      <c r="U4052">
        <f>Data!O4069</f>
        <v>0</v>
      </c>
      <c r="V4052" s="33">
        <f>Data!P4067</f>
        <v>0</v>
      </c>
    </row>
    <row r="4053" spans="7:22" x14ac:dyDescent="0.25">
      <c r="G4053">
        <f>Data!A4066</f>
        <v>0</v>
      </c>
      <c r="H4053" s="21">
        <f>Data!B4066</f>
        <v>0</v>
      </c>
      <c r="I4053" s="21">
        <f>Data!C4066</f>
        <v>0</v>
      </c>
      <c r="J4053">
        <f>Data!D4066</f>
        <v>0</v>
      </c>
      <c r="K4053">
        <f>Data!E4066</f>
        <v>0</v>
      </c>
      <c r="L4053">
        <f>Data!F4066</f>
        <v>0</v>
      </c>
      <c r="M4053">
        <f>Data!G4066</f>
        <v>0</v>
      </c>
      <c r="N4053">
        <f>Data!H4066</f>
        <v>0</v>
      </c>
      <c r="O4053">
        <f>Data!I4066</f>
        <v>0</v>
      </c>
      <c r="P4053" s="21">
        <f>Data!J4070</f>
        <v>0</v>
      </c>
      <c r="Q4053">
        <f>Data!K4070</f>
        <v>0</v>
      </c>
      <c r="R4053">
        <f>Data!L4070</f>
        <v>0</v>
      </c>
      <c r="S4053">
        <f>Data!M4070</f>
        <v>0</v>
      </c>
      <c r="T4053">
        <f>Data!N4070</f>
        <v>0</v>
      </c>
      <c r="U4053">
        <f>Data!O4070</f>
        <v>0</v>
      </c>
      <c r="V4053" s="33">
        <f>Data!P4068</f>
        <v>0</v>
      </c>
    </row>
    <row r="4054" spans="7:22" x14ac:dyDescent="0.25">
      <c r="G4054">
        <f>Data!A4067</f>
        <v>0</v>
      </c>
      <c r="H4054" s="21">
        <f>Data!B4067</f>
        <v>0</v>
      </c>
      <c r="I4054" s="21">
        <f>Data!C4067</f>
        <v>0</v>
      </c>
      <c r="J4054">
        <f>Data!D4067</f>
        <v>0</v>
      </c>
      <c r="K4054">
        <f>Data!E4067</f>
        <v>0</v>
      </c>
      <c r="L4054">
        <f>Data!F4067</f>
        <v>0</v>
      </c>
      <c r="M4054">
        <f>Data!G4067</f>
        <v>0</v>
      </c>
      <c r="N4054">
        <f>Data!H4067</f>
        <v>0</v>
      </c>
      <c r="O4054">
        <f>Data!I4067</f>
        <v>0</v>
      </c>
      <c r="P4054" s="21">
        <f>Data!J4071</f>
        <v>0</v>
      </c>
      <c r="Q4054">
        <f>Data!K4071</f>
        <v>0</v>
      </c>
      <c r="R4054">
        <f>Data!L4071</f>
        <v>0</v>
      </c>
      <c r="S4054">
        <f>Data!M4071</f>
        <v>0</v>
      </c>
      <c r="T4054">
        <f>Data!N4071</f>
        <v>0</v>
      </c>
      <c r="U4054">
        <f>Data!O4071</f>
        <v>0</v>
      </c>
      <c r="V4054" s="33">
        <f>Data!P4069</f>
        <v>0</v>
      </c>
    </row>
    <row r="4055" spans="7:22" x14ac:dyDescent="0.25">
      <c r="G4055">
        <f>Data!A4068</f>
        <v>0</v>
      </c>
      <c r="H4055" s="21">
        <f>Data!B4068</f>
        <v>0</v>
      </c>
      <c r="I4055" s="21">
        <f>Data!C4068</f>
        <v>0</v>
      </c>
      <c r="J4055">
        <f>Data!D4068</f>
        <v>0</v>
      </c>
      <c r="K4055">
        <f>Data!E4068</f>
        <v>0</v>
      </c>
      <c r="L4055">
        <f>Data!F4068</f>
        <v>0</v>
      </c>
      <c r="M4055">
        <f>Data!G4068</f>
        <v>0</v>
      </c>
      <c r="N4055">
        <f>Data!H4068</f>
        <v>0</v>
      </c>
      <c r="O4055">
        <f>Data!I4068</f>
        <v>0</v>
      </c>
      <c r="P4055" s="21">
        <f>Data!J4072</f>
        <v>0</v>
      </c>
      <c r="Q4055">
        <f>Data!K4072</f>
        <v>0</v>
      </c>
      <c r="R4055">
        <f>Data!L4072</f>
        <v>0</v>
      </c>
      <c r="S4055">
        <f>Data!M4072</f>
        <v>0</v>
      </c>
      <c r="T4055">
        <f>Data!N4072</f>
        <v>0</v>
      </c>
      <c r="U4055">
        <f>Data!O4072</f>
        <v>0</v>
      </c>
      <c r="V4055" s="33">
        <f>Data!P4070</f>
        <v>0</v>
      </c>
    </row>
    <row r="4056" spans="7:22" x14ac:dyDescent="0.25">
      <c r="G4056">
        <f>Data!A4069</f>
        <v>0</v>
      </c>
      <c r="H4056" s="21">
        <f>Data!B4069</f>
        <v>0</v>
      </c>
      <c r="I4056" s="21">
        <f>Data!C4069</f>
        <v>0</v>
      </c>
      <c r="J4056">
        <f>Data!D4069</f>
        <v>0</v>
      </c>
      <c r="K4056">
        <f>Data!E4069</f>
        <v>0</v>
      </c>
      <c r="L4056">
        <f>Data!F4069</f>
        <v>0</v>
      </c>
      <c r="M4056">
        <f>Data!G4069</f>
        <v>0</v>
      </c>
      <c r="N4056">
        <f>Data!H4069</f>
        <v>0</v>
      </c>
      <c r="O4056">
        <f>Data!I4069</f>
        <v>0</v>
      </c>
      <c r="P4056" s="21">
        <f>Data!J4073</f>
        <v>0</v>
      </c>
      <c r="Q4056">
        <f>Data!K4073</f>
        <v>0</v>
      </c>
      <c r="R4056">
        <f>Data!L4073</f>
        <v>0</v>
      </c>
      <c r="S4056">
        <f>Data!M4073</f>
        <v>0</v>
      </c>
      <c r="T4056">
        <f>Data!N4073</f>
        <v>0</v>
      </c>
      <c r="U4056">
        <f>Data!O4073</f>
        <v>0</v>
      </c>
      <c r="V4056" s="33">
        <f>Data!P4071</f>
        <v>0</v>
      </c>
    </row>
    <row r="4057" spans="7:22" x14ac:dyDescent="0.25">
      <c r="G4057">
        <f>Data!A4070</f>
        <v>0</v>
      </c>
      <c r="H4057" s="21">
        <f>Data!B4070</f>
        <v>0</v>
      </c>
      <c r="I4057" s="21">
        <f>Data!C4070</f>
        <v>0</v>
      </c>
      <c r="J4057">
        <f>Data!D4070</f>
        <v>0</v>
      </c>
      <c r="K4057">
        <f>Data!E4070</f>
        <v>0</v>
      </c>
      <c r="L4057">
        <f>Data!F4070</f>
        <v>0</v>
      </c>
      <c r="M4057">
        <f>Data!G4070</f>
        <v>0</v>
      </c>
      <c r="N4057">
        <f>Data!H4070</f>
        <v>0</v>
      </c>
      <c r="O4057">
        <f>Data!I4070</f>
        <v>0</v>
      </c>
      <c r="P4057" s="21">
        <f>Data!J4074</f>
        <v>0</v>
      </c>
      <c r="Q4057">
        <f>Data!K4074</f>
        <v>0</v>
      </c>
      <c r="R4057">
        <f>Data!L4074</f>
        <v>0</v>
      </c>
      <c r="S4057">
        <f>Data!M4074</f>
        <v>0</v>
      </c>
      <c r="T4057">
        <f>Data!N4074</f>
        <v>0</v>
      </c>
      <c r="U4057">
        <f>Data!O4074</f>
        <v>0</v>
      </c>
      <c r="V4057" s="33">
        <f>Data!P4072</f>
        <v>0</v>
      </c>
    </row>
    <row r="4058" spans="7:22" x14ac:dyDescent="0.25">
      <c r="G4058">
        <f>Data!A4071</f>
        <v>0</v>
      </c>
      <c r="H4058" s="21">
        <f>Data!B4071</f>
        <v>0</v>
      </c>
      <c r="I4058" s="21">
        <f>Data!C4071</f>
        <v>0</v>
      </c>
      <c r="J4058">
        <f>Data!D4071</f>
        <v>0</v>
      </c>
      <c r="K4058">
        <f>Data!E4071</f>
        <v>0</v>
      </c>
      <c r="L4058">
        <f>Data!F4071</f>
        <v>0</v>
      </c>
      <c r="M4058">
        <f>Data!G4071</f>
        <v>0</v>
      </c>
      <c r="N4058">
        <f>Data!H4071</f>
        <v>0</v>
      </c>
      <c r="O4058">
        <f>Data!I4071</f>
        <v>0</v>
      </c>
      <c r="P4058" s="21">
        <f>Data!J4075</f>
        <v>0</v>
      </c>
      <c r="Q4058">
        <f>Data!K4075</f>
        <v>0</v>
      </c>
      <c r="R4058">
        <f>Data!L4075</f>
        <v>0</v>
      </c>
      <c r="S4058">
        <f>Data!M4075</f>
        <v>0</v>
      </c>
      <c r="T4058">
        <f>Data!N4075</f>
        <v>0</v>
      </c>
      <c r="U4058">
        <f>Data!O4075</f>
        <v>0</v>
      </c>
      <c r="V4058" s="33">
        <f>Data!P4073</f>
        <v>0</v>
      </c>
    </row>
    <row r="4059" spans="7:22" x14ac:dyDescent="0.25">
      <c r="G4059">
        <f>Data!A4072</f>
        <v>0</v>
      </c>
      <c r="H4059" s="21">
        <f>Data!B4072</f>
        <v>0</v>
      </c>
      <c r="I4059" s="21">
        <f>Data!C4072</f>
        <v>0</v>
      </c>
      <c r="J4059">
        <f>Data!D4072</f>
        <v>0</v>
      </c>
      <c r="K4059">
        <f>Data!E4072</f>
        <v>0</v>
      </c>
      <c r="L4059">
        <f>Data!F4072</f>
        <v>0</v>
      </c>
      <c r="M4059">
        <f>Data!G4072</f>
        <v>0</v>
      </c>
      <c r="N4059">
        <f>Data!H4072</f>
        <v>0</v>
      </c>
      <c r="O4059">
        <f>Data!I4072</f>
        <v>0</v>
      </c>
      <c r="P4059" s="21">
        <f>Data!J4076</f>
        <v>0</v>
      </c>
      <c r="Q4059">
        <f>Data!K4076</f>
        <v>0</v>
      </c>
      <c r="R4059">
        <f>Data!L4076</f>
        <v>0</v>
      </c>
      <c r="S4059">
        <f>Data!M4076</f>
        <v>0</v>
      </c>
      <c r="T4059">
        <f>Data!N4076</f>
        <v>0</v>
      </c>
      <c r="U4059">
        <f>Data!O4076</f>
        <v>0</v>
      </c>
      <c r="V4059" s="33">
        <f>Data!P4074</f>
        <v>0</v>
      </c>
    </row>
    <row r="4060" spans="7:22" x14ac:dyDescent="0.25">
      <c r="G4060">
        <f>Data!A4073</f>
        <v>0</v>
      </c>
      <c r="H4060" s="21">
        <f>Data!B4073</f>
        <v>0</v>
      </c>
      <c r="I4060" s="21">
        <f>Data!C4073</f>
        <v>0</v>
      </c>
      <c r="J4060">
        <f>Data!D4073</f>
        <v>0</v>
      </c>
      <c r="K4060">
        <f>Data!E4073</f>
        <v>0</v>
      </c>
      <c r="L4060">
        <f>Data!F4073</f>
        <v>0</v>
      </c>
      <c r="M4060">
        <f>Data!G4073</f>
        <v>0</v>
      </c>
      <c r="N4060">
        <f>Data!H4073</f>
        <v>0</v>
      </c>
      <c r="O4060">
        <f>Data!I4073</f>
        <v>0</v>
      </c>
      <c r="P4060" s="21">
        <f>Data!J4077</f>
        <v>0</v>
      </c>
      <c r="Q4060">
        <f>Data!K4077</f>
        <v>0</v>
      </c>
      <c r="R4060">
        <f>Data!L4077</f>
        <v>0</v>
      </c>
      <c r="S4060">
        <f>Data!M4077</f>
        <v>0</v>
      </c>
      <c r="T4060">
        <f>Data!N4077</f>
        <v>0</v>
      </c>
      <c r="U4060">
        <f>Data!O4077</f>
        <v>0</v>
      </c>
      <c r="V4060" s="33">
        <f>Data!P4075</f>
        <v>0</v>
      </c>
    </row>
    <row r="4061" spans="7:22" x14ac:dyDescent="0.25">
      <c r="G4061">
        <f>Data!A4074</f>
        <v>0</v>
      </c>
      <c r="H4061" s="21">
        <f>Data!B4074</f>
        <v>0</v>
      </c>
      <c r="I4061" s="21">
        <f>Data!C4074</f>
        <v>0</v>
      </c>
      <c r="J4061">
        <f>Data!D4074</f>
        <v>0</v>
      </c>
      <c r="K4061">
        <f>Data!E4074</f>
        <v>0</v>
      </c>
      <c r="L4061">
        <f>Data!F4074</f>
        <v>0</v>
      </c>
      <c r="M4061">
        <f>Data!G4074</f>
        <v>0</v>
      </c>
      <c r="N4061">
        <f>Data!H4074</f>
        <v>0</v>
      </c>
      <c r="O4061">
        <f>Data!I4074</f>
        <v>0</v>
      </c>
      <c r="P4061" s="21">
        <f>Data!J4078</f>
        <v>0</v>
      </c>
      <c r="Q4061">
        <f>Data!K4078</f>
        <v>0</v>
      </c>
      <c r="R4061">
        <f>Data!L4078</f>
        <v>0</v>
      </c>
      <c r="S4061">
        <f>Data!M4078</f>
        <v>0</v>
      </c>
      <c r="T4061">
        <f>Data!N4078</f>
        <v>0</v>
      </c>
      <c r="U4061">
        <f>Data!O4078</f>
        <v>0</v>
      </c>
      <c r="V4061" s="33">
        <f>Data!P4076</f>
        <v>0</v>
      </c>
    </row>
    <row r="4062" spans="7:22" x14ac:dyDescent="0.25">
      <c r="G4062">
        <f>Data!A4075</f>
        <v>0</v>
      </c>
      <c r="H4062" s="21">
        <f>Data!B4075</f>
        <v>0</v>
      </c>
      <c r="I4062" s="21">
        <f>Data!C4075</f>
        <v>0</v>
      </c>
      <c r="J4062">
        <f>Data!D4075</f>
        <v>0</v>
      </c>
      <c r="K4062">
        <f>Data!E4075</f>
        <v>0</v>
      </c>
      <c r="L4062">
        <f>Data!F4075</f>
        <v>0</v>
      </c>
      <c r="M4062">
        <f>Data!G4075</f>
        <v>0</v>
      </c>
      <c r="N4062">
        <f>Data!H4075</f>
        <v>0</v>
      </c>
      <c r="O4062">
        <f>Data!I4075</f>
        <v>0</v>
      </c>
      <c r="P4062" s="21">
        <f>Data!J4079</f>
        <v>0</v>
      </c>
      <c r="Q4062">
        <f>Data!K4079</f>
        <v>0</v>
      </c>
      <c r="R4062">
        <f>Data!L4079</f>
        <v>0</v>
      </c>
      <c r="S4062">
        <f>Data!M4079</f>
        <v>0</v>
      </c>
      <c r="T4062">
        <f>Data!N4079</f>
        <v>0</v>
      </c>
      <c r="U4062">
        <f>Data!O4079</f>
        <v>0</v>
      </c>
      <c r="V4062" s="33">
        <f>Data!P4077</f>
        <v>0</v>
      </c>
    </row>
    <row r="4063" spans="7:22" x14ac:dyDescent="0.25">
      <c r="G4063">
        <f>Data!A4076</f>
        <v>0</v>
      </c>
      <c r="H4063" s="21">
        <f>Data!B4076</f>
        <v>0</v>
      </c>
      <c r="I4063" s="21">
        <f>Data!C4076</f>
        <v>0</v>
      </c>
      <c r="J4063">
        <f>Data!D4076</f>
        <v>0</v>
      </c>
      <c r="K4063">
        <f>Data!E4076</f>
        <v>0</v>
      </c>
      <c r="L4063">
        <f>Data!F4076</f>
        <v>0</v>
      </c>
      <c r="M4063">
        <f>Data!G4076</f>
        <v>0</v>
      </c>
      <c r="N4063">
        <f>Data!H4076</f>
        <v>0</v>
      </c>
      <c r="O4063">
        <f>Data!I4076</f>
        <v>0</v>
      </c>
      <c r="P4063" s="21">
        <f>Data!J4080</f>
        <v>0</v>
      </c>
      <c r="Q4063">
        <f>Data!K4080</f>
        <v>0</v>
      </c>
      <c r="R4063">
        <f>Data!L4080</f>
        <v>0</v>
      </c>
      <c r="S4063">
        <f>Data!M4080</f>
        <v>0</v>
      </c>
      <c r="T4063">
        <f>Data!N4080</f>
        <v>0</v>
      </c>
      <c r="U4063">
        <f>Data!O4080</f>
        <v>0</v>
      </c>
      <c r="V4063" s="33">
        <f>Data!P4078</f>
        <v>0</v>
      </c>
    </row>
    <row r="4064" spans="7:22" x14ac:dyDescent="0.25">
      <c r="G4064">
        <f>Data!A4077</f>
        <v>0</v>
      </c>
      <c r="H4064" s="21">
        <f>Data!B4077</f>
        <v>0</v>
      </c>
      <c r="I4064" s="21">
        <f>Data!C4077</f>
        <v>0</v>
      </c>
      <c r="J4064">
        <f>Data!D4077</f>
        <v>0</v>
      </c>
      <c r="K4064">
        <f>Data!E4077</f>
        <v>0</v>
      </c>
      <c r="L4064">
        <f>Data!F4077</f>
        <v>0</v>
      </c>
      <c r="M4064">
        <f>Data!G4077</f>
        <v>0</v>
      </c>
      <c r="N4064">
        <f>Data!H4077</f>
        <v>0</v>
      </c>
      <c r="O4064">
        <f>Data!I4077</f>
        <v>0</v>
      </c>
      <c r="P4064" s="21">
        <f>Data!J4081</f>
        <v>0</v>
      </c>
      <c r="Q4064">
        <f>Data!K4081</f>
        <v>0</v>
      </c>
      <c r="R4064">
        <f>Data!L4081</f>
        <v>0</v>
      </c>
      <c r="S4064">
        <f>Data!M4081</f>
        <v>0</v>
      </c>
      <c r="T4064">
        <f>Data!N4081</f>
        <v>0</v>
      </c>
      <c r="U4064">
        <f>Data!O4081</f>
        <v>0</v>
      </c>
      <c r="V4064" s="33">
        <f>Data!P4079</f>
        <v>0</v>
      </c>
    </row>
    <row r="4065" spans="7:22" x14ac:dyDescent="0.25">
      <c r="G4065">
        <f>Data!A4078</f>
        <v>0</v>
      </c>
      <c r="H4065" s="21">
        <f>Data!B4078</f>
        <v>0</v>
      </c>
      <c r="I4065" s="21">
        <f>Data!C4078</f>
        <v>0</v>
      </c>
      <c r="J4065">
        <f>Data!D4078</f>
        <v>0</v>
      </c>
      <c r="K4065">
        <f>Data!E4078</f>
        <v>0</v>
      </c>
      <c r="L4065">
        <f>Data!F4078</f>
        <v>0</v>
      </c>
      <c r="M4065">
        <f>Data!G4078</f>
        <v>0</v>
      </c>
      <c r="N4065">
        <f>Data!H4078</f>
        <v>0</v>
      </c>
      <c r="O4065">
        <f>Data!I4078</f>
        <v>0</v>
      </c>
      <c r="P4065" s="21">
        <f>Data!J4082</f>
        <v>0</v>
      </c>
      <c r="Q4065">
        <f>Data!K4082</f>
        <v>0</v>
      </c>
      <c r="R4065">
        <f>Data!L4082</f>
        <v>0</v>
      </c>
      <c r="S4065">
        <f>Data!M4082</f>
        <v>0</v>
      </c>
      <c r="T4065">
        <f>Data!N4082</f>
        <v>0</v>
      </c>
      <c r="U4065">
        <f>Data!O4082</f>
        <v>0</v>
      </c>
      <c r="V4065" s="33">
        <f>Data!P4080</f>
        <v>0</v>
      </c>
    </row>
    <row r="4066" spans="7:22" x14ac:dyDescent="0.25">
      <c r="G4066">
        <f>Data!A4079</f>
        <v>0</v>
      </c>
      <c r="H4066" s="21">
        <f>Data!B4079</f>
        <v>0</v>
      </c>
      <c r="I4066" s="21">
        <f>Data!C4079</f>
        <v>0</v>
      </c>
      <c r="J4066">
        <f>Data!D4079</f>
        <v>0</v>
      </c>
      <c r="K4066">
        <f>Data!E4079</f>
        <v>0</v>
      </c>
      <c r="L4066">
        <f>Data!F4079</f>
        <v>0</v>
      </c>
      <c r="M4066">
        <f>Data!G4079</f>
        <v>0</v>
      </c>
      <c r="N4066">
        <f>Data!H4079</f>
        <v>0</v>
      </c>
      <c r="O4066">
        <f>Data!I4079</f>
        <v>0</v>
      </c>
      <c r="P4066" s="21">
        <f>Data!J4083</f>
        <v>0</v>
      </c>
      <c r="Q4066">
        <f>Data!K4083</f>
        <v>0</v>
      </c>
      <c r="R4066">
        <f>Data!L4083</f>
        <v>0</v>
      </c>
      <c r="S4066">
        <f>Data!M4083</f>
        <v>0</v>
      </c>
      <c r="T4066">
        <f>Data!N4083</f>
        <v>0</v>
      </c>
      <c r="U4066">
        <f>Data!O4083</f>
        <v>0</v>
      </c>
      <c r="V4066" s="33">
        <f>Data!P4081</f>
        <v>0</v>
      </c>
    </row>
    <row r="4067" spans="7:22" x14ac:dyDescent="0.25">
      <c r="G4067">
        <f>Data!A4080</f>
        <v>0</v>
      </c>
      <c r="H4067" s="21">
        <f>Data!B4080</f>
        <v>0</v>
      </c>
      <c r="I4067" s="21">
        <f>Data!C4080</f>
        <v>0</v>
      </c>
      <c r="J4067">
        <f>Data!D4080</f>
        <v>0</v>
      </c>
      <c r="K4067">
        <f>Data!E4080</f>
        <v>0</v>
      </c>
      <c r="L4067">
        <f>Data!F4080</f>
        <v>0</v>
      </c>
      <c r="M4067">
        <f>Data!G4080</f>
        <v>0</v>
      </c>
      <c r="N4067">
        <f>Data!H4080</f>
        <v>0</v>
      </c>
      <c r="O4067">
        <f>Data!I4080</f>
        <v>0</v>
      </c>
      <c r="P4067" s="21">
        <f>Data!J4084</f>
        <v>0</v>
      </c>
      <c r="Q4067">
        <f>Data!K4084</f>
        <v>0</v>
      </c>
      <c r="R4067">
        <f>Data!L4084</f>
        <v>0</v>
      </c>
      <c r="S4067">
        <f>Data!M4084</f>
        <v>0</v>
      </c>
      <c r="T4067">
        <f>Data!N4084</f>
        <v>0</v>
      </c>
      <c r="U4067">
        <f>Data!O4084</f>
        <v>0</v>
      </c>
      <c r="V4067" s="33">
        <f>Data!P4082</f>
        <v>0</v>
      </c>
    </row>
    <row r="4068" spans="7:22" x14ac:dyDescent="0.25">
      <c r="G4068">
        <f>Data!A4081</f>
        <v>0</v>
      </c>
      <c r="H4068" s="21">
        <f>Data!B4081</f>
        <v>0</v>
      </c>
      <c r="I4068" s="21">
        <f>Data!C4081</f>
        <v>0</v>
      </c>
      <c r="J4068">
        <f>Data!D4081</f>
        <v>0</v>
      </c>
      <c r="K4068">
        <f>Data!E4081</f>
        <v>0</v>
      </c>
      <c r="L4068">
        <f>Data!F4081</f>
        <v>0</v>
      </c>
      <c r="M4068">
        <f>Data!G4081</f>
        <v>0</v>
      </c>
      <c r="N4068">
        <f>Data!H4081</f>
        <v>0</v>
      </c>
      <c r="O4068">
        <f>Data!I4081</f>
        <v>0</v>
      </c>
      <c r="P4068" s="21">
        <f>Data!J4085</f>
        <v>0</v>
      </c>
      <c r="Q4068">
        <f>Data!K4085</f>
        <v>0</v>
      </c>
      <c r="R4068">
        <f>Data!L4085</f>
        <v>0</v>
      </c>
      <c r="S4068">
        <f>Data!M4085</f>
        <v>0</v>
      </c>
      <c r="T4068">
        <f>Data!N4085</f>
        <v>0</v>
      </c>
      <c r="U4068">
        <f>Data!O4085</f>
        <v>0</v>
      </c>
      <c r="V4068" s="33">
        <f>Data!P4083</f>
        <v>0</v>
      </c>
    </row>
    <row r="4069" spans="7:22" x14ac:dyDescent="0.25">
      <c r="G4069">
        <f>Data!A4082</f>
        <v>0</v>
      </c>
      <c r="H4069" s="21">
        <f>Data!B4082</f>
        <v>0</v>
      </c>
      <c r="I4069" s="21">
        <f>Data!C4082</f>
        <v>0</v>
      </c>
      <c r="J4069">
        <f>Data!D4082</f>
        <v>0</v>
      </c>
      <c r="K4069">
        <f>Data!E4082</f>
        <v>0</v>
      </c>
      <c r="L4069">
        <f>Data!F4082</f>
        <v>0</v>
      </c>
      <c r="M4069">
        <f>Data!G4082</f>
        <v>0</v>
      </c>
      <c r="N4069">
        <f>Data!H4082</f>
        <v>0</v>
      </c>
      <c r="O4069">
        <f>Data!I4082</f>
        <v>0</v>
      </c>
      <c r="P4069" s="21">
        <f>Data!J4086</f>
        <v>0</v>
      </c>
      <c r="Q4069">
        <f>Data!K4086</f>
        <v>0</v>
      </c>
      <c r="R4069">
        <f>Data!L4086</f>
        <v>0</v>
      </c>
      <c r="S4069">
        <f>Data!M4086</f>
        <v>0</v>
      </c>
      <c r="T4069">
        <f>Data!N4086</f>
        <v>0</v>
      </c>
      <c r="U4069">
        <f>Data!O4086</f>
        <v>0</v>
      </c>
      <c r="V4069" s="33">
        <f>Data!P4084</f>
        <v>0</v>
      </c>
    </row>
    <row r="4070" spans="7:22" x14ac:dyDescent="0.25">
      <c r="G4070">
        <f>Data!A4083</f>
        <v>0</v>
      </c>
      <c r="H4070" s="21">
        <f>Data!B4083</f>
        <v>0</v>
      </c>
      <c r="I4070" s="21">
        <f>Data!C4083</f>
        <v>0</v>
      </c>
      <c r="J4070">
        <f>Data!D4083</f>
        <v>0</v>
      </c>
      <c r="K4070">
        <f>Data!E4083</f>
        <v>0</v>
      </c>
      <c r="L4070">
        <f>Data!F4083</f>
        <v>0</v>
      </c>
      <c r="M4070">
        <f>Data!G4083</f>
        <v>0</v>
      </c>
      <c r="N4070">
        <f>Data!H4083</f>
        <v>0</v>
      </c>
      <c r="O4070">
        <f>Data!I4083</f>
        <v>0</v>
      </c>
      <c r="P4070" s="21">
        <f>Data!J4087</f>
        <v>0</v>
      </c>
      <c r="Q4070">
        <f>Data!K4087</f>
        <v>0</v>
      </c>
      <c r="R4070">
        <f>Data!L4087</f>
        <v>0</v>
      </c>
      <c r="S4070">
        <f>Data!M4087</f>
        <v>0</v>
      </c>
      <c r="T4070">
        <f>Data!N4087</f>
        <v>0</v>
      </c>
      <c r="U4070">
        <f>Data!O4087</f>
        <v>0</v>
      </c>
      <c r="V4070" s="33">
        <f>Data!P4085</f>
        <v>0</v>
      </c>
    </row>
    <row r="4071" spans="7:22" x14ac:dyDescent="0.25">
      <c r="G4071">
        <f>Data!A4084</f>
        <v>0</v>
      </c>
      <c r="H4071" s="21">
        <f>Data!B4084</f>
        <v>0</v>
      </c>
      <c r="I4071" s="21">
        <f>Data!C4084</f>
        <v>0</v>
      </c>
      <c r="J4071">
        <f>Data!D4084</f>
        <v>0</v>
      </c>
      <c r="K4071">
        <f>Data!E4084</f>
        <v>0</v>
      </c>
      <c r="L4071">
        <f>Data!F4084</f>
        <v>0</v>
      </c>
      <c r="M4071">
        <f>Data!G4084</f>
        <v>0</v>
      </c>
      <c r="N4071">
        <f>Data!H4084</f>
        <v>0</v>
      </c>
      <c r="O4071">
        <f>Data!I4084</f>
        <v>0</v>
      </c>
      <c r="P4071" s="21">
        <f>Data!J4088</f>
        <v>0</v>
      </c>
      <c r="Q4071">
        <f>Data!K4088</f>
        <v>0</v>
      </c>
      <c r="R4071">
        <f>Data!L4088</f>
        <v>0</v>
      </c>
      <c r="S4071">
        <f>Data!M4088</f>
        <v>0</v>
      </c>
      <c r="T4071">
        <f>Data!N4088</f>
        <v>0</v>
      </c>
      <c r="U4071">
        <f>Data!O4088</f>
        <v>0</v>
      </c>
      <c r="V4071" s="33">
        <f>Data!P4086</f>
        <v>0</v>
      </c>
    </row>
    <row r="4072" spans="7:22" x14ac:dyDescent="0.25">
      <c r="G4072">
        <f>Data!A4085</f>
        <v>0</v>
      </c>
      <c r="H4072" s="21">
        <f>Data!B4085</f>
        <v>0</v>
      </c>
      <c r="I4072" s="21">
        <f>Data!C4085</f>
        <v>0</v>
      </c>
      <c r="J4072">
        <f>Data!D4085</f>
        <v>0</v>
      </c>
      <c r="K4072">
        <f>Data!E4085</f>
        <v>0</v>
      </c>
      <c r="L4072">
        <f>Data!F4085</f>
        <v>0</v>
      </c>
      <c r="M4072">
        <f>Data!G4085</f>
        <v>0</v>
      </c>
      <c r="N4072">
        <f>Data!H4085</f>
        <v>0</v>
      </c>
      <c r="O4072">
        <f>Data!I4085</f>
        <v>0</v>
      </c>
      <c r="P4072" s="21">
        <f>Data!J4089</f>
        <v>0</v>
      </c>
      <c r="Q4072">
        <f>Data!K4089</f>
        <v>0</v>
      </c>
      <c r="R4072">
        <f>Data!L4089</f>
        <v>0</v>
      </c>
      <c r="S4072">
        <f>Data!M4089</f>
        <v>0</v>
      </c>
      <c r="T4072">
        <f>Data!N4089</f>
        <v>0</v>
      </c>
      <c r="U4072">
        <f>Data!O4089</f>
        <v>0</v>
      </c>
      <c r="V4072" s="33">
        <f>Data!P4087</f>
        <v>0</v>
      </c>
    </row>
    <row r="4073" spans="7:22" x14ac:dyDescent="0.25">
      <c r="G4073">
        <f>Data!A4086</f>
        <v>0</v>
      </c>
      <c r="H4073" s="21">
        <f>Data!B4086</f>
        <v>0</v>
      </c>
      <c r="I4073" s="21">
        <f>Data!C4086</f>
        <v>0</v>
      </c>
      <c r="J4073">
        <f>Data!D4086</f>
        <v>0</v>
      </c>
      <c r="K4073">
        <f>Data!E4086</f>
        <v>0</v>
      </c>
      <c r="L4073">
        <f>Data!F4086</f>
        <v>0</v>
      </c>
      <c r="M4073">
        <f>Data!G4086</f>
        <v>0</v>
      </c>
      <c r="N4073">
        <f>Data!H4086</f>
        <v>0</v>
      </c>
      <c r="O4073">
        <f>Data!I4086</f>
        <v>0</v>
      </c>
      <c r="P4073" s="21">
        <f>Data!J4090</f>
        <v>0</v>
      </c>
      <c r="Q4073">
        <f>Data!K4090</f>
        <v>0</v>
      </c>
      <c r="R4073">
        <f>Data!L4090</f>
        <v>0</v>
      </c>
      <c r="S4073">
        <f>Data!M4090</f>
        <v>0</v>
      </c>
      <c r="T4073">
        <f>Data!N4090</f>
        <v>0</v>
      </c>
      <c r="U4073">
        <f>Data!O4090</f>
        <v>0</v>
      </c>
      <c r="V4073" s="33">
        <f>Data!P4088</f>
        <v>0</v>
      </c>
    </row>
    <row r="4074" spans="7:22" x14ac:dyDescent="0.25">
      <c r="G4074">
        <f>Data!A4087</f>
        <v>0</v>
      </c>
      <c r="H4074" s="21">
        <f>Data!B4087</f>
        <v>0</v>
      </c>
      <c r="I4074" s="21">
        <f>Data!C4087</f>
        <v>0</v>
      </c>
      <c r="J4074">
        <f>Data!D4087</f>
        <v>0</v>
      </c>
      <c r="K4074">
        <f>Data!E4087</f>
        <v>0</v>
      </c>
      <c r="L4074">
        <f>Data!F4087</f>
        <v>0</v>
      </c>
      <c r="M4074">
        <f>Data!G4087</f>
        <v>0</v>
      </c>
      <c r="N4074">
        <f>Data!H4087</f>
        <v>0</v>
      </c>
      <c r="O4074">
        <f>Data!I4087</f>
        <v>0</v>
      </c>
      <c r="P4074" s="21">
        <f>Data!J4091</f>
        <v>0</v>
      </c>
      <c r="Q4074">
        <f>Data!K4091</f>
        <v>0</v>
      </c>
      <c r="R4074">
        <f>Data!L4091</f>
        <v>0</v>
      </c>
      <c r="S4074">
        <f>Data!M4091</f>
        <v>0</v>
      </c>
      <c r="T4074">
        <f>Data!N4091</f>
        <v>0</v>
      </c>
      <c r="U4074">
        <f>Data!O4091</f>
        <v>0</v>
      </c>
      <c r="V4074" s="33">
        <f>Data!P4089</f>
        <v>0</v>
      </c>
    </row>
    <row r="4075" spans="7:22" x14ac:dyDescent="0.25">
      <c r="G4075">
        <f>Data!A4088</f>
        <v>0</v>
      </c>
      <c r="H4075" s="21">
        <f>Data!B4088</f>
        <v>0</v>
      </c>
      <c r="I4075" s="21">
        <f>Data!C4088</f>
        <v>0</v>
      </c>
      <c r="J4075">
        <f>Data!D4088</f>
        <v>0</v>
      </c>
      <c r="K4075">
        <f>Data!E4088</f>
        <v>0</v>
      </c>
      <c r="L4075">
        <f>Data!F4088</f>
        <v>0</v>
      </c>
      <c r="M4075">
        <f>Data!G4088</f>
        <v>0</v>
      </c>
      <c r="N4075">
        <f>Data!H4088</f>
        <v>0</v>
      </c>
      <c r="O4075">
        <f>Data!I4088</f>
        <v>0</v>
      </c>
      <c r="P4075" s="21">
        <f>Data!J4092</f>
        <v>0</v>
      </c>
      <c r="Q4075">
        <f>Data!K4092</f>
        <v>0</v>
      </c>
      <c r="R4075">
        <f>Data!L4092</f>
        <v>0</v>
      </c>
      <c r="S4075">
        <f>Data!M4092</f>
        <v>0</v>
      </c>
      <c r="T4075">
        <f>Data!N4092</f>
        <v>0</v>
      </c>
      <c r="U4075">
        <f>Data!O4092</f>
        <v>0</v>
      </c>
      <c r="V4075" s="33">
        <f>Data!P4090</f>
        <v>0</v>
      </c>
    </row>
    <row r="4076" spans="7:22" x14ac:dyDescent="0.25">
      <c r="G4076">
        <f>Data!A4089</f>
        <v>0</v>
      </c>
      <c r="H4076" s="21">
        <f>Data!B4089</f>
        <v>0</v>
      </c>
      <c r="I4076" s="21">
        <f>Data!C4089</f>
        <v>0</v>
      </c>
      <c r="J4076">
        <f>Data!D4089</f>
        <v>0</v>
      </c>
      <c r="K4076">
        <f>Data!E4089</f>
        <v>0</v>
      </c>
      <c r="L4076">
        <f>Data!F4089</f>
        <v>0</v>
      </c>
      <c r="M4076">
        <f>Data!G4089</f>
        <v>0</v>
      </c>
      <c r="N4076">
        <f>Data!H4089</f>
        <v>0</v>
      </c>
      <c r="O4076">
        <f>Data!I4089</f>
        <v>0</v>
      </c>
      <c r="P4076" s="21">
        <f>Data!J4093</f>
        <v>0</v>
      </c>
      <c r="Q4076">
        <f>Data!K4093</f>
        <v>0</v>
      </c>
      <c r="R4076">
        <f>Data!L4093</f>
        <v>0</v>
      </c>
      <c r="S4076">
        <f>Data!M4093</f>
        <v>0</v>
      </c>
      <c r="T4076">
        <f>Data!N4093</f>
        <v>0</v>
      </c>
      <c r="U4076">
        <f>Data!O4093</f>
        <v>0</v>
      </c>
      <c r="V4076" s="33">
        <f>Data!P4091</f>
        <v>0</v>
      </c>
    </row>
    <row r="4077" spans="7:22" x14ac:dyDescent="0.25">
      <c r="G4077">
        <f>Data!A4090</f>
        <v>0</v>
      </c>
      <c r="H4077" s="21">
        <f>Data!B4090</f>
        <v>0</v>
      </c>
      <c r="I4077" s="21">
        <f>Data!C4090</f>
        <v>0</v>
      </c>
      <c r="J4077">
        <f>Data!D4090</f>
        <v>0</v>
      </c>
      <c r="K4077">
        <f>Data!E4090</f>
        <v>0</v>
      </c>
      <c r="L4077">
        <f>Data!F4090</f>
        <v>0</v>
      </c>
      <c r="M4077">
        <f>Data!G4090</f>
        <v>0</v>
      </c>
      <c r="N4077">
        <f>Data!H4090</f>
        <v>0</v>
      </c>
      <c r="O4077">
        <f>Data!I4090</f>
        <v>0</v>
      </c>
      <c r="P4077" s="21">
        <f>Data!J4094</f>
        <v>0</v>
      </c>
      <c r="Q4077">
        <f>Data!K4094</f>
        <v>0</v>
      </c>
      <c r="R4077">
        <f>Data!L4094</f>
        <v>0</v>
      </c>
      <c r="S4077">
        <f>Data!M4094</f>
        <v>0</v>
      </c>
      <c r="T4077">
        <f>Data!N4094</f>
        <v>0</v>
      </c>
      <c r="U4077">
        <f>Data!O4094</f>
        <v>0</v>
      </c>
      <c r="V4077" s="33">
        <f>Data!P4092</f>
        <v>0</v>
      </c>
    </row>
    <row r="4078" spans="7:22" x14ac:dyDescent="0.25">
      <c r="G4078">
        <f>Data!A4091</f>
        <v>0</v>
      </c>
      <c r="H4078" s="21">
        <f>Data!B4091</f>
        <v>0</v>
      </c>
      <c r="I4078" s="21">
        <f>Data!C4091</f>
        <v>0</v>
      </c>
      <c r="J4078">
        <f>Data!D4091</f>
        <v>0</v>
      </c>
      <c r="K4078">
        <f>Data!E4091</f>
        <v>0</v>
      </c>
      <c r="L4078">
        <f>Data!F4091</f>
        <v>0</v>
      </c>
      <c r="M4078">
        <f>Data!G4091</f>
        <v>0</v>
      </c>
      <c r="N4078">
        <f>Data!H4091</f>
        <v>0</v>
      </c>
      <c r="O4078">
        <f>Data!I4091</f>
        <v>0</v>
      </c>
      <c r="P4078" s="21">
        <f>Data!J4095</f>
        <v>0</v>
      </c>
      <c r="Q4078">
        <f>Data!K4095</f>
        <v>0</v>
      </c>
      <c r="R4078">
        <f>Data!L4095</f>
        <v>0</v>
      </c>
      <c r="S4078">
        <f>Data!M4095</f>
        <v>0</v>
      </c>
      <c r="T4078">
        <f>Data!N4095</f>
        <v>0</v>
      </c>
      <c r="U4078">
        <f>Data!O4095</f>
        <v>0</v>
      </c>
      <c r="V4078" s="33">
        <f>Data!P4093</f>
        <v>0</v>
      </c>
    </row>
    <row r="4079" spans="7:22" x14ac:dyDescent="0.25">
      <c r="G4079">
        <f>Data!A4092</f>
        <v>0</v>
      </c>
      <c r="H4079" s="21">
        <f>Data!B4092</f>
        <v>0</v>
      </c>
      <c r="I4079" s="21">
        <f>Data!C4092</f>
        <v>0</v>
      </c>
      <c r="J4079">
        <f>Data!D4092</f>
        <v>0</v>
      </c>
      <c r="K4079">
        <f>Data!E4092</f>
        <v>0</v>
      </c>
      <c r="L4079">
        <f>Data!F4092</f>
        <v>0</v>
      </c>
      <c r="M4079">
        <f>Data!G4092</f>
        <v>0</v>
      </c>
      <c r="N4079">
        <f>Data!H4092</f>
        <v>0</v>
      </c>
      <c r="O4079">
        <f>Data!I4092</f>
        <v>0</v>
      </c>
      <c r="P4079" s="21">
        <f>Data!J4096</f>
        <v>0</v>
      </c>
      <c r="Q4079">
        <f>Data!K4096</f>
        <v>0</v>
      </c>
      <c r="R4079">
        <f>Data!L4096</f>
        <v>0</v>
      </c>
      <c r="S4079">
        <f>Data!M4096</f>
        <v>0</v>
      </c>
      <c r="T4079">
        <f>Data!N4096</f>
        <v>0</v>
      </c>
      <c r="U4079">
        <f>Data!O4096</f>
        <v>0</v>
      </c>
      <c r="V4079" s="33">
        <f>Data!P4094</f>
        <v>0</v>
      </c>
    </row>
    <row r="4080" spans="7:22" x14ac:dyDescent="0.25">
      <c r="G4080">
        <f>Data!A4093</f>
        <v>0</v>
      </c>
      <c r="H4080" s="21">
        <f>Data!B4093</f>
        <v>0</v>
      </c>
      <c r="I4080" s="21">
        <f>Data!C4093</f>
        <v>0</v>
      </c>
      <c r="J4080">
        <f>Data!D4093</f>
        <v>0</v>
      </c>
      <c r="K4080">
        <f>Data!E4093</f>
        <v>0</v>
      </c>
      <c r="L4080">
        <f>Data!F4093</f>
        <v>0</v>
      </c>
      <c r="M4080">
        <f>Data!G4093</f>
        <v>0</v>
      </c>
      <c r="N4080">
        <f>Data!H4093</f>
        <v>0</v>
      </c>
      <c r="O4080">
        <f>Data!I4093</f>
        <v>0</v>
      </c>
      <c r="P4080" s="21">
        <f>Data!J4097</f>
        <v>0</v>
      </c>
      <c r="Q4080">
        <f>Data!K4097</f>
        <v>0</v>
      </c>
      <c r="R4080">
        <f>Data!L4097</f>
        <v>0</v>
      </c>
      <c r="S4080">
        <f>Data!M4097</f>
        <v>0</v>
      </c>
      <c r="T4080">
        <f>Data!N4097</f>
        <v>0</v>
      </c>
      <c r="U4080">
        <f>Data!O4097</f>
        <v>0</v>
      </c>
      <c r="V4080" s="33">
        <f>Data!P4095</f>
        <v>0</v>
      </c>
    </row>
    <row r="4081" spans="7:22" x14ac:dyDescent="0.25">
      <c r="G4081">
        <f>Data!A4094</f>
        <v>0</v>
      </c>
      <c r="H4081" s="21">
        <f>Data!B4094</f>
        <v>0</v>
      </c>
      <c r="I4081" s="21">
        <f>Data!C4094</f>
        <v>0</v>
      </c>
      <c r="J4081">
        <f>Data!D4094</f>
        <v>0</v>
      </c>
      <c r="K4081">
        <f>Data!E4094</f>
        <v>0</v>
      </c>
      <c r="L4081">
        <f>Data!F4094</f>
        <v>0</v>
      </c>
      <c r="M4081">
        <f>Data!G4094</f>
        <v>0</v>
      </c>
      <c r="N4081">
        <f>Data!H4094</f>
        <v>0</v>
      </c>
      <c r="O4081">
        <f>Data!I4094</f>
        <v>0</v>
      </c>
      <c r="P4081" s="21">
        <f>Data!J4098</f>
        <v>0</v>
      </c>
      <c r="Q4081">
        <f>Data!K4098</f>
        <v>0</v>
      </c>
      <c r="R4081">
        <f>Data!L4098</f>
        <v>0</v>
      </c>
      <c r="S4081">
        <f>Data!M4098</f>
        <v>0</v>
      </c>
      <c r="T4081">
        <f>Data!N4098</f>
        <v>0</v>
      </c>
      <c r="U4081">
        <f>Data!O4098</f>
        <v>0</v>
      </c>
      <c r="V4081" s="33">
        <f>Data!P4096</f>
        <v>0</v>
      </c>
    </row>
    <row r="4082" spans="7:22" x14ac:dyDescent="0.25">
      <c r="G4082">
        <f>Data!A4095</f>
        <v>0</v>
      </c>
      <c r="H4082" s="21">
        <f>Data!B4095</f>
        <v>0</v>
      </c>
      <c r="I4082" s="21">
        <f>Data!C4095</f>
        <v>0</v>
      </c>
      <c r="J4082">
        <f>Data!D4095</f>
        <v>0</v>
      </c>
      <c r="K4082">
        <f>Data!E4095</f>
        <v>0</v>
      </c>
      <c r="L4082">
        <f>Data!F4095</f>
        <v>0</v>
      </c>
      <c r="M4082">
        <f>Data!G4095</f>
        <v>0</v>
      </c>
      <c r="N4082">
        <f>Data!H4095</f>
        <v>0</v>
      </c>
      <c r="O4082">
        <f>Data!I4095</f>
        <v>0</v>
      </c>
      <c r="P4082" s="21">
        <f>Data!J4099</f>
        <v>0</v>
      </c>
      <c r="Q4082">
        <f>Data!K4099</f>
        <v>0</v>
      </c>
      <c r="R4082">
        <f>Data!L4099</f>
        <v>0</v>
      </c>
      <c r="S4082">
        <f>Data!M4099</f>
        <v>0</v>
      </c>
      <c r="T4082">
        <f>Data!N4099</f>
        <v>0</v>
      </c>
      <c r="U4082">
        <f>Data!O4099</f>
        <v>0</v>
      </c>
      <c r="V4082" s="33">
        <f>Data!P4097</f>
        <v>0</v>
      </c>
    </row>
    <row r="4083" spans="7:22" x14ac:dyDescent="0.25">
      <c r="G4083">
        <f>Data!A4096</f>
        <v>0</v>
      </c>
      <c r="H4083" s="21">
        <f>Data!B4096</f>
        <v>0</v>
      </c>
      <c r="I4083" s="21">
        <f>Data!C4096</f>
        <v>0</v>
      </c>
      <c r="J4083">
        <f>Data!D4096</f>
        <v>0</v>
      </c>
      <c r="K4083">
        <f>Data!E4096</f>
        <v>0</v>
      </c>
      <c r="L4083">
        <f>Data!F4096</f>
        <v>0</v>
      </c>
      <c r="M4083">
        <f>Data!G4096</f>
        <v>0</v>
      </c>
      <c r="N4083">
        <f>Data!H4096</f>
        <v>0</v>
      </c>
      <c r="O4083">
        <f>Data!I4096</f>
        <v>0</v>
      </c>
      <c r="P4083" s="21">
        <f>Data!J4100</f>
        <v>0</v>
      </c>
      <c r="Q4083">
        <f>Data!K4100</f>
        <v>0</v>
      </c>
      <c r="R4083">
        <f>Data!L4100</f>
        <v>0</v>
      </c>
      <c r="S4083">
        <f>Data!M4100</f>
        <v>0</v>
      </c>
      <c r="T4083">
        <f>Data!N4100</f>
        <v>0</v>
      </c>
      <c r="U4083">
        <f>Data!O4100</f>
        <v>0</v>
      </c>
      <c r="V4083" s="33">
        <f>Data!P4098</f>
        <v>0</v>
      </c>
    </row>
    <row r="4084" spans="7:22" x14ac:dyDescent="0.25">
      <c r="G4084">
        <f>Data!A4097</f>
        <v>0</v>
      </c>
      <c r="H4084" s="21">
        <f>Data!B4097</f>
        <v>0</v>
      </c>
      <c r="I4084" s="21">
        <f>Data!C4097</f>
        <v>0</v>
      </c>
      <c r="J4084">
        <f>Data!D4097</f>
        <v>0</v>
      </c>
      <c r="K4084">
        <f>Data!E4097</f>
        <v>0</v>
      </c>
      <c r="L4084">
        <f>Data!F4097</f>
        <v>0</v>
      </c>
      <c r="M4084">
        <f>Data!G4097</f>
        <v>0</v>
      </c>
      <c r="N4084">
        <f>Data!H4097</f>
        <v>0</v>
      </c>
      <c r="O4084">
        <f>Data!I4097</f>
        <v>0</v>
      </c>
      <c r="P4084" s="21">
        <f>Data!J4101</f>
        <v>0</v>
      </c>
      <c r="Q4084">
        <f>Data!K4101</f>
        <v>0</v>
      </c>
      <c r="R4084">
        <f>Data!L4101</f>
        <v>0</v>
      </c>
      <c r="S4084">
        <f>Data!M4101</f>
        <v>0</v>
      </c>
      <c r="T4084">
        <f>Data!N4101</f>
        <v>0</v>
      </c>
      <c r="U4084">
        <f>Data!O4101</f>
        <v>0</v>
      </c>
      <c r="V4084" s="33">
        <f>Data!P4099</f>
        <v>0</v>
      </c>
    </row>
    <row r="4085" spans="7:22" x14ac:dyDescent="0.25">
      <c r="G4085">
        <f>Data!A4098</f>
        <v>0</v>
      </c>
      <c r="H4085" s="21">
        <f>Data!B4098</f>
        <v>0</v>
      </c>
      <c r="I4085" s="21">
        <f>Data!C4098</f>
        <v>0</v>
      </c>
      <c r="J4085">
        <f>Data!D4098</f>
        <v>0</v>
      </c>
      <c r="K4085">
        <f>Data!E4098</f>
        <v>0</v>
      </c>
      <c r="L4085">
        <f>Data!F4098</f>
        <v>0</v>
      </c>
      <c r="M4085">
        <f>Data!G4098</f>
        <v>0</v>
      </c>
      <c r="N4085">
        <f>Data!H4098</f>
        <v>0</v>
      </c>
      <c r="O4085">
        <f>Data!I4098</f>
        <v>0</v>
      </c>
      <c r="P4085" s="21">
        <f>Data!J4102</f>
        <v>0</v>
      </c>
      <c r="Q4085">
        <f>Data!K4102</f>
        <v>0</v>
      </c>
      <c r="R4085">
        <f>Data!L4102</f>
        <v>0</v>
      </c>
      <c r="S4085">
        <f>Data!M4102</f>
        <v>0</v>
      </c>
      <c r="T4085">
        <f>Data!N4102</f>
        <v>0</v>
      </c>
      <c r="U4085">
        <f>Data!O4102</f>
        <v>0</v>
      </c>
      <c r="V4085" s="33">
        <f>Data!P4100</f>
        <v>0</v>
      </c>
    </row>
    <row r="4086" spans="7:22" x14ac:dyDescent="0.25">
      <c r="G4086">
        <f>Data!A4099</f>
        <v>0</v>
      </c>
      <c r="H4086" s="21">
        <f>Data!B4099</f>
        <v>0</v>
      </c>
      <c r="I4086" s="21">
        <f>Data!C4099</f>
        <v>0</v>
      </c>
      <c r="J4086">
        <f>Data!D4099</f>
        <v>0</v>
      </c>
      <c r="K4086">
        <f>Data!E4099</f>
        <v>0</v>
      </c>
      <c r="L4086">
        <f>Data!F4099</f>
        <v>0</v>
      </c>
      <c r="M4086">
        <f>Data!G4099</f>
        <v>0</v>
      </c>
      <c r="N4086">
        <f>Data!H4099</f>
        <v>0</v>
      </c>
      <c r="O4086">
        <f>Data!I4099</f>
        <v>0</v>
      </c>
      <c r="P4086" s="21">
        <f>Data!J4103</f>
        <v>0</v>
      </c>
      <c r="Q4086">
        <f>Data!K4103</f>
        <v>0</v>
      </c>
      <c r="R4086">
        <f>Data!L4103</f>
        <v>0</v>
      </c>
      <c r="S4086">
        <f>Data!M4103</f>
        <v>0</v>
      </c>
      <c r="T4086">
        <f>Data!N4103</f>
        <v>0</v>
      </c>
      <c r="U4086">
        <f>Data!O4103</f>
        <v>0</v>
      </c>
      <c r="V4086" s="33">
        <f>Data!P4101</f>
        <v>0</v>
      </c>
    </row>
    <row r="4087" spans="7:22" x14ac:dyDescent="0.25">
      <c r="G4087">
        <f>Data!A4100</f>
        <v>0</v>
      </c>
      <c r="H4087" s="21">
        <f>Data!B4100</f>
        <v>0</v>
      </c>
      <c r="I4087" s="21">
        <f>Data!C4100</f>
        <v>0</v>
      </c>
      <c r="J4087">
        <f>Data!D4100</f>
        <v>0</v>
      </c>
      <c r="K4087">
        <f>Data!E4100</f>
        <v>0</v>
      </c>
      <c r="L4087">
        <f>Data!F4100</f>
        <v>0</v>
      </c>
      <c r="M4087">
        <f>Data!G4100</f>
        <v>0</v>
      </c>
      <c r="N4087">
        <f>Data!H4100</f>
        <v>0</v>
      </c>
      <c r="O4087">
        <f>Data!I4100</f>
        <v>0</v>
      </c>
      <c r="P4087" s="21">
        <f>Data!J4104</f>
        <v>0</v>
      </c>
      <c r="Q4087">
        <f>Data!K4104</f>
        <v>0</v>
      </c>
      <c r="R4087">
        <f>Data!L4104</f>
        <v>0</v>
      </c>
      <c r="S4087">
        <f>Data!M4104</f>
        <v>0</v>
      </c>
      <c r="T4087">
        <f>Data!N4104</f>
        <v>0</v>
      </c>
      <c r="U4087">
        <f>Data!O4104</f>
        <v>0</v>
      </c>
      <c r="V4087" s="33">
        <f>Data!P4102</f>
        <v>0</v>
      </c>
    </row>
    <row r="4088" spans="7:22" x14ac:dyDescent="0.25">
      <c r="G4088">
        <f>Data!A4101</f>
        <v>0</v>
      </c>
      <c r="H4088" s="21">
        <f>Data!B4101</f>
        <v>0</v>
      </c>
      <c r="I4088" s="21">
        <f>Data!C4101</f>
        <v>0</v>
      </c>
      <c r="J4088">
        <f>Data!D4101</f>
        <v>0</v>
      </c>
      <c r="K4088">
        <f>Data!E4101</f>
        <v>0</v>
      </c>
      <c r="L4088">
        <f>Data!F4101</f>
        <v>0</v>
      </c>
      <c r="M4088">
        <f>Data!G4101</f>
        <v>0</v>
      </c>
      <c r="N4088">
        <f>Data!H4101</f>
        <v>0</v>
      </c>
      <c r="O4088">
        <f>Data!I4101</f>
        <v>0</v>
      </c>
      <c r="P4088" s="21">
        <f>Data!J4105</f>
        <v>0</v>
      </c>
      <c r="Q4088">
        <f>Data!K4105</f>
        <v>0</v>
      </c>
      <c r="R4088">
        <f>Data!L4105</f>
        <v>0</v>
      </c>
      <c r="S4088">
        <f>Data!M4105</f>
        <v>0</v>
      </c>
      <c r="T4088">
        <f>Data!N4105</f>
        <v>0</v>
      </c>
      <c r="U4088">
        <f>Data!O4105</f>
        <v>0</v>
      </c>
      <c r="V4088" s="33">
        <f>Data!P4103</f>
        <v>0</v>
      </c>
    </row>
    <row r="4089" spans="7:22" x14ac:dyDescent="0.25">
      <c r="G4089">
        <f>Data!A4102</f>
        <v>0</v>
      </c>
      <c r="H4089" s="21">
        <f>Data!B4102</f>
        <v>0</v>
      </c>
      <c r="I4089" s="21">
        <f>Data!C4102</f>
        <v>0</v>
      </c>
      <c r="J4089">
        <f>Data!D4102</f>
        <v>0</v>
      </c>
      <c r="K4089">
        <f>Data!E4102</f>
        <v>0</v>
      </c>
      <c r="L4089">
        <f>Data!F4102</f>
        <v>0</v>
      </c>
      <c r="M4089">
        <f>Data!G4102</f>
        <v>0</v>
      </c>
      <c r="N4089">
        <f>Data!H4102</f>
        <v>0</v>
      </c>
      <c r="O4089">
        <f>Data!I4102</f>
        <v>0</v>
      </c>
      <c r="P4089" s="21">
        <f>Data!J4106</f>
        <v>0</v>
      </c>
      <c r="Q4089">
        <f>Data!K4106</f>
        <v>0</v>
      </c>
      <c r="R4089">
        <f>Data!L4106</f>
        <v>0</v>
      </c>
      <c r="S4089">
        <f>Data!M4106</f>
        <v>0</v>
      </c>
      <c r="T4089">
        <f>Data!N4106</f>
        <v>0</v>
      </c>
      <c r="U4089">
        <f>Data!O4106</f>
        <v>0</v>
      </c>
      <c r="V4089" s="33">
        <f>Data!P4104</f>
        <v>0</v>
      </c>
    </row>
    <row r="4090" spans="7:22" x14ac:dyDescent="0.25">
      <c r="G4090">
        <f>Data!A4103</f>
        <v>0</v>
      </c>
      <c r="H4090" s="21">
        <f>Data!B4103</f>
        <v>0</v>
      </c>
      <c r="I4090" s="21">
        <f>Data!C4103</f>
        <v>0</v>
      </c>
      <c r="J4090">
        <f>Data!D4103</f>
        <v>0</v>
      </c>
      <c r="K4090">
        <f>Data!E4103</f>
        <v>0</v>
      </c>
      <c r="L4090">
        <f>Data!F4103</f>
        <v>0</v>
      </c>
      <c r="M4090">
        <f>Data!G4103</f>
        <v>0</v>
      </c>
      <c r="N4090">
        <f>Data!H4103</f>
        <v>0</v>
      </c>
      <c r="O4090">
        <f>Data!I4103</f>
        <v>0</v>
      </c>
      <c r="P4090" s="21">
        <f>Data!J4107</f>
        <v>0</v>
      </c>
      <c r="Q4090">
        <f>Data!K4107</f>
        <v>0</v>
      </c>
      <c r="R4090">
        <f>Data!L4107</f>
        <v>0</v>
      </c>
      <c r="S4090">
        <f>Data!M4107</f>
        <v>0</v>
      </c>
      <c r="T4090">
        <f>Data!N4107</f>
        <v>0</v>
      </c>
      <c r="U4090">
        <f>Data!O4107</f>
        <v>0</v>
      </c>
      <c r="V4090" s="33">
        <f>Data!P4105</f>
        <v>0</v>
      </c>
    </row>
    <row r="4091" spans="7:22" x14ac:dyDescent="0.25">
      <c r="G4091">
        <f>Data!A4104</f>
        <v>0</v>
      </c>
      <c r="H4091" s="21">
        <f>Data!B4104</f>
        <v>0</v>
      </c>
      <c r="I4091" s="21">
        <f>Data!C4104</f>
        <v>0</v>
      </c>
      <c r="J4091">
        <f>Data!D4104</f>
        <v>0</v>
      </c>
      <c r="K4091">
        <f>Data!E4104</f>
        <v>0</v>
      </c>
      <c r="L4091">
        <f>Data!F4104</f>
        <v>0</v>
      </c>
      <c r="M4091">
        <f>Data!G4104</f>
        <v>0</v>
      </c>
      <c r="N4091">
        <f>Data!H4104</f>
        <v>0</v>
      </c>
      <c r="O4091">
        <f>Data!I4104</f>
        <v>0</v>
      </c>
      <c r="P4091" s="21">
        <f>Data!J4108</f>
        <v>0</v>
      </c>
      <c r="Q4091">
        <f>Data!K4108</f>
        <v>0</v>
      </c>
      <c r="R4091">
        <f>Data!L4108</f>
        <v>0</v>
      </c>
      <c r="S4091">
        <f>Data!M4108</f>
        <v>0</v>
      </c>
      <c r="T4091">
        <f>Data!N4108</f>
        <v>0</v>
      </c>
      <c r="U4091">
        <f>Data!O4108</f>
        <v>0</v>
      </c>
      <c r="V4091" s="33">
        <f>Data!P4106</f>
        <v>0</v>
      </c>
    </row>
    <row r="4092" spans="7:22" x14ac:dyDescent="0.25">
      <c r="G4092">
        <f>Data!A4105</f>
        <v>0</v>
      </c>
      <c r="H4092" s="21">
        <f>Data!B4105</f>
        <v>0</v>
      </c>
      <c r="I4092" s="21">
        <f>Data!C4105</f>
        <v>0</v>
      </c>
      <c r="J4092">
        <f>Data!D4105</f>
        <v>0</v>
      </c>
      <c r="K4092">
        <f>Data!E4105</f>
        <v>0</v>
      </c>
      <c r="L4092">
        <f>Data!F4105</f>
        <v>0</v>
      </c>
      <c r="M4092">
        <f>Data!G4105</f>
        <v>0</v>
      </c>
      <c r="N4092">
        <f>Data!H4105</f>
        <v>0</v>
      </c>
      <c r="O4092">
        <f>Data!I4105</f>
        <v>0</v>
      </c>
      <c r="P4092" s="21">
        <f>Data!J4109</f>
        <v>0</v>
      </c>
      <c r="Q4092">
        <f>Data!K4109</f>
        <v>0</v>
      </c>
      <c r="R4092">
        <f>Data!L4109</f>
        <v>0</v>
      </c>
      <c r="S4092">
        <f>Data!M4109</f>
        <v>0</v>
      </c>
      <c r="T4092">
        <f>Data!N4109</f>
        <v>0</v>
      </c>
      <c r="U4092">
        <f>Data!O4109</f>
        <v>0</v>
      </c>
      <c r="V4092" s="33">
        <f>Data!P4107</f>
        <v>0</v>
      </c>
    </row>
    <row r="4093" spans="7:22" x14ac:dyDescent="0.25">
      <c r="G4093">
        <f>Data!A4106</f>
        <v>0</v>
      </c>
      <c r="H4093" s="21">
        <f>Data!B4106</f>
        <v>0</v>
      </c>
      <c r="I4093" s="21">
        <f>Data!C4106</f>
        <v>0</v>
      </c>
      <c r="J4093">
        <f>Data!D4106</f>
        <v>0</v>
      </c>
      <c r="K4093">
        <f>Data!E4106</f>
        <v>0</v>
      </c>
      <c r="L4093">
        <f>Data!F4106</f>
        <v>0</v>
      </c>
      <c r="M4093">
        <f>Data!G4106</f>
        <v>0</v>
      </c>
      <c r="N4093">
        <f>Data!H4106</f>
        <v>0</v>
      </c>
      <c r="O4093">
        <f>Data!I4106</f>
        <v>0</v>
      </c>
      <c r="P4093" s="21">
        <f>Data!J4110</f>
        <v>0</v>
      </c>
      <c r="Q4093">
        <f>Data!K4110</f>
        <v>0</v>
      </c>
      <c r="R4093">
        <f>Data!L4110</f>
        <v>0</v>
      </c>
      <c r="S4093">
        <f>Data!M4110</f>
        <v>0</v>
      </c>
      <c r="T4093">
        <f>Data!N4110</f>
        <v>0</v>
      </c>
      <c r="U4093">
        <f>Data!O4110</f>
        <v>0</v>
      </c>
      <c r="V4093" s="33">
        <f>Data!P4108</f>
        <v>0</v>
      </c>
    </row>
    <row r="4094" spans="7:22" x14ac:dyDescent="0.25">
      <c r="G4094">
        <f>Data!A4107</f>
        <v>0</v>
      </c>
      <c r="H4094" s="21">
        <f>Data!B4107</f>
        <v>0</v>
      </c>
      <c r="I4094" s="21">
        <f>Data!C4107</f>
        <v>0</v>
      </c>
      <c r="J4094">
        <f>Data!D4107</f>
        <v>0</v>
      </c>
      <c r="K4094">
        <f>Data!E4107</f>
        <v>0</v>
      </c>
      <c r="L4094">
        <f>Data!F4107</f>
        <v>0</v>
      </c>
      <c r="M4094">
        <f>Data!G4107</f>
        <v>0</v>
      </c>
      <c r="N4094">
        <f>Data!H4107</f>
        <v>0</v>
      </c>
      <c r="O4094">
        <f>Data!I4107</f>
        <v>0</v>
      </c>
      <c r="P4094" s="21">
        <f>Data!J4111</f>
        <v>0</v>
      </c>
      <c r="Q4094">
        <f>Data!K4111</f>
        <v>0</v>
      </c>
      <c r="R4094">
        <f>Data!L4111</f>
        <v>0</v>
      </c>
      <c r="S4094">
        <f>Data!M4111</f>
        <v>0</v>
      </c>
      <c r="T4094">
        <f>Data!N4111</f>
        <v>0</v>
      </c>
      <c r="U4094">
        <f>Data!O4111</f>
        <v>0</v>
      </c>
      <c r="V4094" s="33">
        <f>Data!P4109</f>
        <v>0</v>
      </c>
    </row>
    <row r="4095" spans="7:22" x14ac:dyDescent="0.25">
      <c r="G4095">
        <f>Data!A4108</f>
        <v>0</v>
      </c>
      <c r="H4095" s="21">
        <f>Data!B4108</f>
        <v>0</v>
      </c>
      <c r="I4095" s="21">
        <f>Data!C4108</f>
        <v>0</v>
      </c>
      <c r="J4095">
        <f>Data!D4108</f>
        <v>0</v>
      </c>
      <c r="K4095">
        <f>Data!E4108</f>
        <v>0</v>
      </c>
      <c r="L4095">
        <f>Data!F4108</f>
        <v>0</v>
      </c>
      <c r="M4095">
        <f>Data!G4108</f>
        <v>0</v>
      </c>
      <c r="N4095">
        <f>Data!H4108</f>
        <v>0</v>
      </c>
      <c r="O4095">
        <f>Data!I4108</f>
        <v>0</v>
      </c>
      <c r="P4095" s="21">
        <f>Data!J4112</f>
        <v>0</v>
      </c>
      <c r="Q4095">
        <f>Data!K4112</f>
        <v>0</v>
      </c>
      <c r="R4095">
        <f>Data!L4112</f>
        <v>0</v>
      </c>
      <c r="S4095">
        <f>Data!M4112</f>
        <v>0</v>
      </c>
      <c r="T4095">
        <f>Data!N4112</f>
        <v>0</v>
      </c>
      <c r="U4095">
        <f>Data!O4112</f>
        <v>0</v>
      </c>
      <c r="V4095" s="33">
        <f>Data!P4110</f>
        <v>0</v>
      </c>
    </row>
    <row r="4096" spans="7:22" x14ac:dyDescent="0.25">
      <c r="G4096">
        <f>Data!A4109</f>
        <v>0</v>
      </c>
      <c r="H4096" s="21">
        <f>Data!B4109</f>
        <v>0</v>
      </c>
      <c r="I4096" s="21">
        <f>Data!C4109</f>
        <v>0</v>
      </c>
      <c r="J4096">
        <f>Data!D4109</f>
        <v>0</v>
      </c>
      <c r="K4096">
        <f>Data!E4109</f>
        <v>0</v>
      </c>
      <c r="L4096">
        <f>Data!F4109</f>
        <v>0</v>
      </c>
      <c r="M4096">
        <f>Data!G4109</f>
        <v>0</v>
      </c>
      <c r="N4096">
        <f>Data!H4109</f>
        <v>0</v>
      </c>
      <c r="O4096">
        <f>Data!I4109</f>
        <v>0</v>
      </c>
      <c r="P4096" s="21">
        <f>Data!J4113</f>
        <v>0</v>
      </c>
      <c r="Q4096">
        <f>Data!K4113</f>
        <v>0</v>
      </c>
      <c r="R4096">
        <f>Data!L4113</f>
        <v>0</v>
      </c>
      <c r="S4096">
        <f>Data!M4113</f>
        <v>0</v>
      </c>
      <c r="T4096">
        <f>Data!N4113</f>
        <v>0</v>
      </c>
      <c r="U4096">
        <f>Data!O4113</f>
        <v>0</v>
      </c>
      <c r="V4096" s="33">
        <f>Data!P4111</f>
        <v>0</v>
      </c>
    </row>
    <row r="4097" spans="7:22" x14ac:dyDescent="0.25">
      <c r="G4097">
        <f>Data!A4110</f>
        <v>0</v>
      </c>
      <c r="H4097" s="21">
        <f>Data!B4110</f>
        <v>0</v>
      </c>
      <c r="I4097" s="21">
        <f>Data!C4110</f>
        <v>0</v>
      </c>
      <c r="J4097">
        <f>Data!D4110</f>
        <v>0</v>
      </c>
      <c r="K4097">
        <f>Data!E4110</f>
        <v>0</v>
      </c>
      <c r="L4097">
        <f>Data!F4110</f>
        <v>0</v>
      </c>
      <c r="M4097">
        <f>Data!G4110</f>
        <v>0</v>
      </c>
      <c r="N4097">
        <f>Data!H4110</f>
        <v>0</v>
      </c>
      <c r="O4097">
        <f>Data!I4110</f>
        <v>0</v>
      </c>
      <c r="P4097" s="21">
        <f>Data!J4114</f>
        <v>0</v>
      </c>
      <c r="Q4097">
        <f>Data!K4114</f>
        <v>0</v>
      </c>
      <c r="R4097">
        <f>Data!L4114</f>
        <v>0</v>
      </c>
      <c r="S4097">
        <f>Data!M4114</f>
        <v>0</v>
      </c>
      <c r="T4097">
        <f>Data!N4114</f>
        <v>0</v>
      </c>
      <c r="U4097">
        <f>Data!O4114</f>
        <v>0</v>
      </c>
      <c r="V4097" s="33">
        <f>Data!P4112</f>
        <v>0</v>
      </c>
    </row>
    <row r="4098" spans="7:22" x14ac:dyDescent="0.25">
      <c r="G4098">
        <f>Data!A4111</f>
        <v>0</v>
      </c>
      <c r="H4098" s="21">
        <f>Data!B4111</f>
        <v>0</v>
      </c>
      <c r="I4098" s="21">
        <f>Data!C4111</f>
        <v>0</v>
      </c>
      <c r="J4098">
        <f>Data!D4111</f>
        <v>0</v>
      </c>
      <c r="K4098">
        <f>Data!E4111</f>
        <v>0</v>
      </c>
      <c r="L4098">
        <f>Data!F4111</f>
        <v>0</v>
      </c>
      <c r="M4098">
        <f>Data!G4111</f>
        <v>0</v>
      </c>
      <c r="N4098">
        <f>Data!H4111</f>
        <v>0</v>
      </c>
      <c r="O4098">
        <f>Data!I4111</f>
        <v>0</v>
      </c>
      <c r="P4098" s="21">
        <f>Data!J4115</f>
        <v>0</v>
      </c>
      <c r="Q4098">
        <f>Data!K4115</f>
        <v>0</v>
      </c>
      <c r="R4098">
        <f>Data!L4115</f>
        <v>0</v>
      </c>
      <c r="S4098">
        <f>Data!M4115</f>
        <v>0</v>
      </c>
      <c r="T4098">
        <f>Data!N4115</f>
        <v>0</v>
      </c>
      <c r="U4098">
        <f>Data!O4115</f>
        <v>0</v>
      </c>
      <c r="V4098" s="33">
        <f>Data!P4113</f>
        <v>0</v>
      </c>
    </row>
    <row r="4099" spans="7:22" x14ac:dyDescent="0.25">
      <c r="G4099">
        <f>Data!A4112</f>
        <v>0</v>
      </c>
      <c r="H4099" s="21">
        <f>Data!B4112</f>
        <v>0</v>
      </c>
      <c r="I4099" s="21">
        <f>Data!C4112</f>
        <v>0</v>
      </c>
      <c r="J4099">
        <f>Data!D4112</f>
        <v>0</v>
      </c>
      <c r="K4099">
        <f>Data!E4112</f>
        <v>0</v>
      </c>
      <c r="L4099">
        <f>Data!F4112</f>
        <v>0</v>
      </c>
      <c r="M4099">
        <f>Data!G4112</f>
        <v>0</v>
      </c>
      <c r="N4099">
        <f>Data!H4112</f>
        <v>0</v>
      </c>
      <c r="O4099">
        <f>Data!I4112</f>
        <v>0</v>
      </c>
      <c r="P4099" s="21">
        <f>Data!J4116</f>
        <v>0</v>
      </c>
      <c r="Q4099">
        <f>Data!K4116</f>
        <v>0</v>
      </c>
      <c r="R4099">
        <f>Data!L4116</f>
        <v>0</v>
      </c>
      <c r="S4099">
        <f>Data!M4116</f>
        <v>0</v>
      </c>
      <c r="T4099">
        <f>Data!N4116</f>
        <v>0</v>
      </c>
      <c r="U4099">
        <f>Data!O4116</f>
        <v>0</v>
      </c>
      <c r="V4099" s="33">
        <f>Data!P4114</f>
        <v>0</v>
      </c>
    </row>
    <row r="4100" spans="7:22" x14ac:dyDescent="0.25">
      <c r="G4100">
        <f>Data!A4113</f>
        <v>0</v>
      </c>
      <c r="H4100" s="21">
        <f>Data!B4113</f>
        <v>0</v>
      </c>
      <c r="I4100" s="21">
        <f>Data!C4113</f>
        <v>0</v>
      </c>
      <c r="J4100">
        <f>Data!D4113</f>
        <v>0</v>
      </c>
      <c r="K4100">
        <f>Data!E4113</f>
        <v>0</v>
      </c>
      <c r="L4100">
        <f>Data!F4113</f>
        <v>0</v>
      </c>
      <c r="M4100">
        <f>Data!G4113</f>
        <v>0</v>
      </c>
      <c r="N4100">
        <f>Data!H4113</f>
        <v>0</v>
      </c>
      <c r="O4100">
        <f>Data!I4113</f>
        <v>0</v>
      </c>
      <c r="P4100" s="21">
        <f>Data!J4117</f>
        <v>0</v>
      </c>
      <c r="Q4100">
        <f>Data!K4117</f>
        <v>0</v>
      </c>
      <c r="R4100">
        <f>Data!L4117</f>
        <v>0</v>
      </c>
      <c r="S4100">
        <f>Data!M4117</f>
        <v>0</v>
      </c>
      <c r="T4100">
        <f>Data!N4117</f>
        <v>0</v>
      </c>
      <c r="U4100">
        <f>Data!O4117</f>
        <v>0</v>
      </c>
      <c r="V4100" s="33">
        <f>Data!P4115</f>
        <v>0</v>
      </c>
    </row>
    <row r="4101" spans="7:22" x14ac:dyDescent="0.25">
      <c r="G4101">
        <f>Data!A4114</f>
        <v>0</v>
      </c>
      <c r="H4101" s="21">
        <f>Data!B4114</f>
        <v>0</v>
      </c>
      <c r="I4101" s="21">
        <f>Data!C4114</f>
        <v>0</v>
      </c>
      <c r="J4101">
        <f>Data!D4114</f>
        <v>0</v>
      </c>
      <c r="K4101">
        <f>Data!E4114</f>
        <v>0</v>
      </c>
      <c r="L4101">
        <f>Data!F4114</f>
        <v>0</v>
      </c>
      <c r="M4101">
        <f>Data!G4114</f>
        <v>0</v>
      </c>
      <c r="N4101">
        <f>Data!H4114</f>
        <v>0</v>
      </c>
      <c r="O4101">
        <f>Data!I4114</f>
        <v>0</v>
      </c>
      <c r="P4101" s="21">
        <f>Data!J4118</f>
        <v>0</v>
      </c>
      <c r="Q4101">
        <f>Data!K4118</f>
        <v>0</v>
      </c>
      <c r="R4101">
        <f>Data!L4118</f>
        <v>0</v>
      </c>
      <c r="S4101">
        <f>Data!M4118</f>
        <v>0</v>
      </c>
      <c r="T4101">
        <f>Data!N4118</f>
        <v>0</v>
      </c>
      <c r="U4101">
        <f>Data!O4118</f>
        <v>0</v>
      </c>
      <c r="V4101" s="33">
        <f>Data!P4116</f>
        <v>0</v>
      </c>
    </row>
    <row r="4102" spans="7:22" x14ac:dyDescent="0.25">
      <c r="G4102">
        <f>Data!A4115</f>
        <v>0</v>
      </c>
      <c r="H4102" s="21">
        <f>Data!B4115</f>
        <v>0</v>
      </c>
      <c r="I4102" s="21">
        <f>Data!C4115</f>
        <v>0</v>
      </c>
      <c r="J4102">
        <f>Data!D4115</f>
        <v>0</v>
      </c>
      <c r="K4102">
        <f>Data!E4115</f>
        <v>0</v>
      </c>
      <c r="L4102">
        <f>Data!F4115</f>
        <v>0</v>
      </c>
      <c r="M4102">
        <f>Data!G4115</f>
        <v>0</v>
      </c>
      <c r="N4102">
        <f>Data!H4115</f>
        <v>0</v>
      </c>
      <c r="O4102">
        <f>Data!I4115</f>
        <v>0</v>
      </c>
      <c r="P4102" s="21">
        <f>Data!J4119</f>
        <v>0</v>
      </c>
      <c r="Q4102">
        <f>Data!K4119</f>
        <v>0</v>
      </c>
      <c r="R4102">
        <f>Data!L4119</f>
        <v>0</v>
      </c>
      <c r="S4102">
        <f>Data!M4119</f>
        <v>0</v>
      </c>
      <c r="T4102">
        <f>Data!N4119</f>
        <v>0</v>
      </c>
      <c r="U4102">
        <f>Data!O4119</f>
        <v>0</v>
      </c>
      <c r="V4102" s="33">
        <f>Data!P4117</f>
        <v>0</v>
      </c>
    </row>
    <row r="4103" spans="7:22" x14ac:dyDescent="0.25">
      <c r="G4103">
        <f>Data!A4116</f>
        <v>0</v>
      </c>
      <c r="H4103" s="21">
        <f>Data!B4116</f>
        <v>0</v>
      </c>
      <c r="I4103" s="21">
        <f>Data!C4116</f>
        <v>0</v>
      </c>
      <c r="J4103">
        <f>Data!D4116</f>
        <v>0</v>
      </c>
      <c r="K4103">
        <f>Data!E4116</f>
        <v>0</v>
      </c>
      <c r="L4103">
        <f>Data!F4116</f>
        <v>0</v>
      </c>
      <c r="M4103">
        <f>Data!G4116</f>
        <v>0</v>
      </c>
      <c r="N4103">
        <f>Data!H4116</f>
        <v>0</v>
      </c>
      <c r="O4103">
        <f>Data!I4116</f>
        <v>0</v>
      </c>
      <c r="P4103" s="21">
        <f>Data!J4120</f>
        <v>0</v>
      </c>
      <c r="Q4103">
        <f>Data!K4120</f>
        <v>0</v>
      </c>
      <c r="R4103">
        <f>Data!L4120</f>
        <v>0</v>
      </c>
      <c r="S4103">
        <f>Data!M4120</f>
        <v>0</v>
      </c>
      <c r="T4103">
        <f>Data!N4120</f>
        <v>0</v>
      </c>
      <c r="U4103">
        <f>Data!O4120</f>
        <v>0</v>
      </c>
      <c r="V4103" s="33">
        <f>Data!P4118</f>
        <v>0</v>
      </c>
    </row>
    <row r="4104" spans="7:22" x14ac:dyDescent="0.25">
      <c r="G4104">
        <f>Data!A4117</f>
        <v>0</v>
      </c>
      <c r="H4104" s="21">
        <f>Data!B4117</f>
        <v>0</v>
      </c>
      <c r="I4104" s="21">
        <f>Data!C4117</f>
        <v>0</v>
      </c>
      <c r="J4104">
        <f>Data!D4117</f>
        <v>0</v>
      </c>
      <c r="K4104">
        <f>Data!E4117</f>
        <v>0</v>
      </c>
      <c r="L4104">
        <f>Data!F4117</f>
        <v>0</v>
      </c>
      <c r="M4104">
        <f>Data!G4117</f>
        <v>0</v>
      </c>
      <c r="N4104">
        <f>Data!H4117</f>
        <v>0</v>
      </c>
      <c r="O4104">
        <f>Data!I4117</f>
        <v>0</v>
      </c>
      <c r="P4104" s="21">
        <f>Data!J4121</f>
        <v>0</v>
      </c>
      <c r="Q4104">
        <f>Data!K4121</f>
        <v>0</v>
      </c>
      <c r="R4104">
        <f>Data!L4121</f>
        <v>0</v>
      </c>
      <c r="S4104">
        <f>Data!M4121</f>
        <v>0</v>
      </c>
      <c r="T4104">
        <f>Data!N4121</f>
        <v>0</v>
      </c>
      <c r="U4104">
        <f>Data!O4121</f>
        <v>0</v>
      </c>
      <c r="V4104" s="33">
        <f>Data!P4119</f>
        <v>0</v>
      </c>
    </row>
    <row r="4105" spans="7:22" x14ac:dyDescent="0.25">
      <c r="G4105">
        <f>Data!A4118</f>
        <v>0</v>
      </c>
      <c r="H4105" s="21">
        <f>Data!B4118</f>
        <v>0</v>
      </c>
      <c r="I4105" s="21">
        <f>Data!C4118</f>
        <v>0</v>
      </c>
      <c r="J4105">
        <f>Data!D4118</f>
        <v>0</v>
      </c>
      <c r="K4105">
        <f>Data!E4118</f>
        <v>0</v>
      </c>
      <c r="L4105">
        <f>Data!F4118</f>
        <v>0</v>
      </c>
      <c r="M4105">
        <f>Data!G4118</f>
        <v>0</v>
      </c>
      <c r="N4105">
        <f>Data!H4118</f>
        <v>0</v>
      </c>
      <c r="O4105">
        <f>Data!I4118</f>
        <v>0</v>
      </c>
      <c r="P4105" s="21">
        <f>Data!J4122</f>
        <v>0</v>
      </c>
      <c r="Q4105">
        <f>Data!K4122</f>
        <v>0</v>
      </c>
      <c r="R4105">
        <f>Data!L4122</f>
        <v>0</v>
      </c>
      <c r="S4105">
        <f>Data!M4122</f>
        <v>0</v>
      </c>
      <c r="T4105">
        <f>Data!N4122</f>
        <v>0</v>
      </c>
      <c r="U4105">
        <f>Data!O4122</f>
        <v>0</v>
      </c>
      <c r="V4105" s="33">
        <f>Data!P4120</f>
        <v>0</v>
      </c>
    </row>
    <row r="4106" spans="7:22" x14ac:dyDescent="0.25">
      <c r="G4106">
        <f>Data!A4119</f>
        <v>0</v>
      </c>
      <c r="H4106" s="21">
        <f>Data!B4119</f>
        <v>0</v>
      </c>
      <c r="I4106" s="21">
        <f>Data!C4119</f>
        <v>0</v>
      </c>
      <c r="J4106">
        <f>Data!D4119</f>
        <v>0</v>
      </c>
      <c r="K4106">
        <f>Data!E4119</f>
        <v>0</v>
      </c>
      <c r="L4106">
        <f>Data!F4119</f>
        <v>0</v>
      </c>
      <c r="M4106">
        <f>Data!G4119</f>
        <v>0</v>
      </c>
      <c r="N4106">
        <f>Data!H4119</f>
        <v>0</v>
      </c>
      <c r="O4106">
        <f>Data!I4119</f>
        <v>0</v>
      </c>
      <c r="P4106" s="21">
        <f>Data!J4123</f>
        <v>0</v>
      </c>
      <c r="Q4106">
        <f>Data!K4123</f>
        <v>0</v>
      </c>
      <c r="R4106">
        <f>Data!L4123</f>
        <v>0</v>
      </c>
      <c r="S4106">
        <f>Data!M4123</f>
        <v>0</v>
      </c>
      <c r="T4106">
        <f>Data!N4123</f>
        <v>0</v>
      </c>
      <c r="U4106">
        <f>Data!O4123</f>
        <v>0</v>
      </c>
      <c r="V4106" s="33">
        <f>Data!P4121</f>
        <v>0</v>
      </c>
    </row>
    <row r="4107" spans="7:22" x14ac:dyDescent="0.25">
      <c r="G4107">
        <f>Data!A4120</f>
        <v>0</v>
      </c>
      <c r="H4107" s="21">
        <f>Data!B4120</f>
        <v>0</v>
      </c>
      <c r="I4107" s="21">
        <f>Data!C4120</f>
        <v>0</v>
      </c>
      <c r="J4107">
        <f>Data!D4120</f>
        <v>0</v>
      </c>
      <c r="K4107">
        <f>Data!E4120</f>
        <v>0</v>
      </c>
      <c r="L4107">
        <f>Data!F4120</f>
        <v>0</v>
      </c>
      <c r="M4107">
        <f>Data!G4120</f>
        <v>0</v>
      </c>
      <c r="N4107">
        <f>Data!H4120</f>
        <v>0</v>
      </c>
      <c r="O4107">
        <f>Data!I4120</f>
        <v>0</v>
      </c>
      <c r="P4107" s="21">
        <f>Data!J4124</f>
        <v>0</v>
      </c>
      <c r="Q4107">
        <f>Data!K4124</f>
        <v>0</v>
      </c>
      <c r="R4107">
        <f>Data!L4124</f>
        <v>0</v>
      </c>
      <c r="S4107">
        <f>Data!M4124</f>
        <v>0</v>
      </c>
      <c r="T4107">
        <f>Data!N4124</f>
        <v>0</v>
      </c>
      <c r="U4107">
        <f>Data!O4124</f>
        <v>0</v>
      </c>
      <c r="V4107" s="33">
        <f>Data!P4122</f>
        <v>0</v>
      </c>
    </row>
    <row r="4108" spans="7:22" x14ac:dyDescent="0.25">
      <c r="G4108">
        <f>Data!A4121</f>
        <v>0</v>
      </c>
      <c r="H4108" s="21">
        <f>Data!B4121</f>
        <v>0</v>
      </c>
      <c r="I4108" s="21">
        <f>Data!C4121</f>
        <v>0</v>
      </c>
      <c r="J4108">
        <f>Data!D4121</f>
        <v>0</v>
      </c>
      <c r="K4108">
        <f>Data!E4121</f>
        <v>0</v>
      </c>
      <c r="L4108">
        <f>Data!F4121</f>
        <v>0</v>
      </c>
      <c r="M4108">
        <f>Data!G4121</f>
        <v>0</v>
      </c>
      <c r="N4108">
        <f>Data!H4121</f>
        <v>0</v>
      </c>
      <c r="O4108">
        <f>Data!I4121</f>
        <v>0</v>
      </c>
      <c r="P4108" s="21">
        <f>Data!J4125</f>
        <v>0</v>
      </c>
      <c r="Q4108">
        <f>Data!K4125</f>
        <v>0</v>
      </c>
      <c r="R4108">
        <f>Data!L4125</f>
        <v>0</v>
      </c>
      <c r="S4108">
        <f>Data!M4125</f>
        <v>0</v>
      </c>
      <c r="T4108">
        <f>Data!N4125</f>
        <v>0</v>
      </c>
      <c r="U4108">
        <f>Data!O4125</f>
        <v>0</v>
      </c>
      <c r="V4108" s="33">
        <f>Data!P4123</f>
        <v>0</v>
      </c>
    </row>
    <row r="4109" spans="7:22" x14ac:dyDescent="0.25">
      <c r="G4109">
        <f>Data!A4122</f>
        <v>0</v>
      </c>
      <c r="H4109" s="21">
        <f>Data!B4122</f>
        <v>0</v>
      </c>
      <c r="I4109" s="21">
        <f>Data!C4122</f>
        <v>0</v>
      </c>
      <c r="J4109">
        <f>Data!D4122</f>
        <v>0</v>
      </c>
      <c r="K4109">
        <f>Data!E4122</f>
        <v>0</v>
      </c>
      <c r="L4109">
        <f>Data!F4122</f>
        <v>0</v>
      </c>
      <c r="M4109">
        <f>Data!G4122</f>
        <v>0</v>
      </c>
      <c r="N4109">
        <f>Data!H4122</f>
        <v>0</v>
      </c>
      <c r="O4109">
        <f>Data!I4122</f>
        <v>0</v>
      </c>
      <c r="P4109" s="21">
        <f>Data!J4126</f>
        <v>0</v>
      </c>
      <c r="Q4109">
        <f>Data!K4126</f>
        <v>0</v>
      </c>
      <c r="R4109">
        <f>Data!L4126</f>
        <v>0</v>
      </c>
      <c r="S4109">
        <f>Data!M4126</f>
        <v>0</v>
      </c>
      <c r="T4109">
        <f>Data!N4126</f>
        <v>0</v>
      </c>
      <c r="U4109">
        <f>Data!O4126</f>
        <v>0</v>
      </c>
      <c r="V4109" s="33">
        <f>Data!P4124</f>
        <v>0</v>
      </c>
    </row>
    <row r="4110" spans="7:22" x14ac:dyDescent="0.25">
      <c r="G4110">
        <f>Data!A4123</f>
        <v>0</v>
      </c>
      <c r="H4110" s="21">
        <f>Data!B4123</f>
        <v>0</v>
      </c>
      <c r="I4110" s="21">
        <f>Data!C4123</f>
        <v>0</v>
      </c>
      <c r="J4110">
        <f>Data!D4123</f>
        <v>0</v>
      </c>
      <c r="K4110">
        <f>Data!E4123</f>
        <v>0</v>
      </c>
      <c r="L4110">
        <f>Data!F4123</f>
        <v>0</v>
      </c>
      <c r="M4110">
        <f>Data!G4123</f>
        <v>0</v>
      </c>
      <c r="N4110">
        <f>Data!H4123</f>
        <v>0</v>
      </c>
      <c r="O4110">
        <f>Data!I4123</f>
        <v>0</v>
      </c>
      <c r="P4110" s="21">
        <f>Data!J4127</f>
        <v>0</v>
      </c>
      <c r="Q4110">
        <f>Data!K4127</f>
        <v>0</v>
      </c>
      <c r="R4110">
        <f>Data!L4127</f>
        <v>0</v>
      </c>
      <c r="S4110">
        <f>Data!M4127</f>
        <v>0</v>
      </c>
      <c r="T4110">
        <f>Data!N4127</f>
        <v>0</v>
      </c>
      <c r="U4110">
        <f>Data!O4127</f>
        <v>0</v>
      </c>
      <c r="V4110" s="33">
        <f>Data!P4125</f>
        <v>0</v>
      </c>
    </row>
    <row r="4111" spans="7:22" x14ac:dyDescent="0.25">
      <c r="G4111">
        <f>Data!A4124</f>
        <v>0</v>
      </c>
      <c r="H4111" s="21">
        <f>Data!B4124</f>
        <v>0</v>
      </c>
      <c r="I4111" s="21">
        <f>Data!C4124</f>
        <v>0</v>
      </c>
      <c r="J4111">
        <f>Data!D4124</f>
        <v>0</v>
      </c>
      <c r="K4111">
        <f>Data!E4124</f>
        <v>0</v>
      </c>
      <c r="L4111">
        <f>Data!F4124</f>
        <v>0</v>
      </c>
      <c r="M4111">
        <f>Data!G4124</f>
        <v>0</v>
      </c>
      <c r="N4111">
        <f>Data!H4124</f>
        <v>0</v>
      </c>
      <c r="O4111">
        <f>Data!I4124</f>
        <v>0</v>
      </c>
      <c r="P4111" s="21">
        <f>Data!J4128</f>
        <v>0</v>
      </c>
      <c r="Q4111">
        <f>Data!K4128</f>
        <v>0</v>
      </c>
      <c r="R4111">
        <f>Data!L4128</f>
        <v>0</v>
      </c>
      <c r="S4111">
        <f>Data!M4128</f>
        <v>0</v>
      </c>
      <c r="T4111">
        <f>Data!N4128</f>
        <v>0</v>
      </c>
      <c r="U4111">
        <f>Data!O4128</f>
        <v>0</v>
      </c>
      <c r="V4111" s="33">
        <f>Data!P4126</f>
        <v>0</v>
      </c>
    </row>
    <row r="4112" spans="7:22" x14ac:dyDescent="0.25">
      <c r="G4112">
        <f>Data!A4125</f>
        <v>0</v>
      </c>
      <c r="H4112" s="21">
        <f>Data!B4125</f>
        <v>0</v>
      </c>
      <c r="I4112" s="21">
        <f>Data!C4125</f>
        <v>0</v>
      </c>
      <c r="J4112">
        <f>Data!D4125</f>
        <v>0</v>
      </c>
      <c r="K4112">
        <f>Data!E4125</f>
        <v>0</v>
      </c>
      <c r="L4112">
        <f>Data!F4125</f>
        <v>0</v>
      </c>
      <c r="M4112">
        <f>Data!G4125</f>
        <v>0</v>
      </c>
      <c r="N4112">
        <f>Data!H4125</f>
        <v>0</v>
      </c>
      <c r="O4112">
        <f>Data!I4125</f>
        <v>0</v>
      </c>
      <c r="P4112" s="21">
        <f>Data!J4129</f>
        <v>0</v>
      </c>
      <c r="Q4112">
        <f>Data!K4129</f>
        <v>0</v>
      </c>
      <c r="R4112">
        <f>Data!L4129</f>
        <v>0</v>
      </c>
      <c r="S4112">
        <f>Data!M4129</f>
        <v>0</v>
      </c>
      <c r="T4112">
        <f>Data!N4129</f>
        <v>0</v>
      </c>
      <c r="U4112">
        <f>Data!O4129</f>
        <v>0</v>
      </c>
      <c r="V4112" s="33">
        <f>Data!P4127</f>
        <v>0</v>
      </c>
    </row>
    <row r="4113" spans="7:22" x14ac:dyDescent="0.25">
      <c r="G4113">
        <f>Data!A4126</f>
        <v>0</v>
      </c>
      <c r="H4113" s="21">
        <f>Data!B4126</f>
        <v>0</v>
      </c>
      <c r="I4113" s="21">
        <f>Data!C4126</f>
        <v>0</v>
      </c>
      <c r="J4113">
        <f>Data!D4126</f>
        <v>0</v>
      </c>
      <c r="K4113">
        <f>Data!E4126</f>
        <v>0</v>
      </c>
      <c r="L4113">
        <f>Data!F4126</f>
        <v>0</v>
      </c>
      <c r="M4113">
        <f>Data!G4126</f>
        <v>0</v>
      </c>
      <c r="N4113">
        <f>Data!H4126</f>
        <v>0</v>
      </c>
      <c r="O4113">
        <f>Data!I4126</f>
        <v>0</v>
      </c>
      <c r="P4113" s="21">
        <f>Data!J4130</f>
        <v>0</v>
      </c>
      <c r="Q4113">
        <f>Data!K4130</f>
        <v>0</v>
      </c>
      <c r="R4113">
        <f>Data!L4130</f>
        <v>0</v>
      </c>
      <c r="S4113">
        <f>Data!M4130</f>
        <v>0</v>
      </c>
      <c r="T4113">
        <f>Data!N4130</f>
        <v>0</v>
      </c>
      <c r="U4113">
        <f>Data!O4130</f>
        <v>0</v>
      </c>
      <c r="V4113" s="33">
        <f>Data!P4128</f>
        <v>0</v>
      </c>
    </row>
    <row r="4114" spans="7:22" x14ac:dyDescent="0.25">
      <c r="G4114">
        <f>Data!A4127</f>
        <v>0</v>
      </c>
      <c r="H4114" s="21">
        <f>Data!B4127</f>
        <v>0</v>
      </c>
      <c r="I4114" s="21">
        <f>Data!C4127</f>
        <v>0</v>
      </c>
      <c r="J4114">
        <f>Data!D4127</f>
        <v>0</v>
      </c>
      <c r="K4114">
        <f>Data!E4127</f>
        <v>0</v>
      </c>
      <c r="L4114">
        <f>Data!F4127</f>
        <v>0</v>
      </c>
      <c r="M4114">
        <f>Data!G4127</f>
        <v>0</v>
      </c>
      <c r="N4114">
        <f>Data!H4127</f>
        <v>0</v>
      </c>
      <c r="O4114">
        <f>Data!I4127</f>
        <v>0</v>
      </c>
      <c r="P4114" s="21">
        <f>Data!J4131</f>
        <v>0</v>
      </c>
      <c r="Q4114">
        <f>Data!K4131</f>
        <v>0</v>
      </c>
      <c r="R4114">
        <f>Data!L4131</f>
        <v>0</v>
      </c>
      <c r="S4114">
        <f>Data!M4131</f>
        <v>0</v>
      </c>
      <c r="T4114">
        <f>Data!N4131</f>
        <v>0</v>
      </c>
      <c r="U4114">
        <f>Data!O4131</f>
        <v>0</v>
      </c>
      <c r="V4114" s="33">
        <f>Data!P4129</f>
        <v>0</v>
      </c>
    </row>
    <row r="4115" spans="7:22" x14ac:dyDescent="0.25">
      <c r="G4115">
        <f>Data!A4128</f>
        <v>0</v>
      </c>
      <c r="H4115" s="21">
        <f>Data!B4128</f>
        <v>0</v>
      </c>
      <c r="I4115" s="21">
        <f>Data!C4128</f>
        <v>0</v>
      </c>
      <c r="J4115">
        <f>Data!D4128</f>
        <v>0</v>
      </c>
      <c r="K4115">
        <f>Data!E4128</f>
        <v>0</v>
      </c>
      <c r="L4115">
        <f>Data!F4128</f>
        <v>0</v>
      </c>
      <c r="M4115">
        <f>Data!G4128</f>
        <v>0</v>
      </c>
      <c r="N4115">
        <f>Data!H4128</f>
        <v>0</v>
      </c>
      <c r="O4115">
        <f>Data!I4128</f>
        <v>0</v>
      </c>
      <c r="P4115" s="21">
        <f>Data!J4132</f>
        <v>0</v>
      </c>
      <c r="Q4115">
        <f>Data!K4132</f>
        <v>0</v>
      </c>
      <c r="R4115">
        <f>Data!L4132</f>
        <v>0</v>
      </c>
      <c r="S4115">
        <f>Data!M4132</f>
        <v>0</v>
      </c>
      <c r="T4115">
        <f>Data!N4132</f>
        <v>0</v>
      </c>
      <c r="U4115">
        <f>Data!O4132</f>
        <v>0</v>
      </c>
      <c r="V4115" s="33">
        <f>Data!P4130</f>
        <v>0</v>
      </c>
    </row>
    <row r="4116" spans="7:22" x14ac:dyDescent="0.25">
      <c r="G4116">
        <f>Data!A4129</f>
        <v>0</v>
      </c>
      <c r="H4116" s="21">
        <f>Data!B4129</f>
        <v>0</v>
      </c>
      <c r="I4116" s="21">
        <f>Data!C4129</f>
        <v>0</v>
      </c>
      <c r="J4116">
        <f>Data!D4129</f>
        <v>0</v>
      </c>
      <c r="K4116">
        <f>Data!E4129</f>
        <v>0</v>
      </c>
      <c r="L4116">
        <f>Data!F4129</f>
        <v>0</v>
      </c>
      <c r="M4116">
        <f>Data!G4129</f>
        <v>0</v>
      </c>
      <c r="N4116">
        <f>Data!H4129</f>
        <v>0</v>
      </c>
      <c r="O4116">
        <f>Data!I4129</f>
        <v>0</v>
      </c>
      <c r="P4116" s="21">
        <f>Data!J4133</f>
        <v>0</v>
      </c>
      <c r="Q4116">
        <f>Data!K4133</f>
        <v>0</v>
      </c>
      <c r="R4116">
        <f>Data!L4133</f>
        <v>0</v>
      </c>
      <c r="S4116">
        <f>Data!M4133</f>
        <v>0</v>
      </c>
      <c r="T4116">
        <f>Data!N4133</f>
        <v>0</v>
      </c>
      <c r="U4116">
        <f>Data!O4133</f>
        <v>0</v>
      </c>
      <c r="V4116" s="33">
        <f>Data!P4131</f>
        <v>0</v>
      </c>
    </row>
    <row r="4117" spans="7:22" x14ac:dyDescent="0.25">
      <c r="G4117">
        <f>Data!A4130</f>
        <v>0</v>
      </c>
      <c r="H4117" s="21">
        <f>Data!B4130</f>
        <v>0</v>
      </c>
      <c r="I4117" s="21">
        <f>Data!C4130</f>
        <v>0</v>
      </c>
      <c r="J4117">
        <f>Data!D4130</f>
        <v>0</v>
      </c>
      <c r="K4117">
        <f>Data!E4130</f>
        <v>0</v>
      </c>
      <c r="L4117">
        <f>Data!F4130</f>
        <v>0</v>
      </c>
      <c r="M4117">
        <f>Data!G4130</f>
        <v>0</v>
      </c>
      <c r="N4117">
        <f>Data!H4130</f>
        <v>0</v>
      </c>
      <c r="O4117">
        <f>Data!I4130</f>
        <v>0</v>
      </c>
      <c r="P4117" s="21">
        <f>Data!J4134</f>
        <v>0</v>
      </c>
      <c r="Q4117">
        <f>Data!K4134</f>
        <v>0</v>
      </c>
      <c r="R4117">
        <f>Data!L4134</f>
        <v>0</v>
      </c>
      <c r="S4117">
        <f>Data!M4134</f>
        <v>0</v>
      </c>
      <c r="T4117">
        <f>Data!N4134</f>
        <v>0</v>
      </c>
      <c r="U4117">
        <f>Data!O4134</f>
        <v>0</v>
      </c>
      <c r="V4117" s="33">
        <f>Data!P4132</f>
        <v>0</v>
      </c>
    </row>
    <row r="4118" spans="7:22" x14ac:dyDescent="0.25">
      <c r="G4118">
        <f>Data!A4131</f>
        <v>0</v>
      </c>
      <c r="H4118" s="21">
        <f>Data!B4131</f>
        <v>0</v>
      </c>
      <c r="I4118" s="21">
        <f>Data!C4131</f>
        <v>0</v>
      </c>
      <c r="J4118">
        <f>Data!D4131</f>
        <v>0</v>
      </c>
      <c r="K4118">
        <f>Data!E4131</f>
        <v>0</v>
      </c>
      <c r="L4118">
        <f>Data!F4131</f>
        <v>0</v>
      </c>
      <c r="M4118">
        <f>Data!G4131</f>
        <v>0</v>
      </c>
      <c r="N4118">
        <f>Data!H4131</f>
        <v>0</v>
      </c>
      <c r="O4118">
        <f>Data!I4131</f>
        <v>0</v>
      </c>
      <c r="P4118" s="21">
        <f>Data!J4135</f>
        <v>0</v>
      </c>
      <c r="Q4118">
        <f>Data!K4135</f>
        <v>0</v>
      </c>
      <c r="R4118">
        <f>Data!L4135</f>
        <v>0</v>
      </c>
      <c r="S4118">
        <f>Data!M4135</f>
        <v>0</v>
      </c>
      <c r="T4118">
        <f>Data!N4135</f>
        <v>0</v>
      </c>
      <c r="U4118">
        <f>Data!O4135</f>
        <v>0</v>
      </c>
      <c r="V4118" s="33">
        <f>Data!P4133</f>
        <v>0</v>
      </c>
    </row>
    <row r="4119" spans="7:22" x14ac:dyDescent="0.25">
      <c r="G4119">
        <f>Data!A4132</f>
        <v>0</v>
      </c>
      <c r="H4119" s="21">
        <f>Data!B4132</f>
        <v>0</v>
      </c>
      <c r="I4119" s="21">
        <f>Data!C4132</f>
        <v>0</v>
      </c>
      <c r="J4119">
        <f>Data!D4132</f>
        <v>0</v>
      </c>
      <c r="K4119">
        <f>Data!E4132</f>
        <v>0</v>
      </c>
      <c r="L4119">
        <f>Data!F4132</f>
        <v>0</v>
      </c>
      <c r="M4119">
        <f>Data!G4132</f>
        <v>0</v>
      </c>
      <c r="N4119">
        <f>Data!H4132</f>
        <v>0</v>
      </c>
      <c r="O4119">
        <f>Data!I4132</f>
        <v>0</v>
      </c>
      <c r="P4119" s="21">
        <f>Data!J4136</f>
        <v>0</v>
      </c>
      <c r="Q4119">
        <f>Data!K4136</f>
        <v>0</v>
      </c>
      <c r="R4119">
        <f>Data!L4136</f>
        <v>0</v>
      </c>
      <c r="S4119">
        <f>Data!M4136</f>
        <v>0</v>
      </c>
      <c r="T4119">
        <f>Data!N4136</f>
        <v>0</v>
      </c>
      <c r="U4119">
        <f>Data!O4136</f>
        <v>0</v>
      </c>
      <c r="V4119" s="33">
        <f>Data!P4134</f>
        <v>0</v>
      </c>
    </row>
    <row r="4120" spans="7:22" x14ac:dyDescent="0.25">
      <c r="G4120">
        <f>Data!A4133</f>
        <v>0</v>
      </c>
      <c r="H4120" s="21">
        <f>Data!B4133</f>
        <v>0</v>
      </c>
      <c r="I4120" s="21">
        <f>Data!C4133</f>
        <v>0</v>
      </c>
      <c r="J4120">
        <f>Data!D4133</f>
        <v>0</v>
      </c>
      <c r="K4120">
        <f>Data!E4133</f>
        <v>0</v>
      </c>
      <c r="L4120">
        <f>Data!F4133</f>
        <v>0</v>
      </c>
      <c r="M4120">
        <f>Data!G4133</f>
        <v>0</v>
      </c>
      <c r="N4120">
        <f>Data!H4133</f>
        <v>0</v>
      </c>
      <c r="O4120">
        <f>Data!I4133</f>
        <v>0</v>
      </c>
      <c r="P4120" s="21">
        <f>Data!J4137</f>
        <v>0</v>
      </c>
      <c r="Q4120">
        <f>Data!K4137</f>
        <v>0</v>
      </c>
      <c r="R4120">
        <f>Data!L4137</f>
        <v>0</v>
      </c>
      <c r="S4120">
        <f>Data!M4137</f>
        <v>0</v>
      </c>
      <c r="T4120">
        <f>Data!N4137</f>
        <v>0</v>
      </c>
      <c r="U4120">
        <f>Data!O4137</f>
        <v>0</v>
      </c>
      <c r="V4120" s="33">
        <f>Data!P4135</f>
        <v>0</v>
      </c>
    </row>
    <row r="4121" spans="7:22" x14ac:dyDescent="0.25">
      <c r="G4121">
        <f>Data!A4134</f>
        <v>0</v>
      </c>
      <c r="H4121" s="21">
        <f>Data!B4134</f>
        <v>0</v>
      </c>
      <c r="I4121" s="21">
        <f>Data!C4134</f>
        <v>0</v>
      </c>
      <c r="J4121">
        <f>Data!D4134</f>
        <v>0</v>
      </c>
      <c r="K4121">
        <f>Data!E4134</f>
        <v>0</v>
      </c>
      <c r="L4121">
        <f>Data!F4134</f>
        <v>0</v>
      </c>
      <c r="M4121">
        <f>Data!G4134</f>
        <v>0</v>
      </c>
      <c r="N4121">
        <f>Data!H4134</f>
        <v>0</v>
      </c>
      <c r="O4121">
        <f>Data!I4134</f>
        <v>0</v>
      </c>
      <c r="P4121" s="21">
        <f>Data!J4138</f>
        <v>0</v>
      </c>
      <c r="Q4121">
        <f>Data!K4138</f>
        <v>0</v>
      </c>
      <c r="R4121">
        <f>Data!L4138</f>
        <v>0</v>
      </c>
      <c r="S4121">
        <f>Data!M4138</f>
        <v>0</v>
      </c>
      <c r="T4121">
        <f>Data!N4138</f>
        <v>0</v>
      </c>
      <c r="U4121">
        <f>Data!O4138</f>
        <v>0</v>
      </c>
      <c r="V4121" s="33">
        <f>Data!P4136</f>
        <v>0</v>
      </c>
    </row>
    <row r="4122" spans="7:22" x14ac:dyDescent="0.25">
      <c r="G4122">
        <f>Data!A4135</f>
        <v>0</v>
      </c>
      <c r="H4122" s="21">
        <f>Data!B4135</f>
        <v>0</v>
      </c>
      <c r="I4122" s="21">
        <f>Data!C4135</f>
        <v>0</v>
      </c>
      <c r="J4122">
        <f>Data!D4135</f>
        <v>0</v>
      </c>
      <c r="K4122">
        <f>Data!E4135</f>
        <v>0</v>
      </c>
      <c r="L4122">
        <f>Data!F4135</f>
        <v>0</v>
      </c>
      <c r="M4122">
        <f>Data!G4135</f>
        <v>0</v>
      </c>
      <c r="N4122">
        <f>Data!H4135</f>
        <v>0</v>
      </c>
      <c r="O4122">
        <f>Data!I4135</f>
        <v>0</v>
      </c>
      <c r="P4122" s="21">
        <f>Data!J4139</f>
        <v>0</v>
      </c>
      <c r="Q4122">
        <f>Data!K4139</f>
        <v>0</v>
      </c>
      <c r="R4122">
        <f>Data!L4139</f>
        <v>0</v>
      </c>
      <c r="S4122">
        <f>Data!M4139</f>
        <v>0</v>
      </c>
      <c r="T4122">
        <f>Data!N4139</f>
        <v>0</v>
      </c>
      <c r="U4122">
        <f>Data!O4139</f>
        <v>0</v>
      </c>
      <c r="V4122" s="33">
        <f>Data!P4137</f>
        <v>0</v>
      </c>
    </row>
    <row r="4123" spans="7:22" x14ac:dyDescent="0.25">
      <c r="G4123">
        <f>Data!A4136</f>
        <v>0</v>
      </c>
      <c r="H4123" s="21">
        <f>Data!B4136</f>
        <v>0</v>
      </c>
      <c r="I4123" s="21">
        <f>Data!C4136</f>
        <v>0</v>
      </c>
      <c r="J4123">
        <f>Data!D4136</f>
        <v>0</v>
      </c>
      <c r="K4123">
        <f>Data!E4136</f>
        <v>0</v>
      </c>
      <c r="L4123">
        <f>Data!F4136</f>
        <v>0</v>
      </c>
      <c r="M4123">
        <f>Data!G4136</f>
        <v>0</v>
      </c>
      <c r="N4123">
        <f>Data!H4136</f>
        <v>0</v>
      </c>
      <c r="O4123">
        <f>Data!I4136</f>
        <v>0</v>
      </c>
      <c r="P4123" s="21">
        <f>Data!J4140</f>
        <v>0</v>
      </c>
      <c r="Q4123">
        <f>Data!K4140</f>
        <v>0</v>
      </c>
      <c r="R4123">
        <f>Data!L4140</f>
        <v>0</v>
      </c>
      <c r="S4123">
        <f>Data!M4140</f>
        <v>0</v>
      </c>
      <c r="T4123">
        <f>Data!N4140</f>
        <v>0</v>
      </c>
      <c r="U4123">
        <f>Data!O4140</f>
        <v>0</v>
      </c>
      <c r="V4123" s="33">
        <f>Data!P4138</f>
        <v>0</v>
      </c>
    </row>
    <row r="4124" spans="7:22" x14ac:dyDescent="0.25">
      <c r="G4124">
        <f>Data!A4137</f>
        <v>0</v>
      </c>
      <c r="H4124" s="21">
        <f>Data!B4137</f>
        <v>0</v>
      </c>
      <c r="I4124" s="21">
        <f>Data!C4137</f>
        <v>0</v>
      </c>
      <c r="J4124">
        <f>Data!D4137</f>
        <v>0</v>
      </c>
      <c r="K4124">
        <f>Data!E4137</f>
        <v>0</v>
      </c>
      <c r="L4124">
        <f>Data!F4137</f>
        <v>0</v>
      </c>
      <c r="M4124">
        <f>Data!G4137</f>
        <v>0</v>
      </c>
      <c r="N4124">
        <f>Data!H4137</f>
        <v>0</v>
      </c>
      <c r="O4124">
        <f>Data!I4137</f>
        <v>0</v>
      </c>
      <c r="P4124" s="21">
        <f>Data!J4141</f>
        <v>0</v>
      </c>
      <c r="Q4124">
        <f>Data!K4141</f>
        <v>0</v>
      </c>
      <c r="R4124">
        <f>Data!L4141</f>
        <v>0</v>
      </c>
      <c r="S4124">
        <f>Data!M4141</f>
        <v>0</v>
      </c>
      <c r="T4124">
        <f>Data!N4141</f>
        <v>0</v>
      </c>
      <c r="U4124">
        <f>Data!O4141</f>
        <v>0</v>
      </c>
      <c r="V4124" s="33">
        <f>Data!P4139</f>
        <v>0</v>
      </c>
    </row>
    <row r="4125" spans="7:22" x14ac:dyDescent="0.25">
      <c r="G4125">
        <f>Data!A4138</f>
        <v>0</v>
      </c>
      <c r="H4125" s="21">
        <f>Data!B4138</f>
        <v>0</v>
      </c>
      <c r="I4125" s="21">
        <f>Data!C4138</f>
        <v>0</v>
      </c>
      <c r="J4125">
        <f>Data!D4138</f>
        <v>0</v>
      </c>
      <c r="K4125">
        <f>Data!E4138</f>
        <v>0</v>
      </c>
      <c r="L4125">
        <f>Data!F4138</f>
        <v>0</v>
      </c>
      <c r="M4125">
        <f>Data!G4138</f>
        <v>0</v>
      </c>
      <c r="N4125">
        <f>Data!H4138</f>
        <v>0</v>
      </c>
      <c r="O4125">
        <f>Data!I4138</f>
        <v>0</v>
      </c>
      <c r="P4125" s="21">
        <f>Data!J4142</f>
        <v>0</v>
      </c>
      <c r="Q4125">
        <f>Data!K4142</f>
        <v>0</v>
      </c>
      <c r="R4125">
        <f>Data!L4142</f>
        <v>0</v>
      </c>
      <c r="S4125">
        <f>Data!M4142</f>
        <v>0</v>
      </c>
      <c r="T4125">
        <f>Data!N4142</f>
        <v>0</v>
      </c>
      <c r="U4125">
        <f>Data!O4142</f>
        <v>0</v>
      </c>
      <c r="V4125" s="33">
        <f>Data!P4140</f>
        <v>0</v>
      </c>
    </row>
    <row r="4126" spans="7:22" x14ac:dyDescent="0.25">
      <c r="G4126">
        <f>Data!A4139</f>
        <v>0</v>
      </c>
      <c r="H4126" s="21">
        <f>Data!B4139</f>
        <v>0</v>
      </c>
      <c r="I4126" s="21">
        <f>Data!C4139</f>
        <v>0</v>
      </c>
      <c r="J4126">
        <f>Data!D4139</f>
        <v>0</v>
      </c>
      <c r="K4126">
        <f>Data!E4139</f>
        <v>0</v>
      </c>
      <c r="L4126">
        <f>Data!F4139</f>
        <v>0</v>
      </c>
      <c r="M4126">
        <f>Data!G4139</f>
        <v>0</v>
      </c>
      <c r="N4126">
        <f>Data!H4139</f>
        <v>0</v>
      </c>
      <c r="O4126">
        <f>Data!I4139</f>
        <v>0</v>
      </c>
      <c r="P4126" s="21">
        <f>Data!J4143</f>
        <v>0</v>
      </c>
      <c r="Q4126">
        <f>Data!K4143</f>
        <v>0</v>
      </c>
      <c r="R4126">
        <f>Data!L4143</f>
        <v>0</v>
      </c>
      <c r="S4126">
        <f>Data!M4143</f>
        <v>0</v>
      </c>
      <c r="T4126">
        <f>Data!N4143</f>
        <v>0</v>
      </c>
      <c r="U4126">
        <f>Data!O4143</f>
        <v>0</v>
      </c>
      <c r="V4126" s="33">
        <f>Data!P4141</f>
        <v>0</v>
      </c>
    </row>
    <row r="4127" spans="7:22" x14ac:dyDescent="0.25">
      <c r="G4127">
        <f>Data!A4140</f>
        <v>0</v>
      </c>
      <c r="H4127" s="21">
        <f>Data!B4140</f>
        <v>0</v>
      </c>
      <c r="I4127" s="21">
        <f>Data!C4140</f>
        <v>0</v>
      </c>
      <c r="J4127">
        <f>Data!D4140</f>
        <v>0</v>
      </c>
      <c r="K4127">
        <f>Data!E4140</f>
        <v>0</v>
      </c>
      <c r="L4127">
        <f>Data!F4140</f>
        <v>0</v>
      </c>
      <c r="M4127">
        <f>Data!G4140</f>
        <v>0</v>
      </c>
      <c r="N4127">
        <f>Data!H4140</f>
        <v>0</v>
      </c>
      <c r="O4127">
        <f>Data!I4140</f>
        <v>0</v>
      </c>
      <c r="P4127" s="21">
        <f>Data!J4144</f>
        <v>0</v>
      </c>
      <c r="Q4127">
        <f>Data!K4144</f>
        <v>0</v>
      </c>
      <c r="R4127">
        <f>Data!L4144</f>
        <v>0</v>
      </c>
      <c r="S4127">
        <f>Data!M4144</f>
        <v>0</v>
      </c>
      <c r="T4127">
        <f>Data!N4144</f>
        <v>0</v>
      </c>
      <c r="U4127">
        <f>Data!O4144</f>
        <v>0</v>
      </c>
      <c r="V4127" s="33">
        <f>Data!P4142</f>
        <v>0</v>
      </c>
    </row>
    <row r="4128" spans="7:22" x14ac:dyDescent="0.25">
      <c r="G4128">
        <f>Data!A4141</f>
        <v>0</v>
      </c>
      <c r="H4128" s="21">
        <f>Data!B4141</f>
        <v>0</v>
      </c>
      <c r="I4128" s="21">
        <f>Data!C4141</f>
        <v>0</v>
      </c>
      <c r="J4128">
        <f>Data!D4141</f>
        <v>0</v>
      </c>
      <c r="K4128">
        <f>Data!E4141</f>
        <v>0</v>
      </c>
      <c r="L4128">
        <f>Data!F4141</f>
        <v>0</v>
      </c>
      <c r="M4128">
        <f>Data!G4141</f>
        <v>0</v>
      </c>
      <c r="N4128">
        <f>Data!H4141</f>
        <v>0</v>
      </c>
      <c r="O4128">
        <f>Data!I4141</f>
        <v>0</v>
      </c>
      <c r="P4128" s="21">
        <f>Data!J4145</f>
        <v>0</v>
      </c>
      <c r="Q4128">
        <f>Data!K4145</f>
        <v>0</v>
      </c>
      <c r="R4128">
        <f>Data!L4145</f>
        <v>0</v>
      </c>
      <c r="S4128">
        <f>Data!M4145</f>
        <v>0</v>
      </c>
      <c r="T4128">
        <f>Data!N4145</f>
        <v>0</v>
      </c>
      <c r="U4128">
        <f>Data!O4145</f>
        <v>0</v>
      </c>
      <c r="V4128" s="33">
        <f>Data!P4143</f>
        <v>0</v>
      </c>
    </row>
    <row r="4129" spans="7:22" x14ac:dyDescent="0.25">
      <c r="G4129">
        <f>Data!A4142</f>
        <v>0</v>
      </c>
      <c r="H4129" s="21">
        <f>Data!B4142</f>
        <v>0</v>
      </c>
      <c r="I4129" s="21">
        <f>Data!C4142</f>
        <v>0</v>
      </c>
      <c r="J4129">
        <f>Data!D4142</f>
        <v>0</v>
      </c>
      <c r="K4129">
        <f>Data!E4142</f>
        <v>0</v>
      </c>
      <c r="L4129">
        <f>Data!F4142</f>
        <v>0</v>
      </c>
      <c r="M4129">
        <f>Data!G4142</f>
        <v>0</v>
      </c>
      <c r="N4129">
        <f>Data!H4142</f>
        <v>0</v>
      </c>
      <c r="O4129">
        <f>Data!I4142</f>
        <v>0</v>
      </c>
      <c r="P4129" s="21">
        <f>Data!J4146</f>
        <v>0</v>
      </c>
      <c r="Q4129">
        <f>Data!K4146</f>
        <v>0</v>
      </c>
      <c r="R4129">
        <f>Data!L4146</f>
        <v>0</v>
      </c>
      <c r="S4129">
        <f>Data!M4146</f>
        <v>0</v>
      </c>
      <c r="T4129">
        <f>Data!N4146</f>
        <v>0</v>
      </c>
      <c r="U4129">
        <f>Data!O4146</f>
        <v>0</v>
      </c>
      <c r="V4129" s="33">
        <f>Data!P4144</f>
        <v>0</v>
      </c>
    </row>
    <row r="4130" spans="7:22" x14ac:dyDescent="0.25">
      <c r="G4130">
        <f>Data!A4143</f>
        <v>0</v>
      </c>
      <c r="H4130" s="21">
        <f>Data!B4143</f>
        <v>0</v>
      </c>
      <c r="I4130" s="21">
        <f>Data!C4143</f>
        <v>0</v>
      </c>
      <c r="J4130">
        <f>Data!D4143</f>
        <v>0</v>
      </c>
      <c r="K4130">
        <f>Data!E4143</f>
        <v>0</v>
      </c>
      <c r="L4130">
        <f>Data!F4143</f>
        <v>0</v>
      </c>
      <c r="M4130">
        <f>Data!G4143</f>
        <v>0</v>
      </c>
      <c r="N4130">
        <f>Data!H4143</f>
        <v>0</v>
      </c>
      <c r="O4130">
        <f>Data!I4143</f>
        <v>0</v>
      </c>
      <c r="P4130" s="21">
        <f>Data!J4147</f>
        <v>0</v>
      </c>
      <c r="Q4130">
        <f>Data!K4147</f>
        <v>0</v>
      </c>
      <c r="R4130">
        <f>Data!L4147</f>
        <v>0</v>
      </c>
      <c r="S4130">
        <f>Data!M4147</f>
        <v>0</v>
      </c>
      <c r="T4130">
        <f>Data!N4147</f>
        <v>0</v>
      </c>
      <c r="U4130">
        <f>Data!O4147</f>
        <v>0</v>
      </c>
      <c r="V4130" s="33">
        <f>Data!P4145</f>
        <v>0</v>
      </c>
    </row>
    <row r="4131" spans="7:22" x14ac:dyDescent="0.25">
      <c r="G4131">
        <f>Data!A4144</f>
        <v>0</v>
      </c>
      <c r="H4131" s="21">
        <f>Data!B4144</f>
        <v>0</v>
      </c>
      <c r="I4131" s="21">
        <f>Data!C4144</f>
        <v>0</v>
      </c>
      <c r="J4131">
        <f>Data!D4144</f>
        <v>0</v>
      </c>
      <c r="K4131">
        <f>Data!E4144</f>
        <v>0</v>
      </c>
      <c r="L4131">
        <f>Data!F4144</f>
        <v>0</v>
      </c>
      <c r="M4131">
        <f>Data!G4144</f>
        <v>0</v>
      </c>
      <c r="N4131">
        <f>Data!H4144</f>
        <v>0</v>
      </c>
      <c r="O4131">
        <f>Data!I4144</f>
        <v>0</v>
      </c>
      <c r="P4131" s="21">
        <f>Data!J4148</f>
        <v>0</v>
      </c>
      <c r="Q4131">
        <f>Data!K4148</f>
        <v>0</v>
      </c>
      <c r="R4131">
        <f>Data!L4148</f>
        <v>0</v>
      </c>
      <c r="S4131">
        <f>Data!M4148</f>
        <v>0</v>
      </c>
      <c r="T4131">
        <f>Data!N4148</f>
        <v>0</v>
      </c>
      <c r="U4131">
        <f>Data!O4148</f>
        <v>0</v>
      </c>
      <c r="V4131" s="33">
        <f>Data!P4146</f>
        <v>0</v>
      </c>
    </row>
    <row r="4132" spans="7:22" x14ac:dyDescent="0.25">
      <c r="G4132">
        <f>Data!A4145</f>
        <v>0</v>
      </c>
      <c r="H4132" s="21">
        <f>Data!B4145</f>
        <v>0</v>
      </c>
      <c r="I4132" s="21">
        <f>Data!C4145</f>
        <v>0</v>
      </c>
      <c r="J4132">
        <f>Data!D4145</f>
        <v>0</v>
      </c>
      <c r="K4132">
        <f>Data!E4145</f>
        <v>0</v>
      </c>
      <c r="L4132">
        <f>Data!F4145</f>
        <v>0</v>
      </c>
      <c r="M4132">
        <f>Data!G4145</f>
        <v>0</v>
      </c>
      <c r="N4132">
        <f>Data!H4145</f>
        <v>0</v>
      </c>
      <c r="O4132">
        <f>Data!I4145</f>
        <v>0</v>
      </c>
      <c r="P4132" s="21">
        <f>Data!J4149</f>
        <v>0</v>
      </c>
      <c r="Q4132">
        <f>Data!K4149</f>
        <v>0</v>
      </c>
      <c r="R4132">
        <f>Data!L4149</f>
        <v>0</v>
      </c>
      <c r="S4132">
        <f>Data!M4149</f>
        <v>0</v>
      </c>
      <c r="T4132">
        <f>Data!N4149</f>
        <v>0</v>
      </c>
      <c r="U4132">
        <f>Data!O4149</f>
        <v>0</v>
      </c>
      <c r="V4132" s="33">
        <f>Data!P4147</f>
        <v>0</v>
      </c>
    </row>
    <row r="4133" spans="7:22" x14ac:dyDescent="0.25">
      <c r="G4133">
        <f>Data!A4146</f>
        <v>0</v>
      </c>
      <c r="H4133" s="21">
        <f>Data!B4146</f>
        <v>0</v>
      </c>
      <c r="I4133" s="21">
        <f>Data!C4146</f>
        <v>0</v>
      </c>
      <c r="J4133">
        <f>Data!D4146</f>
        <v>0</v>
      </c>
      <c r="K4133">
        <f>Data!E4146</f>
        <v>0</v>
      </c>
      <c r="L4133">
        <f>Data!F4146</f>
        <v>0</v>
      </c>
      <c r="M4133">
        <f>Data!G4146</f>
        <v>0</v>
      </c>
      <c r="N4133">
        <f>Data!H4146</f>
        <v>0</v>
      </c>
      <c r="O4133">
        <f>Data!I4146</f>
        <v>0</v>
      </c>
      <c r="P4133" s="21">
        <f>Data!J4150</f>
        <v>0</v>
      </c>
      <c r="Q4133">
        <f>Data!K4150</f>
        <v>0</v>
      </c>
      <c r="R4133">
        <f>Data!L4150</f>
        <v>0</v>
      </c>
      <c r="S4133">
        <f>Data!M4150</f>
        <v>0</v>
      </c>
      <c r="T4133">
        <f>Data!N4150</f>
        <v>0</v>
      </c>
      <c r="U4133">
        <f>Data!O4150</f>
        <v>0</v>
      </c>
      <c r="V4133" s="33">
        <f>Data!P4148</f>
        <v>0</v>
      </c>
    </row>
    <row r="4134" spans="7:22" x14ac:dyDescent="0.25">
      <c r="G4134">
        <f>Data!A4147</f>
        <v>0</v>
      </c>
      <c r="H4134" s="21">
        <f>Data!B4147</f>
        <v>0</v>
      </c>
      <c r="I4134" s="21">
        <f>Data!C4147</f>
        <v>0</v>
      </c>
      <c r="J4134">
        <f>Data!D4147</f>
        <v>0</v>
      </c>
      <c r="K4134">
        <f>Data!E4147</f>
        <v>0</v>
      </c>
      <c r="L4134">
        <f>Data!F4147</f>
        <v>0</v>
      </c>
      <c r="M4134">
        <f>Data!G4147</f>
        <v>0</v>
      </c>
      <c r="N4134">
        <f>Data!H4147</f>
        <v>0</v>
      </c>
      <c r="O4134">
        <f>Data!I4147</f>
        <v>0</v>
      </c>
      <c r="P4134" s="21">
        <f>Data!J4151</f>
        <v>0</v>
      </c>
      <c r="Q4134">
        <f>Data!K4151</f>
        <v>0</v>
      </c>
      <c r="R4134">
        <f>Data!L4151</f>
        <v>0</v>
      </c>
      <c r="S4134">
        <f>Data!M4151</f>
        <v>0</v>
      </c>
      <c r="T4134">
        <f>Data!N4151</f>
        <v>0</v>
      </c>
      <c r="U4134">
        <f>Data!O4151</f>
        <v>0</v>
      </c>
      <c r="V4134" s="33">
        <f>Data!P4149</f>
        <v>0</v>
      </c>
    </row>
    <row r="4135" spans="7:22" x14ac:dyDescent="0.25">
      <c r="G4135">
        <f>Data!A4148</f>
        <v>0</v>
      </c>
      <c r="H4135" s="21">
        <f>Data!B4148</f>
        <v>0</v>
      </c>
      <c r="I4135" s="21">
        <f>Data!C4148</f>
        <v>0</v>
      </c>
      <c r="J4135">
        <f>Data!D4148</f>
        <v>0</v>
      </c>
      <c r="K4135">
        <f>Data!E4148</f>
        <v>0</v>
      </c>
      <c r="L4135">
        <f>Data!F4148</f>
        <v>0</v>
      </c>
      <c r="M4135">
        <f>Data!G4148</f>
        <v>0</v>
      </c>
      <c r="N4135">
        <f>Data!H4148</f>
        <v>0</v>
      </c>
      <c r="O4135">
        <f>Data!I4148</f>
        <v>0</v>
      </c>
      <c r="P4135" s="21">
        <f>Data!J4152</f>
        <v>0</v>
      </c>
      <c r="Q4135">
        <f>Data!K4152</f>
        <v>0</v>
      </c>
      <c r="R4135">
        <f>Data!L4152</f>
        <v>0</v>
      </c>
      <c r="S4135">
        <f>Data!M4152</f>
        <v>0</v>
      </c>
      <c r="T4135">
        <f>Data!N4152</f>
        <v>0</v>
      </c>
      <c r="U4135">
        <f>Data!O4152</f>
        <v>0</v>
      </c>
      <c r="V4135" s="33">
        <f>Data!P4150</f>
        <v>0</v>
      </c>
    </row>
    <row r="4136" spans="7:22" x14ac:dyDescent="0.25">
      <c r="G4136">
        <f>Data!A4149</f>
        <v>0</v>
      </c>
      <c r="H4136" s="21">
        <f>Data!B4149</f>
        <v>0</v>
      </c>
      <c r="I4136" s="21">
        <f>Data!C4149</f>
        <v>0</v>
      </c>
      <c r="J4136">
        <f>Data!D4149</f>
        <v>0</v>
      </c>
      <c r="K4136">
        <f>Data!E4149</f>
        <v>0</v>
      </c>
      <c r="L4136">
        <f>Data!F4149</f>
        <v>0</v>
      </c>
      <c r="M4136">
        <f>Data!G4149</f>
        <v>0</v>
      </c>
      <c r="N4136">
        <f>Data!H4149</f>
        <v>0</v>
      </c>
      <c r="O4136">
        <f>Data!I4149</f>
        <v>0</v>
      </c>
      <c r="P4136" s="21">
        <f>Data!J4153</f>
        <v>0</v>
      </c>
      <c r="Q4136">
        <f>Data!K4153</f>
        <v>0</v>
      </c>
      <c r="R4136">
        <f>Data!L4153</f>
        <v>0</v>
      </c>
      <c r="S4136">
        <f>Data!M4153</f>
        <v>0</v>
      </c>
      <c r="T4136">
        <f>Data!N4153</f>
        <v>0</v>
      </c>
      <c r="U4136">
        <f>Data!O4153</f>
        <v>0</v>
      </c>
      <c r="V4136" s="33">
        <f>Data!P4151</f>
        <v>0</v>
      </c>
    </row>
    <row r="4137" spans="7:22" x14ac:dyDescent="0.25">
      <c r="G4137">
        <f>Data!A4150</f>
        <v>0</v>
      </c>
      <c r="H4137" s="21">
        <f>Data!B4150</f>
        <v>0</v>
      </c>
      <c r="I4137" s="21">
        <f>Data!C4150</f>
        <v>0</v>
      </c>
      <c r="J4137">
        <f>Data!D4150</f>
        <v>0</v>
      </c>
      <c r="K4137">
        <f>Data!E4150</f>
        <v>0</v>
      </c>
      <c r="L4137">
        <f>Data!F4150</f>
        <v>0</v>
      </c>
      <c r="M4137">
        <f>Data!G4150</f>
        <v>0</v>
      </c>
      <c r="N4137">
        <f>Data!H4150</f>
        <v>0</v>
      </c>
      <c r="O4137">
        <f>Data!I4150</f>
        <v>0</v>
      </c>
      <c r="P4137" s="21">
        <f>Data!J4154</f>
        <v>0</v>
      </c>
      <c r="Q4137">
        <f>Data!K4154</f>
        <v>0</v>
      </c>
      <c r="R4137">
        <f>Data!L4154</f>
        <v>0</v>
      </c>
      <c r="S4137">
        <f>Data!M4154</f>
        <v>0</v>
      </c>
      <c r="T4137">
        <f>Data!N4154</f>
        <v>0</v>
      </c>
      <c r="U4137">
        <f>Data!O4154</f>
        <v>0</v>
      </c>
      <c r="V4137" s="33">
        <f>Data!P4152</f>
        <v>0</v>
      </c>
    </row>
    <row r="4138" spans="7:22" x14ac:dyDescent="0.25">
      <c r="G4138">
        <f>Data!A4151</f>
        <v>0</v>
      </c>
      <c r="H4138" s="21">
        <f>Data!B4151</f>
        <v>0</v>
      </c>
      <c r="I4138" s="21">
        <f>Data!C4151</f>
        <v>0</v>
      </c>
      <c r="J4138">
        <f>Data!D4151</f>
        <v>0</v>
      </c>
      <c r="K4138">
        <f>Data!E4151</f>
        <v>0</v>
      </c>
      <c r="L4138">
        <f>Data!F4151</f>
        <v>0</v>
      </c>
      <c r="M4138">
        <f>Data!G4151</f>
        <v>0</v>
      </c>
      <c r="N4138">
        <f>Data!H4151</f>
        <v>0</v>
      </c>
      <c r="O4138">
        <f>Data!I4151</f>
        <v>0</v>
      </c>
      <c r="P4138" s="21">
        <f>Data!J4155</f>
        <v>0</v>
      </c>
      <c r="Q4138">
        <f>Data!K4155</f>
        <v>0</v>
      </c>
      <c r="R4138">
        <f>Data!L4155</f>
        <v>0</v>
      </c>
      <c r="S4138">
        <f>Data!M4155</f>
        <v>0</v>
      </c>
      <c r="T4138">
        <f>Data!N4155</f>
        <v>0</v>
      </c>
      <c r="U4138">
        <f>Data!O4155</f>
        <v>0</v>
      </c>
      <c r="V4138" s="33">
        <f>Data!P4153</f>
        <v>0</v>
      </c>
    </row>
    <row r="4139" spans="7:22" x14ac:dyDescent="0.25">
      <c r="G4139">
        <f>Data!A4152</f>
        <v>0</v>
      </c>
      <c r="H4139" s="21">
        <f>Data!B4152</f>
        <v>0</v>
      </c>
      <c r="I4139" s="21">
        <f>Data!C4152</f>
        <v>0</v>
      </c>
      <c r="J4139">
        <f>Data!D4152</f>
        <v>0</v>
      </c>
      <c r="K4139">
        <f>Data!E4152</f>
        <v>0</v>
      </c>
      <c r="L4139">
        <f>Data!F4152</f>
        <v>0</v>
      </c>
      <c r="M4139">
        <f>Data!G4152</f>
        <v>0</v>
      </c>
      <c r="N4139">
        <f>Data!H4152</f>
        <v>0</v>
      </c>
      <c r="O4139">
        <f>Data!I4152</f>
        <v>0</v>
      </c>
      <c r="P4139" s="21">
        <f>Data!J4156</f>
        <v>0</v>
      </c>
      <c r="Q4139">
        <f>Data!K4156</f>
        <v>0</v>
      </c>
      <c r="R4139">
        <f>Data!L4156</f>
        <v>0</v>
      </c>
      <c r="S4139">
        <f>Data!M4156</f>
        <v>0</v>
      </c>
      <c r="T4139">
        <f>Data!N4156</f>
        <v>0</v>
      </c>
      <c r="U4139">
        <f>Data!O4156</f>
        <v>0</v>
      </c>
      <c r="V4139" s="33">
        <f>Data!P4154</f>
        <v>0</v>
      </c>
    </row>
    <row r="4140" spans="7:22" x14ac:dyDescent="0.25">
      <c r="G4140">
        <f>Data!A4153</f>
        <v>0</v>
      </c>
      <c r="H4140" s="21">
        <f>Data!B4153</f>
        <v>0</v>
      </c>
      <c r="I4140" s="21">
        <f>Data!C4153</f>
        <v>0</v>
      </c>
      <c r="J4140">
        <f>Data!D4153</f>
        <v>0</v>
      </c>
      <c r="K4140">
        <f>Data!E4153</f>
        <v>0</v>
      </c>
      <c r="L4140">
        <f>Data!F4153</f>
        <v>0</v>
      </c>
      <c r="M4140">
        <f>Data!G4153</f>
        <v>0</v>
      </c>
      <c r="N4140">
        <f>Data!H4153</f>
        <v>0</v>
      </c>
      <c r="O4140">
        <f>Data!I4153</f>
        <v>0</v>
      </c>
      <c r="P4140" s="21">
        <f>Data!J4157</f>
        <v>0</v>
      </c>
      <c r="Q4140">
        <f>Data!K4157</f>
        <v>0</v>
      </c>
      <c r="R4140">
        <f>Data!L4157</f>
        <v>0</v>
      </c>
      <c r="S4140">
        <f>Data!M4157</f>
        <v>0</v>
      </c>
      <c r="T4140">
        <f>Data!N4157</f>
        <v>0</v>
      </c>
      <c r="U4140">
        <f>Data!O4157</f>
        <v>0</v>
      </c>
      <c r="V4140" s="33">
        <f>Data!P4155</f>
        <v>0</v>
      </c>
    </row>
    <row r="4141" spans="7:22" x14ac:dyDescent="0.25">
      <c r="G4141">
        <f>Data!A4154</f>
        <v>0</v>
      </c>
      <c r="H4141" s="21">
        <f>Data!B4154</f>
        <v>0</v>
      </c>
      <c r="I4141" s="21">
        <f>Data!C4154</f>
        <v>0</v>
      </c>
      <c r="J4141">
        <f>Data!D4154</f>
        <v>0</v>
      </c>
      <c r="K4141">
        <f>Data!E4154</f>
        <v>0</v>
      </c>
      <c r="L4141">
        <f>Data!F4154</f>
        <v>0</v>
      </c>
      <c r="M4141">
        <f>Data!G4154</f>
        <v>0</v>
      </c>
      <c r="N4141">
        <f>Data!H4154</f>
        <v>0</v>
      </c>
      <c r="O4141">
        <f>Data!I4154</f>
        <v>0</v>
      </c>
      <c r="P4141" s="21">
        <f>Data!J4158</f>
        <v>0</v>
      </c>
      <c r="Q4141">
        <f>Data!K4158</f>
        <v>0</v>
      </c>
      <c r="R4141">
        <f>Data!L4158</f>
        <v>0</v>
      </c>
      <c r="S4141">
        <f>Data!M4158</f>
        <v>0</v>
      </c>
      <c r="T4141">
        <f>Data!N4158</f>
        <v>0</v>
      </c>
      <c r="U4141">
        <f>Data!O4158</f>
        <v>0</v>
      </c>
      <c r="V4141" s="33">
        <f>Data!P4156</f>
        <v>0</v>
      </c>
    </row>
    <row r="4142" spans="7:22" x14ac:dyDescent="0.25">
      <c r="G4142">
        <f>Data!A4155</f>
        <v>0</v>
      </c>
      <c r="H4142" s="21">
        <f>Data!B4155</f>
        <v>0</v>
      </c>
      <c r="I4142" s="21">
        <f>Data!C4155</f>
        <v>0</v>
      </c>
      <c r="J4142">
        <f>Data!D4155</f>
        <v>0</v>
      </c>
      <c r="K4142">
        <f>Data!E4155</f>
        <v>0</v>
      </c>
      <c r="L4142">
        <f>Data!F4155</f>
        <v>0</v>
      </c>
      <c r="M4142">
        <f>Data!G4155</f>
        <v>0</v>
      </c>
      <c r="N4142">
        <f>Data!H4155</f>
        <v>0</v>
      </c>
      <c r="O4142">
        <f>Data!I4155</f>
        <v>0</v>
      </c>
      <c r="P4142" s="21">
        <f>Data!J4159</f>
        <v>0</v>
      </c>
      <c r="Q4142">
        <f>Data!K4159</f>
        <v>0</v>
      </c>
      <c r="R4142">
        <f>Data!L4159</f>
        <v>0</v>
      </c>
      <c r="S4142">
        <f>Data!M4159</f>
        <v>0</v>
      </c>
      <c r="T4142">
        <f>Data!N4159</f>
        <v>0</v>
      </c>
      <c r="U4142">
        <f>Data!O4159</f>
        <v>0</v>
      </c>
      <c r="V4142" s="33">
        <f>Data!P4157</f>
        <v>0</v>
      </c>
    </row>
    <row r="4143" spans="7:22" x14ac:dyDescent="0.25">
      <c r="G4143">
        <f>Data!A4156</f>
        <v>0</v>
      </c>
      <c r="H4143" s="21">
        <f>Data!B4156</f>
        <v>0</v>
      </c>
      <c r="I4143" s="21">
        <f>Data!C4156</f>
        <v>0</v>
      </c>
      <c r="J4143">
        <f>Data!D4156</f>
        <v>0</v>
      </c>
      <c r="K4143">
        <f>Data!E4156</f>
        <v>0</v>
      </c>
      <c r="L4143">
        <f>Data!F4156</f>
        <v>0</v>
      </c>
      <c r="M4143">
        <f>Data!G4156</f>
        <v>0</v>
      </c>
      <c r="N4143">
        <f>Data!H4156</f>
        <v>0</v>
      </c>
      <c r="O4143">
        <f>Data!I4156</f>
        <v>0</v>
      </c>
      <c r="P4143" s="21">
        <f>Data!J4160</f>
        <v>0</v>
      </c>
      <c r="Q4143">
        <f>Data!K4160</f>
        <v>0</v>
      </c>
      <c r="R4143">
        <f>Data!L4160</f>
        <v>0</v>
      </c>
      <c r="S4143">
        <f>Data!M4160</f>
        <v>0</v>
      </c>
      <c r="T4143">
        <f>Data!N4160</f>
        <v>0</v>
      </c>
      <c r="U4143">
        <f>Data!O4160</f>
        <v>0</v>
      </c>
      <c r="V4143" s="33">
        <f>Data!P4158</f>
        <v>0</v>
      </c>
    </row>
    <row r="4144" spans="7:22" x14ac:dyDescent="0.25">
      <c r="G4144">
        <f>Data!A4157</f>
        <v>0</v>
      </c>
      <c r="H4144" s="21">
        <f>Data!B4157</f>
        <v>0</v>
      </c>
      <c r="I4144" s="21">
        <f>Data!C4157</f>
        <v>0</v>
      </c>
      <c r="J4144">
        <f>Data!D4157</f>
        <v>0</v>
      </c>
      <c r="K4144">
        <f>Data!E4157</f>
        <v>0</v>
      </c>
      <c r="L4144">
        <f>Data!F4157</f>
        <v>0</v>
      </c>
      <c r="M4144">
        <f>Data!G4157</f>
        <v>0</v>
      </c>
      <c r="N4144">
        <f>Data!H4157</f>
        <v>0</v>
      </c>
      <c r="O4144">
        <f>Data!I4157</f>
        <v>0</v>
      </c>
      <c r="P4144" s="21">
        <f>Data!J4161</f>
        <v>0</v>
      </c>
      <c r="Q4144">
        <f>Data!K4161</f>
        <v>0</v>
      </c>
      <c r="R4144">
        <f>Data!L4161</f>
        <v>0</v>
      </c>
      <c r="S4144">
        <f>Data!M4161</f>
        <v>0</v>
      </c>
      <c r="T4144">
        <f>Data!N4161</f>
        <v>0</v>
      </c>
      <c r="U4144">
        <f>Data!O4161</f>
        <v>0</v>
      </c>
      <c r="V4144" s="33">
        <f>Data!P4159</f>
        <v>0</v>
      </c>
    </row>
    <row r="4145" spans="7:22" x14ac:dyDescent="0.25">
      <c r="G4145">
        <f>Data!A4158</f>
        <v>0</v>
      </c>
      <c r="H4145" s="21">
        <f>Data!B4158</f>
        <v>0</v>
      </c>
      <c r="I4145" s="21">
        <f>Data!C4158</f>
        <v>0</v>
      </c>
      <c r="J4145">
        <f>Data!D4158</f>
        <v>0</v>
      </c>
      <c r="K4145">
        <f>Data!E4158</f>
        <v>0</v>
      </c>
      <c r="L4145">
        <f>Data!F4158</f>
        <v>0</v>
      </c>
      <c r="M4145">
        <f>Data!G4158</f>
        <v>0</v>
      </c>
      <c r="N4145">
        <f>Data!H4158</f>
        <v>0</v>
      </c>
      <c r="O4145">
        <f>Data!I4158</f>
        <v>0</v>
      </c>
      <c r="P4145" s="21">
        <f>Data!J4162</f>
        <v>0</v>
      </c>
      <c r="Q4145">
        <f>Data!K4162</f>
        <v>0</v>
      </c>
      <c r="R4145">
        <f>Data!L4162</f>
        <v>0</v>
      </c>
      <c r="S4145">
        <f>Data!M4162</f>
        <v>0</v>
      </c>
      <c r="T4145">
        <f>Data!N4162</f>
        <v>0</v>
      </c>
      <c r="U4145">
        <f>Data!O4162</f>
        <v>0</v>
      </c>
      <c r="V4145" s="33">
        <f>Data!P4160</f>
        <v>0</v>
      </c>
    </row>
    <row r="4146" spans="7:22" x14ac:dyDescent="0.25">
      <c r="G4146">
        <f>Data!A4159</f>
        <v>0</v>
      </c>
      <c r="H4146" s="21">
        <f>Data!B4159</f>
        <v>0</v>
      </c>
      <c r="I4146" s="21">
        <f>Data!C4159</f>
        <v>0</v>
      </c>
      <c r="J4146">
        <f>Data!D4159</f>
        <v>0</v>
      </c>
      <c r="K4146">
        <f>Data!E4159</f>
        <v>0</v>
      </c>
      <c r="L4146">
        <f>Data!F4159</f>
        <v>0</v>
      </c>
      <c r="M4146">
        <f>Data!G4159</f>
        <v>0</v>
      </c>
      <c r="N4146">
        <f>Data!H4159</f>
        <v>0</v>
      </c>
      <c r="O4146">
        <f>Data!I4159</f>
        <v>0</v>
      </c>
      <c r="P4146" s="21">
        <f>Data!J4163</f>
        <v>0</v>
      </c>
      <c r="Q4146">
        <f>Data!K4163</f>
        <v>0</v>
      </c>
      <c r="R4146">
        <f>Data!L4163</f>
        <v>0</v>
      </c>
      <c r="S4146">
        <f>Data!M4163</f>
        <v>0</v>
      </c>
      <c r="T4146">
        <f>Data!N4163</f>
        <v>0</v>
      </c>
      <c r="U4146">
        <f>Data!O4163</f>
        <v>0</v>
      </c>
      <c r="V4146" s="33">
        <f>Data!P4161</f>
        <v>0</v>
      </c>
    </row>
    <row r="4147" spans="7:22" x14ac:dyDescent="0.25">
      <c r="G4147">
        <f>Data!A4160</f>
        <v>0</v>
      </c>
      <c r="H4147" s="21">
        <f>Data!B4160</f>
        <v>0</v>
      </c>
      <c r="I4147" s="21">
        <f>Data!C4160</f>
        <v>0</v>
      </c>
      <c r="J4147">
        <f>Data!D4160</f>
        <v>0</v>
      </c>
      <c r="K4147">
        <f>Data!E4160</f>
        <v>0</v>
      </c>
      <c r="L4147">
        <f>Data!F4160</f>
        <v>0</v>
      </c>
      <c r="M4147">
        <f>Data!G4160</f>
        <v>0</v>
      </c>
      <c r="N4147">
        <f>Data!H4160</f>
        <v>0</v>
      </c>
      <c r="O4147">
        <f>Data!I4160</f>
        <v>0</v>
      </c>
      <c r="P4147" s="21">
        <f>Data!J4164</f>
        <v>0</v>
      </c>
      <c r="Q4147">
        <f>Data!K4164</f>
        <v>0</v>
      </c>
      <c r="R4147">
        <f>Data!L4164</f>
        <v>0</v>
      </c>
      <c r="S4147">
        <f>Data!M4164</f>
        <v>0</v>
      </c>
      <c r="T4147">
        <f>Data!N4164</f>
        <v>0</v>
      </c>
      <c r="U4147">
        <f>Data!O4164</f>
        <v>0</v>
      </c>
      <c r="V4147" s="33">
        <f>Data!P4162</f>
        <v>0</v>
      </c>
    </row>
    <row r="4148" spans="7:22" x14ac:dyDescent="0.25">
      <c r="G4148">
        <f>Data!A4161</f>
        <v>0</v>
      </c>
      <c r="H4148" s="21">
        <f>Data!B4161</f>
        <v>0</v>
      </c>
      <c r="I4148" s="21">
        <f>Data!C4161</f>
        <v>0</v>
      </c>
      <c r="J4148">
        <f>Data!D4161</f>
        <v>0</v>
      </c>
      <c r="K4148">
        <f>Data!E4161</f>
        <v>0</v>
      </c>
      <c r="L4148">
        <f>Data!F4161</f>
        <v>0</v>
      </c>
      <c r="M4148">
        <f>Data!G4161</f>
        <v>0</v>
      </c>
      <c r="N4148">
        <f>Data!H4161</f>
        <v>0</v>
      </c>
      <c r="O4148">
        <f>Data!I4161</f>
        <v>0</v>
      </c>
      <c r="P4148" s="21">
        <f>Data!J4165</f>
        <v>0</v>
      </c>
      <c r="Q4148">
        <f>Data!K4165</f>
        <v>0</v>
      </c>
      <c r="R4148">
        <f>Data!L4165</f>
        <v>0</v>
      </c>
      <c r="S4148">
        <f>Data!M4165</f>
        <v>0</v>
      </c>
      <c r="T4148">
        <f>Data!N4165</f>
        <v>0</v>
      </c>
      <c r="U4148">
        <f>Data!O4165</f>
        <v>0</v>
      </c>
      <c r="V4148" s="33">
        <f>Data!P4163</f>
        <v>0</v>
      </c>
    </row>
    <row r="4149" spans="7:22" x14ac:dyDescent="0.25">
      <c r="G4149">
        <f>Data!A4162</f>
        <v>0</v>
      </c>
      <c r="H4149" s="21">
        <f>Data!B4162</f>
        <v>0</v>
      </c>
      <c r="I4149" s="21">
        <f>Data!C4162</f>
        <v>0</v>
      </c>
      <c r="J4149">
        <f>Data!D4162</f>
        <v>0</v>
      </c>
      <c r="K4149">
        <f>Data!E4162</f>
        <v>0</v>
      </c>
      <c r="L4149">
        <f>Data!F4162</f>
        <v>0</v>
      </c>
      <c r="M4149">
        <f>Data!G4162</f>
        <v>0</v>
      </c>
      <c r="N4149">
        <f>Data!H4162</f>
        <v>0</v>
      </c>
      <c r="O4149">
        <f>Data!I4162</f>
        <v>0</v>
      </c>
      <c r="P4149" s="21">
        <f>Data!J4166</f>
        <v>0</v>
      </c>
      <c r="Q4149">
        <f>Data!K4166</f>
        <v>0</v>
      </c>
      <c r="R4149">
        <f>Data!L4166</f>
        <v>0</v>
      </c>
      <c r="S4149">
        <f>Data!M4166</f>
        <v>0</v>
      </c>
      <c r="T4149">
        <f>Data!N4166</f>
        <v>0</v>
      </c>
      <c r="U4149">
        <f>Data!O4166</f>
        <v>0</v>
      </c>
      <c r="V4149" s="33">
        <f>Data!P4164</f>
        <v>0</v>
      </c>
    </row>
    <row r="4150" spans="7:22" x14ac:dyDescent="0.25">
      <c r="G4150">
        <f>Data!A4163</f>
        <v>0</v>
      </c>
      <c r="H4150" s="21">
        <f>Data!B4163</f>
        <v>0</v>
      </c>
      <c r="I4150" s="21">
        <f>Data!C4163</f>
        <v>0</v>
      </c>
      <c r="J4150">
        <f>Data!D4163</f>
        <v>0</v>
      </c>
      <c r="K4150">
        <f>Data!E4163</f>
        <v>0</v>
      </c>
      <c r="L4150">
        <f>Data!F4163</f>
        <v>0</v>
      </c>
      <c r="M4150">
        <f>Data!G4163</f>
        <v>0</v>
      </c>
      <c r="N4150">
        <f>Data!H4163</f>
        <v>0</v>
      </c>
      <c r="O4150">
        <f>Data!I4163</f>
        <v>0</v>
      </c>
      <c r="P4150" s="21">
        <f>Data!J4167</f>
        <v>0</v>
      </c>
      <c r="Q4150">
        <f>Data!K4167</f>
        <v>0</v>
      </c>
      <c r="R4150">
        <f>Data!L4167</f>
        <v>0</v>
      </c>
      <c r="S4150">
        <f>Data!M4167</f>
        <v>0</v>
      </c>
      <c r="T4150">
        <f>Data!N4167</f>
        <v>0</v>
      </c>
      <c r="U4150">
        <f>Data!O4167</f>
        <v>0</v>
      </c>
      <c r="V4150" s="33">
        <f>Data!P4165</f>
        <v>0</v>
      </c>
    </row>
    <row r="4151" spans="7:22" x14ac:dyDescent="0.25">
      <c r="G4151">
        <f>Data!A4164</f>
        <v>0</v>
      </c>
      <c r="H4151" s="21">
        <f>Data!B4164</f>
        <v>0</v>
      </c>
      <c r="I4151" s="21">
        <f>Data!C4164</f>
        <v>0</v>
      </c>
      <c r="J4151">
        <f>Data!D4164</f>
        <v>0</v>
      </c>
      <c r="K4151">
        <f>Data!E4164</f>
        <v>0</v>
      </c>
      <c r="L4151">
        <f>Data!F4164</f>
        <v>0</v>
      </c>
      <c r="M4151">
        <f>Data!G4164</f>
        <v>0</v>
      </c>
      <c r="N4151">
        <f>Data!H4164</f>
        <v>0</v>
      </c>
      <c r="O4151">
        <f>Data!I4164</f>
        <v>0</v>
      </c>
      <c r="P4151" s="21">
        <f>Data!J4168</f>
        <v>0</v>
      </c>
      <c r="Q4151">
        <f>Data!K4168</f>
        <v>0</v>
      </c>
      <c r="R4151">
        <f>Data!L4168</f>
        <v>0</v>
      </c>
      <c r="S4151">
        <f>Data!M4168</f>
        <v>0</v>
      </c>
      <c r="T4151">
        <f>Data!N4168</f>
        <v>0</v>
      </c>
      <c r="U4151">
        <f>Data!O4168</f>
        <v>0</v>
      </c>
      <c r="V4151" s="33">
        <f>Data!P4166</f>
        <v>0</v>
      </c>
    </row>
    <row r="4152" spans="7:22" x14ac:dyDescent="0.25">
      <c r="G4152">
        <f>Data!A4165</f>
        <v>0</v>
      </c>
      <c r="H4152" s="21">
        <f>Data!B4165</f>
        <v>0</v>
      </c>
      <c r="I4152" s="21">
        <f>Data!C4165</f>
        <v>0</v>
      </c>
      <c r="J4152">
        <f>Data!D4165</f>
        <v>0</v>
      </c>
      <c r="K4152">
        <f>Data!E4165</f>
        <v>0</v>
      </c>
      <c r="L4152">
        <f>Data!F4165</f>
        <v>0</v>
      </c>
      <c r="M4152">
        <f>Data!G4165</f>
        <v>0</v>
      </c>
      <c r="N4152">
        <f>Data!H4165</f>
        <v>0</v>
      </c>
      <c r="O4152">
        <f>Data!I4165</f>
        <v>0</v>
      </c>
      <c r="P4152" s="21">
        <f>Data!J4169</f>
        <v>0</v>
      </c>
      <c r="Q4152">
        <f>Data!K4169</f>
        <v>0</v>
      </c>
      <c r="R4152">
        <f>Data!L4169</f>
        <v>0</v>
      </c>
      <c r="S4152">
        <f>Data!M4169</f>
        <v>0</v>
      </c>
      <c r="T4152">
        <f>Data!N4169</f>
        <v>0</v>
      </c>
      <c r="U4152">
        <f>Data!O4169</f>
        <v>0</v>
      </c>
      <c r="V4152" s="33">
        <f>Data!P4167</f>
        <v>0</v>
      </c>
    </row>
    <row r="4153" spans="7:22" x14ac:dyDescent="0.25">
      <c r="G4153">
        <f>Data!A4166</f>
        <v>0</v>
      </c>
      <c r="H4153" s="21">
        <f>Data!B4166</f>
        <v>0</v>
      </c>
      <c r="I4153" s="21">
        <f>Data!C4166</f>
        <v>0</v>
      </c>
      <c r="J4153">
        <f>Data!D4166</f>
        <v>0</v>
      </c>
      <c r="K4153">
        <f>Data!E4166</f>
        <v>0</v>
      </c>
      <c r="L4153">
        <f>Data!F4166</f>
        <v>0</v>
      </c>
      <c r="M4153">
        <f>Data!G4166</f>
        <v>0</v>
      </c>
      <c r="N4153">
        <f>Data!H4166</f>
        <v>0</v>
      </c>
      <c r="O4153">
        <f>Data!I4166</f>
        <v>0</v>
      </c>
      <c r="P4153" s="21">
        <f>Data!J4170</f>
        <v>0</v>
      </c>
      <c r="Q4153">
        <f>Data!K4170</f>
        <v>0</v>
      </c>
      <c r="R4153">
        <f>Data!L4170</f>
        <v>0</v>
      </c>
      <c r="S4153">
        <f>Data!M4170</f>
        <v>0</v>
      </c>
      <c r="T4153">
        <f>Data!N4170</f>
        <v>0</v>
      </c>
      <c r="U4153">
        <f>Data!O4170</f>
        <v>0</v>
      </c>
      <c r="V4153" s="33">
        <f>Data!P4168</f>
        <v>0</v>
      </c>
    </row>
    <row r="4154" spans="7:22" x14ac:dyDescent="0.25">
      <c r="G4154">
        <f>Data!A4167</f>
        <v>0</v>
      </c>
      <c r="H4154" s="21">
        <f>Data!B4167</f>
        <v>0</v>
      </c>
      <c r="I4154" s="21">
        <f>Data!C4167</f>
        <v>0</v>
      </c>
      <c r="J4154">
        <f>Data!D4167</f>
        <v>0</v>
      </c>
      <c r="K4154">
        <f>Data!E4167</f>
        <v>0</v>
      </c>
      <c r="L4154">
        <f>Data!F4167</f>
        <v>0</v>
      </c>
      <c r="M4154">
        <f>Data!G4167</f>
        <v>0</v>
      </c>
      <c r="N4154">
        <f>Data!H4167</f>
        <v>0</v>
      </c>
      <c r="O4154">
        <f>Data!I4167</f>
        <v>0</v>
      </c>
      <c r="P4154" s="21">
        <f>Data!J4171</f>
        <v>0</v>
      </c>
      <c r="Q4154">
        <f>Data!K4171</f>
        <v>0</v>
      </c>
      <c r="R4154">
        <f>Data!L4171</f>
        <v>0</v>
      </c>
      <c r="S4154">
        <f>Data!M4171</f>
        <v>0</v>
      </c>
      <c r="T4154">
        <f>Data!N4171</f>
        <v>0</v>
      </c>
      <c r="U4154">
        <f>Data!O4171</f>
        <v>0</v>
      </c>
      <c r="V4154" s="33">
        <f>Data!P4169</f>
        <v>0</v>
      </c>
    </row>
    <row r="4155" spans="7:22" x14ac:dyDescent="0.25">
      <c r="G4155">
        <f>Data!A4168</f>
        <v>0</v>
      </c>
      <c r="H4155" s="21">
        <f>Data!B4168</f>
        <v>0</v>
      </c>
      <c r="I4155" s="21">
        <f>Data!C4168</f>
        <v>0</v>
      </c>
      <c r="J4155">
        <f>Data!D4168</f>
        <v>0</v>
      </c>
      <c r="K4155">
        <f>Data!E4168</f>
        <v>0</v>
      </c>
      <c r="L4155">
        <f>Data!F4168</f>
        <v>0</v>
      </c>
      <c r="M4155">
        <f>Data!G4168</f>
        <v>0</v>
      </c>
      <c r="N4155">
        <f>Data!H4168</f>
        <v>0</v>
      </c>
      <c r="O4155">
        <f>Data!I4168</f>
        <v>0</v>
      </c>
      <c r="P4155" s="21">
        <f>Data!J4172</f>
        <v>0</v>
      </c>
      <c r="Q4155">
        <f>Data!K4172</f>
        <v>0</v>
      </c>
      <c r="R4155">
        <f>Data!L4172</f>
        <v>0</v>
      </c>
      <c r="S4155">
        <f>Data!M4172</f>
        <v>0</v>
      </c>
      <c r="T4155">
        <f>Data!N4172</f>
        <v>0</v>
      </c>
      <c r="U4155">
        <f>Data!O4172</f>
        <v>0</v>
      </c>
      <c r="V4155" s="33">
        <f>Data!P4170</f>
        <v>0</v>
      </c>
    </row>
    <row r="4156" spans="7:22" x14ac:dyDescent="0.25">
      <c r="G4156">
        <f>Data!A4169</f>
        <v>0</v>
      </c>
      <c r="H4156" s="21">
        <f>Data!B4169</f>
        <v>0</v>
      </c>
      <c r="I4156" s="21">
        <f>Data!C4169</f>
        <v>0</v>
      </c>
      <c r="J4156">
        <f>Data!D4169</f>
        <v>0</v>
      </c>
      <c r="K4156">
        <f>Data!E4169</f>
        <v>0</v>
      </c>
      <c r="L4156">
        <f>Data!F4169</f>
        <v>0</v>
      </c>
      <c r="M4156">
        <f>Data!G4169</f>
        <v>0</v>
      </c>
      <c r="N4156">
        <f>Data!H4169</f>
        <v>0</v>
      </c>
      <c r="O4156">
        <f>Data!I4169</f>
        <v>0</v>
      </c>
      <c r="P4156" s="21">
        <f>Data!J4173</f>
        <v>0</v>
      </c>
      <c r="Q4156">
        <f>Data!K4173</f>
        <v>0</v>
      </c>
      <c r="R4156">
        <f>Data!L4173</f>
        <v>0</v>
      </c>
      <c r="S4156">
        <f>Data!M4173</f>
        <v>0</v>
      </c>
      <c r="T4156">
        <f>Data!N4173</f>
        <v>0</v>
      </c>
      <c r="U4156">
        <f>Data!O4173</f>
        <v>0</v>
      </c>
      <c r="V4156" s="33">
        <f>Data!P4171</f>
        <v>0</v>
      </c>
    </row>
    <row r="4157" spans="7:22" x14ac:dyDescent="0.25">
      <c r="G4157">
        <f>Data!A4170</f>
        <v>0</v>
      </c>
      <c r="H4157" s="21">
        <f>Data!B4170</f>
        <v>0</v>
      </c>
      <c r="I4157" s="21">
        <f>Data!C4170</f>
        <v>0</v>
      </c>
      <c r="J4157">
        <f>Data!D4170</f>
        <v>0</v>
      </c>
      <c r="K4157">
        <f>Data!E4170</f>
        <v>0</v>
      </c>
      <c r="L4157">
        <f>Data!F4170</f>
        <v>0</v>
      </c>
      <c r="M4157">
        <f>Data!G4170</f>
        <v>0</v>
      </c>
      <c r="N4157">
        <f>Data!H4170</f>
        <v>0</v>
      </c>
      <c r="O4157">
        <f>Data!I4170</f>
        <v>0</v>
      </c>
      <c r="P4157" s="21">
        <f>Data!J4174</f>
        <v>0</v>
      </c>
      <c r="Q4157">
        <f>Data!K4174</f>
        <v>0</v>
      </c>
      <c r="R4157">
        <f>Data!L4174</f>
        <v>0</v>
      </c>
      <c r="S4157">
        <f>Data!M4174</f>
        <v>0</v>
      </c>
      <c r="T4157">
        <f>Data!N4174</f>
        <v>0</v>
      </c>
      <c r="U4157">
        <f>Data!O4174</f>
        <v>0</v>
      </c>
      <c r="V4157" s="33">
        <f>Data!P4172</f>
        <v>0</v>
      </c>
    </row>
    <row r="4158" spans="7:22" x14ac:dyDescent="0.25">
      <c r="G4158">
        <f>Data!A4171</f>
        <v>0</v>
      </c>
      <c r="H4158" s="21">
        <f>Data!B4171</f>
        <v>0</v>
      </c>
      <c r="I4158" s="21">
        <f>Data!C4171</f>
        <v>0</v>
      </c>
      <c r="J4158">
        <f>Data!D4171</f>
        <v>0</v>
      </c>
      <c r="K4158">
        <f>Data!E4171</f>
        <v>0</v>
      </c>
      <c r="L4158">
        <f>Data!F4171</f>
        <v>0</v>
      </c>
      <c r="M4158">
        <f>Data!G4171</f>
        <v>0</v>
      </c>
      <c r="N4158">
        <f>Data!H4171</f>
        <v>0</v>
      </c>
      <c r="O4158">
        <f>Data!I4171</f>
        <v>0</v>
      </c>
      <c r="P4158" s="21">
        <f>Data!J4175</f>
        <v>0</v>
      </c>
      <c r="Q4158">
        <f>Data!K4175</f>
        <v>0</v>
      </c>
      <c r="R4158">
        <f>Data!L4175</f>
        <v>0</v>
      </c>
      <c r="S4158">
        <f>Data!M4175</f>
        <v>0</v>
      </c>
      <c r="T4158">
        <f>Data!N4175</f>
        <v>0</v>
      </c>
      <c r="U4158">
        <f>Data!O4175</f>
        <v>0</v>
      </c>
      <c r="V4158" s="33">
        <f>Data!P4173</f>
        <v>0</v>
      </c>
    </row>
    <row r="4159" spans="7:22" x14ac:dyDescent="0.25">
      <c r="G4159">
        <f>Data!A4172</f>
        <v>0</v>
      </c>
      <c r="H4159" s="21">
        <f>Data!B4172</f>
        <v>0</v>
      </c>
      <c r="I4159" s="21">
        <f>Data!C4172</f>
        <v>0</v>
      </c>
      <c r="J4159">
        <f>Data!D4172</f>
        <v>0</v>
      </c>
      <c r="K4159">
        <f>Data!E4172</f>
        <v>0</v>
      </c>
      <c r="L4159">
        <f>Data!F4172</f>
        <v>0</v>
      </c>
      <c r="M4159">
        <f>Data!G4172</f>
        <v>0</v>
      </c>
      <c r="N4159">
        <f>Data!H4172</f>
        <v>0</v>
      </c>
      <c r="O4159">
        <f>Data!I4172</f>
        <v>0</v>
      </c>
      <c r="P4159" s="21">
        <f>Data!J4176</f>
        <v>0</v>
      </c>
      <c r="Q4159">
        <f>Data!K4176</f>
        <v>0</v>
      </c>
      <c r="R4159">
        <f>Data!L4176</f>
        <v>0</v>
      </c>
      <c r="S4159">
        <f>Data!M4176</f>
        <v>0</v>
      </c>
      <c r="T4159">
        <f>Data!N4176</f>
        <v>0</v>
      </c>
      <c r="U4159">
        <f>Data!O4176</f>
        <v>0</v>
      </c>
      <c r="V4159" s="33">
        <f>Data!P4174</f>
        <v>0</v>
      </c>
    </row>
    <row r="4160" spans="7:22" x14ac:dyDescent="0.25">
      <c r="G4160">
        <f>Data!A4173</f>
        <v>0</v>
      </c>
      <c r="H4160" s="21">
        <f>Data!B4173</f>
        <v>0</v>
      </c>
      <c r="I4160" s="21">
        <f>Data!C4173</f>
        <v>0</v>
      </c>
      <c r="J4160">
        <f>Data!D4173</f>
        <v>0</v>
      </c>
      <c r="K4160">
        <f>Data!E4173</f>
        <v>0</v>
      </c>
      <c r="L4160">
        <f>Data!F4173</f>
        <v>0</v>
      </c>
      <c r="M4160">
        <f>Data!G4173</f>
        <v>0</v>
      </c>
      <c r="N4160">
        <f>Data!H4173</f>
        <v>0</v>
      </c>
      <c r="O4160">
        <f>Data!I4173</f>
        <v>0</v>
      </c>
      <c r="P4160" s="21">
        <f>Data!J4177</f>
        <v>0</v>
      </c>
      <c r="Q4160">
        <f>Data!K4177</f>
        <v>0</v>
      </c>
      <c r="R4160">
        <f>Data!L4177</f>
        <v>0</v>
      </c>
      <c r="S4160">
        <f>Data!M4177</f>
        <v>0</v>
      </c>
      <c r="T4160">
        <f>Data!N4177</f>
        <v>0</v>
      </c>
      <c r="U4160">
        <f>Data!O4177</f>
        <v>0</v>
      </c>
      <c r="V4160" s="33">
        <f>Data!P4175</f>
        <v>0</v>
      </c>
    </row>
    <row r="4161" spans="7:22" x14ac:dyDescent="0.25">
      <c r="G4161">
        <f>Data!A4174</f>
        <v>0</v>
      </c>
      <c r="H4161" s="21">
        <f>Data!B4174</f>
        <v>0</v>
      </c>
      <c r="I4161" s="21">
        <f>Data!C4174</f>
        <v>0</v>
      </c>
      <c r="J4161">
        <f>Data!D4174</f>
        <v>0</v>
      </c>
      <c r="K4161">
        <f>Data!E4174</f>
        <v>0</v>
      </c>
      <c r="L4161">
        <f>Data!F4174</f>
        <v>0</v>
      </c>
      <c r="M4161">
        <f>Data!G4174</f>
        <v>0</v>
      </c>
      <c r="N4161">
        <f>Data!H4174</f>
        <v>0</v>
      </c>
      <c r="O4161">
        <f>Data!I4174</f>
        <v>0</v>
      </c>
      <c r="P4161" s="21">
        <f>Data!J4178</f>
        <v>0</v>
      </c>
      <c r="Q4161">
        <f>Data!K4178</f>
        <v>0</v>
      </c>
      <c r="R4161">
        <f>Data!L4178</f>
        <v>0</v>
      </c>
      <c r="S4161">
        <f>Data!M4178</f>
        <v>0</v>
      </c>
      <c r="T4161">
        <f>Data!N4178</f>
        <v>0</v>
      </c>
      <c r="U4161">
        <f>Data!O4178</f>
        <v>0</v>
      </c>
      <c r="V4161" s="33">
        <f>Data!P4176</f>
        <v>0</v>
      </c>
    </row>
    <row r="4162" spans="7:22" x14ac:dyDescent="0.25">
      <c r="G4162">
        <f>Data!A4175</f>
        <v>0</v>
      </c>
      <c r="H4162" s="21">
        <f>Data!B4175</f>
        <v>0</v>
      </c>
      <c r="I4162" s="21">
        <f>Data!C4175</f>
        <v>0</v>
      </c>
      <c r="J4162">
        <f>Data!D4175</f>
        <v>0</v>
      </c>
      <c r="K4162">
        <f>Data!E4175</f>
        <v>0</v>
      </c>
      <c r="L4162">
        <f>Data!F4175</f>
        <v>0</v>
      </c>
      <c r="M4162">
        <f>Data!G4175</f>
        <v>0</v>
      </c>
      <c r="N4162">
        <f>Data!H4175</f>
        <v>0</v>
      </c>
      <c r="O4162">
        <f>Data!I4175</f>
        <v>0</v>
      </c>
      <c r="P4162" s="21">
        <f>Data!J4179</f>
        <v>0</v>
      </c>
      <c r="Q4162">
        <f>Data!K4179</f>
        <v>0</v>
      </c>
      <c r="R4162">
        <f>Data!L4179</f>
        <v>0</v>
      </c>
      <c r="S4162">
        <f>Data!M4179</f>
        <v>0</v>
      </c>
      <c r="T4162">
        <f>Data!N4179</f>
        <v>0</v>
      </c>
      <c r="U4162">
        <f>Data!O4179</f>
        <v>0</v>
      </c>
      <c r="V4162" s="33">
        <f>Data!P4177</f>
        <v>0</v>
      </c>
    </row>
    <row r="4163" spans="7:22" x14ac:dyDescent="0.25">
      <c r="G4163">
        <f>Data!A4176</f>
        <v>0</v>
      </c>
      <c r="H4163" s="21">
        <f>Data!B4176</f>
        <v>0</v>
      </c>
      <c r="I4163" s="21">
        <f>Data!C4176</f>
        <v>0</v>
      </c>
      <c r="J4163">
        <f>Data!D4176</f>
        <v>0</v>
      </c>
      <c r="K4163">
        <f>Data!E4176</f>
        <v>0</v>
      </c>
      <c r="L4163">
        <f>Data!F4176</f>
        <v>0</v>
      </c>
      <c r="M4163">
        <f>Data!G4176</f>
        <v>0</v>
      </c>
      <c r="N4163">
        <f>Data!H4176</f>
        <v>0</v>
      </c>
      <c r="O4163">
        <f>Data!I4176</f>
        <v>0</v>
      </c>
      <c r="P4163" s="21">
        <f>Data!J4180</f>
        <v>0</v>
      </c>
      <c r="Q4163">
        <f>Data!K4180</f>
        <v>0</v>
      </c>
      <c r="R4163">
        <f>Data!L4180</f>
        <v>0</v>
      </c>
      <c r="S4163">
        <f>Data!M4180</f>
        <v>0</v>
      </c>
      <c r="T4163">
        <f>Data!N4180</f>
        <v>0</v>
      </c>
      <c r="U4163">
        <f>Data!O4180</f>
        <v>0</v>
      </c>
      <c r="V4163" s="33">
        <f>Data!P4178</f>
        <v>0</v>
      </c>
    </row>
    <row r="4164" spans="7:22" x14ac:dyDescent="0.25">
      <c r="G4164">
        <f>Data!A4177</f>
        <v>0</v>
      </c>
      <c r="H4164" s="21">
        <f>Data!B4177</f>
        <v>0</v>
      </c>
      <c r="I4164" s="21">
        <f>Data!C4177</f>
        <v>0</v>
      </c>
      <c r="J4164">
        <f>Data!D4177</f>
        <v>0</v>
      </c>
      <c r="K4164">
        <f>Data!E4177</f>
        <v>0</v>
      </c>
      <c r="L4164">
        <f>Data!F4177</f>
        <v>0</v>
      </c>
      <c r="M4164">
        <f>Data!G4177</f>
        <v>0</v>
      </c>
      <c r="N4164">
        <f>Data!H4177</f>
        <v>0</v>
      </c>
      <c r="O4164">
        <f>Data!I4177</f>
        <v>0</v>
      </c>
      <c r="P4164" s="21">
        <f>Data!J4181</f>
        <v>0</v>
      </c>
      <c r="Q4164">
        <f>Data!K4181</f>
        <v>0</v>
      </c>
      <c r="R4164">
        <f>Data!L4181</f>
        <v>0</v>
      </c>
      <c r="S4164">
        <f>Data!M4181</f>
        <v>0</v>
      </c>
      <c r="T4164">
        <f>Data!N4181</f>
        <v>0</v>
      </c>
      <c r="U4164">
        <f>Data!O4181</f>
        <v>0</v>
      </c>
      <c r="V4164" s="33">
        <f>Data!P4179</f>
        <v>0</v>
      </c>
    </row>
    <row r="4165" spans="7:22" x14ac:dyDescent="0.25">
      <c r="G4165">
        <f>Data!A4178</f>
        <v>0</v>
      </c>
      <c r="H4165" s="21">
        <f>Data!B4178</f>
        <v>0</v>
      </c>
      <c r="I4165" s="21">
        <f>Data!C4178</f>
        <v>0</v>
      </c>
      <c r="J4165">
        <f>Data!D4178</f>
        <v>0</v>
      </c>
      <c r="K4165">
        <f>Data!E4178</f>
        <v>0</v>
      </c>
      <c r="L4165">
        <f>Data!F4178</f>
        <v>0</v>
      </c>
      <c r="M4165">
        <f>Data!G4178</f>
        <v>0</v>
      </c>
      <c r="N4165">
        <f>Data!H4178</f>
        <v>0</v>
      </c>
      <c r="O4165">
        <f>Data!I4178</f>
        <v>0</v>
      </c>
      <c r="P4165" s="21">
        <f>Data!J4182</f>
        <v>0</v>
      </c>
      <c r="Q4165">
        <f>Data!K4182</f>
        <v>0</v>
      </c>
      <c r="R4165">
        <f>Data!L4182</f>
        <v>0</v>
      </c>
      <c r="S4165">
        <f>Data!M4182</f>
        <v>0</v>
      </c>
      <c r="T4165">
        <f>Data!N4182</f>
        <v>0</v>
      </c>
      <c r="U4165">
        <f>Data!O4182</f>
        <v>0</v>
      </c>
      <c r="V4165" s="33">
        <f>Data!P4180</f>
        <v>0</v>
      </c>
    </row>
    <row r="4166" spans="7:22" x14ac:dyDescent="0.25">
      <c r="G4166">
        <f>Data!A4179</f>
        <v>0</v>
      </c>
      <c r="H4166" s="21">
        <f>Data!B4179</f>
        <v>0</v>
      </c>
      <c r="I4166" s="21">
        <f>Data!C4179</f>
        <v>0</v>
      </c>
      <c r="J4166">
        <f>Data!D4179</f>
        <v>0</v>
      </c>
      <c r="K4166">
        <f>Data!E4179</f>
        <v>0</v>
      </c>
      <c r="L4166">
        <f>Data!F4179</f>
        <v>0</v>
      </c>
      <c r="M4166">
        <f>Data!G4179</f>
        <v>0</v>
      </c>
      <c r="N4166">
        <f>Data!H4179</f>
        <v>0</v>
      </c>
      <c r="O4166">
        <f>Data!I4179</f>
        <v>0</v>
      </c>
      <c r="P4166" s="21">
        <f>Data!J4183</f>
        <v>0</v>
      </c>
      <c r="Q4166">
        <f>Data!K4183</f>
        <v>0</v>
      </c>
      <c r="R4166">
        <f>Data!L4183</f>
        <v>0</v>
      </c>
      <c r="S4166">
        <f>Data!M4183</f>
        <v>0</v>
      </c>
      <c r="T4166">
        <f>Data!N4183</f>
        <v>0</v>
      </c>
      <c r="U4166">
        <f>Data!O4183</f>
        <v>0</v>
      </c>
      <c r="V4166" s="33">
        <f>Data!P4181</f>
        <v>0</v>
      </c>
    </row>
    <row r="4167" spans="7:22" x14ac:dyDescent="0.25">
      <c r="G4167">
        <f>Data!A4180</f>
        <v>0</v>
      </c>
      <c r="H4167" s="21">
        <f>Data!B4180</f>
        <v>0</v>
      </c>
      <c r="I4167" s="21">
        <f>Data!C4180</f>
        <v>0</v>
      </c>
      <c r="J4167">
        <f>Data!D4180</f>
        <v>0</v>
      </c>
      <c r="K4167">
        <f>Data!E4180</f>
        <v>0</v>
      </c>
      <c r="L4167">
        <f>Data!F4180</f>
        <v>0</v>
      </c>
      <c r="M4167">
        <f>Data!G4180</f>
        <v>0</v>
      </c>
      <c r="N4167">
        <f>Data!H4180</f>
        <v>0</v>
      </c>
      <c r="O4167">
        <f>Data!I4180</f>
        <v>0</v>
      </c>
      <c r="P4167" s="21">
        <f>Data!J4184</f>
        <v>0</v>
      </c>
      <c r="Q4167">
        <f>Data!K4184</f>
        <v>0</v>
      </c>
      <c r="R4167">
        <f>Data!L4184</f>
        <v>0</v>
      </c>
      <c r="S4167">
        <f>Data!M4184</f>
        <v>0</v>
      </c>
      <c r="T4167">
        <f>Data!N4184</f>
        <v>0</v>
      </c>
      <c r="U4167">
        <f>Data!O4184</f>
        <v>0</v>
      </c>
      <c r="V4167" s="33">
        <f>Data!P4182</f>
        <v>0</v>
      </c>
    </row>
    <row r="4168" spans="7:22" x14ac:dyDescent="0.25">
      <c r="G4168">
        <f>Data!A4181</f>
        <v>0</v>
      </c>
      <c r="H4168" s="21">
        <f>Data!B4181</f>
        <v>0</v>
      </c>
      <c r="I4168" s="21">
        <f>Data!C4181</f>
        <v>0</v>
      </c>
      <c r="J4168">
        <f>Data!D4181</f>
        <v>0</v>
      </c>
      <c r="K4168">
        <f>Data!E4181</f>
        <v>0</v>
      </c>
      <c r="L4168">
        <f>Data!F4181</f>
        <v>0</v>
      </c>
      <c r="M4168">
        <f>Data!G4181</f>
        <v>0</v>
      </c>
      <c r="N4168">
        <f>Data!H4181</f>
        <v>0</v>
      </c>
      <c r="O4168">
        <f>Data!I4181</f>
        <v>0</v>
      </c>
      <c r="P4168" s="21">
        <f>Data!J4185</f>
        <v>0</v>
      </c>
      <c r="Q4168">
        <f>Data!K4185</f>
        <v>0</v>
      </c>
      <c r="R4168">
        <f>Data!L4185</f>
        <v>0</v>
      </c>
      <c r="S4168">
        <f>Data!M4185</f>
        <v>0</v>
      </c>
      <c r="T4168">
        <f>Data!N4185</f>
        <v>0</v>
      </c>
      <c r="U4168">
        <f>Data!O4185</f>
        <v>0</v>
      </c>
      <c r="V4168" s="33">
        <f>Data!P4183</f>
        <v>0</v>
      </c>
    </row>
    <row r="4169" spans="7:22" x14ac:dyDescent="0.25">
      <c r="G4169">
        <f>Data!A4182</f>
        <v>0</v>
      </c>
      <c r="H4169" s="21">
        <f>Data!B4182</f>
        <v>0</v>
      </c>
      <c r="I4169" s="21">
        <f>Data!C4182</f>
        <v>0</v>
      </c>
      <c r="J4169">
        <f>Data!D4182</f>
        <v>0</v>
      </c>
      <c r="K4169">
        <f>Data!E4182</f>
        <v>0</v>
      </c>
      <c r="L4169">
        <f>Data!F4182</f>
        <v>0</v>
      </c>
      <c r="M4169">
        <f>Data!G4182</f>
        <v>0</v>
      </c>
      <c r="N4169">
        <f>Data!H4182</f>
        <v>0</v>
      </c>
      <c r="O4169">
        <f>Data!I4182</f>
        <v>0</v>
      </c>
      <c r="P4169" s="21">
        <f>Data!J4186</f>
        <v>0</v>
      </c>
      <c r="Q4169">
        <f>Data!K4186</f>
        <v>0</v>
      </c>
      <c r="R4169">
        <f>Data!L4186</f>
        <v>0</v>
      </c>
      <c r="S4169">
        <f>Data!M4186</f>
        <v>0</v>
      </c>
      <c r="T4169">
        <f>Data!N4186</f>
        <v>0</v>
      </c>
      <c r="U4169">
        <f>Data!O4186</f>
        <v>0</v>
      </c>
      <c r="V4169" s="33">
        <f>Data!P4184</f>
        <v>0</v>
      </c>
    </row>
    <row r="4170" spans="7:22" x14ac:dyDescent="0.25">
      <c r="G4170">
        <f>Data!A4183</f>
        <v>0</v>
      </c>
      <c r="H4170" s="21">
        <f>Data!B4183</f>
        <v>0</v>
      </c>
      <c r="I4170" s="21">
        <f>Data!C4183</f>
        <v>0</v>
      </c>
      <c r="J4170">
        <f>Data!D4183</f>
        <v>0</v>
      </c>
      <c r="K4170">
        <f>Data!E4183</f>
        <v>0</v>
      </c>
      <c r="L4170">
        <f>Data!F4183</f>
        <v>0</v>
      </c>
      <c r="M4170">
        <f>Data!G4183</f>
        <v>0</v>
      </c>
      <c r="N4170">
        <f>Data!H4183</f>
        <v>0</v>
      </c>
      <c r="O4170">
        <f>Data!I4183</f>
        <v>0</v>
      </c>
      <c r="P4170" s="21">
        <f>Data!J4187</f>
        <v>0</v>
      </c>
      <c r="Q4170">
        <f>Data!K4187</f>
        <v>0</v>
      </c>
      <c r="R4170">
        <f>Data!L4187</f>
        <v>0</v>
      </c>
      <c r="S4170">
        <f>Data!M4187</f>
        <v>0</v>
      </c>
      <c r="T4170">
        <f>Data!N4187</f>
        <v>0</v>
      </c>
      <c r="U4170">
        <f>Data!O4187</f>
        <v>0</v>
      </c>
      <c r="V4170" s="33">
        <f>Data!P4185</f>
        <v>0</v>
      </c>
    </row>
    <row r="4171" spans="7:22" x14ac:dyDescent="0.25">
      <c r="G4171">
        <f>Data!A4184</f>
        <v>0</v>
      </c>
      <c r="H4171" s="21">
        <f>Data!B4184</f>
        <v>0</v>
      </c>
      <c r="I4171" s="21">
        <f>Data!C4184</f>
        <v>0</v>
      </c>
      <c r="J4171">
        <f>Data!D4184</f>
        <v>0</v>
      </c>
      <c r="K4171">
        <f>Data!E4184</f>
        <v>0</v>
      </c>
      <c r="L4171">
        <f>Data!F4184</f>
        <v>0</v>
      </c>
      <c r="M4171">
        <f>Data!G4184</f>
        <v>0</v>
      </c>
      <c r="N4171">
        <f>Data!H4184</f>
        <v>0</v>
      </c>
      <c r="O4171">
        <f>Data!I4184</f>
        <v>0</v>
      </c>
      <c r="P4171" s="21">
        <f>Data!J4188</f>
        <v>0</v>
      </c>
      <c r="Q4171">
        <f>Data!K4188</f>
        <v>0</v>
      </c>
      <c r="R4171">
        <f>Data!L4188</f>
        <v>0</v>
      </c>
      <c r="S4171">
        <f>Data!M4188</f>
        <v>0</v>
      </c>
      <c r="T4171">
        <f>Data!N4188</f>
        <v>0</v>
      </c>
      <c r="U4171">
        <f>Data!O4188</f>
        <v>0</v>
      </c>
      <c r="V4171" s="33">
        <f>Data!P4186</f>
        <v>0</v>
      </c>
    </row>
    <row r="4172" spans="7:22" x14ac:dyDescent="0.25">
      <c r="G4172">
        <f>Data!A4185</f>
        <v>0</v>
      </c>
      <c r="H4172" s="21">
        <f>Data!B4185</f>
        <v>0</v>
      </c>
      <c r="I4172" s="21">
        <f>Data!C4185</f>
        <v>0</v>
      </c>
      <c r="J4172">
        <f>Data!D4185</f>
        <v>0</v>
      </c>
      <c r="K4172">
        <f>Data!E4185</f>
        <v>0</v>
      </c>
      <c r="L4172">
        <f>Data!F4185</f>
        <v>0</v>
      </c>
      <c r="M4172">
        <f>Data!G4185</f>
        <v>0</v>
      </c>
      <c r="N4172">
        <f>Data!H4185</f>
        <v>0</v>
      </c>
      <c r="O4172">
        <f>Data!I4185</f>
        <v>0</v>
      </c>
      <c r="P4172" s="21">
        <f>Data!J4189</f>
        <v>0</v>
      </c>
      <c r="Q4172">
        <f>Data!K4189</f>
        <v>0</v>
      </c>
      <c r="R4172">
        <f>Data!L4189</f>
        <v>0</v>
      </c>
      <c r="S4172">
        <f>Data!M4189</f>
        <v>0</v>
      </c>
      <c r="T4172">
        <f>Data!N4189</f>
        <v>0</v>
      </c>
      <c r="U4172">
        <f>Data!O4189</f>
        <v>0</v>
      </c>
      <c r="V4172" s="33">
        <f>Data!P4187</f>
        <v>0</v>
      </c>
    </row>
    <row r="4173" spans="7:22" x14ac:dyDescent="0.25">
      <c r="G4173">
        <f>Data!A4186</f>
        <v>0</v>
      </c>
      <c r="H4173" s="21">
        <f>Data!B4186</f>
        <v>0</v>
      </c>
      <c r="I4173" s="21">
        <f>Data!C4186</f>
        <v>0</v>
      </c>
      <c r="J4173">
        <f>Data!D4186</f>
        <v>0</v>
      </c>
      <c r="K4173">
        <f>Data!E4186</f>
        <v>0</v>
      </c>
      <c r="L4173">
        <f>Data!F4186</f>
        <v>0</v>
      </c>
      <c r="M4173">
        <f>Data!G4186</f>
        <v>0</v>
      </c>
      <c r="N4173">
        <f>Data!H4186</f>
        <v>0</v>
      </c>
      <c r="O4173">
        <f>Data!I4186</f>
        <v>0</v>
      </c>
      <c r="P4173" s="21">
        <f>Data!J4190</f>
        <v>0</v>
      </c>
      <c r="Q4173">
        <f>Data!K4190</f>
        <v>0</v>
      </c>
      <c r="R4173">
        <f>Data!L4190</f>
        <v>0</v>
      </c>
      <c r="S4173">
        <f>Data!M4190</f>
        <v>0</v>
      </c>
      <c r="T4173">
        <f>Data!N4190</f>
        <v>0</v>
      </c>
      <c r="U4173">
        <f>Data!O4190</f>
        <v>0</v>
      </c>
      <c r="V4173" s="33">
        <f>Data!P4188</f>
        <v>0</v>
      </c>
    </row>
    <row r="4174" spans="7:22" x14ac:dyDescent="0.25">
      <c r="G4174">
        <f>Data!A4187</f>
        <v>0</v>
      </c>
      <c r="H4174" s="21">
        <f>Data!B4187</f>
        <v>0</v>
      </c>
      <c r="I4174" s="21">
        <f>Data!C4187</f>
        <v>0</v>
      </c>
      <c r="J4174">
        <f>Data!D4187</f>
        <v>0</v>
      </c>
      <c r="K4174">
        <f>Data!E4187</f>
        <v>0</v>
      </c>
      <c r="L4174">
        <f>Data!F4187</f>
        <v>0</v>
      </c>
      <c r="M4174">
        <f>Data!G4187</f>
        <v>0</v>
      </c>
      <c r="N4174">
        <f>Data!H4187</f>
        <v>0</v>
      </c>
      <c r="O4174">
        <f>Data!I4187</f>
        <v>0</v>
      </c>
      <c r="P4174" s="21">
        <f>Data!J4191</f>
        <v>0</v>
      </c>
      <c r="Q4174">
        <f>Data!K4191</f>
        <v>0</v>
      </c>
      <c r="R4174">
        <f>Data!L4191</f>
        <v>0</v>
      </c>
      <c r="S4174">
        <f>Data!M4191</f>
        <v>0</v>
      </c>
      <c r="T4174">
        <f>Data!N4191</f>
        <v>0</v>
      </c>
      <c r="U4174">
        <f>Data!O4191</f>
        <v>0</v>
      </c>
      <c r="V4174" s="33">
        <f>Data!P4189</f>
        <v>0</v>
      </c>
    </row>
    <row r="4175" spans="7:22" x14ac:dyDescent="0.25">
      <c r="G4175">
        <f>Data!A4188</f>
        <v>0</v>
      </c>
      <c r="H4175" s="21">
        <f>Data!B4188</f>
        <v>0</v>
      </c>
      <c r="I4175" s="21">
        <f>Data!C4188</f>
        <v>0</v>
      </c>
      <c r="J4175">
        <f>Data!D4188</f>
        <v>0</v>
      </c>
      <c r="K4175">
        <f>Data!E4188</f>
        <v>0</v>
      </c>
      <c r="L4175">
        <f>Data!F4188</f>
        <v>0</v>
      </c>
      <c r="M4175">
        <f>Data!G4188</f>
        <v>0</v>
      </c>
      <c r="N4175">
        <f>Data!H4188</f>
        <v>0</v>
      </c>
      <c r="O4175">
        <f>Data!I4188</f>
        <v>0</v>
      </c>
      <c r="P4175" s="21">
        <f>Data!J4192</f>
        <v>0</v>
      </c>
      <c r="Q4175">
        <f>Data!K4192</f>
        <v>0</v>
      </c>
      <c r="R4175">
        <f>Data!L4192</f>
        <v>0</v>
      </c>
      <c r="S4175">
        <f>Data!M4192</f>
        <v>0</v>
      </c>
      <c r="T4175">
        <f>Data!N4192</f>
        <v>0</v>
      </c>
      <c r="U4175">
        <f>Data!O4192</f>
        <v>0</v>
      </c>
      <c r="V4175" s="33">
        <f>Data!P4190</f>
        <v>0</v>
      </c>
    </row>
    <row r="4176" spans="7:22" x14ac:dyDescent="0.25">
      <c r="G4176">
        <f>Data!A4189</f>
        <v>0</v>
      </c>
      <c r="H4176" s="21">
        <f>Data!B4189</f>
        <v>0</v>
      </c>
      <c r="I4176" s="21">
        <f>Data!C4189</f>
        <v>0</v>
      </c>
      <c r="J4176">
        <f>Data!D4189</f>
        <v>0</v>
      </c>
      <c r="K4176">
        <f>Data!E4189</f>
        <v>0</v>
      </c>
      <c r="L4176">
        <f>Data!F4189</f>
        <v>0</v>
      </c>
      <c r="M4176">
        <f>Data!G4189</f>
        <v>0</v>
      </c>
      <c r="N4176">
        <f>Data!H4189</f>
        <v>0</v>
      </c>
      <c r="O4176">
        <f>Data!I4189</f>
        <v>0</v>
      </c>
      <c r="P4176" s="21">
        <f>Data!J4193</f>
        <v>0</v>
      </c>
      <c r="Q4176">
        <f>Data!K4193</f>
        <v>0</v>
      </c>
      <c r="R4176">
        <f>Data!L4193</f>
        <v>0</v>
      </c>
      <c r="S4176">
        <f>Data!M4193</f>
        <v>0</v>
      </c>
      <c r="T4176">
        <f>Data!N4193</f>
        <v>0</v>
      </c>
      <c r="U4176">
        <f>Data!O4193</f>
        <v>0</v>
      </c>
      <c r="V4176" s="33">
        <f>Data!P4191</f>
        <v>0</v>
      </c>
    </row>
    <row r="4177" spans="7:22" x14ac:dyDescent="0.25">
      <c r="G4177">
        <f>Data!A4190</f>
        <v>0</v>
      </c>
      <c r="H4177" s="21">
        <f>Data!B4190</f>
        <v>0</v>
      </c>
      <c r="I4177" s="21">
        <f>Data!C4190</f>
        <v>0</v>
      </c>
      <c r="J4177">
        <f>Data!D4190</f>
        <v>0</v>
      </c>
      <c r="K4177">
        <f>Data!E4190</f>
        <v>0</v>
      </c>
      <c r="L4177">
        <f>Data!F4190</f>
        <v>0</v>
      </c>
      <c r="M4177">
        <f>Data!G4190</f>
        <v>0</v>
      </c>
      <c r="N4177">
        <f>Data!H4190</f>
        <v>0</v>
      </c>
      <c r="O4177">
        <f>Data!I4190</f>
        <v>0</v>
      </c>
      <c r="P4177" s="21">
        <f>Data!J4194</f>
        <v>0</v>
      </c>
      <c r="Q4177">
        <f>Data!K4194</f>
        <v>0</v>
      </c>
      <c r="R4177">
        <f>Data!L4194</f>
        <v>0</v>
      </c>
      <c r="S4177">
        <f>Data!M4194</f>
        <v>0</v>
      </c>
      <c r="T4177">
        <f>Data!N4194</f>
        <v>0</v>
      </c>
      <c r="U4177">
        <f>Data!O4194</f>
        <v>0</v>
      </c>
      <c r="V4177" s="33">
        <f>Data!P4192</f>
        <v>0</v>
      </c>
    </row>
    <row r="4178" spans="7:22" x14ac:dyDescent="0.25">
      <c r="G4178">
        <f>Data!A4191</f>
        <v>0</v>
      </c>
      <c r="H4178" s="21">
        <f>Data!B4191</f>
        <v>0</v>
      </c>
      <c r="I4178" s="21">
        <f>Data!C4191</f>
        <v>0</v>
      </c>
      <c r="J4178">
        <f>Data!D4191</f>
        <v>0</v>
      </c>
      <c r="K4178">
        <f>Data!E4191</f>
        <v>0</v>
      </c>
      <c r="L4178">
        <f>Data!F4191</f>
        <v>0</v>
      </c>
      <c r="M4178">
        <f>Data!G4191</f>
        <v>0</v>
      </c>
      <c r="N4178">
        <f>Data!H4191</f>
        <v>0</v>
      </c>
      <c r="O4178">
        <f>Data!I4191</f>
        <v>0</v>
      </c>
      <c r="P4178" s="21">
        <f>Data!J4195</f>
        <v>0</v>
      </c>
      <c r="Q4178">
        <f>Data!K4195</f>
        <v>0</v>
      </c>
      <c r="R4178">
        <f>Data!L4195</f>
        <v>0</v>
      </c>
      <c r="S4178">
        <f>Data!M4195</f>
        <v>0</v>
      </c>
      <c r="T4178">
        <f>Data!N4195</f>
        <v>0</v>
      </c>
      <c r="U4178">
        <f>Data!O4195</f>
        <v>0</v>
      </c>
      <c r="V4178" s="33">
        <f>Data!P4193</f>
        <v>0</v>
      </c>
    </row>
    <row r="4179" spans="7:22" x14ac:dyDescent="0.25">
      <c r="G4179">
        <f>Data!A4192</f>
        <v>0</v>
      </c>
      <c r="H4179" s="21">
        <f>Data!B4192</f>
        <v>0</v>
      </c>
      <c r="I4179" s="21">
        <f>Data!C4192</f>
        <v>0</v>
      </c>
      <c r="J4179">
        <f>Data!D4192</f>
        <v>0</v>
      </c>
      <c r="K4179">
        <f>Data!E4192</f>
        <v>0</v>
      </c>
      <c r="L4179">
        <f>Data!F4192</f>
        <v>0</v>
      </c>
      <c r="M4179">
        <f>Data!G4192</f>
        <v>0</v>
      </c>
      <c r="N4179">
        <f>Data!H4192</f>
        <v>0</v>
      </c>
      <c r="O4179">
        <f>Data!I4192</f>
        <v>0</v>
      </c>
      <c r="P4179" s="21">
        <f>Data!J4196</f>
        <v>0</v>
      </c>
      <c r="Q4179">
        <f>Data!K4196</f>
        <v>0</v>
      </c>
      <c r="R4179">
        <f>Data!L4196</f>
        <v>0</v>
      </c>
      <c r="S4179">
        <f>Data!M4196</f>
        <v>0</v>
      </c>
      <c r="T4179">
        <f>Data!N4196</f>
        <v>0</v>
      </c>
      <c r="U4179">
        <f>Data!O4196</f>
        <v>0</v>
      </c>
      <c r="V4179" s="33">
        <f>Data!P4194</f>
        <v>0</v>
      </c>
    </row>
    <row r="4180" spans="7:22" x14ac:dyDescent="0.25">
      <c r="G4180">
        <f>Data!A4193</f>
        <v>0</v>
      </c>
      <c r="H4180" s="21">
        <f>Data!B4193</f>
        <v>0</v>
      </c>
      <c r="I4180" s="21">
        <f>Data!C4193</f>
        <v>0</v>
      </c>
      <c r="J4180">
        <f>Data!D4193</f>
        <v>0</v>
      </c>
      <c r="K4180">
        <f>Data!E4193</f>
        <v>0</v>
      </c>
      <c r="L4180">
        <f>Data!F4193</f>
        <v>0</v>
      </c>
      <c r="M4180">
        <f>Data!G4193</f>
        <v>0</v>
      </c>
      <c r="N4180">
        <f>Data!H4193</f>
        <v>0</v>
      </c>
      <c r="O4180">
        <f>Data!I4193</f>
        <v>0</v>
      </c>
      <c r="P4180" s="21">
        <f>Data!J4197</f>
        <v>0</v>
      </c>
      <c r="Q4180">
        <f>Data!K4197</f>
        <v>0</v>
      </c>
      <c r="R4180">
        <f>Data!L4197</f>
        <v>0</v>
      </c>
      <c r="S4180">
        <f>Data!M4197</f>
        <v>0</v>
      </c>
      <c r="T4180">
        <f>Data!N4197</f>
        <v>0</v>
      </c>
      <c r="U4180">
        <f>Data!O4197</f>
        <v>0</v>
      </c>
      <c r="V4180" s="33">
        <f>Data!P4195</f>
        <v>0</v>
      </c>
    </row>
    <row r="4181" spans="7:22" x14ac:dyDescent="0.25">
      <c r="G4181">
        <f>Data!A4194</f>
        <v>0</v>
      </c>
      <c r="H4181" s="21">
        <f>Data!B4194</f>
        <v>0</v>
      </c>
      <c r="I4181" s="21">
        <f>Data!C4194</f>
        <v>0</v>
      </c>
      <c r="J4181">
        <f>Data!D4194</f>
        <v>0</v>
      </c>
      <c r="K4181">
        <f>Data!E4194</f>
        <v>0</v>
      </c>
      <c r="L4181">
        <f>Data!F4194</f>
        <v>0</v>
      </c>
      <c r="M4181">
        <f>Data!G4194</f>
        <v>0</v>
      </c>
      <c r="N4181">
        <f>Data!H4194</f>
        <v>0</v>
      </c>
      <c r="O4181">
        <f>Data!I4194</f>
        <v>0</v>
      </c>
      <c r="P4181" s="21">
        <f>Data!J4198</f>
        <v>0</v>
      </c>
      <c r="Q4181">
        <f>Data!K4198</f>
        <v>0</v>
      </c>
      <c r="R4181">
        <f>Data!L4198</f>
        <v>0</v>
      </c>
      <c r="S4181">
        <f>Data!M4198</f>
        <v>0</v>
      </c>
      <c r="T4181">
        <f>Data!N4198</f>
        <v>0</v>
      </c>
      <c r="U4181">
        <f>Data!O4198</f>
        <v>0</v>
      </c>
      <c r="V4181" s="33">
        <f>Data!P4196</f>
        <v>0</v>
      </c>
    </row>
    <row r="4182" spans="7:22" x14ac:dyDescent="0.25">
      <c r="G4182">
        <f>Data!A4195</f>
        <v>0</v>
      </c>
      <c r="H4182" s="21">
        <f>Data!B4195</f>
        <v>0</v>
      </c>
      <c r="I4182" s="21">
        <f>Data!C4195</f>
        <v>0</v>
      </c>
      <c r="J4182">
        <f>Data!D4195</f>
        <v>0</v>
      </c>
      <c r="K4182">
        <f>Data!E4195</f>
        <v>0</v>
      </c>
      <c r="L4182">
        <f>Data!F4195</f>
        <v>0</v>
      </c>
      <c r="M4182">
        <f>Data!G4195</f>
        <v>0</v>
      </c>
      <c r="N4182">
        <f>Data!H4195</f>
        <v>0</v>
      </c>
      <c r="O4182">
        <f>Data!I4195</f>
        <v>0</v>
      </c>
      <c r="P4182" s="21">
        <f>Data!J4199</f>
        <v>0</v>
      </c>
      <c r="Q4182">
        <f>Data!K4199</f>
        <v>0</v>
      </c>
      <c r="R4182">
        <f>Data!L4199</f>
        <v>0</v>
      </c>
      <c r="S4182">
        <f>Data!M4199</f>
        <v>0</v>
      </c>
      <c r="T4182">
        <f>Data!N4199</f>
        <v>0</v>
      </c>
      <c r="U4182">
        <f>Data!O4199</f>
        <v>0</v>
      </c>
      <c r="V4182" s="33">
        <f>Data!P4197</f>
        <v>0</v>
      </c>
    </row>
    <row r="4183" spans="7:22" x14ac:dyDescent="0.25">
      <c r="G4183">
        <f>Data!A4196</f>
        <v>0</v>
      </c>
      <c r="H4183" s="21">
        <f>Data!B4196</f>
        <v>0</v>
      </c>
      <c r="I4183" s="21">
        <f>Data!C4196</f>
        <v>0</v>
      </c>
      <c r="J4183">
        <f>Data!D4196</f>
        <v>0</v>
      </c>
      <c r="K4183">
        <f>Data!E4196</f>
        <v>0</v>
      </c>
      <c r="L4183">
        <f>Data!F4196</f>
        <v>0</v>
      </c>
      <c r="M4183">
        <f>Data!G4196</f>
        <v>0</v>
      </c>
      <c r="N4183">
        <f>Data!H4196</f>
        <v>0</v>
      </c>
      <c r="O4183">
        <f>Data!I4196</f>
        <v>0</v>
      </c>
      <c r="P4183" s="21">
        <f>Data!J4200</f>
        <v>0</v>
      </c>
      <c r="Q4183">
        <f>Data!K4200</f>
        <v>0</v>
      </c>
      <c r="R4183">
        <f>Data!L4200</f>
        <v>0</v>
      </c>
      <c r="S4183">
        <f>Data!M4200</f>
        <v>0</v>
      </c>
      <c r="T4183">
        <f>Data!N4200</f>
        <v>0</v>
      </c>
      <c r="U4183">
        <f>Data!O4200</f>
        <v>0</v>
      </c>
      <c r="V4183" s="33">
        <f>Data!P4198</f>
        <v>0</v>
      </c>
    </row>
    <row r="4184" spans="7:22" x14ac:dyDescent="0.25">
      <c r="G4184">
        <f>Data!A4197</f>
        <v>0</v>
      </c>
      <c r="H4184" s="21">
        <f>Data!B4197</f>
        <v>0</v>
      </c>
      <c r="I4184" s="21">
        <f>Data!C4197</f>
        <v>0</v>
      </c>
      <c r="J4184">
        <f>Data!D4197</f>
        <v>0</v>
      </c>
      <c r="K4184">
        <f>Data!E4197</f>
        <v>0</v>
      </c>
      <c r="L4184">
        <f>Data!F4197</f>
        <v>0</v>
      </c>
      <c r="M4184">
        <f>Data!G4197</f>
        <v>0</v>
      </c>
      <c r="N4184">
        <f>Data!H4197</f>
        <v>0</v>
      </c>
      <c r="O4184">
        <f>Data!I4197</f>
        <v>0</v>
      </c>
      <c r="P4184" s="21">
        <f>Data!J4201</f>
        <v>0</v>
      </c>
      <c r="Q4184">
        <f>Data!K4201</f>
        <v>0</v>
      </c>
      <c r="R4184">
        <f>Data!L4201</f>
        <v>0</v>
      </c>
      <c r="S4184">
        <f>Data!M4201</f>
        <v>0</v>
      </c>
      <c r="T4184">
        <f>Data!N4201</f>
        <v>0</v>
      </c>
      <c r="U4184">
        <f>Data!O4201</f>
        <v>0</v>
      </c>
      <c r="V4184" s="33">
        <f>Data!P4199</f>
        <v>0</v>
      </c>
    </row>
    <row r="4185" spans="7:22" x14ac:dyDescent="0.25">
      <c r="G4185">
        <f>Data!A4198</f>
        <v>0</v>
      </c>
      <c r="H4185" s="21">
        <f>Data!B4198</f>
        <v>0</v>
      </c>
      <c r="I4185" s="21">
        <f>Data!C4198</f>
        <v>0</v>
      </c>
      <c r="J4185">
        <f>Data!D4198</f>
        <v>0</v>
      </c>
      <c r="K4185">
        <f>Data!E4198</f>
        <v>0</v>
      </c>
      <c r="L4185">
        <f>Data!F4198</f>
        <v>0</v>
      </c>
      <c r="M4185">
        <f>Data!G4198</f>
        <v>0</v>
      </c>
      <c r="N4185">
        <f>Data!H4198</f>
        <v>0</v>
      </c>
      <c r="O4185">
        <f>Data!I4198</f>
        <v>0</v>
      </c>
      <c r="P4185" s="21">
        <f>Data!J4202</f>
        <v>0</v>
      </c>
      <c r="Q4185">
        <f>Data!K4202</f>
        <v>0</v>
      </c>
      <c r="R4185">
        <f>Data!L4202</f>
        <v>0</v>
      </c>
      <c r="S4185">
        <f>Data!M4202</f>
        <v>0</v>
      </c>
      <c r="T4185">
        <f>Data!N4202</f>
        <v>0</v>
      </c>
      <c r="U4185">
        <f>Data!O4202</f>
        <v>0</v>
      </c>
      <c r="V4185" s="33">
        <f>Data!P4200</f>
        <v>0</v>
      </c>
    </row>
    <row r="4186" spans="7:22" x14ac:dyDescent="0.25">
      <c r="G4186">
        <f>Data!A4199</f>
        <v>0</v>
      </c>
      <c r="H4186" s="21">
        <f>Data!B4199</f>
        <v>0</v>
      </c>
      <c r="I4186" s="21">
        <f>Data!C4199</f>
        <v>0</v>
      </c>
      <c r="J4186">
        <f>Data!D4199</f>
        <v>0</v>
      </c>
      <c r="K4186">
        <f>Data!E4199</f>
        <v>0</v>
      </c>
      <c r="L4186">
        <f>Data!F4199</f>
        <v>0</v>
      </c>
      <c r="M4186">
        <f>Data!G4199</f>
        <v>0</v>
      </c>
      <c r="N4186">
        <f>Data!H4199</f>
        <v>0</v>
      </c>
      <c r="O4186">
        <f>Data!I4199</f>
        <v>0</v>
      </c>
      <c r="P4186" s="21">
        <f>Data!J4203</f>
        <v>0</v>
      </c>
      <c r="Q4186">
        <f>Data!K4203</f>
        <v>0</v>
      </c>
      <c r="R4186">
        <f>Data!L4203</f>
        <v>0</v>
      </c>
      <c r="S4186">
        <f>Data!M4203</f>
        <v>0</v>
      </c>
      <c r="T4186">
        <f>Data!N4203</f>
        <v>0</v>
      </c>
      <c r="U4186">
        <f>Data!O4203</f>
        <v>0</v>
      </c>
      <c r="V4186" s="33">
        <f>Data!P4201</f>
        <v>0</v>
      </c>
    </row>
    <row r="4187" spans="7:22" x14ac:dyDescent="0.25">
      <c r="G4187">
        <f>Data!A4200</f>
        <v>0</v>
      </c>
      <c r="H4187" s="21">
        <f>Data!B4200</f>
        <v>0</v>
      </c>
      <c r="I4187" s="21">
        <f>Data!C4200</f>
        <v>0</v>
      </c>
      <c r="J4187">
        <f>Data!D4200</f>
        <v>0</v>
      </c>
      <c r="K4187">
        <f>Data!E4200</f>
        <v>0</v>
      </c>
      <c r="L4187">
        <f>Data!F4200</f>
        <v>0</v>
      </c>
      <c r="M4187">
        <f>Data!G4200</f>
        <v>0</v>
      </c>
      <c r="N4187">
        <f>Data!H4200</f>
        <v>0</v>
      </c>
      <c r="O4187">
        <f>Data!I4200</f>
        <v>0</v>
      </c>
      <c r="P4187" s="21">
        <f>Data!J4204</f>
        <v>0</v>
      </c>
      <c r="Q4187">
        <f>Data!K4204</f>
        <v>0</v>
      </c>
      <c r="R4187">
        <f>Data!L4204</f>
        <v>0</v>
      </c>
      <c r="S4187">
        <f>Data!M4204</f>
        <v>0</v>
      </c>
      <c r="T4187">
        <f>Data!N4204</f>
        <v>0</v>
      </c>
      <c r="U4187">
        <f>Data!O4204</f>
        <v>0</v>
      </c>
      <c r="V4187" s="33">
        <f>Data!P4202</f>
        <v>0</v>
      </c>
    </row>
    <row r="4188" spans="7:22" x14ac:dyDescent="0.25">
      <c r="G4188">
        <f>Data!A4201</f>
        <v>0</v>
      </c>
      <c r="H4188" s="21">
        <f>Data!B4201</f>
        <v>0</v>
      </c>
      <c r="I4188" s="21">
        <f>Data!C4201</f>
        <v>0</v>
      </c>
      <c r="J4188">
        <f>Data!D4201</f>
        <v>0</v>
      </c>
      <c r="K4188">
        <f>Data!E4201</f>
        <v>0</v>
      </c>
      <c r="L4188">
        <f>Data!F4201</f>
        <v>0</v>
      </c>
      <c r="M4188">
        <f>Data!G4201</f>
        <v>0</v>
      </c>
      <c r="N4188">
        <f>Data!H4201</f>
        <v>0</v>
      </c>
      <c r="O4188">
        <f>Data!I4201</f>
        <v>0</v>
      </c>
      <c r="P4188" s="21">
        <f>Data!J4205</f>
        <v>0</v>
      </c>
      <c r="Q4188">
        <f>Data!K4205</f>
        <v>0</v>
      </c>
      <c r="R4188">
        <f>Data!L4205</f>
        <v>0</v>
      </c>
      <c r="S4188">
        <f>Data!M4205</f>
        <v>0</v>
      </c>
      <c r="T4188">
        <f>Data!N4205</f>
        <v>0</v>
      </c>
      <c r="U4188">
        <f>Data!O4205</f>
        <v>0</v>
      </c>
      <c r="V4188" s="33">
        <f>Data!P4203</f>
        <v>0</v>
      </c>
    </row>
    <row r="4189" spans="7:22" x14ac:dyDescent="0.25">
      <c r="G4189">
        <f>Data!A4202</f>
        <v>0</v>
      </c>
      <c r="H4189" s="21">
        <f>Data!B4202</f>
        <v>0</v>
      </c>
      <c r="I4189" s="21">
        <f>Data!C4202</f>
        <v>0</v>
      </c>
      <c r="J4189">
        <f>Data!D4202</f>
        <v>0</v>
      </c>
      <c r="K4189">
        <f>Data!E4202</f>
        <v>0</v>
      </c>
      <c r="L4189">
        <f>Data!F4202</f>
        <v>0</v>
      </c>
      <c r="M4189">
        <f>Data!G4202</f>
        <v>0</v>
      </c>
      <c r="N4189">
        <f>Data!H4202</f>
        <v>0</v>
      </c>
      <c r="O4189">
        <f>Data!I4202</f>
        <v>0</v>
      </c>
      <c r="P4189" s="21">
        <f>Data!J4206</f>
        <v>0</v>
      </c>
      <c r="Q4189">
        <f>Data!K4206</f>
        <v>0</v>
      </c>
      <c r="R4189">
        <f>Data!L4206</f>
        <v>0</v>
      </c>
      <c r="S4189">
        <f>Data!M4206</f>
        <v>0</v>
      </c>
      <c r="T4189">
        <f>Data!N4206</f>
        <v>0</v>
      </c>
      <c r="U4189">
        <f>Data!O4206</f>
        <v>0</v>
      </c>
      <c r="V4189" s="33">
        <f>Data!P4204</f>
        <v>0</v>
      </c>
    </row>
    <row r="4190" spans="7:22" x14ac:dyDescent="0.25">
      <c r="G4190">
        <f>Data!A4203</f>
        <v>0</v>
      </c>
      <c r="H4190" s="21">
        <f>Data!B4203</f>
        <v>0</v>
      </c>
      <c r="I4190" s="21">
        <f>Data!C4203</f>
        <v>0</v>
      </c>
      <c r="J4190">
        <f>Data!D4203</f>
        <v>0</v>
      </c>
      <c r="K4190">
        <f>Data!E4203</f>
        <v>0</v>
      </c>
      <c r="L4190">
        <f>Data!F4203</f>
        <v>0</v>
      </c>
      <c r="M4190">
        <f>Data!G4203</f>
        <v>0</v>
      </c>
      <c r="N4190">
        <f>Data!H4203</f>
        <v>0</v>
      </c>
      <c r="O4190">
        <f>Data!I4203</f>
        <v>0</v>
      </c>
      <c r="P4190" s="21">
        <f>Data!J4207</f>
        <v>0</v>
      </c>
      <c r="Q4190">
        <f>Data!K4207</f>
        <v>0</v>
      </c>
      <c r="R4190">
        <f>Data!L4207</f>
        <v>0</v>
      </c>
      <c r="S4190">
        <f>Data!M4207</f>
        <v>0</v>
      </c>
      <c r="T4190">
        <f>Data!N4207</f>
        <v>0</v>
      </c>
      <c r="U4190">
        <f>Data!O4207</f>
        <v>0</v>
      </c>
      <c r="V4190" s="33">
        <f>Data!P4205</f>
        <v>0</v>
      </c>
    </row>
    <row r="4191" spans="7:22" x14ac:dyDescent="0.25">
      <c r="G4191">
        <f>Data!A4204</f>
        <v>0</v>
      </c>
      <c r="H4191" s="21">
        <f>Data!B4204</f>
        <v>0</v>
      </c>
      <c r="I4191" s="21">
        <f>Data!C4204</f>
        <v>0</v>
      </c>
      <c r="J4191">
        <f>Data!D4204</f>
        <v>0</v>
      </c>
      <c r="K4191">
        <f>Data!E4204</f>
        <v>0</v>
      </c>
      <c r="L4191">
        <f>Data!F4204</f>
        <v>0</v>
      </c>
      <c r="M4191">
        <f>Data!G4204</f>
        <v>0</v>
      </c>
      <c r="N4191">
        <f>Data!H4204</f>
        <v>0</v>
      </c>
      <c r="O4191">
        <f>Data!I4204</f>
        <v>0</v>
      </c>
      <c r="P4191" s="21">
        <f>Data!J4208</f>
        <v>0</v>
      </c>
      <c r="Q4191">
        <f>Data!K4208</f>
        <v>0</v>
      </c>
      <c r="R4191">
        <f>Data!L4208</f>
        <v>0</v>
      </c>
      <c r="S4191">
        <f>Data!M4208</f>
        <v>0</v>
      </c>
      <c r="T4191">
        <f>Data!N4208</f>
        <v>0</v>
      </c>
      <c r="U4191">
        <f>Data!O4208</f>
        <v>0</v>
      </c>
      <c r="V4191" s="33">
        <f>Data!P4206</f>
        <v>0</v>
      </c>
    </row>
    <row r="4192" spans="7:22" x14ac:dyDescent="0.25">
      <c r="G4192">
        <f>Data!A4205</f>
        <v>0</v>
      </c>
      <c r="H4192" s="21">
        <f>Data!B4205</f>
        <v>0</v>
      </c>
      <c r="I4192" s="21">
        <f>Data!C4205</f>
        <v>0</v>
      </c>
      <c r="J4192">
        <f>Data!D4205</f>
        <v>0</v>
      </c>
      <c r="K4192">
        <f>Data!E4205</f>
        <v>0</v>
      </c>
      <c r="L4192">
        <f>Data!F4205</f>
        <v>0</v>
      </c>
      <c r="M4192">
        <f>Data!G4205</f>
        <v>0</v>
      </c>
      <c r="N4192">
        <f>Data!H4205</f>
        <v>0</v>
      </c>
      <c r="O4192">
        <f>Data!I4205</f>
        <v>0</v>
      </c>
      <c r="P4192" s="21">
        <f>Data!J4209</f>
        <v>0</v>
      </c>
      <c r="Q4192">
        <f>Data!K4209</f>
        <v>0</v>
      </c>
      <c r="R4192">
        <f>Data!L4209</f>
        <v>0</v>
      </c>
      <c r="S4192">
        <f>Data!M4209</f>
        <v>0</v>
      </c>
      <c r="T4192">
        <f>Data!N4209</f>
        <v>0</v>
      </c>
      <c r="U4192">
        <f>Data!O4209</f>
        <v>0</v>
      </c>
      <c r="V4192" s="33">
        <f>Data!P4207</f>
        <v>0</v>
      </c>
    </row>
    <row r="4193" spans="7:22" x14ac:dyDescent="0.25">
      <c r="G4193">
        <f>Data!A4206</f>
        <v>0</v>
      </c>
      <c r="H4193" s="21">
        <f>Data!B4206</f>
        <v>0</v>
      </c>
      <c r="I4193" s="21">
        <f>Data!C4206</f>
        <v>0</v>
      </c>
      <c r="J4193">
        <f>Data!D4206</f>
        <v>0</v>
      </c>
      <c r="K4193">
        <f>Data!E4206</f>
        <v>0</v>
      </c>
      <c r="L4193">
        <f>Data!F4206</f>
        <v>0</v>
      </c>
      <c r="M4193">
        <f>Data!G4206</f>
        <v>0</v>
      </c>
      <c r="N4193">
        <f>Data!H4206</f>
        <v>0</v>
      </c>
      <c r="O4193">
        <f>Data!I4206</f>
        <v>0</v>
      </c>
      <c r="P4193" s="21">
        <f>Data!J4210</f>
        <v>0</v>
      </c>
      <c r="Q4193">
        <f>Data!K4210</f>
        <v>0</v>
      </c>
      <c r="R4193">
        <f>Data!L4210</f>
        <v>0</v>
      </c>
      <c r="S4193">
        <f>Data!M4210</f>
        <v>0</v>
      </c>
      <c r="T4193">
        <f>Data!N4210</f>
        <v>0</v>
      </c>
      <c r="U4193">
        <f>Data!O4210</f>
        <v>0</v>
      </c>
      <c r="V4193" s="33">
        <f>Data!P4208</f>
        <v>0</v>
      </c>
    </row>
    <row r="4194" spans="7:22" x14ac:dyDescent="0.25">
      <c r="G4194">
        <f>Data!A4207</f>
        <v>0</v>
      </c>
      <c r="H4194" s="21">
        <f>Data!B4207</f>
        <v>0</v>
      </c>
      <c r="I4194" s="21">
        <f>Data!C4207</f>
        <v>0</v>
      </c>
      <c r="J4194">
        <f>Data!D4207</f>
        <v>0</v>
      </c>
      <c r="K4194">
        <f>Data!E4207</f>
        <v>0</v>
      </c>
      <c r="L4194">
        <f>Data!F4207</f>
        <v>0</v>
      </c>
      <c r="M4194">
        <f>Data!G4207</f>
        <v>0</v>
      </c>
      <c r="N4194">
        <f>Data!H4207</f>
        <v>0</v>
      </c>
      <c r="O4194">
        <f>Data!I4207</f>
        <v>0</v>
      </c>
      <c r="P4194" s="21">
        <f>Data!J4211</f>
        <v>0</v>
      </c>
      <c r="Q4194">
        <f>Data!K4211</f>
        <v>0</v>
      </c>
      <c r="R4194">
        <f>Data!L4211</f>
        <v>0</v>
      </c>
      <c r="S4194">
        <f>Data!M4211</f>
        <v>0</v>
      </c>
      <c r="T4194">
        <f>Data!N4211</f>
        <v>0</v>
      </c>
      <c r="U4194">
        <f>Data!O4211</f>
        <v>0</v>
      </c>
      <c r="V4194" s="33">
        <f>Data!P4209</f>
        <v>0</v>
      </c>
    </row>
    <row r="4195" spans="7:22" x14ac:dyDescent="0.25">
      <c r="G4195">
        <f>Data!A4208</f>
        <v>0</v>
      </c>
      <c r="H4195" s="21">
        <f>Data!B4208</f>
        <v>0</v>
      </c>
      <c r="I4195" s="21">
        <f>Data!C4208</f>
        <v>0</v>
      </c>
      <c r="J4195">
        <f>Data!D4208</f>
        <v>0</v>
      </c>
      <c r="K4195">
        <f>Data!E4208</f>
        <v>0</v>
      </c>
      <c r="L4195">
        <f>Data!F4208</f>
        <v>0</v>
      </c>
      <c r="M4195">
        <f>Data!G4208</f>
        <v>0</v>
      </c>
      <c r="N4195">
        <f>Data!H4208</f>
        <v>0</v>
      </c>
      <c r="O4195">
        <f>Data!I4208</f>
        <v>0</v>
      </c>
      <c r="P4195" s="21">
        <f>Data!J4212</f>
        <v>0</v>
      </c>
      <c r="Q4195">
        <f>Data!K4212</f>
        <v>0</v>
      </c>
      <c r="R4195">
        <f>Data!L4212</f>
        <v>0</v>
      </c>
      <c r="S4195">
        <f>Data!M4212</f>
        <v>0</v>
      </c>
      <c r="T4195">
        <f>Data!N4212</f>
        <v>0</v>
      </c>
      <c r="U4195">
        <f>Data!O4212</f>
        <v>0</v>
      </c>
      <c r="V4195" s="33">
        <f>Data!P4210</f>
        <v>0</v>
      </c>
    </row>
    <row r="4196" spans="7:22" x14ac:dyDescent="0.25">
      <c r="G4196">
        <f>Data!A4209</f>
        <v>0</v>
      </c>
      <c r="H4196" s="21">
        <f>Data!B4209</f>
        <v>0</v>
      </c>
      <c r="I4196" s="21">
        <f>Data!C4209</f>
        <v>0</v>
      </c>
      <c r="J4196">
        <f>Data!D4209</f>
        <v>0</v>
      </c>
      <c r="K4196">
        <f>Data!E4209</f>
        <v>0</v>
      </c>
      <c r="L4196">
        <f>Data!F4209</f>
        <v>0</v>
      </c>
      <c r="M4196">
        <f>Data!G4209</f>
        <v>0</v>
      </c>
      <c r="N4196">
        <f>Data!H4209</f>
        <v>0</v>
      </c>
      <c r="O4196">
        <f>Data!I4209</f>
        <v>0</v>
      </c>
      <c r="P4196" s="21">
        <f>Data!J4213</f>
        <v>0</v>
      </c>
      <c r="Q4196">
        <f>Data!K4213</f>
        <v>0</v>
      </c>
      <c r="R4196">
        <f>Data!L4213</f>
        <v>0</v>
      </c>
      <c r="S4196">
        <f>Data!M4213</f>
        <v>0</v>
      </c>
      <c r="T4196">
        <f>Data!N4213</f>
        <v>0</v>
      </c>
      <c r="U4196">
        <f>Data!O4213</f>
        <v>0</v>
      </c>
      <c r="V4196" s="33">
        <f>Data!P4211</f>
        <v>0</v>
      </c>
    </row>
    <row r="4197" spans="7:22" x14ac:dyDescent="0.25">
      <c r="G4197">
        <f>Data!A4210</f>
        <v>0</v>
      </c>
      <c r="H4197" s="21">
        <f>Data!B4210</f>
        <v>0</v>
      </c>
      <c r="I4197" s="21">
        <f>Data!C4210</f>
        <v>0</v>
      </c>
      <c r="J4197">
        <f>Data!D4210</f>
        <v>0</v>
      </c>
      <c r="K4197">
        <f>Data!E4210</f>
        <v>0</v>
      </c>
      <c r="L4197">
        <f>Data!F4210</f>
        <v>0</v>
      </c>
      <c r="M4197">
        <f>Data!G4210</f>
        <v>0</v>
      </c>
      <c r="N4197">
        <f>Data!H4210</f>
        <v>0</v>
      </c>
      <c r="O4197">
        <f>Data!I4210</f>
        <v>0</v>
      </c>
      <c r="P4197" s="21">
        <f>Data!J4214</f>
        <v>0</v>
      </c>
      <c r="Q4197">
        <f>Data!K4214</f>
        <v>0</v>
      </c>
      <c r="R4197">
        <f>Data!L4214</f>
        <v>0</v>
      </c>
      <c r="S4197">
        <f>Data!M4214</f>
        <v>0</v>
      </c>
      <c r="T4197">
        <f>Data!N4214</f>
        <v>0</v>
      </c>
      <c r="U4197">
        <f>Data!O4214</f>
        <v>0</v>
      </c>
      <c r="V4197" s="33">
        <f>Data!P4212</f>
        <v>0</v>
      </c>
    </row>
    <row r="4198" spans="7:22" x14ac:dyDescent="0.25">
      <c r="G4198">
        <f>Data!A4211</f>
        <v>0</v>
      </c>
      <c r="H4198" s="21">
        <f>Data!B4211</f>
        <v>0</v>
      </c>
      <c r="I4198" s="21">
        <f>Data!C4211</f>
        <v>0</v>
      </c>
      <c r="J4198">
        <f>Data!D4211</f>
        <v>0</v>
      </c>
      <c r="K4198">
        <f>Data!E4211</f>
        <v>0</v>
      </c>
      <c r="L4198">
        <f>Data!F4211</f>
        <v>0</v>
      </c>
      <c r="M4198">
        <f>Data!G4211</f>
        <v>0</v>
      </c>
      <c r="N4198">
        <f>Data!H4211</f>
        <v>0</v>
      </c>
      <c r="O4198">
        <f>Data!I4211</f>
        <v>0</v>
      </c>
      <c r="P4198" s="21">
        <f>Data!J4215</f>
        <v>0</v>
      </c>
      <c r="Q4198">
        <f>Data!K4215</f>
        <v>0</v>
      </c>
      <c r="R4198">
        <f>Data!L4215</f>
        <v>0</v>
      </c>
      <c r="S4198">
        <f>Data!M4215</f>
        <v>0</v>
      </c>
      <c r="T4198">
        <f>Data!N4215</f>
        <v>0</v>
      </c>
      <c r="U4198">
        <f>Data!O4215</f>
        <v>0</v>
      </c>
      <c r="V4198" s="33">
        <f>Data!P4213</f>
        <v>0</v>
      </c>
    </row>
    <row r="4199" spans="7:22" x14ac:dyDescent="0.25">
      <c r="G4199">
        <f>Data!A4212</f>
        <v>0</v>
      </c>
      <c r="H4199" s="21">
        <f>Data!B4212</f>
        <v>0</v>
      </c>
      <c r="I4199" s="21">
        <f>Data!C4212</f>
        <v>0</v>
      </c>
      <c r="J4199">
        <f>Data!D4212</f>
        <v>0</v>
      </c>
      <c r="K4199">
        <f>Data!E4212</f>
        <v>0</v>
      </c>
      <c r="L4199">
        <f>Data!F4212</f>
        <v>0</v>
      </c>
      <c r="M4199">
        <f>Data!G4212</f>
        <v>0</v>
      </c>
      <c r="N4199">
        <f>Data!H4212</f>
        <v>0</v>
      </c>
      <c r="O4199">
        <f>Data!I4212</f>
        <v>0</v>
      </c>
      <c r="P4199" s="21">
        <f>Data!J4216</f>
        <v>0</v>
      </c>
      <c r="Q4199">
        <f>Data!K4216</f>
        <v>0</v>
      </c>
      <c r="R4199">
        <f>Data!L4216</f>
        <v>0</v>
      </c>
      <c r="S4199">
        <f>Data!M4216</f>
        <v>0</v>
      </c>
      <c r="T4199">
        <f>Data!N4216</f>
        <v>0</v>
      </c>
      <c r="U4199">
        <f>Data!O4216</f>
        <v>0</v>
      </c>
      <c r="V4199" s="33">
        <f>Data!P4214</f>
        <v>0</v>
      </c>
    </row>
    <row r="4200" spans="7:22" x14ac:dyDescent="0.25">
      <c r="G4200">
        <f>Data!A4213</f>
        <v>0</v>
      </c>
      <c r="H4200" s="21">
        <f>Data!B4213</f>
        <v>0</v>
      </c>
      <c r="I4200" s="21">
        <f>Data!C4213</f>
        <v>0</v>
      </c>
      <c r="J4200">
        <f>Data!D4213</f>
        <v>0</v>
      </c>
      <c r="K4200">
        <f>Data!E4213</f>
        <v>0</v>
      </c>
      <c r="L4200">
        <f>Data!F4213</f>
        <v>0</v>
      </c>
      <c r="M4200">
        <f>Data!G4213</f>
        <v>0</v>
      </c>
      <c r="N4200">
        <f>Data!H4213</f>
        <v>0</v>
      </c>
      <c r="O4200">
        <f>Data!I4213</f>
        <v>0</v>
      </c>
      <c r="P4200" s="21">
        <f>Data!J4217</f>
        <v>0</v>
      </c>
      <c r="Q4200">
        <f>Data!K4217</f>
        <v>0</v>
      </c>
      <c r="R4200">
        <f>Data!L4217</f>
        <v>0</v>
      </c>
      <c r="S4200">
        <f>Data!M4217</f>
        <v>0</v>
      </c>
      <c r="T4200">
        <f>Data!N4217</f>
        <v>0</v>
      </c>
      <c r="U4200">
        <f>Data!O4217</f>
        <v>0</v>
      </c>
      <c r="V4200" s="33">
        <f>Data!P4215</f>
        <v>0</v>
      </c>
    </row>
    <row r="4201" spans="7:22" x14ac:dyDescent="0.25">
      <c r="G4201">
        <f>Data!A4214</f>
        <v>0</v>
      </c>
      <c r="H4201" s="21">
        <f>Data!B4214</f>
        <v>0</v>
      </c>
      <c r="I4201" s="21">
        <f>Data!C4214</f>
        <v>0</v>
      </c>
      <c r="J4201">
        <f>Data!D4214</f>
        <v>0</v>
      </c>
      <c r="K4201">
        <f>Data!E4214</f>
        <v>0</v>
      </c>
      <c r="L4201">
        <f>Data!F4214</f>
        <v>0</v>
      </c>
      <c r="M4201">
        <f>Data!G4214</f>
        <v>0</v>
      </c>
      <c r="N4201">
        <f>Data!H4214</f>
        <v>0</v>
      </c>
      <c r="O4201">
        <f>Data!I4214</f>
        <v>0</v>
      </c>
      <c r="P4201" s="21">
        <f>Data!J4218</f>
        <v>0</v>
      </c>
      <c r="Q4201">
        <f>Data!K4218</f>
        <v>0</v>
      </c>
      <c r="R4201">
        <f>Data!L4218</f>
        <v>0</v>
      </c>
      <c r="S4201">
        <f>Data!M4218</f>
        <v>0</v>
      </c>
      <c r="T4201">
        <f>Data!N4218</f>
        <v>0</v>
      </c>
      <c r="U4201">
        <f>Data!O4218</f>
        <v>0</v>
      </c>
      <c r="V4201" s="33">
        <f>Data!P4216</f>
        <v>0</v>
      </c>
    </row>
    <row r="4202" spans="7:22" x14ac:dyDescent="0.25">
      <c r="G4202">
        <f>Data!A4215</f>
        <v>0</v>
      </c>
      <c r="H4202" s="21">
        <f>Data!B4215</f>
        <v>0</v>
      </c>
      <c r="I4202" s="21">
        <f>Data!C4215</f>
        <v>0</v>
      </c>
      <c r="J4202">
        <f>Data!D4215</f>
        <v>0</v>
      </c>
      <c r="K4202">
        <f>Data!E4215</f>
        <v>0</v>
      </c>
      <c r="L4202">
        <f>Data!F4215</f>
        <v>0</v>
      </c>
      <c r="M4202">
        <f>Data!G4215</f>
        <v>0</v>
      </c>
      <c r="N4202">
        <f>Data!H4215</f>
        <v>0</v>
      </c>
      <c r="O4202">
        <f>Data!I4215</f>
        <v>0</v>
      </c>
      <c r="P4202" s="21">
        <f>Data!J4219</f>
        <v>0</v>
      </c>
      <c r="Q4202">
        <f>Data!K4219</f>
        <v>0</v>
      </c>
      <c r="R4202">
        <f>Data!L4219</f>
        <v>0</v>
      </c>
      <c r="S4202">
        <f>Data!M4219</f>
        <v>0</v>
      </c>
      <c r="T4202">
        <f>Data!N4219</f>
        <v>0</v>
      </c>
      <c r="U4202">
        <f>Data!O4219</f>
        <v>0</v>
      </c>
      <c r="V4202" s="33">
        <f>Data!P4217</f>
        <v>0</v>
      </c>
    </row>
    <row r="4203" spans="7:22" x14ac:dyDescent="0.25">
      <c r="G4203">
        <f>Data!A4216</f>
        <v>0</v>
      </c>
      <c r="H4203" s="21">
        <f>Data!B4216</f>
        <v>0</v>
      </c>
      <c r="I4203" s="21">
        <f>Data!C4216</f>
        <v>0</v>
      </c>
      <c r="J4203">
        <f>Data!D4216</f>
        <v>0</v>
      </c>
      <c r="K4203">
        <f>Data!E4216</f>
        <v>0</v>
      </c>
      <c r="L4203">
        <f>Data!F4216</f>
        <v>0</v>
      </c>
      <c r="M4203">
        <f>Data!G4216</f>
        <v>0</v>
      </c>
      <c r="N4203">
        <f>Data!H4216</f>
        <v>0</v>
      </c>
      <c r="O4203">
        <f>Data!I4216</f>
        <v>0</v>
      </c>
      <c r="P4203" s="21">
        <f>Data!J4220</f>
        <v>0</v>
      </c>
      <c r="Q4203">
        <f>Data!K4220</f>
        <v>0</v>
      </c>
      <c r="R4203">
        <f>Data!L4220</f>
        <v>0</v>
      </c>
      <c r="S4203">
        <f>Data!M4220</f>
        <v>0</v>
      </c>
      <c r="T4203">
        <f>Data!N4220</f>
        <v>0</v>
      </c>
      <c r="U4203">
        <f>Data!O4220</f>
        <v>0</v>
      </c>
      <c r="V4203" s="33">
        <f>Data!P4218</f>
        <v>0</v>
      </c>
    </row>
    <row r="4204" spans="7:22" x14ac:dyDescent="0.25">
      <c r="G4204">
        <f>Data!A4217</f>
        <v>0</v>
      </c>
      <c r="H4204" s="21">
        <f>Data!B4217</f>
        <v>0</v>
      </c>
      <c r="I4204" s="21">
        <f>Data!C4217</f>
        <v>0</v>
      </c>
      <c r="J4204">
        <f>Data!D4217</f>
        <v>0</v>
      </c>
      <c r="K4204">
        <f>Data!E4217</f>
        <v>0</v>
      </c>
      <c r="L4204">
        <f>Data!F4217</f>
        <v>0</v>
      </c>
      <c r="M4204">
        <f>Data!G4217</f>
        <v>0</v>
      </c>
      <c r="N4204">
        <f>Data!H4217</f>
        <v>0</v>
      </c>
      <c r="O4204">
        <f>Data!I4217</f>
        <v>0</v>
      </c>
      <c r="P4204" s="21">
        <f>Data!J4221</f>
        <v>0</v>
      </c>
      <c r="Q4204">
        <f>Data!K4221</f>
        <v>0</v>
      </c>
      <c r="R4204">
        <f>Data!L4221</f>
        <v>0</v>
      </c>
      <c r="S4204">
        <f>Data!M4221</f>
        <v>0</v>
      </c>
      <c r="T4204">
        <f>Data!N4221</f>
        <v>0</v>
      </c>
      <c r="U4204">
        <f>Data!O4221</f>
        <v>0</v>
      </c>
      <c r="V4204" s="33">
        <f>Data!P4219</f>
        <v>0</v>
      </c>
    </row>
    <row r="4205" spans="7:22" x14ac:dyDescent="0.25">
      <c r="G4205">
        <f>Data!A4218</f>
        <v>0</v>
      </c>
      <c r="H4205" s="21">
        <f>Data!B4218</f>
        <v>0</v>
      </c>
      <c r="I4205" s="21">
        <f>Data!C4218</f>
        <v>0</v>
      </c>
      <c r="J4205">
        <f>Data!D4218</f>
        <v>0</v>
      </c>
      <c r="K4205">
        <f>Data!E4218</f>
        <v>0</v>
      </c>
      <c r="L4205">
        <f>Data!F4218</f>
        <v>0</v>
      </c>
      <c r="M4205">
        <f>Data!G4218</f>
        <v>0</v>
      </c>
      <c r="N4205">
        <f>Data!H4218</f>
        <v>0</v>
      </c>
      <c r="O4205">
        <f>Data!I4218</f>
        <v>0</v>
      </c>
      <c r="P4205" s="21">
        <f>Data!J4222</f>
        <v>0</v>
      </c>
      <c r="Q4205">
        <f>Data!K4222</f>
        <v>0</v>
      </c>
      <c r="R4205">
        <f>Data!L4222</f>
        <v>0</v>
      </c>
      <c r="S4205">
        <f>Data!M4222</f>
        <v>0</v>
      </c>
      <c r="T4205">
        <f>Data!N4222</f>
        <v>0</v>
      </c>
      <c r="U4205">
        <f>Data!O4222</f>
        <v>0</v>
      </c>
      <c r="V4205" s="33">
        <f>Data!P4220</f>
        <v>0</v>
      </c>
    </row>
    <row r="4206" spans="7:22" x14ac:dyDescent="0.25">
      <c r="G4206">
        <f>Data!A4219</f>
        <v>0</v>
      </c>
      <c r="H4206" s="21">
        <f>Data!B4219</f>
        <v>0</v>
      </c>
      <c r="I4206" s="21">
        <f>Data!C4219</f>
        <v>0</v>
      </c>
      <c r="J4206">
        <f>Data!D4219</f>
        <v>0</v>
      </c>
      <c r="K4206">
        <f>Data!E4219</f>
        <v>0</v>
      </c>
      <c r="L4206">
        <f>Data!F4219</f>
        <v>0</v>
      </c>
      <c r="M4206">
        <f>Data!G4219</f>
        <v>0</v>
      </c>
      <c r="N4206">
        <f>Data!H4219</f>
        <v>0</v>
      </c>
      <c r="O4206">
        <f>Data!I4219</f>
        <v>0</v>
      </c>
      <c r="P4206" s="21">
        <f>Data!J4223</f>
        <v>0</v>
      </c>
      <c r="Q4206">
        <f>Data!K4223</f>
        <v>0</v>
      </c>
      <c r="R4206">
        <f>Data!L4223</f>
        <v>0</v>
      </c>
      <c r="S4206">
        <f>Data!M4223</f>
        <v>0</v>
      </c>
      <c r="T4206">
        <f>Data!N4223</f>
        <v>0</v>
      </c>
      <c r="U4206">
        <f>Data!O4223</f>
        <v>0</v>
      </c>
      <c r="V4206" s="33">
        <f>Data!P4221</f>
        <v>0</v>
      </c>
    </row>
    <row r="4207" spans="7:22" x14ac:dyDescent="0.25">
      <c r="G4207">
        <f>Data!A4220</f>
        <v>0</v>
      </c>
      <c r="H4207" s="21">
        <f>Data!B4220</f>
        <v>0</v>
      </c>
      <c r="I4207" s="21">
        <f>Data!C4220</f>
        <v>0</v>
      </c>
      <c r="J4207">
        <f>Data!D4220</f>
        <v>0</v>
      </c>
      <c r="K4207">
        <f>Data!E4220</f>
        <v>0</v>
      </c>
      <c r="L4207">
        <f>Data!F4220</f>
        <v>0</v>
      </c>
      <c r="M4207">
        <f>Data!G4220</f>
        <v>0</v>
      </c>
      <c r="N4207">
        <f>Data!H4220</f>
        <v>0</v>
      </c>
      <c r="O4207">
        <f>Data!I4220</f>
        <v>0</v>
      </c>
      <c r="P4207" s="21">
        <f>Data!J4224</f>
        <v>0</v>
      </c>
      <c r="Q4207">
        <f>Data!K4224</f>
        <v>0</v>
      </c>
      <c r="R4207">
        <f>Data!L4224</f>
        <v>0</v>
      </c>
      <c r="S4207">
        <f>Data!M4224</f>
        <v>0</v>
      </c>
      <c r="T4207">
        <f>Data!N4224</f>
        <v>0</v>
      </c>
      <c r="U4207">
        <f>Data!O4224</f>
        <v>0</v>
      </c>
      <c r="V4207" s="33">
        <f>Data!P4222</f>
        <v>0</v>
      </c>
    </row>
    <row r="4208" spans="7:22" x14ac:dyDescent="0.25">
      <c r="G4208">
        <f>Data!A4221</f>
        <v>0</v>
      </c>
      <c r="H4208" s="21">
        <f>Data!B4221</f>
        <v>0</v>
      </c>
      <c r="I4208" s="21">
        <f>Data!C4221</f>
        <v>0</v>
      </c>
      <c r="J4208">
        <f>Data!D4221</f>
        <v>0</v>
      </c>
      <c r="K4208">
        <f>Data!E4221</f>
        <v>0</v>
      </c>
      <c r="L4208">
        <f>Data!F4221</f>
        <v>0</v>
      </c>
      <c r="M4208">
        <f>Data!G4221</f>
        <v>0</v>
      </c>
      <c r="N4208">
        <f>Data!H4221</f>
        <v>0</v>
      </c>
      <c r="O4208">
        <f>Data!I4221</f>
        <v>0</v>
      </c>
      <c r="P4208" s="21">
        <f>Data!J4225</f>
        <v>0</v>
      </c>
      <c r="Q4208">
        <f>Data!K4225</f>
        <v>0</v>
      </c>
      <c r="R4208">
        <f>Data!L4225</f>
        <v>0</v>
      </c>
      <c r="S4208">
        <f>Data!M4225</f>
        <v>0</v>
      </c>
      <c r="T4208">
        <f>Data!N4225</f>
        <v>0</v>
      </c>
      <c r="U4208">
        <f>Data!O4225</f>
        <v>0</v>
      </c>
      <c r="V4208" s="33">
        <f>Data!P4223</f>
        <v>0</v>
      </c>
    </row>
    <row r="4209" spans="7:22" x14ac:dyDescent="0.25">
      <c r="G4209">
        <f>Data!A4222</f>
        <v>0</v>
      </c>
      <c r="H4209" s="21">
        <f>Data!B4222</f>
        <v>0</v>
      </c>
      <c r="I4209" s="21">
        <f>Data!C4222</f>
        <v>0</v>
      </c>
      <c r="J4209">
        <f>Data!D4222</f>
        <v>0</v>
      </c>
      <c r="K4209">
        <f>Data!E4222</f>
        <v>0</v>
      </c>
      <c r="L4209">
        <f>Data!F4222</f>
        <v>0</v>
      </c>
      <c r="M4209">
        <f>Data!G4222</f>
        <v>0</v>
      </c>
      <c r="N4209">
        <f>Data!H4222</f>
        <v>0</v>
      </c>
      <c r="O4209">
        <f>Data!I4222</f>
        <v>0</v>
      </c>
      <c r="P4209" s="21">
        <f>Data!J4226</f>
        <v>0</v>
      </c>
      <c r="Q4209">
        <f>Data!K4226</f>
        <v>0</v>
      </c>
      <c r="R4209">
        <f>Data!L4226</f>
        <v>0</v>
      </c>
      <c r="S4209">
        <f>Data!M4226</f>
        <v>0</v>
      </c>
      <c r="T4209">
        <f>Data!N4226</f>
        <v>0</v>
      </c>
      <c r="U4209">
        <f>Data!O4226</f>
        <v>0</v>
      </c>
      <c r="V4209" s="33">
        <f>Data!P4224</f>
        <v>0</v>
      </c>
    </row>
    <row r="4210" spans="7:22" x14ac:dyDescent="0.25">
      <c r="G4210">
        <f>Data!A4223</f>
        <v>0</v>
      </c>
      <c r="H4210" s="21">
        <f>Data!B4223</f>
        <v>0</v>
      </c>
      <c r="I4210" s="21">
        <f>Data!C4223</f>
        <v>0</v>
      </c>
      <c r="J4210">
        <f>Data!D4223</f>
        <v>0</v>
      </c>
      <c r="K4210">
        <f>Data!E4223</f>
        <v>0</v>
      </c>
      <c r="L4210">
        <f>Data!F4223</f>
        <v>0</v>
      </c>
      <c r="M4210">
        <f>Data!G4223</f>
        <v>0</v>
      </c>
      <c r="N4210">
        <f>Data!H4223</f>
        <v>0</v>
      </c>
      <c r="O4210">
        <f>Data!I4223</f>
        <v>0</v>
      </c>
      <c r="P4210" s="21">
        <f>Data!J4227</f>
        <v>0</v>
      </c>
      <c r="Q4210">
        <f>Data!K4227</f>
        <v>0</v>
      </c>
      <c r="R4210">
        <f>Data!L4227</f>
        <v>0</v>
      </c>
      <c r="S4210">
        <f>Data!M4227</f>
        <v>0</v>
      </c>
      <c r="T4210">
        <f>Data!N4227</f>
        <v>0</v>
      </c>
      <c r="U4210">
        <f>Data!O4227</f>
        <v>0</v>
      </c>
      <c r="V4210" s="33">
        <f>Data!P4225</f>
        <v>0</v>
      </c>
    </row>
    <row r="4211" spans="7:22" x14ac:dyDescent="0.25">
      <c r="G4211">
        <f>Data!A4224</f>
        <v>0</v>
      </c>
      <c r="H4211" s="21">
        <f>Data!B4224</f>
        <v>0</v>
      </c>
      <c r="I4211" s="21">
        <f>Data!C4224</f>
        <v>0</v>
      </c>
      <c r="J4211">
        <f>Data!D4224</f>
        <v>0</v>
      </c>
      <c r="K4211">
        <f>Data!E4224</f>
        <v>0</v>
      </c>
      <c r="L4211">
        <f>Data!F4224</f>
        <v>0</v>
      </c>
      <c r="M4211">
        <f>Data!G4224</f>
        <v>0</v>
      </c>
      <c r="N4211">
        <f>Data!H4224</f>
        <v>0</v>
      </c>
      <c r="O4211">
        <f>Data!I4224</f>
        <v>0</v>
      </c>
      <c r="P4211" s="21">
        <f>Data!J4228</f>
        <v>0</v>
      </c>
      <c r="Q4211">
        <f>Data!K4228</f>
        <v>0</v>
      </c>
      <c r="R4211">
        <f>Data!L4228</f>
        <v>0</v>
      </c>
      <c r="S4211">
        <f>Data!M4228</f>
        <v>0</v>
      </c>
      <c r="T4211">
        <f>Data!N4228</f>
        <v>0</v>
      </c>
      <c r="U4211">
        <f>Data!O4228</f>
        <v>0</v>
      </c>
      <c r="V4211" s="33">
        <f>Data!P4226</f>
        <v>0</v>
      </c>
    </row>
    <row r="4212" spans="7:22" x14ac:dyDescent="0.25">
      <c r="G4212">
        <f>Data!A4225</f>
        <v>0</v>
      </c>
      <c r="H4212" s="21">
        <f>Data!B4225</f>
        <v>0</v>
      </c>
      <c r="I4212" s="21">
        <f>Data!C4225</f>
        <v>0</v>
      </c>
      <c r="J4212">
        <f>Data!D4225</f>
        <v>0</v>
      </c>
      <c r="K4212">
        <f>Data!E4225</f>
        <v>0</v>
      </c>
      <c r="L4212">
        <f>Data!F4225</f>
        <v>0</v>
      </c>
      <c r="M4212">
        <f>Data!G4225</f>
        <v>0</v>
      </c>
      <c r="N4212">
        <f>Data!H4225</f>
        <v>0</v>
      </c>
      <c r="O4212">
        <f>Data!I4225</f>
        <v>0</v>
      </c>
      <c r="P4212" s="21">
        <f>Data!J4229</f>
        <v>0</v>
      </c>
      <c r="Q4212">
        <f>Data!K4229</f>
        <v>0</v>
      </c>
      <c r="R4212">
        <f>Data!L4229</f>
        <v>0</v>
      </c>
      <c r="S4212">
        <f>Data!M4229</f>
        <v>0</v>
      </c>
      <c r="T4212">
        <f>Data!N4229</f>
        <v>0</v>
      </c>
      <c r="U4212">
        <f>Data!O4229</f>
        <v>0</v>
      </c>
      <c r="V4212" s="33">
        <f>Data!P4227</f>
        <v>0</v>
      </c>
    </row>
    <row r="4213" spans="7:22" x14ac:dyDescent="0.25">
      <c r="G4213">
        <f>Data!A4226</f>
        <v>0</v>
      </c>
      <c r="H4213" s="21">
        <f>Data!B4226</f>
        <v>0</v>
      </c>
      <c r="I4213" s="21">
        <f>Data!C4226</f>
        <v>0</v>
      </c>
      <c r="J4213">
        <f>Data!D4226</f>
        <v>0</v>
      </c>
      <c r="K4213">
        <f>Data!E4226</f>
        <v>0</v>
      </c>
      <c r="L4213">
        <f>Data!F4226</f>
        <v>0</v>
      </c>
      <c r="M4213">
        <f>Data!G4226</f>
        <v>0</v>
      </c>
      <c r="N4213">
        <f>Data!H4226</f>
        <v>0</v>
      </c>
      <c r="O4213">
        <f>Data!I4226</f>
        <v>0</v>
      </c>
      <c r="P4213" s="21">
        <f>Data!J4230</f>
        <v>0</v>
      </c>
      <c r="Q4213">
        <f>Data!K4230</f>
        <v>0</v>
      </c>
      <c r="R4213">
        <f>Data!L4230</f>
        <v>0</v>
      </c>
      <c r="S4213">
        <f>Data!M4230</f>
        <v>0</v>
      </c>
      <c r="T4213">
        <f>Data!N4230</f>
        <v>0</v>
      </c>
      <c r="U4213">
        <f>Data!O4230</f>
        <v>0</v>
      </c>
      <c r="V4213" s="33">
        <f>Data!P4228</f>
        <v>0</v>
      </c>
    </row>
    <row r="4214" spans="7:22" x14ac:dyDescent="0.25">
      <c r="G4214">
        <f>Data!A4227</f>
        <v>0</v>
      </c>
      <c r="H4214" s="21">
        <f>Data!B4227</f>
        <v>0</v>
      </c>
      <c r="I4214" s="21">
        <f>Data!C4227</f>
        <v>0</v>
      </c>
      <c r="J4214">
        <f>Data!D4227</f>
        <v>0</v>
      </c>
      <c r="K4214">
        <f>Data!E4227</f>
        <v>0</v>
      </c>
      <c r="L4214">
        <f>Data!F4227</f>
        <v>0</v>
      </c>
      <c r="M4214">
        <f>Data!G4227</f>
        <v>0</v>
      </c>
      <c r="N4214">
        <f>Data!H4227</f>
        <v>0</v>
      </c>
      <c r="O4214">
        <f>Data!I4227</f>
        <v>0</v>
      </c>
      <c r="P4214" s="21">
        <f>Data!J4231</f>
        <v>0</v>
      </c>
      <c r="Q4214">
        <f>Data!K4231</f>
        <v>0</v>
      </c>
      <c r="R4214">
        <f>Data!L4231</f>
        <v>0</v>
      </c>
      <c r="S4214">
        <f>Data!M4231</f>
        <v>0</v>
      </c>
      <c r="T4214">
        <f>Data!N4231</f>
        <v>0</v>
      </c>
      <c r="U4214">
        <f>Data!O4231</f>
        <v>0</v>
      </c>
      <c r="V4214" s="33">
        <f>Data!P4229</f>
        <v>0</v>
      </c>
    </row>
    <row r="4215" spans="7:22" x14ac:dyDescent="0.25">
      <c r="G4215">
        <f>Data!A4228</f>
        <v>0</v>
      </c>
      <c r="H4215" s="21">
        <f>Data!B4228</f>
        <v>0</v>
      </c>
      <c r="I4215" s="21">
        <f>Data!C4228</f>
        <v>0</v>
      </c>
      <c r="J4215">
        <f>Data!D4228</f>
        <v>0</v>
      </c>
      <c r="K4215">
        <f>Data!E4228</f>
        <v>0</v>
      </c>
      <c r="L4215">
        <f>Data!F4228</f>
        <v>0</v>
      </c>
      <c r="M4215">
        <f>Data!G4228</f>
        <v>0</v>
      </c>
      <c r="N4215">
        <f>Data!H4228</f>
        <v>0</v>
      </c>
      <c r="O4215">
        <f>Data!I4228</f>
        <v>0</v>
      </c>
      <c r="P4215" s="21">
        <f>Data!J4232</f>
        <v>0</v>
      </c>
      <c r="Q4215">
        <f>Data!K4232</f>
        <v>0</v>
      </c>
      <c r="R4215">
        <f>Data!L4232</f>
        <v>0</v>
      </c>
      <c r="S4215">
        <f>Data!M4232</f>
        <v>0</v>
      </c>
      <c r="T4215">
        <f>Data!N4232</f>
        <v>0</v>
      </c>
      <c r="U4215">
        <f>Data!O4232</f>
        <v>0</v>
      </c>
      <c r="V4215" s="33">
        <f>Data!P4230</f>
        <v>0</v>
      </c>
    </row>
    <row r="4216" spans="7:22" x14ac:dyDescent="0.25">
      <c r="G4216">
        <f>Data!A4229</f>
        <v>0</v>
      </c>
      <c r="H4216" s="21">
        <f>Data!B4229</f>
        <v>0</v>
      </c>
      <c r="I4216" s="21">
        <f>Data!C4229</f>
        <v>0</v>
      </c>
      <c r="J4216">
        <f>Data!D4229</f>
        <v>0</v>
      </c>
      <c r="K4216">
        <f>Data!E4229</f>
        <v>0</v>
      </c>
      <c r="L4216">
        <f>Data!F4229</f>
        <v>0</v>
      </c>
      <c r="M4216">
        <f>Data!G4229</f>
        <v>0</v>
      </c>
      <c r="N4216">
        <f>Data!H4229</f>
        <v>0</v>
      </c>
      <c r="O4216">
        <f>Data!I4229</f>
        <v>0</v>
      </c>
      <c r="P4216" s="21">
        <f>Data!J4233</f>
        <v>0</v>
      </c>
      <c r="Q4216">
        <f>Data!K4233</f>
        <v>0</v>
      </c>
      <c r="R4216">
        <f>Data!L4233</f>
        <v>0</v>
      </c>
      <c r="S4216">
        <f>Data!M4233</f>
        <v>0</v>
      </c>
      <c r="T4216">
        <f>Data!N4233</f>
        <v>0</v>
      </c>
      <c r="U4216">
        <f>Data!O4233</f>
        <v>0</v>
      </c>
      <c r="V4216" s="33">
        <f>Data!P4231</f>
        <v>0</v>
      </c>
    </row>
    <row r="4217" spans="7:22" x14ac:dyDescent="0.25">
      <c r="G4217">
        <f>Data!A4230</f>
        <v>0</v>
      </c>
      <c r="H4217" s="21">
        <f>Data!B4230</f>
        <v>0</v>
      </c>
      <c r="I4217" s="21">
        <f>Data!C4230</f>
        <v>0</v>
      </c>
      <c r="J4217">
        <f>Data!D4230</f>
        <v>0</v>
      </c>
      <c r="K4217">
        <f>Data!E4230</f>
        <v>0</v>
      </c>
      <c r="L4217">
        <f>Data!F4230</f>
        <v>0</v>
      </c>
      <c r="M4217">
        <f>Data!G4230</f>
        <v>0</v>
      </c>
      <c r="N4217">
        <f>Data!H4230</f>
        <v>0</v>
      </c>
      <c r="O4217">
        <f>Data!I4230</f>
        <v>0</v>
      </c>
      <c r="P4217" s="21">
        <f>Data!J4234</f>
        <v>0</v>
      </c>
      <c r="Q4217">
        <f>Data!K4234</f>
        <v>0</v>
      </c>
      <c r="R4217">
        <f>Data!L4234</f>
        <v>0</v>
      </c>
      <c r="S4217">
        <f>Data!M4234</f>
        <v>0</v>
      </c>
      <c r="T4217">
        <f>Data!N4234</f>
        <v>0</v>
      </c>
      <c r="U4217">
        <f>Data!O4234</f>
        <v>0</v>
      </c>
      <c r="V4217" s="33">
        <f>Data!P4232</f>
        <v>0</v>
      </c>
    </row>
    <row r="4218" spans="7:22" x14ac:dyDescent="0.25">
      <c r="G4218">
        <f>Data!A4231</f>
        <v>0</v>
      </c>
      <c r="H4218" s="21">
        <f>Data!B4231</f>
        <v>0</v>
      </c>
      <c r="I4218" s="21">
        <f>Data!C4231</f>
        <v>0</v>
      </c>
      <c r="J4218">
        <f>Data!D4231</f>
        <v>0</v>
      </c>
      <c r="K4218">
        <f>Data!E4231</f>
        <v>0</v>
      </c>
      <c r="L4218">
        <f>Data!F4231</f>
        <v>0</v>
      </c>
      <c r="M4218">
        <f>Data!G4231</f>
        <v>0</v>
      </c>
      <c r="N4218">
        <f>Data!H4231</f>
        <v>0</v>
      </c>
      <c r="O4218">
        <f>Data!I4231</f>
        <v>0</v>
      </c>
      <c r="P4218" s="21">
        <f>Data!J4235</f>
        <v>0</v>
      </c>
      <c r="Q4218">
        <f>Data!K4235</f>
        <v>0</v>
      </c>
      <c r="R4218">
        <f>Data!L4235</f>
        <v>0</v>
      </c>
      <c r="S4218">
        <f>Data!M4235</f>
        <v>0</v>
      </c>
      <c r="T4218">
        <f>Data!N4235</f>
        <v>0</v>
      </c>
      <c r="U4218">
        <f>Data!O4235</f>
        <v>0</v>
      </c>
      <c r="V4218" s="33">
        <f>Data!P4233</f>
        <v>0</v>
      </c>
    </row>
    <row r="4219" spans="7:22" x14ac:dyDescent="0.25">
      <c r="G4219">
        <f>Data!A4232</f>
        <v>0</v>
      </c>
      <c r="H4219" s="21">
        <f>Data!B4232</f>
        <v>0</v>
      </c>
      <c r="I4219" s="21">
        <f>Data!C4232</f>
        <v>0</v>
      </c>
      <c r="J4219">
        <f>Data!D4232</f>
        <v>0</v>
      </c>
      <c r="K4219">
        <f>Data!E4232</f>
        <v>0</v>
      </c>
      <c r="L4219">
        <f>Data!F4232</f>
        <v>0</v>
      </c>
      <c r="M4219">
        <f>Data!G4232</f>
        <v>0</v>
      </c>
      <c r="N4219">
        <f>Data!H4232</f>
        <v>0</v>
      </c>
      <c r="O4219">
        <f>Data!I4232</f>
        <v>0</v>
      </c>
      <c r="P4219" s="21">
        <f>Data!J4236</f>
        <v>0</v>
      </c>
      <c r="Q4219">
        <f>Data!K4236</f>
        <v>0</v>
      </c>
      <c r="R4219">
        <f>Data!L4236</f>
        <v>0</v>
      </c>
      <c r="S4219">
        <f>Data!M4236</f>
        <v>0</v>
      </c>
      <c r="T4219">
        <f>Data!N4236</f>
        <v>0</v>
      </c>
      <c r="U4219">
        <f>Data!O4236</f>
        <v>0</v>
      </c>
      <c r="V4219" s="33">
        <f>Data!P4234</f>
        <v>0</v>
      </c>
    </row>
    <row r="4220" spans="7:22" x14ac:dyDescent="0.25">
      <c r="G4220">
        <f>Data!A4233</f>
        <v>0</v>
      </c>
      <c r="H4220" s="21">
        <f>Data!B4233</f>
        <v>0</v>
      </c>
      <c r="I4220" s="21">
        <f>Data!C4233</f>
        <v>0</v>
      </c>
      <c r="J4220">
        <f>Data!D4233</f>
        <v>0</v>
      </c>
      <c r="K4220">
        <f>Data!E4233</f>
        <v>0</v>
      </c>
      <c r="L4220">
        <f>Data!F4233</f>
        <v>0</v>
      </c>
      <c r="M4220">
        <f>Data!G4233</f>
        <v>0</v>
      </c>
      <c r="N4220">
        <f>Data!H4233</f>
        <v>0</v>
      </c>
      <c r="O4220">
        <f>Data!I4233</f>
        <v>0</v>
      </c>
      <c r="P4220" s="21">
        <f>Data!J4237</f>
        <v>0</v>
      </c>
      <c r="Q4220">
        <f>Data!K4237</f>
        <v>0</v>
      </c>
      <c r="R4220">
        <f>Data!L4237</f>
        <v>0</v>
      </c>
      <c r="S4220">
        <f>Data!M4237</f>
        <v>0</v>
      </c>
      <c r="T4220">
        <f>Data!N4237</f>
        <v>0</v>
      </c>
      <c r="U4220">
        <f>Data!O4237</f>
        <v>0</v>
      </c>
      <c r="V4220" s="33">
        <f>Data!P4235</f>
        <v>0</v>
      </c>
    </row>
    <row r="4221" spans="7:22" x14ac:dyDescent="0.25">
      <c r="G4221">
        <f>Data!A4234</f>
        <v>0</v>
      </c>
      <c r="H4221" s="21">
        <f>Data!B4234</f>
        <v>0</v>
      </c>
      <c r="I4221" s="21">
        <f>Data!C4234</f>
        <v>0</v>
      </c>
      <c r="J4221">
        <f>Data!D4234</f>
        <v>0</v>
      </c>
      <c r="K4221">
        <f>Data!E4234</f>
        <v>0</v>
      </c>
      <c r="L4221">
        <f>Data!F4234</f>
        <v>0</v>
      </c>
      <c r="M4221">
        <f>Data!G4234</f>
        <v>0</v>
      </c>
      <c r="N4221">
        <f>Data!H4234</f>
        <v>0</v>
      </c>
      <c r="O4221">
        <f>Data!I4234</f>
        <v>0</v>
      </c>
      <c r="P4221" s="21">
        <f>Data!J4238</f>
        <v>0</v>
      </c>
      <c r="Q4221">
        <f>Data!K4238</f>
        <v>0</v>
      </c>
      <c r="R4221">
        <f>Data!L4238</f>
        <v>0</v>
      </c>
      <c r="S4221">
        <f>Data!M4238</f>
        <v>0</v>
      </c>
      <c r="T4221">
        <f>Data!N4238</f>
        <v>0</v>
      </c>
      <c r="U4221">
        <f>Data!O4238</f>
        <v>0</v>
      </c>
      <c r="V4221" s="33">
        <f>Data!P4236</f>
        <v>0</v>
      </c>
    </row>
    <row r="4222" spans="7:22" x14ac:dyDescent="0.25">
      <c r="G4222">
        <f>Data!A4235</f>
        <v>0</v>
      </c>
      <c r="H4222" s="21">
        <f>Data!B4235</f>
        <v>0</v>
      </c>
      <c r="I4222" s="21">
        <f>Data!C4235</f>
        <v>0</v>
      </c>
      <c r="J4222">
        <f>Data!D4235</f>
        <v>0</v>
      </c>
      <c r="K4222">
        <f>Data!E4235</f>
        <v>0</v>
      </c>
      <c r="L4222">
        <f>Data!F4235</f>
        <v>0</v>
      </c>
      <c r="M4222">
        <f>Data!G4235</f>
        <v>0</v>
      </c>
      <c r="N4222">
        <f>Data!H4235</f>
        <v>0</v>
      </c>
      <c r="O4222">
        <f>Data!I4235</f>
        <v>0</v>
      </c>
      <c r="P4222" s="21">
        <f>Data!J4239</f>
        <v>0</v>
      </c>
      <c r="Q4222">
        <f>Data!K4239</f>
        <v>0</v>
      </c>
      <c r="R4222">
        <f>Data!L4239</f>
        <v>0</v>
      </c>
      <c r="S4222">
        <f>Data!M4239</f>
        <v>0</v>
      </c>
      <c r="T4222">
        <f>Data!N4239</f>
        <v>0</v>
      </c>
      <c r="U4222">
        <f>Data!O4239</f>
        <v>0</v>
      </c>
      <c r="V4222" s="33">
        <f>Data!P4237</f>
        <v>0</v>
      </c>
    </row>
    <row r="4223" spans="7:22" x14ac:dyDescent="0.25">
      <c r="G4223">
        <f>Data!A4236</f>
        <v>0</v>
      </c>
      <c r="H4223" s="21">
        <f>Data!B4236</f>
        <v>0</v>
      </c>
      <c r="I4223" s="21">
        <f>Data!C4236</f>
        <v>0</v>
      </c>
      <c r="J4223">
        <f>Data!D4236</f>
        <v>0</v>
      </c>
      <c r="K4223">
        <f>Data!E4236</f>
        <v>0</v>
      </c>
      <c r="L4223">
        <f>Data!F4236</f>
        <v>0</v>
      </c>
      <c r="M4223">
        <f>Data!G4236</f>
        <v>0</v>
      </c>
      <c r="N4223">
        <f>Data!H4236</f>
        <v>0</v>
      </c>
      <c r="O4223">
        <f>Data!I4236</f>
        <v>0</v>
      </c>
      <c r="P4223" s="21">
        <f>Data!J4240</f>
        <v>0</v>
      </c>
      <c r="Q4223">
        <f>Data!K4240</f>
        <v>0</v>
      </c>
      <c r="R4223">
        <f>Data!L4240</f>
        <v>0</v>
      </c>
      <c r="S4223">
        <f>Data!M4240</f>
        <v>0</v>
      </c>
      <c r="T4223">
        <f>Data!N4240</f>
        <v>0</v>
      </c>
      <c r="U4223">
        <f>Data!O4240</f>
        <v>0</v>
      </c>
      <c r="V4223" s="33">
        <f>Data!P4238</f>
        <v>0</v>
      </c>
    </row>
    <row r="4224" spans="7:22" x14ac:dyDescent="0.25">
      <c r="G4224">
        <f>Data!A4237</f>
        <v>0</v>
      </c>
      <c r="H4224" s="21">
        <f>Data!B4237</f>
        <v>0</v>
      </c>
      <c r="I4224" s="21">
        <f>Data!C4237</f>
        <v>0</v>
      </c>
      <c r="J4224">
        <f>Data!D4237</f>
        <v>0</v>
      </c>
      <c r="K4224">
        <f>Data!E4237</f>
        <v>0</v>
      </c>
      <c r="L4224">
        <f>Data!F4237</f>
        <v>0</v>
      </c>
      <c r="M4224">
        <f>Data!G4237</f>
        <v>0</v>
      </c>
      <c r="N4224">
        <f>Data!H4237</f>
        <v>0</v>
      </c>
      <c r="O4224">
        <f>Data!I4237</f>
        <v>0</v>
      </c>
      <c r="P4224" s="21">
        <f>Data!J4241</f>
        <v>0</v>
      </c>
      <c r="Q4224">
        <f>Data!K4241</f>
        <v>0</v>
      </c>
      <c r="R4224">
        <f>Data!L4241</f>
        <v>0</v>
      </c>
      <c r="S4224">
        <f>Data!M4241</f>
        <v>0</v>
      </c>
      <c r="T4224">
        <f>Data!N4241</f>
        <v>0</v>
      </c>
      <c r="U4224">
        <f>Data!O4241</f>
        <v>0</v>
      </c>
      <c r="V4224" s="33">
        <f>Data!P4239</f>
        <v>0</v>
      </c>
    </row>
    <row r="4225" spans="7:22" x14ac:dyDescent="0.25">
      <c r="G4225">
        <f>Data!A4238</f>
        <v>0</v>
      </c>
      <c r="H4225" s="21">
        <f>Data!B4238</f>
        <v>0</v>
      </c>
      <c r="I4225" s="21">
        <f>Data!C4238</f>
        <v>0</v>
      </c>
      <c r="J4225">
        <f>Data!D4238</f>
        <v>0</v>
      </c>
      <c r="K4225">
        <f>Data!E4238</f>
        <v>0</v>
      </c>
      <c r="L4225">
        <f>Data!F4238</f>
        <v>0</v>
      </c>
      <c r="M4225">
        <f>Data!G4238</f>
        <v>0</v>
      </c>
      <c r="N4225">
        <f>Data!H4238</f>
        <v>0</v>
      </c>
      <c r="O4225">
        <f>Data!I4238</f>
        <v>0</v>
      </c>
      <c r="P4225" s="21">
        <f>Data!J4242</f>
        <v>0</v>
      </c>
      <c r="Q4225">
        <f>Data!K4242</f>
        <v>0</v>
      </c>
      <c r="R4225">
        <f>Data!L4242</f>
        <v>0</v>
      </c>
      <c r="S4225">
        <f>Data!M4242</f>
        <v>0</v>
      </c>
      <c r="T4225">
        <f>Data!N4242</f>
        <v>0</v>
      </c>
      <c r="U4225">
        <f>Data!O4242</f>
        <v>0</v>
      </c>
      <c r="V4225" s="33">
        <f>Data!P4240</f>
        <v>0</v>
      </c>
    </row>
    <row r="4226" spans="7:22" x14ac:dyDescent="0.25">
      <c r="G4226">
        <f>Data!A4239</f>
        <v>0</v>
      </c>
      <c r="H4226" s="21">
        <f>Data!B4239</f>
        <v>0</v>
      </c>
      <c r="I4226" s="21">
        <f>Data!C4239</f>
        <v>0</v>
      </c>
      <c r="J4226">
        <f>Data!D4239</f>
        <v>0</v>
      </c>
      <c r="K4226">
        <f>Data!E4239</f>
        <v>0</v>
      </c>
      <c r="L4226">
        <f>Data!F4239</f>
        <v>0</v>
      </c>
      <c r="M4226">
        <f>Data!G4239</f>
        <v>0</v>
      </c>
      <c r="N4226">
        <f>Data!H4239</f>
        <v>0</v>
      </c>
      <c r="O4226">
        <f>Data!I4239</f>
        <v>0</v>
      </c>
      <c r="P4226" s="21">
        <f>Data!J4243</f>
        <v>0</v>
      </c>
      <c r="Q4226">
        <f>Data!K4243</f>
        <v>0</v>
      </c>
      <c r="R4226">
        <f>Data!L4243</f>
        <v>0</v>
      </c>
      <c r="S4226">
        <f>Data!M4243</f>
        <v>0</v>
      </c>
      <c r="T4226">
        <f>Data!N4243</f>
        <v>0</v>
      </c>
      <c r="U4226">
        <f>Data!O4243</f>
        <v>0</v>
      </c>
      <c r="V4226" s="33">
        <f>Data!P4241</f>
        <v>0</v>
      </c>
    </row>
    <row r="4227" spans="7:22" x14ac:dyDescent="0.25">
      <c r="G4227">
        <f>Data!A4240</f>
        <v>0</v>
      </c>
      <c r="H4227" s="21">
        <f>Data!B4240</f>
        <v>0</v>
      </c>
      <c r="I4227" s="21">
        <f>Data!C4240</f>
        <v>0</v>
      </c>
      <c r="J4227">
        <f>Data!D4240</f>
        <v>0</v>
      </c>
      <c r="K4227">
        <f>Data!E4240</f>
        <v>0</v>
      </c>
      <c r="L4227">
        <f>Data!F4240</f>
        <v>0</v>
      </c>
      <c r="M4227">
        <f>Data!G4240</f>
        <v>0</v>
      </c>
      <c r="N4227">
        <f>Data!H4240</f>
        <v>0</v>
      </c>
      <c r="O4227">
        <f>Data!I4240</f>
        <v>0</v>
      </c>
      <c r="P4227" s="21">
        <f>Data!J4244</f>
        <v>0</v>
      </c>
      <c r="Q4227">
        <f>Data!K4244</f>
        <v>0</v>
      </c>
      <c r="R4227">
        <f>Data!L4244</f>
        <v>0</v>
      </c>
      <c r="S4227">
        <f>Data!M4244</f>
        <v>0</v>
      </c>
      <c r="T4227">
        <f>Data!N4244</f>
        <v>0</v>
      </c>
      <c r="U4227">
        <f>Data!O4244</f>
        <v>0</v>
      </c>
      <c r="V4227" s="33">
        <f>Data!P4242</f>
        <v>0</v>
      </c>
    </row>
    <row r="4228" spans="7:22" x14ac:dyDescent="0.25">
      <c r="G4228">
        <f>Data!A4241</f>
        <v>0</v>
      </c>
      <c r="H4228" s="21">
        <f>Data!B4241</f>
        <v>0</v>
      </c>
      <c r="I4228" s="21">
        <f>Data!C4241</f>
        <v>0</v>
      </c>
      <c r="J4228">
        <f>Data!D4241</f>
        <v>0</v>
      </c>
      <c r="K4228">
        <f>Data!E4241</f>
        <v>0</v>
      </c>
      <c r="L4228">
        <f>Data!F4241</f>
        <v>0</v>
      </c>
      <c r="M4228">
        <f>Data!G4241</f>
        <v>0</v>
      </c>
      <c r="N4228">
        <f>Data!H4241</f>
        <v>0</v>
      </c>
      <c r="O4228">
        <f>Data!I4241</f>
        <v>0</v>
      </c>
      <c r="P4228" s="21">
        <f>Data!J4245</f>
        <v>0</v>
      </c>
      <c r="Q4228">
        <f>Data!K4245</f>
        <v>0</v>
      </c>
      <c r="R4228">
        <f>Data!L4245</f>
        <v>0</v>
      </c>
      <c r="S4228">
        <f>Data!M4245</f>
        <v>0</v>
      </c>
      <c r="T4228">
        <f>Data!N4245</f>
        <v>0</v>
      </c>
      <c r="U4228">
        <f>Data!O4245</f>
        <v>0</v>
      </c>
      <c r="V4228" s="33">
        <f>Data!P4243</f>
        <v>0</v>
      </c>
    </row>
    <row r="4229" spans="7:22" x14ac:dyDescent="0.25">
      <c r="G4229">
        <f>Data!A4242</f>
        <v>0</v>
      </c>
      <c r="H4229" s="21">
        <f>Data!B4242</f>
        <v>0</v>
      </c>
      <c r="I4229" s="21">
        <f>Data!C4242</f>
        <v>0</v>
      </c>
      <c r="J4229">
        <f>Data!D4242</f>
        <v>0</v>
      </c>
      <c r="K4229">
        <f>Data!E4242</f>
        <v>0</v>
      </c>
      <c r="L4229">
        <f>Data!F4242</f>
        <v>0</v>
      </c>
      <c r="M4229">
        <f>Data!G4242</f>
        <v>0</v>
      </c>
      <c r="N4229">
        <f>Data!H4242</f>
        <v>0</v>
      </c>
      <c r="O4229">
        <f>Data!I4242</f>
        <v>0</v>
      </c>
      <c r="P4229" s="21">
        <f>Data!J4246</f>
        <v>0</v>
      </c>
      <c r="Q4229">
        <f>Data!K4246</f>
        <v>0</v>
      </c>
      <c r="R4229">
        <f>Data!L4246</f>
        <v>0</v>
      </c>
      <c r="S4229">
        <f>Data!M4246</f>
        <v>0</v>
      </c>
      <c r="T4229">
        <f>Data!N4246</f>
        <v>0</v>
      </c>
      <c r="U4229">
        <f>Data!O4246</f>
        <v>0</v>
      </c>
      <c r="V4229" s="33">
        <f>Data!P4244</f>
        <v>0</v>
      </c>
    </row>
    <row r="4230" spans="7:22" x14ac:dyDescent="0.25">
      <c r="G4230">
        <f>Data!A4243</f>
        <v>0</v>
      </c>
      <c r="H4230" s="21">
        <f>Data!B4243</f>
        <v>0</v>
      </c>
      <c r="I4230" s="21">
        <f>Data!C4243</f>
        <v>0</v>
      </c>
      <c r="J4230">
        <f>Data!D4243</f>
        <v>0</v>
      </c>
      <c r="K4230">
        <f>Data!E4243</f>
        <v>0</v>
      </c>
      <c r="L4230">
        <f>Data!F4243</f>
        <v>0</v>
      </c>
      <c r="M4230">
        <f>Data!G4243</f>
        <v>0</v>
      </c>
      <c r="N4230">
        <f>Data!H4243</f>
        <v>0</v>
      </c>
      <c r="O4230">
        <f>Data!I4243</f>
        <v>0</v>
      </c>
      <c r="P4230" s="21">
        <f>Data!J4247</f>
        <v>0</v>
      </c>
      <c r="Q4230">
        <f>Data!K4247</f>
        <v>0</v>
      </c>
      <c r="R4230">
        <f>Data!L4247</f>
        <v>0</v>
      </c>
      <c r="S4230">
        <f>Data!M4247</f>
        <v>0</v>
      </c>
      <c r="T4230">
        <f>Data!N4247</f>
        <v>0</v>
      </c>
      <c r="U4230">
        <f>Data!O4247</f>
        <v>0</v>
      </c>
      <c r="V4230" s="33">
        <f>Data!P4245</f>
        <v>0</v>
      </c>
    </row>
    <row r="4231" spans="7:22" x14ac:dyDescent="0.25">
      <c r="G4231">
        <f>Data!A4244</f>
        <v>0</v>
      </c>
      <c r="H4231" s="21">
        <f>Data!B4244</f>
        <v>0</v>
      </c>
      <c r="I4231" s="21">
        <f>Data!C4244</f>
        <v>0</v>
      </c>
      <c r="J4231">
        <f>Data!D4244</f>
        <v>0</v>
      </c>
      <c r="K4231">
        <f>Data!E4244</f>
        <v>0</v>
      </c>
      <c r="L4231">
        <f>Data!F4244</f>
        <v>0</v>
      </c>
      <c r="M4231">
        <f>Data!G4244</f>
        <v>0</v>
      </c>
      <c r="N4231">
        <f>Data!H4244</f>
        <v>0</v>
      </c>
      <c r="O4231">
        <f>Data!I4244</f>
        <v>0</v>
      </c>
      <c r="P4231" s="21">
        <f>Data!J4248</f>
        <v>0</v>
      </c>
      <c r="Q4231">
        <f>Data!K4248</f>
        <v>0</v>
      </c>
      <c r="R4231">
        <f>Data!L4248</f>
        <v>0</v>
      </c>
      <c r="S4231">
        <f>Data!M4248</f>
        <v>0</v>
      </c>
      <c r="T4231">
        <f>Data!N4248</f>
        <v>0</v>
      </c>
      <c r="U4231">
        <f>Data!O4248</f>
        <v>0</v>
      </c>
      <c r="V4231" s="33">
        <f>Data!P4246</f>
        <v>0</v>
      </c>
    </row>
    <row r="4232" spans="7:22" x14ac:dyDescent="0.25">
      <c r="G4232">
        <f>Data!A4245</f>
        <v>0</v>
      </c>
      <c r="H4232" s="21">
        <f>Data!B4245</f>
        <v>0</v>
      </c>
      <c r="I4232" s="21">
        <f>Data!C4245</f>
        <v>0</v>
      </c>
      <c r="J4232">
        <f>Data!D4245</f>
        <v>0</v>
      </c>
      <c r="K4232">
        <f>Data!E4245</f>
        <v>0</v>
      </c>
      <c r="L4232">
        <f>Data!F4245</f>
        <v>0</v>
      </c>
      <c r="M4232">
        <f>Data!G4245</f>
        <v>0</v>
      </c>
      <c r="N4232">
        <f>Data!H4245</f>
        <v>0</v>
      </c>
      <c r="O4232">
        <f>Data!I4245</f>
        <v>0</v>
      </c>
      <c r="P4232" s="21">
        <f>Data!J4249</f>
        <v>0</v>
      </c>
      <c r="Q4232">
        <f>Data!K4249</f>
        <v>0</v>
      </c>
      <c r="R4232">
        <f>Data!L4249</f>
        <v>0</v>
      </c>
      <c r="S4232">
        <f>Data!M4249</f>
        <v>0</v>
      </c>
      <c r="T4232">
        <f>Data!N4249</f>
        <v>0</v>
      </c>
      <c r="U4232">
        <f>Data!O4249</f>
        <v>0</v>
      </c>
      <c r="V4232" s="33">
        <f>Data!P4247</f>
        <v>0</v>
      </c>
    </row>
    <row r="4233" spans="7:22" x14ac:dyDescent="0.25">
      <c r="G4233">
        <f>Data!A4246</f>
        <v>0</v>
      </c>
      <c r="H4233" s="21">
        <f>Data!B4246</f>
        <v>0</v>
      </c>
      <c r="I4233" s="21">
        <f>Data!C4246</f>
        <v>0</v>
      </c>
      <c r="J4233">
        <f>Data!D4246</f>
        <v>0</v>
      </c>
      <c r="K4233">
        <f>Data!E4246</f>
        <v>0</v>
      </c>
      <c r="L4233">
        <f>Data!F4246</f>
        <v>0</v>
      </c>
      <c r="M4233">
        <f>Data!G4246</f>
        <v>0</v>
      </c>
      <c r="N4233">
        <f>Data!H4246</f>
        <v>0</v>
      </c>
      <c r="O4233">
        <f>Data!I4246</f>
        <v>0</v>
      </c>
      <c r="P4233" s="21">
        <f>Data!J4250</f>
        <v>0</v>
      </c>
      <c r="Q4233">
        <f>Data!K4250</f>
        <v>0</v>
      </c>
      <c r="R4233">
        <f>Data!L4250</f>
        <v>0</v>
      </c>
      <c r="S4233">
        <f>Data!M4250</f>
        <v>0</v>
      </c>
      <c r="T4233">
        <f>Data!N4250</f>
        <v>0</v>
      </c>
      <c r="U4233">
        <f>Data!O4250</f>
        <v>0</v>
      </c>
      <c r="V4233" s="33">
        <f>Data!P4248</f>
        <v>0</v>
      </c>
    </row>
    <row r="4234" spans="7:22" x14ac:dyDescent="0.25">
      <c r="G4234">
        <f>Data!A4247</f>
        <v>0</v>
      </c>
      <c r="H4234" s="21">
        <f>Data!B4247</f>
        <v>0</v>
      </c>
      <c r="I4234" s="21">
        <f>Data!C4247</f>
        <v>0</v>
      </c>
      <c r="J4234">
        <f>Data!D4247</f>
        <v>0</v>
      </c>
      <c r="K4234">
        <f>Data!E4247</f>
        <v>0</v>
      </c>
      <c r="L4234">
        <f>Data!F4247</f>
        <v>0</v>
      </c>
      <c r="M4234">
        <f>Data!G4247</f>
        <v>0</v>
      </c>
      <c r="N4234">
        <f>Data!H4247</f>
        <v>0</v>
      </c>
      <c r="O4234">
        <f>Data!I4247</f>
        <v>0</v>
      </c>
      <c r="P4234" s="21">
        <f>Data!J4251</f>
        <v>0</v>
      </c>
      <c r="Q4234">
        <f>Data!K4251</f>
        <v>0</v>
      </c>
      <c r="R4234">
        <f>Data!L4251</f>
        <v>0</v>
      </c>
      <c r="S4234">
        <f>Data!M4251</f>
        <v>0</v>
      </c>
      <c r="T4234">
        <f>Data!N4251</f>
        <v>0</v>
      </c>
      <c r="U4234">
        <f>Data!O4251</f>
        <v>0</v>
      </c>
      <c r="V4234" s="33">
        <f>Data!P4249</f>
        <v>0</v>
      </c>
    </row>
    <row r="4235" spans="7:22" x14ac:dyDescent="0.25">
      <c r="G4235">
        <f>Data!A4248</f>
        <v>0</v>
      </c>
      <c r="H4235" s="21">
        <f>Data!B4248</f>
        <v>0</v>
      </c>
      <c r="I4235" s="21">
        <f>Data!C4248</f>
        <v>0</v>
      </c>
      <c r="J4235">
        <f>Data!D4248</f>
        <v>0</v>
      </c>
      <c r="K4235">
        <f>Data!E4248</f>
        <v>0</v>
      </c>
      <c r="L4235">
        <f>Data!F4248</f>
        <v>0</v>
      </c>
      <c r="M4235">
        <f>Data!G4248</f>
        <v>0</v>
      </c>
      <c r="N4235">
        <f>Data!H4248</f>
        <v>0</v>
      </c>
      <c r="O4235">
        <f>Data!I4248</f>
        <v>0</v>
      </c>
      <c r="P4235" s="21">
        <f>Data!J4252</f>
        <v>0</v>
      </c>
      <c r="Q4235">
        <f>Data!K4252</f>
        <v>0</v>
      </c>
      <c r="R4235">
        <f>Data!L4252</f>
        <v>0</v>
      </c>
      <c r="S4235">
        <f>Data!M4252</f>
        <v>0</v>
      </c>
      <c r="T4235">
        <f>Data!N4252</f>
        <v>0</v>
      </c>
      <c r="U4235">
        <f>Data!O4252</f>
        <v>0</v>
      </c>
      <c r="V4235" s="33">
        <f>Data!P4250</f>
        <v>0</v>
      </c>
    </row>
    <row r="4236" spans="7:22" x14ac:dyDescent="0.25">
      <c r="G4236">
        <f>Data!A4249</f>
        <v>0</v>
      </c>
      <c r="H4236" s="21">
        <f>Data!B4249</f>
        <v>0</v>
      </c>
      <c r="I4236" s="21">
        <f>Data!C4249</f>
        <v>0</v>
      </c>
      <c r="J4236">
        <f>Data!D4249</f>
        <v>0</v>
      </c>
      <c r="K4236">
        <f>Data!E4249</f>
        <v>0</v>
      </c>
      <c r="L4236">
        <f>Data!F4249</f>
        <v>0</v>
      </c>
      <c r="M4236">
        <f>Data!G4249</f>
        <v>0</v>
      </c>
      <c r="N4236">
        <f>Data!H4249</f>
        <v>0</v>
      </c>
      <c r="O4236">
        <f>Data!I4249</f>
        <v>0</v>
      </c>
      <c r="P4236" s="21">
        <f>Data!J4253</f>
        <v>0</v>
      </c>
      <c r="Q4236">
        <f>Data!K4253</f>
        <v>0</v>
      </c>
      <c r="R4236">
        <f>Data!L4253</f>
        <v>0</v>
      </c>
      <c r="S4236">
        <f>Data!M4253</f>
        <v>0</v>
      </c>
      <c r="T4236">
        <f>Data!N4253</f>
        <v>0</v>
      </c>
      <c r="U4236">
        <f>Data!O4253</f>
        <v>0</v>
      </c>
      <c r="V4236" s="33">
        <f>Data!P4251</f>
        <v>0</v>
      </c>
    </row>
    <row r="4237" spans="7:22" x14ac:dyDescent="0.25">
      <c r="G4237">
        <f>Data!A4250</f>
        <v>0</v>
      </c>
      <c r="H4237" s="21">
        <f>Data!B4250</f>
        <v>0</v>
      </c>
      <c r="I4237" s="21">
        <f>Data!C4250</f>
        <v>0</v>
      </c>
      <c r="J4237">
        <f>Data!D4250</f>
        <v>0</v>
      </c>
      <c r="K4237">
        <f>Data!E4250</f>
        <v>0</v>
      </c>
      <c r="L4237">
        <f>Data!F4250</f>
        <v>0</v>
      </c>
      <c r="M4237">
        <f>Data!G4250</f>
        <v>0</v>
      </c>
      <c r="N4237">
        <f>Data!H4250</f>
        <v>0</v>
      </c>
      <c r="O4237">
        <f>Data!I4250</f>
        <v>0</v>
      </c>
      <c r="P4237" s="21">
        <f>Data!J4254</f>
        <v>0</v>
      </c>
      <c r="Q4237">
        <f>Data!K4254</f>
        <v>0</v>
      </c>
      <c r="R4237">
        <f>Data!L4254</f>
        <v>0</v>
      </c>
      <c r="S4237">
        <f>Data!M4254</f>
        <v>0</v>
      </c>
      <c r="T4237">
        <f>Data!N4254</f>
        <v>0</v>
      </c>
      <c r="U4237">
        <f>Data!O4254</f>
        <v>0</v>
      </c>
      <c r="V4237" s="33">
        <f>Data!P4252</f>
        <v>0</v>
      </c>
    </row>
    <row r="4238" spans="7:22" x14ac:dyDescent="0.25">
      <c r="G4238">
        <f>Data!A4251</f>
        <v>0</v>
      </c>
      <c r="H4238" s="21">
        <f>Data!B4251</f>
        <v>0</v>
      </c>
      <c r="I4238" s="21">
        <f>Data!C4251</f>
        <v>0</v>
      </c>
      <c r="J4238">
        <f>Data!D4251</f>
        <v>0</v>
      </c>
      <c r="K4238">
        <f>Data!E4251</f>
        <v>0</v>
      </c>
      <c r="L4238">
        <f>Data!F4251</f>
        <v>0</v>
      </c>
      <c r="M4238">
        <f>Data!G4251</f>
        <v>0</v>
      </c>
      <c r="N4238">
        <f>Data!H4251</f>
        <v>0</v>
      </c>
      <c r="O4238">
        <f>Data!I4251</f>
        <v>0</v>
      </c>
      <c r="P4238" s="21">
        <f>Data!J4255</f>
        <v>0</v>
      </c>
      <c r="Q4238">
        <f>Data!K4255</f>
        <v>0</v>
      </c>
      <c r="R4238">
        <f>Data!L4255</f>
        <v>0</v>
      </c>
      <c r="S4238">
        <f>Data!M4255</f>
        <v>0</v>
      </c>
      <c r="T4238">
        <f>Data!N4255</f>
        <v>0</v>
      </c>
      <c r="U4238">
        <f>Data!O4255</f>
        <v>0</v>
      </c>
      <c r="V4238" s="33">
        <f>Data!P4253</f>
        <v>0</v>
      </c>
    </row>
    <row r="4239" spans="7:22" x14ac:dyDescent="0.25">
      <c r="G4239">
        <f>Data!A4252</f>
        <v>0</v>
      </c>
      <c r="H4239" s="21">
        <f>Data!B4252</f>
        <v>0</v>
      </c>
      <c r="I4239" s="21">
        <f>Data!C4252</f>
        <v>0</v>
      </c>
      <c r="J4239">
        <f>Data!D4252</f>
        <v>0</v>
      </c>
      <c r="K4239">
        <f>Data!E4252</f>
        <v>0</v>
      </c>
      <c r="L4239">
        <f>Data!F4252</f>
        <v>0</v>
      </c>
      <c r="M4239">
        <f>Data!G4252</f>
        <v>0</v>
      </c>
      <c r="N4239">
        <f>Data!H4252</f>
        <v>0</v>
      </c>
      <c r="O4239">
        <f>Data!I4252</f>
        <v>0</v>
      </c>
      <c r="P4239" s="21">
        <f>Data!J4256</f>
        <v>0</v>
      </c>
      <c r="Q4239">
        <f>Data!K4256</f>
        <v>0</v>
      </c>
      <c r="R4239">
        <f>Data!L4256</f>
        <v>0</v>
      </c>
      <c r="S4239">
        <f>Data!M4256</f>
        <v>0</v>
      </c>
      <c r="T4239">
        <f>Data!N4256</f>
        <v>0</v>
      </c>
      <c r="U4239">
        <f>Data!O4256</f>
        <v>0</v>
      </c>
      <c r="V4239" s="33">
        <f>Data!P4254</f>
        <v>0</v>
      </c>
    </row>
    <row r="4240" spans="7:22" x14ac:dyDescent="0.25">
      <c r="G4240">
        <f>Data!A4253</f>
        <v>0</v>
      </c>
      <c r="H4240" s="21">
        <f>Data!B4253</f>
        <v>0</v>
      </c>
      <c r="I4240" s="21">
        <f>Data!C4253</f>
        <v>0</v>
      </c>
      <c r="J4240">
        <f>Data!D4253</f>
        <v>0</v>
      </c>
      <c r="K4240">
        <f>Data!E4253</f>
        <v>0</v>
      </c>
      <c r="L4240">
        <f>Data!F4253</f>
        <v>0</v>
      </c>
      <c r="M4240">
        <f>Data!G4253</f>
        <v>0</v>
      </c>
      <c r="N4240">
        <f>Data!H4253</f>
        <v>0</v>
      </c>
      <c r="O4240">
        <f>Data!I4253</f>
        <v>0</v>
      </c>
      <c r="P4240" s="21">
        <f>Data!J4257</f>
        <v>0</v>
      </c>
      <c r="Q4240">
        <f>Data!K4257</f>
        <v>0</v>
      </c>
      <c r="R4240">
        <f>Data!L4257</f>
        <v>0</v>
      </c>
      <c r="S4240">
        <f>Data!M4257</f>
        <v>0</v>
      </c>
      <c r="T4240">
        <f>Data!N4257</f>
        <v>0</v>
      </c>
      <c r="U4240">
        <f>Data!O4257</f>
        <v>0</v>
      </c>
      <c r="V4240" s="33">
        <f>Data!P4255</f>
        <v>0</v>
      </c>
    </row>
    <row r="4241" spans="7:22" x14ac:dyDescent="0.25">
      <c r="G4241">
        <f>Data!A4254</f>
        <v>0</v>
      </c>
      <c r="H4241" s="21">
        <f>Data!B4254</f>
        <v>0</v>
      </c>
      <c r="I4241" s="21">
        <f>Data!C4254</f>
        <v>0</v>
      </c>
      <c r="J4241">
        <f>Data!D4254</f>
        <v>0</v>
      </c>
      <c r="K4241">
        <f>Data!E4254</f>
        <v>0</v>
      </c>
      <c r="L4241">
        <f>Data!F4254</f>
        <v>0</v>
      </c>
      <c r="M4241">
        <f>Data!G4254</f>
        <v>0</v>
      </c>
      <c r="N4241">
        <f>Data!H4254</f>
        <v>0</v>
      </c>
      <c r="O4241">
        <f>Data!I4254</f>
        <v>0</v>
      </c>
      <c r="P4241" s="21">
        <f>Data!J4258</f>
        <v>0</v>
      </c>
      <c r="Q4241">
        <f>Data!K4258</f>
        <v>0</v>
      </c>
      <c r="R4241">
        <f>Data!L4258</f>
        <v>0</v>
      </c>
      <c r="S4241">
        <f>Data!M4258</f>
        <v>0</v>
      </c>
      <c r="T4241">
        <f>Data!N4258</f>
        <v>0</v>
      </c>
      <c r="U4241">
        <f>Data!O4258</f>
        <v>0</v>
      </c>
      <c r="V4241" s="33">
        <f>Data!P4256</f>
        <v>0</v>
      </c>
    </row>
    <row r="4242" spans="7:22" x14ac:dyDescent="0.25">
      <c r="G4242">
        <f>Data!A4255</f>
        <v>0</v>
      </c>
      <c r="H4242" s="21">
        <f>Data!B4255</f>
        <v>0</v>
      </c>
      <c r="I4242" s="21">
        <f>Data!C4255</f>
        <v>0</v>
      </c>
      <c r="J4242">
        <f>Data!D4255</f>
        <v>0</v>
      </c>
      <c r="K4242">
        <f>Data!E4255</f>
        <v>0</v>
      </c>
      <c r="L4242">
        <f>Data!F4255</f>
        <v>0</v>
      </c>
      <c r="M4242">
        <f>Data!G4255</f>
        <v>0</v>
      </c>
      <c r="N4242">
        <f>Data!H4255</f>
        <v>0</v>
      </c>
      <c r="O4242">
        <f>Data!I4255</f>
        <v>0</v>
      </c>
      <c r="P4242" s="21">
        <f>Data!J4259</f>
        <v>0</v>
      </c>
      <c r="Q4242">
        <f>Data!K4259</f>
        <v>0</v>
      </c>
      <c r="R4242">
        <f>Data!L4259</f>
        <v>0</v>
      </c>
      <c r="S4242">
        <f>Data!M4259</f>
        <v>0</v>
      </c>
      <c r="T4242">
        <f>Data!N4259</f>
        <v>0</v>
      </c>
      <c r="U4242">
        <f>Data!O4259</f>
        <v>0</v>
      </c>
      <c r="V4242" s="33">
        <f>Data!P4257</f>
        <v>0</v>
      </c>
    </row>
    <row r="4243" spans="7:22" x14ac:dyDescent="0.25">
      <c r="G4243">
        <f>Data!A4256</f>
        <v>0</v>
      </c>
      <c r="H4243" s="21">
        <f>Data!B4256</f>
        <v>0</v>
      </c>
      <c r="I4243" s="21">
        <f>Data!C4256</f>
        <v>0</v>
      </c>
      <c r="J4243">
        <f>Data!D4256</f>
        <v>0</v>
      </c>
      <c r="K4243">
        <f>Data!E4256</f>
        <v>0</v>
      </c>
      <c r="L4243">
        <f>Data!F4256</f>
        <v>0</v>
      </c>
      <c r="M4243">
        <f>Data!G4256</f>
        <v>0</v>
      </c>
      <c r="N4243">
        <f>Data!H4256</f>
        <v>0</v>
      </c>
      <c r="O4243">
        <f>Data!I4256</f>
        <v>0</v>
      </c>
      <c r="P4243" s="21">
        <f>Data!J4260</f>
        <v>0</v>
      </c>
      <c r="Q4243">
        <f>Data!K4260</f>
        <v>0</v>
      </c>
      <c r="R4243">
        <f>Data!L4260</f>
        <v>0</v>
      </c>
      <c r="S4243">
        <f>Data!M4260</f>
        <v>0</v>
      </c>
      <c r="T4243">
        <f>Data!N4260</f>
        <v>0</v>
      </c>
      <c r="U4243">
        <f>Data!O4260</f>
        <v>0</v>
      </c>
      <c r="V4243" s="33">
        <f>Data!P4258</f>
        <v>0</v>
      </c>
    </row>
    <row r="4244" spans="7:22" x14ac:dyDescent="0.25">
      <c r="G4244">
        <f>Data!A4257</f>
        <v>0</v>
      </c>
      <c r="H4244" s="21">
        <f>Data!B4257</f>
        <v>0</v>
      </c>
      <c r="I4244" s="21">
        <f>Data!C4257</f>
        <v>0</v>
      </c>
      <c r="J4244">
        <f>Data!D4257</f>
        <v>0</v>
      </c>
      <c r="K4244">
        <f>Data!E4257</f>
        <v>0</v>
      </c>
      <c r="L4244">
        <f>Data!F4257</f>
        <v>0</v>
      </c>
      <c r="M4244">
        <f>Data!G4257</f>
        <v>0</v>
      </c>
      <c r="N4244">
        <f>Data!H4257</f>
        <v>0</v>
      </c>
      <c r="O4244">
        <f>Data!I4257</f>
        <v>0</v>
      </c>
      <c r="P4244" s="21">
        <f>Data!J4261</f>
        <v>0</v>
      </c>
      <c r="Q4244">
        <f>Data!K4261</f>
        <v>0</v>
      </c>
      <c r="R4244">
        <f>Data!L4261</f>
        <v>0</v>
      </c>
      <c r="S4244">
        <f>Data!M4261</f>
        <v>0</v>
      </c>
      <c r="T4244">
        <f>Data!N4261</f>
        <v>0</v>
      </c>
      <c r="U4244">
        <f>Data!O4261</f>
        <v>0</v>
      </c>
      <c r="V4244" s="33">
        <f>Data!P4259</f>
        <v>0</v>
      </c>
    </row>
    <row r="4245" spans="7:22" x14ac:dyDescent="0.25">
      <c r="G4245">
        <f>Data!A4258</f>
        <v>0</v>
      </c>
      <c r="H4245" s="21">
        <f>Data!B4258</f>
        <v>0</v>
      </c>
      <c r="I4245" s="21">
        <f>Data!C4258</f>
        <v>0</v>
      </c>
      <c r="J4245">
        <f>Data!D4258</f>
        <v>0</v>
      </c>
      <c r="K4245">
        <f>Data!E4258</f>
        <v>0</v>
      </c>
      <c r="L4245">
        <f>Data!F4258</f>
        <v>0</v>
      </c>
      <c r="M4245">
        <f>Data!G4258</f>
        <v>0</v>
      </c>
      <c r="N4245">
        <f>Data!H4258</f>
        <v>0</v>
      </c>
      <c r="O4245">
        <f>Data!I4258</f>
        <v>0</v>
      </c>
      <c r="P4245" s="21">
        <f>Data!J4262</f>
        <v>0</v>
      </c>
      <c r="Q4245">
        <f>Data!K4262</f>
        <v>0</v>
      </c>
      <c r="R4245">
        <f>Data!L4262</f>
        <v>0</v>
      </c>
      <c r="S4245">
        <f>Data!M4262</f>
        <v>0</v>
      </c>
      <c r="T4245">
        <f>Data!N4262</f>
        <v>0</v>
      </c>
      <c r="U4245">
        <f>Data!O4262</f>
        <v>0</v>
      </c>
      <c r="V4245" s="33">
        <f>Data!P4260</f>
        <v>0</v>
      </c>
    </row>
    <row r="4246" spans="7:22" x14ac:dyDescent="0.25">
      <c r="G4246">
        <f>Data!A4259</f>
        <v>0</v>
      </c>
      <c r="H4246" s="21">
        <f>Data!B4259</f>
        <v>0</v>
      </c>
      <c r="I4246" s="21">
        <f>Data!C4259</f>
        <v>0</v>
      </c>
      <c r="J4246">
        <f>Data!D4259</f>
        <v>0</v>
      </c>
      <c r="K4246">
        <f>Data!E4259</f>
        <v>0</v>
      </c>
      <c r="L4246">
        <f>Data!F4259</f>
        <v>0</v>
      </c>
      <c r="M4246">
        <f>Data!G4259</f>
        <v>0</v>
      </c>
      <c r="N4246">
        <f>Data!H4259</f>
        <v>0</v>
      </c>
      <c r="O4246">
        <f>Data!I4259</f>
        <v>0</v>
      </c>
      <c r="P4246" s="21">
        <f>Data!J4263</f>
        <v>0</v>
      </c>
      <c r="Q4246">
        <f>Data!K4263</f>
        <v>0</v>
      </c>
      <c r="R4246">
        <f>Data!L4263</f>
        <v>0</v>
      </c>
      <c r="S4246">
        <f>Data!M4263</f>
        <v>0</v>
      </c>
      <c r="T4246">
        <f>Data!N4263</f>
        <v>0</v>
      </c>
      <c r="U4246">
        <f>Data!O4263</f>
        <v>0</v>
      </c>
      <c r="V4246" s="33">
        <f>Data!P4261</f>
        <v>0</v>
      </c>
    </row>
    <row r="4247" spans="7:22" x14ac:dyDescent="0.25">
      <c r="G4247">
        <f>Data!A4260</f>
        <v>0</v>
      </c>
      <c r="H4247" s="21">
        <f>Data!B4260</f>
        <v>0</v>
      </c>
      <c r="I4247" s="21">
        <f>Data!C4260</f>
        <v>0</v>
      </c>
      <c r="J4247">
        <f>Data!D4260</f>
        <v>0</v>
      </c>
      <c r="K4247">
        <f>Data!E4260</f>
        <v>0</v>
      </c>
      <c r="L4247">
        <f>Data!F4260</f>
        <v>0</v>
      </c>
      <c r="M4247">
        <f>Data!G4260</f>
        <v>0</v>
      </c>
      <c r="N4247">
        <f>Data!H4260</f>
        <v>0</v>
      </c>
      <c r="O4247">
        <f>Data!I4260</f>
        <v>0</v>
      </c>
      <c r="P4247" s="21">
        <f>Data!J4264</f>
        <v>0</v>
      </c>
      <c r="Q4247">
        <f>Data!K4264</f>
        <v>0</v>
      </c>
      <c r="R4247">
        <f>Data!L4264</f>
        <v>0</v>
      </c>
      <c r="S4247">
        <f>Data!M4264</f>
        <v>0</v>
      </c>
      <c r="T4247">
        <f>Data!N4264</f>
        <v>0</v>
      </c>
      <c r="U4247">
        <f>Data!O4264</f>
        <v>0</v>
      </c>
      <c r="V4247" s="33">
        <f>Data!P4262</f>
        <v>0</v>
      </c>
    </row>
    <row r="4248" spans="7:22" x14ac:dyDescent="0.25">
      <c r="G4248">
        <f>Data!A4261</f>
        <v>0</v>
      </c>
      <c r="H4248" s="21">
        <f>Data!B4261</f>
        <v>0</v>
      </c>
      <c r="I4248" s="21">
        <f>Data!C4261</f>
        <v>0</v>
      </c>
      <c r="J4248">
        <f>Data!D4261</f>
        <v>0</v>
      </c>
      <c r="K4248">
        <f>Data!E4261</f>
        <v>0</v>
      </c>
      <c r="L4248">
        <f>Data!F4261</f>
        <v>0</v>
      </c>
      <c r="M4248">
        <f>Data!G4261</f>
        <v>0</v>
      </c>
      <c r="N4248">
        <f>Data!H4261</f>
        <v>0</v>
      </c>
      <c r="O4248">
        <f>Data!I4261</f>
        <v>0</v>
      </c>
      <c r="P4248" s="21">
        <f>Data!J4265</f>
        <v>0</v>
      </c>
      <c r="Q4248">
        <f>Data!K4265</f>
        <v>0</v>
      </c>
      <c r="R4248">
        <f>Data!L4265</f>
        <v>0</v>
      </c>
      <c r="S4248">
        <f>Data!M4265</f>
        <v>0</v>
      </c>
      <c r="T4248">
        <f>Data!N4265</f>
        <v>0</v>
      </c>
      <c r="U4248">
        <f>Data!O4265</f>
        <v>0</v>
      </c>
      <c r="V4248" s="33">
        <f>Data!P4263</f>
        <v>0</v>
      </c>
    </row>
    <row r="4249" spans="7:22" x14ac:dyDescent="0.25">
      <c r="G4249">
        <f>Data!A4262</f>
        <v>0</v>
      </c>
      <c r="H4249" s="21">
        <f>Data!B4262</f>
        <v>0</v>
      </c>
      <c r="I4249" s="21">
        <f>Data!C4262</f>
        <v>0</v>
      </c>
      <c r="J4249">
        <f>Data!D4262</f>
        <v>0</v>
      </c>
      <c r="K4249">
        <f>Data!E4262</f>
        <v>0</v>
      </c>
      <c r="L4249">
        <f>Data!F4262</f>
        <v>0</v>
      </c>
      <c r="M4249">
        <f>Data!G4262</f>
        <v>0</v>
      </c>
      <c r="N4249">
        <f>Data!H4262</f>
        <v>0</v>
      </c>
      <c r="O4249">
        <f>Data!I4262</f>
        <v>0</v>
      </c>
      <c r="P4249" s="21">
        <f>Data!J4266</f>
        <v>0</v>
      </c>
      <c r="Q4249">
        <f>Data!K4266</f>
        <v>0</v>
      </c>
      <c r="R4249">
        <f>Data!L4266</f>
        <v>0</v>
      </c>
      <c r="S4249">
        <f>Data!M4266</f>
        <v>0</v>
      </c>
      <c r="T4249">
        <f>Data!N4266</f>
        <v>0</v>
      </c>
      <c r="U4249">
        <f>Data!O4266</f>
        <v>0</v>
      </c>
      <c r="V4249" s="33">
        <f>Data!P4264</f>
        <v>0</v>
      </c>
    </row>
    <row r="4250" spans="7:22" x14ac:dyDescent="0.25">
      <c r="G4250">
        <f>Data!A4263</f>
        <v>0</v>
      </c>
      <c r="H4250" s="21">
        <f>Data!B4263</f>
        <v>0</v>
      </c>
      <c r="I4250" s="21">
        <f>Data!C4263</f>
        <v>0</v>
      </c>
      <c r="J4250">
        <f>Data!D4263</f>
        <v>0</v>
      </c>
      <c r="K4250">
        <f>Data!E4263</f>
        <v>0</v>
      </c>
      <c r="L4250">
        <f>Data!F4263</f>
        <v>0</v>
      </c>
      <c r="M4250">
        <f>Data!G4263</f>
        <v>0</v>
      </c>
      <c r="N4250">
        <f>Data!H4263</f>
        <v>0</v>
      </c>
      <c r="O4250">
        <f>Data!I4263</f>
        <v>0</v>
      </c>
      <c r="P4250" s="21">
        <f>Data!J4267</f>
        <v>0</v>
      </c>
      <c r="Q4250">
        <f>Data!K4267</f>
        <v>0</v>
      </c>
      <c r="R4250">
        <f>Data!L4267</f>
        <v>0</v>
      </c>
      <c r="S4250">
        <f>Data!M4267</f>
        <v>0</v>
      </c>
      <c r="T4250">
        <f>Data!N4267</f>
        <v>0</v>
      </c>
      <c r="U4250">
        <f>Data!O4267</f>
        <v>0</v>
      </c>
      <c r="V4250" s="33">
        <f>Data!P4265</f>
        <v>0</v>
      </c>
    </row>
    <row r="4251" spans="7:22" x14ac:dyDescent="0.25">
      <c r="G4251">
        <f>Data!A4264</f>
        <v>0</v>
      </c>
      <c r="H4251" s="21">
        <f>Data!B4264</f>
        <v>0</v>
      </c>
      <c r="I4251" s="21">
        <f>Data!C4264</f>
        <v>0</v>
      </c>
      <c r="J4251">
        <f>Data!D4264</f>
        <v>0</v>
      </c>
      <c r="K4251">
        <f>Data!E4264</f>
        <v>0</v>
      </c>
      <c r="L4251">
        <f>Data!F4264</f>
        <v>0</v>
      </c>
      <c r="M4251">
        <f>Data!G4264</f>
        <v>0</v>
      </c>
      <c r="N4251">
        <f>Data!H4264</f>
        <v>0</v>
      </c>
      <c r="O4251">
        <f>Data!I4264</f>
        <v>0</v>
      </c>
      <c r="P4251" s="21">
        <f>Data!J4268</f>
        <v>0</v>
      </c>
      <c r="Q4251">
        <f>Data!K4268</f>
        <v>0</v>
      </c>
      <c r="R4251">
        <f>Data!L4268</f>
        <v>0</v>
      </c>
      <c r="S4251">
        <f>Data!M4268</f>
        <v>0</v>
      </c>
      <c r="T4251">
        <f>Data!N4268</f>
        <v>0</v>
      </c>
      <c r="U4251">
        <f>Data!O4268</f>
        <v>0</v>
      </c>
      <c r="V4251" s="33">
        <f>Data!P4266</f>
        <v>0</v>
      </c>
    </row>
    <row r="4252" spans="7:22" x14ac:dyDescent="0.25">
      <c r="G4252">
        <f>Data!A4265</f>
        <v>0</v>
      </c>
      <c r="H4252" s="21">
        <f>Data!B4265</f>
        <v>0</v>
      </c>
      <c r="I4252" s="21">
        <f>Data!C4265</f>
        <v>0</v>
      </c>
      <c r="J4252">
        <f>Data!D4265</f>
        <v>0</v>
      </c>
      <c r="K4252">
        <f>Data!E4265</f>
        <v>0</v>
      </c>
      <c r="L4252">
        <f>Data!F4265</f>
        <v>0</v>
      </c>
      <c r="M4252">
        <f>Data!G4265</f>
        <v>0</v>
      </c>
      <c r="N4252">
        <f>Data!H4265</f>
        <v>0</v>
      </c>
      <c r="O4252">
        <f>Data!I4265</f>
        <v>0</v>
      </c>
      <c r="P4252" s="21">
        <f>Data!J4269</f>
        <v>0</v>
      </c>
      <c r="Q4252">
        <f>Data!K4269</f>
        <v>0</v>
      </c>
      <c r="R4252">
        <f>Data!L4269</f>
        <v>0</v>
      </c>
      <c r="S4252">
        <f>Data!M4269</f>
        <v>0</v>
      </c>
      <c r="T4252">
        <f>Data!N4269</f>
        <v>0</v>
      </c>
      <c r="U4252">
        <f>Data!O4269</f>
        <v>0</v>
      </c>
      <c r="V4252" s="33">
        <f>Data!P4267</f>
        <v>0</v>
      </c>
    </row>
    <row r="4253" spans="7:22" x14ac:dyDescent="0.25">
      <c r="G4253">
        <f>Data!A4266</f>
        <v>0</v>
      </c>
      <c r="H4253" s="21">
        <f>Data!B4266</f>
        <v>0</v>
      </c>
      <c r="I4253" s="21">
        <f>Data!C4266</f>
        <v>0</v>
      </c>
      <c r="J4253">
        <f>Data!D4266</f>
        <v>0</v>
      </c>
      <c r="K4253">
        <f>Data!E4266</f>
        <v>0</v>
      </c>
      <c r="L4253">
        <f>Data!F4266</f>
        <v>0</v>
      </c>
      <c r="M4253">
        <f>Data!G4266</f>
        <v>0</v>
      </c>
      <c r="N4253">
        <f>Data!H4266</f>
        <v>0</v>
      </c>
      <c r="O4253">
        <f>Data!I4266</f>
        <v>0</v>
      </c>
      <c r="P4253" s="21">
        <f>Data!J4270</f>
        <v>0</v>
      </c>
      <c r="Q4253">
        <f>Data!K4270</f>
        <v>0</v>
      </c>
      <c r="R4253">
        <f>Data!L4270</f>
        <v>0</v>
      </c>
      <c r="S4253">
        <f>Data!M4270</f>
        <v>0</v>
      </c>
      <c r="T4253">
        <f>Data!N4270</f>
        <v>0</v>
      </c>
      <c r="U4253">
        <f>Data!O4270</f>
        <v>0</v>
      </c>
      <c r="V4253" s="33">
        <f>Data!P4268</f>
        <v>0</v>
      </c>
    </row>
    <row r="4254" spans="7:22" x14ac:dyDescent="0.25">
      <c r="G4254">
        <f>Data!A4267</f>
        <v>0</v>
      </c>
      <c r="H4254" s="21">
        <f>Data!B4267</f>
        <v>0</v>
      </c>
      <c r="I4254" s="21">
        <f>Data!C4267</f>
        <v>0</v>
      </c>
      <c r="J4254">
        <f>Data!D4267</f>
        <v>0</v>
      </c>
      <c r="K4254">
        <f>Data!E4267</f>
        <v>0</v>
      </c>
      <c r="L4254">
        <f>Data!F4267</f>
        <v>0</v>
      </c>
      <c r="M4254">
        <f>Data!G4267</f>
        <v>0</v>
      </c>
      <c r="N4254">
        <f>Data!H4267</f>
        <v>0</v>
      </c>
      <c r="O4254">
        <f>Data!I4267</f>
        <v>0</v>
      </c>
      <c r="P4254" s="21">
        <f>Data!J4271</f>
        <v>0</v>
      </c>
      <c r="Q4254">
        <f>Data!K4271</f>
        <v>0</v>
      </c>
      <c r="R4254">
        <f>Data!L4271</f>
        <v>0</v>
      </c>
      <c r="S4254">
        <f>Data!M4271</f>
        <v>0</v>
      </c>
      <c r="T4254">
        <f>Data!N4271</f>
        <v>0</v>
      </c>
      <c r="U4254">
        <f>Data!O4271</f>
        <v>0</v>
      </c>
      <c r="V4254" s="33">
        <f>Data!P4269</f>
        <v>0</v>
      </c>
    </row>
    <row r="4255" spans="7:22" x14ac:dyDescent="0.25">
      <c r="G4255">
        <f>Data!A4268</f>
        <v>0</v>
      </c>
      <c r="H4255" s="21">
        <f>Data!B4268</f>
        <v>0</v>
      </c>
      <c r="I4255" s="21">
        <f>Data!C4268</f>
        <v>0</v>
      </c>
      <c r="J4255">
        <f>Data!D4268</f>
        <v>0</v>
      </c>
      <c r="K4255">
        <f>Data!E4268</f>
        <v>0</v>
      </c>
      <c r="L4255">
        <f>Data!F4268</f>
        <v>0</v>
      </c>
      <c r="M4255">
        <f>Data!G4268</f>
        <v>0</v>
      </c>
      <c r="N4255">
        <f>Data!H4268</f>
        <v>0</v>
      </c>
      <c r="O4255">
        <f>Data!I4268</f>
        <v>0</v>
      </c>
      <c r="P4255" s="21">
        <f>Data!J4272</f>
        <v>0</v>
      </c>
      <c r="Q4255">
        <f>Data!K4272</f>
        <v>0</v>
      </c>
      <c r="R4255">
        <f>Data!L4272</f>
        <v>0</v>
      </c>
      <c r="S4255">
        <f>Data!M4272</f>
        <v>0</v>
      </c>
      <c r="T4255">
        <f>Data!N4272</f>
        <v>0</v>
      </c>
      <c r="U4255">
        <f>Data!O4272</f>
        <v>0</v>
      </c>
      <c r="V4255" s="33">
        <f>Data!P4270</f>
        <v>0</v>
      </c>
    </row>
    <row r="4256" spans="7:22" x14ac:dyDescent="0.25">
      <c r="G4256">
        <f>Data!A4269</f>
        <v>0</v>
      </c>
      <c r="H4256" s="21">
        <f>Data!B4269</f>
        <v>0</v>
      </c>
      <c r="I4256" s="21">
        <f>Data!C4269</f>
        <v>0</v>
      </c>
      <c r="J4256">
        <f>Data!D4269</f>
        <v>0</v>
      </c>
      <c r="K4256">
        <f>Data!E4269</f>
        <v>0</v>
      </c>
      <c r="L4256">
        <f>Data!F4269</f>
        <v>0</v>
      </c>
      <c r="M4256">
        <f>Data!G4269</f>
        <v>0</v>
      </c>
      <c r="N4256">
        <f>Data!H4269</f>
        <v>0</v>
      </c>
      <c r="O4256">
        <f>Data!I4269</f>
        <v>0</v>
      </c>
      <c r="P4256" s="21">
        <f>Data!J4273</f>
        <v>0</v>
      </c>
      <c r="Q4256">
        <f>Data!K4273</f>
        <v>0</v>
      </c>
      <c r="R4256">
        <f>Data!L4273</f>
        <v>0</v>
      </c>
      <c r="S4256">
        <f>Data!M4273</f>
        <v>0</v>
      </c>
      <c r="T4256">
        <f>Data!N4273</f>
        <v>0</v>
      </c>
      <c r="U4256">
        <f>Data!O4273</f>
        <v>0</v>
      </c>
      <c r="V4256" s="33">
        <f>Data!P4271</f>
        <v>0</v>
      </c>
    </row>
    <row r="4257" spans="7:22" x14ac:dyDescent="0.25">
      <c r="G4257">
        <f>Data!A4270</f>
        <v>0</v>
      </c>
      <c r="H4257" s="21">
        <f>Data!B4270</f>
        <v>0</v>
      </c>
      <c r="I4257" s="21">
        <f>Data!C4270</f>
        <v>0</v>
      </c>
      <c r="J4257">
        <f>Data!D4270</f>
        <v>0</v>
      </c>
      <c r="K4257">
        <f>Data!E4270</f>
        <v>0</v>
      </c>
      <c r="L4257">
        <f>Data!F4270</f>
        <v>0</v>
      </c>
      <c r="M4257">
        <f>Data!G4270</f>
        <v>0</v>
      </c>
      <c r="N4257">
        <f>Data!H4270</f>
        <v>0</v>
      </c>
      <c r="O4257">
        <f>Data!I4270</f>
        <v>0</v>
      </c>
      <c r="P4257" s="21">
        <f>Data!J4274</f>
        <v>0</v>
      </c>
      <c r="Q4257">
        <f>Data!K4274</f>
        <v>0</v>
      </c>
      <c r="R4257">
        <f>Data!L4274</f>
        <v>0</v>
      </c>
      <c r="S4257">
        <f>Data!M4274</f>
        <v>0</v>
      </c>
      <c r="T4257">
        <f>Data!N4274</f>
        <v>0</v>
      </c>
      <c r="U4257">
        <f>Data!O4274</f>
        <v>0</v>
      </c>
      <c r="V4257" s="33">
        <f>Data!P4272</f>
        <v>0</v>
      </c>
    </row>
    <row r="4258" spans="7:22" x14ac:dyDescent="0.25">
      <c r="G4258">
        <f>Data!A4271</f>
        <v>0</v>
      </c>
      <c r="H4258" s="21">
        <f>Data!B4271</f>
        <v>0</v>
      </c>
      <c r="I4258" s="21">
        <f>Data!C4271</f>
        <v>0</v>
      </c>
      <c r="J4258">
        <f>Data!D4271</f>
        <v>0</v>
      </c>
      <c r="K4258">
        <f>Data!E4271</f>
        <v>0</v>
      </c>
      <c r="L4258">
        <f>Data!F4271</f>
        <v>0</v>
      </c>
      <c r="M4258">
        <f>Data!G4271</f>
        <v>0</v>
      </c>
      <c r="N4258">
        <f>Data!H4271</f>
        <v>0</v>
      </c>
      <c r="O4258">
        <f>Data!I4271</f>
        <v>0</v>
      </c>
      <c r="P4258" s="21">
        <f>Data!J4275</f>
        <v>0</v>
      </c>
      <c r="Q4258">
        <f>Data!K4275</f>
        <v>0</v>
      </c>
      <c r="R4258">
        <f>Data!L4275</f>
        <v>0</v>
      </c>
      <c r="S4258">
        <f>Data!M4275</f>
        <v>0</v>
      </c>
      <c r="T4258">
        <f>Data!N4275</f>
        <v>0</v>
      </c>
      <c r="U4258">
        <f>Data!O4275</f>
        <v>0</v>
      </c>
      <c r="V4258" s="33">
        <f>Data!P4273</f>
        <v>0</v>
      </c>
    </row>
    <row r="4259" spans="7:22" x14ac:dyDescent="0.25">
      <c r="G4259">
        <f>Data!A4272</f>
        <v>0</v>
      </c>
      <c r="H4259" s="21">
        <f>Data!B4272</f>
        <v>0</v>
      </c>
      <c r="I4259" s="21">
        <f>Data!C4272</f>
        <v>0</v>
      </c>
      <c r="J4259">
        <f>Data!D4272</f>
        <v>0</v>
      </c>
      <c r="K4259">
        <f>Data!E4272</f>
        <v>0</v>
      </c>
      <c r="L4259">
        <f>Data!F4272</f>
        <v>0</v>
      </c>
      <c r="M4259">
        <f>Data!G4272</f>
        <v>0</v>
      </c>
      <c r="N4259">
        <f>Data!H4272</f>
        <v>0</v>
      </c>
      <c r="O4259">
        <f>Data!I4272</f>
        <v>0</v>
      </c>
      <c r="P4259" s="21">
        <f>Data!J4276</f>
        <v>0</v>
      </c>
      <c r="Q4259">
        <f>Data!K4276</f>
        <v>0</v>
      </c>
      <c r="R4259">
        <f>Data!L4276</f>
        <v>0</v>
      </c>
      <c r="S4259">
        <f>Data!M4276</f>
        <v>0</v>
      </c>
      <c r="T4259">
        <f>Data!N4276</f>
        <v>0</v>
      </c>
      <c r="U4259">
        <f>Data!O4276</f>
        <v>0</v>
      </c>
      <c r="V4259" s="33">
        <f>Data!P4274</f>
        <v>0</v>
      </c>
    </row>
    <row r="4260" spans="7:22" x14ac:dyDescent="0.25">
      <c r="G4260">
        <f>Data!A4273</f>
        <v>0</v>
      </c>
      <c r="H4260" s="21">
        <f>Data!B4273</f>
        <v>0</v>
      </c>
      <c r="I4260" s="21">
        <f>Data!C4273</f>
        <v>0</v>
      </c>
      <c r="J4260">
        <f>Data!D4273</f>
        <v>0</v>
      </c>
      <c r="K4260">
        <f>Data!E4273</f>
        <v>0</v>
      </c>
      <c r="L4260">
        <f>Data!F4273</f>
        <v>0</v>
      </c>
      <c r="M4260">
        <f>Data!G4273</f>
        <v>0</v>
      </c>
      <c r="N4260">
        <f>Data!H4273</f>
        <v>0</v>
      </c>
      <c r="O4260">
        <f>Data!I4273</f>
        <v>0</v>
      </c>
      <c r="P4260" s="21">
        <f>Data!J4277</f>
        <v>0</v>
      </c>
      <c r="Q4260">
        <f>Data!K4277</f>
        <v>0</v>
      </c>
      <c r="R4260">
        <f>Data!L4277</f>
        <v>0</v>
      </c>
      <c r="S4260">
        <f>Data!M4277</f>
        <v>0</v>
      </c>
      <c r="T4260">
        <f>Data!N4277</f>
        <v>0</v>
      </c>
      <c r="U4260">
        <f>Data!O4277</f>
        <v>0</v>
      </c>
      <c r="V4260" s="33">
        <f>Data!P4275</f>
        <v>0</v>
      </c>
    </row>
    <row r="4261" spans="7:22" x14ac:dyDescent="0.25">
      <c r="G4261">
        <f>Data!A4274</f>
        <v>0</v>
      </c>
      <c r="H4261" s="21">
        <f>Data!B4274</f>
        <v>0</v>
      </c>
      <c r="I4261" s="21">
        <f>Data!C4274</f>
        <v>0</v>
      </c>
      <c r="J4261">
        <f>Data!D4274</f>
        <v>0</v>
      </c>
      <c r="K4261">
        <f>Data!E4274</f>
        <v>0</v>
      </c>
      <c r="L4261">
        <f>Data!F4274</f>
        <v>0</v>
      </c>
      <c r="M4261">
        <f>Data!G4274</f>
        <v>0</v>
      </c>
      <c r="N4261">
        <f>Data!H4274</f>
        <v>0</v>
      </c>
      <c r="O4261">
        <f>Data!I4274</f>
        <v>0</v>
      </c>
      <c r="P4261" s="21">
        <f>Data!J4278</f>
        <v>0</v>
      </c>
      <c r="Q4261">
        <f>Data!K4278</f>
        <v>0</v>
      </c>
      <c r="R4261">
        <f>Data!L4278</f>
        <v>0</v>
      </c>
      <c r="S4261">
        <f>Data!M4278</f>
        <v>0</v>
      </c>
      <c r="T4261">
        <f>Data!N4278</f>
        <v>0</v>
      </c>
      <c r="U4261">
        <f>Data!O4278</f>
        <v>0</v>
      </c>
      <c r="V4261" s="33">
        <f>Data!P4276</f>
        <v>0</v>
      </c>
    </row>
    <row r="4262" spans="7:22" x14ac:dyDescent="0.25">
      <c r="G4262">
        <f>Data!A4275</f>
        <v>0</v>
      </c>
      <c r="H4262" s="21">
        <f>Data!B4275</f>
        <v>0</v>
      </c>
      <c r="I4262" s="21">
        <f>Data!C4275</f>
        <v>0</v>
      </c>
      <c r="J4262">
        <f>Data!D4275</f>
        <v>0</v>
      </c>
      <c r="K4262">
        <f>Data!E4275</f>
        <v>0</v>
      </c>
      <c r="L4262">
        <f>Data!F4275</f>
        <v>0</v>
      </c>
      <c r="M4262">
        <f>Data!G4275</f>
        <v>0</v>
      </c>
      <c r="N4262">
        <f>Data!H4275</f>
        <v>0</v>
      </c>
      <c r="O4262">
        <f>Data!I4275</f>
        <v>0</v>
      </c>
      <c r="P4262" s="21">
        <f>Data!J4279</f>
        <v>0</v>
      </c>
      <c r="Q4262">
        <f>Data!K4279</f>
        <v>0</v>
      </c>
      <c r="R4262">
        <f>Data!L4279</f>
        <v>0</v>
      </c>
      <c r="S4262">
        <f>Data!M4279</f>
        <v>0</v>
      </c>
      <c r="T4262">
        <f>Data!N4279</f>
        <v>0</v>
      </c>
      <c r="U4262">
        <f>Data!O4279</f>
        <v>0</v>
      </c>
      <c r="V4262" s="33">
        <f>Data!P4277</f>
        <v>0</v>
      </c>
    </row>
    <row r="4263" spans="7:22" x14ac:dyDescent="0.25">
      <c r="G4263">
        <f>Data!A4276</f>
        <v>0</v>
      </c>
      <c r="H4263" s="21">
        <f>Data!B4276</f>
        <v>0</v>
      </c>
      <c r="I4263" s="21">
        <f>Data!C4276</f>
        <v>0</v>
      </c>
      <c r="J4263">
        <f>Data!D4276</f>
        <v>0</v>
      </c>
      <c r="K4263">
        <f>Data!E4276</f>
        <v>0</v>
      </c>
      <c r="L4263">
        <f>Data!F4276</f>
        <v>0</v>
      </c>
      <c r="M4263">
        <f>Data!G4276</f>
        <v>0</v>
      </c>
      <c r="N4263">
        <f>Data!H4276</f>
        <v>0</v>
      </c>
      <c r="O4263">
        <f>Data!I4276</f>
        <v>0</v>
      </c>
      <c r="P4263" s="21">
        <f>Data!J4280</f>
        <v>0</v>
      </c>
      <c r="Q4263">
        <f>Data!K4280</f>
        <v>0</v>
      </c>
      <c r="R4263">
        <f>Data!L4280</f>
        <v>0</v>
      </c>
      <c r="S4263">
        <f>Data!M4280</f>
        <v>0</v>
      </c>
      <c r="T4263">
        <f>Data!N4280</f>
        <v>0</v>
      </c>
      <c r="U4263">
        <f>Data!O4280</f>
        <v>0</v>
      </c>
      <c r="V4263" s="33">
        <f>Data!P4278</f>
        <v>0</v>
      </c>
    </row>
    <row r="4264" spans="7:22" x14ac:dyDescent="0.25">
      <c r="G4264">
        <f>Data!A4277</f>
        <v>0</v>
      </c>
      <c r="H4264" s="21">
        <f>Data!B4277</f>
        <v>0</v>
      </c>
      <c r="I4264" s="21">
        <f>Data!C4277</f>
        <v>0</v>
      </c>
      <c r="J4264">
        <f>Data!D4277</f>
        <v>0</v>
      </c>
      <c r="K4264">
        <f>Data!E4277</f>
        <v>0</v>
      </c>
      <c r="L4264">
        <f>Data!F4277</f>
        <v>0</v>
      </c>
      <c r="M4264">
        <f>Data!G4277</f>
        <v>0</v>
      </c>
      <c r="N4264">
        <f>Data!H4277</f>
        <v>0</v>
      </c>
      <c r="O4264">
        <f>Data!I4277</f>
        <v>0</v>
      </c>
      <c r="P4264" s="21">
        <f>Data!J4281</f>
        <v>0</v>
      </c>
      <c r="Q4264">
        <f>Data!K4281</f>
        <v>0</v>
      </c>
      <c r="R4264">
        <f>Data!L4281</f>
        <v>0</v>
      </c>
      <c r="S4264">
        <f>Data!M4281</f>
        <v>0</v>
      </c>
      <c r="T4264">
        <f>Data!N4281</f>
        <v>0</v>
      </c>
      <c r="U4264">
        <f>Data!O4281</f>
        <v>0</v>
      </c>
      <c r="V4264" s="33">
        <f>Data!P4279</f>
        <v>0</v>
      </c>
    </row>
    <row r="4265" spans="7:22" x14ac:dyDescent="0.25">
      <c r="G4265">
        <f>Data!A4278</f>
        <v>0</v>
      </c>
      <c r="H4265" s="21">
        <f>Data!B4278</f>
        <v>0</v>
      </c>
      <c r="I4265" s="21">
        <f>Data!C4278</f>
        <v>0</v>
      </c>
      <c r="J4265">
        <f>Data!D4278</f>
        <v>0</v>
      </c>
      <c r="K4265">
        <f>Data!E4278</f>
        <v>0</v>
      </c>
      <c r="L4265">
        <f>Data!F4278</f>
        <v>0</v>
      </c>
      <c r="M4265">
        <f>Data!G4278</f>
        <v>0</v>
      </c>
      <c r="N4265">
        <f>Data!H4278</f>
        <v>0</v>
      </c>
      <c r="O4265">
        <f>Data!I4278</f>
        <v>0</v>
      </c>
      <c r="P4265" s="21">
        <f>Data!J4282</f>
        <v>0</v>
      </c>
      <c r="Q4265">
        <f>Data!K4282</f>
        <v>0</v>
      </c>
      <c r="R4265">
        <f>Data!L4282</f>
        <v>0</v>
      </c>
      <c r="S4265">
        <f>Data!M4282</f>
        <v>0</v>
      </c>
      <c r="T4265">
        <f>Data!N4282</f>
        <v>0</v>
      </c>
      <c r="U4265">
        <f>Data!O4282</f>
        <v>0</v>
      </c>
      <c r="V4265" s="33">
        <f>Data!P4280</f>
        <v>0</v>
      </c>
    </row>
    <row r="4266" spans="7:22" x14ac:dyDescent="0.25">
      <c r="G4266">
        <f>Data!A4279</f>
        <v>0</v>
      </c>
      <c r="H4266" s="21">
        <f>Data!B4279</f>
        <v>0</v>
      </c>
      <c r="I4266" s="21">
        <f>Data!C4279</f>
        <v>0</v>
      </c>
      <c r="J4266">
        <f>Data!D4279</f>
        <v>0</v>
      </c>
      <c r="K4266">
        <f>Data!E4279</f>
        <v>0</v>
      </c>
      <c r="L4266">
        <f>Data!F4279</f>
        <v>0</v>
      </c>
      <c r="M4266">
        <f>Data!G4279</f>
        <v>0</v>
      </c>
      <c r="N4266">
        <f>Data!H4279</f>
        <v>0</v>
      </c>
      <c r="O4266">
        <f>Data!I4279</f>
        <v>0</v>
      </c>
      <c r="P4266" s="21">
        <f>Data!J4283</f>
        <v>0</v>
      </c>
      <c r="Q4266">
        <f>Data!K4283</f>
        <v>0</v>
      </c>
      <c r="R4266">
        <f>Data!L4283</f>
        <v>0</v>
      </c>
      <c r="S4266">
        <f>Data!M4283</f>
        <v>0</v>
      </c>
      <c r="T4266">
        <f>Data!N4283</f>
        <v>0</v>
      </c>
      <c r="U4266">
        <f>Data!O4283</f>
        <v>0</v>
      </c>
      <c r="V4266" s="33">
        <f>Data!P4281</f>
        <v>0</v>
      </c>
    </row>
    <row r="4267" spans="7:22" x14ac:dyDescent="0.25">
      <c r="G4267">
        <f>Data!A4280</f>
        <v>0</v>
      </c>
      <c r="H4267" s="21">
        <f>Data!B4280</f>
        <v>0</v>
      </c>
      <c r="I4267" s="21">
        <f>Data!C4280</f>
        <v>0</v>
      </c>
      <c r="J4267">
        <f>Data!D4280</f>
        <v>0</v>
      </c>
      <c r="K4267">
        <f>Data!E4280</f>
        <v>0</v>
      </c>
      <c r="L4267">
        <f>Data!F4280</f>
        <v>0</v>
      </c>
      <c r="M4267">
        <f>Data!G4280</f>
        <v>0</v>
      </c>
      <c r="N4267">
        <f>Data!H4280</f>
        <v>0</v>
      </c>
      <c r="O4267">
        <f>Data!I4280</f>
        <v>0</v>
      </c>
      <c r="P4267" s="21">
        <f>Data!J4284</f>
        <v>0</v>
      </c>
      <c r="Q4267">
        <f>Data!K4284</f>
        <v>0</v>
      </c>
      <c r="R4267">
        <f>Data!L4284</f>
        <v>0</v>
      </c>
      <c r="S4267">
        <f>Data!M4284</f>
        <v>0</v>
      </c>
      <c r="T4267">
        <f>Data!N4284</f>
        <v>0</v>
      </c>
      <c r="U4267">
        <f>Data!O4284</f>
        <v>0</v>
      </c>
      <c r="V4267" s="33">
        <f>Data!P4282</f>
        <v>0</v>
      </c>
    </row>
    <row r="4268" spans="7:22" x14ac:dyDescent="0.25">
      <c r="G4268">
        <f>Data!A4281</f>
        <v>0</v>
      </c>
      <c r="H4268" s="21">
        <f>Data!B4281</f>
        <v>0</v>
      </c>
      <c r="I4268" s="21">
        <f>Data!C4281</f>
        <v>0</v>
      </c>
      <c r="J4268">
        <f>Data!D4281</f>
        <v>0</v>
      </c>
      <c r="K4268">
        <f>Data!E4281</f>
        <v>0</v>
      </c>
      <c r="L4268">
        <f>Data!F4281</f>
        <v>0</v>
      </c>
      <c r="M4268">
        <f>Data!G4281</f>
        <v>0</v>
      </c>
      <c r="N4268">
        <f>Data!H4281</f>
        <v>0</v>
      </c>
      <c r="O4268">
        <f>Data!I4281</f>
        <v>0</v>
      </c>
      <c r="P4268" s="21">
        <f>Data!J4285</f>
        <v>0</v>
      </c>
      <c r="Q4268">
        <f>Data!K4285</f>
        <v>0</v>
      </c>
      <c r="R4268">
        <f>Data!L4285</f>
        <v>0</v>
      </c>
      <c r="S4268">
        <f>Data!M4285</f>
        <v>0</v>
      </c>
      <c r="T4268">
        <f>Data!N4285</f>
        <v>0</v>
      </c>
      <c r="U4268">
        <f>Data!O4285</f>
        <v>0</v>
      </c>
      <c r="V4268" s="33">
        <f>Data!P4283</f>
        <v>0</v>
      </c>
    </row>
    <row r="4269" spans="7:22" x14ac:dyDescent="0.25">
      <c r="G4269">
        <f>Data!A4282</f>
        <v>0</v>
      </c>
      <c r="H4269" s="21">
        <f>Data!B4282</f>
        <v>0</v>
      </c>
      <c r="I4269" s="21">
        <f>Data!C4282</f>
        <v>0</v>
      </c>
      <c r="J4269">
        <f>Data!D4282</f>
        <v>0</v>
      </c>
      <c r="K4269">
        <f>Data!E4282</f>
        <v>0</v>
      </c>
      <c r="L4269">
        <f>Data!F4282</f>
        <v>0</v>
      </c>
      <c r="M4269">
        <f>Data!G4282</f>
        <v>0</v>
      </c>
      <c r="N4269">
        <f>Data!H4282</f>
        <v>0</v>
      </c>
      <c r="O4269">
        <f>Data!I4282</f>
        <v>0</v>
      </c>
      <c r="P4269" s="21">
        <f>Data!J4286</f>
        <v>0</v>
      </c>
      <c r="Q4269">
        <f>Data!K4286</f>
        <v>0</v>
      </c>
      <c r="R4269">
        <f>Data!L4286</f>
        <v>0</v>
      </c>
      <c r="S4269">
        <f>Data!M4286</f>
        <v>0</v>
      </c>
      <c r="T4269">
        <f>Data!N4286</f>
        <v>0</v>
      </c>
      <c r="U4269">
        <f>Data!O4286</f>
        <v>0</v>
      </c>
      <c r="V4269" s="33">
        <f>Data!P4284</f>
        <v>0</v>
      </c>
    </row>
    <row r="4270" spans="7:22" x14ac:dyDescent="0.25">
      <c r="G4270">
        <f>Data!A4283</f>
        <v>0</v>
      </c>
      <c r="H4270" s="21">
        <f>Data!B4283</f>
        <v>0</v>
      </c>
      <c r="I4270" s="21">
        <f>Data!C4283</f>
        <v>0</v>
      </c>
      <c r="J4270">
        <f>Data!D4283</f>
        <v>0</v>
      </c>
      <c r="K4270">
        <f>Data!E4283</f>
        <v>0</v>
      </c>
      <c r="L4270">
        <f>Data!F4283</f>
        <v>0</v>
      </c>
      <c r="M4270">
        <f>Data!G4283</f>
        <v>0</v>
      </c>
      <c r="N4270">
        <f>Data!H4283</f>
        <v>0</v>
      </c>
      <c r="O4270">
        <f>Data!I4283</f>
        <v>0</v>
      </c>
      <c r="P4270" s="21">
        <f>Data!J4287</f>
        <v>0</v>
      </c>
      <c r="Q4270">
        <f>Data!K4287</f>
        <v>0</v>
      </c>
      <c r="R4270">
        <f>Data!L4287</f>
        <v>0</v>
      </c>
      <c r="S4270">
        <f>Data!M4287</f>
        <v>0</v>
      </c>
      <c r="T4270">
        <f>Data!N4287</f>
        <v>0</v>
      </c>
      <c r="U4270">
        <f>Data!O4287</f>
        <v>0</v>
      </c>
      <c r="V4270" s="33">
        <f>Data!P4285</f>
        <v>0</v>
      </c>
    </row>
    <row r="4271" spans="7:22" x14ac:dyDescent="0.25">
      <c r="G4271">
        <f>Data!A4284</f>
        <v>0</v>
      </c>
      <c r="H4271" s="21">
        <f>Data!B4284</f>
        <v>0</v>
      </c>
      <c r="I4271" s="21">
        <f>Data!C4284</f>
        <v>0</v>
      </c>
      <c r="J4271">
        <f>Data!D4284</f>
        <v>0</v>
      </c>
      <c r="K4271">
        <f>Data!E4284</f>
        <v>0</v>
      </c>
      <c r="L4271">
        <f>Data!F4284</f>
        <v>0</v>
      </c>
      <c r="M4271">
        <f>Data!G4284</f>
        <v>0</v>
      </c>
      <c r="N4271">
        <f>Data!H4284</f>
        <v>0</v>
      </c>
      <c r="O4271">
        <f>Data!I4284</f>
        <v>0</v>
      </c>
      <c r="P4271" s="21">
        <f>Data!J4288</f>
        <v>0</v>
      </c>
      <c r="Q4271">
        <f>Data!K4288</f>
        <v>0</v>
      </c>
      <c r="R4271">
        <f>Data!L4288</f>
        <v>0</v>
      </c>
      <c r="S4271">
        <f>Data!M4288</f>
        <v>0</v>
      </c>
      <c r="T4271">
        <f>Data!N4288</f>
        <v>0</v>
      </c>
      <c r="U4271">
        <f>Data!O4288</f>
        <v>0</v>
      </c>
      <c r="V4271" s="33">
        <f>Data!P4286</f>
        <v>0</v>
      </c>
    </row>
    <row r="4272" spans="7:22" x14ac:dyDescent="0.25">
      <c r="G4272">
        <f>Data!A4285</f>
        <v>0</v>
      </c>
      <c r="H4272" s="21">
        <f>Data!B4285</f>
        <v>0</v>
      </c>
      <c r="I4272" s="21">
        <f>Data!C4285</f>
        <v>0</v>
      </c>
      <c r="J4272">
        <f>Data!D4285</f>
        <v>0</v>
      </c>
      <c r="K4272">
        <f>Data!E4285</f>
        <v>0</v>
      </c>
      <c r="L4272">
        <f>Data!F4285</f>
        <v>0</v>
      </c>
      <c r="M4272">
        <f>Data!G4285</f>
        <v>0</v>
      </c>
      <c r="N4272">
        <f>Data!H4285</f>
        <v>0</v>
      </c>
      <c r="O4272">
        <f>Data!I4285</f>
        <v>0</v>
      </c>
      <c r="P4272" s="21">
        <f>Data!J4289</f>
        <v>0</v>
      </c>
      <c r="Q4272">
        <f>Data!K4289</f>
        <v>0</v>
      </c>
      <c r="R4272">
        <f>Data!L4289</f>
        <v>0</v>
      </c>
      <c r="S4272">
        <f>Data!M4289</f>
        <v>0</v>
      </c>
      <c r="T4272">
        <f>Data!N4289</f>
        <v>0</v>
      </c>
      <c r="U4272">
        <f>Data!O4289</f>
        <v>0</v>
      </c>
      <c r="V4272" s="33">
        <f>Data!P4287</f>
        <v>0</v>
      </c>
    </row>
    <row r="4273" spans="7:22" x14ac:dyDescent="0.25">
      <c r="G4273">
        <f>Data!A4286</f>
        <v>0</v>
      </c>
      <c r="H4273" s="21">
        <f>Data!B4286</f>
        <v>0</v>
      </c>
      <c r="I4273" s="21">
        <f>Data!C4286</f>
        <v>0</v>
      </c>
      <c r="J4273">
        <f>Data!D4286</f>
        <v>0</v>
      </c>
      <c r="K4273">
        <f>Data!E4286</f>
        <v>0</v>
      </c>
      <c r="L4273">
        <f>Data!F4286</f>
        <v>0</v>
      </c>
      <c r="M4273">
        <f>Data!G4286</f>
        <v>0</v>
      </c>
      <c r="N4273">
        <f>Data!H4286</f>
        <v>0</v>
      </c>
      <c r="O4273">
        <f>Data!I4286</f>
        <v>0</v>
      </c>
      <c r="P4273" s="21">
        <f>Data!J4290</f>
        <v>0</v>
      </c>
      <c r="Q4273">
        <f>Data!K4290</f>
        <v>0</v>
      </c>
      <c r="R4273">
        <f>Data!L4290</f>
        <v>0</v>
      </c>
      <c r="S4273">
        <f>Data!M4290</f>
        <v>0</v>
      </c>
      <c r="T4273">
        <f>Data!N4290</f>
        <v>0</v>
      </c>
      <c r="U4273">
        <f>Data!O4290</f>
        <v>0</v>
      </c>
      <c r="V4273" s="33">
        <f>Data!P4288</f>
        <v>0</v>
      </c>
    </row>
    <row r="4274" spans="7:22" x14ac:dyDescent="0.25">
      <c r="G4274">
        <f>Data!A4287</f>
        <v>0</v>
      </c>
      <c r="H4274" s="21">
        <f>Data!B4287</f>
        <v>0</v>
      </c>
      <c r="I4274" s="21">
        <f>Data!C4287</f>
        <v>0</v>
      </c>
      <c r="J4274">
        <f>Data!D4287</f>
        <v>0</v>
      </c>
      <c r="K4274">
        <f>Data!E4287</f>
        <v>0</v>
      </c>
      <c r="L4274">
        <f>Data!F4287</f>
        <v>0</v>
      </c>
      <c r="M4274">
        <f>Data!G4287</f>
        <v>0</v>
      </c>
      <c r="N4274">
        <f>Data!H4287</f>
        <v>0</v>
      </c>
      <c r="O4274">
        <f>Data!I4287</f>
        <v>0</v>
      </c>
      <c r="P4274" s="21">
        <f>Data!J4291</f>
        <v>0</v>
      </c>
      <c r="Q4274">
        <f>Data!K4291</f>
        <v>0</v>
      </c>
      <c r="R4274">
        <f>Data!L4291</f>
        <v>0</v>
      </c>
      <c r="S4274">
        <f>Data!M4291</f>
        <v>0</v>
      </c>
      <c r="T4274">
        <f>Data!N4291</f>
        <v>0</v>
      </c>
      <c r="U4274">
        <f>Data!O4291</f>
        <v>0</v>
      </c>
      <c r="V4274" s="33">
        <f>Data!P4289</f>
        <v>0</v>
      </c>
    </row>
    <row r="4275" spans="7:22" x14ac:dyDescent="0.25">
      <c r="G4275">
        <f>Data!A4288</f>
        <v>0</v>
      </c>
      <c r="H4275" s="21">
        <f>Data!B4288</f>
        <v>0</v>
      </c>
      <c r="I4275" s="21">
        <f>Data!C4288</f>
        <v>0</v>
      </c>
      <c r="J4275">
        <f>Data!D4288</f>
        <v>0</v>
      </c>
      <c r="K4275">
        <f>Data!E4288</f>
        <v>0</v>
      </c>
      <c r="L4275">
        <f>Data!F4288</f>
        <v>0</v>
      </c>
      <c r="M4275">
        <f>Data!G4288</f>
        <v>0</v>
      </c>
      <c r="N4275">
        <f>Data!H4288</f>
        <v>0</v>
      </c>
      <c r="O4275">
        <f>Data!I4288</f>
        <v>0</v>
      </c>
      <c r="P4275" s="21">
        <f>Data!J4292</f>
        <v>0</v>
      </c>
      <c r="Q4275">
        <f>Data!K4292</f>
        <v>0</v>
      </c>
      <c r="R4275">
        <f>Data!L4292</f>
        <v>0</v>
      </c>
      <c r="S4275">
        <f>Data!M4292</f>
        <v>0</v>
      </c>
      <c r="T4275">
        <f>Data!N4292</f>
        <v>0</v>
      </c>
      <c r="U4275">
        <f>Data!O4292</f>
        <v>0</v>
      </c>
      <c r="V4275" s="33">
        <f>Data!P4290</f>
        <v>0</v>
      </c>
    </row>
    <row r="4276" spans="7:22" x14ac:dyDescent="0.25">
      <c r="G4276">
        <f>Data!A4289</f>
        <v>0</v>
      </c>
      <c r="H4276" s="21">
        <f>Data!B4289</f>
        <v>0</v>
      </c>
      <c r="I4276" s="21">
        <f>Data!C4289</f>
        <v>0</v>
      </c>
      <c r="J4276">
        <f>Data!D4289</f>
        <v>0</v>
      </c>
      <c r="K4276">
        <f>Data!E4289</f>
        <v>0</v>
      </c>
      <c r="L4276">
        <f>Data!F4289</f>
        <v>0</v>
      </c>
      <c r="M4276">
        <f>Data!G4289</f>
        <v>0</v>
      </c>
      <c r="N4276">
        <f>Data!H4289</f>
        <v>0</v>
      </c>
      <c r="O4276">
        <f>Data!I4289</f>
        <v>0</v>
      </c>
      <c r="P4276" s="21">
        <f>Data!J4293</f>
        <v>0</v>
      </c>
      <c r="Q4276">
        <f>Data!K4293</f>
        <v>0</v>
      </c>
      <c r="R4276">
        <f>Data!L4293</f>
        <v>0</v>
      </c>
      <c r="S4276">
        <f>Data!M4293</f>
        <v>0</v>
      </c>
      <c r="T4276">
        <f>Data!N4293</f>
        <v>0</v>
      </c>
      <c r="U4276">
        <f>Data!O4293</f>
        <v>0</v>
      </c>
      <c r="V4276" s="33">
        <f>Data!P4291</f>
        <v>0</v>
      </c>
    </row>
    <row r="4277" spans="7:22" x14ac:dyDescent="0.25">
      <c r="G4277">
        <f>Data!A4290</f>
        <v>0</v>
      </c>
      <c r="H4277" s="21">
        <f>Data!B4290</f>
        <v>0</v>
      </c>
      <c r="I4277" s="21">
        <f>Data!C4290</f>
        <v>0</v>
      </c>
      <c r="J4277">
        <f>Data!D4290</f>
        <v>0</v>
      </c>
      <c r="K4277">
        <f>Data!E4290</f>
        <v>0</v>
      </c>
      <c r="L4277">
        <f>Data!F4290</f>
        <v>0</v>
      </c>
      <c r="M4277">
        <f>Data!G4290</f>
        <v>0</v>
      </c>
      <c r="N4277">
        <f>Data!H4290</f>
        <v>0</v>
      </c>
      <c r="O4277">
        <f>Data!I4290</f>
        <v>0</v>
      </c>
      <c r="P4277" s="21">
        <f>Data!J4294</f>
        <v>0</v>
      </c>
      <c r="Q4277">
        <f>Data!K4294</f>
        <v>0</v>
      </c>
      <c r="R4277">
        <f>Data!L4294</f>
        <v>0</v>
      </c>
      <c r="S4277">
        <f>Data!M4294</f>
        <v>0</v>
      </c>
      <c r="T4277">
        <f>Data!N4294</f>
        <v>0</v>
      </c>
      <c r="U4277">
        <f>Data!O4294</f>
        <v>0</v>
      </c>
      <c r="V4277" s="33">
        <f>Data!P4292</f>
        <v>0</v>
      </c>
    </row>
    <row r="4278" spans="7:22" x14ac:dyDescent="0.25">
      <c r="G4278">
        <f>Data!A4291</f>
        <v>0</v>
      </c>
      <c r="H4278" s="21">
        <f>Data!B4291</f>
        <v>0</v>
      </c>
      <c r="I4278" s="21">
        <f>Data!C4291</f>
        <v>0</v>
      </c>
      <c r="J4278">
        <f>Data!D4291</f>
        <v>0</v>
      </c>
      <c r="K4278">
        <f>Data!E4291</f>
        <v>0</v>
      </c>
      <c r="L4278">
        <f>Data!F4291</f>
        <v>0</v>
      </c>
      <c r="M4278">
        <f>Data!G4291</f>
        <v>0</v>
      </c>
      <c r="N4278">
        <f>Data!H4291</f>
        <v>0</v>
      </c>
      <c r="O4278">
        <f>Data!I4291</f>
        <v>0</v>
      </c>
      <c r="P4278" s="21">
        <f>Data!J4295</f>
        <v>0</v>
      </c>
      <c r="Q4278">
        <f>Data!K4295</f>
        <v>0</v>
      </c>
      <c r="R4278">
        <f>Data!L4295</f>
        <v>0</v>
      </c>
      <c r="S4278">
        <f>Data!M4295</f>
        <v>0</v>
      </c>
      <c r="T4278">
        <f>Data!N4295</f>
        <v>0</v>
      </c>
      <c r="U4278">
        <f>Data!O4295</f>
        <v>0</v>
      </c>
      <c r="V4278" s="33">
        <f>Data!P4293</f>
        <v>0</v>
      </c>
    </row>
    <row r="4279" spans="7:22" x14ac:dyDescent="0.25">
      <c r="G4279">
        <f>Data!A4292</f>
        <v>0</v>
      </c>
      <c r="H4279" s="21">
        <f>Data!B4292</f>
        <v>0</v>
      </c>
      <c r="I4279" s="21">
        <f>Data!C4292</f>
        <v>0</v>
      </c>
      <c r="J4279">
        <f>Data!D4292</f>
        <v>0</v>
      </c>
      <c r="K4279">
        <f>Data!E4292</f>
        <v>0</v>
      </c>
      <c r="L4279">
        <f>Data!F4292</f>
        <v>0</v>
      </c>
      <c r="M4279">
        <f>Data!G4292</f>
        <v>0</v>
      </c>
      <c r="N4279">
        <f>Data!H4292</f>
        <v>0</v>
      </c>
      <c r="O4279">
        <f>Data!I4292</f>
        <v>0</v>
      </c>
      <c r="P4279" s="21">
        <f>Data!J4296</f>
        <v>0</v>
      </c>
      <c r="Q4279">
        <f>Data!K4296</f>
        <v>0</v>
      </c>
      <c r="R4279">
        <f>Data!L4296</f>
        <v>0</v>
      </c>
      <c r="S4279">
        <f>Data!M4296</f>
        <v>0</v>
      </c>
      <c r="T4279">
        <f>Data!N4296</f>
        <v>0</v>
      </c>
      <c r="U4279">
        <f>Data!O4296</f>
        <v>0</v>
      </c>
      <c r="V4279" s="33">
        <f>Data!P4294</f>
        <v>0</v>
      </c>
    </row>
    <row r="4280" spans="7:22" x14ac:dyDescent="0.25">
      <c r="G4280">
        <f>Data!A4293</f>
        <v>0</v>
      </c>
      <c r="H4280" s="21">
        <f>Data!B4293</f>
        <v>0</v>
      </c>
      <c r="I4280" s="21">
        <f>Data!C4293</f>
        <v>0</v>
      </c>
      <c r="J4280">
        <f>Data!D4293</f>
        <v>0</v>
      </c>
      <c r="K4280">
        <f>Data!E4293</f>
        <v>0</v>
      </c>
      <c r="L4280">
        <f>Data!F4293</f>
        <v>0</v>
      </c>
      <c r="M4280">
        <f>Data!G4293</f>
        <v>0</v>
      </c>
      <c r="N4280">
        <f>Data!H4293</f>
        <v>0</v>
      </c>
      <c r="O4280">
        <f>Data!I4293</f>
        <v>0</v>
      </c>
      <c r="P4280" s="21">
        <f>Data!J4297</f>
        <v>0</v>
      </c>
      <c r="Q4280">
        <f>Data!K4297</f>
        <v>0</v>
      </c>
      <c r="R4280">
        <f>Data!L4297</f>
        <v>0</v>
      </c>
      <c r="S4280">
        <f>Data!M4297</f>
        <v>0</v>
      </c>
      <c r="T4280">
        <f>Data!N4297</f>
        <v>0</v>
      </c>
      <c r="U4280">
        <f>Data!O4297</f>
        <v>0</v>
      </c>
      <c r="V4280" s="33">
        <f>Data!P4295</f>
        <v>0</v>
      </c>
    </row>
    <row r="4281" spans="7:22" x14ac:dyDescent="0.25">
      <c r="G4281">
        <f>Data!A4294</f>
        <v>0</v>
      </c>
      <c r="H4281" s="21">
        <f>Data!B4294</f>
        <v>0</v>
      </c>
      <c r="I4281" s="21">
        <f>Data!C4294</f>
        <v>0</v>
      </c>
      <c r="J4281">
        <f>Data!D4294</f>
        <v>0</v>
      </c>
      <c r="K4281">
        <f>Data!E4294</f>
        <v>0</v>
      </c>
      <c r="L4281">
        <f>Data!F4294</f>
        <v>0</v>
      </c>
      <c r="M4281">
        <f>Data!G4294</f>
        <v>0</v>
      </c>
      <c r="N4281">
        <f>Data!H4294</f>
        <v>0</v>
      </c>
      <c r="O4281">
        <f>Data!I4294</f>
        <v>0</v>
      </c>
      <c r="P4281" s="21">
        <f>Data!J4298</f>
        <v>0</v>
      </c>
      <c r="Q4281">
        <f>Data!K4298</f>
        <v>0</v>
      </c>
      <c r="R4281">
        <f>Data!L4298</f>
        <v>0</v>
      </c>
      <c r="S4281">
        <f>Data!M4298</f>
        <v>0</v>
      </c>
      <c r="T4281">
        <f>Data!N4298</f>
        <v>0</v>
      </c>
      <c r="U4281">
        <f>Data!O4298</f>
        <v>0</v>
      </c>
      <c r="V4281" s="33">
        <f>Data!P4296</f>
        <v>0</v>
      </c>
    </row>
    <row r="4282" spans="7:22" x14ac:dyDescent="0.25">
      <c r="G4282">
        <f>Data!A4295</f>
        <v>0</v>
      </c>
      <c r="H4282" s="21">
        <f>Data!B4295</f>
        <v>0</v>
      </c>
      <c r="I4282" s="21">
        <f>Data!C4295</f>
        <v>0</v>
      </c>
      <c r="J4282">
        <f>Data!D4295</f>
        <v>0</v>
      </c>
      <c r="K4282">
        <f>Data!E4295</f>
        <v>0</v>
      </c>
      <c r="L4282">
        <f>Data!F4295</f>
        <v>0</v>
      </c>
      <c r="M4282">
        <f>Data!G4295</f>
        <v>0</v>
      </c>
      <c r="N4282">
        <f>Data!H4295</f>
        <v>0</v>
      </c>
      <c r="O4282">
        <f>Data!I4295</f>
        <v>0</v>
      </c>
      <c r="P4282" s="21">
        <f>Data!J4299</f>
        <v>0</v>
      </c>
      <c r="Q4282">
        <f>Data!K4299</f>
        <v>0</v>
      </c>
      <c r="R4282">
        <f>Data!L4299</f>
        <v>0</v>
      </c>
      <c r="S4282">
        <f>Data!M4299</f>
        <v>0</v>
      </c>
      <c r="T4282">
        <f>Data!N4299</f>
        <v>0</v>
      </c>
      <c r="U4282">
        <f>Data!O4299</f>
        <v>0</v>
      </c>
      <c r="V4282" s="33">
        <f>Data!P4297</f>
        <v>0</v>
      </c>
    </row>
    <row r="4283" spans="7:22" x14ac:dyDescent="0.25">
      <c r="G4283">
        <f>Data!A4296</f>
        <v>0</v>
      </c>
      <c r="H4283" s="21">
        <f>Data!B4296</f>
        <v>0</v>
      </c>
      <c r="I4283" s="21">
        <f>Data!C4296</f>
        <v>0</v>
      </c>
      <c r="J4283">
        <f>Data!D4296</f>
        <v>0</v>
      </c>
      <c r="K4283">
        <f>Data!E4296</f>
        <v>0</v>
      </c>
      <c r="L4283">
        <f>Data!F4296</f>
        <v>0</v>
      </c>
      <c r="M4283">
        <f>Data!G4296</f>
        <v>0</v>
      </c>
      <c r="N4283">
        <f>Data!H4296</f>
        <v>0</v>
      </c>
      <c r="O4283">
        <f>Data!I4296</f>
        <v>0</v>
      </c>
      <c r="P4283" s="21">
        <f>Data!J4300</f>
        <v>0</v>
      </c>
      <c r="Q4283">
        <f>Data!K4300</f>
        <v>0</v>
      </c>
      <c r="R4283">
        <f>Data!L4300</f>
        <v>0</v>
      </c>
      <c r="S4283">
        <f>Data!M4300</f>
        <v>0</v>
      </c>
      <c r="T4283">
        <f>Data!N4300</f>
        <v>0</v>
      </c>
      <c r="U4283">
        <f>Data!O4300</f>
        <v>0</v>
      </c>
      <c r="V4283" s="33">
        <f>Data!P4298</f>
        <v>0</v>
      </c>
    </row>
    <row r="4284" spans="7:22" x14ac:dyDescent="0.25">
      <c r="G4284">
        <f>Data!A4297</f>
        <v>0</v>
      </c>
      <c r="H4284" s="21">
        <f>Data!B4297</f>
        <v>0</v>
      </c>
      <c r="I4284" s="21">
        <f>Data!C4297</f>
        <v>0</v>
      </c>
      <c r="J4284">
        <f>Data!D4297</f>
        <v>0</v>
      </c>
      <c r="K4284">
        <f>Data!E4297</f>
        <v>0</v>
      </c>
      <c r="L4284">
        <f>Data!F4297</f>
        <v>0</v>
      </c>
      <c r="M4284">
        <f>Data!G4297</f>
        <v>0</v>
      </c>
      <c r="N4284">
        <f>Data!H4297</f>
        <v>0</v>
      </c>
      <c r="O4284">
        <f>Data!I4297</f>
        <v>0</v>
      </c>
      <c r="P4284" s="21">
        <f>Data!J4301</f>
        <v>0</v>
      </c>
      <c r="Q4284">
        <f>Data!K4301</f>
        <v>0</v>
      </c>
      <c r="R4284">
        <f>Data!L4301</f>
        <v>0</v>
      </c>
      <c r="S4284">
        <f>Data!M4301</f>
        <v>0</v>
      </c>
      <c r="T4284">
        <f>Data!N4301</f>
        <v>0</v>
      </c>
      <c r="U4284">
        <f>Data!O4301</f>
        <v>0</v>
      </c>
      <c r="V4284" s="33">
        <f>Data!P4299</f>
        <v>0</v>
      </c>
    </row>
    <row r="4285" spans="7:22" x14ac:dyDescent="0.25">
      <c r="G4285">
        <f>Data!A4298</f>
        <v>0</v>
      </c>
      <c r="H4285" s="21">
        <f>Data!B4298</f>
        <v>0</v>
      </c>
      <c r="I4285" s="21">
        <f>Data!C4298</f>
        <v>0</v>
      </c>
      <c r="J4285">
        <f>Data!D4298</f>
        <v>0</v>
      </c>
      <c r="K4285">
        <f>Data!E4298</f>
        <v>0</v>
      </c>
      <c r="L4285">
        <f>Data!F4298</f>
        <v>0</v>
      </c>
      <c r="M4285">
        <f>Data!G4298</f>
        <v>0</v>
      </c>
      <c r="N4285">
        <f>Data!H4298</f>
        <v>0</v>
      </c>
      <c r="O4285">
        <f>Data!I4298</f>
        <v>0</v>
      </c>
      <c r="P4285" s="21">
        <f>Data!J4302</f>
        <v>0</v>
      </c>
      <c r="Q4285">
        <f>Data!K4302</f>
        <v>0</v>
      </c>
      <c r="R4285">
        <f>Data!L4302</f>
        <v>0</v>
      </c>
      <c r="S4285">
        <f>Data!M4302</f>
        <v>0</v>
      </c>
      <c r="T4285">
        <f>Data!N4302</f>
        <v>0</v>
      </c>
      <c r="U4285">
        <f>Data!O4302</f>
        <v>0</v>
      </c>
      <c r="V4285" s="33">
        <f>Data!P4300</f>
        <v>0</v>
      </c>
    </row>
    <row r="4286" spans="7:22" x14ac:dyDescent="0.25">
      <c r="G4286">
        <f>Data!A4299</f>
        <v>0</v>
      </c>
      <c r="H4286" s="21">
        <f>Data!B4299</f>
        <v>0</v>
      </c>
      <c r="I4286" s="21">
        <f>Data!C4299</f>
        <v>0</v>
      </c>
      <c r="J4286">
        <f>Data!D4299</f>
        <v>0</v>
      </c>
      <c r="K4286">
        <f>Data!E4299</f>
        <v>0</v>
      </c>
      <c r="L4286">
        <f>Data!F4299</f>
        <v>0</v>
      </c>
      <c r="M4286">
        <f>Data!G4299</f>
        <v>0</v>
      </c>
      <c r="N4286">
        <f>Data!H4299</f>
        <v>0</v>
      </c>
      <c r="O4286">
        <f>Data!I4299</f>
        <v>0</v>
      </c>
      <c r="P4286" s="21">
        <f>Data!J4303</f>
        <v>0</v>
      </c>
      <c r="Q4286">
        <f>Data!K4303</f>
        <v>0</v>
      </c>
      <c r="R4286">
        <f>Data!L4303</f>
        <v>0</v>
      </c>
      <c r="S4286">
        <f>Data!M4303</f>
        <v>0</v>
      </c>
      <c r="T4286">
        <f>Data!N4303</f>
        <v>0</v>
      </c>
      <c r="U4286">
        <f>Data!O4303</f>
        <v>0</v>
      </c>
      <c r="V4286" s="33">
        <f>Data!P4301</f>
        <v>0</v>
      </c>
    </row>
    <row r="4287" spans="7:22" x14ac:dyDescent="0.25">
      <c r="G4287">
        <f>Data!A4300</f>
        <v>0</v>
      </c>
      <c r="H4287" s="21">
        <f>Data!B4300</f>
        <v>0</v>
      </c>
      <c r="I4287" s="21">
        <f>Data!C4300</f>
        <v>0</v>
      </c>
      <c r="J4287">
        <f>Data!D4300</f>
        <v>0</v>
      </c>
      <c r="K4287">
        <f>Data!E4300</f>
        <v>0</v>
      </c>
      <c r="L4287">
        <f>Data!F4300</f>
        <v>0</v>
      </c>
      <c r="M4287">
        <f>Data!G4300</f>
        <v>0</v>
      </c>
      <c r="N4287">
        <f>Data!H4300</f>
        <v>0</v>
      </c>
      <c r="O4287">
        <f>Data!I4300</f>
        <v>0</v>
      </c>
      <c r="P4287" s="21">
        <f>Data!J4304</f>
        <v>0</v>
      </c>
      <c r="Q4287">
        <f>Data!K4304</f>
        <v>0</v>
      </c>
      <c r="R4287">
        <f>Data!L4304</f>
        <v>0</v>
      </c>
      <c r="S4287">
        <f>Data!M4304</f>
        <v>0</v>
      </c>
      <c r="T4287">
        <f>Data!N4304</f>
        <v>0</v>
      </c>
      <c r="U4287">
        <f>Data!O4304</f>
        <v>0</v>
      </c>
      <c r="V4287" s="33">
        <f>Data!P4302</f>
        <v>0</v>
      </c>
    </row>
    <row r="4288" spans="7:22" x14ac:dyDescent="0.25">
      <c r="G4288">
        <f>Data!A4301</f>
        <v>0</v>
      </c>
      <c r="H4288" s="21">
        <f>Data!B4301</f>
        <v>0</v>
      </c>
      <c r="I4288" s="21">
        <f>Data!C4301</f>
        <v>0</v>
      </c>
      <c r="J4288">
        <f>Data!D4301</f>
        <v>0</v>
      </c>
      <c r="K4288">
        <f>Data!E4301</f>
        <v>0</v>
      </c>
      <c r="L4288">
        <f>Data!F4301</f>
        <v>0</v>
      </c>
      <c r="M4288">
        <f>Data!G4301</f>
        <v>0</v>
      </c>
      <c r="N4288">
        <f>Data!H4301</f>
        <v>0</v>
      </c>
      <c r="O4288">
        <f>Data!I4301</f>
        <v>0</v>
      </c>
      <c r="P4288" s="21">
        <f>Data!J4305</f>
        <v>0</v>
      </c>
      <c r="Q4288">
        <f>Data!K4305</f>
        <v>0</v>
      </c>
      <c r="R4288">
        <f>Data!L4305</f>
        <v>0</v>
      </c>
      <c r="S4288">
        <f>Data!M4305</f>
        <v>0</v>
      </c>
      <c r="T4288">
        <f>Data!N4305</f>
        <v>0</v>
      </c>
      <c r="U4288">
        <f>Data!O4305</f>
        <v>0</v>
      </c>
      <c r="V4288" s="33">
        <f>Data!P4303</f>
        <v>0</v>
      </c>
    </row>
    <row r="4289" spans="7:22" x14ac:dyDescent="0.25">
      <c r="G4289">
        <f>Data!A4302</f>
        <v>0</v>
      </c>
      <c r="H4289" s="21">
        <f>Data!B4302</f>
        <v>0</v>
      </c>
      <c r="I4289" s="21">
        <f>Data!C4302</f>
        <v>0</v>
      </c>
      <c r="J4289">
        <f>Data!D4302</f>
        <v>0</v>
      </c>
      <c r="K4289">
        <f>Data!E4302</f>
        <v>0</v>
      </c>
      <c r="L4289">
        <f>Data!F4302</f>
        <v>0</v>
      </c>
      <c r="M4289">
        <f>Data!G4302</f>
        <v>0</v>
      </c>
      <c r="N4289">
        <f>Data!H4302</f>
        <v>0</v>
      </c>
      <c r="O4289">
        <f>Data!I4302</f>
        <v>0</v>
      </c>
      <c r="P4289" s="21">
        <f>Data!J4306</f>
        <v>0</v>
      </c>
      <c r="Q4289">
        <f>Data!K4306</f>
        <v>0</v>
      </c>
      <c r="R4289">
        <f>Data!L4306</f>
        <v>0</v>
      </c>
      <c r="S4289">
        <f>Data!M4306</f>
        <v>0</v>
      </c>
      <c r="T4289">
        <f>Data!N4306</f>
        <v>0</v>
      </c>
      <c r="U4289">
        <f>Data!O4306</f>
        <v>0</v>
      </c>
      <c r="V4289" s="33">
        <f>Data!P4304</f>
        <v>0</v>
      </c>
    </row>
    <row r="4290" spans="7:22" x14ac:dyDescent="0.25">
      <c r="G4290">
        <f>Data!A4303</f>
        <v>0</v>
      </c>
      <c r="H4290" s="21">
        <f>Data!B4303</f>
        <v>0</v>
      </c>
      <c r="I4290" s="21">
        <f>Data!C4303</f>
        <v>0</v>
      </c>
      <c r="J4290">
        <f>Data!D4303</f>
        <v>0</v>
      </c>
      <c r="K4290">
        <f>Data!E4303</f>
        <v>0</v>
      </c>
      <c r="L4290">
        <f>Data!F4303</f>
        <v>0</v>
      </c>
      <c r="M4290">
        <f>Data!G4303</f>
        <v>0</v>
      </c>
      <c r="N4290">
        <f>Data!H4303</f>
        <v>0</v>
      </c>
      <c r="O4290">
        <f>Data!I4303</f>
        <v>0</v>
      </c>
      <c r="P4290" s="21">
        <f>Data!J4307</f>
        <v>0</v>
      </c>
      <c r="Q4290">
        <f>Data!K4307</f>
        <v>0</v>
      </c>
      <c r="R4290">
        <f>Data!L4307</f>
        <v>0</v>
      </c>
      <c r="S4290">
        <f>Data!M4307</f>
        <v>0</v>
      </c>
      <c r="T4290">
        <f>Data!N4307</f>
        <v>0</v>
      </c>
      <c r="U4290">
        <f>Data!O4307</f>
        <v>0</v>
      </c>
      <c r="V4290" s="33">
        <f>Data!P4305</f>
        <v>0</v>
      </c>
    </row>
    <row r="4291" spans="7:22" x14ac:dyDescent="0.25">
      <c r="G4291">
        <f>Data!A4304</f>
        <v>0</v>
      </c>
      <c r="H4291" s="21">
        <f>Data!B4304</f>
        <v>0</v>
      </c>
      <c r="I4291" s="21">
        <f>Data!C4304</f>
        <v>0</v>
      </c>
      <c r="J4291">
        <f>Data!D4304</f>
        <v>0</v>
      </c>
      <c r="K4291">
        <f>Data!E4304</f>
        <v>0</v>
      </c>
      <c r="L4291">
        <f>Data!F4304</f>
        <v>0</v>
      </c>
      <c r="M4291">
        <f>Data!G4304</f>
        <v>0</v>
      </c>
      <c r="N4291">
        <f>Data!H4304</f>
        <v>0</v>
      </c>
      <c r="O4291">
        <f>Data!I4304</f>
        <v>0</v>
      </c>
      <c r="P4291" s="21">
        <f>Data!J4308</f>
        <v>0</v>
      </c>
      <c r="Q4291">
        <f>Data!K4308</f>
        <v>0</v>
      </c>
      <c r="R4291">
        <f>Data!L4308</f>
        <v>0</v>
      </c>
      <c r="S4291">
        <f>Data!M4308</f>
        <v>0</v>
      </c>
      <c r="T4291">
        <f>Data!N4308</f>
        <v>0</v>
      </c>
      <c r="U4291">
        <f>Data!O4308</f>
        <v>0</v>
      </c>
      <c r="V4291" s="33">
        <f>Data!P4306</f>
        <v>0</v>
      </c>
    </row>
    <row r="4292" spans="7:22" x14ac:dyDescent="0.25">
      <c r="G4292">
        <f>Data!A4305</f>
        <v>0</v>
      </c>
      <c r="H4292" s="21">
        <f>Data!B4305</f>
        <v>0</v>
      </c>
      <c r="I4292" s="21">
        <f>Data!C4305</f>
        <v>0</v>
      </c>
      <c r="J4292">
        <f>Data!D4305</f>
        <v>0</v>
      </c>
      <c r="K4292">
        <f>Data!E4305</f>
        <v>0</v>
      </c>
      <c r="L4292">
        <f>Data!F4305</f>
        <v>0</v>
      </c>
      <c r="M4292">
        <f>Data!G4305</f>
        <v>0</v>
      </c>
      <c r="N4292">
        <f>Data!H4305</f>
        <v>0</v>
      </c>
      <c r="O4292">
        <f>Data!I4305</f>
        <v>0</v>
      </c>
      <c r="P4292" s="21">
        <f>Data!J4309</f>
        <v>0</v>
      </c>
      <c r="Q4292">
        <f>Data!K4309</f>
        <v>0</v>
      </c>
      <c r="R4292">
        <f>Data!L4309</f>
        <v>0</v>
      </c>
      <c r="S4292">
        <f>Data!M4309</f>
        <v>0</v>
      </c>
      <c r="T4292">
        <f>Data!N4309</f>
        <v>0</v>
      </c>
      <c r="U4292">
        <f>Data!O4309</f>
        <v>0</v>
      </c>
      <c r="V4292" s="33">
        <f>Data!P4307</f>
        <v>0</v>
      </c>
    </row>
    <row r="4293" spans="7:22" x14ac:dyDescent="0.25">
      <c r="G4293">
        <f>Data!A4306</f>
        <v>0</v>
      </c>
      <c r="H4293" s="21">
        <f>Data!B4306</f>
        <v>0</v>
      </c>
      <c r="I4293" s="21">
        <f>Data!C4306</f>
        <v>0</v>
      </c>
      <c r="J4293">
        <f>Data!D4306</f>
        <v>0</v>
      </c>
      <c r="K4293">
        <f>Data!E4306</f>
        <v>0</v>
      </c>
      <c r="L4293">
        <f>Data!F4306</f>
        <v>0</v>
      </c>
      <c r="M4293">
        <f>Data!G4306</f>
        <v>0</v>
      </c>
      <c r="N4293">
        <f>Data!H4306</f>
        <v>0</v>
      </c>
      <c r="O4293">
        <f>Data!I4306</f>
        <v>0</v>
      </c>
      <c r="P4293" s="21">
        <f>Data!J4310</f>
        <v>0</v>
      </c>
      <c r="Q4293">
        <f>Data!K4310</f>
        <v>0</v>
      </c>
      <c r="R4293">
        <f>Data!L4310</f>
        <v>0</v>
      </c>
      <c r="S4293">
        <f>Data!M4310</f>
        <v>0</v>
      </c>
      <c r="T4293">
        <f>Data!N4310</f>
        <v>0</v>
      </c>
      <c r="U4293">
        <f>Data!O4310</f>
        <v>0</v>
      </c>
      <c r="V4293" s="33">
        <f>Data!P4308</f>
        <v>0</v>
      </c>
    </row>
    <row r="4294" spans="7:22" x14ac:dyDescent="0.25">
      <c r="G4294">
        <f>Data!A4307</f>
        <v>0</v>
      </c>
      <c r="H4294" s="21">
        <f>Data!B4307</f>
        <v>0</v>
      </c>
      <c r="I4294" s="21">
        <f>Data!C4307</f>
        <v>0</v>
      </c>
      <c r="J4294">
        <f>Data!D4307</f>
        <v>0</v>
      </c>
      <c r="K4294">
        <f>Data!E4307</f>
        <v>0</v>
      </c>
      <c r="L4294">
        <f>Data!F4307</f>
        <v>0</v>
      </c>
      <c r="M4294">
        <f>Data!G4307</f>
        <v>0</v>
      </c>
      <c r="N4294">
        <f>Data!H4307</f>
        <v>0</v>
      </c>
      <c r="O4294">
        <f>Data!I4307</f>
        <v>0</v>
      </c>
      <c r="P4294" s="21">
        <f>Data!J4311</f>
        <v>0</v>
      </c>
      <c r="Q4294">
        <f>Data!K4311</f>
        <v>0</v>
      </c>
      <c r="R4294">
        <f>Data!L4311</f>
        <v>0</v>
      </c>
      <c r="S4294">
        <f>Data!M4311</f>
        <v>0</v>
      </c>
      <c r="T4294">
        <f>Data!N4311</f>
        <v>0</v>
      </c>
      <c r="U4294">
        <f>Data!O4311</f>
        <v>0</v>
      </c>
      <c r="V4294" s="33">
        <f>Data!P4309</f>
        <v>0</v>
      </c>
    </row>
    <row r="4295" spans="7:22" x14ac:dyDescent="0.25">
      <c r="G4295">
        <f>Data!A4308</f>
        <v>0</v>
      </c>
      <c r="H4295" s="21">
        <f>Data!B4308</f>
        <v>0</v>
      </c>
      <c r="I4295" s="21">
        <f>Data!C4308</f>
        <v>0</v>
      </c>
      <c r="J4295">
        <f>Data!D4308</f>
        <v>0</v>
      </c>
      <c r="K4295">
        <f>Data!E4308</f>
        <v>0</v>
      </c>
      <c r="L4295">
        <f>Data!F4308</f>
        <v>0</v>
      </c>
      <c r="M4295">
        <f>Data!G4308</f>
        <v>0</v>
      </c>
      <c r="N4295">
        <f>Data!H4308</f>
        <v>0</v>
      </c>
      <c r="O4295">
        <f>Data!I4308</f>
        <v>0</v>
      </c>
      <c r="P4295" s="21">
        <f>Data!J4312</f>
        <v>0</v>
      </c>
      <c r="Q4295">
        <f>Data!K4312</f>
        <v>0</v>
      </c>
      <c r="R4295">
        <f>Data!L4312</f>
        <v>0</v>
      </c>
      <c r="S4295">
        <f>Data!M4312</f>
        <v>0</v>
      </c>
      <c r="T4295">
        <f>Data!N4312</f>
        <v>0</v>
      </c>
      <c r="U4295">
        <f>Data!O4312</f>
        <v>0</v>
      </c>
      <c r="V4295" s="33">
        <f>Data!P4310</f>
        <v>0</v>
      </c>
    </row>
    <row r="4296" spans="7:22" x14ac:dyDescent="0.25">
      <c r="G4296">
        <f>Data!A4309</f>
        <v>0</v>
      </c>
      <c r="H4296" s="21">
        <f>Data!B4309</f>
        <v>0</v>
      </c>
      <c r="I4296" s="21">
        <f>Data!C4309</f>
        <v>0</v>
      </c>
      <c r="J4296">
        <f>Data!D4309</f>
        <v>0</v>
      </c>
      <c r="K4296">
        <f>Data!E4309</f>
        <v>0</v>
      </c>
      <c r="L4296">
        <f>Data!F4309</f>
        <v>0</v>
      </c>
      <c r="M4296">
        <f>Data!G4309</f>
        <v>0</v>
      </c>
      <c r="N4296">
        <f>Data!H4309</f>
        <v>0</v>
      </c>
      <c r="O4296">
        <f>Data!I4309</f>
        <v>0</v>
      </c>
      <c r="P4296" s="21">
        <f>Data!J4313</f>
        <v>0</v>
      </c>
      <c r="Q4296">
        <f>Data!K4313</f>
        <v>0</v>
      </c>
      <c r="R4296">
        <f>Data!L4313</f>
        <v>0</v>
      </c>
      <c r="S4296">
        <f>Data!M4313</f>
        <v>0</v>
      </c>
      <c r="T4296">
        <f>Data!N4313</f>
        <v>0</v>
      </c>
      <c r="U4296">
        <f>Data!O4313</f>
        <v>0</v>
      </c>
      <c r="V4296" s="33">
        <f>Data!P4311</f>
        <v>0</v>
      </c>
    </row>
    <row r="4297" spans="7:22" x14ac:dyDescent="0.25">
      <c r="G4297">
        <f>Data!A4310</f>
        <v>0</v>
      </c>
      <c r="H4297" s="21">
        <f>Data!B4310</f>
        <v>0</v>
      </c>
      <c r="I4297" s="21">
        <f>Data!C4310</f>
        <v>0</v>
      </c>
      <c r="J4297">
        <f>Data!D4310</f>
        <v>0</v>
      </c>
      <c r="K4297">
        <f>Data!E4310</f>
        <v>0</v>
      </c>
      <c r="L4297">
        <f>Data!F4310</f>
        <v>0</v>
      </c>
      <c r="M4297">
        <f>Data!G4310</f>
        <v>0</v>
      </c>
      <c r="N4297">
        <f>Data!H4310</f>
        <v>0</v>
      </c>
      <c r="O4297">
        <f>Data!I4310</f>
        <v>0</v>
      </c>
      <c r="P4297" s="21">
        <f>Data!J4314</f>
        <v>0</v>
      </c>
      <c r="Q4297">
        <f>Data!K4314</f>
        <v>0</v>
      </c>
      <c r="R4297">
        <f>Data!L4314</f>
        <v>0</v>
      </c>
      <c r="S4297">
        <f>Data!M4314</f>
        <v>0</v>
      </c>
      <c r="T4297">
        <f>Data!N4314</f>
        <v>0</v>
      </c>
      <c r="U4297">
        <f>Data!O4314</f>
        <v>0</v>
      </c>
      <c r="V4297" s="33">
        <f>Data!P4312</f>
        <v>0</v>
      </c>
    </row>
    <row r="4298" spans="7:22" x14ac:dyDescent="0.25">
      <c r="G4298">
        <f>Data!A4311</f>
        <v>0</v>
      </c>
      <c r="H4298" s="21">
        <f>Data!B4311</f>
        <v>0</v>
      </c>
      <c r="I4298" s="21">
        <f>Data!C4311</f>
        <v>0</v>
      </c>
      <c r="J4298">
        <f>Data!D4311</f>
        <v>0</v>
      </c>
      <c r="K4298">
        <f>Data!E4311</f>
        <v>0</v>
      </c>
      <c r="L4298">
        <f>Data!F4311</f>
        <v>0</v>
      </c>
      <c r="M4298">
        <f>Data!G4311</f>
        <v>0</v>
      </c>
      <c r="N4298">
        <f>Data!H4311</f>
        <v>0</v>
      </c>
      <c r="O4298">
        <f>Data!I4311</f>
        <v>0</v>
      </c>
      <c r="P4298" s="21">
        <f>Data!J4315</f>
        <v>0</v>
      </c>
      <c r="Q4298">
        <f>Data!K4315</f>
        <v>0</v>
      </c>
      <c r="R4298">
        <f>Data!L4315</f>
        <v>0</v>
      </c>
      <c r="S4298">
        <f>Data!M4315</f>
        <v>0</v>
      </c>
      <c r="T4298">
        <f>Data!N4315</f>
        <v>0</v>
      </c>
      <c r="U4298">
        <f>Data!O4315</f>
        <v>0</v>
      </c>
      <c r="V4298" s="33">
        <f>Data!P4313</f>
        <v>0</v>
      </c>
    </row>
    <row r="4299" spans="7:22" x14ac:dyDescent="0.25">
      <c r="G4299">
        <f>Data!A4312</f>
        <v>0</v>
      </c>
      <c r="H4299" s="21">
        <f>Data!B4312</f>
        <v>0</v>
      </c>
      <c r="I4299" s="21">
        <f>Data!C4312</f>
        <v>0</v>
      </c>
      <c r="J4299">
        <f>Data!D4312</f>
        <v>0</v>
      </c>
      <c r="K4299">
        <f>Data!E4312</f>
        <v>0</v>
      </c>
      <c r="L4299">
        <f>Data!F4312</f>
        <v>0</v>
      </c>
      <c r="M4299">
        <f>Data!G4312</f>
        <v>0</v>
      </c>
      <c r="N4299">
        <f>Data!H4312</f>
        <v>0</v>
      </c>
      <c r="O4299">
        <f>Data!I4312</f>
        <v>0</v>
      </c>
      <c r="P4299" s="21">
        <f>Data!J4316</f>
        <v>0</v>
      </c>
      <c r="Q4299">
        <f>Data!K4316</f>
        <v>0</v>
      </c>
      <c r="R4299">
        <f>Data!L4316</f>
        <v>0</v>
      </c>
      <c r="S4299">
        <f>Data!M4316</f>
        <v>0</v>
      </c>
      <c r="T4299">
        <f>Data!N4316</f>
        <v>0</v>
      </c>
      <c r="U4299">
        <f>Data!O4316</f>
        <v>0</v>
      </c>
      <c r="V4299" s="33">
        <f>Data!P4314</f>
        <v>0</v>
      </c>
    </row>
    <row r="4300" spans="7:22" x14ac:dyDescent="0.25">
      <c r="G4300">
        <f>Data!A4313</f>
        <v>0</v>
      </c>
      <c r="H4300" s="21">
        <f>Data!B4313</f>
        <v>0</v>
      </c>
      <c r="I4300" s="21">
        <f>Data!C4313</f>
        <v>0</v>
      </c>
      <c r="J4300">
        <f>Data!D4313</f>
        <v>0</v>
      </c>
      <c r="K4300">
        <f>Data!E4313</f>
        <v>0</v>
      </c>
      <c r="L4300">
        <f>Data!F4313</f>
        <v>0</v>
      </c>
      <c r="M4300">
        <f>Data!G4313</f>
        <v>0</v>
      </c>
      <c r="N4300">
        <f>Data!H4313</f>
        <v>0</v>
      </c>
      <c r="O4300">
        <f>Data!I4313</f>
        <v>0</v>
      </c>
      <c r="P4300" s="21">
        <f>Data!J4317</f>
        <v>0</v>
      </c>
      <c r="Q4300">
        <f>Data!K4317</f>
        <v>0</v>
      </c>
      <c r="R4300">
        <f>Data!L4317</f>
        <v>0</v>
      </c>
      <c r="S4300">
        <f>Data!M4317</f>
        <v>0</v>
      </c>
      <c r="T4300">
        <f>Data!N4317</f>
        <v>0</v>
      </c>
      <c r="U4300">
        <f>Data!O4317</f>
        <v>0</v>
      </c>
      <c r="V4300" s="33">
        <f>Data!P4315</f>
        <v>0</v>
      </c>
    </row>
    <row r="4301" spans="7:22" x14ac:dyDescent="0.25">
      <c r="G4301">
        <f>Data!A4314</f>
        <v>0</v>
      </c>
      <c r="H4301" s="21">
        <f>Data!B4314</f>
        <v>0</v>
      </c>
      <c r="I4301" s="21">
        <f>Data!C4314</f>
        <v>0</v>
      </c>
      <c r="J4301">
        <f>Data!D4314</f>
        <v>0</v>
      </c>
      <c r="K4301">
        <f>Data!E4314</f>
        <v>0</v>
      </c>
      <c r="L4301">
        <f>Data!F4314</f>
        <v>0</v>
      </c>
      <c r="M4301">
        <f>Data!G4314</f>
        <v>0</v>
      </c>
      <c r="N4301">
        <f>Data!H4314</f>
        <v>0</v>
      </c>
      <c r="O4301">
        <f>Data!I4314</f>
        <v>0</v>
      </c>
      <c r="P4301" s="21">
        <f>Data!J4318</f>
        <v>0</v>
      </c>
      <c r="Q4301">
        <f>Data!K4318</f>
        <v>0</v>
      </c>
      <c r="R4301">
        <f>Data!L4318</f>
        <v>0</v>
      </c>
      <c r="S4301">
        <f>Data!M4318</f>
        <v>0</v>
      </c>
      <c r="T4301">
        <f>Data!N4318</f>
        <v>0</v>
      </c>
      <c r="U4301">
        <f>Data!O4318</f>
        <v>0</v>
      </c>
      <c r="V4301" s="33">
        <f>Data!P4316</f>
        <v>0</v>
      </c>
    </row>
    <row r="4302" spans="7:22" x14ac:dyDescent="0.25">
      <c r="G4302">
        <f>Data!A4315</f>
        <v>0</v>
      </c>
      <c r="H4302" s="21">
        <f>Data!B4315</f>
        <v>0</v>
      </c>
      <c r="I4302" s="21">
        <f>Data!C4315</f>
        <v>0</v>
      </c>
      <c r="J4302">
        <f>Data!D4315</f>
        <v>0</v>
      </c>
      <c r="K4302">
        <f>Data!E4315</f>
        <v>0</v>
      </c>
      <c r="L4302">
        <f>Data!F4315</f>
        <v>0</v>
      </c>
      <c r="M4302">
        <f>Data!G4315</f>
        <v>0</v>
      </c>
      <c r="N4302">
        <f>Data!H4315</f>
        <v>0</v>
      </c>
      <c r="O4302">
        <f>Data!I4315</f>
        <v>0</v>
      </c>
      <c r="P4302" s="21">
        <f>Data!J4319</f>
        <v>0</v>
      </c>
      <c r="Q4302">
        <f>Data!K4319</f>
        <v>0</v>
      </c>
      <c r="R4302">
        <f>Data!L4319</f>
        <v>0</v>
      </c>
      <c r="S4302">
        <f>Data!M4319</f>
        <v>0</v>
      </c>
      <c r="T4302">
        <f>Data!N4319</f>
        <v>0</v>
      </c>
      <c r="U4302">
        <f>Data!O4319</f>
        <v>0</v>
      </c>
      <c r="V4302" s="33">
        <f>Data!P4317</f>
        <v>0</v>
      </c>
    </row>
    <row r="4303" spans="7:22" x14ac:dyDescent="0.25">
      <c r="G4303">
        <f>Data!A4316</f>
        <v>0</v>
      </c>
      <c r="H4303" s="21">
        <f>Data!B4316</f>
        <v>0</v>
      </c>
      <c r="I4303" s="21">
        <f>Data!C4316</f>
        <v>0</v>
      </c>
      <c r="J4303">
        <f>Data!D4316</f>
        <v>0</v>
      </c>
      <c r="K4303">
        <f>Data!E4316</f>
        <v>0</v>
      </c>
      <c r="L4303">
        <f>Data!F4316</f>
        <v>0</v>
      </c>
      <c r="M4303">
        <f>Data!G4316</f>
        <v>0</v>
      </c>
      <c r="N4303">
        <f>Data!H4316</f>
        <v>0</v>
      </c>
      <c r="O4303">
        <f>Data!I4316</f>
        <v>0</v>
      </c>
      <c r="P4303" s="21">
        <f>Data!J4320</f>
        <v>0</v>
      </c>
      <c r="Q4303">
        <f>Data!K4320</f>
        <v>0</v>
      </c>
      <c r="R4303">
        <f>Data!L4320</f>
        <v>0</v>
      </c>
      <c r="S4303">
        <f>Data!M4320</f>
        <v>0</v>
      </c>
      <c r="T4303">
        <f>Data!N4320</f>
        <v>0</v>
      </c>
      <c r="U4303">
        <f>Data!O4320</f>
        <v>0</v>
      </c>
      <c r="V4303" s="33">
        <f>Data!P4318</f>
        <v>0</v>
      </c>
    </row>
    <row r="4304" spans="7:22" x14ac:dyDescent="0.25">
      <c r="G4304">
        <f>Data!A4317</f>
        <v>0</v>
      </c>
      <c r="H4304" s="21">
        <f>Data!B4317</f>
        <v>0</v>
      </c>
      <c r="I4304" s="21">
        <f>Data!C4317</f>
        <v>0</v>
      </c>
      <c r="J4304">
        <f>Data!D4317</f>
        <v>0</v>
      </c>
      <c r="K4304">
        <f>Data!E4317</f>
        <v>0</v>
      </c>
      <c r="L4304">
        <f>Data!F4317</f>
        <v>0</v>
      </c>
      <c r="M4304">
        <f>Data!G4317</f>
        <v>0</v>
      </c>
      <c r="N4304">
        <f>Data!H4317</f>
        <v>0</v>
      </c>
      <c r="O4304">
        <f>Data!I4317</f>
        <v>0</v>
      </c>
      <c r="P4304" s="21">
        <f>Data!J4321</f>
        <v>0</v>
      </c>
      <c r="Q4304">
        <f>Data!K4321</f>
        <v>0</v>
      </c>
      <c r="R4304">
        <f>Data!L4321</f>
        <v>0</v>
      </c>
      <c r="S4304">
        <f>Data!M4321</f>
        <v>0</v>
      </c>
      <c r="T4304">
        <f>Data!N4321</f>
        <v>0</v>
      </c>
      <c r="U4304">
        <f>Data!O4321</f>
        <v>0</v>
      </c>
      <c r="V4304" s="33">
        <f>Data!P4319</f>
        <v>0</v>
      </c>
    </row>
    <row r="4305" spans="7:22" x14ac:dyDescent="0.25">
      <c r="G4305">
        <f>Data!A4318</f>
        <v>0</v>
      </c>
      <c r="H4305" s="21">
        <f>Data!B4318</f>
        <v>0</v>
      </c>
      <c r="I4305" s="21">
        <f>Data!C4318</f>
        <v>0</v>
      </c>
      <c r="J4305">
        <f>Data!D4318</f>
        <v>0</v>
      </c>
      <c r="K4305">
        <f>Data!E4318</f>
        <v>0</v>
      </c>
      <c r="L4305">
        <f>Data!F4318</f>
        <v>0</v>
      </c>
      <c r="M4305">
        <f>Data!G4318</f>
        <v>0</v>
      </c>
      <c r="N4305">
        <f>Data!H4318</f>
        <v>0</v>
      </c>
      <c r="O4305">
        <f>Data!I4318</f>
        <v>0</v>
      </c>
      <c r="P4305" s="21">
        <f>Data!J4322</f>
        <v>0</v>
      </c>
      <c r="Q4305">
        <f>Data!K4322</f>
        <v>0</v>
      </c>
      <c r="R4305">
        <f>Data!L4322</f>
        <v>0</v>
      </c>
      <c r="S4305">
        <f>Data!M4322</f>
        <v>0</v>
      </c>
      <c r="T4305">
        <f>Data!N4322</f>
        <v>0</v>
      </c>
      <c r="U4305">
        <f>Data!O4322</f>
        <v>0</v>
      </c>
      <c r="V4305" s="33">
        <f>Data!P4320</f>
        <v>0</v>
      </c>
    </row>
    <row r="4306" spans="7:22" x14ac:dyDescent="0.25">
      <c r="G4306">
        <f>Data!A4319</f>
        <v>0</v>
      </c>
      <c r="H4306" s="21">
        <f>Data!B4319</f>
        <v>0</v>
      </c>
      <c r="I4306" s="21">
        <f>Data!C4319</f>
        <v>0</v>
      </c>
      <c r="J4306">
        <f>Data!D4319</f>
        <v>0</v>
      </c>
      <c r="K4306">
        <f>Data!E4319</f>
        <v>0</v>
      </c>
      <c r="L4306">
        <f>Data!F4319</f>
        <v>0</v>
      </c>
      <c r="M4306">
        <f>Data!G4319</f>
        <v>0</v>
      </c>
      <c r="N4306">
        <f>Data!H4319</f>
        <v>0</v>
      </c>
      <c r="O4306">
        <f>Data!I4319</f>
        <v>0</v>
      </c>
      <c r="P4306" s="21">
        <f>Data!J4323</f>
        <v>0</v>
      </c>
      <c r="Q4306">
        <f>Data!K4323</f>
        <v>0</v>
      </c>
      <c r="R4306">
        <f>Data!L4323</f>
        <v>0</v>
      </c>
      <c r="S4306">
        <f>Data!M4323</f>
        <v>0</v>
      </c>
      <c r="T4306">
        <f>Data!N4323</f>
        <v>0</v>
      </c>
      <c r="U4306">
        <f>Data!O4323</f>
        <v>0</v>
      </c>
      <c r="V4306" s="33">
        <f>Data!P4321</f>
        <v>0</v>
      </c>
    </row>
    <row r="4307" spans="7:22" x14ac:dyDescent="0.25">
      <c r="G4307">
        <f>Data!A4320</f>
        <v>0</v>
      </c>
      <c r="H4307" s="21">
        <f>Data!B4320</f>
        <v>0</v>
      </c>
      <c r="I4307" s="21">
        <f>Data!C4320</f>
        <v>0</v>
      </c>
      <c r="J4307">
        <f>Data!D4320</f>
        <v>0</v>
      </c>
      <c r="K4307">
        <f>Data!E4320</f>
        <v>0</v>
      </c>
      <c r="L4307">
        <f>Data!F4320</f>
        <v>0</v>
      </c>
      <c r="M4307">
        <f>Data!G4320</f>
        <v>0</v>
      </c>
      <c r="N4307">
        <f>Data!H4320</f>
        <v>0</v>
      </c>
      <c r="O4307">
        <f>Data!I4320</f>
        <v>0</v>
      </c>
      <c r="P4307" s="21">
        <f>Data!J4324</f>
        <v>0</v>
      </c>
      <c r="Q4307">
        <f>Data!K4324</f>
        <v>0</v>
      </c>
      <c r="R4307">
        <f>Data!L4324</f>
        <v>0</v>
      </c>
      <c r="S4307">
        <f>Data!M4324</f>
        <v>0</v>
      </c>
      <c r="T4307">
        <f>Data!N4324</f>
        <v>0</v>
      </c>
      <c r="U4307">
        <f>Data!O4324</f>
        <v>0</v>
      </c>
      <c r="V4307" s="33">
        <f>Data!P4322</f>
        <v>0</v>
      </c>
    </row>
    <row r="4308" spans="7:22" x14ac:dyDescent="0.25">
      <c r="G4308">
        <f>Data!A4321</f>
        <v>0</v>
      </c>
      <c r="H4308" s="21">
        <f>Data!B4321</f>
        <v>0</v>
      </c>
      <c r="I4308" s="21">
        <f>Data!C4321</f>
        <v>0</v>
      </c>
      <c r="J4308">
        <f>Data!D4321</f>
        <v>0</v>
      </c>
      <c r="K4308">
        <f>Data!E4321</f>
        <v>0</v>
      </c>
      <c r="L4308">
        <f>Data!F4321</f>
        <v>0</v>
      </c>
      <c r="M4308">
        <f>Data!G4321</f>
        <v>0</v>
      </c>
      <c r="N4308">
        <f>Data!H4321</f>
        <v>0</v>
      </c>
      <c r="O4308">
        <f>Data!I4321</f>
        <v>0</v>
      </c>
      <c r="P4308" s="21">
        <f>Data!J4325</f>
        <v>0</v>
      </c>
      <c r="Q4308">
        <f>Data!K4325</f>
        <v>0</v>
      </c>
      <c r="R4308">
        <f>Data!L4325</f>
        <v>0</v>
      </c>
      <c r="S4308">
        <f>Data!M4325</f>
        <v>0</v>
      </c>
      <c r="T4308">
        <f>Data!N4325</f>
        <v>0</v>
      </c>
      <c r="U4308">
        <f>Data!O4325</f>
        <v>0</v>
      </c>
      <c r="V4308" s="33">
        <f>Data!P4323</f>
        <v>0</v>
      </c>
    </row>
    <row r="4309" spans="7:22" x14ac:dyDescent="0.25">
      <c r="G4309">
        <f>Data!A4322</f>
        <v>0</v>
      </c>
      <c r="H4309" s="21">
        <f>Data!B4322</f>
        <v>0</v>
      </c>
      <c r="I4309" s="21">
        <f>Data!C4322</f>
        <v>0</v>
      </c>
      <c r="J4309">
        <f>Data!D4322</f>
        <v>0</v>
      </c>
      <c r="K4309">
        <f>Data!E4322</f>
        <v>0</v>
      </c>
      <c r="L4309">
        <f>Data!F4322</f>
        <v>0</v>
      </c>
      <c r="M4309">
        <f>Data!G4322</f>
        <v>0</v>
      </c>
      <c r="N4309">
        <f>Data!H4322</f>
        <v>0</v>
      </c>
      <c r="O4309">
        <f>Data!I4322</f>
        <v>0</v>
      </c>
      <c r="P4309" s="21">
        <f>Data!J4326</f>
        <v>0</v>
      </c>
      <c r="Q4309">
        <f>Data!K4326</f>
        <v>0</v>
      </c>
      <c r="R4309">
        <f>Data!L4326</f>
        <v>0</v>
      </c>
      <c r="S4309">
        <f>Data!M4326</f>
        <v>0</v>
      </c>
      <c r="T4309">
        <f>Data!N4326</f>
        <v>0</v>
      </c>
      <c r="U4309">
        <f>Data!O4326</f>
        <v>0</v>
      </c>
      <c r="V4309" s="33">
        <f>Data!P4324</f>
        <v>0</v>
      </c>
    </row>
    <row r="4310" spans="7:22" x14ac:dyDescent="0.25">
      <c r="G4310">
        <f>Data!A4323</f>
        <v>0</v>
      </c>
      <c r="H4310" s="21">
        <f>Data!B4323</f>
        <v>0</v>
      </c>
      <c r="I4310" s="21">
        <f>Data!C4323</f>
        <v>0</v>
      </c>
      <c r="J4310">
        <f>Data!D4323</f>
        <v>0</v>
      </c>
      <c r="K4310">
        <f>Data!E4323</f>
        <v>0</v>
      </c>
      <c r="L4310">
        <f>Data!F4323</f>
        <v>0</v>
      </c>
      <c r="M4310">
        <f>Data!G4323</f>
        <v>0</v>
      </c>
      <c r="N4310">
        <f>Data!H4323</f>
        <v>0</v>
      </c>
      <c r="O4310">
        <f>Data!I4323</f>
        <v>0</v>
      </c>
      <c r="P4310" s="21">
        <f>Data!J4327</f>
        <v>0</v>
      </c>
      <c r="Q4310">
        <f>Data!K4327</f>
        <v>0</v>
      </c>
      <c r="R4310">
        <f>Data!L4327</f>
        <v>0</v>
      </c>
      <c r="S4310">
        <f>Data!M4327</f>
        <v>0</v>
      </c>
      <c r="T4310">
        <f>Data!N4327</f>
        <v>0</v>
      </c>
      <c r="U4310">
        <f>Data!O4327</f>
        <v>0</v>
      </c>
      <c r="V4310" s="33">
        <f>Data!P4325</f>
        <v>0</v>
      </c>
    </row>
    <row r="4311" spans="7:22" x14ac:dyDescent="0.25">
      <c r="G4311">
        <f>Data!A4324</f>
        <v>0</v>
      </c>
      <c r="H4311" s="21">
        <f>Data!B4324</f>
        <v>0</v>
      </c>
      <c r="I4311" s="21">
        <f>Data!C4324</f>
        <v>0</v>
      </c>
      <c r="J4311">
        <f>Data!D4324</f>
        <v>0</v>
      </c>
      <c r="K4311">
        <f>Data!E4324</f>
        <v>0</v>
      </c>
      <c r="L4311">
        <f>Data!F4324</f>
        <v>0</v>
      </c>
      <c r="M4311">
        <f>Data!G4324</f>
        <v>0</v>
      </c>
      <c r="N4311">
        <f>Data!H4324</f>
        <v>0</v>
      </c>
      <c r="O4311">
        <f>Data!I4324</f>
        <v>0</v>
      </c>
      <c r="P4311" s="21">
        <f>Data!J4328</f>
        <v>0</v>
      </c>
      <c r="Q4311">
        <f>Data!K4328</f>
        <v>0</v>
      </c>
      <c r="R4311">
        <f>Data!L4328</f>
        <v>0</v>
      </c>
      <c r="S4311">
        <f>Data!M4328</f>
        <v>0</v>
      </c>
      <c r="T4311">
        <f>Data!N4328</f>
        <v>0</v>
      </c>
      <c r="U4311">
        <f>Data!O4328</f>
        <v>0</v>
      </c>
      <c r="V4311" s="33">
        <f>Data!P4326</f>
        <v>0</v>
      </c>
    </row>
    <row r="4312" spans="7:22" x14ac:dyDescent="0.25">
      <c r="G4312">
        <f>Data!A4325</f>
        <v>0</v>
      </c>
      <c r="H4312" s="21">
        <f>Data!B4325</f>
        <v>0</v>
      </c>
      <c r="I4312" s="21">
        <f>Data!C4325</f>
        <v>0</v>
      </c>
      <c r="J4312">
        <f>Data!D4325</f>
        <v>0</v>
      </c>
      <c r="K4312">
        <f>Data!E4325</f>
        <v>0</v>
      </c>
      <c r="L4312">
        <f>Data!F4325</f>
        <v>0</v>
      </c>
      <c r="M4312">
        <f>Data!G4325</f>
        <v>0</v>
      </c>
      <c r="N4312">
        <f>Data!H4325</f>
        <v>0</v>
      </c>
      <c r="O4312">
        <f>Data!I4325</f>
        <v>0</v>
      </c>
      <c r="P4312" s="21">
        <f>Data!J4329</f>
        <v>0</v>
      </c>
      <c r="Q4312">
        <f>Data!K4329</f>
        <v>0</v>
      </c>
      <c r="R4312">
        <f>Data!L4329</f>
        <v>0</v>
      </c>
      <c r="S4312">
        <f>Data!M4329</f>
        <v>0</v>
      </c>
      <c r="T4312">
        <f>Data!N4329</f>
        <v>0</v>
      </c>
      <c r="U4312">
        <f>Data!O4329</f>
        <v>0</v>
      </c>
      <c r="V4312" s="33">
        <f>Data!P4327</f>
        <v>0</v>
      </c>
    </row>
    <row r="4313" spans="7:22" x14ac:dyDescent="0.25">
      <c r="G4313">
        <f>Data!A4326</f>
        <v>0</v>
      </c>
      <c r="H4313" s="21">
        <f>Data!B4326</f>
        <v>0</v>
      </c>
      <c r="I4313" s="21">
        <f>Data!C4326</f>
        <v>0</v>
      </c>
      <c r="J4313">
        <f>Data!D4326</f>
        <v>0</v>
      </c>
      <c r="K4313">
        <f>Data!E4326</f>
        <v>0</v>
      </c>
      <c r="L4313">
        <f>Data!F4326</f>
        <v>0</v>
      </c>
      <c r="M4313">
        <f>Data!G4326</f>
        <v>0</v>
      </c>
      <c r="N4313">
        <f>Data!H4326</f>
        <v>0</v>
      </c>
      <c r="O4313">
        <f>Data!I4326</f>
        <v>0</v>
      </c>
      <c r="P4313" s="21">
        <f>Data!J4330</f>
        <v>0</v>
      </c>
      <c r="Q4313">
        <f>Data!K4330</f>
        <v>0</v>
      </c>
      <c r="R4313">
        <f>Data!L4330</f>
        <v>0</v>
      </c>
      <c r="S4313">
        <f>Data!M4330</f>
        <v>0</v>
      </c>
      <c r="T4313">
        <f>Data!N4330</f>
        <v>0</v>
      </c>
      <c r="U4313">
        <f>Data!O4330</f>
        <v>0</v>
      </c>
      <c r="V4313" s="33">
        <f>Data!P4328</f>
        <v>0</v>
      </c>
    </row>
    <row r="4314" spans="7:22" x14ac:dyDescent="0.25">
      <c r="G4314">
        <f>Data!A4327</f>
        <v>0</v>
      </c>
      <c r="H4314" s="21">
        <f>Data!B4327</f>
        <v>0</v>
      </c>
      <c r="I4314" s="21">
        <f>Data!C4327</f>
        <v>0</v>
      </c>
      <c r="J4314">
        <f>Data!D4327</f>
        <v>0</v>
      </c>
      <c r="K4314">
        <f>Data!E4327</f>
        <v>0</v>
      </c>
      <c r="L4314">
        <f>Data!F4327</f>
        <v>0</v>
      </c>
      <c r="M4314">
        <f>Data!G4327</f>
        <v>0</v>
      </c>
      <c r="N4314">
        <f>Data!H4327</f>
        <v>0</v>
      </c>
      <c r="O4314">
        <f>Data!I4327</f>
        <v>0</v>
      </c>
      <c r="P4314" s="21">
        <f>Data!J4331</f>
        <v>0</v>
      </c>
      <c r="Q4314">
        <f>Data!K4331</f>
        <v>0</v>
      </c>
      <c r="R4314">
        <f>Data!L4331</f>
        <v>0</v>
      </c>
      <c r="S4314">
        <f>Data!M4331</f>
        <v>0</v>
      </c>
      <c r="T4314">
        <f>Data!N4331</f>
        <v>0</v>
      </c>
      <c r="U4314">
        <f>Data!O4331</f>
        <v>0</v>
      </c>
      <c r="V4314" s="33">
        <f>Data!P4329</f>
        <v>0</v>
      </c>
    </row>
    <row r="4315" spans="7:22" x14ac:dyDescent="0.25">
      <c r="G4315">
        <f>Data!A4328</f>
        <v>0</v>
      </c>
      <c r="H4315" s="21">
        <f>Data!B4328</f>
        <v>0</v>
      </c>
      <c r="I4315" s="21">
        <f>Data!C4328</f>
        <v>0</v>
      </c>
      <c r="J4315">
        <f>Data!D4328</f>
        <v>0</v>
      </c>
      <c r="K4315">
        <f>Data!E4328</f>
        <v>0</v>
      </c>
      <c r="L4315">
        <f>Data!F4328</f>
        <v>0</v>
      </c>
      <c r="M4315">
        <f>Data!G4328</f>
        <v>0</v>
      </c>
      <c r="N4315">
        <f>Data!H4328</f>
        <v>0</v>
      </c>
      <c r="O4315">
        <f>Data!I4328</f>
        <v>0</v>
      </c>
      <c r="P4315" s="21">
        <f>Data!J4332</f>
        <v>0</v>
      </c>
      <c r="Q4315">
        <f>Data!K4332</f>
        <v>0</v>
      </c>
      <c r="R4315">
        <f>Data!L4332</f>
        <v>0</v>
      </c>
      <c r="S4315">
        <f>Data!M4332</f>
        <v>0</v>
      </c>
      <c r="T4315">
        <f>Data!N4332</f>
        <v>0</v>
      </c>
      <c r="U4315">
        <f>Data!O4332</f>
        <v>0</v>
      </c>
      <c r="V4315" s="33">
        <f>Data!P4330</f>
        <v>0</v>
      </c>
    </row>
    <row r="4316" spans="7:22" x14ac:dyDescent="0.25">
      <c r="G4316">
        <f>Data!A4329</f>
        <v>0</v>
      </c>
      <c r="H4316" s="21">
        <f>Data!B4329</f>
        <v>0</v>
      </c>
      <c r="I4316" s="21">
        <f>Data!C4329</f>
        <v>0</v>
      </c>
      <c r="J4316">
        <f>Data!D4329</f>
        <v>0</v>
      </c>
      <c r="K4316">
        <f>Data!E4329</f>
        <v>0</v>
      </c>
      <c r="L4316">
        <f>Data!F4329</f>
        <v>0</v>
      </c>
      <c r="M4316">
        <f>Data!G4329</f>
        <v>0</v>
      </c>
      <c r="N4316">
        <f>Data!H4329</f>
        <v>0</v>
      </c>
      <c r="O4316">
        <f>Data!I4329</f>
        <v>0</v>
      </c>
      <c r="P4316" s="21">
        <f>Data!J4333</f>
        <v>0</v>
      </c>
      <c r="Q4316">
        <f>Data!K4333</f>
        <v>0</v>
      </c>
      <c r="R4316">
        <f>Data!L4333</f>
        <v>0</v>
      </c>
      <c r="S4316">
        <f>Data!M4333</f>
        <v>0</v>
      </c>
      <c r="T4316">
        <f>Data!N4333</f>
        <v>0</v>
      </c>
      <c r="U4316">
        <f>Data!O4333</f>
        <v>0</v>
      </c>
      <c r="V4316" s="33">
        <f>Data!P4331</f>
        <v>0</v>
      </c>
    </row>
    <row r="4317" spans="7:22" x14ac:dyDescent="0.25">
      <c r="G4317">
        <f>Data!A4330</f>
        <v>0</v>
      </c>
      <c r="H4317" s="21">
        <f>Data!B4330</f>
        <v>0</v>
      </c>
      <c r="I4317" s="21">
        <f>Data!C4330</f>
        <v>0</v>
      </c>
      <c r="J4317">
        <f>Data!D4330</f>
        <v>0</v>
      </c>
      <c r="K4317">
        <f>Data!E4330</f>
        <v>0</v>
      </c>
      <c r="L4317">
        <f>Data!F4330</f>
        <v>0</v>
      </c>
      <c r="M4317">
        <f>Data!G4330</f>
        <v>0</v>
      </c>
      <c r="N4317">
        <f>Data!H4330</f>
        <v>0</v>
      </c>
      <c r="O4317">
        <f>Data!I4330</f>
        <v>0</v>
      </c>
      <c r="P4317" s="21">
        <f>Data!J4334</f>
        <v>0</v>
      </c>
      <c r="Q4317">
        <f>Data!K4334</f>
        <v>0</v>
      </c>
      <c r="R4317">
        <f>Data!L4334</f>
        <v>0</v>
      </c>
      <c r="S4317">
        <f>Data!M4334</f>
        <v>0</v>
      </c>
      <c r="T4317">
        <f>Data!N4334</f>
        <v>0</v>
      </c>
      <c r="U4317">
        <f>Data!O4334</f>
        <v>0</v>
      </c>
      <c r="V4317" s="33">
        <f>Data!P4332</f>
        <v>0</v>
      </c>
    </row>
    <row r="4318" spans="7:22" x14ac:dyDescent="0.25">
      <c r="G4318">
        <f>Data!A4331</f>
        <v>0</v>
      </c>
      <c r="H4318" s="21">
        <f>Data!B4331</f>
        <v>0</v>
      </c>
      <c r="I4318" s="21">
        <f>Data!C4331</f>
        <v>0</v>
      </c>
      <c r="J4318">
        <f>Data!D4331</f>
        <v>0</v>
      </c>
      <c r="K4318">
        <f>Data!E4331</f>
        <v>0</v>
      </c>
      <c r="L4318">
        <f>Data!F4331</f>
        <v>0</v>
      </c>
      <c r="M4318">
        <f>Data!G4331</f>
        <v>0</v>
      </c>
      <c r="N4318">
        <f>Data!H4331</f>
        <v>0</v>
      </c>
      <c r="O4318">
        <f>Data!I4331</f>
        <v>0</v>
      </c>
      <c r="P4318" s="21">
        <f>Data!J4335</f>
        <v>0</v>
      </c>
      <c r="Q4318">
        <f>Data!K4335</f>
        <v>0</v>
      </c>
      <c r="R4318">
        <f>Data!L4335</f>
        <v>0</v>
      </c>
      <c r="S4318">
        <f>Data!M4335</f>
        <v>0</v>
      </c>
      <c r="T4318">
        <f>Data!N4335</f>
        <v>0</v>
      </c>
      <c r="U4318">
        <f>Data!O4335</f>
        <v>0</v>
      </c>
      <c r="V4318" s="33">
        <f>Data!P4333</f>
        <v>0</v>
      </c>
    </row>
    <row r="4319" spans="7:22" x14ac:dyDescent="0.25">
      <c r="G4319">
        <f>Data!A4332</f>
        <v>0</v>
      </c>
      <c r="H4319" s="21">
        <f>Data!B4332</f>
        <v>0</v>
      </c>
      <c r="I4319" s="21">
        <f>Data!C4332</f>
        <v>0</v>
      </c>
      <c r="J4319">
        <f>Data!D4332</f>
        <v>0</v>
      </c>
      <c r="K4319">
        <f>Data!E4332</f>
        <v>0</v>
      </c>
      <c r="L4319">
        <f>Data!F4332</f>
        <v>0</v>
      </c>
      <c r="M4319">
        <f>Data!G4332</f>
        <v>0</v>
      </c>
      <c r="N4319">
        <f>Data!H4332</f>
        <v>0</v>
      </c>
      <c r="O4319">
        <f>Data!I4332</f>
        <v>0</v>
      </c>
      <c r="P4319" s="21">
        <f>Data!J4336</f>
        <v>0</v>
      </c>
      <c r="Q4319">
        <f>Data!K4336</f>
        <v>0</v>
      </c>
      <c r="R4319">
        <f>Data!L4336</f>
        <v>0</v>
      </c>
      <c r="S4319">
        <f>Data!M4336</f>
        <v>0</v>
      </c>
      <c r="T4319">
        <f>Data!N4336</f>
        <v>0</v>
      </c>
      <c r="U4319">
        <f>Data!O4336</f>
        <v>0</v>
      </c>
      <c r="V4319" s="33">
        <f>Data!P4334</f>
        <v>0</v>
      </c>
    </row>
    <row r="4320" spans="7:22" x14ac:dyDescent="0.25">
      <c r="G4320">
        <f>Data!A4333</f>
        <v>0</v>
      </c>
      <c r="H4320" s="21">
        <f>Data!B4333</f>
        <v>0</v>
      </c>
      <c r="I4320" s="21">
        <f>Data!C4333</f>
        <v>0</v>
      </c>
      <c r="J4320">
        <f>Data!D4333</f>
        <v>0</v>
      </c>
      <c r="K4320">
        <f>Data!E4333</f>
        <v>0</v>
      </c>
      <c r="L4320">
        <f>Data!F4333</f>
        <v>0</v>
      </c>
      <c r="M4320">
        <f>Data!G4333</f>
        <v>0</v>
      </c>
      <c r="N4320">
        <f>Data!H4333</f>
        <v>0</v>
      </c>
      <c r="O4320">
        <f>Data!I4333</f>
        <v>0</v>
      </c>
      <c r="P4320" s="21">
        <f>Data!J4337</f>
        <v>0</v>
      </c>
      <c r="Q4320">
        <f>Data!K4337</f>
        <v>0</v>
      </c>
      <c r="R4320">
        <f>Data!L4337</f>
        <v>0</v>
      </c>
      <c r="S4320">
        <f>Data!M4337</f>
        <v>0</v>
      </c>
      <c r="T4320">
        <f>Data!N4337</f>
        <v>0</v>
      </c>
      <c r="U4320">
        <f>Data!O4337</f>
        <v>0</v>
      </c>
      <c r="V4320" s="33">
        <f>Data!P4335</f>
        <v>0</v>
      </c>
    </row>
    <row r="4321" spans="7:22" x14ac:dyDescent="0.25">
      <c r="G4321">
        <f>Data!A4334</f>
        <v>0</v>
      </c>
      <c r="H4321" s="21">
        <f>Data!B4334</f>
        <v>0</v>
      </c>
      <c r="I4321" s="21">
        <f>Data!C4334</f>
        <v>0</v>
      </c>
      <c r="J4321">
        <f>Data!D4334</f>
        <v>0</v>
      </c>
      <c r="K4321">
        <f>Data!E4334</f>
        <v>0</v>
      </c>
      <c r="L4321">
        <f>Data!F4334</f>
        <v>0</v>
      </c>
      <c r="M4321">
        <f>Data!G4334</f>
        <v>0</v>
      </c>
      <c r="N4321">
        <f>Data!H4334</f>
        <v>0</v>
      </c>
      <c r="O4321">
        <f>Data!I4334</f>
        <v>0</v>
      </c>
      <c r="P4321" s="21">
        <f>Data!J4338</f>
        <v>0</v>
      </c>
      <c r="Q4321">
        <f>Data!K4338</f>
        <v>0</v>
      </c>
      <c r="R4321">
        <f>Data!L4338</f>
        <v>0</v>
      </c>
      <c r="S4321">
        <f>Data!M4338</f>
        <v>0</v>
      </c>
      <c r="T4321">
        <f>Data!N4338</f>
        <v>0</v>
      </c>
      <c r="U4321">
        <f>Data!O4338</f>
        <v>0</v>
      </c>
      <c r="V4321" s="33">
        <f>Data!P4336</f>
        <v>0</v>
      </c>
    </row>
    <row r="4322" spans="7:22" x14ac:dyDescent="0.25">
      <c r="G4322">
        <f>Data!A4335</f>
        <v>0</v>
      </c>
      <c r="H4322" s="21">
        <f>Data!B4335</f>
        <v>0</v>
      </c>
      <c r="I4322" s="21">
        <f>Data!C4335</f>
        <v>0</v>
      </c>
      <c r="J4322">
        <f>Data!D4335</f>
        <v>0</v>
      </c>
      <c r="K4322">
        <f>Data!E4335</f>
        <v>0</v>
      </c>
      <c r="L4322">
        <f>Data!F4335</f>
        <v>0</v>
      </c>
      <c r="M4322">
        <f>Data!G4335</f>
        <v>0</v>
      </c>
      <c r="N4322">
        <f>Data!H4335</f>
        <v>0</v>
      </c>
      <c r="O4322">
        <f>Data!I4335</f>
        <v>0</v>
      </c>
      <c r="P4322" s="21">
        <f>Data!J4339</f>
        <v>0</v>
      </c>
      <c r="Q4322">
        <f>Data!K4339</f>
        <v>0</v>
      </c>
      <c r="R4322">
        <f>Data!L4339</f>
        <v>0</v>
      </c>
      <c r="S4322">
        <f>Data!M4339</f>
        <v>0</v>
      </c>
      <c r="T4322">
        <f>Data!N4339</f>
        <v>0</v>
      </c>
      <c r="U4322">
        <f>Data!O4339</f>
        <v>0</v>
      </c>
      <c r="V4322" s="33">
        <f>Data!P4337</f>
        <v>0</v>
      </c>
    </row>
    <row r="4323" spans="7:22" x14ac:dyDescent="0.25">
      <c r="G4323">
        <f>Data!A4336</f>
        <v>0</v>
      </c>
      <c r="H4323" s="21">
        <f>Data!B4336</f>
        <v>0</v>
      </c>
      <c r="I4323" s="21">
        <f>Data!C4336</f>
        <v>0</v>
      </c>
      <c r="J4323">
        <f>Data!D4336</f>
        <v>0</v>
      </c>
      <c r="K4323">
        <f>Data!E4336</f>
        <v>0</v>
      </c>
      <c r="L4323">
        <f>Data!F4336</f>
        <v>0</v>
      </c>
      <c r="M4323">
        <f>Data!G4336</f>
        <v>0</v>
      </c>
      <c r="N4323">
        <f>Data!H4336</f>
        <v>0</v>
      </c>
      <c r="O4323">
        <f>Data!I4336</f>
        <v>0</v>
      </c>
      <c r="P4323" s="21">
        <f>Data!J4340</f>
        <v>0</v>
      </c>
      <c r="Q4323">
        <f>Data!K4340</f>
        <v>0</v>
      </c>
      <c r="R4323">
        <f>Data!L4340</f>
        <v>0</v>
      </c>
      <c r="S4323">
        <f>Data!M4340</f>
        <v>0</v>
      </c>
      <c r="T4323">
        <f>Data!N4340</f>
        <v>0</v>
      </c>
      <c r="U4323">
        <f>Data!O4340</f>
        <v>0</v>
      </c>
      <c r="V4323" s="33">
        <f>Data!P4338</f>
        <v>0</v>
      </c>
    </row>
    <row r="4324" spans="7:22" x14ac:dyDescent="0.25">
      <c r="G4324">
        <f>Data!A4337</f>
        <v>0</v>
      </c>
      <c r="H4324" s="21">
        <f>Data!B4337</f>
        <v>0</v>
      </c>
      <c r="I4324" s="21">
        <f>Data!C4337</f>
        <v>0</v>
      </c>
      <c r="J4324">
        <f>Data!D4337</f>
        <v>0</v>
      </c>
      <c r="K4324">
        <f>Data!E4337</f>
        <v>0</v>
      </c>
      <c r="L4324">
        <f>Data!F4337</f>
        <v>0</v>
      </c>
      <c r="M4324">
        <f>Data!G4337</f>
        <v>0</v>
      </c>
      <c r="N4324">
        <f>Data!H4337</f>
        <v>0</v>
      </c>
      <c r="O4324">
        <f>Data!I4337</f>
        <v>0</v>
      </c>
      <c r="P4324" s="21">
        <f>Data!J4341</f>
        <v>0</v>
      </c>
      <c r="Q4324">
        <f>Data!K4341</f>
        <v>0</v>
      </c>
      <c r="R4324">
        <f>Data!L4341</f>
        <v>0</v>
      </c>
      <c r="S4324">
        <f>Data!M4341</f>
        <v>0</v>
      </c>
      <c r="T4324">
        <f>Data!N4341</f>
        <v>0</v>
      </c>
      <c r="U4324">
        <f>Data!O4341</f>
        <v>0</v>
      </c>
      <c r="V4324" s="33">
        <f>Data!P4339</f>
        <v>0</v>
      </c>
    </row>
    <row r="4325" spans="7:22" x14ac:dyDescent="0.25">
      <c r="G4325">
        <f>Data!A4338</f>
        <v>0</v>
      </c>
      <c r="H4325" s="21">
        <f>Data!B4338</f>
        <v>0</v>
      </c>
      <c r="I4325" s="21">
        <f>Data!C4338</f>
        <v>0</v>
      </c>
      <c r="J4325">
        <f>Data!D4338</f>
        <v>0</v>
      </c>
      <c r="K4325">
        <f>Data!E4338</f>
        <v>0</v>
      </c>
      <c r="L4325">
        <f>Data!F4338</f>
        <v>0</v>
      </c>
      <c r="M4325">
        <f>Data!G4338</f>
        <v>0</v>
      </c>
      <c r="N4325">
        <f>Data!H4338</f>
        <v>0</v>
      </c>
      <c r="O4325">
        <f>Data!I4338</f>
        <v>0</v>
      </c>
      <c r="P4325" s="21">
        <f>Data!J4342</f>
        <v>0</v>
      </c>
      <c r="Q4325">
        <f>Data!K4342</f>
        <v>0</v>
      </c>
      <c r="R4325">
        <f>Data!L4342</f>
        <v>0</v>
      </c>
      <c r="S4325">
        <f>Data!M4342</f>
        <v>0</v>
      </c>
      <c r="T4325">
        <f>Data!N4342</f>
        <v>0</v>
      </c>
      <c r="U4325">
        <f>Data!O4342</f>
        <v>0</v>
      </c>
      <c r="V4325" s="33">
        <f>Data!P4340</f>
        <v>0</v>
      </c>
    </row>
    <row r="4326" spans="7:22" x14ac:dyDescent="0.25">
      <c r="G4326">
        <f>Data!A4339</f>
        <v>0</v>
      </c>
      <c r="H4326" s="21">
        <f>Data!B4339</f>
        <v>0</v>
      </c>
      <c r="I4326" s="21">
        <f>Data!C4339</f>
        <v>0</v>
      </c>
      <c r="J4326">
        <f>Data!D4339</f>
        <v>0</v>
      </c>
      <c r="K4326">
        <f>Data!E4339</f>
        <v>0</v>
      </c>
      <c r="L4326">
        <f>Data!F4339</f>
        <v>0</v>
      </c>
      <c r="M4326">
        <f>Data!G4339</f>
        <v>0</v>
      </c>
      <c r="N4326">
        <f>Data!H4339</f>
        <v>0</v>
      </c>
      <c r="O4326">
        <f>Data!I4339</f>
        <v>0</v>
      </c>
      <c r="P4326" s="21">
        <f>Data!J4343</f>
        <v>0</v>
      </c>
      <c r="Q4326">
        <f>Data!K4343</f>
        <v>0</v>
      </c>
      <c r="R4326">
        <f>Data!L4343</f>
        <v>0</v>
      </c>
      <c r="S4326">
        <f>Data!M4343</f>
        <v>0</v>
      </c>
      <c r="T4326">
        <f>Data!N4343</f>
        <v>0</v>
      </c>
      <c r="U4326">
        <f>Data!O4343</f>
        <v>0</v>
      </c>
      <c r="V4326" s="33">
        <f>Data!P4341</f>
        <v>0</v>
      </c>
    </row>
    <row r="4327" spans="7:22" x14ac:dyDescent="0.25">
      <c r="G4327">
        <f>Data!A4340</f>
        <v>0</v>
      </c>
      <c r="H4327" s="21">
        <f>Data!B4340</f>
        <v>0</v>
      </c>
      <c r="I4327" s="21">
        <f>Data!C4340</f>
        <v>0</v>
      </c>
      <c r="J4327">
        <f>Data!D4340</f>
        <v>0</v>
      </c>
      <c r="K4327">
        <f>Data!E4340</f>
        <v>0</v>
      </c>
      <c r="L4327">
        <f>Data!F4340</f>
        <v>0</v>
      </c>
      <c r="M4327">
        <f>Data!G4340</f>
        <v>0</v>
      </c>
      <c r="N4327">
        <f>Data!H4340</f>
        <v>0</v>
      </c>
      <c r="O4327">
        <f>Data!I4340</f>
        <v>0</v>
      </c>
      <c r="P4327" s="21">
        <f>Data!J4344</f>
        <v>0</v>
      </c>
      <c r="Q4327">
        <f>Data!K4344</f>
        <v>0</v>
      </c>
      <c r="R4327">
        <f>Data!L4344</f>
        <v>0</v>
      </c>
      <c r="S4327">
        <f>Data!M4344</f>
        <v>0</v>
      </c>
      <c r="T4327">
        <f>Data!N4344</f>
        <v>0</v>
      </c>
      <c r="U4327">
        <f>Data!O4344</f>
        <v>0</v>
      </c>
      <c r="V4327" s="33">
        <f>Data!P4342</f>
        <v>0</v>
      </c>
    </row>
    <row r="4328" spans="7:22" x14ac:dyDescent="0.25">
      <c r="G4328">
        <f>Data!A4341</f>
        <v>0</v>
      </c>
      <c r="H4328" s="21">
        <f>Data!B4341</f>
        <v>0</v>
      </c>
      <c r="I4328" s="21">
        <f>Data!C4341</f>
        <v>0</v>
      </c>
      <c r="J4328">
        <f>Data!D4341</f>
        <v>0</v>
      </c>
      <c r="K4328">
        <f>Data!E4341</f>
        <v>0</v>
      </c>
      <c r="L4328">
        <f>Data!F4341</f>
        <v>0</v>
      </c>
      <c r="M4328">
        <f>Data!G4341</f>
        <v>0</v>
      </c>
      <c r="N4328">
        <f>Data!H4341</f>
        <v>0</v>
      </c>
      <c r="O4328">
        <f>Data!I4341</f>
        <v>0</v>
      </c>
      <c r="P4328" s="21">
        <f>Data!J4345</f>
        <v>0</v>
      </c>
      <c r="Q4328">
        <f>Data!K4345</f>
        <v>0</v>
      </c>
      <c r="R4328">
        <f>Data!L4345</f>
        <v>0</v>
      </c>
      <c r="S4328">
        <f>Data!M4345</f>
        <v>0</v>
      </c>
      <c r="T4328">
        <f>Data!N4345</f>
        <v>0</v>
      </c>
      <c r="U4328">
        <f>Data!O4345</f>
        <v>0</v>
      </c>
      <c r="V4328" s="33">
        <f>Data!P4343</f>
        <v>0</v>
      </c>
    </row>
    <row r="4329" spans="7:22" x14ac:dyDescent="0.25">
      <c r="G4329">
        <f>Data!A4342</f>
        <v>0</v>
      </c>
      <c r="H4329" s="21">
        <f>Data!B4342</f>
        <v>0</v>
      </c>
      <c r="I4329" s="21">
        <f>Data!C4342</f>
        <v>0</v>
      </c>
      <c r="J4329">
        <f>Data!D4342</f>
        <v>0</v>
      </c>
      <c r="K4329">
        <f>Data!E4342</f>
        <v>0</v>
      </c>
      <c r="L4329">
        <f>Data!F4342</f>
        <v>0</v>
      </c>
      <c r="M4329">
        <f>Data!G4342</f>
        <v>0</v>
      </c>
      <c r="N4329">
        <f>Data!H4342</f>
        <v>0</v>
      </c>
      <c r="O4329">
        <f>Data!I4342</f>
        <v>0</v>
      </c>
      <c r="P4329" s="21">
        <f>Data!J4346</f>
        <v>0</v>
      </c>
      <c r="Q4329">
        <f>Data!K4346</f>
        <v>0</v>
      </c>
      <c r="R4329">
        <f>Data!L4346</f>
        <v>0</v>
      </c>
      <c r="S4329">
        <f>Data!M4346</f>
        <v>0</v>
      </c>
      <c r="T4329">
        <f>Data!N4346</f>
        <v>0</v>
      </c>
      <c r="U4329">
        <f>Data!O4346</f>
        <v>0</v>
      </c>
      <c r="V4329" s="33">
        <f>Data!P4344</f>
        <v>0</v>
      </c>
    </row>
    <row r="4330" spans="7:22" x14ac:dyDescent="0.25">
      <c r="G4330">
        <f>Data!A4343</f>
        <v>0</v>
      </c>
      <c r="H4330" s="21">
        <f>Data!B4343</f>
        <v>0</v>
      </c>
      <c r="I4330" s="21">
        <f>Data!C4343</f>
        <v>0</v>
      </c>
      <c r="J4330">
        <f>Data!D4343</f>
        <v>0</v>
      </c>
      <c r="K4330">
        <f>Data!E4343</f>
        <v>0</v>
      </c>
      <c r="L4330">
        <f>Data!F4343</f>
        <v>0</v>
      </c>
      <c r="M4330">
        <f>Data!G4343</f>
        <v>0</v>
      </c>
      <c r="N4330">
        <f>Data!H4343</f>
        <v>0</v>
      </c>
      <c r="O4330">
        <f>Data!I4343</f>
        <v>0</v>
      </c>
      <c r="P4330" s="21">
        <f>Data!J4347</f>
        <v>0</v>
      </c>
      <c r="Q4330">
        <f>Data!K4347</f>
        <v>0</v>
      </c>
      <c r="R4330">
        <f>Data!L4347</f>
        <v>0</v>
      </c>
      <c r="S4330">
        <f>Data!M4347</f>
        <v>0</v>
      </c>
      <c r="T4330">
        <f>Data!N4347</f>
        <v>0</v>
      </c>
      <c r="U4330">
        <f>Data!O4347</f>
        <v>0</v>
      </c>
      <c r="V4330" s="33">
        <f>Data!P4345</f>
        <v>0</v>
      </c>
    </row>
    <row r="4331" spans="7:22" x14ac:dyDescent="0.25">
      <c r="G4331">
        <f>Data!A4344</f>
        <v>0</v>
      </c>
      <c r="H4331" s="21">
        <f>Data!B4344</f>
        <v>0</v>
      </c>
      <c r="I4331" s="21">
        <f>Data!C4344</f>
        <v>0</v>
      </c>
      <c r="J4331">
        <f>Data!D4344</f>
        <v>0</v>
      </c>
      <c r="K4331">
        <f>Data!E4344</f>
        <v>0</v>
      </c>
      <c r="L4331">
        <f>Data!F4344</f>
        <v>0</v>
      </c>
      <c r="M4331">
        <f>Data!G4344</f>
        <v>0</v>
      </c>
      <c r="N4331">
        <f>Data!H4344</f>
        <v>0</v>
      </c>
      <c r="O4331">
        <f>Data!I4344</f>
        <v>0</v>
      </c>
      <c r="P4331" s="21">
        <f>Data!J4348</f>
        <v>0</v>
      </c>
      <c r="Q4331">
        <f>Data!K4348</f>
        <v>0</v>
      </c>
      <c r="R4331">
        <f>Data!L4348</f>
        <v>0</v>
      </c>
      <c r="S4331">
        <f>Data!M4348</f>
        <v>0</v>
      </c>
      <c r="T4331">
        <f>Data!N4348</f>
        <v>0</v>
      </c>
      <c r="U4331">
        <f>Data!O4348</f>
        <v>0</v>
      </c>
      <c r="V4331" s="33">
        <f>Data!P4346</f>
        <v>0</v>
      </c>
    </row>
    <row r="4332" spans="7:22" x14ac:dyDescent="0.25">
      <c r="G4332">
        <f>Data!A4345</f>
        <v>0</v>
      </c>
      <c r="H4332" s="21">
        <f>Data!B4345</f>
        <v>0</v>
      </c>
      <c r="I4332" s="21">
        <f>Data!C4345</f>
        <v>0</v>
      </c>
      <c r="J4332">
        <f>Data!D4345</f>
        <v>0</v>
      </c>
      <c r="K4332">
        <f>Data!E4345</f>
        <v>0</v>
      </c>
      <c r="L4332">
        <f>Data!F4345</f>
        <v>0</v>
      </c>
      <c r="M4332">
        <f>Data!G4345</f>
        <v>0</v>
      </c>
      <c r="N4332">
        <f>Data!H4345</f>
        <v>0</v>
      </c>
      <c r="O4332">
        <f>Data!I4345</f>
        <v>0</v>
      </c>
      <c r="P4332" s="21">
        <f>Data!J4349</f>
        <v>0</v>
      </c>
      <c r="Q4332">
        <f>Data!K4349</f>
        <v>0</v>
      </c>
      <c r="R4332">
        <f>Data!L4349</f>
        <v>0</v>
      </c>
      <c r="S4332">
        <f>Data!M4349</f>
        <v>0</v>
      </c>
      <c r="T4332">
        <f>Data!N4349</f>
        <v>0</v>
      </c>
      <c r="U4332">
        <f>Data!O4349</f>
        <v>0</v>
      </c>
      <c r="V4332" s="33">
        <f>Data!P4347</f>
        <v>0</v>
      </c>
    </row>
    <row r="4333" spans="7:22" x14ac:dyDescent="0.25">
      <c r="G4333">
        <f>Data!A4346</f>
        <v>0</v>
      </c>
      <c r="H4333" s="21">
        <f>Data!B4346</f>
        <v>0</v>
      </c>
      <c r="I4333" s="21">
        <f>Data!C4346</f>
        <v>0</v>
      </c>
      <c r="J4333">
        <f>Data!D4346</f>
        <v>0</v>
      </c>
      <c r="K4333">
        <f>Data!E4346</f>
        <v>0</v>
      </c>
      <c r="L4333">
        <f>Data!F4346</f>
        <v>0</v>
      </c>
      <c r="M4333">
        <f>Data!G4346</f>
        <v>0</v>
      </c>
      <c r="N4333">
        <f>Data!H4346</f>
        <v>0</v>
      </c>
      <c r="O4333">
        <f>Data!I4346</f>
        <v>0</v>
      </c>
      <c r="P4333" s="21">
        <f>Data!J4350</f>
        <v>0</v>
      </c>
      <c r="Q4333">
        <f>Data!K4350</f>
        <v>0</v>
      </c>
      <c r="R4333">
        <f>Data!L4350</f>
        <v>0</v>
      </c>
      <c r="S4333">
        <f>Data!M4350</f>
        <v>0</v>
      </c>
      <c r="T4333">
        <f>Data!N4350</f>
        <v>0</v>
      </c>
      <c r="U4333">
        <f>Data!O4350</f>
        <v>0</v>
      </c>
      <c r="V4333" s="33">
        <f>Data!P4348</f>
        <v>0</v>
      </c>
    </row>
    <row r="4334" spans="7:22" x14ac:dyDescent="0.25">
      <c r="G4334">
        <f>Data!A4347</f>
        <v>0</v>
      </c>
      <c r="H4334" s="21">
        <f>Data!B4347</f>
        <v>0</v>
      </c>
      <c r="I4334" s="21">
        <f>Data!C4347</f>
        <v>0</v>
      </c>
      <c r="J4334">
        <f>Data!D4347</f>
        <v>0</v>
      </c>
      <c r="K4334">
        <f>Data!E4347</f>
        <v>0</v>
      </c>
      <c r="L4334">
        <f>Data!F4347</f>
        <v>0</v>
      </c>
      <c r="M4334">
        <f>Data!G4347</f>
        <v>0</v>
      </c>
      <c r="N4334">
        <f>Data!H4347</f>
        <v>0</v>
      </c>
      <c r="O4334">
        <f>Data!I4347</f>
        <v>0</v>
      </c>
      <c r="P4334" s="21">
        <f>Data!J4351</f>
        <v>0</v>
      </c>
      <c r="Q4334">
        <f>Data!K4351</f>
        <v>0</v>
      </c>
      <c r="R4334">
        <f>Data!L4351</f>
        <v>0</v>
      </c>
      <c r="S4334">
        <f>Data!M4351</f>
        <v>0</v>
      </c>
      <c r="T4334">
        <f>Data!N4351</f>
        <v>0</v>
      </c>
      <c r="U4334">
        <f>Data!O4351</f>
        <v>0</v>
      </c>
      <c r="V4334" s="33">
        <f>Data!P4349</f>
        <v>0</v>
      </c>
    </row>
    <row r="4335" spans="7:22" x14ac:dyDescent="0.25">
      <c r="G4335">
        <f>Data!A4348</f>
        <v>0</v>
      </c>
      <c r="H4335" s="21">
        <f>Data!B4348</f>
        <v>0</v>
      </c>
      <c r="I4335" s="21">
        <f>Data!C4348</f>
        <v>0</v>
      </c>
      <c r="J4335">
        <f>Data!D4348</f>
        <v>0</v>
      </c>
      <c r="K4335">
        <f>Data!E4348</f>
        <v>0</v>
      </c>
      <c r="L4335">
        <f>Data!F4348</f>
        <v>0</v>
      </c>
      <c r="M4335">
        <f>Data!G4348</f>
        <v>0</v>
      </c>
      <c r="N4335">
        <f>Data!H4348</f>
        <v>0</v>
      </c>
      <c r="O4335">
        <f>Data!I4348</f>
        <v>0</v>
      </c>
      <c r="P4335" s="21">
        <f>Data!J4352</f>
        <v>0</v>
      </c>
      <c r="Q4335">
        <f>Data!K4352</f>
        <v>0</v>
      </c>
      <c r="R4335">
        <f>Data!L4352</f>
        <v>0</v>
      </c>
      <c r="S4335">
        <f>Data!M4352</f>
        <v>0</v>
      </c>
      <c r="T4335">
        <f>Data!N4352</f>
        <v>0</v>
      </c>
      <c r="U4335">
        <f>Data!O4352</f>
        <v>0</v>
      </c>
      <c r="V4335" s="33">
        <f>Data!P4350</f>
        <v>0</v>
      </c>
    </row>
    <row r="4336" spans="7:22" x14ac:dyDescent="0.25">
      <c r="G4336">
        <f>Data!A4349</f>
        <v>0</v>
      </c>
      <c r="H4336" s="21">
        <f>Data!B4349</f>
        <v>0</v>
      </c>
      <c r="I4336" s="21">
        <f>Data!C4349</f>
        <v>0</v>
      </c>
      <c r="J4336">
        <f>Data!D4349</f>
        <v>0</v>
      </c>
      <c r="K4336">
        <f>Data!E4349</f>
        <v>0</v>
      </c>
      <c r="L4336">
        <f>Data!F4349</f>
        <v>0</v>
      </c>
      <c r="M4336">
        <f>Data!G4349</f>
        <v>0</v>
      </c>
      <c r="N4336">
        <f>Data!H4349</f>
        <v>0</v>
      </c>
      <c r="O4336">
        <f>Data!I4349</f>
        <v>0</v>
      </c>
      <c r="P4336" s="21">
        <f>Data!J4353</f>
        <v>0</v>
      </c>
      <c r="Q4336">
        <f>Data!K4353</f>
        <v>0</v>
      </c>
      <c r="R4336">
        <f>Data!L4353</f>
        <v>0</v>
      </c>
      <c r="S4336">
        <f>Data!M4353</f>
        <v>0</v>
      </c>
      <c r="T4336">
        <f>Data!N4353</f>
        <v>0</v>
      </c>
      <c r="U4336">
        <f>Data!O4353</f>
        <v>0</v>
      </c>
      <c r="V4336" s="33">
        <f>Data!P4351</f>
        <v>0</v>
      </c>
    </row>
    <row r="4337" spans="7:22" x14ac:dyDescent="0.25">
      <c r="G4337">
        <f>Data!A4350</f>
        <v>0</v>
      </c>
      <c r="H4337" s="21">
        <f>Data!B4350</f>
        <v>0</v>
      </c>
      <c r="I4337" s="21">
        <f>Data!C4350</f>
        <v>0</v>
      </c>
      <c r="J4337">
        <f>Data!D4350</f>
        <v>0</v>
      </c>
      <c r="K4337">
        <f>Data!E4350</f>
        <v>0</v>
      </c>
      <c r="L4337">
        <f>Data!F4350</f>
        <v>0</v>
      </c>
      <c r="M4337">
        <f>Data!G4350</f>
        <v>0</v>
      </c>
      <c r="N4337">
        <f>Data!H4350</f>
        <v>0</v>
      </c>
      <c r="O4337">
        <f>Data!I4350</f>
        <v>0</v>
      </c>
      <c r="P4337" s="21">
        <f>Data!J4354</f>
        <v>0</v>
      </c>
      <c r="Q4337">
        <f>Data!K4354</f>
        <v>0</v>
      </c>
      <c r="R4337">
        <f>Data!L4354</f>
        <v>0</v>
      </c>
      <c r="S4337">
        <f>Data!M4354</f>
        <v>0</v>
      </c>
      <c r="T4337">
        <f>Data!N4354</f>
        <v>0</v>
      </c>
      <c r="U4337">
        <f>Data!O4354</f>
        <v>0</v>
      </c>
      <c r="V4337" s="33">
        <f>Data!P4352</f>
        <v>0</v>
      </c>
    </row>
    <row r="4338" spans="7:22" x14ac:dyDescent="0.25">
      <c r="G4338">
        <f>Data!A4351</f>
        <v>0</v>
      </c>
      <c r="H4338" s="21">
        <f>Data!B4351</f>
        <v>0</v>
      </c>
      <c r="I4338" s="21">
        <f>Data!C4351</f>
        <v>0</v>
      </c>
      <c r="J4338">
        <f>Data!D4351</f>
        <v>0</v>
      </c>
      <c r="K4338">
        <f>Data!E4351</f>
        <v>0</v>
      </c>
      <c r="L4338">
        <f>Data!F4351</f>
        <v>0</v>
      </c>
      <c r="M4338">
        <f>Data!G4351</f>
        <v>0</v>
      </c>
      <c r="N4338">
        <f>Data!H4351</f>
        <v>0</v>
      </c>
      <c r="O4338">
        <f>Data!I4351</f>
        <v>0</v>
      </c>
      <c r="P4338" s="21">
        <f>Data!J4355</f>
        <v>0</v>
      </c>
      <c r="Q4338">
        <f>Data!K4355</f>
        <v>0</v>
      </c>
      <c r="R4338">
        <f>Data!L4355</f>
        <v>0</v>
      </c>
      <c r="S4338">
        <f>Data!M4355</f>
        <v>0</v>
      </c>
      <c r="T4338">
        <f>Data!N4355</f>
        <v>0</v>
      </c>
      <c r="U4338">
        <f>Data!O4355</f>
        <v>0</v>
      </c>
      <c r="V4338" s="33">
        <f>Data!P4353</f>
        <v>0</v>
      </c>
    </row>
    <row r="4339" spans="7:22" x14ac:dyDescent="0.25">
      <c r="G4339">
        <f>Data!A4352</f>
        <v>0</v>
      </c>
      <c r="H4339" s="21">
        <f>Data!B4352</f>
        <v>0</v>
      </c>
      <c r="I4339" s="21">
        <f>Data!C4352</f>
        <v>0</v>
      </c>
      <c r="J4339">
        <f>Data!D4352</f>
        <v>0</v>
      </c>
      <c r="K4339">
        <f>Data!E4352</f>
        <v>0</v>
      </c>
      <c r="L4339">
        <f>Data!F4352</f>
        <v>0</v>
      </c>
      <c r="M4339">
        <f>Data!G4352</f>
        <v>0</v>
      </c>
      <c r="N4339">
        <f>Data!H4352</f>
        <v>0</v>
      </c>
      <c r="O4339">
        <f>Data!I4352</f>
        <v>0</v>
      </c>
      <c r="P4339" s="21">
        <f>Data!J4356</f>
        <v>0</v>
      </c>
      <c r="Q4339">
        <f>Data!K4356</f>
        <v>0</v>
      </c>
      <c r="R4339">
        <f>Data!L4356</f>
        <v>0</v>
      </c>
      <c r="S4339">
        <f>Data!M4356</f>
        <v>0</v>
      </c>
      <c r="T4339">
        <f>Data!N4356</f>
        <v>0</v>
      </c>
      <c r="U4339">
        <f>Data!O4356</f>
        <v>0</v>
      </c>
      <c r="V4339" s="33">
        <f>Data!P4354</f>
        <v>0</v>
      </c>
    </row>
    <row r="4340" spans="7:22" x14ac:dyDescent="0.25">
      <c r="G4340">
        <f>Data!A4353</f>
        <v>0</v>
      </c>
      <c r="H4340" s="21">
        <f>Data!B4353</f>
        <v>0</v>
      </c>
      <c r="I4340" s="21">
        <f>Data!C4353</f>
        <v>0</v>
      </c>
      <c r="J4340">
        <f>Data!D4353</f>
        <v>0</v>
      </c>
      <c r="K4340">
        <f>Data!E4353</f>
        <v>0</v>
      </c>
      <c r="L4340">
        <f>Data!F4353</f>
        <v>0</v>
      </c>
      <c r="M4340">
        <f>Data!G4353</f>
        <v>0</v>
      </c>
      <c r="N4340">
        <f>Data!H4353</f>
        <v>0</v>
      </c>
      <c r="O4340">
        <f>Data!I4353</f>
        <v>0</v>
      </c>
      <c r="P4340" s="21">
        <f>Data!J4357</f>
        <v>0</v>
      </c>
      <c r="Q4340">
        <f>Data!K4357</f>
        <v>0</v>
      </c>
      <c r="R4340">
        <f>Data!L4357</f>
        <v>0</v>
      </c>
      <c r="S4340">
        <f>Data!M4357</f>
        <v>0</v>
      </c>
      <c r="T4340">
        <f>Data!N4357</f>
        <v>0</v>
      </c>
      <c r="U4340">
        <f>Data!O4357</f>
        <v>0</v>
      </c>
      <c r="V4340" s="33">
        <f>Data!P4355</f>
        <v>0</v>
      </c>
    </row>
    <row r="4341" spans="7:22" x14ac:dyDescent="0.25">
      <c r="G4341">
        <f>Data!A4354</f>
        <v>0</v>
      </c>
      <c r="H4341" s="21">
        <f>Data!B4354</f>
        <v>0</v>
      </c>
      <c r="I4341" s="21">
        <f>Data!C4354</f>
        <v>0</v>
      </c>
      <c r="J4341">
        <f>Data!D4354</f>
        <v>0</v>
      </c>
      <c r="K4341">
        <f>Data!E4354</f>
        <v>0</v>
      </c>
      <c r="L4341">
        <f>Data!F4354</f>
        <v>0</v>
      </c>
      <c r="M4341">
        <f>Data!G4354</f>
        <v>0</v>
      </c>
      <c r="N4341">
        <f>Data!H4354</f>
        <v>0</v>
      </c>
      <c r="O4341">
        <f>Data!I4354</f>
        <v>0</v>
      </c>
      <c r="P4341" s="21">
        <f>Data!J4358</f>
        <v>0</v>
      </c>
      <c r="Q4341">
        <f>Data!K4358</f>
        <v>0</v>
      </c>
      <c r="R4341">
        <f>Data!L4358</f>
        <v>0</v>
      </c>
      <c r="S4341">
        <f>Data!M4358</f>
        <v>0</v>
      </c>
      <c r="T4341">
        <f>Data!N4358</f>
        <v>0</v>
      </c>
      <c r="U4341">
        <f>Data!O4358</f>
        <v>0</v>
      </c>
      <c r="V4341" s="33">
        <f>Data!P4356</f>
        <v>0</v>
      </c>
    </row>
    <row r="4342" spans="7:22" x14ac:dyDescent="0.25">
      <c r="G4342">
        <f>Data!A4355</f>
        <v>0</v>
      </c>
      <c r="H4342" s="21">
        <f>Data!B4355</f>
        <v>0</v>
      </c>
      <c r="I4342" s="21">
        <f>Data!C4355</f>
        <v>0</v>
      </c>
      <c r="J4342">
        <f>Data!D4355</f>
        <v>0</v>
      </c>
      <c r="K4342">
        <f>Data!E4355</f>
        <v>0</v>
      </c>
      <c r="L4342">
        <f>Data!F4355</f>
        <v>0</v>
      </c>
      <c r="M4342">
        <f>Data!G4355</f>
        <v>0</v>
      </c>
      <c r="N4342">
        <f>Data!H4355</f>
        <v>0</v>
      </c>
      <c r="O4342">
        <f>Data!I4355</f>
        <v>0</v>
      </c>
      <c r="P4342" s="21">
        <f>Data!J4359</f>
        <v>0</v>
      </c>
      <c r="Q4342">
        <f>Data!K4359</f>
        <v>0</v>
      </c>
      <c r="R4342">
        <f>Data!L4359</f>
        <v>0</v>
      </c>
      <c r="S4342">
        <f>Data!M4359</f>
        <v>0</v>
      </c>
      <c r="T4342">
        <f>Data!N4359</f>
        <v>0</v>
      </c>
      <c r="U4342">
        <f>Data!O4359</f>
        <v>0</v>
      </c>
      <c r="V4342" s="33">
        <f>Data!P4357</f>
        <v>0</v>
      </c>
    </row>
    <row r="4343" spans="7:22" x14ac:dyDescent="0.25">
      <c r="G4343">
        <f>Data!A4356</f>
        <v>0</v>
      </c>
      <c r="H4343" s="21">
        <f>Data!B4356</f>
        <v>0</v>
      </c>
      <c r="I4343" s="21">
        <f>Data!C4356</f>
        <v>0</v>
      </c>
      <c r="J4343">
        <f>Data!D4356</f>
        <v>0</v>
      </c>
      <c r="K4343">
        <f>Data!E4356</f>
        <v>0</v>
      </c>
      <c r="L4343">
        <f>Data!F4356</f>
        <v>0</v>
      </c>
      <c r="M4343">
        <f>Data!G4356</f>
        <v>0</v>
      </c>
      <c r="N4343">
        <f>Data!H4356</f>
        <v>0</v>
      </c>
      <c r="O4343">
        <f>Data!I4356</f>
        <v>0</v>
      </c>
      <c r="P4343" s="21">
        <f>Data!J4360</f>
        <v>0</v>
      </c>
      <c r="Q4343">
        <f>Data!K4360</f>
        <v>0</v>
      </c>
      <c r="R4343">
        <f>Data!L4360</f>
        <v>0</v>
      </c>
      <c r="S4343">
        <f>Data!M4360</f>
        <v>0</v>
      </c>
      <c r="T4343">
        <f>Data!N4360</f>
        <v>0</v>
      </c>
      <c r="U4343">
        <f>Data!O4360</f>
        <v>0</v>
      </c>
      <c r="V4343" s="33">
        <f>Data!P4358</f>
        <v>0</v>
      </c>
    </row>
    <row r="4344" spans="7:22" x14ac:dyDescent="0.25">
      <c r="G4344">
        <f>Data!A4357</f>
        <v>0</v>
      </c>
      <c r="H4344" s="21">
        <f>Data!B4357</f>
        <v>0</v>
      </c>
      <c r="I4344" s="21">
        <f>Data!C4357</f>
        <v>0</v>
      </c>
      <c r="J4344">
        <f>Data!D4357</f>
        <v>0</v>
      </c>
      <c r="K4344">
        <f>Data!E4357</f>
        <v>0</v>
      </c>
      <c r="L4344">
        <f>Data!F4357</f>
        <v>0</v>
      </c>
      <c r="M4344">
        <f>Data!G4357</f>
        <v>0</v>
      </c>
      <c r="N4344">
        <f>Data!H4357</f>
        <v>0</v>
      </c>
      <c r="O4344">
        <f>Data!I4357</f>
        <v>0</v>
      </c>
      <c r="P4344" s="21">
        <f>Data!J4361</f>
        <v>0</v>
      </c>
      <c r="Q4344">
        <f>Data!K4361</f>
        <v>0</v>
      </c>
      <c r="R4344">
        <f>Data!L4361</f>
        <v>0</v>
      </c>
      <c r="S4344">
        <f>Data!M4361</f>
        <v>0</v>
      </c>
      <c r="T4344">
        <f>Data!N4361</f>
        <v>0</v>
      </c>
      <c r="U4344">
        <f>Data!O4361</f>
        <v>0</v>
      </c>
      <c r="V4344" s="33">
        <f>Data!P4359</f>
        <v>0</v>
      </c>
    </row>
    <row r="4345" spans="7:22" x14ac:dyDescent="0.25">
      <c r="G4345">
        <f>Data!A4358</f>
        <v>0</v>
      </c>
      <c r="H4345" s="21">
        <f>Data!B4358</f>
        <v>0</v>
      </c>
      <c r="I4345" s="21">
        <f>Data!C4358</f>
        <v>0</v>
      </c>
      <c r="J4345">
        <f>Data!D4358</f>
        <v>0</v>
      </c>
      <c r="K4345">
        <f>Data!E4358</f>
        <v>0</v>
      </c>
      <c r="L4345">
        <f>Data!F4358</f>
        <v>0</v>
      </c>
      <c r="M4345">
        <f>Data!G4358</f>
        <v>0</v>
      </c>
      <c r="N4345">
        <f>Data!H4358</f>
        <v>0</v>
      </c>
      <c r="O4345">
        <f>Data!I4358</f>
        <v>0</v>
      </c>
      <c r="P4345" s="21">
        <f>Data!J4362</f>
        <v>0</v>
      </c>
      <c r="Q4345">
        <f>Data!K4362</f>
        <v>0</v>
      </c>
      <c r="R4345">
        <f>Data!L4362</f>
        <v>0</v>
      </c>
      <c r="S4345">
        <f>Data!M4362</f>
        <v>0</v>
      </c>
      <c r="T4345">
        <f>Data!N4362</f>
        <v>0</v>
      </c>
      <c r="U4345">
        <f>Data!O4362</f>
        <v>0</v>
      </c>
      <c r="V4345" s="33">
        <f>Data!P4360</f>
        <v>0</v>
      </c>
    </row>
    <row r="4346" spans="7:22" x14ac:dyDescent="0.25">
      <c r="G4346">
        <f>Data!A4359</f>
        <v>0</v>
      </c>
      <c r="H4346" s="21">
        <f>Data!B4359</f>
        <v>0</v>
      </c>
      <c r="I4346" s="21">
        <f>Data!C4359</f>
        <v>0</v>
      </c>
      <c r="J4346">
        <f>Data!D4359</f>
        <v>0</v>
      </c>
      <c r="K4346">
        <f>Data!E4359</f>
        <v>0</v>
      </c>
      <c r="L4346">
        <f>Data!F4359</f>
        <v>0</v>
      </c>
      <c r="M4346">
        <f>Data!G4359</f>
        <v>0</v>
      </c>
      <c r="N4346">
        <f>Data!H4359</f>
        <v>0</v>
      </c>
      <c r="O4346">
        <f>Data!I4359</f>
        <v>0</v>
      </c>
      <c r="P4346" s="21">
        <f>Data!J4363</f>
        <v>0</v>
      </c>
      <c r="Q4346">
        <f>Data!K4363</f>
        <v>0</v>
      </c>
      <c r="R4346">
        <f>Data!L4363</f>
        <v>0</v>
      </c>
      <c r="S4346">
        <f>Data!M4363</f>
        <v>0</v>
      </c>
      <c r="T4346">
        <f>Data!N4363</f>
        <v>0</v>
      </c>
      <c r="U4346">
        <f>Data!O4363</f>
        <v>0</v>
      </c>
      <c r="V4346" s="33">
        <f>Data!P4361</f>
        <v>0</v>
      </c>
    </row>
    <row r="4347" spans="7:22" x14ac:dyDescent="0.25">
      <c r="G4347">
        <f>Data!A4360</f>
        <v>0</v>
      </c>
      <c r="H4347" s="21">
        <f>Data!B4360</f>
        <v>0</v>
      </c>
      <c r="I4347" s="21">
        <f>Data!C4360</f>
        <v>0</v>
      </c>
      <c r="J4347">
        <f>Data!D4360</f>
        <v>0</v>
      </c>
      <c r="K4347">
        <f>Data!E4360</f>
        <v>0</v>
      </c>
      <c r="L4347">
        <f>Data!F4360</f>
        <v>0</v>
      </c>
      <c r="M4347">
        <f>Data!G4360</f>
        <v>0</v>
      </c>
      <c r="N4347">
        <f>Data!H4360</f>
        <v>0</v>
      </c>
      <c r="O4347">
        <f>Data!I4360</f>
        <v>0</v>
      </c>
      <c r="P4347" s="21">
        <f>Data!J4364</f>
        <v>0</v>
      </c>
      <c r="Q4347">
        <f>Data!K4364</f>
        <v>0</v>
      </c>
      <c r="R4347">
        <f>Data!L4364</f>
        <v>0</v>
      </c>
      <c r="S4347">
        <f>Data!M4364</f>
        <v>0</v>
      </c>
      <c r="T4347">
        <f>Data!N4364</f>
        <v>0</v>
      </c>
      <c r="U4347">
        <f>Data!O4364</f>
        <v>0</v>
      </c>
      <c r="V4347" s="33">
        <f>Data!P4362</f>
        <v>0</v>
      </c>
    </row>
    <row r="4348" spans="7:22" x14ac:dyDescent="0.25">
      <c r="G4348">
        <f>Data!A4361</f>
        <v>0</v>
      </c>
      <c r="H4348" s="21">
        <f>Data!B4361</f>
        <v>0</v>
      </c>
      <c r="I4348" s="21">
        <f>Data!C4361</f>
        <v>0</v>
      </c>
      <c r="J4348">
        <f>Data!D4361</f>
        <v>0</v>
      </c>
      <c r="K4348">
        <f>Data!E4361</f>
        <v>0</v>
      </c>
      <c r="L4348">
        <f>Data!F4361</f>
        <v>0</v>
      </c>
      <c r="M4348">
        <f>Data!G4361</f>
        <v>0</v>
      </c>
      <c r="N4348">
        <f>Data!H4361</f>
        <v>0</v>
      </c>
      <c r="O4348">
        <f>Data!I4361</f>
        <v>0</v>
      </c>
      <c r="P4348" s="21">
        <f>Data!J4365</f>
        <v>0</v>
      </c>
      <c r="Q4348">
        <f>Data!K4365</f>
        <v>0</v>
      </c>
      <c r="R4348">
        <f>Data!L4365</f>
        <v>0</v>
      </c>
      <c r="S4348">
        <f>Data!M4365</f>
        <v>0</v>
      </c>
      <c r="T4348">
        <f>Data!N4365</f>
        <v>0</v>
      </c>
      <c r="U4348">
        <f>Data!O4365</f>
        <v>0</v>
      </c>
      <c r="V4348" s="33">
        <f>Data!P4363</f>
        <v>0</v>
      </c>
    </row>
    <row r="4349" spans="7:22" x14ac:dyDescent="0.25">
      <c r="G4349">
        <f>Data!A4362</f>
        <v>0</v>
      </c>
      <c r="H4349" s="21">
        <f>Data!B4362</f>
        <v>0</v>
      </c>
      <c r="I4349" s="21">
        <f>Data!C4362</f>
        <v>0</v>
      </c>
      <c r="J4349">
        <f>Data!D4362</f>
        <v>0</v>
      </c>
      <c r="K4349">
        <f>Data!E4362</f>
        <v>0</v>
      </c>
      <c r="L4349">
        <f>Data!F4362</f>
        <v>0</v>
      </c>
      <c r="M4349">
        <f>Data!G4362</f>
        <v>0</v>
      </c>
      <c r="N4349">
        <f>Data!H4362</f>
        <v>0</v>
      </c>
      <c r="O4349">
        <f>Data!I4362</f>
        <v>0</v>
      </c>
      <c r="P4349" s="21">
        <f>Data!J4366</f>
        <v>0</v>
      </c>
      <c r="Q4349">
        <f>Data!K4366</f>
        <v>0</v>
      </c>
      <c r="R4349">
        <f>Data!L4366</f>
        <v>0</v>
      </c>
      <c r="S4349">
        <f>Data!M4366</f>
        <v>0</v>
      </c>
      <c r="T4349">
        <f>Data!N4366</f>
        <v>0</v>
      </c>
      <c r="U4349">
        <f>Data!O4366</f>
        <v>0</v>
      </c>
      <c r="V4349" s="33">
        <f>Data!P4364</f>
        <v>0</v>
      </c>
    </row>
    <row r="4350" spans="7:22" x14ac:dyDescent="0.25">
      <c r="G4350">
        <f>Data!A4363</f>
        <v>0</v>
      </c>
      <c r="H4350" s="21">
        <f>Data!B4363</f>
        <v>0</v>
      </c>
      <c r="I4350" s="21">
        <f>Data!C4363</f>
        <v>0</v>
      </c>
      <c r="J4350">
        <f>Data!D4363</f>
        <v>0</v>
      </c>
      <c r="K4350">
        <f>Data!E4363</f>
        <v>0</v>
      </c>
      <c r="L4350">
        <f>Data!F4363</f>
        <v>0</v>
      </c>
      <c r="M4350">
        <f>Data!G4363</f>
        <v>0</v>
      </c>
      <c r="N4350">
        <f>Data!H4363</f>
        <v>0</v>
      </c>
      <c r="O4350">
        <f>Data!I4363</f>
        <v>0</v>
      </c>
      <c r="P4350" s="21">
        <f>Data!J4367</f>
        <v>0</v>
      </c>
      <c r="Q4350">
        <f>Data!K4367</f>
        <v>0</v>
      </c>
      <c r="R4350">
        <f>Data!L4367</f>
        <v>0</v>
      </c>
      <c r="S4350">
        <f>Data!M4367</f>
        <v>0</v>
      </c>
      <c r="T4350">
        <f>Data!N4367</f>
        <v>0</v>
      </c>
      <c r="U4350">
        <f>Data!O4367</f>
        <v>0</v>
      </c>
      <c r="V4350" s="33">
        <f>Data!P4365</f>
        <v>0</v>
      </c>
    </row>
    <row r="4351" spans="7:22" x14ac:dyDescent="0.25">
      <c r="G4351">
        <f>Data!A4364</f>
        <v>0</v>
      </c>
      <c r="H4351" s="21">
        <f>Data!B4364</f>
        <v>0</v>
      </c>
      <c r="I4351" s="21">
        <f>Data!C4364</f>
        <v>0</v>
      </c>
      <c r="J4351">
        <f>Data!D4364</f>
        <v>0</v>
      </c>
      <c r="K4351">
        <f>Data!E4364</f>
        <v>0</v>
      </c>
      <c r="L4351">
        <f>Data!F4364</f>
        <v>0</v>
      </c>
      <c r="M4351">
        <f>Data!G4364</f>
        <v>0</v>
      </c>
      <c r="N4351">
        <f>Data!H4364</f>
        <v>0</v>
      </c>
      <c r="O4351">
        <f>Data!I4364</f>
        <v>0</v>
      </c>
      <c r="P4351" s="21">
        <f>Data!J4368</f>
        <v>0</v>
      </c>
      <c r="Q4351">
        <f>Data!K4368</f>
        <v>0</v>
      </c>
      <c r="R4351">
        <f>Data!L4368</f>
        <v>0</v>
      </c>
      <c r="S4351">
        <f>Data!M4368</f>
        <v>0</v>
      </c>
      <c r="T4351">
        <f>Data!N4368</f>
        <v>0</v>
      </c>
      <c r="U4351">
        <f>Data!O4368</f>
        <v>0</v>
      </c>
      <c r="V4351" s="33">
        <f>Data!P4366</f>
        <v>0</v>
      </c>
    </row>
    <row r="4352" spans="7:22" x14ac:dyDescent="0.25">
      <c r="G4352">
        <f>Data!A4365</f>
        <v>0</v>
      </c>
      <c r="H4352" s="21">
        <f>Data!B4365</f>
        <v>0</v>
      </c>
      <c r="I4352" s="21">
        <f>Data!C4365</f>
        <v>0</v>
      </c>
      <c r="J4352">
        <f>Data!D4365</f>
        <v>0</v>
      </c>
      <c r="K4352">
        <f>Data!E4365</f>
        <v>0</v>
      </c>
      <c r="L4352">
        <f>Data!F4365</f>
        <v>0</v>
      </c>
      <c r="M4352">
        <f>Data!G4365</f>
        <v>0</v>
      </c>
      <c r="N4352">
        <f>Data!H4365</f>
        <v>0</v>
      </c>
      <c r="O4352">
        <f>Data!I4365</f>
        <v>0</v>
      </c>
      <c r="P4352" s="21">
        <f>Data!J4369</f>
        <v>0</v>
      </c>
      <c r="Q4352">
        <f>Data!K4369</f>
        <v>0</v>
      </c>
      <c r="R4352">
        <f>Data!L4369</f>
        <v>0</v>
      </c>
      <c r="S4352">
        <f>Data!M4369</f>
        <v>0</v>
      </c>
      <c r="T4352">
        <f>Data!N4369</f>
        <v>0</v>
      </c>
      <c r="U4352">
        <f>Data!O4369</f>
        <v>0</v>
      </c>
      <c r="V4352" s="33">
        <f>Data!P4367</f>
        <v>0</v>
      </c>
    </row>
    <row r="4353" spans="7:22" x14ac:dyDescent="0.25">
      <c r="G4353">
        <f>Data!A4366</f>
        <v>0</v>
      </c>
      <c r="H4353" s="21">
        <f>Data!B4366</f>
        <v>0</v>
      </c>
      <c r="I4353" s="21">
        <f>Data!C4366</f>
        <v>0</v>
      </c>
      <c r="J4353">
        <f>Data!D4366</f>
        <v>0</v>
      </c>
      <c r="K4353">
        <f>Data!E4366</f>
        <v>0</v>
      </c>
      <c r="L4353">
        <f>Data!F4366</f>
        <v>0</v>
      </c>
      <c r="M4353">
        <f>Data!G4366</f>
        <v>0</v>
      </c>
      <c r="N4353">
        <f>Data!H4366</f>
        <v>0</v>
      </c>
      <c r="O4353">
        <f>Data!I4366</f>
        <v>0</v>
      </c>
      <c r="P4353" s="21">
        <f>Data!J4370</f>
        <v>0</v>
      </c>
      <c r="Q4353">
        <f>Data!K4370</f>
        <v>0</v>
      </c>
      <c r="R4353">
        <f>Data!L4370</f>
        <v>0</v>
      </c>
      <c r="S4353">
        <f>Data!M4370</f>
        <v>0</v>
      </c>
      <c r="T4353">
        <f>Data!N4370</f>
        <v>0</v>
      </c>
      <c r="U4353">
        <f>Data!O4370</f>
        <v>0</v>
      </c>
      <c r="V4353" s="33">
        <f>Data!P4368</f>
        <v>0</v>
      </c>
    </row>
    <row r="4354" spans="7:22" x14ac:dyDescent="0.25">
      <c r="G4354">
        <f>Data!A4367</f>
        <v>0</v>
      </c>
      <c r="H4354" s="21">
        <f>Data!B4367</f>
        <v>0</v>
      </c>
      <c r="I4354" s="21">
        <f>Data!C4367</f>
        <v>0</v>
      </c>
      <c r="J4354">
        <f>Data!D4367</f>
        <v>0</v>
      </c>
      <c r="K4354">
        <f>Data!E4367</f>
        <v>0</v>
      </c>
      <c r="L4354">
        <f>Data!F4367</f>
        <v>0</v>
      </c>
      <c r="M4354">
        <f>Data!G4367</f>
        <v>0</v>
      </c>
      <c r="N4354">
        <f>Data!H4367</f>
        <v>0</v>
      </c>
      <c r="O4354">
        <f>Data!I4367</f>
        <v>0</v>
      </c>
      <c r="P4354" s="21">
        <f>Data!J4371</f>
        <v>0</v>
      </c>
      <c r="Q4354">
        <f>Data!K4371</f>
        <v>0</v>
      </c>
      <c r="R4354">
        <f>Data!L4371</f>
        <v>0</v>
      </c>
      <c r="S4354">
        <f>Data!M4371</f>
        <v>0</v>
      </c>
      <c r="T4354">
        <f>Data!N4371</f>
        <v>0</v>
      </c>
      <c r="U4354">
        <f>Data!O4371</f>
        <v>0</v>
      </c>
      <c r="V4354" s="33">
        <f>Data!P4369</f>
        <v>0</v>
      </c>
    </row>
    <row r="4355" spans="7:22" x14ac:dyDescent="0.25">
      <c r="G4355">
        <f>Data!A4368</f>
        <v>0</v>
      </c>
      <c r="H4355" s="21">
        <f>Data!B4368</f>
        <v>0</v>
      </c>
      <c r="I4355" s="21">
        <f>Data!C4368</f>
        <v>0</v>
      </c>
      <c r="J4355">
        <f>Data!D4368</f>
        <v>0</v>
      </c>
      <c r="K4355">
        <f>Data!E4368</f>
        <v>0</v>
      </c>
      <c r="L4355">
        <f>Data!F4368</f>
        <v>0</v>
      </c>
      <c r="M4355">
        <f>Data!G4368</f>
        <v>0</v>
      </c>
      <c r="N4355">
        <f>Data!H4368</f>
        <v>0</v>
      </c>
      <c r="O4355">
        <f>Data!I4368</f>
        <v>0</v>
      </c>
      <c r="P4355" s="21">
        <f>Data!J4372</f>
        <v>0</v>
      </c>
      <c r="Q4355">
        <f>Data!K4372</f>
        <v>0</v>
      </c>
      <c r="R4355">
        <f>Data!L4372</f>
        <v>0</v>
      </c>
      <c r="S4355">
        <f>Data!M4372</f>
        <v>0</v>
      </c>
      <c r="T4355">
        <f>Data!N4372</f>
        <v>0</v>
      </c>
      <c r="U4355">
        <f>Data!O4372</f>
        <v>0</v>
      </c>
      <c r="V4355" s="33">
        <f>Data!P4370</f>
        <v>0</v>
      </c>
    </row>
    <row r="4356" spans="7:22" x14ac:dyDescent="0.25">
      <c r="G4356">
        <f>Data!A4369</f>
        <v>0</v>
      </c>
      <c r="H4356" s="21">
        <f>Data!B4369</f>
        <v>0</v>
      </c>
      <c r="I4356" s="21">
        <f>Data!C4369</f>
        <v>0</v>
      </c>
      <c r="J4356">
        <f>Data!D4369</f>
        <v>0</v>
      </c>
      <c r="K4356">
        <f>Data!E4369</f>
        <v>0</v>
      </c>
      <c r="L4356">
        <f>Data!F4369</f>
        <v>0</v>
      </c>
      <c r="M4356">
        <f>Data!G4369</f>
        <v>0</v>
      </c>
      <c r="N4356">
        <f>Data!H4369</f>
        <v>0</v>
      </c>
      <c r="O4356">
        <f>Data!I4369</f>
        <v>0</v>
      </c>
      <c r="P4356" s="21">
        <f>Data!J4373</f>
        <v>0</v>
      </c>
      <c r="Q4356">
        <f>Data!K4373</f>
        <v>0</v>
      </c>
      <c r="R4356">
        <f>Data!L4373</f>
        <v>0</v>
      </c>
      <c r="S4356">
        <f>Data!M4373</f>
        <v>0</v>
      </c>
      <c r="T4356">
        <f>Data!N4373</f>
        <v>0</v>
      </c>
      <c r="U4356">
        <f>Data!O4373</f>
        <v>0</v>
      </c>
      <c r="V4356" s="33">
        <f>Data!P4371</f>
        <v>0</v>
      </c>
    </row>
    <row r="4357" spans="7:22" x14ac:dyDescent="0.25">
      <c r="G4357">
        <f>Data!A4370</f>
        <v>0</v>
      </c>
      <c r="H4357" s="21">
        <f>Data!B4370</f>
        <v>0</v>
      </c>
      <c r="I4357" s="21">
        <f>Data!C4370</f>
        <v>0</v>
      </c>
      <c r="J4357">
        <f>Data!D4370</f>
        <v>0</v>
      </c>
      <c r="K4357">
        <f>Data!E4370</f>
        <v>0</v>
      </c>
      <c r="L4357">
        <f>Data!F4370</f>
        <v>0</v>
      </c>
      <c r="M4357">
        <f>Data!G4370</f>
        <v>0</v>
      </c>
      <c r="N4357">
        <f>Data!H4370</f>
        <v>0</v>
      </c>
      <c r="O4357">
        <f>Data!I4370</f>
        <v>0</v>
      </c>
      <c r="P4357" s="21">
        <f>Data!J4374</f>
        <v>0</v>
      </c>
      <c r="Q4357">
        <f>Data!K4374</f>
        <v>0</v>
      </c>
      <c r="R4357">
        <f>Data!L4374</f>
        <v>0</v>
      </c>
      <c r="S4357">
        <f>Data!M4374</f>
        <v>0</v>
      </c>
      <c r="T4357">
        <f>Data!N4374</f>
        <v>0</v>
      </c>
      <c r="U4357">
        <f>Data!O4374</f>
        <v>0</v>
      </c>
      <c r="V4357" s="33">
        <f>Data!P4372</f>
        <v>0</v>
      </c>
    </row>
    <row r="4358" spans="7:22" x14ac:dyDescent="0.25">
      <c r="G4358">
        <f>Data!A4371</f>
        <v>0</v>
      </c>
      <c r="H4358" s="21">
        <f>Data!B4371</f>
        <v>0</v>
      </c>
      <c r="I4358" s="21">
        <f>Data!C4371</f>
        <v>0</v>
      </c>
      <c r="J4358">
        <f>Data!D4371</f>
        <v>0</v>
      </c>
      <c r="K4358">
        <f>Data!E4371</f>
        <v>0</v>
      </c>
      <c r="L4358">
        <f>Data!F4371</f>
        <v>0</v>
      </c>
      <c r="M4358">
        <f>Data!G4371</f>
        <v>0</v>
      </c>
      <c r="N4358">
        <f>Data!H4371</f>
        <v>0</v>
      </c>
      <c r="O4358">
        <f>Data!I4371</f>
        <v>0</v>
      </c>
      <c r="P4358" s="21">
        <f>Data!J4375</f>
        <v>0</v>
      </c>
      <c r="Q4358">
        <f>Data!K4375</f>
        <v>0</v>
      </c>
      <c r="R4358">
        <f>Data!L4375</f>
        <v>0</v>
      </c>
      <c r="S4358">
        <f>Data!M4375</f>
        <v>0</v>
      </c>
      <c r="T4358">
        <f>Data!N4375</f>
        <v>0</v>
      </c>
      <c r="U4358">
        <f>Data!O4375</f>
        <v>0</v>
      </c>
      <c r="V4358" s="33">
        <f>Data!P4373</f>
        <v>0</v>
      </c>
    </row>
    <row r="4359" spans="7:22" x14ac:dyDescent="0.25">
      <c r="G4359">
        <f>Data!A4372</f>
        <v>0</v>
      </c>
      <c r="H4359" s="21">
        <f>Data!B4372</f>
        <v>0</v>
      </c>
      <c r="I4359" s="21">
        <f>Data!C4372</f>
        <v>0</v>
      </c>
      <c r="J4359">
        <f>Data!D4372</f>
        <v>0</v>
      </c>
      <c r="K4359">
        <f>Data!E4372</f>
        <v>0</v>
      </c>
      <c r="L4359">
        <f>Data!F4372</f>
        <v>0</v>
      </c>
      <c r="M4359">
        <f>Data!G4372</f>
        <v>0</v>
      </c>
      <c r="N4359">
        <f>Data!H4372</f>
        <v>0</v>
      </c>
      <c r="O4359">
        <f>Data!I4372</f>
        <v>0</v>
      </c>
      <c r="P4359" s="21">
        <f>Data!J4376</f>
        <v>0</v>
      </c>
      <c r="Q4359">
        <f>Data!K4376</f>
        <v>0</v>
      </c>
      <c r="R4359">
        <f>Data!L4376</f>
        <v>0</v>
      </c>
      <c r="S4359">
        <f>Data!M4376</f>
        <v>0</v>
      </c>
      <c r="T4359">
        <f>Data!N4376</f>
        <v>0</v>
      </c>
      <c r="U4359">
        <f>Data!O4376</f>
        <v>0</v>
      </c>
      <c r="V4359" s="33">
        <f>Data!P4374</f>
        <v>0</v>
      </c>
    </row>
    <row r="4360" spans="7:22" x14ac:dyDescent="0.25">
      <c r="G4360">
        <f>Data!A4373</f>
        <v>0</v>
      </c>
      <c r="H4360" s="21">
        <f>Data!B4373</f>
        <v>0</v>
      </c>
      <c r="I4360" s="21">
        <f>Data!C4373</f>
        <v>0</v>
      </c>
      <c r="J4360">
        <f>Data!D4373</f>
        <v>0</v>
      </c>
      <c r="K4360">
        <f>Data!E4373</f>
        <v>0</v>
      </c>
      <c r="L4360">
        <f>Data!F4373</f>
        <v>0</v>
      </c>
      <c r="M4360">
        <f>Data!G4373</f>
        <v>0</v>
      </c>
      <c r="N4360">
        <f>Data!H4373</f>
        <v>0</v>
      </c>
      <c r="O4360">
        <f>Data!I4373</f>
        <v>0</v>
      </c>
      <c r="P4360" s="21">
        <f>Data!J4377</f>
        <v>0</v>
      </c>
      <c r="Q4360">
        <f>Data!K4377</f>
        <v>0</v>
      </c>
      <c r="R4360">
        <f>Data!L4377</f>
        <v>0</v>
      </c>
      <c r="S4360">
        <f>Data!M4377</f>
        <v>0</v>
      </c>
      <c r="T4360">
        <f>Data!N4377</f>
        <v>0</v>
      </c>
      <c r="U4360">
        <f>Data!O4377</f>
        <v>0</v>
      </c>
      <c r="V4360" s="33">
        <f>Data!P4375</f>
        <v>0</v>
      </c>
    </row>
    <row r="4361" spans="7:22" x14ac:dyDescent="0.25">
      <c r="G4361">
        <f>Data!A4374</f>
        <v>0</v>
      </c>
      <c r="H4361" s="21">
        <f>Data!B4374</f>
        <v>0</v>
      </c>
      <c r="I4361" s="21">
        <f>Data!C4374</f>
        <v>0</v>
      </c>
      <c r="J4361">
        <f>Data!D4374</f>
        <v>0</v>
      </c>
      <c r="K4361">
        <f>Data!E4374</f>
        <v>0</v>
      </c>
      <c r="L4361">
        <f>Data!F4374</f>
        <v>0</v>
      </c>
      <c r="M4361">
        <f>Data!G4374</f>
        <v>0</v>
      </c>
      <c r="N4361">
        <f>Data!H4374</f>
        <v>0</v>
      </c>
      <c r="O4361">
        <f>Data!I4374</f>
        <v>0</v>
      </c>
      <c r="P4361" s="21">
        <f>Data!J4378</f>
        <v>0</v>
      </c>
      <c r="Q4361">
        <f>Data!K4378</f>
        <v>0</v>
      </c>
      <c r="R4361">
        <f>Data!L4378</f>
        <v>0</v>
      </c>
      <c r="S4361">
        <f>Data!M4378</f>
        <v>0</v>
      </c>
      <c r="T4361">
        <f>Data!N4378</f>
        <v>0</v>
      </c>
      <c r="U4361">
        <f>Data!O4378</f>
        <v>0</v>
      </c>
      <c r="V4361" s="33">
        <f>Data!P4376</f>
        <v>0</v>
      </c>
    </row>
    <row r="4362" spans="7:22" x14ac:dyDescent="0.25">
      <c r="G4362">
        <f>Data!A4375</f>
        <v>0</v>
      </c>
      <c r="H4362" s="21">
        <f>Data!B4375</f>
        <v>0</v>
      </c>
      <c r="I4362" s="21">
        <f>Data!C4375</f>
        <v>0</v>
      </c>
      <c r="J4362">
        <f>Data!D4375</f>
        <v>0</v>
      </c>
      <c r="K4362">
        <f>Data!E4375</f>
        <v>0</v>
      </c>
      <c r="L4362">
        <f>Data!F4375</f>
        <v>0</v>
      </c>
      <c r="M4362">
        <f>Data!G4375</f>
        <v>0</v>
      </c>
      <c r="N4362">
        <f>Data!H4375</f>
        <v>0</v>
      </c>
      <c r="O4362">
        <f>Data!I4375</f>
        <v>0</v>
      </c>
      <c r="P4362" s="21">
        <f>Data!J4379</f>
        <v>0</v>
      </c>
      <c r="Q4362">
        <f>Data!K4379</f>
        <v>0</v>
      </c>
      <c r="R4362">
        <f>Data!L4379</f>
        <v>0</v>
      </c>
      <c r="S4362">
        <f>Data!M4379</f>
        <v>0</v>
      </c>
      <c r="T4362">
        <f>Data!N4379</f>
        <v>0</v>
      </c>
      <c r="U4362">
        <f>Data!O4379</f>
        <v>0</v>
      </c>
      <c r="V4362" s="33">
        <f>Data!P4377</f>
        <v>0</v>
      </c>
    </row>
    <row r="4363" spans="7:22" x14ac:dyDescent="0.25">
      <c r="G4363">
        <f>Data!A4376</f>
        <v>0</v>
      </c>
      <c r="H4363" s="21">
        <f>Data!B4376</f>
        <v>0</v>
      </c>
      <c r="I4363" s="21">
        <f>Data!C4376</f>
        <v>0</v>
      </c>
      <c r="J4363">
        <f>Data!D4376</f>
        <v>0</v>
      </c>
      <c r="K4363">
        <f>Data!E4376</f>
        <v>0</v>
      </c>
      <c r="L4363">
        <f>Data!F4376</f>
        <v>0</v>
      </c>
      <c r="M4363">
        <f>Data!G4376</f>
        <v>0</v>
      </c>
      <c r="N4363">
        <f>Data!H4376</f>
        <v>0</v>
      </c>
      <c r="O4363">
        <f>Data!I4376</f>
        <v>0</v>
      </c>
      <c r="P4363" s="21">
        <f>Data!J4380</f>
        <v>0</v>
      </c>
      <c r="Q4363">
        <f>Data!K4380</f>
        <v>0</v>
      </c>
      <c r="R4363">
        <f>Data!L4380</f>
        <v>0</v>
      </c>
      <c r="S4363">
        <f>Data!M4380</f>
        <v>0</v>
      </c>
      <c r="T4363">
        <f>Data!N4380</f>
        <v>0</v>
      </c>
      <c r="U4363">
        <f>Data!O4380</f>
        <v>0</v>
      </c>
      <c r="V4363" s="33">
        <f>Data!P4378</f>
        <v>0</v>
      </c>
    </row>
    <row r="4364" spans="7:22" x14ac:dyDescent="0.25">
      <c r="G4364">
        <f>Data!A4377</f>
        <v>0</v>
      </c>
      <c r="H4364" s="21">
        <f>Data!B4377</f>
        <v>0</v>
      </c>
      <c r="I4364" s="21">
        <f>Data!C4377</f>
        <v>0</v>
      </c>
      <c r="J4364">
        <f>Data!D4377</f>
        <v>0</v>
      </c>
      <c r="K4364">
        <f>Data!E4377</f>
        <v>0</v>
      </c>
      <c r="L4364">
        <f>Data!F4377</f>
        <v>0</v>
      </c>
      <c r="M4364">
        <f>Data!G4377</f>
        <v>0</v>
      </c>
      <c r="N4364">
        <f>Data!H4377</f>
        <v>0</v>
      </c>
      <c r="O4364">
        <f>Data!I4377</f>
        <v>0</v>
      </c>
      <c r="P4364" s="21">
        <f>Data!J4381</f>
        <v>0</v>
      </c>
      <c r="Q4364">
        <f>Data!K4381</f>
        <v>0</v>
      </c>
      <c r="R4364">
        <f>Data!L4381</f>
        <v>0</v>
      </c>
      <c r="S4364">
        <f>Data!M4381</f>
        <v>0</v>
      </c>
      <c r="T4364">
        <f>Data!N4381</f>
        <v>0</v>
      </c>
      <c r="U4364">
        <f>Data!O4381</f>
        <v>0</v>
      </c>
      <c r="V4364" s="33">
        <f>Data!P4379</f>
        <v>0</v>
      </c>
    </row>
    <row r="4365" spans="7:22" x14ac:dyDescent="0.25">
      <c r="G4365">
        <f>Data!A4378</f>
        <v>0</v>
      </c>
      <c r="H4365" s="21">
        <f>Data!B4378</f>
        <v>0</v>
      </c>
      <c r="I4365" s="21">
        <f>Data!C4378</f>
        <v>0</v>
      </c>
      <c r="J4365">
        <f>Data!D4378</f>
        <v>0</v>
      </c>
      <c r="K4365">
        <f>Data!E4378</f>
        <v>0</v>
      </c>
      <c r="L4365">
        <f>Data!F4378</f>
        <v>0</v>
      </c>
      <c r="M4365">
        <f>Data!G4378</f>
        <v>0</v>
      </c>
      <c r="N4365">
        <f>Data!H4378</f>
        <v>0</v>
      </c>
      <c r="O4365">
        <f>Data!I4378</f>
        <v>0</v>
      </c>
      <c r="P4365" s="21">
        <f>Data!J4382</f>
        <v>0</v>
      </c>
      <c r="Q4365">
        <f>Data!K4382</f>
        <v>0</v>
      </c>
      <c r="R4365">
        <f>Data!L4382</f>
        <v>0</v>
      </c>
      <c r="S4365">
        <f>Data!M4382</f>
        <v>0</v>
      </c>
      <c r="T4365">
        <f>Data!N4382</f>
        <v>0</v>
      </c>
      <c r="U4365">
        <f>Data!O4382</f>
        <v>0</v>
      </c>
      <c r="V4365" s="33">
        <f>Data!P4380</f>
        <v>0</v>
      </c>
    </row>
    <row r="4366" spans="7:22" x14ac:dyDescent="0.25">
      <c r="G4366">
        <f>Data!A4379</f>
        <v>0</v>
      </c>
      <c r="H4366" s="21">
        <f>Data!B4379</f>
        <v>0</v>
      </c>
      <c r="I4366" s="21">
        <f>Data!C4379</f>
        <v>0</v>
      </c>
      <c r="J4366">
        <f>Data!D4379</f>
        <v>0</v>
      </c>
      <c r="K4366">
        <f>Data!E4379</f>
        <v>0</v>
      </c>
      <c r="L4366">
        <f>Data!F4379</f>
        <v>0</v>
      </c>
      <c r="M4366">
        <f>Data!G4379</f>
        <v>0</v>
      </c>
      <c r="N4366">
        <f>Data!H4379</f>
        <v>0</v>
      </c>
      <c r="O4366">
        <f>Data!I4379</f>
        <v>0</v>
      </c>
      <c r="P4366" s="21">
        <f>Data!J4383</f>
        <v>0</v>
      </c>
      <c r="Q4366">
        <f>Data!K4383</f>
        <v>0</v>
      </c>
      <c r="R4366">
        <f>Data!L4383</f>
        <v>0</v>
      </c>
      <c r="S4366">
        <f>Data!M4383</f>
        <v>0</v>
      </c>
      <c r="T4366">
        <f>Data!N4383</f>
        <v>0</v>
      </c>
      <c r="U4366">
        <f>Data!O4383</f>
        <v>0</v>
      </c>
      <c r="V4366" s="33">
        <f>Data!P4381</f>
        <v>0</v>
      </c>
    </row>
    <row r="4367" spans="7:22" x14ac:dyDescent="0.25">
      <c r="G4367">
        <f>Data!A4380</f>
        <v>0</v>
      </c>
      <c r="H4367" s="21">
        <f>Data!B4380</f>
        <v>0</v>
      </c>
      <c r="I4367" s="21">
        <f>Data!C4380</f>
        <v>0</v>
      </c>
      <c r="J4367">
        <f>Data!D4380</f>
        <v>0</v>
      </c>
      <c r="K4367">
        <f>Data!E4380</f>
        <v>0</v>
      </c>
      <c r="L4367">
        <f>Data!F4380</f>
        <v>0</v>
      </c>
      <c r="M4367">
        <f>Data!G4380</f>
        <v>0</v>
      </c>
      <c r="N4367">
        <f>Data!H4380</f>
        <v>0</v>
      </c>
      <c r="O4367">
        <f>Data!I4380</f>
        <v>0</v>
      </c>
      <c r="P4367" s="21">
        <f>Data!J4384</f>
        <v>0</v>
      </c>
      <c r="Q4367">
        <f>Data!K4384</f>
        <v>0</v>
      </c>
      <c r="R4367">
        <f>Data!L4384</f>
        <v>0</v>
      </c>
      <c r="S4367">
        <f>Data!M4384</f>
        <v>0</v>
      </c>
      <c r="T4367">
        <f>Data!N4384</f>
        <v>0</v>
      </c>
      <c r="U4367">
        <f>Data!O4384</f>
        <v>0</v>
      </c>
      <c r="V4367" s="33">
        <f>Data!P4382</f>
        <v>0</v>
      </c>
    </row>
    <row r="4368" spans="7:22" x14ac:dyDescent="0.25">
      <c r="G4368">
        <f>Data!A4381</f>
        <v>0</v>
      </c>
      <c r="H4368" s="21">
        <f>Data!B4381</f>
        <v>0</v>
      </c>
      <c r="I4368" s="21">
        <f>Data!C4381</f>
        <v>0</v>
      </c>
      <c r="J4368">
        <f>Data!D4381</f>
        <v>0</v>
      </c>
      <c r="K4368">
        <f>Data!E4381</f>
        <v>0</v>
      </c>
      <c r="L4368">
        <f>Data!F4381</f>
        <v>0</v>
      </c>
      <c r="M4368">
        <f>Data!G4381</f>
        <v>0</v>
      </c>
      <c r="N4368">
        <f>Data!H4381</f>
        <v>0</v>
      </c>
      <c r="O4368">
        <f>Data!I4381</f>
        <v>0</v>
      </c>
      <c r="P4368" s="21">
        <f>Data!J4385</f>
        <v>0</v>
      </c>
      <c r="Q4368">
        <f>Data!K4385</f>
        <v>0</v>
      </c>
      <c r="R4368">
        <f>Data!L4385</f>
        <v>0</v>
      </c>
      <c r="S4368">
        <f>Data!M4385</f>
        <v>0</v>
      </c>
      <c r="T4368">
        <f>Data!N4385</f>
        <v>0</v>
      </c>
      <c r="U4368">
        <f>Data!O4385</f>
        <v>0</v>
      </c>
      <c r="V4368" s="33">
        <f>Data!P4383</f>
        <v>0</v>
      </c>
    </row>
    <row r="4369" spans="7:22" x14ac:dyDescent="0.25">
      <c r="G4369">
        <f>Data!A4382</f>
        <v>0</v>
      </c>
      <c r="H4369" s="21">
        <f>Data!B4382</f>
        <v>0</v>
      </c>
      <c r="I4369" s="21">
        <f>Data!C4382</f>
        <v>0</v>
      </c>
      <c r="J4369">
        <f>Data!D4382</f>
        <v>0</v>
      </c>
      <c r="K4369">
        <f>Data!E4382</f>
        <v>0</v>
      </c>
      <c r="L4369">
        <f>Data!F4382</f>
        <v>0</v>
      </c>
      <c r="M4369">
        <f>Data!G4382</f>
        <v>0</v>
      </c>
      <c r="N4369">
        <f>Data!H4382</f>
        <v>0</v>
      </c>
      <c r="O4369">
        <f>Data!I4382</f>
        <v>0</v>
      </c>
      <c r="P4369" s="21">
        <f>Data!J4386</f>
        <v>0</v>
      </c>
      <c r="Q4369">
        <f>Data!K4386</f>
        <v>0</v>
      </c>
      <c r="R4369">
        <f>Data!L4386</f>
        <v>0</v>
      </c>
      <c r="S4369">
        <f>Data!M4386</f>
        <v>0</v>
      </c>
      <c r="T4369">
        <f>Data!N4386</f>
        <v>0</v>
      </c>
      <c r="U4369">
        <f>Data!O4386</f>
        <v>0</v>
      </c>
      <c r="V4369" s="33">
        <f>Data!P4384</f>
        <v>0</v>
      </c>
    </row>
    <row r="4370" spans="7:22" x14ac:dyDescent="0.25">
      <c r="G4370">
        <f>Data!A4383</f>
        <v>0</v>
      </c>
      <c r="H4370" s="21">
        <f>Data!B4383</f>
        <v>0</v>
      </c>
      <c r="I4370" s="21">
        <f>Data!C4383</f>
        <v>0</v>
      </c>
      <c r="J4370">
        <f>Data!D4383</f>
        <v>0</v>
      </c>
      <c r="K4370">
        <f>Data!E4383</f>
        <v>0</v>
      </c>
      <c r="L4370">
        <f>Data!F4383</f>
        <v>0</v>
      </c>
      <c r="M4370">
        <f>Data!G4383</f>
        <v>0</v>
      </c>
      <c r="N4370">
        <f>Data!H4383</f>
        <v>0</v>
      </c>
      <c r="O4370">
        <f>Data!I4383</f>
        <v>0</v>
      </c>
      <c r="P4370" s="21">
        <f>Data!J4387</f>
        <v>0</v>
      </c>
      <c r="Q4370">
        <f>Data!K4387</f>
        <v>0</v>
      </c>
      <c r="R4370">
        <f>Data!L4387</f>
        <v>0</v>
      </c>
      <c r="S4370">
        <f>Data!M4387</f>
        <v>0</v>
      </c>
      <c r="T4370">
        <f>Data!N4387</f>
        <v>0</v>
      </c>
      <c r="U4370">
        <f>Data!O4387</f>
        <v>0</v>
      </c>
      <c r="V4370" s="33">
        <f>Data!P4385</f>
        <v>0</v>
      </c>
    </row>
    <row r="4371" spans="7:22" x14ac:dyDescent="0.25">
      <c r="G4371">
        <f>Data!A4384</f>
        <v>0</v>
      </c>
      <c r="H4371" s="21">
        <f>Data!B4384</f>
        <v>0</v>
      </c>
      <c r="I4371" s="21">
        <f>Data!C4384</f>
        <v>0</v>
      </c>
      <c r="J4371">
        <f>Data!D4384</f>
        <v>0</v>
      </c>
      <c r="K4371">
        <f>Data!E4384</f>
        <v>0</v>
      </c>
      <c r="L4371">
        <f>Data!F4384</f>
        <v>0</v>
      </c>
      <c r="M4371">
        <f>Data!G4384</f>
        <v>0</v>
      </c>
      <c r="N4371">
        <f>Data!H4384</f>
        <v>0</v>
      </c>
      <c r="O4371">
        <f>Data!I4384</f>
        <v>0</v>
      </c>
      <c r="P4371" s="21">
        <f>Data!J4388</f>
        <v>0</v>
      </c>
      <c r="Q4371">
        <f>Data!K4388</f>
        <v>0</v>
      </c>
      <c r="R4371">
        <f>Data!L4388</f>
        <v>0</v>
      </c>
      <c r="S4371">
        <f>Data!M4388</f>
        <v>0</v>
      </c>
      <c r="T4371">
        <f>Data!N4388</f>
        <v>0</v>
      </c>
      <c r="U4371">
        <f>Data!O4388</f>
        <v>0</v>
      </c>
      <c r="V4371" s="33">
        <f>Data!P4386</f>
        <v>0</v>
      </c>
    </row>
    <row r="4372" spans="7:22" x14ac:dyDescent="0.25">
      <c r="G4372">
        <f>Data!A4385</f>
        <v>0</v>
      </c>
      <c r="H4372" s="21">
        <f>Data!B4385</f>
        <v>0</v>
      </c>
      <c r="I4372" s="21">
        <f>Data!C4385</f>
        <v>0</v>
      </c>
      <c r="J4372">
        <f>Data!D4385</f>
        <v>0</v>
      </c>
      <c r="K4372">
        <f>Data!E4385</f>
        <v>0</v>
      </c>
      <c r="L4372">
        <f>Data!F4385</f>
        <v>0</v>
      </c>
      <c r="M4372">
        <f>Data!G4385</f>
        <v>0</v>
      </c>
      <c r="N4372">
        <f>Data!H4385</f>
        <v>0</v>
      </c>
      <c r="O4372">
        <f>Data!I4385</f>
        <v>0</v>
      </c>
      <c r="P4372" s="21">
        <f>Data!J4389</f>
        <v>0</v>
      </c>
      <c r="Q4372">
        <f>Data!K4389</f>
        <v>0</v>
      </c>
      <c r="R4372">
        <f>Data!L4389</f>
        <v>0</v>
      </c>
      <c r="S4372">
        <f>Data!M4389</f>
        <v>0</v>
      </c>
      <c r="T4372">
        <f>Data!N4389</f>
        <v>0</v>
      </c>
      <c r="U4372">
        <f>Data!O4389</f>
        <v>0</v>
      </c>
      <c r="V4372" s="33">
        <f>Data!P4387</f>
        <v>0</v>
      </c>
    </row>
    <row r="4373" spans="7:22" x14ac:dyDescent="0.25">
      <c r="G4373">
        <f>Data!A4386</f>
        <v>0</v>
      </c>
      <c r="H4373" s="21">
        <f>Data!B4386</f>
        <v>0</v>
      </c>
      <c r="I4373" s="21">
        <f>Data!C4386</f>
        <v>0</v>
      </c>
      <c r="J4373">
        <f>Data!D4386</f>
        <v>0</v>
      </c>
      <c r="K4373">
        <f>Data!E4386</f>
        <v>0</v>
      </c>
      <c r="L4373">
        <f>Data!F4386</f>
        <v>0</v>
      </c>
      <c r="M4373">
        <f>Data!G4386</f>
        <v>0</v>
      </c>
      <c r="N4373">
        <f>Data!H4386</f>
        <v>0</v>
      </c>
      <c r="O4373">
        <f>Data!I4386</f>
        <v>0</v>
      </c>
      <c r="P4373" s="21">
        <f>Data!J4390</f>
        <v>0</v>
      </c>
      <c r="Q4373">
        <f>Data!K4390</f>
        <v>0</v>
      </c>
      <c r="R4373">
        <f>Data!L4390</f>
        <v>0</v>
      </c>
      <c r="S4373">
        <f>Data!M4390</f>
        <v>0</v>
      </c>
      <c r="T4373">
        <f>Data!N4390</f>
        <v>0</v>
      </c>
      <c r="U4373">
        <f>Data!O4390</f>
        <v>0</v>
      </c>
      <c r="V4373" s="33">
        <f>Data!P4388</f>
        <v>0</v>
      </c>
    </row>
    <row r="4374" spans="7:22" x14ac:dyDescent="0.25">
      <c r="G4374">
        <f>Data!A4387</f>
        <v>0</v>
      </c>
      <c r="H4374" s="21">
        <f>Data!B4387</f>
        <v>0</v>
      </c>
      <c r="I4374" s="21">
        <f>Data!C4387</f>
        <v>0</v>
      </c>
      <c r="J4374">
        <f>Data!D4387</f>
        <v>0</v>
      </c>
      <c r="K4374">
        <f>Data!E4387</f>
        <v>0</v>
      </c>
      <c r="L4374">
        <f>Data!F4387</f>
        <v>0</v>
      </c>
      <c r="M4374">
        <f>Data!G4387</f>
        <v>0</v>
      </c>
      <c r="N4374">
        <f>Data!H4387</f>
        <v>0</v>
      </c>
      <c r="O4374">
        <f>Data!I4387</f>
        <v>0</v>
      </c>
      <c r="P4374" s="21">
        <f>Data!J4391</f>
        <v>0</v>
      </c>
      <c r="Q4374">
        <f>Data!K4391</f>
        <v>0</v>
      </c>
      <c r="R4374">
        <f>Data!L4391</f>
        <v>0</v>
      </c>
      <c r="S4374">
        <f>Data!M4391</f>
        <v>0</v>
      </c>
      <c r="T4374">
        <f>Data!N4391</f>
        <v>0</v>
      </c>
      <c r="U4374">
        <f>Data!O4391</f>
        <v>0</v>
      </c>
      <c r="V4374" s="33">
        <f>Data!P4389</f>
        <v>0</v>
      </c>
    </row>
    <row r="4375" spans="7:22" x14ac:dyDescent="0.25">
      <c r="G4375">
        <f>Data!A4388</f>
        <v>0</v>
      </c>
      <c r="H4375" s="21">
        <f>Data!B4388</f>
        <v>0</v>
      </c>
      <c r="I4375" s="21">
        <f>Data!C4388</f>
        <v>0</v>
      </c>
      <c r="J4375">
        <f>Data!D4388</f>
        <v>0</v>
      </c>
      <c r="K4375">
        <f>Data!E4388</f>
        <v>0</v>
      </c>
      <c r="L4375">
        <f>Data!F4388</f>
        <v>0</v>
      </c>
      <c r="M4375">
        <f>Data!G4388</f>
        <v>0</v>
      </c>
      <c r="N4375">
        <f>Data!H4388</f>
        <v>0</v>
      </c>
      <c r="O4375">
        <f>Data!I4388</f>
        <v>0</v>
      </c>
      <c r="P4375" s="21">
        <f>Data!J4392</f>
        <v>0</v>
      </c>
      <c r="Q4375">
        <f>Data!K4392</f>
        <v>0</v>
      </c>
      <c r="R4375">
        <f>Data!L4392</f>
        <v>0</v>
      </c>
      <c r="S4375">
        <f>Data!M4392</f>
        <v>0</v>
      </c>
      <c r="T4375">
        <f>Data!N4392</f>
        <v>0</v>
      </c>
      <c r="U4375">
        <f>Data!O4392</f>
        <v>0</v>
      </c>
      <c r="V4375" s="33">
        <f>Data!P4390</f>
        <v>0</v>
      </c>
    </row>
    <row r="4376" spans="7:22" x14ac:dyDescent="0.25">
      <c r="G4376">
        <f>Data!A4389</f>
        <v>0</v>
      </c>
      <c r="H4376" s="21">
        <f>Data!B4389</f>
        <v>0</v>
      </c>
      <c r="I4376" s="21">
        <f>Data!C4389</f>
        <v>0</v>
      </c>
      <c r="J4376">
        <f>Data!D4389</f>
        <v>0</v>
      </c>
      <c r="K4376">
        <f>Data!E4389</f>
        <v>0</v>
      </c>
      <c r="L4376">
        <f>Data!F4389</f>
        <v>0</v>
      </c>
      <c r="M4376">
        <f>Data!G4389</f>
        <v>0</v>
      </c>
      <c r="N4376">
        <f>Data!H4389</f>
        <v>0</v>
      </c>
      <c r="O4376">
        <f>Data!I4389</f>
        <v>0</v>
      </c>
      <c r="P4376" s="21">
        <f>Data!J4393</f>
        <v>0</v>
      </c>
      <c r="Q4376">
        <f>Data!K4393</f>
        <v>0</v>
      </c>
      <c r="R4376">
        <f>Data!L4393</f>
        <v>0</v>
      </c>
      <c r="S4376">
        <f>Data!M4393</f>
        <v>0</v>
      </c>
      <c r="T4376">
        <f>Data!N4393</f>
        <v>0</v>
      </c>
      <c r="U4376">
        <f>Data!O4393</f>
        <v>0</v>
      </c>
      <c r="V4376" s="33">
        <f>Data!P4391</f>
        <v>0</v>
      </c>
    </row>
    <row r="4377" spans="7:22" x14ac:dyDescent="0.25">
      <c r="G4377">
        <f>Data!A4390</f>
        <v>0</v>
      </c>
      <c r="H4377" s="21">
        <f>Data!B4390</f>
        <v>0</v>
      </c>
      <c r="I4377" s="21">
        <f>Data!C4390</f>
        <v>0</v>
      </c>
      <c r="J4377">
        <f>Data!D4390</f>
        <v>0</v>
      </c>
      <c r="K4377">
        <f>Data!E4390</f>
        <v>0</v>
      </c>
      <c r="L4377">
        <f>Data!F4390</f>
        <v>0</v>
      </c>
      <c r="M4377">
        <f>Data!G4390</f>
        <v>0</v>
      </c>
      <c r="N4377">
        <f>Data!H4390</f>
        <v>0</v>
      </c>
      <c r="O4377">
        <f>Data!I4390</f>
        <v>0</v>
      </c>
      <c r="P4377" s="21">
        <f>Data!J4394</f>
        <v>0</v>
      </c>
      <c r="Q4377">
        <f>Data!K4394</f>
        <v>0</v>
      </c>
      <c r="R4377">
        <f>Data!L4394</f>
        <v>0</v>
      </c>
      <c r="S4377">
        <f>Data!M4394</f>
        <v>0</v>
      </c>
      <c r="T4377">
        <f>Data!N4394</f>
        <v>0</v>
      </c>
      <c r="U4377">
        <f>Data!O4394</f>
        <v>0</v>
      </c>
      <c r="V4377" s="33">
        <f>Data!P4392</f>
        <v>0</v>
      </c>
    </row>
    <row r="4378" spans="7:22" x14ac:dyDescent="0.25">
      <c r="G4378">
        <f>Data!A4391</f>
        <v>0</v>
      </c>
      <c r="H4378" s="21">
        <f>Data!B4391</f>
        <v>0</v>
      </c>
      <c r="I4378" s="21">
        <f>Data!C4391</f>
        <v>0</v>
      </c>
      <c r="J4378">
        <f>Data!D4391</f>
        <v>0</v>
      </c>
      <c r="K4378">
        <f>Data!E4391</f>
        <v>0</v>
      </c>
      <c r="L4378">
        <f>Data!F4391</f>
        <v>0</v>
      </c>
      <c r="M4378">
        <f>Data!G4391</f>
        <v>0</v>
      </c>
      <c r="N4378">
        <f>Data!H4391</f>
        <v>0</v>
      </c>
      <c r="O4378">
        <f>Data!I4391</f>
        <v>0</v>
      </c>
      <c r="P4378" s="21">
        <f>Data!J4395</f>
        <v>0</v>
      </c>
      <c r="Q4378">
        <f>Data!K4395</f>
        <v>0</v>
      </c>
      <c r="R4378">
        <f>Data!L4395</f>
        <v>0</v>
      </c>
      <c r="S4378">
        <f>Data!M4395</f>
        <v>0</v>
      </c>
      <c r="T4378">
        <f>Data!N4395</f>
        <v>0</v>
      </c>
      <c r="U4378">
        <f>Data!O4395</f>
        <v>0</v>
      </c>
      <c r="V4378" s="33">
        <f>Data!P4393</f>
        <v>0</v>
      </c>
    </row>
    <row r="4379" spans="7:22" x14ac:dyDescent="0.25">
      <c r="G4379">
        <f>Data!A4392</f>
        <v>0</v>
      </c>
      <c r="H4379" s="21">
        <f>Data!B4392</f>
        <v>0</v>
      </c>
      <c r="I4379" s="21">
        <f>Data!C4392</f>
        <v>0</v>
      </c>
      <c r="J4379">
        <f>Data!D4392</f>
        <v>0</v>
      </c>
      <c r="K4379">
        <f>Data!E4392</f>
        <v>0</v>
      </c>
      <c r="L4379">
        <f>Data!F4392</f>
        <v>0</v>
      </c>
      <c r="M4379">
        <f>Data!G4392</f>
        <v>0</v>
      </c>
      <c r="N4379">
        <f>Data!H4392</f>
        <v>0</v>
      </c>
      <c r="O4379">
        <f>Data!I4392</f>
        <v>0</v>
      </c>
      <c r="P4379" s="21">
        <f>Data!J4396</f>
        <v>0</v>
      </c>
      <c r="Q4379">
        <f>Data!K4396</f>
        <v>0</v>
      </c>
      <c r="R4379">
        <f>Data!L4396</f>
        <v>0</v>
      </c>
      <c r="S4379">
        <f>Data!M4396</f>
        <v>0</v>
      </c>
      <c r="T4379">
        <f>Data!N4396</f>
        <v>0</v>
      </c>
      <c r="U4379">
        <f>Data!O4396</f>
        <v>0</v>
      </c>
      <c r="V4379" s="33">
        <f>Data!P4394</f>
        <v>0</v>
      </c>
    </row>
    <row r="4380" spans="7:22" x14ac:dyDescent="0.25">
      <c r="G4380">
        <f>Data!A4393</f>
        <v>0</v>
      </c>
      <c r="H4380" s="21">
        <f>Data!B4393</f>
        <v>0</v>
      </c>
      <c r="I4380" s="21">
        <f>Data!C4393</f>
        <v>0</v>
      </c>
      <c r="J4380">
        <f>Data!D4393</f>
        <v>0</v>
      </c>
      <c r="K4380">
        <f>Data!E4393</f>
        <v>0</v>
      </c>
      <c r="L4380">
        <f>Data!F4393</f>
        <v>0</v>
      </c>
      <c r="M4380">
        <f>Data!G4393</f>
        <v>0</v>
      </c>
      <c r="N4380">
        <f>Data!H4393</f>
        <v>0</v>
      </c>
      <c r="O4380">
        <f>Data!I4393</f>
        <v>0</v>
      </c>
      <c r="P4380" s="21">
        <f>Data!J4397</f>
        <v>0</v>
      </c>
      <c r="Q4380">
        <f>Data!K4397</f>
        <v>0</v>
      </c>
      <c r="R4380">
        <f>Data!L4397</f>
        <v>0</v>
      </c>
      <c r="S4380">
        <f>Data!M4397</f>
        <v>0</v>
      </c>
      <c r="T4380">
        <f>Data!N4397</f>
        <v>0</v>
      </c>
      <c r="U4380">
        <f>Data!O4397</f>
        <v>0</v>
      </c>
      <c r="V4380" s="33">
        <f>Data!P4395</f>
        <v>0</v>
      </c>
    </row>
    <row r="4381" spans="7:22" x14ac:dyDescent="0.25">
      <c r="G4381">
        <f>Data!A4394</f>
        <v>0</v>
      </c>
      <c r="H4381" s="21">
        <f>Data!B4394</f>
        <v>0</v>
      </c>
      <c r="I4381" s="21">
        <f>Data!C4394</f>
        <v>0</v>
      </c>
      <c r="J4381">
        <f>Data!D4394</f>
        <v>0</v>
      </c>
      <c r="K4381">
        <f>Data!E4394</f>
        <v>0</v>
      </c>
      <c r="L4381">
        <f>Data!F4394</f>
        <v>0</v>
      </c>
      <c r="M4381">
        <f>Data!G4394</f>
        <v>0</v>
      </c>
      <c r="N4381">
        <f>Data!H4394</f>
        <v>0</v>
      </c>
      <c r="O4381">
        <f>Data!I4394</f>
        <v>0</v>
      </c>
      <c r="P4381" s="21">
        <f>Data!J4398</f>
        <v>0</v>
      </c>
      <c r="Q4381">
        <f>Data!K4398</f>
        <v>0</v>
      </c>
      <c r="R4381">
        <f>Data!L4398</f>
        <v>0</v>
      </c>
      <c r="S4381">
        <f>Data!M4398</f>
        <v>0</v>
      </c>
      <c r="T4381">
        <f>Data!N4398</f>
        <v>0</v>
      </c>
      <c r="U4381">
        <f>Data!O4398</f>
        <v>0</v>
      </c>
      <c r="V4381" s="33">
        <f>Data!P4396</f>
        <v>0</v>
      </c>
    </row>
    <row r="4382" spans="7:22" x14ac:dyDescent="0.25">
      <c r="G4382">
        <f>Data!A4395</f>
        <v>0</v>
      </c>
      <c r="H4382" s="21">
        <f>Data!B4395</f>
        <v>0</v>
      </c>
      <c r="I4382" s="21">
        <f>Data!C4395</f>
        <v>0</v>
      </c>
      <c r="J4382">
        <f>Data!D4395</f>
        <v>0</v>
      </c>
      <c r="K4382">
        <f>Data!E4395</f>
        <v>0</v>
      </c>
      <c r="L4382">
        <f>Data!F4395</f>
        <v>0</v>
      </c>
      <c r="M4382">
        <f>Data!G4395</f>
        <v>0</v>
      </c>
      <c r="N4382">
        <f>Data!H4395</f>
        <v>0</v>
      </c>
      <c r="O4382">
        <f>Data!I4395</f>
        <v>0</v>
      </c>
      <c r="P4382" s="21">
        <f>Data!J4399</f>
        <v>0</v>
      </c>
      <c r="Q4382">
        <f>Data!K4399</f>
        <v>0</v>
      </c>
      <c r="R4382">
        <f>Data!L4399</f>
        <v>0</v>
      </c>
      <c r="S4382">
        <f>Data!M4399</f>
        <v>0</v>
      </c>
      <c r="T4382">
        <f>Data!N4399</f>
        <v>0</v>
      </c>
      <c r="U4382">
        <f>Data!O4399</f>
        <v>0</v>
      </c>
      <c r="V4382" s="33">
        <f>Data!P4397</f>
        <v>0</v>
      </c>
    </row>
    <row r="4383" spans="7:22" x14ac:dyDescent="0.25">
      <c r="G4383">
        <f>Data!A4396</f>
        <v>0</v>
      </c>
      <c r="H4383" s="21">
        <f>Data!B4396</f>
        <v>0</v>
      </c>
      <c r="I4383" s="21">
        <f>Data!C4396</f>
        <v>0</v>
      </c>
      <c r="J4383">
        <f>Data!D4396</f>
        <v>0</v>
      </c>
      <c r="K4383">
        <f>Data!E4396</f>
        <v>0</v>
      </c>
      <c r="L4383">
        <f>Data!F4396</f>
        <v>0</v>
      </c>
      <c r="M4383">
        <f>Data!G4396</f>
        <v>0</v>
      </c>
      <c r="N4383">
        <f>Data!H4396</f>
        <v>0</v>
      </c>
      <c r="O4383">
        <f>Data!I4396</f>
        <v>0</v>
      </c>
      <c r="P4383" s="21">
        <f>Data!J4400</f>
        <v>0</v>
      </c>
      <c r="Q4383">
        <f>Data!K4400</f>
        <v>0</v>
      </c>
      <c r="R4383">
        <f>Data!L4400</f>
        <v>0</v>
      </c>
      <c r="S4383">
        <f>Data!M4400</f>
        <v>0</v>
      </c>
      <c r="T4383">
        <f>Data!N4400</f>
        <v>0</v>
      </c>
      <c r="U4383">
        <f>Data!O4400</f>
        <v>0</v>
      </c>
      <c r="V4383" s="33">
        <f>Data!P4398</f>
        <v>0</v>
      </c>
    </row>
    <row r="4384" spans="7:22" x14ac:dyDescent="0.25">
      <c r="G4384">
        <f>Data!A4397</f>
        <v>0</v>
      </c>
      <c r="H4384" s="21">
        <f>Data!B4397</f>
        <v>0</v>
      </c>
      <c r="I4384" s="21">
        <f>Data!C4397</f>
        <v>0</v>
      </c>
      <c r="J4384">
        <f>Data!D4397</f>
        <v>0</v>
      </c>
      <c r="K4384">
        <f>Data!E4397</f>
        <v>0</v>
      </c>
      <c r="L4384">
        <f>Data!F4397</f>
        <v>0</v>
      </c>
      <c r="M4384">
        <f>Data!G4397</f>
        <v>0</v>
      </c>
      <c r="N4384">
        <f>Data!H4397</f>
        <v>0</v>
      </c>
      <c r="O4384">
        <f>Data!I4397</f>
        <v>0</v>
      </c>
      <c r="P4384" s="21">
        <f>Data!J4401</f>
        <v>0</v>
      </c>
      <c r="Q4384">
        <f>Data!K4401</f>
        <v>0</v>
      </c>
      <c r="R4384">
        <f>Data!L4401</f>
        <v>0</v>
      </c>
      <c r="S4384">
        <f>Data!M4401</f>
        <v>0</v>
      </c>
      <c r="T4384">
        <f>Data!N4401</f>
        <v>0</v>
      </c>
      <c r="U4384">
        <f>Data!O4401</f>
        <v>0</v>
      </c>
      <c r="V4384" s="33">
        <f>Data!P4399</f>
        <v>0</v>
      </c>
    </row>
    <row r="4385" spans="7:22" x14ac:dyDescent="0.25">
      <c r="G4385">
        <f>Data!A4398</f>
        <v>0</v>
      </c>
      <c r="H4385" s="21">
        <f>Data!B4398</f>
        <v>0</v>
      </c>
      <c r="I4385" s="21">
        <f>Data!C4398</f>
        <v>0</v>
      </c>
      <c r="J4385">
        <f>Data!D4398</f>
        <v>0</v>
      </c>
      <c r="K4385">
        <f>Data!E4398</f>
        <v>0</v>
      </c>
      <c r="L4385">
        <f>Data!F4398</f>
        <v>0</v>
      </c>
      <c r="M4385">
        <f>Data!G4398</f>
        <v>0</v>
      </c>
      <c r="N4385">
        <f>Data!H4398</f>
        <v>0</v>
      </c>
      <c r="O4385">
        <f>Data!I4398</f>
        <v>0</v>
      </c>
      <c r="P4385" s="21">
        <f>Data!J4402</f>
        <v>0</v>
      </c>
      <c r="Q4385">
        <f>Data!K4402</f>
        <v>0</v>
      </c>
      <c r="R4385">
        <f>Data!L4402</f>
        <v>0</v>
      </c>
      <c r="S4385">
        <f>Data!M4402</f>
        <v>0</v>
      </c>
      <c r="T4385">
        <f>Data!N4402</f>
        <v>0</v>
      </c>
      <c r="U4385">
        <f>Data!O4402</f>
        <v>0</v>
      </c>
      <c r="V4385" s="33">
        <f>Data!P4400</f>
        <v>0</v>
      </c>
    </row>
    <row r="4386" spans="7:22" x14ac:dyDescent="0.25">
      <c r="G4386">
        <f>Data!A4399</f>
        <v>0</v>
      </c>
      <c r="H4386" s="21">
        <f>Data!B4399</f>
        <v>0</v>
      </c>
      <c r="I4386" s="21">
        <f>Data!C4399</f>
        <v>0</v>
      </c>
      <c r="J4386">
        <f>Data!D4399</f>
        <v>0</v>
      </c>
      <c r="K4386">
        <f>Data!E4399</f>
        <v>0</v>
      </c>
      <c r="L4386">
        <f>Data!F4399</f>
        <v>0</v>
      </c>
      <c r="M4386">
        <f>Data!G4399</f>
        <v>0</v>
      </c>
      <c r="N4386">
        <f>Data!H4399</f>
        <v>0</v>
      </c>
      <c r="O4386">
        <f>Data!I4399</f>
        <v>0</v>
      </c>
      <c r="P4386" s="21">
        <f>Data!J4403</f>
        <v>0</v>
      </c>
      <c r="Q4386">
        <f>Data!K4403</f>
        <v>0</v>
      </c>
      <c r="R4386">
        <f>Data!L4403</f>
        <v>0</v>
      </c>
      <c r="S4386">
        <f>Data!M4403</f>
        <v>0</v>
      </c>
      <c r="T4386">
        <f>Data!N4403</f>
        <v>0</v>
      </c>
      <c r="U4386">
        <f>Data!O4403</f>
        <v>0</v>
      </c>
      <c r="V4386" s="33">
        <f>Data!P4401</f>
        <v>0</v>
      </c>
    </row>
    <row r="4387" spans="7:22" x14ac:dyDescent="0.25">
      <c r="G4387">
        <f>Data!A4400</f>
        <v>0</v>
      </c>
      <c r="H4387" s="21">
        <f>Data!B4400</f>
        <v>0</v>
      </c>
      <c r="I4387" s="21">
        <f>Data!C4400</f>
        <v>0</v>
      </c>
      <c r="J4387">
        <f>Data!D4400</f>
        <v>0</v>
      </c>
      <c r="K4387">
        <f>Data!E4400</f>
        <v>0</v>
      </c>
      <c r="L4387">
        <f>Data!F4400</f>
        <v>0</v>
      </c>
      <c r="M4387">
        <f>Data!G4400</f>
        <v>0</v>
      </c>
      <c r="N4387">
        <f>Data!H4400</f>
        <v>0</v>
      </c>
      <c r="O4387">
        <f>Data!I4400</f>
        <v>0</v>
      </c>
      <c r="P4387" s="21">
        <f>Data!J4404</f>
        <v>0</v>
      </c>
      <c r="Q4387">
        <f>Data!K4404</f>
        <v>0</v>
      </c>
      <c r="R4387">
        <f>Data!L4404</f>
        <v>0</v>
      </c>
      <c r="S4387">
        <f>Data!M4404</f>
        <v>0</v>
      </c>
      <c r="T4387">
        <f>Data!N4404</f>
        <v>0</v>
      </c>
      <c r="U4387">
        <f>Data!O4404</f>
        <v>0</v>
      </c>
      <c r="V4387" s="33">
        <f>Data!P4402</f>
        <v>0</v>
      </c>
    </row>
    <row r="4388" spans="7:22" x14ac:dyDescent="0.25">
      <c r="G4388">
        <f>Data!A4401</f>
        <v>0</v>
      </c>
      <c r="H4388" s="21">
        <f>Data!B4401</f>
        <v>0</v>
      </c>
      <c r="I4388" s="21">
        <f>Data!C4401</f>
        <v>0</v>
      </c>
      <c r="J4388">
        <f>Data!D4401</f>
        <v>0</v>
      </c>
      <c r="K4388">
        <f>Data!E4401</f>
        <v>0</v>
      </c>
      <c r="L4388">
        <f>Data!F4401</f>
        <v>0</v>
      </c>
      <c r="M4388">
        <f>Data!G4401</f>
        <v>0</v>
      </c>
      <c r="N4388">
        <f>Data!H4401</f>
        <v>0</v>
      </c>
      <c r="O4388">
        <f>Data!I4401</f>
        <v>0</v>
      </c>
      <c r="P4388" s="21">
        <f>Data!J4405</f>
        <v>0</v>
      </c>
      <c r="Q4388">
        <f>Data!K4405</f>
        <v>0</v>
      </c>
      <c r="R4388">
        <f>Data!L4405</f>
        <v>0</v>
      </c>
      <c r="S4388">
        <f>Data!M4405</f>
        <v>0</v>
      </c>
      <c r="T4388">
        <f>Data!N4405</f>
        <v>0</v>
      </c>
      <c r="U4388">
        <f>Data!O4405</f>
        <v>0</v>
      </c>
      <c r="V4388" s="33">
        <f>Data!P4403</f>
        <v>0</v>
      </c>
    </row>
    <row r="4389" spans="7:22" x14ac:dyDescent="0.25">
      <c r="G4389">
        <f>Data!A4402</f>
        <v>0</v>
      </c>
      <c r="H4389" s="21">
        <f>Data!B4402</f>
        <v>0</v>
      </c>
      <c r="I4389" s="21">
        <f>Data!C4402</f>
        <v>0</v>
      </c>
      <c r="J4389">
        <f>Data!D4402</f>
        <v>0</v>
      </c>
      <c r="K4389">
        <f>Data!E4402</f>
        <v>0</v>
      </c>
      <c r="L4389">
        <f>Data!F4402</f>
        <v>0</v>
      </c>
      <c r="M4389">
        <f>Data!G4402</f>
        <v>0</v>
      </c>
      <c r="N4389">
        <f>Data!H4402</f>
        <v>0</v>
      </c>
      <c r="O4389">
        <f>Data!I4402</f>
        <v>0</v>
      </c>
      <c r="P4389" s="21">
        <f>Data!J4406</f>
        <v>0</v>
      </c>
      <c r="Q4389">
        <f>Data!K4406</f>
        <v>0</v>
      </c>
      <c r="R4389">
        <f>Data!L4406</f>
        <v>0</v>
      </c>
      <c r="S4389">
        <f>Data!M4406</f>
        <v>0</v>
      </c>
      <c r="T4389">
        <f>Data!N4406</f>
        <v>0</v>
      </c>
      <c r="U4389">
        <f>Data!O4406</f>
        <v>0</v>
      </c>
      <c r="V4389" s="33">
        <f>Data!P4404</f>
        <v>0</v>
      </c>
    </row>
    <row r="4390" spans="7:22" x14ac:dyDescent="0.25">
      <c r="G4390">
        <f>Data!A4403</f>
        <v>0</v>
      </c>
      <c r="H4390" s="21">
        <f>Data!B4403</f>
        <v>0</v>
      </c>
      <c r="I4390" s="21">
        <f>Data!C4403</f>
        <v>0</v>
      </c>
      <c r="J4390">
        <f>Data!D4403</f>
        <v>0</v>
      </c>
      <c r="K4390">
        <f>Data!E4403</f>
        <v>0</v>
      </c>
      <c r="L4390">
        <f>Data!F4403</f>
        <v>0</v>
      </c>
      <c r="M4390">
        <f>Data!G4403</f>
        <v>0</v>
      </c>
      <c r="N4390">
        <f>Data!H4403</f>
        <v>0</v>
      </c>
      <c r="O4390">
        <f>Data!I4403</f>
        <v>0</v>
      </c>
      <c r="P4390" s="21">
        <f>Data!J4407</f>
        <v>0</v>
      </c>
      <c r="Q4390">
        <f>Data!K4407</f>
        <v>0</v>
      </c>
      <c r="R4390">
        <f>Data!L4407</f>
        <v>0</v>
      </c>
      <c r="S4390">
        <f>Data!M4407</f>
        <v>0</v>
      </c>
      <c r="T4390">
        <f>Data!N4407</f>
        <v>0</v>
      </c>
      <c r="U4390">
        <f>Data!O4407</f>
        <v>0</v>
      </c>
      <c r="V4390" s="33">
        <f>Data!P4405</f>
        <v>0</v>
      </c>
    </row>
    <row r="4391" spans="7:22" x14ac:dyDescent="0.25">
      <c r="G4391">
        <f>Data!A4404</f>
        <v>0</v>
      </c>
      <c r="H4391" s="21">
        <f>Data!B4404</f>
        <v>0</v>
      </c>
      <c r="I4391" s="21">
        <f>Data!C4404</f>
        <v>0</v>
      </c>
      <c r="J4391">
        <f>Data!D4404</f>
        <v>0</v>
      </c>
      <c r="K4391">
        <f>Data!E4404</f>
        <v>0</v>
      </c>
      <c r="L4391">
        <f>Data!F4404</f>
        <v>0</v>
      </c>
      <c r="M4391">
        <f>Data!G4404</f>
        <v>0</v>
      </c>
      <c r="N4391">
        <f>Data!H4404</f>
        <v>0</v>
      </c>
      <c r="O4391">
        <f>Data!I4404</f>
        <v>0</v>
      </c>
      <c r="P4391" s="21">
        <f>Data!J4408</f>
        <v>0</v>
      </c>
      <c r="Q4391">
        <f>Data!K4408</f>
        <v>0</v>
      </c>
      <c r="R4391">
        <f>Data!L4408</f>
        <v>0</v>
      </c>
      <c r="S4391">
        <f>Data!M4408</f>
        <v>0</v>
      </c>
      <c r="T4391">
        <f>Data!N4408</f>
        <v>0</v>
      </c>
      <c r="U4391">
        <f>Data!O4408</f>
        <v>0</v>
      </c>
      <c r="V4391" s="33">
        <f>Data!P4406</f>
        <v>0</v>
      </c>
    </row>
    <row r="4392" spans="7:22" x14ac:dyDescent="0.25">
      <c r="G4392">
        <f>Data!A4405</f>
        <v>0</v>
      </c>
      <c r="H4392" s="21">
        <f>Data!B4405</f>
        <v>0</v>
      </c>
      <c r="I4392" s="21">
        <f>Data!C4405</f>
        <v>0</v>
      </c>
      <c r="J4392">
        <f>Data!D4405</f>
        <v>0</v>
      </c>
      <c r="K4392">
        <f>Data!E4405</f>
        <v>0</v>
      </c>
      <c r="L4392">
        <f>Data!F4405</f>
        <v>0</v>
      </c>
      <c r="M4392">
        <f>Data!G4405</f>
        <v>0</v>
      </c>
      <c r="N4392">
        <f>Data!H4405</f>
        <v>0</v>
      </c>
      <c r="O4392">
        <f>Data!I4405</f>
        <v>0</v>
      </c>
      <c r="P4392" s="21">
        <f>Data!J4409</f>
        <v>0</v>
      </c>
      <c r="Q4392">
        <f>Data!K4409</f>
        <v>0</v>
      </c>
      <c r="R4392">
        <f>Data!L4409</f>
        <v>0</v>
      </c>
      <c r="S4392">
        <f>Data!M4409</f>
        <v>0</v>
      </c>
      <c r="T4392">
        <f>Data!N4409</f>
        <v>0</v>
      </c>
      <c r="U4392">
        <f>Data!O4409</f>
        <v>0</v>
      </c>
      <c r="V4392" s="33">
        <f>Data!P4407</f>
        <v>0</v>
      </c>
    </row>
    <row r="4393" spans="7:22" x14ac:dyDescent="0.25">
      <c r="G4393">
        <f>Data!A4406</f>
        <v>0</v>
      </c>
      <c r="H4393" s="21">
        <f>Data!B4406</f>
        <v>0</v>
      </c>
      <c r="I4393" s="21">
        <f>Data!C4406</f>
        <v>0</v>
      </c>
      <c r="J4393">
        <f>Data!D4406</f>
        <v>0</v>
      </c>
      <c r="K4393">
        <f>Data!E4406</f>
        <v>0</v>
      </c>
      <c r="L4393">
        <f>Data!F4406</f>
        <v>0</v>
      </c>
      <c r="M4393">
        <f>Data!G4406</f>
        <v>0</v>
      </c>
      <c r="N4393">
        <f>Data!H4406</f>
        <v>0</v>
      </c>
      <c r="O4393">
        <f>Data!I4406</f>
        <v>0</v>
      </c>
      <c r="P4393" s="21">
        <f>Data!J4410</f>
        <v>0</v>
      </c>
      <c r="Q4393">
        <f>Data!K4410</f>
        <v>0</v>
      </c>
      <c r="R4393">
        <f>Data!L4410</f>
        <v>0</v>
      </c>
      <c r="S4393">
        <f>Data!M4410</f>
        <v>0</v>
      </c>
      <c r="T4393">
        <f>Data!N4410</f>
        <v>0</v>
      </c>
      <c r="U4393">
        <f>Data!O4410</f>
        <v>0</v>
      </c>
      <c r="V4393" s="33">
        <f>Data!P4408</f>
        <v>0</v>
      </c>
    </row>
    <row r="4394" spans="7:22" x14ac:dyDescent="0.25">
      <c r="G4394">
        <f>Data!A4407</f>
        <v>0</v>
      </c>
      <c r="H4394" s="21">
        <f>Data!B4407</f>
        <v>0</v>
      </c>
      <c r="I4394" s="21">
        <f>Data!C4407</f>
        <v>0</v>
      </c>
      <c r="J4394">
        <f>Data!D4407</f>
        <v>0</v>
      </c>
      <c r="K4394">
        <f>Data!E4407</f>
        <v>0</v>
      </c>
      <c r="L4394">
        <f>Data!F4407</f>
        <v>0</v>
      </c>
      <c r="M4394">
        <f>Data!G4407</f>
        <v>0</v>
      </c>
      <c r="N4394">
        <f>Data!H4407</f>
        <v>0</v>
      </c>
      <c r="O4394">
        <f>Data!I4407</f>
        <v>0</v>
      </c>
      <c r="P4394" s="21">
        <f>Data!J4411</f>
        <v>0</v>
      </c>
      <c r="Q4394">
        <f>Data!K4411</f>
        <v>0</v>
      </c>
      <c r="R4394">
        <f>Data!L4411</f>
        <v>0</v>
      </c>
      <c r="S4394">
        <f>Data!M4411</f>
        <v>0</v>
      </c>
      <c r="T4394">
        <f>Data!N4411</f>
        <v>0</v>
      </c>
      <c r="U4394">
        <f>Data!O4411</f>
        <v>0</v>
      </c>
      <c r="V4394" s="33">
        <f>Data!P4409</f>
        <v>0</v>
      </c>
    </row>
    <row r="4395" spans="7:22" x14ac:dyDescent="0.25">
      <c r="G4395">
        <f>Data!A4408</f>
        <v>0</v>
      </c>
      <c r="H4395" s="21">
        <f>Data!B4408</f>
        <v>0</v>
      </c>
      <c r="I4395" s="21">
        <f>Data!C4408</f>
        <v>0</v>
      </c>
      <c r="J4395">
        <f>Data!D4408</f>
        <v>0</v>
      </c>
      <c r="K4395">
        <f>Data!E4408</f>
        <v>0</v>
      </c>
      <c r="L4395">
        <f>Data!F4408</f>
        <v>0</v>
      </c>
      <c r="M4395">
        <f>Data!G4408</f>
        <v>0</v>
      </c>
      <c r="N4395">
        <f>Data!H4408</f>
        <v>0</v>
      </c>
      <c r="O4395">
        <f>Data!I4408</f>
        <v>0</v>
      </c>
      <c r="P4395" s="21">
        <f>Data!J4412</f>
        <v>0</v>
      </c>
      <c r="Q4395">
        <f>Data!K4412</f>
        <v>0</v>
      </c>
      <c r="R4395">
        <f>Data!L4412</f>
        <v>0</v>
      </c>
      <c r="S4395">
        <f>Data!M4412</f>
        <v>0</v>
      </c>
      <c r="T4395">
        <f>Data!N4412</f>
        <v>0</v>
      </c>
      <c r="U4395">
        <f>Data!O4412</f>
        <v>0</v>
      </c>
      <c r="V4395" s="33">
        <f>Data!P4410</f>
        <v>0</v>
      </c>
    </row>
    <row r="4396" spans="7:22" x14ac:dyDescent="0.25">
      <c r="G4396">
        <f>Data!A4409</f>
        <v>0</v>
      </c>
      <c r="H4396" s="21">
        <f>Data!B4409</f>
        <v>0</v>
      </c>
      <c r="I4396" s="21">
        <f>Data!C4409</f>
        <v>0</v>
      </c>
      <c r="J4396">
        <f>Data!D4409</f>
        <v>0</v>
      </c>
      <c r="K4396">
        <f>Data!E4409</f>
        <v>0</v>
      </c>
      <c r="L4396">
        <f>Data!F4409</f>
        <v>0</v>
      </c>
      <c r="M4396">
        <f>Data!G4409</f>
        <v>0</v>
      </c>
      <c r="N4396">
        <f>Data!H4409</f>
        <v>0</v>
      </c>
      <c r="O4396">
        <f>Data!I4409</f>
        <v>0</v>
      </c>
      <c r="P4396" s="21">
        <f>Data!J4413</f>
        <v>0</v>
      </c>
      <c r="Q4396">
        <f>Data!K4413</f>
        <v>0</v>
      </c>
      <c r="R4396">
        <f>Data!L4413</f>
        <v>0</v>
      </c>
      <c r="S4396">
        <f>Data!M4413</f>
        <v>0</v>
      </c>
      <c r="T4396">
        <f>Data!N4413</f>
        <v>0</v>
      </c>
      <c r="U4396">
        <f>Data!O4413</f>
        <v>0</v>
      </c>
      <c r="V4396" s="33">
        <f>Data!P4411</f>
        <v>0</v>
      </c>
    </row>
    <row r="4397" spans="7:22" x14ac:dyDescent="0.25">
      <c r="G4397">
        <f>Data!A4410</f>
        <v>0</v>
      </c>
      <c r="H4397" s="21">
        <f>Data!B4410</f>
        <v>0</v>
      </c>
      <c r="I4397" s="21">
        <f>Data!C4410</f>
        <v>0</v>
      </c>
      <c r="J4397">
        <f>Data!D4410</f>
        <v>0</v>
      </c>
      <c r="K4397">
        <f>Data!E4410</f>
        <v>0</v>
      </c>
      <c r="L4397">
        <f>Data!F4410</f>
        <v>0</v>
      </c>
      <c r="M4397">
        <f>Data!G4410</f>
        <v>0</v>
      </c>
      <c r="N4397">
        <f>Data!H4410</f>
        <v>0</v>
      </c>
      <c r="O4397">
        <f>Data!I4410</f>
        <v>0</v>
      </c>
      <c r="P4397" s="21">
        <f>Data!J4414</f>
        <v>0</v>
      </c>
      <c r="Q4397">
        <f>Data!K4414</f>
        <v>0</v>
      </c>
      <c r="R4397">
        <f>Data!L4414</f>
        <v>0</v>
      </c>
      <c r="S4397">
        <f>Data!M4414</f>
        <v>0</v>
      </c>
      <c r="T4397">
        <f>Data!N4414</f>
        <v>0</v>
      </c>
      <c r="U4397">
        <f>Data!O4414</f>
        <v>0</v>
      </c>
      <c r="V4397" s="33">
        <f>Data!P4412</f>
        <v>0</v>
      </c>
    </row>
    <row r="4398" spans="7:22" x14ac:dyDescent="0.25">
      <c r="G4398">
        <f>Data!A4411</f>
        <v>0</v>
      </c>
      <c r="H4398" s="21">
        <f>Data!B4411</f>
        <v>0</v>
      </c>
      <c r="I4398" s="21">
        <f>Data!C4411</f>
        <v>0</v>
      </c>
      <c r="J4398">
        <f>Data!D4411</f>
        <v>0</v>
      </c>
      <c r="K4398">
        <f>Data!E4411</f>
        <v>0</v>
      </c>
      <c r="L4398">
        <f>Data!F4411</f>
        <v>0</v>
      </c>
      <c r="M4398">
        <f>Data!G4411</f>
        <v>0</v>
      </c>
      <c r="N4398">
        <f>Data!H4411</f>
        <v>0</v>
      </c>
      <c r="O4398">
        <f>Data!I4411</f>
        <v>0</v>
      </c>
      <c r="P4398" s="21">
        <f>Data!J4415</f>
        <v>0</v>
      </c>
      <c r="Q4398">
        <f>Data!K4415</f>
        <v>0</v>
      </c>
      <c r="R4398">
        <f>Data!L4415</f>
        <v>0</v>
      </c>
      <c r="S4398">
        <f>Data!M4415</f>
        <v>0</v>
      </c>
      <c r="T4398">
        <f>Data!N4415</f>
        <v>0</v>
      </c>
      <c r="U4398">
        <f>Data!O4415</f>
        <v>0</v>
      </c>
      <c r="V4398" s="33">
        <f>Data!P4413</f>
        <v>0</v>
      </c>
    </row>
    <row r="4399" spans="7:22" x14ac:dyDescent="0.25">
      <c r="G4399">
        <f>Data!A4412</f>
        <v>0</v>
      </c>
      <c r="H4399" s="21">
        <f>Data!B4412</f>
        <v>0</v>
      </c>
      <c r="I4399" s="21">
        <f>Data!C4412</f>
        <v>0</v>
      </c>
      <c r="J4399">
        <f>Data!D4412</f>
        <v>0</v>
      </c>
      <c r="K4399">
        <f>Data!E4412</f>
        <v>0</v>
      </c>
      <c r="L4399">
        <f>Data!F4412</f>
        <v>0</v>
      </c>
      <c r="M4399">
        <f>Data!G4412</f>
        <v>0</v>
      </c>
      <c r="N4399">
        <f>Data!H4412</f>
        <v>0</v>
      </c>
      <c r="O4399">
        <f>Data!I4412</f>
        <v>0</v>
      </c>
      <c r="P4399" s="21">
        <f>Data!J4416</f>
        <v>0</v>
      </c>
      <c r="Q4399">
        <f>Data!K4416</f>
        <v>0</v>
      </c>
      <c r="R4399">
        <f>Data!L4416</f>
        <v>0</v>
      </c>
      <c r="S4399">
        <f>Data!M4416</f>
        <v>0</v>
      </c>
      <c r="T4399">
        <f>Data!N4416</f>
        <v>0</v>
      </c>
      <c r="U4399">
        <f>Data!O4416</f>
        <v>0</v>
      </c>
      <c r="V4399" s="33">
        <f>Data!P4414</f>
        <v>0</v>
      </c>
    </row>
    <row r="4400" spans="7:22" x14ac:dyDescent="0.25">
      <c r="G4400">
        <f>Data!A4413</f>
        <v>0</v>
      </c>
      <c r="H4400" s="21">
        <f>Data!B4413</f>
        <v>0</v>
      </c>
      <c r="I4400" s="21">
        <f>Data!C4413</f>
        <v>0</v>
      </c>
      <c r="J4400">
        <f>Data!D4413</f>
        <v>0</v>
      </c>
      <c r="K4400">
        <f>Data!E4413</f>
        <v>0</v>
      </c>
      <c r="L4400">
        <f>Data!F4413</f>
        <v>0</v>
      </c>
      <c r="M4400">
        <f>Data!G4413</f>
        <v>0</v>
      </c>
      <c r="N4400">
        <f>Data!H4413</f>
        <v>0</v>
      </c>
      <c r="O4400">
        <f>Data!I4413</f>
        <v>0</v>
      </c>
      <c r="P4400" s="21">
        <f>Data!J4417</f>
        <v>0</v>
      </c>
      <c r="Q4400">
        <f>Data!K4417</f>
        <v>0</v>
      </c>
      <c r="R4400">
        <f>Data!L4417</f>
        <v>0</v>
      </c>
      <c r="S4400">
        <f>Data!M4417</f>
        <v>0</v>
      </c>
      <c r="T4400">
        <f>Data!N4417</f>
        <v>0</v>
      </c>
      <c r="U4400">
        <f>Data!O4417</f>
        <v>0</v>
      </c>
      <c r="V4400" s="33">
        <f>Data!P4415</f>
        <v>0</v>
      </c>
    </row>
    <row r="4401" spans="7:22" x14ac:dyDescent="0.25">
      <c r="G4401">
        <f>Data!A4414</f>
        <v>0</v>
      </c>
      <c r="H4401" s="21">
        <f>Data!B4414</f>
        <v>0</v>
      </c>
      <c r="I4401" s="21">
        <f>Data!C4414</f>
        <v>0</v>
      </c>
      <c r="J4401">
        <f>Data!D4414</f>
        <v>0</v>
      </c>
      <c r="K4401">
        <f>Data!E4414</f>
        <v>0</v>
      </c>
      <c r="L4401">
        <f>Data!F4414</f>
        <v>0</v>
      </c>
      <c r="M4401">
        <f>Data!G4414</f>
        <v>0</v>
      </c>
      <c r="N4401">
        <f>Data!H4414</f>
        <v>0</v>
      </c>
      <c r="O4401">
        <f>Data!I4414</f>
        <v>0</v>
      </c>
      <c r="P4401" s="21">
        <f>Data!J4418</f>
        <v>0</v>
      </c>
      <c r="Q4401">
        <f>Data!K4418</f>
        <v>0</v>
      </c>
      <c r="R4401">
        <f>Data!L4418</f>
        <v>0</v>
      </c>
      <c r="S4401">
        <f>Data!M4418</f>
        <v>0</v>
      </c>
      <c r="T4401">
        <f>Data!N4418</f>
        <v>0</v>
      </c>
      <c r="U4401">
        <f>Data!O4418</f>
        <v>0</v>
      </c>
      <c r="V4401" s="33">
        <f>Data!P4416</f>
        <v>0</v>
      </c>
    </row>
    <row r="4402" spans="7:22" x14ac:dyDescent="0.25">
      <c r="G4402">
        <f>Data!A4415</f>
        <v>0</v>
      </c>
      <c r="H4402" s="21">
        <f>Data!B4415</f>
        <v>0</v>
      </c>
      <c r="I4402" s="21">
        <f>Data!C4415</f>
        <v>0</v>
      </c>
      <c r="J4402">
        <f>Data!D4415</f>
        <v>0</v>
      </c>
      <c r="K4402">
        <f>Data!E4415</f>
        <v>0</v>
      </c>
      <c r="L4402">
        <f>Data!F4415</f>
        <v>0</v>
      </c>
      <c r="M4402">
        <f>Data!G4415</f>
        <v>0</v>
      </c>
      <c r="N4402">
        <f>Data!H4415</f>
        <v>0</v>
      </c>
      <c r="O4402">
        <f>Data!I4415</f>
        <v>0</v>
      </c>
      <c r="P4402" s="21">
        <f>Data!J4419</f>
        <v>0</v>
      </c>
      <c r="Q4402">
        <f>Data!K4419</f>
        <v>0</v>
      </c>
      <c r="R4402">
        <f>Data!L4419</f>
        <v>0</v>
      </c>
      <c r="S4402">
        <f>Data!M4419</f>
        <v>0</v>
      </c>
      <c r="T4402">
        <f>Data!N4419</f>
        <v>0</v>
      </c>
      <c r="U4402">
        <f>Data!O4419</f>
        <v>0</v>
      </c>
      <c r="V4402" s="33">
        <f>Data!P4417</f>
        <v>0</v>
      </c>
    </row>
    <row r="4403" spans="7:22" x14ac:dyDescent="0.25">
      <c r="G4403">
        <f>Data!A4416</f>
        <v>0</v>
      </c>
      <c r="H4403" s="21">
        <f>Data!B4416</f>
        <v>0</v>
      </c>
      <c r="I4403" s="21">
        <f>Data!C4416</f>
        <v>0</v>
      </c>
      <c r="J4403">
        <f>Data!D4416</f>
        <v>0</v>
      </c>
      <c r="K4403">
        <f>Data!E4416</f>
        <v>0</v>
      </c>
      <c r="L4403">
        <f>Data!F4416</f>
        <v>0</v>
      </c>
      <c r="M4403">
        <f>Data!G4416</f>
        <v>0</v>
      </c>
      <c r="N4403">
        <f>Data!H4416</f>
        <v>0</v>
      </c>
      <c r="O4403">
        <f>Data!I4416</f>
        <v>0</v>
      </c>
      <c r="P4403" s="21">
        <f>Data!J4420</f>
        <v>0</v>
      </c>
      <c r="Q4403">
        <f>Data!K4420</f>
        <v>0</v>
      </c>
      <c r="R4403">
        <f>Data!L4420</f>
        <v>0</v>
      </c>
      <c r="S4403">
        <f>Data!M4420</f>
        <v>0</v>
      </c>
      <c r="T4403">
        <f>Data!N4420</f>
        <v>0</v>
      </c>
      <c r="U4403">
        <f>Data!O4420</f>
        <v>0</v>
      </c>
      <c r="V4403" s="33">
        <f>Data!P4418</f>
        <v>0</v>
      </c>
    </row>
    <row r="4404" spans="7:22" x14ac:dyDescent="0.25">
      <c r="G4404">
        <f>Data!A4417</f>
        <v>0</v>
      </c>
      <c r="H4404" s="21">
        <f>Data!B4417</f>
        <v>0</v>
      </c>
      <c r="I4404" s="21">
        <f>Data!C4417</f>
        <v>0</v>
      </c>
      <c r="J4404">
        <f>Data!D4417</f>
        <v>0</v>
      </c>
      <c r="K4404">
        <f>Data!E4417</f>
        <v>0</v>
      </c>
      <c r="L4404">
        <f>Data!F4417</f>
        <v>0</v>
      </c>
      <c r="M4404">
        <f>Data!G4417</f>
        <v>0</v>
      </c>
      <c r="N4404">
        <f>Data!H4417</f>
        <v>0</v>
      </c>
      <c r="O4404">
        <f>Data!I4417</f>
        <v>0</v>
      </c>
      <c r="P4404" s="21">
        <f>Data!J4421</f>
        <v>0</v>
      </c>
      <c r="Q4404">
        <f>Data!K4421</f>
        <v>0</v>
      </c>
      <c r="R4404">
        <f>Data!L4421</f>
        <v>0</v>
      </c>
      <c r="S4404">
        <f>Data!M4421</f>
        <v>0</v>
      </c>
      <c r="T4404">
        <f>Data!N4421</f>
        <v>0</v>
      </c>
      <c r="U4404">
        <f>Data!O4421</f>
        <v>0</v>
      </c>
      <c r="V4404" s="33">
        <f>Data!P4419</f>
        <v>0</v>
      </c>
    </row>
    <row r="4405" spans="7:22" x14ac:dyDescent="0.25">
      <c r="G4405">
        <f>Data!A4418</f>
        <v>0</v>
      </c>
      <c r="H4405" s="21">
        <f>Data!B4418</f>
        <v>0</v>
      </c>
      <c r="I4405" s="21">
        <f>Data!C4418</f>
        <v>0</v>
      </c>
      <c r="J4405">
        <f>Data!D4418</f>
        <v>0</v>
      </c>
      <c r="K4405">
        <f>Data!E4418</f>
        <v>0</v>
      </c>
      <c r="L4405">
        <f>Data!F4418</f>
        <v>0</v>
      </c>
      <c r="M4405">
        <f>Data!G4418</f>
        <v>0</v>
      </c>
      <c r="N4405">
        <f>Data!H4418</f>
        <v>0</v>
      </c>
      <c r="O4405">
        <f>Data!I4418</f>
        <v>0</v>
      </c>
      <c r="P4405" s="21">
        <f>Data!J4422</f>
        <v>0</v>
      </c>
      <c r="Q4405">
        <f>Data!K4422</f>
        <v>0</v>
      </c>
      <c r="R4405">
        <f>Data!L4422</f>
        <v>0</v>
      </c>
      <c r="S4405">
        <f>Data!M4422</f>
        <v>0</v>
      </c>
      <c r="T4405">
        <f>Data!N4422</f>
        <v>0</v>
      </c>
      <c r="U4405">
        <f>Data!O4422</f>
        <v>0</v>
      </c>
      <c r="V4405" s="33">
        <f>Data!P4420</f>
        <v>0</v>
      </c>
    </row>
    <row r="4406" spans="7:22" x14ac:dyDescent="0.25">
      <c r="G4406">
        <f>Data!A4419</f>
        <v>0</v>
      </c>
      <c r="H4406" s="21">
        <f>Data!B4419</f>
        <v>0</v>
      </c>
      <c r="I4406" s="21">
        <f>Data!C4419</f>
        <v>0</v>
      </c>
      <c r="J4406">
        <f>Data!D4419</f>
        <v>0</v>
      </c>
      <c r="K4406">
        <f>Data!E4419</f>
        <v>0</v>
      </c>
      <c r="L4406">
        <f>Data!F4419</f>
        <v>0</v>
      </c>
      <c r="M4406">
        <f>Data!G4419</f>
        <v>0</v>
      </c>
      <c r="N4406">
        <f>Data!H4419</f>
        <v>0</v>
      </c>
      <c r="O4406">
        <f>Data!I4419</f>
        <v>0</v>
      </c>
      <c r="P4406" s="21">
        <f>Data!J4423</f>
        <v>0</v>
      </c>
      <c r="Q4406">
        <f>Data!K4423</f>
        <v>0</v>
      </c>
      <c r="R4406">
        <f>Data!L4423</f>
        <v>0</v>
      </c>
      <c r="S4406">
        <f>Data!M4423</f>
        <v>0</v>
      </c>
      <c r="T4406">
        <f>Data!N4423</f>
        <v>0</v>
      </c>
      <c r="U4406">
        <f>Data!O4423</f>
        <v>0</v>
      </c>
      <c r="V4406" s="33">
        <f>Data!P4421</f>
        <v>0</v>
      </c>
    </row>
    <row r="4407" spans="7:22" x14ac:dyDescent="0.25">
      <c r="G4407">
        <f>Data!A4420</f>
        <v>0</v>
      </c>
      <c r="H4407" s="21">
        <f>Data!B4420</f>
        <v>0</v>
      </c>
      <c r="I4407" s="21">
        <f>Data!C4420</f>
        <v>0</v>
      </c>
      <c r="J4407">
        <f>Data!D4420</f>
        <v>0</v>
      </c>
      <c r="K4407">
        <f>Data!E4420</f>
        <v>0</v>
      </c>
      <c r="L4407">
        <f>Data!F4420</f>
        <v>0</v>
      </c>
      <c r="M4407">
        <f>Data!G4420</f>
        <v>0</v>
      </c>
      <c r="N4407">
        <f>Data!H4420</f>
        <v>0</v>
      </c>
      <c r="O4407">
        <f>Data!I4420</f>
        <v>0</v>
      </c>
      <c r="P4407" s="21">
        <f>Data!J4424</f>
        <v>0</v>
      </c>
      <c r="Q4407">
        <f>Data!K4424</f>
        <v>0</v>
      </c>
      <c r="R4407">
        <f>Data!L4424</f>
        <v>0</v>
      </c>
      <c r="S4407">
        <f>Data!M4424</f>
        <v>0</v>
      </c>
      <c r="T4407">
        <f>Data!N4424</f>
        <v>0</v>
      </c>
      <c r="U4407">
        <f>Data!O4424</f>
        <v>0</v>
      </c>
      <c r="V4407" s="33">
        <f>Data!P4422</f>
        <v>0</v>
      </c>
    </row>
    <row r="4408" spans="7:22" x14ac:dyDescent="0.25">
      <c r="G4408">
        <f>Data!A4421</f>
        <v>0</v>
      </c>
      <c r="H4408" s="21">
        <f>Data!B4421</f>
        <v>0</v>
      </c>
      <c r="I4408" s="21">
        <f>Data!C4421</f>
        <v>0</v>
      </c>
      <c r="J4408">
        <f>Data!D4421</f>
        <v>0</v>
      </c>
      <c r="K4408">
        <f>Data!E4421</f>
        <v>0</v>
      </c>
      <c r="L4408">
        <f>Data!F4421</f>
        <v>0</v>
      </c>
      <c r="M4408">
        <f>Data!G4421</f>
        <v>0</v>
      </c>
      <c r="N4408">
        <f>Data!H4421</f>
        <v>0</v>
      </c>
      <c r="O4408">
        <f>Data!I4421</f>
        <v>0</v>
      </c>
      <c r="P4408" s="21">
        <f>Data!J4425</f>
        <v>0</v>
      </c>
      <c r="Q4408">
        <f>Data!K4425</f>
        <v>0</v>
      </c>
      <c r="R4408">
        <f>Data!L4425</f>
        <v>0</v>
      </c>
      <c r="S4408">
        <f>Data!M4425</f>
        <v>0</v>
      </c>
      <c r="T4408">
        <f>Data!N4425</f>
        <v>0</v>
      </c>
      <c r="U4408">
        <f>Data!O4425</f>
        <v>0</v>
      </c>
      <c r="V4408" s="33">
        <f>Data!P4423</f>
        <v>0</v>
      </c>
    </row>
    <row r="4409" spans="7:22" x14ac:dyDescent="0.25">
      <c r="G4409">
        <f>Data!A4422</f>
        <v>0</v>
      </c>
      <c r="H4409" s="21">
        <f>Data!B4422</f>
        <v>0</v>
      </c>
      <c r="I4409" s="21">
        <f>Data!C4422</f>
        <v>0</v>
      </c>
      <c r="J4409">
        <f>Data!D4422</f>
        <v>0</v>
      </c>
      <c r="K4409">
        <f>Data!E4422</f>
        <v>0</v>
      </c>
      <c r="L4409">
        <f>Data!F4422</f>
        <v>0</v>
      </c>
      <c r="M4409">
        <f>Data!G4422</f>
        <v>0</v>
      </c>
      <c r="N4409">
        <f>Data!H4422</f>
        <v>0</v>
      </c>
      <c r="O4409">
        <f>Data!I4422</f>
        <v>0</v>
      </c>
      <c r="P4409" s="21">
        <f>Data!J4426</f>
        <v>0</v>
      </c>
      <c r="Q4409">
        <f>Data!K4426</f>
        <v>0</v>
      </c>
      <c r="R4409">
        <f>Data!L4426</f>
        <v>0</v>
      </c>
      <c r="S4409">
        <f>Data!M4426</f>
        <v>0</v>
      </c>
      <c r="T4409">
        <f>Data!N4426</f>
        <v>0</v>
      </c>
      <c r="U4409">
        <f>Data!O4426</f>
        <v>0</v>
      </c>
      <c r="V4409" s="33">
        <f>Data!P4424</f>
        <v>0</v>
      </c>
    </row>
    <row r="4410" spans="7:22" x14ac:dyDescent="0.25">
      <c r="G4410">
        <f>Data!A4423</f>
        <v>0</v>
      </c>
      <c r="H4410" s="21">
        <f>Data!B4423</f>
        <v>0</v>
      </c>
      <c r="I4410" s="21">
        <f>Data!C4423</f>
        <v>0</v>
      </c>
      <c r="J4410">
        <f>Data!D4423</f>
        <v>0</v>
      </c>
      <c r="K4410">
        <f>Data!E4423</f>
        <v>0</v>
      </c>
      <c r="L4410">
        <f>Data!F4423</f>
        <v>0</v>
      </c>
      <c r="M4410">
        <f>Data!G4423</f>
        <v>0</v>
      </c>
      <c r="N4410">
        <f>Data!H4423</f>
        <v>0</v>
      </c>
      <c r="O4410">
        <f>Data!I4423</f>
        <v>0</v>
      </c>
      <c r="P4410" s="21">
        <f>Data!J4427</f>
        <v>0</v>
      </c>
      <c r="Q4410">
        <f>Data!K4427</f>
        <v>0</v>
      </c>
      <c r="R4410">
        <f>Data!L4427</f>
        <v>0</v>
      </c>
      <c r="S4410">
        <f>Data!M4427</f>
        <v>0</v>
      </c>
      <c r="T4410">
        <f>Data!N4427</f>
        <v>0</v>
      </c>
      <c r="U4410">
        <f>Data!O4427</f>
        <v>0</v>
      </c>
      <c r="V4410" s="33">
        <f>Data!P4425</f>
        <v>0</v>
      </c>
    </row>
    <row r="4411" spans="7:22" x14ac:dyDescent="0.25">
      <c r="G4411">
        <f>Data!A4424</f>
        <v>0</v>
      </c>
      <c r="H4411" s="21">
        <f>Data!B4424</f>
        <v>0</v>
      </c>
      <c r="I4411" s="21">
        <f>Data!C4424</f>
        <v>0</v>
      </c>
      <c r="J4411">
        <f>Data!D4424</f>
        <v>0</v>
      </c>
      <c r="K4411">
        <f>Data!E4424</f>
        <v>0</v>
      </c>
      <c r="L4411">
        <f>Data!F4424</f>
        <v>0</v>
      </c>
      <c r="M4411">
        <f>Data!G4424</f>
        <v>0</v>
      </c>
      <c r="N4411">
        <f>Data!H4424</f>
        <v>0</v>
      </c>
      <c r="O4411">
        <f>Data!I4424</f>
        <v>0</v>
      </c>
      <c r="P4411" s="21">
        <f>Data!J4428</f>
        <v>0</v>
      </c>
      <c r="Q4411">
        <f>Data!K4428</f>
        <v>0</v>
      </c>
      <c r="R4411">
        <f>Data!L4428</f>
        <v>0</v>
      </c>
      <c r="S4411">
        <f>Data!M4428</f>
        <v>0</v>
      </c>
      <c r="T4411">
        <f>Data!N4428</f>
        <v>0</v>
      </c>
      <c r="U4411">
        <f>Data!O4428</f>
        <v>0</v>
      </c>
      <c r="V4411" s="33">
        <f>Data!P4426</f>
        <v>0</v>
      </c>
    </row>
    <row r="4412" spans="7:22" x14ac:dyDescent="0.25">
      <c r="G4412">
        <f>Data!A4425</f>
        <v>0</v>
      </c>
      <c r="H4412" s="21">
        <f>Data!B4425</f>
        <v>0</v>
      </c>
      <c r="I4412" s="21">
        <f>Data!C4425</f>
        <v>0</v>
      </c>
      <c r="J4412">
        <f>Data!D4425</f>
        <v>0</v>
      </c>
      <c r="K4412">
        <f>Data!E4425</f>
        <v>0</v>
      </c>
      <c r="L4412">
        <f>Data!F4425</f>
        <v>0</v>
      </c>
      <c r="M4412">
        <f>Data!G4425</f>
        <v>0</v>
      </c>
      <c r="N4412">
        <f>Data!H4425</f>
        <v>0</v>
      </c>
      <c r="O4412">
        <f>Data!I4425</f>
        <v>0</v>
      </c>
      <c r="P4412" s="21">
        <f>Data!J4429</f>
        <v>0</v>
      </c>
      <c r="Q4412">
        <f>Data!K4429</f>
        <v>0</v>
      </c>
      <c r="R4412">
        <f>Data!L4429</f>
        <v>0</v>
      </c>
      <c r="S4412">
        <f>Data!M4429</f>
        <v>0</v>
      </c>
      <c r="T4412">
        <f>Data!N4429</f>
        <v>0</v>
      </c>
      <c r="U4412">
        <f>Data!O4429</f>
        <v>0</v>
      </c>
      <c r="V4412" s="33">
        <f>Data!P4427</f>
        <v>0</v>
      </c>
    </row>
    <row r="4413" spans="7:22" x14ac:dyDescent="0.25">
      <c r="G4413">
        <f>Data!A4426</f>
        <v>0</v>
      </c>
      <c r="H4413" s="21">
        <f>Data!B4426</f>
        <v>0</v>
      </c>
      <c r="I4413" s="21">
        <f>Data!C4426</f>
        <v>0</v>
      </c>
      <c r="J4413">
        <f>Data!D4426</f>
        <v>0</v>
      </c>
      <c r="K4413">
        <f>Data!E4426</f>
        <v>0</v>
      </c>
      <c r="L4413">
        <f>Data!F4426</f>
        <v>0</v>
      </c>
      <c r="M4413">
        <f>Data!G4426</f>
        <v>0</v>
      </c>
      <c r="N4413">
        <f>Data!H4426</f>
        <v>0</v>
      </c>
      <c r="O4413">
        <f>Data!I4426</f>
        <v>0</v>
      </c>
      <c r="P4413" s="21">
        <f>Data!J4430</f>
        <v>0</v>
      </c>
      <c r="Q4413">
        <f>Data!K4430</f>
        <v>0</v>
      </c>
      <c r="R4413">
        <f>Data!L4430</f>
        <v>0</v>
      </c>
      <c r="S4413">
        <f>Data!M4430</f>
        <v>0</v>
      </c>
      <c r="T4413">
        <f>Data!N4430</f>
        <v>0</v>
      </c>
      <c r="U4413">
        <f>Data!O4430</f>
        <v>0</v>
      </c>
      <c r="V4413" s="33">
        <f>Data!P4428</f>
        <v>0</v>
      </c>
    </row>
    <row r="4414" spans="7:22" x14ac:dyDescent="0.25">
      <c r="G4414">
        <f>Data!A4427</f>
        <v>0</v>
      </c>
      <c r="H4414" s="21">
        <f>Data!B4427</f>
        <v>0</v>
      </c>
      <c r="I4414" s="21">
        <f>Data!C4427</f>
        <v>0</v>
      </c>
      <c r="J4414">
        <f>Data!D4427</f>
        <v>0</v>
      </c>
      <c r="K4414">
        <f>Data!E4427</f>
        <v>0</v>
      </c>
      <c r="L4414">
        <f>Data!F4427</f>
        <v>0</v>
      </c>
      <c r="M4414">
        <f>Data!G4427</f>
        <v>0</v>
      </c>
      <c r="N4414">
        <f>Data!H4427</f>
        <v>0</v>
      </c>
      <c r="O4414">
        <f>Data!I4427</f>
        <v>0</v>
      </c>
      <c r="P4414" s="21">
        <f>Data!J4431</f>
        <v>0</v>
      </c>
      <c r="Q4414">
        <f>Data!K4431</f>
        <v>0</v>
      </c>
      <c r="R4414">
        <f>Data!L4431</f>
        <v>0</v>
      </c>
      <c r="S4414">
        <f>Data!M4431</f>
        <v>0</v>
      </c>
      <c r="T4414">
        <f>Data!N4431</f>
        <v>0</v>
      </c>
      <c r="U4414">
        <f>Data!O4431</f>
        <v>0</v>
      </c>
      <c r="V4414" s="33">
        <f>Data!P4429</f>
        <v>0</v>
      </c>
    </row>
    <row r="4415" spans="7:22" x14ac:dyDescent="0.25">
      <c r="G4415">
        <f>Data!A4428</f>
        <v>0</v>
      </c>
      <c r="H4415" s="21">
        <f>Data!B4428</f>
        <v>0</v>
      </c>
      <c r="I4415" s="21">
        <f>Data!C4428</f>
        <v>0</v>
      </c>
      <c r="J4415">
        <f>Data!D4428</f>
        <v>0</v>
      </c>
      <c r="K4415">
        <f>Data!E4428</f>
        <v>0</v>
      </c>
      <c r="L4415">
        <f>Data!F4428</f>
        <v>0</v>
      </c>
      <c r="M4415">
        <f>Data!G4428</f>
        <v>0</v>
      </c>
      <c r="N4415">
        <f>Data!H4428</f>
        <v>0</v>
      </c>
      <c r="O4415">
        <f>Data!I4428</f>
        <v>0</v>
      </c>
      <c r="P4415" s="21">
        <f>Data!J4432</f>
        <v>0</v>
      </c>
      <c r="Q4415">
        <f>Data!K4432</f>
        <v>0</v>
      </c>
      <c r="R4415">
        <f>Data!L4432</f>
        <v>0</v>
      </c>
      <c r="S4415">
        <f>Data!M4432</f>
        <v>0</v>
      </c>
      <c r="T4415">
        <f>Data!N4432</f>
        <v>0</v>
      </c>
      <c r="U4415">
        <f>Data!O4432</f>
        <v>0</v>
      </c>
      <c r="V4415" s="33">
        <f>Data!P4430</f>
        <v>0</v>
      </c>
    </row>
    <row r="4416" spans="7:22" x14ac:dyDescent="0.25">
      <c r="G4416">
        <f>Data!A4429</f>
        <v>0</v>
      </c>
      <c r="H4416" s="21">
        <f>Data!B4429</f>
        <v>0</v>
      </c>
      <c r="I4416" s="21">
        <f>Data!C4429</f>
        <v>0</v>
      </c>
      <c r="J4416">
        <f>Data!D4429</f>
        <v>0</v>
      </c>
      <c r="K4416">
        <f>Data!E4429</f>
        <v>0</v>
      </c>
      <c r="L4416">
        <f>Data!F4429</f>
        <v>0</v>
      </c>
      <c r="M4416">
        <f>Data!G4429</f>
        <v>0</v>
      </c>
      <c r="N4416">
        <f>Data!H4429</f>
        <v>0</v>
      </c>
      <c r="O4416">
        <f>Data!I4429</f>
        <v>0</v>
      </c>
      <c r="P4416" s="21">
        <f>Data!J4433</f>
        <v>0</v>
      </c>
      <c r="Q4416">
        <f>Data!K4433</f>
        <v>0</v>
      </c>
      <c r="R4416">
        <f>Data!L4433</f>
        <v>0</v>
      </c>
      <c r="S4416">
        <f>Data!M4433</f>
        <v>0</v>
      </c>
      <c r="T4416">
        <f>Data!N4433</f>
        <v>0</v>
      </c>
      <c r="U4416">
        <f>Data!O4433</f>
        <v>0</v>
      </c>
      <c r="V4416" s="33">
        <f>Data!P4431</f>
        <v>0</v>
      </c>
    </row>
    <row r="4417" spans="7:22" x14ac:dyDescent="0.25">
      <c r="G4417">
        <f>Data!A4430</f>
        <v>0</v>
      </c>
      <c r="H4417" s="21">
        <f>Data!B4430</f>
        <v>0</v>
      </c>
      <c r="I4417" s="21">
        <f>Data!C4430</f>
        <v>0</v>
      </c>
      <c r="J4417">
        <f>Data!D4430</f>
        <v>0</v>
      </c>
      <c r="K4417">
        <f>Data!E4430</f>
        <v>0</v>
      </c>
      <c r="L4417">
        <f>Data!F4430</f>
        <v>0</v>
      </c>
      <c r="M4417">
        <f>Data!G4430</f>
        <v>0</v>
      </c>
      <c r="N4417">
        <f>Data!H4430</f>
        <v>0</v>
      </c>
      <c r="O4417">
        <f>Data!I4430</f>
        <v>0</v>
      </c>
      <c r="P4417" s="21">
        <f>Data!J4434</f>
        <v>0</v>
      </c>
      <c r="Q4417">
        <f>Data!K4434</f>
        <v>0</v>
      </c>
      <c r="R4417">
        <f>Data!L4434</f>
        <v>0</v>
      </c>
      <c r="S4417">
        <f>Data!M4434</f>
        <v>0</v>
      </c>
      <c r="T4417">
        <f>Data!N4434</f>
        <v>0</v>
      </c>
      <c r="U4417">
        <f>Data!O4434</f>
        <v>0</v>
      </c>
      <c r="V4417" s="33">
        <f>Data!P4432</f>
        <v>0</v>
      </c>
    </row>
    <row r="4418" spans="7:22" x14ac:dyDescent="0.25">
      <c r="G4418">
        <f>Data!A4431</f>
        <v>0</v>
      </c>
      <c r="H4418" s="21">
        <f>Data!B4431</f>
        <v>0</v>
      </c>
      <c r="I4418" s="21">
        <f>Data!C4431</f>
        <v>0</v>
      </c>
      <c r="J4418">
        <f>Data!D4431</f>
        <v>0</v>
      </c>
      <c r="K4418">
        <f>Data!E4431</f>
        <v>0</v>
      </c>
      <c r="L4418">
        <f>Data!F4431</f>
        <v>0</v>
      </c>
      <c r="M4418">
        <f>Data!G4431</f>
        <v>0</v>
      </c>
      <c r="N4418">
        <f>Data!H4431</f>
        <v>0</v>
      </c>
      <c r="O4418">
        <f>Data!I4431</f>
        <v>0</v>
      </c>
      <c r="P4418" s="21">
        <f>Data!J4435</f>
        <v>0</v>
      </c>
      <c r="Q4418">
        <f>Data!K4435</f>
        <v>0</v>
      </c>
      <c r="R4418">
        <f>Data!L4435</f>
        <v>0</v>
      </c>
      <c r="S4418">
        <f>Data!M4435</f>
        <v>0</v>
      </c>
      <c r="T4418">
        <f>Data!N4435</f>
        <v>0</v>
      </c>
      <c r="U4418">
        <f>Data!O4435</f>
        <v>0</v>
      </c>
      <c r="V4418" s="33">
        <f>Data!P4433</f>
        <v>0</v>
      </c>
    </row>
    <row r="4419" spans="7:22" x14ac:dyDescent="0.25">
      <c r="G4419">
        <f>Data!A4432</f>
        <v>0</v>
      </c>
      <c r="H4419" s="21">
        <f>Data!B4432</f>
        <v>0</v>
      </c>
      <c r="I4419" s="21">
        <f>Data!C4432</f>
        <v>0</v>
      </c>
      <c r="J4419">
        <f>Data!D4432</f>
        <v>0</v>
      </c>
      <c r="K4419">
        <f>Data!E4432</f>
        <v>0</v>
      </c>
      <c r="L4419">
        <f>Data!F4432</f>
        <v>0</v>
      </c>
      <c r="M4419">
        <f>Data!G4432</f>
        <v>0</v>
      </c>
      <c r="N4419">
        <f>Data!H4432</f>
        <v>0</v>
      </c>
      <c r="O4419">
        <f>Data!I4432</f>
        <v>0</v>
      </c>
      <c r="P4419" s="21">
        <f>Data!J4436</f>
        <v>0</v>
      </c>
      <c r="Q4419">
        <f>Data!K4436</f>
        <v>0</v>
      </c>
      <c r="R4419">
        <f>Data!L4436</f>
        <v>0</v>
      </c>
      <c r="S4419">
        <f>Data!M4436</f>
        <v>0</v>
      </c>
      <c r="T4419">
        <f>Data!N4436</f>
        <v>0</v>
      </c>
      <c r="U4419">
        <f>Data!O4436</f>
        <v>0</v>
      </c>
      <c r="V4419" s="33">
        <f>Data!P4434</f>
        <v>0</v>
      </c>
    </row>
    <row r="4420" spans="7:22" x14ac:dyDescent="0.25">
      <c r="G4420">
        <f>Data!A4433</f>
        <v>0</v>
      </c>
      <c r="H4420" s="21">
        <f>Data!B4433</f>
        <v>0</v>
      </c>
      <c r="I4420" s="21">
        <f>Data!C4433</f>
        <v>0</v>
      </c>
      <c r="J4420">
        <f>Data!D4433</f>
        <v>0</v>
      </c>
      <c r="K4420">
        <f>Data!E4433</f>
        <v>0</v>
      </c>
      <c r="L4420">
        <f>Data!F4433</f>
        <v>0</v>
      </c>
      <c r="M4420">
        <f>Data!G4433</f>
        <v>0</v>
      </c>
      <c r="N4420">
        <f>Data!H4433</f>
        <v>0</v>
      </c>
      <c r="O4420">
        <f>Data!I4433</f>
        <v>0</v>
      </c>
      <c r="P4420" s="21">
        <f>Data!J4437</f>
        <v>0</v>
      </c>
      <c r="Q4420">
        <f>Data!K4437</f>
        <v>0</v>
      </c>
      <c r="R4420">
        <f>Data!L4437</f>
        <v>0</v>
      </c>
      <c r="S4420">
        <f>Data!M4437</f>
        <v>0</v>
      </c>
      <c r="T4420">
        <f>Data!N4437</f>
        <v>0</v>
      </c>
      <c r="U4420">
        <f>Data!O4437</f>
        <v>0</v>
      </c>
      <c r="V4420" s="33">
        <f>Data!P4435</f>
        <v>0</v>
      </c>
    </row>
    <row r="4421" spans="7:22" x14ac:dyDescent="0.25">
      <c r="G4421">
        <f>Data!A4434</f>
        <v>0</v>
      </c>
      <c r="H4421" s="21">
        <f>Data!B4434</f>
        <v>0</v>
      </c>
      <c r="I4421" s="21">
        <f>Data!C4434</f>
        <v>0</v>
      </c>
      <c r="J4421">
        <f>Data!D4434</f>
        <v>0</v>
      </c>
      <c r="K4421">
        <f>Data!E4434</f>
        <v>0</v>
      </c>
      <c r="L4421">
        <f>Data!F4434</f>
        <v>0</v>
      </c>
      <c r="M4421">
        <f>Data!G4434</f>
        <v>0</v>
      </c>
      <c r="N4421">
        <f>Data!H4434</f>
        <v>0</v>
      </c>
      <c r="O4421">
        <f>Data!I4434</f>
        <v>0</v>
      </c>
      <c r="P4421" s="21">
        <f>Data!J4438</f>
        <v>0</v>
      </c>
      <c r="Q4421">
        <f>Data!K4438</f>
        <v>0</v>
      </c>
      <c r="R4421">
        <f>Data!L4438</f>
        <v>0</v>
      </c>
      <c r="S4421">
        <f>Data!M4438</f>
        <v>0</v>
      </c>
      <c r="T4421">
        <f>Data!N4438</f>
        <v>0</v>
      </c>
      <c r="U4421">
        <f>Data!O4438</f>
        <v>0</v>
      </c>
      <c r="V4421" s="33">
        <f>Data!P4436</f>
        <v>0</v>
      </c>
    </row>
    <row r="4422" spans="7:22" x14ac:dyDescent="0.25">
      <c r="G4422">
        <f>Data!A4435</f>
        <v>0</v>
      </c>
      <c r="H4422" s="21">
        <f>Data!B4435</f>
        <v>0</v>
      </c>
      <c r="I4422" s="21">
        <f>Data!C4435</f>
        <v>0</v>
      </c>
      <c r="J4422">
        <f>Data!D4435</f>
        <v>0</v>
      </c>
      <c r="K4422">
        <f>Data!E4435</f>
        <v>0</v>
      </c>
      <c r="L4422">
        <f>Data!F4435</f>
        <v>0</v>
      </c>
      <c r="M4422">
        <f>Data!G4435</f>
        <v>0</v>
      </c>
      <c r="N4422">
        <f>Data!H4435</f>
        <v>0</v>
      </c>
      <c r="O4422">
        <f>Data!I4435</f>
        <v>0</v>
      </c>
      <c r="P4422" s="21">
        <f>Data!J4439</f>
        <v>0</v>
      </c>
      <c r="Q4422">
        <f>Data!K4439</f>
        <v>0</v>
      </c>
      <c r="R4422">
        <f>Data!L4439</f>
        <v>0</v>
      </c>
      <c r="S4422">
        <f>Data!M4439</f>
        <v>0</v>
      </c>
      <c r="T4422">
        <f>Data!N4439</f>
        <v>0</v>
      </c>
      <c r="U4422">
        <f>Data!O4439</f>
        <v>0</v>
      </c>
      <c r="V4422" s="33">
        <f>Data!P4437</f>
        <v>0</v>
      </c>
    </row>
    <row r="4423" spans="7:22" x14ac:dyDescent="0.25">
      <c r="G4423">
        <f>Data!A4436</f>
        <v>0</v>
      </c>
      <c r="H4423" s="21">
        <f>Data!B4436</f>
        <v>0</v>
      </c>
      <c r="I4423" s="21">
        <f>Data!C4436</f>
        <v>0</v>
      </c>
      <c r="J4423">
        <f>Data!D4436</f>
        <v>0</v>
      </c>
      <c r="K4423">
        <f>Data!E4436</f>
        <v>0</v>
      </c>
      <c r="L4423">
        <f>Data!F4436</f>
        <v>0</v>
      </c>
      <c r="M4423">
        <f>Data!G4436</f>
        <v>0</v>
      </c>
      <c r="N4423">
        <f>Data!H4436</f>
        <v>0</v>
      </c>
      <c r="O4423">
        <f>Data!I4436</f>
        <v>0</v>
      </c>
      <c r="P4423" s="21">
        <f>Data!J4440</f>
        <v>0</v>
      </c>
      <c r="Q4423">
        <f>Data!K4440</f>
        <v>0</v>
      </c>
      <c r="R4423">
        <f>Data!L4440</f>
        <v>0</v>
      </c>
      <c r="S4423">
        <f>Data!M4440</f>
        <v>0</v>
      </c>
      <c r="T4423">
        <f>Data!N4440</f>
        <v>0</v>
      </c>
      <c r="U4423">
        <f>Data!O4440</f>
        <v>0</v>
      </c>
      <c r="V4423" s="33">
        <f>Data!P4438</f>
        <v>0</v>
      </c>
    </row>
    <row r="4424" spans="7:22" x14ac:dyDescent="0.25">
      <c r="G4424">
        <f>Data!A4437</f>
        <v>0</v>
      </c>
      <c r="H4424" s="21">
        <f>Data!B4437</f>
        <v>0</v>
      </c>
      <c r="I4424" s="21">
        <f>Data!C4437</f>
        <v>0</v>
      </c>
      <c r="J4424">
        <f>Data!D4437</f>
        <v>0</v>
      </c>
      <c r="K4424">
        <f>Data!E4437</f>
        <v>0</v>
      </c>
      <c r="L4424">
        <f>Data!F4437</f>
        <v>0</v>
      </c>
      <c r="M4424">
        <f>Data!G4437</f>
        <v>0</v>
      </c>
      <c r="N4424">
        <f>Data!H4437</f>
        <v>0</v>
      </c>
      <c r="O4424">
        <f>Data!I4437</f>
        <v>0</v>
      </c>
      <c r="P4424" s="21">
        <f>Data!J4441</f>
        <v>0</v>
      </c>
      <c r="Q4424">
        <f>Data!K4441</f>
        <v>0</v>
      </c>
      <c r="R4424">
        <f>Data!L4441</f>
        <v>0</v>
      </c>
      <c r="S4424">
        <f>Data!M4441</f>
        <v>0</v>
      </c>
      <c r="T4424">
        <f>Data!N4441</f>
        <v>0</v>
      </c>
      <c r="U4424">
        <f>Data!O4441</f>
        <v>0</v>
      </c>
      <c r="V4424" s="33">
        <f>Data!P4439</f>
        <v>0</v>
      </c>
    </row>
    <row r="4425" spans="7:22" x14ac:dyDescent="0.25">
      <c r="G4425">
        <f>Data!A4438</f>
        <v>0</v>
      </c>
      <c r="H4425" s="21">
        <f>Data!B4438</f>
        <v>0</v>
      </c>
      <c r="I4425" s="21">
        <f>Data!C4438</f>
        <v>0</v>
      </c>
      <c r="J4425">
        <f>Data!D4438</f>
        <v>0</v>
      </c>
      <c r="K4425">
        <f>Data!E4438</f>
        <v>0</v>
      </c>
      <c r="L4425">
        <f>Data!F4438</f>
        <v>0</v>
      </c>
      <c r="M4425">
        <f>Data!G4438</f>
        <v>0</v>
      </c>
      <c r="N4425">
        <f>Data!H4438</f>
        <v>0</v>
      </c>
      <c r="O4425">
        <f>Data!I4438</f>
        <v>0</v>
      </c>
      <c r="P4425" s="21">
        <f>Data!J4442</f>
        <v>0</v>
      </c>
      <c r="Q4425">
        <f>Data!K4442</f>
        <v>0</v>
      </c>
      <c r="R4425">
        <f>Data!L4442</f>
        <v>0</v>
      </c>
      <c r="S4425">
        <f>Data!M4442</f>
        <v>0</v>
      </c>
      <c r="T4425">
        <f>Data!N4442</f>
        <v>0</v>
      </c>
      <c r="U4425">
        <f>Data!O4442</f>
        <v>0</v>
      </c>
      <c r="V4425" s="33">
        <f>Data!P4440</f>
        <v>0</v>
      </c>
    </row>
    <row r="4426" spans="7:22" x14ac:dyDescent="0.25">
      <c r="G4426">
        <f>Data!A4439</f>
        <v>0</v>
      </c>
      <c r="H4426" s="21">
        <f>Data!B4439</f>
        <v>0</v>
      </c>
      <c r="I4426" s="21">
        <f>Data!C4439</f>
        <v>0</v>
      </c>
      <c r="J4426">
        <f>Data!D4439</f>
        <v>0</v>
      </c>
      <c r="K4426">
        <f>Data!E4439</f>
        <v>0</v>
      </c>
      <c r="L4426">
        <f>Data!F4439</f>
        <v>0</v>
      </c>
      <c r="M4426">
        <f>Data!G4439</f>
        <v>0</v>
      </c>
      <c r="N4426">
        <f>Data!H4439</f>
        <v>0</v>
      </c>
      <c r="O4426">
        <f>Data!I4439</f>
        <v>0</v>
      </c>
      <c r="P4426" s="21">
        <f>Data!J4443</f>
        <v>0</v>
      </c>
      <c r="Q4426">
        <f>Data!K4443</f>
        <v>0</v>
      </c>
      <c r="R4426">
        <f>Data!L4443</f>
        <v>0</v>
      </c>
      <c r="S4426">
        <f>Data!M4443</f>
        <v>0</v>
      </c>
      <c r="T4426">
        <f>Data!N4443</f>
        <v>0</v>
      </c>
      <c r="U4426">
        <f>Data!O4443</f>
        <v>0</v>
      </c>
      <c r="V4426" s="33">
        <f>Data!P4441</f>
        <v>0</v>
      </c>
    </row>
    <row r="4427" spans="7:22" x14ac:dyDescent="0.25">
      <c r="G4427">
        <f>Data!A4440</f>
        <v>0</v>
      </c>
      <c r="H4427" s="21">
        <f>Data!B4440</f>
        <v>0</v>
      </c>
      <c r="I4427" s="21">
        <f>Data!C4440</f>
        <v>0</v>
      </c>
      <c r="J4427">
        <f>Data!D4440</f>
        <v>0</v>
      </c>
      <c r="K4427">
        <f>Data!E4440</f>
        <v>0</v>
      </c>
      <c r="L4427">
        <f>Data!F4440</f>
        <v>0</v>
      </c>
      <c r="M4427">
        <f>Data!G4440</f>
        <v>0</v>
      </c>
      <c r="N4427">
        <f>Data!H4440</f>
        <v>0</v>
      </c>
      <c r="O4427">
        <f>Data!I4440</f>
        <v>0</v>
      </c>
      <c r="P4427" s="21">
        <f>Data!J4444</f>
        <v>0</v>
      </c>
      <c r="Q4427">
        <f>Data!K4444</f>
        <v>0</v>
      </c>
      <c r="R4427">
        <f>Data!L4444</f>
        <v>0</v>
      </c>
      <c r="S4427">
        <f>Data!M4444</f>
        <v>0</v>
      </c>
      <c r="T4427">
        <f>Data!N4444</f>
        <v>0</v>
      </c>
      <c r="U4427">
        <f>Data!O4444</f>
        <v>0</v>
      </c>
      <c r="V4427" s="33">
        <f>Data!P4442</f>
        <v>0</v>
      </c>
    </row>
    <row r="4428" spans="7:22" x14ac:dyDescent="0.25">
      <c r="G4428">
        <f>Data!A4441</f>
        <v>0</v>
      </c>
      <c r="H4428" s="21">
        <f>Data!B4441</f>
        <v>0</v>
      </c>
      <c r="I4428" s="21">
        <f>Data!C4441</f>
        <v>0</v>
      </c>
      <c r="J4428">
        <f>Data!D4441</f>
        <v>0</v>
      </c>
      <c r="K4428">
        <f>Data!E4441</f>
        <v>0</v>
      </c>
      <c r="L4428">
        <f>Data!F4441</f>
        <v>0</v>
      </c>
      <c r="M4428">
        <f>Data!G4441</f>
        <v>0</v>
      </c>
      <c r="N4428">
        <f>Data!H4441</f>
        <v>0</v>
      </c>
      <c r="O4428">
        <f>Data!I4441</f>
        <v>0</v>
      </c>
      <c r="P4428" s="21">
        <f>Data!J4445</f>
        <v>0</v>
      </c>
      <c r="Q4428">
        <f>Data!K4445</f>
        <v>0</v>
      </c>
      <c r="R4428">
        <f>Data!L4445</f>
        <v>0</v>
      </c>
      <c r="S4428">
        <f>Data!M4445</f>
        <v>0</v>
      </c>
      <c r="T4428">
        <f>Data!N4445</f>
        <v>0</v>
      </c>
      <c r="U4428">
        <f>Data!O4445</f>
        <v>0</v>
      </c>
      <c r="V4428" s="33">
        <f>Data!P4443</f>
        <v>0</v>
      </c>
    </row>
    <row r="4429" spans="7:22" x14ac:dyDescent="0.25">
      <c r="G4429">
        <f>Data!A4442</f>
        <v>0</v>
      </c>
      <c r="H4429" s="21">
        <f>Data!B4442</f>
        <v>0</v>
      </c>
      <c r="I4429" s="21">
        <f>Data!C4442</f>
        <v>0</v>
      </c>
      <c r="J4429">
        <f>Data!D4442</f>
        <v>0</v>
      </c>
      <c r="K4429">
        <f>Data!E4442</f>
        <v>0</v>
      </c>
      <c r="L4429">
        <f>Data!F4442</f>
        <v>0</v>
      </c>
      <c r="M4429">
        <f>Data!G4442</f>
        <v>0</v>
      </c>
      <c r="N4429">
        <f>Data!H4442</f>
        <v>0</v>
      </c>
      <c r="O4429">
        <f>Data!I4442</f>
        <v>0</v>
      </c>
      <c r="P4429" s="21">
        <f>Data!J4446</f>
        <v>0</v>
      </c>
      <c r="Q4429">
        <f>Data!K4446</f>
        <v>0</v>
      </c>
      <c r="R4429">
        <f>Data!L4446</f>
        <v>0</v>
      </c>
      <c r="S4429">
        <f>Data!M4446</f>
        <v>0</v>
      </c>
      <c r="T4429">
        <f>Data!N4446</f>
        <v>0</v>
      </c>
      <c r="U4429">
        <f>Data!O4446</f>
        <v>0</v>
      </c>
      <c r="V4429" s="33">
        <f>Data!P4444</f>
        <v>0</v>
      </c>
    </row>
    <row r="4430" spans="7:22" x14ac:dyDescent="0.25">
      <c r="G4430">
        <f>Data!A4443</f>
        <v>0</v>
      </c>
      <c r="H4430" s="21">
        <f>Data!B4443</f>
        <v>0</v>
      </c>
      <c r="I4430" s="21">
        <f>Data!C4443</f>
        <v>0</v>
      </c>
      <c r="J4430">
        <f>Data!D4443</f>
        <v>0</v>
      </c>
      <c r="K4430">
        <f>Data!E4443</f>
        <v>0</v>
      </c>
      <c r="L4430">
        <f>Data!F4443</f>
        <v>0</v>
      </c>
      <c r="M4430">
        <f>Data!G4443</f>
        <v>0</v>
      </c>
      <c r="N4430">
        <f>Data!H4443</f>
        <v>0</v>
      </c>
      <c r="O4430">
        <f>Data!I4443</f>
        <v>0</v>
      </c>
      <c r="P4430" s="21">
        <f>Data!J4447</f>
        <v>0</v>
      </c>
      <c r="Q4430">
        <f>Data!K4447</f>
        <v>0</v>
      </c>
      <c r="R4430">
        <f>Data!L4447</f>
        <v>0</v>
      </c>
      <c r="S4430">
        <f>Data!M4447</f>
        <v>0</v>
      </c>
      <c r="T4430">
        <f>Data!N4447</f>
        <v>0</v>
      </c>
      <c r="U4430">
        <f>Data!O4447</f>
        <v>0</v>
      </c>
      <c r="V4430" s="33">
        <f>Data!P4445</f>
        <v>0</v>
      </c>
    </row>
    <row r="4431" spans="7:22" x14ac:dyDescent="0.25">
      <c r="G4431">
        <f>Data!A4444</f>
        <v>0</v>
      </c>
      <c r="H4431" s="21">
        <f>Data!B4444</f>
        <v>0</v>
      </c>
      <c r="I4431" s="21">
        <f>Data!C4444</f>
        <v>0</v>
      </c>
      <c r="J4431">
        <f>Data!D4444</f>
        <v>0</v>
      </c>
      <c r="K4431">
        <f>Data!E4444</f>
        <v>0</v>
      </c>
      <c r="L4431">
        <f>Data!F4444</f>
        <v>0</v>
      </c>
      <c r="M4431">
        <f>Data!G4444</f>
        <v>0</v>
      </c>
      <c r="N4431">
        <f>Data!H4444</f>
        <v>0</v>
      </c>
      <c r="O4431">
        <f>Data!I4444</f>
        <v>0</v>
      </c>
      <c r="P4431" s="21">
        <f>Data!J4448</f>
        <v>0</v>
      </c>
      <c r="Q4431">
        <f>Data!K4448</f>
        <v>0</v>
      </c>
      <c r="R4431">
        <f>Data!L4448</f>
        <v>0</v>
      </c>
      <c r="S4431">
        <f>Data!M4448</f>
        <v>0</v>
      </c>
      <c r="T4431">
        <f>Data!N4448</f>
        <v>0</v>
      </c>
      <c r="U4431">
        <f>Data!O4448</f>
        <v>0</v>
      </c>
      <c r="V4431" s="33">
        <f>Data!P4446</f>
        <v>0</v>
      </c>
    </row>
    <row r="4432" spans="7:22" x14ac:dyDescent="0.25">
      <c r="G4432">
        <f>Data!A4445</f>
        <v>0</v>
      </c>
      <c r="H4432" s="21">
        <f>Data!B4445</f>
        <v>0</v>
      </c>
      <c r="I4432" s="21">
        <f>Data!C4445</f>
        <v>0</v>
      </c>
      <c r="J4432">
        <f>Data!D4445</f>
        <v>0</v>
      </c>
      <c r="K4432">
        <f>Data!E4445</f>
        <v>0</v>
      </c>
      <c r="L4432">
        <f>Data!F4445</f>
        <v>0</v>
      </c>
      <c r="M4432">
        <f>Data!G4445</f>
        <v>0</v>
      </c>
      <c r="N4432">
        <f>Data!H4445</f>
        <v>0</v>
      </c>
      <c r="O4432">
        <f>Data!I4445</f>
        <v>0</v>
      </c>
      <c r="P4432" s="21">
        <f>Data!J4449</f>
        <v>0</v>
      </c>
      <c r="Q4432">
        <f>Data!K4449</f>
        <v>0</v>
      </c>
      <c r="R4432">
        <f>Data!L4449</f>
        <v>0</v>
      </c>
      <c r="S4432">
        <f>Data!M4449</f>
        <v>0</v>
      </c>
      <c r="T4432">
        <f>Data!N4449</f>
        <v>0</v>
      </c>
      <c r="U4432">
        <f>Data!O4449</f>
        <v>0</v>
      </c>
      <c r="V4432" s="33">
        <f>Data!P4447</f>
        <v>0</v>
      </c>
    </row>
    <row r="4433" spans="7:22" x14ac:dyDescent="0.25">
      <c r="G4433">
        <f>Data!A4446</f>
        <v>0</v>
      </c>
      <c r="H4433" s="21">
        <f>Data!B4446</f>
        <v>0</v>
      </c>
      <c r="I4433" s="21">
        <f>Data!C4446</f>
        <v>0</v>
      </c>
      <c r="J4433">
        <f>Data!D4446</f>
        <v>0</v>
      </c>
      <c r="K4433">
        <f>Data!E4446</f>
        <v>0</v>
      </c>
      <c r="L4433">
        <f>Data!F4446</f>
        <v>0</v>
      </c>
      <c r="M4433">
        <f>Data!G4446</f>
        <v>0</v>
      </c>
      <c r="N4433">
        <f>Data!H4446</f>
        <v>0</v>
      </c>
      <c r="O4433">
        <f>Data!I4446</f>
        <v>0</v>
      </c>
      <c r="P4433" s="21">
        <f>Data!J4450</f>
        <v>0</v>
      </c>
      <c r="Q4433">
        <f>Data!K4450</f>
        <v>0</v>
      </c>
      <c r="R4433">
        <f>Data!L4450</f>
        <v>0</v>
      </c>
      <c r="S4433">
        <f>Data!M4450</f>
        <v>0</v>
      </c>
      <c r="T4433">
        <f>Data!N4450</f>
        <v>0</v>
      </c>
      <c r="U4433">
        <f>Data!O4450</f>
        <v>0</v>
      </c>
      <c r="V4433" s="33">
        <f>Data!P4448</f>
        <v>0</v>
      </c>
    </row>
    <row r="4434" spans="7:22" x14ac:dyDescent="0.25">
      <c r="G4434">
        <f>Data!A4447</f>
        <v>0</v>
      </c>
      <c r="H4434" s="21">
        <f>Data!B4447</f>
        <v>0</v>
      </c>
      <c r="I4434" s="21">
        <f>Data!C4447</f>
        <v>0</v>
      </c>
      <c r="J4434">
        <f>Data!D4447</f>
        <v>0</v>
      </c>
      <c r="K4434">
        <f>Data!E4447</f>
        <v>0</v>
      </c>
      <c r="L4434">
        <f>Data!F4447</f>
        <v>0</v>
      </c>
      <c r="M4434">
        <f>Data!G4447</f>
        <v>0</v>
      </c>
      <c r="N4434">
        <f>Data!H4447</f>
        <v>0</v>
      </c>
      <c r="O4434">
        <f>Data!I4447</f>
        <v>0</v>
      </c>
      <c r="P4434" s="21">
        <f>Data!J4451</f>
        <v>0</v>
      </c>
      <c r="Q4434">
        <f>Data!K4451</f>
        <v>0</v>
      </c>
      <c r="R4434">
        <f>Data!L4451</f>
        <v>0</v>
      </c>
      <c r="S4434">
        <f>Data!M4451</f>
        <v>0</v>
      </c>
      <c r="T4434">
        <f>Data!N4451</f>
        <v>0</v>
      </c>
      <c r="U4434">
        <f>Data!O4451</f>
        <v>0</v>
      </c>
      <c r="V4434" s="33">
        <f>Data!P4449</f>
        <v>0</v>
      </c>
    </row>
    <row r="4435" spans="7:22" x14ac:dyDescent="0.25">
      <c r="G4435">
        <f>Data!A4448</f>
        <v>0</v>
      </c>
      <c r="H4435" s="21">
        <f>Data!B4448</f>
        <v>0</v>
      </c>
      <c r="I4435" s="21">
        <f>Data!C4448</f>
        <v>0</v>
      </c>
      <c r="J4435">
        <f>Data!D4448</f>
        <v>0</v>
      </c>
      <c r="K4435">
        <f>Data!E4448</f>
        <v>0</v>
      </c>
      <c r="L4435">
        <f>Data!F4448</f>
        <v>0</v>
      </c>
      <c r="M4435">
        <f>Data!G4448</f>
        <v>0</v>
      </c>
      <c r="N4435">
        <f>Data!H4448</f>
        <v>0</v>
      </c>
      <c r="O4435">
        <f>Data!I4448</f>
        <v>0</v>
      </c>
      <c r="P4435" s="21">
        <f>Data!J4452</f>
        <v>0</v>
      </c>
      <c r="Q4435">
        <f>Data!K4452</f>
        <v>0</v>
      </c>
      <c r="R4435">
        <f>Data!L4452</f>
        <v>0</v>
      </c>
      <c r="S4435">
        <f>Data!M4452</f>
        <v>0</v>
      </c>
      <c r="T4435">
        <f>Data!N4452</f>
        <v>0</v>
      </c>
      <c r="U4435">
        <f>Data!O4452</f>
        <v>0</v>
      </c>
      <c r="V4435" s="33">
        <f>Data!P4450</f>
        <v>0</v>
      </c>
    </row>
    <row r="4436" spans="7:22" x14ac:dyDescent="0.25">
      <c r="G4436">
        <f>Data!A4449</f>
        <v>0</v>
      </c>
      <c r="H4436" s="21">
        <f>Data!B4449</f>
        <v>0</v>
      </c>
      <c r="I4436" s="21">
        <f>Data!C4449</f>
        <v>0</v>
      </c>
      <c r="J4436">
        <f>Data!D4449</f>
        <v>0</v>
      </c>
      <c r="K4436">
        <f>Data!E4449</f>
        <v>0</v>
      </c>
      <c r="L4436">
        <f>Data!F4449</f>
        <v>0</v>
      </c>
      <c r="M4436">
        <f>Data!G4449</f>
        <v>0</v>
      </c>
      <c r="N4436">
        <f>Data!H4449</f>
        <v>0</v>
      </c>
      <c r="O4436">
        <f>Data!I4449</f>
        <v>0</v>
      </c>
      <c r="P4436" s="21">
        <f>Data!J4453</f>
        <v>0</v>
      </c>
      <c r="Q4436">
        <f>Data!K4453</f>
        <v>0</v>
      </c>
      <c r="R4436">
        <f>Data!L4453</f>
        <v>0</v>
      </c>
      <c r="S4436">
        <f>Data!M4453</f>
        <v>0</v>
      </c>
      <c r="T4436">
        <f>Data!N4453</f>
        <v>0</v>
      </c>
      <c r="U4436">
        <f>Data!O4453</f>
        <v>0</v>
      </c>
      <c r="V4436" s="33">
        <f>Data!P4451</f>
        <v>0</v>
      </c>
    </row>
    <row r="4437" spans="7:22" x14ac:dyDescent="0.25">
      <c r="G4437">
        <f>Data!A4450</f>
        <v>0</v>
      </c>
      <c r="H4437" s="21">
        <f>Data!B4450</f>
        <v>0</v>
      </c>
      <c r="I4437" s="21">
        <f>Data!C4450</f>
        <v>0</v>
      </c>
      <c r="J4437">
        <f>Data!D4450</f>
        <v>0</v>
      </c>
      <c r="K4437">
        <f>Data!E4450</f>
        <v>0</v>
      </c>
      <c r="L4437">
        <f>Data!F4450</f>
        <v>0</v>
      </c>
      <c r="M4437">
        <f>Data!G4450</f>
        <v>0</v>
      </c>
      <c r="N4437">
        <f>Data!H4450</f>
        <v>0</v>
      </c>
      <c r="O4437">
        <f>Data!I4450</f>
        <v>0</v>
      </c>
      <c r="P4437" s="21">
        <f>Data!J4454</f>
        <v>0</v>
      </c>
      <c r="Q4437">
        <f>Data!K4454</f>
        <v>0</v>
      </c>
      <c r="R4437">
        <f>Data!L4454</f>
        <v>0</v>
      </c>
      <c r="S4437">
        <f>Data!M4454</f>
        <v>0</v>
      </c>
      <c r="T4437">
        <f>Data!N4454</f>
        <v>0</v>
      </c>
      <c r="U4437">
        <f>Data!O4454</f>
        <v>0</v>
      </c>
      <c r="V4437" s="33">
        <f>Data!P4452</f>
        <v>0</v>
      </c>
    </row>
    <row r="4438" spans="7:22" x14ac:dyDescent="0.25">
      <c r="G4438">
        <f>Data!A4451</f>
        <v>0</v>
      </c>
      <c r="H4438" s="21">
        <f>Data!B4451</f>
        <v>0</v>
      </c>
      <c r="I4438" s="21">
        <f>Data!C4451</f>
        <v>0</v>
      </c>
      <c r="J4438">
        <f>Data!D4451</f>
        <v>0</v>
      </c>
      <c r="K4438">
        <f>Data!E4451</f>
        <v>0</v>
      </c>
      <c r="L4438">
        <f>Data!F4451</f>
        <v>0</v>
      </c>
      <c r="M4438">
        <f>Data!G4451</f>
        <v>0</v>
      </c>
      <c r="N4438">
        <f>Data!H4451</f>
        <v>0</v>
      </c>
      <c r="O4438">
        <f>Data!I4451</f>
        <v>0</v>
      </c>
      <c r="P4438" s="21">
        <f>Data!J4455</f>
        <v>0</v>
      </c>
      <c r="Q4438">
        <f>Data!K4455</f>
        <v>0</v>
      </c>
      <c r="R4438">
        <f>Data!L4455</f>
        <v>0</v>
      </c>
      <c r="S4438">
        <f>Data!M4455</f>
        <v>0</v>
      </c>
      <c r="T4438">
        <f>Data!N4455</f>
        <v>0</v>
      </c>
      <c r="U4438">
        <f>Data!O4455</f>
        <v>0</v>
      </c>
      <c r="V4438" s="33">
        <f>Data!P4453</f>
        <v>0</v>
      </c>
    </row>
    <row r="4439" spans="7:22" x14ac:dyDescent="0.25">
      <c r="G4439">
        <f>Data!A4452</f>
        <v>0</v>
      </c>
      <c r="H4439" s="21">
        <f>Data!B4452</f>
        <v>0</v>
      </c>
      <c r="I4439" s="21">
        <f>Data!C4452</f>
        <v>0</v>
      </c>
      <c r="J4439">
        <f>Data!D4452</f>
        <v>0</v>
      </c>
      <c r="K4439">
        <f>Data!E4452</f>
        <v>0</v>
      </c>
      <c r="L4439">
        <f>Data!F4452</f>
        <v>0</v>
      </c>
      <c r="M4439">
        <f>Data!G4452</f>
        <v>0</v>
      </c>
      <c r="N4439">
        <f>Data!H4452</f>
        <v>0</v>
      </c>
      <c r="O4439">
        <f>Data!I4452</f>
        <v>0</v>
      </c>
      <c r="P4439" s="21">
        <f>Data!J4456</f>
        <v>0</v>
      </c>
      <c r="Q4439">
        <f>Data!K4456</f>
        <v>0</v>
      </c>
      <c r="R4439">
        <f>Data!L4456</f>
        <v>0</v>
      </c>
      <c r="S4439">
        <f>Data!M4456</f>
        <v>0</v>
      </c>
      <c r="T4439">
        <f>Data!N4456</f>
        <v>0</v>
      </c>
      <c r="U4439">
        <f>Data!O4456</f>
        <v>0</v>
      </c>
      <c r="V4439" s="33">
        <f>Data!P4454</f>
        <v>0</v>
      </c>
    </row>
    <row r="4440" spans="7:22" x14ac:dyDescent="0.25">
      <c r="G4440">
        <f>Data!A4453</f>
        <v>0</v>
      </c>
      <c r="H4440" s="21">
        <f>Data!B4453</f>
        <v>0</v>
      </c>
      <c r="I4440" s="21">
        <f>Data!C4453</f>
        <v>0</v>
      </c>
      <c r="J4440">
        <f>Data!D4453</f>
        <v>0</v>
      </c>
      <c r="K4440">
        <f>Data!E4453</f>
        <v>0</v>
      </c>
      <c r="L4440">
        <f>Data!F4453</f>
        <v>0</v>
      </c>
      <c r="M4440">
        <f>Data!G4453</f>
        <v>0</v>
      </c>
      <c r="N4440">
        <f>Data!H4453</f>
        <v>0</v>
      </c>
      <c r="O4440">
        <f>Data!I4453</f>
        <v>0</v>
      </c>
      <c r="P4440" s="21">
        <f>Data!J4457</f>
        <v>0</v>
      </c>
      <c r="Q4440">
        <f>Data!K4457</f>
        <v>0</v>
      </c>
      <c r="R4440">
        <f>Data!L4457</f>
        <v>0</v>
      </c>
      <c r="S4440">
        <f>Data!M4457</f>
        <v>0</v>
      </c>
      <c r="T4440">
        <f>Data!N4457</f>
        <v>0</v>
      </c>
      <c r="U4440">
        <f>Data!O4457</f>
        <v>0</v>
      </c>
      <c r="V4440" s="33">
        <f>Data!P4455</f>
        <v>0</v>
      </c>
    </row>
    <row r="4441" spans="7:22" x14ac:dyDescent="0.25">
      <c r="G4441">
        <f>Data!A4454</f>
        <v>0</v>
      </c>
      <c r="H4441" s="21">
        <f>Data!B4454</f>
        <v>0</v>
      </c>
      <c r="I4441" s="21">
        <f>Data!C4454</f>
        <v>0</v>
      </c>
      <c r="J4441">
        <f>Data!D4454</f>
        <v>0</v>
      </c>
      <c r="K4441">
        <f>Data!E4454</f>
        <v>0</v>
      </c>
      <c r="L4441">
        <f>Data!F4454</f>
        <v>0</v>
      </c>
      <c r="M4441">
        <f>Data!G4454</f>
        <v>0</v>
      </c>
      <c r="N4441">
        <f>Data!H4454</f>
        <v>0</v>
      </c>
      <c r="O4441">
        <f>Data!I4454</f>
        <v>0</v>
      </c>
      <c r="P4441" s="21">
        <f>Data!J4458</f>
        <v>0</v>
      </c>
      <c r="Q4441">
        <f>Data!K4458</f>
        <v>0</v>
      </c>
      <c r="R4441">
        <f>Data!L4458</f>
        <v>0</v>
      </c>
      <c r="S4441">
        <f>Data!M4458</f>
        <v>0</v>
      </c>
      <c r="T4441">
        <f>Data!N4458</f>
        <v>0</v>
      </c>
      <c r="U4441">
        <f>Data!O4458</f>
        <v>0</v>
      </c>
      <c r="V4441" s="33">
        <f>Data!P4456</f>
        <v>0</v>
      </c>
    </row>
    <row r="4442" spans="7:22" x14ac:dyDescent="0.25">
      <c r="G4442">
        <f>Data!A4455</f>
        <v>0</v>
      </c>
      <c r="H4442" s="21">
        <f>Data!B4455</f>
        <v>0</v>
      </c>
      <c r="I4442" s="21">
        <f>Data!C4455</f>
        <v>0</v>
      </c>
      <c r="J4442">
        <f>Data!D4455</f>
        <v>0</v>
      </c>
      <c r="K4442">
        <f>Data!E4455</f>
        <v>0</v>
      </c>
      <c r="L4442">
        <f>Data!F4455</f>
        <v>0</v>
      </c>
      <c r="M4442">
        <f>Data!G4455</f>
        <v>0</v>
      </c>
      <c r="N4442">
        <f>Data!H4455</f>
        <v>0</v>
      </c>
      <c r="O4442">
        <f>Data!I4455</f>
        <v>0</v>
      </c>
      <c r="P4442" s="21">
        <f>Data!J4459</f>
        <v>0</v>
      </c>
      <c r="Q4442">
        <f>Data!K4459</f>
        <v>0</v>
      </c>
      <c r="R4442">
        <f>Data!L4459</f>
        <v>0</v>
      </c>
      <c r="S4442">
        <f>Data!M4459</f>
        <v>0</v>
      </c>
      <c r="T4442">
        <f>Data!N4459</f>
        <v>0</v>
      </c>
      <c r="U4442">
        <f>Data!O4459</f>
        <v>0</v>
      </c>
      <c r="V4442" s="33">
        <f>Data!P4457</f>
        <v>0</v>
      </c>
    </row>
    <row r="4443" spans="7:22" x14ac:dyDescent="0.25">
      <c r="G4443">
        <f>Data!A4456</f>
        <v>0</v>
      </c>
      <c r="H4443" s="21">
        <f>Data!B4456</f>
        <v>0</v>
      </c>
      <c r="I4443" s="21">
        <f>Data!C4456</f>
        <v>0</v>
      </c>
      <c r="J4443">
        <f>Data!D4456</f>
        <v>0</v>
      </c>
      <c r="K4443">
        <f>Data!E4456</f>
        <v>0</v>
      </c>
      <c r="L4443">
        <f>Data!F4456</f>
        <v>0</v>
      </c>
      <c r="M4443">
        <f>Data!G4456</f>
        <v>0</v>
      </c>
      <c r="N4443">
        <f>Data!H4456</f>
        <v>0</v>
      </c>
      <c r="O4443">
        <f>Data!I4456</f>
        <v>0</v>
      </c>
      <c r="P4443" s="21">
        <f>Data!J4460</f>
        <v>0</v>
      </c>
      <c r="Q4443">
        <f>Data!K4460</f>
        <v>0</v>
      </c>
      <c r="R4443">
        <f>Data!L4460</f>
        <v>0</v>
      </c>
      <c r="S4443">
        <f>Data!M4460</f>
        <v>0</v>
      </c>
      <c r="T4443">
        <f>Data!N4460</f>
        <v>0</v>
      </c>
      <c r="U4443">
        <f>Data!O4460</f>
        <v>0</v>
      </c>
      <c r="V4443" s="33">
        <f>Data!P4458</f>
        <v>0</v>
      </c>
    </row>
    <row r="4444" spans="7:22" x14ac:dyDescent="0.25">
      <c r="G4444">
        <f>Data!A4457</f>
        <v>0</v>
      </c>
      <c r="H4444" s="21">
        <f>Data!B4457</f>
        <v>0</v>
      </c>
      <c r="I4444" s="21">
        <f>Data!C4457</f>
        <v>0</v>
      </c>
      <c r="J4444">
        <f>Data!D4457</f>
        <v>0</v>
      </c>
      <c r="K4444">
        <f>Data!E4457</f>
        <v>0</v>
      </c>
      <c r="L4444">
        <f>Data!F4457</f>
        <v>0</v>
      </c>
      <c r="M4444">
        <f>Data!G4457</f>
        <v>0</v>
      </c>
      <c r="N4444">
        <f>Data!H4457</f>
        <v>0</v>
      </c>
      <c r="O4444">
        <f>Data!I4457</f>
        <v>0</v>
      </c>
      <c r="P4444" s="21">
        <f>Data!J4461</f>
        <v>0</v>
      </c>
      <c r="Q4444">
        <f>Data!K4461</f>
        <v>0</v>
      </c>
      <c r="R4444">
        <f>Data!L4461</f>
        <v>0</v>
      </c>
      <c r="S4444">
        <f>Data!M4461</f>
        <v>0</v>
      </c>
      <c r="T4444">
        <f>Data!N4461</f>
        <v>0</v>
      </c>
      <c r="U4444">
        <f>Data!O4461</f>
        <v>0</v>
      </c>
      <c r="V4444" s="33">
        <f>Data!P4459</f>
        <v>0</v>
      </c>
    </row>
    <row r="4445" spans="7:22" x14ac:dyDescent="0.25">
      <c r="G4445">
        <f>Data!A4458</f>
        <v>0</v>
      </c>
      <c r="H4445" s="21">
        <f>Data!B4458</f>
        <v>0</v>
      </c>
      <c r="I4445" s="21">
        <f>Data!C4458</f>
        <v>0</v>
      </c>
      <c r="J4445">
        <f>Data!D4458</f>
        <v>0</v>
      </c>
      <c r="K4445">
        <f>Data!E4458</f>
        <v>0</v>
      </c>
      <c r="L4445">
        <f>Data!F4458</f>
        <v>0</v>
      </c>
      <c r="M4445">
        <f>Data!G4458</f>
        <v>0</v>
      </c>
      <c r="N4445">
        <f>Data!H4458</f>
        <v>0</v>
      </c>
      <c r="O4445">
        <f>Data!I4458</f>
        <v>0</v>
      </c>
      <c r="P4445" s="21">
        <f>Data!J4462</f>
        <v>0</v>
      </c>
      <c r="Q4445">
        <f>Data!K4462</f>
        <v>0</v>
      </c>
      <c r="R4445">
        <f>Data!L4462</f>
        <v>0</v>
      </c>
      <c r="S4445">
        <f>Data!M4462</f>
        <v>0</v>
      </c>
      <c r="T4445">
        <f>Data!N4462</f>
        <v>0</v>
      </c>
      <c r="U4445">
        <f>Data!O4462</f>
        <v>0</v>
      </c>
      <c r="V4445" s="33">
        <f>Data!P4460</f>
        <v>0</v>
      </c>
    </row>
    <row r="4446" spans="7:22" x14ac:dyDescent="0.25">
      <c r="G4446">
        <f>Data!A4459</f>
        <v>0</v>
      </c>
      <c r="H4446" s="21">
        <f>Data!B4459</f>
        <v>0</v>
      </c>
      <c r="I4446" s="21">
        <f>Data!C4459</f>
        <v>0</v>
      </c>
      <c r="J4446">
        <f>Data!D4459</f>
        <v>0</v>
      </c>
      <c r="K4446">
        <f>Data!E4459</f>
        <v>0</v>
      </c>
      <c r="L4446">
        <f>Data!F4459</f>
        <v>0</v>
      </c>
      <c r="M4446">
        <f>Data!G4459</f>
        <v>0</v>
      </c>
      <c r="N4446">
        <f>Data!H4459</f>
        <v>0</v>
      </c>
      <c r="O4446">
        <f>Data!I4459</f>
        <v>0</v>
      </c>
      <c r="P4446" s="21">
        <f>Data!J4463</f>
        <v>0</v>
      </c>
      <c r="Q4446">
        <f>Data!K4463</f>
        <v>0</v>
      </c>
      <c r="R4446">
        <f>Data!L4463</f>
        <v>0</v>
      </c>
      <c r="S4446">
        <f>Data!M4463</f>
        <v>0</v>
      </c>
      <c r="T4446">
        <f>Data!N4463</f>
        <v>0</v>
      </c>
      <c r="U4446">
        <f>Data!O4463</f>
        <v>0</v>
      </c>
      <c r="V4446" s="33">
        <f>Data!P4461</f>
        <v>0</v>
      </c>
    </row>
    <row r="4447" spans="7:22" x14ac:dyDescent="0.25">
      <c r="G4447">
        <f>Data!A4460</f>
        <v>0</v>
      </c>
      <c r="H4447" s="21">
        <f>Data!B4460</f>
        <v>0</v>
      </c>
      <c r="I4447" s="21">
        <f>Data!C4460</f>
        <v>0</v>
      </c>
      <c r="J4447">
        <f>Data!D4460</f>
        <v>0</v>
      </c>
      <c r="K4447">
        <f>Data!E4460</f>
        <v>0</v>
      </c>
      <c r="L4447">
        <f>Data!F4460</f>
        <v>0</v>
      </c>
      <c r="M4447">
        <f>Data!G4460</f>
        <v>0</v>
      </c>
      <c r="N4447">
        <f>Data!H4460</f>
        <v>0</v>
      </c>
      <c r="O4447">
        <f>Data!I4460</f>
        <v>0</v>
      </c>
      <c r="P4447" s="21">
        <f>Data!J4464</f>
        <v>0</v>
      </c>
      <c r="Q4447">
        <f>Data!K4464</f>
        <v>0</v>
      </c>
      <c r="R4447">
        <f>Data!L4464</f>
        <v>0</v>
      </c>
      <c r="S4447">
        <f>Data!M4464</f>
        <v>0</v>
      </c>
      <c r="T4447">
        <f>Data!N4464</f>
        <v>0</v>
      </c>
      <c r="U4447">
        <f>Data!O4464</f>
        <v>0</v>
      </c>
      <c r="V4447" s="33">
        <f>Data!P4462</f>
        <v>0</v>
      </c>
    </row>
    <row r="4448" spans="7:22" x14ac:dyDescent="0.25">
      <c r="G4448">
        <f>Data!A4461</f>
        <v>0</v>
      </c>
      <c r="H4448" s="21">
        <f>Data!B4461</f>
        <v>0</v>
      </c>
      <c r="I4448" s="21">
        <f>Data!C4461</f>
        <v>0</v>
      </c>
      <c r="J4448">
        <f>Data!D4461</f>
        <v>0</v>
      </c>
      <c r="K4448">
        <f>Data!E4461</f>
        <v>0</v>
      </c>
      <c r="L4448">
        <f>Data!F4461</f>
        <v>0</v>
      </c>
      <c r="M4448">
        <f>Data!G4461</f>
        <v>0</v>
      </c>
      <c r="N4448">
        <f>Data!H4461</f>
        <v>0</v>
      </c>
      <c r="O4448">
        <f>Data!I4461</f>
        <v>0</v>
      </c>
      <c r="P4448" s="21">
        <f>Data!J4465</f>
        <v>0</v>
      </c>
      <c r="Q4448">
        <f>Data!K4465</f>
        <v>0</v>
      </c>
      <c r="R4448">
        <f>Data!L4465</f>
        <v>0</v>
      </c>
      <c r="S4448">
        <f>Data!M4465</f>
        <v>0</v>
      </c>
      <c r="T4448">
        <f>Data!N4465</f>
        <v>0</v>
      </c>
      <c r="U4448">
        <f>Data!O4465</f>
        <v>0</v>
      </c>
      <c r="V4448" s="33">
        <f>Data!P4463</f>
        <v>0</v>
      </c>
    </row>
    <row r="4449" spans="7:22" x14ac:dyDescent="0.25">
      <c r="G4449">
        <f>Data!A4462</f>
        <v>0</v>
      </c>
      <c r="H4449" s="21">
        <f>Data!B4462</f>
        <v>0</v>
      </c>
      <c r="I4449" s="21">
        <f>Data!C4462</f>
        <v>0</v>
      </c>
      <c r="J4449">
        <f>Data!D4462</f>
        <v>0</v>
      </c>
      <c r="K4449">
        <f>Data!E4462</f>
        <v>0</v>
      </c>
      <c r="L4449">
        <f>Data!F4462</f>
        <v>0</v>
      </c>
      <c r="M4449">
        <f>Data!G4462</f>
        <v>0</v>
      </c>
      <c r="N4449">
        <f>Data!H4462</f>
        <v>0</v>
      </c>
      <c r="O4449">
        <f>Data!I4462</f>
        <v>0</v>
      </c>
      <c r="P4449" s="21">
        <f>Data!J4466</f>
        <v>0</v>
      </c>
      <c r="Q4449">
        <f>Data!K4466</f>
        <v>0</v>
      </c>
      <c r="R4449">
        <f>Data!L4466</f>
        <v>0</v>
      </c>
      <c r="S4449">
        <f>Data!M4466</f>
        <v>0</v>
      </c>
      <c r="T4449">
        <f>Data!N4466</f>
        <v>0</v>
      </c>
      <c r="U4449">
        <f>Data!O4466</f>
        <v>0</v>
      </c>
      <c r="V4449" s="33">
        <f>Data!P4464</f>
        <v>0</v>
      </c>
    </row>
    <row r="4450" spans="7:22" x14ac:dyDescent="0.25">
      <c r="G4450">
        <f>Data!A4463</f>
        <v>0</v>
      </c>
      <c r="H4450" s="21">
        <f>Data!B4463</f>
        <v>0</v>
      </c>
      <c r="I4450" s="21">
        <f>Data!C4463</f>
        <v>0</v>
      </c>
      <c r="J4450">
        <f>Data!D4463</f>
        <v>0</v>
      </c>
      <c r="K4450">
        <f>Data!E4463</f>
        <v>0</v>
      </c>
      <c r="L4450">
        <f>Data!F4463</f>
        <v>0</v>
      </c>
      <c r="M4450">
        <f>Data!G4463</f>
        <v>0</v>
      </c>
      <c r="N4450">
        <f>Data!H4463</f>
        <v>0</v>
      </c>
      <c r="O4450">
        <f>Data!I4463</f>
        <v>0</v>
      </c>
      <c r="P4450" s="21">
        <f>Data!J4467</f>
        <v>0</v>
      </c>
      <c r="Q4450">
        <f>Data!K4467</f>
        <v>0</v>
      </c>
      <c r="R4450">
        <f>Data!L4467</f>
        <v>0</v>
      </c>
      <c r="S4450">
        <f>Data!M4467</f>
        <v>0</v>
      </c>
      <c r="T4450">
        <f>Data!N4467</f>
        <v>0</v>
      </c>
      <c r="U4450">
        <f>Data!O4467</f>
        <v>0</v>
      </c>
      <c r="V4450" s="33">
        <f>Data!P4465</f>
        <v>0</v>
      </c>
    </row>
    <row r="4451" spans="7:22" x14ac:dyDescent="0.25">
      <c r="G4451">
        <f>Data!A4464</f>
        <v>0</v>
      </c>
      <c r="H4451" s="21">
        <f>Data!B4464</f>
        <v>0</v>
      </c>
      <c r="I4451" s="21">
        <f>Data!C4464</f>
        <v>0</v>
      </c>
      <c r="J4451">
        <f>Data!D4464</f>
        <v>0</v>
      </c>
      <c r="K4451">
        <f>Data!E4464</f>
        <v>0</v>
      </c>
      <c r="L4451">
        <f>Data!F4464</f>
        <v>0</v>
      </c>
      <c r="M4451">
        <f>Data!G4464</f>
        <v>0</v>
      </c>
      <c r="N4451">
        <f>Data!H4464</f>
        <v>0</v>
      </c>
      <c r="O4451">
        <f>Data!I4464</f>
        <v>0</v>
      </c>
      <c r="P4451" s="21">
        <f>Data!J4468</f>
        <v>0</v>
      </c>
      <c r="Q4451">
        <f>Data!K4468</f>
        <v>0</v>
      </c>
      <c r="R4451">
        <f>Data!L4468</f>
        <v>0</v>
      </c>
      <c r="S4451">
        <f>Data!M4468</f>
        <v>0</v>
      </c>
      <c r="T4451">
        <f>Data!N4468</f>
        <v>0</v>
      </c>
      <c r="U4451">
        <f>Data!O4468</f>
        <v>0</v>
      </c>
      <c r="V4451" s="33">
        <f>Data!P4466</f>
        <v>0</v>
      </c>
    </row>
    <row r="4452" spans="7:22" x14ac:dyDescent="0.25">
      <c r="G4452">
        <f>Data!A4465</f>
        <v>0</v>
      </c>
      <c r="H4452" s="21">
        <f>Data!B4465</f>
        <v>0</v>
      </c>
      <c r="I4452" s="21">
        <f>Data!C4465</f>
        <v>0</v>
      </c>
      <c r="J4452">
        <f>Data!D4465</f>
        <v>0</v>
      </c>
      <c r="K4452">
        <f>Data!E4465</f>
        <v>0</v>
      </c>
      <c r="L4452">
        <f>Data!F4465</f>
        <v>0</v>
      </c>
      <c r="M4452">
        <f>Data!G4465</f>
        <v>0</v>
      </c>
      <c r="N4452">
        <f>Data!H4465</f>
        <v>0</v>
      </c>
      <c r="O4452">
        <f>Data!I4465</f>
        <v>0</v>
      </c>
      <c r="P4452" s="21">
        <f>Data!J4469</f>
        <v>0</v>
      </c>
      <c r="Q4452">
        <f>Data!K4469</f>
        <v>0</v>
      </c>
      <c r="R4452">
        <f>Data!L4469</f>
        <v>0</v>
      </c>
      <c r="S4452">
        <f>Data!M4469</f>
        <v>0</v>
      </c>
      <c r="T4452">
        <f>Data!N4469</f>
        <v>0</v>
      </c>
      <c r="U4452">
        <f>Data!O4469</f>
        <v>0</v>
      </c>
      <c r="V4452" s="33">
        <f>Data!P4467</f>
        <v>0</v>
      </c>
    </row>
    <row r="4453" spans="7:22" x14ac:dyDescent="0.25">
      <c r="G4453">
        <f>Data!A4466</f>
        <v>0</v>
      </c>
      <c r="H4453" s="21">
        <f>Data!B4466</f>
        <v>0</v>
      </c>
      <c r="I4453" s="21">
        <f>Data!C4466</f>
        <v>0</v>
      </c>
      <c r="J4453">
        <f>Data!D4466</f>
        <v>0</v>
      </c>
      <c r="K4453">
        <f>Data!E4466</f>
        <v>0</v>
      </c>
      <c r="L4453">
        <f>Data!F4466</f>
        <v>0</v>
      </c>
      <c r="M4453">
        <f>Data!G4466</f>
        <v>0</v>
      </c>
      <c r="N4453">
        <f>Data!H4466</f>
        <v>0</v>
      </c>
      <c r="O4453">
        <f>Data!I4466</f>
        <v>0</v>
      </c>
      <c r="P4453" s="21">
        <f>Data!J4470</f>
        <v>0</v>
      </c>
      <c r="Q4453">
        <f>Data!K4470</f>
        <v>0</v>
      </c>
      <c r="R4453">
        <f>Data!L4470</f>
        <v>0</v>
      </c>
      <c r="S4453">
        <f>Data!M4470</f>
        <v>0</v>
      </c>
      <c r="T4453">
        <f>Data!N4470</f>
        <v>0</v>
      </c>
      <c r="U4453">
        <f>Data!O4470</f>
        <v>0</v>
      </c>
      <c r="V4453" s="33">
        <f>Data!P4468</f>
        <v>0</v>
      </c>
    </row>
    <row r="4454" spans="7:22" x14ac:dyDescent="0.25">
      <c r="G4454">
        <f>Data!A4467</f>
        <v>0</v>
      </c>
      <c r="H4454" s="21">
        <f>Data!B4467</f>
        <v>0</v>
      </c>
      <c r="I4454" s="21">
        <f>Data!C4467</f>
        <v>0</v>
      </c>
      <c r="J4454">
        <f>Data!D4467</f>
        <v>0</v>
      </c>
      <c r="K4454">
        <f>Data!E4467</f>
        <v>0</v>
      </c>
      <c r="L4454">
        <f>Data!F4467</f>
        <v>0</v>
      </c>
      <c r="M4454">
        <f>Data!G4467</f>
        <v>0</v>
      </c>
      <c r="N4454">
        <f>Data!H4467</f>
        <v>0</v>
      </c>
      <c r="O4454">
        <f>Data!I4467</f>
        <v>0</v>
      </c>
      <c r="P4454" s="21">
        <f>Data!J4471</f>
        <v>0</v>
      </c>
      <c r="Q4454">
        <f>Data!K4471</f>
        <v>0</v>
      </c>
      <c r="R4454">
        <f>Data!L4471</f>
        <v>0</v>
      </c>
      <c r="S4454">
        <f>Data!M4471</f>
        <v>0</v>
      </c>
      <c r="T4454">
        <f>Data!N4471</f>
        <v>0</v>
      </c>
      <c r="U4454">
        <f>Data!O4471</f>
        <v>0</v>
      </c>
      <c r="V4454" s="33">
        <f>Data!P4469</f>
        <v>0</v>
      </c>
    </row>
    <row r="4455" spans="7:22" x14ac:dyDescent="0.25">
      <c r="G4455">
        <f>Data!A4468</f>
        <v>0</v>
      </c>
      <c r="H4455" s="21">
        <f>Data!B4468</f>
        <v>0</v>
      </c>
      <c r="I4455" s="21">
        <f>Data!C4468</f>
        <v>0</v>
      </c>
      <c r="J4455">
        <f>Data!D4468</f>
        <v>0</v>
      </c>
      <c r="K4455">
        <f>Data!E4468</f>
        <v>0</v>
      </c>
      <c r="L4455">
        <f>Data!F4468</f>
        <v>0</v>
      </c>
      <c r="M4455">
        <f>Data!G4468</f>
        <v>0</v>
      </c>
      <c r="N4455">
        <f>Data!H4468</f>
        <v>0</v>
      </c>
      <c r="O4455">
        <f>Data!I4468</f>
        <v>0</v>
      </c>
      <c r="P4455" s="21">
        <f>Data!J4472</f>
        <v>0</v>
      </c>
      <c r="Q4455">
        <f>Data!K4472</f>
        <v>0</v>
      </c>
      <c r="R4455">
        <f>Data!L4472</f>
        <v>0</v>
      </c>
      <c r="S4455">
        <f>Data!M4472</f>
        <v>0</v>
      </c>
      <c r="T4455">
        <f>Data!N4472</f>
        <v>0</v>
      </c>
      <c r="U4455">
        <f>Data!O4472</f>
        <v>0</v>
      </c>
      <c r="V4455" s="33">
        <f>Data!P4470</f>
        <v>0</v>
      </c>
    </row>
    <row r="4456" spans="7:22" x14ac:dyDescent="0.25">
      <c r="G4456">
        <f>Data!A4469</f>
        <v>0</v>
      </c>
      <c r="H4456" s="21">
        <f>Data!B4469</f>
        <v>0</v>
      </c>
      <c r="I4456" s="21">
        <f>Data!C4469</f>
        <v>0</v>
      </c>
      <c r="J4456">
        <f>Data!D4469</f>
        <v>0</v>
      </c>
      <c r="K4456">
        <f>Data!E4469</f>
        <v>0</v>
      </c>
      <c r="L4456">
        <f>Data!F4469</f>
        <v>0</v>
      </c>
      <c r="M4456">
        <f>Data!G4469</f>
        <v>0</v>
      </c>
      <c r="N4456">
        <f>Data!H4469</f>
        <v>0</v>
      </c>
      <c r="O4456">
        <f>Data!I4469</f>
        <v>0</v>
      </c>
      <c r="P4456" s="21">
        <f>Data!J4473</f>
        <v>0</v>
      </c>
      <c r="Q4456">
        <f>Data!K4473</f>
        <v>0</v>
      </c>
      <c r="R4456">
        <f>Data!L4473</f>
        <v>0</v>
      </c>
      <c r="S4456">
        <f>Data!M4473</f>
        <v>0</v>
      </c>
      <c r="T4456">
        <f>Data!N4473</f>
        <v>0</v>
      </c>
      <c r="U4456">
        <f>Data!O4473</f>
        <v>0</v>
      </c>
      <c r="V4456" s="33">
        <f>Data!P4471</f>
        <v>0</v>
      </c>
    </row>
    <row r="4457" spans="7:22" x14ac:dyDescent="0.25">
      <c r="G4457">
        <f>Data!A4470</f>
        <v>0</v>
      </c>
      <c r="H4457" s="21">
        <f>Data!B4470</f>
        <v>0</v>
      </c>
      <c r="I4457" s="21">
        <f>Data!C4470</f>
        <v>0</v>
      </c>
      <c r="J4457">
        <f>Data!D4470</f>
        <v>0</v>
      </c>
      <c r="K4457">
        <f>Data!E4470</f>
        <v>0</v>
      </c>
      <c r="L4457">
        <f>Data!F4470</f>
        <v>0</v>
      </c>
      <c r="M4457">
        <f>Data!G4470</f>
        <v>0</v>
      </c>
      <c r="N4457">
        <f>Data!H4470</f>
        <v>0</v>
      </c>
      <c r="O4457">
        <f>Data!I4470</f>
        <v>0</v>
      </c>
      <c r="P4457" s="21">
        <f>Data!J4474</f>
        <v>0</v>
      </c>
      <c r="Q4457">
        <f>Data!K4474</f>
        <v>0</v>
      </c>
      <c r="R4457">
        <f>Data!L4474</f>
        <v>0</v>
      </c>
      <c r="S4457">
        <f>Data!M4474</f>
        <v>0</v>
      </c>
      <c r="T4457">
        <f>Data!N4474</f>
        <v>0</v>
      </c>
      <c r="U4457">
        <f>Data!O4474</f>
        <v>0</v>
      </c>
      <c r="V4457" s="33">
        <f>Data!P4472</f>
        <v>0</v>
      </c>
    </row>
    <row r="4458" spans="7:22" x14ac:dyDescent="0.25">
      <c r="G4458">
        <f>Data!A4471</f>
        <v>0</v>
      </c>
      <c r="H4458" s="21">
        <f>Data!B4471</f>
        <v>0</v>
      </c>
      <c r="I4458" s="21">
        <f>Data!C4471</f>
        <v>0</v>
      </c>
      <c r="J4458">
        <f>Data!D4471</f>
        <v>0</v>
      </c>
      <c r="K4458">
        <f>Data!E4471</f>
        <v>0</v>
      </c>
      <c r="L4458">
        <f>Data!F4471</f>
        <v>0</v>
      </c>
      <c r="M4458">
        <f>Data!G4471</f>
        <v>0</v>
      </c>
      <c r="N4458">
        <f>Data!H4471</f>
        <v>0</v>
      </c>
      <c r="O4458">
        <f>Data!I4471</f>
        <v>0</v>
      </c>
      <c r="P4458" s="21">
        <f>Data!J4475</f>
        <v>0</v>
      </c>
      <c r="Q4458">
        <f>Data!K4475</f>
        <v>0</v>
      </c>
      <c r="R4458">
        <f>Data!L4475</f>
        <v>0</v>
      </c>
      <c r="S4458">
        <f>Data!M4475</f>
        <v>0</v>
      </c>
      <c r="T4458">
        <f>Data!N4475</f>
        <v>0</v>
      </c>
      <c r="U4458">
        <f>Data!O4475</f>
        <v>0</v>
      </c>
      <c r="V4458" s="33">
        <f>Data!P4473</f>
        <v>0</v>
      </c>
    </row>
    <row r="4459" spans="7:22" x14ac:dyDescent="0.25">
      <c r="G4459">
        <f>Data!A4472</f>
        <v>0</v>
      </c>
      <c r="H4459" s="21">
        <f>Data!B4472</f>
        <v>0</v>
      </c>
      <c r="I4459" s="21">
        <f>Data!C4472</f>
        <v>0</v>
      </c>
      <c r="J4459">
        <f>Data!D4472</f>
        <v>0</v>
      </c>
      <c r="K4459">
        <f>Data!E4472</f>
        <v>0</v>
      </c>
      <c r="L4459">
        <f>Data!F4472</f>
        <v>0</v>
      </c>
      <c r="M4459">
        <f>Data!G4472</f>
        <v>0</v>
      </c>
      <c r="N4459">
        <f>Data!H4472</f>
        <v>0</v>
      </c>
      <c r="O4459">
        <f>Data!I4472</f>
        <v>0</v>
      </c>
      <c r="P4459" s="21">
        <f>Data!J4476</f>
        <v>0</v>
      </c>
      <c r="Q4459">
        <f>Data!K4476</f>
        <v>0</v>
      </c>
      <c r="R4459">
        <f>Data!L4476</f>
        <v>0</v>
      </c>
      <c r="S4459">
        <f>Data!M4476</f>
        <v>0</v>
      </c>
      <c r="T4459">
        <f>Data!N4476</f>
        <v>0</v>
      </c>
      <c r="U4459">
        <f>Data!O4476</f>
        <v>0</v>
      </c>
      <c r="V4459" s="33">
        <f>Data!P4474</f>
        <v>0</v>
      </c>
    </row>
    <row r="4460" spans="7:22" x14ac:dyDescent="0.25">
      <c r="G4460">
        <f>Data!A4473</f>
        <v>0</v>
      </c>
      <c r="H4460" s="21">
        <f>Data!B4473</f>
        <v>0</v>
      </c>
      <c r="I4460" s="21">
        <f>Data!C4473</f>
        <v>0</v>
      </c>
      <c r="J4460">
        <f>Data!D4473</f>
        <v>0</v>
      </c>
      <c r="K4460">
        <f>Data!E4473</f>
        <v>0</v>
      </c>
      <c r="L4460">
        <f>Data!F4473</f>
        <v>0</v>
      </c>
      <c r="M4460">
        <f>Data!G4473</f>
        <v>0</v>
      </c>
      <c r="N4460">
        <f>Data!H4473</f>
        <v>0</v>
      </c>
      <c r="O4460">
        <f>Data!I4473</f>
        <v>0</v>
      </c>
      <c r="P4460" s="21">
        <f>Data!J4477</f>
        <v>0</v>
      </c>
      <c r="Q4460">
        <f>Data!K4477</f>
        <v>0</v>
      </c>
      <c r="R4460">
        <f>Data!L4477</f>
        <v>0</v>
      </c>
      <c r="S4460">
        <f>Data!M4477</f>
        <v>0</v>
      </c>
      <c r="T4460">
        <f>Data!N4477</f>
        <v>0</v>
      </c>
      <c r="U4460">
        <f>Data!O4477</f>
        <v>0</v>
      </c>
      <c r="V4460" s="33">
        <f>Data!P4475</f>
        <v>0</v>
      </c>
    </row>
    <row r="4461" spans="7:22" x14ac:dyDescent="0.25">
      <c r="G4461">
        <f>Data!A4474</f>
        <v>0</v>
      </c>
      <c r="H4461" s="21">
        <f>Data!B4474</f>
        <v>0</v>
      </c>
      <c r="I4461" s="21">
        <f>Data!C4474</f>
        <v>0</v>
      </c>
      <c r="J4461">
        <f>Data!D4474</f>
        <v>0</v>
      </c>
      <c r="K4461">
        <f>Data!E4474</f>
        <v>0</v>
      </c>
      <c r="L4461">
        <f>Data!F4474</f>
        <v>0</v>
      </c>
      <c r="M4461">
        <f>Data!G4474</f>
        <v>0</v>
      </c>
      <c r="N4461">
        <f>Data!H4474</f>
        <v>0</v>
      </c>
      <c r="O4461">
        <f>Data!I4474</f>
        <v>0</v>
      </c>
      <c r="P4461" s="21">
        <f>Data!J4478</f>
        <v>0</v>
      </c>
      <c r="Q4461">
        <f>Data!K4478</f>
        <v>0</v>
      </c>
      <c r="R4461">
        <f>Data!L4478</f>
        <v>0</v>
      </c>
      <c r="S4461">
        <f>Data!M4478</f>
        <v>0</v>
      </c>
      <c r="T4461">
        <f>Data!N4478</f>
        <v>0</v>
      </c>
      <c r="U4461">
        <f>Data!O4478</f>
        <v>0</v>
      </c>
      <c r="V4461" s="33">
        <f>Data!P4476</f>
        <v>0</v>
      </c>
    </row>
    <row r="4462" spans="7:22" x14ac:dyDescent="0.25">
      <c r="G4462">
        <f>Data!A4475</f>
        <v>0</v>
      </c>
      <c r="H4462" s="21">
        <f>Data!B4475</f>
        <v>0</v>
      </c>
      <c r="I4462" s="21">
        <f>Data!C4475</f>
        <v>0</v>
      </c>
      <c r="J4462">
        <f>Data!D4475</f>
        <v>0</v>
      </c>
      <c r="K4462">
        <f>Data!E4475</f>
        <v>0</v>
      </c>
      <c r="L4462">
        <f>Data!F4475</f>
        <v>0</v>
      </c>
      <c r="M4462">
        <f>Data!G4475</f>
        <v>0</v>
      </c>
      <c r="N4462">
        <f>Data!H4475</f>
        <v>0</v>
      </c>
      <c r="O4462">
        <f>Data!I4475</f>
        <v>0</v>
      </c>
      <c r="P4462" s="21">
        <f>Data!J4479</f>
        <v>0</v>
      </c>
      <c r="Q4462">
        <f>Data!K4479</f>
        <v>0</v>
      </c>
      <c r="R4462">
        <f>Data!L4479</f>
        <v>0</v>
      </c>
      <c r="S4462">
        <f>Data!M4479</f>
        <v>0</v>
      </c>
      <c r="T4462">
        <f>Data!N4479</f>
        <v>0</v>
      </c>
      <c r="U4462">
        <f>Data!O4479</f>
        <v>0</v>
      </c>
      <c r="V4462" s="33">
        <f>Data!P4477</f>
        <v>0</v>
      </c>
    </row>
    <row r="4463" spans="7:22" x14ac:dyDescent="0.25">
      <c r="G4463">
        <f>Data!A4476</f>
        <v>0</v>
      </c>
      <c r="H4463" s="21">
        <f>Data!B4476</f>
        <v>0</v>
      </c>
      <c r="I4463" s="21">
        <f>Data!C4476</f>
        <v>0</v>
      </c>
      <c r="J4463">
        <f>Data!D4476</f>
        <v>0</v>
      </c>
      <c r="K4463">
        <f>Data!E4476</f>
        <v>0</v>
      </c>
      <c r="L4463">
        <f>Data!F4476</f>
        <v>0</v>
      </c>
      <c r="M4463">
        <f>Data!G4476</f>
        <v>0</v>
      </c>
      <c r="N4463">
        <f>Data!H4476</f>
        <v>0</v>
      </c>
      <c r="O4463">
        <f>Data!I4476</f>
        <v>0</v>
      </c>
      <c r="P4463" s="21">
        <f>Data!J4480</f>
        <v>0</v>
      </c>
      <c r="Q4463">
        <f>Data!K4480</f>
        <v>0</v>
      </c>
      <c r="R4463">
        <f>Data!L4480</f>
        <v>0</v>
      </c>
      <c r="S4463">
        <f>Data!M4480</f>
        <v>0</v>
      </c>
      <c r="T4463">
        <f>Data!N4480</f>
        <v>0</v>
      </c>
      <c r="U4463">
        <f>Data!O4480</f>
        <v>0</v>
      </c>
      <c r="V4463" s="33">
        <f>Data!P4478</f>
        <v>0</v>
      </c>
    </row>
    <row r="4464" spans="7:22" x14ac:dyDescent="0.25">
      <c r="G4464">
        <f>Data!A4477</f>
        <v>0</v>
      </c>
      <c r="H4464" s="21">
        <f>Data!B4477</f>
        <v>0</v>
      </c>
      <c r="I4464" s="21">
        <f>Data!C4477</f>
        <v>0</v>
      </c>
      <c r="J4464">
        <f>Data!D4477</f>
        <v>0</v>
      </c>
      <c r="K4464">
        <f>Data!E4477</f>
        <v>0</v>
      </c>
      <c r="L4464">
        <f>Data!F4477</f>
        <v>0</v>
      </c>
      <c r="M4464">
        <f>Data!G4477</f>
        <v>0</v>
      </c>
      <c r="N4464">
        <f>Data!H4477</f>
        <v>0</v>
      </c>
      <c r="O4464">
        <f>Data!I4477</f>
        <v>0</v>
      </c>
      <c r="P4464" s="21">
        <f>Data!J4481</f>
        <v>0</v>
      </c>
      <c r="Q4464">
        <f>Data!K4481</f>
        <v>0</v>
      </c>
      <c r="R4464">
        <f>Data!L4481</f>
        <v>0</v>
      </c>
      <c r="S4464">
        <f>Data!M4481</f>
        <v>0</v>
      </c>
      <c r="T4464">
        <f>Data!N4481</f>
        <v>0</v>
      </c>
      <c r="U4464">
        <f>Data!O4481</f>
        <v>0</v>
      </c>
      <c r="V4464" s="33">
        <f>Data!P4479</f>
        <v>0</v>
      </c>
    </row>
    <row r="4465" spans="7:22" x14ac:dyDescent="0.25">
      <c r="G4465">
        <f>Data!A4478</f>
        <v>0</v>
      </c>
      <c r="H4465" s="21">
        <f>Data!B4478</f>
        <v>0</v>
      </c>
      <c r="I4465" s="21">
        <f>Data!C4478</f>
        <v>0</v>
      </c>
      <c r="J4465">
        <f>Data!D4478</f>
        <v>0</v>
      </c>
      <c r="K4465">
        <f>Data!E4478</f>
        <v>0</v>
      </c>
      <c r="L4465">
        <f>Data!F4478</f>
        <v>0</v>
      </c>
      <c r="M4465">
        <f>Data!G4478</f>
        <v>0</v>
      </c>
      <c r="N4465">
        <f>Data!H4478</f>
        <v>0</v>
      </c>
      <c r="O4465">
        <f>Data!I4478</f>
        <v>0</v>
      </c>
      <c r="P4465" s="21">
        <f>Data!J4482</f>
        <v>0</v>
      </c>
      <c r="Q4465">
        <f>Data!K4482</f>
        <v>0</v>
      </c>
      <c r="R4465">
        <f>Data!L4482</f>
        <v>0</v>
      </c>
      <c r="S4465">
        <f>Data!M4482</f>
        <v>0</v>
      </c>
      <c r="T4465">
        <f>Data!N4482</f>
        <v>0</v>
      </c>
      <c r="U4465">
        <f>Data!O4482</f>
        <v>0</v>
      </c>
      <c r="V4465" s="33">
        <f>Data!P4480</f>
        <v>0</v>
      </c>
    </row>
    <row r="4466" spans="7:22" x14ac:dyDescent="0.25">
      <c r="G4466">
        <f>Data!A4479</f>
        <v>0</v>
      </c>
      <c r="H4466" s="21">
        <f>Data!B4479</f>
        <v>0</v>
      </c>
      <c r="I4466" s="21">
        <f>Data!C4479</f>
        <v>0</v>
      </c>
      <c r="J4466">
        <f>Data!D4479</f>
        <v>0</v>
      </c>
      <c r="K4466">
        <f>Data!E4479</f>
        <v>0</v>
      </c>
      <c r="L4466">
        <f>Data!F4479</f>
        <v>0</v>
      </c>
      <c r="M4466">
        <f>Data!G4479</f>
        <v>0</v>
      </c>
      <c r="N4466">
        <f>Data!H4479</f>
        <v>0</v>
      </c>
      <c r="O4466">
        <f>Data!I4479</f>
        <v>0</v>
      </c>
      <c r="P4466" s="21">
        <f>Data!J4483</f>
        <v>0</v>
      </c>
      <c r="Q4466">
        <f>Data!K4483</f>
        <v>0</v>
      </c>
      <c r="R4466">
        <f>Data!L4483</f>
        <v>0</v>
      </c>
      <c r="S4466">
        <f>Data!M4483</f>
        <v>0</v>
      </c>
      <c r="T4466">
        <f>Data!N4483</f>
        <v>0</v>
      </c>
      <c r="U4466">
        <f>Data!O4483</f>
        <v>0</v>
      </c>
      <c r="V4466" s="33">
        <f>Data!P4481</f>
        <v>0</v>
      </c>
    </row>
    <row r="4467" spans="7:22" x14ac:dyDescent="0.25">
      <c r="G4467">
        <f>Data!A4480</f>
        <v>0</v>
      </c>
      <c r="H4467" s="21">
        <f>Data!B4480</f>
        <v>0</v>
      </c>
      <c r="I4467" s="21">
        <f>Data!C4480</f>
        <v>0</v>
      </c>
      <c r="J4467">
        <f>Data!D4480</f>
        <v>0</v>
      </c>
      <c r="K4467">
        <f>Data!E4480</f>
        <v>0</v>
      </c>
      <c r="L4467">
        <f>Data!F4480</f>
        <v>0</v>
      </c>
      <c r="M4467">
        <f>Data!G4480</f>
        <v>0</v>
      </c>
      <c r="N4467">
        <f>Data!H4480</f>
        <v>0</v>
      </c>
      <c r="O4467">
        <f>Data!I4480</f>
        <v>0</v>
      </c>
      <c r="P4467" s="21">
        <f>Data!J4484</f>
        <v>0</v>
      </c>
      <c r="Q4467">
        <f>Data!K4484</f>
        <v>0</v>
      </c>
      <c r="R4467">
        <f>Data!L4484</f>
        <v>0</v>
      </c>
      <c r="S4467">
        <f>Data!M4484</f>
        <v>0</v>
      </c>
      <c r="T4467">
        <f>Data!N4484</f>
        <v>0</v>
      </c>
      <c r="U4467">
        <f>Data!O4484</f>
        <v>0</v>
      </c>
      <c r="V4467" s="33">
        <f>Data!P4482</f>
        <v>0</v>
      </c>
    </row>
    <row r="4468" spans="7:22" x14ac:dyDescent="0.25">
      <c r="G4468">
        <f>Data!A4481</f>
        <v>0</v>
      </c>
      <c r="H4468" s="21">
        <f>Data!B4481</f>
        <v>0</v>
      </c>
      <c r="I4468" s="21">
        <f>Data!C4481</f>
        <v>0</v>
      </c>
      <c r="J4468">
        <f>Data!D4481</f>
        <v>0</v>
      </c>
      <c r="K4468">
        <f>Data!E4481</f>
        <v>0</v>
      </c>
      <c r="L4468">
        <f>Data!F4481</f>
        <v>0</v>
      </c>
      <c r="M4468">
        <f>Data!G4481</f>
        <v>0</v>
      </c>
      <c r="N4468">
        <f>Data!H4481</f>
        <v>0</v>
      </c>
      <c r="O4468">
        <f>Data!I4481</f>
        <v>0</v>
      </c>
      <c r="P4468" s="21">
        <f>Data!J4485</f>
        <v>0</v>
      </c>
      <c r="Q4468">
        <f>Data!K4485</f>
        <v>0</v>
      </c>
      <c r="R4468">
        <f>Data!L4485</f>
        <v>0</v>
      </c>
      <c r="S4468">
        <f>Data!M4485</f>
        <v>0</v>
      </c>
      <c r="T4468">
        <f>Data!N4485</f>
        <v>0</v>
      </c>
      <c r="U4468">
        <f>Data!O4485</f>
        <v>0</v>
      </c>
      <c r="V4468" s="33">
        <f>Data!P4483</f>
        <v>0</v>
      </c>
    </row>
    <row r="4469" spans="7:22" x14ac:dyDescent="0.25">
      <c r="G4469">
        <f>Data!A4482</f>
        <v>0</v>
      </c>
      <c r="H4469" s="21">
        <f>Data!B4482</f>
        <v>0</v>
      </c>
      <c r="I4469" s="21">
        <f>Data!C4482</f>
        <v>0</v>
      </c>
      <c r="J4469">
        <f>Data!D4482</f>
        <v>0</v>
      </c>
      <c r="K4469">
        <f>Data!E4482</f>
        <v>0</v>
      </c>
      <c r="L4469">
        <f>Data!F4482</f>
        <v>0</v>
      </c>
      <c r="M4469">
        <f>Data!G4482</f>
        <v>0</v>
      </c>
      <c r="N4469">
        <f>Data!H4482</f>
        <v>0</v>
      </c>
      <c r="O4469">
        <f>Data!I4482</f>
        <v>0</v>
      </c>
      <c r="P4469" s="21">
        <f>Data!J4486</f>
        <v>0</v>
      </c>
      <c r="Q4469">
        <f>Data!K4486</f>
        <v>0</v>
      </c>
      <c r="R4469">
        <f>Data!L4486</f>
        <v>0</v>
      </c>
      <c r="S4469">
        <f>Data!M4486</f>
        <v>0</v>
      </c>
      <c r="T4469">
        <f>Data!N4486</f>
        <v>0</v>
      </c>
      <c r="U4469">
        <f>Data!O4486</f>
        <v>0</v>
      </c>
      <c r="V4469" s="33">
        <f>Data!P4484</f>
        <v>0</v>
      </c>
    </row>
    <row r="4470" spans="7:22" x14ac:dyDescent="0.25">
      <c r="G4470">
        <f>Data!A4483</f>
        <v>0</v>
      </c>
      <c r="H4470" s="21">
        <f>Data!B4483</f>
        <v>0</v>
      </c>
      <c r="I4470" s="21">
        <f>Data!C4483</f>
        <v>0</v>
      </c>
      <c r="J4470">
        <f>Data!D4483</f>
        <v>0</v>
      </c>
      <c r="K4470">
        <f>Data!E4483</f>
        <v>0</v>
      </c>
      <c r="L4470">
        <f>Data!F4483</f>
        <v>0</v>
      </c>
      <c r="M4470">
        <f>Data!G4483</f>
        <v>0</v>
      </c>
      <c r="N4470">
        <f>Data!H4483</f>
        <v>0</v>
      </c>
      <c r="O4470">
        <f>Data!I4483</f>
        <v>0</v>
      </c>
      <c r="P4470" s="21">
        <f>Data!J4487</f>
        <v>0</v>
      </c>
      <c r="Q4470">
        <f>Data!K4487</f>
        <v>0</v>
      </c>
      <c r="R4470">
        <f>Data!L4487</f>
        <v>0</v>
      </c>
      <c r="S4470">
        <f>Data!M4487</f>
        <v>0</v>
      </c>
      <c r="T4470">
        <f>Data!N4487</f>
        <v>0</v>
      </c>
      <c r="U4470">
        <f>Data!O4487</f>
        <v>0</v>
      </c>
      <c r="V4470" s="33">
        <f>Data!P4485</f>
        <v>0</v>
      </c>
    </row>
    <row r="4471" spans="7:22" x14ac:dyDescent="0.25">
      <c r="G4471">
        <f>Data!A4484</f>
        <v>0</v>
      </c>
      <c r="H4471" s="21">
        <f>Data!B4484</f>
        <v>0</v>
      </c>
      <c r="I4471" s="21">
        <f>Data!C4484</f>
        <v>0</v>
      </c>
      <c r="J4471">
        <f>Data!D4484</f>
        <v>0</v>
      </c>
      <c r="K4471">
        <f>Data!E4484</f>
        <v>0</v>
      </c>
      <c r="L4471">
        <f>Data!F4484</f>
        <v>0</v>
      </c>
      <c r="M4471">
        <f>Data!G4484</f>
        <v>0</v>
      </c>
      <c r="N4471">
        <f>Data!H4484</f>
        <v>0</v>
      </c>
      <c r="O4471">
        <f>Data!I4484</f>
        <v>0</v>
      </c>
      <c r="P4471" s="21">
        <f>Data!J4488</f>
        <v>0</v>
      </c>
      <c r="Q4471">
        <f>Data!K4488</f>
        <v>0</v>
      </c>
      <c r="R4471">
        <f>Data!L4488</f>
        <v>0</v>
      </c>
      <c r="S4471">
        <f>Data!M4488</f>
        <v>0</v>
      </c>
      <c r="T4471">
        <f>Data!N4488</f>
        <v>0</v>
      </c>
      <c r="U4471">
        <f>Data!O4488</f>
        <v>0</v>
      </c>
      <c r="V4471" s="33">
        <f>Data!P4486</f>
        <v>0</v>
      </c>
    </row>
    <row r="4472" spans="7:22" x14ac:dyDescent="0.25">
      <c r="G4472">
        <f>Data!A4485</f>
        <v>0</v>
      </c>
      <c r="H4472" s="21">
        <f>Data!B4485</f>
        <v>0</v>
      </c>
      <c r="I4472" s="21">
        <f>Data!C4485</f>
        <v>0</v>
      </c>
      <c r="J4472">
        <f>Data!D4485</f>
        <v>0</v>
      </c>
      <c r="K4472">
        <f>Data!E4485</f>
        <v>0</v>
      </c>
      <c r="L4472">
        <f>Data!F4485</f>
        <v>0</v>
      </c>
      <c r="M4472">
        <f>Data!G4485</f>
        <v>0</v>
      </c>
      <c r="N4472">
        <f>Data!H4485</f>
        <v>0</v>
      </c>
      <c r="O4472">
        <f>Data!I4485</f>
        <v>0</v>
      </c>
      <c r="P4472" s="21">
        <f>Data!J4489</f>
        <v>0</v>
      </c>
      <c r="Q4472">
        <f>Data!K4489</f>
        <v>0</v>
      </c>
      <c r="R4472">
        <f>Data!L4489</f>
        <v>0</v>
      </c>
      <c r="S4472">
        <f>Data!M4489</f>
        <v>0</v>
      </c>
      <c r="T4472">
        <f>Data!N4489</f>
        <v>0</v>
      </c>
      <c r="U4472">
        <f>Data!O4489</f>
        <v>0</v>
      </c>
      <c r="V4472" s="33">
        <f>Data!P4487</f>
        <v>0</v>
      </c>
    </row>
    <row r="4473" spans="7:22" x14ac:dyDescent="0.25">
      <c r="G4473">
        <f>Data!A4486</f>
        <v>0</v>
      </c>
      <c r="H4473" s="21">
        <f>Data!B4486</f>
        <v>0</v>
      </c>
      <c r="I4473" s="21">
        <f>Data!C4486</f>
        <v>0</v>
      </c>
      <c r="J4473">
        <f>Data!D4486</f>
        <v>0</v>
      </c>
      <c r="K4473">
        <f>Data!E4486</f>
        <v>0</v>
      </c>
      <c r="L4473">
        <f>Data!F4486</f>
        <v>0</v>
      </c>
      <c r="M4473">
        <f>Data!G4486</f>
        <v>0</v>
      </c>
      <c r="N4473">
        <f>Data!H4486</f>
        <v>0</v>
      </c>
      <c r="O4473">
        <f>Data!I4486</f>
        <v>0</v>
      </c>
      <c r="P4473" s="21">
        <f>Data!J4490</f>
        <v>0</v>
      </c>
      <c r="Q4473">
        <f>Data!K4490</f>
        <v>0</v>
      </c>
      <c r="R4473">
        <f>Data!L4490</f>
        <v>0</v>
      </c>
      <c r="S4473">
        <f>Data!M4490</f>
        <v>0</v>
      </c>
      <c r="T4473">
        <f>Data!N4490</f>
        <v>0</v>
      </c>
      <c r="U4473">
        <f>Data!O4490</f>
        <v>0</v>
      </c>
      <c r="V4473" s="33">
        <f>Data!P4488</f>
        <v>0</v>
      </c>
    </row>
    <row r="4474" spans="7:22" x14ac:dyDescent="0.25">
      <c r="G4474">
        <f>Data!A4487</f>
        <v>0</v>
      </c>
      <c r="H4474" s="21">
        <f>Data!B4487</f>
        <v>0</v>
      </c>
      <c r="I4474" s="21">
        <f>Data!C4487</f>
        <v>0</v>
      </c>
      <c r="J4474">
        <f>Data!D4487</f>
        <v>0</v>
      </c>
      <c r="K4474">
        <f>Data!E4487</f>
        <v>0</v>
      </c>
      <c r="L4474">
        <f>Data!F4487</f>
        <v>0</v>
      </c>
      <c r="M4474">
        <f>Data!G4487</f>
        <v>0</v>
      </c>
      <c r="N4474">
        <f>Data!H4487</f>
        <v>0</v>
      </c>
      <c r="O4474">
        <f>Data!I4487</f>
        <v>0</v>
      </c>
      <c r="P4474" s="21">
        <f>Data!J4491</f>
        <v>0</v>
      </c>
      <c r="Q4474">
        <f>Data!K4491</f>
        <v>0</v>
      </c>
      <c r="R4474">
        <f>Data!L4491</f>
        <v>0</v>
      </c>
      <c r="S4474">
        <f>Data!M4491</f>
        <v>0</v>
      </c>
      <c r="T4474">
        <f>Data!N4491</f>
        <v>0</v>
      </c>
      <c r="U4474">
        <f>Data!O4491</f>
        <v>0</v>
      </c>
      <c r="V4474" s="33">
        <f>Data!P4489</f>
        <v>0</v>
      </c>
    </row>
    <row r="4475" spans="7:22" x14ac:dyDescent="0.25">
      <c r="G4475">
        <f>Data!A4488</f>
        <v>0</v>
      </c>
      <c r="H4475" s="21">
        <f>Data!B4488</f>
        <v>0</v>
      </c>
      <c r="I4475" s="21">
        <f>Data!C4488</f>
        <v>0</v>
      </c>
      <c r="J4475">
        <f>Data!D4488</f>
        <v>0</v>
      </c>
      <c r="K4475">
        <f>Data!E4488</f>
        <v>0</v>
      </c>
      <c r="L4475">
        <f>Data!F4488</f>
        <v>0</v>
      </c>
      <c r="M4475">
        <f>Data!G4488</f>
        <v>0</v>
      </c>
      <c r="N4475">
        <f>Data!H4488</f>
        <v>0</v>
      </c>
      <c r="O4475">
        <f>Data!I4488</f>
        <v>0</v>
      </c>
      <c r="P4475" s="21">
        <f>Data!J4492</f>
        <v>0</v>
      </c>
      <c r="Q4475">
        <f>Data!K4492</f>
        <v>0</v>
      </c>
      <c r="R4475">
        <f>Data!L4492</f>
        <v>0</v>
      </c>
      <c r="S4475">
        <f>Data!M4492</f>
        <v>0</v>
      </c>
      <c r="T4475">
        <f>Data!N4492</f>
        <v>0</v>
      </c>
      <c r="U4475">
        <f>Data!O4492</f>
        <v>0</v>
      </c>
      <c r="V4475" s="33">
        <f>Data!P4490</f>
        <v>0</v>
      </c>
    </row>
    <row r="4476" spans="7:22" x14ac:dyDescent="0.25">
      <c r="G4476">
        <f>Data!A4489</f>
        <v>0</v>
      </c>
      <c r="H4476" s="21">
        <f>Data!B4489</f>
        <v>0</v>
      </c>
      <c r="I4476" s="21">
        <f>Data!C4489</f>
        <v>0</v>
      </c>
      <c r="J4476">
        <f>Data!D4489</f>
        <v>0</v>
      </c>
      <c r="K4476">
        <f>Data!E4489</f>
        <v>0</v>
      </c>
      <c r="L4476">
        <f>Data!F4489</f>
        <v>0</v>
      </c>
      <c r="M4476">
        <f>Data!G4489</f>
        <v>0</v>
      </c>
      <c r="N4476">
        <f>Data!H4489</f>
        <v>0</v>
      </c>
      <c r="O4476">
        <f>Data!I4489</f>
        <v>0</v>
      </c>
      <c r="P4476" s="21">
        <f>Data!J4493</f>
        <v>0</v>
      </c>
      <c r="Q4476">
        <f>Data!K4493</f>
        <v>0</v>
      </c>
      <c r="R4476">
        <f>Data!L4493</f>
        <v>0</v>
      </c>
      <c r="S4476">
        <f>Data!M4493</f>
        <v>0</v>
      </c>
      <c r="T4476">
        <f>Data!N4493</f>
        <v>0</v>
      </c>
      <c r="U4476">
        <f>Data!O4493</f>
        <v>0</v>
      </c>
      <c r="V4476" s="33">
        <f>Data!P4491</f>
        <v>0</v>
      </c>
    </row>
    <row r="4477" spans="7:22" x14ac:dyDescent="0.25">
      <c r="G4477">
        <f>Data!A4490</f>
        <v>0</v>
      </c>
      <c r="H4477" s="21">
        <f>Data!B4490</f>
        <v>0</v>
      </c>
      <c r="I4477" s="21">
        <f>Data!C4490</f>
        <v>0</v>
      </c>
      <c r="J4477">
        <f>Data!D4490</f>
        <v>0</v>
      </c>
      <c r="K4477">
        <f>Data!E4490</f>
        <v>0</v>
      </c>
      <c r="L4477">
        <f>Data!F4490</f>
        <v>0</v>
      </c>
      <c r="M4477">
        <f>Data!G4490</f>
        <v>0</v>
      </c>
      <c r="N4477">
        <f>Data!H4490</f>
        <v>0</v>
      </c>
      <c r="O4477">
        <f>Data!I4490</f>
        <v>0</v>
      </c>
      <c r="P4477" s="21">
        <f>Data!J4494</f>
        <v>0</v>
      </c>
      <c r="Q4477">
        <f>Data!K4494</f>
        <v>0</v>
      </c>
      <c r="R4477">
        <f>Data!L4494</f>
        <v>0</v>
      </c>
      <c r="S4477">
        <f>Data!M4494</f>
        <v>0</v>
      </c>
      <c r="T4477">
        <f>Data!N4494</f>
        <v>0</v>
      </c>
      <c r="U4477">
        <f>Data!O4494</f>
        <v>0</v>
      </c>
      <c r="V4477" s="33">
        <f>Data!P4492</f>
        <v>0</v>
      </c>
    </row>
    <row r="4478" spans="7:22" x14ac:dyDescent="0.25">
      <c r="G4478">
        <f>Data!A4491</f>
        <v>0</v>
      </c>
      <c r="H4478" s="21">
        <f>Data!B4491</f>
        <v>0</v>
      </c>
      <c r="I4478" s="21">
        <f>Data!C4491</f>
        <v>0</v>
      </c>
      <c r="J4478">
        <f>Data!D4491</f>
        <v>0</v>
      </c>
      <c r="K4478">
        <f>Data!E4491</f>
        <v>0</v>
      </c>
      <c r="L4478">
        <f>Data!F4491</f>
        <v>0</v>
      </c>
      <c r="M4478">
        <f>Data!G4491</f>
        <v>0</v>
      </c>
      <c r="N4478">
        <f>Data!H4491</f>
        <v>0</v>
      </c>
      <c r="O4478">
        <f>Data!I4491</f>
        <v>0</v>
      </c>
      <c r="P4478" s="21">
        <f>Data!J4495</f>
        <v>0</v>
      </c>
      <c r="Q4478">
        <f>Data!K4495</f>
        <v>0</v>
      </c>
      <c r="R4478">
        <f>Data!L4495</f>
        <v>0</v>
      </c>
      <c r="S4478">
        <f>Data!M4495</f>
        <v>0</v>
      </c>
      <c r="T4478">
        <f>Data!N4495</f>
        <v>0</v>
      </c>
      <c r="U4478">
        <f>Data!O4495</f>
        <v>0</v>
      </c>
      <c r="V4478" s="33">
        <f>Data!P4493</f>
        <v>0</v>
      </c>
    </row>
    <row r="4479" spans="7:22" x14ac:dyDescent="0.25">
      <c r="G4479">
        <f>Data!A4492</f>
        <v>0</v>
      </c>
      <c r="H4479" s="21">
        <f>Data!B4492</f>
        <v>0</v>
      </c>
      <c r="I4479" s="21">
        <f>Data!C4492</f>
        <v>0</v>
      </c>
      <c r="J4479">
        <f>Data!D4492</f>
        <v>0</v>
      </c>
      <c r="K4479">
        <f>Data!E4492</f>
        <v>0</v>
      </c>
      <c r="L4479">
        <f>Data!F4492</f>
        <v>0</v>
      </c>
      <c r="M4479">
        <f>Data!G4492</f>
        <v>0</v>
      </c>
      <c r="N4479">
        <f>Data!H4492</f>
        <v>0</v>
      </c>
      <c r="O4479">
        <f>Data!I4492</f>
        <v>0</v>
      </c>
      <c r="P4479" s="21">
        <f>Data!J4496</f>
        <v>0</v>
      </c>
      <c r="Q4479">
        <f>Data!K4496</f>
        <v>0</v>
      </c>
      <c r="R4479">
        <f>Data!L4496</f>
        <v>0</v>
      </c>
      <c r="S4479">
        <f>Data!M4496</f>
        <v>0</v>
      </c>
      <c r="T4479">
        <f>Data!N4496</f>
        <v>0</v>
      </c>
      <c r="U4479">
        <f>Data!O4496</f>
        <v>0</v>
      </c>
      <c r="V4479" s="33">
        <f>Data!P4494</f>
        <v>0</v>
      </c>
    </row>
    <row r="4480" spans="7:22" x14ac:dyDescent="0.25">
      <c r="G4480">
        <f>Data!A4493</f>
        <v>0</v>
      </c>
      <c r="H4480" s="21">
        <f>Data!B4493</f>
        <v>0</v>
      </c>
      <c r="I4480" s="21">
        <f>Data!C4493</f>
        <v>0</v>
      </c>
      <c r="J4480">
        <f>Data!D4493</f>
        <v>0</v>
      </c>
      <c r="K4480">
        <f>Data!E4493</f>
        <v>0</v>
      </c>
      <c r="L4480">
        <f>Data!F4493</f>
        <v>0</v>
      </c>
      <c r="M4480">
        <f>Data!G4493</f>
        <v>0</v>
      </c>
      <c r="N4480">
        <f>Data!H4493</f>
        <v>0</v>
      </c>
      <c r="O4480">
        <f>Data!I4493</f>
        <v>0</v>
      </c>
      <c r="P4480" s="21">
        <f>Data!J4497</f>
        <v>0</v>
      </c>
      <c r="Q4480">
        <f>Data!K4497</f>
        <v>0</v>
      </c>
      <c r="R4480">
        <f>Data!L4497</f>
        <v>0</v>
      </c>
      <c r="S4480">
        <f>Data!M4497</f>
        <v>0</v>
      </c>
      <c r="T4480">
        <f>Data!N4497</f>
        <v>0</v>
      </c>
      <c r="U4480">
        <f>Data!O4497</f>
        <v>0</v>
      </c>
      <c r="V4480" s="33">
        <f>Data!P4495</f>
        <v>0</v>
      </c>
    </row>
    <row r="4481" spans="7:22" x14ac:dyDescent="0.25">
      <c r="G4481">
        <f>Data!A4494</f>
        <v>0</v>
      </c>
      <c r="H4481" s="21">
        <f>Data!B4494</f>
        <v>0</v>
      </c>
      <c r="I4481" s="21">
        <f>Data!C4494</f>
        <v>0</v>
      </c>
      <c r="J4481">
        <f>Data!D4494</f>
        <v>0</v>
      </c>
      <c r="K4481">
        <f>Data!E4494</f>
        <v>0</v>
      </c>
      <c r="L4481">
        <f>Data!F4494</f>
        <v>0</v>
      </c>
      <c r="M4481">
        <f>Data!G4494</f>
        <v>0</v>
      </c>
      <c r="N4481">
        <f>Data!H4494</f>
        <v>0</v>
      </c>
      <c r="O4481">
        <f>Data!I4494</f>
        <v>0</v>
      </c>
      <c r="P4481" s="21">
        <f>Data!J4498</f>
        <v>0</v>
      </c>
      <c r="Q4481">
        <f>Data!K4498</f>
        <v>0</v>
      </c>
      <c r="R4481">
        <f>Data!L4498</f>
        <v>0</v>
      </c>
      <c r="S4481">
        <f>Data!M4498</f>
        <v>0</v>
      </c>
      <c r="T4481">
        <f>Data!N4498</f>
        <v>0</v>
      </c>
      <c r="U4481">
        <f>Data!O4498</f>
        <v>0</v>
      </c>
      <c r="V4481" s="33">
        <f>Data!P4496</f>
        <v>0</v>
      </c>
    </row>
    <row r="4482" spans="7:22" x14ac:dyDescent="0.25">
      <c r="G4482">
        <f>Data!A4495</f>
        <v>0</v>
      </c>
      <c r="H4482" s="21">
        <f>Data!B4495</f>
        <v>0</v>
      </c>
      <c r="I4482" s="21">
        <f>Data!C4495</f>
        <v>0</v>
      </c>
      <c r="J4482">
        <f>Data!D4495</f>
        <v>0</v>
      </c>
      <c r="K4482">
        <f>Data!E4495</f>
        <v>0</v>
      </c>
      <c r="L4482">
        <f>Data!F4495</f>
        <v>0</v>
      </c>
      <c r="M4482">
        <f>Data!G4495</f>
        <v>0</v>
      </c>
      <c r="N4482">
        <f>Data!H4495</f>
        <v>0</v>
      </c>
      <c r="O4482">
        <f>Data!I4495</f>
        <v>0</v>
      </c>
      <c r="P4482" s="21">
        <f>Data!J4499</f>
        <v>0</v>
      </c>
      <c r="Q4482">
        <f>Data!K4499</f>
        <v>0</v>
      </c>
      <c r="R4482">
        <f>Data!L4499</f>
        <v>0</v>
      </c>
      <c r="S4482">
        <f>Data!M4499</f>
        <v>0</v>
      </c>
      <c r="T4482">
        <f>Data!N4499</f>
        <v>0</v>
      </c>
      <c r="U4482">
        <f>Data!O4499</f>
        <v>0</v>
      </c>
      <c r="V4482" s="33">
        <f>Data!P4497</f>
        <v>0</v>
      </c>
    </row>
    <row r="4483" spans="7:22" x14ac:dyDescent="0.25">
      <c r="G4483">
        <f>Data!A4496</f>
        <v>0</v>
      </c>
      <c r="H4483" s="21">
        <f>Data!B4496</f>
        <v>0</v>
      </c>
      <c r="I4483" s="21">
        <f>Data!C4496</f>
        <v>0</v>
      </c>
      <c r="J4483">
        <f>Data!D4496</f>
        <v>0</v>
      </c>
      <c r="K4483">
        <f>Data!E4496</f>
        <v>0</v>
      </c>
      <c r="L4483">
        <f>Data!F4496</f>
        <v>0</v>
      </c>
      <c r="M4483">
        <f>Data!G4496</f>
        <v>0</v>
      </c>
      <c r="N4483">
        <f>Data!H4496</f>
        <v>0</v>
      </c>
      <c r="O4483">
        <f>Data!I4496</f>
        <v>0</v>
      </c>
      <c r="P4483" s="21">
        <f>Data!J4500</f>
        <v>0</v>
      </c>
      <c r="Q4483">
        <f>Data!K4500</f>
        <v>0</v>
      </c>
      <c r="R4483">
        <f>Data!L4500</f>
        <v>0</v>
      </c>
      <c r="S4483">
        <f>Data!M4500</f>
        <v>0</v>
      </c>
      <c r="T4483">
        <f>Data!N4500</f>
        <v>0</v>
      </c>
      <c r="U4483">
        <f>Data!O4500</f>
        <v>0</v>
      </c>
      <c r="V4483" s="33">
        <f>Data!P4498</f>
        <v>0</v>
      </c>
    </row>
    <row r="4484" spans="7:22" x14ac:dyDescent="0.25">
      <c r="G4484">
        <f>Data!A4497</f>
        <v>0</v>
      </c>
      <c r="H4484" s="21">
        <f>Data!B4497</f>
        <v>0</v>
      </c>
      <c r="I4484" s="21">
        <f>Data!C4497</f>
        <v>0</v>
      </c>
      <c r="J4484">
        <f>Data!D4497</f>
        <v>0</v>
      </c>
      <c r="K4484">
        <f>Data!E4497</f>
        <v>0</v>
      </c>
      <c r="L4484">
        <f>Data!F4497</f>
        <v>0</v>
      </c>
      <c r="M4484">
        <f>Data!G4497</f>
        <v>0</v>
      </c>
      <c r="N4484">
        <f>Data!H4497</f>
        <v>0</v>
      </c>
      <c r="O4484">
        <f>Data!I4497</f>
        <v>0</v>
      </c>
      <c r="P4484" s="21">
        <f>Data!J4501</f>
        <v>0</v>
      </c>
      <c r="Q4484">
        <f>Data!K4501</f>
        <v>0</v>
      </c>
      <c r="R4484">
        <f>Data!L4501</f>
        <v>0</v>
      </c>
      <c r="S4484">
        <f>Data!M4501</f>
        <v>0</v>
      </c>
      <c r="T4484">
        <f>Data!N4501</f>
        <v>0</v>
      </c>
      <c r="U4484">
        <f>Data!O4501</f>
        <v>0</v>
      </c>
      <c r="V4484" s="33">
        <f>Data!P4499</f>
        <v>0</v>
      </c>
    </row>
    <row r="4485" spans="7:22" x14ac:dyDescent="0.25">
      <c r="G4485">
        <f>Data!A4498</f>
        <v>0</v>
      </c>
      <c r="H4485" s="21">
        <f>Data!B4498</f>
        <v>0</v>
      </c>
      <c r="I4485" s="21">
        <f>Data!C4498</f>
        <v>0</v>
      </c>
      <c r="J4485">
        <f>Data!D4498</f>
        <v>0</v>
      </c>
      <c r="K4485">
        <f>Data!E4498</f>
        <v>0</v>
      </c>
      <c r="L4485">
        <f>Data!F4498</f>
        <v>0</v>
      </c>
      <c r="M4485">
        <f>Data!G4498</f>
        <v>0</v>
      </c>
      <c r="N4485">
        <f>Data!H4498</f>
        <v>0</v>
      </c>
      <c r="O4485">
        <f>Data!I4498</f>
        <v>0</v>
      </c>
      <c r="P4485" s="21">
        <f>Data!J4502</f>
        <v>0</v>
      </c>
      <c r="Q4485">
        <f>Data!K4502</f>
        <v>0</v>
      </c>
      <c r="R4485">
        <f>Data!L4502</f>
        <v>0</v>
      </c>
      <c r="S4485">
        <f>Data!M4502</f>
        <v>0</v>
      </c>
      <c r="T4485">
        <f>Data!N4502</f>
        <v>0</v>
      </c>
      <c r="U4485">
        <f>Data!O4502</f>
        <v>0</v>
      </c>
      <c r="V4485" s="33">
        <f>Data!P4500</f>
        <v>0</v>
      </c>
    </row>
    <row r="4486" spans="7:22" x14ac:dyDescent="0.25">
      <c r="G4486">
        <f>Data!A4499</f>
        <v>0</v>
      </c>
      <c r="H4486" s="21">
        <f>Data!B4499</f>
        <v>0</v>
      </c>
      <c r="I4486" s="21">
        <f>Data!C4499</f>
        <v>0</v>
      </c>
      <c r="J4486">
        <f>Data!D4499</f>
        <v>0</v>
      </c>
      <c r="K4486">
        <f>Data!E4499</f>
        <v>0</v>
      </c>
      <c r="L4486">
        <f>Data!F4499</f>
        <v>0</v>
      </c>
      <c r="M4486">
        <f>Data!G4499</f>
        <v>0</v>
      </c>
      <c r="N4486">
        <f>Data!H4499</f>
        <v>0</v>
      </c>
      <c r="O4486">
        <f>Data!I4499</f>
        <v>0</v>
      </c>
      <c r="P4486" s="21">
        <f>Data!J4503</f>
        <v>0</v>
      </c>
      <c r="Q4486">
        <f>Data!K4503</f>
        <v>0</v>
      </c>
      <c r="R4486">
        <f>Data!L4503</f>
        <v>0</v>
      </c>
      <c r="S4486">
        <f>Data!M4503</f>
        <v>0</v>
      </c>
      <c r="T4486">
        <f>Data!N4503</f>
        <v>0</v>
      </c>
      <c r="U4486">
        <f>Data!O4503</f>
        <v>0</v>
      </c>
      <c r="V4486" s="33">
        <f>Data!P4501</f>
        <v>0</v>
      </c>
    </row>
    <row r="4487" spans="7:22" x14ac:dyDescent="0.25">
      <c r="G4487">
        <f>Data!A4500</f>
        <v>0</v>
      </c>
      <c r="H4487" s="21">
        <f>Data!B4500</f>
        <v>0</v>
      </c>
      <c r="I4487" s="21">
        <f>Data!C4500</f>
        <v>0</v>
      </c>
      <c r="J4487">
        <f>Data!D4500</f>
        <v>0</v>
      </c>
      <c r="K4487">
        <f>Data!E4500</f>
        <v>0</v>
      </c>
      <c r="L4487">
        <f>Data!F4500</f>
        <v>0</v>
      </c>
      <c r="M4487">
        <f>Data!G4500</f>
        <v>0</v>
      </c>
      <c r="N4487">
        <f>Data!H4500</f>
        <v>0</v>
      </c>
      <c r="O4487">
        <f>Data!I4500</f>
        <v>0</v>
      </c>
      <c r="P4487" s="21">
        <f>Data!J4504</f>
        <v>0</v>
      </c>
      <c r="Q4487">
        <f>Data!K4504</f>
        <v>0</v>
      </c>
      <c r="R4487">
        <f>Data!L4504</f>
        <v>0</v>
      </c>
      <c r="S4487">
        <f>Data!M4504</f>
        <v>0</v>
      </c>
      <c r="T4487">
        <f>Data!N4504</f>
        <v>0</v>
      </c>
      <c r="U4487">
        <f>Data!O4504</f>
        <v>0</v>
      </c>
      <c r="V4487" s="33">
        <f>Data!P4502</f>
        <v>0</v>
      </c>
    </row>
    <row r="4488" spans="7:22" x14ac:dyDescent="0.25">
      <c r="G4488">
        <f>Data!A4501</f>
        <v>0</v>
      </c>
      <c r="H4488" s="21">
        <f>Data!B4501</f>
        <v>0</v>
      </c>
      <c r="I4488" s="21">
        <f>Data!C4501</f>
        <v>0</v>
      </c>
      <c r="J4488">
        <f>Data!D4501</f>
        <v>0</v>
      </c>
      <c r="K4488">
        <f>Data!E4501</f>
        <v>0</v>
      </c>
      <c r="L4488">
        <f>Data!F4501</f>
        <v>0</v>
      </c>
      <c r="M4488">
        <f>Data!G4501</f>
        <v>0</v>
      </c>
      <c r="N4488">
        <f>Data!H4501</f>
        <v>0</v>
      </c>
      <c r="O4488">
        <f>Data!I4501</f>
        <v>0</v>
      </c>
      <c r="P4488" s="21">
        <f>Data!J4505</f>
        <v>0</v>
      </c>
      <c r="Q4488">
        <f>Data!K4505</f>
        <v>0</v>
      </c>
      <c r="R4488">
        <f>Data!L4505</f>
        <v>0</v>
      </c>
      <c r="S4488">
        <f>Data!M4505</f>
        <v>0</v>
      </c>
      <c r="T4488">
        <f>Data!N4505</f>
        <v>0</v>
      </c>
      <c r="U4488">
        <f>Data!O4505</f>
        <v>0</v>
      </c>
      <c r="V4488" s="33">
        <f>Data!P4503</f>
        <v>0</v>
      </c>
    </row>
    <row r="4489" spans="7:22" x14ac:dyDescent="0.25">
      <c r="G4489">
        <f>Data!A4502</f>
        <v>0</v>
      </c>
      <c r="H4489" s="21">
        <f>Data!B4502</f>
        <v>0</v>
      </c>
      <c r="I4489" s="21">
        <f>Data!C4502</f>
        <v>0</v>
      </c>
      <c r="J4489">
        <f>Data!D4502</f>
        <v>0</v>
      </c>
      <c r="K4489">
        <f>Data!E4502</f>
        <v>0</v>
      </c>
      <c r="L4489">
        <f>Data!F4502</f>
        <v>0</v>
      </c>
      <c r="M4489">
        <f>Data!G4502</f>
        <v>0</v>
      </c>
      <c r="N4489">
        <f>Data!H4502</f>
        <v>0</v>
      </c>
      <c r="O4489">
        <f>Data!I4502</f>
        <v>0</v>
      </c>
      <c r="P4489" s="21">
        <f>Data!J4506</f>
        <v>0</v>
      </c>
      <c r="Q4489">
        <f>Data!K4506</f>
        <v>0</v>
      </c>
      <c r="R4489">
        <f>Data!L4506</f>
        <v>0</v>
      </c>
      <c r="S4489">
        <f>Data!M4506</f>
        <v>0</v>
      </c>
      <c r="T4489">
        <f>Data!N4506</f>
        <v>0</v>
      </c>
      <c r="U4489">
        <f>Data!O4506</f>
        <v>0</v>
      </c>
      <c r="V4489" s="33">
        <f>Data!P4504</f>
        <v>0</v>
      </c>
    </row>
    <row r="4490" spans="7:22" x14ac:dyDescent="0.25">
      <c r="G4490">
        <f>Data!A4503</f>
        <v>0</v>
      </c>
      <c r="H4490" s="21">
        <f>Data!B4503</f>
        <v>0</v>
      </c>
      <c r="I4490" s="21">
        <f>Data!C4503</f>
        <v>0</v>
      </c>
      <c r="J4490">
        <f>Data!D4503</f>
        <v>0</v>
      </c>
      <c r="K4490">
        <f>Data!E4503</f>
        <v>0</v>
      </c>
      <c r="L4490">
        <f>Data!F4503</f>
        <v>0</v>
      </c>
      <c r="M4490">
        <f>Data!G4503</f>
        <v>0</v>
      </c>
      <c r="N4490">
        <f>Data!H4503</f>
        <v>0</v>
      </c>
      <c r="O4490">
        <f>Data!I4503</f>
        <v>0</v>
      </c>
      <c r="P4490" s="21">
        <f>Data!J4507</f>
        <v>0</v>
      </c>
      <c r="Q4490">
        <f>Data!K4507</f>
        <v>0</v>
      </c>
      <c r="R4490">
        <f>Data!L4507</f>
        <v>0</v>
      </c>
      <c r="S4490">
        <f>Data!M4507</f>
        <v>0</v>
      </c>
      <c r="T4490">
        <f>Data!N4507</f>
        <v>0</v>
      </c>
      <c r="U4490">
        <f>Data!O4507</f>
        <v>0</v>
      </c>
      <c r="V4490" s="33">
        <f>Data!P4505</f>
        <v>0</v>
      </c>
    </row>
    <row r="4491" spans="7:22" x14ac:dyDescent="0.25">
      <c r="G4491">
        <f>Data!A4504</f>
        <v>0</v>
      </c>
      <c r="H4491" s="21">
        <f>Data!B4504</f>
        <v>0</v>
      </c>
      <c r="I4491" s="21">
        <f>Data!C4504</f>
        <v>0</v>
      </c>
      <c r="J4491">
        <f>Data!D4504</f>
        <v>0</v>
      </c>
      <c r="K4491">
        <f>Data!E4504</f>
        <v>0</v>
      </c>
      <c r="L4491">
        <f>Data!F4504</f>
        <v>0</v>
      </c>
      <c r="M4491">
        <f>Data!G4504</f>
        <v>0</v>
      </c>
      <c r="N4491">
        <f>Data!H4504</f>
        <v>0</v>
      </c>
      <c r="O4491">
        <f>Data!I4504</f>
        <v>0</v>
      </c>
      <c r="P4491" s="21">
        <f>Data!J4508</f>
        <v>0</v>
      </c>
      <c r="Q4491">
        <f>Data!K4508</f>
        <v>0</v>
      </c>
      <c r="R4491">
        <f>Data!L4508</f>
        <v>0</v>
      </c>
      <c r="S4491">
        <f>Data!M4508</f>
        <v>0</v>
      </c>
      <c r="T4491">
        <f>Data!N4508</f>
        <v>0</v>
      </c>
      <c r="U4491">
        <f>Data!O4508</f>
        <v>0</v>
      </c>
      <c r="V4491" s="33">
        <f>Data!P4506</f>
        <v>0</v>
      </c>
    </row>
    <row r="4492" spans="7:22" x14ac:dyDescent="0.25">
      <c r="G4492">
        <f>Data!A4505</f>
        <v>0</v>
      </c>
      <c r="H4492" s="21">
        <f>Data!B4505</f>
        <v>0</v>
      </c>
      <c r="I4492" s="21">
        <f>Data!C4505</f>
        <v>0</v>
      </c>
      <c r="J4492">
        <f>Data!D4505</f>
        <v>0</v>
      </c>
      <c r="K4492">
        <f>Data!E4505</f>
        <v>0</v>
      </c>
      <c r="L4492">
        <f>Data!F4505</f>
        <v>0</v>
      </c>
      <c r="M4492">
        <f>Data!G4505</f>
        <v>0</v>
      </c>
      <c r="N4492">
        <f>Data!H4505</f>
        <v>0</v>
      </c>
      <c r="O4492">
        <f>Data!I4505</f>
        <v>0</v>
      </c>
      <c r="P4492" s="21">
        <f>Data!J4509</f>
        <v>0</v>
      </c>
      <c r="Q4492">
        <f>Data!K4509</f>
        <v>0</v>
      </c>
      <c r="R4492">
        <f>Data!L4509</f>
        <v>0</v>
      </c>
      <c r="S4492">
        <f>Data!M4509</f>
        <v>0</v>
      </c>
      <c r="T4492">
        <f>Data!N4509</f>
        <v>0</v>
      </c>
      <c r="U4492">
        <f>Data!O4509</f>
        <v>0</v>
      </c>
      <c r="V4492" s="33">
        <f>Data!P4507</f>
        <v>0</v>
      </c>
    </row>
    <row r="4493" spans="7:22" x14ac:dyDescent="0.25">
      <c r="G4493">
        <f>Data!A4506</f>
        <v>0</v>
      </c>
      <c r="H4493" s="21">
        <f>Data!B4506</f>
        <v>0</v>
      </c>
      <c r="I4493" s="21">
        <f>Data!C4506</f>
        <v>0</v>
      </c>
      <c r="J4493">
        <f>Data!D4506</f>
        <v>0</v>
      </c>
      <c r="K4493">
        <f>Data!E4506</f>
        <v>0</v>
      </c>
      <c r="L4493">
        <f>Data!F4506</f>
        <v>0</v>
      </c>
      <c r="M4493">
        <f>Data!G4506</f>
        <v>0</v>
      </c>
      <c r="N4493">
        <f>Data!H4506</f>
        <v>0</v>
      </c>
      <c r="O4493">
        <f>Data!I4506</f>
        <v>0</v>
      </c>
      <c r="P4493" s="21">
        <f>Data!J4510</f>
        <v>0</v>
      </c>
      <c r="Q4493">
        <f>Data!K4510</f>
        <v>0</v>
      </c>
      <c r="R4493">
        <f>Data!L4510</f>
        <v>0</v>
      </c>
      <c r="S4493">
        <f>Data!M4510</f>
        <v>0</v>
      </c>
      <c r="T4493">
        <f>Data!N4510</f>
        <v>0</v>
      </c>
      <c r="U4493">
        <f>Data!O4510</f>
        <v>0</v>
      </c>
      <c r="V4493" s="33">
        <f>Data!P4508</f>
        <v>0</v>
      </c>
    </row>
    <row r="4494" spans="7:22" x14ac:dyDescent="0.25">
      <c r="G4494">
        <f>Data!A4507</f>
        <v>0</v>
      </c>
      <c r="H4494" s="21">
        <f>Data!B4507</f>
        <v>0</v>
      </c>
      <c r="I4494" s="21">
        <f>Data!C4507</f>
        <v>0</v>
      </c>
      <c r="J4494">
        <f>Data!D4507</f>
        <v>0</v>
      </c>
      <c r="K4494">
        <f>Data!E4507</f>
        <v>0</v>
      </c>
      <c r="L4494">
        <f>Data!F4507</f>
        <v>0</v>
      </c>
      <c r="M4494">
        <f>Data!G4507</f>
        <v>0</v>
      </c>
      <c r="N4494">
        <f>Data!H4507</f>
        <v>0</v>
      </c>
      <c r="O4494">
        <f>Data!I4507</f>
        <v>0</v>
      </c>
      <c r="P4494" s="21">
        <f>Data!J4511</f>
        <v>0</v>
      </c>
      <c r="Q4494">
        <f>Data!K4511</f>
        <v>0</v>
      </c>
      <c r="R4494">
        <f>Data!L4511</f>
        <v>0</v>
      </c>
      <c r="S4494">
        <f>Data!M4511</f>
        <v>0</v>
      </c>
      <c r="T4494">
        <f>Data!N4511</f>
        <v>0</v>
      </c>
      <c r="U4494">
        <f>Data!O4511</f>
        <v>0</v>
      </c>
      <c r="V4494" s="33">
        <f>Data!P4509</f>
        <v>0</v>
      </c>
    </row>
    <row r="4495" spans="7:22" x14ac:dyDescent="0.25">
      <c r="G4495">
        <f>Data!A4508</f>
        <v>0</v>
      </c>
      <c r="H4495" s="21">
        <f>Data!B4508</f>
        <v>0</v>
      </c>
      <c r="I4495" s="21">
        <f>Data!C4508</f>
        <v>0</v>
      </c>
      <c r="J4495">
        <f>Data!D4508</f>
        <v>0</v>
      </c>
      <c r="K4495">
        <f>Data!E4508</f>
        <v>0</v>
      </c>
      <c r="L4495">
        <f>Data!F4508</f>
        <v>0</v>
      </c>
      <c r="M4495">
        <f>Data!G4508</f>
        <v>0</v>
      </c>
      <c r="N4495">
        <f>Data!H4508</f>
        <v>0</v>
      </c>
      <c r="O4495">
        <f>Data!I4508</f>
        <v>0</v>
      </c>
      <c r="P4495" s="21">
        <f>Data!J4512</f>
        <v>0</v>
      </c>
      <c r="Q4495">
        <f>Data!K4512</f>
        <v>0</v>
      </c>
      <c r="R4495">
        <f>Data!L4512</f>
        <v>0</v>
      </c>
      <c r="S4495">
        <f>Data!M4512</f>
        <v>0</v>
      </c>
      <c r="T4495">
        <f>Data!N4512</f>
        <v>0</v>
      </c>
      <c r="U4495">
        <f>Data!O4512</f>
        <v>0</v>
      </c>
      <c r="V4495" s="33">
        <f>Data!P4510</f>
        <v>0</v>
      </c>
    </row>
    <row r="4496" spans="7:22" x14ac:dyDescent="0.25">
      <c r="G4496">
        <f>Data!A4509</f>
        <v>0</v>
      </c>
      <c r="H4496" s="21">
        <f>Data!B4509</f>
        <v>0</v>
      </c>
      <c r="I4496" s="21">
        <f>Data!C4509</f>
        <v>0</v>
      </c>
      <c r="J4496">
        <f>Data!D4509</f>
        <v>0</v>
      </c>
      <c r="K4496">
        <f>Data!E4509</f>
        <v>0</v>
      </c>
      <c r="L4496">
        <f>Data!F4509</f>
        <v>0</v>
      </c>
      <c r="M4496">
        <f>Data!G4509</f>
        <v>0</v>
      </c>
      <c r="N4496">
        <f>Data!H4509</f>
        <v>0</v>
      </c>
      <c r="O4496">
        <f>Data!I4509</f>
        <v>0</v>
      </c>
      <c r="P4496" s="21">
        <f>Data!J4513</f>
        <v>0</v>
      </c>
      <c r="Q4496">
        <f>Data!K4513</f>
        <v>0</v>
      </c>
      <c r="R4496">
        <f>Data!L4513</f>
        <v>0</v>
      </c>
      <c r="S4496">
        <f>Data!M4513</f>
        <v>0</v>
      </c>
      <c r="T4496">
        <f>Data!N4513</f>
        <v>0</v>
      </c>
      <c r="U4496">
        <f>Data!O4513</f>
        <v>0</v>
      </c>
      <c r="V4496" s="33">
        <f>Data!P4511</f>
        <v>0</v>
      </c>
    </row>
    <row r="4497" spans="7:22" x14ac:dyDescent="0.25">
      <c r="G4497">
        <f>Data!A4510</f>
        <v>0</v>
      </c>
      <c r="H4497" s="21">
        <f>Data!B4510</f>
        <v>0</v>
      </c>
      <c r="I4497" s="21">
        <f>Data!C4510</f>
        <v>0</v>
      </c>
      <c r="J4497">
        <f>Data!D4510</f>
        <v>0</v>
      </c>
      <c r="K4497">
        <f>Data!E4510</f>
        <v>0</v>
      </c>
      <c r="L4497">
        <f>Data!F4510</f>
        <v>0</v>
      </c>
      <c r="M4497">
        <f>Data!G4510</f>
        <v>0</v>
      </c>
      <c r="N4497">
        <f>Data!H4510</f>
        <v>0</v>
      </c>
      <c r="O4497">
        <f>Data!I4510</f>
        <v>0</v>
      </c>
      <c r="P4497" s="21">
        <f>Data!J4514</f>
        <v>0</v>
      </c>
      <c r="Q4497">
        <f>Data!K4514</f>
        <v>0</v>
      </c>
      <c r="R4497">
        <f>Data!L4514</f>
        <v>0</v>
      </c>
      <c r="S4497">
        <f>Data!M4514</f>
        <v>0</v>
      </c>
      <c r="T4497">
        <f>Data!N4514</f>
        <v>0</v>
      </c>
      <c r="U4497">
        <f>Data!O4514</f>
        <v>0</v>
      </c>
      <c r="V4497" s="33">
        <f>Data!P4512</f>
        <v>0</v>
      </c>
    </row>
    <row r="4498" spans="7:22" x14ac:dyDescent="0.25">
      <c r="G4498">
        <f>Data!A4511</f>
        <v>0</v>
      </c>
      <c r="H4498" s="21">
        <f>Data!B4511</f>
        <v>0</v>
      </c>
      <c r="I4498" s="21">
        <f>Data!C4511</f>
        <v>0</v>
      </c>
      <c r="J4498">
        <f>Data!D4511</f>
        <v>0</v>
      </c>
      <c r="K4498">
        <f>Data!E4511</f>
        <v>0</v>
      </c>
      <c r="L4498">
        <f>Data!F4511</f>
        <v>0</v>
      </c>
      <c r="M4498">
        <f>Data!G4511</f>
        <v>0</v>
      </c>
      <c r="N4498">
        <f>Data!H4511</f>
        <v>0</v>
      </c>
      <c r="O4498">
        <f>Data!I4511</f>
        <v>0</v>
      </c>
      <c r="P4498" s="21">
        <f>Data!J4515</f>
        <v>0</v>
      </c>
      <c r="Q4498">
        <f>Data!K4515</f>
        <v>0</v>
      </c>
      <c r="R4498">
        <f>Data!L4515</f>
        <v>0</v>
      </c>
      <c r="S4498">
        <f>Data!M4515</f>
        <v>0</v>
      </c>
      <c r="T4498">
        <f>Data!N4515</f>
        <v>0</v>
      </c>
      <c r="U4498">
        <f>Data!O4515</f>
        <v>0</v>
      </c>
      <c r="V4498" s="33">
        <f>Data!P4513</f>
        <v>0</v>
      </c>
    </row>
    <row r="4499" spans="7:22" x14ac:dyDescent="0.25">
      <c r="G4499">
        <f>Data!A4512</f>
        <v>0</v>
      </c>
      <c r="H4499" s="21">
        <f>Data!B4512</f>
        <v>0</v>
      </c>
      <c r="I4499" s="21">
        <f>Data!C4512</f>
        <v>0</v>
      </c>
      <c r="J4499">
        <f>Data!D4512</f>
        <v>0</v>
      </c>
      <c r="K4499">
        <f>Data!E4512</f>
        <v>0</v>
      </c>
      <c r="L4499">
        <f>Data!F4512</f>
        <v>0</v>
      </c>
      <c r="M4499">
        <f>Data!G4512</f>
        <v>0</v>
      </c>
      <c r="N4499">
        <f>Data!H4512</f>
        <v>0</v>
      </c>
      <c r="O4499">
        <f>Data!I4512</f>
        <v>0</v>
      </c>
      <c r="P4499" s="21">
        <f>Data!J4516</f>
        <v>0</v>
      </c>
      <c r="Q4499">
        <f>Data!K4516</f>
        <v>0</v>
      </c>
      <c r="R4499">
        <f>Data!L4516</f>
        <v>0</v>
      </c>
      <c r="S4499">
        <f>Data!M4516</f>
        <v>0</v>
      </c>
      <c r="T4499">
        <f>Data!N4516</f>
        <v>0</v>
      </c>
      <c r="U4499">
        <f>Data!O4516</f>
        <v>0</v>
      </c>
      <c r="V4499" s="33">
        <f>Data!P4514</f>
        <v>0</v>
      </c>
    </row>
    <row r="4500" spans="7:22" x14ac:dyDescent="0.25">
      <c r="G4500">
        <f>Data!A4513</f>
        <v>0</v>
      </c>
      <c r="H4500" s="21">
        <f>Data!B4513</f>
        <v>0</v>
      </c>
      <c r="I4500" s="21">
        <f>Data!C4513</f>
        <v>0</v>
      </c>
      <c r="J4500">
        <f>Data!D4513</f>
        <v>0</v>
      </c>
      <c r="K4500">
        <f>Data!E4513</f>
        <v>0</v>
      </c>
      <c r="L4500">
        <f>Data!F4513</f>
        <v>0</v>
      </c>
      <c r="M4500">
        <f>Data!G4513</f>
        <v>0</v>
      </c>
      <c r="N4500">
        <f>Data!H4513</f>
        <v>0</v>
      </c>
      <c r="O4500">
        <f>Data!I4513</f>
        <v>0</v>
      </c>
      <c r="P4500" s="21">
        <f>Data!J4517</f>
        <v>0</v>
      </c>
      <c r="Q4500">
        <f>Data!K4517</f>
        <v>0</v>
      </c>
      <c r="R4500">
        <f>Data!L4517</f>
        <v>0</v>
      </c>
      <c r="S4500">
        <f>Data!M4517</f>
        <v>0</v>
      </c>
      <c r="T4500">
        <f>Data!N4517</f>
        <v>0</v>
      </c>
      <c r="U4500">
        <f>Data!O4517</f>
        <v>0</v>
      </c>
      <c r="V4500" s="33">
        <f>Data!P4515</f>
        <v>0</v>
      </c>
    </row>
    <row r="4501" spans="7:22" x14ac:dyDescent="0.25">
      <c r="G4501">
        <f>Data!A4514</f>
        <v>0</v>
      </c>
      <c r="H4501" s="21">
        <f>Data!B4514</f>
        <v>0</v>
      </c>
      <c r="I4501" s="21">
        <f>Data!C4514</f>
        <v>0</v>
      </c>
      <c r="J4501">
        <f>Data!D4514</f>
        <v>0</v>
      </c>
      <c r="K4501">
        <f>Data!E4514</f>
        <v>0</v>
      </c>
      <c r="L4501">
        <f>Data!F4514</f>
        <v>0</v>
      </c>
      <c r="M4501">
        <f>Data!G4514</f>
        <v>0</v>
      </c>
      <c r="N4501">
        <f>Data!H4514</f>
        <v>0</v>
      </c>
      <c r="O4501">
        <f>Data!I4514</f>
        <v>0</v>
      </c>
      <c r="P4501" s="21">
        <f>Data!J4518</f>
        <v>0</v>
      </c>
      <c r="Q4501">
        <f>Data!K4518</f>
        <v>0</v>
      </c>
      <c r="R4501">
        <f>Data!L4518</f>
        <v>0</v>
      </c>
      <c r="S4501">
        <f>Data!M4518</f>
        <v>0</v>
      </c>
      <c r="T4501">
        <f>Data!N4518</f>
        <v>0</v>
      </c>
      <c r="U4501">
        <f>Data!O4518</f>
        <v>0</v>
      </c>
      <c r="V4501" s="33">
        <f>Data!P4516</f>
        <v>0</v>
      </c>
    </row>
    <row r="4502" spans="7:22" x14ac:dyDescent="0.25">
      <c r="G4502">
        <f>Data!A4515</f>
        <v>0</v>
      </c>
      <c r="H4502" s="21">
        <f>Data!B4515</f>
        <v>0</v>
      </c>
      <c r="I4502" s="21">
        <f>Data!C4515</f>
        <v>0</v>
      </c>
      <c r="J4502">
        <f>Data!D4515</f>
        <v>0</v>
      </c>
      <c r="K4502">
        <f>Data!E4515</f>
        <v>0</v>
      </c>
      <c r="L4502">
        <f>Data!F4515</f>
        <v>0</v>
      </c>
      <c r="M4502">
        <f>Data!G4515</f>
        <v>0</v>
      </c>
      <c r="N4502">
        <f>Data!H4515</f>
        <v>0</v>
      </c>
      <c r="O4502">
        <f>Data!I4515</f>
        <v>0</v>
      </c>
      <c r="P4502" s="21">
        <f>Data!J4519</f>
        <v>0</v>
      </c>
      <c r="Q4502">
        <f>Data!K4519</f>
        <v>0</v>
      </c>
      <c r="R4502">
        <f>Data!L4519</f>
        <v>0</v>
      </c>
      <c r="S4502">
        <f>Data!M4519</f>
        <v>0</v>
      </c>
      <c r="T4502">
        <f>Data!N4519</f>
        <v>0</v>
      </c>
      <c r="U4502">
        <f>Data!O4519</f>
        <v>0</v>
      </c>
      <c r="V4502" s="33">
        <f>Data!P4517</f>
        <v>0</v>
      </c>
    </row>
    <row r="4503" spans="7:22" x14ac:dyDescent="0.25">
      <c r="G4503">
        <f>Data!A4516</f>
        <v>0</v>
      </c>
      <c r="H4503" s="21">
        <f>Data!B4516</f>
        <v>0</v>
      </c>
      <c r="I4503" s="21">
        <f>Data!C4516</f>
        <v>0</v>
      </c>
      <c r="J4503">
        <f>Data!D4516</f>
        <v>0</v>
      </c>
      <c r="K4503">
        <f>Data!E4516</f>
        <v>0</v>
      </c>
      <c r="L4503">
        <f>Data!F4516</f>
        <v>0</v>
      </c>
      <c r="M4503">
        <f>Data!G4516</f>
        <v>0</v>
      </c>
      <c r="N4503">
        <f>Data!H4516</f>
        <v>0</v>
      </c>
      <c r="O4503">
        <f>Data!I4516</f>
        <v>0</v>
      </c>
      <c r="P4503" s="21">
        <f>Data!J4520</f>
        <v>0</v>
      </c>
      <c r="Q4503">
        <f>Data!K4520</f>
        <v>0</v>
      </c>
      <c r="R4503">
        <f>Data!L4520</f>
        <v>0</v>
      </c>
      <c r="S4503">
        <f>Data!M4520</f>
        <v>0</v>
      </c>
      <c r="T4503">
        <f>Data!N4520</f>
        <v>0</v>
      </c>
      <c r="U4503">
        <f>Data!O4520</f>
        <v>0</v>
      </c>
      <c r="V4503" s="33">
        <f>Data!P4518</f>
        <v>0</v>
      </c>
    </row>
    <row r="4504" spans="7:22" x14ac:dyDescent="0.25">
      <c r="G4504">
        <f>Data!A4517</f>
        <v>0</v>
      </c>
      <c r="H4504" s="21">
        <f>Data!B4517</f>
        <v>0</v>
      </c>
      <c r="I4504" s="21">
        <f>Data!C4517</f>
        <v>0</v>
      </c>
      <c r="J4504">
        <f>Data!D4517</f>
        <v>0</v>
      </c>
      <c r="K4504">
        <f>Data!E4517</f>
        <v>0</v>
      </c>
      <c r="L4504">
        <f>Data!F4517</f>
        <v>0</v>
      </c>
      <c r="M4504">
        <f>Data!G4517</f>
        <v>0</v>
      </c>
      <c r="N4504">
        <f>Data!H4517</f>
        <v>0</v>
      </c>
      <c r="O4504">
        <f>Data!I4517</f>
        <v>0</v>
      </c>
      <c r="P4504" s="21">
        <f>Data!J4521</f>
        <v>0</v>
      </c>
      <c r="Q4504">
        <f>Data!K4521</f>
        <v>0</v>
      </c>
      <c r="R4504">
        <f>Data!L4521</f>
        <v>0</v>
      </c>
      <c r="S4504">
        <f>Data!M4521</f>
        <v>0</v>
      </c>
      <c r="T4504">
        <f>Data!N4521</f>
        <v>0</v>
      </c>
      <c r="U4504">
        <f>Data!O4521</f>
        <v>0</v>
      </c>
      <c r="V4504" s="33">
        <f>Data!P4519</f>
        <v>0</v>
      </c>
    </row>
    <row r="4505" spans="7:22" x14ac:dyDescent="0.25">
      <c r="G4505">
        <f>Data!A4518</f>
        <v>0</v>
      </c>
      <c r="H4505" s="21">
        <f>Data!B4518</f>
        <v>0</v>
      </c>
      <c r="I4505" s="21">
        <f>Data!C4518</f>
        <v>0</v>
      </c>
      <c r="J4505">
        <f>Data!D4518</f>
        <v>0</v>
      </c>
      <c r="K4505">
        <f>Data!E4518</f>
        <v>0</v>
      </c>
      <c r="L4505">
        <f>Data!F4518</f>
        <v>0</v>
      </c>
      <c r="M4505">
        <f>Data!G4518</f>
        <v>0</v>
      </c>
      <c r="N4505">
        <f>Data!H4518</f>
        <v>0</v>
      </c>
      <c r="O4505">
        <f>Data!I4518</f>
        <v>0</v>
      </c>
      <c r="P4505" s="21">
        <f>Data!J4522</f>
        <v>0</v>
      </c>
      <c r="Q4505">
        <f>Data!K4522</f>
        <v>0</v>
      </c>
      <c r="R4505">
        <f>Data!L4522</f>
        <v>0</v>
      </c>
      <c r="S4505">
        <f>Data!M4522</f>
        <v>0</v>
      </c>
      <c r="T4505">
        <f>Data!N4522</f>
        <v>0</v>
      </c>
      <c r="U4505">
        <f>Data!O4522</f>
        <v>0</v>
      </c>
      <c r="V4505" s="33">
        <f>Data!P4520</f>
        <v>0</v>
      </c>
    </row>
    <row r="4506" spans="7:22" x14ac:dyDescent="0.25">
      <c r="G4506">
        <f>Data!A4519</f>
        <v>0</v>
      </c>
      <c r="H4506" s="21">
        <f>Data!B4519</f>
        <v>0</v>
      </c>
      <c r="I4506" s="21">
        <f>Data!C4519</f>
        <v>0</v>
      </c>
      <c r="J4506">
        <f>Data!D4519</f>
        <v>0</v>
      </c>
      <c r="K4506">
        <f>Data!E4519</f>
        <v>0</v>
      </c>
      <c r="L4506">
        <f>Data!F4519</f>
        <v>0</v>
      </c>
      <c r="M4506">
        <f>Data!G4519</f>
        <v>0</v>
      </c>
      <c r="N4506">
        <f>Data!H4519</f>
        <v>0</v>
      </c>
      <c r="O4506">
        <f>Data!I4519</f>
        <v>0</v>
      </c>
      <c r="P4506" s="21">
        <f>Data!J4523</f>
        <v>0</v>
      </c>
      <c r="Q4506">
        <f>Data!K4523</f>
        <v>0</v>
      </c>
      <c r="R4506">
        <f>Data!L4523</f>
        <v>0</v>
      </c>
      <c r="S4506">
        <f>Data!M4523</f>
        <v>0</v>
      </c>
      <c r="T4506">
        <f>Data!N4523</f>
        <v>0</v>
      </c>
      <c r="U4506">
        <f>Data!O4523</f>
        <v>0</v>
      </c>
      <c r="V4506" s="33">
        <f>Data!P4521</f>
        <v>0</v>
      </c>
    </row>
    <row r="4507" spans="7:22" x14ac:dyDescent="0.25">
      <c r="G4507">
        <f>Data!A4520</f>
        <v>0</v>
      </c>
      <c r="H4507" s="21">
        <f>Data!B4520</f>
        <v>0</v>
      </c>
      <c r="I4507" s="21">
        <f>Data!C4520</f>
        <v>0</v>
      </c>
      <c r="J4507">
        <f>Data!D4520</f>
        <v>0</v>
      </c>
      <c r="K4507">
        <f>Data!E4520</f>
        <v>0</v>
      </c>
      <c r="L4507">
        <f>Data!F4520</f>
        <v>0</v>
      </c>
      <c r="M4507">
        <f>Data!G4520</f>
        <v>0</v>
      </c>
      <c r="N4507">
        <f>Data!H4520</f>
        <v>0</v>
      </c>
      <c r="O4507">
        <f>Data!I4520</f>
        <v>0</v>
      </c>
      <c r="P4507" s="21">
        <f>Data!J4524</f>
        <v>0</v>
      </c>
      <c r="Q4507">
        <f>Data!K4524</f>
        <v>0</v>
      </c>
      <c r="R4507">
        <f>Data!L4524</f>
        <v>0</v>
      </c>
      <c r="S4507">
        <f>Data!M4524</f>
        <v>0</v>
      </c>
      <c r="T4507">
        <f>Data!N4524</f>
        <v>0</v>
      </c>
      <c r="U4507">
        <f>Data!O4524</f>
        <v>0</v>
      </c>
      <c r="V4507" s="33">
        <f>Data!P4522</f>
        <v>0</v>
      </c>
    </row>
    <row r="4508" spans="7:22" x14ac:dyDescent="0.25">
      <c r="G4508">
        <f>Data!A4521</f>
        <v>0</v>
      </c>
      <c r="H4508" s="21">
        <f>Data!B4521</f>
        <v>0</v>
      </c>
      <c r="I4508" s="21">
        <f>Data!C4521</f>
        <v>0</v>
      </c>
      <c r="J4508">
        <f>Data!D4521</f>
        <v>0</v>
      </c>
      <c r="K4508">
        <f>Data!E4521</f>
        <v>0</v>
      </c>
      <c r="L4508">
        <f>Data!F4521</f>
        <v>0</v>
      </c>
      <c r="M4508">
        <f>Data!G4521</f>
        <v>0</v>
      </c>
      <c r="N4508">
        <f>Data!H4521</f>
        <v>0</v>
      </c>
      <c r="O4508">
        <f>Data!I4521</f>
        <v>0</v>
      </c>
      <c r="P4508" s="21">
        <f>Data!J4525</f>
        <v>0</v>
      </c>
      <c r="Q4508">
        <f>Data!K4525</f>
        <v>0</v>
      </c>
      <c r="R4508">
        <f>Data!L4525</f>
        <v>0</v>
      </c>
      <c r="S4508">
        <f>Data!M4525</f>
        <v>0</v>
      </c>
      <c r="T4508">
        <f>Data!N4525</f>
        <v>0</v>
      </c>
      <c r="U4508">
        <f>Data!O4525</f>
        <v>0</v>
      </c>
      <c r="V4508" s="33">
        <f>Data!P4523</f>
        <v>0</v>
      </c>
    </row>
    <row r="4509" spans="7:22" x14ac:dyDescent="0.25">
      <c r="G4509">
        <f>Data!A4522</f>
        <v>0</v>
      </c>
      <c r="H4509" s="21">
        <f>Data!B4522</f>
        <v>0</v>
      </c>
      <c r="I4509" s="21">
        <f>Data!C4522</f>
        <v>0</v>
      </c>
      <c r="J4509">
        <f>Data!D4522</f>
        <v>0</v>
      </c>
      <c r="K4509">
        <f>Data!E4522</f>
        <v>0</v>
      </c>
      <c r="L4509">
        <f>Data!F4522</f>
        <v>0</v>
      </c>
      <c r="M4509">
        <f>Data!G4522</f>
        <v>0</v>
      </c>
      <c r="N4509">
        <f>Data!H4522</f>
        <v>0</v>
      </c>
      <c r="O4509">
        <f>Data!I4522</f>
        <v>0</v>
      </c>
      <c r="P4509" s="21">
        <f>Data!J4526</f>
        <v>0</v>
      </c>
      <c r="Q4509">
        <f>Data!K4526</f>
        <v>0</v>
      </c>
      <c r="R4509">
        <f>Data!L4526</f>
        <v>0</v>
      </c>
      <c r="S4509">
        <f>Data!M4526</f>
        <v>0</v>
      </c>
      <c r="T4509">
        <f>Data!N4526</f>
        <v>0</v>
      </c>
      <c r="U4509">
        <f>Data!O4526</f>
        <v>0</v>
      </c>
      <c r="V4509" s="33">
        <f>Data!P4524</f>
        <v>0</v>
      </c>
    </row>
    <row r="4510" spans="7:22" x14ac:dyDescent="0.25">
      <c r="G4510">
        <f>Data!A4523</f>
        <v>0</v>
      </c>
      <c r="H4510" s="21">
        <f>Data!B4523</f>
        <v>0</v>
      </c>
      <c r="I4510" s="21">
        <f>Data!C4523</f>
        <v>0</v>
      </c>
      <c r="J4510">
        <f>Data!D4523</f>
        <v>0</v>
      </c>
      <c r="K4510">
        <f>Data!E4523</f>
        <v>0</v>
      </c>
      <c r="L4510">
        <f>Data!F4523</f>
        <v>0</v>
      </c>
      <c r="M4510">
        <f>Data!G4523</f>
        <v>0</v>
      </c>
      <c r="N4510">
        <f>Data!H4523</f>
        <v>0</v>
      </c>
      <c r="O4510">
        <f>Data!I4523</f>
        <v>0</v>
      </c>
      <c r="P4510" s="21">
        <f>Data!J4527</f>
        <v>0</v>
      </c>
      <c r="Q4510">
        <f>Data!K4527</f>
        <v>0</v>
      </c>
      <c r="R4510">
        <f>Data!L4527</f>
        <v>0</v>
      </c>
      <c r="S4510">
        <f>Data!M4527</f>
        <v>0</v>
      </c>
      <c r="T4510">
        <f>Data!N4527</f>
        <v>0</v>
      </c>
      <c r="U4510">
        <f>Data!O4527</f>
        <v>0</v>
      </c>
      <c r="V4510" s="33">
        <f>Data!P4525</f>
        <v>0</v>
      </c>
    </row>
    <row r="4511" spans="7:22" x14ac:dyDescent="0.25">
      <c r="G4511">
        <f>Data!A4524</f>
        <v>0</v>
      </c>
      <c r="H4511" s="21">
        <f>Data!B4524</f>
        <v>0</v>
      </c>
      <c r="I4511" s="21">
        <f>Data!C4524</f>
        <v>0</v>
      </c>
      <c r="J4511">
        <f>Data!D4524</f>
        <v>0</v>
      </c>
      <c r="K4511">
        <f>Data!E4524</f>
        <v>0</v>
      </c>
      <c r="L4511">
        <f>Data!F4524</f>
        <v>0</v>
      </c>
      <c r="M4511">
        <f>Data!G4524</f>
        <v>0</v>
      </c>
      <c r="N4511">
        <f>Data!H4524</f>
        <v>0</v>
      </c>
      <c r="O4511">
        <f>Data!I4524</f>
        <v>0</v>
      </c>
      <c r="P4511" s="21">
        <f>Data!J4528</f>
        <v>0</v>
      </c>
      <c r="Q4511">
        <f>Data!K4528</f>
        <v>0</v>
      </c>
      <c r="R4511">
        <f>Data!L4528</f>
        <v>0</v>
      </c>
      <c r="S4511">
        <f>Data!M4528</f>
        <v>0</v>
      </c>
      <c r="T4511">
        <f>Data!N4528</f>
        <v>0</v>
      </c>
      <c r="U4511">
        <f>Data!O4528</f>
        <v>0</v>
      </c>
      <c r="V4511" s="33">
        <f>Data!P4526</f>
        <v>0</v>
      </c>
    </row>
    <row r="4512" spans="7:22" x14ac:dyDescent="0.25">
      <c r="G4512">
        <f>Data!A4525</f>
        <v>0</v>
      </c>
      <c r="H4512" s="21">
        <f>Data!B4525</f>
        <v>0</v>
      </c>
      <c r="I4512" s="21">
        <f>Data!C4525</f>
        <v>0</v>
      </c>
      <c r="J4512">
        <f>Data!D4525</f>
        <v>0</v>
      </c>
      <c r="K4512">
        <f>Data!E4525</f>
        <v>0</v>
      </c>
      <c r="L4512">
        <f>Data!F4525</f>
        <v>0</v>
      </c>
      <c r="M4512">
        <f>Data!G4525</f>
        <v>0</v>
      </c>
      <c r="N4512">
        <f>Data!H4525</f>
        <v>0</v>
      </c>
      <c r="O4512">
        <f>Data!I4525</f>
        <v>0</v>
      </c>
      <c r="P4512" s="21">
        <f>Data!J4529</f>
        <v>0</v>
      </c>
      <c r="Q4512">
        <f>Data!K4529</f>
        <v>0</v>
      </c>
      <c r="R4512">
        <f>Data!L4529</f>
        <v>0</v>
      </c>
      <c r="S4512">
        <f>Data!M4529</f>
        <v>0</v>
      </c>
      <c r="T4512">
        <f>Data!N4529</f>
        <v>0</v>
      </c>
      <c r="U4512">
        <f>Data!O4529</f>
        <v>0</v>
      </c>
      <c r="V4512" s="33">
        <f>Data!P4527</f>
        <v>0</v>
      </c>
    </row>
    <row r="4513" spans="7:22" x14ac:dyDescent="0.25">
      <c r="G4513">
        <f>Data!A4526</f>
        <v>0</v>
      </c>
      <c r="H4513" s="21">
        <f>Data!B4526</f>
        <v>0</v>
      </c>
      <c r="I4513" s="21">
        <f>Data!C4526</f>
        <v>0</v>
      </c>
      <c r="J4513">
        <f>Data!D4526</f>
        <v>0</v>
      </c>
      <c r="K4513">
        <f>Data!E4526</f>
        <v>0</v>
      </c>
      <c r="L4513">
        <f>Data!F4526</f>
        <v>0</v>
      </c>
      <c r="M4513">
        <f>Data!G4526</f>
        <v>0</v>
      </c>
      <c r="N4513">
        <f>Data!H4526</f>
        <v>0</v>
      </c>
      <c r="O4513">
        <f>Data!I4526</f>
        <v>0</v>
      </c>
      <c r="P4513" s="21">
        <f>Data!J4530</f>
        <v>0</v>
      </c>
      <c r="Q4513">
        <f>Data!K4530</f>
        <v>0</v>
      </c>
      <c r="R4513">
        <f>Data!L4530</f>
        <v>0</v>
      </c>
      <c r="S4513">
        <f>Data!M4530</f>
        <v>0</v>
      </c>
      <c r="T4513">
        <f>Data!N4530</f>
        <v>0</v>
      </c>
      <c r="U4513">
        <f>Data!O4530</f>
        <v>0</v>
      </c>
      <c r="V4513" s="33">
        <f>Data!P4528</f>
        <v>0</v>
      </c>
    </row>
    <row r="4514" spans="7:22" x14ac:dyDescent="0.25">
      <c r="G4514">
        <f>Data!A4527</f>
        <v>0</v>
      </c>
      <c r="H4514" s="21">
        <f>Data!B4527</f>
        <v>0</v>
      </c>
      <c r="I4514" s="21">
        <f>Data!C4527</f>
        <v>0</v>
      </c>
      <c r="J4514">
        <f>Data!D4527</f>
        <v>0</v>
      </c>
      <c r="K4514">
        <f>Data!E4527</f>
        <v>0</v>
      </c>
      <c r="L4514">
        <f>Data!F4527</f>
        <v>0</v>
      </c>
      <c r="M4514">
        <f>Data!G4527</f>
        <v>0</v>
      </c>
      <c r="N4514">
        <f>Data!H4527</f>
        <v>0</v>
      </c>
      <c r="O4514">
        <f>Data!I4527</f>
        <v>0</v>
      </c>
      <c r="P4514" s="21">
        <f>Data!J4531</f>
        <v>0</v>
      </c>
      <c r="Q4514">
        <f>Data!K4531</f>
        <v>0</v>
      </c>
      <c r="R4514">
        <f>Data!L4531</f>
        <v>0</v>
      </c>
      <c r="S4514">
        <f>Data!M4531</f>
        <v>0</v>
      </c>
      <c r="T4514">
        <f>Data!N4531</f>
        <v>0</v>
      </c>
      <c r="U4514">
        <f>Data!O4531</f>
        <v>0</v>
      </c>
      <c r="V4514" s="33">
        <f>Data!P4529</f>
        <v>0</v>
      </c>
    </row>
    <row r="4515" spans="7:22" x14ac:dyDescent="0.25">
      <c r="G4515">
        <f>Data!A4528</f>
        <v>0</v>
      </c>
      <c r="H4515" s="21">
        <f>Data!B4528</f>
        <v>0</v>
      </c>
      <c r="I4515" s="21">
        <f>Data!C4528</f>
        <v>0</v>
      </c>
      <c r="J4515">
        <f>Data!D4528</f>
        <v>0</v>
      </c>
      <c r="K4515">
        <f>Data!E4528</f>
        <v>0</v>
      </c>
      <c r="L4515">
        <f>Data!F4528</f>
        <v>0</v>
      </c>
      <c r="M4515">
        <f>Data!G4528</f>
        <v>0</v>
      </c>
      <c r="N4515">
        <f>Data!H4528</f>
        <v>0</v>
      </c>
      <c r="O4515">
        <f>Data!I4528</f>
        <v>0</v>
      </c>
      <c r="P4515" s="21">
        <f>Data!J4532</f>
        <v>0</v>
      </c>
      <c r="Q4515">
        <f>Data!K4532</f>
        <v>0</v>
      </c>
      <c r="R4515">
        <f>Data!L4532</f>
        <v>0</v>
      </c>
      <c r="S4515">
        <f>Data!M4532</f>
        <v>0</v>
      </c>
      <c r="T4515">
        <f>Data!N4532</f>
        <v>0</v>
      </c>
      <c r="U4515">
        <f>Data!O4532</f>
        <v>0</v>
      </c>
      <c r="V4515" s="33">
        <f>Data!P4530</f>
        <v>0</v>
      </c>
    </row>
    <row r="4516" spans="7:22" x14ac:dyDescent="0.25">
      <c r="G4516">
        <f>Data!A4529</f>
        <v>0</v>
      </c>
      <c r="H4516" s="21">
        <f>Data!B4529</f>
        <v>0</v>
      </c>
      <c r="I4516" s="21">
        <f>Data!C4529</f>
        <v>0</v>
      </c>
      <c r="J4516">
        <f>Data!D4529</f>
        <v>0</v>
      </c>
      <c r="K4516">
        <f>Data!E4529</f>
        <v>0</v>
      </c>
      <c r="L4516">
        <f>Data!F4529</f>
        <v>0</v>
      </c>
      <c r="M4516">
        <f>Data!G4529</f>
        <v>0</v>
      </c>
      <c r="N4516">
        <f>Data!H4529</f>
        <v>0</v>
      </c>
      <c r="O4516">
        <f>Data!I4529</f>
        <v>0</v>
      </c>
      <c r="P4516" s="21">
        <f>Data!J4533</f>
        <v>0</v>
      </c>
      <c r="Q4516">
        <f>Data!K4533</f>
        <v>0</v>
      </c>
      <c r="R4516">
        <f>Data!L4533</f>
        <v>0</v>
      </c>
      <c r="S4516">
        <f>Data!M4533</f>
        <v>0</v>
      </c>
      <c r="T4516">
        <f>Data!N4533</f>
        <v>0</v>
      </c>
      <c r="U4516">
        <f>Data!O4533</f>
        <v>0</v>
      </c>
      <c r="V4516" s="33">
        <f>Data!P4531</f>
        <v>0</v>
      </c>
    </row>
    <row r="4517" spans="7:22" x14ac:dyDescent="0.25">
      <c r="G4517">
        <f>Data!A4530</f>
        <v>0</v>
      </c>
      <c r="H4517" s="21">
        <f>Data!B4530</f>
        <v>0</v>
      </c>
      <c r="I4517" s="21">
        <f>Data!C4530</f>
        <v>0</v>
      </c>
      <c r="J4517">
        <f>Data!D4530</f>
        <v>0</v>
      </c>
      <c r="K4517">
        <f>Data!E4530</f>
        <v>0</v>
      </c>
      <c r="L4517">
        <f>Data!F4530</f>
        <v>0</v>
      </c>
      <c r="M4517">
        <f>Data!G4530</f>
        <v>0</v>
      </c>
      <c r="N4517">
        <f>Data!H4530</f>
        <v>0</v>
      </c>
      <c r="O4517">
        <f>Data!I4530</f>
        <v>0</v>
      </c>
      <c r="P4517" s="21">
        <f>Data!J4534</f>
        <v>0</v>
      </c>
      <c r="Q4517">
        <f>Data!K4534</f>
        <v>0</v>
      </c>
      <c r="R4517">
        <f>Data!L4534</f>
        <v>0</v>
      </c>
      <c r="S4517">
        <f>Data!M4534</f>
        <v>0</v>
      </c>
      <c r="T4517">
        <f>Data!N4534</f>
        <v>0</v>
      </c>
      <c r="U4517">
        <f>Data!O4534</f>
        <v>0</v>
      </c>
      <c r="V4517" s="33">
        <f>Data!P4532</f>
        <v>0</v>
      </c>
    </row>
    <row r="4518" spans="7:22" x14ac:dyDescent="0.25">
      <c r="G4518">
        <f>Data!A4531</f>
        <v>0</v>
      </c>
      <c r="H4518" s="21">
        <f>Data!B4531</f>
        <v>0</v>
      </c>
      <c r="I4518" s="21">
        <f>Data!C4531</f>
        <v>0</v>
      </c>
      <c r="J4518">
        <f>Data!D4531</f>
        <v>0</v>
      </c>
      <c r="K4518">
        <f>Data!E4531</f>
        <v>0</v>
      </c>
      <c r="L4518">
        <f>Data!F4531</f>
        <v>0</v>
      </c>
      <c r="M4518">
        <f>Data!G4531</f>
        <v>0</v>
      </c>
      <c r="N4518">
        <f>Data!H4531</f>
        <v>0</v>
      </c>
      <c r="O4518">
        <f>Data!I4531</f>
        <v>0</v>
      </c>
      <c r="P4518" s="21">
        <f>Data!J4535</f>
        <v>0</v>
      </c>
      <c r="Q4518">
        <f>Data!K4535</f>
        <v>0</v>
      </c>
      <c r="R4518">
        <f>Data!L4535</f>
        <v>0</v>
      </c>
      <c r="S4518">
        <f>Data!M4535</f>
        <v>0</v>
      </c>
      <c r="T4518">
        <f>Data!N4535</f>
        <v>0</v>
      </c>
      <c r="U4518">
        <f>Data!O4535</f>
        <v>0</v>
      </c>
      <c r="V4518" s="33">
        <f>Data!P4533</f>
        <v>0</v>
      </c>
    </row>
    <row r="4519" spans="7:22" x14ac:dyDescent="0.25">
      <c r="G4519">
        <f>Data!A4532</f>
        <v>0</v>
      </c>
      <c r="H4519" s="21">
        <f>Data!B4532</f>
        <v>0</v>
      </c>
      <c r="I4519" s="21">
        <f>Data!C4532</f>
        <v>0</v>
      </c>
      <c r="J4519">
        <f>Data!D4532</f>
        <v>0</v>
      </c>
      <c r="K4519">
        <f>Data!E4532</f>
        <v>0</v>
      </c>
      <c r="L4519">
        <f>Data!F4532</f>
        <v>0</v>
      </c>
      <c r="M4519">
        <f>Data!G4532</f>
        <v>0</v>
      </c>
      <c r="N4519">
        <f>Data!H4532</f>
        <v>0</v>
      </c>
      <c r="O4519">
        <f>Data!I4532</f>
        <v>0</v>
      </c>
      <c r="P4519" s="21">
        <f>Data!J4536</f>
        <v>0</v>
      </c>
      <c r="Q4519">
        <f>Data!K4536</f>
        <v>0</v>
      </c>
      <c r="R4519">
        <f>Data!L4536</f>
        <v>0</v>
      </c>
      <c r="S4519">
        <f>Data!M4536</f>
        <v>0</v>
      </c>
      <c r="T4519">
        <f>Data!N4536</f>
        <v>0</v>
      </c>
      <c r="U4519">
        <f>Data!O4536</f>
        <v>0</v>
      </c>
      <c r="V4519" s="33">
        <f>Data!P4534</f>
        <v>0</v>
      </c>
    </row>
    <row r="4520" spans="7:22" x14ac:dyDescent="0.25">
      <c r="G4520">
        <f>Data!A4533</f>
        <v>0</v>
      </c>
      <c r="H4520" s="21">
        <f>Data!B4533</f>
        <v>0</v>
      </c>
      <c r="I4520" s="21">
        <f>Data!C4533</f>
        <v>0</v>
      </c>
      <c r="J4520">
        <f>Data!D4533</f>
        <v>0</v>
      </c>
      <c r="K4520">
        <f>Data!E4533</f>
        <v>0</v>
      </c>
      <c r="L4520">
        <f>Data!F4533</f>
        <v>0</v>
      </c>
      <c r="M4520">
        <f>Data!G4533</f>
        <v>0</v>
      </c>
      <c r="N4520">
        <f>Data!H4533</f>
        <v>0</v>
      </c>
      <c r="O4520">
        <f>Data!I4533</f>
        <v>0</v>
      </c>
      <c r="P4520" s="21">
        <f>Data!J4537</f>
        <v>0</v>
      </c>
      <c r="Q4520">
        <f>Data!K4537</f>
        <v>0</v>
      </c>
      <c r="R4520">
        <f>Data!L4537</f>
        <v>0</v>
      </c>
      <c r="S4520">
        <f>Data!M4537</f>
        <v>0</v>
      </c>
      <c r="T4520">
        <f>Data!N4537</f>
        <v>0</v>
      </c>
      <c r="U4520">
        <f>Data!O4537</f>
        <v>0</v>
      </c>
      <c r="V4520" s="33">
        <f>Data!P4535</f>
        <v>0</v>
      </c>
    </row>
    <row r="4521" spans="7:22" x14ac:dyDescent="0.25">
      <c r="G4521">
        <f>Data!A4534</f>
        <v>0</v>
      </c>
      <c r="H4521" s="21">
        <f>Data!B4534</f>
        <v>0</v>
      </c>
      <c r="I4521" s="21">
        <f>Data!C4534</f>
        <v>0</v>
      </c>
      <c r="J4521">
        <f>Data!D4534</f>
        <v>0</v>
      </c>
      <c r="K4521">
        <f>Data!E4534</f>
        <v>0</v>
      </c>
      <c r="L4521">
        <f>Data!F4534</f>
        <v>0</v>
      </c>
      <c r="M4521">
        <f>Data!G4534</f>
        <v>0</v>
      </c>
      <c r="N4521">
        <f>Data!H4534</f>
        <v>0</v>
      </c>
      <c r="O4521">
        <f>Data!I4534</f>
        <v>0</v>
      </c>
      <c r="P4521" s="21">
        <f>Data!J4538</f>
        <v>0</v>
      </c>
      <c r="Q4521">
        <f>Data!K4538</f>
        <v>0</v>
      </c>
      <c r="R4521">
        <f>Data!L4538</f>
        <v>0</v>
      </c>
      <c r="S4521">
        <f>Data!M4538</f>
        <v>0</v>
      </c>
      <c r="T4521">
        <f>Data!N4538</f>
        <v>0</v>
      </c>
      <c r="U4521">
        <f>Data!O4538</f>
        <v>0</v>
      </c>
      <c r="V4521" s="33">
        <f>Data!P4536</f>
        <v>0</v>
      </c>
    </row>
    <row r="4522" spans="7:22" x14ac:dyDescent="0.25">
      <c r="G4522">
        <f>Data!A4535</f>
        <v>0</v>
      </c>
      <c r="H4522" s="21">
        <f>Data!B4535</f>
        <v>0</v>
      </c>
      <c r="I4522" s="21">
        <f>Data!C4535</f>
        <v>0</v>
      </c>
      <c r="J4522">
        <f>Data!D4535</f>
        <v>0</v>
      </c>
      <c r="K4522">
        <f>Data!E4535</f>
        <v>0</v>
      </c>
      <c r="L4522">
        <f>Data!F4535</f>
        <v>0</v>
      </c>
      <c r="M4522">
        <f>Data!G4535</f>
        <v>0</v>
      </c>
      <c r="N4522">
        <f>Data!H4535</f>
        <v>0</v>
      </c>
      <c r="O4522">
        <f>Data!I4535</f>
        <v>0</v>
      </c>
      <c r="P4522" s="21">
        <f>Data!J4539</f>
        <v>0</v>
      </c>
      <c r="Q4522">
        <f>Data!K4539</f>
        <v>0</v>
      </c>
      <c r="R4522">
        <f>Data!L4539</f>
        <v>0</v>
      </c>
      <c r="S4522">
        <f>Data!M4539</f>
        <v>0</v>
      </c>
      <c r="T4522">
        <f>Data!N4539</f>
        <v>0</v>
      </c>
      <c r="U4522">
        <f>Data!O4539</f>
        <v>0</v>
      </c>
      <c r="V4522" s="33">
        <f>Data!P4537</f>
        <v>0</v>
      </c>
    </row>
    <row r="4523" spans="7:22" x14ac:dyDescent="0.25">
      <c r="G4523">
        <f>Data!A4536</f>
        <v>0</v>
      </c>
      <c r="H4523" s="21">
        <f>Data!B4536</f>
        <v>0</v>
      </c>
      <c r="I4523" s="21">
        <f>Data!C4536</f>
        <v>0</v>
      </c>
      <c r="J4523">
        <f>Data!D4536</f>
        <v>0</v>
      </c>
      <c r="K4523">
        <f>Data!E4536</f>
        <v>0</v>
      </c>
      <c r="L4523">
        <f>Data!F4536</f>
        <v>0</v>
      </c>
      <c r="M4523">
        <f>Data!G4536</f>
        <v>0</v>
      </c>
      <c r="N4523">
        <f>Data!H4536</f>
        <v>0</v>
      </c>
      <c r="O4523">
        <f>Data!I4536</f>
        <v>0</v>
      </c>
      <c r="P4523" s="21">
        <f>Data!J4540</f>
        <v>0</v>
      </c>
      <c r="Q4523">
        <f>Data!K4540</f>
        <v>0</v>
      </c>
      <c r="R4523">
        <f>Data!L4540</f>
        <v>0</v>
      </c>
      <c r="S4523">
        <f>Data!M4540</f>
        <v>0</v>
      </c>
      <c r="T4523">
        <f>Data!N4540</f>
        <v>0</v>
      </c>
      <c r="U4523">
        <f>Data!O4540</f>
        <v>0</v>
      </c>
      <c r="V4523" s="33">
        <f>Data!P4538</f>
        <v>0</v>
      </c>
    </row>
    <row r="4524" spans="7:22" x14ac:dyDescent="0.25">
      <c r="G4524">
        <f>Data!A4537</f>
        <v>0</v>
      </c>
      <c r="H4524" s="21">
        <f>Data!B4537</f>
        <v>0</v>
      </c>
      <c r="I4524" s="21">
        <f>Data!C4537</f>
        <v>0</v>
      </c>
      <c r="J4524">
        <f>Data!D4537</f>
        <v>0</v>
      </c>
      <c r="K4524">
        <f>Data!E4537</f>
        <v>0</v>
      </c>
      <c r="L4524">
        <f>Data!F4537</f>
        <v>0</v>
      </c>
      <c r="M4524">
        <f>Data!G4537</f>
        <v>0</v>
      </c>
      <c r="N4524">
        <f>Data!H4537</f>
        <v>0</v>
      </c>
      <c r="O4524">
        <f>Data!I4537</f>
        <v>0</v>
      </c>
      <c r="P4524" s="21">
        <f>Data!J4541</f>
        <v>0</v>
      </c>
      <c r="Q4524">
        <f>Data!K4541</f>
        <v>0</v>
      </c>
      <c r="R4524">
        <f>Data!L4541</f>
        <v>0</v>
      </c>
      <c r="S4524">
        <f>Data!M4541</f>
        <v>0</v>
      </c>
      <c r="T4524">
        <f>Data!N4541</f>
        <v>0</v>
      </c>
      <c r="U4524">
        <f>Data!O4541</f>
        <v>0</v>
      </c>
      <c r="V4524" s="33">
        <f>Data!P4539</f>
        <v>0</v>
      </c>
    </row>
    <row r="4525" spans="7:22" x14ac:dyDescent="0.25">
      <c r="G4525">
        <f>Data!A4538</f>
        <v>0</v>
      </c>
      <c r="H4525" s="21">
        <f>Data!B4538</f>
        <v>0</v>
      </c>
      <c r="I4525" s="21">
        <f>Data!C4538</f>
        <v>0</v>
      </c>
      <c r="J4525">
        <f>Data!D4538</f>
        <v>0</v>
      </c>
      <c r="K4525">
        <f>Data!E4538</f>
        <v>0</v>
      </c>
      <c r="L4525">
        <f>Data!F4538</f>
        <v>0</v>
      </c>
      <c r="M4525">
        <f>Data!G4538</f>
        <v>0</v>
      </c>
      <c r="N4525">
        <f>Data!H4538</f>
        <v>0</v>
      </c>
      <c r="O4525">
        <f>Data!I4538</f>
        <v>0</v>
      </c>
      <c r="P4525" s="21">
        <f>Data!J4542</f>
        <v>0</v>
      </c>
      <c r="Q4525">
        <f>Data!K4542</f>
        <v>0</v>
      </c>
      <c r="R4525">
        <f>Data!L4542</f>
        <v>0</v>
      </c>
      <c r="S4525">
        <f>Data!M4542</f>
        <v>0</v>
      </c>
      <c r="T4525">
        <f>Data!N4542</f>
        <v>0</v>
      </c>
      <c r="U4525">
        <f>Data!O4542</f>
        <v>0</v>
      </c>
      <c r="V4525" s="33">
        <f>Data!P4540</f>
        <v>0</v>
      </c>
    </row>
    <row r="4526" spans="7:22" x14ac:dyDescent="0.25">
      <c r="G4526">
        <f>Data!A4539</f>
        <v>0</v>
      </c>
      <c r="H4526" s="21">
        <f>Data!B4539</f>
        <v>0</v>
      </c>
      <c r="I4526" s="21">
        <f>Data!C4539</f>
        <v>0</v>
      </c>
      <c r="J4526">
        <f>Data!D4539</f>
        <v>0</v>
      </c>
      <c r="K4526">
        <f>Data!E4539</f>
        <v>0</v>
      </c>
      <c r="L4526">
        <f>Data!F4539</f>
        <v>0</v>
      </c>
      <c r="M4526">
        <f>Data!G4539</f>
        <v>0</v>
      </c>
      <c r="N4526">
        <f>Data!H4539</f>
        <v>0</v>
      </c>
      <c r="O4526">
        <f>Data!I4539</f>
        <v>0</v>
      </c>
      <c r="P4526" s="21">
        <f>Data!J4543</f>
        <v>0</v>
      </c>
      <c r="Q4526">
        <f>Data!K4543</f>
        <v>0</v>
      </c>
      <c r="R4526">
        <f>Data!L4543</f>
        <v>0</v>
      </c>
      <c r="S4526">
        <f>Data!M4543</f>
        <v>0</v>
      </c>
      <c r="T4526">
        <f>Data!N4543</f>
        <v>0</v>
      </c>
      <c r="U4526">
        <f>Data!O4543</f>
        <v>0</v>
      </c>
      <c r="V4526" s="33">
        <f>Data!P4541</f>
        <v>0</v>
      </c>
    </row>
    <row r="4527" spans="7:22" x14ac:dyDescent="0.25">
      <c r="G4527">
        <f>Data!A4540</f>
        <v>0</v>
      </c>
      <c r="H4527" s="21">
        <f>Data!B4540</f>
        <v>0</v>
      </c>
      <c r="I4527" s="21">
        <f>Data!C4540</f>
        <v>0</v>
      </c>
      <c r="J4527">
        <f>Data!D4540</f>
        <v>0</v>
      </c>
      <c r="K4527">
        <f>Data!E4540</f>
        <v>0</v>
      </c>
      <c r="L4527">
        <f>Data!F4540</f>
        <v>0</v>
      </c>
      <c r="M4527">
        <f>Data!G4540</f>
        <v>0</v>
      </c>
      <c r="N4527">
        <f>Data!H4540</f>
        <v>0</v>
      </c>
      <c r="O4527">
        <f>Data!I4540</f>
        <v>0</v>
      </c>
      <c r="P4527" s="21">
        <f>Data!J4544</f>
        <v>0</v>
      </c>
      <c r="Q4527">
        <f>Data!K4544</f>
        <v>0</v>
      </c>
      <c r="R4527">
        <f>Data!L4544</f>
        <v>0</v>
      </c>
      <c r="S4527">
        <f>Data!M4544</f>
        <v>0</v>
      </c>
      <c r="T4527">
        <f>Data!N4544</f>
        <v>0</v>
      </c>
      <c r="U4527">
        <f>Data!O4544</f>
        <v>0</v>
      </c>
      <c r="V4527" s="33">
        <f>Data!P4542</f>
        <v>0</v>
      </c>
    </row>
    <row r="4528" spans="7:22" x14ac:dyDescent="0.25">
      <c r="G4528">
        <f>Data!A4541</f>
        <v>0</v>
      </c>
      <c r="H4528" s="21">
        <f>Data!B4541</f>
        <v>0</v>
      </c>
      <c r="I4528" s="21">
        <f>Data!C4541</f>
        <v>0</v>
      </c>
      <c r="J4528">
        <f>Data!D4541</f>
        <v>0</v>
      </c>
      <c r="K4528">
        <f>Data!E4541</f>
        <v>0</v>
      </c>
      <c r="L4528">
        <f>Data!F4541</f>
        <v>0</v>
      </c>
      <c r="M4528">
        <f>Data!G4541</f>
        <v>0</v>
      </c>
      <c r="N4528">
        <f>Data!H4541</f>
        <v>0</v>
      </c>
      <c r="O4528">
        <f>Data!I4541</f>
        <v>0</v>
      </c>
      <c r="P4528" s="21">
        <f>Data!J4545</f>
        <v>0</v>
      </c>
      <c r="Q4528">
        <f>Data!K4545</f>
        <v>0</v>
      </c>
      <c r="R4528">
        <f>Data!L4545</f>
        <v>0</v>
      </c>
      <c r="S4528">
        <f>Data!M4545</f>
        <v>0</v>
      </c>
      <c r="T4528">
        <f>Data!N4545</f>
        <v>0</v>
      </c>
      <c r="U4528">
        <f>Data!O4545</f>
        <v>0</v>
      </c>
      <c r="V4528" s="33">
        <f>Data!P4543</f>
        <v>0</v>
      </c>
    </row>
    <row r="4529" spans="7:22" x14ac:dyDescent="0.25">
      <c r="G4529">
        <f>Data!A4542</f>
        <v>0</v>
      </c>
      <c r="H4529" s="21">
        <f>Data!B4542</f>
        <v>0</v>
      </c>
      <c r="I4529" s="21">
        <f>Data!C4542</f>
        <v>0</v>
      </c>
      <c r="J4529">
        <f>Data!D4542</f>
        <v>0</v>
      </c>
      <c r="K4529">
        <f>Data!E4542</f>
        <v>0</v>
      </c>
      <c r="L4529">
        <f>Data!F4542</f>
        <v>0</v>
      </c>
      <c r="M4529">
        <f>Data!G4542</f>
        <v>0</v>
      </c>
      <c r="N4529">
        <f>Data!H4542</f>
        <v>0</v>
      </c>
      <c r="O4529">
        <f>Data!I4542</f>
        <v>0</v>
      </c>
      <c r="P4529" s="21">
        <f>Data!J4546</f>
        <v>0</v>
      </c>
      <c r="Q4529">
        <f>Data!K4546</f>
        <v>0</v>
      </c>
      <c r="R4529">
        <f>Data!L4546</f>
        <v>0</v>
      </c>
      <c r="S4529">
        <f>Data!M4546</f>
        <v>0</v>
      </c>
      <c r="T4529">
        <f>Data!N4546</f>
        <v>0</v>
      </c>
      <c r="U4529">
        <f>Data!O4546</f>
        <v>0</v>
      </c>
      <c r="V4529" s="33">
        <f>Data!P4544</f>
        <v>0</v>
      </c>
    </row>
    <row r="4530" spans="7:22" x14ac:dyDescent="0.25">
      <c r="G4530">
        <f>Data!A4543</f>
        <v>0</v>
      </c>
      <c r="H4530" s="21">
        <f>Data!B4543</f>
        <v>0</v>
      </c>
      <c r="I4530" s="21">
        <f>Data!C4543</f>
        <v>0</v>
      </c>
      <c r="J4530">
        <f>Data!D4543</f>
        <v>0</v>
      </c>
      <c r="K4530">
        <f>Data!E4543</f>
        <v>0</v>
      </c>
      <c r="L4530">
        <f>Data!F4543</f>
        <v>0</v>
      </c>
      <c r="M4530">
        <f>Data!G4543</f>
        <v>0</v>
      </c>
      <c r="N4530">
        <f>Data!H4543</f>
        <v>0</v>
      </c>
      <c r="O4530">
        <f>Data!I4543</f>
        <v>0</v>
      </c>
      <c r="P4530" s="21">
        <f>Data!J4547</f>
        <v>0</v>
      </c>
      <c r="Q4530">
        <f>Data!K4547</f>
        <v>0</v>
      </c>
      <c r="R4530">
        <f>Data!L4547</f>
        <v>0</v>
      </c>
      <c r="S4530">
        <f>Data!M4547</f>
        <v>0</v>
      </c>
      <c r="T4530">
        <f>Data!N4547</f>
        <v>0</v>
      </c>
      <c r="U4530">
        <f>Data!O4547</f>
        <v>0</v>
      </c>
      <c r="V4530" s="33">
        <f>Data!P4545</f>
        <v>0</v>
      </c>
    </row>
    <row r="4531" spans="7:22" x14ac:dyDescent="0.25">
      <c r="G4531">
        <f>Data!A4544</f>
        <v>0</v>
      </c>
      <c r="H4531" s="21">
        <f>Data!B4544</f>
        <v>0</v>
      </c>
      <c r="I4531" s="21">
        <f>Data!C4544</f>
        <v>0</v>
      </c>
      <c r="J4531">
        <f>Data!D4544</f>
        <v>0</v>
      </c>
      <c r="K4531">
        <f>Data!E4544</f>
        <v>0</v>
      </c>
      <c r="L4531">
        <f>Data!F4544</f>
        <v>0</v>
      </c>
      <c r="M4531">
        <f>Data!G4544</f>
        <v>0</v>
      </c>
      <c r="N4531">
        <f>Data!H4544</f>
        <v>0</v>
      </c>
      <c r="O4531">
        <f>Data!I4544</f>
        <v>0</v>
      </c>
      <c r="P4531" s="21">
        <f>Data!J4548</f>
        <v>0</v>
      </c>
      <c r="Q4531">
        <f>Data!K4548</f>
        <v>0</v>
      </c>
      <c r="R4531">
        <f>Data!L4548</f>
        <v>0</v>
      </c>
      <c r="S4531">
        <f>Data!M4548</f>
        <v>0</v>
      </c>
      <c r="T4531">
        <f>Data!N4548</f>
        <v>0</v>
      </c>
      <c r="U4531">
        <f>Data!O4548</f>
        <v>0</v>
      </c>
      <c r="V4531" s="33">
        <f>Data!P4546</f>
        <v>0</v>
      </c>
    </row>
    <row r="4532" spans="7:22" x14ac:dyDescent="0.25">
      <c r="G4532">
        <f>Data!A4545</f>
        <v>0</v>
      </c>
      <c r="H4532" s="21">
        <f>Data!B4545</f>
        <v>0</v>
      </c>
      <c r="I4532" s="21">
        <f>Data!C4545</f>
        <v>0</v>
      </c>
      <c r="J4532">
        <f>Data!D4545</f>
        <v>0</v>
      </c>
      <c r="K4532">
        <f>Data!E4545</f>
        <v>0</v>
      </c>
      <c r="L4532">
        <f>Data!F4545</f>
        <v>0</v>
      </c>
      <c r="M4532">
        <f>Data!G4545</f>
        <v>0</v>
      </c>
      <c r="N4532">
        <f>Data!H4545</f>
        <v>0</v>
      </c>
      <c r="O4532">
        <f>Data!I4545</f>
        <v>0</v>
      </c>
      <c r="P4532" s="21">
        <f>Data!J4549</f>
        <v>0</v>
      </c>
      <c r="Q4532">
        <f>Data!K4549</f>
        <v>0</v>
      </c>
      <c r="R4532">
        <f>Data!L4549</f>
        <v>0</v>
      </c>
      <c r="S4532">
        <f>Data!M4549</f>
        <v>0</v>
      </c>
      <c r="T4532">
        <f>Data!N4549</f>
        <v>0</v>
      </c>
      <c r="U4532">
        <f>Data!O4549</f>
        <v>0</v>
      </c>
      <c r="V4532" s="33">
        <f>Data!P4547</f>
        <v>0</v>
      </c>
    </row>
    <row r="4533" spans="7:22" x14ac:dyDescent="0.25">
      <c r="G4533">
        <f>Data!A4546</f>
        <v>0</v>
      </c>
      <c r="H4533" s="21">
        <f>Data!B4546</f>
        <v>0</v>
      </c>
      <c r="I4533" s="21">
        <f>Data!C4546</f>
        <v>0</v>
      </c>
      <c r="J4533">
        <f>Data!D4546</f>
        <v>0</v>
      </c>
      <c r="K4533">
        <f>Data!E4546</f>
        <v>0</v>
      </c>
      <c r="L4533">
        <f>Data!F4546</f>
        <v>0</v>
      </c>
      <c r="M4533">
        <f>Data!G4546</f>
        <v>0</v>
      </c>
      <c r="N4533">
        <f>Data!H4546</f>
        <v>0</v>
      </c>
      <c r="O4533">
        <f>Data!I4546</f>
        <v>0</v>
      </c>
      <c r="P4533" s="21">
        <f>Data!J4550</f>
        <v>0</v>
      </c>
      <c r="Q4533">
        <f>Data!K4550</f>
        <v>0</v>
      </c>
      <c r="R4533">
        <f>Data!L4550</f>
        <v>0</v>
      </c>
      <c r="S4533">
        <f>Data!M4550</f>
        <v>0</v>
      </c>
      <c r="T4533">
        <f>Data!N4550</f>
        <v>0</v>
      </c>
      <c r="U4533">
        <f>Data!O4550</f>
        <v>0</v>
      </c>
      <c r="V4533" s="33">
        <f>Data!P4548</f>
        <v>0</v>
      </c>
    </row>
    <row r="4534" spans="7:22" x14ac:dyDescent="0.25">
      <c r="G4534">
        <f>Data!A4547</f>
        <v>0</v>
      </c>
      <c r="H4534" s="21">
        <f>Data!B4547</f>
        <v>0</v>
      </c>
      <c r="I4534" s="21">
        <f>Data!C4547</f>
        <v>0</v>
      </c>
      <c r="J4534">
        <f>Data!D4547</f>
        <v>0</v>
      </c>
      <c r="K4534">
        <f>Data!E4547</f>
        <v>0</v>
      </c>
      <c r="L4534">
        <f>Data!F4547</f>
        <v>0</v>
      </c>
      <c r="M4534">
        <f>Data!G4547</f>
        <v>0</v>
      </c>
      <c r="N4534">
        <f>Data!H4547</f>
        <v>0</v>
      </c>
      <c r="O4534">
        <f>Data!I4547</f>
        <v>0</v>
      </c>
      <c r="P4534" s="21">
        <f>Data!J4551</f>
        <v>0</v>
      </c>
      <c r="Q4534">
        <f>Data!K4551</f>
        <v>0</v>
      </c>
      <c r="R4534">
        <f>Data!L4551</f>
        <v>0</v>
      </c>
      <c r="S4534">
        <f>Data!M4551</f>
        <v>0</v>
      </c>
      <c r="T4534">
        <f>Data!N4551</f>
        <v>0</v>
      </c>
      <c r="U4534">
        <f>Data!O4551</f>
        <v>0</v>
      </c>
      <c r="V4534" s="33">
        <f>Data!P4549</f>
        <v>0</v>
      </c>
    </row>
    <row r="4535" spans="7:22" x14ac:dyDescent="0.25">
      <c r="G4535">
        <f>Data!A4548</f>
        <v>0</v>
      </c>
      <c r="H4535" s="21">
        <f>Data!B4548</f>
        <v>0</v>
      </c>
      <c r="I4535" s="21">
        <f>Data!C4548</f>
        <v>0</v>
      </c>
      <c r="J4535">
        <f>Data!D4548</f>
        <v>0</v>
      </c>
      <c r="K4535">
        <f>Data!E4548</f>
        <v>0</v>
      </c>
      <c r="L4535">
        <f>Data!F4548</f>
        <v>0</v>
      </c>
      <c r="M4535">
        <f>Data!G4548</f>
        <v>0</v>
      </c>
      <c r="N4535">
        <f>Data!H4548</f>
        <v>0</v>
      </c>
      <c r="O4535">
        <f>Data!I4548</f>
        <v>0</v>
      </c>
      <c r="P4535" s="21">
        <f>Data!J4552</f>
        <v>0</v>
      </c>
      <c r="Q4535">
        <f>Data!K4552</f>
        <v>0</v>
      </c>
      <c r="R4535">
        <f>Data!L4552</f>
        <v>0</v>
      </c>
      <c r="S4535">
        <f>Data!M4552</f>
        <v>0</v>
      </c>
      <c r="T4535">
        <f>Data!N4552</f>
        <v>0</v>
      </c>
      <c r="U4535">
        <f>Data!O4552</f>
        <v>0</v>
      </c>
      <c r="V4535" s="33">
        <f>Data!P4550</f>
        <v>0</v>
      </c>
    </row>
    <row r="4536" spans="7:22" x14ac:dyDescent="0.25">
      <c r="G4536">
        <f>Data!A4549</f>
        <v>0</v>
      </c>
      <c r="H4536" s="21">
        <f>Data!B4549</f>
        <v>0</v>
      </c>
      <c r="I4536" s="21">
        <f>Data!C4549</f>
        <v>0</v>
      </c>
      <c r="J4536">
        <f>Data!D4549</f>
        <v>0</v>
      </c>
      <c r="K4536">
        <f>Data!E4549</f>
        <v>0</v>
      </c>
      <c r="L4536">
        <f>Data!F4549</f>
        <v>0</v>
      </c>
      <c r="M4536">
        <f>Data!G4549</f>
        <v>0</v>
      </c>
      <c r="N4536">
        <f>Data!H4549</f>
        <v>0</v>
      </c>
      <c r="O4536">
        <f>Data!I4549</f>
        <v>0</v>
      </c>
      <c r="P4536" s="21">
        <f>Data!J4553</f>
        <v>0</v>
      </c>
      <c r="Q4536">
        <f>Data!K4553</f>
        <v>0</v>
      </c>
      <c r="R4536">
        <f>Data!L4553</f>
        <v>0</v>
      </c>
      <c r="S4536">
        <f>Data!M4553</f>
        <v>0</v>
      </c>
      <c r="T4536">
        <f>Data!N4553</f>
        <v>0</v>
      </c>
      <c r="U4536">
        <f>Data!O4553</f>
        <v>0</v>
      </c>
      <c r="V4536" s="33">
        <f>Data!P4551</f>
        <v>0</v>
      </c>
    </row>
    <row r="4537" spans="7:22" x14ac:dyDescent="0.25">
      <c r="G4537">
        <f>Data!A4550</f>
        <v>0</v>
      </c>
      <c r="H4537" s="21">
        <f>Data!B4550</f>
        <v>0</v>
      </c>
      <c r="I4537" s="21">
        <f>Data!C4550</f>
        <v>0</v>
      </c>
      <c r="J4537">
        <f>Data!D4550</f>
        <v>0</v>
      </c>
      <c r="K4537">
        <f>Data!E4550</f>
        <v>0</v>
      </c>
      <c r="L4537">
        <f>Data!F4550</f>
        <v>0</v>
      </c>
      <c r="M4537">
        <f>Data!G4550</f>
        <v>0</v>
      </c>
      <c r="N4537">
        <f>Data!H4550</f>
        <v>0</v>
      </c>
      <c r="O4537">
        <f>Data!I4550</f>
        <v>0</v>
      </c>
      <c r="P4537" s="21">
        <f>Data!J4554</f>
        <v>0</v>
      </c>
      <c r="Q4537">
        <f>Data!K4554</f>
        <v>0</v>
      </c>
      <c r="R4537">
        <f>Data!L4554</f>
        <v>0</v>
      </c>
      <c r="S4537">
        <f>Data!M4554</f>
        <v>0</v>
      </c>
      <c r="T4537">
        <f>Data!N4554</f>
        <v>0</v>
      </c>
      <c r="U4537">
        <f>Data!O4554</f>
        <v>0</v>
      </c>
      <c r="V4537" s="33">
        <f>Data!P4552</f>
        <v>0</v>
      </c>
    </row>
    <row r="4538" spans="7:22" x14ac:dyDescent="0.25">
      <c r="G4538">
        <f>Data!A4551</f>
        <v>0</v>
      </c>
      <c r="H4538" s="21">
        <f>Data!B4551</f>
        <v>0</v>
      </c>
      <c r="I4538" s="21">
        <f>Data!C4551</f>
        <v>0</v>
      </c>
      <c r="J4538">
        <f>Data!D4551</f>
        <v>0</v>
      </c>
      <c r="K4538">
        <f>Data!E4551</f>
        <v>0</v>
      </c>
      <c r="L4538">
        <f>Data!F4551</f>
        <v>0</v>
      </c>
      <c r="M4538">
        <f>Data!G4551</f>
        <v>0</v>
      </c>
      <c r="N4538">
        <f>Data!H4551</f>
        <v>0</v>
      </c>
      <c r="O4538">
        <f>Data!I4551</f>
        <v>0</v>
      </c>
      <c r="P4538" s="21">
        <f>Data!J4555</f>
        <v>0</v>
      </c>
      <c r="Q4538">
        <f>Data!K4555</f>
        <v>0</v>
      </c>
      <c r="R4538">
        <f>Data!L4555</f>
        <v>0</v>
      </c>
      <c r="S4538">
        <f>Data!M4555</f>
        <v>0</v>
      </c>
      <c r="T4538">
        <f>Data!N4555</f>
        <v>0</v>
      </c>
      <c r="U4538">
        <f>Data!O4555</f>
        <v>0</v>
      </c>
      <c r="V4538" s="33">
        <f>Data!P4553</f>
        <v>0</v>
      </c>
    </row>
    <row r="4539" spans="7:22" x14ac:dyDescent="0.25">
      <c r="G4539">
        <f>Data!A4552</f>
        <v>0</v>
      </c>
      <c r="H4539" s="21">
        <f>Data!B4552</f>
        <v>0</v>
      </c>
      <c r="I4539" s="21">
        <f>Data!C4552</f>
        <v>0</v>
      </c>
      <c r="J4539">
        <f>Data!D4552</f>
        <v>0</v>
      </c>
      <c r="K4539">
        <f>Data!E4552</f>
        <v>0</v>
      </c>
      <c r="L4539">
        <f>Data!F4552</f>
        <v>0</v>
      </c>
      <c r="M4539">
        <f>Data!G4552</f>
        <v>0</v>
      </c>
      <c r="N4539">
        <f>Data!H4552</f>
        <v>0</v>
      </c>
      <c r="O4539">
        <f>Data!I4552</f>
        <v>0</v>
      </c>
      <c r="P4539" s="21">
        <f>Data!J4556</f>
        <v>0</v>
      </c>
      <c r="Q4539">
        <f>Data!K4556</f>
        <v>0</v>
      </c>
      <c r="R4539">
        <f>Data!L4556</f>
        <v>0</v>
      </c>
      <c r="S4539">
        <f>Data!M4556</f>
        <v>0</v>
      </c>
      <c r="T4539">
        <f>Data!N4556</f>
        <v>0</v>
      </c>
      <c r="U4539">
        <f>Data!O4556</f>
        <v>0</v>
      </c>
      <c r="V4539" s="33">
        <f>Data!P4554</f>
        <v>0</v>
      </c>
    </row>
    <row r="4540" spans="7:22" x14ac:dyDescent="0.25">
      <c r="G4540">
        <f>Data!A4553</f>
        <v>0</v>
      </c>
      <c r="H4540" s="21">
        <f>Data!B4553</f>
        <v>0</v>
      </c>
      <c r="I4540" s="21">
        <f>Data!C4553</f>
        <v>0</v>
      </c>
      <c r="J4540">
        <f>Data!D4553</f>
        <v>0</v>
      </c>
      <c r="K4540">
        <f>Data!E4553</f>
        <v>0</v>
      </c>
      <c r="L4540">
        <f>Data!F4553</f>
        <v>0</v>
      </c>
      <c r="M4540">
        <f>Data!G4553</f>
        <v>0</v>
      </c>
      <c r="N4540">
        <f>Data!H4553</f>
        <v>0</v>
      </c>
      <c r="O4540">
        <f>Data!I4553</f>
        <v>0</v>
      </c>
      <c r="P4540" s="21">
        <f>Data!J4557</f>
        <v>0</v>
      </c>
      <c r="Q4540">
        <f>Data!K4557</f>
        <v>0</v>
      </c>
      <c r="R4540">
        <f>Data!L4557</f>
        <v>0</v>
      </c>
      <c r="S4540">
        <f>Data!M4557</f>
        <v>0</v>
      </c>
      <c r="T4540">
        <f>Data!N4557</f>
        <v>0</v>
      </c>
      <c r="U4540">
        <f>Data!O4557</f>
        <v>0</v>
      </c>
      <c r="V4540" s="33">
        <f>Data!P4555</f>
        <v>0</v>
      </c>
    </row>
    <row r="4541" spans="7:22" x14ac:dyDescent="0.25">
      <c r="G4541">
        <f>Data!A4554</f>
        <v>0</v>
      </c>
      <c r="H4541" s="21">
        <f>Data!B4554</f>
        <v>0</v>
      </c>
      <c r="I4541" s="21">
        <f>Data!C4554</f>
        <v>0</v>
      </c>
      <c r="J4541">
        <f>Data!D4554</f>
        <v>0</v>
      </c>
      <c r="K4541">
        <f>Data!E4554</f>
        <v>0</v>
      </c>
      <c r="L4541">
        <f>Data!F4554</f>
        <v>0</v>
      </c>
      <c r="M4541">
        <f>Data!G4554</f>
        <v>0</v>
      </c>
      <c r="N4541">
        <f>Data!H4554</f>
        <v>0</v>
      </c>
      <c r="O4541">
        <f>Data!I4554</f>
        <v>0</v>
      </c>
      <c r="P4541" s="21">
        <f>Data!J4558</f>
        <v>0</v>
      </c>
      <c r="Q4541">
        <f>Data!K4558</f>
        <v>0</v>
      </c>
      <c r="R4541">
        <f>Data!L4558</f>
        <v>0</v>
      </c>
      <c r="S4541">
        <f>Data!M4558</f>
        <v>0</v>
      </c>
      <c r="T4541">
        <f>Data!N4558</f>
        <v>0</v>
      </c>
      <c r="U4541">
        <f>Data!O4558</f>
        <v>0</v>
      </c>
      <c r="V4541" s="33">
        <f>Data!P4556</f>
        <v>0</v>
      </c>
    </row>
    <row r="4542" spans="7:22" x14ac:dyDescent="0.25">
      <c r="G4542">
        <f>Data!A4555</f>
        <v>0</v>
      </c>
      <c r="H4542" s="21">
        <f>Data!B4555</f>
        <v>0</v>
      </c>
      <c r="I4542" s="21">
        <f>Data!C4555</f>
        <v>0</v>
      </c>
      <c r="J4542">
        <f>Data!D4555</f>
        <v>0</v>
      </c>
      <c r="K4542">
        <f>Data!E4555</f>
        <v>0</v>
      </c>
      <c r="L4542">
        <f>Data!F4555</f>
        <v>0</v>
      </c>
      <c r="M4542">
        <f>Data!G4555</f>
        <v>0</v>
      </c>
      <c r="N4542">
        <f>Data!H4555</f>
        <v>0</v>
      </c>
      <c r="O4542">
        <f>Data!I4555</f>
        <v>0</v>
      </c>
      <c r="P4542" s="21">
        <f>Data!J4559</f>
        <v>0</v>
      </c>
      <c r="Q4542">
        <f>Data!K4559</f>
        <v>0</v>
      </c>
      <c r="R4542">
        <f>Data!L4559</f>
        <v>0</v>
      </c>
      <c r="S4542">
        <f>Data!M4559</f>
        <v>0</v>
      </c>
      <c r="T4542">
        <f>Data!N4559</f>
        <v>0</v>
      </c>
      <c r="U4542">
        <f>Data!O4559</f>
        <v>0</v>
      </c>
      <c r="V4542" s="33">
        <f>Data!P4557</f>
        <v>0</v>
      </c>
    </row>
    <row r="4543" spans="7:22" x14ac:dyDescent="0.25">
      <c r="G4543">
        <f>Data!A4556</f>
        <v>0</v>
      </c>
      <c r="H4543" s="21">
        <f>Data!B4556</f>
        <v>0</v>
      </c>
      <c r="I4543" s="21">
        <f>Data!C4556</f>
        <v>0</v>
      </c>
      <c r="J4543">
        <f>Data!D4556</f>
        <v>0</v>
      </c>
      <c r="K4543">
        <f>Data!E4556</f>
        <v>0</v>
      </c>
      <c r="L4543">
        <f>Data!F4556</f>
        <v>0</v>
      </c>
      <c r="M4543">
        <f>Data!G4556</f>
        <v>0</v>
      </c>
      <c r="N4543">
        <f>Data!H4556</f>
        <v>0</v>
      </c>
      <c r="O4543">
        <f>Data!I4556</f>
        <v>0</v>
      </c>
      <c r="P4543" s="21">
        <f>Data!J4560</f>
        <v>0</v>
      </c>
      <c r="Q4543">
        <f>Data!K4560</f>
        <v>0</v>
      </c>
      <c r="R4543">
        <f>Data!L4560</f>
        <v>0</v>
      </c>
      <c r="S4543">
        <f>Data!M4560</f>
        <v>0</v>
      </c>
      <c r="T4543">
        <f>Data!N4560</f>
        <v>0</v>
      </c>
      <c r="U4543">
        <f>Data!O4560</f>
        <v>0</v>
      </c>
      <c r="V4543" s="33">
        <f>Data!P4558</f>
        <v>0</v>
      </c>
    </row>
    <row r="4544" spans="7:22" x14ac:dyDescent="0.25">
      <c r="G4544">
        <f>Data!A4557</f>
        <v>0</v>
      </c>
      <c r="H4544" s="21">
        <f>Data!B4557</f>
        <v>0</v>
      </c>
      <c r="I4544" s="21">
        <f>Data!C4557</f>
        <v>0</v>
      </c>
      <c r="J4544">
        <f>Data!D4557</f>
        <v>0</v>
      </c>
      <c r="K4544">
        <f>Data!E4557</f>
        <v>0</v>
      </c>
      <c r="L4544">
        <f>Data!F4557</f>
        <v>0</v>
      </c>
      <c r="M4544">
        <f>Data!G4557</f>
        <v>0</v>
      </c>
      <c r="N4544">
        <f>Data!H4557</f>
        <v>0</v>
      </c>
      <c r="O4544">
        <f>Data!I4557</f>
        <v>0</v>
      </c>
      <c r="P4544" s="21">
        <f>Data!J4561</f>
        <v>0</v>
      </c>
      <c r="Q4544">
        <f>Data!K4561</f>
        <v>0</v>
      </c>
      <c r="R4544">
        <f>Data!L4561</f>
        <v>0</v>
      </c>
      <c r="S4544">
        <f>Data!M4561</f>
        <v>0</v>
      </c>
      <c r="T4544">
        <f>Data!N4561</f>
        <v>0</v>
      </c>
      <c r="U4544">
        <f>Data!O4561</f>
        <v>0</v>
      </c>
      <c r="V4544" s="33">
        <f>Data!P4559</f>
        <v>0</v>
      </c>
    </row>
    <row r="4545" spans="7:22" x14ac:dyDescent="0.25">
      <c r="G4545">
        <f>Data!A4558</f>
        <v>0</v>
      </c>
      <c r="H4545" s="21">
        <f>Data!B4558</f>
        <v>0</v>
      </c>
      <c r="I4545" s="21">
        <f>Data!C4558</f>
        <v>0</v>
      </c>
      <c r="J4545">
        <f>Data!D4558</f>
        <v>0</v>
      </c>
      <c r="K4545">
        <f>Data!E4558</f>
        <v>0</v>
      </c>
      <c r="L4545">
        <f>Data!F4558</f>
        <v>0</v>
      </c>
      <c r="M4545">
        <f>Data!G4558</f>
        <v>0</v>
      </c>
      <c r="N4545">
        <f>Data!H4558</f>
        <v>0</v>
      </c>
      <c r="O4545">
        <f>Data!I4558</f>
        <v>0</v>
      </c>
      <c r="P4545" s="21">
        <f>Data!J4562</f>
        <v>0</v>
      </c>
      <c r="Q4545">
        <f>Data!K4562</f>
        <v>0</v>
      </c>
      <c r="R4545">
        <f>Data!L4562</f>
        <v>0</v>
      </c>
      <c r="S4545">
        <f>Data!M4562</f>
        <v>0</v>
      </c>
      <c r="T4545">
        <f>Data!N4562</f>
        <v>0</v>
      </c>
      <c r="U4545">
        <f>Data!O4562</f>
        <v>0</v>
      </c>
      <c r="V4545" s="33">
        <f>Data!P4560</f>
        <v>0</v>
      </c>
    </row>
    <row r="4546" spans="7:22" x14ac:dyDescent="0.25">
      <c r="G4546">
        <f>Data!A4559</f>
        <v>0</v>
      </c>
      <c r="H4546" s="21">
        <f>Data!B4559</f>
        <v>0</v>
      </c>
      <c r="I4546" s="21">
        <f>Data!C4559</f>
        <v>0</v>
      </c>
      <c r="J4546">
        <f>Data!D4559</f>
        <v>0</v>
      </c>
      <c r="K4546">
        <f>Data!E4559</f>
        <v>0</v>
      </c>
      <c r="L4546">
        <f>Data!F4559</f>
        <v>0</v>
      </c>
      <c r="M4546">
        <f>Data!G4559</f>
        <v>0</v>
      </c>
      <c r="N4546">
        <f>Data!H4559</f>
        <v>0</v>
      </c>
      <c r="O4546">
        <f>Data!I4559</f>
        <v>0</v>
      </c>
      <c r="P4546" s="21">
        <f>Data!J4563</f>
        <v>0</v>
      </c>
      <c r="Q4546">
        <f>Data!K4563</f>
        <v>0</v>
      </c>
      <c r="R4546">
        <f>Data!L4563</f>
        <v>0</v>
      </c>
      <c r="S4546">
        <f>Data!M4563</f>
        <v>0</v>
      </c>
      <c r="T4546">
        <f>Data!N4563</f>
        <v>0</v>
      </c>
      <c r="U4546">
        <f>Data!O4563</f>
        <v>0</v>
      </c>
      <c r="V4546" s="33">
        <f>Data!P4561</f>
        <v>0</v>
      </c>
    </row>
    <row r="4547" spans="7:22" x14ac:dyDescent="0.25">
      <c r="G4547">
        <f>Data!A4560</f>
        <v>0</v>
      </c>
      <c r="H4547" s="21">
        <f>Data!B4560</f>
        <v>0</v>
      </c>
      <c r="I4547" s="21">
        <f>Data!C4560</f>
        <v>0</v>
      </c>
      <c r="J4547">
        <f>Data!D4560</f>
        <v>0</v>
      </c>
      <c r="K4547">
        <f>Data!E4560</f>
        <v>0</v>
      </c>
      <c r="L4547">
        <f>Data!F4560</f>
        <v>0</v>
      </c>
      <c r="M4547">
        <f>Data!G4560</f>
        <v>0</v>
      </c>
      <c r="N4547">
        <f>Data!H4560</f>
        <v>0</v>
      </c>
      <c r="O4547">
        <f>Data!I4560</f>
        <v>0</v>
      </c>
      <c r="P4547" s="21">
        <f>Data!J4564</f>
        <v>0</v>
      </c>
      <c r="Q4547">
        <f>Data!K4564</f>
        <v>0</v>
      </c>
      <c r="R4547">
        <f>Data!L4564</f>
        <v>0</v>
      </c>
      <c r="S4547">
        <f>Data!M4564</f>
        <v>0</v>
      </c>
      <c r="T4547">
        <f>Data!N4564</f>
        <v>0</v>
      </c>
      <c r="U4547">
        <f>Data!O4564</f>
        <v>0</v>
      </c>
      <c r="V4547" s="33">
        <f>Data!P4562</f>
        <v>0</v>
      </c>
    </row>
    <row r="4548" spans="7:22" x14ac:dyDescent="0.25">
      <c r="G4548">
        <f>Data!A4561</f>
        <v>0</v>
      </c>
      <c r="H4548" s="21">
        <f>Data!B4561</f>
        <v>0</v>
      </c>
      <c r="I4548" s="21">
        <f>Data!C4561</f>
        <v>0</v>
      </c>
      <c r="J4548">
        <f>Data!D4561</f>
        <v>0</v>
      </c>
      <c r="K4548">
        <f>Data!E4561</f>
        <v>0</v>
      </c>
      <c r="L4548">
        <f>Data!F4561</f>
        <v>0</v>
      </c>
      <c r="M4548">
        <f>Data!G4561</f>
        <v>0</v>
      </c>
      <c r="N4548">
        <f>Data!H4561</f>
        <v>0</v>
      </c>
      <c r="O4548">
        <f>Data!I4561</f>
        <v>0</v>
      </c>
      <c r="P4548" s="21">
        <f>Data!J4565</f>
        <v>0</v>
      </c>
      <c r="Q4548">
        <f>Data!K4565</f>
        <v>0</v>
      </c>
      <c r="R4548">
        <f>Data!L4565</f>
        <v>0</v>
      </c>
      <c r="S4548">
        <f>Data!M4565</f>
        <v>0</v>
      </c>
      <c r="T4548">
        <f>Data!N4565</f>
        <v>0</v>
      </c>
      <c r="U4548">
        <f>Data!O4565</f>
        <v>0</v>
      </c>
      <c r="V4548" s="33">
        <f>Data!P4563</f>
        <v>0</v>
      </c>
    </row>
    <row r="4549" spans="7:22" x14ac:dyDescent="0.25">
      <c r="G4549">
        <f>Data!A4562</f>
        <v>0</v>
      </c>
      <c r="H4549" s="21">
        <f>Data!B4562</f>
        <v>0</v>
      </c>
      <c r="I4549" s="21">
        <f>Data!C4562</f>
        <v>0</v>
      </c>
      <c r="J4549">
        <f>Data!D4562</f>
        <v>0</v>
      </c>
      <c r="K4549">
        <f>Data!E4562</f>
        <v>0</v>
      </c>
      <c r="L4549">
        <f>Data!F4562</f>
        <v>0</v>
      </c>
      <c r="M4549">
        <f>Data!G4562</f>
        <v>0</v>
      </c>
      <c r="N4549">
        <f>Data!H4562</f>
        <v>0</v>
      </c>
      <c r="O4549">
        <f>Data!I4562</f>
        <v>0</v>
      </c>
      <c r="P4549" s="21">
        <f>Data!J4566</f>
        <v>0</v>
      </c>
      <c r="Q4549">
        <f>Data!K4566</f>
        <v>0</v>
      </c>
      <c r="R4549">
        <f>Data!L4566</f>
        <v>0</v>
      </c>
      <c r="S4549">
        <f>Data!M4566</f>
        <v>0</v>
      </c>
      <c r="T4549">
        <f>Data!N4566</f>
        <v>0</v>
      </c>
      <c r="U4549">
        <f>Data!O4566</f>
        <v>0</v>
      </c>
      <c r="V4549" s="33">
        <f>Data!P4564</f>
        <v>0</v>
      </c>
    </row>
    <row r="4550" spans="7:22" x14ac:dyDescent="0.25">
      <c r="G4550">
        <f>Data!A4563</f>
        <v>0</v>
      </c>
      <c r="H4550" s="21">
        <f>Data!B4563</f>
        <v>0</v>
      </c>
      <c r="I4550" s="21">
        <f>Data!C4563</f>
        <v>0</v>
      </c>
      <c r="J4550">
        <f>Data!D4563</f>
        <v>0</v>
      </c>
      <c r="K4550">
        <f>Data!E4563</f>
        <v>0</v>
      </c>
      <c r="L4550">
        <f>Data!F4563</f>
        <v>0</v>
      </c>
      <c r="M4550">
        <f>Data!G4563</f>
        <v>0</v>
      </c>
      <c r="N4550">
        <f>Data!H4563</f>
        <v>0</v>
      </c>
      <c r="O4550">
        <f>Data!I4563</f>
        <v>0</v>
      </c>
      <c r="P4550" s="21">
        <f>Data!J4567</f>
        <v>0</v>
      </c>
      <c r="Q4550">
        <f>Data!K4567</f>
        <v>0</v>
      </c>
      <c r="R4550">
        <f>Data!L4567</f>
        <v>0</v>
      </c>
      <c r="S4550">
        <f>Data!M4567</f>
        <v>0</v>
      </c>
      <c r="T4550">
        <f>Data!N4567</f>
        <v>0</v>
      </c>
      <c r="U4550">
        <f>Data!O4567</f>
        <v>0</v>
      </c>
      <c r="V4550" s="33">
        <f>Data!P4565</f>
        <v>0</v>
      </c>
    </row>
    <row r="4551" spans="7:22" x14ac:dyDescent="0.25">
      <c r="G4551">
        <f>Data!A4564</f>
        <v>0</v>
      </c>
      <c r="H4551" s="21">
        <f>Data!B4564</f>
        <v>0</v>
      </c>
      <c r="I4551" s="21">
        <f>Data!C4564</f>
        <v>0</v>
      </c>
      <c r="J4551">
        <f>Data!D4564</f>
        <v>0</v>
      </c>
      <c r="K4551">
        <f>Data!E4564</f>
        <v>0</v>
      </c>
      <c r="L4551">
        <f>Data!F4564</f>
        <v>0</v>
      </c>
      <c r="M4551">
        <f>Data!G4564</f>
        <v>0</v>
      </c>
      <c r="N4551">
        <f>Data!H4564</f>
        <v>0</v>
      </c>
      <c r="O4551">
        <f>Data!I4564</f>
        <v>0</v>
      </c>
      <c r="P4551" s="21">
        <f>Data!J4568</f>
        <v>0</v>
      </c>
      <c r="Q4551">
        <f>Data!K4568</f>
        <v>0</v>
      </c>
      <c r="R4551">
        <f>Data!L4568</f>
        <v>0</v>
      </c>
      <c r="S4551">
        <f>Data!M4568</f>
        <v>0</v>
      </c>
      <c r="T4551">
        <f>Data!N4568</f>
        <v>0</v>
      </c>
      <c r="U4551">
        <f>Data!O4568</f>
        <v>0</v>
      </c>
      <c r="V4551" s="33">
        <f>Data!P4566</f>
        <v>0</v>
      </c>
    </row>
    <row r="4552" spans="7:22" x14ac:dyDescent="0.25">
      <c r="G4552">
        <f>Data!A4565</f>
        <v>0</v>
      </c>
      <c r="H4552" s="21">
        <f>Data!B4565</f>
        <v>0</v>
      </c>
      <c r="I4552" s="21">
        <f>Data!C4565</f>
        <v>0</v>
      </c>
      <c r="J4552">
        <f>Data!D4565</f>
        <v>0</v>
      </c>
      <c r="K4552">
        <f>Data!E4565</f>
        <v>0</v>
      </c>
      <c r="L4552">
        <f>Data!F4565</f>
        <v>0</v>
      </c>
      <c r="M4552">
        <f>Data!G4565</f>
        <v>0</v>
      </c>
      <c r="N4552">
        <f>Data!H4565</f>
        <v>0</v>
      </c>
      <c r="O4552">
        <f>Data!I4565</f>
        <v>0</v>
      </c>
      <c r="P4552" s="21">
        <f>Data!J4569</f>
        <v>0</v>
      </c>
      <c r="Q4552">
        <f>Data!K4569</f>
        <v>0</v>
      </c>
      <c r="R4552">
        <f>Data!L4569</f>
        <v>0</v>
      </c>
      <c r="S4552">
        <f>Data!M4569</f>
        <v>0</v>
      </c>
      <c r="T4552">
        <f>Data!N4569</f>
        <v>0</v>
      </c>
      <c r="U4552">
        <f>Data!O4569</f>
        <v>0</v>
      </c>
      <c r="V4552" s="33">
        <f>Data!P4567</f>
        <v>0</v>
      </c>
    </row>
    <row r="4553" spans="7:22" x14ac:dyDescent="0.25">
      <c r="G4553">
        <f>Data!A4566</f>
        <v>0</v>
      </c>
      <c r="H4553" s="21">
        <f>Data!B4566</f>
        <v>0</v>
      </c>
      <c r="I4553" s="21">
        <f>Data!C4566</f>
        <v>0</v>
      </c>
      <c r="J4553">
        <f>Data!D4566</f>
        <v>0</v>
      </c>
      <c r="K4553">
        <f>Data!E4566</f>
        <v>0</v>
      </c>
      <c r="L4553">
        <f>Data!F4566</f>
        <v>0</v>
      </c>
      <c r="M4553">
        <f>Data!G4566</f>
        <v>0</v>
      </c>
      <c r="N4553">
        <f>Data!H4566</f>
        <v>0</v>
      </c>
      <c r="O4553">
        <f>Data!I4566</f>
        <v>0</v>
      </c>
      <c r="P4553" s="21">
        <f>Data!J4570</f>
        <v>0</v>
      </c>
      <c r="Q4553">
        <f>Data!K4570</f>
        <v>0</v>
      </c>
      <c r="R4553">
        <f>Data!L4570</f>
        <v>0</v>
      </c>
      <c r="S4553">
        <f>Data!M4570</f>
        <v>0</v>
      </c>
      <c r="T4553">
        <f>Data!N4570</f>
        <v>0</v>
      </c>
      <c r="U4553">
        <f>Data!O4570</f>
        <v>0</v>
      </c>
      <c r="V4553" s="33">
        <f>Data!P4568</f>
        <v>0</v>
      </c>
    </row>
    <row r="4554" spans="7:22" x14ac:dyDescent="0.25">
      <c r="G4554">
        <f>Data!A4567</f>
        <v>0</v>
      </c>
      <c r="H4554" s="21">
        <f>Data!B4567</f>
        <v>0</v>
      </c>
      <c r="I4554" s="21">
        <f>Data!C4567</f>
        <v>0</v>
      </c>
      <c r="J4554">
        <f>Data!D4567</f>
        <v>0</v>
      </c>
      <c r="K4554">
        <f>Data!E4567</f>
        <v>0</v>
      </c>
      <c r="L4554">
        <f>Data!F4567</f>
        <v>0</v>
      </c>
      <c r="M4554">
        <f>Data!G4567</f>
        <v>0</v>
      </c>
      <c r="N4554">
        <f>Data!H4567</f>
        <v>0</v>
      </c>
      <c r="O4554">
        <f>Data!I4567</f>
        <v>0</v>
      </c>
      <c r="P4554" s="21">
        <f>Data!J4571</f>
        <v>0</v>
      </c>
      <c r="Q4554">
        <f>Data!K4571</f>
        <v>0</v>
      </c>
      <c r="R4554">
        <f>Data!L4571</f>
        <v>0</v>
      </c>
      <c r="S4554">
        <f>Data!M4571</f>
        <v>0</v>
      </c>
      <c r="T4554">
        <f>Data!N4571</f>
        <v>0</v>
      </c>
      <c r="U4554">
        <f>Data!O4571</f>
        <v>0</v>
      </c>
      <c r="V4554" s="33">
        <f>Data!P4569</f>
        <v>0</v>
      </c>
    </row>
    <row r="4555" spans="7:22" x14ac:dyDescent="0.25">
      <c r="G4555">
        <f>Data!A4568</f>
        <v>0</v>
      </c>
      <c r="H4555" s="21">
        <f>Data!B4568</f>
        <v>0</v>
      </c>
      <c r="I4555" s="21">
        <f>Data!C4568</f>
        <v>0</v>
      </c>
      <c r="J4555">
        <f>Data!D4568</f>
        <v>0</v>
      </c>
      <c r="K4555">
        <f>Data!E4568</f>
        <v>0</v>
      </c>
      <c r="L4555">
        <f>Data!F4568</f>
        <v>0</v>
      </c>
      <c r="M4555">
        <f>Data!G4568</f>
        <v>0</v>
      </c>
      <c r="N4555">
        <f>Data!H4568</f>
        <v>0</v>
      </c>
      <c r="O4555">
        <f>Data!I4568</f>
        <v>0</v>
      </c>
      <c r="P4555" s="21">
        <f>Data!J4572</f>
        <v>0</v>
      </c>
      <c r="Q4555">
        <f>Data!K4572</f>
        <v>0</v>
      </c>
      <c r="R4555">
        <f>Data!L4572</f>
        <v>0</v>
      </c>
      <c r="S4555">
        <f>Data!M4572</f>
        <v>0</v>
      </c>
      <c r="T4555">
        <f>Data!N4572</f>
        <v>0</v>
      </c>
      <c r="U4555">
        <f>Data!O4572</f>
        <v>0</v>
      </c>
      <c r="V4555" s="33">
        <f>Data!P4570</f>
        <v>0</v>
      </c>
    </row>
    <row r="4556" spans="7:22" x14ac:dyDescent="0.25">
      <c r="G4556">
        <f>Data!A4569</f>
        <v>0</v>
      </c>
      <c r="H4556" s="21">
        <f>Data!B4569</f>
        <v>0</v>
      </c>
      <c r="I4556" s="21">
        <f>Data!C4569</f>
        <v>0</v>
      </c>
      <c r="J4556">
        <f>Data!D4569</f>
        <v>0</v>
      </c>
      <c r="K4556">
        <f>Data!E4569</f>
        <v>0</v>
      </c>
      <c r="L4556">
        <f>Data!F4569</f>
        <v>0</v>
      </c>
      <c r="M4556">
        <f>Data!G4569</f>
        <v>0</v>
      </c>
      <c r="N4556">
        <f>Data!H4569</f>
        <v>0</v>
      </c>
      <c r="O4556">
        <f>Data!I4569</f>
        <v>0</v>
      </c>
      <c r="P4556" s="21">
        <f>Data!J4573</f>
        <v>0</v>
      </c>
      <c r="Q4556">
        <f>Data!K4573</f>
        <v>0</v>
      </c>
      <c r="R4556">
        <f>Data!L4573</f>
        <v>0</v>
      </c>
      <c r="S4556">
        <f>Data!M4573</f>
        <v>0</v>
      </c>
      <c r="T4556">
        <f>Data!N4573</f>
        <v>0</v>
      </c>
      <c r="U4556">
        <f>Data!O4573</f>
        <v>0</v>
      </c>
      <c r="V4556" s="33">
        <f>Data!P4571</f>
        <v>0</v>
      </c>
    </row>
    <row r="4557" spans="7:22" x14ac:dyDescent="0.25">
      <c r="G4557">
        <f>Data!A4570</f>
        <v>0</v>
      </c>
      <c r="H4557" s="21">
        <f>Data!B4570</f>
        <v>0</v>
      </c>
      <c r="I4557" s="21">
        <f>Data!C4570</f>
        <v>0</v>
      </c>
      <c r="J4557">
        <f>Data!D4570</f>
        <v>0</v>
      </c>
      <c r="K4557">
        <f>Data!E4570</f>
        <v>0</v>
      </c>
      <c r="L4557">
        <f>Data!F4570</f>
        <v>0</v>
      </c>
      <c r="M4557">
        <f>Data!G4570</f>
        <v>0</v>
      </c>
      <c r="N4557">
        <f>Data!H4570</f>
        <v>0</v>
      </c>
      <c r="O4557">
        <f>Data!I4570</f>
        <v>0</v>
      </c>
      <c r="P4557" s="21">
        <f>Data!J4574</f>
        <v>0</v>
      </c>
      <c r="Q4557">
        <f>Data!K4574</f>
        <v>0</v>
      </c>
      <c r="R4557">
        <f>Data!L4574</f>
        <v>0</v>
      </c>
      <c r="S4557">
        <f>Data!M4574</f>
        <v>0</v>
      </c>
      <c r="T4557">
        <f>Data!N4574</f>
        <v>0</v>
      </c>
      <c r="U4557">
        <f>Data!O4574</f>
        <v>0</v>
      </c>
      <c r="V4557" s="33">
        <f>Data!P4572</f>
        <v>0</v>
      </c>
    </row>
    <row r="4558" spans="7:22" x14ac:dyDescent="0.25">
      <c r="G4558">
        <f>Data!A4571</f>
        <v>0</v>
      </c>
      <c r="H4558" s="21">
        <f>Data!B4571</f>
        <v>0</v>
      </c>
      <c r="I4558" s="21">
        <f>Data!C4571</f>
        <v>0</v>
      </c>
      <c r="J4558">
        <f>Data!D4571</f>
        <v>0</v>
      </c>
      <c r="K4558">
        <f>Data!E4571</f>
        <v>0</v>
      </c>
      <c r="L4558">
        <f>Data!F4571</f>
        <v>0</v>
      </c>
      <c r="M4558">
        <f>Data!G4571</f>
        <v>0</v>
      </c>
      <c r="N4558">
        <f>Data!H4571</f>
        <v>0</v>
      </c>
      <c r="O4558">
        <f>Data!I4571</f>
        <v>0</v>
      </c>
      <c r="P4558" s="21">
        <f>Data!J4575</f>
        <v>0</v>
      </c>
      <c r="Q4558">
        <f>Data!K4575</f>
        <v>0</v>
      </c>
      <c r="R4558">
        <f>Data!L4575</f>
        <v>0</v>
      </c>
      <c r="S4558">
        <f>Data!M4575</f>
        <v>0</v>
      </c>
      <c r="T4558">
        <f>Data!N4575</f>
        <v>0</v>
      </c>
      <c r="U4558">
        <f>Data!O4575</f>
        <v>0</v>
      </c>
      <c r="V4558" s="33">
        <f>Data!P4573</f>
        <v>0</v>
      </c>
    </row>
    <row r="4559" spans="7:22" x14ac:dyDescent="0.25">
      <c r="G4559">
        <f>Data!A4572</f>
        <v>0</v>
      </c>
      <c r="H4559" s="21">
        <f>Data!B4572</f>
        <v>0</v>
      </c>
      <c r="I4559" s="21">
        <f>Data!C4572</f>
        <v>0</v>
      </c>
      <c r="J4559">
        <f>Data!D4572</f>
        <v>0</v>
      </c>
      <c r="K4559">
        <f>Data!E4572</f>
        <v>0</v>
      </c>
      <c r="L4559">
        <f>Data!F4572</f>
        <v>0</v>
      </c>
      <c r="M4559">
        <f>Data!G4572</f>
        <v>0</v>
      </c>
      <c r="N4559">
        <f>Data!H4572</f>
        <v>0</v>
      </c>
      <c r="O4559">
        <f>Data!I4572</f>
        <v>0</v>
      </c>
      <c r="P4559" s="21">
        <f>Data!J4576</f>
        <v>0</v>
      </c>
      <c r="Q4559">
        <f>Data!K4576</f>
        <v>0</v>
      </c>
      <c r="R4559">
        <f>Data!L4576</f>
        <v>0</v>
      </c>
      <c r="S4559">
        <f>Data!M4576</f>
        <v>0</v>
      </c>
      <c r="T4559">
        <f>Data!N4576</f>
        <v>0</v>
      </c>
      <c r="U4559">
        <f>Data!O4576</f>
        <v>0</v>
      </c>
      <c r="V4559" s="33">
        <f>Data!P4574</f>
        <v>0</v>
      </c>
    </row>
    <row r="4560" spans="7:22" x14ac:dyDescent="0.25">
      <c r="G4560">
        <f>Data!A4573</f>
        <v>0</v>
      </c>
      <c r="H4560" s="21">
        <f>Data!B4573</f>
        <v>0</v>
      </c>
      <c r="I4560" s="21">
        <f>Data!C4573</f>
        <v>0</v>
      </c>
      <c r="J4560">
        <f>Data!D4573</f>
        <v>0</v>
      </c>
      <c r="K4560">
        <f>Data!E4573</f>
        <v>0</v>
      </c>
      <c r="L4560">
        <f>Data!F4573</f>
        <v>0</v>
      </c>
      <c r="M4560">
        <f>Data!G4573</f>
        <v>0</v>
      </c>
      <c r="N4560">
        <f>Data!H4573</f>
        <v>0</v>
      </c>
      <c r="O4560">
        <f>Data!I4573</f>
        <v>0</v>
      </c>
      <c r="P4560" s="21">
        <f>Data!J4577</f>
        <v>0</v>
      </c>
      <c r="Q4560">
        <f>Data!K4577</f>
        <v>0</v>
      </c>
      <c r="R4560">
        <f>Data!L4577</f>
        <v>0</v>
      </c>
      <c r="S4560">
        <f>Data!M4577</f>
        <v>0</v>
      </c>
      <c r="T4560">
        <f>Data!N4577</f>
        <v>0</v>
      </c>
      <c r="U4560">
        <f>Data!O4577</f>
        <v>0</v>
      </c>
      <c r="V4560" s="33">
        <f>Data!P4575</f>
        <v>0</v>
      </c>
    </row>
    <row r="4561" spans="7:22" x14ac:dyDescent="0.25">
      <c r="G4561">
        <f>Data!A4574</f>
        <v>0</v>
      </c>
      <c r="H4561" s="21">
        <f>Data!B4574</f>
        <v>0</v>
      </c>
      <c r="I4561" s="21">
        <f>Data!C4574</f>
        <v>0</v>
      </c>
      <c r="J4561">
        <f>Data!D4574</f>
        <v>0</v>
      </c>
      <c r="K4561">
        <f>Data!E4574</f>
        <v>0</v>
      </c>
      <c r="L4561">
        <f>Data!F4574</f>
        <v>0</v>
      </c>
      <c r="M4561">
        <f>Data!G4574</f>
        <v>0</v>
      </c>
      <c r="N4561">
        <f>Data!H4574</f>
        <v>0</v>
      </c>
      <c r="O4561">
        <f>Data!I4574</f>
        <v>0</v>
      </c>
      <c r="P4561" s="21">
        <f>Data!J4578</f>
        <v>0</v>
      </c>
      <c r="Q4561">
        <f>Data!K4578</f>
        <v>0</v>
      </c>
      <c r="R4561">
        <f>Data!L4578</f>
        <v>0</v>
      </c>
      <c r="S4561">
        <f>Data!M4578</f>
        <v>0</v>
      </c>
      <c r="T4561">
        <f>Data!N4578</f>
        <v>0</v>
      </c>
      <c r="U4561">
        <f>Data!O4578</f>
        <v>0</v>
      </c>
      <c r="V4561" s="33">
        <f>Data!P4576</f>
        <v>0</v>
      </c>
    </row>
    <row r="4562" spans="7:22" x14ac:dyDescent="0.25">
      <c r="G4562">
        <f>Data!A4575</f>
        <v>0</v>
      </c>
      <c r="H4562" s="21">
        <f>Data!B4575</f>
        <v>0</v>
      </c>
      <c r="I4562" s="21">
        <f>Data!C4575</f>
        <v>0</v>
      </c>
      <c r="J4562">
        <f>Data!D4575</f>
        <v>0</v>
      </c>
      <c r="K4562">
        <f>Data!E4575</f>
        <v>0</v>
      </c>
      <c r="L4562">
        <f>Data!F4575</f>
        <v>0</v>
      </c>
      <c r="M4562">
        <f>Data!G4575</f>
        <v>0</v>
      </c>
      <c r="N4562">
        <f>Data!H4575</f>
        <v>0</v>
      </c>
      <c r="O4562">
        <f>Data!I4575</f>
        <v>0</v>
      </c>
      <c r="P4562" s="21">
        <f>Data!J4579</f>
        <v>0</v>
      </c>
      <c r="Q4562">
        <f>Data!K4579</f>
        <v>0</v>
      </c>
      <c r="R4562">
        <f>Data!L4579</f>
        <v>0</v>
      </c>
      <c r="S4562">
        <f>Data!M4579</f>
        <v>0</v>
      </c>
      <c r="T4562">
        <f>Data!N4579</f>
        <v>0</v>
      </c>
      <c r="U4562">
        <f>Data!O4579</f>
        <v>0</v>
      </c>
      <c r="V4562" s="33">
        <f>Data!P4577</f>
        <v>0</v>
      </c>
    </row>
    <row r="4563" spans="7:22" x14ac:dyDescent="0.25">
      <c r="G4563">
        <f>Data!A4576</f>
        <v>0</v>
      </c>
      <c r="H4563" s="21">
        <f>Data!B4576</f>
        <v>0</v>
      </c>
      <c r="I4563" s="21">
        <f>Data!C4576</f>
        <v>0</v>
      </c>
      <c r="J4563">
        <f>Data!D4576</f>
        <v>0</v>
      </c>
      <c r="K4563">
        <f>Data!E4576</f>
        <v>0</v>
      </c>
      <c r="L4563">
        <f>Data!F4576</f>
        <v>0</v>
      </c>
      <c r="M4563">
        <f>Data!G4576</f>
        <v>0</v>
      </c>
      <c r="N4563">
        <f>Data!H4576</f>
        <v>0</v>
      </c>
      <c r="O4563">
        <f>Data!I4576</f>
        <v>0</v>
      </c>
      <c r="P4563" s="21">
        <f>Data!J4580</f>
        <v>0</v>
      </c>
      <c r="Q4563">
        <f>Data!K4580</f>
        <v>0</v>
      </c>
      <c r="R4563">
        <f>Data!L4580</f>
        <v>0</v>
      </c>
      <c r="S4563">
        <f>Data!M4580</f>
        <v>0</v>
      </c>
      <c r="T4563">
        <f>Data!N4580</f>
        <v>0</v>
      </c>
      <c r="U4563">
        <f>Data!O4580</f>
        <v>0</v>
      </c>
      <c r="V4563" s="33">
        <f>Data!P4578</f>
        <v>0</v>
      </c>
    </row>
    <row r="4564" spans="7:22" x14ac:dyDescent="0.25">
      <c r="G4564">
        <f>Data!A4577</f>
        <v>0</v>
      </c>
      <c r="H4564" s="21">
        <f>Data!B4577</f>
        <v>0</v>
      </c>
      <c r="I4564" s="21">
        <f>Data!C4577</f>
        <v>0</v>
      </c>
      <c r="J4564">
        <f>Data!D4577</f>
        <v>0</v>
      </c>
      <c r="K4564">
        <f>Data!E4577</f>
        <v>0</v>
      </c>
      <c r="L4564">
        <f>Data!F4577</f>
        <v>0</v>
      </c>
      <c r="M4564">
        <f>Data!G4577</f>
        <v>0</v>
      </c>
      <c r="N4564">
        <f>Data!H4577</f>
        <v>0</v>
      </c>
      <c r="O4564">
        <f>Data!I4577</f>
        <v>0</v>
      </c>
      <c r="P4564" s="21">
        <f>Data!J4581</f>
        <v>0</v>
      </c>
      <c r="Q4564">
        <f>Data!K4581</f>
        <v>0</v>
      </c>
      <c r="R4564">
        <f>Data!L4581</f>
        <v>0</v>
      </c>
      <c r="S4564">
        <f>Data!M4581</f>
        <v>0</v>
      </c>
      <c r="T4564">
        <f>Data!N4581</f>
        <v>0</v>
      </c>
      <c r="U4564">
        <f>Data!O4581</f>
        <v>0</v>
      </c>
      <c r="V4564" s="33">
        <f>Data!P4579</f>
        <v>0</v>
      </c>
    </row>
    <row r="4565" spans="7:22" x14ac:dyDescent="0.25">
      <c r="G4565">
        <f>Data!A4578</f>
        <v>0</v>
      </c>
      <c r="H4565" s="21">
        <f>Data!B4578</f>
        <v>0</v>
      </c>
      <c r="I4565" s="21">
        <f>Data!C4578</f>
        <v>0</v>
      </c>
      <c r="J4565">
        <f>Data!D4578</f>
        <v>0</v>
      </c>
      <c r="K4565">
        <f>Data!E4578</f>
        <v>0</v>
      </c>
      <c r="L4565">
        <f>Data!F4578</f>
        <v>0</v>
      </c>
      <c r="M4565">
        <f>Data!G4578</f>
        <v>0</v>
      </c>
      <c r="N4565">
        <f>Data!H4578</f>
        <v>0</v>
      </c>
      <c r="O4565">
        <f>Data!I4578</f>
        <v>0</v>
      </c>
      <c r="P4565" s="21">
        <f>Data!J4582</f>
        <v>0</v>
      </c>
      <c r="Q4565">
        <f>Data!K4582</f>
        <v>0</v>
      </c>
      <c r="R4565">
        <f>Data!L4582</f>
        <v>0</v>
      </c>
      <c r="S4565">
        <f>Data!M4582</f>
        <v>0</v>
      </c>
      <c r="T4565">
        <f>Data!N4582</f>
        <v>0</v>
      </c>
      <c r="U4565">
        <f>Data!O4582</f>
        <v>0</v>
      </c>
      <c r="V4565" s="33">
        <f>Data!P4580</f>
        <v>0</v>
      </c>
    </row>
    <row r="4566" spans="7:22" x14ac:dyDescent="0.25">
      <c r="G4566">
        <f>Data!A4579</f>
        <v>0</v>
      </c>
      <c r="H4566" s="21">
        <f>Data!B4579</f>
        <v>0</v>
      </c>
      <c r="I4566" s="21">
        <f>Data!C4579</f>
        <v>0</v>
      </c>
      <c r="J4566">
        <f>Data!D4579</f>
        <v>0</v>
      </c>
      <c r="K4566">
        <f>Data!E4579</f>
        <v>0</v>
      </c>
      <c r="L4566">
        <f>Data!F4579</f>
        <v>0</v>
      </c>
      <c r="M4566">
        <f>Data!G4579</f>
        <v>0</v>
      </c>
      <c r="N4566">
        <f>Data!H4579</f>
        <v>0</v>
      </c>
      <c r="O4566">
        <f>Data!I4579</f>
        <v>0</v>
      </c>
      <c r="P4566" s="21">
        <f>Data!J4583</f>
        <v>0</v>
      </c>
      <c r="Q4566">
        <f>Data!K4583</f>
        <v>0</v>
      </c>
      <c r="R4566">
        <f>Data!L4583</f>
        <v>0</v>
      </c>
      <c r="S4566">
        <f>Data!M4583</f>
        <v>0</v>
      </c>
      <c r="T4566">
        <f>Data!N4583</f>
        <v>0</v>
      </c>
      <c r="U4566">
        <f>Data!O4583</f>
        <v>0</v>
      </c>
      <c r="V4566" s="33">
        <f>Data!P4581</f>
        <v>0</v>
      </c>
    </row>
    <row r="4567" spans="7:22" x14ac:dyDescent="0.25">
      <c r="G4567">
        <f>Data!A4580</f>
        <v>0</v>
      </c>
      <c r="H4567" s="21">
        <f>Data!B4580</f>
        <v>0</v>
      </c>
      <c r="I4567" s="21">
        <f>Data!C4580</f>
        <v>0</v>
      </c>
      <c r="J4567">
        <f>Data!D4580</f>
        <v>0</v>
      </c>
      <c r="K4567">
        <f>Data!E4580</f>
        <v>0</v>
      </c>
      <c r="L4567">
        <f>Data!F4580</f>
        <v>0</v>
      </c>
      <c r="M4567">
        <f>Data!G4580</f>
        <v>0</v>
      </c>
      <c r="N4567">
        <f>Data!H4580</f>
        <v>0</v>
      </c>
      <c r="O4567">
        <f>Data!I4580</f>
        <v>0</v>
      </c>
      <c r="P4567" s="21">
        <f>Data!J4584</f>
        <v>0</v>
      </c>
      <c r="Q4567">
        <f>Data!K4584</f>
        <v>0</v>
      </c>
      <c r="R4567">
        <f>Data!L4584</f>
        <v>0</v>
      </c>
      <c r="S4567">
        <f>Data!M4584</f>
        <v>0</v>
      </c>
      <c r="T4567">
        <f>Data!N4584</f>
        <v>0</v>
      </c>
      <c r="U4567">
        <f>Data!O4584</f>
        <v>0</v>
      </c>
      <c r="V4567" s="33">
        <f>Data!P4582</f>
        <v>0</v>
      </c>
    </row>
    <row r="4568" spans="7:22" x14ac:dyDescent="0.25">
      <c r="G4568">
        <f>Data!A4581</f>
        <v>0</v>
      </c>
      <c r="H4568" s="21">
        <f>Data!B4581</f>
        <v>0</v>
      </c>
      <c r="I4568" s="21">
        <f>Data!C4581</f>
        <v>0</v>
      </c>
      <c r="J4568">
        <f>Data!D4581</f>
        <v>0</v>
      </c>
      <c r="K4568">
        <f>Data!E4581</f>
        <v>0</v>
      </c>
      <c r="L4568">
        <f>Data!F4581</f>
        <v>0</v>
      </c>
      <c r="M4568">
        <f>Data!G4581</f>
        <v>0</v>
      </c>
      <c r="N4568">
        <f>Data!H4581</f>
        <v>0</v>
      </c>
      <c r="O4568">
        <f>Data!I4581</f>
        <v>0</v>
      </c>
      <c r="P4568" s="21">
        <f>Data!J4585</f>
        <v>0</v>
      </c>
      <c r="Q4568">
        <f>Data!K4585</f>
        <v>0</v>
      </c>
      <c r="R4568">
        <f>Data!L4585</f>
        <v>0</v>
      </c>
      <c r="S4568">
        <f>Data!M4585</f>
        <v>0</v>
      </c>
      <c r="T4568">
        <f>Data!N4585</f>
        <v>0</v>
      </c>
      <c r="U4568">
        <f>Data!O4585</f>
        <v>0</v>
      </c>
      <c r="V4568" s="33">
        <f>Data!P4583</f>
        <v>0</v>
      </c>
    </row>
    <row r="4569" spans="7:22" x14ac:dyDescent="0.25">
      <c r="G4569">
        <f>Data!A4582</f>
        <v>0</v>
      </c>
      <c r="H4569" s="21">
        <f>Data!B4582</f>
        <v>0</v>
      </c>
      <c r="I4569" s="21">
        <f>Data!C4582</f>
        <v>0</v>
      </c>
      <c r="J4569">
        <f>Data!D4582</f>
        <v>0</v>
      </c>
      <c r="K4569">
        <f>Data!E4582</f>
        <v>0</v>
      </c>
      <c r="L4569">
        <f>Data!F4582</f>
        <v>0</v>
      </c>
      <c r="M4569">
        <f>Data!G4582</f>
        <v>0</v>
      </c>
      <c r="N4569">
        <f>Data!H4582</f>
        <v>0</v>
      </c>
      <c r="O4569">
        <f>Data!I4582</f>
        <v>0</v>
      </c>
      <c r="P4569" s="21">
        <f>Data!J4586</f>
        <v>0</v>
      </c>
      <c r="Q4569">
        <f>Data!K4586</f>
        <v>0</v>
      </c>
      <c r="R4569">
        <f>Data!L4586</f>
        <v>0</v>
      </c>
      <c r="S4569">
        <f>Data!M4586</f>
        <v>0</v>
      </c>
      <c r="T4569">
        <f>Data!N4586</f>
        <v>0</v>
      </c>
      <c r="U4569">
        <f>Data!O4586</f>
        <v>0</v>
      </c>
      <c r="V4569" s="33">
        <f>Data!P4584</f>
        <v>0</v>
      </c>
    </row>
    <row r="4570" spans="7:22" x14ac:dyDescent="0.25">
      <c r="G4570">
        <f>Data!A4583</f>
        <v>0</v>
      </c>
      <c r="H4570" s="21">
        <f>Data!B4583</f>
        <v>0</v>
      </c>
      <c r="I4570" s="21">
        <f>Data!C4583</f>
        <v>0</v>
      </c>
      <c r="J4570">
        <f>Data!D4583</f>
        <v>0</v>
      </c>
      <c r="K4570">
        <f>Data!E4583</f>
        <v>0</v>
      </c>
      <c r="L4570">
        <f>Data!F4583</f>
        <v>0</v>
      </c>
      <c r="M4570">
        <f>Data!G4583</f>
        <v>0</v>
      </c>
      <c r="N4570">
        <f>Data!H4583</f>
        <v>0</v>
      </c>
      <c r="O4570">
        <f>Data!I4583</f>
        <v>0</v>
      </c>
      <c r="P4570" s="21">
        <f>Data!J4587</f>
        <v>0</v>
      </c>
      <c r="Q4570">
        <f>Data!K4587</f>
        <v>0</v>
      </c>
      <c r="R4570">
        <f>Data!L4587</f>
        <v>0</v>
      </c>
      <c r="S4570">
        <f>Data!M4587</f>
        <v>0</v>
      </c>
      <c r="T4570">
        <f>Data!N4587</f>
        <v>0</v>
      </c>
      <c r="U4570">
        <f>Data!O4587</f>
        <v>0</v>
      </c>
      <c r="V4570" s="33">
        <f>Data!P4585</f>
        <v>0</v>
      </c>
    </row>
    <row r="4571" spans="7:22" x14ac:dyDescent="0.25">
      <c r="G4571">
        <f>Data!A4584</f>
        <v>0</v>
      </c>
      <c r="H4571" s="21">
        <f>Data!B4584</f>
        <v>0</v>
      </c>
      <c r="I4571" s="21">
        <f>Data!C4584</f>
        <v>0</v>
      </c>
      <c r="J4571">
        <f>Data!D4584</f>
        <v>0</v>
      </c>
      <c r="K4571">
        <f>Data!E4584</f>
        <v>0</v>
      </c>
      <c r="L4571">
        <f>Data!F4584</f>
        <v>0</v>
      </c>
      <c r="M4571">
        <f>Data!G4584</f>
        <v>0</v>
      </c>
      <c r="N4571">
        <f>Data!H4584</f>
        <v>0</v>
      </c>
      <c r="O4571">
        <f>Data!I4584</f>
        <v>0</v>
      </c>
      <c r="P4571" s="21">
        <f>Data!J4588</f>
        <v>0</v>
      </c>
      <c r="Q4571">
        <f>Data!K4588</f>
        <v>0</v>
      </c>
      <c r="R4571">
        <f>Data!L4588</f>
        <v>0</v>
      </c>
      <c r="S4571">
        <f>Data!M4588</f>
        <v>0</v>
      </c>
      <c r="T4571">
        <f>Data!N4588</f>
        <v>0</v>
      </c>
      <c r="U4571">
        <f>Data!O4588</f>
        <v>0</v>
      </c>
      <c r="V4571" s="33">
        <f>Data!P4586</f>
        <v>0</v>
      </c>
    </row>
    <row r="4572" spans="7:22" x14ac:dyDescent="0.25">
      <c r="G4572">
        <f>Data!A4585</f>
        <v>0</v>
      </c>
      <c r="H4572" s="21">
        <f>Data!B4585</f>
        <v>0</v>
      </c>
      <c r="I4572" s="21">
        <f>Data!C4585</f>
        <v>0</v>
      </c>
      <c r="J4572">
        <f>Data!D4585</f>
        <v>0</v>
      </c>
      <c r="K4572">
        <f>Data!E4585</f>
        <v>0</v>
      </c>
      <c r="L4572">
        <f>Data!F4585</f>
        <v>0</v>
      </c>
      <c r="M4572">
        <f>Data!G4585</f>
        <v>0</v>
      </c>
      <c r="N4572">
        <f>Data!H4585</f>
        <v>0</v>
      </c>
      <c r="O4572">
        <f>Data!I4585</f>
        <v>0</v>
      </c>
      <c r="P4572" s="21">
        <f>Data!J4589</f>
        <v>0</v>
      </c>
      <c r="Q4572">
        <f>Data!K4589</f>
        <v>0</v>
      </c>
      <c r="R4572">
        <f>Data!L4589</f>
        <v>0</v>
      </c>
      <c r="S4572">
        <f>Data!M4589</f>
        <v>0</v>
      </c>
      <c r="T4572">
        <f>Data!N4589</f>
        <v>0</v>
      </c>
      <c r="U4572">
        <f>Data!O4589</f>
        <v>0</v>
      </c>
      <c r="V4572" s="33">
        <f>Data!P4587</f>
        <v>0</v>
      </c>
    </row>
    <row r="4573" spans="7:22" x14ac:dyDescent="0.25">
      <c r="G4573">
        <f>Data!A4586</f>
        <v>0</v>
      </c>
      <c r="H4573" s="21">
        <f>Data!B4586</f>
        <v>0</v>
      </c>
      <c r="I4573" s="21">
        <f>Data!C4586</f>
        <v>0</v>
      </c>
      <c r="J4573">
        <f>Data!D4586</f>
        <v>0</v>
      </c>
      <c r="K4573">
        <f>Data!E4586</f>
        <v>0</v>
      </c>
      <c r="L4573">
        <f>Data!F4586</f>
        <v>0</v>
      </c>
      <c r="M4573">
        <f>Data!G4586</f>
        <v>0</v>
      </c>
      <c r="N4573">
        <f>Data!H4586</f>
        <v>0</v>
      </c>
      <c r="O4573">
        <f>Data!I4586</f>
        <v>0</v>
      </c>
      <c r="P4573" s="21">
        <f>Data!J4590</f>
        <v>0</v>
      </c>
      <c r="Q4573">
        <f>Data!K4590</f>
        <v>0</v>
      </c>
      <c r="R4573">
        <f>Data!L4590</f>
        <v>0</v>
      </c>
      <c r="S4573">
        <f>Data!M4590</f>
        <v>0</v>
      </c>
      <c r="T4573">
        <f>Data!N4590</f>
        <v>0</v>
      </c>
      <c r="U4573">
        <f>Data!O4590</f>
        <v>0</v>
      </c>
      <c r="V4573" s="33">
        <f>Data!P4588</f>
        <v>0</v>
      </c>
    </row>
    <row r="4574" spans="7:22" x14ac:dyDescent="0.25">
      <c r="G4574">
        <f>Data!A4587</f>
        <v>0</v>
      </c>
      <c r="H4574" s="21">
        <f>Data!B4587</f>
        <v>0</v>
      </c>
      <c r="I4574" s="21">
        <f>Data!C4587</f>
        <v>0</v>
      </c>
      <c r="J4574">
        <f>Data!D4587</f>
        <v>0</v>
      </c>
      <c r="K4574">
        <f>Data!E4587</f>
        <v>0</v>
      </c>
      <c r="L4574">
        <f>Data!F4587</f>
        <v>0</v>
      </c>
      <c r="M4574">
        <f>Data!G4587</f>
        <v>0</v>
      </c>
      <c r="N4574">
        <f>Data!H4587</f>
        <v>0</v>
      </c>
      <c r="O4574">
        <f>Data!I4587</f>
        <v>0</v>
      </c>
      <c r="P4574" s="21">
        <f>Data!J4591</f>
        <v>0</v>
      </c>
      <c r="Q4574">
        <f>Data!K4591</f>
        <v>0</v>
      </c>
      <c r="R4574">
        <f>Data!L4591</f>
        <v>0</v>
      </c>
      <c r="S4574">
        <f>Data!M4591</f>
        <v>0</v>
      </c>
      <c r="T4574">
        <f>Data!N4591</f>
        <v>0</v>
      </c>
      <c r="U4574">
        <f>Data!O4591</f>
        <v>0</v>
      </c>
      <c r="V4574" s="33">
        <f>Data!P4589</f>
        <v>0</v>
      </c>
    </row>
    <row r="4575" spans="7:22" x14ac:dyDescent="0.25">
      <c r="G4575">
        <f>Data!A4588</f>
        <v>0</v>
      </c>
      <c r="H4575" s="21">
        <f>Data!B4588</f>
        <v>0</v>
      </c>
      <c r="I4575" s="21">
        <f>Data!C4588</f>
        <v>0</v>
      </c>
      <c r="J4575">
        <f>Data!D4588</f>
        <v>0</v>
      </c>
      <c r="K4575">
        <f>Data!E4588</f>
        <v>0</v>
      </c>
      <c r="L4575">
        <f>Data!F4588</f>
        <v>0</v>
      </c>
      <c r="M4575">
        <f>Data!G4588</f>
        <v>0</v>
      </c>
      <c r="N4575">
        <f>Data!H4588</f>
        <v>0</v>
      </c>
      <c r="O4575">
        <f>Data!I4588</f>
        <v>0</v>
      </c>
      <c r="P4575" s="21">
        <f>Data!J4592</f>
        <v>0</v>
      </c>
      <c r="Q4575">
        <f>Data!K4592</f>
        <v>0</v>
      </c>
      <c r="R4575">
        <f>Data!L4592</f>
        <v>0</v>
      </c>
      <c r="S4575">
        <f>Data!M4592</f>
        <v>0</v>
      </c>
      <c r="T4575">
        <f>Data!N4592</f>
        <v>0</v>
      </c>
      <c r="U4575">
        <f>Data!O4592</f>
        <v>0</v>
      </c>
      <c r="V4575" s="33">
        <f>Data!P4590</f>
        <v>0</v>
      </c>
    </row>
    <row r="4576" spans="7:22" x14ac:dyDescent="0.25">
      <c r="G4576">
        <f>Data!A4589</f>
        <v>0</v>
      </c>
      <c r="H4576" s="21">
        <f>Data!B4589</f>
        <v>0</v>
      </c>
      <c r="I4576" s="21">
        <f>Data!C4589</f>
        <v>0</v>
      </c>
      <c r="J4576">
        <f>Data!D4589</f>
        <v>0</v>
      </c>
      <c r="K4576">
        <f>Data!E4589</f>
        <v>0</v>
      </c>
      <c r="L4576">
        <f>Data!F4589</f>
        <v>0</v>
      </c>
      <c r="M4576">
        <f>Data!G4589</f>
        <v>0</v>
      </c>
      <c r="N4576">
        <f>Data!H4589</f>
        <v>0</v>
      </c>
      <c r="O4576">
        <f>Data!I4589</f>
        <v>0</v>
      </c>
      <c r="P4576" s="21">
        <f>Data!J4593</f>
        <v>0</v>
      </c>
      <c r="Q4576">
        <f>Data!K4593</f>
        <v>0</v>
      </c>
      <c r="R4576">
        <f>Data!L4593</f>
        <v>0</v>
      </c>
      <c r="S4576">
        <f>Data!M4593</f>
        <v>0</v>
      </c>
      <c r="T4576">
        <f>Data!N4593</f>
        <v>0</v>
      </c>
      <c r="U4576">
        <f>Data!O4593</f>
        <v>0</v>
      </c>
      <c r="V4576" s="33">
        <f>Data!P4591</f>
        <v>0</v>
      </c>
    </row>
    <row r="4577" spans="7:22" x14ac:dyDescent="0.25">
      <c r="G4577">
        <f>Data!A4590</f>
        <v>0</v>
      </c>
      <c r="H4577" s="21">
        <f>Data!B4590</f>
        <v>0</v>
      </c>
      <c r="I4577" s="21">
        <f>Data!C4590</f>
        <v>0</v>
      </c>
      <c r="J4577">
        <f>Data!D4590</f>
        <v>0</v>
      </c>
      <c r="K4577">
        <f>Data!E4590</f>
        <v>0</v>
      </c>
      <c r="L4577">
        <f>Data!F4590</f>
        <v>0</v>
      </c>
      <c r="M4577">
        <f>Data!G4590</f>
        <v>0</v>
      </c>
      <c r="N4577">
        <f>Data!H4590</f>
        <v>0</v>
      </c>
      <c r="O4577">
        <f>Data!I4590</f>
        <v>0</v>
      </c>
      <c r="P4577" s="21">
        <f>Data!J4594</f>
        <v>0</v>
      </c>
      <c r="Q4577">
        <f>Data!K4594</f>
        <v>0</v>
      </c>
      <c r="R4577">
        <f>Data!L4594</f>
        <v>0</v>
      </c>
      <c r="S4577">
        <f>Data!M4594</f>
        <v>0</v>
      </c>
      <c r="T4577">
        <f>Data!N4594</f>
        <v>0</v>
      </c>
      <c r="U4577">
        <f>Data!O4594</f>
        <v>0</v>
      </c>
      <c r="V4577" s="33">
        <f>Data!P4592</f>
        <v>0</v>
      </c>
    </row>
    <row r="4578" spans="7:22" x14ac:dyDescent="0.25">
      <c r="G4578">
        <f>Data!A4591</f>
        <v>0</v>
      </c>
      <c r="H4578" s="21">
        <f>Data!B4591</f>
        <v>0</v>
      </c>
      <c r="I4578" s="21">
        <f>Data!C4591</f>
        <v>0</v>
      </c>
      <c r="J4578">
        <f>Data!D4591</f>
        <v>0</v>
      </c>
      <c r="K4578">
        <f>Data!E4591</f>
        <v>0</v>
      </c>
      <c r="L4578">
        <f>Data!F4591</f>
        <v>0</v>
      </c>
      <c r="M4578">
        <f>Data!G4591</f>
        <v>0</v>
      </c>
      <c r="N4578">
        <f>Data!H4591</f>
        <v>0</v>
      </c>
      <c r="O4578">
        <f>Data!I4591</f>
        <v>0</v>
      </c>
      <c r="P4578" s="21">
        <f>Data!J4595</f>
        <v>0</v>
      </c>
      <c r="Q4578">
        <f>Data!K4595</f>
        <v>0</v>
      </c>
      <c r="R4578">
        <f>Data!L4595</f>
        <v>0</v>
      </c>
      <c r="S4578">
        <f>Data!M4595</f>
        <v>0</v>
      </c>
      <c r="T4578">
        <f>Data!N4595</f>
        <v>0</v>
      </c>
      <c r="U4578">
        <f>Data!O4595</f>
        <v>0</v>
      </c>
      <c r="V4578" s="33">
        <f>Data!P4593</f>
        <v>0</v>
      </c>
    </row>
    <row r="4579" spans="7:22" x14ac:dyDescent="0.25">
      <c r="G4579">
        <f>Data!A4592</f>
        <v>0</v>
      </c>
      <c r="H4579" s="21">
        <f>Data!B4592</f>
        <v>0</v>
      </c>
      <c r="I4579" s="21">
        <f>Data!C4592</f>
        <v>0</v>
      </c>
      <c r="J4579">
        <f>Data!D4592</f>
        <v>0</v>
      </c>
      <c r="K4579">
        <f>Data!E4592</f>
        <v>0</v>
      </c>
      <c r="L4579">
        <f>Data!F4592</f>
        <v>0</v>
      </c>
      <c r="M4579">
        <f>Data!G4592</f>
        <v>0</v>
      </c>
      <c r="N4579">
        <f>Data!H4592</f>
        <v>0</v>
      </c>
      <c r="O4579">
        <f>Data!I4592</f>
        <v>0</v>
      </c>
      <c r="P4579" s="21">
        <f>Data!J4596</f>
        <v>0</v>
      </c>
      <c r="Q4579">
        <f>Data!K4596</f>
        <v>0</v>
      </c>
      <c r="R4579">
        <f>Data!L4596</f>
        <v>0</v>
      </c>
      <c r="S4579">
        <f>Data!M4596</f>
        <v>0</v>
      </c>
      <c r="T4579">
        <f>Data!N4596</f>
        <v>0</v>
      </c>
      <c r="U4579">
        <f>Data!O4596</f>
        <v>0</v>
      </c>
      <c r="V4579" s="33">
        <f>Data!P4594</f>
        <v>0</v>
      </c>
    </row>
    <row r="4580" spans="7:22" x14ac:dyDescent="0.25">
      <c r="G4580">
        <f>Data!A4593</f>
        <v>0</v>
      </c>
      <c r="H4580" s="21">
        <f>Data!B4593</f>
        <v>0</v>
      </c>
      <c r="I4580" s="21">
        <f>Data!C4593</f>
        <v>0</v>
      </c>
      <c r="J4580">
        <f>Data!D4593</f>
        <v>0</v>
      </c>
      <c r="K4580">
        <f>Data!E4593</f>
        <v>0</v>
      </c>
      <c r="L4580">
        <f>Data!F4593</f>
        <v>0</v>
      </c>
      <c r="M4580">
        <f>Data!G4593</f>
        <v>0</v>
      </c>
      <c r="N4580">
        <f>Data!H4593</f>
        <v>0</v>
      </c>
      <c r="O4580">
        <f>Data!I4593</f>
        <v>0</v>
      </c>
      <c r="P4580" s="21">
        <f>Data!J4597</f>
        <v>0</v>
      </c>
      <c r="Q4580">
        <f>Data!K4597</f>
        <v>0</v>
      </c>
      <c r="R4580">
        <f>Data!L4597</f>
        <v>0</v>
      </c>
      <c r="S4580">
        <f>Data!M4597</f>
        <v>0</v>
      </c>
      <c r="T4580">
        <f>Data!N4597</f>
        <v>0</v>
      </c>
      <c r="U4580">
        <f>Data!O4597</f>
        <v>0</v>
      </c>
      <c r="V4580" s="33">
        <f>Data!P4595</f>
        <v>0</v>
      </c>
    </row>
    <row r="4581" spans="7:22" x14ac:dyDescent="0.25">
      <c r="G4581">
        <f>Data!A4594</f>
        <v>0</v>
      </c>
      <c r="H4581" s="21">
        <f>Data!B4594</f>
        <v>0</v>
      </c>
      <c r="I4581" s="21">
        <f>Data!C4594</f>
        <v>0</v>
      </c>
      <c r="J4581">
        <f>Data!D4594</f>
        <v>0</v>
      </c>
      <c r="K4581">
        <f>Data!E4594</f>
        <v>0</v>
      </c>
      <c r="L4581">
        <f>Data!F4594</f>
        <v>0</v>
      </c>
      <c r="M4581">
        <f>Data!G4594</f>
        <v>0</v>
      </c>
      <c r="N4581">
        <f>Data!H4594</f>
        <v>0</v>
      </c>
      <c r="O4581">
        <f>Data!I4594</f>
        <v>0</v>
      </c>
      <c r="P4581" s="21">
        <f>Data!J4598</f>
        <v>0</v>
      </c>
      <c r="Q4581">
        <f>Data!K4598</f>
        <v>0</v>
      </c>
      <c r="R4581">
        <f>Data!L4598</f>
        <v>0</v>
      </c>
      <c r="S4581">
        <f>Data!M4598</f>
        <v>0</v>
      </c>
      <c r="T4581">
        <f>Data!N4598</f>
        <v>0</v>
      </c>
      <c r="U4581">
        <f>Data!O4598</f>
        <v>0</v>
      </c>
      <c r="V4581" s="33">
        <f>Data!P4596</f>
        <v>0</v>
      </c>
    </row>
    <row r="4582" spans="7:22" x14ac:dyDescent="0.25">
      <c r="G4582">
        <f>Data!A4595</f>
        <v>0</v>
      </c>
      <c r="H4582" s="21">
        <f>Data!B4595</f>
        <v>0</v>
      </c>
      <c r="I4582" s="21">
        <f>Data!C4595</f>
        <v>0</v>
      </c>
      <c r="J4582">
        <f>Data!D4595</f>
        <v>0</v>
      </c>
      <c r="K4582">
        <f>Data!E4595</f>
        <v>0</v>
      </c>
      <c r="L4582">
        <f>Data!F4595</f>
        <v>0</v>
      </c>
      <c r="M4582">
        <f>Data!G4595</f>
        <v>0</v>
      </c>
      <c r="N4582">
        <f>Data!H4595</f>
        <v>0</v>
      </c>
      <c r="O4582">
        <f>Data!I4595</f>
        <v>0</v>
      </c>
      <c r="P4582" s="21">
        <f>Data!J4599</f>
        <v>0</v>
      </c>
      <c r="Q4582">
        <f>Data!K4599</f>
        <v>0</v>
      </c>
      <c r="R4582">
        <f>Data!L4599</f>
        <v>0</v>
      </c>
      <c r="S4582">
        <f>Data!M4599</f>
        <v>0</v>
      </c>
      <c r="T4582">
        <f>Data!N4599</f>
        <v>0</v>
      </c>
      <c r="U4582">
        <f>Data!O4599</f>
        <v>0</v>
      </c>
      <c r="V4582" s="33">
        <f>Data!P4597</f>
        <v>0</v>
      </c>
    </row>
    <row r="4583" spans="7:22" x14ac:dyDescent="0.25">
      <c r="G4583">
        <f>Data!A4596</f>
        <v>0</v>
      </c>
      <c r="H4583" s="21">
        <f>Data!B4596</f>
        <v>0</v>
      </c>
      <c r="I4583" s="21">
        <f>Data!C4596</f>
        <v>0</v>
      </c>
      <c r="J4583">
        <f>Data!D4596</f>
        <v>0</v>
      </c>
      <c r="K4583">
        <f>Data!E4596</f>
        <v>0</v>
      </c>
      <c r="L4583">
        <f>Data!F4596</f>
        <v>0</v>
      </c>
      <c r="M4583">
        <f>Data!G4596</f>
        <v>0</v>
      </c>
      <c r="N4583">
        <f>Data!H4596</f>
        <v>0</v>
      </c>
      <c r="O4583">
        <f>Data!I4596</f>
        <v>0</v>
      </c>
      <c r="P4583" s="21">
        <f>Data!J4600</f>
        <v>0</v>
      </c>
      <c r="Q4583">
        <f>Data!K4600</f>
        <v>0</v>
      </c>
      <c r="R4583">
        <f>Data!L4600</f>
        <v>0</v>
      </c>
      <c r="S4583">
        <f>Data!M4600</f>
        <v>0</v>
      </c>
      <c r="T4583">
        <f>Data!N4600</f>
        <v>0</v>
      </c>
      <c r="U4583">
        <f>Data!O4600</f>
        <v>0</v>
      </c>
      <c r="V4583" s="33">
        <f>Data!P4598</f>
        <v>0</v>
      </c>
    </row>
    <row r="4584" spans="7:22" x14ac:dyDescent="0.25">
      <c r="G4584">
        <f>Data!A4597</f>
        <v>0</v>
      </c>
      <c r="H4584" s="21">
        <f>Data!B4597</f>
        <v>0</v>
      </c>
      <c r="I4584" s="21">
        <f>Data!C4597</f>
        <v>0</v>
      </c>
      <c r="J4584">
        <f>Data!D4597</f>
        <v>0</v>
      </c>
      <c r="K4584">
        <f>Data!E4597</f>
        <v>0</v>
      </c>
      <c r="L4584">
        <f>Data!F4597</f>
        <v>0</v>
      </c>
      <c r="M4584">
        <f>Data!G4597</f>
        <v>0</v>
      </c>
      <c r="N4584">
        <f>Data!H4597</f>
        <v>0</v>
      </c>
      <c r="O4584">
        <f>Data!I4597</f>
        <v>0</v>
      </c>
      <c r="P4584" s="21">
        <f>Data!J4601</f>
        <v>0</v>
      </c>
      <c r="Q4584">
        <f>Data!K4601</f>
        <v>0</v>
      </c>
      <c r="R4584">
        <f>Data!L4601</f>
        <v>0</v>
      </c>
      <c r="S4584">
        <f>Data!M4601</f>
        <v>0</v>
      </c>
      <c r="T4584">
        <f>Data!N4601</f>
        <v>0</v>
      </c>
      <c r="U4584">
        <f>Data!O4601</f>
        <v>0</v>
      </c>
      <c r="V4584" s="33">
        <f>Data!P4599</f>
        <v>0</v>
      </c>
    </row>
    <row r="4585" spans="7:22" x14ac:dyDescent="0.25">
      <c r="G4585">
        <f>Data!A4598</f>
        <v>0</v>
      </c>
      <c r="H4585" s="21">
        <f>Data!B4598</f>
        <v>0</v>
      </c>
      <c r="I4585" s="21">
        <f>Data!C4598</f>
        <v>0</v>
      </c>
      <c r="J4585">
        <f>Data!D4598</f>
        <v>0</v>
      </c>
      <c r="K4585">
        <f>Data!E4598</f>
        <v>0</v>
      </c>
      <c r="L4585">
        <f>Data!F4598</f>
        <v>0</v>
      </c>
      <c r="M4585">
        <f>Data!G4598</f>
        <v>0</v>
      </c>
      <c r="N4585">
        <f>Data!H4598</f>
        <v>0</v>
      </c>
      <c r="O4585">
        <f>Data!I4598</f>
        <v>0</v>
      </c>
      <c r="P4585" s="21">
        <f>Data!J4602</f>
        <v>0</v>
      </c>
      <c r="Q4585">
        <f>Data!K4602</f>
        <v>0</v>
      </c>
      <c r="R4585">
        <f>Data!L4602</f>
        <v>0</v>
      </c>
      <c r="S4585">
        <f>Data!M4602</f>
        <v>0</v>
      </c>
      <c r="T4585">
        <f>Data!N4602</f>
        <v>0</v>
      </c>
      <c r="U4585">
        <f>Data!O4602</f>
        <v>0</v>
      </c>
      <c r="V4585" s="33">
        <f>Data!P4600</f>
        <v>0</v>
      </c>
    </row>
    <row r="4586" spans="7:22" x14ac:dyDescent="0.25">
      <c r="G4586">
        <f>Data!A4599</f>
        <v>0</v>
      </c>
      <c r="H4586" s="21">
        <f>Data!B4599</f>
        <v>0</v>
      </c>
      <c r="I4586" s="21">
        <f>Data!C4599</f>
        <v>0</v>
      </c>
      <c r="J4586">
        <f>Data!D4599</f>
        <v>0</v>
      </c>
      <c r="K4586">
        <f>Data!E4599</f>
        <v>0</v>
      </c>
      <c r="L4586">
        <f>Data!F4599</f>
        <v>0</v>
      </c>
      <c r="M4586">
        <f>Data!G4599</f>
        <v>0</v>
      </c>
      <c r="N4586">
        <f>Data!H4599</f>
        <v>0</v>
      </c>
      <c r="O4586">
        <f>Data!I4599</f>
        <v>0</v>
      </c>
      <c r="P4586" s="21">
        <f>Data!J4603</f>
        <v>0</v>
      </c>
      <c r="Q4586">
        <f>Data!K4603</f>
        <v>0</v>
      </c>
      <c r="R4586">
        <f>Data!L4603</f>
        <v>0</v>
      </c>
      <c r="S4586">
        <f>Data!M4603</f>
        <v>0</v>
      </c>
      <c r="T4586">
        <f>Data!N4603</f>
        <v>0</v>
      </c>
      <c r="U4586">
        <f>Data!O4603</f>
        <v>0</v>
      </c>
      <c r="V4586" s="33">
        <f>Data!P4601</f>
        <v>0</v>
      </c>
    </row>
    <row r="4587" spans="7:22" x14ac:dyDescent="0.25">
      <c r="G4587">
        <f>Data!A4600</f>
        <v>0</v>
      </c>
      <c r="H4587" s="21">
        <f>Data!B4600</f>
        <v>0</v>
      </c>
      <c r="I4587" s="21">
        <f>Data!C4600</f>
        <v>0</v>
      </c>
      <c r="J4587">
        <f>Data!D4600</f>
        <v>0</v>
      </c>
      <c r="K4587">
        <f>Data!E4600</f>
        <v>0</v>
      </c>
      <c r="L4587">
        <f>Data!F4600</f>
        <v>0</v>
      </c>
      <c r="M4587">
        <f>Data!G4600</f>
        <v>0</v>
      </c>
      <c r="N4587">
        <f>Data!H4600</f>
        <v>0</v>
      </c>
      <c r="O4587">
        <f>Data!I4600</f>
        <v>0</v>
      </c>
      <c r="P4587" s="21">
        <f>Data!J4604</f>
        <v>0</v>
      </c>
      <c r="Q4587">
        <f>Data!K4604</f>
        <v>0</v>
      </c>
      <c r="R4587">
        <f>Data!L4604</f>
        <v>0</v>
      </c>
      <c r="S4587">
        <f>Data!M4604</f>
        <v>0</v>
      </c>
      <c r="T4587">
        <f>Data!N4604</f>
        <v>0</v>
      </c>
      <c r="U4587">
        <f>Data!O4604</f>
        <v>0</v>
      </c>
      <c r="V4587" s="33">
        <f>Data!P4602</f>
        <v>0</v>
      </c>
    </row>
    <row r="4588" spans="7:22" x14ac:dyDescent="0.25">
      <c r="G4588">
        <f>Data!A4601</f>
        <v>0</v>
      </c>
      <c r="H4588" s="21">
        <f>Data!B4601</f>
        <v>0</v>
      </c>
      <c r="I4588" s="21">
        <f>Data!C4601</f>
        <v>0</v>
      </c>
      <c r="J4588">
        <f>Data!D4601</f>
        <v>0</v>
      </c>
      <c r="K4588">
        <f>Data!E4601</f>
        <v>0</v>
      </c>
      <c r="L4588">
        <f>Data!F4601</f>
        <v>0</v>
      </c>
      <c r="M4588">
        <f>Data!G4601</f>
        <v>0</v>
      </c>
      <c r="N4588">
        <f>Data!H4601</f>
        <v>0</v>
      </c>
      <c r="O4588">
        <f>Data!I4601</f>
        <v>0</v>
      </c>
      <c r="P4588" s="21">
        <f>Data!J4605</f>
        <v>0</v>
      </c>
      <c r="Q4588">
        <f>Data!K4605</f>
        <v>0</v>
      </c>
      <c r="R4588">
        <f>Data!L4605</f>
        <v>0</v>
      </c>
      <c r="S4588">
        <f>Data!M4605</f>
        <v>0</v>
      </c>
      <c r="T4588">
        <f>Data!N4605</f>
        <v>0</v>
      </c>
      <c r="U4588">
        <f>Data!O4605</f>
        <v>0</v>
      </c>
      <c r="V4588" s="33">
        <f>Data!P4603</f>
        <v>0</v>
      </c>
    </row>
    <row r="4589" spans="7:22" x14ac:dyDescent="0.25">
      <c r="G4589">
        <f>Data!A4602</f>
        <v>0</v>
      </c>
      <c r="H4589" s="21">
        <f>Data!B4602</f>
        <v>0</v>
      </c>
      <c r="I4589" s="21">
        <f>Data!C4602</f>
        <v>0</v>
      </c>
      <c r="J4589">
        <f>Data!D4602</f>
        <v>0</v>
      </c>
      <c r="K4589">
        <f>Data!E4602</f>
        <v>0</v>
      </c>
      <c r="L4589">
        <f>Data!F4602</f>
        <v>0</v>
      </c>
      <c r="M4589">
        <f>Data!G4602</f>
        <v>0</v>
      </c>
      <c r="N4589">
        <f>Data!H4602</f>
        <v>0</v>
      </c>
      <c r="O4589">
        <f>Data!I4602</f>
        <v>0</v>
      </c>
      <c r="P4589" s="21">
        <f>Data!J4606</f>
        <v>0</v>
      </c>
      <c r="Q4589">
        <f>Data!K4606</f>
        <v>0</v>
      </c>
      <c r="R4589">
        <f>Data!L4606</f>
        <v>0</v>
      </c>
      <c r="S4589">
        <f>Data!M4606</f>
        <v>0</v>
      </c>
      <c r="T4589">
        <f>Data!N4606</f>
        <v>0</v>
      </c>
      <c r="U4589">
        <f>Data!O4606</f>
        <v>0</v>
      </c>
      <c r="V4589" s="33">
        <f>Data!P4604</f>
        <v>0</v>
      </c>
    </row>
    <row r="4590" spans="7:22" x14ac:dyDescent="0.25">
      <c r="G4590">
        <f>Data!A4603</f>
        <v>0</v>
      </c>
      <c r="H4590" s="21">
        <f>Data!B4603</f>
        <v>0</v>
      </c>
      <c r="I4590" s="21">
        <f>Data!C4603</f>
        <v>0</v>
      </c>
      <c r="J4590">
        <f>Data!D4603</f>
        <v>0</v>
      </c>
      <c r="K4590">
        <f>Data!E4603</f>
        <v>0</v>
      </c>
      <c r="L4590">
        <f>Data!F4603</f>
        <v>0</v>
      </c>
      <c r="M4590">
        <f>Data!G4603</f>
        <v>0</v>
      </c>
      <c r="N4590">
        <f>Data!H4603</f>
        <v>0</v>
      </c>
      <c r="O4590">
        <f>Data!I4603</f>
        <v>0</v>
      </c>
      <c r="P4590" s="21">
        <f>Data!J4607</f>
        <v>0</v>
      </c>
      <c r="Q4590">
        <f>Data!K4607</f>
        <v>0</v>
      </c>
      <c r="R4590">
        <f>Data!L4607</f>
        <v>0</v>
      </c>
      <c r="S4590">
        <f>Data!M4607</f>
        <v>0</v>
      </c>
      <c r="T4590">
        <f>Data!N4607</f>
        <v>0</v>
      </c>
      <c r="U4590">
        <f>Data!O4607</f>
        <v>0</v>
      </c>
      <c r="V4590" s="33">
        <f>Data!P4605</f>
        <v>0</v>
      </c>
    </row>
    <row r="4591" spans="7:22" x14ac:dyDescent="0.25">
      <c r="G4591">
        <f>Data!A4604</f>
        <v>0</v>
      </c>
      <c r="H4591" s="21">
        <f>Data!B4604</f>
        <v>0</v>
      </c>
      <c r="I4591" s="21">
        <f>Data!C4604</f>
        <v>0</v>
      </c>
      <c r="J4591">
        <f>Data!D4604</f>
        <v>0</v>
      </c>
      <c r="K4591">
        <f>Data!E4604</f>
        <v>0</v>
      </c>
      <c r="L4591">
        <f>Data!F4604</f>
        <v>0</v>
      </c>
      <c r="M4591">
        <f>Data!G4604</f>
        <v>0</v>
      </c>
      <c r="N4591">
        <f>Data!H4604</f>
        <v>0</v>
      </c>
      <c r="O4591">
        <f>Data!I4604</f>
        <v>0</v>
      </c>
      <c r="P4591" s="21">
        <f>Data!J4608</f>
        <v>0</v>
      </c>
      <c r="Q4591">
        <f>Data!K4608</f>
        <v>0</v>
      </c>
      <c r="R4591">
        <f>Data!L4608</f>
        <v>0</v>
      </c>
      <c r="S4591">
        <f>Data!M4608</f>
        <v>0</v>
      </c>
      <c r="T4591">
        <f>Data!N4608</f>
        <v>0</v>
      </c>
      <c r="U4591">
        <f>Data!O4608</f>
        <v>0</v>
      </c>
      <c r="V4591" s="33">
        <f>Data!P4606</f>
        <v>0</v>
      </c>
    </row>
    <row r="4592" spans="7:22" x14ac:dyDescent="0.25">
      <c r="G4592">
        <f>Data!A4605</f>
        <v>0</v>
      </c>
      <c r="H4592" s="21">
        <f>Data!B4605</f>
        <v>0</v>
      </c>
      <c r="I4592" s="21">
        <f>Data!C4605</f>
        <v>0</v>
      </c>
      <c r="J4592">
        <f>Data!D4605</f>
        <v>0</v>
      </c>
      <c r="K4592">
        <f>Data!E4605</f>
        <v>0</v>
      </c>
      <c r="L4592">
        <f>Data!F4605</f>
        <v>0</v>
      </c>
      <c r="M4592">
        <f>Data!G4605</f>
        <v>0</v>
      </c>
      <c r="N4592">
        <f>Data!H4605</f>
        <v>0</v>
      </c>
      <c r="O4592">
        <f>Data!I4605</f>
        <v>0</v>
      </c>
      <c r="P4592" s="21">
        <f>Data!J4609</f>
        <v>0</v>
      </c>
      <c r="Q4592">
        <f>Data!K4609</f>
        <v>0</v>
      </c>
      <c r="R4592">
        <f>Data!L4609</f>
        <v>0</v>
      </c>
      <c r="S4592">
        <f>Data!M4609</f>
        <v>0</v>
      </c>
      <c r="T4592">
        <f>Data!N4609</f>
        <v>0</v>
      </c>
      <c r="U4592">
        <f>Data!O4609</f>
        <v>0</v>
      </c>
      <c r="V4592" s="33">
        <f>Data!P4607</f>
        <v>0</v>
      </c>
    </row>
    <row r="4593" spans="7:22" x14ac:dyDescent="0.25">
      <c r="G4593">
        <f>Data!A4606</f>
        <v>0</v>
      </c>
      <c r="H4593" s="21">
        <f>Data!B4606</f>
        <v>0</v>
      </c>
      <c r="I4593" s="21">
        <f>Data!C4606</f>
        <v>0</v>
      </c>
      <c r="J4593">
        <f>Data!D4606</f>
        <v>0</v>
      </c>
      <c r="K4593">
        <f>Data!E4606</f>
        <v>0</v>
      </c>
      <c r="L4593">
        <f>Data!F4606</f>
        <v>0</v>
      </c>
      <c r="M4593">
        <f>Data!G4606</f>
        <v>0</v>
      </c>
      <c r="N4593">
        <f>Data!H4606</f>
        <v>0</v>
      </c>
      <c r="O4593">
        <f>Data!I4606</f>
        <v>0</v>
      </c>
      <c r="P4593" s="21">
        <f>Data!J4610</f>
        <v>0</v>
      </c>
      <c r="Q4593">
        <f>Data!K4610</f>
        <v>0</v>
      </c>
      <c r="R4593">
        <f>Data!L4610</f>
        <v>0</v>
      </c>
      <c r="S4593">
        <f>Data!M4610</f>
        <v>0</v>
      </c>
      <c r="T4593">
        <f>Data!N4610</f>
        <v>0</v>
      </c>
      <c r="U4593">
        <f>Data!O4610</f>
        <v>0</v>
      </c>
      <c r="V4593" s="33">
        <f>Data!P4608</f>
        <v>0</v>
      </c>
    </row>
    <row r="4594" spans="7:22" x14ac:dyDescent="0.25">
      <c r="G4594">
        <f>Data!A4607</f>
        <v>0</v>
      </c>
      <c r="H4594" s="21">
        <f>Data!B4607</f>
        <v>0</v>
      </c>
      <c r="I4594" s="21">
        <f>Data!C4607</f>
        <v>0</v>
      </c>
      <c r="J4594">
        <f>Data!D4607</f>
        <v>0</v>
      </c>
      <c r="K4594">
        <f>Data!E4607</f>
        <v>0</v>
      </c>
      <c r="L4594">
        <f>Data!F4607</f>
        <v>0</v>
      </c>
      <c r="M4594">
        <f>Data!G4607</f>
        <v>0</v>
      </c>
      <c r="N4594">
        <f>Data!H4607</f>
        <v>0</v>
      </c>
      <c r="O4594">
        <f>Data!I4607</f>
        <v>0</v>
      </c>
      <c r="P4594" s="21">
        <f>Data!J4611</f>
        <v>0</v>
      </c>
      <c r="Q4594">
        <f>Data!K4611</f>
        <v>0</v>
      </c>
      <c r="R4594">
        <f>Data!L4611</f>
        <v>0</v>
      </c>
      <c r="S4594">
        <f>Data!M4611</f>
        <v>0</v>
      </c>
      <c r="T4594">
        <f>Data!N4611</f>
        <v>0</v>
      </c>
      <c r="U4594">
        <f>Data!O4611</f>
        <v>0</v>
      </c>
      <c r="V4594" s="33">
        <f>Data!P4609</f>
        <v>0</v>
      </c>
    </row>
    <row r="4595" spans="7:22" x14ac:dyDescent="0.25">
      <c r="G4595">
        <f>Data!A4608</f>
        <v>0</v>
      </c>
      <c r="H4595" s="21">
        <f>Data!B4608</f>
        <v>0</v>
      </c>
      <c r="I4595" s="21">
        <f>Data!C4608</f>
        <v>0</v>
      </c>
      <c r="J4595">
        <f>Data!D4608</f>
        <v>0</v>
      </c>
      <c r="K4595">
        <f>Data!E4608</f>
        <v>0</v>
      </c>
      <c r="L4595">
        <f>Data!F4608</f>
        <v>0</v>
      </c>
      <c r="M4595">
        <f>Data!G4608</f>
        <v>0</v>
      </c>
      <c r="N4595">
        <f>Data!H4608</f>
        <v>0</v>
      </c>
      <c r="O4595">
        <f>Data!I4608</f>
        <v>0</v>
      </c>
      <c r="P4595" s="21">
        <f>Data!J4612</f>
        <v>0</v>
      </c>
      <c r="Q4595">
        <f>Data!K4612</f>
        <v>0</v>
      </c>
      <c r="R4595">
        <f>Data!L4612</f>
        <v>0</v>
      </c>
      <c r="S4595">
        <f>Data!M4612</f>
        <v>0</v>
      </c>
      <c r="T4595">
        <f>Data!N4612</f>
        <v>0</v>
      </c>
      <c r="U4595">
        <f>Data!O4612</f>
        <v>0</v>
      </c>
      <c r="V4595" s="33">
        <f>Data!P4610</f>
        <v>0</v>
      </c>
    </row>
    <row r="4596" spans="7:22" x14ac:dyDescent="0.25">
      <c r="G4596">
        <f>Data!A4609</f>
        <v>0</v>
      </c>
      <c r="H4596" s="21">
        <f>Data!B4609</f>
        <v>0</v>
      </c>
      <c r="I4596" s="21">
        <f>Data!C4609</f>
        <v>0</v>
      </c>
      <c r="J4596">
        <f>Data!D4609</f>
        <v>0</v>
      </c>
      <c r="K4596">
        <f>Data!E4609</f>
        <v>0</v>
      </c>
      <c r="L4596">
        <f>Data!F4609</f>
        <v>0</v>
      </c>
      <c r="M4596">
        <f>Data!G4609</f>
        <v>0</v>
      </c>
      <c r="N4596">
        <f>Data!H4609</f>
        <v>0</v>
      </c>
      <c r="O4596">
        <f>Data!I4609</f>
        <v>0</v>
      </c>
      <c r="P4596" s="21">
        <f>Data!J4613</f>
        <v>0</v>
      </c>
      <c r="Q4596">
        <f>Data!K4613</f>
        <v>0</v>
      </c>
      <c r="R4596">
        <f>Data!L4613</f>
        <v>0</v>
      </c>
      <c r="S4596">
        <f>Data!M4613</f>
        <v>0</v>
      </c>
      <c r="T4596">
        <f>Data!N4613</f>
        <v>0</v>
      </c>
      <c r="U4596">
        <f>Data!O4613</f>
        <v>0</v>
      </c>
      <c r="V4596" s="33">
        <f>Data!P4611</f>
        <v>0</v>
      </c>
    </row>
    <row r="4597" spans="7:22" x14ac:dyDescent="0.25">
      <c r="G4597">
        <f>Data!A4610</f>
        <v>0</v>
      </c>
      <c r="H4597" s="21">
        <f>Data!B4610</f>
        <v>0</v>
      </c>
      <c r="I4597" s="21">
        <f>Data!C4610</f>
        <v>0</v>
      </c>
      <c r="J4597">
        <f>Data!D4610</f>
        <v>0</v>
      </c>
      <c r="K4597">
        <f>Data!E4610</f>
        <v>0</v>
      </c>
      <c r="L4597">
        <f>Data!F4610</f>
        <v>0</v>
      </c>
      <c r="M4597">
        <f>Data!G4610</f>
        <v>0</v>
      </c>
      <c r="N4597">
        <f>Data!H4610</f>
        <v>0</v>
      </c>
      <c r="O4597">
        <f>Data!I4610</f>
        <v>0</v>
      </c>
      <c r="P4597" s="21">
        <f>Data!J4614</f>
        <v>0</v>
      </c>
      <c r="Q4597">
        <f>Data!K4614</f>
        <v>0</v>
      </c>
      <c r="R4597">
        <f>Data!L4614</f>
        <v>0</v>
      </c>
      <c r="S4597">
        <f>Data!M4614</f>
        <v>0</v>
      </c>
      <c r="T4597">
        <f>Data!N4614</f>
        <v>0</v>
      </c>
      <c r="U4597">
        <f>Data!O4614</f>
        <v>0</v>
      </c>
      <c r="V4597" s="33">
        <f>Data!P4612</f>
        <v>0</v>
      </c>
    </row>
    <row r="4598" spans="7:22" x14ac:dyDescent="0.25">
      <c r="G4598">
        <f>Data!A4611</f>
        <v>0</v>
      </c>
      <c r="H4598" s="21">
        <f>Data!B4611</f>
        <v>0</v>
      </c>
      <c r="I4598" s="21">
        <f>Data!C4611</f>
        <v>0</v>
      </c>
      <c r="J4598">
        <f>Data!D4611</f>
        <v>0</v>
      </c>
      <c r="K4598">
        <f>Data!E4611</f>
        <v>0</v>
      </c>
      <c r="L4598">
        <f>Data!F4611</f>
        <v>0</v>
      </c>
      <c r="M4598">
        <f>Data!G4611</f>
        <v>0</v>
      </c>
      <c r="N4598">
        <f>Data!H4611</f>
        <v>0</v>
      </c>
      <c r="O4598">
        <f>Data!I4611</f>
        <v>0</v>
      </c>
      <c r="P4598" s="21">
        <f>Data!J4615</f>
        <v>0</v>
      </c>
      <c r="Q4598">
        <f>Data!K4615</f>
        <v>0</v>
      </c>
      <c r="R4598">
        <f>Data!L4615</f>
        <v>0</v>
      </c>
      <c r="S4598">
        <f>Data!M4615</f>
        <v>0</v>
      </c>
      <c r="T4598">
        <f>Data!N4615</f>
        <v>0</v>
      </c>
      <c r="U4598">
        <f>Data!O4615</f>
        <v>0</v>
      </c>
      <c r="V4598" s="33">
        <f>Data!P4613</f>
        <v>0</v>
      </c>
    </row>
    <row r="4599" spans="7:22" x14ac:dyDescent="0.25">
      <c r="G4599">
        <f>Data!A4612</f>
        <v>0</v>
      </c>
      <c r="H4599" s="21">
        <f>Data!B4612</f>
        <v>0</v>
      </c>
      <c r="I4599" s="21">
        <f>Data!C4612</f>
        <v>0</v>
      </c>
      <c r="J4599">
        <f>Data!D4612</f>
        <v>0</v>
      </c>
      <c r="K4599">
        <f>Data!E4612</f>
        <v>0</v>
      </c>
      <c r="L4599">
        <f>Data!F4612</f>
        <v>0</v>
      </c>
      <c r="M4599">
        <f>Data!G4612</f>
        <v>0</v>
      </c>
      <c r="N4599">
        <f>Data!H4612</f>
        <v>0</v>
      </c>
      <c r="O4599">
        <f>Data!I4612</f>
        <v>0</v>
      </c>
      <c r="P4599" s="21">
        <f>Data!J4616</f>
        <v>0</v>
      </c>
      <c r="Q4599">
        <f>Data!K4616</f>
        <v>0</v>
      </c>
      <c r="R4599">
        <f>Data!L4616</f>
        <v>0</v>
      </c>
      <c r="S4599">
        <f>Data!M4616</f>
        <v>0</v>
      </c>
      <c r="T4599">
        <f>Data!N4616</f>
        <v>0</v>
      </c>
      <c r="U4599">
        <f>Data!O4616</f>
        <v>0</v>
      </c>
      <c r="V4599" s="33">
        <f>Data!P4614</f>
        <v>0</v>
      </c>
    </row>
    <row r="4600" spans="7:22" x14ac:dyDescent="0.25">
      <c r="G4600">
        <f>Data!A4613</f>
        <v>0</v>
      </c>
      <c r="H4600" s="21">
        <f>Data!B4613</f>
        <v>0</v>
      </c>
      <c r="I4600" s="21">
        <f>Data!C4613</f>
        <v>0</v>
      </c>
      <c r="J4600">
        <f>Data!D4613</f>
        <v>0</v>
      </c>
      <c r="K4600">
        <f>Data!E4613</f>
        <v>0</v>
      </c>
      <c r="L4600">
        <f>Data!F4613</f>
        <v>0</v>
      </c>
      <c r="M4600">
        <f>Data!G4613</f>
        <v>0</v>
      </c>
      <c r="N4600">
        <f>Data!H4613</f>
        <v>0</v>
      </c>
      <c r="O4600">
        <f>Data!I4613</f>
        <v>0</v>
      </c>
      <c r="P4600" s="21">
        <f>Data!J4617</f>
        <v>0</v>
      </c>
      <c r="Q4600">
        <f>Data!K4617</f>
        <v>0</v>
      </c>
      <c r="R4600">
        <f>Data!L4617</f>
        <v>0</v>
      </c>
      <c r="S4600">
        <f>Data!M4617</f>
        <v>0</v>
      </c>
      <c r="T4600">
        <f>Data!N4617</f>
        <v>0</v>
      </c>
      <c r="U4600">
        <f>Data!O4617</f>
        <v>0</v>
      </c>
      <c r="V4600" s="33">
        <f>Data!P4615</f>
        <v>0</v>
      </c>
    </row>
    <row r="4601" spans="7:22" x14ac:dyDescent="0.25">
      <c r="G4601">
        <f>Data!A4614</f>
        <v>0</v>
      </c>
      <c r="H4601" s="21">
        <f>Data!B4614</f>
        <v>0</v>
      </c>
      <c r="I4601" s="21">
        <f>Data!C4614</f>
        <v>0</v>
      </c>
      <c r="J4601">
        <f>Data!D4614</f>
        <v>0</v>
      </c>
      <c r="K4601">
        <f>Data!E4614</f>
        <v>0</v>
      </c>
      <c r="L4601">
        <f>Data!F4614</f>
        <v>0</v>
      </c>
      <c r="M4601">
        <f>Data!G4614</f>
        <v>0</v>
      </c>
      <c r="N4601">
        <f>Data!H4614</f>
        <v>0</v>
      </c>
      <c r="O4601">
        <f>Data!I4614</f>
        <v>0</v>
      </c>
      <c r="P4601" s="21">
        <f>Data!J4618</f>
        <v>0</v>
      </c>
      <c r="Q4601">
        <f>Data!K4618</f>
        <v>0</v>
      </c>
      <c r="R4601">
        <f>Data!L4618</f>
        <v>0</v>
      </c>
      <c r="S4601">
        <f>Data!M4618</f>
        <v>0</v>
      </c>
      <c r="T4601">
        <f>Data!N4618</f>
        <v>0</v>
      </c>
      <c r="U4601">
        <f>Data!O4618</f>
        <v>0</v>
      </c>
      <c r="V4601" s="33">
        <f>Data!P4616</f>
        <v>0</v>
      </c>
    </row>
    <row r="4602" spans="7:22" x14ac:dyDescent="0.25">
      <c r="G4602">
        <f>Data!A4615</f>
        <v>0</v>
      </c>
      <c r="H4602" s="21">
        <f>Data!B4615</f>
        <v>0</v>
      </c>
      <c r="I4602" s="21">
        <f>Data!C4615</f>
        <v>0</v>
      </c>
      <c r="J4602">
        <f>Data!D4615</f>
        <v>0</v>
      </c>
      <c r="K4602">
        <f>Data!E4615</f>
        <v>0</v>
      </c>
      <c r="L4602">
        <f>Data!F4615</f>
        <v>0</v>
      </c>
      <c r="M4602">
        <f>Data!G4615</f>
        <v>0</v>
      </c>
      <c r="N4602">
        <f>Data!H4615</f>
        <v>0</v>
      </c>
      <c r="O4602">
        <f>Data!I4615</f>
        <v>0</v>
      </c>
      <c r="P4602" s="21">
        <f>Data!J4619</f>
        <v>0</v>
      </c>
      <c r="Q4602">
        <f>Data!K4619</f>
        <v>0</v>
      </c>
      <c r="R4602">
        <f>Data!L4619</f>
        <v>0</v>
      </c>
      <c r="S4602">
        <f>Data!M4619</f>
        <v>0</v>
      </c>
      <c r="T4602">
        <f>Data!N4619</f>
        <v>0</v>
      </c>
      <c r="U4602">
        <f>Data!O4619</f>
        <v>0</v>
      </c>
      <c r="V4602" s="33">
        <f>Data!P4617</f>
        <v>0</v>
      </c>
    </row>
    <row r="4603" spans="7:22" x14ac:dyDescent="0.25">
      <c r="G4603">
        <f>Data!A4616</f>
        <v>0</v>
      </c>
      <c r="H4603" s="21">
        <f>Data!B4616</f>
        <v>0</v>
      </c>
      <c r="I4603" s="21">
        <f>Data!C4616</f>
        <v>0</v>
      </c>
      <c r="J4603">
        <f>Data!D4616</f>
        <v>0</v>
      </c>
      <c r="K4603">
        <f>Data!E4616</f>
        <v>0</v>
      </c>
      <c r="L4603">
        <f>Data!F4616</f>
        <v>0</v>
      </c>
      <c r="M4603">
        <f>Data!G4616</f>
        <v>0</v>
      </c>
      <c r="N4603">
        <f>Data!H4616</f>
        <v>0</v>
      </c>
      <c r="O4603">
        <f>Data!I4616</f>
        <v>0</v>
      </c>
      <c r="P4603" s="21">
        <f>Data!J4620</f>
        <v>0</v>
      </c>
      <c r="Q4603">
        <f>Data!K4620</f>
        <v>0</v>
      </c>
      <c r="R4603">
        <f>Data!L4620</f>
        <v>0</v>
      </c>
      <c r="S4603">
        <f>Data!M4620</f>
        <v>0</v>
      </c>
      <c r="T4603">
        <f>Data!N4620</f>
        <v>0</v>
      </c>
      <c r="U4603">
        <f>Data!O4620</f>
        <v>0</v>
      </c>
      <c r="V4603" s="33">
        <f>Data!P4618</f>
        <v>0</v>
      </c>
    </row>
    <row r="4604" spans="7:22" x14ac:dyDescent="0.25">
      <c r="G4604">
        <f>Data!A4617</f>
        <v>0</v>
      </c>
      <c r="H4604" s="21">
        <f>Data!B4617</f>
        <v>0</v>
      </c>
      <c r="I4604" s="21">
        <f>Data!C4617</f>
        <v>0</v>
      </c>
      <c r="J4604">
        <f>Data!D4617</f>
        <v>0</v>
      </c>
      <c r="K4604">
        <f>Data!E4617</f>
        <v>0</v>
      </c>
      <c r="L4604">
        <f>Data!F4617</f>
        <v>0</v>
      </c>
      <c r="M4604">
        <f>Data!G4617</f>
        <v>0</v>
      </c>
      <c r="N4604">
        <f>Data!H4617</f>
        <v>0</v>
      </c>
      <c r="O4604">
        <f>Data!I4617</f>
        <v>0</v>
      </c>
      <c r="P4604" s="21">
        <f>Data!J4621</f>
        <v>0</v>
      </c>
      <c r="Q4604">
        <f>Data!K4621</f>
        <v>0</v>
      </c>
      <c r="R4604">
        <f>Data!L4621</f>
        <v>0</v>
      </c>
      <c r="S4604">
        <f>Data!M4621</f>
        <v>0</v>
      </c>
      <c r="T4604">
        <f>Data!N4621</f>
        <v>0</v>
      </c>
      <c r="U4604">
        <f>Data!O4621</f>
        <v>0</v>
      </c>
      <c r="V4604" s="33">
        <f>Data!P4619</f>
        <v>0</v>
      </c>
    </row>
    <row r="4605" spans="7:22" x14ac:dyDescent="0.25">
      <c r="G4605">
        <f>Data!A4618</f>
        <v>0</v>
      </c>
      <c r="H4605" s="21">
        <f>Data!B4618</f>
        <v>0</v>
      </c>
      <c r="I4605" s="21">
        <f>Data!C4618</f>
        <v>0</v>
      </c>
      <c r="J4605">
        <f>Data!D4618</f>
        <v>0</v>
      </c>
      <c r="K4605">
        <f>Data!E4618</f>
        <v>0</v>
      </c>
      <c r="L4605">
        <f>Data!F4618</f>
        <v>0</v>
      </c>
      <c r="M4605">
        <f>Data!G4618</f>
        <v>0</v>
      </c>
      <c r="N4605">
        <f>Data!H4618</f>
        <v>0</v>
      </c>
      <c r="O4605">
        <f>Data!I4618</f>
        <v>0</v>
      </c>
      <c r="P4605" s="21">
        <f>Data!J4622</f>
        <v>0</v>
      </c>
      <c r="Q4605">
        <f>Data!K4622</f>
        <v>0</v>
      </c>
      <c r="R4605">
        <f>Data!L4622</f>
        <v>0</v>
      </c>
      <c r="S4605">
        <f>Data!M4622</f>
        <v>0</v>
      </c>
      <c r="T4605">
        <f>Data!N4622</f>
        <v>0</v>
      </c>
      <c r="U4605">
        <f>Data!O4622</f>
        <v>0</v>
      </c>
      <c r="V4605" s="33">
        <f>Data!P4620</f>
        <v>0</v>
      </c>
    </row>
    <row r="4606" spans="7:22" x14ac:dyDescent="0.25">
      <c r="G4606">
        <f>Data!A4619</f>
        <v>0</v>
      </c>
      <c r="H4606" s="21">
        <f>Data!B4619</f>
        <v>0</v>
      </c>
      <c r="I4606" s="21">
        <f>Data!C4619</f>
        <v>0</v>
      </c>
      <c r="J4606">
        <f>Data!D4619</f>
        <v>0</v>
      </c>
      <c r="K4606">
        <f>Data!E4619</f>
        <v>0</v>
      </c>
      <c r="L4606">
        <f>Data!F4619</f>
        <v>0</v>
      </c>
      <c r="M4606">
        <f>Data!G4619</f>
        <v>0</v>
      </c>
      <c r="N4606">
        <f>Data!H4619</f>
        <v>0</v>
      </c>
      <c r="O4606">
        <f>Data!I4619</f>
        <v>0</v>
      </c>
      <c r="P4606" s="21">
        <f>Data!J4623</f>
        <v>0</v>
      </c>
      <c r="Q4606">
        <f>Data!K4623</f>
        <v>0</v>
      </c>
      <c r="R4606">
        <f>Data!L4623</f>
        <v>0</v>
      </c>
      <c r="S4606">
        <f>Data!M4623</f>
        <v>0</v>
      </c>
      <c r="T4606">
        <f>Data!N4623</f>
        <v>0</v>
      </c>
      <c r="U4606">
        <f>Data!O4623</f>
        <v>0</v>
      </c>
      <c r="V4606" s="33">
        <f>Data!P4621</f>
        <v>0</v>
      </c>
    </row>
    <row r="4607" spans="7:22" x14ac:dyDescent="0.25">
      <c r="G4607">
        <f>Data!A4620</f>
        <v>0</v>
      </c>
      <c r="H4607" s="21">
        <f>Data!B4620</f>
        <v>0</v>
      </c>
      <c r="I4607" s="21">
        <f>Data!C4620</f>
        <v>0</v>
      </c>
      <c r="J4607">
        <f>Data!D4620</f>
        <v>0</v>
      </c>
      <c r="K4607">
        <f>Data!E4620</f>
        <v>0</v>
      </c>
      <c r="L4607">
        <f>Data!F4620</f>
        <v>0</v>
      </c>
      <c r="M4607">
        <f>Data!G4620</f>
        <v>0</v>
      </c>
      <c r="N4607">
        <f>Data!H4620</f>
        <v>0</v>
      </c>
      <c r="O4607">
        <f>Data!I4620</f>
        <v>0</v>
      </c>
      <c r="P4607" s="21">
        <f>Data!J4624</f>
        <v>0</v>
      </c>
      <c r="Q4607">
        <f>Data!K4624</f>
        <v>0</v>
      </c>
      <c r="R4607">
        <f>Data!L4624</f>
        <v>0</v>
      </c>
      <c r="S4607">
        <f>Data!M4624</f>
        <v>0</v>
      </c>
      <c r="T4607">
        <f>Data!N4624</f>
        <v>0</v>
      </c>
      <c r="U4607">
        <f>Data!O4624</f>
        <v>0</v>
      </c>
      <c r="V4607" s="33">
        <f>Data!P4622</f>
        <v>0</v>
      </c>
    </row>
    <row r="4608" spans="7:22" x14ac:dyDescent="0.25">
      <c r="G4608">
        <f>Data!A4621</f>
        <v>0</v>
      </c>
      <c r="H4608" s="21">
        <f>Data!B4621</f>
        <v>0</v>
      </c>
      <c r="I4608" s="21">
        <f>Data!C4621</f>
        <v>0</v>
      </c>
      <c r="J4608">
        <f>Data!D4621</f>
        <v>0</v>
      </c>
      <c r="K4608">
        <f>Data!E4621</f>
        <v>0</v>
      </c>
      <c r="L4608">
        <f>Data!F4621</f>
        <v>0</v>
      </c>
      <c r="M4608">
        <f>Data!G4621</f>
        <v>0</v>
      </c>
      <c r="N4608">
        <f>Data!H4621</f>
        <v>0</v>
      </c>
      <c r="O4608">
        <f>Data!I4621</f>
        <v>0</v>
      </c>
      <c r="P4608" s="21">
        <f>Data!J4625</f>
        <v>0</v>
      </c>
      <c r="Q4608">
        <f>Data!K4625</f>
        <v>0</v>
      </c>
      <c r="R4608">
        <f>Data!L4625</f>
        <v>0</v>
      </c>
      <c r="S4608">
        <f>Data!M4625</f>
        <v>0</v>
      </c>
      <c r="T4608">
        <f>Data!N4625</f>
        <v>0</v>
      </c>
      <c r="U4608">
        <f>Data!O4625</f>
        <v>0</v>
      </c>
      <c r="V4608" s="33">
        <f>Data!P4623</f>
        <v>0</v>
      </c>
    </row>
    <row r="4609" spans="7:22" x14ac:dyDescent="0.25">
      <c r="G4609">
        <f>Data!A4622</f>
        <v>0</v>
      </c>
      <c r="H4609" s="21">
        <f>Data!B4622</f>
        <v>0</v>
      </c>
      <c r="I4609" s="21">
        <f>Data!C4622</f>
        <v>0</v>
      </c>
      <c r="J4609">
        <f>Data!D4622</f>
        <v>0</v>
      </c>
      <c r="K4609">
        <f>Data!E4622</f>
        <v>0</v>
      </c>
      <c r="L4609">
        <f>Data!F4622</f>
        <v>0</v>
      </c>
      <c r="M4609">
        <f>Data!G4622</f>
        <v>0</v>
      </c>
      <c r="N4609">
        <f>Data!H4622</f>
        <v>0</v>
      </c>
      <c r="O4609">
        <f>Data!I4622</f>
        <v>0</v>
      </c>
      <c r="P4609" s="21">
        <f>Data!J4626</f>
        <v>0</v>
      </c>
      <c r="Q4609">
        <f>Data!K4626</f>
        <v>0</v>
      </c>
      <c r="R4609">
        <f>Data!L4626</f>
        <v>0</v>
      </c>
      <c r="S4609">
        <f>Data!M4626</f>
        <v>0</v>
      </c>
      <c r="T4609">
        <f>Data!N4626</f>
        <v>0</v>
      </c>
      <c r="U4609">
        <f>Data!O4626</f>
        <v>0</v>
      </c>
      <c r="V4609" s="33">
        <f>Data!P4624</f>
        <v>0</v>
      </c>
    </row>
    <row r="4610" spans="7:22" x14ac:dyDescent="0.25">
      <c r="G4610">
        <f>Data!A4623</f>
        <v>0</v>
      </c>
      <c r="H4610" s="21">
        <f>Data!B4623</f>
        <v>0</v>
      </c>
      <c r="I4610" s="21">
        <f>Data!C4623</f>
        <v>0</v>
      </c>
      <c r="J4610">
        <f>Data!D4623</f>
        <v>0</v>
      </c>
      <c r="K4610">
        <f>Data!E4623</f>
        <v>0</v>
      </c>
      <c r="L4610">
        <f>Data!F4623</f>
        <v>0</v>
      </c>
      <c r="M4610">
        <f>Data!G4623</f>
        <v>0</v>
      </c>
      <c r="N4610">
        <f>Data!H4623</f>
        <v>0</v>
      </c>
      <c r="O4610">
        <f>Data!I4623</f>
        <v>0</v>
      </c>
      <c r="P4610" s="21">
        <f>Data!J4627</f>
        <v>0</v>
      </c>
      <c r="Q4610">
        <f>Data!K4627</f>
        <v>0</v>
      </c>
      <c r="R4610">
        <f>Data!L4627</f>
        <v>0</v>
      </c>
      <c r="S4610">
        <f>Data!M4627</f>
        <v>0</v>
      </c>
      <c r="T4610">
        <f>Data!N4627</f>
        <v>0</v>
      </c>
      <c r="U4610">
        <f>Data!O4627</f>
        <v>0</v>
      </c>
      <c r="V4610" s="33">
        <f>Data!P4625</f>
        <v>0</v>
      </c>
    </row>
    <row r="4611" spans="7:22" x14ac:dyDescent="0.25">
      <c r="G4611">
        <f>Data!A4624</f>
        <v>0</v>
      </c>
      <c r="H4611" s="21">
        <f>Data!B4624</f>
        <v>0</v>
      </c>
      <c r="I4611" s="21">
        <f>Data!C4624</f>
        <v>0</v>
      </c>
      <c r="J4611">
        <f>Data!D4624</f>
        <v>0</v>
      </c>
      <c r="K4611">
        <f>Data!E4624</f>
        <v>0</v>
      </c>
      <c r="L4611">
        <f>Data!F4624</f>
        <v>0</v>
      </c>
      <c r="M4611">
        <f>Data!G4624</f>
        <v>0</v>
      </c>
      <c r="N4611">
        <f>Data!H4624</f>
        <v>0</v>
      </c>
      <c r="O4611">
        <f>Data!I4624</f>
        <v>0</v>
      </c>
      <c r="P4611" s="21">
        <f>Data!J4628</f>
        <v>0</v>
      </c>
      <c r="Q4611">
        <f>Data!K4628</f>
        <v>0</v>
      </c>
      <c r="R4611">
        <f>Data!L4628</f>
        <v>0</v>
      </c>
      <c r="S4611">
        <f>Data!M4628</f>
        <v>0</v>
      </c>
      <c r="T4611">
        <f>Data!N4628</f>
        <v>0</v>
      </c>
      <c r="U4611">
        <f>Data!O4628</f>
        <v>0</v>
      </c>
      <c r="V4611" s="33">
        <f>Data!P4626</f>
        <v>0</v>
      </c>
    </row>
    <row r="4612" spans="7:22" x14ac:dyDescent="0.25">
      <c r="G4612">
        <f>Data!A4625</f>
        <v>0</v>
      </c>
      <c r="H4612" s="21">
        <f>Data!B4625</f>
        <v>0</v>
      </c>
      <c r="I4612" s="21">
        <f>Data!C4625</f>
        <v>0</v>
      </c>
      <c r="J4612">
        <f>Data!D4625</f>
        <v>0</v>
      </c>
      <c r="K4612">
        <f>Data!E4625</f>
        <v>0</v>
      </c>
      <c r="L4612">
        <f>Data!F4625</f>
        <v>0</v>
      </c>
      <c r="M4612">
        <f>Data!G4625</f>
        <v>0</v>
      </c>
      <c r="N4612">
        <f>Data!H4625</f>
        <v>0</v>
      </c>
      <c r="O4612">
        <f>Data!I4625</f>
        <v>0</v>
      </c>
      <c r="P4612" s="21">
        <f>Data!J4629</f>
        <v>0</v>
      </c>
      <c r="Q4612">
        <f>Data!K4629</f>
        <v>0</v>
      </c>
      <c r="R4612">
        <f>Data!L4629</f>
        <v>0</v>
      </c>
      <c r="S4612">
        <f>Data!M4629</f>
        <v>0</v>
      </c>
      <c r="T4612">
        <f>Data!N4629</f>
        <v>0</v>
      </c>
      <c r="U4612">
        <f>Data!O4629</f>
        <v>0</v>
      </c>
      <c r="V4612" s="33">
        <f>Data!P4627</f>
        <v>0</v>
      </c>
    </row>
    <row r="4613" spans="7:22" x14ac:dyDescent="0.25">
      <c r="G4613">
        <f>Data!A4626</f>
        <v>0</v>
      </c>
      <c r="H4613" s="21">
        <f>Data!B4626</f>
        <v>0</v>
      </c>
      <c r="I4613" s="21">
        <f>Data!C4626</f>
        <v>0</v>
      </c>
      <c r="J4613">
        <f>Data!D4626</f>
        <v>0</v>
      </c>
      <c r="K4613">
        <f>Data!E4626</f>
        <v>0</v>
      </c>
      <c r="L4613">
        <f>Data!F4626</f>
        <v>0</v>
      </c>
      <c r="M4613">
        <f>Data!G4626</f>
        <v>0</v>
      </c>
      <c r="N4613">
        <f>Data!H4626</f>
        <v>0</v>
      </c>
      <c r="O4613">
        <f>Data!I4626</f>
        <v>0</v>
      </c>
      <c r="P4613" s="21">
        <f>Data!J4630</f>
        <v>0</v>
      </c>
      <c r="Q4613">
        <f>Data!K4630</f>
        <v>0</v>
      </c>
      <c r="R4613">
        <f>Data!L4630</f>
        <v>0</v>
      </c>
      <c r="S4613">
        <f>Data!M4630</f>
        <v>0</v>
      </c>
      <c r="T4613">
        <f>Data!N4630</f>
        <v>0</v>
      </c>
      <c r="U4613">
        <f>Data!O4630</f>
        <v>0</v>
      </c>
      <c r="V4613" s="33">
        <f>Data!P4628</f>
        <v>0</v>
      </c>
    </row>
    <row r="4614" spans="7:22" x14ac:dyDescent="0.25">
      <c r="G4614">
        <f>Data!A4627</f>
        <v>0</v>
      </c>
      <c r="H4614" s="21">
        <f>Data!B4627</f>
        <v>0</v>
      </c>
      <c r="I4614" s="21">
        <f>Data!C4627</f>
        <v>0</v>
      </c>
      <c r="J4614">
        <f>Data!D4627</f>
        <v>0</v>
      </c>
      <c r="K4614">
        <f>Data!E4627</f>
        <v>0</v>
      </c>
      <c r="L4614">
        <f>Data!F4627</f>
        <v>0</v>
      </c>
      <c r="M4614">
        <f>Data!G4627</f>
        <v>0</v>
      </c>
      <c r="N4614">
        <f>Data!H4627</f>
        <v>0</v>
      </c>
      <c r="O4614">
        <f>Data!I4627</f>
        <v>0</v>
      </c>
      <c r="P4614" s="21">
        <f>Data!J4631</f>
        <v>0</v>
      </c>
      <c r="Q4614">
        <f>Data!K4631</f>
        <v>0</v>
      </c>
      <c r="R4614">
        <f>Data!L4631</f>
        <v>0</v>
      </c>
      <c r="S4614">
        <f>Data!M4631</f>
        <v>0</v>
      </c>
      <c r="T4614">
        <f>Data!N4631</f>
        <v>0</v>
      </c>
      <c r="U4614">
        <f>Data!O4631</f>
        <v>0</v>
      </c>
      <c r="V4614" s="33">
        <f>Data!P4629</f>
        <v>0</v>
      </c>
    </row>
    <row r="4615" spans="7:22" x14ac:dyDescent="0.25">
      <c r="G4615">
        <f>Data!A4628</f>
        <v>0</v>
      </c>
      <c r="H4615" s="21">
        <f>Data!B4628</f>
        <v>0</v>
      </c>
      <c r="I4615" s="21">
        <f>Data!C4628</f>
        <v>0</v>
      </c>
      <c r="J4615">
        <f>Data!D4628</f>
        <v>0</v>
      </c>
      <c r="K4615">
        <f>Data!E4628</f>
        <v>0</v>
      </c>
      <c r="L4615">
        <f>Data!F4628</f>
        <v>0</v>
      </c>
      <c r="M4615">
        <f>Data!G4628</f>
        <v>0</v>
      </c>
      <c r="N4615">
        <f>Data!H4628</f>
        <v>0</v>
      </c>
      <c r="O4615">
        <f>Data!I4628</f>
        <v>0</v>
      </c>
      <c r="P4615" s="21">
        <f>Data!J4632</f>
        <v>0</v>
      </c>
      <c r="Q4615">
        <f>Data!K4632</f>
        <v>0</v>
      </c>
      <c r="R4615">
        <f>Data!L4632</f>
        <v>0</v>
      </c>
      <c r="S4615">
        <f>Data!M4632</f>
        <v>0</v>
      </c>
      <c r="T4615">
        <f>Data!N4632</f>
        <v>0</v>
      </c>
      <c r="U4615">
        <f>Data!O4632</f>
        <v>0</v>
      </c>
      <c r="V4615" s="33">
        <f>Data!P4630</f>
        <v>0</v>
      </c>
    </row>
    <row r="4616" spans="7:22" x14ac:dyDescent="0.25">
      <c r="G4616">
        <f>Data!A4629</f>
        <v>0</v>
      </c>
      <c r="H4616" s="21">
        <f>Data!B4629</f>
        <v>0</v>
      </c>
      <c r="I4616" s="21">
        <f>Data!C4629</f>
        <v>0</v>
      </c>
      <c r="J4616">
        <f>Data!D4629</f>
        <v>0</v>
      </c>
      <c r="K4616">
        <f>Data!E4629</f>
        <v>0</v>
      </c>
      <c r="L4616">
        <f>Data!F4629</f>
        <v>0</v>
      </c>
      <c r="M4616">
        <f>Data!G4629</f>
        <v>0</v>
      </c>
      <c r="N4616">
        <f>Data!H4629</f>
        <v>0</v>
      </c>
      <c r="O4616">
        <f>Data!I4629</f>
        <v>0</v>
      </c>
      <c r="P4616" s="21">
        <f>Data!J4633</f>
        <v>0</v>
      </c>
      <c r="Q4616">
        <f>Data!K4633</f>
        <v>0</v>
      </c>
      <c r="R4616">
        <f>Data!L4633</f>
        <v>0</v>
      </c>
      <c r="S4616">
        <f>Data!M4633</f>
        <v>0</v>
      </c>
      <c r="T4616">
        <f>Data!N4633</f>
        <v>0</v>
      </c>
      <c r="U4616">
        <f>Data!O4633</f>
        <v>0</v>
      </c>
      <c r="V4616" s="33">
        <f>Data!P4631</f>
        <v>0</v>
      </c>
    </row>
    <row r="4617" spans="7:22" x14ac:dyDescent="0.25">
      <c r="G4617">
        <f>Data!A4630</f>
        <v>0</v>
      </c>
      <c r="H4617" s="21">
        <f>Data!B4630</f>
        <v>0</v>
      </c>
      <c r="I4617" s="21">
        <f>Data!C4630</f>
        <v>0</v>
      </c>
      <c r="J4617">
        <f>Data!D4630</f>
        <v>0</v>
      </c>
      <c r="K4617">
        <f>Data!E4630</f>
        <v>0</v>
      </c>
      <c r="L4617">
        <f>Data!F4630</f>
        <v>0</v>
      </c>
      <c r="M4617">
        <f>Data!G4630</f>
        <v>0</v>
      </c>
      <c r="N4617">
        <f>Data!H4630</f>
        <v>0</v>
      </c>
      <c r="O4617">
        <f>Data!I4630</f>
        <v>0</v>
      </c>
      <c r="P4617" s="21">
        <f>Data!J4634</f>
        <v>0</v>
      </c>
      <c r="Q4617">
        <f>Data!K4634</f>
        <v>0</v>
      </c>
      <c r="R4617">
        <f>Data!L4634</f>
        <v>0</v>
      </c>
      <c r="S4617">
        <f>Data!M4634</f>
        <v>0</v>
      </c>
      <c r="T4617">
        <f>Data!N4634</f>
        <v>0</v>
      </c>
      <c r="U4617">
        <f>Data!O4634</f>
        <v>0</v>
      </c>
      <c r="V4617" s="33">
        <f>Data!P4632</f>
        <v>0</v>
      </c>
    </row>
    <row r="4618" spans="7:22" x14ac:dyDescent="0.25">
      <c r="G4618">
        <f>Data!A4631</f>
        <v>0</v>
      </c>
      <c r="H4618" s="21">
        <f>Data!B4631</f>
        <v>0</v>
      </c>
      <c r="I4618" s="21">
        <f>Data!C4631</f>
        <v>0</v>
      </c>
      <c r="J4618">
        <f>Data!D4631</f>
        <v>0</v>
      </c>
      <c r="K4618">
        <f>Data!E4631</f>
        <v>0</v>
      </c>
      <c r="L4618">
        <f>Data!F4631</f>
        <v>0</v>
      </c>
      <c r="M4618">
        <f>Data!G4631</f>
        <v>0</v>
      </c>
      <c r="N4618">
        <f>Data!H4631</f>
        <v>0</v>
      </c>
      <c r="O4618">
        <f>Data!I4631</f>
        <v>0</v>
      </c>
      <c r="P4618" s="21">
        <f>Data!J4635</f>
        <v>0</v>
      </c>
      <c r="Q4618">
        <f>Data!K4635</f>
        <v>0</v>
      </c>
      <c r="R4618">
        <f>Data!L4635</f>
        <v>0</v>
      </c>
      <c r="S4618">
        <f>Data!M4635</f>
        <v>0</v>
      </c>
      <c r="T4618">
        <f>Data!N4635</f>
        <v>0</v>
      </c>
      <c r="U4618">
        <f>Data!O4635</f>
        <v>0</v>
      </c>
      <c r="V4618" s="33">
        <f>Data!P4633</f>
        <v>0</v>
      </c>
    </row>
    <row r="4619" spans="7:22" x14ac:dyDescent="0.25">
      <c r="G4619">
        <f>Data!A4632</f>
        <v>0</v>
      </c>
      <c r="H4619" s="21">
        <f>Data!B4632</f>
        <v>0</v>
      </c>
      <c r="I4619" s="21">
        <f>Data!C4632</f>
        <v>0</v>
      </c>
      <c r="J4619">
        <f>Data!D4632</f>
        <v>0</v>
      </c>
      <c r="K4619">
        <f>Data!E4632</f>
        <v>0</v>
      </c>
      <c r="L4619">
        <f>Data!F4632</f>
        <v>0</v>
      </c>
      <c r="M4619">
        <f>Data!G4632</f>
        <v>0</v>
      </c>
      <c r="N4619">
        <f>Data!H4632</f>
        <v>0</v>
      </c>
      <c r="O4619">
        <f>Data!I4632</f>
        <v>0</v>
      </c>
      <c r="P4619" s="21">
        <f>Data!J4636</f>
        <v>0</v>
      </c>
      <c r="Q4619">
        <f>Data!K4636</f>
        <v>0</v>
      </c>
      <c r="R4619">
        <f>Data!L4636</f>
        <v>0</v>
      </c>
      <c r="S4619">
        <f>Data!M4636</f>
        <v>0</v>
      </c>
      <c r="T4619">
        <f>Data!N4636</f>
        <v>0</v>
      </c>
      <c r="U4619">
        <f>Data!O4636</f>
        <v>0</v>
      </c>
      <c r="V4619" s="33">
        <f>Data!P4634</f>
        <v>0</v>
      </c>
    </row>
    <row r="4620" spans="7:22" x14ac:dyDescent="0.25">
      <c r="G4620">
        <f>Data!A4633</f>
        <v>0</v>
      </c>
      <c r="H4620" s="21">
        <f>Data!B4633</f>
        <v>0</v>
      </c>
      <c r="I4620" s="21">
        <f>Data!C4633</f>
        <v>0</v>
      </c>
      <c r="J4620">
        <f>Data!D4633</f>
        <v>0</v>
      </c>
      <c r="K4620">
        <f>Data!E4633</f>
        <v>0</v>
      </c>
      <c r="L4620">
        <f>Data!F4633</f>
        <v>0</v>
      </c>
      <c r="M4620">
        <f>Data!G4633</f>
        <v>0</v>
      </c>
      <c r="N4620">
        <f>Data!H4633</f>
        <v>0</v>
      </c>
      <c r="O4620">
        <f>Data!I4633</f>
        <v>0</v>
      </c>
      <c r="P4620" s="21">
        <f>Data!J4637</f>
        <v>0</v>
      </c>
      <c r="Q4620">
        <f>Data!K4637</f>
        <v>0</v>
      </c>
      <c r="R4620">
        <f>Data!L4637</f>
        <v>0</v>
      </c>
      <c r="S4620">
        <f>Data!M4637</f>
        <v>0</v>
      </c>
      <c r="T4620">
        <f>Data!N4637</f>
        <v>0</v>
      </c>
      <c r="U4620">
        <f>Data!O4637</f>
        <v>0</v>
      </c>
      <c r="V4620" s="33">
        <f>Data!P4635</f>
        <v>0</v>
      </c>
    </row>
    <row r="4621" spans="7:22" x14ac:dyDescent="0.25">
      <c r="G4621">
        <f>Data!A4634</f>
        <v>0</v>
      </c>
      <c r="H4621" s="21">
        <f>Data!B4634</f>
        <v>0</v>
      </c>
      <c r="I4621" s="21">
        <f>Data!C4634</f>
        <v>0</v>
      </c>
      <c r="J4621">
        <f>Data!D4634</f>
        <v>0</v>
      </c>
      <c r="K4621">
        <f>Data!E4634</f>
        <v>0</v>
      </c>
      <c r="L4621">
        <f>Data!F4634</f>
        <v>0</v>
      </c>
      <c r="M4621">
        <f>Data!G4634</f>
        <v>0</v>
      </c>
      <c r="N4621">
        <f>Data!H4634</f>
        <v>0</v>
      </c>
      <c r="O4621">
        <f>Data!I4634</f>
        <v>0</v>
      </c>
      <c r="P4621" s="21">
        <f>Data!J4638</f>
        <v>0</v>
      </c>
      <c r="Q4621">
        <f>Data!K4638</f>
        <v>0</v>
      </c>
      <c r="R4621">
        <f>Data!L4638</f>
        <v>0</v>
      </c>
      <c r="S4621">
        <f>Data!M4638</f>
        <v>0</v>
      </c>
      <c r="T4621">
        <f>Data!N4638</f>
        <v>0</v>
      </c>
      <c r="U4621">
        <f>Data!O4638</f>
        <v>0</v>
      </c>
      <c r="V4621" s="33">
        <f>Data!P4636</f>
        <v>0</v>
      </c>
    </row>
    <row r="4622" spans="7:22" x14ac:dyDescent="0.25">
      <c r="G4622">
        <f>Data!A4635</f>
        <v>0</v>
      </c>
      <c r="H4622" s="21">
        <f>Data!B4635</f>
        <v>0</v>
      </c>
      <c r="I4622" s="21">
        <f>Data!C4635</f>
        <v>0</v>
      </c>
      <c r="J4622">
        <f>Data!D4635</f>
        <v>0</v>
      </c>
      <c r="K4622">
        <f>Data!E4635</f>
        <v>0</v>
      </c>
      <c r="L4622">
        <f>Data!F4635</f>
        <v>0</v>
      </c>
      <c r="M4622">
        <f>Data!G4635</f>
        <v>0</v>
      </c>
      <c r="N4622">
        <f>Data!H4635</f>
        <v>0</v>
      </c>
      <c r="O4622">
        <f>Data!I4635</f>
        <v>0</v>
      </c>
      <c r="P4622" s="21">
        <f>Data!J4639</f>
        <v>0</v>
      </c>
      <c r="Q4622">
        <f>Data!K4639</f>
        <v>0</v>
      </c>
      <c r="R4622">
        <f>Data!L4639</f>
        <v>0</v>
      </c>
      <c r="S4622">
        <f>Data!M4639</f>
        <v>0</v>
      </c>
      <c r="T4622">
        <f>Data!N4639</f>
        <v>0</v>
      </c>
      <c r="U4622">
        <f>Data!O4639</f>
        <v>0</v>
      </c>
      <c r="V4622" s="33">
        <f>Data!P4637</f>
        <v>0</v>
      </c>
    </row>
    <row r="4623" spans="7:22" x14ac:dyDescent="0.25">
      <c r="G4623">
        <f>Data!A4636</f>
        <v>0</v>
      </c>
      <c r="H4623" s="21">
        <f>Data!B4636</f>
        <v>0</v>
      </c>
      <c r="I4623" s="21">
        <f>Data!C4636</f>
        <v>0</v>
      </c>
      <c r="J4623">
        <f>Data!D4636</f>
        <v>0</v>
      </c>
      <c r="K4623">
        <f>Data!E4636</f>
        <v>0</v>
      </c>
      <c r="L4623">
        <f>Data!F4636</f>
        <v>0</v>
      </c>
      <c r="M4623">
        <f>Data!G4636</f>
        <v>0</v>
      </c>
      <c r="N4623">
        <f>Data!H4636</f>
        <v>0</v>
      </c>
      <c r="O4623">
        <f>Data!I4636</f>
        <v>0</v>
      </c>
      <c r="P4623" s="21">
        <f>Data!J4640</f>
        <v>0</v>
      </c>
      <c r="Q4623">
        <f>Data!K4640</f>
        <v>0</v>
      </c>
      <c r="R4623">
        <f>Data!L4640</f>
        <v>0</v>
      </c>
      <c r="S4623">
        <f>Data!M4640</f>
        <v>0</v>
      </c>
      <c r="T4623">
        <f>Data!N4640</f>
        <v>0</v>
      </c>
      <c r="U4623">
        <f>Data!O4640</f>
        <v>0</v>
      </c>
      <c r="V4623" s="33">
        <f>Data!P4638</f>
        <v>0</v>
      </c>
    </row>
    <row r="4624" spans="7:22" x14ac:dyDescent="0.25">
      <c r="G4624">
        <f>Data!A4637</f>
        <v>0</v>
      </c>
      <c r="H4624" s="21">
        <f>Data!B4637</f>
        <v>0</v>
      </c>
      <c r="I4624" s="21">
        <f>Data!C4637</f>
        <v>0</v>
      </c>
      <c r="J4624">
        <f>Data!D4637</f>
        <v>0</v>
      </c>
      <c r="K4624">
        <f>Data!E4637</f>
        <v>0</v>
      </c>
      <c r="L4624">
        <f>Data!F4637</f>
        <v>0</v>
      </c>
      <c r="M4624">
        <f>Data!G4637</f>
        <v>0</v>
      </c>
      <c r="N4624">
        <f>Data!H4637</f>
        <v>0</v>
      </c>
      <c r="O4624">
        <f>Data!I4637</f>
        <v>0</v>
      </c>
      <c r="P4624" s="21">
        <f>Data!J4641</f>
        <v>0</v>
      </c>
      <c r="Q4624">
        <f>Data!K4641</f>
        <v>0</v>
      </c>
      <c r="R4624">
        <f>Data!L4641</f>
        <v>0</v>
      </c>
      <c r="S4624">
        <f>Data!M4641</f>
        <v>0</v>
      </c>
      <c r="T4624">
        <f>Data!N4641</f>
        <v>0</v>
      </c>
      <c r="U4624">
        <f>Data!O4641</f>
        <v>0</v>
      </c>
      <c r="V4624" s="33">
        <f>Data!P4639</f>
        <v>0</v>
      </c>
    </row>
    <row r="4625" spans="7:22" x14ac:dyDescent="0.25">
      <c r="G4625">
        <f>Data!A4638</f>
        <v>0</v>
      </c>
      <c r="H4625" s="21">
        <f>Data!B4638</f>
        <v>0</v>
      </c>
      <c r="I4625" s="21">
        <f>Data!C4638</f>
        <v>0</v>
      </c>
      <c r="J4625">
        <f>Data!D4638</f>
        <v>0</v>
      </c>
      <c r="K4625">
        <f>Data!E4638</f>
        <v>0</v>
      </c>
      <c r="L4625">
        <f>Data!F4638</f>
        <v>0</v>
      </c>
      <c r="M4625">
        <f>Data!G4638</f>
        <v>0</v>
      </c>
      <c r="N4625">
        <f>Data!H4638</f>
        <v>0</v>
      </c>
      <c r="O4625">
        <f>Data!I4638</f>
        <v>0</v>
      </c>
      <c r="P4625" s="21">
        <f>Data!J4642</f>
        <v>0</v>
      </c>
      <c r="Q4625">
        <f>Data!K4642</f>
        <v>0</v>
      </c>
      <c r="R4625">
        <f>Data!L4642</f>
        <v>0</v>
      </c>
      <c r="S4625">
        <f>Data!M4642</f>
        <v>0</v>
      </c>
      <c r="T4625">
        <f>Data!N4642</f>
        <v>0</v>
      </c>
      <c r="U4625">
        <f>Data!O4642</f>
        <v>0</v>
      </c>
      <c r="V4625" s="33">
        <f>Data!P4640</f>
        <v>0</v>
      </c>
    </row>
    <row r="4626" spans="7:22" x14ac:dyDescent="0.25">
      <c r="G4626">
        <f>Data!A4639</f>
        <v>0</v>
      </c>
      <c r="H4626" s="21">
        <f>Data!B4639</f>
        <v>0</v>
      </c>
      <c r="I4626" s="21">
        <f>Data!C4639</f>
        <v>0</v>
      </c>
      <c r="J4626">
        <f>Data!D4639</f>
        <v>0</v>
      </c>
      <c r="K4626">
        <f>Data!E4639</f>
        <v>0</v>
      </c>
      <c r="L4626">
        <f>Data!F4639</f>
        <v>0</v>
      </c>
      <c r="M4626">
        <f>Data!G4639</f>
        <v>0</v>
      </c>
      <c r="N4626">
        <f>Data!H4639</f>
        <v>0</v>
      </c>
      <c r="O4626">
        <f>Data!I4639</f>
        <v>0</v>
      </c>
      <c r="P4626" s="21">
        <f>Data!J4643</f>
        <v>0</v>
      </c>
      <c r="Q4626">
        <f>Data!K4643</f>
        <v>0</v>
      </c>
      <c r="R4626">
        <f>Data!L4643</f>
        <v>0</v>
      </c>
      <c r="S4626">
        <f>Data!M4643</f>
        <v>0</v>
      </c>
      <c r="T4626">
        <f>Data!N4643</f>
        <v>0</v>
      </c>
      <c r="U4626">
        <f>Data!O4643</f>
        <v>0</v>
      </c>
      <c r="V4626" s="33">
        <f>Data!P4641</f>
        <v>0</v>
      </c>
    </row>
    <row r="4627" spans="7:22" x14ac:dyDescent="0.25">
      <c r="G4627">
        <f>Data!A4640</f>
        <v>0</v>
      </c>
      <c r="H4627" s="21">
        <f>Data!B4640</f>
        <v>0</v>
      </c>
      <c r="I4627" s="21">
        <f>Data!C4640</f>
        <v>0</v>
      </c>
      <c r="J4627">
        <f>Data!D4640</f>
        <v>0</v>
      </c>
      <c r="K4627">
        <f>Data!E4640</f>
        <v>0</v>
      </c>
      <c r="L4627">
        <f>Data!F4640</f>
        <v>0</v>
      </c>
      <c r="M4627">
        <f>Data!G4640</f>
        <v>0</v>
      </c>
      <c r="N4627">
        <f>Data!H4640</f>
        <v>0</v>
      </c>
      <c r="O4627">
        <f>Data!I4640</f>
        <v>0</v>
      </c>
      <c r="P4627" s="21">
        <f>Data!J4644</f>
        <v>0</v>
      </c>
      <c r="Q4627">
        <f>Data!K4644</f>
        <v>0</v>
      </c>
      <c r="R4627">
        <f>Data!L4644</f>
        <v>0</v>
      </c>
      <c r="S4627">
        <f>Data!M4644</f>
        <v>0</v>
      </c>
      <c r="T4627">
        <f>Data!N4644</f>
        <v>0</v>
      </c>
      <c r="U4627">
        <f>Data!O4644</f>
        <v>0</v>
      </c>
      <c r="V4627" s="33">
        <f>Data!P4642</f>
        <v>0</v>
      </c>
    </row>
    <row r="4628" spans="7:22" x14ac:dyDescent="0.25">
      <c r="G4628">
        <f>Data!A4641</f>
        <v>0</v>
      </c>
      <c r="H4628" s="21">
        <f>Data!B4641</f>
        <v>0</v>
      </c>
      <c r="I4628" s="21">
        <f>Data!C4641</f>
        <v>0</v>
      </c>
      <c r="J4628">
        <f>Data!D4641</f>
        <v>0</v>
      </c>
      <c r="K4628">
        <f>Data!E4641</f>
        <v>0</v>
      </c>
      <c r="L4628">
        <f>Data!F4641</f>
        <v>0</v>
      </c>
      <c r="M4628">
        <f>Data!G4641</f>
        <v>0</v>
      </c>
      <c r="N4628">
        <f>Data!H4641</f>
        <v>0</v>
      </c>
      <c r="O4628">
        <f>Data!I4641</f>
        <v>0</v>
      </c>
      <c r="P4628" s="21">
        <f>Data!J4645</f>
        <v>0</v>
      </c>
      <c r="Q4628">
        <f>Data!K4645</f>
        <v>0</v>
      </c>
      <c r="R4628">
        <f>Data!L4645</f>
        <v>0</v>
      </c>
      <c r="S4628">
        <f>Data!M4645</f>
        <v>0</v>
      </c>
      <c r="T4628">
        <f>Data!N4645</f>
        <v>0</v>
      </c>
      <c r="U4628">
        <f>Data!O4645</f>
        <v>0</v>
      </c>
      <c r="V4628" s="33">
        <f>Data!P4643</f>
        <v>0</v>
      </c>
    </row>
    <row r="4629" spans="7:22" x14ac:dyDescent="0.25">
      <c r="G4629">
        <f>Data!A4642</f>
        <v>0</v>
      </c>
      <c r="H4629" s="21">
        <f>Data!B4642</f>
        <v>0</v>
      </c>
      <c r="I4629" s="21">
        <f>Data!C4642</f>
        <v>0</v>
      </c>
      <c r="J4629">
        <f>Data!D4642</f>
        <v>0</v>
      </c>
      <c r="K4629">
        <f>Data!E4642</f>
        <v>0</v>
      </c>
      <c r="L4629">
        <f>Data!F4642</f>
        <v>0</v>
      </c>
      <c r="M4629">
        <f>Data!G4642</f>
        <v>0</v>
      </c>
      <c r="N4629">
        <f>Data!H4642</f>
        <v>0</v>
      </c>
      <c r="O4629">
        <f>Data!I4642</f>
        <v>0</v>
      </c>
      <c r="P4629" s="21">
        <f>Data!J4646</f>
        <v>0</v>
      </c>
      <c r="Q4629">
        <f>Data!K4646</f>
        <v>0</v>
      </c>
      <c r="R4629">
        <f>Data!L4646</f>
        <v>0</v>
      </c>
      <c r="S4629">
        <f>Data!M4646</f>
        <v>0</v>
      </c>
      <c r="T4629">
        <f>Data!N4646</f>
        <v>0</v>
      </c>
      <c r="U4629">
        <f>Data!O4646</f>
        <v>0</v>
      </c>
      <c r="V4629" s="33">
        <f>Data!P4644</f>
        <v>0</v>
      </c>
    </row>
    <row r="4630" spans="7:22" x14ac:dyDescent="0.25">
      <c r="G4630">
        <f>Data!A4643</f>
        <v>0</v>
      </c>
      <c r="H4630" s="21">
        <f>Data!B4643</f>
        <v>0</v>
      </c>
      <c r="I4630" s="21">
        <f>Data!C4643</f>
        <v>0</v>
      </c>
      <c r="J4630">
        <f>Data!D4643</f>
        <v>0</v>
      </c>
      <c r="K4630">
        <f>Data!E4643</f>
        <v>0</v>
      </c>
      <c r="L4630">
        <f>Data!F4643</f>
        <v>0</v>
      </c>
      <c r="M4630">
        <f>Data!G4643</f>
        <v>0</v>
      </c>
      <c r="N4630">
        <f>Data!H4643</f>
        <v>0</v>
      </c>
      <c r="O4630">
        <f>Data!I4643</f>
        <v>0</v>
      </c>
      <c r="P4630" s="21">
        <f>Data!J4647</f>
        <v>0</v>
      </c>
      <c r="Q4630">
        <f>Data!K4647</f>
        <v>0</v>
      </c>
      <c r="R4630">
        <f>Data!L4647</f>
        <v>0</v>
      </c>
      <c r="S4630">
        <f>Data!M4647</f>
        <v>0</v>
      </c>
      <c r="T4630">
        <f>Data!N4647</f>
        <v>0</v>
      </c>
      <c r="U4630">
        <f>Data!O4647</f>
        <v>0</v>
      </c>
      <c r="V4630" s="33">
        <f>Data!P4645</f>
        <v>0</v>
      </c>
    </row>
    <row r="4631" spans="7:22" x14ac:dyDescent="0.25">
      <c r="G4631">
        <f>Data!A4644</f>
        <v>0</v>
      </c>
      <c r="H4631" s="21">
        <f>Data!B4644</f>
        <v>0</v>
      </c>
      <c r="I4631" s="21">
        <f>Data!C4644</f>
        <v>0</v>
      </c>
      <c r="J4631">
        <f>Data!D4644</f>
        <v>0</v>
      </c>
      <c r="K4631">
        <f>Data!E4644</f>
        <v>0</v>
      </c>
      <c r="L4631">
        <f>Data!F4644</f>
        <v>0</v>
      </c>
      <c r="M4631">
        <f>Data!G4644</f>
        <v>0</v>
      </c>
      <c r="N4631">
        <f>Data!H4644</f>
        <v>0</v>
      </c>
      <c r="O4631">
        <f>Data!I4644</f>
        <v>0</v>
      </c>
      <c r="P4631" s="21">
        <f>Data!J4648</f>
        <v>0</v>
      </c>
      <c r="Q4631">
        <f>Data!K4648</f>
        <v>0</v>
      </c>
      <c r="R4631">
        <f>Data!L4648</f>
        <v>0</v>
      </c>
      <c r="S4631">
        <f>Data!M4648</f>
        <v>0</v>
      </c>
      <c r="T4631">
        <f>Data!N4648</f>
        <v>0</v>
      </c>
      <c r="U4631">
        <f>Data!O4648</f>
        <v>0</v>
      </c>
      <c r="V4631" s="33">
        <f>Data!P4646</f>
        <v>0</v>
      </c>
    </row>
    <row r="4632" spans="7:22" x14ac:dyDescent="0.25">
      <c r="G4632">
        <f>Data!A4645</f>
        <v>0</v>
      </c>
      <c r="H4632" s="21">
        <f>Data!B4645</f>
        <v>0</v>
      </c>
      <c r="I4632" s="21">
        <f>Data!C4645</f>
        <v>0</v>
      </c>
      <c r="J4632">
        <f>Data!D4645</f>
        <v>0</v>
      </c>
      <c r="K4632">
        <f>Data!E4645</f>
        <v>0</v>
      </c>
      <c r="L4632">
        <f>Data!F4645</f>
        <v>0</v>
      </c>
      <c r="M4632">
        <f>Data!G4645</f>
        <v>0</v>
      </c>
      <c r="N4632">
        <f>Data!H4645</f>
        <v>0</v>
      </c>
      <c r="O4632">
        <f>Data!I4645</f>
        <v>0</v>
      </c>
      <c r="P4632" s="21">
        <f>Data!J4649</f>
        <v>0</v>
      </c>
      <c r="Q4632">
        <f>Data!K4649</f>
        <v>0</v>
      </c>
      <c r="R4632">
        <f>Data!L4649</f>
        <v>0</v>
      </c>
      <c r="S4632">
        <f>Data!M4649</f>
        <v>0</v>
      </c>
      <c r="T4632">
        <f>Data!N4649</f>
        <v>0</v>
      </c>
      <c r="U4632">
        <f>Data!O4649</f>
        <v>0</v>
      </c>
      <c r="V4632" s="33">
        <f>Data!P4647</f>
        <v>0</v>
      </c>
    </row>
    <row r="4633" spans="7:22" x14ac:dyDescent="0.25">
      <c r="G4633">
        <f>Data!A4646</f>
        <v>0</v>
      </c>
      <c r="H4633" s="21">
        <f>Data!B4646</f>
        <v>0</v>
      </c>
      <c r="I4633" s="21">
        <f>Data!C4646</f>
        <v>0</v>
      </c>
      <c r="J4633">
        <f>Data!D4646</f>
        <v>0</v>
      </c>
      <c r="K4633">
        <f>Data!E4646</f>
        <v>0</v>
      </c>
      <c r="L4633">
        <f>Data!F4646</f>
        <v>0</v>
      </c>
      <c r="M4633">
        <f>Data!G4646</f>
        <v>0</v>
      </c>
      <c r="N4633">
        <f>Data!H4646</f>
        <v>0</v>
      </c>
      <c r="O4633">
        <f>Data!I4646</f>
        <v>0</v>
      </c>
      <c r="P4633" s="21">
        <f>Data!J4650</f>
        <v>0</v>
      </c>
      <c r="Q4633">
        <f>Data!K4650</f>
        <v>0</v>
      </c>
      <c r="R4633">
        <f>Data!L4650</f>
        <v>0</v>
      </c>
      <c r="S4633">
        <f>Data!M4650</f>
        <v>0</v>
      </c>
      <c r="T4633">
        <f>Data!N4650</f>
        <v>0</v>
      </c>
      <c r="U4633">
        <f>Data!O4650</f>
        <v>0</v>
      </c>
      <c r="V4633" s="33">
        <f>Data!P4648</f>
        <v>0</v>
      </c>
    </row>
    <row r="4634" spans="7:22" x14ac:dyDescent="0.25">
      <c r="G4634">
        <f>Data!A4647</f>
        <v>0</v>
      </c>
      <c r="H4634" s="21">
        <f>Data!B4647</f>
        <v>0</v>
      </c>
      <c r="I4634" s="21">
        <f>Data!C4647</f>
        <v>0</v>
      </c>
      <c r="J4634">
        <f>Data!D4647</f>
        <v>0</v>
      </c>
      <c r="K4634">
        <f>Data!E4647</f>
        <v>0</v>
      </c>
      <c r="L4634">
        <f>Data!F4647</f>
        <v>0</v>
      </c>
      <c r="M4634">
        <f>Data!G4647</f>
        <v>0</v>
      </c>
      <c r="N4634">
        <f>Data!H4647</f>
        <v>0</v>
      </c>
      <c r="O4634">
        <f>Data!I4647</f>
        <v>0</v>
      </c>
      <c r="P4634" s="21">
        <f>Data!J4651</f>
        <v>0</v>
      </c>
      <c r="Q4634">
        <f>Data!K4651</f>
        <v>0</v>
      </c>
      <c r="R4634">
        <f>Data!L4651</f>
        <v>0</v>
      </c>
      <c r="S4634">
        <f>Data!M4651</f>
        <v>0</v>
      </c>
      <c r="T4634">
        <f>Data!N4651</f>
        <v>0</v>
      </c>
      <c r="U4634">
        <f>Data!O4651</f>
        <v>0</v>
      </c>
      <c r="V4634" s="33">
        <f>Data!P4649</f>
        <v>0</v>
      </c>
    </row>
    <row r="4635" spans="7:22" x14ac:dyDescent="0.25">
      <c r="G4635">
        <f>Data!A4648</f>
        <v>0</v>
      </c>
      <c r="H4635" s="21">
        <f>Data!B4648</f>
        <v>0</v>
      </c>
      <c r="I4635" s="21">
        <f>Data!C4648</f>
        <v>0</v>
      </c>
      <c r="J4635">
        <f>Data!D4648</f>
        <v>0</v>
      </c>
      <c r="K4635">
        <f>Data!E4648</f>
        <v>0</v>
      </c>
      <c r="L4635">
        <f>Data!F4648</f>
        <v>0</v>
      </c>
      <c r="M4635">
        <f>Data!G4648</f>
        <v>0</v>
      </c>
      <c r="N4635">
        <f>Data!H4648</f>
        <v>0</v>
      </c>
      <c r="O4635">
        <f>Data!I4648</f>
        <v>0</v>
      </c>
      <c r="P4635" s="21">
        <f>Data!J4652</f>
        <v>0</v>
      </c>
      <c r="Q4635">
        <f>Data!K4652</f>
        <v>0</v>
      </c>
      <c r="R4635">
        <f>Data!L4652</f>
        <v>0</v>
      </c>
      <c r="S4635">
        <f>Data!M4652</f>
        <v>0</v>
      </c>
      <c r="T4635">
        <f>Data!N4652</f>
        <v>0</v>
      </c>
      <c r="U4635">
        <f>Data!O4652</f>
        <v>0</v>
      </c>
      <c r="V4635" s="33">
        <f>Data!P4650</f>
        <v>0</v>
      </c>
    </row>
    <row r="4636" spans="7:22" x14ac:dyDescent="0.25">
      <c r="G4636">
        <f>Data!A4649</f>
        <v>0</v>
      </c>
      <c r="H4636" s="21">
        <f>Data!B4649</f>
        <v>0</v>
      </c>
      <c r="I4636" s="21">
        <f>Data!C4649</f>
        <v>0</v>
      </c>
      <c r="J4636">
        <f>Data!D4649</f>
        <v>0</v>
      </c>
      <c r="K4636">
        <f>Data!E4649</f>
        <v>0</v>
      </c>
      <c r="L4636">
        <f>Data!F4649</f>
        <v>0</v>
      </c>
      <c r="M4636">
        <f>Data!G4649</f>
        <v>0</v>
      </c>
      <c r="N4636">
        <f>Data!H4649</f>
        <v>0</v>
      </c>
      <c r="O4636">
        <f>Data!I4649</f>
        <v>0</v>
      </c>
      <c r="P4636" s="21">
        <f>Data!J4653</f>
        <v>0</v>
      </c>
      <c r="Q4636">
        <f>Data!K4653</f>
        <v>0</v>
      </c>
      <c r="R4636">
        <f>Data!L4653</f>
        <v>0</v>
      </c>
      <c r="S4636">
        <f>Data!M4653</f>
        <v>0</v>
      </c>
      <c r="T4636">
        <f>Data!N4653</f>
        <v>0</v>
      </c>
      <c r="U4636">
        <f>Data!O4653</f>
        <v>0</v>
      </c>
      <c r="V4636" s="33">
        <f>Data!P4651</f>
        <v>0</v>
      </c>
    </row>
    <row r="4637" spans="7:22" x14ac:dyDescent="0.25">
      <c r="G4637">
        <f>Data!A4650</f>
        <v>0</v>
      </c>
      <c r="H4637" s="21">
        <f>Data!B4650</f>
        <v>0</v>
      </c>
      <c r="I4637" s="21">
        <f>Data!C4650</f>
        <v>0</v>
      </c>
      <c r="J4637">
        <f>Data!D4650</f>
        <v>0</v>
      </c>
      <c r="K4637">
        <f>Data!E4650</f>
        <v>0</v>
      </c>
      <c r="L4637">
        <f>Data!F4650</f>
        <v>0</v>
      </c>
      <c r="M4637">
        <f>Data!G4650</f>
        <v>0</v>
      </c>
      <c r="N4637">
        <f>Data!H4650</f>
        <v>0</v>
      </c>
      <c r="O4637">
        <f>Data!I4650</f>
        <v>0</v>
      </c>
      <c r="P4637" s="21">
        <f>Data!J4654</f>
        <v>0</v>
      </c>
      <c r="Q4637">
        <f>Data!K4654</f>
        <v>0</v>
      </c>
      <c r="R4637">
        <f>Data!L4654</f>
        <v>0</v>
      </c>
      <c r="S4637">
        <f>Data!M4654</f>
        <v>0</v>
      </c>
      <c r="T4637">
        <f>Data!N4654</f>
        <v>0</v>
      </c>
      <c r="U4637">
        <f>Data!O4654</f>
        <v>0</v>
      </c>
      <c r="V4637" s="33">
        <f>Data!P4652</f>
        <v>0</v>
      </c>
    </row>
    <row r="4638" spans="7:22" x14ac:dyDescent="0.25">
      <c r="G4638">
        <f>Data!A4651</f>
        <v>0</v>
      </c>
      <c r="H4638" s="21">
        <f>Data!B4651</f>
        <v>0</v>
      </c>
      <c r="I4638" s="21">
        <f>Data!C4651</f>
        <v>0</v>
      </c>
      <c r="J4638">
        <f>Data!D4651</f>
        <v>0</v>
      </c>
      <c r="K4638">
        <f>Data!E4651</f>
        <v>0</v>
      </c>
      <c r="L4638">
        <f>Data!F4651</f>
        <v>0</v>
      </c>
      <c r="M4638">
        <f>Data!G4651</f>
        <v>0</v>
      </c>
      <c r="N4638">
        <f>Data!H4651</f>
        <v>0</v>
      </c>
      <c r="O4638">
        <f>Data!I4651</f>
        <v>0</v>
      </c>
      <c r="P4638" s="21">
        <f>Data!J4655</f>
        <v>0</v>
      </c>
      <c r="Q4638">
        <f>Data!K4655</f>
        <v>0</v>
      </c>
      <c r="R4638">
        <f>Data!L4655</f>
        <v>0</v>
      </c>
      <c r="S4638">
        <f>Data!M4655</f>
        <v>0</v>
      </c>
      <c r="T4638">
        <f>Data!N4655</f>
        <v>0</v>
      </c>
      <c r="U4638">
        <f>Data!O4655</f>
        <v>0</v>
      </c>
      <c r="V4638" s="33">
        <f>Data!P4653</f>
        <v>0</v>
      </c>
    </row>
    <row r="4639" spans="7:22" x14ac:dyDescent="0.25">
      <c r="G4639">
        <f>Data!A4652</f>
        <v>0</v>
      </c>
      <c r="H4639" s="21">
        <f>Data!B4652</f>
        <v>0</v>
      </c>
      <c r="I4639" s="21">
        <f>Data!C4652</f>
        <v>0</v>
      </c>
      <c r="J4639">
        <f>Data!D4652</f>
        <v>0</v>
      </c>
      <c r="K4639">
        <f>Data!E4652</f>
        <v>0</v>
      </c>
      <c r="L4639">
        <f>Data!F4652</f>
        <v>0</v>
      </c>
      <c r="M4639">
        <f>Data!G4652</f>
        <v>0</v>
      </c>
      <c r="N4639">
        <f>Data!H4652</f>
        <v>0</v>
      </c>
      <c r="O4639">
        <f>Data!I4652</f>
        <v>0</v>
      </c>
      <c r="P4639" s="21">
        <f>Data!J4656</f>
        <v>0</v>
      </c>
      <c r="Q4639">
        <f>Data!K4656</f>
        <v>0</v>
      </c>
      <c r="R4639">
        <f>Data!L4656</f>
        <v>0</v>
      </c>
      <c r="S4639">
        <f>Data!M4656</f>
        <v>0</v>
      </c>
      <c r="T4639">
        <f>Data!N4656</f>
        <v>0</v>
      </c>
      <c r="U4639">
        <f>Data!O4656</f>
        <v>0</v>
      </c>
      <c r="V4639" s="33">
        <f>Data!P4654</f>
        <v>0</v>
      </c>
    </row>
    <row r="4640" spans="7:22" x14ac:dyDescent="0.25">
      <c r="G4640">
        <f>Data!A4653</f>
        <v>0</v>
      </c>
      <c r="H4640" s="21">
        <f>Data!B4653</f>
        <v>0</v>
      </c>
      <c r="I4640" s="21">
        <f>Data!C4653</f>
        <v>0</v>
      </c>
      <c r="J4640">
        <f>Data!D4653</f>
        <v>0</v>
      </c>
      <c r="K4640">
        <f>Data!E4653</f>
        <v>0</v>
      </c>
      <c r="L4640">
        <f>Data!F4653</f>
        <v>0</v>
      </c>
      <c r="M4640">
        <f>Data!G4653</f>
        <v>0</v>
      </c>
      <c r="N4640">
        <f>Data!H4653</f>
        <v>0</v>
      </c>
      <c r="O4640">
        <f>Data!I4653</f>
        <v>0</v>
      </c>
      <c r="P4640" s="21">
        <f>Data!J4657</f>
        <v>0</v>
      </c>
      <c r="Q4640">
        <f>Data!K4657</f>
        <v>0</v>
      </c>
      <c r="R4640">
        <f>Data!L4657</f>
        <v>0</v>
      </c>
      <c r="S4640">
        <f>Data!M4657</f>
        <v>0</v>
      </c>
      <c r="T4640">
        <f>Data!N4657</f>
        <v>0</v>
      </c>
      <c r="U4640">
        <f>Data!O4657</f>
        <v>0</v>
      </c>
      <c r="V4640" s="33">
        <f>Data!P4655</f>
        <v>0</v>
      </c>
    </row>
    <row r="4641" spans="7:22" x14ac:dyDescent="0.25">
      <c r="G4641">
        <f>Data!A4654</f>
        <v>0</v>
      </c>
      <c r="H4641" s="21">
        <f>Data!B4654</f>
        <v>0</v>
      </c>
      <c r="I4641" s="21">
        <f>Data!C4654</f>
        <v>0</v>
      </c>
      <c r="J4641">
        <f>Data!D4654</f>
        <v>0</v>
      </c>
      <c r="K4641">
        <f>Data!E4654</f>
        <v>0</v>
      </c>
      <c r="L4641">
        <f>Data!F4654</f>
        <v>0</v>
      </c>
      <c r="M4641">
        <f>Data!G4654</f>
        <v>0</v>
      </c>
      <c r="N4641">
        <f>Data!H4654</f>
        <v>0</v>
      </c>
      <c r="O4641">
        <f>Data!I4654</f>
        <v>0</v>
      </c>
      <c r="P4641" s="21">
        <f>Data!J4658</f>
        <v>0</v>
      </c>
      <c r="Q4641">
        <f>Data!K4658</f>
        <v>0</v>
      </c>
      <c r="R4641">
        <f>Data!L4658</f>
        <v>0</v>
      </c>
      <c r="S4641">
        <f>Data!M4658</f>
        <v>0</v>
      </c>
      <c r="T4641">
        <f>Data!N4658</f>
        <v>0</v>
      </c>
      <c r="U4641">
        <f>Data!O4658</f>
        <v>0</v>
      </c>
      <c r="V4641" s="33">
        <f>Data!P4656</f>
        <v>0</v>
      </c>
    </row>
    <row r="4642" spans="7:22" x14ac:dyDescent="0.25">
      <c r="G4642">
        <f>Data!A4655</f>
        <v>0</v>
      </c>
      <c r="H4642" s="21">
        <f>Data!B4655</f>
        <v>0</v>
      </c>
      <c r="I4642" s="21">
        <f>Data!C4655</f>
        <v>0</v>
      </c>
      <c r="J4642">
        <f>Data!D4655</f>
        <v>0</v>
      </c>
      <c r="K4642">
        <f>Data!E4655</f>
        <v>0</v>
      </c>
      <c r="L4642">
        <f>Data!F4655</f>
        <v>0</v>
      </c>
      <c r="M4642">
        <f>Data!G4655</f>
        <v>0</v>
      </c>
      <c r="N4642">
        <f>Data!H4655</f>
        <v>0</v>
      </c>
      <c r="O4642">
        <f>Data!I4655</f>
        <v>0</v>
      </c>
      <c r="P4642" s="21">
        <f>Data!J4659</f>
        <v>0</v>
      </c>
      <c r="Q4642">
        <f>Data!K4659</f>
        <v>0</v>
      </c>
      <c r="R4642">
        <f>Data!L4659</f>
        <v>0</v>
      </c>
      <c r="S4642">
        <f>Data!M4659</f>
        <v>0</v>
      </c>
      <c r="T4642">
        <f>Data!N4659</f>
        <v>0</v>
      </c>
      <c r="U4642">
        <f>Data!O4659</f>
        <v>0</v>
      </c>
      <c r="V4642" s="33">
        <f>Data!P4657</f>
        <v>0</v>
      </c>
    </row>
    <row r="4643" spans="7:22" x14ac:dyDescent="0.25">
      <c r="G4643">
        <f>Data!A4656</f>
        <v>0</v>
      </c>
      <c r="H4643" s="21">
        <f>Data!B4656</f>
        <v>0</v>
      </c>
      <c r="I4643" s="21">
        <f>Data!C4656</f>
        <v>0</v>
      </c>
      <c r="J4643">
        <f>Data!D4656</f>
        <v>0</v>
      </c>
      <c r="K4643">
        <f>Data!E4656</f>
        <v>0</v>
      </c>
      <c r="L4643">
        <f>Data!F4656</f>
        <v>0</v>
      </c>
      <c r="M4643">
        <f>Data!G4656</f>
        <v>0</v>
      </c>
      <c r="N4643">
        <f>Data!H4656</f>
        <v>0</v>
      </c>
      <c r="O4643">
        <f>Data!I4656</f>
        <v>0</v>
      </c>
      <c r="P4643" s="21">
        <f>Data!J4660</f>
        <v>0</v>
      </c>
      <c r="Q4643">
        <f>Data!K4660</f>
        <v>0</v>
      </c>
      <c r="R4643">
        <f>Data!L4660</f>
        <v>0</v>
      </c>
      <c r="S4643">
        <f>Data!M4660</f>
        <v>0</v>
      </c>
      <c r="T4643">
        <f>Data!N4660</f>
        <v>0</v>
      </c>
      <c r="U4643">
        <f>Data!O4660</f>
        <v>0</v>
      </c>
      <c r="V4643" s="33">
        <f>Data!P4658</f>
        <v>0</v>
      </c>
    </row>
    <row r="4644" spans="7:22" x14ac:dyDescent="0.25">
      <c r="G4644">
        <f>Data!A4657</f>
        <v>0</v>
      </c>
      <c r="H4644" s="21">
        <f>Data!B4657</f>
        <v>0</v>
      </c>
      <c r="I4644" s="21">
        <f>Data!C4657</f>
        <v>0</v>
      </c>
      <c r="J4644">
        <f>Data!D4657</f>
        <v>0</v>
      </c>
      <c r="K4644">
        <f>Data!E4657</f>
        <v>0</v>
      </c>
      <c r="L4644">
        <f>Data!F4657</f>
        <v>0</v>
      </c>
      <c r="M4644">
        <f>Data!G4657</f>
        <v>0</v>
      </c>
      <c r="N4644">
        <f>Data!H4657</f>
        <v>0</v>
      </c>
      <c r="O4644">
        <f>Data!I4657</f>
        <v>0</v>
      </c>
      <c r="P4644" s="21">
        <f>Data!J4661</f>
        <v>0</v>
      </c>
      <c r="Q4644">
        <f>Data!K4661</f>
        <v>0</v>
      </c>
      <c r="R4644">
        <f>Data!L4661</f>
        <v>0</v>
      </c>
      <c r="S4644">
        <f>Data!M4661</f>
        <v>0</v>
      </c>
      <c r="T4644">
        <f>Data!N4661</f>
        <v>0</v>
      </c>
      <c r="U4644">
        <f>Data!O4661</f>
        <v>0</v>
      </c>
      <c r="V4644" s="33">
        <f>Data!P4659</f>
        <v>0</v>
      </c>
    </row>
    <row r="4645" spans="7:22" x14ac:dyDescent="0.25">
      <c r="G4645">
        <f>Data!A4658</f>
        <v>0</v>
      </c>
      <c r="H4645" s="21">
        <f>Data!B4658</f>
        <v>0</v>
      </c>
      <c r="I4645" s="21">
        <f>Data!C4658</f>
        <v>0</v>
      </c>
      <c r="J4645">
        <f>Data!D4658</f>
        <v>0</v>
      </c>
      <c r="K4645">
        <f>Data!E4658</f>
        <v>0</v>
      </c>
      <c r="L4645">
        <f>Data!F4658</f>
        <v>0</v>
      </c>
      <c r="M4645">
        <f>Data!G4658</f>
        <v>0</v>
      </c>
      <c r="N4645">
        <f>Data!H4658</f>
        <v>0</v>
      </c>
      <c r="O4645">
        <f>Data!I4658</f>
        <v>0</v>
      </c>
      <c r="P4645" s="21">
        <f>Data!J4662</f>
        <v>0</v>
      </c>
      <c r="Q4645">
        <f>Data!K4662</f>
        <v>0</v>
      </c>
      <c r="R4645">
        <f>Data!L4662</f>
        <v>0</v>
      </c>
      <c r="S4645">
        <f>Data!M4662</f>
        <v>0</v>
      </c>
      <c r="T4645">
        <f>Data!N4662</f>
        <v>0</v>
      </c>
      <c r="U4645">
        <f>Data!O4662</f>
        <v>0</v>
      </c>
      <c r="V4645" s="33">
        <f>Data!P4660</f>
        <v>0</v>
      </c>
    </row>
    <row r="4646" spans="7:22" x14ac:dyDescent="0.25">
      <c r="G4646">
        <f>Data!A4659</f>
        <v>0</v>
      </c>
      <c r="H4646" s="21">
        <f>Data!B4659</f>
        <v>0</v>
      </c>
      <c r="I4646" s="21">
        <f>Data!C4659</f>
        <v>0</v>
      </c>
      <c r="J4646">
        <f>Data!D4659</f>
        <v>0</v>
      </c>
      <c r="K4646">
        <f>Data!E4659</f>
        <v>0</v>
      </c>
      <c r="L4646">
        <f>Data!F4659</f>
        <v>0</v>
      </c>
      <c r="M4646">
        <f>Data!G4659</f>
        <v>0</v>
      </c>
      <c r="N4646">
        <f>Data!H4659</f>
        <v>0</v>
      </c>
      <c r="O4646">
        <f>Data!I4659</f>
        <v>0</v>
      </c>
      <c r="P4646" s="21">
        <f>Data!J4663</f>
        <v>0</v>
      </c>
      <c r="Q4646">
        <f>Data!K4663</f>
        <v>0</v>
      </c>
      <c r="R4646">
        <f>Data!L4663</f>
        <v>0</v>
      </c>
      <c r="S4646">
        <f>Data!M4663</f>
        <v>0</v>
      </c>
      <c r="T4646">
        <f>Data!N4663</f>
        <v>0</v>
      </c>
      <c r="U4646">
        <f>Data!O4663</f>
        <v>0</v>
      </c>
      <c r="V4646" s="33">
        <f>Data!P4661</f>
        <v>0</v>
      </c>
    </row>
    <row r="4647" spans="7:22" x14ac:dyDescent="0.25">
      <c r="G4647">
        <f>Data!A4660</f>
        <v>0</v>
      </c>
      <c r="H4647" s="21">
        <f>Data!B4660</f>
        <v>0</v>
      </c>
      <c r="I4647" s="21">
        <f>Data!C4660</f>
        <v>0</v>
      </c>
      <c r="J4647">
        <f>Data!D4660</f>
        <v>0</v>
      </c>
      <c r="K4647">
        <f>Data!E4660</f>
        <v>0</v>
      </c>
      <c r="L4647">
        <f>Data!F4660</f>
        <v>0</v>
      </c>
      <c r="M4647">
        <f>Data!G4660</f>
        <v>0</v>
      </c>
      <c r="N4647">
        <f>Data!H4660</f>
        <v>0</v>
      </c>
      <c r="O4647">
        <f>Data!I4660</f>
        <v>0</v>
      </c>
      <c r="P4647" s="21">
        <f>Data!J4664</f>
        <v>0</v>
      </c>
      <c r="Q4647">
        <f>Data!K4664</f>
        <v>0</v>
      </c>
      <c r="R4647">
        <f>Data!L4664</f>
        <v>0</v>
      </c>
      <c r="S4647">
        <f>Data!M4664</f>
        <v>0</v>
      </c>
      <c r="T4647">
        <f>Data!N4664</f>
        <v>0</v>
      </c>
      <c r="U4647">
        <f>Data!O4664</f>
        <v>0</v>
      </c>
      <c r="V4647" s="33">
        <f>Data!P4662</f>
        <v>0</v>
      </c>
    </row>
    <row r="4648" spans="7:22" x14ac:dyDescent="0.25">
      <c r="G4648">
        <f>Data!A4661</f>
        <v>0</v>
      </c>
      <c r="H4648" s="21">
        <f>Data!B4661</f>
        <v>0</v>
      </c>
      <c r="I4648" s="21">
        <f>Data!C4661</f>
        <v>0</v>
      </c>
      <c r="J4648">
        <f>Data!D4661</f>
        <v>0</v>
      </c>
      <c r="K4648">
        <f>Data!E4661</f>
        <v>0</v>
      </c>
      <c r="L4648">
        <f>Data!F4661</f>
        <v>0</v>
      </c>
      <c r="M4648">
        <f>Data!G4661</f>
        <v>0</v>
      </c>
      <c r="N4648">
        <f>Data!H4661</f>
        <v>0</v>
      </c>
      <c r="O4648">
        <f>Data!I4661</f>
        <v>0</v>
      </c>
      <c r="P4648" s="21">
        <f>Data!J4665</f>
        <v>0</v>
      </c>
      <c r="Q4648">
        <f>Data!K4665</f>
        <v>0</v>
      </c>
      <c r="R4648">
        <f>Data!L4665</f>
        <v>0</v>
      </c>
      <c r="S4648">
        <f>Data!M4665</f>
        <v>0</v>
      </c>
      <c r="T4648">
        <f>Data!N4665</f>
        <v>0</v>
      </c>
      <c r="U4648">
        <f>Data!O4665</f>
        <v>0</v>
      </c>
      <c r="V4648" s="33">
        <f>Data!P4663</f>
        <v>0</v>
      </c>
    </row>
    <row r="4649" spans="7:22" x14ac:dyDescent="0.25">
      <c r="G4649">
        <f>Data!A4662</f>
        <v>0</v>
      </c>
      <c r="H4649" s="21">
        <f>Data!B4662</f>
        <v>0</v>
      </c>
      <c r="I4649" s="21">
        <f>Data!C4662</f>
        <v>0</v>
      </c>
      <c r="J4649">
        <f>Data!D4662</f>
        <v>0</v>
      </c>
      <c r="K4649">
        <f>Data!E4662</f>
        <v>0</v>
      </c>
      <c r="L4649">
        <f>Data!F4662</f>
        <v>0</v>
      </c>
      <c r="M4649">
        <f>Data!G4662</f>
        <v>0</v>
      </c>
      <c r="N4649">
        <f>Data!H4662</f>
        <v>0</v>
      </c>
      <c r="O4649">
        <f>Data!I4662</f>
        <v>0</v>
      </c>
      <c r="P4649" s="21">
        <f>Data!J4666</f>
        <v>0</v>
      </c>
      <c r="Q4649">
        <f>Data!K4666</f>
        <v>0</v>
      </c>
      <c r="R4649">
        <f>Data!L4666</f>
        <v>0</v>
      </c>
      <c r="S4649">
        <f>Data!M4666</f>
        <v>0</v>
      </c>
      <c r="T4649">
        <f>Data!N4666</f>
        <v>0</v>
      </c>
      <c r="U4649">
        <f>Data!O4666</f>
        <v>0</v>
      </c>
      <c r="V4649" s="33">
        <f>Data!P4664</f>
        <v>0</v>
      </c>
    </row>
    <row r="4650" spans="7:22" x14ac:dyDescent="0.25">
      <c r="G4650">
        <f>Data!A4663</f>
        <v>0</v>
      </c>
      <c r="H4650" s="21">
        <f>Data!B4663</f>
        <v>0</v>
      </c>
      <c r="I4650" s="21">
        <f>Data!C4663</f>
        <v>0</v>
      </c>
      <c r="J4650">
        <f>Data!D4663</f>
        <v>0</v>
      </c>
      <c r="K4650">
        <f>Data!E4663</f>
        <v>0</v>
      </c>
      <c r="L4650">
        <f>Data!F4663</f>
        <v>0</v>
      </c>
      <c r="M4650">
        <f>Data!G4663</f>
        <v>0</v>
      </c>
      <c r="N4650">
        <f>Data!H4663</f>
        <v>0</v>
      </c>
      <c r="O4650">
        <f>Data!I4663</f>
        <v>0</v>
      </c>
      <c r="P4650" s="21">
        <f>Data!J4667</f>
        <v>0</v>
      </c>
      <c r="Q4650">
        <f>Data!K4667</f>
        <v>0</v>
      </c>
      <c r="R4650">
        <f>Data!L4667</f>
        <v>0</v>
      </c>
      <c r="S4650">
        <f>Data!M4667</f>
        <v>0</v>
      </c>
      <c r="T4650">
        <f>Data!N4667</f>
        <v>0</v>
      </c>
      <c r="U4650">
        <f>Data!O4667</f>
        <v>0</v>
      </c>
      <c r="V4650" s="33">
        <f>Data!P4665</f>
        <v>0</v>
      </c>
    </row>
    <row r="4651" spans="7:22" x14ac:dyDescent="0.25">
      <c r="G4651">
        <f>Data!A4664</f>
        <v>0</v>
      </c>
      <c r="H4651" s="21">
        <f>Data!B4664</f>
        <v>0</v>
      </c>
      <c r="I4651" s="21">
        <f>Data!C4664</f>
        <v>0</v>
      </c>
      <c r="J4651">
        <f>Data!D4664</f>
        <v>0</v>
      </c>
      <c r="K4651">
        <f>Data!E4664</f>
        <v>0</v>
      </c>
      <c r="L4651">
        <f>Data!F4664</f>
        <v>0</v>
      </c>
      <c r="M4651">
        <f>Data!G4664</f>
        <v>0</v>
      </c>
      <c r="N4651">
        <f>Data!H4664</f>
        <v>0</v>
      </c>
      <c r="O4651">
        <f>Data!I4664</f>
        <v>0</v>
      </c>
      <c r="P4651" s="21">
        <f>Data!J4668</f>
        <v>0</v>
      </c>
      <c r="Q4651">
        <f>Data!K4668</f>
        <v>0</v>
      </c>
      <c r="R4651">
        <f>Data!L4668</f>
        <v>0</v>
      </c>
      <c r="S4651">
        <f>Data!M4668</f>
        <v>0</v>
      </c>
      <c r="T4651">
        <f>Data!N4668</f>
        <v>0</v>
      </c>
      <c r="U4651">
        <f>Data!O4668</f>
        <v>0</v>
      </c>
      <c r="V4651" s="33">
        <f>Data!P4666</f>
        <v>0</v>
      </c>
    </row>
    <row r="4652" spans="7:22" x14ac:dyDescent="0.25">
      <c r="G4652">
        <f>Data!A4665</f>
        <v>0</v>
      </c>
      <c r="H4652" s="21">
        <f>Data!B4665</f>
        <v>0</v>
      </c>
      <c r="I4652" s="21">
        <f>Data!C4665</f>
        <v>0</v>
      </c>
      <c r="J4652">
        <f>Data!D4665</f>
        <v>0</v>
      </c>
      <c r="K4652">
        <f>Data!E4665</f>
        <v>0</v>
      </c>
      <c r="L4652">
        <f>Data!F4665</f>
        <v>0</v>
      </c>
      <c r="M4652">
        <f>Data!G4665</f>
        <v>0</v>
      </c>
      <c r="N4652">
        <f>Data!H4665</f>
        <v>0</v>
      </c>
      <c r="O4652">
        <f>Data!I4665</f>
        <v>0</v>
      </c>
      <c r="P4652" s="21">
        <f>Data!J4669</f>
        <v>0</v>
      </c>
      <c r="Q4652">
        <f>Data!K4669</f>
        <v>0</v>
      </c>
      <c r="R4652">
        <f>Data!L4669</f>
        <v>0</v>
      </c>
      <c r="S4652">
        <f>Data!M4669</f>
        <v>0</v>
      </c>
      <c r="T4652">
        <f>Data!N4669</f>
        <v>0</v>
      </c>
      <c r="U4652">
        <f>Data!O4669</f>
        <v>0</v>
      </c>
      <c r="V4652" s="33">
        <f>Data!P4667</f>
        <v>0</v>
      </c>
    </row>
    <row r="4653" spans="7:22" x14ac:dyDescent="0.25">
      <c r="G4653">
        <f>Data!A4666</f>
        <v>0</v>
      </c>
      <c r="H4653" s="21">
        <f>Data!B4666</f>
        <v>0</v>
      </c>
      <c r="I4653" s="21">
        <f>Data!C4666</f>
        <v>0</v>
      </c>
      <c r="J4653">
        <f>Data!D4666</f>
        <v>0</v>
      </c>
      <c r="K4653">
        <f>Data!E4666</f>
        <v>0</v>
      </c>
      <c r="L4653">
        <f>Data!F4666</f>
        <v>0</v>
      </c>
      <c r="M4653">
        <f>Data!G4666</f>
        <v>0</v>
      </c>
      <c r="N4653">
        <f>Data!H4666</f>
        <v>0</v>
      </c>
      <c r="O4653">
        <f>Data!I4666</f>
        <v>0</v>
      </c>
      <c r="P4653" s="21">
        <f>Data!J4670</f>
        <v>0</v>
      </c>
      <c r="Q4653">
        <f>Data!K4670</f>
        <v>0</v>
      </c>
      <c r="R4653">
        <f>Data!L4670</f>
        <v>0</v>
      </c>
      <c r="S4653">
        <f>Data!M4670</f>
        <v>0</v>
      </c>
      <c r="T4653">
        <f>Data!N4670</f>
        <v>0</v>
      </c>
      <c r="U4653">
        <f>Data!O4670</f>
        <v>0</v>
      </c>
      <c r="V4653" s="33">
        <f>Data!P4668</f>
        <v>0</v>
      </c>
    </row>
    <row r="4654" spans="7:22" x14ac:dyDescent="0.25">
      <c r="G4654">
        <f>Data!A4667</f>
        <v>0</v>
      </c>
      <c r="H4654" s="21">
        <f>Data!B4667</f>
        <v>0</v>
      </c>
      <c r="I4654" s="21">
        <f>Data!C4667</f>
        <v>0</v>
      </c>
      <c r="J4654">
        <f>Data!D4667</f>
        <v>0</v>
      </c>
      <c r="K4654">
        <f>Data!E4667</f>
        <v>0</v>
      </c>
      <c r="L4654">
        <f>Data!F4667</f>
        <v>0</v>
      </c>
      <c r="M4654">
        <f>Data!G4667</f>
        <v>0</v>
      </c>
      <c r="N4654">
        <f>Data!H4667</f>
        <v>0</v>
      </c>
      <c r="O4654">
        <f>Data!I4667</f>
        <v>0</v>
      </c>
      <c r="P4654" s="21">
        <f>Data!J4671</f>
        <v>0</v>
      </c>
      <c r="Q4654">
        <f>Data!K4671</f>
        <v>0</v>
      </c>
      <c r="R4654">
        <f>Data!L4671</f>
        <v>0</v>
      </c>
      <c r="S4654">
        <f>Data!M4671</f>
        <v>0</v>
      </c>
      <c r="T4654">
        <f>Data!N4671</f>
        <v>0</v>
      </c>
      <c r="U4654">
        <f>Data!O4671</f>
        <v>0</v>
      </c>
      <c r="V4654" s="33">
        <f>Data!P4669</f>
        <v>0</v>
      </c>
    </row>
    <row r="4655" spans="7:22" x14ac:dyDescent="0.25">
      <c r="G4655">
        <f>Data!A4668</f>
        <v>0</v>
      </c>
      <c r="H4655" s="21">
        <f>Data!B4668</f>
        <v>0</v>
      </c>
      <c r="I4655" s="21">
        <f>Data!C4668</f>
        <v>0</v>
      </c>
      <c r="J4655">
        <f>Data!D4668</f>
        <v>0</v>
      </c>
      <c r="K4655">
        <f>Data!E4668</f>
        <v>0</v>
      </c>
      <c r="L4655">
        <f>Data!F4668</f>
        <v>0</v>
      </c>
      <c r="M4655">
        <f>Data!G4668</f>
        <v>0</v>
      </c>
      <c r="N4655">
        <f>Data!H4668</f>
        <v>0</v>
      </c>
      <c r="O4655">
        <f>Data!I4668</f>
        <v>0</v>
      </c>
      <c r="P4655" s="21">
        <f>Data!J4672</f>
        <v>0</v>
      </c>
      <c r="Q4655">
        <f>Data!K4672</f>
        <v>0</v>
      </c>
      <c r="R4655">
        <f>Data!L4672</f>
        <v>0</v>
      </c>
      <c r="S4655">
        <f>Data!M4672</f>
        <v>0</v>
      </c>
      <c r="T4655">
        <f>Data!N4672</f>
        <v>0</v>
      </c>
      <c r="U4655">
        <f>Data!O4672</f>
        <v>0</v>
      </c>
      <c r="V4655" s="33">
        <f>Data!P4670</f>
        <v>0</v>
      </c>
    </row>
    <row r="4656" spans="7:22" x14ac:dyDescent="0.25">
      <c r="G4656">
        <f>Data!A4669</f>
        <v>0</v>
      </c>
      <c r="H4656" s="21">
        <f>Data!B4669</f>
        <v>0</v>
      </c>
      <c r="I4656" s="21">
        <f>Data!C4669</f>
        <v>0</v>
      </c>
      <c r="J4656">
        <f>Data!D4669</f>
        <v>0</v>
      </c>
      <c r="K4656">
        <f>Data!E4669</f>
        <v>0</v>
      </c>
      <c r="L4656">
        <f>Data!F4669</f>
        <v>0</v>
      </c>
      <c r="M4656">
        <f>Data!G4669</f>
        <v>0</v>
      </c>
      <c r="N4656">
        <f>Data!H4669</f>
        <v>0</v>
      </c>
      <c r="O4656">
        <f>Data!I4669</f>
        <v>0</v>
      </c>
      <c r="P4656" s="21">
        <f>Data!J4673</f>
        <v>0</v>
      </c>
      <c r="Q4656">
        <f>Data!K4673</f>
        <v>0</v>
      </c>
      <c r="R4656">
        <f>Data!L4673</f>
        <v>0</v>
      </c>
      <c r="S4656">
        <f>Data!M4673</f>
        <v>0</v>
      </c>
      <c r="T4656">
        <f>Data!N4673</f>
        <v>0</v>
      </c>
      <c r="U4656">
        <f>Data!O4673</f>
        <v>0</v>
      </c>
      <c r="V4656" s="33">
        <f>Data!P4671</f>
        <v>0</v>
      </c>
    </row>
    <row r="4657" spans="7:22" x14ac:dyDescent="0.25">
      <c r="G4657">
        <f>Data!A4670</f>
        <v>0</v>
      </c>
      <c r="H4657" s="21">
        <f>Data!B4670</f>
        <v>0</v>
      </c>
      <c r="I4657" s="21">
        <f>Data!C4670</f>
        <v>0</v>
      </c>
      <c r="J4657">
        <f>Data!D4670</f>
        <v>0</v>
      </c>
      <c r="K4657">
        <f>Data!E4670</f>
        <v>0</v>
      </c>
      <c r="L4657">
        <f>Data!F4670</f>
        <v>0</v>
      </c>
      <c r="M4657">
        <f>Data!G4670</f>
        <v>0</v>
      </c>
      <c r="N4657">
        <f>Data!H4670</f>
        <v>0</v>
      </c>
      <c r="O4657">
        <f>Data!I4670</f>
        <v>0</v>
      </c>
      <c r="P4657" s="21">
        <f>Data!J4674</f>
        <v>0</v>
      </c>
      <c r="Q4657">
        <f>Data!K4674</f>
        <v>0</v>
      </c>
      <c r="R4657">
        <f>Data!L4674</f>
        <v>0</v>
      </c>
      <c r="S4657">
        <f>Data!M4674</f>
        <v>0</v>
      </c>
      <c r="T4657">
        <f>Data!N4674</f>
        <v>0</v>
      </c>
      <c r="U4657">
        <f>Data!O4674</f>
        <v>0</v>
      </c>
      <c r="V4657" s="33">
        <f>Data!P4672</f>
        <v>0</v>
      </c>
    </row>
    <row r="4658" spans="7:22" x14ac:dyDescent="0.25">
      <c r="G4658">
        <f>Data!A4671</f>
        <v>0</v>
      </c>
      <c r="H4658" s="21">
        <f>Data!B4671</f>
        <v>0</v>
      </c>
      <c r="I4658" s="21">
        <f>Data!C4671</f>
        <v>0</v>
      </c>
      <c r="J4658">
        <f>Data!D4671</f>
        <v>0</v>
      </c>
      <c r="K4658">
        <f>Data!E4671</f>
        <v>0</v>
      </c>
      <c r="L4658">
        <f>Data!F4671</f>
        <v>0</v>
      </c>
      <c r="M4658">
        <f>Data!G4671</f>
        <v>0</v>
      </c>
      <c r="N4658">
        <f>Data!H4671</f>
        <v>0</v>
      </c>
      <c r="O4658">
        <f>Data!I4671</f>
        <v>0</v>
      </c>
      <c r="P4658" s="21">
        <f>Data!J4675</f>
        <v>0</v>
      </c>
      <c r="Q4658">
        <f>Data!K4675</f>
        <v>0</v>
      </c>
      <c r="R4658">
        <f>Data!L4675</f>
        <v>0</v>
      </c>
      <c r="S4658">
        <f>Data!M4675</f>
        <v>0</v>
      </c>
      <c r="T4658">
        <f>Data!N4675</f>
        <v>0</v>
      </c>
      <c r="U4658">
        <f>Data!O4675</f>
        <v>0</v>
      </c>
      <c r="V4658" s="33">
        <f>Data!P4673</f>
        <v>0</v>
      </c>
    </row>
    <row r="4659" spans="7:22" x14ac:dyDescent="0.25">
      <c r="G4659">
        <f>Data!A4672</f>
        <v>0</v>
      </c>
      <c r="H4659" s="21">
        <f>Data!B4672</f>
        <v>0</v>
      </c>
      <c r="I4659" s="21">
        <f>Data!C4672</f>
        <v>0</v>
      </c>
      <c r="J4659">
        <f>Data!D4672</f>
        <v>0</v>
      </c>
      <c r="K4659">
        <f>Data!E4672</f>
        <v>0</v>
      </c>
      <c r="L4659">
        <f>Data!F4672</f>
        <v>0</v>
      </c>
      <c r="M4659">
        <f>Data!G4672</f>
        <v>0</v>
      </c>
      <c r="N4659">
        <f>Data!H4672</f>
        <v>0</v>
      </c>
      <c r="O4659">
        <f>Data!I4672</f>
        <v>0</v>
      </c>
      <c r="P4659" s="21">
        <f>Data!J4676</f>
        <v>0</v>
      </c>
      <c r="Q4659">
        <f>Data!K4676</f>
        <v>0</v>
      </c>
      <c r="R4659">
        <f>Data!L4676</f>
        <v>0</v>
      </c>
      <c r="S4659">
        <f>Data!M4676</f>
        <v>0</v>
      </c>
      <c r="T4659">
        <f>Data!N4676</f>
        <v>0</v>
      </c>
      <c r="U4659">
        <f>Data!O4676</f>
        <v>0</v>
      </c>
      <c r="V4659" s="33">
        <f>Data!P4674</f>
        <v>0</v>
      </c>
    </row>
    <row r="4660" spans="7:22" x14ac:dyDescent="0.25">
      <c r="G4660">
        <f>Data!A4673</f>
        <v>0</v>
      </c>
      <c r="H4660" s="21">
        <f>Data!B4673</f>
        <v>0</v>
      </c>
      <c r="I4660" s="21">
        <f>Data!C4673</f>
        <v>0</v>
      </c>
      <c r="J4660">
        <f>Data!D4673</f>
        <v>0</v>
      </c>
      <c r="K4660">
        <f>Data!E4673</f>
        <v>0</v>
      </c>
      <c r="L4660">
        <f>Data!F4673</f>
        <v>0</v>
      </c>
      <c r="M4660">
        <f>Data!G4673</f>
        <v>0</v>
      </c>
      <c r="N4660">
        <f>Data!H4673</f>
        <v>0</v>
      </c>
      <c r="O4660">
        <f>Data!I4673</f>
        <v>0</v>
      </c>
      <c r="P4660" s="21">
        <f>Data!J4677</f>
        <v>0</v>
      </c>
      <c r="Q4660">
        <f>Data!K4677</f>
        <v>0</v>
      </c>
      <c r="R4660">
        <f>Data!L4677</f>
        <v>0</v>
      </c>
      <c r="S4660">
        <f>Data!M4677</f>
        <v>0</v>
      </c>
      <c r="T4660">
        <f>Data!N4677</f>
        <v>0</v>
      </c>
      <c r="U4660">
        <f>Data!O4677</f>
        <v>0</v>
      </c>
      <c r="V4660" s="33">
        <f>Data!P4675</f>
        <v>0</v>
      </c>
    </row>
    <row r="4661" spans="7:22" x14ac:dyDescent="0.25">
      <c r="G4661">
        <f>Data!A4674</f>
        <v>0</v>
      </c>
      <c r="H4661" s="21">
        <f>Data!B4674</f>
        <v>0</v>
      </c>
      <c r="I4661" s="21">
        <f>Data!C4674</f>
        <v>0</v>
      </c>
      <c r="J4661">
        <f>Data!D4674</f>
        <v>0</v>
      </c>
      <c r="K4661">
        <f>Data!E4674</f>
        <v>0</v>
      </c>
      <c r="L4661">
        <f>Data!F4674</f>
        <v>0</v>
      </c>
      <c r="M4661">
        <f>Data!G4674</f>
        <v>0</v>
      </c>
      <c r="N4661">
        <f>Data!H4674</f>
        <v>0</v>
      </c>
      <c r="O4661">
        <f>Data!I4674</f>
        <v>0</v>
      </c>
      <c r="P4661" s="21">
        <f>Data!J4678</f>
        <v>0</v>
      </c>
      <c r="Q4661">
        <f>Data!K4678</f>
        <v>0</v>
      </c>
      <c r="R4661">
        <f>Data!L4678</f>
        <v>0</v>
      </c>
      <c r="S4661">
        <f>Data!M4678</f>
        <v>0</v>
      </c>
      <c r="T4661">
        <f>Data!N4678</f>
        <v>0</v>
      </c>
      <c r="U4661">
        <f>Data!O4678</f>
        <v>0</v>
      </c>
      <c r="V4661" s="33">
        <f>Data!P4676</f>
        <v>0</v>
      </c>
    </row>
    <row r="4662" spans="7:22" x14ac:dyDescent="0.25">
      <c r="G4662">
        <f>Data!A4675</f>
        <v>0</v>
      </c>
      <c r="H4662" s="21">
        <f>Data!B4675</f>
        <v>0</v>
      </c>
      <c r="I4662" s="21">
        <f>Data!C4675</f>
        <v>0</v>
      </c>
      <c r="J4662">
        <f>Data!D4675</f>
        <v>0</v>
      </c>
      <c r="K4662">
        <f>Data!E4675</f>
        <v>0</v>
      </c>
      <c r="L4662">
        <f>Data!F4675</f>
        <v>0</v>
      </c>
      <c r="M4662">
        <f>Data!G4675</f>
        <v>0</v>
      </c>
      <c r="N4662">
        <f>Data!H4675</f>
        <v>0</v>
      </c>
      <c r="O4662">
        <f>Data!I4675</f>
        <v>0</v>
      </c>
      <c r="P4662" s="21">
        <f>Data!J4679</f>
        <v>0</v>
      </c>
      <c r="Q4662">
        <f>Data!K4679</f>
        <v>0</v>
      </c>
      <c r="R4662">
        <f>Data!L4679</f>
        <v>0</v>
      </c>
      <c r="S4662">
        <f>Data!M4679</f>
        <v>0</v>
      </c>
      <c r="T4662">
        <f>Data!N4679</f>
        <v>0</v>
      </c>
      <c r="U4662">
        <f>Data!O4679</f>
        <v>0</v>
      </c>
      <c r="V4662" s="33">
        <f>Data!P4677</f>
        <v>0</v>
      </c>
    </row>
    <row r="4663" spans="7:22" x14ac:dyDescent="0.25">
      <c r="G4663">
        <f>Data!A4676</f>
        <v>0</v>
      </c>
      <c r="H4663" s="21">
        <f>Data!B4676</f>
        <v>0</v>
      </c>
      <c r="I4663" s="21">
        <f>Data!C4676</f>
        <v>0</v>
      </c>
      <c r="J4663">
        <f>Data!D4676</f>
        <v>0</v>
      </c>
      <c r="K4663">
        <f>Data!E4676</f>
        <v>0</v>
      </c>
      <c r="L4663">
        <f>Data!F4676</f>
        <v>0</v>
      </c>
      <c r="M4663">
        <f>Data!G4676</f>
        <v>0</v>
      </c>
      <c r="N4663">
        <f>Data!H4676</f>
        <v>0</v>
      </c>
      <c r="O4663">
        <f>Data!I4676</f>
        <v>0</v>
      </c>
      <c r="P4663" s="21">
        <f>Data!J4680</f>
        <v>0</v>
      </c>
      <c r="Q4663">
        <f>Data!K4680</f>
        <v>0</v>
      </c>
      <c r="R4663">
        <f>Data!L4680</f>
        <v>0</v>
      </c>
      <c r="S4663">
        <f>Data!M4680</f>
        <v>0</v>
      </c>
      <c r="T4663">
        <f>Data!N4680</f>
        <v>0</v>
      </c>
      <c r="U4663">
        <f>Data!O4680</f>
        <v>0</v>
      </c>
      <c r="V4663" s="33">
        <f>Data!P4678</f>
        <v>0</v>
      </c>
    </row>
    <row r="4664" spans="7:22" x14ac:dyDescent="0.25">
      <c r="G4664">
        <f>Data!A4677</f>
        <v>0</v>
      </c>
      <c r="H4664" s="21">
        <f>Data!B4677</f>
        <v>0</v>
      </c>
      <c r="I4664" s="21">
        <f>Data!C4677</f>
        <v>0</v>
      </c>
      <c r="J4664">
        <f>Data!D4677</f>
        <v>0</v>
      </c>
      <c r="K4664">
        <f>Data!E4677</f>
        <v>0</v>
      </c>
      <c r="L4664">
        <f>Data!F4677</f>
        <v>0</v>
      </c>
      <c r="M4664">
        <f>Data!G4677</f>
        <v>0</v>
      </c>
      <c r="N4664">
        <f>Data!H4677</f>
        <v>0</v>
      </c>
      <c r="O4664">
        <f>Data!I4677</f>
        <v>0</v>
      </c>
      <c r="P4664" s="21">
        <f>Data!J4681</f>
        <v>0</v>
      </c>
      <c r="Q4664">
        <f>Data!K4681</f>
        <v>0</v>
      </c>
      <c r="R4664">
        <f>Data!L4681</f>
        <v>0</v>
      </c>
      <c r="S4664">
        <f>Data!M4681</f>
        <v>0</v>
      </c>
      <c r="T4664">
        <f>Data!N4681</f>
        <v>0</v>
      </c>
      <c r="U4664">
        <f>Data!O4681</f>
        <v>0</v>
      </c>
      <c r="V4664" s="33">
        <f>Data!P4679</f>
        <v>0</v>
      </c>
    </row>
    <row r="4665" spans="7:22" x14ac:dyDescent="0.25">
      <c r="G4665">
        <f>Data!A4678</f>
        <v>0</v>
      </c>
      <c r="H4665" s="21">
        <f>Data!B4678</f>
        <v>0</v>
      </c>
      <c r="I4665" s="21">
        <f>Data!C4678</f>
        <v>0</v>
      </c>
      <c r="J4665">
        <f>Data!D4678</f>
        <v>0</v>
      </c>
      <c r="K4665">
        <f>Data!E4678</f>
        <v>0</v>
      </c>
      <c r="L4665">
        <f>Data!F4678</f>
        <v>0</v>
      </c>
      <c r="M4665">
        <f>Data!G4678</f>
        <v>0</v>
      </c>
      <c r="N4665">
        <f>Data!H4678</f>
        <v>0</v>
      </c>
      <c r="O4665">
        <f>Data!I4678</f>
        <v>0</v>
      </c>
      <c r="P4665" s="21">
        <f>Data!J4682</f>
        <v>0</v>
      </c>
      <c r="Q4665">
        <f>Data!K4682</f>
        <v>0</v>
      </c>
      <c r="R4665">
        <f>Data!L4682</f>
        <v>0</v>
      </c>
      <c r="S4665">
        <f>Data!M4682</f>
        <v>0</v>
      </c>
      <c r="T4665">
        <f>Data!N4682</f>
        <v>0</v>
      </c>
      <c r="U4665">
        <f>Data!O4682</f>
        <v>0</v>
      </c>
      <c r="V4665" s="33">
        <f>Data!P4680</f>
        <v>0</v>
      </c>
    </row>
    <row r="4666" spans="7:22" x14ac:dyDescent="0.25">
      <c r="G4666">
        <f>Data!A4679</f>
        <v>0</v>
      </c>
      <c r="H4666" s="21">
        <f>Data!B4679</f>
        <v>0</v>
      </c>
      <c r="I4666" s="21">
        <f>Data!C4679</f>
        <v>0</v>
      </c>
      <c r="J4666">
        <f>Data!D4679</f>
        <v>0</v>
      </c>
      <c r="K4666">
        <f>Data!E4679</f>
        <v>0</v>
      </c>
      <c r="L4666">
        <f>Data!F4679</f>
        <v>0</v>
      </c>
      <c r="M4666">
        <f>Data!G4679</f>
        <v>0</v>
      </c>
      <c r="N4666">
        <f>Data!H4679</f>
        <v>0</v>
      </c>
      <c r="O4666">
        <f>Data!I4679</f>
        <v>0</v>
      </c>
      <c r="P4666" s="21">
        <f>Data!J4683</f>
        <v>0</v>
      </c>
      <c r="Q4666">
        <f>Data!K4683</f>
        <v>0</v>
      </c>
      <c r="R4666">
        <f>Data!L4683</f>
        <v>0</v>
      </c>
      <c r="S4666">
        <f>Data!M4683</f>
        <v>0</v>
      </c>
      <c r="T4666">
        <f>Data!N4683</f>
        <v>0</v>
      </c>
      <c r="U4666">
        <f>Data!O4683</f>
        <v>0</v>
      </c>
      <c r="V4666" s="33">
        <f>Data!P4681</f>
        <v>0</v>
      </c>
    </row>
    <row r="4667" spans="7:22" x14ac:dyDescent="0.25">
      <c r="G4667">
        <f>Data!A4680</f>
        <v>0</v>
      </c>
      <c r="H4667" s="21">
        <f>Data!B4680</f>
        <v>0</v>
      </c>
      <c r="I4667" s="21">
        <f>Data!C4680</f>
        <v>0</v>
      </c>
      <c r="J4667">
        <f>Data!D4680</f>
        <v>0</v>
      </c>
      <c r="K4667">
        <f>Data!E4680</f>
        <v>0</v>
      </c>
      <c r="L4667">
        <f>Data!F4680</f>
        <v>0</v>
      </c>
      <c r="M4667">
        <f>Data!G4680</f>
        <v>0</v>
      </c>
      <c r="N4667">
        <f>Data!H4680</f>
        <v>0</v>
      </c>
      <c r="O4667">
        <f>Data!I4680</f>
        <v>0</v>
      </c>
      <c r="P4667" s="21">
        <f>Data!J4684</f>
        <v>0</v>
      </c>
      <c r="Q4667">
        <f>Data!K4684</f>
        <v>0</v>
      </c>
      <c r="R4667">
        <f>Data!L4684</f>
        <v>0</v>
      </c>
      <c r="S4667">
        <f>Data!M4684</f>
        <v>0</v>
      </c>
      <c r="T4667">
        <f>Data!N4684</f>
        <v>0</v>
      </c>
      <c r="U4667">
        <f>Data!O4684</f>
        <v>0</v>
      </c>
      <c r="V4667" s="33">
        <f>Data!P4682</f>
        <v>0</v>
      </c>
    </row>
    <row r="4668" spans="7:22" x14ac:dyDescent="0.25">
      <c r="G4668">
        <f>Data!A4681</f>
        <v>0</v>
      </c>
      <c r="H4668" s="21">
        <f>Data!B4681</f>
        <v>0</v>
      </c>
      <c r="I4668" s="21">
        <f>Data!C4681</f>
        <v>0</v>
      </c>
      <c r="J4668">
        <f>Data!D4681</f>
        <v>0</v>
      </c>
      <c r="K4668">
        <f>Data!E4681</f>
        <v>0</v>
      </c>
      <c r="L4668">
        <f>Data!F4681</f>
        <v>0</v>
      </c>
      <c r="M4668">
        <f>Data!G4681</f>
        <v>0</v>
      </c>
      <c r="N4668">
        <f>Data!H4681</f>
        <v>0</v>
      </c>
      <c r="O4668">
        <f>Data!I4681</f>
        <v>0</v>
      </c>
      <c r="P4668" s="21">
        <f>Data!J4685</f>
        <v>0</v>
      </c>
      <c r="Q4668">
        <f>Data!K4685</f>
        <v>0</v>
      </c>
      <c r="R4668">
        <f>Data!L4685</f>
        <v>0</v>
      </c>
      <c r="S4668">
        <f>Data!M4685</f>
        <v>0</v>
      </c>
      <c r="T4668">
        <f>Data!N4685</f>
        <v>0</v>
      </c>
      <c r="U4668">
        <f>Data!O4685</f>
        <v>0</v>
      </c>
      <c r="V4668" s="33">
        <f>Data!P4683</f>
        <v>0</v>
      </c>
    </row>
    <row r="4669" spans="7:22" x14ac:dyDescent="0.25">
      <c r="G4669">
        <f>Data!A4682</f>
        <v>0</v>
      </c>
      <c r="H4669" s="21">
        <f>Data!B4682</f>
        <v>0</v>
      </c>
      <c r="I4669" s="21">
        <f>Data!C4682</f>
        <v>0</v>
      </c>
      <c r="J4669">
        <f>Data!D4682</f>
        <v>0</v>
      </c>
      <c r="K4669">
        <f>Data!E4682</f>
        <v>0</v>
      </c>
      <c r="L4669">
        <f>Data!F4682</f>
        <v>0</v>
      </c>
      <c r="M4669">
        <f>Data!G4682</f>
        <v>0</v>
      </c>
      <c r="N4669">
        <f>Data!H4682</f>
        <v>0</v>
      </c>
      <c r="O4669">
        <f>Data!I4682</f>
        <v>0</v>
      </c>
      <c r="P4669" s="21">
        <f>Data!J4686</f>
        <v>0</v>
      </c>
      <c r="Q4669">
        <f>Data!K4686</f>
        <v>0</v>
      </c>
      <c r="R4669">
        <f>Data!L4686</f>
        <v>0</v>
      </c>
      <c r="S4669">
        <f>Data!M4686</f>
        <v>0</v>
      </c>
      <c r="T4669">
        <f>Data!N4686</f>
        <v>0</v>
      </c>
      <c r="U4669">
        <f>Data!O4686</f>
        <v>0</v>
      </c>
      <c r="V4669" s="33">
        <f>Data!P4684</f>
        <v>0</v>
      </c>
    </row>
    <row r="4670" spans="7:22" x14ac:dyDescent="0.25">
      <c r="G4670">
        <f>Data!A4683</f>
        <v>0</v>
      </c>
      <c r="H4670" s="21">
        <f>Data!B4683</f>
        <v>0</v>
      </c>
      <c r="I4670" s="21">
        <f>Data!C4683</f>
        <v>0</v>
      </c>
      <c r="J4670">
        <f>Data!D4683</f>
        <v>0</v>
      </c>
      <c r="K4670">
        <f>Data!E4683</f>
        <v>0</v>
      </c>
      <c r="L4670">
        <f>Data!F4683</f>
        <v>0</v>
      </c>
      <c r="M4670">
        <f>Data!G4683</f>
        <v>0</v>
      </c>
      <c r="N4670">
        <f>Data!H4683</f>
        <v>0</v>
      </c>
      <c r="O4670">
        <f>Data!I4683</f>
        <v>0</v>
      </c>
      <c r="P4670" s="21">
        <f>Data!J4687</f>
        <v>0</v>
      </c>
      <c r="Q4670">
        <f>Data!K4687</f>
        <v>0</v>
      </c>
      <c r="R4670">
        <f>Data!L4687</f>
        <v>0</v>
      </c>
      <c r="S4670">
        <f>Data!M4687</f>
        <v>0</v>
      </c>
      <c r="T4670">
        <f>Data!N4687</f>
        <v>0</v>
      </c>
      <c r="U4670">
        <f>Data!O4687</f>
        <v>0</v>
      </c>
      <c r="V4670" s="33">
        <f>Data!P4685</f>
        <v>0</v>
      </c>
    </row>
    <row r="4671" spans="7:22" x14ac:dyDescent="0.25">
      <c r="G4671">
        <f>Data!A4684</f>
        <v>0</v>
      </c>
      <c r="H4671" s="21">
        <f>Data!B4684</f>
        <v>0</v>
      </c>
      <c r="I4671" s="21">
        <f>Data!C4684</f>
        <v>0</v>
      </c>
      <c r="J4671">
        <f>Data!D4684</f>
        <v>0</v>
      </c>
      <c r="K4671">
        <f>Data!E4684</f>
        <v>0</v>
      </c>
      <c r="L4671">
        <f>Data!F4684</f>
        <v>0</v>
      </c>
      <c r="M4671">
        <f>Data!G4684</f>
        <v>0</v>
      </c>
      <c r="N4671">
        <f>Data!H4684</f>
        <v>0</v>
      </c>
      <c r="O4671">
        <f>Data!I4684</f>
        <v>0</v>
      </c>
      <c r="P4671" s="21">
        <f>Data!J4688</f>
        <v>0</v>
      </c>
      <c r="Q4671">
        <f>Data!K4688</f>
        <v>0</v>
      </c>
      <c r="R4671">
        <f>Data!L4688</f>
        <v>0</v>
      </c>
      <c r="S4671">
        <f>Data!M4688</f>
        <v>0</v>
      </c>
      <c r="T4671">
        <f>Data!N4688</f>
        <v>0</v>
      </c>
      <c r="U4671">
        <f>Data!O4688</f>
        <v>0</v>
      </c>
      <c r="V4671" s="33">
        <f>Data!P4686</f>
        <v>0</v>
      </c>
    </row>
    <row r="4672" spans="7:22" x14ac:dyDescent="0.25">
      <c r="G4672">
        <f>Data!A4685</f>
        <v>0</v>
      </c>
      <c r="H4672" s="21">
        <f>Data!B4685</f>
        <v>0</v>
      </c>
      <c r="I4672" s="21">
        <f>Data!C4685</f>
        <v>0</v>
      </c>
      <c r="J4672">
        <f>Data!D4685</f>
        <v>0</v>
      </c>
      <c r="K4672">
        <f>Data!E4685</f>
        <v>0</v>
      </c>
      <c r="L4672">
        <f>Data!F4685</f>
        <v>0</v>
      </c>
      <c r="M4672">
        <f>Data!G4685</f>
        <v>0</v>
      </c>
      <c r="N4672">
        <f>Data!H4685</f>
        <v>0</v>
      </c>
      <c r="O4672">
        <f>Data!I4685</f>
        <v>0</v>
      </c>
      <c r="P4672" s="21">
        <f>Data!J4689</f>
        <v>0</v>
      </c>
      <c r="Q4672">
        <f>Data!K4689</f>
        <v>0</v>
      </c>
      <c r="R4672">
        <f>Data!L4689</f>
        <v>0</v>
      </c>
      <c r="S4672">
        <f>Data!M4689</f>
        <v>0</v>
      </c>
      <c r="T4672">
        <f>Data!N4689</f>
        <v>0</v>
      </c>
      <c r="U4672">
        <f>Data!O4689</f>
        <v>0</v>
      </c>
      <c r="V4672" s="33">
        <f>Data!P4687</f>
        <v>0</v>
      </c>
    </row>
    <row r="4673" spans="7:22" x14ac:dyDescent="0.25">
      <c r="G4673">
        <f>Data!A4686</f>
        <v>0</v>
      </c>
      <c r="H4673" s="21">
        <f>Data!B4686</f>
        <v>0</v>
      </c>
      <c r="I4673" s="21">
        <f>Data!C4686</f>
        <v>0</v>
      </c>
      <c r="J4673">
        <f>Data!D4686</f>
        <v>0</v>
      </c>
      <c r="K4673">
        <f>Data!E4686</f>
        <v>0</v>
      </c>
      <c r="L4673">
        <f>Data!F4686</f>
        <v>0</v>
      </c>
      <c r="M4673">
        <f>Data!G4686</f>
        <v>0</v>
      </c>
      <c r="N4673">
        <f>Data!H4686</f>
        <v>0</v>
      </c>
      <c r="O4673">
        <f>Data!I4686</f>
        <v>0</v>
      </c>
      <c r="P4673" s="21">
        <f>Data!J4690</f>
        <v>0</v>
      </c>
      <c r="Q4673">
        <f>Data!K4690</f>
        <v>0</v>
      </c>
      <c r="R4673">
        <f>Data!L4690</f>
        <v>0</v>
      </c>
      <c r="S4673">
        <f>Data!M4690</f>
        <v>0</v>
      </c>
      <c r="T4673">
        <f>Data!N4690</f>
        <v>0</v>
      </c>
      <c r="U4673">
        <f>Data!O4690</f>
        <v>0</v>
      </c>
      <c r="V4673" s="33">
        <f>Data!P4688</f>
        <v>0</v>
      </c>
    </row>
    <row r="4674" spans="7:22" x14ac:dyDescent="0.25">
      <c r="G4674">
        <f>Data!A4687</f>
        <v>0</v>
      </c>
      <c r="H4674" s="21">
        <f>Data!B4687</f>
        <v>0</v>
      </c>
      <c r="I4674" s="21">
        <f>Data!C4687</f>
        <v>0</v>
      </c>
      <c r="J4674">
        <f>Data!D4687</f>
        <v>0</v>
      </c>
      <c r="K4674">
        <f>Data!E4687</f>
        <v>0</v>
      </c>
      <c r="L4674">
        <f>Data!F4687</f>
        <v>0</v>
      </c>
      <c r="M4674">
        <f>Data!G4687</f>
        <v>0</v>
      </c>
      <c r="N4674">
        <f>Data!H4687</f>
        <v>0</v>
      </c>
      <c r="O4674">
        <f>Data!I4687</f>
        <v>0</v>
      </c>
      <c r="P4674" s="21">
        <f>Data!J4691</f>
        <v>0</v>
      </c>
      <c r="Q4674">
        <f>Data!K4691</f>
        <v>0</v>
      </c>
      <c r="R4674">
        <f>Data!L4691</f>
        <v>0</v>
      </c>
      <c r="S4674">
        <f>Data!M4691</f>
        <v>0</v>
      </c>
      <c r="T4674">
        <f>Data!N4691</f>
        <v>0</v>
      </c>
      <c r="U4674">
        <f>Data!O4691</f>
        <v>0</v>
      </c>
      <c r="V4674" s="33">
        <f>Data!P4689</f>
        <v>0</v>
      </c>
    </row>
    <row r="4675" spans="7:22" x14ac:dyDescent="0.25">
      <c r="G4675">
        <f>Data!A4688</f>
        <v>0</v>
      </c>
      <c r="H4675" s="21">
        <f>Data!B4688</f>
        <v>0</v>
      </c>
      <c r="I4675" s="21">
        <f>Data!C4688</f>
        <v>0</v>
      </c>
      <c r="J4675">
        <f>Data!D4688</f>
        <v>0</v>
      </c>
      <c r="K4675">
        <f>Data!E4688</f>
        <v>0</v>
      </c>
      <c r="L4675">
        <f>Data!F4688</f>
        <v>0</v>
      </c>
      <c r="M4675">
        <f>Data!G4688</f>
        <v>0</v>
      </c>
      <c r="N4675">
        <f>Data!H4688</f>
        <v>0</v>
      </c>
      <c r="O4675">
        <f>Data!I4688</f>
        <v>0</v>
      </c>
      <c r="P4675" s="21">
        <f>Data!J4692</f>
        <v>0</v>
      </c>
      <c r="Q4675">
        <f>Data!K4692</f>
        <v>0</v>
      </c>
      <c r="R4675">
        <f>Data!L4692</f>
        <v>0</v>
      </c>
      <c r="S4675">
        <f>Data!M4692</f>
        <v>0</v>
      </c>
      <c r="T4675">
        <f>Data!N4692</f>
        <v>0</v>
      </c>
      <c r="U4675">
        <f>Data!O4692</f>
        <v>0</v>
      </c>
      <c r="V4675" s="33">
        <f>Data!P4690</f>
        <v>0</v>
      </c>
    </row>
    <row r="4676" spans="7:22" x14ac:dyDescent="0.25">
      <c r="G4676">
        <f>Data!A4689</f>
        <v>0</v>
      </c>
      <c r="H4676" s="21">
        <f>Data!B4689</f>
        <v>0</v>
      </c>
      <c r="I4676" s="21">
        <f>Data!C4689</f>
        <v>0</v>
      </c>
      <c r="J4676">
        <f>Data!D4689</f>
        <v>0</v>
      </c>
      <c r="K4676">
        <f>Data!E4689</f>
        <v>0</v>
      </c>
      <c r="L4676">
        <f>Data!F4689</f>
        <v>0</v>
      </c>
      <c r="M4676">
        <f>Data!G4689</f>
        <v>0</v>
      </c>
      <c r="N4676">
        <f>Data!H4689</f>
        <v>0</v>
      </c>
      <c r="O4676">
        <f>Data!I4689</f>
        <v>0</v>
      </c>
      <c r="P4676" s="21">
        <f>Data!J4693</f>
        <v>0</v>
      </c>
      <c r="Q4676">
        <f>Data!K4693</f>
        <v>0</v>
      </c>
      <c r="R4676">
        <f>Data!L4693</f>
        <v>0</v>
      </c>
      <c r="S4676">
        <f>Data!M4693</f>
        <v>0</v>
      </c>
      <c r="T4676">
        <f>Data!N4693</f>
        <v>0</v>
      </c>
      <c r="U4676">
        <f>Data!O4693</f>
        <v>0</v>
      </c>
      <c r="V4676" s="33">
        <f>Data!P4691</f>
        <v>0</v>
      </c>
    </row>
    <row r="4677" spans="7:22" x14ac:dyDescent="0.25">
      <c r="G4677">
        <f>Data!A4690</f>
        <v>0</v>
      </c>
      <c r="H4677" s="21">
        <f>Data!B4690</f>
        <v>0</v>
      </c>
      <c r="I4677" s="21">
        <f>Data!C4690</f>
        <v>0</v>
      </c>
      <c r="J4677">
        <f>Data!D4690</f>
        <v>0</v>
      </c>
      <c r="K4677">
        <f>Data!E4690</f>
        <v>0</v>
      </c>
      <c r="L4677">
        <f>Data!F4690</f>
        <v>0</v>
      </c>
      <c r="M4677">
        <f>Data!G4690</f>
        <v>0</v>
      </c>
      <c r="N4677">
        <f>Data!H4690</f>
        <v>0</v>
      </c>
      <c r="O4677">
        <f>Data!I4690</f>
        <v>0</v>
      </c>
      <c r="P4677" s="21">
        <f>Data!J4694</f>
        <v>0</v>
      </c>
      <c r="Q4677">
        <f>Data!K4694</f>
        <v>0</v>
      </c>
      <c r="R4677">
        <f>Data!L4694</f>
        <v>0</v>
      </c>
      <c r="S4677">
        <f>Data!M4694</f>
        <v>0</v>
      </c>
      <c r="T4677">
        <f>Data!N4694</f>
        <v>0</v>
      </c>
      <c r="U4677">
        <f>Data!O4694</f>
        <v>0</v>
      </c>
      <c r="V4677" s="33">
        <f>Data!P4692</f>
        <v>0</v>
      </c>
    </row>
    <row r="4678" spans="7:22" x14ac:dyDescent="0.25">
      <c r="G4678">
        <f>Data!A4691</f>
        <v>0</v>
      </c>
      <c r="H4678" s="21">
        <f>Data!B4691</f>
        <v>0</v>
      </c>
      <c r="I4678" s="21">
        <f>Data!C4691</f>
        <v>0</v>
      </c>
      <c r="J4678">
        <f>Data!D4691</f>
        <v>0</v>
      </c>
      <c r="K4678">
        <f>Data!E4691</f>
        <v>0</v>
      </c>
      <c r="L4678">
        <f>Data!F4691</f>
        <v>0</v>
      </c>
      <c r="M4678">
        <f>Data!G4691</f>
        <v>0</v>
      </c>
      <c r="N4678">
        <f>Data!H4691</f>
        <v>0</v>
      </c>
      <c r="O4678">
        <f>Data!I4691</f>
        <v>0</v>
      </c>
      <c r="P4678" s="21">
        <f>Data!J4695</f>
        <v>0</v>
      </c>
      <c r="Q4678">
        <f>Data!K4695</f>
        <v>0</v>
      </c>
      <c r="R4678">
        <f>Data!L4695</f>
        <v>0</v>
      </c>
      <c r="S4678">
        <f>Data!M4695</f>
        <v>0</v>
      </c>
      <c r="T4678">
        <f>Data!N4695</f>
        <v>0</v>
      </c>
      <c r="U4678">
        <f>Data!O4695</f>
        <v>0</v>
      </c>
      <c r="V4678" s="33">
        <f>Data!P4693</f>
        <v>0</v>
      </c>
    </row>
    <row r="4679" spans="7:22" x14ac:dyDescent="0.25">
      <c r="G4679">
        <f>Data!A4692</f>
        <v>0</v>
      </c>
      <c r="H4679" s="21">
        <f>Data!B4692</f>
        <v>0</v>
      </c>
      <c r="I4679" s="21">
        <f>Data!C4692</f>
        <v>0</v>
      </c>
      <c r="J4679">
        <f>Data!D4692</f>
        <v>0</v>
      </c>
      <c r="K4679">
        <f>Data!E4692</f>
        <v>0</v>
      </c>
      <c r="L4679">
        <f>Data!F4692</f>
        <v>0</v>
      </c>
      <c r="M4679">
        <f>Data!G4692</f>
        <v>0</v>
      </c>
      <c r="N4679">
        <f>Data!H4692</f>
        <v>0</v>
      </c>
      <c r="O4679">
        <f>Data!I4692</f>
        <v>0</v>
      </c>
      <c r="P4679" s="21">
        <f>Data!J4696</f>
        <v>0</v>
      </c>
      <c r="Q4679">
        <f>Data!K4696</f>
        <v>0</v>
      </c>
      <c r="R4679">
        <f>Data!L4696</f>
        <v>0</v>
      </c>
      <c r="S4679">
        <f>Data!M4696</f>
        <v>0</v>
      </c>
      <c r="T4679">
        <f>Data!N4696</f>
        <v>0</v>
      </c>
      <c r="U4679">
        <f>Data!O4696</f>
        <v>0</v>
      </c>
      <c r="V4679" s="33">
        <f>Data!P4694</f>
        <v>0</v>
      </c>
    </row>
    <row r="4680" spans="7:22" x14ac:dyDescent="0.25">
      <c r="G4680">
        <f>Data!A4693</f>
        <v>0</v>
      </c>
      <c r="H4680" s="21">
        <f>Data!B4693</f>
        <v>0</v>
      </c>
      <c r="I4680" s="21">
        <f>Data!C4693</f>
        <v>0</v>
      </c>
      <c r="J4680">
        <f>Data!D4693</f>
        <v>0</v>
      </c>
      <c r="K4680">
        <f>Data!E4693</f>
        <v>0</v>
      </c>
      <c r="L4680">
        <f>Data!F4693</f>
        <v>0</v>
      </c>
      <c r="M4680">
        <f>Data!G4693</f>
        <v>0</v>
      </c>
      <c r="N4680">
        <f>Data!H4693</f>
        <v>0</v>
      </c>
      <c r="O4680">
        <f>Data!I4693</f>
        <v>0</v>
      </c>
      <c r="P4680" s="21">
        <f>Data!J4697</f>
        <v>0</v>
      </c>
      <c r="Q4680">
        <f>Data!K4697</f>
        <v>0</v>
      </c>
      <c r="R4680">
        <f>Data!L4697</f>
        <v>0</v>
      </c>
      <c r="S4680">
        <f>Data!M4697</f>
        <v>0</v>
      </c>
      <c r="T4680">
        <f>Data!N4697</f>
        <v>0</v>
      </c>
      <c r="U4680">
        <f>Data!O4697</f>
        <v>0</v>
      </c>
      <c r="V4680" s="33">
        <f>Data!P4695</f>
        <v>0</v>
      </c>
    </row>
    <row r="4681" spans="7:22" x14ac:dyDescent="0.25">
      <c r="G4681">
        <f>Data!A4694</f>
        <v>0</v>
      </c>
      <c r="H4681" s="21">
        <f>Data!B4694</f>
        <v>0</v>
      </c>
      <c r="I4681" s="21">
        <f>Data!C4694</f>
        <v>0</v>
      </c>
      <c r="J4681">
        <f>Data!D4694</f>
        <v>0</v>
      </c>
      <c r="K4681">
        <f>Data!E4694</f>
        <v>0</v>
      </c>
      <c r="L4681">
        <f>Data!F4694</f>
        <v>0</v>
      </c>
      <c r="M4681">
        <f>Data!G4694</f>
        <v>0</v>
      </c>
      <c r="N4681">
        <f>Data!H4694</f>
        <v>0</v>
      </c>
      <c r="O4681">
        <f>Data!I4694</f>
        <v>0</v>
      </c>
      <c r="P4681" s="21">
        <f>Data!J4698</f>
        <v>0</v>
      </c>
      <c r="Q4681">
        <f>Data!K4698</f>
        <v>0</v>
      </c>
      <c r="R4681">
        <f>Data!L4698</f>
        <v>0</v>
      </c>
      <c r="S4681">
        <f>Data!M4698</f>
        <v>0</v>
      </c>
      <c r="T4681">
        <f>Data!N4698</f>
        <v>0</v>
      </c>
      <c r="U4681">
        <f>Data!O4698</f>
        <v>0</v>
      </c>
      <c r="V4681" s="33">
        <f>Data!P4696</f>
        <v>0</v>
      </c>
    </row>
    <row r="4682" spans="7:22" x14ac:dyDescent="0.25">
      <c r="G4682">
        <f>Data!A4695</f>
        <v>0</v>
      </c>
      <c r="H4682" s="21">
        <f>Data!B4695</f>
        <v>0</v>
      </c>
      <c r="I4682" s="21">
        <f>Data!C4695</f>
        <v>0</v>
      </c>
      <c r="J4682">
        <f>Data!D4695</f>
        <v>0</v>
      </c>
      <c r="K4682">
        <f>Data!E4695</f>
        <v>0</v>
      </c>
      <c r="L4682">
        <f>Data!F4695</f>
        <v>0</v>
      </c>
      <c r="M4682">
        <f>Data!G4695</f>
        <v>0</v>
      </c>
      <c r="N4682">
        <f>Data!H4695</f>
        <v>0</v>
      </c>
      <c r="O4682">
        <f>Data!I4695</f>
        <v>0</v>
      </c>
      <c r="P4682" s="21">
        <f>Data!J4699</f>
        <v>0</v>
      </c>
      <c r="Q4682">
        <f>Data!K4699</f>
        <v>0</v>
      </c>
      <c r="R4682">
        <f>Data!L4699</f>
        <v>0</v>
      </c>
      <c r="S4682">
        <f>Data!M4699</f>
        <v>0</v>
      </c>
      <c r="T4682">
        <f>Data!N4699</f>
        <v>0</v>
      </c>
      <c r="U4682">
        <f>Data!O4699</f>
        <v>0</v>
      </c>
      <c r="V4682" s="33">
        <f>Data!P4697</f>
        <v>0</v>
      </c>
    </row>
    <row r="4683" spans="7:22" x14ac:dyDescent="0.25">
      <c r="G4683">
        <f>Data!A4696</f>
        <v>0</v>
      </c>
      <c r="H4683" s="21">
        <f>Data!B4696</f>
        <v>0</v>
      </c>
      <c r="I4683" s="21">
        <f>Data!C4696</f>
        <v>0</v>
      </c>
      <c r="J4683">
        <f>Data!D4696</f>
        <v>0</v>
      </c>
      <c r="K4683">
        <f>Data!E4696</f>
        <v>0</v>
      </c>
      <c r="L4683">
        <f>Data!F4696</f>
        <v>0</v>
      </c>
      <c r="M4683">
        <f>Data!G4696</f>
        <v>0</v>
      </c>
      <c r="N4683">
        <f>Data!H4696</f>
        <v>0</v>
      </c>
      <c r="O4683">
        <f>Data!I4696</f>
        <v>0</v>
      </c>
      <c r="P4683" s="21">
        <f>Data!J4700</f>
        <v>0</v>
      </c>
      <c r="Q4683">
        <f>Data!K4700</f>
        <v>0</v>
      </c>
      <c r="R4683">
        <f>Data!L4700</f>
        <v>0</v>
      </c>
      <c r="S4683">
        <f>Data!M4700</f>
        <v>0</v>
      </c>
      <c r="T4683">
        <f>Data!N4700</f>
        <v>0</v>
      </c>
      <c r="U4683">
        <f>Data!O4700</f>
        <v>0</v>
      </c>
      <c r="V4683" s="33">
        <f>Data!P4698</f>
        <v>0</v>
      </c>
    </row>
    <row r="4684" spans="7:22" x14ac:dyDescent="0.25">
      <c r="G4684">
        <f>Data!A4697</f>
        <v>0</v>
      </c>
      <c r="H4684" s="21">
        <f>Data!B4697</f>
        <v>0</v>
      </c>
      <c r="I4684" s="21">
        <f>Data!C4697</f>
        <v>0</v>
      </c>
      <c r="J4684">
        <f>Data!D4697</f>
        <v>0</v>
      </c>
      <c r="K4684">
        <f>Data!E4697</f>
        <v>0</v>
      </c>
      <c r="L4684">
        <f>Data!F4697</f>
        <v>0</v>
      </c>
      <c r="M4684">
        <f>Data!G4697</f>
        <v>0</v>
      </c>
      <c r="N4684">
        <f>Data!H4697</f>
        <v>0</v>
      </c>
      <c r="O4684">
        <f>Data!I4697</f>
        <v>0</v>
      </c>
      <c r="P4684" s="21">
        <f>Data!J4701</f>
        <v>0</v>
      </c>
      <c r="Q4684">
        <f>Data!K4701</f>
        <v>0</v>
      </c>
      <c r="R4684">
        <f>Data!L4701</f>
        <v>0</v>
      </c>
      <c r="S4684">
        <f>Data!M4701</f>
        <v>0</v>
      </c>
      <c r="T4684">
        <f>Data!N4701</f>
        <v>0</v>
      </c>
      <c r="U4684">
        <f>Data!O4701</f>
        <v>0</v>
      </c>
      <c r="V4684" s="33">
        <f>Data!P4699</f>
        <v>0</v>
      </c>
    </row>
    <row r="4685" spans="7:22" x14ac:dyDescent="0.25">
      <c r="G4685">
        <f>Data!A4698</f>
        <v>0</v>
      </c>
      <c r="H4685" s="21">
        <f>Data!B4698</f>
        <v>0</v>
      </c>
      <c r="I4685" s="21">
        <f>Data!C4698</f>
        <v>0</v>
      </c>
      <c r="J4685">
        <f>Data!D4698</f>
        <v>0</v>
      </c>
      <c r="K4685">
        <f>Data!E4698</f>
        <v>0</v>
      </c>
      <c r="L4685">
        <f>Data!F4698</f>
        <v>0</v>
      </c>
      <c r="M4685">
        <f>Data!G4698</f>
        <v>0</v>
      </c>
      <c r="N4685">
        <f>Data!H4698</f>
        <v>0</v>
      </c>
      <c r="O4685">
        <f>Data!I4698</f>
        <v>0</v>
      </c>
      <c r="P4685" s="21">
        <f>Data!J4702</f>
        <v>0</v>
      </c>
      <c r="Q4685">
        <f>Data!K4702</f>
        <v>0</v>
      </c>
      <c r="R4685">
        <f>Data!L4702</f>
        <v>0</v>
      </c>
      <c r="S4685">
        <f>Data!M4702</f>
        <v>0</v>
      </c>
      <c r="T4685">
        <f>Data!N4702</f>
        <v>0</v>
      </c>
      <c r="U4685">
        <f>Data!O4702</f>
        <v>0</v>
      </c>
      <c r="V4685" s="33">
        <f>Data!P4700</f>
        <v>0</v>
      </c>
    </row>
    <row r="4686" spans="7:22" x14ac:dyDescent="0.25">
      <c r="G4686">
        <f>Data!A4699</f>
        <v>0</v>
      </c>
      <c r="H4686" s="21">
        <f>Data!B4699</f>
        <v>0</v>
      </c>
      <c r="I4686" s="21">
        <f>Data!C4699</f>
        <v>0</v>
      </c>
      <c r="J4686">
        <f>Data!D4699</f>
        <v>0</v>
      </c>
      <c r="K4686">
        <f>Data!E4699</f>
        <v>0</v>
      </c>
      <c r="L4686">
        <f>Data!F4699</f>
        <v>0</v>
      </c>
      <c r="M4686">
        <f>Data!G4699</f>
        <v>0</v>
      </c>
      <c r="N4686">
        <f>Data!H4699</f>
        <v>0</v>
      </c>
      <c r="O4686">
        <f>Data!I4699</f>
        <v>0</v>
      </c>
      <c r="P4686" s="21">
        <f>Data!J4703</f>
        <v>0</v>
      </c>
      <c r="Q4686">
        <f>Data!K4703</f>
        <v>0</v>
      </c>
      <c r="R4686">
        <f>Data!L4703</f>
        <v>0</v>
      </c>
      <c r="S4686">
        <f>Data!M4703</f>
        <v>0</v>
      </c>
      <c r="T4686">
        <f>Data!N4703</f>
        <v>0</v>
      </c>
      <c r="U4686">
        <f>Data!O4703</f>
        <v>0</v>
      </c>
      <c r="V4686" s="33">
        <f>Data!P4701</f>
        <v>0</v>
      </c>
    </row>
    <row r="4687" spans="7:22" x14ac:dyDescent="0.25">
      <c r="G4687">
        <f>Data!A4700</f>
        <v>0</v>
      </c>
      <c r="H4687" s="21">
        <f>Data!B4700</f>
        <v>0</v>
      </c>
      <c r="I4687" s="21">
        <f>Data!C4700</f>
        <v>0</v>
      </c>
      <c r="J4687">
        <f>Data!D4700</f>
        <v>0</v>
      </c>
      <c r="K4687">
        <f>Data!E4700</f>
        <v>0</v>
      </c>
      <c r="L4687">
        <f>Data!F4700</f>
        <v>0</v>
      </c>
      <c r="M4687">
        <f>Data!G4700</f>
        <v>0</v>
      </c>
      <c r="N4687">
        <f>Data!H4700</f>
        <v>0</v>
      </c>
      <c r="O4687">
        <f>Data!I4700</f>
        <v>0</v>
      </c>
      <c r="P4687" s="21">
        <f>Data!J4704</f>
        <v>0</v>
      </c>
      <c r="Q4687">
        <f>Data!K4704</f>
        <v>0</v>
      </c>
      <c r="R4687">
        <f>Data!L4704</f>
        <v>0</v>
      </c>
      <c r="S4687">
        <f>Data!M4704</f>
        <v>0</v>
      </c>
      <c r="T4687">
        <f>Data!N4704</f>
        <v>0</v>
      </c>
      <c r="U4687">
        <f>Data!O4704</f>
        <v>0</v>
      </c>
      <c r="V4687" s="33">
        <f>Data!P4702</f>
        <v>0</v>
      </c>
    </row>
    <row r="4688" spans="7:22" x14ac:dyDescent="0.25">
      <c r="G4688">
        <f>Data!A4701</f>
        <v>0</v>
      </c>
      <c r="H4688" s="21">
        <f>Data!B4701</f>
        <v>0</v>
      </c>
      <c r="I4688" s="21">
        <f>Data!C4701</f>
        <v>0</v>
      </c>
      <c r="J4688">
        <f>Data!D4701</f>
        <v>0</v>
      </c>
      <c r="K4688">
        <f>Data!E4701</f>
        <v>0</v>
      </c>
      <c r="L4688">
        <f>Data!F4701</f>
        <v>0</v>
      </c>
      <c r="M4688">
        <f>Data!G4701</f>
        <v>0</v>
      </c>
      <c r="N4688">
        <f>Data!H4701</f>
        <v>0</v>
      </c>
      <c r="O4688">
        <f>Data!I4701</f>
        <v>0</v>
      </c>
      <c r="P4688" s="21">
        <f>Data!J4705</f>
        <v>0</v>
      </c>
      <c r="Q4688">
        <f>Data!K4705</f>
        <v>0</v>
      </c>
      <c r="R4688">
        <f>Data!L4705</f>
        <v>0</v>
      </c>
      <c r="S4688">
        <f>Data!M4705</f>
        <v>0</v>
      </c>
      <c r="T4688">
        <f>Data!N4705</f>
        <v>0</v>
      </c>
      <c r="U4688">
        <f>Data!O4705</f>
        <v>0</v>
      </c>
      <c r="V4688" s="33">
        <f>Data!P4703</f>
        <v>0</v>
      </c>
    </row>
    <row r="4689" spans="7:22" x14ac:dyDescent="0.25">
      <c r="G4689">
        <f>Data!A4702</f>
        <v>0</v>
      </c>
      <c r="H4689" s="21">
        <f>Data!B4702</f>
        <v>0</v>
      </c>
      <c r="I4689" s="21">
        <f>Data!C4702</f>
        <v>0</v>
      </c>
      <c r="J4689">
        <f>Data!D4702</f>
        <v>0</v>
      </c>
      <c r="K4689">
        <f>Data!E4702</f>
        <v>0</v>
      </c>
      <c r="L4689">
        <f>Data!F4702</f>
        <v>0</v>
      </c>
      <c r="M4689">
        <f>Data!G4702</f>
        <v>0</v>
      </c>
      <c r="N4689">
        <f>Data!H4702</f>
        <v>0</v>
      </c>
      <c r="O4689">
        <f>Data!I4702</f>
        <v>0</v>
      </c>
      <c r="P4689" s="21">
        <f>Data!J4706</f>
        <v>0</v>
      </c>
      <c r="Q4689">
        <f>Data!K4706</f>
        <v>0</v>
      </c>
      <c r="R4689">
        <f>Data!L4706</f>
        <v>0</v>
      </c>
      <c r="S4689">
        <f>Data!M4706</f>
        <v>0</v>
      </c>
      <c r="T4689">
        <f>Data!N4706</f>
        <v>0</v>
      </c>
      <c r="U4689">
        <f>Data!O4706</f>
        <v>0</v>
      </c>
      <c r="V4689" s="33">
        <f>Data!P4704</f>
        <v>0</v>
      </c>
    </row>
    <row r="4690" spans="7:22" x14ac:dyDescent="0.25">
      <c r="G4690">
        <f>Data!A4703</f>
        <v>0</v>
      </c>
      <c r="H4690" s="21">
        <f>Data!B4703</f>
        <v>0</v>
      </c>
      <c r="I4690" s="21">
        <f>Data!C4703</f>
        <v>0</v>
      </c>
      <c r="J4690">
        <f>Data!D4703</f>
        <v>0</v>
      </c>
      <c r="K4690">
        <f>Data!E4703</f>
        <v>0</v>
      </c>
      <c r="L4690">
        <f>Data!F4703</f>
        <v>0</v>
      </c>
      <c r="M4690">
        <f>Data!G4703</f>
        <v>0</v>
      </c>
      <c r="N4690">
        <f>Data!H4703</f>
        <v>0</v>
      </c>
      <c r="O4690">
        <f>Data!I4703</f>
        <v>0</v>
      </c>
      <c r="P4690" s="21">
        <f>Data!J4707</f>
        <v>0</v>
      </c>
      <c r="Q4690">
        <f>Data!K4707</f>
        <v>0</v>
      </c>
      <c r="R4690">
        <f>Data!L4707</f>
        <v>0</v>
      </c>
      <c r="S4690">
        <f>Data!M4707</f>
        <v>0</v>
      </c>
      <c r="T4690">
        <f>Data!N4707</f>
        <v>0</v>
      </c>
      <c r="U4690">
        <f>Data!O4707</f>
        <v>0</v>
      </c>
      <c r="V4690" s="33">
        <f>Data!P4705</f>
        <v>0</v>
      </c>
    </row>
    <row r="4691" spans="7:22" x14ac:dyDescent="0.25">
      <c r="G4691">
        <f>Data!A4704</f>
        <v>0</v>
      </c>
      <c r="H4691" s="21">
        <f>Data!B4704</f>
        <v>0</v>
      </c>
      <c r="I4691" s="21">
        <f>Data!C4704</f>
        <v>0</v>
      </c>
      <c r="J4691">
        <f>Data!D4704</f>
        <v>0</v>
      </c>
      <c r="K4691">
        <f>Data!E4704</f>
        <v>0</v>
      </c>
      <c r="L4691">
        <f>Data!F4704</f>
        <v>0</v>
      </c>
      <c r="M4691">
        <f>Data!G4704</f>
        <v>0</v>
      </c>
      <c r="N4691">
        <f>Data!H4704</f>
        <v>0</v>
      </c>
      <c r="O4691">
        <f>Data!I4704</f>
        <v>0</v>
      </c>
      <c r="P4691" s="21">
        <f>Data!J4708</f>
        <v>0</v>
      </c>
      <c r="Q4691">
        <f>Data!K4708</f>
        <v>0</v>
      </c>
      <c r="R4691">
        <f>Data!L4708</f>
        <v>0</v>
      </c>
      <c r="S4691">
        <f>Data!M4708</f>
        <v>0</v>
      </c>
      <c r="T4691">
        <f>Data!N4708</f>
        <v>0</v>
      </c>
      <c r="U4691">
        <f>Data!O4708</f>
        <v>0</v>
      </c>
      <c r="V4691" s="33">
        <f>Data!P4706</f>
        <v>0</v>
      </c>
    </row>
    <row r="4692" spans="7:22" x14ac:dyDescent="0.25">
      <c r="G4692">
        <f>Data!A4705</f>
        <v>0</v>
      </c>
      <c r="H4692" s="21">
        <f>Data!B4705</f>
        <v>0</v>
      </c>
      <c r="I4692" s="21">
        <f>Data!C4705</f>
        <v>0</v>
      </c>
      <c r="J4692">
        <f>Data!D4705</f>
        <v>0</v>
      </c>
      <c r="K4692">
        <f>Data!E4705</f>
        <v>0</v>
      </c>
      <c r="L4692">
        <f>Data!F4705</f>
        <v>0</v>
      </c>
      <c r="M4692">
        <f>Data!G4705</f>
        <v>0</v>
      </c>
      <c r="N4692">
        <f>Data!H4705</f>
        <v>0</v>
      </c>
      <c r="O4692">
        <f>Data!I4705</f>
        <v>0</v>
      </c>
      <c r="P4692" s="21">
        <f>Data!J4709</f>
        <v>0</v>
      </c>
      <c r="Q4692">
        <f>Data!K4709</f>
        <v>0</v>
      </c>
      <c r="R4692">
        <f>Data!L4709</f>
        <v>0</v>
      </c>
      <c r="S4692">
        <f>Data!M4709</f>
        <v>0</v>
      </c>
      <c r="T4692">
        <f>Data!N4709</f>
        <v>0</v>
      </c>
      <c r="U4692">
        <f>Data!O4709</f>
        <v>0</v>
      </c>
      <c r="V4692" s="33">
        <f>Data!P4707</f>
        <v>0</v>
      </c>
    </row>
    <row r="4693" spans="7:22" x14ac:dyDescent="0.25">
      <c r="G4693">
        <f>Data!A4706</f>
        <v>0</v>
      </c>
      <c r="H4693" s="21">
        <f>Data!B4706</f>
        <v>0</v>
      </c>
      <c r="I4693" s="21">
        <f>Data!C4706</f>
        <v>0</v>
      </c>
      <c r="J4693">
        <f>Data!D4706</f>
        <v>0</v>
      </c>
      <c r="K4693">
        <f>Data!E4706</f>
        <v>0</v>
      </c>
      <c r="L4693">
        <f>Data!F4706</f>
        <v>0</v>
      </c>
      <c r="M4693">
        <f>Data!G4706</f>
        <v>0</v>
      </c>
      <c r="N4693">
        <f>Data!H4706</f>
        <v>0</v>
      </c>
      <c r="O4693">
        <f>Data!I4706</f>
        <v>0</v>
      </c>
      <c r="P4693" s="21">
        <f>Data!J4710</f>
        <v>0</v>
      </c>
      <c r="Q4693">
        <f>Data!K4710</f>
        <v>0</v>
      </c>
      <c r="R4693">
        <f>Data!L4710</f>
        <v>0</v>
      </c>
      <c r="S4693">
        <f>Data!M4710</f>
        <v>0</v>
      </c>
      <c r="T4693">
        <f>Data!N4710</f>
        <v>0</v>
      </c>
      <c r="U4693">
        <f>Data!O4710</f>
        <v>0</v>
      </c>
      <c r="V4693" s="33">
        <f>Data!P4708</f>
        <v>0</v>
      </c>
    </row>
    <row r="4694" spans="7:22" x14ac:dyDescent="0.25">
      <c r="G4694">
        <f>Data!A4707</f>
        <v>0</v>
      </c>
      <c r="H4694" s="21">
        <f>Data!B4707</f>
        <v>0</v>
      </c>
      <c r="I4694" s="21">
        <f>Data!C4707</f>
        <v>0</v>
      </c>
      <c r="J4694">
        <f>Data!D4707</f>
        <v>0</v>
      </c>
      <c r="K4694">
        <f>Data!E4707</f>
        <v>0</v>
      </c>
      <c r="L4694">
        <f>Data!F4707</f>
        <v>0</v>
      </c>
      <c r="M4694">
        <f>Data!G4707</f>
        <v>0</v>
      </c>
      <c r="N4694">
        <f>Data!H4707</f>
        <v>0</v>
      </c>
      <c r="O4694">
        <f>Data!I4707</f>
        <v>0</v>
      </c>
      <c r="P4694" s="21">
        <f>Data!J4711</f>
        <v>0</v>
      </c>
      <c r="Q4694">
        <f>Data!K4711</f>
        <v>0</v>
      </c>
      <c r="R4694">
        <f>Data!L4711</f>
        <v>0</v>
      </c>
      <c r="S4694">
        <f>Data!M4711</f>
        <v>0</v>
      </c>
      <c r="T4694">
        <f>Data!N4711</f>
        <v>0</v>
      </c>
      <c r="U4694">
        <f>Data!O4711</f>
        <v>0</v>
      </c>
      <c r="V4694" s="33">
        <f>Data!P4709</f>
        <v>0</v>
      </c>
    </row>
    <row r="4695" spans="7:22" x14ac:dyDescent="0.25">
      <c r="G4695">
        <f>Data!A4708</f>
        <v>0</v>
      </c>
      <c r="H4695" s="21">
        <f>Data!B4708</f>
        <v>0</v>
      </c>
      <c r="I4695" s="21">
        <f>Data!C4708</f>
        <v>0</v>
      </c>
      <c r="J4695">
        <f>Data!D4708</f>
        <v>0</v>
      </c>
      <c r="K4695">
        <f>Data!E4708</f>
        <v>0</v>
      </c>
      <c r="L4695">
        <f>Data!F4708</f>
        <v>0</v>
      </c>
      <c r="M4695">
        <f>Data!G4708</f>
        <v>0</v>
      </c>
      <c r="N4695">
        <f>Data!H4708</f>
        <v>0</v>
      </c>
      <c r="O4695">
        <f>Data!I4708</f>
        <v>0</v>
      </c>
      <c r="P4695" s="21">
        <f>Data!J4712</f>
        <v>0</v>
      </c>
      <c r="Q4695">
        <f>Data!K4712</f>
        <v>0</v>
      </c>
      <c r="R4695">
        <f>Data!L4712</f>
        <v>0</v>
      </c>
      <c r="S4695">
        <f>Data!M4712</f>
        <v>0</v>
      </c>
      <c r="T4695">
        <f>Data!N4712</f>
        <v>0</v>
      </c>
      <c r="U4695">
        <f>Data!O4712</f>
        <v>0</v>
      </c>
      <c r="V4695" s="33">
        <f>Data!P4710</f>
        <v>0</v>
      </c>
    </row>
    <row r="4696" spans="7:22" x14ac:dyDescent="0.25">
      <c r="G4696">
        <f>Data!A4709</f>
        <v>0</v>
      </c>
      <c r="H4696" s="21">
        <f>Data!B4709</f>
        <v>0</v>
      </c>
      <c r="I4696" s="21">
        <f>Data!C4709</f>
        <v>0</v>
      </c>
      <c r="J4696">
        <f>Data!D4709</f>
        <v>0</v>
      </c>
      <c r="K4696">
        <f>Data!E4709</f>
        <v>0</v>
      </c>
      <c r="L4696">
        <f>Data!F4709</f>
        <v>0</v>
      </c>
      <c r="M4696">
        <f>Data!G4709</f>
        <v>0</v>
      </c>
      <c r="N4696">
        <f>Data!H4709</f>
        <v>0</v>
      </c>
      <c r="O4696">
        <f>Data!I4709</f>
        <v>0</v>
      </c>
      <c r="P4696" s="21">
        <f>Data!J4713</f>
        <v>0</v>
      </c>
      <c r="Q4696">
        <f>Data!K4713</f>
        <v>0</v>
      </c>
      <c r="R4696">
        <f>Data!L4713</f>
        <v>0</v>
      </c>
      <c r="S4696">
        <f>Data!M4713</f>
        <v>0</v>
      </c>
      <c r="T4696">
        <f>Data!N4713</f>
        <v>0</v>
      </c>
      <c r="U4696">
        <f>Data!O4713</f>
        <v>0</v>
      </c>
      <c r="V4696" s="33">
        <f>Data!P4711</f>
        <v>0</v>
      </c>
    </row>
    <row r="4697" spans="7:22" x14ac:dyDescent="0.25">
      <c r="G4697">
        <f>Data!A4710</f>
        <v>0</v>
      </c>
      <c r="H4697" s="21">
        <f>Data!B4710</f>
        <v>0</v>
      </c>
      <c r="I4697" s="21">
        <f>Data!C4710</f>
        <v>0</v>
      </c>
      <c r="J4697">
        <f>Data!D4710</f>
        <v>0</v>
      </c>
      <c r="K4697">
        <f>Data!E4710</f>
        <v>0</v>
      </c>
      <c r="L4697">
        <f>Data!F4710</f>
        <v>0</v>
      </c>
      <c r="M4697">
        <f>Data!G4710</f>
        <v>0</v>
      </c>
      <c r="N4697">
        <f>Data!H4710</f>
        <v>0</v>
      </c>
      <c r="O4697">
        <f>Data!I4710</f>
        <v>0</v>
      </c>
      <c r="P4697" s="21">
        <f>Data!J4714</f>
        <v>0</v>
      </c>
      <c r="Q4697">
        <f>Data!K4714</f>
        <v>0</v>
      </c>
      <c r="R4697">
        <f>Data!L4714</f>
        <v>0</v>
      </c>
      <c r="S4697">
        <f>Data!M4714</f>
        <v>0</v>
      </c>
      <c r="T4697">
        <f>Data!N4714</f>
        <v>0</v>
      </c>
      <c r="U4697">
        <f>Data!O4714</f>
        <v>0</v>
      </c>
      <c r="V4697" s="33">
        <f>Data!P4712</f>
        <v>0</v>
      </c>
    </row>
    <row r="4698" spans="7:22" x14ac:dyDescent="0.25">
      <c r="G4698">
        <f>Data!A4711</f>
        <v>0</v>
      </c>
      <c r="H4698" s="21">
        <f>Data!B4711</f>
        <v>0</v>
      </c>
      <c r="I4698" s="21">
        <f>Data!C4711</f>
        <v>0</v>
      </c>
      <c r="J4698">
        <f>Data!D4711</f>
        <v>0</v>
      </c>
      <c r="K4698">
        <f>Data!E4711</f>
        <v>0</v>
      </c>
      <c r="L4698">
        <f>Data!F4711</f>
        <v>0</v>
      </c>
      <c r="M4698">
        <f>Data!G4711</f>
        <v>0</v>
      </c>
      <c r="N4698">
        <f>Data!H4711</f>
        <v>0</v>
      </c>
      <c r="O4698">
        <f>Data!I4711</f>
        <v>0</v>
      </c>
      <c r="P4698" s="21">
        <f>Data!J4715</f>
        <v>0</v>
      </c>
      <c r="Q4698">
        <f>Data!K4715</f>
        <v>0</v>
      </c>
      <c r="R4698">
        <f>Data!L4715</f>
        <v>0</v>
      </c>
      <c r="S4698">
        <f>Data!M4715</f>
        <v>0</v>
      </c>
      <c r="T4698">
        <f>Data!N4715</f>
        <v>0</v>
      </c>
      <c r="U4698">
        <f>Data!O4715</f>
        <v>0</v>
      </c>
      <c r="V4698" s="33">
        <f>Data!P4713</f>
        <v>0</v>
      </c>
    </row>
    <row r="4699" spans="7:22" x14ac:dyDescent="0.25">
      <c r="G4699">
        <f>Data!A4712</f>
        <v>0</v>
      </c>
      <c r="H4699" s="21">
        <f>Data!B4712</f>
        <v>0</v>
      </c>
      <c r="I4699" s="21">
        <f>Data!C4712</f>
        <v>0</v>
      </c>
      <c r="J4699">
        <f>Data!D4712</f>
        <v>0</v>
      </c>
      <c r="K4699">
        <f>Data!E4712</f>
        <v>0</v>
      </c>
      <c r="L4699">
        <f>Data!F4712</f>
        <v>0</v>
      </c>
      <c r="M4699">
        <f>Data!G4712</f>
        <v>0</v>
      </c>
      <c r="N4699">
        <f>Data!H4712</f>
        <v>0</v>
      </c>
      <c r="O4699">
        <f>Data!I4712</f>
        <v>0</v>
      </c>
      <c r="P4699" s="21">
        <f>Data!J4716</f>
        <v>0</v>
      </c>
      <c r="Q4699">
        <f>Data!K4716</f>
        <v>0</v>
      </c>
      <c r="R4699">
        <f>Data!L4716</f>
        <v>0</v>
      </c>
      <c r="S4699">
        <f>Data!M4716</f>
        <v>0</v>
      </c>
      <c r="T4699">
        <f>Data!N4716</f>
        <v>0</v>
      </c>
      <c r="U4699">
        <f>Data!O4716</f>
        <v>0</v>
      </c>
      <c r="V4699" s="33">
        <f>Data!P4714</f>
        <v>0</v>
      </c>
    </row>
    <row r="4700" spans="7:22" x14ac:dyDescent="0.25">
      <c r="G4700">
        <f>Data!A4713</f>
        <v>0</v>
      </c>
      <c r="H4700" s="21">
        <f>Data!B4713</f>
        <v>0</v>
      </c>
      <c r="I4700" s="21">
        <f>Data!C4713</f>
        <v>0</v>
      </c>
      <c r="J4700">
        <f>Data!D4713</f>
        <v>0</v>
      </c>
      <c r="K4700">
        <f>Data!E4713</f>
        <v>0</v>
      </c>
      <c r="L4700">
        <f>Data!F4713</f>
        <v>0</v>
      </c>
      <c r="M4700">
        <f>Data!G4713</f>
        <v>0</v>
      </c>
      <c r="N4700">
        <f>Data!H4713</f>
        <v>0</v>
      </c>
      <c r="O4700">
        <f>Data!I4713</f>
        <v>0</v>
      </c>
      <c r="P4700" s="21">
        <f>Data!J4717</f>
        <v>0</v>
      </c>
      <c r="Q4700">
        <f>Data!K4717</f>
        <v>0</v>
      </c>
      <c r="R4700">
        <f>Data!L4717</f>
        <v>0</v>
      </c>
      <c r="S4700">
        <f>Data!M4717</f>
        <v>0</v>
      </c>
      <c r="T4700">
        <f>Data!N4717</f>
        <v>0</v>
      </c>
      <c r="U4700">
        <f>Data!O4717</f>
        <v>0</v>
      </c>
      <c r="V4700" s="33">
        <f>Data!P4715</f>
        <v>0</v>
      </c>
    </row>
    <row r="4701" spans="7:22" x14ac:dyDescent="0.25">
      <c r="G4701">
        <f>Data!A4714</f>
        <v>0</v>
      </c>
      <c r="H4701" s="21">
        <f>Data!B4714</f>
        <v>0</v>
      </c>
      <c r="I4701" s="21">
        <f>Data!C4714</f>
        <v>0</v>
      </c>
      <c r="J4701">
        <f>Data!D4714</f>
        <v>0</v>
      </c>
      <c r="K4701">
        <f>Data!E4714</f>
        <v>0</v>
      </c>
      <c r="L4701">
        <f>Data!F4714</f>
        <v>0</v>
      </c>
      <c r="M4701">
        <f>Data!G4714</f>
        <v>0</v>
      </c>
      <c r="N4701">
        <f>Data!H4714</f>
        <v>0</v>
      </c>
      <c r="O4701">
        <f>Data!I4714</f>
        <v>0</v>
      </c>
      <c r="P4701" s="21">
        <f>Data!J4718</f>
        <v>0</v>
      </c>
      <c r="Q4701">
        <f>Data!K4718</f>
        <v>0</v>
      </c>
      <c r="R4701">
        <f>Data!L4718</f>
        <v>0</v>
      </c>
      <c r="S4701">
        <f>Data!M4718</f>
        <v>0</v>
      </c>
      <c r="T4701">
        <f>Data!N4718</f>
        <v>0</v>
      </c>
      <c r="U4701">
        <f>Data!O4718</f>
        <v>0</v>
      </c>
      <c r="V4701" s="33">
        <f>Data!P4716</f>
        <v>0</v>
      </c>
    </row>
    <row r="4702" spans="7:22" x14ac:dyDescent="0.25">
      <c r="G4702">
        <f>Data!A4715</f>
        <v>0</v>
      </c>
      <c r="H4702" s="21">
        <f>Data!B4715</f>
        <v>0</v>
      </c>
      <c r="I4702" s="21">
        <f>Data!C4715</f>
        <v>0</v>
      </c>
      <c r="J4702">
        <f>Data!D4715</f>
        <v>0</v>
      </c>
      <c r="K4702">
        <f>Data!E4715</f>
        <v>0</v>
      </c>
      <c r="L4702">
        <f>Data!F4715</f>
        <v>0</v>
      </c>
      <c r="M4702">
        <f>Data!G4715</f>
        <v>0</v>
      </c>
      <c r="N4702">
        <f>Data!H4715</f>
        <v>0</v>
      </c>
      <c r="O4702">
        <f>Data!I4715</f>
        <v>0</v>
      </c>
      <c r="P4702" s="21">
        <f>Data!J4719</f>
        <v>0</v>
      </c>
      <c r="Q4702">
        <f>Data!K4719</f>
        <v>0</v>
      </c>
      <c r="R4702">
        <f>Data!L4719</f>
        <v>0</v>
      </c>
      <c r="S4702">
        <f>Data!M4719</f>
        <v>0</v>
      </c>
      <c r="T4702">
        <f>Data!N4719</f>
        <v>0</v>
      </c>
      <c r="U4702">
        <f>Data!O4719</f>
        <v>0</v>
      </c>
      <c r="V4702" s="33">
        <f>Data!P4717</f>
        <v>0</v>
      </c>
    </row>
    <row r="4703" spans="7:22" x14ac:dyDescent="0.25">
      <c r="G4703">
        <f>Data!A4716</f>
        <v>0</v>
      </c>
      <c r="H4703" s="21">
        <f>Data!B4716</f>
        <v>0</v>
      </c>
      <c r="I4703" s="21">
        <f>Data!C4716</f>
        <v>0</v>
      </c>
      <c r="J4703">
        <f>Data!D4716</f>
        <v>0</v>
      </c>
      <c r="K4703">
        <f>Data!E4716</f>
        <v>0</v>
      </c>
      <c r="L4703">
        <f>Data!F4716</f>
        <v>0</v>
      </c>
      <c r="M4703">
        <f>Data!G4716</f>
        <v>0</v>
      </c>
      <c r="N4703">
        <f>Data!H4716</f>
        <v>0</v>
      </c>
      <c r="O4703">
        <f>Data!I4716</f>
        <v>0</v>
      </c>
      <c r="P4703" s="21">
        <f>Data!J4720</f>
        <v>0</v>
      </c>
      <c r="Q4703">
        <f>Data!K4720</f>
        <v>0</v>
      </c>
      <c r="R4703">
        <f>Data!L4720</f>
        <v>0</v>
      </c>
      <c r="S4703">
        <f>Data!M4720</f>
        <v>0</v>
      </c>
      <c r="T4703">
        <f>Data!N4720</f>
        <v>0</v>
      </c>
      <c r="U4703">
        <f>Data!O4720</f>
        <v>0</v>
      </c>
      <c r="V4703" s="33">
        <f>Data!P4718</f>
        <v>0</v>
      </c>
    </row>
    <row r="4704" spans="7:22" x14ac:dyDescent="0.25">
      <c r="G4704">
        <f>Data!A4717</f>
        <v>0</v>
      </c>
      <c r="H4704" s="21">
        <f>Data!B4717</f>
        <v>0</v>
      </c>
      <c r="I4704" s="21">
        <f>Data!C4717</f>
        <v>0</v>
      </c>
      <c r="J4704">
        <f>Data!D4717</f>
        <v>0</v>
      </c>
      <c r="K4704">
        <f>Data!E4717</f>
        <v>0</v>
      </c>
      <c r="L4704">
        <f>Data!F4717</f>
        <v>0</v>
      </c>
      <c r="M4704">
        <f>Data!G4717</f>
        <v>0</v>
      </c>
      <c r="N4704">
        <f>Data!H4717</f>
        <v>0</v>
      </c>
      <c r="O4704">
        <f>Data!I4717</f>
        <v>0</v>
      </c>
      <c r="P4704" s="21">
        <f>Data!J4721</f>
        <v>0</v>
      </c>
      <c r="Q4704">
        <f>Data!K4721</f>
        <v>0</v>
      </c>
      <c r="R4704">
        <f>Data!L4721</f>
        <v>0</v>
      </c>
      <c r="S4704">
        <f>Data!M4721</f>
        <v>0</v>
      </c>
      <c r="T4704">
        <f>Data!N4721</f>
        <v>0</v>
      </c>
      <c r="U4704">
        <f>Data!O4721</f>
        <v>0</v>
      </c>
      <c r="V4704" s="33">
        <f>Data!P4719</f>
        <v>0</v>
      </c>
    </row>
    <row r="4705" spans="7:22" x14ac:dyDescent="0.25">
      <c r="G4705">
        <f>Data!A4718</f>
        <v>0</v>
      </c>
      <c r="H4705" s="21">
        <f>Data!B4718</f>
        <v>0</v>
      </c>
      <c r="I4705" s="21">
        <f>Data!C4718</f>
        <v>0</v>
      </c>
      <c r="J4705">
        <f>Data!D4718</f>
        <v>0</v>
      </c>
      <c r="K4705">
        <f>Data!E4718</f>
        <v>0</v>
      </c>
      <c r="L4705">
        <f>Data!F4718</f>
        <v>0</v>
      </c>
      <c r="M4705">
        <f>Data!G4718</f>
        <v>0</v>
      </c>
      <c r="N4705">
        <f>Data!H4718</f>
        <v>0</v>
      </c>
      <c r="O4705">
        <f>Data!I4718</f>
        <v>0</v>
      </c>
      <c r="P4705" s="21">
        <f>Data!J4722</f>
        <v>0</v>
      </c>
      <c r="Q4705">
        <f>Data!K4722</f>
        <v>0</v>
      </c>
      <c r="R4705">
        <f>Data!L4722</f>
        <v>0</v>
      </c>
      <c r="S4705">
        <f>Data!M4722</f>
        <v>0</v>
      </c>
      <c r="T4705">
        <f>Data!N4722</f>
        <v>0</v>
      </c>
      <c r="U4705">
        <f>Data!O4722</f>
        <v>0</v>
      </c>
      <c r="V4705" s="33">
        <f>Data!P4720</f>
        <v>0</v>
      </c>
    </row>
    <row r="4706" spans="7:22" x14ac:dyDescent="0.25">
      <c r="G4706">
        <f>Data!A4719</f>
        <v>0</v>
      </c>
      <c r="H4706" s="21">
        <f>Data!B4719</f>
        <v>0</v>
      </c>
      <c r="I4706" s="21">
        <f>Data!C4719</f>
        <v>0</v>
      </c>
      <c r="J4706">
        <f>Data!D4719</f>
        <v>0</v>
      </c>
      <c r="K4706">
        <f>Data!E4719</f>
        <v>0</v>
      </c>
      <c r="L4706">
        <f>Data!F4719</f>
        <v>0</v>
      </c>
      <c r="M4706">
        <f>Data!G4719</f>
        <v>0</v>
      </c>
      <c r="N4706">
        <f>Data!H4719</f>
        <v>0</v>
      </c>
      <c r="O4706">
        <f>Data!I4719</f>
        <v>0</v>
      </c>
      <c r="P4706" s="21">
        <f>Data!J4723</f>
        <v>0</v>
      </c>
      <c r="Q4706">
        <f>Data!K4723</f>
        <v>0</v>
      </c>
      <c r="R4706">
        <f>Data!L4723</f>
        <v>0</v>
      </c>
      <c r="S4706">
        <f>Data!M4723</f>
        <v>0</v>
      </c>
      <c r="T4706">
        <f>Data!N4723</f>
        <v>0</v>
      </c>
      <c r="U4706">
        <f>Data!O4723</f>
        <v>0</v>
      </c>
      <c r="V4706" s="33">
        <f>Data!P4721</f>
        <v>0</v>
      </c>
    </row>
    <row r="4707" spans="7:22" x14ac:dyDescent="0.25">
      <c r="G4707">
        <f>Data!A4720</f>
        <v>0</v>
      </c>
      <c r="H4707" s="21">
        <f>Data!B4720</f>
        <v>0</v>
      </c>
      <c r="I4707" s="21">
        <f>Data!C4720</f>
        <v>0</v>
      </c>
      <c r="J4707">
        <f>Data!D4720</f>
        <v>0</v>
      </c>
      <c r="K4707">
        <f>Data!E4720</f>
        <v>0</v>
      </c>
      <c r="L4707">
        <f>Data!F4720</f>
        <v>0</v>
      </c>
      <c r="M4707">
        <f>Data!G4720</f>
        <v>0</v>
      </c>
      <c r="N4707">
        <f>Data!H4720</f>
        <v>0</v>
      </c>
      <c r="O4707">
        <f>Data!I4720</f>
        <v>0</v>
      </c>
      <c r="P4707" s="21">
        <f>Data!J4724</f>
        <v>0</v>
      </c>
      <c r="Q4707">
        <f>Data!K4724</f>
        <v>0</v>
      </c>
      <c r="R4707">
        <f>Data!L4724</f>
        <v>0</v>
      </c>
      <c r="S4707">
        <f>Data!M4724</f>
        <v>0</v>
      </c>
      <c r="T4707">
        <f>Data!N4724</f>
        <v>0</v>
      </c>
      <c r="U4707">
        <f>Data!O4724</f>
        <v>0</v>
      </c>
      <c r="V4707" s="33">
        <f>Data!P4722</f>
        <v>0</v>
      </c>
    </row>
    <row r="4708" spans="7:22" x14ac:dyDescent="0.25">
      <c r="G4708">
        <f>Data!A4721</f>
        <v>0</v>
      </c>
      <c r="H4708" s="21">
        <f>Data!B4721</f>
        <v>0</v>
      </c>
      <c r="I4708" s="21">
        <f>Data!C4721</f>
        <v>0</v>
      </c>
      <c r="J4708">
        <f>Data!D4721</f>
        <v>0</v>
      </c>
      <c r="K4708">
        <f>Data!E4721</f>
        <v>0</v>
      </c>
      <c r="L4708">
        <f>Data!F4721</f>
        <v>0</v>
      </c>
      <c r="M4708">
        <f>Data!G4721</f>
        <v>0</v>
      </c>
      <c r="N4708">
        <f>Data!H4721</f>
        <v>0</v>
      </c>
      <c r="O4708">
        <f>Data!I4721</f>
        <v>0</v>
      </c>
      <c r="P4708" s="21">
        <f>Data!J4725</f>
        <v>0</v>
      </c>
      <c r="Q4708">
        <f>Data!K4725</f>
        <v>0</v>
      </c>
      <c r="R4708">
        <f>Data!L4725</f>
        <v>0</v>
      </c>
      <c r="S4708">
        <f>Data!M4725</f>
        <v>0</v>
      </c>
      <c r="T4708">
        <f>Data!N4725</f>
        <v>0</v>
      </c>
      <c r="U4708">
        <f>Data!O4725</f>
        <v>0</v>
      </c>
      <c r="V4708" s="33">
        <f>Data!P4723</f>
        <v>0</v>
      </c>
    </row>
    <row r="4709" spans="7:22" x14ac:dyDescent="0.25">
      <c r="G4709">
        <f>Data!A4722</f>
        <v>0</v>
      </c>
      <c r="H4709" s="21">
        <f>Data!B4722</f>
        <v>0</v>
      </c>
      <c r="I4709" s="21">
        <f>Data!C4722</f>
        <v>0</v>
      </c>
      <c r="J4709">
        <f>Data!D4722</f>
        <v>0</v>
      </c>
      <c r="K4709">
        <f>Data!E4722</f>
        <v>0</v>
      </c>
      <c r="L4709">
        <f>Data!F4722</f>
        <v>0</v>
      </c>
      <c r="M4709">
        <f>Data!G4722</f>
        <v>0</v>
      </c>
      <c r="N4709">
        <f>Data!H4722</f>
        <v>0</v>
      </c>
      <c r="O4709">
        <f>Data!I4722</f>
        <v>0</v>
      </c>
      <c r="P4709" s="21">
        <f>Data!J4726</f>
        <v>0</v>
      </c>
      <c r="Q4709">
        <f>Data!K4726</f>
        <v>0</v>
      </c>
      <c r="R4709">
        <f>Data!L4726</f>
        <v>0</v>
      </c>
      <c r="S4709">
        <f>Data!M4726</f>
        <v>0</v>
      </c>
      <c r="T4709">
        <f>Data!N4726</f>
        <v>0</v>
      </c>
      <c r="U4709">
        <f>Data!O4726</f>
        <v>0</v>
      </c>
      <c r="V4709" s="33">
        <f>Data!P4724</f>
        <v>0</v>
      </c>
    </row>
    <row r="4710" spans="7:22" x14ac:dyDescent="0.25">
      <c r="G4710">
        <f>Data!A4723</f>
        <v>0</v>
      </c>
      <c r="H4710" s="21">
        <f>Data!B4723</f>
        <v>0</v>
      </c>
      <c r="I4710" s="21">
        <f>Data!C4723</f>
        <v>0</v>
      </c>
      <c r="J4710">
        <f>Data!D4723</f>
        <v>0</v>
      </c>
      <c r="K4710">
        <f>Data!E4723</f>
        <v>0</v>
      </c>
      <c r="L4710">
        <f>Data!F4723</f>
        <v>0</v>
      </c>
      <c r="M4710">
        <f>Data!G4723</f>
        <v>0</v>
      </c>
      <c r="N4710">
        <f>Data!H4723</f>
        <v>0</v>
      </c>
      <c r="O4710">
        <f>Data!I4723</f>
        <v>0</v>
      </c>
      <c r="P4710" s="21">
        <f>Data!J4727</f>
        <v>0</v>
      </c>
      <c r="Q4710">
        <f>Data!K4727</f>
        <v>0</v>
      </c>
      <c r="R4710">
        <f>Data!L4727</f>
        <v>0</v>
      </c>
      <c r="S4710">
        <f>Data!M4727</f>
        <v>0</v>
      </c>
      <c r="T4710">
        <f>Data!N4727</f>
        <v>0</v>
      </c>
      <c r="U4710">
        <f>Data!O4727</f>
        <v>0</v>
      </c>
      <c r="V4710" s="33">
        <f>Data!P4725</f>
        <v>0</v>
      </c>
    </row>
    <row r="4711" spans="7:22" x14ac:dyDescent="0.25">
      <c r="G4711">
        <f>Data!A4724</f>
        <v>0</v>
      </c>
      <c r="H4711" s="21">
        <f>Data!B4724</f>
        <v>0</v>
      </c>
      <c r="I4711" s="21">
        <f>Data!C4724</f>
        <v>0</v>
      </c>
      <c r="J4711">
        <f>Data!D4724</f>
        <v>0</v>
      </c>
      <c r="K4711">
        <f>Data!E4724</f>
        <v>0</v>
      </c>
      <c r="L4711">
        <f>Data!F4724</f>
        <v>0</v>
      </c>
      <c r="M4711">
        <f>Data!G4724</f>
        <v>0</v>
      </c>
      <c r="N4711">
        <f>Data!H4724</f>
        <v>0</v>
      </c>
      <c r="O4711">
        <f>Data!I4724</f>
        <v>0</v>
      </c>
      <c r="P4711" s="21">
        <f>Data!J4728</f>
        <v>0</v>
      </c>
      <c r="Q4711">
        <f>Data!K4728</f>
        <v>0</v>
      </c>
      <c r="R4711">
        <f>Data!L4728</f>
        <v>0</v>
      </c>
      <c r="S4711">
        <f>Data!M4728</f>
        <v>0</v>
      </c>
      <c r="T4711">
        <f>Data!N4728</f>
        <v>0</v>
      </c>
      <c r="U4711">
        <f>Data!O4728</f>
        <v>0</v>
      </c>
      <c r="V4711" s="33">
        <f>Data!P4726</f>
        <v>0</v>
      </c>
    </row>
    <row r="4712" spans="7:22" x14ac:dyDescent="0.25">
      <c r="G4712">
        <f>Data!A4725</f>
        <v>0</v>
      </c>
      <c r="H4712" s="21">
        <f>Data!B4725</f>
        <v>0</v>
      </c>
      <c r="I4712" s="21">
        <f>Data!C4725</f>
        <v>0</v>
      </c>
      <c r="J4712">
        <f>Data!D4725</f>
        <v>0</v>
      </c>
      <c r="K4712">
        <f>Data!E4725</f>
        <v>0</v>
      </c>
      <c r="L4712">
        <f>Data!F4725</f>
        <v>0</v>
      </c>
      <c r="M4712">
        <f>Data!G4725</f>
        <v>0</v>
      </c>
      <c r="N4712">
        <f>Data!H4725</f>
        <v>0</v>
      </c>
      <c r="O4712">
        <f>Data!I4725</f>
        <v>0</v>
      </c>
      <c r="P4712" s="21">
        <f>Data!J4729</f>
        <v>0</v>
      </c>
      <c r="Q4712">
        <f>Data!K4729</f>
        <v>0</v>
      </c>
      <c r="R4712">
        <f>Data!L4729</f>
        <v>0</v>
      </c>
      <c r="S4712">
        <f>Data!M4729</f>
        <v>0</v>
      </c>
      <c r="T4712">
        <f>Data!N4729</f>
        <v>0</v>
      </c>
      <c r="U4712">
        <f>Data!O4729</f>
        <v>0</v>
      </c>
      <c r="V4712" s="33">
        <f>Data!P4727</f>
        <v>0</v>
      </c>
    </row>
    <row r="4713" spans="7:22" x14ac:dyDescent="0.25">
      <c r="G4713">
        <f>Data!A4726</f>
        <v>0</v>
      </c>
      <c r="H4713" s="21">
        <f>Data!B4726</f>
        <v>0</v>
      </c>
      <c r="I4713" s="21">
        <f>Data!C4726</f>
        <v>0</v>
      </c>
      <c r="J4713">
        <f>Data!D4726</f>
        <v>0</v>
      </c>
      <c r="K4713">
        <f>Data!E4726</f>
        <v>0</v>
      </c>
      <c r="L4713">
        <f>Data!F4726</f>
        <v>0</v>
      </c>
      <c r="M4713">
        <f>Data!G4726</f>
        <v>0</v>
      </c>
      <c r="N4713">
        <f>Data!H4726</f>
        <v>0</v>
      </c>
      <c r="O4713">
        <f>Data!I4726</f>
        <v>0</v>
      </c>
      <c r="P4713" s="21">
        <f>Data!J4730</f>
        <v>0</v>
      </c>
      <c r="Q4713">
        <f>Data!K4730</f>
        <v>0</v>
      </c>
      <c r="R4713">
        <f>Data!L4730</f>
        <v>0</v>
      </c>
      <c r="S4713">
        <f>Data!M4730</f>
        <v>0</v>
      </c>
      <c r="T4713">
        <f>Data!N4730</f>
        <v>0</v>
      </c>
      <c r="U4713">
        <f>Data!O4730</f>
        <v>0</v>
      </c>
      <c r="V4713" s="33">
        <f>Data!P4728</f>
        <v>0</v>
      </c>
    </row>
    <row r="4714" spans="7:22" x14ac:dyDescent="0.25">
      <c r="G4714">
        <f>Data!A4727</f>
        <v>0</v>
      </c>
      <c r="H4714" s="21">
        <f>Data!B4727</f>
        <v>0</v>
      </c>
      <c r="I4714" s="21">
        <f>Data!C4727</f>
        <v>0</v>
      </c>
      <c r="J4714">
        <f>Data!D4727</f>
        <v>0</v>
      </c>
      <c r="K4714">
        <f>Data!E4727</f>
        <v>0</v>
      </c>
      <c r="L4714">
        <f>Data!F4727</f>
        <v>0</v>
      </c>
      <c r="M4714">
        <f>Data!G4727</f>
        <v>0</v>
      </c>
      <c r="N4714">
        <f>Data!H4727</f>
        <v>0</v>
      </c>
      <c r="O4714">
        <f>Data!I4727</f>
        <v>0</v>
      </c>
      <c r="P4714" s="21">
        <f>Data!J4731</f>
        <v>0</v>
      </c>
      <c r="Q4714">
        <f>Data!K4731</f>
        <v>0</v>
      </c>
      <c r="R4714">
        <f>Data!L4731</f>
        <v>0</v>
      </c>
      <c r="S4714">
        <f>Data!M4731</f>
        <v>0</v>
      </c>
      <c r="T4714">
        <f>Data!N4731</f>
        <v>0</v>
      </c>
      <c r="U4714">
        <f>Data!O4731</f>
        <v>0</v>
      </c>
      <c r="V4714" s="33">
        <f>Data!P4729</f>
        <v>0</v>
      </c>
    </row>
    <row r="4715" spans="7:22" x14ac:dyDescent="0.25">
      <c r="G4715">
        <f>Data!A4728</f>
        <v>0</v>
      </c>
      <c r="H4715" s="21">
        <f>Data!B4728</f>
        <v>0</v>
      </c>
      <c r="I4715" s="21">
        <f>Data!C4728</f>
        <v>0</v>
      </c>
      <c r="J4715">
        <f>Data!D4728</f>
        <v>0</v>
      </c>
      <c r="K4715">
        <f>Data!E4728</f>
        <v>0</v>
      </c>
      <c r="L4715">
        <f>Data!F4728</f>
        <v>0</v>
      </c>
      <c r="M4715">
        <f>Data!G4728</f>
        <v>0</v>
      </c>
      <c r="N4715">
        <f>Data!H4728</f>
        <v>0</v>
      </c>
      <c r="O4715">
        <f>Data!I4728</f>
        <v>0</v>
      </c>
      <c r="P4715" s="21">
        <f>Data!J4732</f>
        <v>0</v>
      </c>
      <c r="Q4715">
        <f>Data!K4732</f>
        <v>0</v>
      </c>
      <c r="R4715">
        <f>Data!L4732</f>
        <v>0</v>
      </c>
      <c r="S4715">
        <f>Data!M4732</f>
        <v>0</v>
      </c>
      <c r="T4715">
        <f>Data!N4732</f>
        <v>0</v>
      </c>
      <c r="U4715">
        <f>Data!O4732</f>
        <v>0</v>
      </c>
      <c r="V4715" s="33">
        <f>Data!P4730</f>
        <v>0</v>
      </c>
    </row>
    <row r="4716" spans="7:22" x14ac:dyDescent="0.25">
      <c r="G4716">
        <f>Data!A4729</f>
        <v>0</v>
      </c>
      <c r="H4716" s="21">
        <f>Data!B4729</f>
        <v>0</v>
      </c>
      <c r="I4716" s="21">
        <f>Data!C4729</f>
        <v>0</v>
      </c>
      <c r="J4716">
        <f>Data!D4729</f>
        <v>0</v>
      </c>
      <c r="K4716">
        <f>Data!E4729</f>
        <v>0</v>
      </c>
      <c r="L4716">
        <f>Data!F4729</f>
        <v>0</v>
      </c>
      <c r="M4716">
        <f>Data!G4729</f>
        <v>0</v>
      </c>
      <c r="N4716">
        <f>Data!H4729</f>
        <v>0</v>
      </c>
      <c r="O4716">
        <f>Data!I4729</f>
        <v>0</v>
      </c>
      <c r="P4716" s="21">
        <f>Data!J4733</f>
        <v>0</v>
      </c>
      <c r="Q4716">
        <f>Data!K4733</f>
        <v>0</v>
      </c>
      <c r="R4716">
        <f>Data!L4733</f>
        <v>0</v>
      </c>
      <c r="S4716">
        <f>Data!M4733</f>
        <v>0</v>
      </c>
      <c r="T4716">
        <f>Data!N4733</f>
        <v>0</v>
      </c>
      <c r="U4716">
        <f>Data!O4733</f>
        <v>0</v>
      </c>
      <c r="V4716" s="33">
        <f>Data!P4731</f>
        <v>0</v>
      </c>
    </row>
    <row r="4717" spans="7:22" x14ac:dyDescent="0.25">
      <c r="G4717">
        <f>Data!A4730</f>
        <v>0</v>
      </c>
      <c r="H4717" s="21">
        <f>Data!B4730</f>
        <v>0</v>
      </c>
      <c r="I4717" s="21">
        <f>Data!C4730</f>
        <v>0</v>
      </c>
      <c r="J4717">
        <f>Data!D4730</f>
        <v>0</v>
      </c>
      <c r="K4717">
        <f>Data!E4730</f>
        <v>0</v>
      </c>
      <c r="L4717">
        <f>Data!F4730</f>
        <v>0</v>
      </c>
      <c r="M4717">
        <f>Data!G4730</f>
        <v>0</v>
      </c>
      <c r="N4717">
        <f>Data!H4730</f>
        <v>0</v>
      </c>
      <c r="O4717">
        <f>Data!I4730</f>
        <v>0</v>
      </c>
      <c r="P4717" s="21">
        <f>Data!J4734</f>
        <v>0</v>
      </c>
      <c r="Q4717">
        <f>Data!K4734</f>
        <v>0</v>
      </c>
      <c r="R4717">
        <f>Data!L4734</f>
        <v>0</v>
      </c>
      <c r="S4717">
        <f>Data!M4734</f>
        <v>0</v>
      </c>
      <c r="T4717">
        <f>Data!N4734</f>
        <v>0</v>
      </c>
      <c r="U4717">
        <f>Data!O4734</f>
        <v>0</v>
      </c>
      <c r="V4717" s="33">
        <f>Data!P4732</f>
        <v>0</v>
      </c>
    </row>
    <row r="4718" spans="7:22" x14ac:dyDescent="0.25">
      <c r="G4718">
        <f>Data!A4731</f>
        <v>0</v>
      </c>
      <c r="H4718" s="21">
        <f>Data!B4731</f>
        <v>0</v>
      </c>
      <c r="I4718" s="21">
        <f>Data!C4731</f>
        <v>0</v>
      </c>
      <c r="J4718">
        <f>Data!D4731</f>
        <v>0</v>
      </c>
      <c r="K4718">
        <f>Data!E4731</f>
        <v>0</v>
      </c>
      <c r="L4718">
        <f>Data!F4731</f>
        <v>0</v>
      </c>
      <c r="M4718">
        <f>Data!G4731</f>
        <v>0</v>
      </c>
      <c r="N4718">
        <f>Data!H4731</f>
        <v>0</v>
      </c>
      <c r="O4718">
        <f>Data!I4731</f>
        <v>0</v>
      </c>
      <c r="P4718" s="21">
        <f>Data!J4735</f>
        <v>0</v>
      </c>
      <c r="Q4718">
        <f>Data!K4735</f>
        <v>0</v>
      </c>
      <c r="R4718">
        <f>Data!L4735</f>
        <v>0</v>
      </c>
      <c r="S4718">
        <f>Data!M4735</f>
        <v>0</v>
      </c>
      <c r="T4718">
        <f>Data!N4735</f>
        <v>0</v>
      </c>
      <c r="U4718">
        <f>Data!O4735</f>
        <v>0</v>
      </c>
      <c r="V4718" s="33">
        <f>Data!P4733</f>
        <v>0</v>
      </c>
    </row>
    <row r="4719" spans="7:22" x14ac:dyDescent="0.25">
      <c r="G4719">
        <f>Data!A4732</f>
        <v>0</v>
      </c>
      <c r="H4719" s="21">
        <f>Data!B4732</f>
        <v>0</v>
      </c>
      <c r="I4719" s="21">
        <f>Data!C4732</f>
        <v>0</v>
      </c>
      <c r="J4719">
        <f>Data!D4732</f>
        <v>0</v>
      </c>
      <c r="K4719">
        <f>Data!E4732</f>
        <v>0</v>
      </c>
      <c r="L4719">
        <f>Data!F4732</f>
        <v>0</v>
      </c>
      <c r="M4719">
        <f>Data!G4732</f>
        <v>0</v>
      </c>
      <c r="N4719">
        <f>Data!H4732</f>
        <v>0</v>
      </c>
      <c r="O4719">
        <f>Data!I4732</f>
        <v>0</v>
      </c>
      <c r="P4719" s="21">
        <f>Data!J4736</f>
        <v>0</v>
      </c>
      <c r="Q4719">
        <f>Data!K4736</f>
        <v>0</v>
      </c>
      <c r="R4719">
        <f>Data!L4736</f>
        <v>0</v>
      </c>
      <c r="S4719">
        <f>Data!M4736</f>
        <v>0</v>
      </c>
      <c r="T4719">
        <f>Data!N4736</f>
        <v>0</v>
      </c>
      <c r="U4719">
        <f>Data!O4736</f>
        <v>0</v>
      </c>
      <c r="V4719" s="33">
        <f>Data!P4734</f>
        <v>0</v>
      </c>
    </row>
    <row r="4720" spans="7:22" x14ac:dyDescent="0.25">
      <c r="G4720">
        <f>Data!A4733</f>
        <v>0</v>
      </c>
      <c r="H4720" s="21">
        <f>Data!B4733</f>
        <v>0</v>
      </c>
      <c r="I4720" s="21">
        <f>Data!C4733</f>
        <v>0</v>
      </c>
      <c r="J4720">
        <f>Data!D4733</f>
        <v>0</v>
      </c>
      <c r="K4720">
        <f>Data!E4733</f>
        <v>0</v>
      </c>
      <c r="L4720">
        <f>Data!F4733</f>
        <v>0</v>
      </c>
      <c r="M4720">
        <f>Data!G4733</f>
        <v>0</v>
      </c>
      <c r="N4720">
        <f>Data!H4733</f>
        <v>0</v>
      </c>
      <c r="O4720">
        <f>Data!I4733</f>
        <v>0</v>
      </c>
      <c r="P4720" s="21">
        <f>Data!J4737</f>
        <v>0</v>
      </c>
      <c r="Q4720">
        <f>Data!K4737</f>
        <v>0</v>
      </c>
      <c r="R4720">
        <f>Data!L4737</f>
        <v>0</v>
      </c>
      <c r="S4720">
        <f>Data!M4737</f>
        <v>0</v>
      </c>
      <c r="T4720">
        <f>Data!N4737</f>
        <v>0</v>
      </c>
      <c r="U4720">
        <f>Data!O4737</f>
        <v>0</v>
      </c>
      <c r="V4720" s="33">
        <f>Data!P4735</f>
        <v>0</v>
      </c>
    </row>
    <row r="4721" spans="7:22" x14ac:dyDescent="0.25">
      <c r="G4721">
        <f>Data!A4734</f>
        <v>0</v>
      </c>
      <c r="H4721" s="21">
        <f>Data!B4734</f>
        <v>0</v>
      </c>
      <c r="I4721" s="21">
        <f>Data!C4734</f>
        <v>0</v>
      </c>
      <c r="J4721">
        <f>Data!D4734</f>
        <v>0</v>
      </c>
      <c r="K4721">
        <f>Data!E4734</f>
        <v>0</v>
      </c>
      <c r="L4721">
        <f>Data!F4734</f>
        <v>0</v>
      </c>
      <c r="M4721">
        <f>Data!G4734</f>
        <v>0</v>
      </c>
      <c r="N4721">
        <f>Data!H4734</f>
        <v>0</v>
      </c>
      <c r="O4721">
        <f>Data!I4734</f>
        <v>0</v>
      </c>
      <c r="P4721" s="21">
        <f>Data!J4738</f>
        <v>0</v>
      </c>
      <c r="Q4721">
        <f>Data!K4738</f>
        <v>0</v>
      </c>
      <c r="R4721">
        <f>Data!L4738</f>
        <v>0</v>
      </c>
      <c r="S4721">
        <f>Data!M4738</f>
        <v>0</v>
      </c>
      <c r="T4721">
        <f>Data!N4738</f>
        <v>0</v>
      </c>
      <c r="U4721">
        <f>Data!O4738</f>
        <v>0</v>
      </c>
      <c r="V4721" s="33">
        <f>Data!P4736</f>
        <v>0</v>
      </c>
    </row>
    <row r="4722" spans="7:22" x14ac:dyDescent="0.25">
      <c r="G4722">
        <f>Data!A4735</f>
        <v>0</v>
      </c>
      <c r="H4722" s="21">
        <f>Data!B4735</f>
        <v>0</v>
      </c>
      <c r="I4722" s="21">
        <f>Data!C4735</f>
        <v>0</v>
      </c>
      <c r="J4722">
        <f>Data!D4735</f>
        <v>0</v>
      </c>
      <c r="K4722">
        <f>Data!E4735</f>
        <v>0</v>
      </c>
      <c r="L4722">
        <f>Data!F4735</f>
        <v>0</v>
      </c>
      <c r="M4722">
        <f>Data!G4735</f>
        <v>0</v>
      </c>
      <c r="N4722">
        <f>Data!H4735</f>
        <v>0</v>
      </c>
      <c r="O4722">
        <f>Data!I4735</f>
        <v>0</v>
      </c>
      <c r="P4722" s="21">
        <f>Data!J4739</f>
        <v>0</v>
      </c>
      <c r="Q4722">
        <f>Data!K4739</f>
        <v>0</v>
      </c>
      <c r="R4722">
        <f>Data!L4739</f>
        <v>0</v>
      </c>
      <c r="S4722">
        <f>Data!M4739</f>
        <v>0</v>
      </c>
      <c r="T4722">
        <f>Data!N4739</f>
        <v>0</v>
      </c>
      <c r="U4722">
        <f>Data!O4739</f>
        <v>0</v>
      </c>
      <c r="V4722" s="33">
        <f>Data!P4737</f>
        <v>0</v>
      </c>
    </row>
    <row r="4723" spans="7:22" x14ac:dyDescent="0.25">
      <c r="G4723">
        <f>Data!A4736</f>
        <v>0</v>
      </c>
      <c r="H4723" s="21">
        <f>Data!B4736</f>
        <v>0</v>
      </c>
      <c r="I4723" s="21">
        <f>Data!C4736</f>
        <v>0</v>
      </c>
      <c r="J4723">
        <f>Data!D4736</f>
        <v>0</v>
      </c>
      <c r="K4723">
        <f>Data!E4736</f>
        <v>0</v>
      </c>
      <c r="L4723">
        <f>Data!F4736</f>
        <v>0</v>
      </c>
      <c r="M4723">
        <f>Data!G4736</f>
        <v>0</v>
      </c>
      <c r="N4723">
        <f>Data!H4736</f>
        <v>0</v>
      </c>
      <c r="O4723">
        <f>Data!I4736</f>
        <v>0</v>
      </c>
      <c r="P4723" s="21">
        <f>Data!J4740</f>
        <v>0</v>
      </c>
      <c r="Q4723">
        <f>Data!K4740</f>
        <v>0</v>
      </c>
      <c r="R4723">
        <f>Data!L4740</f>
        <v>0</v>
      </c>
      <c r="S4723">
        <f>Data!M4740</f>
        <v>0</v>
      </c>
      <c r="T4723">
        <f>Data!N4740</f>
        <v>0</v>
      </c>
      <c r="U4723">
        <f>Data!O4740</f>
        <v>0</v>
      </c>
      <c r="V4723" s="33">
        <f>Data!P4738</f>
        <v>0</v>
      </c>
    </row>
    <row r="4724" spans="7:22" x14ac:dyDescent="0.25">
      <c r="G4724">
        <f>Data!A4737</f>
        <v>0</v>
      </c>
      <c r="H4724" s="21">
        <f>Data!B4737</f>
        <v>0</v>
      </c>
      <c r="I4724" s="21">
        <f>Data!C4737</f>
        <v>0</v>
      </c>
      <c r="J4724">
        <f>Data!D4737</f>
        <v>0</v>
      </c>
      <c r="K4724">
        <f>Data!E4737</f>
        <v>0</v>
      </c>
      <c r="L4724">
        <f>Data!F4737</f>
        <v>0</v>
      </c>
      <c r="M4724">
        <f>Data!G4737</f>
        <v>0</v>
      </c>
      <c r="N4724">
        <f>Data!H4737</f>
        <v>0</v>
      </c>
      <c r="O4724">
        <f>Data!I4737</f>
        <v>0</v>
      </c>
      <c r="P4724" s="21">
        <f>Data!J4741</f>
        <v>0</v>
      </c>
      <c r="Q4724">
        <f>Data!K4741</f>
        <v>0</v>
      </c>
      <c r="R4724">
        <f>Data!L4741</f>
        <v>0</v>
      </c>
      <c r="S4724">
        <f>Data!M4741</f>
        <v>0</v>
      </c>
      <c r="T4724">
        <f>Data!N4741</f>
        <v>0</v>
      </c>
      <c r="U4724">
        <f>Data!O4741</f>
        <v>0</v>
      </c>
      <c r="V4724" s="33">
        <f>Data!P4739</f>
        <v>0</v>
      </c>
    </row>
    <row r="4725" spans="7:22" x14ac:dyDescent="0.25">
      <c r="G4725">
        <f>Data!A4738</f>
        <v>0</v>
      </c>
      <c r="H4725" s="21">
        <f>Data!B4738</f>
        <v>0</v>
      </c>
      <c r="I4725" s="21">
        <f>Data!C4738</f>
        <v>0</v>
      </c>
      <c r="J4725">
        <f>Data!D4738</f>
        <v>0</v>
      </c>
      <c r="K4725">
        <f>Data!E4738</f>
        <v>0</v>
      </c>
      <c r="L4725">
        <f>Data!F4738</f>
        <v>0</v>
      </c>
      <c r="M4725">
        <f>Data!G4738</f>
        <v>0</v>
      </c>
      <c r="N4725">
        <f>Data!H4738</f>
        <v>0</v>
      </c>
      <c r="O4725">
        <f>Data!I4738</f>
        <v>0</v>
      </c>
      <c r="P4725" s="21">
        <f>Data!J4742</f>
        <v>0</v>
      </c>
      <c r="Q4725">
        <f>Data!K4742</f>
        <v>0</v>
      </c>
      <c r="R4725">
        <f>Data!L4742</f>
        <v>0</v>
      </c>
      <c r="S4725">
        <f>Data!M4742</f>
        <v>0</v>
      </c>
      <c r="T4725">
        <f>Data!N4742</f>
        <v>0</v>
      </c>
      <c r="U4725">
        <f>Data!O4742</f>
        <v>0</v>
      </c>
      <c r="V4725" s="33">
        <f>Data!P4740</f>
        <v>0</v>
      </c>
    </row>
    <row r="4726" spans="7:22" x14ac:dyDescent="0.25">
      <c r="G4726">
        <f>Data!A4739</f>
        <v>0</v>
      </c>
      <c r="H4726" s="21">
        <f>Data!B4739</f>
        <v>0</v>
      </c>
      <c r="I4726" s="21">
        <f>Data!C4739</f>
        <v>0</v>
      </c>
      <c r="J4726">
        <f>Data!D4739</f>
        <v>0</v>
      </c>
      <c r="K4726">
        <f>Data!E4739</f>
        <v>0</v>
      </c>
      <c r="L4726">
        <f>Data!F4739</f>
        <v>0</v>
      </c>
      <c r="M4726">
        <f>Data!G4739</f>
        <v>0</v>
      </c>
      <c r="N4726">
        <f>Data!H4739</f>
        <v>0</v>
      </c>
      <c r="O4726">
        <f>Data!I4739</f>
        <v>0</v>
      </c>
      <c r="P4726" s="21">
        <f>Data!J4743</f>
        <v>0</v>
      </c>
      <c r="Q4726">
        <f>Data!K4743</f>
        <v>0</v>
      </c>
      <c r="R4726">
        <f>Data!L4743</f>
        <v>0</v>
      </c>
      <c r="S4726">
        <f>Data!M4743</f>
        <v>0</v>
      </c>
      <c r="T4726">
        <f>Data!N4743</f>
        <v>0</v>
      </c>
      <c r="U4726">
        <f>Data!O4743</f>
        <v>0</v>
      </c>
      <c r="V4726" s="33">
        <f>Data!P4741</f>
        <v>0</v>
      </c>
    </row>
    <row r="4727" spans="7:22" x14ac:dyDescent="0.25">
      <c r="G4727">
        <f>Data!A4740</f>
        <v>0</v>
      </c>
      <c r="H4727" s="21">
        <f>Data!B4740</f>
        <v>0</v>
      </c>
      <c r="I4727" s="21">
        <f>Data!C4740</f>
        <v>0</v>
      </c>
      <c r="J4727">
        <f>Data!D4740</f>
        <v>0</v>
      </c>
      <c r="K4727">
        <f>Data!E4740</f>
        <v>0</v>
      </c>
      <c r="L4727">
        <f>Data!F4740</f>
        <v>0</v>
      </c>
      <c r="M4727">
        <f>Data!G4740</f>
        <v>0</v>
      </c>
      <c r="N4727">
        <f>Data!H4740</f>
        <v>0</v>
      </c>
      <c r="O4727">
        <f>Data!I4740</f>
        <v>0</v>
      </c>
      <c r="P4727" s="21">
        <f>Data!J4744</f>
        <v>0</v>
      </c>
      <c r="Q4727">
        <f>Data!K4744</f>
        <v>0</v>
      </c>
      <c r="R4727">
        <f>Data!L4744</f>
        <v>0</v>
      </c>
      <c r="S4727">
        <f>Data!M4744</f>
        <v>0</v>
      </c>
      <c r="T4727">
        <f>Data!N4744</f>
        <v>0</v>
      </c>
      <c r="U4727">
        <f>Data!O4744</f>
        <v>0</v>
      </c>
      <c r="V4727" s="33">
        <f>Data!P4742</f>
        <v>0</v>
      </c>
    </row>
    <row r="4728" spans="7:22" x14ac:dyDescent="0.25">
      <c r="G4728">
        <f>Data!A4741</f>
        <v>0</v>
      </c>
      <c r="H4728" s="21">
        <f>Data!B4741</f>
        <v>0</v>
      </c>
      <c r="I4728" s="21">
        <f>Data!C4741</f>
        <v>0</v>
      </c>
      <c r="J4728">
        <f>Data!D4741</f>
        <v>0</v>
      </c>
      <c r="K4728">
        <f>Data!E4741</f>
        <v>0</v>
      </c>
      <c r="L4728">
        <f>Data!F4741</f>
        <v>0</v>
      </c>
      <c r="M4728">
        <f>Data!G4741</f>
        <v>0</v>
      </c>
      <c r="N4728">
        <f>Data!H4741</f>
        <v>0</v>
      </c>
      <c r="O4728">
        <f>Data!I4741</f>
        <v>0</v>
      </c>
      <c r="P4728" s="21">
        <f>Data!J4745</f>
        <v>0</v>
      </c>
      <c r="Q4728">
        <f>Data!K4745</f>
        <v>0</v>
      </c>
      <c r="R4728">
        <f>Data!L4745</f>
        <v>0</v>
      </c>
      <c r="S4728">
        <f>Data!M4745</f>
        <v>0</v>
      </c>
      <c r="T4728">
        <f>Data!N4745</f>
        <v>0</v>
      </c>
      <c r="U4728">
        <f>Data!O4745</f>
        <v>0</v>
      </c>
      <c r="V4728" s="33">
        <f>Data!P4743</f>
        <v>0</v>
      </c>
    </row>
    <row r="4729" spans="7:22" x14ac:dyDescent="0.25">
      <c r="G4729">
        <f>Data!A4742</f>
        <v>0</v>
      </c>
      <c r="H4729" s="21">
        <f>Data!B4742</f>
        <v>0</v>
      </c>
      <c r="I4729" s="21">
        <f>Data!C4742</f>
        <v>0</v>
      </c>
      <c r="J4729">
        <f>Data!D4742</f>
        <v>0</v>
      </c>
      <c r="K4729">
        <f>Data!E4742</f>
        <v>0</v>
      </c>
      <c r="L4729">
        <f>Data!F4742</f>
        <v>0</v>
      </c>
      <c r="M4729">
        <f>Data!G4742</f>
        <v>0</v>
      </c>
      <c r="N4729">
        <f>Data!H4742</f>
        <v>0</v>
      </c>
      <c r="O4729">
        <f>Data!I4742</f>
        <v>0</v>
      </c>
      <c r="P4729" s="21">
        <f>Data!J4746</f>
        <v>0</v>
      </c>
      <c r="Q4729">
        <f>Data!K4746</f>
        <v>0</v>
      </c>
      <c r="R4729">
        <f>Data!L4746</f>
        <v>0</v>
      </c>
      <c r="S4729">
        <f>Data!M4746</f>
        <v>0</v>
      </c>
      <c r="T4729">
        <f>Data!N4746</f>
        <v>0</v>
      </c>
      <c r="U4729">
        <f>Data!O4746</f>
        <v>0</v>
      </c>
      <c r="V4729" s="33">
        <f>Data!P4744</f>
        <v>0</v>
      </c>
    </row>
    <row r="4730" spans="7:22" x14ac:dyDescent="0.25">
      <c r="G4730">
        <f>Data!A4743</f>
        <v>0</v>
      </c>
      <c r="H4730" s="21">
        <f>Data!B4743</f>
        <v>0</v>
      </c>
      <c r="I4730" s="21">
        <f>Data!C4743</f>
        <v>0</v>
      </c>
      <c r="J4730">
        <f>Data!D4743</f>
        <v>0</v>
      </c>
      <c r="K4730">
        <f>Data!E4743</f>
        <v>0</v>
      </c>
      <c r="L4730">
        <f>Data!F4743</f>
        <v>0</v>
      </c>
      <c r="M4730">
        <f>Data!G4743</f>
        <v>0</v>
      </c>
      <c r="N4730">
        <f>Data!H4743</f>
        <v>0</v>
      </c>
      <c r="O4730">
        <f>Data!I4743</f>
        <v>0</v>
      </c>
      <c r="P4730" s="21">
        <f>Data!J4747</f>
        <v>0</v>
      </c>
      <c r="Q4730">
        <f>Data!K4747</f>
        <v>0</v>
      </c>
      <c r="R4730">
        <f>Data!L4747</f>
        <v>0</v>
      </c>
      <c r="S4730">
        <f>Data!M4747</f>
        <v>0</v>
      </c>
      <c r="T4730">
        <f>Data!N4747</f>
        <v>0</v>
      </c>
      <c r="U4730">
        <f>Data!O4747</f>
        <v>0</v>
      </c>
      <c r="V4730" s="33">
        <f>Data!P4745</f>
        <v>0</v>
      </c>
    </row>
    <row r="4731" spans="7:22" x14ac:dyDescent="0.25">
      <c r="G4731">
        <f>Data!A4744</f>
        <v>0</v>
      </c>
      <c r="H4731" s="21">
        <f>Data!B4744</f>
        <v>0</v>
      </c>
      <c r="I4731" s="21">
        <f>Data!C4744</f>
        <v>0</v>
      </c>
      <c r="J4731">
        <f>Data!D4744</f>
        <v>0</v>
      </c>
      <c r="K4731">
        <f>Data!E4744</f>
        <v>0</v>
      </c>
      <c r="L4731">
        <f>Data!F4744</f>
        <v>0</v>
      </c>
      <c r="M4731">
        <f>Data!G4744</f>
        <v>0</v>
      </c>
      <c r="N4731">
        <f>Data!H4744</f>
        <v>0</v>
      </c>
      <c r="O4731">
        <f>Data!I4744</f>
        <v>0</v>
      </c>
      <c r="P4731" s="21">
        <f>Data!J4748</f>
        <v>0</v>
      </c>
      <c r="Q4731">
        <f>Data!K4748</f>
        <v>0</v>
      </c>
      <c r="R4731">
        <f>Data!L4748</f>
        <v>0</v>
      </c>
      <c r="S4731">
        <f>Data!M4748</f>
        <v>0</v>
      </c>
      <c r="T4731">
        <f>Data!N4748</f>
        <v>0</v>
      </c>
      <c r="U4731">
        <f>Data!O4748</f>
        <v>0</v>
      </c>
      <c r="V4731" s="33">
        <f>Data!P4746</f>
        <v>0</v>
      </c>
    </row>
    <row r="4732" spans="7:22" x14ac:dyDescent="0.25">
      <c r="G4732">
        <f>Data!A4745</f>
        <v>0</v>
      </c>
      <c r="H4732" s="21">
        <f>Data!B4745</f>
        <v>0</v>
      </c>
      <c r="I4732" s="21">
        <f>Data!C4745</f>
        <v>0</v>
      </c>
      <c r="J4732">
        <f>Data!D4745</f>
        <v>0</v>
      </c>
      <c r="K4732">
        <f>Data!E4745</f>
        <v>0</v>
      </c>
      <c r="L4732">
        <f>Data!F4745</f>
        <v>0</v>
      </c>
      <c r="M4732">
        <f>Data!G4745</f>
        <v>0</v>
      </c>
      <c r="N4732">
        <f>Data!H4745</f>
        <v>0</v>
      </c>
      <c r="O4732">
        <f>Data!I4745</f>
        <v>0</v>
      </c>
      <c r="P4732" s="21">
        <f>Data!J4749</f>
        <v>0</v>
      </c>
      <c r="Q4732">
        <f>Data!K4749</f>
        <v>0</v>
      </c>
      <c r="R4732">
        <f>Data!L4749</f>
        <v>0</v>
      </c>
      <c r="S4732">
        <f>Data!M4749</f>
        <v>0</v>
      </c>
      <c r="T4732">
        <f>Data!N4749</f>
        <v>0</v>
      </c>
      <c r="U4732">
        <f>Data!O4749</f>
        <v>0</v>
      </c>
      <c r="V4732" s="33">
        <f>Data!P4747</f>
        <v>0</v>
      </c>
    </row>
    <row r="4733" spans="7:22" x14ac:dyDescent="0.25">
      <c r="G4733">
        <f>Data!A4746</f>
        <v>0</v>
      </c>
      <c r="H4733" s="21">
        <f>Data!B4746</f>
        <v>0</v>
      </c>
      <c r="I4733" s="21">
        <f>Data!C4746</f>
        <v>0</v>
      </c>
      <c r="J4733">
        <f>Data!D4746</f>
        <v>0</v>
      </c>
      <c r="K4733">
        <f>Data!E4746</f>
        <v>0</v>
      </c>
      <c r="L4733">
        <f>Data!F4746</f>
        <v>0</v>
      </c>
      <c r="M4733">
        <f>Data!G4746</f>
        <v>0</v>
      </c>
      <c r="N4733">
        <f>Data!H4746</f>
        <v>0</v>
      </c>
      <c r="O4733">
        <f>Data!I4746</f>
        <v>0</v>
      </c>
      <c r="P4733" s="21">
        <f>Data!J4750</f>
        <v>0</v>
      </c>
      <c r="Q4733">
        <f>Data!K4750</f>
        <v>0</v>
      </c>
      <c r="R4733">
        <f>Data!L4750</f>
        <v>0</v>
      </c>
      <c r="S4733">
        <f>Data!M4750</f>
        <v>0</v>
      </c>
      <c r="T4733">
        <f>Data!N4750</f>
        <v>0</v>
      </c>
      <c r="U4733">
        <f>Data!O4750</f>
        <v>0</v>
      </c>
      <c r="V4733" s="33">
        <f>Data!P4748</f>
        <v>0</v>
      </c>
    </row>
    <row r="4734" spans="7:22" x14ac:dyDescent="0.25">
      <c r="G4734">
        <f>Data!A4747</f>
        <v>0</v>
      </c>
      <c r="H4734" s="21">
        <f>Data!B4747</f>
        <v>0</v>
      </c>
      <c r="I4734" s="21">
        <f>Data!C4747</f>
        <v>0</v>
      </c>
      <c r="J4734">
        <f>Data!D4747</f>
        <v>0</v>
      </c>
      <c r="K4734">
        <f>Data!E4747</f>
        <v>0</v>
      </c>
      <c r="L4734">
        <f>Data!F4747</f>
        <v>0</v>
      </c>
      <c r="M4734">
        <f>Data!G4747</f>
        <v>0</v>
      </c>
      <c r="N4734">
        <f>Data!H4747</f>
        <v>0</v>
      </c>
      <c r="O4734">
        <f>Data!I4747</f>
        <v>0</v>
      </c>
      <c r="P4734" s="21">
        <f>Data!J4751</f>
        <v>0</v>
      </c>
      <c r="Q4734">
        <f>Data!K4751</f>
        <v>0</v>
      </c>
      <c r="R4734">
        <f>Data!L4751</f>
        <v>0</v>
      </c>
      <c r="S4734">
        <f>Data!M4751</f>
        <v>0</v>
      </c>
      <c r="T4734">
        <f>Data!N4751</f>
        <v>0</v>
      </c>
      <c r="U4734">
        <f>Data!O4751</f>
        <v>0</v>
      </c>
      <c r="V4734" s="33">
        <f>Data!P4749</f>
        <v>0</v>
      </c>
    </row>
    <row r="4735" spans="7:22" x14ac:dyDescent="0.25">
      <c r="G4735">
        <f>Data!A4748</f>
        <v>0</v>
      </c>
      <c r="H4735" s="21">
        <f>Data!B4748</f>
        <v>0</v>
      </c>
      <c r="I4735" s="21">
        <f>Data!C4748</f>
        <v>0</v>
      </c>
      <c r="J4735">
        <f>Data!D4748</f>
        <v>0</v>
      </c>
      <c r="K4735">
        <f>Data!E4748</f>
        <v>0</v>
      </c>
      <c r="L4735">
        <f>Data!F4748</f>
        <v>0</v>
      </c>
      <c r="M4735">
        <f>Data!G4748</f>
        <v>0</v>
      </c>
      <c r="N4735">
        <f>Data!H4748</f>
        <v>0</v>
      </c>
      <c r="O4735">
        <f>Data!I4748</f>
        <v>0</v>
      </c>
      <c r="P4735" s="21">
        <f>Data!J4752</f>
        <v>0</v>
      </c>
      <c r="Q4735">
        <f>Data!K4752</f>
        <v>0</v>
      </c>
      <c r="R4735">
        <f>Data!L4752</f>
        <v>0</v>
      </c>
      <c r="S4735">
        <f>Data!M4752</f>
        <v>0</v>
      </c>
      <c r="T4735">
        <f>Data!N4752</f>
        <v>0</v>
      </c>
      <c r="U4735">
        <f>Data!O4752</f>
        <v>0</v>
      </c>
      <c r="V4735" s="33">
        <f>Data!P4750</f>
        <v>0</v>
      </c>
    </row>
    <row r="4736" spans="7:22" x14ac:dyDescent="0.25">
      <c r="G4736">
        <f>Data!A4749</f>
        <v>0</v>
      </c>
      <c r="H4736" s="21">
        <f>Data!B4749</f>
        <v>0</v>
      </c>
      <c r="I4736" s="21">
        <f>Data!C4749</f>
        <v>0</v>
      </c>
      <c r="J4736">
        <f>Data!D4749</f>
        <v>0</v>
      </c>
      <c r="K4736">
        <f>Data!E4749</f>
        <v>0</v>
      </c>
      <c r="L4736">
        <f>Data!F4749</f>
        <v>0</v>
      </c>
      <c r="M4736">
        <f>Data!G4749</f>
        <v>0</v>
      </c>
      <c r="N4736">
        <f>Data!H4749</f>
        <v>0</v>
      </c>
      <c r="O4736">
        <f>Data!I4749</f>
        <v>0</v>
      </c>
      <c r="P4736" s="21">
        <f>Data!J4753</f>
        <v>0</v>
      </c>
      <c r="Q4736">
        <f>Data!K4753</f>
        <v>0</v>
      </c>
      <c r="R4736">
        <f>Data!L4753</f>
        <v>0</v>
      </c>
      <c r="S4736">
        <f>Data!M4753</f>
        <v>0</v>
      </c>
      <c r="T4736">
        <f>Data!N4753</f>
        <v>0</v>
      </c>
      <c r="U4736">
        <f>Data!O4753</f>
        <v>0</v>
      </c>
      <c r="V4736" s="33">
        <f>Data!P4751</f>
        <v>0</v>
      </c>
    </row>
    <row r="4737" spans="7:22" x14ac:dyDescent="0.25">
      <c r="G4737">
        <f>Data!A4750</f>
        <v>0</v>
      </c>
      <c r="H4737" s="21">
        <f>Data!B4750</f>
        <v>0</v>
      </c>
      <c r="I4737" s="21">
        <f>Data!C4750</f>
        <v>0</v>
      </c>
      <c r="J4737">
        <f>Data!D4750</f>
        <v>0</v>
      </c>
      <c r="K4737">
        <f>Data!E4750</f>
        <v>0</v>
      </c>
      <c r="L4737">
        <f>Data!F4750</f>
        <v>0</v>
      </c>
      <c r="M4737">
        <f>Data!G4750</f>
        <v>0</v>
      </c>
      <c r="N4737">
        <f>Data!H4750</f>
        <v>0</v>
      </c>
      <c r="O4737">
        <f>Data!I4750</f>
        <v>0</v>
      </c>
      <c r="P4737" s="21">
        <f>Data!J4754</f>
        <v>0</v>
      </c>
      <c r="Q4737">
        <f>Data!K4754</f>
        <v>0</v>
      </c>
      <c r="R4737">
        <f>Data!L4754</f>
        <v>0</v>
      </c>
      <c r="S4737">
        <f>Data!M4754</f>
        <v>0</v>
      </c>
      <c r="T4737">
        <f>Data!N4754</f>
        <v>0</v>
      </c>
      <c r="U4737">
        <f>Data!O4754</f>
        <v>0</v>
      </c>
      <c r="V4737" s="33">
        <f>Data!P4752</f>
        <v>0</v>
      </c>
    </row>
    <row r="4738" spans="7:22" x14ac:dyDescent="0.25">
      <c r="G4738">
        <f>Data!A4751</f>
        <v>0</v>
      </c>
      <c r="H4738" s="21">
        <f>Data!B4751</f>
        <v>0</v>
      </c>
      <c r="I4738" s="21">
        <f>Data!C4751</f>
        <v>0</v>
      </c>
      <c r="J4738">
        <f>Data!D4751</f>
        <v>0</v>
      </c>
      <c r="K4738">
        <f>Data!E4751</f>
        <v>0</v>
      </c>
      <c r="L4738">
        <f>Data!F4751</f>
        <v>0</v>
      </c>
      <c r="M4738">
        <f>Data!G4751</f>
        <v>0</v>
      </c>
      <c r="N4738">
        <f>Data!H4751</f>
        <v>0</v>
      </c>
      <c r="O4738">
        <f>Data!I4751</f>
        <v>0</v>
      </c>
      <c r="P4738" s="21">
        <f>Data!J4755</f>
        <v>0</v>
      </c>
      <c r="Q4738">
        <f>Data!K4755</f>
        <v>0</v>
      </c>
      <c r="R4738">
        <f>Data!L4755</f>
        <v>0</v>
      </c>
      <c r="S4738">
        <f>Data!M4755</f>
        <v>0</v>
      </c>
      <c r="T4738">
        <f>Data!N4755</f>
        <v>0</v>
      </c>
      <c r="U4738">
        <f>Data!O4755</f>
        <v>0</v>
      </c>
      <c r="V4738" s="33">
        <f>Data!P4753</f>
        <v>0</v>
      </c>
    </row>
    <row r="4739" spans="7:22" x14ac:dyDescent="0.25">
      <c r="G4739">
        <f>Data!A4752</f>
        <v>0</v>
      </c>
      <c r="H4739" s="21">
        <f>Data!B4752</f>
        <v>0</v>
      </c>
      <c r="I4739" s="21">
        <f>Data!C4752</f>
        <v>0</v>
      </c>
      <c r="J4739">
        <f>Data!D4752</f>
        <v>0</v>
      </c>
      <c r="K4739">
        <f>Data!E4752</f>
        <v>0</v>
      </c>
      <c r="L4739">
        <f>Data!F4752</f>
        <v>0</v>
      </c>
      <c r="M4739">
        <f>Data!G4752</f>
        <v>0</v>
      </c>
      <c r="N4739">
        <f>Data!H4752</f>
        <v>0</v>
      </c>
      <c r="O4739">
        <f>Data!I4752</f>
        <v>0</v>
      </c>
      <c r="P4739" s="21">
        <f>Data!J4756</f>
        <v>0</v>
      </c>
      <c r="Q4739">
        <f>Data!K4756</f>
        <v>0</v>
      </c>
      <c r="R4739">
        <f>Data!L4756</f>
        <v>0</v>
      </c>
      <c r="S4739">
        <f>Data!M4756</f>
        <v>0</v>
      </c>
      <c r="T4739">
        <f>Data!N4756</f>
        <v>0</v>
      </c>
      <c r="U4739">
        <f>Data!O4756</f>
        <v>0</v>
      </c>
      <c r="V4739" s="33">
        <f>Data!P4754</f>
        <v>0</v>
      </c>
    </row>
    <row r="4740" spans="7:22" x14ac:dyDescent="0.25">
      <c r="G4740">
        <f>Data!A4753</f>
        <v>0</v>
      </c>
      <c r="H4740" s="21">
        <f>Data!B4753</f>
        <v>0</v>
      </c>
      <c r="I4740" s="21">
        <f>Data!C4753</f>
        <v>0</v>
      </c>
      <c r="J4740">
        <f>Data!D4753</f>
        <v>0</v>
      </c>
      <c r="K4740">
        <f>Data!E4753</f>
        <v>0</v>
      </c>
      <c r="L4740">
        <f>Data!F4753</f>
        <v>0</v>
      </c>
      <c r="M4740">
        <f>Data!G4753</f>
        <v>0</v>
      </c>
      <c r="N4740">
        <f>Data!H4753</f>
        <v>0</v>
      </c>
      <c r="O4740">
        <f>Data!I4753</f>
        <v>0</v>
      </c>
      <c r="P4740" s="21">
        <f>Data!J4757</f>
        <v>0</v>
      </c>
      <c r="Q4740">
        <f>Data!K4757</f>
        <v>0</v>
      </c>
      <c r="R4740">
        <f>Data!L4757</f>
        <v>0</v>
      </c>
      <c r="S4740">
        <f>Data!M4757</f>
        <v>0</v>
      </c>
      <c r="T4740">
        <f>Data!N4757</f>
        <v>0</v>
      </c>
      <c r="U4740">
        <f>Data!O4757</f>
        <v>0</v>
      </c>
      <c r="V4740" s="33">
        <f>Data!P4755</f>
        <v>0</v>
      </c>
    </row>
    <row r="4741" spans="7:22" x14ac:dyDescent="0.25">
      <c r="G4741">
        <f>Data!A4754</f>
        <v>0</v>
      </c>
      <c r="H4741" s="21">
        <f>Data!B4754</f>
        <v>0</v>
      </c>
      <c r="I4741" s="21">
        <f>Data!C4754</f>
        <v>0</v>
      </c>
      <c r="J4741">
        <f>Data!D4754</f>
        <v>0</v>
      </c>
      <c r="K4741">
        <f>Data!E4754</f>
        <v>0</v>
      </c>
      <c r="L4741">
        <f>Data!F4754</f>
        <v>0</v>
      </c>
      <c r="M4741">
        <f>Data!G4754</f>
        <v>0</v>
      </c>
      <c r="N4741">
        <f>Data!H4754</f>
        <v>0</v>
      </c>
      <c r="O4741">
        <f>Data!I4754</f>
        <v>0</v>
      </c>
      <c r="P4741" s="21">
        <f>Data!J4758</f>
        <v>0</v>
      </c>
      <c r="Q4741">
        <f>Data!K4758</f>
        <v>0</v>
      </c>
      <c r="R4741">
        <f>Data!L4758</f>
        <v>0</v>
      </c>
      <c r="S4741">
        <f>Data!M4758</f>
        <v>0</v>
      </c>
      <c r="T4741">
        <f>Data!N4758</f>
        <v>0</v>
      </c>
      <c r="U4741">
        <f>Data!O4758</f>
        <v>0</v>
      </c>
      <c r="V4741" s="33">
        <f>Data!P4756</f>
        <v>0</v>
      </c>
    </row>
    <row r="4742" spans="7:22" x14ac:dyDescent="0.25">
      <c r="G4742">
        <f>Data!A4755</f>
        <v>0</v>
      </c>
      <c r="H4742" s="21">
        <f>Data!B4755</f>
        <v>0</v>
      </c>
      <c r="I4742" s="21">
        <f>Data!C4755</f>
        <v>0</v>
      </c>
      <c r="J4742">
        <f>Data!D4755</f>
        <v>0</v>
      </c>
      <c r="K4742">
        <f>Data!E4755</f>
        <v>0</v>
      </c>
      <c r="L4742">
        <f>Data!F4755</f>
        <v>0</v>
      </c>
      <c r="M4742">
        <f>Data!G4755</f>
        <v>0</v>
      </c>
      <c r="N4742">
        <f>Data!H4755</f>
        <v>0</v>
      </c>
      <c r="O4742">
        <f>Data!I4755</f>
        <v>0</v>
      </c>
      <c r="P4742" s="21">
        <f>Data!J4759</f>
        <v>0</v>
      </c>
      <c r="Q4742">
        <f>Data!K4759</f>
        <v>0</v>
      </c>
      <c r="R4742">
        <f>Data!L4759</f>
        <v>0</v>
      </c>
      <c r="S4742">
        <f>Data!M4759</f>
        <v>0</v>
      </c>
      <c r="T4742">
        <f>Data!N4759</f>
        <v>0</v>
      </c>
      <c r="U4742">
        <f>Data!O4759</f>
        <v>0</v>
      </c>
      <c r="V4742" s="33">
        <f>Data!P4757</f>
        <v>0</v>
      </c>
    </row>
    <row r="4743" spans="7:22" x14ac:dyDescent="0.25">
      <c r="G4743">
        <f>Data!A4756</f>
        <v>0</v>
      </c>
      <c r="H4743" s="21">
        <f>Data!B4756</f>
        <v>0</v>
      </c>
      <c r="I4743" s="21">
        <f>Data!C4756</f>
        <v>0</v>
      </c>
      <c r="J4743">
        <f>Data!D4756</f>
        <v>0</v>
      </c>
      <c r="K4743">
        <f>Data!E4756</f>
        <v>0</v>
      </c>
      <c r="L4743">
        <f>Data!F4756</f>
        <v>0</v>
      </c>
      <c r="M4743">
        <f>Data!G4756</f>
        <v>0</v>
      </c>
      <c r="N4743">
        <f>Data!H4756</f>
        <v>0</v>
      </c>
      <c r="O4743">
        <f>Data!I4756</f>
        <v>0</v>
      </c>
      <c r="P4743" s="21">
        <f>Data!J4760</f>
        <v>0</v>
      </c>
      <c r="Q4743">
        <f>Data!K4760</f>
        <v>0</v>
      </c>
      <c r="R4743">
        <f>Data!L4760</f>
        <v>0</v>
      </c>
      <c r="S4743">
        <f>Data!M4760</f>
        <v>0</v>
      </c>
      <c r="T4743">
        <f>Data!N4760</f>
        <v>0</v>
      </c>
      <c r="U4743">
        <f>Data!O4760</f>
        <v>0</v>
      </c>
      <c r="V4743" s="33">
        <f>Data!P4758</f>
        <v>0</v>
      </c>
    </row>
    <row r="4744" spans="7:22" x14ac:dyDescent="0.25">
      <c r="G4744">
        <f>Data!A4757</f>
        <v>0</v>
      </c>
      <c r="H4744" s="21">
        <f>Data!B4757</f>
        <v>0</v>
      </c>
      <c r="I4744" s="21">
        <f>Data!C4757</f>
        <v>0</v>
      </c>
      <c r="J4744">
        <f>Data!D4757</f>
        <v>0</v>
      </c>
      <c r="K4744">
        <f>Data!E4757</f>
        <v>0</v>
      </c>
      <c r="L4744">
        <f>Data!F4757</f>
        <v>0</v>
      </c>
      <c r="M4744">
        <f>Data!G4757</f>
        <v>0</v>
      </c>
      <c r="N4744">
        <f>Data!H4757</f>
        <v>0</v>
      </c>
      <c r="O4744">
        <f>Data!I4757</f>
        <v>0</v>
      </c>
      <c r="P4744" s="21">
        <f>Data!J4761</f>
        <v>0</v>
      </c>
      <c r="Q4744">
        <f>Data!K4761</f>
        <v>0</v>
      </c>
      <c r="R4744">
        <f>Data!L4761</f>
        <v>0</v>
      </c>
      <c r="S4744">
        <f>Data!M4761</f>
        <v>0</v>
      </c>
      <c r="T4744">
        <f>Data!N4761</f>
        <v>0</v>
      </c>
      <c r="U4744">
        <f>Data!O4761</f>
        <v>0</v>
      </c>
      <c r="V4744" s="33">
        <f>Data!P4759</f>
        <v>0</v>
      </c>
    </row>
    <row r="4745" spans="7:22" x14ac:dyDescent="0.25">
      <c r="G4745">
        <f>Data!A4758</f>
        <v>0</v>
      </c>
      <c r="H4745" s="21">
        <f>Data!B4758</f>
        <v>0</v>
      </c>
      <c r="I4745" s="21">
        <f>Data!C4758</f>
        <v>0</v>
      </c>
      <c r="J4745">
        <f>Data!D4758</f>
        <v>0</v>
      </c>
      <c r="K4745">
        <f>Data!E4758</f>
        <v>0</v>
      </c>
      <c r="L4745">
        <f>Data!F4758</f>
        <v>0</v>
      </c>
      <c r="M4745">
        <f>Data!G4758</f>
        <v>0</v>
      </c>
      <c r="N4745">
        <f>Data!H4758</f>
        <v>0</v>
      </c>
      <c r="O4745">
        <f>Data!I4758</f>
        <v>0</v>
      </c>
      <c r="P4745" s="21">
        <f>Data!J4762</f>
        <v>0</v>
      </c>
      <c r="Q4745">
        <f>Data!K4762</f>
        <v>0</v>
      </c>
      <c r="R4745">
        <f>Data!L4762</f>
        <v>0</v>
      </c>
      <c r="S4745">
        <f>Data!M4762</f>
        <v>0</v>
      </c>
      <c r="T4745">
        <f>Data!N4762</f>
        <v>0</v>
      </c>
      <c r="U4745">
        <f>Data!O4762</f>
        <v>0</v>
      </c>
      <c r="V4745" s="33">
        <f>Data!P4760</f>
        <v>0</v>
      </c>
    </row>
    <row r="4746" spans="7:22" x14ac:dyDescent="0.25">
      <c r="G4746">
        <f>Data!A4759</f>
        <v>0</v>
      </c>
      <c r="H4746" s="21">
        <f>Data!B4759</f>
        <v>0</v>
      </c>
      <c r="I4746" s="21">
        <f>Data!C4759</f>
        <v>0</v>
      </c>
      <c r="J4746">
        <f>Data!D4759</f>
        <v>0</v>
      </c>
      <c r="K4746">
        <f>Data!E4759</f>
        <v>0</v>
      </c>
      <c r="L4746">
        <f>Data!F4759</f>
        <v>0</v>
      </c>
      <c r="M4746">
        <f>Data!G4759</f>
        <v>0</v>
      </c>
      <c r="N4746">
        <f>Data!H4759</f>
        <v>0</v>
      </c>
      <c r="O4746">
        <f>Data!I4759</f>
        <v>0</v>
      </c>
      <c r="P4746" s="21">
        <f>Data!J4763</f>
        <v>0</v>
      </c>
      <c r="Q4746">
        <f>Data!K4763</f>
        <v>0</v>
      </c>
      <c r="R4746">
        <f>Data!L4763</f>
        <v>0</v>
      </c>
      <c r="S4746">
        <f>Data!M4763</f>
        <v>0</v>
      </c>
      <c r="T4746">
        <f>Data!N4763</f>
        <v>0</v>
      </c>
      <c r="U4746">
        <f>Data!O4763</f>
        <v>0</v>
      </c>
      <c r="V4746" s="33">
        <f>Data!P4761</f>
        <v>0</v>
      </c>
    </row>
    <row r="4747" spans="7:22" x14ac:dyDescent="0.25">
      <c r="G4747">
        <f>Data!A4760</f>
        <v>0</v>
      </c>
      <c r="H4747" s="21">
        <f>Data!B4760</f>
        <v>0</v>
      </c>
      <c r="I4747" s="21">
        <f>Data!C4760</f>
        <v>0</v>
      </c>
      <c r="J4747">
        <f>Data!D4760</f>
        <v>0</v>
      </c>
      <c r="K4747">
        <f>Data!E4760</f>
        <v>0</v>
      </c>
      <c r="L4747">
        <f>Data!F4760</f>
        <v>0</v>
      </c>
      <c r="M4747">
        <f>Data!G4760</f>
        <v>0</v>
      </c>
      <c r="N4747">
        <f>Data!H4760</f>
        <v>0</v>
      </c>
      <c r="O4747">
        <f>Data!I4760</f>
        <v>0</v>
      </c>
      <c r="P4747" s="21">
        <f>Data!J4764</f>
        <v>0</v>
      </c>
      <c r="Q4747">
        <f>Data!K4764</f>
        <v>0</v>
      </c>
      <c r="R4747">
        <f>Data!L4764</f>
        <v>0</v>
      </c>
      <c r="S4747">
        <f>Data!M4764</f>
        <v>0</v>
      </c>
      <c r="T4747">
        <f>Data!N4764</f>
        <v>0</v>
      </c>
      <c r="U4747">
        <f>Data!O4764</f>
        <v>0</v>
      </c>
      <c r="V4747" s="33">
        <f>Data!P4762</f>
        <v>0</v>
      </c>
    </row>
    <row r="4748" spans="7:22" x14ac:dyDescent="0.25">
      <c r="G4748">
        <f>Data!A4761</f>
        <v>0</v>
      </c>
      <c r="H4748" s="21">
        <f>Data!B4761</f>
        <v>0</v>
      </c>
      <c r="I4748" s="21">
        <f>Data!C4761</f>
        <v>0</v>
      </c>
      <c r="J4748">
        <f>Data!D4761</f>
        <v>0</v>
      </c>
      <c r="K4748">
        <f>Data!E4761</f>
        <v>0</v>
      </c>
      <c r="L4748">
        <f>Data!F4761</f>
        <v>0</v>
      </c>
      <c r="M4748">
        <f>Data!G4761</f>
        <v>0</v>
      </c>
      <c r="N4748">
        <f>Data!H4761</f>
        <v>0</v>
      </c>
      <c r="O4748">
        <f>Data!I4761</f>
        <v>0</v>
      </c>
      <c r="P4748" s="21">
        <f>Data!J4765</f>
        <v>0</v>
      </c>
      <c r="Q4748">
        <f>Data!K4765</f>
        <v>0</v>
      </c>
      <c r="R4748">
        <f>Data!L4765</f>
        <v>0</v>
      </c>
      <c r="S4748">
        <f>Data!M4765</f>
        <v>0</v>
      </c>
      <c r="T4748">
        <f>Data!N4765</f>
        <v>0</v>
      </c>
      <c r="U4748">
        <f>Data!O4765</f>
        <v>0</v>
      </c>
      <c r="V4748" s="33">
        <f>Data!P4763</f>
        <v>0</v>
      </c>
    </row>
    <row r="4749" spans="7:22" x14ac:dyDescent="0.25">
      <c r="G4749">
        <f>Data!A4762</f>
        <v>0</v>
      </c>
      <c r="H4749" s="21">
        <f>Data!B4762</f>
        <v>0</v>
      </c>
      <c r="I4749" s="21">
        <f>Data!C4762</f>
        <v>0</v>
      </c>
      <c r="J4749">
        <f>Data!D4762</f>
        <v>0</v>
      </c>
      <c r="K4749">
        <f>Data!E4762</f>
        <v>0</v>
      </c>
      <c r="L4749">
        <f>Data!F4762</f>
        <v>0</v>
      </c>
      <c r="M4749">
        <f>Data!G4762</f>
        <v>0</v>
      </c>
      <c r="N4749">
        <f>Data!H4762</f>
        <v>0</v>
      </c>
      <c r="O4749">
        <f>Data!I4762</f>
        <v>0</v>
      </c>
      <c r="P4749" s="21">
        <f>Data!J4766</f>
        <v>0</v>
      </c>
      <c r="Q4749">
        <f>Data!K4766</f>
        <v>0</v>
      </c>
      <c r="R4749">
        <f>Data!L4766</f>
        <v>0</v>
      </c>
      <c r="S4749">
        <f>Data!M4766</f>
        <v>0</v>
      </c>
      <c r="T4749">
        <f>Data!N4766</f>
        <v>0</v>
      </c>
      <c r="U4749">
        <f>Data!O4766</f>
        <v>0</v>
      </c>
      <c r="V4749" s="33">
        <f>Data!P4764</f>
        <v>0</v>
      </c>
    </row>
    <row r="4750" spans="7:22" x14ac:dyDescent="0.25">
      <c r="G4750">
        <f>Data!A4763</f>
        <v>0</v>
      </c>
      <c r="H4750" s="21">
        <f>Data!B4763</f>
        <v>0</v>
      </c>
      <c r="I4750" s="21">
        <f>Data!C4763</f>
        <v>0</v>
      </c>
      <c r="J4750">
        <f>Data!D4763</f>
        <v>0</v>
      </c>
      <c r="K4750">
        <f>Data!E4763</f>
        <v>0</v>
      </c>
      <c r="L4750">
        <f>Data!F4763</f>
        <v>0</v>
      </c>
      <c r="M4750">
        <f>Data!G4763</f>
        <v>0</v>
      </c>
      <c r="N4750">
        <f>Data!H4763</f>
        <v>0</v>
      </c>
      <c r="O4750">
        <f>Data!I4763</f>
        <v>0</v>
      </c>
      <c r="P4750" s="21">
        <f>Data!J4767</f>
        <v>0</v>
      </c>
      <c r="Q4750">
        <f>Data!K4767</f>
        <v>0</v>
      </c>
      <c r="R4750">
        <f>Data!L4767</f>
        <v>0</v>
      </c>
      <c r="S4750">
        <f>Data!M4767</f>
        <v>0</v>
      </c>
      <c r="T4750">
        <f>Data!N4767</f>
        <v>0</v>
      </c>
      <c r="U4750">
        <f>Data!O4767</f>
        <v>0</v>
      </c>
      <c r="V4750" s="33">
        <f>Data!P4765</f>
        <v>0</v>
      </c>
    </row>
    <row r="4751" spans="7:22" x14ac:dyDescent="0.25">
      <c r="G4751">
        <f>Data!A4764</f>
        <v>0</v>
      </c>
      <c r="H4751" s="21">
        <f>Data!B4764</f>
        <v>0</v>
      </c>
      <c r="I4751" s="21">
        <f>Data!C4764</f>
        <v>0</v>
      </c>
      <c r="J4751">
        <f>Data!D4764</f>
        <v>0</v>
      </c>
      <c r="K4751">
        <f>Data!E4764</f>
        <v>0</v>
      </c>
      <c r="L4751">
        <f>Data!F4764</f>
        <v>0</v>
      </c>
      <c r="M4751">
        <f>Data!G4764</f>
        <v>0</v>
      </c>
      <c r="N4751">
        <f>Data!H4764</f>
        <v>0</v>
      </c>
      <c r="O4751">
        <f>Data!I4764</f>
        <v>0</v>
      </c>
      <c r="P4751" s="21">
        <f>Data!J4768</f>
        <v>0</v>
      </c>
      <c r="Q4751">
        <f>Data!K4768</f>
        <v>0</v>
      </c>
      <c r="R4751">
        <f>Data!L4768</f>
        <v>0</v>
      </c>
      <c r="S4751">
        <f>Data!M4768</f>
        <v>0</v>
      </c>
      <c r="T4751">
        <f>Data!N4768</f>
        <v>0</v>
      </c>
      <c r="U4751">
        <f>Data!O4768</f>
        <v>0</v>
      </c>
      <c r="V4751" s="33">
        <f>Data!P4766</f>
        <v>0</v>
      </c>
    </row>
    <row r="4752" spans="7:22" x14ac:dyDescent="0.25">
      <c r="G4752">
        <f>Data!A4765</f>
        <v>0</v>
      </c>
      <c r="H4752" s="21">
        <f>Data!B4765</f>
        <v>0</v>
      </c>
      <c r="I4752" s="21">
        <f>Data!C4765</f>
        <v>0</v>
      </c>
      <c r="J4752">
        <f>Data!D4765</f>
        <v>0</v>
      </c>
      <c r="K4752">
        <f>Data!E4765</f>
        <v>0</v>
      </c>
      <c r="L4752">
        <f>Data!F4765</f>
        <v>0</v>
      </c>
      <c r="M4752">
        <f>Data!G4765</f>
        <v>0</v>
      </c>
      <c r="N4752">
        <f>Data!H4765</f>
        <v>0</v>
      </c>
      <c r="O4752">
        <f>Data!I4765</f>
        <v>0</v>
      </c>
      <c r="P4752" s="21">
        <f>Data!J4769</f>
        <v>0</v>
      </c>
      <c r="Q4752">
        <f>Data!K4769</f>
        <v>0</v>
      </c>
      <c r="R4752">
        <f>Data!L4769</f>
        <v>0</v>
      </c>
      <c r="S4752">
        <f>Data!M4769</f>
        <v>0</v>
      </c>
      <c r="T4752">
        <f>Data!N4769</f>
        <v>0</v>
      </c>
      <c r="U4752">
        <f>Data!O4769</f>
        <v>0</v>
      </c>
      <c r="V4752" s="33">
        <f>Data!P4767</f>
        <v>0</v>
      </c>
    </row>
    <row r="4753" spans="7:22" x14ac:dyDescent="0.25">
      <c r="G4753">
        <f>Data!A4766</f>
        <v>0</v>
      </c>
      <c r="H4753" s="21">
        <f>Data!B4766</f>
        <v>0</v>
      </c>
      <c r="I4753" s="21">
        <f>Data!C4766</f>
        <v>0</v>
      </c>
      <c r="J4753">
        <f>Data!D4766</f>
        <v>0</v>
      </c>
      <c r="K4753">
        <f>Data!E4766</f>
        <v>0</v>
      </c>
      <c r="L4753">
        <f>Data!F4766</f>
        <v>0</v>
      </c>
      <c r="M4753">
        <f>Data!G4766</f>
        <v>0</v>
      </c>
      <c r="N4753">
        <f>Data!H4766</f>
        <v>0</v>
      </c>
      <c r="O4753">
        <f>Data!I4766</f>
        <v>0</v>
      </c>
      <c r="P4753" s="21">
        <f>Data!J4770</f>
        <v>0</v>
      </c>
      <c r="Q4753">
        <f>Data!K4770</f>
        <v>0</v>
      </c>
      <c r="R4753">
        <f>Data!L4770</f>
        <v>0</v>
      </c>
      <c r="S4753">
        <f>Data!M4770</f>
        <v>0</v>
      </c>
      <c r="T4753">
        <f>Data!N4770</f>
        <v>0</v>
      </c>
      <c r="U4753">
        <f>Data!O4770</f>
        <v>0</v>
      </c>
      <c r="V4753" s="33">
        <f>Data!P4768</f>
        <v>0</v>
      </c>
    </row>
    <row r="4754" spans="7:22" x14ac:dyDescent="0.25">
      <c r="G4754">
        <f>Data!A4767</f>
        <v>0</v>
      </c>
      <c r="H4754" s="21">
        <f>Data!B4767</f>
        <v>0</v>
      </c>
      <c r="I4754" s="21">
        <f>Data!C4767</f>
        <v>0</v>
      </c>
      <c r="J4754">
        <f>Data!D4767</f>
        <v>0</v>
      </c>
      <c r="K4754">
        <f>Data!E4767</f>
        <v>0</v>
      </c>
      <c r="L4754">
        <f>Data!F4767</f>
        <v>0</v>
      </c>
      <c r="M4754">
        <f>Data!G4767</f>
        <v>0</v>
      </c>
      <c r="N4754">
        <f>Data!H4767</f>
        <v>0</v>
      </c>
      <c r="O4754">
        <f>Data!I4767</f>
        <v>0</v>
      </c>
      <c r="P4754" s="21">
        <f>Data!J4771</f>
        <v>0</v>
      </c>
      <c r="Q4754">
        <f>Data!K4771</f>
        <v>0</v>
      </c>
      <c r="R4754">
        <f>Data!L4771</f>
        <v>0</v>
      </c>
      <c r="S4754">
        <f>Data!M4771</f>
        <v>0</v>
      </c>
      <c r="T4754">
        <f>Data!N4771</f>
        <v>0</v>
      </c>
      <c r="U4754">
        <f>Data!O4771</f>
        <v>0</v>
      </c>
      <c r="V4754" s="33">
        <f>Data!P4769</f>
        <v>0</v>
      </c>
    </row>
    <row r="4755" spans="7:22" x14ac:dyDescent="0.25">
      <c r="G4755">
        <f>Data!A4768</f>
        <v>0</v>
      </c>
      <c r="H4755" s="21">
        <f>Data!B4768</f>
        <v>0</v>
      </c>
      <c r="I4755" s="21">
        <f>Data!C4768</f>
        <v>0</v>
      </c>
      <c r="J4755">
        <f>Data!D4768</f>
        <v>0</v>
      </c>
      <c r="K4755">
        <f>Data!E4768</f>
        <v>0</v>
      </c>
      <c r="L4755">
        <f>Data!F4768</f>
        <v>0</v>
      </c>
      <c r="M4755">
        <f>Data!G4768</f>
        <v>0</v>
      </c>
      <c r="N4755">
        <f>Data!H4768</f>
        <v>0</v>
      </c>
      <c r="O4755">
        <f>Data!I4768</f>
        <v>0</v>
      </c>
      <c r="P4755" s="21">
        <f>Data!J4772</f>
        <v>0</v>
      </c>
      <c r="Q4755">
        <f>Data!K4772</f>
        <v>0</v>
      </c>
      <c r="R4755">
        <f>Data!L4772</f>
        <v>0</v>
      </c>
      <c r="S4755">
        <f>Data!M4772</f>
        <v>0</v>
      </c>
      <c r="T4755">
        <f>Data!N4772</f>
        <v>0</v>
      </c>
      <c r="U4755">
        <f>Data!O4772</f>
        <v>0</v>
      </c>
      <c r="V4755" s="33">
        <f>Data!P4770</f>
        <v>0</v>
      </c>
    </row>
    <row r="4756" spans="7:22" x14ac:dyDescent="0.25">
      <c r="G4756">
        <f>Data!A4769</f>
        <v>0</v>
      </c>
      <c r="H4756" s="21">
        <f>Data!B4769</f>
        <v>0</v>
      </c>
      <c r="I4756" s="21">
        <f>Data!C4769</f>
        <v>0</v>
      </c>
      <c r="J4756">
        <f>Data!D4769</f>
        <v>0</v>
      </c>
      <c r="K4756">
        <f>Data!E4769</f>
        <v>0</v>
      </c>
      <c r="L4756">
        <f>Data!F4769</f>
        <v>0</v>
      </c>
      <c r="M4756">
        <f>Data!G4769</f>
        <v>0</v>
      </c>
      <c r="N4756">
        <f>Data!H4769</f>
        <v>0</v>
      </c>
      <c r="O4756">
        <f>Data!I4769</f>
        <v>0</v>
      </c>
      <c r="P4756" s="21">
        <f>Data!J4773</f>
        <v>0</v>
      </c>
      <c r="Q4756">
        <f>Data!K4773</f>
        <v>0</v>
      </c>
      <c r="R4756">
        <f>Data!L4773</f>
        <v>0</v>
      </c>
      <c r="S4756">
        <f>Data!M4773</f>
        <v>0</v>
      </c>
      <c r="T4756">
        <f>Data!N4773</f>
        <v>0</v>
      </c>
      <c r="U4756">
        <f>Data!O4773</f>
        <v>0</v>
      </c>
      <c r="V4756" s="33">
        <f>Data!P4771</f>
        <v>0</v>
      </c>
    </row>
    <row r="4757" spans="7:22" x14ac:dyDescent="0.25">
      <c r="G4757">
        <f>Data!A4770</f>
        <v>0</v>
      </c>
      <c r="H4757" s="21">
        <f>Data!B4770</f>
        <v>0</v>
      </c>
      <c r="I4757" s="21">
        <f>Data!C4770</f>
        <v>0</v>
      </c>
      <c r="J4757">
        <f>Data!D4770</f>
        <v>0</v>
      </c>
      <c r="K4757">
        <f>Data!E4770</f>
        <v>0</v>
      </c>
      <c r="L4757">
        <f>Data!F4770</f>
        <v>0</v>
      </c>
      <c r="M4757">
        <f>Data!G4770</f>
        <v>0</v>
      </c>
      <c r="N4757">
        <f>Data!H4770</f>
        <v>0</v>
      </c>
      <c r="O4757">
        <f>Data!I4770</f>
        <v>0</v>
      </c>
      <c r="P4757" s="21">
        <f>Data!J4774</f>
        <v>0</v>
      </c>
      <c r="Q4757">
        <f>Data!K4774</f>
        <v>0</v>
      </c>
      <c r="R4757">
        <f>Data!L4774</f>
        <v>0</v>
      </c>
      <c r="S4757">
        <f>Data!M4774</f>
        <v>0</v>
      </c>
      <c r="T4757">
        <f>Data!N4774</f>
        <v>0</v>
      </c>
      <c r="U4757">
        <f>Data!O4774</f>
        <v>0</v>
      </c>
      <c r="V4757" s="33">
        <f>Data!P4772</f>
        <v>0</v>
      </c>
    </row>
    <row r="4758" spans="7:22" x14ac:dyDescent="0.25">
      <c r="G4758">
        <f>Data!A4771</f>
        <v>0</v>
      </c>
      <c r="H4758" s="21">
        <f>Data!B4771</f>
        <v>0</v>
      </c>
      <c r="I4758" s="21">
        <f>Data!C4771</f>
        <v>0</v>
      </c>
      <c r="J4758">
        <f>Data!D4771</f>
        <v>0</v>
      </c>
      <c r="K4758">
        <f>Data!E4771</f>
        <v>0</v>
      </c>
      <c r="L4758">
        <f>Data!F4771</f>
        <v>0</v>
      </c>
      <c r="M4758">
        <f>Data!G4771</f>
        <v>0</v>
      </c>
      <c r="N4758">
        <f>Data!H4771</f>
        <v>0</v>
      </c>
      <c r="O4758">
        <f>Data!I4771</f>
        <v>0</v>
      </c>
      <c r="P4758" s="21">
        <f>Data!J4775</f>
        <v>0</v>
      </c>
      <c r="Q4758">
        <f>Data!K4775</f>
        <v>0</v>
      </c>
      <c r="R4758">
        <f>Data!L4775</f>
        <v>0</v>
      </c>
      <c r="S4758">
        <f>Data!M4775</f>
        <v>0</v>
      </c>
      <c r="T4758">
        <f>Data!N4775</f>
        <v>0</v>
      </c>
      <c r="U4758">
        <f>Data!O4775</f>
        <v>0</v>
      </c>
      <c r="V4758" s="33">
        <f>Data!P4773</f>
        <v>0</v>
      </c>
    </row>
    <row r="4759" spans="7:22" x14ac:dyDescent="0.25">
      <c r="G4759">
        <f>Data!A4772</f>
        <v>0</v>
      </c>
      <c r="H4759" s="21">
        <f>Data!B4772</f>
        <v>0</v>
      </c>
      <c r="I4759" s="21">
        <f>Data!C4772</f>
        <v>0</v>
      </c>
      <c r="J4759">
        <f>Data!D4772</f>
        <v>0</v>
      </c>
      <c r="K4759">
        <f>Data!E4772</f>
        <v>0</v>
      </c>
      <c r="L4759">
        <f>Data!F4772</f>
        <v>0</v>
      </c>
      <c r="M4759">
        <f>Data!G4772</f>
        <v>0</v>
      </c>
      <c r="N4759">
        <f>Data!H4772</f>
        <v>0</v>
      </c>
      <c r="O4759">
        <f>Data!I4772</f>
        <v>0</v>
      </c>
      <c r="P4759" s="21">
        <f>Data!J4776</f>
        <v>0</v>
      </c>
      <c r="Q4759">
        <f>Data!K4776</f>
        <v>0</v>
      </c>
      <c r="R4759">
        <f>Data!L4776</f>
        <v>0</v>
      </c>
      <c r="S4759">
        <f>Data!M4776</f>
        <v>0</v>
      </c>
      <c r="T4759">
        <f>Data!N4776</f>
        <v>0</v>
      </c>
      <c r="U4759">
        <f>Data!O4776</f>
        <v>0</v>
      </c>
      <c r="V4759" s="33">
        <f>Data!P4774</f>
        <v>0</v>
      </c>
    </row>
    <row r="4760" spans="7:22" x14ac:dyDescent="0.25">
      <c r="G4760">
        <f>Data!A4773</f>
        <v>0</v>
      </c>
      <c r="H4760" s="21">
        <f>Data!B4773</f>
        <v>0</v>
      </c>
      <c r="I4760" s="21">
        <f>Data!C4773</f>
        <v>0</v>
      </c>
      <c r="J4760">
        <f>Data!D4773</f>
        <v>0</v>
      </c>
      <c r="K4760">
        <f>Data!E4773</f>
        <v>0</v>
      </c>
      <c r="L4760">
        <f>Data!F4773</f>
        <v>0</v>
      </c>
      <c r="M4760">
        <f>Data!G4773</f>
        <v>0</v>
      </c>
      <c r="N4760">
        <f>Data!H4773</f>
        <v>0</v>
      </c>
      <c r="O4760">
        <f>Data!I4773</f>
        <v>0</v>
      </c>
      <c r="P4760" s="21">
        <f>Data!J4777</f>
        <v>0</v>
      </c>
      <c r="Q4760">
        <f>Data!K4777</f>
        <v>0</v>
      </c>
      <c r="R4760">
        <f>Data!L4777</f>
        <v>0</v>
      </c>
      <c r="S4760">
        <f>Data!M4777</f>
        <v>0</v>
      </c>
      <c r="T4760">
        <f>Data!N4777</f>
        <v>0</v>
      </c>
      <c r="U4760">
        <f>Data!O4777</f>
        <v>0</v>
      </c>
      <c r="V4760" s="33">
        <f>Data!P4775</f>
        <v>0</v>
      </c>
    </row>
    <row r="4761" spans="7:22" x14ac:dyDescent="0.25">
      <c r="G4761">
        <f>Data!A4774</f>
        <v>0</v>
      </c>
      <c r="H4761" s="21">
        <f>Data!B4774</f>
        <v>0</v>
      </c>
      <c r="I4761" s="21">
        <f>Data!C4774</f>
        <v>0</v>
      </c>
      <c r="J4761">
        <f>Data!D4774</f>
        <v>0</v>
      </c>
      <c r="K4761">
        <f>Data!E4774</f>
        <v>0</v>
      </c>
      <c r="L4761">
        <f>Data!F4774</f>
        <v>0</v>
      </c>
      <c r="M4761">
        <f>Data!G4774</f>
        <v>0</v>
      </c>
      <c r="N4761">
        <f>Data!H4774</f>
        <v>0</v>
      </c>
      <c r="O4761">
        <f>Data!I4774</f>
        <v>0</v>
      </c>
      <c r="P4761" s="21">
        <f>Data!J4778</f>
        <v>0</v>
      </c>
      <c r="Q4761">
        <f>Data!K4778</f>
        <v>0</v>
      </c>
      <c r="R4761">
        <f>Data!L4778</f>
        <v>0</v>
      </c>
      <c r="S4761">
        <f>Data!M4778</f>
        <v>0</v>
      </c>
      <c r="T4761">
        <f>Data!N4778</f>
        <v>0</v>
      </c>
      <c r="U4761">
        <f>Data!O4778</f>
        <v>0</v>
      </c>
      <c r="V4761" s="33">
        <f>Data!P4776</f>
        <v>0</v>
      </c>
    </row>
    <row r="4762" spans="7:22" x14ac:dyDescent="0.25">
      <c r="G4762">
        <f>Data!A4775</f>
        <v>0</v>
      </c>
      <c r="H4762" s="21">
        <f>Data!B4775</f>
        <v>0</v>
      </c>
      <c r="I4762" s="21">
        <f>Data!C4775</f>
        <v>0</v>
      </c>
      <c r="J4762">
        <f>Data!D4775</f>
        <v>0</v>
      </c>
      <c r="K4762">
        <f>Data!E4775</f>
        <v>0</v>
      </c>
      <c r="L4762">
        <f>Data!F4775</f>
        <v>0</v>
      </c>
      <c r="M4762">
        <f>Data!G4775</f>
        <v>0</v>
      </c>
      <c r="N4762">
        <f>Data!H4775</f>
        <v>0</v>
      </c>
      <c r="O4762">
        <f>Data!I4775</f>
        <v>0</v>
      </c>
      <c r="P4762" s="21">
        <f>Data!J4779</f>
        <v>0</v>
      </c>
      <c r="Q4762">
        <f>Data!K4779</f>
        <v>0</v>
      </c>
      <c r="R4762">
        <f>Data!L4779</f>
        <v>0</v>
      </c>
      <c r="S4762">
        <f>Data!M4779</f>
        <v>0</v>
      </c>
      <c r="T4762">
        <f>Data!N4779</f>
        <v>0</v>
      </c>
      <c r="U4762">
        <f>Data!O4779</f>
        <v>0</v>
      </c>
      <c r="V4762" s="33">
        <f>Data!P4777</f>
        <v>0</v>
      </c>
    </row>
    <row r="4763" spans="7:22" x14ac:dyDescent="0.25">
      <c r="G4763">
        <f>Data!A4776</f>
        <v>0</v>
      </c>
      <c r="H4763" s="21">
        <f>Data!B4776</f>
        <v>0</v>
      </c>
      <c r="I4763" s="21">
        <f>Data!C4776</f>
        <v>0</v>
      </c>
      <c r="J4763">
        <f>Data!D4776</f>
        <v>0</v>
      </c>
      <c r="K4763">
        <f>Data!E4776</f>
        <v>0</v>
      </c>
      <c r="L4763">
        <f>Data!F4776</f>
        <v>0</v>
      </c>
      <c r="M4763">
        <f>Data!G4776</f>
        <v>0</v>
      </c>
      <c r="N4763">
        <f>Data!H4776</f>
        <v>0</v>
      </c>
      <c r="O4763">
        <f>Data!I4776</f>
        <v>0</v>
      </c>
      <c r="P4763" s="21">
        <f>Data!J4780</f>
        <v>0</v>
      </c>
      <c r="Q4763">
        <f>Data!K4780</f>
        <v>0</v>
      </c>
      <c r="R4763">
        <f>Data!L4780</f>
        <v>0</v>
      </c>
      <c r="S4763">
        <f>Data!M4780</f>
        <v>0</v>
      </c>
      <c r="T4763">
        <f>Data!N4780</f>
        <v>0</v>
      </c>
      <c r="U4763">
        <f>Data!O4780</f>
        <v>0</v>
      </c>
      <c r="V4763" s="33">
        <f>Data!P4778</f>
        <v>0</v>
      </c>
    </row>
    <row r="4764" spans="7:22" x14ac:dyDescent="0.25">
      <c r="G4764">
        <f>Data!A4777</f>
        <v>0</v>
      </c>
      <c r="H4764" s="21">
        <f>Data!B4777</f>
        <v>0</v>
      </c>
      <c r="I4764" s="21">
        <f>Data!C4777</f>
        <v>0</v>
      </c>
      <c r="J4764">
        <f>Data!D4777</f>
        <v>0</v>
      </c>
      <c r="K4764">
        <f>Data!E4777</f>
        <v>0</v>
      </c>
      <c r="L4764">
        <f>Data!F4777</f>
        <v>0</v>
      </c>
      <c r="M4764">
        <f>Data!G4777</f>
        <v>0</v>
      </c>
      <c r="N4764">
        <f>Data!H4777</f>
        <v>0</v>
      </c>
      <c r="O4764">
        <f>Data!I4777</f>
        <v>0</v>
      </c>
      <c r="P4764" s="21">
        <f>Data!J4781</f>
        <v>0</v>
      </c>
      <c r="Q4764">
        <f>Data!K4781</f>
        <v>0</v>
      </c>
      <c r="R4764">
        <f>Data!L4781</f>
        <v>0</v>
      </c>
      <c r="S4764">
        <f>Data!M4781</f>
        <v>0</v>
      </c>
      <c r="T4764">
        <f>Data!N4781</f>
        <v>0</v>
      </c>
      <c r="U4764">
        <f>Data!O4781</f>
        <v>0</v>
      </c>
      <c r="V4764" s="33">
        <f>Data!P4779</f>
        <v>0</v>
      </c>
    </row>
    <row r="4765" spans="7:22" x14ac:dyDescent="0.25">
      <c r="G4765">
        <f>Data!A4778</f>
        <v>0</v>
      </c>
      <c r="H4765" s="21">
        <f>Data!B4778</f>
        <v>0</v>
      </c>
      <c r="I4765" s="21">
        <f>Data!C4778</f>
        <v>0</v>
      </c>
      <c r="J4765">
        <f>Data!D4778</f>
        <v>0</v>
      </c>
      <c r="K4765">
        <f>Data!E4778</f>
        <v>0</v>
      </c>
      <c r="L4765">
        <f>Data!F4778</f>
        <v>0</v>
      </c>
      <c r="M4765">
        <f>Data!G4778</f>
        <v>0</v>
      </c>
      <c r="N4765">
        <f>Data!H4778</f>
        <v>0</v>
      </c>
      <c r="O4765">
        <f>Data!I4778</f>
        <v>0</v>
      </c>
      <c r="P4765" s="21">
        <f>Data!J4782</f>
        <v>0</v>
      </c>
      <c r="Q4765">
        <f>Data!K4782</f>
        <v>0</v>
      </c>
      <c r="R4765">
        <f>Data!L4782</f>
        <v>0</v>
      </c>
      <c r="S4765">
        <f>Data!M4782</f>
        <v>0</v>
      </c>
      <c r="T4765">
        <f>Data!N4782</f>
        <v>0</v>
      </c>
      <c r="U4765">
        <f>Data!O4782</f>
        <v>0</v>
      </c>
      <c r="V4765" s="33">
        <f>Data!P4780</f>
        <v>0</v>
      </c>
    </row>
    <row r="4766" spans="7:22" x14ac:dyDescent="0.25">
      <c r="G4766">
        <f>Data!A4779</f>
        <v>0</v>
      </c>
      <c r="H4766" s="21">
        <f>Data!B4779</f>
        <v>0</v>
      </c>
      <c r="I4766" s="21">
        <f>Data!C4779</f>
        <v>0</v>
      </c>
      <c r="J4766">
        <f>Data!D4779</f>
        <v>0</v>
      </c>
      <c r="K4766">
        <f>Data!E4779</f>
        <v>0</v>
      </c>
      <c r="L4766">
        <f>Data!F4779</f>
        <v>0</v>
      </c>
      <c r="M4766">
        <f>Data!G4779</f>
        <v>0</v>
      </c>
      <c r="N4766">
        <f>Data!H4779</f>
        <v>0</v>
      </c>
      <c r="O4766">
        <f>Data!I4779</f>
        <v>0</v>
      </c>
      <c r="P4766" s="21">
        <f>Data!J4783</f>
        <v>0</v>
      </c>
      <c r="Q4766">
        <f>Data!K4783</f>
        <v>0</v>
      </c>
      <c r="R4766">
        <f>Data!L4783</f>
        <v>0</v>
      </c>
      <c r="S4766">
        <f>Data!M4783</f>
        <v>0</v>
      </c>
      <c r="T4766">
        <f>Data!N4783</f>
        <v>0</v>
      </c>
      <c r="U4766">
        <f>Data!O4783</f>
        <v>0</v>
      </c>
      <c r="V4766" s="33">
        <f>Data!P4781</f>
        <v>0</v>
      </c>
    </row>
    <row r="4767" spans="7:22" x14ac:dyDescent="0.25">
      <c r="G4767">
        <f>Data!A4780</f>
        <v>0</v>
      </c>
      <c r="H4767" s="21">
        <f>Data!B4780</f>
        <v>0</v>
      </c>
      <c r="I4767" s="21">
        <f>Data!C4780</f>
        <v>0</v>
      </c>
      <c r="J4767">
        <f>Data!D4780</f>
        <v>0</v>
      </c>
      <c r="K4767">
        <f>Data!E4780</f>
        <v>0</v>
      </c>
      <c r="L4767">
        <f>Data!F4780</f>
        <v>0</v>
      </c>
      <c r="M4767">
        <f>Data!G4780</f>
        <v>0</v>
      </c>
      <c r="N4767">
        <f>Data!H4780</f>
        <v>0</v>
      </c>
      <c r="O4767">
        <f>Data!I4780</f>
        <v>0</v>
      </c>
      <c r="P4767" s="21">
        <f>Data!J4784</f>
        <v>0</v>
      </c>
      <c r="Q4767">
        <f>Data!K4784</f>
        <v>0</v>
      </c>
      <c r="R4767">
        <f>Data!L4784</f>
        <v>0</v>
      </c>
      <c r="S4767">
        <f>Data!M4784</f>
        <v>0</v>
      </c>
      <c r="T4767">
        <f>Data!N4784</f>
        <v>0</v>
      </c>
      <c r="U4767">
        <f>Data!O4784</f>
        <v>0</v>
      </c>
      <c r="V4767" s="33">
        <f>Data!P4782</f>
        <v>0</v>
      </c>
    </row>
    <row r="4768" spans="7:22" x14ac:dyDescent="0.25">
      <c r="G4768">
        <f>Data!A4781</f>
        <v>0</v>
      </c>
      <c r="H4768" s="21">
        <f>Data!B4781</f>
        <v>0</v>
      </c>
      <c r="I4768" s="21">
        <f>Data!C4781</f>
        <v>0</v>
      </c>
      <c r="J4768">
        <f>Data!D4781</f>
        <v>0</v>
      </c>
      <c r="K4768">
        <f>Data!E4781</f>
        <v>0</v>
      </c>
      <c r="L4768">
        <f>Data!F4781</f>
        <v>0</v>
      </c>
      <c r="M4768">
        <f>Data!G4781</f>
        <v>0</v>
      </c>
      <c r="N4768">
        <f>Data!H4781</f>
        <v>0</v>
      </c>
      <c r="O4768">
        <f>Data!I4781</f>
        <v>0</v>
      </c>
      <c r="P4768" s="21">
        <f>Data!J4785</f>
        <v>0</v>
      </c>
      <c r="Q4768">
        <f>Data!K4785</f>
        <v>0</v>
      </c>
      <c r="R4768">
        <f>Data!L4785</f>
        <v>0</v>
      </c>
      <c r="S4768">
        <f>Data!M4785</f>
        <v>0</v>
      </c>
      <c r="T4768">
        <f>Data!N4785</f>
        <v>0</v>
      </c>
      <c r="U4768">
        <f>Data!O4785</f>
        <v>0</v>
      </c>
      <c r="V4768" s="33">
        <f>Data!P4783</f>
        <v>0</v>
      </c>
    </row>
    <row r="4769" spans="7:22" x14ac:dyDescent="0.25">
      <c r="G4769">
        <f>Data!A4782</f>
        <v>0</v>
      </c>
      <c r="H4769" s="21">
        <f>Data!B4782</f>
        <v>0</v>
      </c>
      <c r="I4769" s="21">
        <f>Data!C4782</f>
        <v>0</v>
      </c>
      <c r="J4769">
        <f>Data!D4782</f>
        <v>0</v>
      </c>
      <c r="K4769">
        <f>Data!E4782</f>
        <v>0</v>
      </c>
      <c r="L4769">
        <f>Data!F4782</f>
        <v>0</v>
      </c>
      <c r="M4769">
        <f>Data!G4782</f>
        <v>0</v>
      </c>
      <c r="N4769">
        <f>Data!H4782</f>
        <v>0</v>
      </c>
      <c r="O4769">
        <f>Data!I4782</f>
        <v>0</v>
      </c>
      <c r="P4769" s="21">
        <f>Data!J4786</f>
        <v>0</v>
      </c>
      <c r="Q4769">
        <f>Data!K4786</f>
        <v>0</v>
      </c>
      <c r="R4769">
        <f>Data!L4786</f>
        <v>0</v>
      </c>
      <c r="S4769">
        <f>Data!M4786</f>
        <v>0</v>
      </c>
      <c r="T4769">
        <f>Data!N4786</f>
        <v>0</v>
      </c>
      <c r="U4769">
        <f>Data!O4786</f>
        <v>0</v>
      </c>
      <c r="V4769" s="33">
        <f>Data!P4784</f>
        <v>0</v>
      </c>
    </row>
    <row r="4770" spans="7:22" x14ac:dyDescent="0.25">
      <c r="G4770">
        <f>Data!A4783</f>
        <v>0</v>
      </c>
      <c r="H4770" s="21">
        <f>Data!B4783</f>
        <v>0</v>
      </c>
      <c r="I4770" s="21">
        <f>Data!C4783</f>
        <v>0</v>
      </c>
      <c r="J4770">
        <f>Data!D4783</f>
        <v>0</v>
      </c>
      <c r="K4770">
        <f>Data!E4783</f>
        <v>0</v>
      </c>
      <c r="L4770">
        <f>Data!F4783</f>
        <v>0</v>
      </c>
      <c r="M4770">
        <f>Data!G4783</f>
        <v>0</v>
      </c>
      <c r="N4770">
        <f>Data!H4783</f>
        <v>0</v>
      </c>
      <c r="O4770">
        <f>Data!I4783</f>
        <v>0</v>
      </c>
      <c r="P4770" s="21">
        <f>Data!J4787</f>
        <v>0</v>
      </c>
      <c r="Q4770">
        <f>Data!K4787</f>
        <v>0</v>
      </c>
      <c r="R4770">
        <f>Data!L4787</f>
        <v>0</v>
      </c>
      <c r="S4770">
        <f>Data!M4787</f>
        <v>0</v>
      </c>
      <c r="T4770">
        <f>Data!N4787</f>
        <v>0</v>
      </c>
      <c r="U4770">
        <f>Data!O4787</f>
        <v>0</v>
      </c>
      <c r="V4770" s="33">
        <f>Data!P4785</f>
        <v>0</v>
      </c>
    </row>
    <row r="4771" spans="7:22" x14ac:dyDescent="0.25">
      <c r="G4771">
        <f>Data!A4784</f>
        <v>0</v>
      </c>
      <c r="H4771" s="21">
        <f>Data!B4784</f>
        <v>0</v>
      </c>
      <c r="I4771" s="21">
        <f>Data!C4784</f>
        <v>0</v>
      </c>
      <c r="J4771">
        <f>Data!D4784</f>
        <v>0</v>
      </c>
      <c r="K4771">
        <f>Data!E4784</f>
        <v>0</v>
      </c>
      <c r="L4771">
        <f>Data!F4784</f>
        <v>0</v>
      </c>
      <c r="M4771">
        <f>Data!G4784</f>
        <v>0</v>
      </c>
      <c r="N4771">
        <f>Data!H4784</f>
        <v>0</v>
      </c>
      <c r="O4771">
        <f>Data!I4784</f>
        <v>0</v>
      </c>
      <c r="P4771" s="21">
        <f>Data!J4788</f>
        <v>0</v>
      </c>
      <c r="Q4771">
        <f>Data!K4788</f>
        <v>0</v>
      </c>
      <c r="R4771">
        <f>Data!L4788</f>
        <v>0</v>
      </c>
      <c r="S4771">
        <f>Data!M4788</f>
        <v>0</v>
      </c>
      <c r="T4771">
        <f>Data!N4788</f>
        <v>0</v>
      </c>
      <c r="U4771">
        <f>Data!O4788</f>
        <v>0</v>
      </c>
      <c r="V4771" s="33">
        <f>Data!P4786</f>
        <v>0</v>
      </c>
    </row>
    <row r="4772" spans="7:22" x14ac:dyDescent="0.25">
      <c r="G4772">
        <f>Data!A4785</f>
        <v>0</v>
      </c>
      <c r="H4772" s="21">
        <f>Data!B4785</f>
        <v>0</v>
      </c>
      <c r="I4772" s="21">
        <f>Data!C4785</f>
        <v>0</v>
      </c>
      <c r="J4772">
        <f>Data!D4785</f>
        <v>0</v>
      </c>
      <c r="K4772">
        <f>Data!E4785</f>
        <v>0</v>
      </c>
      <c r="L4772">
        <f>Data!F4785</f>
        <v>0</v>
      </c>
      <c r="M4772">
        <f>Data!G4785</f>
        <v>0</v>
      </c>
      <c r="N4772">
        <f>Data!H4785</f>
        <v>0</v>
      </c>
      <c r="O4772">
        <f>Data!I4785</f>
        <v>0</v>
      </c>
      <c r="P4772" s="21">
        <f>Data!J4789</f>
        <v>0</v>
      </c>
      <c r="Q4772">
        <f>Data!K4789</f>
        <v>0</v>
      </c>
      <c r="R4772">
        <f>Data!L4789</f>
        <v>0</v>
      </c>
      <c r="S4772">
        <f>Data!M4789</f>
        <v>0</v>
      </c>
      <c r="T4772">
        <f>Data!N4789</f>
        <v>0</v>
      </c>
      <c r="U4772">
        <f>Data!O4789</f>
        <v>0</v>
      </c>
      <c r="V4772" s="33">
        <f>Data!P4787</f>
        <v>0</v>
      </c>
    </row>
    <row r="4773" spans="7:22" x14ac:dyDescent="0.25">
      <c r="G4773">
        <f>Data!A4786</f>
        <v>0</v>
      </c>
      <c r="H4773" s="21">
        <f>Data!B4786</f>
        <v>0</v>
      </c>
      <c r="I4773" s="21">
        <f>Data!C4786</f>
        <v>0</v>
      </c>
      <c r="J4773">
        <f>Data!D4786</f>
        <v>0</v>
      </c>
      <c r="K4773">
        <f>Data!E4786</f>
        <v>0</v>
      </c>
      <c r="L4773">
        <f>Data!F4786</f>
        <v>0</v>
      </c>
      <c r="M4773">
        <f>Data!G4786</f>
        <v>0</v>
      </c>
      <c r="N4773">
        <f>Data!H4786</f>
        <v>0</v>
      </c>
      <c r="O4773">
        <f>Data!I4786</f>
        <v>0</v>
      </c>
      <c r="P4773" s="21">
        <f>Data!J4790</f>
        <v>0</v>
      </c>
      <c r="Q4773">
        <f>Data!K4790</f>
        <v>0</v>
      </c>
      <c r="R4773">
        <f>Data!L4790</f>
        <v>0</v>
      </c>
      <c r="S4773">
        <f>Data!M4790</f>
        <v>0</v>
      </c>
      <c r="T4773">
        <f>Data!N4790</f>
        <v>0</v>
      </c>
      <c r="U4773">
        <f>Data!O4790</f>
        <v>0</v>
      </c>
      <c r="V4773" s="33">
        <f>Data!P4788</f>
        <v>0</v>
      </c>
    </row>
    <row r="4774" spans="7:22" x14ac:dyDescent="0.25">
      <c r="G4774">
        <f>Data!A4787</f>
        <v>0</v>
      </c>
      <c r="H4774" s="21">
        <f>Data!B4787</f>
        <v>0</v>
      </c>
      <c r="I4774" s="21">
        <f>Data!C4787</f>
        <v>0</v>
      </c>
      <c r="J4774">
        <f>Data!D4787</f>
        <v>0</v>
      </c>
      <c r="K4774">
        <f>Data!E4787</f>
        <v>0</v>
      </c>
      <c r="L4774">
        <f>Data!F4787</f>
        <v>0</v>
      </c>
      <c r="M4774">
        <f>Data!G4787</f>
        <v>0</v>
      </c>
      <c r="N4774">
        <f>Data!H4787</f>
        <v>0</v>
      </c>
      <c r="O4774">
        <f>Data!I4787</f>
        <v>0</v>
      </c>
      <c r="P4774" s="21">
        <f>Data!J4791</f>
        <v>0</v>
      </c>
      <c r="Q4774">
        <f>Data!K4791</f>
        <v>0</v>
      </c>
      <c r="R4774">
        <f>Data!L4791</f>
        <v>0</v>
      </c>
      <c r="S4774">
        <f>Data!M4791</f>
        <v>0</v>
      </c>
      <c r="T4774">
        <f>Data!N4791</f>
        <v>0</v>
      </c>
      <c r="U4774">
        <f>Data!O4791</f>
        <v>0</v>
      </c>
      <c r="V4774" s="33">
        <f>Data!P4789</f>
        <v>0</v>
      </c>
    </row>
    <row r="4775" spans="7:22" x14ac:dyDescent="0.25">
      <c r="G4775">
        <f>Data!A4788</f>
        <v>0</v>
      </c>
      <c r="H4775" s="21">
        <f>Data!B4788</f>
        <v>0</v>
      </c>
      <c r="I4775" s="21">
        <f>Data!C4788</f>
        <v>0</v>
      </c>
      <c r="J4775">
        <f>Data!D4788</f>
        <v>0</v>
      </c>
      <c r="K4775">
        <f>Data!E4788</f>
        <v>0</v>
      </c>
      <c r="L4775">
        <f>Data!F4788</f>
        <v>0</v>
      </c>
      <c r="M4775">
        <f>Data!G4788</f>
        <v>0</v>
      </c>
      <c r="N4775">
        <f>Data!H4788</f>
        <v>0</v>
      </c>
      <c r="O4775">
        <f>Data!I4788</f>
        <v>0</v>
      </c>
      <c r="P4775" s="21">
        <f>Data!J4792</f>
        <v>0</v>
      </c>
      <c r="Q4775">
        <f>Data!K4792</f>
        <v>0</v>
      </c>
      <c r="R4775">
        <f>Data!L4792</f>
        <v>0</v>
      </c>
      <c r="S4775">
        <f>Data!M4792</f>
        <v>0</v>
      </c>
      <c r="T4775">
        <f>Data!N4792</f>
        <v>0</v>
      </c>
      <c r="U4775">
        <f>Data!O4792</f>
        <v>0</v>
      </c>
      <c r="V4775" s="33">
        <f>Data!P4790</f>
        <v>0</v>
      </c>
    </row>
    <row r="4776" spans="7:22" x14ac:dyDescent="0.25">
      <c r="G4776">
        <f>Data!A4789</f>
        <v>0</v>
      </c>
      <c r="H4776" s="21">
        <f>Data!B4789</f>
        <v>0</v>
      </c>
      <c r="I4776" s="21">
        <f>Data!C4789</f>
        <v>0</v>
      </c>
      <c r="J4776">
        <f>Data!D4789</f>
        <v>0</v>
      </c>
      <c r="K4776">
        <f>Data!E4789</f>
        <v>0</v>
      </c>
      <c r="L4776">
        <f>Data!F4789</f>
        <v>0</v>
      </c>
      <c r="M4776">
        <f>Data!G4789</f>
        <v>0</v>
      </c>
      <c r="N4776">
        <f>Data!H4789</f>
        <v>0</v>
      </c>
      <c r="O4776">
        <f>Data!I4789</f>
        <v>0</v>
      </c>
      <c r="P4776" s="21">
        <f>Data!J4793</f>
        <v>0</v>
      </c>
      <c r="Q4776">
        <f>Data!K4793</f>
        <v>0</v>
      </c>
      <c r="R4776">
        <f>Data!L4793</f>
        <v>0</v>
      </c>
      <c r="S4776">
        <f>Data!M4793</f>
        <v>0</v>
      </c>
      <c r="T4776">
        <f>Data!N4793</f>
        <v>0</v>
      </c>
      <c r="U4776">
        <f>Data!O4793</f>
        <v>0</v>
      </c>
      <c r="V4776" s="33">
        <f>Data!P4791</f>
        <v>0</v>
      </c>
    </row>
    <row r="4777" spans="7:22" x14ac:dyDescent="0.25">
      <c r="G4777">
        <f>Data!A4790</f>
        <v>0</v>
      </c>
      <c r="H4777" s="21">
        <f>Data!B4790</f>
        <v>0</v>
      </c>
      <c r="I4777" s="21">
        <f>Data!C4790</f>
        <v>0</v>
      </c>
      <c r="J4777">
        <f>Data!D4790</f>
        <v>0</v>
      </c>
      <c r="K4777">
        <f>Data!E4790</f>
        <v>0</v>
      </c>
      <c r="L4777">
        <f>Data!F4790</f>
        <v>0</v>
      </c>
      <c r="M4777">
        <f>Data!G4790</f>
        <v>0</v>
      </c>
      <c r="N4777">
        <f>Data!H4790</f>
        <v>0</v>
      </c>
      <c r="O4777">
        <f>Data!I4790</f>
        <v>0</v>
      </c>
      <c r="P4777" s="21">
        <f>Data!J4794</f>
        <v>0</v>
      </c>
      <c r="Q4777">
        <f>Data!K4794</f>
        <v>0</v>
      </c>
      <c r="R4777">
        <f>Data!L4794</f>
        <v>0</v>
      </c>
      <c r="S4777">
        <f>Data!M4794</f>
        <v>0</v>
      </c>
      <c r="T4777">
        <f>Data!N4794</f>
        <v>0</v>
      </c>
      <c r="U4777">
        <f>Data!O4794</f>
        <v>0</v>
      </c>
      <c r="V4777" s="33">
        <f>Data!P4792</f>
        <v>0</v>
      </c>
    </row>
    <row r="4778" spans="7:22" x14ac:dyDescent="0.25">
      <c r="G4778">
        <f>Data!A4791</f>
        <v>0</v>
      </c>
      <c r="H4778" s="21">
        <f>Data!B4791</f>
        <v>0</v>
      </c>
      <c r="I4778" s="21">
        <f>Data!C4791</f>
        <v>0</v>
      </c>
      <c r="J4778">
        <f>Data!D4791</f>
        <v>0</v>
      </c>
      <c r="K4778">
        <f>Data!E4791</f>
        <v>0</v>
      </c>
      <c r="L4778">
        <f>Data!F4791</f>
        <v>0</v>
      </c>
      <c r="M4778">
        <f>Data!G4791</f>
        <v>0</v>
      </c>
      <c r="N4778">
        <f>Data!H4791</f>
        <v>0</v>
      </c>
      <c r="O4778">
        <f>Data!I4791</f>
        <v>0</v>
      </c>
      <c r="P4778" s="21">
        <f>Data!J4795</f>
        <v>0</v>
      </c>
      <c r="Q4778">
        <f>Data!K4795</f>
        <v>0</v>
      </c>
      <c r="R4778">
        <f>Data!L4795</f>
        <v>0</v>
      </c>
      <c r="S4778">
        <f>Data!M4795</f>
        <v>0</v>
      </c>
      <c r="T4778">
        <f>Data!N4795</f>
        <v>0</v>
      </c>
      <c r="U4778">
        <f>Data!O4795</f>
        <v>0</v>
      </c>
      <c r="V4778" s="33">
        <f>Data!P4793</f>
        <v>0</v>
      </c>
    </row>
    <row r="4779" spans="7:22" x14ac:dyDescent="0.25">
      <c r="G4779">
        <f>Data!A4792</f>
        <v>0</v>
      </c>
      <c r="H4779" s="21">
        <f>Data!B4792</f>
        <v>0</v>
      </c>
      <c r="I4779" s="21">
        <f>Data!C4792</f>
        <v>0</v>
      </c>
      <c r="J4779">
        <f>Data!D4792</f>
        <v>0</v>
      </c>
      <c r="K4779">
        <f>Data!E4792</f>
        <v>0</v>
      </c>
      <c r="L4779">
        <f>Data!F4792</f>
        <v>0</v>
      </c>
      <c r="M4779">
        <f>Data!G4792</f>
        <v>0</v>
      </c>
      <c r="N4779">
        <f>Data!H4792</f>
        <v>0</v>
      </c>
      <c r="O4779">
        <f>Data!I4792</f>
        <v>0</v>
      </c>
      <c r="P4779" s="21">
        <f>Data!J4796</f>
        <v>0</v>
      </c>
      <c r="Q4779">
        <f>Data!K4796</f>
        <v>0</v>
      </c>
      <c r="R4779">
        <f>Data!L4796</f>
        <v>0</v>
      </c>
      <c r="S4779">
        <f>Data!M4796</f>
        <v>0</v>
      </c>
      <c r="T4779">
        <f>Data!N4796</f>
        <v>0</v>
      </c>
      <c r="U4779">
        <f>Data!O4796</f>
        <v>0</v>
      </c>
      <c r="V4779" s="33">
        <f>Data!P4794</f>
        <v>0</v>
      </c>
    </row>
    <row r="4780" spans="7:22" x14ac:dyDescent="0.25">
      <c r="G4780">
        <f>Data!A4793</f>
        <v>0</v>
      </c>
      <c r="H4780" s="21">
        <f>Data!B4793</f>
        <v>0</v>
      </c>
      <c r="I4780" s="21">
        <f>Data!C4793</f>
        <v>0</v>
      </c>
      <c r="J4780">
        <f>Data!D4793</f>
        <v>0</v>
      </c>
      <c r="K4780">
        <f>Data!E4793</f>
        <v>0</v>
      </c>
      <c r="L4780">
        <f>Data!F4793</f>
        <v>0</v>
      </c>
      <c r="M4780">
        <f>Data!G4793</f>
        <v>0</v>
      </c>
      <c r="N4780">
        <f>Data!H4793</f>
        <v>0</v>
      </c>
      <c r="O4780">
        <f>Data!I4793</f>
        <v>0</v>
      </c>
      <c r="P4780" s="21">
        <f>Data!J4797</f>
        <v>0</v>
      </c>
      <c r="Q4780">
        <f>Data!K4797</f>
        <v>0</v>
      </c>
      <c r="R4780">
        <f>Data!L4797</f>
        <v>0</v>
      </c>
      <c r="S4780">
        <f>Data!M4797</f>
        <v>0</v>
      </c>
      <c r="T4780">
        <f>Data!N4797</f>
        <v>0</v>
      </c>
      <c r="U4780">
        <f>Data!O4797</f>
        <v>0</v>
      </c>
      <c r="V4780" s="33">
        <f>Data!P4795</f>
        <v>0</v>
      </c>
    </row>
    <row r="4781" spans="7:22" x14ac:dyDescent="0.25">
      <c r="G4781">
        <f>Data!A4794</f>
        <v>0</v>
      </c>
      <c r="H4781" s="21">
        <f>Data!B4794</f>
        <v>0</v>
      </c>
      <c r="I4781" s="21">
        <f>Data!C4794</f>
        <v>0</v>
      </c>
      <c r="J4781">
        <f>Data!D4794</f>
        <v>0</v>
      </c>
      <c r="K4781">
        <f>Data!E4794</f>
        <v>0</v>
      </c>
      <c r="L4781">
        <f>Data!F4794</f>
        <v>0</v>
      </c>
      <c r="M4781">
        <f>Data!G4794</f>
        <v>0</v>
      </c>
      <c r="N4781">
        <f>Data!H4794</f>
        <v>0</v>
      </c>
      <c r="O4781">
        <f>Data!I4794</f>
        <v>0</v>
      </c>
      <c r="P4781" s="21">
        <f>Data!J4798</f>
        <v>0</v>
      </c>
      <c r="Q4781">
        <f>Data!K4798</f>
        <v>0</v>
      </c>
      <c r="R4781">
        <f>Data!L4798</f>
        <v>0</v>
      </c>
      <c r="S4781">
        <f>Data!M4798</f>
        <v>0</v>
      </c>
      <c r="T4781">
        <f>Data!N4798</f>
        <v>0</v>
      </c>
      <c r="U4781">
        <f>Data!O4798</f>
        <v>0</v>
      </c>
      <c r="V4781" s="33">
        <f>Data!P4796</f>
        <v>0</v>
      </c>
    </row>
    <row r="4782" spans="7:22" x14ac:dyDescent="0.25">
      <c r="G4782">
        <f>Data!A4795</f>
        <v>0</v>
      </c>
      <c r="H4782" s="21">
        <f>Data!B4795</f>
        <v>0</v>
      </c>
      <c r="I4782" s="21">
        <f>Data!C4795</f>
        <v>0</v>
      </c>
      <c r="J4782">
        <f>Data!D4795</f>
        <v>0</v>
      </c>
      <c r="K4782">
        <f>Data!E4795</f>
        <v>0</v>
      </c>
      <c r="L4782">
        <f>Data!F4795</f>
        <v>0</v>
      </c>
      <c r="M4782">
        <f>Data!G4795</f>
        <v>0</v>
      </c>
      <c r="N4782">
        <f>Data!H4795</f>
        <v>0</v>
      </c>
      <c r="O4782">
        <f>Data!I4795</f>
        <v>0</v>
      </c>
      <c r="P4782" s="21">
        <f>Data!J4799</f>
        <v>0</v>
      </c>
      <c r="Q4782">
        <f>Data!K4799</f>
        <v>0</v>
      </c>
      <c r="R4782">
        <f>Data!L4799</f>
        <v>0</v>
      </c>
      <c r="S4782">
        <f>Data!M4799</f>
        <v>0</v>
      </c>
      <c r="T4782">
        <f>Data!N4799</f>
        <v>0</v>
      </c>
      <c r="U4782">
        <f>Data!O4799</f>
        <v>0</v>
      </c>
      <c r="V4782" s="33">
        <f>Data!P4797</f>
        <v>0</v>
      </c>
    </row>
    <row r="4783" spans="7:22" x14ac:dyDescent="0.25">
      <c r="G4783">
        <f>Data!A4796</f>
        <v>0</v>
      </c>
      <c r="H4783" s="21">
        <f>Data!B4796</f>
        <v>0</v>
      </c>
      <c r="I4783" s="21">
        <f>Data!C4796</f>
        <v>0</v>
      </c>
      <c r="J4783">
        <f>Data!D4796</f>
        <v>0</v>
      </c>
      <c r="K4783">
        <f>Data!E4796</f>
        <v>0</v>
      </c>
      <c r="L4783">
        <f>Data!F4796</f>
        <v>0</v>
      </c>
      <c r="M4783">
        <f>Data!G4796</f>
        <v>0</v>
      </c>
      <c r="N4783">
        <f>Data!H4796</f>
        <v>0</v>
      </c>
      <c r="O4783">
        <f>Data!I4796</f>
        <v>0</v>
      </c>
      <c r="P4783" s="21">
        <f>Data!J4800</f>
        <v>0</v>
      </c>
      <c r="Q4783">
        <f>Data!K4800</f>
        <v>0</v>
      </c>
      <c r="R4783">
        <f>Data!L4800</f>
        <v>0</v>
      </c>
      <c r="S4783">
        <f>Data!M4800</f>
        <v>0</v>
      </c>
      <c r="T4783">
        <f>Data!N4800</f>
        <v>0</v>
      </c>
      <c r="U4783">
        <f>Data!O4800</f>
        <v>0</v>
      </c>
      <c r="V4783" s="33">
        <f>Data!P4798</f>
        <v>0</v>
      </c>
    </row>
    <row r="4784" spans="7:22" x14ac:dyDescent="0.25">
      <c r="G4784">
        <f>Data!A4797</f>
        <v>0</v>
      </c>
      <c r="H4784" s="21">
        <f>Data!B4797</f>
        <v>0</v>
      </c>
      <c r="I4784" s="21">
        <f>Data!C4797</f>
        <v>0</v>
      </c>
      <c r="J4784">
        <f>Data!D4797</f>
        <v>0</v>
      </c>
      <c r="K4784">
        <f>Data!E4797</f>
        <v>0</v>
      </c>
      <c r="L4784">
        <f>Data!F4797</f>
        <v>0</v>
      </c>
      <c r="M4784">
        <f>Data!G4797</f>
        <v>0</v>
      </c>
      <c r="N4784">
        <f>Data!H4797</f>
        <v>0</v>
      </c>
      <c r="O4784">
        <f>Data!I4797</f>
        <v>0</v>
      </c>
      <c r="P4784" s="21">
        <f>Data!J4801</f>
        <v>0</v>
      </c>
      <c r="Q4784">
        <f>Data!K4801</f>
        <v>0</v>
      </c>
      <c r="R4784">
        <f>Data!L4801</f>
        <v>0</v>
      </c>
      <c r="S4784">
        <f>Data!M4801</f>
        <v>0</v>
      </c>
      <c r="T4784">
        <f>Data!N4801</f>
        <v>0</v>
      </c>
      <c r="U4784">
        <f>Data!O4801</f>
        <v>0</v>
      </c>
      <c r="V4784" s="33">
        <f>Data!P4799</f>
        <v>0</v>
      </c>
    </row>
    <row r="4785" spans="7:22" x14ac:dyDescent="0.25">
      <c r="G4785">
        <f>Data!A4798</f>
        <v>0</v>
      </c>
      <c r="H4785" s="21">
        <f>Data!B4798</f>
        <v>0</v>
      </c>
      <c r="I4785" s="21">
        <f>Data!C4798</f>
        <v>0</v>
      </c>
      <c r="J4785">
        <f>Data!D4798</f>
        <v>0</v>
      </c>
      <c r="K4785">
        <f>Data!E4798</f>
        <v>0</v>
      </c>
      <c r="L4785">
        <f>Data!F4798</f>
        <v>0</v>
      </c>
      <c r="M4785">
        <f>Data!G4798</f>
        <v>0</v>
      </c>
      <c r="N4785">
        <f>Data!H4798</f>
        <v>0</v>
      </c>
      <c r="O4785">
        <f>Data!I4798</f>
        <v>0</v>
      </c>
      <c r="P4785" s="21">
        <f>Data!J4802</f>
        <v>0</v>
      </c>
      <c r="Q4785">
        <f>Data!K4802</f>
        <v>0</v>
      </c>
      <c r="R4785">
        <f>Data!L4802</f>
        <v>0</v>
      </c>
      <c r="S4785">
        <f>Data!M4802</f>
        <v>0</v>
      </c>
      <c r="T4785">
        <f>Data!N4802</f>
        <v>0</v>
      </c>
      <c r="U4785">
        <f>Data!O4802</f>
        <v>0</v>
      </c>
      <c r="V4785" s="33">
        <f>Data!P4800</f>
        <v>0</v>
      </c>
    </row>
    <row r="4786" spans="7:22" x14ac:dyDescent="0.25">
      <c r="G4786">
        <f>Data!A4799</f>
        <v>0</v>
      </c>
      <c r="H4786" s="21">
        <f>Data!B4799</f>
        <v>0</v>
      </c>
      <c r="I4786" s="21">
        <f>Data!C4799</f>
        <v>0</v>
      </c>
      <c r="J4786">
        <f>Data!D4799</f>
        <v>0</v>
      </c>
      <c r="K4786">
        <f>Data!E4799</f>
        <v>0</v>
      </c>
      <c r="L4786">
        <f>Data!F4799</f>
        <v>0</v>
      </c>
      <c r="M4786">
        <f>Data!G4799</f>
        <v>0</v>
      </c>
      <c r="N4786">
        <f>Data!H4799</f>
        <v>0</v>
      </c>
      <c r="O4786">
        <f>Data!I4799</f>
        <v>0</v>
      </c>
      <c r="P4786" s="21">
        <f>Data!J4803</f>
        <v>0</v>
      </c>
      <c r="Q4786">
        <f>Data!K4803</f>
        <v>0</v>
      </c>
      <c r="R4786">
        <f>Data!L4803</f>
        <v>0</v>
      </c>
      <c r="S4786">
        <f>Data!M4803</f>
        <v>0</v>
      </c>
      <c r="T4786">
        <f>Data!N4803</f>
        <v>0</v>
      </c>
      <c r="U4786">
        <f>Data!O4803</f>
        <v>0</v>
      </c>
      <c r="V4786" s="33">
        <f>Data!P4801</f>
        <v>0</v>
      </c>
    </row>
    <row r="4787" spans="7:22" x14ac:dyDescent="0.25">
      <c r="G4787">
        <f>Data!A4800</f>
        <v>0</v>
      </c>
      <c r="H4787" s="21">
        <f>Data!B4800</f>
        <v>0</v>
      </c>
      <c r="I4787" s="21">
        <f>Data!C4800</f>
        <v>0</v>
      </c>
      <c r="J4787">
        <f>Data!D4800</f>
        <v>0</v>
      </c>
      <c r="K4787">
        <f>Data!E4800</f>
        <v>0</v>
      </c>
      <c r="L4787">
        <f>Data!F4800</f>
        <v>0</v>
      </c>
      <c r="M4787">
        <f>Data!G4800</f>
        <v>0</v>
      </c>
      <c r="N4787">
        <f>Data!H4800</f>
        <v>0</v>
      </c>
      <c r="O4787">
        <f>Data!I4800</f>
        <v>0</v>
      </c>
      <c r="P4787" s="21">
        <f>Data!J4804</f>
        <v>0</v>
      </c>
      <c r="Q4787">
        <f>Data!K4804</f>
        <v>0</v>
      </c>
      <c r="R4787">
        <f>Data!L4804</f>
        <v>0</v>
      </c>
      <c r="S4787">
        <f>Data!M4804</f>
        <v>0</v>
      </c>
      <c r="T4787">
        <f>Data!N4804</f>
        <v>0</v>
      </c>
      <c r="U4787">
        <f>Data!O4804</f>
        <v>0</v>
      </c>
      <c r="V4787" s="33">
        <f>Data!P4802</f>
        <v>0</v>
      </c>
    </row>
    <row r="4788" spans="7:22" x14ac:dyDescent="0.25">
      <c r="G4788">
        <f>Data!A4801</f>
        <v>0</v>
      </c>
      <c r="H4788" s="21">
        <f>Data!B4801</f>
        <v>0</v>
      </c>
      <c r="I4788" s="21">
        <f>Data!C4801</f>
        <v>0</v>
      </c>
      <c r="J4788">
        <f>Data!D4801</f>
        <v>0</v>
      </c>
      <c r="K4788">
        <f>Data!E4801</f>
        <v>0</v>
      </c>
      <c r="L4788">
        <f>Data!F4801</f>
        <v>0</v>
      </c>
      <c r="M4788">
        <f>Data!G4801</f>
        <v>0</v>
      </c>
      <c r="N4788">
        <f>Data!H4801</f>
        <v>0</v>
      </c>
      <c r="O4788">
        <f>Data!I4801</f>
        <v>0</v>
      </c>
      <c r="P4788" s="21">
        <f>Data!J4805</f>
        <v>0</v>
      </c>
      <c r="Q4788">
        <f>Data!K4805</f>
        <v>0</v>
      </c>
      <c r="R4788">
        <f>Data!L4805</f>
        <v>0</v>
      </c>
      <c r="S4788">
        <f>Data!M4805</f>
        <v>0</v>
      </c>
      <c r="T4788">
        <f>Data!N4805</f>
        <v>0</v>
      </c>
      <c r="U4788">
        <f>Data!O4805</f>
        <v>0</v>
      </c>
      <c r="V4788" s="33">
        <f>Data!P4803</f>
        <v>0</v>
      </c>
    </row>
    <row r="4789" spans="7:22" x14ac:dyDescent="0.25">
      <c r="G4789">
        <f>Data!A4802</f>
        <v>0</v>
      </c>
      <c r="H4789" s="21">
        <f>Data!B4802</f>
        <v>0</v>
      </c>
      <c r="I4789" s="21">
        <f>Data!C4802</f>
        <v>0</v>
      </c>
      <c r="J4789">
        <f>Data!D4802</f>
        <v>0</v>
      </c>
      <c r="K4789">
        <f>Data!E4802</f>
        <v>0</v>
      </c>
      <c r="L4789">
        <f>Data!F4802</f>
        <v>0</v>
      </c>
      <c r="M4789">
        <f>Data!G4802</f>
        <v>0</v>
      </c>
      <c r="N4789">
        <f>Data!H4802</f>
        <v>0</v>
      </c>
      <c r="O4789">
        <f>Data!I4802</f>
        <v>0</v>
      </c>
      <c r="P4789" s="21">
        <f>Data!J4806</f>
        <v>0</v>
      </c>
      <c r="Q4789">
        <f>Data!K4806</f>
        <v>0</v>
      </c>
      <c r="R4789">
        <f>Data!L4806</f>
        <v>0</v>
      </c>
      <c r="S4789">
        <f>Data!M4806</f>
        <v>0</v>
      </c>
      <c r="T4789">
        <f>Data!N4806</f>
        <v>0</v>
      </c>
      <c r="U4789">
        <f>Data!O4806</f>
        <v>0</v>
      </c>
      <c r="V4789" s="33">
        <f>Data!P4804</f>
        <v>0</v>
      </c>
    </row>
    <row r="4790" spans="7:22" x14ac:dyDescent="0.25">
      <c r="G4790">
        <f>Data!A4803</f>
        <v>0</v>
      </c>
      <c r="H4790" s="21">
        <f>Data!B4803</f>
        <v>0</v>
      </c>
      <c r="I4790" s="21">
        <f>Data!C4803</f>
        <v>0</v>
      </c>
      <c r="J4790">
        <f>Data!D4803</f>
        <v>0</v>
      </c>
      <c r="K4790">
        <f>Data!E4803</f>
        <v>0</v>
      </c>
      <c r="L4790">
        <f>Data!F4803</f>
        <v>0</v>
      </c>
      <c r="M4790">
        <f>Data!G4803</f>
        <v>0</v>
      </c>
      <c r="N4790">
        <f>Data!H4803</f>
        <v>0</v>
      </c>
      <c r="O4790">
        <f>Data!I4803</f>
        <v>0</v>
      </c>
      <c r="P4790" s="21">
        <f>Data!J4807</f>
        <v>0</v>
      </c>
      <c r="Q4790">
        <f>Data!K4807</f>
        <v>0</v>
      </c>
      <c r="R4790">
        <f>Data!L4807</f>
        <v>0</v>
      </c>
      <c r="S4790">
        <f>Data!M4807</f>
        <v>0</v>
      </c>
      <c r="T4790">
        <f>Data!N4807</f>
        <v>0</v>
      </c>
      <c r="U4790">
        <f>Data!O4807</f>
        <v>0</v>
      </c>
      <c r="V4790" s="33">
        <f>Data!P4805</f>
        <v>0</v>
      </c>
    </row>
    <row r="4791" spans="7:22" x14ac:dyDescent="0.25">
      <c r="G4791">
        <f>Data!A4804</f>
        <v>0</v>
      </c>
      <c r="H4791" s="21">
        <f>Data!B4804</f>
        <v>0</v>
      </c>
      <c r="I4791" s="21">
        <f>Data!C4804</f>
        <v>0</v>
      </c>
      <c r="J4791">
        <f>Data!D4804</f>
        <v>0</v>
      </c>
      <c r="K4791">
        <f>Data!E4804</f>
        <v>0</v>
      </c>
      <c r="L4791">
        <f>Data!F4804</f>
        <v>0</v>
      </c>
      <c r="M4791">
        <f>Data!G4804</f>
        <v>0</v>
      </c>
      <c r="N4791">
        <f>Data!H4804</f>
        <v>0</v>
      </c>
      <c r="O4791">
        <f>Data!I4804</f>
        <v>0</v>
      </c>
      <c r="P4791" s="21">
        <f>Data!J4808</f>
        <v>0</v>
      </c>
      <c r="Q4791">
        <f>Data!K4808</f>
        <v>0</v>
      </c>
      <c r="R4791">
        <f>Data!L4808</f>
        <v>0</v>
      </c>
      <c r="S4791">
        <f>Data!M4808</f>
        <v>0</v>
      </c>
      <c r="T4791">
        <f>Data!N4808</f>
        <v>0</v>
      </c>
      <c r="U4791">
        <f>Data!O4808</f>
        <v>0</v>
      </c>
      <c r="V4791" s="33">
        <f>Data!P4806</f>
        <v>0</v>
      </c>
    </row>
    <row r="4792" spans="7:22" x14ac:dyDescent="0.25">
      <c r="G4792">
        <f>Data!A4805</f>
        <v>0</v>
      </c>
      <c r="H4792" s="21">
        <f>Data!B4805</f>
        <v>0</v>
      </c>
      <c r="I4792" s="21">
        <f>Data!C4805</f>
        <v>0</v>
      </c>
      <c r="J4792">
        <f>Data!D4805</f>
        <v>0</v>
      </c>
      <c r="K4792">
        <f>Data!E4805</f>
        <v>0</v>
      </c>
      <c r="L4792">
        <f>Data!F4805</f>
        <v>0</v>
      </c>
      <c r="M4792">
        <f>Data!G4805</f>
        <v>0</v>
      </c>
      <c r="N4792">
        <f>Data!H4805</f>
        <v>0</v>
      </c>
      <c r="O4792">
        <f>Data!I4805</f>
        <v>0</v>
      </c>
      <c r="P4792" s="21">
        <f>Data!J4809</f>
        <v>0</v>
      </c>
      <c r="Q4792">
        <f>Data!K4809</f>
        <v>0</v>
      </c>
      <c r="R4792">
        <f>Data!L4809</f>
        <v>0</v>
      </c>
      <c r="S4792">
        <f>Data!M4809</f>
        <v>0</v>
      </c>
      <c r="T4792">
        <f>Data!N4809</f>
        <v>0</v>
      </c>
      <c r="U4792">
        <f>Data!O4809</f>
        <v>0</v>
      </c>
      <c r="V4792" s="33">
        <f>Data!P4807</f>
        <v>0</v>
      </c>
    </row>
    <row r="4793" spans="7:22" x14ac:dyDescent="0.25">
      <c r="G4793">
        <f>Data!A4806</f>
        <v>0</v>
      </c>
      <c r="H4793" s="21">
        <f>Data!B4806</f>
        <v>0</v>
      </c>
      <c r="I4793" s="21">
        <f>Data!C4806</f>
        <v>0</v>
      </c>
      <c r="J4793">
        <f>Data!D4806</f>
        <v>0</v>
      </c>
      <c r="K4793">
        <f>Data!E4806</f>
        <v>0</v>
      </c>
      <c r="L4793">
        <f>Data!F4806</f>
        <v>0</v>
      </c>
      <c r="M4793">
        <f>Data!G4806</f>
        <v>0</v>
      </c>
      <c r="N4793">
        <f>Data!H4806</f>
        <v>0</v>
      </c>
      <c r="O4793">
        <f>Data!I4806</f>
        <v>0</v>
      </c>
      <c r="P4793" s="21">
        <f>Data!J4810</f>
        <v>0</v>
      </c>
      <c r="Q4793">
        <f>Data!K4810</f>
        <v>0</v>
      </c>
      <c r="R4793">
        <f>Data!L4810</f>
        <v>0</v>
      </c>
      <c r="S4793">
        <f>Data!M4810</f>
        <v>0</v>
      </c>
      <c r="T4793">
        <f>Data!N4810</f>
        <v>0</v>
      </c>
      <c r="U4793">
        <f>Data!O4810</f>
        <v>0</v>
      </c>
      <c r="V4793" s="33">
        <f>Data!P4808</f>
        <v>0</v>
      </c>
    </row>
    <row r="4794" spans="7:22" x14ac:dyDescent="0.25">
      <c r="G4794">
        <f>Data!A4807</f>
        <v>0</v>
      </c>
      <c r="H4794" s="21">
        <f>Data!B4807</f>
        <v>0</v>
      </c>
      <c r="I4794" s="21">
        <f>Data!C4807</f>
        <v>0</v>
      </c>
      <c r="J4794">
        <f>Data!D4807</f>
        <v>0</v>
      </c>
      <c r="K4794">
        <f>Data!E4807</f>
        <v>0</v>
      </c>
      <c r="L4794">
        <f>Data!F4807</f>
        <v>0</v>
      </c>
      <c r="M4794">
        <f>Data!G4807</f>
        <v>0</v>
      </c>
      <c r="N4794">
        <f>Data!H4807</f>
        <v>0</v>
      </c>
      <c r="O4794">
        <f>Data!I4807</f>
        <v>0</v>
      </c>
      <c r="P4794" s="21">
        <f>Data!J4811</f>
        <v>0</v>
      </c>
      <c r="Q4794">
        <f>Data!K4811</f>
        <v>0</v>
      </c>
      <c r="R4794">
        <f>Data!L4811</f>
        <v>0</v>
      </c>
      <c r="S4794">
        <f>Data!M4811</f>
        <v>0</v>
      </c>
      <c r="T4794">
        <f>Data!N4811</f>
        <v>0</v>
      </c>
      <c r="U4794">
        <f>Data!O4811</f>
        <v>0</v>
      </c>
      <c r="V4794" s="33">
        <f>Data!P4809</f>
        <v>0</v>
      </c>
    </row>
    <row r="4795" spans="7:22" x14ac:dyDescent="0.25">
      <c r="G4795">
        <f>Data!A4808</f>
        <v>0</v>
      </c>
      <c r="H4795" s="21">
        <f>Data!B4808</f>
        <v>0</v>
      </c>
      <c r="I4795" s="21">
        <f>Data!C4808</f>
        <v>0</v>
      </c>
      <c r="J4795">
        <f>Data!D4808</f>
        <v>0</v>
      </c>
      <c r="K4795">
        <f>Data!E4808</f>
        <v>0</v>
      </c>
      <c r="L4795">
        <f>Data!F4808</f>
        <v>0</v>
      </c>
      <c r="M4795">
        <f>Data!G4808</f>
        <v>0</v>
      </c>
      <c r="N4795">
        <f>Data!H4808</f>
        <v>0</v>
      </c>
      <c r="O4795">
        <f>Data!I4808</f>
        <v>0</v>
      </c>
      <c r="P4795" s="21">
        <f>Data!J4812</f>
        <v>0</v>
      </c>
      <c r="Q4795">
        <f>Data!K4812</f>
        <v>0</v>
      </c>
      <c r="R4795">
        <f>Data!L4812</f>
        <v>0</v>
      </c>
      <c r="S4795">
        <f>Data!M4812</f>
        <v>0</v>
      </c>
      <c r="T4795">
        <f>Data!N4812</f>
        <v>0</v>
      </c>
      <c r="U4795">
        <f>Data!O4812</f>
        <v>0</v>
      </c>
      <c r="V4795" s="33">
        <f>Data!P4810</f>
        <v>0</v>
      </c>
    </row>
    <row r="4796" spans="7:22" x14ac:dyDescent="0.25">
      <c r="G4796">
        <f>Data!A4809</f>
        <v>0</v>
      </c>
      <c r="H4796" s="21">
        <f>Data!B4809</f>
        <v>0</v>
      </c>
      <c r="I4796" s="21">
        <f>Data!C4809</f>
        <v>0</v>
      </c>
      <c r="J4796">
        <f>Data!D4809</f>
        <v>0</v>
      </c>
      <c r="K4796">
        <f>Data!E4809</f>
        <v>0</v>
      </c>
      <c r="L4796">
        <f>Data!F4809</f>
        <v>0</v>
      </c>
      <c r="M4796">
        <f>Data!G4809</f>
        <v>0</v>
      </c>
      <c r="N4796">
        <f>Data!H4809</f>
        <v>0</v>
      </c>
      <c r="O4796">
        <f>Data!I4809</f>
        <v>0</v>
      </c>
      <c r="P4796" s="21">
        <f>Data!J4813</f>
        <v>0</v>
      </c>
      <c r="Q4796">
        <f>Data!K4813</f>
        <v>0</v>
      </c>
      <c r="R4796">
        <f>Data!L4813</f>
        <v>0</v>
      </c>
      <c r="S4796">
        <f>Data!M4813</f>
        <v>0</v>
      </c>
      <c r="T4796">
        <f>Data!N4813</f>
        <v>0</v>
      </c>
      <c r="U4796">
        <f>Data!O4813</f>
        <v>0</v>
      </c>
      <c r="V4796" s="33">
        <f>Data!P4811</f>
        <v>0</v>
      </c>
    </row>
    <row r="4797" spans="7:22" x14ac:dyDescent="0.25">
      <c r="G4797">
        <f>Data!A4810</f>
        <v>0</v>
      </c>
      <c r="H4797" s="21">
        <f>Data!B4810</f>
        <v>0</v>
      </c>
      <c r="I4797" s="21">
        <f>Data!C4810</f>
        <v>0</v>
      </c>
      <c r="J4797">
        <f>Data!D4810</f>
        <v>0</v>
      </c>
      <c r="K4797">
        <f>Data!E4810</f>
        <v>0</v>
      </c>
      <c r="L4797">
        <f>Data!F4810</f>
        <v>0</v>
      </c>
      <c r="M4797">
        <f>Data!G4810</f>
        <v>0</v>
      </c>
      <c r="N4797">
        <f>Data!H4810</f>
        <v>0</v>
      </c>
      <c r="O4797">
        <f>Data!I4810</f>
        <v>0</v>
      </c>
      <c r="P4797" s="21">
        <f>Data!J4814</f>
        <v>0</v>
      </c>
      <c r="Q4797">
        <f>Data!K4814</f>
        <v>0</v>
      </c>
      <c r="R4797">
        <f>Data!L4814</f>
        <v>0</v>
      </c>
      <c r="S4797">
        <f>Data!M4814</f>
        <v>0</v>
      </c>
      <c r="T4797">
        <f>Data!N4814</f>
        <v>0</v>
      </c>
      <c r="U4797">
        <f>Data!O4814</f>
        <v>0</v>
      </c>
      <c r="V4797" s="33">
        <f>Data!P4812</f>
        <v>0</v>
      </c>
    </row>
    <row r="4798" spans="7:22" x14ac:dyDescent="0.25">
      <c r="G4798">
        <f>Data!A4811</f>
        <v>0</v>
      </c>
      <c r="H4798" s="21">
        <f>Data!B4811</f>
        <v>0</v>
      </c>
      <c r="I4798" s="21">
        <f>Data!C4811</f>
        <v>0</v>
      </c>
      <c r="J4798">
        <f>Data!D4811</f>
        <v>0</v>
      </c>
      <c r="K4798">
        <f>Data!E4811</f>
        <v>0</v>
      </c>
      <c r="L4798">
        <f>Data!F4811</f>
        <v>0</v>
      </c>
      <c r="M4798">
        <f>Data!G4811</f>
        <v>0</v>
      </c>
      <c r="N4798">
        <f>Data!H4811</f>
        <v>0</v>
      </c>
      <c r="O4798">
        <f>Data!I4811</f>
        <v>0</v>
      </c>
      <c r="P4798" s="21">
        <f>Data!J4815</f>
        <v>0</v>
      </c>
      <c r="Q4798">
        <f>Data!K4815</f>
        <v>0</v>
      </c>
      <c r="R4798">
        <f>Data!L4815</f>
        <v>0</v>
      </c>
      <c r="S4798">
        <f>Data!M4815</f>
        <v>0</v>
      </c>
      <c r="T4798">
        <f>Data!N4815</f>
        <v>0</v>
      </c>
      <c r="U4798">
        <f>Data!O4815</f>
        <v>0</v>
      </c>
      <c r="V4798" s="33">
        <f>Data!P4813</f>
        <v>0</v>
      </c>
    </row>
    <row r="4799" spans="7:22" x14ac:dyDescent="0.25">
      <c r="G4799">
        <f>Data!A4812</f>
        <v>0</v>
      </c>
      <c r="H4799" s="21">
        <f>Data!B4812</f>
        <v>0</v>
      </c>
      <c r="I4799" s="21">
        <f>Data!C4812</f>
        <v>0</v>
      </c>
      <c r="J4799">
        <f>Data!D4812</f>
        <v>0</v>
      </c>
      <c r="K4799">
        <f>Data!E4812</f>
        <v>0</v>
      </c>
      <c r="L4799">
        <f>Data!F4812</f>
        <v>0</v>
      </c>
      <c r="M4799">
        <f>Data!G4812</f>
        <v>0</v>
      </c>
      <c r="N4799">
        <f>Data!H4812</f>
        <v>0</v>
      </c>
      <c r="O4799">
        <f>Data!I4812</f>
        <v>0</v>
      </c>
      <c r="P4799" s="21">
        <f>Data!J4816</f>
        <v>0</v>
      </c>
      <c r="Q4799">
        <f>Data!K4816</f>
        <v>0</v>
      </c>
      <c r="R4799">
        <f>Data!L4816</f>
        <v>0</v>
      </c>
      <c r="S4799">
        <f>Data!M4816</f>
        <v>0</v>
      </c>
      <c r="T4799">
        <f>Data!N4816</f>
        <v>0</v>
      </c>
      <c r="U4799">
        <f>Data!O4816</f>
        <v>0</v>
      </c>
      <c r="V4799" s="33">
        <f>Data!P4814</f>
        <v>0</v>
      </c>
    </row>
    <row r="4800" spans="7:22" x14ac:dyDescent="0.25">
      <c r="G4800">
        <f>Data!A4813</f>
        <v>0</v>
      </c>
      <c r="H4800" s="21">
        <f>Data!B4813</f>
        <v>0</v>
      </c>
      <c r="I4800" s="21">
        <f>Data!C4813</f>
        <v>0</v>
      </c>
      <c r="J4800">
        <f>Data!D4813</f>
        <v>0</v>
      </c>
      <c r="K4800">
        <f>Data!E4813</f>
        <v>0</v>
      </c>
      <c r="L4800">
        <f>Data!F4813</f>
        <v>0</v>
      </c>
      <c r="M4800">
        <f>Data!G4813</f>
        <v>0</v>
      </c>
      <c r="N4800">
        <f>Data!H4813</f>
        <v>0</v>
      </c>
      <c r="O4800">
        <f>Data!I4813</f>
        <v>0</v>
      </c>
      <c r="P4800" s="21">
        <f>Data!J4817</f>
        <v>0</v>
      </c>
      <c r="Q4800">
        <f>Data!K4817</f>
        <v>0</v>
      </c>
      <c r="R4800">
        <f>Data!L4817</f>
        <v>0</v>
      </c>
      <c r="S4800">
        <f>Data!M4817</f>
        <v>0</v>
      </c>
      <c r="T4800">
        <f>Data!N4817</f>
        <v>0</v>
      </c>
      <c r="U4800">
        <f>Data!O4817</f>
        <v>0</v>
      </c>
      <c r="V4800" s="33">
        <f>Data!P4815</f>
        <v>0</v>
      </c>
    </row>
    <row r="4801" spans="7:22" x14ac:dyDescent="0.25">
      <c r="G4801">
        <f>Data!A4814</f>
        <v>0</v>
      </c>
      <c r="H4801" s="21">
        <f>Data!B4814</f>
        <v>0</v>
      </c>
      <c r="I4801" s="21">
        <f>Data!C4814</f>
        <v>0</v>
      </c>
      <c r="J4801">
        <f>Data!D4814</f>
        <v>0</v>
      </c>
      <c r="K4801">
        <f>Data!E4814</f>
        <v>0</v>
      </c>
      <c r="L4801">
        <f>Data!F4814</f>
        <v>0</v>
      </c>
      <c r="M4801">
        <f>Data!G4814</f>
        <v>0</v>
      </c>
      <c r="N4801">
        <f>Data!H4814</f>
        <v>0</v>
      </c>
      <c r="O4801">
        <f>Data!I4814</f>
        <v>0</v>
      </c>
      <c r="P4801" s="21">
        <f>Data!J4818</f>
        <v>0</v>
      </c>
      <c r="Q4801">
        <f>Data!K4818</f>
        <v>0</v>
      </c>
      <c r="R4801">
        <f>Data!L4818</f>
        <v>0</v>
      </c>
      <c r="S4801">
        <f>Data!M4818</f>
        <v>0</v>
      </c>
      <c r="T4801">
        <f>Data!N4818</f>
        <v>0</v>
      </c>
      <c r="U4801">
        <f>Data!O4818</f>
        <v>0</v>
      </c>
      <c r="V4801" s="33">
        <f>Data!P4816</f>
        <v>0</v>
      </c>
    </row>
    <row r="4802" spans="7:22" x14ac:dyDescent="0.25">
      <c r="G4802">
        <f>Data!A4815</f>
        <v>0</v>
      </c>
      <c r="H4802" s="21">
        <f>Data!B4815</f>
        <v>0</v>
      </c>
      <c r="I4802" s="21">
        <f>Data!C4815</f>
        <v>0</v>
      </c>
      <c r="J4802">
        <f>Data!D4815</f>
        <v>0</v>
      </c>
      <c r="K4802">
        <f>Data!E4815</f>
        <v>0</v>
      </c>
      <c r="L4802">
        <f>Data!F4815</f>
        <v>0</v>
      </c>
      <c r="M4802">
        <f>Data!G4815</f>
        <v>0</v>
      </c>
      <c r="N4802">
        <f>Data!H4815</f>
        <v>0</v>
      </c>
      <c r="O4802">
        <f>Data!I4815</f>
        <v>0</v>
      </c>
      <c r="P4802" s="21">
        <f>Data!J4819</f>
        <v>0</v>
      </c>
      <c r="Q4802">
        <f>Data!K4819</f>
        <v>0</v>
      </c>
      <c r="R4802">
        <f>Data!L4819</f>
        <v>0</v>
      </c>
      <c r="S4802">
        <f>Data!M4819</f>
        <v>0</v>
      </c>
      <c r="T4802">
        <f>Data!N4819</f>
        <v>0</v>
      </c>
      <c r="U4802">
        <f>Data!O4819</f>
        <v>0</v>
      </c>
      <c r="V4802" s="33">
        <f>Data!P4817</f>
        <v>0</v>
      </c>
    </row>
    <row r="4803" spans="7:22" x14ac:dyDescent="0.25">
      <c r="G4803">
        <f>Data!A4816</f>
        <v>0</v>
      </c>
      <c r="H4803" s="21">
        <f>Data!B4816</f>
        <v>0</v>
      </c>
      <c r="I4803" s="21">
        <f>Data!C4816</f>
        <v>0</v>
      </c>
      <c r="J4803">
        <f>Data!D4816</f>
        <v>0</v>
      </c>
      <c r="K4803">
        <f>Data!E4816</f>
        <v>0</v>
      </c>
      <c r="L4803">
        <f>Data!F4816</f>
        <v>0</v>
      </c>
      <c r="M4803">
        <f>Data!G4816</f>
        <v>0</v>
      </c>
      <c r="N4803">
        <f>Data!H4816</f>
        <v>0</v>
      </c>
      <c r="O4803">
        <f>Data!I4816</f>
        <v>0</v>
      </c>
      <c r="P4803" s="21">
        <f>Data!J4820</f>
        <v>0</v>
      </c>
      <c r="Q4803">
        <f>Data!K4820</f>
        <v>0</v>
      </c>
      <c r="R4803">
        <f>Data!L4820</f>
        <v>0</v>
      </c>
      <c r="S4803">
        <f>Data!M4820</f>
        <v>0</v>
      </c>
      <c r="T4803">
        <f>Data!N4820</f>
        <v>0</v>
      </c>
      <c r="U4803">
        <f>Data!O4820</f>
        <v>0</v>
      </c>
      <c r="V4803" s="33">
        <f>Data!P4818</f>
        <v>0</v>
      </c>
    </row>
    <row r="4804" spans="7:22" x14ac:dyDescent="0.25">
      <c r="G4804">
        <f>Data!A4817</f>
        <v>0</v>
      </c>
      <c r="H4804" s="21">
        <f>Data!B4817</f>
        <v>0</v>
      </c>
      <c r="I4804" s="21">
        <f>Data!C4817</f>
        <v>0</v>
      </c>
      <c r="J4804">
        <f>Data!D4817</f>
        <v>0</v>
      </c>
      <c r="K4804">
        <f>Data!E4817</f>
        <v>0</v>
      </c>
      <c r="L4804">
        <f>Data!F4817</f>
        <v>0</v>
      </c>
      <c r="M4804">
        <f>Data!G4817</f>
        <v>0</v>
      </c>
      <c r="N4804">
        <f>Data!H4817</f>
        <v>0</v>
      </c>
      <c r="O4804">
        <f>Data!I4817</f>
        <v>0</v>
      </c>
      <c r="P4804" s="21">
        <f>Data!J4821</f>
        <v>0</v>
      </c>
      <c r="Q4804">
        <f>Data!K4821</f>
        <v>0</v>
      </c>
      <c r="R4804">
        <f>Data!L4821</f>
        <v>0</v>
      </c>
      <c r="S4804">
        <f>Data!M4821</f>
        <v>0</v>
      </c>
      <c r="T4804">
        <f>Data!N4821</f>
        <v>0</v>
      </c>
      <c r="U4804">
        <f>Data!O4821</f>
        <v>0</v>
      </c>
      <c r="V4804" s="33">
        <f>Data!P4819</f>
        <v>0</v>
      </c>
    </row>
    <row r="4805" spans="7:22" x14ac:dyDescent="0.25">
      <c r="G4805">
        <f>Data!A4818</f>
        <v>0</v>
      </c>
      <c r="H4805" s="21">
        <f>Data!B4818</f>
        <v>0</v>
      </c>
      <c r="I4805" s="21">
        <f>Data!C4818</f>
        <v>0</v>
      </c>
      <c r="J4805">
        <f>Data!D4818</f>
        <v>0</v>
      </c>
      <c r="K4805">
        <f>Data!E4818</f>
        <v>0</v>
      </c>
      <c r="L4805">
        <f>Data!F4818</f>
        <v>0</v>
      </c>
      <c r="M4805">
        <f>Data!G4818</f>
        <v>0</v>
      </c>
      <c r="N4805">
        <f>Data!H4818</f>
        <v>0</v>
      </c>
      <c r="O4805">
        <f>Data!I4818</f>
        <v>0</v>
      </c>
      <c r="P4805" s="21">
        <f>Data!J4822</f>
        <v>0</v>
      </c>
      <c r="Q4805">
        <f>Data!K4822</f>
        <v>0</v>
      </c>
      <c r="R4805">
        <f>Data!L4822</f>
        <v>0</v>
      </c>
      <c r="S4805">
        <f>Data!M4822</f>
        <v>0</v>
      </c>
      <c r="T4805">
        <f>Data!N4822</f>
        <v>0</v>
      </c>
      <c r="U4805">
        <f>Data!O4822</f>
        <v>0</v>
      </c>
      <c r="V4805" s="33">
        <f>Data!P4820</f>
        <v>0</v>
      </c>
    </row>
    <row r="4806" spans="7:22" x14ac:dyDescent="0.25">
      <c r="G4806">
        <f>Data!A4819</f>
        <v>0</v>
      </c>
      <c r="H4806" s="21">
        <f>Data!B4819</f>
        <v>0</v>
      </c>
      <c r="I4806" s="21">
        <f>Data!C4819</f>
        <v>0</v>
      </c>
      <c r="J4806">
        <f>Data!D4819</f>
        <v>0</v>
      </c>
      <c r="K4806">
        <f>Data!E4819</f>
        <v>0</v>
      </c>
      <c r="L4806">
        <f>Data!F4819</f>
        <v>0</v>
      </c>
      <c r="M4806">
        <f>Data!G4819</f>
        <v>0</v>
      </c>
      <c r="N4806">
        <f>Data!H4819</f>
        <v>0</v>
      </c>
      <c r="O4806">
        <f>Data!I4819</f>
        <v>0</v>
      </c>
      <c r="P4806" s="21">
        <f>Data!J4823</f>
        <v>0</v>
      </c>
      <c r="Q4806">
        <f>Data!K4823</f>
        <v>0</v>
      </c>
      <c r="R4806">
        <f>Data!L4823</f>
        <v>0</v>
      </c>
      <c r="S4806">
        <f>Data!M4823</f>
        <v>0</v>
      </c>
      <c r="T4806">
        <f>Data!N4823</f>
        <v>0</v>
      </c>
      <c r="U4806">
        <f>Data!O4823</f>
        <v>0</v>
      </c>
      <c r="V4806" s="33">
        <f>Data!P4821</f>
        <v>0</v>
      </c>
    </row>
    <row r="4807" spans="7:22" x14ac:dyDescent="0.25">
      <c r="G4807">
        <f>Data!A4820</f>
        <v>0</v>
      </c>
      <c r="H4807" s="21">
        <f>Data!B4820</f>
        <v>0</v>
      </c>
      <c r="I4807" s="21">
        <f>Data!C4820</f>
        <v>0</v>
      </c>
      <c r="J4807">
        <f>Data!D4820</f>
        <v>0</v>
      </c>
      <c r="K4807">
        <f>Data!E4820</f>
        <v>0</v>
      </c>
      <c r="L4807">
        <f>Data!F4820</f>
        <v>0</v>
      </c>
      <c r="M4807">
        <f>Data!G4820</f>
        <v>0</v>
      </c>
      <c r="N4807">
        <f>Data!H4820</f>
        <v>0</v>
      </c>
      <c r="O4807">
        <f>Data!I4820</f>
        <v>0</v>
      </c>
      <c r="P4807" s="21">
        <f>Data!J4824</f>
        <v>0</v>
      </c>
      <c r="Q4807">
        <f>Data!K4824</f>
        <v>0</v>
      </c>
      <c r="R4807">
        <f>Data!L4824</f>
        <v>0</v>
      </c>
      <c r="S4807">
        <f>Data!M4824</f>
        <v>0</v>
      </c>
      <c r="T4807">
        <f>Data!N4824</f>
        <v>0</v>
      </c>
      <c r="U4807">
        <f>Data!O4824</f>
        <v>0</v>
      </c>
      <c r="V4807" s="33">
        <f>Data!P4822</f>
        <v>0</v>
      </c>
    </row>
    <row r="4808" spans="7:22" x14ac:dyDescent="0.25">
      <c r="G4808">
        <f>Data!A4821</f>
        <v>0</v>
      </c>
      <c r="H4808" s="21">
        <f>Data!B4821</f>
        <v>0</v>
      </c>
      <c r="I4808" s="21">
        <f>Data!C4821</f>
        <v>0</v>
      </c>
      <c r="J4808">
        <f>Data!D4821</f>
        <v>0</v>
      </c>
      <c r="K4808">
        <f>Data!E4821</f>
        <v>0</v>
      </c>
      <c r="L4808">
        <f>Data!F4821</f>
        <v>0</v>
      </c>
      <c r="M4808">
        <f>Data!G4821</f>
        <v>0</v>
      </c>
      <c r="N4808">
        <f>Data!H4821</f>
        <v>0</v>
      </c>
      <c r="O4808">
        <f>Data!I4821</f>
        <v>0</v>
      </c>
      <c r="P4808" s="21">
        <f>Data!J4825</f>
        <v>0</v>
      </c>
      <c r="Q4808">
        <f>Data!K4825</f>
        <v>0</v>
      </c>
      <c r="R4808">
        <f>Data!L4825</f>
        <v>0</v>
      </c>
      <c r="S4808">
        <f>Data!M4825</f>
        <v>0</v>
      </c>
      <c r="T4808">
        <f>Data!N4825</f>
        <v>0</v>
      </c>
      <c r="U4808">
        <f>Data!O4825</f>
        <v>0</v>
      </c>
      <c r="V4808" s="33">
        <f>Data!P4823</f>
        <v>0</v>
      </c>
    </row>
    <row r="4809" spans="7:22" x14ac:dyDescent="0.25">
      <c r="G4809">
        <f>Data!A4822</f>
        <v>0</v>
      </c>
      <c r="H4809" s="21">
        <f>Data!B4822</f>
        <v>0</v>
      </c>
      <c r="I4809" s="21">
        <f>Data!C4822</f>
        <v>0</v>
      </c>
      <c r="J4809">
        <f>Data!D4822</f>
        <v>0</v>
      </c>
      <c r="K4809">
        <f>Data!E4822</f>
        <v>0</v>
      </c>
      <c r="L4809">
        <f>Data!F4822</f>
        <v>0</v>
      </c>
      <c r="M4809">
        <f>Data!G4822</f>
        <v>0</v>
      </c>
      <c r="N4809">
        <f>Data!H4822</f>
        <v>0</v>
      </c>
      <c r="O4809">
        <f>Data!I4822</f>
        <v>0</v>
      </c>
      <c r="P4809" s="21">
        <f>Data!J4826</f>
        <v>0</v>
      </c>
      <c r="Q4809">
        <f>Data!K4826</f>
        <v>0</v>
      </c>
      <c r="R4809">
        <f>Data!L4826</f>
        <v>0</v>
      </c>
      <c r="S4809">
        <f>Data!M4826</f>
        <v>0</v>
      </c>
      <c r="T4809">
        <f>Data!N4826</f>
        <v>0</v>
      </c>
      <c r="U4809">
        <f>Data!O4826</f>
        <v>0</v>
      </c>
      <c r="V4809" s="33">
        <f>Data!P4824</f>
        <v>0</v>
      </c>
    </row>
    <row r="4810" spans="7:22" x14ac:dyDescent="0.25">
      <c r="G4810">
        <f>Data!A4823</f>
        <v>0</v>
      </c>
      <c r="H4810" s="21">
        <f>Data!B4823</f>
        <v>0</v>
      </c>
      <c r="I4810" s="21">
        <f>Data!C4823</f>
        <v>0</v>
      </c>
      <c r="J4810">
        <f>Data!D4823</f>
        <v>0</v>
      </c>
      <c r="K4810">
        <f>Data!E4823</f>
        <v>0</v>
      </c>
      <c r="L4810">
        <f>Data!F4823</f>
        <v>0</v>
      </c>
      <c r="M4810">
        <f>Data!G4823</f>
        <v>0</v>
      </c>
      <c r="N4810">
        <f>Data!H4823</f>
        <v>0</v>
      </c>
      <c r="O4810">
        <f>Data!I4823</f>
        <v>0</v>
      </c>
      <c r="P4810" s="21">
        <f>Data!J4827</f>
        <v>0</v>
      </c>
      <c r="Q4810">
        <f>Data!K4827</f>
        <v>0</v>
      </c>
      <c r="R4810">
        <f>Data!L4827</f>
        <v>0</v>
      </c>
      <c r="S4810">
        <f>Data!M4827</f>
        <v>0</v>
      </c>
      <c r="T4810">
        <f>Data!N4827</f>
        <v>0</v>
      </c>
      <c r="U4810">
        <f>Data!O4827</f>
        <v>0</v>
      </c>
      <c r="V4810" s="33">
        <f>Data!P4825</f>
        <v>0</v>
      </c>
    </row>
    <row r="4811" spans="7:22" x14ac:dyDescent="0.25">
      <c r="G4811">
        <f>Data!A4824</f>
        <v>0</v>
      </c>
      <c r="H4811" s="21">
        <f>Data!B4824</f>
        <v>0</v>
      </c>
      <c r="I4811" s="21">
        <f>Data!C4824</f>
        <v>0</v>
      </c>
      <c r="J4811">
        <f>Data!D4824</f>
        <v>0</v>
      </c>
      <c r="K4811">
        <f>Data!E4824</f>
        <v>0</v>
      </c>
      <c r="L4811">
        <f>Data!F4824</f>
        <v>0</v>
      </c>
      <c r="M4811">
        <f>Data!G4824</f>
        <v>0</v>
      </c>
      <c r="N4811">
        <f>Data!H4824</f>
        <v>0</v>
      </c>
      <c r="O4811">
        <f>Data!I4824</f>
        <v>0</v>
      </c>
      <c r="P4811" s="21">
        <f>Data!J4828</f>
        <v>0</v>
      </c>
      <c r="Q4811">
        <f>Data!K4828</f>
        <v>0</v>
      </c>
      <c r="R4811">
        <f>Data!L4828</f>
        <v>0</v>
      </c>
      <c r="S4811">
        <f>Data!M4828</f>
        <v>0</v>
      </c>
      <c r="T4811">
        <f>Data!N4828</f>
        <v>0</v>
      </c>
      <c r="U4811">
        <f>Data!O4828</f>
        <v>0</v>
      </c>
      <c r="V4811" s="33">
        <f>Data!P4826</f>
        <v>0</v>
      </c>
    </row>
    <row r="4812" spans="7:22" x14ac:dyDescent="0.25">
      <c r="G4812">
        <f>Data!A4825</f>
        <v>0</v>
      </c>
      <c r="H4812" s="21">
        <f>Data!B4825</f>
        <v>0</v>
      </c>
      <c r="I4812" s="21">
        <f>Data!C4825</f>
        <v>0</v>
      </c>
      <c r="J4812">
        <f>Data!D4825</f>
        <v>0</v>
      </c>
      <c r="K4812">
        <f>Data!E4825</f>
        <v>0</v>
      </c>
      <c r="L4812">
        <f>Data!F4825</f>
        <v>0</v>
      </c>
      <c r="M4812">
        <f>Data!G4825</f>
        <v>0</v>
      </c>
      <c r="N4812">
        <f>Data!H4825</f>
        <v>0</v>
      </c>
      <c r="O4812">
        <f>Data!I4825</f>
        <v>0</v>
      </c>
      <c r="P4812" s="21">
        <f>Data!J4829</f>
        <v>0</v>
      </c>
      <c r="Q4812">
        <f>Data!K4829</f>
        <v>0</v>
      </c>
      <c r="R4812">
        <f>Data!L4829</f>
        <v>0</v>
      </c>
      <c r="S4812">
        <f>Data!M4829</f>
        <v>0</v>
      </c>
      <c r="T4812">
        <f>Data!N4829</f>
        <v>0</v>
      </c>
      <c r="U4812">
        <f>Data!O4829</f>
        <v>0</v>
      </c>
      <c r="V4812" s="33">
        <f>Data!P4827</f>
        <v>0</v>
      </c>
    </row>
    <row r="4813" spans="7:22" x14ac:dyDescent="0.25">
      <c r="G4813">
        <f>Data!A4826</f>
        <v>0</v>
      </c>
      <c r="H4813" s="21">
        <f>Data!B4826</f>
        <v>0</v>
      </c>
      <c r="I4813" s="21">
        <f>Data!C4826</f>
        <v>0</v>
      </c>
      <c r="J4813">
        <f>Data!D4826</f>
        <v>0</v>
      </c>
      <c r="K4813">
        <f>Data!E4826</f>
        <v>0</v>
      </c>
      <c r="L4813">
        <f>Data!F4826</f>
        <v>0</v>
      </c>
      <c r="M4813">
        <f>Data!G4826</f>
        <v>0</v>
      </c>
      <c r="N4813">
        <f>Data!H4826</f>
        <v>0</v>
      </c>
      <c r="O4813">
        <f>Data!I4826</f>
        <v>0</v>
      </c>
      <c r="P4813" s="21">
        <f>Data!J4830</f>
        <v>0</v>
      </c>
      <c r="Q4813">
        <f>Data!K4830</f>
        <v>0</v>
      </c>
      <c r="R4813">
        <f>Data!L4830</f>
        <v>0</v>
      </c>
      <c r="S4813">
        <f>Data!M4830</f>
        <v>0</v>
      </c>
      <c r="T4813">
        <f>Data!N4830</f>
        <v>0</v>
      </c>
      <c r="U4813">
        <f>Data!O4830</f>
        <v>0</v>
      </c>
      <c r="V4813" s="33">
        <f>Data!P4828</f>
        <v>0</v>
      </c>
    </row>
    <row r="4814" spans="7:22" x14ac:dyDescent="0.25">
      <c r="G4814">
        <f>Data!A4827</f>
        <v>0</v>
      </c>
      <c r="H4814" s="21">
        <f>Data!B4827</f>
        <v>0</v>
      </c>
      <c r="I4814" s="21">
        <f>Data!C4827</f>
        <v>0</v>
      </c>
      <c r="J4814">
        <f>Data!D4827</f>
        <v>0</v>
      </c>
      <c r="K4814">
        <f>Data!E4827</f>
        <v>0</v>
      </c>
      <c r="L4814">
        <f>Data!F4827</f>
        <v>0</v>
      </c>
      <c r="M4814">
        <f>Data!G4827</f>
        <v>0</v>
      </c>
      <c r="N4814">
        <f>Data!H4827</f>
        <v>0</v>
      </c>
      <c r="O4814">
        <f>Data!I4827</f>
        <v>0</v>
      </c>
      <c r="P4814" s="21">
        <f>Data!J4831</f>
        <v>0</v>
      </c>
      <c r="Q4814">
        <f>Data!K4831</f>
        <v>0</v>
      </c>
      <c r="R4814">
        <f>Data!L4831</f>
        <v>0</v>
      </c>
      <c r="S4814">
        <f>Data!M4831</f>
        <v>0</v>
      </c>
      <c r="T4814">
        <f>Data!N4831</f>
        <v>0</v>
      </c>
      <c r="U4814">
        <f>Data!O4831</f>
        <v>0</v>
      </c>
      <c r="V4814" s="33">
        <f>Data!P4829</f>
        <v>0</v>
      </c>
    </row>
    <row r="4815" spans="7:22" x14ac:dyDescent="0.25">
      <c r="G4815">
        <f>Data!A4828</f>
        <v>0</v>
      </c>
      <c r="H4815" s="21">
        <f>Data!B4828</f>
        <v>0</v>
      </c>
      <c r="I4815" s="21">
        <f>Data!C4828</f>
        <v>0</v>
      </c>
      <c r="J4815">
        <f>Data!D4828</f>
        <v>0</v>
      </c>
      <c r="K4815">
        <f>Data!E4828</f>
        <v>0</v>
      </c>
      <c r="L4815">
        <f>Data!F4828</f>
        <v>0</v>
      </c>
      <c r="M4815">
        <f>Data!G4828</f>
        <v>0</v>
      </c>
      <c r="N4815">
        <f>Data!H4828</f>
        <v>0</v>
      </c>
      <c r="O4815">
        <f>Data!I4828</f>
        <v>0</v>
      </c>
      <c r="P4815" s="21">
        <f>Data!J4832</f>
        <v>0</v>
      </c>
      <c r="Q4815">
        <f>Data!K4832</f>
        <v>0</v>
      </c>
      <c r="R4815">
        <f>Data!L4832</f>
        <v>0</v>
      </c>
      <c r="S4815">
        <f>Data!M4832</f>
        <v>0</v>
      </c>
      <c r="T4815">
        <f>Data!N4832</f>
        <v>0</v>
      </c>
      <c r="U4815">
        <f>Data!O4832</f>
        <v>0</v>
      </c>
      <c r="V4815" s="33">
        <f>Data!P4830</f>
        <v>0</v>
      </c>
    </row>
    <row r="4816" spans="7:22" x14ac:dyDescent="0.25">
      <c r="G4816">
        <f>Data!A4829</f>
        <v>0</v>
      </c>
      <c r="H4816" s="21">
        <f>Data!B4829</f>
        <v>0</v>
      </c>
      <c r="I4816" s="21">
        <f>Data!C4829</f>
        <v>0</v>
      </c>
      <c r="J4816">
        <f>Data!D4829</f>
        <v>0</v>
      </c>
      <c r="K4816">
        <f>Data!E4829</f>
        <v>0</v>
      </c>
      <c r="L4816">
        <f>Data!F4829</f>
        <v>0</v>
      </c>
      <c r="M4816">
        <f>Data!G4829</f>
        <v>0</v>
      </c>
      <c r="N4816">
        <f>Data!H4829</f>
        <v>0</v>
      </c>
      <c r="O4816">
        <f>Data!I4829</f>
        <v>0</v>
      </c>
      <c r="P4816" s="21">
        <f>Data!J4833</f>
        <v>0</v>
      </c>
      <c r="Q4816">
        <f>Data!K4833</f>
        <v>0</v>
      </c>
      <c r="R4816">
        <f>Data!L4833</f>
        <v>0</v>
      </c>
      <c r="S4816">
        <f>Data!M4833</f>
        <v>0</v>
      </c>
      <c r="T4816">
        <f>Data!N4833</f>
        <v>0</v>
      </c>
      <c r="U4816">
        <f>Data!O4833</f>
        <v>0</v>
      </c>
      <c r="V4816" s="33">
        <f>Data!P4831</f>
        <v>0</v>
      </c>
    </row>
    <row r="4817" spans="7:22" x14ac:dyDescent="0.25">
      <c r="G4817">
        <f>Data!A4830</f>
        <v>0</v>
      </c>
      <c r="H4817" s="21">
        <f>Data!B4830</f>
        <v>0</v>
      </c>
      <c r="I4817" s="21">
        <f>Data!C4830</f>
        <v>0</v>
      </c>
      <c r="J4817">
        <f>Data!D4830</f>
        <v>0</v>
      </c>
      <c r="K4817">
        <f>Data!E4830</f>
        <v>0</v>
      </c>
      <c r="L4817">
        <f>Data!F4830</f>
        <v>0</v>
      </c>
      <c r="M4817">
        <f>Data!G4830</f>
        <v>0</v>
      </c>
      <c r="N4817">
        <f>Data!H4830</f>
        <v>0</v>
      </c>
      <c r="O4817">
        <f>Data!I4830</f>
        <v>0</v>
      </c>
      <c r="P4817" s="21">
        <f>Data!J4834</f>
        <v>0</v>
      </c>
      <c r="Q4817">
        <f>Data!K4834</f>
        <v>0</v>
      </c>
      <c r="R4817">
        <f>Data!L4834</f>
        <v>0</v>
      </c>
      <c r="S4817">
        <f>Data!M4834</f>
        <v>0</v>
      </c>
      <c r="T4817">
        <f>Data!N4834</f>
        <v>0</v>
      </c>
      <c r="U4817">
        <f>Data!O4834</f>
        <v>0</v>
      </c>
      <c r="V4817" s="33">
        <f>Data!P4832</f>
        <v>0</v>
      </c>
    </row>
    <row r="4818" spans="7:22" x14ac:dyDescent="0.25">
      <c r="G4818">
        <f>Data!A4831</f>
        <v>0</v>
      </c>
      <c r="H4818" s="21">
        <f>Data!B4831</f>
        <v>0</v>
      </c>
      <c r="I4818" s="21">
        <f>Data!C4831</f>
        <v>0</v>
      </c>
      <c r="J4818">
        <f>Data!D4831</f>
        <v>0</v>
      </c>
      <c r="K4818">
        <f>Data!E4831</f>
        <v>0</v>
      </c>
      <c r="L4818">
        <f>Data!F4831</f>
        <v>0</v>
      </c>
      <c r="M4818">
        <f>Data!G4831</f>
        <v>0</v>
      </c>
      <c r="N4818">
        <f>Data!H4831</f>
        <v>0</v>
      </c>
      <c r="O4818">
        <f>Data!I4831</f>
        <v>0</v>
      </c>
      <c r="P4818" s="21">
        <f>Data!J4835</f>
        <v>0</v>
      </c>
      <c r="Q4818">
        <f>Data!K4835</f>
        <v>0</v>
      </c>
      <c r="R4818">
        <f>Data!L4835</f>
        <v>0</v>
      </c>
      <c r="S4818">
        <f>Data!M4835</f>
        <v>0</v>
      </c>
      <c r="T4818">
        <f>Data!N4835</f>
        <v>0</v>
      </c>
      <c r="U4818">
        <f>Data!O4835</f>
        <v>0</v>
      </c>
      <c r="V4818" s="33">
        <f>Data!P4833</f>
        <v>0</v>
      </c>
    </row>
    <row r="4819" spans="7:22" x14ac:dyDescent="0.25">
      <c r="G4819">
        <f>Data!A4832</f>
        <v>0</v>
      </c>
      <c r="H4819" s="21">
        <f>Data!B4832</f>
        <v>0</v>
      </c>
      <c r="I4819" s="21">
        <f>Data!C4832</f>
        <v>0</v>
      </c>
      <c r="J4819">
        <f>Data!D4832</f>
        <v>0</v>
      </c>
      <c r="K4819">
        <f>Data!E4832</f>
        <v>0</v>
      </c>
      <c r="L4819">
        <f>Data!F4832</f>
        <v>0</v>
      </c>
      <c r="M4819">
        <f>Data!G4832</f>
        <v>0</v>
      </c>
      <c r="N4819">
        <f>Data!H4832</f>
        <v>0</v>
      </c>
      <c r="O4819">
        <f>Data!I4832</f>
        <v>0</v>
      </c>
      <c r="P4819" s="21">
        <f>Data!J4836</f>
        <v>0</v>
      </c>
      <c r="Q4819">
        <f>Data!K4836</f>
        <v>0</v>
      </c>
      <c r="R4819">
        <f>Data!L4836</f>
        <v>0</v>
      </c>
      <c r="S4819">
        <f>Data!M4836</f>
        <v>0</v>
      </c>
      <c r="T4819">
        <f>Data!N4836</f>
        <v>0</v>
      </c>
      <c r="U4819">
        <f>Data!O4836</f>
        <v>0</v>
      </c>
      <c r="V4819" s="33">
        <f>Data!P4834</f>
        <v>0</v>
      </c>
    </row>
    <row r="4820" spans="7:22" x14ac:dyDescent="0.25">
      <c r="G4820">
        <f>Data!A4833</f>
        <v>0</v>
      </c>
      <c r="H4820" s="21">
        <f>Data!B4833</f>
        <v>0</v>
      </c>
      <c r="I4820" s="21">
        <f>Data!C4833</f>
        <v>0</v>
      </c>
      <c r="J4820">
        <f>Data!D4833</f>
        <v>0</v>
      </c>
      <c r="K4820">
        <f>Data!E4833</f>
        <v>0</v>
      </c>
      <c r="L4820">
        <f>Data!F4833</f>
        <v>0</v>
      </c>
      <c r="M4820">
        <f>Data!G4833</f>
        <v>0</v>
      </c>
      <c r="N4820">
        <f>Data!H4833</f>
        <v>0</v>
      </c>
      <c r="O4820">
        <f>Data!I4833</f>
        <v>0</v>
      </c>
      <c r="P4820" s="21">
        <f>Data!J4837</f>
        <v>0</v>
      </c>
      <c r="Q4820">
        <f>Data!K4837</f>
        <v>0</v>
      </c>
      <c r="R4820">
        <f>Data!L4837</f>
        <v>0</v>
      </c>
      <c r="S4820">
        <f>Data!M4837</f>
        <v>0</v>
      </c>
      <c r="T4820">
        <f>Data!N4837</f>
        <v>0</v>
      </c>
      <c r="U4820">
        <f>Data!O4837</f>
        <v>0</v>
      </c>
      <c r="V4820" s="33">
        <f>Data!P4835</f>
        <v>0</v>
      </c>
    </row>
    <row r="4821" spans="7:22" x14ac:dyDescent="0.25">
      <c r="G4821">
        <f>Data!A4834</f>
        <v>0</v>
      </c>
      <c r="H4821" s="21">
        <f>Data!B4834</f>
        <v>0</v>
      </c>
      <c r="I4821" s="21">
        <f>Data!C4834</f>
        <v>0</v>
      </c>
      <c r="J4821">
        <f>Data!D4834</f>
        <v>0</v>
      </c>
      <c r="K4821">
        <f>Data!E4834</f>
        <v>0</v>
      </c>
      <c r="L4821">
        <f>Data!F4834</f>
        <v>0</v>
      </c>
      <c r="M4821">
        <f>Data!G4834</f>
        <v>0</v>
      </c>
      <c r="N4821">
        <f>Data!H4834</f>
        <v>0</v>
      </c>
      <c r="O4821">
        <f>Data!I4834</f>
        <v>0</v>
      </c>
      <c r="P4821" s="21">
        <f>Data!J4838</f>
        <v>0</v>
      </c>
      <c r="Q4821">
        <f>Data!K4838</f>
        <v>0</v>
      </c>
      <c r="R4821">
        <f>Data!L4838</f>
        <v>0</v>
      </c>
      <c r="S4821">
        <f>Data!M4838</f>
        <v>0</v>
      </c>
      <c r="T4821">
        <f>Data!N4838</f>
        <v>0</v>
      </c>
      <c r="U4821">
        <f>Data!O4838</f>
        <v>0</v>
      </c>
      <c r="V4821" s="33">
        <f>Data!P4836</f>
        <v>0</v>
      </c>
    </row>
    <row r="4822" spans="7:22" x14ac:dyDescent="0.25">
      <c r="G4822">
        <f>Data!A4835</f>
        <v>0</v>
      </c>
      <c r="H4822" s="21">
        <f>Data!B4835</f>
        <v>0</v>
      </c>
      <c r="I4822" s="21">
        <f>Data!C4835</f>
        <v>0</v>
      </c>
      <c r="J4822">
        <f>Data!D4835</f>
        <v>0</v>
      </c>
      <c r="K4822">
        <f>Data!E4835</f>
        <v>0</v>
      </c>
      <c r="L4822">
        <f>Data!F4835</f>
        <v>0</v>
      </c>
      <c r="M4822">
        <f>Data!G4835</f>
        <v>0</v>
      </c>
      <c r="N4822">
        <f>Data!H4835</f>
        <v>0</v>
      </c>
      <c r="O4822">
        <f>Data!I4835</f>
        <v>0</v>
      </c>
      <c r="P4822" s="21">
        <f>Data!J4839</f>
        <v>0</v>
      </c>
      <c r="Q4822">
        <f>Data!K4839</f>
        <v>0</v>
      </c>
      <c r="R4822">
        <f>Data!L4839</f>
        <v>0</v>
      </c>
      <c r="S4822">
        <f>Data!M4839</f>
        <v>0</v>
      </c>
      <c r="T4822">
        <f>Data!N4839</f>
        <v>0</v>
      </c>
      <c r="U4822">
        <f>Data!O4839</f>
        <v>0</v>
      </c>
      <c r="V4822" s="33">
        <f>Data!P4837</f>
        <v>0</v>
      </c>
    </row>
    <row r="4823" spans="7:22" x14ac:dyDescent="0.25">
      <c r="G4823">
        <f>Data!A4836</f>
        <v>0</v>
      </c>
      <c r="H4823" s="21">
        <f>Data!B4836</f>
        <v>0</v>
      </c>
      <c r="I4823" s="21">
        <f>Data!C4836</f>
        <v>0</v>
      </c>
      <c r="J4823">
        <f>Data!D4836</f>
        <v>0</v>
      </c>
      <c r="K4823">
        <f>Data!E4836</f>
        <v>0</v>
      </c>
      <c r="L4823">
        <f>Data!F4836</f>
        <v>0</v>
      </c>
      <c r="M4823">
        <f>Data!G4836</f>
        <v>0</v>
      </c>
      <c r="N4823">
        <f>Data!H4836</f>
        <v>0</v>
      </c>
      <c r="O4823">
        <f>Data!I4836</f>
        <v>0</v>
      </c>
      <c r="P4823" s="21">
        <f>Data!J4840</f>
        <v>0</v>
      </c>
      <c r="Q4823">
        <f>Data!K4840</f>
        <v>0</v>
      </c>
      <c r="R4823">
        <f>Data!L4840</f>
        <v>0</v>
      </c>
      <c r="S4823">
        <f>Data!M4840</f>
        <v>0</v>
      </c>
      <c r="T4823">
        <f>Data!N4840</f>
        <v>0</v>
      </c>
      <c r="U4823">
        <f>Data!O4840</f>
        <v>0</v>
      </c>
      <c r="V4823" s="33">
        <f>Data!P4838</f>
        <v>0</v>
      </c>
    </row>
    <row r="4824" spans="7:22" x14ac:dyDescent="0.25">
      <c r="G4824">
        <f>Data!A4837</f>
        <v>0</v>
      </c>
      <c r="H4824" s="21">
        <f>Data!B4837</f>
        <v>0</v>
      </c>
      <c r="I4824" s="21">
        <f>Data!C4837</f>
        <v>0</v>
      </c>
      <c r="J4824">
        <f>Data!D4837</f>
        <v>0</v>
      </c>
      <c r="K4824">
        <f>Data!E4837</f>
        <v>0</v>
      </c>
      <c r="L4824">
        <f>Data!F4837</f>
        <v>0</v>
      </c>
      <c r="M4824">
        <f>Data!G4837</f>
        <v>0</v>
      </c>
      <c r="N4824">
        <f>Data!H4837</f>
        <v>0</v>
      </c>
      <c r="O4824">
        <f>Data!I4837</f>
        <v>0</v>
      </c>
      <c r="P4824" s="21">
        <f>Data!J4841</f>
        <v>0</v>
      </c>
      <c r="Q4824">
        <f>Data!K4841</f>
        <v>0</v>
      </c>
      <c r="R4824">
        <f>Data!L4841</f>
        <v>0</v>
      </c>
      <c r="S4824">
        <f>Data!M4841</f>
        <v>0</v>
      </c>
      <c r="T4824">
        <f>Data!N4841</f>
        <v>0</v>
      </c>
      <c r="U4824">
        <f>Data!O4841</f>
        <v>0</v>
      </c>
      <c r="V4824" s="33">
        <f>Data!P4839</f>
        <v>0</v>
      </c>
    </row>
    <row r="4825" spans="7:22" x14ac:dyDescent="0.25">
      <c r="G4825">
        <f>Data!A4838</f>
        <v>0</v>
      </c>
      <c r="H4825" s="21">
        <f>Data!B4838</f>
        <v>0</v>
      </c>
      <c r="I4825" s="21">
        <f>Data!C4838</f>
        <v>0</v>
      </c>
      <c r="J4825">
        <f>Data!D4838</f>
        <v>0</v>
      </c>
      <c r="K4825">
        <f>Data!E4838</f>
        <v>0</v>
      </c>
      <c r="L4825">
        <f>Data!F4838</f>
        <v>0</v>
      </c>
      <c r="M4825">
        <f>Data!G4838</f>
        <v>0</v>
      </c>
      <c r="N4825">
        <f>Data!H4838</f>
        <v>0</v>
      </c>
      <c r="O4825">
        <f>Data!I4838</f>
        <v>0</v>
      </c>
      <c r="P4825" s="21">
        <f>Data!J4842</f>
        <v>0</v>
      </c>
      <c r="Q4825">
        <f>Data!K4842</f>
        <v>0</v>
      </c>
      <c r="R4825">
        <f>Data!L4842</f>
        <v>0</v>
      </c>
      <c r="S4825">
        <f>Data!M4842</f>
        <v>0</v>
      </c>
      <c r="T4825">
        <f>Data!N4842</f>
        <v>0</v>
      </c>
      <c r="U4825">
        <f>Data!O4842</f>
        <v>0</v>
      </c>
      <c r="V4825" s="33">
        <f>Data!P4840</f>
        <v>0</v>
      </c>
    </row>
    <row r="4826" spans="7:22" x14ac:dyDescent="0.25">
      <c r="G4826">
        <f>Data!A4839</f>
        <v>0</v>
      </c>
      <c r="H4826" s="21">
        <f>Data!B4839</f>
        <v>0</v>
      </c>
      <c r="I4826" s="21">
        <f>Data!C4839</f>
        <v>0</v>
      </c>
      <c r="J4826">
        <f>Data!D4839</f>
        <v>0</v>
      </c>
      <c r="K4826">
        <f>Data!E4839</f>
        <v>0</v>
      </c>
      <c r="L4826">
        <f>Data!F4839</f>
        <v>0</v>
      </c>
      <c r="M4826">
        <f>Data!G4839</f>
        <v>0</v>
      </c>
      <c r="N4826">
        <f>Data!H4839</f>
        <v>0</v>
      </c>
      <c r="O4826">
        <f>Data!I4839</f>
        <v>0</v>
      </c>
      <c r="P4826" s="21">
        <f>Data!J4843</f>
        <v>0</v>
      </c>
      <c r="Q4826">
        <f>Data!K4843</f>
        <v>0</v>
      </c>
      <c r="R4826">
        <f>Data!L4843</f>
        <v>0</v>
      </c>
      <c r="S4826">
        <f>Data!M4843</f>
        <v>0</v>
      </c>
      <c r="T4826">
        <f>Data!N4843</f>
        <v>0</v>
      </c>
      <c r="U4826">
        <f>Data!O4843</f>
        <v>0</v>
      </c>
      <c r="V4826" s="33">
        <f>Data!P4841</f>
        <v>0</v>
      </c>
    </row>
    <row r="4827" spans="7:22" x14ac:dyDescent="0.25">
      <c r="G4827">
        <f>Data!A4840</f>
        <v>0</v>
      </c>
      <c r="H4827" s="21">
        <f>Data!B4840</f>
        <v>0</v>
      </c>
      <c r="I4827" s="21">
        <f>Data!C4840</f>
        <v>0</v>
      </c>
      <c r="J4827">
        <f>Data!D4840</f>
        <v>0</v>
      </c>
      <c r="K4827">
        <f>Data!E4840</f>
        <v>0</v>
      </c>
      <c r="L4827">
        <f>Data!F4840</f>
        <v>0</v>
      </c>
      <c r="M4827">
        <f>Data!G4840</f>
        <v>0</v>
      </c>
      <c r="N4827">
        <f>Data!H4840</f>
        <v>0</v>
      </c>
      <c r="O4827">
        <f>Data!I4840</f>
        <v>0</v>
      </c>
      <c r="P4827" s="21">
        <f>Data!J4844</f>
        <v>0</v>
      </c>
      <c r="Q4827">
        <f>Data!K4844</f>
        <v>0</v>
      </c>
      <c r="R4827">
        <f>Data!L4844</f>
        <v>0</v>
      </c>
      <c r="S4827">
        <f>Data!M4844</f>
        <v>0</v>
      </c>
      <c r="T4827">
        <f>Data!N4844</f>
        <v>0</v>
      </c>
      <c r="U4827">
        <f>Data!O4844</f>
        <v>0</v>
      </c>
      <c r="V4827" s="33">
        <f>Data!P4842</f>
        <v>0</v>
      </c>
    </row>
    <row r="4828" spans="7:22" x14ac:dyDescent="0.25">
      <c r="G4828">
        <f>Data!A4841</f>
        <v>0</v>
      </c>
      <c r="H4828" s="21">
        <f>Data!B4841</f>
        <v>0</v>
      </c>
      <c r="I4828" s="21">
        <f>Data!C4841</f>
        <v>0</v>
      </c>
      <c r="J4828">
        <f>Data!D4841</f>
        <v>0</v>
      </c>
      <c r="K4828">
        <f>Data!E4841</f>
        <v>0</v>
      </c>
      <c r="L4828">
        <f>Data!F4841</f>
        <v>0</v>
      </c>
      <c r="M4828">
        <f>Data!G4841</f>
        <v>0</v>
      </c>
      <c r="N4828">
        <f>Data!H4841</f>
        <v>0</v>
      </c>
      <c r="O4828">
        <f>Data!I4841</f>
        <v>0</v>
      </c>
      <c r="P4828" s="21">
        <f>Data!J4845</f>
        <v>0</v>
      </c>
      <c r="Q4828">
        <f>Data!K4845</f>
        <v>0</v>
      </c>
      <c r="R4828">
        <f>Data!L4845</f>
        <v>0</v>
      </c>
      <c r="S4828">
        <f>Data!M4845</f>
        <v>0</v>
      </c>
      <c r="T4828">
        <f>Data!N4845</f>
        <v>0</v>
      </c>
      <c r="U4828">
        <f>Data!O4845</f>
        <v>0</v>
      </c>
      <c r="V4828" s="33">
        <f>Data!P4843</f>
        <v>0</v>
      </c>
    </row>
    <row r="4829" spans="7:22" x14ac:dyDescent="0.25">
      <c r="G4829">
        <f>Data!A4842</f>
        <v>0</v>
      </c>
      <c r="H4829" s="21">
        <f>Data!B4842</f>
        <v>0</v>
      </c>
      <c r="I4829" s="21">
        <f>Data!C4842</f>
        <v>0</v>
      </c>
      <c r="J4829">
        <f>Data!D4842</f>
        <v>0</v>
      </c>
      <c r="K4829">
        <f>Data!E4842</f>
        <v>0</v>
      </c>
      <c r="L4829">
        <f>Data!F4842</f>
        <v>0</v>
      </c>
      <c r="M4829">
        <f>Data!G4842</f>
        <v>0</v>
      </c>
      <c r="N4829">
        <f>Data!H4842</f>
        <v>0</v>
      </c>
      <c r="O4829">
        <f>Data!I4842</f>
        <v>0</v>
      </c>
      <c r="P4829" s="21">
        <f>Data!J4846</f>
        <v>0</v>
      </c>
      <c r="Q4829">
        <f>Data!K4846</f>
        <v>0</v>
      </c>
      <c r="R4829">
        <f>Data!L4846</f>
        <v>0</v>
      </c>
      <c r="S4829">
        <f>Data!M4846</f>
        <v>0</v>
      </c>
      <c r="T4829">
        <f>Data!N4846</f>
        <v>0</v>
      </c>
      <c r="U4829">
        <f>Data!O4846</f>
        <v>0</v>
      </c>
      <c r="V4829" s="33">
        <f>Data!P4844</f>
        <v>0</v>
      </c>
    </row>
    <row r="4830" spans="7:22" x14ac:dyDescent="0.25">
      <c r="G4830">
        <f>Data!A4843</f>
        <v>0</v>
      </c>
      <c r="H4830" s="21">
        <f>Data!B4843</f>
        <v>0</v>
      </c>
      <c r="I4830" s="21">
        <f>Data!C4843</f>
        <v>0</v>
      </c>
      <c r="J4830">
        <f>Data!D4843</f>
        <v>0</v>
      </c>
      <c r="K4830">
        <f>Data!E4843</f>
        <v>0</v>
      </c>
      <c r="L4830">
        <f>Data!F4843</f>
        <v>0</v>
      </c>
      <c r="M4830">
        <f>Data!G4843</f>
        <v>0</v>
      </c>
      <c r="N4830">
        <f>Data!H4843</f>
        <v>0</v>
      </c>
      <c r="O4830">
        <f>Data!I4843</f>
        <v>0</v>
      </c>
      <c r="P4830" s="21">
        <f>Data!J4847</f>
        <v>0</v>
      </c>
      <c r="Q4830">
        <f>Data!K4847</f>
        <v>0</v>
      </c>
      <c r="R4830">
        <f>Data!L4847</f>
        <v>0</v>
      </c>
      <c r="S4830">
        <f>Data!M4847</f>
        <v>0</v>
      </c>
      <c r="T4830">
        <f>Data!N4847</f>
        <v>0</v>
      </c>
      <c r="U4830">
        <f>Data!O4847</f>
        <v>0</v>
      </c>
      <c r="V4830" s="33">
        <f>Data!P4845</f>
        <v>0</v>
      </c>
    </row>
    <row r="4831" spans="7:22" x14ac:dyDescent="0.25">
      <c r="G4831">
        <f>Data!A4844</f>
        <v>0</v>
      </c>
      <c r="H4831" s="21">
        <f>Data!B4844</f>
        <v>0</v>
      </c>
      <c r="I4831" s="21">
        <f>Data!C4844</f>
        <v>0</v>
      </c>
      <c r="J4831">
        <f>Data!D4844</f>
        <v>0</v>
      </c>
      <c r="K4831">
        <f>Data!E4844</f>
        <v>0</v>
      </c>
      <c r="L4831">
        <f>Data!F4844</f>
        <v>0</v>
      </c>
      <c r="M4831">
        <f>Data!G4844</f>
        <v>0</v>
      </c>
      <c r="N4831">
        <f>Data!H4844</f>
        <v>0</v>
      </c>
      <c r="O4831">
        <f>Data!I4844</f>
        <v>0</v>
      </c>
      <c r="P4831" s="21">
        <f>Data!J4848</f>
        <v>0</v>
      </c>
      <c r="Q4831">
        <f>Data!K4848</f>
        <v>0</v>
      </c>
      <c r="R4831">
        <f>Data!L4848</f>
        <v>0</v>
      </c>
      <c r="S4831">
        <f>Data!M4848</f>
        <v>0</v>
      </c>
      <c r="T4831">
        <f>Data!N4848</f>
        <v>0</v>
      </c>
      <c r="U4831">
        <f>Data!O4848</f>
        <v>0</v>
      </c>
      <c r="V4831" s="33">
        <f>Data!P4846</f>
        <v>0</v>
      </c>
    </row>
    <row r="4832" spans="7:22" x14ac:dyDescent="0.25">
      <c r="G4832">
        <f>Data!A4845</f>
        <v>0</v>
      </c>
      <c r="H4832" s="21">
        <f>Data!B4845</f>
        <v>0</v>
      </c>
      <c r="I4832" s="21">
        <f>Data!C4845</f>
        <v>0</v>
      </c>
      <c r="J4832">
        <f>Data!D4845</f>
        <v>0</v>
      </c>
      <c r="K4832">
        <f>Data!E4845</f>
        <v>0</v>
      </c>
      <c r="L4832">
        <f>Data!F4845</f>
        <v>0</v>
      </c>
      <c r="M4832">
        <f>Data!G4845</f>
        <v>0</v>
      </c>
      <c r="N4832">
        <f>Data!H4845</f>
        <v>0</v>
      </c>
      <c r="O4832">
        <f>Data!I4845</f>
        <v>0</v>
      </c>
      <c r="P4832" s="21">
        <f>Data!J4849</f>
        <v>0</v>
      </c>
      <c r="Q4832">
        <f>Data!K4849</f>
        <v>0</v>
      </c>
      <c r="R4832">
        <f>Data!L4849</f>
        <v>0</v>
      </c>
      <c r="S4832">
        <f>Data!M4849</f>
        <v>0</v>
      </c>
      <c r="T4832">
        <f>Data!N4849</f>
        <v>0</v>
      </c>
      <c r="U4832">
        <f>Data!O4849</f>
        <v>0</v>
      </c>
      <c r="V4832" s="33">
        <f>Data!P4847</f>
        <v>0</v>
      </c>
    </row>
    <row r="4833" spans="7:22" x14ac:dyDescent="0.25">
      <c r="G4833">
        <f>Data!A4846</f>
        <v>0</v>
      </c>
      <c r="H4833" s="21">
        <f>Data!B4846</f>
        <v>0</v>
      </c>
      <c r="I4833" s="21">
        <f>Data!C4846</f>
        <v>0</v>
      </c>
      <c r="J4833">
        <f>Data!D4846</f>
        <v>0</v>
      </c>
      <c r="K4833">
        <f>Data!E4846</f>
        <v>0</v>
      </c>
      <c r="L4833">
        <f>Data!F4846</f>
        <v>0</v>
      </c>
      <c r="M4833">
        <f>Data!G4846</f>
        <v>0</v>
      </c>
      <c r="N4833">
        <f>Data!H4846</f>
        <v>0</v>
      </c>
      <c r="O4833">
        <f>Data!I4846</f>
        <v>0</v>
      </c>
      <c r="P4833" s="21">
        <f>Data!J4850</f>
        <v>0</v>
      </c>
      <c r="Q4833">
        <f>Data!K4850</f>
        <v>0</v>
      </c>
      <c r="R4833">
        <f>Data!L4850</f>
        <v>0</v>
      </c>
      <c r="S4833">
        <f>Data!M4850</f>
        <v>0</v>
      </c>
      <c r="T4833">
        <f>Data!N4850</f>
        <v>0</v>
      </c>
      <c r="U4833">
        <f>Data!O4850</f>
        <v>0</v>
      </c>
      <c r="V4833" s="33">
        <f>Data!P4848</f>
        <v>0</v>
      </c>
    </row>
    <row r="4834" spans="7:22" x14ac:dyDescent="0.25">
      <c r="G4834">
        <f>Data!A4847</f>
        <v>0</v>
      </c>
      <c r="H4834" s="21">
        <f>Data!B4847</f>
        <v>0</v>
      </c>
      <c r="I4834" s="21">
        <f>Data!C4847</f>
        <v>0</v>
      </c>
      <c r="J4834">
        <f>Data!D4847</f>
        <v>0</v>
      </c>
      <c r="K4834">
        <f>Data!E4847</f>
        <v>0</v>
      </c>
      <c r="L4834">
        <f>Data!F4847</f>
        <v>0</v>
      </c>
      <c r="M4834">
        <f>Data!G4847</f>
        <v>0</v>
      </c>
      <c r="N4834">
        <f>Data!H4847</f>
        <v>0</v>
      </c>
      <c r="O4834">
        <f>Data!I4847</f>
        <v>0</v>
      </c>
      <c r="P4834" s="21">
        <f>Data!J4851</f>
        <v>0</v>
      </c>
      <c r="Q4834">
        <f>Data!K4851</f>
        <v>0</v>
      </c>
      <c r="R4834">
        <f>Data!L4851</f>
        <v>0</v>
      </c>
      <c r="S4834">
        <f>Data!M4851</f>
        <v>0</v>
      </c>
      <c r="T4834">
        <f>Data!N4851</f>
        <v>0</v>
      </c>
      <c r="U4834">
        <f>Data!O4851</f>
        <v>0</v>
      </c>
      <c r="V4834" s="33">
        <f>Data!P4849</f>
        <v>0</v>
      </c>
    </row>
    <row r="4835" spans="7:22" x14ac:dyDescent="0.25">
      <c r="G4835">
        <f>Data!A4848</f>
        <v>0</v>
      </c>
      <c r="H4835" s="21">
        <f>Data!B4848</f>
        <v>0</v>
      </c>
      <c r="I4835" s="21">
        <f>Data!C4848</f>
        <v>0</v>
      </c>
      <c r="J4835">
        <f>Data!D4848</f>
        <v>0</v>
      </c>
      <c r="K4835">
        <f>Data!E4848</f>
        <v>0</v>
      </c>
      <c r="L4835">
        <f>Data!F4848</f>
        <v>0</v>
      </c>
      <c r="M4835">
        <f>Data!G4848</f>
        <v>0</v>
      </c>
      <c r="N4835">
        <f>Data!H4848</f>
        <v>0</v>
      </c>
      <c r="O4835">
        <f>Data!I4848</f>
        <v>0</v>
      </c>
      <c r="P4835" s="21">
        <f>Data!J4852</f>
        <v>0</v>
      </c>
      <c r="Q4835">
        <f>Data!K4852</f>
        <v>0</v>
      </c>
      <c r="R4835">
        <f>Data!L4852</f>
        <v>0</v>
      </c>
      <c r="S4835">
        <f>Data!M4852</f>
        <v>0</v>
      </c>
      <c r="T4835">
        <f>Data!N4852</f>
        <v>0</v>
      </c>
      <c r="U4835">
        <f>Data!O4852</f>
        <v>0</v>
      </c>
      <c r="V4835" s="33">
        <f>Data!P4850</f>
        <v>0</v>
      </c>
    </row>
    <row r="4836" spans="7:22" x14ac:dyDescent="0.25">
      <c r="G4836">
        <f>Data!A4849</f>
        <v>0</v>
      </c>
      <c r="H4836" s="21">
        <f>Data!B4849</f>
        <v>0</v>
      </c>
      <c r="I4836" s="21">
        <f>Data!C4849</f>
        <v>0</v>
      </c>
      <c r="J4836">
        <f>Data!D4849</f>
        <v>0</v>
      </c>
      <c r="K4836">
        <f>Data!E4849</f>
        <v>0</v>
      </c>
      <c r="L4836">
        <f>Data!F4849</f>
        <v>0</v>
      </c>
      <c r="M4836">
        <f>Data!G4849</f>
        <v>0</v>
      </c>
      <c r="N4836">
        <f>Data!H4849</f>
        <v>0</v>
      </c>
      <c r="O4836">
        <f>Data!I4849</f>
        <v>0</v>
      </c>
      <c r="P4836" s="21">
        <f>Data!J4853</f>
        <v>0</v>
      </c>
      <c r="Q4836">
        <f>Data!K4853</f>
        <v>0</v>
      </c>
      <c r="R4836">
        <f>Data!L4853</f>
        <v>0</v>
      </c>
      <c r="S4836">
        <f>Data!M4853</f>
        <v>0</v>
      </c>
      <c r="T4836">
        <f>Data!N4853</f>
        <v>0</v>
      </c>
      <c r="U4836">
        <f>Data!O4853</f>
        <v>0</v>
      </c>
      <c r="V4836" s="33">
        <f>Data!P4851</f>
        <v>0</v>
      </c>
    </row>
    <row r="4837" spans="7:22" x14ac:dyDescent="0.25">
      <c r="G4837">
        <f>Data!A4850</f>
        <v>0</v>
      </c>
      <c r="H4837" s="21">
        <f>Data!B4850</f>
        <v>0</v>
      </c>
      <c r="I4837" s="21">
        <f>Data!C4850</f>
        <v>0</v>
      </c>
      <c r="J4837">
        <f>Data!D4850</f>
        <v>0</v>
      </c>
      <c r="K4837">
        <f>Data!E4850</f>
        <v>0</v>
      </c>
      <c r="L4837">
        <f>Data!F4850</f>
        <v>0</v>
      </c>
      <c r="M4837">
        <f>Data!G4850</f>
        <v>0</v>
      </c>
      <c r="N4837">
        <f>Data!H4850</f>
        <v>0</v>
      </c>
      <c r="O4837">
        <f>Data!I4850</f>
        <v>0</v>
      </c>
      <c r="P4837" s="21">
        <f>Data!J4854</f>
        <v>0</v>
      </c>
      <c r="Q4837">
        <f>Data!K4854</f>
        <v>0</v>
      </c>
      <c r="R4837">
        <f>Data!L4854</f>
        <v>0</v>
      </c>
      <c r="S4837">
        <f>Data!M4854</f>
        <v>0</v>
      </c>
      <c r="T4837">
        <f>Data!N4854</f>
        <v>0</v>
      </c>
      <c r="U4837">
        <f>Data!O4854</f>
        <v>0</v>
      </c>
      <c r="V4837" s="33">
        <f>Data!P4852</f>
        <v>0</v>
      </c>
    </row>
    <row r="4838" spans="7:22" x14ac:dyDescent="0.25">
      <c r="G4838">
        <f>Data!A4851</f>
        <v>0</v>
      </c>
      <c r="H4838" s="21">
        <f>Data!B4851</f>
        <v>0</v>
      </c>
      <c r="I4838" s="21">
        <f>Data!C4851</f>
        <v>0</v>
      </c>
      <c r="J4838">
        <f>Data!D4851</f>
        <v>0</v>
      </c>
      <c r="K4838">
        <f>Data!E4851</f>
        <v>0</v>
      </c>
      <c r="L4838">
        <f>Data!F4851</f>
        <v>0</v>
      </c>
      <c r="M4838">
        <f>Data!G4851</f>
        <v>0</v>
      </c>
      <c r="N4838">
        <f>Data!H4851</f>
        <v>0</v>
      </c>
      <c r="O4838">
        <f>Data!I4851</f>
        <v>0</v>
      </c>
      <c r="P4838" s="21">
        <f>Data!J4855</f>
        <v>0</v>
      </c>
      <c r="Q4838">
        <f>Data!K4855</f>
        <v>0</v>
      </c>
      <c r="R4838">
        <f>Data!L4855</f>
        <v>0</v>
      </c>
      <c r="S4838">
        <f>Data!M4855</f>
        <v>0</v>
      </c>
      <c r="T4838">
        <f>Data!N4855</f>
        <v>0</v>
      </c>
      <c r="U4838">
        <f>Data!O4855</f>
        <v>0</v>
      </c>
      <c r="V4838" s="33">
        <f>Data!P4853</f>
        <v>0</v>
      </c>
    </row>
    <row r="4839" spans="7:22" x14ac:dyDescent="0.25">
      <c r="G4839">
        <f>Data!A4852</f>
        <v>0</v>
      </c>
      <c r="H4839" s="21">
        <f>Data!B4852</f>
        <v>0</v>
      </c>
      <c r="I4839" s="21">
        <f>Data!C4852</f>
        <v>0</v>
      </c>
      <c r="J4839">
        <f>Data!D4852</f>
        <v>0</v>
      </c>
      <c r="K4839">
        <f>Data!E4852</f>
        <v>0</v>
      </c>
      <c r="L4839">
        <f>Data!F4852</f>
        <v>0</v>
      </c>
      <c r="M4839">
        <f>Data!G4852</f>
        <v>0</v>
      </c>
      <c r="N4839">
        <f>Data!H4852</f>
        <v>0</v>
      </c>
      <c r="O4839">
        <f>Data!I4852</f>
        <v>0</v>
      </c>
      <c r="P4839" s="21">
        <f>Data!J4856</f>
        <v>0</v>
      </c>
      <c r="Q4839">
        <f>Data!K4856</f>
        <v>0</v>
      </c>
      <c r="R4839">
        <f>Data!L4856</f>
        <v>0</v>
      </c>
      <c r="S4839">
        <f>Data!M4856</f>
        <v>0</v>
      </c>
      <c r="T4839">
        <f>Data!N4856</f>
        <v>0</v>
      </c>
      <c r="U4839">
        <f>Data!O4856</f>
        <v>0</v>
      </c>
      <c r="V4839" s="33">
        <f>Data!P4854</f>
        <v>0</v>
      </c>
    </row>
    <row r="4840" spans="7:22" x14ac:dyDescent="0.25">
      <c r="G4840">
        <f>Data!A4853</f>
        <v>0</v>
      </c>
      <c r="H4840" s="21">
        <f>Data!B4853</f>
        <v>0</v>
      </c>
      <c r="I4840" s="21">
        <f>Data!C4853</f>
        <v>0</v>
      </c>
      <c r="J4840">
        <f>Data!D4853</f>
        <v>0</v>
      </c>
      <c r="K4840">
        <f>Data!E4853</f>
        <v>0</v>
      </c>
      <c r="L4840">
        <f>Data!F4853</f>
        <v>0</v>
      </c>
      <c r="M4840">
        <f>Data!G4853</f>
        <v>0</v>
      </c>
      <c r="N4840">
        <f>Data!H4853</f>
        <v>0</v>
      </c>
      <c r="O4840">
        <f>Data!I4853</f>
        <v>0</v>
      </c>
      <c r="P4840" s="21">
        <f>Data!J4857</f>
        <v>0</v>
      </c>
      <c r="Q4840">
        <f>Data!K4857</f>
        <v>0</v>
      </c>
      <c r="R4840">
        <f>Data!L4857</f>
        <v>0</v>
      </c>
      <c r="S4840">
        <f>Data!M4857</f>
        <v>0</v>
      </c>
      <c r="T4840">
        <f>Data!N4857</f>
        <v>0</v>
      </c>
      <c r="U4840">
        <f>Data!O4857</f>
        <v>0</v>
      </c>
      <c r="V4840" s="33">
        <f>Data!P4855</f>
        <v>0</v>
      </c>
    </row>
    <row r="4841" spans="7:22" x14ac:dyDescent="0.25">
      <c r="G4841">
        <f>Data!A4854</f>
        <v>0</v>
      </c>
      <c r="H4841" s="21">
        <f>Data!B4854</f>
        <v>0</v>
      </c>
      <c r="I4841" s="21">
        <f>Data!C4854</f>
        <v>0</v>
      </c>
      <c r="J4841">
        <f>Data!D4854</f>
        <v>0</v>
      </c>
      <c r="K4841">
        <f>Data!E4854</f>
        <v>0</v>
      </c>
      <c r="L4841">
        <f>Data!F4854</f>
        <v>0</v>
      </c>
      <c r="M4841">
        <f>Data!G4854</f>
        <v>0</v>
      </c>
      <c r="N4841">
        <f>Data!H4854</f>
        <v>0</v>
      </c>
      <c r="O4841">
        <f>Data!I4854</f>
        <v>0</v>
      </c>
      <c r="P4841" s="21">
        <f>Data!J4858</f>
        <v>0</v>
      </c>
      <c r="Q4841">
        <f>Data!K4858</f>
        <v>0</v>
      </c>
      <c r="R4841">
        <f>Data!L4858</f>
        <v>0</v>
      </c>
      <c r="S4841">
        <f>Data!M4858</f>
        <v>0</v>
      </c>
      <c r="T4841">
        <f>Data!N4858</f>
        <v>0</v>
      </c>
      <c r="U4841">
        <f>Data!O4858</f>
        <v>0</v>
      </c>
      <c r="V4841" s="33">
        <f>Data!P4856</f>
        <v>0</v>
      </c>
    </row>
    <row r="4842" spans="7:22" x14ac:dyDescent="0.25">
      <c r="G4842">
        <f>Data!A4855</f>
        <v>0</v>
      </c>
      <c r="H4842" s="21">
        <f>Data!B4855</f>
        <v>0</v>
      </c>
      <c r="I4842" s="21">
        <f>Data!C4855</f>
        <v>0</v>
      </c>
      <c r="J4842">
        <f>Data!D4855</f>
        <v>0</v>
      </c>
      <c r="K4842">
        <f>Data!E4855</f>
        <v>0</v>
      </c>
      <c r="L4842">
        <f>Data!F4855</f>
        <v>0</v>
      </c>
      <c r="M4842">
        <f>Data!G4855</f>
        <v>0</v>
      </c>
      <c r="N4842">
        <f>Data!H4855</f>
        <v>0</v>
      </c>
      <c r="O4842">
        <f>Data!I4855</f>
        <v>0</v>
      </c>
      <c r="P4842" s="21">
        <f>Data!J4859</f>
        <v>0</v>
      </c>
      <c r="Q4842">
        <f>Data!K4859</f>
        <v>0</v>
      </c>
      <c r="R4842">
        <f>Data!L4859</f>
        <v>0</v>
      </c>
      <c r="S4842">
        <f>Data!M4859</f>
        <v>0</v>
      </c>
      <c r="T4842">
        <f>Data!N4859</f>
        <v>0</v>
      </c>
      <c r="U4842">
        <f>Data!O4859</f>
        <v>0</v>
      </c>
      <c r="V4842" s="33">
        <f>Data!P4857</f>
        <v>0</v>
      </c>
    </row>
    <row r="4843" spans="7:22" x14ac:dyDescent="0.25">
      <c r="G4843">
        <f>Data!A4856</f>
        <v>0</v>
      </c>
      <c r="H4843" s="21">
        <f>Data!B4856</f>
        <v>0</v>
      </c>
      <c r="I4843" s="21">
        <f>Data!C4856</f>
        <v>0</v>
      </c>
      <c r="J4843">
        <f>Data!D4856</f>
        <v>0</v>
      </c>
      <c r="K4843">
        <f>Data!E4856</f>
        <v>0</v>
      </c>
      <c r="L4843">
        <f>Data!F4856</f>
        <v>0</v>
      </c>
      <c r="M4843">
        <f>Data!G4856</f>
        <v>0</v>
      </c>
      <c r="N4843">
        <f>Data!H4856</f>
        <v>0</v>
      </c>
      <c r="O4843">
        <f>Data!I4856</f>
        <v>0</v>
      </c>
      <c r="P4843" s="21">
        <f>Data!J4860</f>
        <v>0</v>
      </c>
      <c r="Q4843">
        <f>Data!K4860</f>
        <v>0</v>
      </c>
      <c r="R4843">
        <f>Data!L4860</f>
        <v>0</v>
      </c>
      <c r="S4843">
        <f>Data!M4860</f>
        <v>0</v>
      </c>
      <c r="T4843">
        <f>Data!N4860</f>
        <v>0</v>
      </c>
      <c r="U4843">
        <f>Data!O4860</f>
        <v>0</v>
      </c>
      <c r="V4843" s="33">
        <f>Data!P4858</f>
        <v>0</v>
      </c>
    </row>
    <row r="4844" spans="7:22" x14ac:dyDescent="0.25">
      <c r="G4844">
        <f>Data!A4857</f>
        <v>0</v>
      </c>
      <c r="H4844" s="21">
        <f>Data!B4857</f>
        <v>0</v>
      </c>
      <c r="I4844" s="21">
        <f>Data!C4857</f>
        <v>0</v>
      </c>
      <c r="J4844">
        <f>Data!D4857</f>
        <v>0</v>
      </c>
      <c r="K4844">
        <f>Data!E4857</f>
        <v>0</v>
      </c>
      <c r="L4844">
        <f>Data!F4857</f>
        <v>0</v>
      </c>
      <c r="M4844">
        <f>Data!G4857</f>
        <v>0</v>
      </c>
      <c r="N4844">
        <f>Data!H4857</f>
        <v>0</v>
      </c>
      <c r="O4844">
        <f>Data!I4857</f>
        <v>0</v>
      </c>
      <c r="P4844" s="21">
        <f>Data!J4861</f>
        <v>0</v>
      </c>
      <c r="Q4844">
        <f>Data!K4861</f>
        <v>0</v>
      </c>
      <c r="R4844">
        <f>Data!L4861</f>
        <v>0</v>
      </c>
      <c r="S4844">
        <f>Data!M4861</f>
        <v>0</v>
      </c>
      <c r="T4844">
        <f>Data!N4861</f>
        <v>0</v>
      </c>
      <c r="U4844">
        <f>Data!O4861</f>
        <v>0</v>
      </c>
      <c r="V4844" s="33">
        <f>Data!P4859</f>
        <v>0</v>
      </c>
    </row>
    <row r="4845" spans="7:22" x14ac:dyDescent="0.25">
      <c r="G4845">
        <f>Data!A4858</f>
        <v>0</v>
      </c>
      <c r="H4845" s="21">
        <f>Data!B4858</f>
        <v>0</v>
      </c>
      <c r="I4845" s="21">
        <f>Data!C4858</f>
        <v>0</v>
      </c>
      <c r="J4845">
        <f>Data!D4858</f>
        <v>0</v>
      </c>
      <c r="K4845">
        <f>Data!E4858</f>
        <v>0</v>
      </c>
      <c r="L4845">
        <f>Data!F4858</f>
        <v>0</v>
      </c>
      <c r="M4845">
        <f>Data!G4858</f>
        <v>0</v>
      </c>
      <c r="N4845">
        <f>Data!H4858</f>
        <v>0</v>
      </c>
      <c r="O4845">
        <f>Data!I4858</f>
        <v>0</v>
      </c>
      <c r="P4845" s="21">
        <f>Data!J4862</f>
        <v>0</v>
      </c>
      <c r="Q4845">
        <f>Data!K4862</f>
        <v>0</v>
      </c>
      <c r="R4845">
        <f>Data!L4862</f>
        <v>0</v>
      </c>
      <c r="S4845">
        <f>Data!M4862</f>
        <v>0</v>
      </c>
      <c r="T4845">
        <f>Data!N4862</f>
        <v>0</v>
      </c>
      <c r="U4845">
        <f>Data!O4862</f>
        <v>0</v>
      </c>
      <c r="V4845" s="33">
        <f>Data!P4860</f>
        <v>0</v>
      </c>
    </row>
    <row r="4846" spans="7:22" x14ac:dyDescent="0.25">
      <c r="G4846">
        <f>Data!A4859</f>
        <v>0</v>
      </c>
      <c r="H4846" s="21">
        <f>Data!B4859</f>
        <v>0</v>
      </c>
      <c r="I4846" s="21">
        <f>Data!C4859</f>
        <v>0</v>
      </c>
      <c r="J4846">
        <f>Data!D4859</f>
        <v>0</v>
      </c>
      <c r="K4846">
        <f>Data!E4859</f>
        <v>0</v>
      </c>
      <c r="L4846">
        <f>Data!F4859</f>
        <v>0</v>
      </c>
      <c r="M4846">
        <f>Data!G4859</f>
        <v>0</v>
      </c>
      <c r="N4846">
        <f>Data!H4859</f>
        <v>0</v>
      </c>
      <c r="O4846">
        <f>Data!I4859</f>
        <v>0</v>
      </c>
      <c r="P4846" s="21">
        <f>Data!J4863</f>
        <v>0</v>
      </c>
      <c r="Q4846">
        <f>Data!K4863</f>
        <v>0</v>
      </c>
      <c r="R4846">
        <f>Data!L4863</f>
        <v>0</v>
      </c>
      <c r="S4846">
        <f>Data!M4863</f>
        <v>0</v>
      </c>
      <c r="T4846">
        <f>Data!N4863</f>
        <v>0</v>
      </c>
      <c r="U4846">
        <f>Data!O4863</f>
        <v>0</v>
      </c>
      <c r="V4846" s="33">
        <f>Data!P4861</f>
        <v>0</v>
      </c>
    </row>
    <row r="4847" spans="7:22" x14ac:dyDescent="0.25">
      <c r="G4847">
        <f>Data!A4860</f>
        <v>0</v>
      </c>
      <c r="H4847" s="21">
        <f>Data!B4860</f>
        <v>0</v>
      </c>
      <c r="I4847" s="21">
        <f>Data!C4860</f>
        <v>0</v>
      </c>
      <c r="J4847">
        <f>Data!D4860</f>
        <v>0</v>
      </c>
      <c r="K4847">
        <f>Data!E4860</f>
        <v>0</v>
      </c>
      <c r="L4847">
        <f>Data!F4860</f>
        <v>0</v>
      </c>
      <c r="M4847">
        <f>Data!G4860</f>
        <v>0</v>
      </c>
      <c r="N4847">
        <f>Data!H4860</f>
        <v>0</v>
      </c>
      <c r="O4847">
        <f>Data!I4860</f>
        <v>0</v>
      </c>
      <c r="P4847" s="21">
        <f>Data!J4864</f>
        <v>0</v>
      </c>
      <c r="Q4847">
        <f>Data!K4864</f>
        <v>0</v>
      </c>
      <c r="R4847">
        <f>Data!L4864</f>
        <v>0</v>
      </c>
      <c r="S4847">
        <f>Data!M4864</f>
        <v>0</v>
      </c>
      <c r="T4847">
        <f>Data!N4864</f>
        <v>0</v>
      </c>
      <c r="U4847">
        <f>Data!O4864</f>
        <v>0</v>
      </c>
      <c r="V4847" s="33">
        <f>Data!P4862</f>
        <v>0</v>
      </c>
    </row>
    <row r="4848" spans="7:22" x14ac:dyDescent="0.25">
      <c r="G4848">
        <f>Data!A4861</f>
        <v>0</v>
      </c>
      <c r="H4848" s="21">
        <f>Data!B4861</f>
        <v>0</v>
      </c>
      <c r="I4848" s="21">
        <f>Data!C4861</f>
        <v>0</v>
      </c>
      <c r="J4848">
        <f>Data!D4861</f>
        <v>0</v>
      </c>
      <c r="K4848">
        <f>Data!E4861</f>
        <v>0</v>
      </c>
      <c r="L4848">
        <f>Data!F4861</f>
        <v>0</v>
      </c>
      <c r="M4848">
        <f>Data!G4861</f>
        <v>0</v>
      </c>
      <c r="N4848">
        <f>Data!H4861</f>
        <v>0</v>
      </c>
      <c r="O4848">
        <f>Data!I4861</f>
        <v>0</v>
      </c>
      <c r="P4848" s="21">
        <f>Data!J4865</f>
        <v>0</v>
      </c>
      <c r="Q4848">
        <f>Data!K4865</f>
        <v>0</v>
      </c>
      <c r="R4848">
        <f>Data!L4865</f>
        <v>0</v>
      </c>
      <c r="S4848">
        <f>Data!M4865</f>
        <v>0</v>
      </c>
      <c r="T4848">
        <f>Data!N4865</f>
        <v>0</v>
      </c>
      <c r="U4848">
        <f>Data!O4865</f>
        <v>0</v>
      </c>
      <c r="V4848" s="33">
        <f>Data!P4863</f>
        <v>0</v>
      </c>
    </row>
    <row r="4849" spans="7:22" x14ac:dyDescent="0.25">
      <c r="G4849">
        <f>Data!A4862</f>
        <v>0</v>
      </c>
      <c r="H4849" s="21">
        <f>Data!B4862</f>
        <v>0</v>
      </c>
      <c r="I4849" s="21">
        <f>Data!C4862</f>
        <v>0</v>
      </c>
      <c r="J4849">
        <f>Data!D4862</f>
        <v>0</v>
      </c>
      <c r="K4849">
        <f>Data!E4862</f>
        <v>0</v>
      </c>
      <c r="L4849">
        <f>Data!F4862</f>
        <v>0</v>
      </c>
      <c r="M4849">
        <f>Data!G4862</f>
        <v>0</v>
      </c>
      <c r="N4849">
        <f>Data!H4862</f>
        <v>0</v>
      </c>
      <c r="O4849">
        <f>Data!I4862</f>
        <v>0</v>
      </c>
      <c r="P4849" s="21">
        <f>Data!J4866</f>
        <v>0</v>
      </c>
      <c r="Q4849">
        <f>Data!K4866</f>
        <v>0</v>
      </c>
      <c r="R4849">
        <f>Data!L4866</f>
        <v>0</v>
      </c>
      <c r="S4849">
        <f>Data!M4866</f>
        <v>0</v>
      </c>
      <c r="T4849">
        <f>Data!N4866</f>
        <v>0</v>
      </c>
      <c r="U4849">
        <f>Data!O4866</f>
        <v>0</v>
      </c>
      <c r="V4849" s="33">
        <f>Data!P4864</f>
        <v>0</v>
      </c>
    </row>
    <row r="4850" spans="7:22" x14ac:dyDescent="0.25">
      <c r="G4850">
        <f>Data!A4863</f>
        <v>0</v>
      </c>
      <c r="H4850" s="21">
        <f>Data!B4863</f>
        <v>0</v>
      </c>
      <c r="I4850" s="21">
        <f>Data!C4863</f>
        <v>0</v>
      </c>
      <c r="J4850">
        <f>Data!D4863</f>
        <v>0</v>
      </c>
      <c r="K4850">
        <f>Data!E4863</f>
        <v>0</v>
      </c>
      <c r="L4850">
        <f>Data!F4863</f>
        <v>0</v>
      </c>
      <c r="M4850">
        <f>Data!G4863</f>
        <v>0</v>
      </c>
      <c r="N4850">
        <f>Data!H4863</f>
        <v>0</v>
      </c>
      <c r="O4850">
        <f>Data!I4863</f>
        <v>0</v>
      </c>
      <c r="P4850" s="21">
        <f>Data!J4867</f>
        <v>0</v>
      </c>
      <c r="Q4850">
        <f>Data!K4867</f>
        <v>0</v>
      </c>
      <c r="R4850">
        <f>Data!L4867</f>
        <v>0</v>
      </c>
      <c r="S4850">
        <f>Data!M4867</f>
        <v>0</v>
      </c>
      <c r="T4850">
        <f>Data!N4867</f>
        <v>0</v>
      </c>
      <c r="U4850">
        <f>Data!O4867</f>
        <v>0</v>
      </c>
      <c r="V4850" s="33">
        <f>Data!P4865</f>
        <v>0</v>
      </c>
    </row>
    <row r="4851" spans="7:22" x14ac:dyDescent="0.25">
      <c r="G4851">
        <f>Data!A4864</f>
        <v>0</v>
      </c>
      <c r="H4851" s="21">
        <f>Data!B4864</f>
        <v>0</v>
      </c>
      <c r="I4851" s="21">
        <f>Data!C4864</f>
        <v>0</v>
      </c>
      <c r="J4851">
        <f>Data!D4864</f>
        <v>0</v>
      </c>
      <c r="K4851">
        <f>Data!E4864</f>
        <v>0</v>
      </c>
      <c r="L4851">
        <f>Data!F4864</f>
        <v>0</v>
      </c>
      <c r="M4851">
        <f>Data!G4864</f>
        <v>0</v>
      </c>
      <c r="N4851">
        <f>Data!H4864</f>
        <v>0</v>
      </c>
      <c r="O4851">
        <f>Data!I4864</f>
        <v>0</v>
      </c>
      <c r="P4851" s="21">
        <f>Data!J4868</f>
        <v>0</v>
      </c>
      <c r="Q4851">
        <f>Data!K4868</f>
        <v>0</v>
      </c>
      <c r="R4851">
        <f>Data!L4868</f>
        <v>0</v>
      </c>
      <c r="S4851">
        <f>Data!M4868</f>
        <v>0</v>
      </c>
      <c r="T4851">
        <f>Data!N4868</f>
        <v>0</v>
      </c>
      <c r="U4851">
        <f>Data!O4868</f>
        <v>0</v>
      </c>
      <c r="V4851" s="33">
        <f>Data!P4866</f>
        <v>0</v>
      </c>
    </row>
    <row r="4852" spans="7:22" x14ac:dyDescent="0.25">
      <c r="G4852">
        <f>Data!A4865</f>
        <v>0</v>
      </c>
      <c r="H4852" s="21">
        <f>Data!B4865</f>
        <v>0</v>
      </c>
      <c r="I4852" s="21">
        <f>Data!C4865</f>
        <v>0</v>
      </c>
      <c r="J4852">
        <f>Data!D4865</f>
        <v>0</v>
      </c>
      <c r="K4852">
        <f>Data!E4865</f>
        <v>0</v>
      </c>
      <c r="L4852">
        <f>Data!F4865</f>
        <v>0</v>
      </c>
      <c r="M4852">
        <f>Data!G4865</f>
        <v>0</v>
      </c>
      <c r="N4852">
        <f>Data!H4865</f>
        <v>0</v>
      </c>
      <c r="O4852">
        <f>Data!I4865</f>
        <v>0</v>
      </c>
      <c r="P4852" s="21">
        <f>Data!J4869</f>
        <v>0</v>
      </c>
      <c r="Q4852">
        <f>Data!K4869</f>
        <v>0</v>
      </c>
      <c r="R4852">
        <f>Data!L4869</f>
        <v>0</v>
      </c>
      <c r="S4852">
        <f>Data!M4869</f>
        <v>0</v>
      </c>
      <c r="T4852">
        <f>Data!N4869</f>
        <v>0</v>
      </c>
      <c r="U4852">
        <f>Data!O4869</f>
        <v>0</v>
      </c>
      <c r="V4852" s="33">
        <f>Data!P4867</f>
        <v>0</v>
      </c>
    </row>
    <row r="4853" spans="7:22" x14ac:dyDescent="0.25">
      <c r="G4853">
        <f>Data!A4866</f>
        <v>0</v>
      </c>
      <c r="H4853" s="21">
        <f>Data!B4866</f>
        <v>0</v>
      </c>
      <c r="I4853" s="21">
        <f>Data!C4866</f>
        <v>0</v>
      </c>
      <c r="J4853">
        <f>Data!D4866</f>
        <v>0</v>
      </c>
      <c r="K4853">
        <f>Data!E4866</f>
        <v>0</v>
      </c>
      <c r="L4853">
        <f>Data!F4866</f>
        <v>0</v>
      </c>
      <c r="M4853">
        <f>Data!G4866</f>
        <v>0</v>
      </c>
      <c r="N4853">
        <f>Data!H4866</f>
        <v>0</v>
      </c>
      <c r="O4853">
        <f>Data!I4866</f>
        <v>0</v>
      </c>
      <c r="P4853" s="21">
        <f>Data!J4870</f>
        <v>0</v>
      </c>
      <c r="Q4853">
        <f>Data!K4870</f>
        <v>0</v>
      </c>
      <c r="R4853">
        <f>Data!L4870</f>
        <v>0</v>
      </c>
      <c r="S4853">
        <f>Data!M4870</f>
        <v>0</v>
      </c>
      <c r="T4853">
        <f>Data!N4870</f>
        <v>0</v>
      </c>
      <c r="U4853">
        <f>Data!O4870</f>
        <v>0</v>
      </c>
      <c r="V4853" s="33">
        <f>Data!P4868</f>
        <v>0</v>
      </c>
    </row>
    <row r="4854" spans="7:22" x14ac:dyDescent="0.25">
      <c r="G4854">
        <f>Data!A4867</f>
        <v>0</v>
      </c>
      <c r="H4854" s="21">
        <f>Data!B4867</f>
        <v>0</v>
      </c>
      <c r="I4854" s="21">
        <f>Data!C4867</f>
        <v>0</v>
      </c>
      <c r="J4854">
        <f>Data!D4867</f>
        <v>0</v>
      </c>
      <c r="K4854">
        <f>Data!E4867</f>
        <v>0</v>
      </c>
      <c r="L4854">
        <f>Data!F4867</f>
        <v>0</v>
      </c>
      <c r="M4854">
        <f>Data!G4867</f>
        <v>0</v>
      </c>
      <c r="N4854">
        <f>Data!H4867</f>
        <v>0</v>
      </c>
      <c r="O4854">
        <f>Data!I4867</f>
        <v>0</v>
      </c>
      <c r="P4854" s="21">
        <f>Data!J4871</f>
        <v>0</v>
      </c>
      <c r="Q4854">
        <f>Data!K4871</f>
        <v>0</v>
      </c>
      <c r="R4854">
        <f>Data!L4871</f>
        <v>0</v>
      </c>
      <c r="S4854">
        <f>Data!M4871</f>
        <v>0</v>
      </c>
      <c r="T4854">
        <f>Data!N4871</f>
        <v>0</v>
      </c>
      <c r="U4854">
        <f>Data!O4871</f>
        <v>0</v>
      </c>
      <c r="V4854" s="33">
        <f>Data!P4869</f>
        <v>0</v>
      </c>
    </row>
    <row r="4855" spans="7:22" x14ac:dyDescent="0.25">
      <c r="G4855">
        <f>Data!A4868</f>
        <v>0</v>
      </c>
      <c r="H4855" s="21">
        <f>Data!B4868</f>
        <v>0</v>
      </c>
      <c r="I4855" s="21">
        <f>Data!C4868</f>
        <v>0</v>
      </c>
      <c r="J4855">
        <f>Data!D4868</f>
        <v>0</v>
      </c>
      <c r="K4855">
        <f>Data!E4868</f>
        <v>0</v>
      </c>
      <c r="L4855">
        <f>Data!F4868</f>
        <v>0</v>
      </c>
      <c r="M4855">
        <f>Data!G4868</f>
        <v>0</v>
      </c>
      <c r="N4855">
        <f>Data!H4868</f>
        <v>0</v>
      </c>
      <c r="O4855">
        <f>Data!I4868</f>
        <v>0</v>
      </c>
      <c r="P4855" s="21">
        <f>Data!J4872</f>
        <v>0</v>
      </c>
      <c r="Q4855">
        <f>Data!K4872</f>
        <v>0</v>
      </c>
      <c r="R4855">
        <f>Data!L4872</f>
        <v>0</v>
      </c>
      <c r="S4855">
        <f>Data!M4872</f>
        <v>0</v>
      </c>
      <c r="T4855">
        <f>Data!N4872</f>
        <v>0</v>
      </c>
      <c r="U4855">
        <f>Data!O4872</f>
        <v>0</v>
      </c>
      <c r="V4855" s="33">
        <f>Data!P4870</f>
        <v>0</v>
      </c>
    </row>
    <row r="4856" spans="7:22" x14ac:dyDescent="0.25">
      <c r="G4856">
        <f>Data!A4869</f>
        <v>0</v>
      </c>
      <c r="H4856" s="21">
        <f>Data!B4869</f>
        <v>0</v>
      </c>
      <c r="I4856" s="21">
        <f>Data!C4869</f>
        <v>0</v>
      </c>
      <c r="J4856">
        <f>Data!D4869</f>
        <v>0</v>
      </c>
      <c r="K4856">
        <f>Data!E4869</f>
        <v>0</v>
      </c>
      <c r="L4856">
        <f>Data!F4869</f>
        <v>0</v>
      </c>
      <c r="M4856">
        <f>Data!G4869</f>
        <v>0</v>
      </c>
      <c r="N4856">
        <f>Data!H4869</f>
        <v>0</v>
      </c>
      <c r="O4856">
        <f>Data!I4869</f>
        <v>0</v>
      </c>
      <c r="P4856" s="21">
        <f>Data!J4873</f>
        <v>0</v>
      </c>
      <c r="Q4856">
        <f>Data!K4873</f>
        <v>0</v>
      </c>
      <c r="R4856">
        <f>Data!L4873</f>
        <v>0</v>
      </c>
      <c r="S4856">
        <f>Data!M4873</f>
        <v>0</v>
      </c>
      <c r="T4856">
        <f>Data!N4873</f>
        <v>0</v>
      </c>
      <c r="U4856">
        <f>Data!O4873</f>
        <v>0</v>
      </c>
      <c r="V4856" s="33">
        <f>Data!P4871</f>
        <v>0</v>
      </c>
    </row>
    <row r="4857" spans="7:22" x14ac:dyDescent="0.25">
      <c r="G4857">
        <f>Data!A4870</f>
        <v>0</v>
      </c>
      <c r="H4857" s="21">
        <f>Data!B4870</f>
        <v>0</v>
      </c>
      <c r="I4857" s="21">
        <f>Data!C4870</f>
        <v>0</v>
      </c>
      <c r="J4857">
        <f>Data!D4870</f>
        <v>0</v>
      </c>
      <c r="K4857">
        <f>Data!E4870</f>
        <v>0</v>
      </c>
      <c r="L4857">
        <f>Data!F4870</f>
        <v>0</v>
      </c>
      <c r="M4857">
        <f>Data!G4870</f>
        <v>0</v>
      </c>
      <c r="N4857">
        <f>Data!H4870</f>
        <v>0</v>
      </c>
      <c r="O4857">
        <f>Data!I4870</f>
        <v>0</v>
      </c>
      <c r="P4857" s="21">
        <f>Data!J4874</f>
        <v>0</v>
      </c>
      <c r="Q4857">
        <f>Data!K4874</f>
        <v>0</v>
      </c>
      <c r="R4857">
        <f>Data!L4874</f>
        <v>0</v>
      </c>
      <c r="S4857">
        <f>Data!M4874</f>
        <v>0</v>
      </c>
      <c r="T4857">
        <f>Data!N4874</f>
        <v>0</v>
      </c>
      <c r="U4857">
        <f>Data!O4874</f>
        <v>0</v>
      </c>
      <c r="V4857" s="33">
        <f>Data!P4872</f>
        <v>0</v>
      </c>
    </row>
    <row r="4858" spans="7:22" x14ac:dyDescent="0.25">
      <c r="G4858">
        <f>Data!A4871</f>
        <v>0</v>
      </c>
      <c r="H4858" s="21">
        <f>Data!B4871</f>
        <v>0</v>
      </c>
      <c r="I4858" s="21">
        <f>Data!C4871</f>
        <v>0</v>
      </c>
      <c r="J4858">
        <f>Data!D4871</f>
        <v>0</v>
      </c>
      <c r="K4858">
        <f>Data!E4871</f>
        <v>0</v>
      </c>
      <c r="L4858">
        <f>Data!F4871</f>
        <v>0</v>
      </c>
      <c r="M4858">
        <f>Data!G4871</f>
        <v>0</v>
      </c>
      <c r="N4858">
        <f>Data!H4871</f>
        <v>0</v>
      </c>
      <c r="O4858">
        <f>Data!I4871</f>
        <v>0</v>
      </c>
      <c r="P4858" s="21">
        <f>Data!J4875</f>
        <v>0</v>
      </c>
      <c r="Q4858">
        <f>Data!K4875</f>
        <v>0</v>
      </c>
      <c r="R4858">
        <f>Data!L4875</f>
        <v>0</v>
      </c>
      <c r="S4858">
        <f>Data!M4875</f>
        <v>0</v>
      </c>
      <c r="T4858">
        <f>Data!N4875</f>
        <v>0</v>
      </c>
      <c r="U4858">
        <f>Data!O4875</f>
        <v>0</v>
      </c>
      <c r="V4858" s="33">
        <f>Data!P4873</f>
        <v>0</v>
      </c>
    </row>
    <row r="4859" spans="7:22" x14ac:dyDescent="0.25">
      <c r="G4859">
        <f>Data!A4872</f>
        <v>0</v>
      </c>
      <c r="H4859" s="21">
        <f>Data!B4872</f>
        <v>0</v>
      </c>
      <c r="I4859" s="21">
        <f>Data!C4872</f>
        <v>0</v>
      </c>
      <c r="J4859">
        <f>Data!D4872</f>
        <v>0</v>
      </c>
      <c r="K4859">
        <f>Data!E4872</f>
        <v>0</v>
      </c>
      <c r="L4859">
        <f>Data!F4872</f>
        <v>0</v>
      </c>
      <c r="M4859">
        <f>Data!G4872</f>
        <v>0</v>
      </c>
      <c r="N4859">
        <f>Data!H4872</f>
        <v>0</v>
      </c>
      <c r="O4859">
        <f>Data!I4872</f>
        <v>0</v>
      </c>
      <c r="P4859" s="21">
        <f>Data!J4876</f>
        <v>0</v>
      </c>
      <c r="Q4859">
        <f>Data!K4876</f>
        <v>0</v>
      </c>
      <c r="R4859">
        <f>Data!L4876</f>
        <v>0</v>
      </c>
      <c r="S4859">
        <f>Data!M4876</f>
        <v>0</v>
      </c>
      <c r="T4859">
        <f>Data!N4876</f>
        <v>0</v>
      </c>
      <c r="U4859">
        <f>Data!O4876</f>
        <v>0</v>
      </c>
      <c r="V4859" s="33">
        <f>Data!P4874</f>
        <v>0</v>
      </c>
    </row>
    <row r="4860" spans="7:22" x14ac:dyDescent="0.25">
      <c r="G4860">
        <f>Data!A4873</f>
        <v>0</v>
      </c>
      <c r="H4860" s="21">
        <f>Data!B4873</f>
        <v>0</v>
      </c>
      <c r="I4860" s="21">
        <f>Data!C4873</f>
        <v>0</v>
      </c>
      <c r="J4860">
        <f>Data!D4873</f>
        <v>0</v>
      </c>
      <c r="K4860">
        <f>Data!E4873</f>
        <v>0</v>
      </c>
      <c r="L4860">
        <f>Data!F4873</f>
        <v>0</v>
      </c>
      <c r="M4860">
        <f>Data!G4873</f>
        <v>0</v>
      </c>
      <c r="N4860">
        <f>Data!H4873</f>
        <v>0</v>
      </c>
      <c r="O4860">
        <f>Data!I4873</f>
        <v>0</v>
      </c>
      <c r="P4860" s="21">
        <f>Data!J4877</f>
        <v>0</v>
      </c>
      <c r="Q4860">
        <f>Data!K4877</f>
        <v>0</v>
      </c>
      <c r="R4860">
        <f>Data!L4877</f>
        <v>0</v>
      </c>
      <c r="S4860">
        <f>Data!M4877</f>
        <v>0</v>
      </c>
      <c r="T4860">
        <f>Data!N4877</f>
        <v>0</v>
      </c>
      <c r="U4860">
        <f>Data!O4877</f>
        <v>0</v>
      </c>
      <c r="V4860" s="33">
        <f>Data!P4875</f>
        <v>0</v>
      </c>
    </row>
    <row r="4861" spans="7:22" x14ac:dyDescent="0.25">
      <c r="G4861">
        <f>Data!A4874</f>
        <v>0</v>
      </c>
      <c r="H4861" s="21">
        <f>Data!B4874</f>
        <v>0</v>
      </c>
      <c r="I4861" s="21">
        <f>Data!C4874</f>
        <v>0</v>
      </c>
      <c r="J4861">
        <f>Data!D4874</f>
        <v>0</v>
      </c>
      <c r="K4861">
        <f>Data!E4874</f>
        <v>0</v>
      </c>
      <c r="L4861">
        <f>Data!F4874</f>
        <v>0</v>
      </c>
      <c r="M4861">
        <f>Data!G4874</f>
        <v>0</v>
      </c>
      <c r="N4861">
        <f>Data!H4874</f>
        <v>0</v>
      </c>
      <c r="O4861">
        <f>Data!I4874</f>
        <v>0</v>
      </c>
      <c r="P4861" s="21">
        <f>Data!J4878</f>
        <v>0</v>
      </c>
      <c r="Q4861">
        <f>Data!K4878</f>
        <v>0</v>
      </c>
      <c r="R4861">
        <f>Data!L4878</f>
        <v>0</v>
      </c>
      <c r="S4861">
        <f>Data!M4878</f>
        <v>0</v>
      </c>
      <c r="T4861">
        <f>Data!N4878</f>
        <v>0</v>
      </c>
      <c r="U4861">
        <f>Data!O4878</f>
        <v>0</v>
      </c>
      <c r="V4861" s="33">
        <f>Data!P4876</f>
        <v>0</v>
      </c>
    </row>
    <row r="4862" spans="7:22" x14ac:dyDescent="0.25">
      <c r="G4862">
        <f>Data!A4875</f>
        <v>0</v>
      </c>
      <c r="H4862" s="21">
        <f>Data!B4875</f>
        <v>0</v>
      </c>
      <c r="I4862" s="21">
        <f>Data!C4875</f>
        <v>0</v>
      </c>
      <c r="J4862">
        <f>Data!D4875</f>
        <v>0</v>
      </c>
      <c r="K4862">
        <f>Data!E4875</f>
        <v>0</v>
      </c>
      <c r="L4862">
        <f>Data!F4875</f>
        <v>0</v>
      </c>
      <c r="M4862">
        <f>Data!G4875</f>
        <v>0</v>
      </c>
      <c r="N4862">
        <f>Data!H4875</f>
        <v>0</v>
      </c>
      <c r="O4862">
        <f>Data!I4875</f>
        <v>0</v>
      </c>
      <c r="P4862" s="21">
        <f>Data!J4879</f>
        <v>0</v>
      </c>
      <c r="Q4862">
        <f>Data!K4879</f>
        <v>0</v>
      </c>
      <c r="R4862">
        <f>Data!L4879</f>
        <v>0</v>
      </c>
      <c r="S4862">
        <f>Data!M4879</f>
        <v>0</v>
      </c>
      <c r="T4862">
        <f>Data!N4879</f>
        <v>0</v>
      </c>
      <c r="U4862">
        <f>Data!O4879</f>
        <v>0</v>
      </c>
      <c r="V4862" s="33">
        <f>Data!P4877</f>
        <v>0</v>
      </c>
    </row>
    <row r="4863" spans="7:22" x14ac:dyDescent="0.25">
      <c r="G4863">
        <f>Data!A4876</f>
        <v>0</v>
      </c>
      <c r="H4863" s="21">
        <f>Data!B4876</f>
        <v>0</v>
      </c>
      <c r="I4863" s="21">
        <f>Data!C4876</f>
        <v>0</v>
      </c>
      <c r="J4863">
        <f>Data!D4876</f>
        <v>0</v>
      </c>
      <c r="K4863">
        <f>Data!E4876</f>
        <v>0</v>
      </c>
      <c r="L4863">
        <f>Data!F4876</f>
        <v>0</v>
      </c>
      <c r="M4863">
        <f>Data!G4876</f>
        <v>0</v>
      </c>
      <c r="N4863">
        <f>Data!H4876</f>
        <v>0</v>
      </c>
      <c r="O4863">
        <f>Data!I4876</f>
        <v>0</v>
      </c>
      <c r="P4863" s="21">
        <f>Data!J4880</f>
        <v>0</v>
      </c>
      <c r="Q4863">
        <f>Data!K4880</f>
        <v>0</v>
      </c>
      <c r="R4863">
        <f>Data!L4880</f>
        <v>0</v>
      </c>
      <c r="S4863">
        <f>Data!M4880</f>
        <v>0</v>
      </c>
      <c r="T4863">
        <f>Data!N4880</f>
        <v>0</v>
      </c>
      <c r="U4863">
        <f>Data!O4880</f>
        <v>0</v>
      </c>
      <c r="V4863" s="33">
        <f>Data!P4878</f>
        <v>0</v>
      </c>
    </row>
    <row r="4864" spans="7:22" x14ac:dyDescent="0.25">
      <c r="G4864">
        <f>Data!A4877</f>
        <v>0</v>
      </c>
      <c r="H4864" s="21">
        <f>Data!B4877</f>
        <v>0</v>
      </c>
      <c r="I4864" s="21">
        <f>Data!C4877</f>
        <v>0</v>
      </c>
      <c r="J4864">
        <f>Data!D4877</f>
        <v>0</v>
      </c>
      <c r="K4864">
        <f>Data!E4877</f>
        <v>0</v>
      </c>
      <c r="L4864">
        <f>Data!F4877</f>
        <v>0</v>
      </c>
      <c r="M4864">
        <f>Data!G4877</f>
        <v>0</v>
      </c>
      <c r="N4864">
        <f>Data!H4877</f>
        <v>0</v>
      </c>
      <c r="O4864">
        <f>Data!I4877</f>
        <v>0</v>
      </c>
      <c r="P4864" s="21">
        <f>Data!J4881</f>
        <v>0</v>
      </c>
      <c r="Q4864">
        <f>Data!K4881</f>
        <v>0</v>
      </c>
      <c r="R4864">
        <f>Data!L4881</f>
        <v>0</v>
      </c>
      <c r="S4864">
        <f>Data!M4881</f>
        <v>0</v>
      </c>
      <c r="T4864">
        <f>Data!N4881</f>
        <v>0</v>
      </c>
      <c r="U4864">
        <f>Data!O4881</f>
        <v>0</v>
      </c>
      <c r="V4864" s="33">
        <f>Data!P4879</f>
        <v>0</v>
      </c>
    </row>
    <row r="4865" spans="7:22" x14ac:dyDescent="0.25">
      <c r="G4865">
        <f>Data!A4878</f>
        <v>0</v>
      </c>
      <c r="H4865" s="21">
        <f>Data!B4878</f>
        <v>0</v>
      </c>
      <c r="I4865" s="21">
        <f>Data!C4878</f>
        <v>0</v>
      </c>
      <c r="J4865">
        <f>Data!D4878</f>
        <v>0</v>
      </c>
      <c r="K4865">
        <f>Data!E4878</f>
        <v>0</v>
      </c>
      <c r="L4865">
        <f>Data!F4878</f>
        <v>0</v>
      </c>
      <c r="M4865">
        <f>Data!G4878</f>
        <v>0</v>
      </c>
      <c r="N4865">
        <f>Data!H4878</f>
        <v>0</v>
      </c>
      <c r="O4865">
        <f>Data!I4878</f>
        <v>0</v>
      </c>
      <c r="P4865" s="21">
        <f>Data!J4882</f>
        <v>0</v>
      </c>
      <c r="Q4865">
        <f>Data!K4882</f>
        <v>0</v>
      </c>
      <c r="R4865">
        <f>Data!L4882</f>
        <v>0</v>
      </c>
      <c r="S4865">
        <f>Data!M4882</f>
        <v>0</v>
      </c>
      <c r="T4865">
        <f>Data!N4882</f>
        <v>0</v>
      </c>
      <c r="U4865">
        <f>Data!O4882</f>
        <v>0</v>
      </c>
      <c r="V4865" s="33">
        <f>Data!P4880</f>
        <v>0</v>
      </c>
    </row>
    <row r="4866" spans="7:22" x14ac:dyDescent="0.25">
      <c r="G4866">
        <f>Data!A4879</f>
        <v>0</v>
      </c>
      <c r="H4866" s="21">
        <f>Data!B4879</f>
        <v>0</v>
      </c>
      <c r="I4866" s="21">
        <f>Data!C4879</f>
        <v>0</v>
      </c>
      <c r="J4866">
        <f>Data!D4879</f>
        <v>0</v>
      </c>
      <c r="K4866">
        <f>Data!E4879</f>
        <v>0</v>
      </c>
      <c r="L4866">
        <f>Data!F4879</f>
        <v>0</v>
      </c>
      <c r="M4866">
        <f>Data!G4879</f>
        <v>0</v>
      </c>
      <c r="N4866">
        <f>Data!H4879</f>
        <v>0</v>
      </c>
      <c r="O4866">
        <f>Data!I4879</f>
        <v>0</v>
      </c>
      <c r="P4866" s="21">
        <f>Data!J4883</f>
        <v>0</v>
      </c>
      <c r="Q4866">
        <f>Data!K4883</f>
        <v>0</v>
      </c>
      <c r="R4866">
        <f>Data!L4883</f>
        <v>0</v>
      </c>
      <c r="S4866">
        <f>Data!M4883</f>
        <v>0</v>
      </c>
      <c r="T4866">
        <f>Data!N4883</f>
        <v>0</v>
      </c>
      <c r="U4866">
        <f>Data!O4883</f>
        <v>0</v>
      </c>
      <c r="V4866" s="33">
        <f>Data!P4881</f>
        <v>0</v>
      </c>
    </row>
    <row r="4867" spans="7:22" x14ac:dyDescent="0.25">
      <c r="G4867">
        <f>Data!A4880</f>
        <v>0</v>
      </c>
      <c r="H4867" s="21">
        <f>Data!B4880</f>
        <v>0</v>
      </c>
      <c r="I4867" s="21">
        <f>Data!C4880</f>
        <v>0</v>
      </c>
      <c r="J4867">
        <f>Data!D4880</f>
        <v>0</v>
      </c>
      <c r="K4867">
        <f>Data!E4880</f>
        <v>0</v>
      </c>
      <c r="L4867">
        <f>Data!F4880</f>
        <v>0</v>
      </c>
      <c r="M4867">
        <f>Data!G4880</f>
        <v>0</v>
      </c>
      <c r="N4867">
        <f>Data!H4880</f>
        <v>0</v>
      </c>
      <c r="O4867">
        <f>Data!I4880</f>
        <v>0</v>
      </c>
      <c r="P4867" s="21">
        <f>Data!J4884</f>
        <v>0</v>
      </c>
      <c r="Q4867">
        <f>Data!K4884</f>
        <v>0</v>
      </c>
      <c r="R4867">
        <f>Data!L4884</f>
        <v>0</v>
      </c>
      <c r="S4867">
        <f>Data!M4884</f>
        <v>0</v>
      </c>
      <c r="T4867">
        <f>Data!N4884</f>
        <v>0</v>
      </c>
      <c r="U4867">
        <f>Data!O4884</f>
        <v>0</v>
      </c>
      <c r="V4867" s="33">
        <f>Data!P4882</f>
        <v>0</v>
      </c>
    </row>
    <row r="4868" spans="7:22" x14ac:dyDescent="0.25">
      <c r="G4868">
        <f>Data!A4881</f>
        <v>0</v>
      </c>
      <c r="H4868" s="21">
        <f>Data!B4881</f>
        <v>0</v>
      </c>
      <c r="I4868" s="21">
        <f>Data!C4881</f>
        <v>0</v>
      </c>
      <c r="J4868">
        <f>Data!D4881</f>
        <v>0</v>
      </c>
      <c r="K4868">
        <f>Data!E4881</f>
        <v>0</v>
      </c>
      <c r="L4868">
        <f>Data!F4881</f>
        <v>0</v>
      </c>
      <c r="M4868">
        <f>Data!G4881</f>
        <v>0</v>
      </c>
      <c r="N4868">
        <f>Data!H4881</f>
        <v>0</v>
      </c>
      <c r="O4868">
        <f>Data!I4881</f>
        <v>0</v>
      </c>
      <c r="P4868" s="21">
        <f>Data!J4885</f>
        <v>0</v>
      </c>
      <c r="Q4868">
        <f>Data!K4885</f>
        <v>0</v>
      </c>
      <c r="R4868">
        <f>Data!L4885</f>
        <v>0</v>
      </c>
      <c r="S4868">
        <f>Data!M4885</f>
        <v>0</v>
      </c>
      <c r="T4868">
        <f>Data!N4885</f>
        <v>0</v>
      </c>
      <c r="U4868">
        <f>Data!O4885</f>
        <v>0</v>
      </c>
      <c r="V4868" s="33">
        <f>Data!P4883</f>
        <v>0</v>
      </c>
    </row>
    <row r="4869" spans="7:22" x14ac:dyDescent="0.25">
      <c r="G4869">
        <f>Data!A4882</f>
        <v>0</v>
      </c>
      <c r="H4869" s="21">
        <f>Data!B4882</f>
        <v>0</v>
      </c>
      <c r="I4869" s="21">
        <f>Data!C4882</f>
        <v>0</v>
      </c>
      <c r="J4869">
        <f>Data!D4882</f>
        <v>0</v>
      </c>
      <c r="K4869">
        <f>Data!E4882</f>
        <v>0</v>
      </c>
      <c r="L4869">
        <f>Data!F4882</f>
        <v>0</v>
      </c>
      <c r="M4869">
        <f>Data!G4882</f>
        <v>0</v>
      </c>
      <c r="N4869">
        <f>Data!H4882</f>
        <v>0</v>
      </c>
      <c r="O4869">
        <f>Data!I4882</f>
        <v>0</v>
      </c>
      <c r="P4869" s="21">
        <f>Data!J4886</f>
        <v>0</v>
      </c>
      <c r="Q4869">
        <f>Data!K4886</f>
        <v>0</v>
      </c>
      <c r="R4869">
        <f>Data!L4886</f>
        <v>0</v>
      </c>
      <c r="S4869">
        <f>Data!M4886</f>
        <v>0</v>
      </c>
      <c r="T4869">
        <f>Data!N4886</f>
        <v>0</v>
      </c>
      <c r="U4869">
        <f>Data!O4886</f>
        <v>0</v>
      </c>
      <c r="V4869" s="33">
        <f>Data!P4884</f>
        <v>0</v>
      </c>
    </row>
    <row r="4870" spans="7:22" x14ac:dyDescent="0.25">
      <c r="G4870">
        <f>Data!A4883</f>
        <v>0</v>
      </c>
      <c r="H4870" s="21">
        <f>Data!B4883</f>
        <v>0</v>
      </c>
      <c r="I4870" s="21">
        <f>Data!C4883</f>
        <v>0</v>
      </c>
      <c r="J4870">
        <f>Data!D4883</f>
        <v>0</v>
      </c>
      <c r="K4870">
        <f>Data!E4883</f>
        <v>0</v>
      </c>
      <c r="L4870">
        <f>Data!F4883</f>
        <v>0</v>
      </c>
      <c r="M4870">
        <f>Data!G4883</f>
        <v>0</v>
      </c>
      <c r="N4870">
        <f>Data!H4883</f>
        <v>0</v>
      </c>
      <c r="O4870">
        <f>Data!I4883</f>
        <v>0</v>
      </c>
      <c r="P4870" s="21">
        <f>Data!J4887</f>
        <v>0</v>
      </c>
      <c r="Q4870">
        <f>Data!K4887</f>
        <v>0</v>
      </c>
      <c r="R4870">
        <f>Data!L4887</f>
        <v>0</v>
      </c>
      <c r="S4870">
        <f>Data!M4887</f>
        <v>0</v>
      </c>
      <c r="T4870">
        <f>Data!N4887</f>
        <v>0</v>
      </c>
      <c r="U4870">
        <f>Data!O4887</f>
        <v>0</v>
      </c>
      <c r="V4870" s="33">
        <f>Data!P4885</f>
        <v>0</v>
      </c>
    </row>
    <row r="4871" spans="7:22" x14ac:dyDescent="0.25">
      <c r="G4871">
        <f>Data!A4884</f>
        <v>0</v>
      </c>
      <c r="H4871" s="21">
        <f>Data!B4884</f>
        <v>0</v>
      </c>
      <c r="I4871" s="21">
        <f>Data!C4884</f>
        <v>0</v>
      </c>
      <c r="J4871">
        <f>Data!D4884</f>
        <v>0</v>
      </c>
      <c r="K4871">
        <f>Data!E4884</f>
        <v>0</v>
      </c>
      <c r="L4871">
        <f>Data!F4884</f>
        <v>0</v>
      </c>
      <c r="M4871">
        <f>Data!G4884</f>
        <v>0</v>
      </c>
      <c r="N4871">
        <f>Data!H4884</f>
        <v>0</v>
      </c>
      <c r="O4871">
        <f>Data!I4884</f>
        <v>0</v>
      </c>
      <c r="P4871" s="21">
        <f>Data!J4888</f>
        <v>0</v>
      </c>
      <c r="Q4871">
        <f>Data!K4888</f>
        <v>0</v>
      </c>
      <c r="R4871">
        <f>Data!L4888</f>
        <v>0</v>
      </c>
      <c r="S4871">
        <f>Data!M4888</f>
        <v>0</v>
      </c>
      <c r="T4871">
        <f>Data!N4888</f>
        <v>0</v>
      </c>
      <c r="U4871">
        <f>Data!O4888</f>
        <v>0</v>
      </c>
      <c r="V4871" s="33">
        <f>Data!P4886</f>
        <v>0</v>
      </c>
    </row>
    <row r="4872" spans="7:22" x14ac:dyDescent="0.25">
      <c r="G4872">
        <f>Data!A4885</f>
        <v>0</v>
      </c>
      <c r="H4872" s="21">
        <f>Data!B4885</f>
        <v>0</v>
      </c>
      <c r="I4872" s="21">
        <f>Data!C4885</f>
        <v>0</v>
      </c>
      <c r="J4872">
        <f>Data!D4885</f>
        <v>0</v>
      </c>
      <c r="K4872">
        <f>Data!E4885</f>
        <v>0</v>
      </c>
      <c r="L4872">
        <f>Data!F4885</f>
        <v>0</v>
      </c>
      <c r="M4872">
        <f>Data!G4885</f>
        <v>0</v>
      </c>
      <c r="N4872">
        <f>Data!H4885</f>
        <v>0</v>
      </c>
      <c r="O4872">
        <f>Data!I4885</f>
        <v>0</v>
      </c>
      <c r="P4872" s="21">
        <f>Data!J4889</f>
        <v>0</v>
      </c>
      <c r="Q4872">
        <f>Data!K4889</f>
        <v>0</v>
      </c>
      <c r="R4872">
        <f>Data!L4889</f>
        <v>0</v>
      </c>
      <c r="S4872">
        <f>Data!M4889</f>
        <v>0</v>
      </c>
      <c r="T4872">
        <f>Data!N4889</f>
        <v>0</v>
      </c>
      <c r="U4872">
        <f>Data!O4889</f>
        <v>0</v>
      </c>
      <c r="V4872" s="33">
        <f>Data!P4887</f>
        <v>0</v>
      </c>
    </row>
    <row r="4873" spans="7:22" x14ac:dyDescent="0.25">
      <c r="G4873">
        <f>Data!A4886</f>
        <v>0</v>
      </c>
      <c r="H4873" s="21">
        <f>Data!B4886</f>
        <v>0</v>
      </c>
      <c r="I4873" s="21">
        <f>Data!C4886</f>
        <v>0</v>
      </c>
      <c r="J4873">
        <f>Data!D4886</f>
        <v>0</v>
      </c>
      <c r="K4873">
        <f>Data!E4886</f>
        <v>0</v>
      </c>
      <c r="L4873">
        <f>Data!F4886</f>
        <v>0</v>
      </c>
      <c r="M4873">
        <f>Data!G4886</f>
        <v>0</v>
      </c>
      <c r="N4873">
        <f>Data!H4886</f>
        <v>0</v>
      </c>
      <c r="O4873">
        <f>Data!I4886</f>
        <v>0</v>
      </c>
      <c r="P4873" s="21">
        <f>Data!J4890</f>
        <v>0</v>
      </c>
      <c r="Q4873">
        <f>Data!K4890</f>
        <v>0</v>
      </c>
      <c r="R4873">
        <f>Data!L4890</f>
        <v>0</v>
      </c>
      <c r="S4873">
        <f>Data!M4890</f>
        <v>0</v>
      </c>
      <c r="T4873">
        <f>Data!N4890</f>
        <v>0</v>
      </c>
      <c r="U4873">
        <f>Data!O4890</f>
        <v>0</v>
      </c>
      <c r="V4873" s="33">
        <f>Data!P4888</f>
        <v>0</v>
      </c>
    </row>
    <row r="4874" spans="7:22" x14ac:dyDescent="0.25">
      <c r="G4874">
        <f>Data!A4887</f>
        <v>0</v>
      </c>
      <c r="H4874" s="21">
        <f>Data!B4887</f>
        <v>0</v>
      </c>
      <c r="I4874" s="21">
        <f>Data!C4887</f>
        <v>0</v>
      </c>
      <c r="J4874">
        <f>Data!D4887</f>
        <v>0</v>
      </c>
      <c r="K4874">
        <f>Data!E4887</f>
        <v>0</v>
      </c>
      <c r="L4874">
        <f>Data!F4887</f>
        <v>0</v>
      </c>
      <c r="M4874">
        <f>Data!G4887</f>
        <v>0</v>
      </c>
      <c r="N4874">
        <f>Data!H4887</f>
        <v>0</v>
      </c>
      <c r="O4874">
        <f>Data!I4887</f>
        <v>0</v>
      </c>
      <c r="P4874" s="21">
        <f>Data!J4891</f>
        <v>0</v>
      </c>
      <c r="Q4874">
        <f>Data!K4891</f>
        <v>0</v>
      </c>
      <c r="R4874">
        <f>Data!L4891</f>
        <v>0</v>
      </c>
      <c r="S4874">
        <f>Data!M4891</f>
        <v>0</v>
      </c>
      <c r="T4874">
        <f>Data!N4891</f>
        <v>0</v>
      </c>
      <c r="U4874">
        <f>Data!O4891</f>
        <v>0</v>
      </c>
      <c r="V4874" s="33">
        <f>Data!P4889</f>
        <v>0</v>
      </c>
    </row>
    <row r="4875" spans="7:22" x14ac:dyDescent="0.25">
      <c r="G4875">
        <f>Data!A4888</f>
        <v>0</v>
      </c>
      <c r="H4875" s="21">
        <f>Data!B4888</f>
        <v>0</v>
      </c>
      <c r="I4875" s="21">
        <f>Data!C4888</f>
        <v>0</v>
      </c>
      <c r="J4875">
        <f>Data!D4888</f>
        <v>0</v>
      </c>
      <c r="K4875">
        <f>Data!E4888</f>
        <v>0</v>
      </c>
      <c r="L4875">
        <f>Data!F4888</f>
        <v>0</v>
      </c>
      <c r="M4875">
        <f>Data!G4888</f>
        <v>0</v>
      </c>
      <c r="N4875">
        <f>Data!H4888</f>
        <v>0</v>
      </c>
      <c r="O4875">
        <f>Data!I4888</f>
        <v>0</v>
      </c>
      <c r="P4875" s="21">
        <f>Data!J4892</f>
        <v>0</v>
      </c>
      <c r="Q4875">
        <f>Data!K4892</f>
        <v>0</v>
      </c>
      <c r="R4875">
        <f>Data!L4892</f>
        <v>0</v>
      </c>
      <c r="S4875">
        <f>Data!M4892</f>
        <v>0</v>
      </c>
      <c r="T4875">
        <f>Data!N4892</f>
        <v>0</v>
      </c>
      <c r="U4875">
        <f>Data!O4892</f>
        <v>0</v>
      </c>
      <c r="V4875" s="33">
        <f>Data!P4890</f>
        <v>0</v>
      </c>
    </row>
    <row r="4876" spans="7:22" x14ac:dyDescent="0.25">
      <c r="G4876">
        <f>Data!A4889</f>
        <v>0</v>
      </c>
      <c r="H4876" s="21">
        <f>Data!B4889</f>
        <v>0</v>
      </c>
      <c r="I4876" s="21">
        <f>Data!C4889</f>
        <v>0</v>
      </c>
      <c r="J4876">
        <f>Data!D4889</f>
        <v>0</v>
      </c>
      <c r="K4876">
        <f>Data!E4889</f>
        <v>0</v>
      </c>
      <c r="L4876">
        <f>Data!F4889</f>
        <v>0</v>
      </c>
      <c r="M4876">
        <f>Data!G4889</f>
        <v>0</v>
      </c>
      <c r="N4876">
        <f>Data!H4889</f>
        <v>0</v>
      </c>
      <c r="O4876">
        <f>Data!I4889</f>
        <v>0</v>
      </c>
      <c r="P4876" s="21">
        <f>Data!J4893</f>
        <v>0</v>
      </c>
      <c r="Q4876">
        <f>Data!K4893</f>
        <v>0</v>
      </c>
      <c r="R4876">
        <f>Data!L4893</f>
        <v>0</v>
      </c>
      <c r="S4876">
        <f>Data!M4893</f>
        <v>0</v>
      </c>
      <c r="T4876">
        <f>Data!N4893</f>
        <v>0</v>
      </c>
      <c r="U4876">
        <f>Data!O4893</f>
        <v>0</v>
      </c>
      <c r="V4876" s="33">
        <f>Data!P4891</f>
        <v>0</v>
      </c>
    </row>
    <row r="4877" spans="7:22" x14ac:dyDescent="0.25">
      <c r="G4877">
        <f>Data!A4890</f>
        <v>0</v>
      </c>
      <c r="H4877" s="21">
        <f>Data!B4890</f>
        <v>0</v>
      </c>
      <c r="I4877" s="21">
        <f>Data!C4890</f>
        <v>0</v>
      </c>
      <c r="J4877">
        <f>Data!D4890</f>
        <v>0</v>
      </c>
      <c r="K4877">
        <f>Data!E4890</f>
        <v>0</v>
      </c>
      <c r="L4877">
        <f>Data!F4890</f>
        <v>0</v>
      </c>
      <c r="M4877">
        <f>Data!G4890</f>
        <v>0</v>
      </c>
      <c r="N4877">
        <f>Data!H4890</f>
        <v>0</v>
      </c>
      <c r="O4877">
        <f>Data!I4890</f>
        <v>0</v>
      </c>
      <c r="P4877" s="21">
        <f>Data!J4894</f>
        <v>0</v>
      </c>
      <c r="Q4877">
        <f>Data!K4894</f>
        <v>0</v>
      </c>
      <c r="R4877">
        <f>Data!L4894</f>
        <v>0</v>
      </c>
      <c r="S4877">
        <f>Data!M4894</f>
        <v>0</v>
      </c>
      <c r="T4877">
        <f>Data!N4894</f>
        <v>0</v>
      </c>
      <c r="U4877">
        <f>Data!O4894</f>
        <v>0</v>
      </c>
      <c r="V4877" s="33">
        <f>Data!P4892</f>
        <v>0</v>
      </c>
    </row>
    <row r="4878" spans="7:22" x14ac:dyDescent="0.25">
      <c r="G4878">
        <f>Data!A4891</f>
        <v>0</v>
      </c>
      <c r="H4878" s="21">
        <f>Data!B4891</f>
        <v>0</v>
      </c>
      <c r="I4878" s="21">
        <f>Data!C4891</f>
        <v>0</v>
      </c>
      <c r="J4878">
        <f>Data!D4891</f>
        <v>0</v>
      </c>
      <c r="K4878">
        <f>Data!E4891</f>
        <v>0</v>
      </c>
      <c r="L4878">
        <f>Data!F4891</f>
        <v>0</v>
      </c>
      <c r="M4878">
        <f>Data!G4891</f>
        <v>0</v>
      </c>
      <c r="N4878">
        <f>Data!H4891</f>
        <v>0</v>
      </c>
      <c r="O4878">
        <f>Data!I4891</f>
        <v>0</v>
      </c>
      <c r="P4878" s="21">
        <f>Data!J4895</f>
        <v>0</v>
      </c>
      <c r="Q4878">
        <f>Data!K4895</f>
        <v>0</v>
      </c>
      <c r="R4878">
        <f>Data!L4895</f>
        <v>0</v>
      </c>
      <c r="S4878">
        <f>Data!M4895</f>
        <v>0</v>
      </c>
      <c r="T4878">
        <f>Data!N4895</f>
        <v>0</v>
      </c>
      <c r="U4878">
        <f>Data!O4895</f>
        <v>0</v>
      </c>
      <c r="V4878" s="33">
        <f>Data!P4893</f>
        <v>0</v>
      </c>
    </row>
    <row r="4879" spans="7:22" x14ac:dyDescent="0.25">
      <c r="G4879">
        <f>Data!A4892</f>
        <v>0</v>
      </c>
      <c r="H4879" s="21">
        <f>Data!B4892</f>
        <v>0</v>
      </c>
      <c r="I4879" s="21">
        <f>Data!C4892</f>
        <v>0</v>
      </c>
      <c r="J4879">
        <f>Data!D4892</f>
        <v>0</v>
      </c>
      <c r="K4879">
        <f>Data!E4892</f>
        <v>0</v>
      </c>
      <c r="L4879">
        <f>Data!F4892</f>
        <v>0</v>
      </c>
      <c r="M4879">
        <f>Data!G4892</f>
        <v>0</v>
      </c>
      <c r="N4879">
        <f>Data!H4892</f>
        <v>0</v>
      </c>
      <c r="O4879">
        <f>Data!I4892</f>
        <v>0</v>
      </c>
      <c r="P4879" s="21">
        <f>Data!J4896</f>
        <v>0</v>
      </c>
      <c r="Q4879">
        <f>Data!K4896</f>
        <v>0</v>
      </c>
      <c r="R4879">
        <f>Data!L4896</f>
        <v>0</v>
      </c>
      <c r="S4879">
        <f>Data!M4896</f>
        <v>0</v>
      </c>
      <c r="T4879">
        <f>Data!N4896</f>
        <v>0</v>
      </c>
      <c r="U4879">
        <f>Data!O4896</f>
        <v>0</v>
      </c>
      <c r="V4879" s="33">
        <f>Data!P4894</f>
        <v>0</v>
      </c>
    </row>
    <row r="4880" spans="7:22" x14ac:dyDescent="0.25">
      <c r="G4880">
        <f>Data!A4893</f>
        <v>0</v>
      </c>
      <c r="H4880" s="21">
        <f>Data!B4893</f>
        <v>0</v>
      </c>
      <c r="I4880" s="21">
        <f>Data!C4893</f>
        <v>0</v>
      </c>
      <c r="J4880">
        <f>Data!D4893</f>
        <v>0</v>
      </c>
      <c r="K4880">
        <f>Data!E4893</f>
        <v>0</v>
      </c>
      <c r="L4880">
        <f>Data!F4893</f>
        <v>0</v>
      </c>
      <c r="M4880">
        <f>Data!G4893</f>
        <v>0</v>
      </c>
      <c r="N4880">
        <f>Data!H4893</f>
        <v>0</v>
      </c>
      <c r="O4880">
        <f>Data!I4893</f>
        <v>0</v>
      </c>
      <c r="P4880" s="21">
        <f>Data!J4897</f>
        <v>0</v>
      </c>
      <c r="Q4880">
        <f>Data!K4897</f>
        <v>0</v>
      </c>
      <c r="R4880">
        <f>Data!L4897</f>
        <v>0</v>
      </c>
      <c r="S4880">
        <f>Data!M4897</f>
        <v>0</v>
      </c>
      <c r="T4880">
        <f>Data!N4897</f>
        <v>0</v>
      </c>
      <c r="U4880">
        <f>Data!O4897</f>
        <v>0</v>
      </c>
      <c r="V4880" s="33">
        <f>Data!P4895</f>
        <v>0</v>
      </c>
    </row>
    <row r="4881" spans="7:22" x14ac:dyDescent="0.25">
      <c r="G4881">
        <f>Data!A4894</f>
        <v>0</v>
      </c>
      <c r="H4881" s="21">
        <f>Data!B4894</f>
        <v>0</v>
      </c>
      <c r="I4881" s="21">
        <f>Data!C4894</f>
        <v>0</v>
      </c>
      <c r="J4881">
        <f>Data!D4894</f>
        <v>0</v>
      </c>
      <c r="K4881">
        <f>Data!E4894</f>
        <v>0</v>
      </c>
      <c r="L4881">
        <f>Data!F4894</f>
        <v>0</v>
      </c>
      <c r="M4881">
        <f>Data!G4894</f>
        <v>0</v>
      </c>
      <c r="N4881">
        <f>Data!H4894</f>
        <v>0</v>
      </c>
      <c r="O4881">
        <f>Data!I4894</f>
        <v>0</v>
      </c>
      <c r="P4881" s="21">
        <f>Data!J4898</f>
        <v>0</v>
      </c>
      <c r="Q4881">
        <f>Data!K4898</f>
        <v>0</v>
      </c>
      <c r="R4881">
        <f>Data!L4898</f>
        <v>0</v>
      </c>
      <c r="S4881">
        <f>Data!M4898</f>
        <v>0</v>
      </c>
      <c r="T4881">
        <f>Data!N4898</f>
        <v>0</v>
      </c>
      <c r="U4881">
        <f>Data!O4898</f>
        <v>0</v>
      </c>
      <c r="V4881" s="33">
        <f>Data!P4896</f>
        <v>0</v>
      </c>
    </row>
    <row r="4882" spans="7:22" x14ac:dyDescent="0.25">
      <c r="G4882">
        <f>Data!A4895</f>
        <v>0</v>
      </c>
      <c r="H4882" s="21">
        <f>Data!B4895</f>
        <v>0</v>
      </c>
      <c r="I4882" s="21">
        <f>Data!C4895</f>
        <v>0</v>
      </c>
      <c r="J4882">
        <f>Data!D4895</f>
        <v>0</v>
      </c>
      <c r="K4882">
        <f>Data!E4895</f>
        <v>0</v>
      </c>
      <c r="L4882">
        <f>Data!F4895</f>
        <v>0</v>
      </c>
      <c r="M4882">
        <f>Data!G4895</f>
        <v>0</v>
      </c>
      <c r="N4882">
        <f>Data!H4895</f>
        <v>0</v>
      </c>
      <c r="O4882">
        <f>Data!I4895</f>
        <v>0</v>
      </c>
      <c r="P4882" s="21">
        <f>Data!J4899</f>
        <v>0</v>
      </c>
      <c r="Q4882">
        <f>Data!K4899</f>
        <v>0</v>
      </c>
      <c r="R4882">
        <f>Data!L4899</f>
        <v>0</v>
      </c>
      <c r="S4882">
        <f>Data!M4899</f>
        <v>0</v>
      </c>
      <c r="T4882">
        <f>Data!N4899</f>
        <v>0</v>
      </c>
      <c r="U4882">
        <f>Data!O4899</f>
        <v>0</v>
      </c>
      <c r="V4882" s="33">
        <f>Data!P4897</f>
        <v>0</v>
      </c>
    </row>
    <row r="4883" spans="7:22" x14ac:dyDescent="0.25">
      <c r="G4883">
        <f>Data!A4896</f>
        <v>0</v>
      </c>
      <c r="H4883" s="21">
        <f>Data!B4896</f>
        <v>0</v>
      </c>
      <c r="I4883" s="21">
        <f>Data!C4896</f>
        <v>0</v>
      </c>
      <c r="J4883">
        <f>Data!D4896</f>
        <v>0</v>
      </c>
      <c r="K4883">
        <f>Data!E4896</f>
        <v>0</v>
      </c>
      <c r="L4883">
        <f>Data!F4896</f>
        <v>0</v>
      </c>
      <c r="M4883">
        <f>Data!G4896</f>
        <v>0</v>
      </c>
      <c r="N4883">
        <f>Data!H4896</f>
        <v>0</v>
      </c>
      <c r="O4883">
        <f>Data!I4896</f>
        <v>0</v>
      </c>
      <c r="P4883" s="21">
        <f>Data!J4900</f>
        <v>0</v>
      </c>
      <c r="Q4883">
        <f>Data!K4900</f>
        <v>0</v>
      </c>
      <c r="R4883">
        <f>Data!L4900</f>
        <v>0</v>
      </c>
      <c r="S4883">
        <f>Data!M4900</f>
        <v>0</v>
      </c>
      <c r="T4883">
        <f>Data!N4900</f>
        <v>0</v>
      </c>
      <c r="U4883">
        <f>Data!O4900</f>
        <v>0</v>
      </c>
      <c r="V4883" s="33">
        <f>Data!P4898</f>
        <v>0</v>
      </c>
    </row>
    <row r="4884" spans="7:22" x14ac:dyDescent="0.25">
      <c r="G4884">
        <f>Data!A4897</f>
        <v>0</v>
      </c>
      <c r="H4884" s="21">
        <f>Data!B4897</f>
        <v>0</v>
      </c>
      <c r="I4884" s="21">
        <f>Data!C4897</f>
        <v>0</v>
      </c>
      <c r="J4884">
        <f>Data!D4897</f>
        <v>0</v>
      </c>
      <c r="K4884">
        <f>Data!E4897</f>
        <v>0</v>
      </c>
      <c r="L4884">
        <f>Data!F4897</f>
        <v>0</v>
      </c>
      <c r="M4884">
        <f>Data!G4897</f>
        <v>0</v>
      </c>
      <c r="N4884">
        <f>Data!H4897</f>
        <v>0</v>
      </c>
      <c r="O4884">
        <f>Data!I4897</f>
        <v>0</v>
      </c>
      <c r="P4884" s="21">
        <f>Data!J4901</f>
        <v>0</v>
      </c>
      <c r="Q4884">
        <f>Data!K4901</f>
        <v>0</v>
      </c>
      <c r="R4884">
        <f>Data!L4901</f>
        <v>0</v>
      </c>
      <c r="S4884">
        <f>Data!M4901</f>
        <v>0</v>
      </c>
      <c r="T4884">
        <f>Data!N4901</f>
        <v>0</v>
      </c>
      <c r="U4884">
        <f>Data!O4901</f>
        <v>0</v>
      </c>
      <c r="V4884" s="33">
        <f>Data!P4899</f>
        <v>0</v>
      </c>
    </row>
    <row r="4885" spans="7:22" x14ac:dyDescent="0.25">
      <c r="G4885">
        <f>Data!A4898</f>
        <v>0</v>
      </c>
      <c r="H4885" s="21">
        <f>Data!B4898</f>
        <v>0</v>
      </c>
      <c r="I4885" s="21">
        <f>Data!C4898</f>
        <v>0</v>
      </c>
      <c r="J4885">
        <f>Data!D4898</f>
        <v>0</v>
      </c>
      <c r="K4885">
        <f>Data!E4898</f>
        <v>0</v>
      </c>
      <c r="L4885">
        <f>Data!F4898</f>
        <v>0</v>
      </c>
      <c r="M4885">
        <f>Data!G4898</f>
        <v>0</v>
      </c>
      <c r="N4885">
        <f>Data!H4898</f>
        <v>0</v>
      </c>
      <c r="O4885">
        <f>Data!I4898</f>
        <v>0</v>
      </c>
      <c r="P4885" s="21">
        <f>Data!J4902</f>
        <v>0</v>
      </c>
      <c r="Q4885">
        <f>Data!K4902</f>
        <v>0</v>
      </c>
      <c r="R4885">
        <f>Data!L4902</f>
        <v>0</v>
      </c>
      <c r="S4885">
        <f>Data!M4902</f>
        <v>0</v>
      </c>
      <c r="T4885">
        <f>Data!N4902</f>
        <v>0</v>
      </c>
      <c r="U4885">
        <f>Data!O4902</f>
        <v>0</v>
      </c>
      <c r="V4885" s="33">
        <f>Data!P4900</f>
        <v>0</v>
      </c>
    </row>
    <row r="4886" spans="7:22" x14ac:dyDescent="0.25">
      <c r="G4886">
        <f>Data!A4899</f>
        <v>0</v>
      </c>
      <c r="H4886" s="21">
        <f>Data!B4899</f>
        <v>0</v>
      </c>
      <c r="I4886" s="21">
        <f>Data!C4899</f>
        <v>0</v>
      </c>
      <c r="J4886">
        <f>Data!D4899</f>
        <v>0</v>
      </c>
      <c r="K4886">
        <f>Data!E4899</f>
        <v>0</v>
      </c>
      <c r="L4886">
        <f>Data!F4899</f>
        <v>0</v>
      </c>
      <c r="M4886">
        <f>Data!G4899</f>
        <v>0</v>
      </c>
      <c r="N4886">
        <f>Data!H4899</f>
        <v>0</v>
      </c>
      <c r="O4886">
        <f>Data!I4899</f>
        <v>0</v>
      </c>
      <c r="P4886" s="21">
        <f>Data!J4903</f>
        <v>0</v>
      </c>
      <c r="Q4886">
        <f>Data!K4903</f>
        <v>0</v>
      </c>
      <c r="R4886">
        <f>Data!L4903</f>
        <v>0</v>
      </c>
      <c r="S4886">
        <f>Data!M4903</f>
        <v>0</v>
      </c>
      <c r="T4886">
        <f>Data!N4903</f>
        <v>0</v>
      </c>
      <c r="U4886">
        <f>Data!O4903</f>
        <v>0</v>
      </c>
      <c r="V4886" s="33">
        <f>Data!P4901</f>
        <v>0</v>
      </c>
    </row>
    <row r="4887" spans="7:22" x14ac:dyDescent="0.25">
      <c r="G4887">
        <f>Data!A4900</f>
        <v>0</v>
      </c>
      <c r="H4887" s="21">
        <f>Data!B4900</f>
        <v>0</v>
      </c>
      <c r="I4887" s="21">
        <f>Data!C4900</f>
        <v>0</v>
      </c>
      <c r="J4887">
        <f>Data!D4900</f>
        <v>0</v>
      </c>
      <c r="K4887">
        <f>Data!E4900</f>
        <v>0</v>
      </c>
      <c r="L4887">
        <f>Data!F4900</f>
        <v>0</v>
      </c>
      <c r="M4887">
        <f>Data!G4900</f>
        <v>0</v>
      </c>
      <c r="N4887">
        <f>Data!H4900</f>
        <v>0</v>
      </c>
      <c r="O4887">
        <f>Data!I4900</f>
        <v>0</v>
      </c>
      <c r="P4887" s="21">
        <f>Data!J4904</f>
        <v>0</v>
      </c>
      <c r="Q4887">
        <f>Data!K4904</f>
        <v>0</v>
      </c>
      <c r="R4887">
        <f>Data!L4904</f>
        <v>0</v>
      </c>
      <c r="S4887">
        <f>Data!M4904</f>
        <v>0</v>
      </c>
      <c r="T4887">
        <f>Data!N4904</f>
        <v>0</v>
      </c>
      <c r="U4887">
        <f>Data!O4904</f>
        <v>0</v>
      </c>
      <c r="V4887" s="33">
        <f>Data!P4902</f>
        <v>0</v>
      </c>
    </row>
    <row r="4888" spans="7:22" x14ac:dyDescent="0.25">
      <c r="G4888">
        <f>Data!A4901</f>
        <v>0</v>
      </c>
      <c r="H4888" s="21">
        <f>Data!B4901</f>
        <v>0</v>
      </c>
      <c r="I4888" s="21">
        <f>Data!C4901</f>
        <v>0</v>
      </c>
      <c r="J4888">
        <f>Data!D4901</f>
        <v>0</v>
      </c>
      <c r="K4888">
        <f>Data!E4901</f>
        <v>0</v>
      </c>
      <c r="L4888">
        <f>Data!F4901</f>
        <v>0</v>
      </c>
      <c r="M4888">
        <f>Data!G4901</f>
        <v>0</v>
      </c>
      <c r="N4888">
        <f>Data!H4901</f>
        <v>0</v>
      </c>
      <c r="O4888">
        <f>Data!I4901</f>
        <v>0</v>
      </c>
      <c r="P4888" s="21">
        <f>Data!J4905</f>
        <v>0</v>
      </c>
      <c r="Q4888">
        <f>Data!K4905</f>
        <v>0</v>
      </c>
      <c r="R4888">
        <f>Data!L4905</f>
        <v>0</v>
      </c>
      <c r="S4888">
        <f>Data!M4905</f>
        <v>0</v>
      </c>
      <c r="T4888">
        <f>Data!N4905</f>
        <v>0</v>
      </c>
      <c r="U4888">
        <f>Data!O4905</f>
        <v>0</v>
      </c>
      <c r="V4888" s="33">
        <f>Data!P4903</f>
        <v>0</v>
      </c>
    </row>
    <row r="4889" spans="7:22" x14ac:dyDescent="0.25">
      <c r="G4889">
        <f>Data!A4902</f>
        <v>0</v>
      </c>
      <c r="H4889" s="21">
        <f>Data!B4902</f>
        <v>0</v>
      </c>
      <c r="I4889" s="21">
        <f>Data!C4902</f>
        <v>0</v>
      </c>
      <c r="J4889">
        <f>Data!D4902</f>
        <v>0</v>
      </c>
      <c r="K4889">
        <f>Data!E4902</f>
        <v>0</v>
      </c>
      <c r="L4889">
        <f>Data!F4902</f>
        <v>0</v>
      </c>
      <c r="M4889">
        <f>Data!G4902</f>
        <v>0</v>
      </c>
      <c r="N4889">
        <f>Data!H4902</f>
        <v>0</v>
      </c>
      <c r="O4889">
        <f>Data!I4902</f>
        <v>0</v>
      </c>
      <c r="P4889" s="21">
        <f>Data!J4906</f>
        <v>0</v>
      </c>
      <c r="Q4889">
        <f>Data!K4906</f>
        <v>0</v>
      </c>
      <c r="R4889">
        <f>Data!L4906</f>
        <v>0</v>
      </c>
      <c r="S4889">
        <f>Data!M4906</f>
        <v>0</v>
      </c>
      <c r="T4889">
        <f>Data!N4906</f>
        <v>0</v>
      </c>
      <c r="U4889">
        <f>Data!O4906</f>
        <v>0</v>
      </c>
      <c r="V4889" s="33">
        <f>Data!P4904</f>
        <v>0</v>
      </c>
    </row>
    <row r="4890" spans="7:22" x14ac:dyDescent="0.25">
      <c r="G4890">
        <f>Data!A4903</f>
        <v>0</v>
      </c>
      <c r="H4890" s="21">
        <f>Data!B4903</f>
        <v>0</v>
      </c>
      <c r="I4890" s="21">
        <f>Data!C4903</f>
        <v>0</v>
      </c>
      <c r="J4890">
        <f>Data!D4903</f>
        <v>0</v>
      </c>
      <c r="K4890">
        <f>Data!E4903</f>
        <v>0</v>
      </c>
      <c r="L4890">
        <f>Data!F4903</f>
        <v>0</v>
      </c>
      <c r="M4890">
        <f>Data!G4903</f>
        <v>0</v>
      </c>
      <c r="N4890">
        <f>Data!H4903</f>
        <v>0</v>
      </c>
      <c r="O4890">
        <f>Data!I4903</f>
        <v>0</v>
      </c>
      <c r="P4890" s="21">
        <f>Data!J4907</f>
        <v>0</v>
      </c>
      <c r="Q4890">
        <f>Data!K4907</f>
        <v>0</v>
      </c>
      <c r="R4890">
        <f>Data!L4907</f>
        <v>0</v>
      </c>
      <c r="S4890">
        <f>Data!M4907</f>
        <v>0</v>
      </c>
      <c r="T4890">
        <f>Data!N4907</f>
        <v>0</v>
      </c>
      <c r="U4890">
        <f>Data!O4907</f>
        <v>0</v>
      </c>
      <c r="V4890" s="33">
        <f>Data!P4905</f>
        <v>0</v>
      </c>
    </row>
    <row r="4891" spans="7:22" x14ac:dyDescent="0.25">
      <c r="G4891">
        <f>Data!A4904</f>
        <v>0</v>
      </c>
      <c r="H4891" s="21">
        <f>Data!B4904</f>
        <v>0</v>
      </c>
      <c r="I4891" s="21">
        <f>Data!C4904</f>
        <v>0</v>
      </c>
      <c r="J4891">
        <f>Data!D4904</f>
        <v>0</v>
      </c>
      <c r="K4891">
        <f>Data!E4904</f>
        <v>0</v>
      </c>
      <c r="L4891">
        <f>Data!F4904</f>
        <v>0</v>
      </c>
      <c r="M4891">
        <f>Data!G4904</f>
        <v>0</v>
      </c>
      <c r="N4891">
        <f>Data!H4904</f>
        <v>0</v>
      </c>
      <c r="O4891">
        <f>Data!I4904</f>
        <v>0</v>
      </c>
      <c r="P4891" s="21">
        <f>Data!J4908</f>
        <v>0</v>
      </c>
      <c r="Q4891">
        <f>Data!K4908</f>
        <v>0</v>
      </c>
      <c r="R4891">
        <f>Data!L4908</f>
        <v>0</v>
      </c>
      <c r="S4891">
        <f>Data!M4908</f>
        <v>0</v>
      </c>
      <c r="T4891">
        <f>Data!N4908</f>
        <v>0</v>
      </c>
      <c r="U4891">
        <f>Data!O4908</f>
        <v>0</v>
      </c>
      <c r="V4891" s="33">
        <f>Data!P4906</f>
        <v>0</v>
      </c>
    </row>
    <row r="4892" spans="7:22" x14ac:dyDescent="0.25">
      <c r="G4892">
        <f>Data!A4905</f>
        <v>0</v>
      </c>
      <c r="H4892" s="21">
        <f>Data!B4905</f>
        <v>0</v>
      </c>
      <c r="I4892" s="21">
        <f>Data!C4905</f>
        <v>0</v>
      </c>
      <c r="J4892">
        <f>Data!D4905</f>
        <v>0</v>
      </c>
      <c r="K4892">
        <f>Data!E4905</f>
        <v>0</v>
      </c>
      <c r="L4892">
        <f>Data!F4905</f>
        <v>0</v>
      </c>
      <c r="M4892">
        <f>Data!G4905</f>
        <v>0</v>
      </c>
      <c r="N4892">
        <f>Data!H4905</f>
        <v>0</v>
      </c>
      <c r="O4892">
        <f>Data!I4905</f>
        <v>0</v>
      </c>
      <c r="P4892" s="21">
        <f>Data!J4909</f>
        <v>0</v>
      </c>
      <c r="Q4892">
        <f>Data!K4909</f>
        <v>0</v>
      </c>
      <c r="R4892">
        <f>Data!L4909</f>
        <v>0</v>
      </c>
      <c r="S4892">
        <f>Data!M4909</f>
        <v>0</v>
      </c>
      <c r="T4892">
        <f>Data!N4909</f>
        <v>0</v>
      </c>
      <c r="U4892">
        <f>Data!O4909</f>
        <v>0</v>
      </c>
      <c r="V4892" s="33">
        <f>Data!P4907</f>
        <v>0</v>
      </c>
    </row>
    <row r="4893" spans="7:22" x14ac:dyDescent="0.25">
      <c r="G4893">
        <f>Data!A4906</f>
        <v>0</v>
      </c>
      <c r="H4893" s="21">
        <f>Data!B4906</f>
        <v>0</v>
      </c>
      <c r="I4893" s="21">
        <f>Data!C4906</f>
        <v>0</v>
      </c>
      <c r="J4893">
        <f>Data!D4906</f>
        <v>0</v>
      </c>
      <c r="K4893">
        <f>Data!E4906</f>
        <v>0</v>
      </c>
      <c r="L4893">
        <f>Data!F4906</f>
        <v>0</v>
      </c>
      <c r="M4893">
        <f>Data!G4906</f>
        <v>0</v>
      </c>
      <c r="N4893">
        <f>Data!H4906</f>
        <v>0</v>
      </c>
      <c r="O4893">
        <f>Data!I4906</f>
        <v>0</v>
      </c>
      <c r="P4893" s="21">
        <f>Data!J4910</f>
        <v>0</v>
      </c>
      <c r="Q4893">
        <f>Data!K4910</f>
        <v>0</v>
      </c>
      <c r="R4893">
        <f>Data!L4910</f>
        <v>0</v>
      </c>
      <c r="S4893">
        <f>Data!M4910</f>
        <v>0</v>
      </c>
      <c r="T4893">
        <f>Data!N4910</f>
        <v>0</v>
      </c>
      <c r="U4893">
        <f>Data!O4910</f>
        <v>0</v>
      </c>
      <c r="V4893" s="33">
        <f>Data!P4908</f>
        <v>0</v>
      </c>
    </row>
    <row r="4894" spans="7:22" x14ac:dyDescent="0.25">
      <c r="G4894">
        <f>Data!A4907</f>
        <v>0</v>
      </c>
      <c r="H4894" s="21">
        <f>Data!B4907</f>
        <v>0</v>
      </c>
      <c r="I4894" s="21">
        <f>Data!C4907</f>
        <v>0</v>
      </c>
      <c r="J4894">
        <f>Data!D4907</f>
        <v>0</v>
      </c>
      <c r="K4894">
        <f>Data!E4907</f>
        <v>0</v>
      </c>
      <c r="L4894">
        <f>Data!F4907</f>
        <v>0</v>
      </c>
      <c r="M4894">
        <f>Data!G4907</f>
        <v>0</v>
      </c>
      <c r="N4894">
        <f>Data!H4907</f>
        <v>0</v>
      </c>
      <c r="O4894">
        <f>Data!I4907</f>
        <v>0</v>
      </c>
      <c r="P4894" s="21">
        <f>Data!J4911</f>
        <v>0</v>
      </c>
      <c r="Q4894">
        <f>Data!K4911</f>
        <v>0</v>
      </c>
      <c r="R4894">
        <f>Data!L4911</f>
        <v>0</v>
      </c>
      <c r="S4894">
        <f>Data!M4911</f>
        <v>0</v>
      </c>
      <c r="T4894">
        <f>Data!N4911</f>
        <v>0</v>
      </c>
      <c r="U4894">
        <f>Data!O4911</f>
        <v>0</v>
      </c>
      <c r="V4894" s="33">
        <f>Data!P4909</f>
        <v>0</v>
      </c>
    </row>
    <row r="4895" spans="7:22" x14ac:dyDescent="0.25">
      <c r="G4895">
        <f>Data!A4908</f>
        <v>0</v>
      </c>
      <c r="H4895" s="21">
        <f>Data!B4908</f>
        <v>0</v>
      </c>
      <c r="I4895" s="21">
        <f>Data!C4908</f>
        <v>0</v>
      </c>
      <c r="J4895">
        <f>Data!D4908</f>
        <v>0</v>
      </c>
      <c r="K4895">
        <f>Data!E4908</f>
        <v>0</v>
      </c>
      <c r="L4895">
        <f>Data!F4908</f>
        <v>0</v>
      </c>
      <c r="M4895">
        <f>Data!G4908</f>
        <v>0</v>
      </c>
      <c r="N4895">
        <f>Data!H4908</f>
        <v>0</v>
      </c>
      <c r="O4895">
        <f>Data!I4908</f>
        <v>0</v>
      </c>
      <c r="P4895" s="21">
        <f>Data!J4912</f>
        <v>0</v>
      </c>
      <c r="Q4895">
        <f>Data!K4912</f>
        <v>0</v>
      </c>
      <c r="R4895">
        <f>Data!L4912</f>
        <v>0</v>
      </c>
      <c r="S4895">
        <f>Data!M4912</f>
        <v>0</v>
      </c>
      <c r="T4895">
        <f>Data!N4912</f>
        <v>0</v>
      </c>
      <c r="U4895">
        <f>Data!O4912</f>
        <v>0</v>
      </c>
      <c r="V4895" s="33">
        <f>Data!P4910</f>
        <v>0</v>
      </c>
    </row>
    <row r="4896" spans="7:22" x14ac:dyDescent="0.25">
      <c r="G4896">
        <f>Data!A4909</f>
        <v>0</v>
      </c>
      <c r="H4896" s="21">
        <f>Data!B4909</f>
        <v>0</v>
      </c>
      <c r="I4896" s="21">
        <f>Data!C4909</f>
        <v>0</v>
      </c>
      <c r="J4896">
        <f>Data!D4909</f>
        <v>0</v>
      </c>
      <c r="K4896">
        <f>Data!E4909</f>
        <v>0</v>
      </c>
      <c r="L4896">
        <f>Data!F4909</f>
        <v>0</v>
      </c>
      <c r="M4896">
        <f>Data!G4909</f>
        <v>0</v>
      </c>
      <c r="N4896">
        <f>Data!H4909</f>
        <v>0</v>
      </c>
      <c r="O4896">
        <f>Data!I4909</f>
        <v>0</v>
      </c>
      <c r="P4896" s="21">
        <f>Data!J4913</f>
        <v>0</v>
      </c>
      <c r="Q4896">
        <f>Data!K4913</f>
        <v>0</v>
      </c>
      <c r="R4896">
        <f>Data!L4913</f>
        <v>0</v>
      </c>
      <c r="S4896">
        <f>Data!M4913</f>
        <v>0</v>
      </c>
      <c r="T4896">
        <f>Data!N4913</f>
        <v>0</v>
      </c>
      <c r="U4896">
        <f>Data!O4913</f>
        <v>0</v>
      </c>
      <c r="V4896" s="33">
        <f>Data!P4911</f>
        <v>0</v>
      </c>
    </row>
    <row r="4897" spans="7:22" x14ac:dyDescent="0.25">
      <c r="G4897">
        <f>Data!A4910</f>
        <v>0</v>
      </c>
      <c r="H4897" s="21">
        <f>Data!B4910</f>
        <v>0</v>
      </c>
      <c r="I4897" s="21">
        <f>Data!C4910</f>
        <v>0</v>
      </c>
      <c r="J4897">
        <f>Data!D4910</f>
        <v>0</v>
      </c>
      <c r="K4897">
        <f>Data!E4910</f>
        <v>0</v>
      </c>
      <c r="L4897">
        <f>Data!F4910</f>
        <v>0</v>
      </c>
      <c r="M4897">
        <f>Data!G4910</f>
        <v>0</v>
      </c>
      <c r="N4897">
        <f>Data!H4910</f>
        <v>0</v>
      </c>
      <c r="O4897">
        <f>Data!I4910</f>
        <v>0</v>
      </c>
      <c r="P4897" s="21">
        <f>Data!J4914</f>
        <v>0</v>
      </c>
      <c r="Q4897">
        <f>Data!K4914</f>
        <v>0</v>
      </c>
      <c r="R4897">
        <f>Data!L4914</f>
        <v>0</v>
      </c>
      <c r="S4897">
        <f>Data!M4914</f>
        <v>0</v>
      </c>
      <c r="T4897">
        <f>Data!N4914</f>
        <v>0</v>
      </c>
      <c r="U4897">
        <f>Data!O4914</f>
        <v>0</v>
      </c>
      <c r="V4897" s="33">
        <f>Data!P4912</f>
        <v>0</v>
      </c>
    </row>
    <row r="4898" spans="7:22" x14ac:dyDescent="0.25">
      <c r="G4898">
        <f>Data!A4911</f>
        <v>0</v>
      </c>
      <c r="H4898" s="21">
        <f>Data!B4911</f>
        <v>0</v>
      </c>
      <c r="I4898" s="21">
        <f>Data!C4911</f>
        <v>0</v>
      </c>
      <c r="J4898">
        <f>Data!D4911</f>
        <v>0</v>
      </c>
      <c r="K4898">
        <f>Data!E4911</f>
        <v>0</v>
      </c>
      <c r="L4898">
        <f>Data!F4911</f>
        <v>0</v>
      </c>
      <c r="M4898">
        <f>Data!G4911</f>
        <v>0</v>
      </c>
      <c r="N4898">
        <f>Data!H4911</f>
        <v>0</v>
      </c>
      <c r="O4898">
        <f>Data!I4911</f>
        <v>0</v>
      </c>
      <c r="P4898" s="21">
        <f>Data!J4915</f>
        <v>0</v>
      </c>
      <c r="Q4898">
        <f>Data!K4915</f>
        <v>0</v>
      </c>
      <c r="R4898">
        <f>Data!L4915</f>
        <v>0</v>
      </c>
      <c r="S4898">
        <f>Data!M4915</f>
        <v>0</v>
      </c>
      <c r="T4898">
        <f>Data!N4915</f>
        <v>0</v>
      </c>
      <c r="U4898">
        <f>Data!O4915</f>
        <v>0</v>
      </c>
      <c r="V4898" s="33">
        <f>Data!P4913</f>
        <v>0</v>
      </c>
    </row>
    <row r="4899" spans="7:22" x14ac:dyDescent="0.25">
      <c r="G4899">
        <f>Data!A4912</f>
        <v>0</v>
      </c>
      <c r="H4899" s="21">
        <f>Data!B4912</f>
        <v>0</v>
      </c>
      <c r="I4899" s="21">
        <f>Data!C4912</f>
        <v>0</v>
      </c>
      <c r="J4899">
        <f>Data!D4912</f>
        <v>0</v>
      </c>
      <c r="K4899">
        <f>Data!E4912</f>
        <v>0</v>
      </c>
      <c r="L4899">
        <f>Data!F4912</f>
        <v>0</v>
      </c>
      <c r="M4899">
        <f>Data!G4912</f>
        <v>0</v>
      </c>
      <c r="N4899">
        <f>Data!H4912</f>
        <v>0</v>
      </c>
      <c r="O4899">
        <f>Data!I4912</f>
        <v>0</v>
      </c>
      <c r="P4899" s="21">
        <f>Data!J4916</f>
        <v>0</v>
      </c>
      <c r="Q4899">
        <f>Data!K4916</f>
        <v>0</v>
      </c>
      <c r="R4899">
        <f>Data!L4916</f>
        <v>0</v>
      </c>
      <c r="S4899">
        <f>Data!M4916</f>
        <v>0</v>
      </c>
      <c r="T4899">
        <f>Data!N4916</f>
        <v>0</v>
      </c>
      <c r="U4899">
        <f>Data!O4916</f>
        <v>0</v>
      </c>
      <c r="V4899" s="33">
        <f>Data!P4914</f>
        <v>0</v>
      </c>
    </row>
    <row r="4900" spans="7:22" x14ac:dyDescent="0.25">
      <c r="G4900">
        <f>Data!A4913</f>
        <v>0</v>
      </c>
      <c r="H4900" s="21">
        <f>Data!B4913</f>
        <v>0</v>
      </c>
      <c r="I4900" s="21">
        <f>Data!C4913</f>
        <v>0</v>
      </c>
      <c r="J4900">
        <f>Data!D4913</f>
        <v>0</v>
      </c>
      <c r="K4900">
        <f>Data!E4913</f>
        <v>0</v>
      </c>
      <c r="L4900">
        <f>Data!F4913</f>
        <v>0</v>
      </c>
      <c r="M4900">
        <f>Data!G4913</f>
        <v>0</v>
      </c>
      <c r="N4900">
        <f>Data!H4913</f>
        <v>0</v>
      </c>
      <c r="O4900">
        <f>Data!I4913</f>
        <v>0</v>
      </c>
      <c r="P4900" s="21">
        <f>Data!J4917</f>
        <v>0</v>
      </c>
      <c r="Q4900">
        <f>Data!K4917</f>
        <v>0</v>
      </c>
      <c r="R4900">
        <f>Data!L4917</f>
        <v>0</v>
      </c>
      <c r="S4900">
        <f>Data!M4917</f>
        <v>0</v>
      </c>
      <c r="T4900">
        <f>Data!N4917</f>
        <v>0</v>
      </c>
      <c r="U4900">
        <f>Data!O4917</f>
        <v>0</v>
      </c>
      <c r="V4900" s="33">
        <f>Data!P4915</f>
        <v>0</v>
      </c>
    </row>
    <row r="4901" spans="7:22" x14ac:dyDescent="0.25">
      <c r="G4901">
        <f>Data!A4914</f>
        <v>0</v>
      </c>
      <c r="H4901" s="21">
        <f>Data!B4914</f>
        <v>0</v>
      </c>
      <c r="I4901" s="21">
        <f>Data!C4914</f>
        <v>0</v>
      </c>
      <c r="J4901">
        <f>Data!D4914</f>
        <v>0</v>
      </c>
      <c r="K4901">
        <f>Data!E4914</f>
        <v>0</v>
      </c>
      <c r="L4901">
        <f>Data!F4914</f>
        <v>0</v>
      </c>
      <c r="M4901">
        <f>Data!G4914</f>
        <v>0</v>
      </c>
      <c r="N4901">
        <f>Data!H4914</f>
        <v>0</v>
      </c>
      <c r="O4901">
        <f>Data!I4914</f>
        <v>0</v>
      </c>
      <c r="P4901" s="21">
        <f>Data!J4918</f>
        <v>0</v>
      </c>
      <c r="Q4901">
        <f>Data!K4918</f>
        <v>0</v>
      </c>
      <c r="R4901">
        <f>Data!L4918</f>
        <v>0</v>
      </c>
      <c r="S4901">
        <f>Data!M4918</f>
        <v>0</v>
      </c>
      <c r="T4901">
        <f>Data!N4918</f>
        <v>0</v>
      </c>
      <c r="U4901">
        <f>Data!O4918</f>
        <v>0</v>
      </c>
      <c r="V4901" s="33">
        <f>Data!P4916</f>
        <v>0</v>
      </c>
    </row>
    <row r="4902" spans="7:22" x14ac:dyDescent="0.25">
      <c r="G4902">
        <f>Data!A4915</f>
        <v>0</v>
      </c>
      <c r="H4902" s="21">
        <f>Data!B4915</f>
        <v>0</v>
      </c>
      <c r="I4902" s="21">
        <f>Data!C4915</f>
        <v>0</v>
      </c>
      <c r="J4902">
        <f>Data!D4915</f>
        <v>0</v>
      </c>
      <c r="K4902">
        <f>Data!E4915</f>
        <v>0</v>
      </c>
      <c r="L4902">
        <f>Data!F4915</f>
        <v>0</v>
      </c>
      <c r="M4902">
        <f>Data!G4915</f>
        <v>0</v>
      </c>
      <c r="N4902">
        <f>Data!H4915</f>
        <v>0</v>
      </c>
      <c r="O4902">
        <f>Data!I4915</f>
        <v>0</v>
      </c>
      <c r="P4902" s="21">
        <f>Data!J4919</f>
        <v>0</v>
      </c>
      <c r="Q4902">
        <f>Data!K4919</f>
        <v>0</v>
      </c>
      <c r="R4902">
        <f>Data!L4919</f>
        <v>0</v>
      </c>
      <c r="S4902">
        <f>Data!M4919</f>
        <v>0</v>
      </c>
      <c r="T4902">
        <f>Data!N4919</f>
        <v>0</v>
      </c>
      <c r="U4902">
        <f>Data!O4919</f>
        <v>0</v>
      </c>
      <c r="V4902" s="33">
        <f>Data!P4917</f>
        <v>0</v>
      </c>
    </row>
    <row r="4903" spans="7:22" x14ac:dyDescent="0.25">
      <c r="G4903">
        <f>Data!A4916</f>
        <v>0</v>
      </c>
      <c r="H4903" s="21">
        <f>Data!B4916</f>
        <v>0</v>
      </c>
      <c r="I4903" s="21">
        <f>Data!C4916</f>
        <v>0</v>
      </c>
      <c r="J4903">
        <f>Data!D4916</f>
        <v>0</v>
      </c>
      <c r="K4903">
        <f>Data!E4916</f>
        <v>0</v>
      </c>
      <c r="L4903">
        <f>Data!F4916</f>
        <v>0</v>
      </c>
      <c r="M4903">
        <f>Data!G4916</f>
        <v>0</v>
      </c>
      <c r="N4903">
        <f>Data!H4916</f>
        <v>0</v>
      </c>
      <c r="O4903">
        <f>Data!I4916</f>
        <v>0</v>
      </c>
      <c r="P4903" s="21">
        <f>Data!J4920</f>
        <v>0</v>
      </c>
      <c r="Q4903">
        <f>Data!K4920</f>
        <v>0</v>
      </c>
      <c r="R4903">
        <f>Data!L4920</f>
        <v>0</v>
      </c>
      <c r="S4903">
        <f>Data!M4920</f>
        <v>0</v>
      </c>
      <c r="T4903">
        <f>Data!N4920</f>
        <v>0</v>
      </c>
      <c r="U4903">
        <f>Data!O4920</f>
        <v>0</v>
      </c>
      <c r="V4903" s="33">
        <f>Data!P4918</f>
        <v>0</v>
      </c>
    </row>
    <row r="4904" spans="7:22" x14ac:dyDescent="0.25">
      <c r="G4904">
        <f>Data!A4917</f>
        <v>0</v>
      </c>
      <c r="H4904" s="21">
        <f>Data!B4917</f>
        <v>0</v>
      </c>
      <c r="I4904" s="21">
        <f>Data!C4917</f>
        <v>0</v>
      </c>
      <c r="J4904">
        <f>Data!D4917</f>
        <v>0</v>
      </c>
      <c r="K4904">
        <f>Data!E4917</f>
        <v>0</v>
      </c>
      <c r="L4904">
        <f>Data!F4917</f>
        <v>0</v>
      </c>
      <c r="M4904">
        <f>Data!G4917</f>
        <v>0</v>
      </c>
      <c r="N4904">
        <f>Data!H4917</f>
        <v>0</v>
      </c>
      <c r="O4904">
        <f>Data!I4917</f>
        <v>0</v>
      </c>
      <c r="P4904" s="21">
        <f>Data!J4921</f>
        <v>0</v>
      </c>
      <c r="Q4904">
        <f>Data!K4921</f>
        <v>0</v>
      </c>
      <c r="R4904">
        <f>Data!L4921</f>
        <v>0</v>
      </c>
      <c r="S4904">
        <f>Data!M4921</f>
        <v>0</v>
      </c>
      <c r="T4904">
        <f>Data!N4921</f>
        <v>0</v>
      </c>
      <c r="U4904">
        <f>Data!O4921</f>
        <v>0</v>
      </c>
      <c r="V4904" s="33">
        <f>Data!P4919</f>
        <v>0</v>
      </c>
    </row>
    <row r="4905" spans="7:22" x14ac:dyDescent="0.25">
      <c r="G4905">
        <f>Data!A4918</f>
        <v>0</v>
      </c>
      <c r="H4905" s="21">
        <f>Data!B4918</f>
        <v>0</v>
      </c>
      <c r="I4905" s="21">
        <f>Data!C4918</f>
        <v>0</v>
      </c>
      <c r="J4905">
        <f>Data!D4918</f>
        <v>0</v>
      </c>
      <c r="K4905">
        <f>Data!E4918</f>
        <v>0</v>
      </c>
      <c r="L4905">
        <f>Data!F4918</f>
        <v>0</v>
      </c>
      <c r="M4905">
        <f>Data!G4918</f>
        <v>0</v>
      </c>
      <c r="N4905">
        <f>Data!H4918</f>
        <v>0</v>
      </c>
      <c r="O4905">
        <f>Data!I4918</f>
        <v>0</v>
      </c>
      <c r="P4905" s="21">
        <f>Data!J4922</f>
        <v>0</v>
      </c>
      <c r="Q4905">
        <f>Data!K4922</f>
        <v>0</v>
      </c>
      <c r="R4905">
        <f>Data!L4922</f>
        <v>0</v>
      </c>
      <c r="S4905">
        <f>Data!M4922</f>
        <v>0</v>
      </c>
      <c r="T4905">
        <f>Data!N4922</f>
        <v>0</v>
      </c>
      <c r="U4905">
        <f>Data!O4922</f>
        <v>0</v>
      </c>
      <c r="V4905" s="33">
        <f>Data!P4920</f>
        <v>0</v>
      </c>
    </row>
    <row r="4906" spans="7:22" x14ac:dyDescent="0.25">
      <c r="G4906">
        <f>Data!A4919</f>
        <v>0</v>
      </c>
      <c r="H4906" s="21">
        <f>Data!B4919</f>
        <v>0</v>
      </c>
      <c r="I4906" s="21">
        <f>Data!C4919</f>
        <v>0</v>
      </c>
      <c r="J4906">
        <f>Data!D4919</f>
        <v>0</v>
      </c>
      <c r="K4906">
        <f>Data!E4919</f>
        <v>0</v>
      </c>
      <c r="L4906">
        <f>Data!F4919</f>
        <v>0</v>
      </c>
      <c r="M4906">
        <f>Data!G4919</f>
        <v>0</v>
      </c>
      <c r="N4906">
        <f>Data!H4919</f>
        <v>0</v>
      </c>
      <c r="O4906">
        <f>Data!I4919</f>
        <v>0</v>
      </c>
      <c r="P4906" s="21">
        <f>Data!J4923</f>
        <v>0</v>
      </c>
      <c r="Q4906">
        <f>Data!K4923</f>
        <v>0</v>
      </c>
      <c r="R4906">
        <f>Data!L4923</f>
        <v>0</v>
      </c>
      <c r="S4906">
        <f>Data!M4923</f>
        <v>0</v>
      </c>
      <c r="T4906">
        <f>Data!N4923</f>
        <v>0</v>
      </c>
      <c r="U4906">
        <f>Data!O4923</f>
        <v>0</v>
      </c>
      <c r="V4906" s="33">
        <f>Data!P4921</f>
        <v>0</v>
      </c>
    </row>
    <row r="4907" spans="7:22" x14ac:dyDescent="0.25">
      <c r="G4907">
        <f>Data!A4920</f>
        <v>0</v>
      </c>
      <c r="H4907" s="21">
        <f>Data!B4920</f>
        <v>0</v>
      </c>
      <c r="I4907" s="21">
        <f>Data!C4920</f>
        <v>0</v>
      </c>
      <c r="J4907">
        <f>Data!D4920</f>
        <v>0</v>
      </c>
      <c r="K4907">
        <f>Data!E4920</f>
        <v>0</v>
      </c>
      <c r="L4907">
        <f>Data!F4920</f>
        <v>0</v>
      </c>
      <c r="M4907">
        <f>Data!G4920</f>
        <v>0</v>
      </c>
      <c r="N4907">
        <f>Data!H4920</f>
        <v>0</v>
      </c>
      <c r="O4907">
        <f>Data!I4920</f>
        <v>0</v>
      </c>
      <c r="P4907" s="21">
        <f>Data!J4924</f>
        <v>0</v>
      </c>
      <c r="Q4907">
        <f>Data!K4924</f>
        <v>0</v>
      </c>
      <c r="R4907">
        <f>Data!L4924</f>
        <v>0</v>
      </c>
      <c r="S4907">
        <f>Data!M4924</f>
        <v>0</v>
      </c>
      <c r="T4907">
        <f>Data!N4924</f>
        <v>0</v>
      </c>
      <c r="U4907">
        <f>Data!O4924</f>
        <v>0</v>
      </c>
      <c r="V4907" s="33">
        <f>Data!P4922</f>
        <v>0</v>
      </c>
    </row>
    <row r="4908" spans="7:22" x14ac:dyDescent="0.25">
      <c r="G4908">
        <f>Data!A4921</f>
        <v>0</v>
      </c>
      <c r="H4908" s="21">
        <f>Data!B4921</f>
        <v>0</v>
      </c>
      <c r="I4908" s="21">
        <f>Data!C4921</f>
        <v>0</v>
      </c>
      <c r="J4908">
        <f>Data!D4921</f>
        <v>0</v>
      </c>
      <c r="K4908">
        <f>Data!E4921</f>
        <v>0</v>
      </c>
      <c r="L4908">
        <f>Data!F4921</f>
        <v>0</v>
      </c>
      <c r="M4908">
        <f>Data!G4921</f>
        <v>0</v>
      </c>
      <c r="N4908">
        <f>Data!H4921</f>
        <v>0</v>
      </c>
      <c r="O4908">
        <f>Data!I4921</f>
        <v>0</v>
      </c>
      <c r="P4908" s="21">
        <f>Data!J4925</f>
        <v>0</v>
      </c>
      <c r="Q4908">
        <f>Data!K4925</f>
        <v>0</v>
      </c>
      <c r="R4908">
        <f>Data!L4925</f>
        <v>0</v>
      </c>
      <c r="S4908">
        <f>Data!M4925</f>
        <v>0</v>
      </c>
      <c r="T4908">
        <f>Data!N4925</f>
        <v>0</v>
      </c>
      <c r="U4908">
        <f>Data!O4925</f>
        <v>0</v>
      </c>
      <c r="V4908" s="33">
        <f>Data!P4923</f>
        <v>0</v>
      </c>
    </row>
    <row r="4909" spans="7:22" x14ac:dyDescent="0.25">
      <c r="G4909">
        <f>Data!A4922</f>
        <v>0</v>
      </c>
      <c r="H4909" s="21">
        <f>Data!B4922</f>
        <v>0</v>
      </c>
      <c r="I4909" s="21">
        <f>Data!C4922</f>
        <v>0</v>
      </c>
      <c r="J4909">
        <f>Data!D4922</f>
        <v>0</v>
      </c>
      <c r="K4909">
        <f>Data!E4922</f>
        <v>0</v>
      </c>
      <c r="L4909">
        <f>Data!F4922</f>
        <v>0</v>
      </c>
      <c r="M4909">
        <f>Data!G4922</f>
        <v>0</v>
      </c>
      <c r="N4909">
        <f>Data!H4922</f>
        <v>0</v>
      </c>
      <c r="O4909">
        <f>Data!I4922</f>
        <v>0</v>
      </c>
      <c r="P4909" s="21">
        <f>Data!J4926</f>
        <v>0</v>
      </c>
      <c r="Q4909">
        <f>Data!K4926</f>
        <v>0</v>
      </c>
      <c r="R4909">
        <f>Data!L4926</f>
        <v>0</v>
      </c>
      <c r="S4909">
        <f>Data!M4926</f>
        <v>0</v>
      </c>
      <c r="T4909">
        <f>Data!N4926</f>
        <v>0</v>
      </c>
      <c r="U4909">
        <f>Data!O4926</f>
        <v>0</v>
      </c>
      <c r="V4909" s="33">
        <f>Data!P4924</f>
        <v>0</v>
      </c>
    </row>
    <row r="4910" spans="7:22" x14ac:dyDescent="0.25">
      <c r="G4910">
        <f>Data!A4923</f>
        <v>0</v>
      </c>
      <c r="H4910" s="21">
        <f>Data!B4923</f>
        <v>0</v>
      </c>
      <c r="I4910" s="21">
        <f>Data!C4923</f>
        <v>0</v>
      </c>
      <c r="J4910">
        <f>Data!D4923</f>
        <v>0</v>
      </c>
      <c r="K4910">
        <f>Data!E4923</f>
        <v>0</v>
      </c>
      <c r="L4910">
        <f>Data!F4923</f>
        <v>0</v>
      </c>
      <c r="M4910">
        <f>Data!G4923</f>
        <v>0</v>
      </c>
      <c r="N4910">
        <f>Data!H4923</f>
        <v>0</v>
      </c>
      <c r="O4910">
        <f>Data!I4923</f>
        <v>0</v>
      </c>
      <c r="P4910" s="21">
        <f>Data!J4927</f>
        <v>0</v>
      </c>
      <c r="Q4910">
        <f>Data!K4927</f>
        <v>0</v>
      </c>
      <c r="R4910">
        <f>Data!L4927</f>
        <v>0</v>
      </c>
      <c r="S4910">
        <f>Data!M4927</f>
        <v>0</v>
      </c>
      <c r="T4910">
        <f>Data!N4927</f>
        <v>0</v>
      </c>
      <c r="U4910">
        <f>Data!O4927</f>
        <v>0</v>
      </c>
      <c r="V4910" s="33">
        <f>Data!P4925</f>
        <v>0</v>
      </c>
    </row>
    <row r="4911" spans="7:22" x14ac:dyDescent="0.25">
      <c r="G4911">
        <f>Data!A4924</f>
        <v>0</v>
      </c>
      <c r="H4911" s="21">
        <f>Data!B4924</f>
        <v>0</v>
      </c>
      <c r="I4911" s="21">
        <f>Data!C4924</f>
        <v>0</v>
      </c>
      <c r="J4911">
        <f>Data!D4924</f>
        <v>0</v>
      </c>
      <c r="K4911">
        <f>Data!E4924</f>
        <v>0</v>
      </c>
      <c r="L4911">
        <f>Data!F4924</f>
        <v>0</v>
      </c>
      <c r="M4911">
        <f>Data!G4924</f>
        <v>0</v>
      </c>
      <c r="N4911">
        <f>Data!H4924</f>
        <v>0</v>
      </c>
      <c r="O4911">
        <f>Data!I4924</f>
        <v>0</v>
      </c>
      <c r="P4911" s="21">
        <f>Data!J4928</f>
        <v>0</v>
      </c>
      <c r="Q4911">
        <f>Data!K4928</f>
        <v>0</v>
      </c>
      <c r="R4911">
        <f>Data!L4928</f>
        <v>0</v>
      </c>
      <c r="S4911">
        <f>Data!M4928</f>
        <v>0</v>
      </c>
      <c r="T4911">
        <f>Data!N4928</f>
        <v>0</v>
      </c>
      <c r="U4911">
        <f>Data!O4928</f>
        <v>0</v>
      </c>
      <c r="V4911" s="33">
        <f>Data!P4926</f>
        <v>0</v>
      </c>
    </row>
    <row r="4912" spans="7:22" x14ac:dyDescent="0.25">
      <c r="G4912">
        <f>Data!A4925</f>
        <v>0</v>
      </c>
      <c r="H4912" s="21">
        <f>Data!B4925</f>
        <v>0</v>
      </c>
      <c r="I4912" s="21">
        <f>Data!C4925</f>
        <v>0</v>
      </c>
      <c r="J4912">
        <f>Data!D4925</f>
        <v>0</v>
      </c>
      <c r="K4912">
        <f>Data!E4925</f>
        <v>0</v>
      </c>
      <c r="L4912">
        <f>Data!F4925</f>
        <v>0</v>
      </c>
      <c r="M4912">
        <f>Data!G4925</f>
        <v>0</v>
      </c>
      <c r="N4912">
        <f>Data!H4925</f>
        <v>0</v>
      </c>
      <c r="O4912">
        <f>Data!I4925</f>
        <v>0</v>
      </c>
      <c r="P4912" s="21">
        <f>Data!J4929</f>
        <v>0</v>
      </c>
      <c r="Q4912">
        <f>Data!K4929</f>
        <v>0</v>
      </c>
      <c r="R4912">
        <f>Data!L4929</f>
        <v>0</v>
      </c>
      <c r="S4912">
        <f>Data!M4929</f>
        <v>0</v>
      </c>
      <c r="T4912">
        <f>Data!N4929</f>
        <v>0</v>
      </c>
      <c r="U4912">
        <f>Data!O4929</f>
        <v>0</v>
      </c>
      <c r="V4912" s="33">
        <f>Data!P4927</f>
        <v>0</v>
      </c>
    </row>
    <row r="4913" spans="7:22" x14ac:dyDescent="0.25">
      <c r="G4913">
        <f>Data!A4926</f>
        <v>0</v>
      </c>
      <c r="H4913" s="21">
        <f>Data!B4926</f>
        <v>0</v>
      </c>
      <c r="I4913" s="21">
        <f>Data!C4926</f>
        <v>0</v>
      </c>
      <c r="J4913">
        <f>Data!D4926</f>
        <v>0</v>
      </c>
      <c r="K4913">
        <f>Data!E4926</f>
        <v>0</v>
      </c>
      <c r="L4913">
        <f>Data!F4926</f>
        <v>0</v>
      </c>
      <c r="M4913">
        <f>Data!G4926</f>
        <v>0</v>
      </c>
      <c r="N4913">
        <f>Data!H4926</f>
        <v>0</v>
      </c>
      <c r="O4913">
        <f>Data!I4926</f>
        <v>0</v>
      </c>
      <c r="P4913" s="21">
        <f>Data!J4930</f>
        <v>0</v>
      </c>
      <c r="Q4913">
        <f>Data!K4930</f>
        <v>0</v>
      </c>
      <c r="R4913">
        <f>Data!L4930</f>
        <v>0</v>
      </c>
      <c r="S4913">
        <f>Data!M4930</f>
        <v>0</v>
      </c>
      <c r="T4913">
        <f>Data!N4930</f>
        <v>0</v>
      </c>
      <c r="U4913">
        <f>Data!O4930</f>
        <v>0</v>
      </c>
      <c r="V4913" s="33">
        <f>Data!P4928</f>
        <v>0</v>
      </c>
    </row>
    <row r="4914" spans="7:22" x14ac:dyDescent="0.25">
      <c r="G4914">
        <f>Data!A4927</f>
        <v>0</v>
      </c>
      <c r="H4914" s="21">
        <f>Data!B4927</f>
        <v>0</v>
      </c>
      <c r="I4914" s="21">
        <f>Data!C4927</f>
        <v>0</v>
      </c>
      <c r="J4914">
        <f>Data!D4927</f>
        <v>0</v>
      </c>
      <c r="K4914">
        <f>Data!E4927</f>
        <v>0</v>
      </c>
      <c r="L4914">
        <f>Data!F4927</f>
        <v>0</v>
      </c>
      <c r="M4914">
        <f>Data!G4927</f>
        <v>0</v>
      </c>
      <c r="N4914">
        <f>Data!H4927</f>
        <v>0</v>
      </c>
      <c r="O4914">
        <f>Data!I4927</f>
        <v>0</v>
      </c>
      <c r="P4914" s="21">
        <f>Data!J4931</f>
        <v>0</v>
      </c>
      <c r="Q4914">
        <f>Data!K4931</f>
        <v>0</v>
      </c>
      <c r="R4914">
        <f>Data!L4931</f>
        <v>0</v>
      </c>
      <c r="S4914">
        <f>Data!M4931</f>
        <v>0</v>
      </c>
      <c r="T4914">
        <f>Data!N4931</f>
        <v>0</v>
      </c>
      <c r="U4914">
        <f>Data!O4931</f>
        <v>0</v>
      </c>
      <c r="V4914" s="33">
        <f>Data!P4929</f>
        <v>0</v>
      </c>
    </row>
    <row r="4915" spans="7:22" x14ac:dyDescent="0.25">
      <c r="G4915">
        <f>Data!A4928</f>
        <v>0</v>
      </c>
      <c r="H4915" s="21">
        <f>Data!B4928</f>
        <v>0</v>
      </c>
      <c r="I4915" s="21">
        <f>Data!C4928</f>
        <v>0</v>
      </c>
      <c r="J4915">
        <f>Data!D4928</f>
        <v>0</v>
      </c>
      <c r="K4915">
        <f>Data!E4928</f>
        <v>0</v>
      </c>
      <c r="L4915">
        <f>Data!F4928</f>
        <v>0</v>
      </c>
      <c r="M4915">
        <f>Data!G4928</f>
        <v>0</v>
      </c>
      <c r="N4915">
        <f>Data!H4928</f>
        <v>0</v>
      </c>
      <c r="O4915">
        <f>Data!I4928</f>
        <v>0</v>
      </c>
      <c r="P4915" s="21">
        <f>Data!J4932</f>
        <v>0</v>
      </c>
      <c r="Q4915">
        <f>Data!K4932</f>
        <v>0</v>
      </c>
      <c r="R4915">
        <f>Data!L4932</f>
        <v>0</v>
      </c>
      <c r="S4915">
        <f>Data!M4932</f>
        <v>0</v>
      </c>
      <c r="T4915">
        <f>Data!N4932</f>
        <v>0</v>
      </c>
      <c r="U4915">
        <f>Data!O4932</f>
        <v>0</v>
      </c>
      <c r="V4915" s="33">
        <f>Data!P4930</f>
        <v>0</v>
      </c>
    </row>
    <row r="4916" spans="7:22" x14ac:dyDescent="0.25">
      <c r="G4916">
        <f>Data!A4929</f>
        <v>0</v>
      </c>
      <c r="H4916" s="21">
        <f>Data!B4929</f>
        <v>0</v>
      </c>
      <c r="I4916" s="21">
        <f>Data!C4929</f>
        <v>0</v>
      </c>
      <c r="J4916">
        <f>Data!D4929</f>
        <v>0</v>
      </c>
      <c r="K4916">
        <f>Data!E4929</f>
        <v>0</v>
      </c>
      <c r="L4916">
        <f>Data!F4929</f>
        <v>0</v>
      </c>
      <c r="M4916">
        <f>Data!G4929</f>
        <v>0</v>
      </c>
      <c r="N4916">
        <f>Data!H4929</f>
        <v>0</v>
      </c>
      <c r="O4916">
        <f>Data!I4929</f>
        <v>0</v>
      </c>
      <c r="P4916" s="21">
        <f>Data!J4933</f>
        <v>0</v>
      </c>
      <c r="Q4916">
        <f>Data!K4933</f>
        <v>0</v>
      </c>
      <c r="R4916">
        <f>Data!L4933</f>
        <v>0</v>
      </c>
      <c r="S4916">
        <f>Data!M4933</f>
        <v>0</v>
      </c>
      <c r="T4916">
        <f>Data!N4933</f>
        <v>0</v>
      </c>
      <c r="U4916">
        <f>Data!O4933</f>
        <v>0</v>
      </c>
      <c r="V4916" s="33">
        <f>Data!P4931</f>
        <v>0</v>
      </c>
    </row>
    <row r="4917" spans="7:22" x14ac:dyDescent="0.25">
      <c r="G4917">
        <f>Data!A4930</f>
        <v>0</v>
      </c>
      <c r="H4917" s="21">
        <f>Data!B4930</f>
        <v>0</v>
      </c>
      <c r="I4917" s="21">
        <f>Data!C4930</f>
        <v>0</v>
      </c>
      <c r="J4917">
        <f>Data!D4930</f>
        <v>0</v>
      </c>
      <c r="K4917">
        <f>Data!E4930</f>
        <v>0</v>
      </c>
      <c r="L4917">
        <f>Data!F4930</f>
        <v>0</v>
      </c>
      <c r="M4917">
        <f>Data!G4930</f>
        <v>0</v>
      </c>
      <c r="N4917">
        <f>Data!H4930</f>
        <v>0</v>
      </c>
      <c r="O4917">
        <f>Data!I4930</f>
        <v>0</v>
      </c>
      <c r="P4917" s="21">
        <f>Data!J4934</f>
        <v>0</v>
      </c>
      <c r="Q4917">
        <f>Data!K4934</f>
        <v>0</v>
      </c>
      <c r="R4917">
        <f>Data!L4934</f>
        <v>0</v>
      </c>
      <c r="S4917">
        <f>Data!M4934</f>
        <v>0</v>
      </c>
      <c r="T4917">
        <f>Data!N4934</f>
        <v>0</v>
      </c>
      <c r="U4917">
        <f>Data!O4934</f>
        <v>0</v>
      </c>
      <c r="V4917" s="33">
        <f>Data!P4932</f>
        <v>0</v>
      </c>
    </row>
    <row r="4918" spans="7:22" x14ac:dyDescent="0.25">
      <c r="G4918">
        <f>Data!A4931</f>
        <v>0</v>
      </c>
      <c r="H4918" s="21">
        <f>Data!B4931</f>
        <v>0</v>
      </c>
      <c r="I4918" s="21">
        <f>Data!C4931</f>
        <v>0</v>
      </c>
      <c r="J4918">
        <f>Data!D4931</f>
        <v>0</v>
      </c>
      <c r="K4918">
        <f>Data!E4931</f>
        <v>0</v>
      </c>
      <c r="L4918">
        <f>Data!F4931</f>
        <v>0</v>
      </c>
      <c r="M4918">
        <f>Data!G4931</f>
        <v>0</v>
      </c>
      <c r="N4918">
        <f>Data!H4931</f>
        <v>0</v>
      </c>
      <c r="O4918">
        <f>Data!I4931</f>
        <v>0</v>
      </c>
      <c r="P4918" s="21">
        <f>Data!J4935</f>
        <v>0</v>
      </c>
      <c r="Q4918">
        <f>Data!K4935</f>
        <v>0</v>
      </c>
      <c r="R4918">
        <f>Data!L4935</f>
        <v>0</v>
      </c>
      <c r="S4918">
        <f>Data!M4935</f>
        <v>0</v>
      </c>
      <c r="T4918">
        <f>Data!N4935</f>
        <v>0</v>
      </c>
      <c r="U4918">
        <f>Data!O4935</f>
        <v>0</v>
      </c>
      <c r="V4918" s="33">
        <f>Data!P4933</f>
        <v>0</v>
      </c>
    </row>
    <row r="4919" spans="7:22" x14ac:dyDescent="0.25">
      <c r="G4919">
        <f>Data!A4932</f>
        <v>0</v>
      </c>
      <c r="H4919" s="21">
        <f>Data!B4932</f>
        <v>0</v>
      </c>
      <c r="I4919" s="21">
        <f>Data!C4932</f>
        <v>0</v>
      </c>
      <c r="J4919">
        <f>Data!D4932</f>
        <v>0</v>
      </c>
      <c r="K4919">
        <f>Data!E4932</f>
        <v>0</v>
      </c>
      <c r="L4919">
        <f>Data!F4932</f>
        <v>0</v>
      </c>
      <c r="M4919">
        <f>Data!G4932</f>
        <v>0</v>
      </c>
      <c r="N4919">
        <f>Data!H4932</f>
        <v>0</v>
      </c>
      <c r="O4919">
        <f>Data!I4932</f>
        <v>0</v>
      </c>
      <c r="P4919" s="21">
        <f>Data!J4936</f>
        <v>0</v>
      </c>
      <c r="Q4919">
        <f>Data!K4936</f>
        <v>0</v>
      </c>
      <c r="R4919">
        <f>Data!L4936</f>
        <v>0</v>
      </c>
      <c r="S4919">
        <f>Data!M4936</f>
        <v>0</v>
      </c>
      <c r="T4919">
        <f>Data!N4936</f>
        <v>0</v>
      </c>
      <c r="U4919">
        <f>Data!O4936</f>
        <v>0</v>
      </c>
      <c r="V4919" s="33">
        <f>Data!P4934</f>
        <v>0</v>
      </c>
    </row>
    <row r="4920" spans="7:22" x14ac:dyDescent="0.25">
      <c r="G4920">
        <f>Data!A4933</f>
        <v>0</v>
      </c>
      <c r="H4920" s="21">
        <f>Data!B4933</f>
        <v>0</v>
      </c>
      <c r="I4920" s="21">
        <f>Data!C4933</f>
        <v>0</v>
      </c>
      <c r="J4920">
        <f>Data!D4933</f>
        <v>0</v>
      </c>
      <c r="K4920">
        <f>Data!E4933</f>
        <v>0</v>
      </c>
      <c r="L4920">
        <f>Data!F4933</f>
        <v>0</v>
      </c>
      <c r="M4920">
        <f>Data!G4933</f>
        <v>0</v>
      </c>
      <c r="N4920">
        <f>Data!H4933</f>
        <v>0</v>
      </c>
      <c r="O4920">
        <f>Data!I4933</f>
        <v>0</v>
      </c>
      <c r="P4920" s="21">
        <f>Data!J4937</f>
        <v>0</v>
      </c>
      <c r="Q4920">
        <f>Data!K4937</f>
        <v>0</v>
      </c>
      <c r="R4920">
        <f>Data!L4937</f>
        <v>0</v>
      </c>
      <c r="S4920">
        <f>Data!M4937</f>
        <v>0</v>
      </c>
      <c r="T4920">
        <f>Data!N4937</f>
        <v>0</v>
      </c>
      <c r="U4920">
        <f>Data!O4937</f>
        <v>0</v>
      </c>
      <c r="V4920" s="33">
        <f>Data!P4935</f>
        <v>0</v>
      </c>
    </row>
    <row r="4921" spans="7:22" x14ac:dyDescent="0.25">
      <c r="G4921">
        <f>Data!A4934</f>
        <v>0</v>
      </c>
      <c r="H4921" s="21">
        <f>Data!B4934</f>
        <v>0</v>
      </c>
      <c r="I4921" s="21">
        <f>Data!C4934</f>
        <v>0</v>
      </c>
      <c r="J4921">
        <f>Data!D4934</f>
        <v>0</v>
      </c>
      <c r="K4921">
        <f>Data!E4934</f>
        <v>0</v>
      </c>
      <c r="L4921">
        <f>Data!F4934</f>
        <v>0</v>
      </c>
      <c r="M4921">
        <f>Data!G4934</f>
        <v>0</v>
      </c>
      <c r="N4921">
        <f>Data!H4934</f>
        <v>0</v>
      </c>
      <c r="O4921">
        <f>Data!I4934</f>
        <v>0</v>
      </c>
      <c r="P4921" s="21">
        <f>Data!J4938</f>
        <v>0</v>
      </c>
      <c r="Q4921">
        <f>Data!K4938</f>
        <v>0</v>
      </c>
      <c r="R4921">
        <f>Data!L4938</f>
        <v>0</v>
      </c>
      <c r="S4921">
        <f>Data!M4938</f>
        <v>0</v>
      </c>
      <c r="T4921">
        <f>Data!N4938</f>
        <v>0</v>
      </c>
      <c r="U4921">
        <f>Data!O4938</f>
        <v>0</v>
      </c>
      <c r="V4921" s="33">
        <f>Data!P4936</f>
        <v>0</v>
      </c>
    </row>
    <row r="4922" spans="7:22" x14ac:dyDescent="0.25">
      <c r="G4922">
        <f>Data!A4935</f>
        <v>0</v>
      </c>
      <c r="H4922" s="21">
        <f>Data!B4935</f>
        <v>0</v>
      </c>
      <c r="I4922" s="21">
        <f>Data!C4935</f>
        <v>0</v>
      </c>
      <c r="J4922">
        <f>Data!D4935</f>
        <v>0</v>
      </c>
      <c r="K4922">
        <f>Data!E4935</f>
        <v>0</v>
      </c>
      <c r="L4922">
        <f>Data!F4935</f>
        <v>0</v>
      </c>
      <c r="M4922">
        <f>Data!G4935</f>
        <v>0</v>
      </c>
      <c r="N4922">
        <f>Data!H4935</f>
        <v>0</v>
      </c>
      <c r="O4922">
        <f>Data!I4935</f>
        <v>0</v>
      </c>
      <c r="P4922" s="21">
        <f>Data!J4939</f>
        <v>0</v>
      </c>
      <c r="Q4922">
        <f>Data!K4939</f>
        <v>0</v>
      </c>
      <c r="R4922">
        <f>Data!L4939</f>
        <v>0</v>
      </c>
      <c r="S4922">
        <f>Data!M4939</f>
        <v>0</v>
      </c>
      <c r="T4922">
        <f>Data!N4939</f>
        <v>0</v>
      </c>
      <c r="U4922">
        <f>Data!O4939</f>
        <v>0</v>
      </c>
      <c r="V4922" s="33">
        <f>Data!P4937</f>
        <v>0</v>
      </c>
    </row>
    <row r="4923" spans="7:22" x14ac:dyDescent="0.25">
      <c r="G4923">
        <f>Data!A4936</f>
        <v>0</v>
      </c>
      <c r="H4923" s="21">
        <f>Data!B4936</f>
        <v>0</v>
      </c>
      <c r="I4923" s="21">
        <f>Data!C4936</f>
        <v>0</v>
      </c>
      <c r="J4923">
        <f>Data!D4936</f>
        <v>0</v>
      </c>
      <c r="K4923">
        <f>Data!E4936</f>
        <v>0</v>
      </c>
      <c r="L4923">
        <f>Data!F4936</f>
        <v>0</v>
      </c>
      <c r="M4923">
        <f>Data!G4936</f>
        <v>0</v>
      </c>
      <c r="N4923">
        <f>Data!H4936</f>
        <v>0</v>
      </c>
      <c r="O4923">
        <f>Data!I4936</f>
        <v>0</v>
      </c>
      <c r="P4923" s="21">
        <f>Data!J4940</f>
        <v>0</v>
      </c>
      <c r="Q4923">
        <f>Data!K4940</f>
        <v>0</v>
      </c>
      <c r="R4923">
        <f>Data!L4940</f>
        <v>0</v>
      </c>
      <c r="S4923">
        <f>Data!M4940</f>
        <v>0</v>
      </c>
      <c r="T4923">
        <f>Data!N4940</f>
        <v>0</v>
      </c>
      <c r="U4923">
        <f>Data!O4940</f>
        <v>0</v>
      </c>
      <c r="V4923" s="33">
        <f>Data!P4938</f>
        <v>0</v>
      </c>
    </row>
    <row r="4924" spans="7:22" x14ac:dyDescent="0.25">
      <c r="G4924">
        <f>Data!A4937</f>
        <v>0</v>
      </c>
      <c r="H4924" s="21">
        <f>Data!B4937</f>
        <v>0</v>
      </c>
      <c r="I4924" s="21">
        <f>Data!C4937</f>
        <v>0</v>
      </c>
      <c r="J4924">
        <f>Data!D4937</f>
        <v>0</v>
      </c>
      <c r="K4924">
        <f>Data!E4937</f>
        <v>0</v>
      </c>
      <c r="L4924">
        <f>Data!F4937</f>
        <v>0</v>
      </c>
      <c r="M4924">
        <f>Data!G4937</f>
        <v>0</v>
      </c>
      <c r="N4924">
        <f>Data!H4937</f>
        <v>0</v>
      </c>
      <c r="O4924">
        <f>Data!I4937</f>
        <v>0</v>
      </c>
      <c r="P4924" s="21">
        <f>Data!J4941</f>
        <v>0</v>
      </c>
      <c r="Q4924">
        <f>Data!K4941</f>
        <v>0</v>
      </c>
      <c r="R4924">
        <f>Data!L4941</f>
        <v>0</v>
      </c>
      <c r="S4924">
        <f>Data!M4941</f>
        <v>0</v>
      </c>
      <c r="T4924">
        <f>Data!N4941</f>
        <v>0</v>
      </c>
      <c r="U4924">
        <f>Data!O4941</f>
        <v>0</v>
      </c>
      <c r="V4924" s="33">
        <f>Data!P4939</f>
        <v>0</v>
      </c>
    </row>
    <row r="4925" spans="7:22" x14ac:dyDescent="0.25">
      <c r="G4925">
        <f>Data!A4938</f>
        <v>0</v>
      </c>
      <c r="H4925" s="21">
        <f>Data!B4938</f>
        <v>0</v>
      </c>
      <c r="I4925" s="21">
        <f>Data!C4938</f>
        <v>0</v>
      </c>
      <c r="J4925">
        <f>Data!D4938</f>
        <v>0</v>
      </c>
      <c r="K4925">
        <f>Data!E4938</f>
        <v>0</v>
      </c>
      <c r="L4925">
        <f>Data!F4938</f>
        <v>0</v>
      </c>
      <c r="M4925">
        <f>Data!G4938</f>
        <v>0</v>
      </c>
      <c r="N4925">
        <f>Data!H4938</f>
        <v>0</v>
      </c>
      <c r="O4925">
        <f>Data!I4938</f>
        <v>0</v>
      </c>
      <c r="P4925" s="21">
        <f>Data!J4942</f>
        <v>0</v>
      </c>
      <c r="Q4925">
        <f>Data!K4942</f>
        <v>0</v>
      </c>
      <c r="R4925">
        <f>Data!L4942</f>
        <v>0</v>
      </c>
      <c r="S4925">
        <f>Data!M4942</f>
        <v>0</v>
      </c>
      <c r="T4925">
        <f>Data!N4942</f>
        <v>0</v>
      </c>
      <c r="U4925">
        <f>Data!O4942</f>
        <v>0</v>
      </c>
      <c r="V4925" s="33">
        <f>Data!P4940</f>
        <v>0</v>
      </c>
    </row>
    <row r="4926" spans="7:22" x14ac:dyDescent="0.25">
      <c r="G4926">
        <f>Data!A4939</f>
        <v>0</v>
      </c>
      <c r="H4926" s="21">
        <f>Data!B4939</f>
        <v>0</v>
      </c>
      <c r="I4926" s="21">
        <f>Data!C4939</f>
        <v>0</v>
      </c>
      <c r="J4926">
        <f>Data!D4939</f>
        <v>0</v>
      </c>
      <c r="K4926">
        <f>Data!E4939</f>
        <v>0</v>
      </c>
      <c r="L4926">
        <f>Data!F4939</f>
        <v>0</v>
      </c>
      <c r="M4926">
        <f>Data!G4939</f>
        <v>0</v>
      </c>
      <c r="N4926">
        <f>Data!H4939</f>
        <v>0</v>
      </c>
      <c r="O4926">
        <f>Data!I4939</f>
        <v>0</v>
      </c>
      <c r="P4926" s="21">
        <f>Data!J4943</f>
        <v>0</v>
      </c>
      <c r="Q4926">
        <f>Data!K4943</f>
        <v>0</v>
      </c>
      <c r="R4926">
        <f>Data!L4943</f>
        <v>0</v>
      </c>
      <c r="S4926">
        <f>Data!M4943</f>
        <v>0</v>
      </c>
      <c r="T4926">
        <f>Data!N4943</f>
        <v>0</v>
      </c>
      <c r="U4926">
        <f>Data!O4943</f>
        <v>0</v>
      </c>
      <c r="V4926" s="33">
        <f>Data!P4941</f>
        <v>0</v>
      </c>
    </row>
    <row r="4927" spans="7:22" x14ac:dyDescent="0.25">
      <c r="G4927">
        <f>Data!A4940</f>
        <v>0</v>
      </c>
      <c r="H4927" s="21">
        <f>Data!B4940</f>
        <v>0</v>
      </c>
      <c r="I4927" s="21">
        <f>Data!C4940</f>
        <v>0</v>
      </c>
      <c r="J4927">
        <f>Data!D4940</f>
        <v>0</v>
      </c>
      <c r="K4927">
        <f>Data!E4940</f>
        <v>0</v>
      </c>
      <c r="L4927">
        <f>Data!F4940</f>
        <v>0</v>
      </c>
      <c r="M4927">
        <f>Data!G4940</f>
        <v>0</v>
      </c>
      <c r="N4927">
        <f>Data!H4940</f>
        <v>0</v>
      </c>
      <c r="O4927">
        <f>Data!I4940</f>
        <v>0</v>
      </c>
      <c r="P4927" s="21">
        <f>Data!J4944</f>
        <v>0</v>
      </c>
      <c r="Q4927">
        <f>Data!K4944</f>
        <v>0</v>
      </c>
      <c r="R4927">
        <f>Data!L4944</f>
        <v>0</v>
      </c>
      <c r="S4927">
        <f>Data!M4944</f>
        <v>0</v>
      </c>
      <c r="T4927">
        <f>Data!N4944</f>
        <v>0</v>
      </c>
      <c r="U4927">
        <f>Data!O4944</f>
        <v>0</v>
      </c>
      <c r="V4927" s="33">
        <f>Data!P4942</f>
        <v>0</v>
      </c>
    </row>
    <row r="4928" spans="7:22" x14ac:dyDescent="0.25">
      <c r="G4928">
        <f>Data!A4941</f>
        <v>0</v>
      </c>
      <c r="H4928" s="21">
        <f>Data!B4941</f>
        <v>0</v>
      </c>
      <c r="I4928" s="21">
        <f>Data!C4941</f>
        <v>0</v>
      </c>
      <c r="J4928">
        <f>Data!D4941</f>
        <v>0</v>
      </c>
      <c r="K4928">
        <f>Data!E4941</f>
        <v>0</v>
      </c>
      <c r="L4928">
        <f>Data!F4941</f>
        <v>0</v>
      </c>
      <c r="M4928">
        <f>Data!G4941</f>
        <v>0</v>
      </c>
      <c r="N4928">
        <f>Data!H4941</f>
        <v>0</v>
      </c>
      <c r="O4928">
        <f>Data!I4941</f>
        <v>0</v>
      </c>
      <c r="P4928" s="21">
        <f>Data!J4945</f>
        <v>0</v>
      </c>
      <c r="Q4928">
        <f>Data!K4945</f>
        <v>0</v>
      </c>
      <c r="R4928">
        <f>Data!L4945</f>
        <v>0</v>
      </c>
      <c r="S4928">
        <f>Data!M4945</f>
        <v>0</v>
      </c>
      <c r="T4928">
        <f>Data!N4945</f>
        <v>0</v>
      </c>
      <c r="U4928">
        <f>Data!O4945</f>
        <v>0</v>
      </c>
      <c r="V4928" s="33">
        <f>Data!P4943</f>
        <v>0</v>
      </c>
    </row>
    <row r="4929" spans="7:22" x14ac:dyDescent="0.25">
      <c r="G4929">
        <f>Data!A4942</f>
        <v>0</v>
      </c>
      <c r="H4929" s="21">
        <f>Data!B4942</f>
        <v>0</v>
      </c>
      <c r="I4929" s="21">
        <f>Data!C4942</f>
        <v>0</v>
      </c>
      <c r="J4929">
        <f>Data!D4942</f>
        <v>0</v>
      </c>
      <c r="K4929">
        <f>Data!E4942</f>
        <v>0</v>
      </c>
      <c r="L4929">
        <f>Data!F4942</f>
        <v>0</v>
      </c>
      <c r="M4929">
        <f>Data!G4942</f>
        <v>0</v>
      </c>
      <c r="N4929">
        <f>Data!H4942</f>
        <v>0</v>
      </c>
      <c r="O4929">
        <f>Data!I4942</f>
        <v>0</v>
      </c>
      <c r="P4929" s="21">
        <f>Data!J4946</f>
        <v>0</v>
      </c>
      <c r="Q4929">
        <f>Data!K4946</f>
        <v>0</v>
      </c>
      <c r="R4929">
        <f>Data!L4946</f>
        <v>0</v>
      </c>
      <c r="S4929">
        <f>Data!M4946</f>
        <v>0</v>
      </c>
      <c r="T4929">
        <f>Data!N4946</f>
        <v>0</v>
      </c>
      <c r="U4929">
        <f>Data!O4946</f>
        <v>0</v>
      </c>
      <c r="V4929" s="33">
        <f>Data!P4944</f>
        <v>0</v>
      </c>
    </row>
    <row r="4930" spans="7:22" x14ac:dyDescent="0.25">
      <c r="G4930">
        <f>Data!A4943</f>
        <v>0</v>
      </c>
      <c r="H4930" s="21">
        <f>Data!B4943</f>
        <v>0</v>
      </c>
      <c r="I4930" s="21">
        <f>Data!C4943</f>
        <v>0</v>
      </c>
      <c r="J4930">
        <f>Data!D4943</f>
        <v>0</v>
      </c>
      <c r="K4930">
        <f>Data!E4943</f>
        <v>0</v>
      </c>
      <c r="L4930">
        <f>Data!F4943</f>
        <v>0</v>
      </c>
      <c r="M4930">
        <f>Data!G4943</f>
        <v>0</v>
      </c>
      <c r="N4930">
        <f>Data!H4943</f>
        <v>0</v>
      </c>
      <c r="O4930">
        <f>Data!I4943</f>
        <v>0</v>
      </c>
      <c r="P4930" s="21">
        <f>Data!J4947</f>
        <v>0</v>
      </c>
      <c r="Q4930">
        <f>Data!K4947</f>
        <v>0</v>
      </c>
      <c r="R4930">
        <f>Data!L4947</f>
        <v>0</v>
      </c>
      <c r="S4930">
        <f>Data!M4947</f>
        <v>0</v>
      </c>
      <c r="T4930">
        <f>Data!N4947</f>
        <v>0</v>
      </c>
      <c r="U4930">
        <f>Data!O4947</f>
        <v>0</v>
      </c>
      <c r="V4930" s="33">
        <f>Data!P4945</f>
        <v>0</v>
      </c>
    </row>
    <row r="4931" spans="7:22" x14ac:dyDescent="0.25">
      <c r="G4931">
        <f>Data!A4944</f>
        <v>0</v>
      </c>
      <c r="H4931" s="21">
        <f>Data!B4944</f>
        <v>0</v>
      </c>
      <c r="I4931" s="21">
        <f>Data!C4944</f>
        <v>0</v>
      </c>
      <c r="J4931">
        <f>Data!D4944</f>
        <v>0</v>
      </c>
      <c r="K4931">
        <f>Data!E4944</f>
        <v>0</v>
      </c>
      <c r="L4931">
        <f>Data!F4944</f>
        <v>0</v>
      </c>
      <c r="M4931">
        <f>Data!G4944</f>
        <v>0</v>
      </c>
      <c r="N4931">
        <f>Data!H4944</f>
        <v>0</v>
      </c>
      <c r="O4931">
        <f>Data!I4944</f>
        <v>0</v>
      </c>
      <c r="P4931" s="21">
        <f>Data!J4948</f>
        <v>0</v>
      </c>
      <c r="Q4931">
        <f>Data!K4948</f>
        <v>0</v>
      </c>
      <c r="R4931">
        <f>Data!L4948</f>
        <v>0</v>
      </c>
      <c r="S4931">
        <f>Data!M4948</f>
        <v>0</v>
      </c>
      <c r="T4931">
        <f>Data!N4948</f>
        <v>0</v>
      </c>
      <c r="U4931">
        <f>Data!O4948</f>
        <v>0</v>
      </c>
      <c r="V4931" s="33">
        <f>Data!P4946</f>
        <v>0</v>
      </c>
    </row>
    <row r="4932" spans="7:22" x14ac:dyDescent="0.25">
      <c r="G4932">
        <f>Data!A4945</f>
        <v>0</v>
      </c>
      <c r="H4932" s="21">
        <f>Data!B4945</f>
        <v>0</v>
      </c>
      <c r="I4932" s="21">
        <f>Data!C4945</f>
        <v>0</v>
      </c>
      <c r="J4932">
        <f>Data!D4945</f>
        <v>0</v>
      </c>
      <c r="K4932">
        <f>Data!E4945</f>
        <v>0</v>
      </c>
      <c r="L4932">
        <f>Data!F4945</f>
        <v>0</v>
      </c>
      <c r="M4932">
        <f>Data!G4945</f>
        <v>0</v>
      </c>
      <c r="N4932">
        <f>Data!H4945</f>
        <v>0</v>
      </c>
      <c r="O4932">
        <f>Data!I4945</f>
        <v>0</v>
      </c>
      <c r="P4932" s="21">
        <f>Data!J4949</f>
        <v>0</v>
      </c>
      <c r="Q4932">
        <f>Data!K4949</f>
        <v>0</v>
      </c>
      <c r="R4932">
        <f>Data!L4949</f>
        <v>0</v>
      </c>
      <c r="S4932">
        <f>Data!M4949</f>
        <v>0</v>
      </c>
      <c r="T4932">
        <f>Data!N4949</f>
        <v>0</v>
      </c>
      <c r="U4932">
        <f>Data!O4949</f>
        <v>0</v>
      </c>
      <c r="V4932" s="33">
        <f>Data!P4947</f>
        <v>0</v>
      </c>
    </row>
    <row r="4933" spans="7:22" x14ac:dyDescent="0.25">
      <c r="G4933">
        <f>Data!A4946</f>
        <v>0</v>
      </c>
      <c r="H4933" s="21">
        <f>Data!B4946</f>
        <v>0</v>
      </c>
      <c r="I4933" s="21">
        <f>Data!C4946</f>
        <v>0</v>
      </c>
      <c r="J4933">
        <f>Data!D4946</f>
        <v>0</v>
      </c>
      <c r="K4933">
        <f>Data!E4946</f>
        <v>0</v>
      </c>
      <c r="L4933">
        <f>Data!F4946</f>
        <v>0</v>
      </c>
      <c r="M4933">
        <f>Data!G4946</f>
        <v>0</v>
      </c>
      <c r="N4933">
        <f>Data!H4946</f>
        <v>0</v>
      </c>
      <c r="O4933">
        <f>Data!I4946</f>
        <v>0</v>
      </c>
      <c r="P4933" s="21">
        <f>Data!J4950</f>
        <v>0</v>
      </c>
      <c r="Q4933">
        <f>Data!K4950</f>
        <v>0</v>
      </c>
      <c r="R4933">
        <f>Data!L4950</f>
        <v>0</v>
      </c>
      <c r="S4933">
        <f>Data!M4950</f>
        <v>0</v>
      </c>
      <c r="T4933">
        <f>Data!N4950</f>
        <v>0</v>
      </c>
      <c r="U4933">
        <f>Data!O4950</f>
        <v>0</v>
      </c>
      <c r="V4933" s="33">
        <f>Data!P4948</f>
        <v>0</v>
      </c>
    </row>
    <row r="4934" spans="7:22" x14ac:dyDescent="0.25">
      <c r="G4934">
        <f>Data!A4947</f>
        <v>0</v>
      </c>
      <c r="H4934" s="21">
        <f>Data!B4947</f>
        <v>0</v>
      </c>
      <c r="I4934" s="21">
        <f>Data!C4947</f>
        <v>0</v>
      </c>
      <c r="J4934">
        <f>Data!D4947</f>
        <v>0</v>
      </c>
      <c r="K4934">
        <f>Data!E4947</f>
        <v>0</v>
      </c>
      <c r="L4934">
        <f>Data!F4947</f>
        <v>0</v>
      </c>
      <c r="M4934">
        <f>Data!G4947</f>
        <v>0</v>
      </c>
      <c r="N4934">
        <f>Data!H4947</f>
        <v>0</v>
      </c>
      <c r="O4934">
        <f>Data!I4947</f>
        <v>0</v>
      </c>
      <c r="P4934" s="21">
        <f>Data!J4951</f>
        <v>0</v>
      </c>
      <c r="Q4934">
        <f>Data!K4951</f>
        <v>0</v>
      </c>
      <c r="R4934">
        <f>Data!L4951</f>
        <v>0</v>
      </c>
      <c r="S4934">
        <f>Data!M4951</f>
        <v>0</v>
      </c>
      <c r="T4934">
        <f>Data!N4951</f>
        <v>0</v>
      </c>
      <c r="U4934">
        <f>Data!O4951</f>
        <v>0</v>
      </c>
      <c r="V4934" s="33">
        <f>Data!P4949</f>
        <v>0</v>
      </c>
    </row>
    <row r="4935" spans="7:22" x14ac:dyDescent="0.25">
      <c r="G4935">
        <f>Data!A4948</f>
        <v>0</v>
      </c>
      <c r="H4935" s="21">
        <f>Data!B4948</f>
        <v>0</v>
      </c>
      <c r="I4935" s="21">
        <f>Data!C4948</f>
        <v>0</v>
      </c>
      <c r="J4935">
        <f>Data!D4948</f>
        <v>0</v>
      </c>
      <c r="K4935">
        <f>Data!E4948</f>
        <v>0</v>
      </c>
      <c r="L4935">
        <f>Data!F4948</f>
        <v>0</v>
      </c>
      <c r="M4935">
        <f>Data!G4948</f>
        <v>0</v>
      </c>
      <c r="N4935">
        <f>Data!H4948</f>
        <v>0</v>
      </c>
      <c r="O4935">
        <f>Data!I4948</f>
        <v>0</v>
      </c>
      <c r="P4935" s="21">
        <f>Data!J4952</f>
        <v>0</v>
      </c>
      <c r="Q4935">
        <f>Data!K4952</f>
        <v>0</v>
      </c>
      <c r="R4935">
        <f>Data!L4952</f>
        <v>0</v>
      </c>
      <c r="S4935">
        <f>Data!M4952</f>
        <v>0</v>
      </c>
      <c r="T4935">
        <f>Data!N4952</f>
        <v>0</v>
      </c>
      <c r="U4935">
        <f>Data!O4952</f>
        <v>0</v>
      </c>
      <c r="V4935" s="33">
        <f>Data!P4950</f>
        <v>0</v>
      </c>
    </row>
    <row r="4936" spans="7:22" x14ac:dyDescent="0.25">
      <c r="G4936">
        <f>Data!A4949</f>
        <v>0</v>
      </c>
      <c r="H4936" s="21">
        <f>Data!B4949</f>
        <v>0</v>
      </c>
      <c r="I4936" s="21">
        <f>Data!C4949</f>
        <v>0</v>
      </c>
      <c r="J4936">
        <f>Data!D4949</f>
        <v>0</v>
      </c>
      <c r="K4936">
        <f>Data!E4949</f>
        <v>0</v>
      </c>
      <c r="L4936">
        <f>Data!F4949</f>
        <v>0</v>
      </c>
      <c r="M4936">
        <f>Data!G4949</f>
        <v>0</v>
      </c>
      <c r="N4936">
        <f>Data!H4949</f>
        <v>0</v>
      </c>
      <c r="O4936">
        <f>Data!I4949</f>
        <v>0</v>
      </c>
      <c r="P4936" s="21">
        <f>Data!J4953</f>
        <v>0</v>
      </c>
      <c r="Q4936">
        <f>Data!K4953</f>
        <v>0</v>
      </c>
      <c r="R4936">
        <f>Data!L4953</f>
        <v>0</v>
      </c>
      <c r="S4936">
        <f>Data!M4953</f>
        <v>0</v>
      </c>
      <c r="T4936">
        <f>Data!N4953</f>
        <v>0</v>
      </c>
      <c r="U4936">
        <f>Data!O4953</f>
        <v>0</v>
      </c>
      <c r="V4936" s="33">
        <f>Data!P4951</f>
        <v>0</v>
      </c>
    </row>
    <row r="4937" spans="7:22" x14ac:dyDescent="0.25">
      <c r="G4937">
        <f>Data!A4950</f>
        <v>0</v>
      </c>
      <c r="H4937" s="21">
        <f>Data!B4950</f>
        <v>0</v>
      </c>
      <c r="I4937" s="21">
        <f>Data!C4950</f>
        <v>0</v>
      </c>
      <c r="J4937">
        <f>Data!D4950</f>
        <v>0</v>
      </c>
      <c r="K4937">
        <f>Data!E4950</f>
        <v>0</v>
      </c>
      <c r="L4937">
        <f>Data!F4950</f>
        <v>0</v>
      </c>
      <c r="M4937">
        <f>Data!G4950</f>
        <v>0</v>
      </c>
      <c r="N4937">
        <f>Data!H4950</f>
        <v>0</v>
      </c>
      <c r="O4937">
        <f>Data!I4950</f>
        <v>0</v>
      </c>
      <c r="P4937" s="21">
        <f>Data!J4954</f>
        <v>0</v>
      </c>
      <c r="Q4937">
        <f>Data!K4954</f>
        <v>0</v>
      </c>
      <c r="R4937">
        <f>Data!L4954</f>
        <v>0</v>
      </c>
      <c r="S4937">
        <f>Data!M4954</f>
        <v>0</v>
      </c>
      <c r="T4937">
        <f>Data!N4954</f>
        <v>0</v>
      </c>
      <c r="U4937">
        <f>Data!O4954</f>
        <v>0</v>
      </c>
      <c r="V4937" s="33">
        <f>Data!P4952</f>
        <v>0</v>
      </c>
    </row>
    <row r="4938" spans="7:22" x14ac:dyDescent="0.25">
      <c r="G4938">
        <f>Data!A4951</f>
        <v>0</v>
      </c>
      <c r="H4938" s="21">
        <f>Data!B4951</f>
        <v>0</v>
      </c>
      <c r="I4938" s="21">
        <f>Data!C4951</f>
        <v>0</v>
      </c>
      <c r="J4938">
        <f>Data!D4951</f>
        <v>0</v>
      </c>
      <c r="K4938">
        <f>Data!E4951</f>
        <v>0</v>
      </c>
      <c r="L4938">
        <f>Data!F4951</f>
        <v>0</v>
      </c>
      <c r="M4938">
        <f>Data!G4951</f>
        <v>0</v>
      </c>
      <c r="N4938">
        <f>Data!H4951</f>
        <v>0</v>
      </c>
      <c r="O4938">
        <f>Data!I4951</f>
        <v>0</v>
      </c>
      <c r="P4938" s="21">
        <f>Data!J4955</f>
        <v>0</v>
      </c>
      <c r="Q4938">
        <f>Data!K4955</f>
        <v>0</v>
      </c>
      <c r="R4938">
        <f>Data!L4955</f>
        <v>0</v>
      </c>
      <c r="S4938">
        <f>Data!M4955</f>
        <v>0</v>
      </c>
      <c r="T4938">
        <f>Data!N4955</f>
        <v>0</v>
      </c>
      <c r="U4938">
        <f>Data!O4955</f>
        <v>0</v>
      </c>
      <c r="V4938" s="33">
        <f>Data!P4953</f>
        <v>0</v>
      </c>
    </row>
    <row r="4939" spans="7:22" x14ac:dyDescent="0.25">
      <c r="G4939">
        <f>Data!A4952</f>
        <v>0</v>
      </c>
      <c r="H4939" s="21">
        <f>Data!B4952</f>
        <v>0</v>
      </c>
      <c r="I4939" s="21">
        <f>Data!C4952</f>
        <v>0</v>
      </c>
      <c r="J4939">
        <f>Data!D4952</f>
        <v>0</v>
      </c>
      <c r="K4939">
        <f>Data!E4952</f>
        <v>0</v>
      </c>
      <c r="L4939">
        <f>Data!F4952</f>
        <v>0</v>
      </c>
      <c r="M4939">
        <f>Data!G4952</f>
        <v>0</v>
      </c>
      <c r="N4939">
        <f>Data!H4952</f>
        <v>0</v>
      </c>
      <c r="O4939">
        <f>Data!I4952</f>
        <v>0</v>
      </c>
      <c r="P4939" s="21">
        <f>Data!J4956</f>
        <v>0</v>
      </c>
      <c r="Q4939">
        <f>Data!K4956</f>
        <v>0</v>
      </c>
      <c r="R4939">
        <f>Data!L4956</f>
        <v>0</v>
      </c>
      <c r="S4939">
        <f>Data!M4956</f>
        <v>0</v>
      </c>
      <c r="T4939">
        <f>Data!N4956</f>
        <v>0</v>
      </c>
      <c r="U4939">
        <f>Data!O4956</f>
        <v>0</v>
      </c>
      <c r="V4939" s="33">
        <f>Data!P4954</f>
        <v>0</v>
      </c>
    </row>
    <row r="4940" spans="7:22" x14ac:dyDescent="0.25">
      <c r="G4940">
        <f>Data!A4953</f>
        <v>0</v>
      </c>
      <c r="H4940" s="21">
        <f>Data!B4953</f>
        <v>0</v>
      </c>
      <c r="I4940" s="21">
        <f>Data!C4953</f>
        <v>0</v>
      </c>
      <c r="J4940">
        <f>Data!D4953</f>
        <v>0</v>
      </c>
      <c r="K4940">
        <f>Data!E4953</f>
        <v>0</v>
      </c>
      <c r="L4940">
        <f>Data!F4953</f>
        <v>0</v>
      </c>
      <c r="M4940">
        <f>Data!G4953</f>
        <v>0</v>
      </c>
      <c r="N4940">
        <f>Data!H4953</f>
        <v>0</v>
      </c>
      <c r="O4940">
        <f>Data!I4953</f>
        <v>0</v>
      </c>
      <c r="P4940" s="21">
        <f>Data!J4957</f>
        <v>0</v>
      </c>
      <c r="Q4940">
        <f>Data!K4957</f>
        <v>0</v>
      </c>
      <c r="R4940">
        <f>Data!L4957</f>
        <v>0</v>
      </c>
      <c r="S4940">
        <f>Data!M4957</f>
        <v>0</v>
      </c>
      <c r="T4940">
        <f>Data!N4957</f>
        <v>0</v>
      </c>
      <c r="U4940">
        <f>Data!O4957</f>
        <v>0</v>
      </c>
      <c r="V4940" s="33">
        <f>Data!P4955</f>
        <v>0</v>
      </c>
    </row>
    <row r="4941" spans="7:22" x14ac:dyDescent="0.25">
      <c r="G4941">
        <f>Data!A4954</f>
        <v>0</v>
      </c>
      <c r="H4941" s="21">
        <f>Data!B4954</f>
        <v>0</v>
      </c>
      <c r="I4941" s="21">
        <f>Data!C4954</f>
        <v>0</v>
      </c>
      <c r="J4941">
        <f>Data!D4954</f>
        <v>0</v>
      </c>
      <c r="K4941">
        <f>Data!E4954</f>
        <v>0</v>
      </c>
      <c r="L4941">
        <f>Data!F4954</f>
        <v>0</v>
      </c>
      <c r="M4941">
        <f>Data!G4954</f>
        <v>0</v>
      </c>
      <c r="N4941">
        <f>Data!H4954</f>
        <v>0</v>
      </c>
      <c r="O4941">
        <f>Data!I4954</f>
        <v>0</v>
      </c>
      <c r="P4941" s="21">
        <f>Data!J4958</f>
        <v>0</v>
      </c>
      <c r="Q4941">
        <f>Data!K4958</f>
        <v>0</v>
      </c>
      <c r="R4941">
        <f>Data!L4958</f>
        <v>0</v>
      </c>
      <c r="S4941">
        <f>Data!M4958</f>
        <v>0</v>
      </c>
      <c r="T4941">
        <f>Data!N4958</f>
        <v>0</v>
      </c>
      <c r="U4941">
        <f>Data!O4958</f>
        <v>0</v>
      </c>
      <c r="V4941" s="33">
        <f>Data!P4956</f>
        <v>0</v>
      </c>
    </row>
    <row r="4942" spans="7:22" x14ac:dyDescent="0.25">
      <c r="G4942">
        <f>Data!A4955</f>
        <v>0</v>
      </c>
      <c r="H4942" s="21">
        <f>Data!B4955</f>
        <v>0</v>
      </c>
      <c r="I4942" s="21">
        <f>Data!C4955</f>
        <v>0</v>
      </c>
      <c r="J4942">
        <f>Data!D4955</f>
        <v>0</v>
      </c>
      <c r="K4942">
        <f>Data!E4955</f>
        <v>0</v>
      </c>
      <c r="L4942">
        <f>Data!F4955</f>
        <v>0</v>
      </c>
      <c r="M4942">
        <f>Data!G4955</f>
        <v>0</v>
      </c>
      <c r="N4942">
        <f>Data!H4955</f>
        <v>0</v>
      </c>
      <c r="O4942">
        <f>Data!I4955</f>
        <v>0</v>
      </c>
      <c r="P4942" s="21">
        <f>Data!J4959</f>
        <v>0</v>
      </c>
      <c r="Q4942">
        <f>Data!K4959</f>
        <v>0</v>
      </c>
      <c r="R4942">
        <f>Data!L4959</f>
        <v>0</v>
      </c>
      <c r="S4942">
        <f>Data!M4959</f>
        <v>0</v>
      </c>
      <c r="T4942">
        <f>Data!N4959</f>
        <v>0</v>
      </c>
      <c r="U4942">
        <f>Data!O4959</f>
        <v>0</v>
      </c>
      <c r="V4942" s="33">
        <f>Data!P4957</f>
        <v>0</v>
      </c>
    </row>
    <row r="4943" spans="7:22" x14ac:dyDescent="0.25">
      <c r="G4943">
        <f>Data!A4956</f>
        <v>0</v>
      </c>
      <c r="H4943" s="21">
        <f>Data!B4956</f>
        <v>0</v>
      </c>
      <c r="I4943" s="21">
        <f>Data!C4956</f>
        <v>0</v>
      </c>
      <c r="J4943">
        <f>Data!D4956</f>
        <v>0</v>
      </c>
      <c r="K4943">
        <f>Data!E4956</f>
        <v>0</v>
      </c>
      <c r="L4943">
        <f>Data!F4956</f>
        <v>0</v>
      </c>
      <c r="M4943">
        <f>Data!G4956</f>
        <v>0</v>
      </c>
      <c r="N4943">
        <f>Data!H4956</f>
        <v>0</v>
      </c>
      <c r="O4943">
        <f>Data!I4956</f>
        <v>0</v>
      </c>
      <c r="P4943" s="21">
        <f>Data!J4960</f>
        <v>0</v>
      </c>
      <c r="Q4943">
        <f>Data!K4960</f>
        <v>0</v>
      </c>
      <c r="R4943">
        <f>Data!L4960</f>
        <v>0</v>
      </c>
      <c r="S4943">
        <f>Data!M4960</f>
        <v>0</v>
      </c>
      <c r="T4943">
        <f>Data!N4960</f>
        <v>0</v>
      </c>
      <c r="U4943">
        <f>Data!O4960</f>
        <v>0</v>
      </c>
      <c r="V4943" s="33">
        <f>Data!P4958</f>
        <v>0</v>
      </c>
    </row>
    <row r="4944" spans="7:22" x14ac:dyDescent="0.25">
      <c r="G4944">
        <f>Data!A4957</f>
        <v>0</v>
      </c>
      <c r="H4944" s="21">
        <f>Data!B4957</f>
        <v>0</v>
      </c>
      <c r="I4944" s="21">
        <f>Data!C4957</f>
        <v>0</v>
      </c>
      <c r="J4944">
        <f>Data!D4957</f>
        <v>0</v>
      </c>
      <c r="K4944">
        <f>Data!E4957</f>
        <v>0</v>
      </c>
      <c r="L4944">
        <f>Data!F4957</f>
        <v>0</v>
      </c>
      <c r="M4944">
        <f>Data!G4957</f>
        <v>0</v>
      </c>
      <c r="N4944">
        <f>Data!H4957</f>
        <v>0</v>
      </c>
      <c r="O4944">
        <f>Data!I4957</f>
        <v>0</v>
      </c>
      <c r="P4944" s="21">
        <f>Data!J4961</f>
        <v>0</v>
      </c>
      <c r="Q4944">
        <f>Data!K4961</f>
        <v>0</v>
      </c>
      <c r="R4944">
        <f>Data!L4961</f>
        <v>0</v>
      </c>
      <c r="S4944">
        <f>Data!M4961</f>
        <v>0</v>
      </c>
      <c r="T4944">
        <f>Data!N4961</f>
        <v>0</v>
      </c>
      <c r="U4944">
        <f>Data!O4961</f>
        <v>0</v>
      </c>
      <c r="V4944" s="33">
        <f>Data!P4959</f>
        <v>0</v>
      </c>
    </row>
    <row r="4945" spans="7:22" x14ac:dyDescent="0.25">
      <c r="G4945">
        <f>Data!A4958</f>
        <v>0</v>
      </c>
      <c r="H4945" s="21">
        <f>Data!B4958</f>
        <v>0</v>
      </c>
      <c r="I4945" s="21">
        <f>Data!C4958</f>
        <v>0</v>
      </c>
      <c r="J4945">
        <f>Data!D4958</f>
        <v>0</v>
      </c>
      <c r="K4945">
        <f>Data!E4958</f>
        <v>0</v>
      </c>
      <c r="L4945">
        <f>Data!F4958</f>
        <v>0</v>
      </c>
      <c r="M4945">
        <f>Data!G4958</f>
        <v>0</v>
      </c>
      <c r="N4945">
        <f>Data!H4958</f>
        <v>0</v>
      </c>
      <c r="O4945">
        <f>Data!I4958</f>
        <v>0</v>
      </c>
      <c r="P4945" s="21">
        <f>Data!J4962</f>
        <v>0</v>
      </c>
      <c r="Q4945">
        <f>Data!K4962</f>
        <v>0</v>
      </c>
      <c r="R4945">
        <f>Data!L4962</f>
        <v>0</v>
      </c>
      <c r="S4945">
        <f>Data!M4962</f>
        <v>0</v>
      </c>
      <c r="T4945">
        <f>Data!N4962</f>
        <v>0</v>
      </c>
      <c r="U4945">
        <f>Data!O4962</f>
        <v>0</v>
      </c>
      <c r="V4945" s="33">
        <f>Data!P4960</f>
        <v>0</v>
      </c>
    </row>
    <row r="4946" spans="7:22" x14ac:dyDescent="0.25">
      <c r="G4946">
        <f>Data!A4959</f>
        <v>0</v>
      </c>
      <c r="H4946" s="21">
        <f>Data!B4959</f>
        <v>0</v>
      </c>
      <c r="I4946" s="21">
        <f>Data!C4959</f>
        <v>0</v>
      </c>
      <c r="J4946">
        <f>Data!D4959</f>
        <v>0</v>
      </c>
      <c r="K4946">
        <f>Data!E4959</f>
        <v>0</v>
      </c>
      <c r="L4946">
        <f>Data!F4959</f>
        <v>0</v>
      </c>
      <c r="M4946">
        <f>Data!G4959</f>
        <v>0</v>
      </c>
      <c r="N4946">
        <f>Data!H4959</f>
        <v>0</v>
      </c>
      <c r="O4946">
        <f>Data!I4959</f>
        <v>0</v>
      </c>
      <c r="P4946" s="21">
        <f>Data!J4963</f>
        <v>0</v>
      </c>
      <c r="Q4946">
        <f>Data!K4963</f>
        <v>0</v>
      </c>
      <c r="R4946">
        <f>Data!L4963</f>
        <v>0</v>
      </c>
      <c r="S4946">
        <f>Data!M4963</f>
        <v>0</v>
      </c>
      <c r="T4946">
        <f>Data!N4963</f>
        <v>0</v>
      </c>
      <c r="U4946">
        <f>Data!O4963</f>
        <v>0</v>
      </c>
      <c r="V4946" s="33">
        <f>Data!P4961</f>
        <v>0</v>
      </c>
    </row>
    <row r="4947" spans="7:22" x14ac:dyDescent="0.25">
      <c r="G4947">
        <f>Data!A4960</f>
        <v>0</v>
      </c>
      <c r="H4947" s="21">
        <f>Data!B4960</f>
        <v>0</v>
      </c>
      <c r="I4947" s="21">
        <f>Data!C4960</f>
        <v>0</v>
      </c>
      <c r="J4947">
        <f>Data!D4960</f>
        <v>0</v>
      </c>
      <c r="K4947">
        <f>Data!E4960</f>
        <v>0</v>
      </c>
      <c r="L4947">
        <f>Data!F4960</f>
        <v>0</v>
      </c>
      <c r="M4947">
        <f>Data!G4960</f>
        <v>0</v>
      </c>
      <c r="N4947">
        <f>Data!H4960</f>
        <v>0</v>
      </c>
      <c r="O4947">
        <f>Data!I4960</f>
        <v>0</v>
      </c>
      <c r="P4947" s="21">
        <f>Data!J4964</f>
        <v>0</v>
      </c>
      <c r="Q4947">
        <f>Data!K4964</f>
        <v>0</v>
      </c>
      <c r="R4947">
        <f>Data!L4964</f>
        <v>0</v>
      </c>
      <c r="S4947">
        <f>Data!M4964</f>
        <v>0</v>
      </c>
      <c r="T4947">
        <f>Data!N4964</f>
        <v>0</v>
      </c>
      <c r="U4947">
        <f>Data!O4964</f>
        <v>0</v>
      </c>
      <c r="V4947" s="33">
        <f>Data!P4962</f>
        <v>0</v>
      </c>
    </row>
    <row r="4948" spans="7:22" x14ac:dyDescent="0.25">
      <c r="G4948">
        <f>Data!A4961</f>
        <v>0</v>
      </c>
      <c r="H4948" s="21">
        <f>Data!B4961</f>
        <v>0</v>
      </c>
      <c r="I4948" s="21">
        <f>Data!C4961</f>
        <v>0</v>
      </c>
      <c r="J4948">
        <f>Data!D4961</f>
        <v>0</v>
      </c>
      <c r="K4948">
        <f>Data!E4961</f>
        <v>0</v>
      </c>
      <c r="L4948">
        <f>Data!F4961</f>
        <v>0</v>
      </c>
      <c r="M4948">
        <f>Data!G4961</f>
        <v>0</v>
      </c>
      <c r="N4948">
        <f>Data!H4961</f>
        <v>0</v>
      </c>
      <c r="O4948">
        <f>Data!I4961</f>
        <v>0</v>
      </c>
      <c r="P4948" s="21">
        <f>Data!J4965</f>
        <v>0</v>
      </c>
      <c r="Q4948">
        <f>Data!K4965</f>
        <v>0</v>
      </c>
      <c r="R4948">
        <f>Data!L4965</f>
        <v>0</v>
      </c>
      <c r="S4948">
        <f>Data!M4965</f>
        <v>0</v>
      </c>
      <c r="T4948">
        <f>Data!N4965</f>
        <v>0</v>
      </c>
      <c r="U4948">
        <f>Data!O4965</f>
        <v>0</v>
      </c>
      <c r="V4948" s="33">
        <f>Data!P4963</f>
        <v>0</v>
      </c>
    </row>
    <row r="4949" spans="7:22" x14ac:dyDescent="0.25">
      <c r="G4949">
        <f>Data!A4962</f>
        <v>0</v>
      </c>
      <c r="H4949" s="21">
        <f>Data!B4962</f>
        <v>0</v>
      </c>
      <c r="I4949" s="21">
        <f>Data!C4962</f>
        <v>0</v>
      </c>
      <c r="J4949">
        <f>Data!D4962</f>
        <v>0</v>
      </c>
      <c r="K4949">
        <f>Data!E4962</f>
        <v>0</v>
      </c>
      <c r="L4949">
        <f>Data!F4962</f>
        <v>0</v>
      </c>
      <c r="M4949">
        <f>Data!G4962</f>
        <v>0</v>
      </c>
      <c r="N4949">
        <f>Data!H4962</f>
        <v>0</v>
      </c>
      <c r="O4949">
        <f>Data!I4962</f>
        <v>0</v>
      </c>
      <c r="P4949" s="21">
        <f>Data!J4966</f>
        <v>0</v>
      </c>
      <c r="Q4949">
        <f>Data!K4966</f>
        <v>0</v>
      </c>
      <c r="R4949">
        <f>Data!L4966</f>
        <v>0</v>
      </c>
      <c r="S4949">
        <f>Data!M4966</f>
        <v>0</v>
      </c>
      <c r="T4949">
        <f>Data!N4966</f>
        <v>0</v>
      </c>
      <c r="U4949">
        <f>Data!O4966</f>
        <v>0</v>
      </c>
      <c r="V4949" s="33">
        <f>Data!P4964</f>
        <v>0</v>
      </c>
    </row>
    <row r="4950" spans="7:22" x14ac:dyDescent="0.25">
      <c r="G4950">
        <f>Data!A4963</f>
        <v>0</v>
      </c>
      <c r="H4950" s="21">
        <f>Data!B4963</f>
        <v>0</v>
      </c>
      <c r="I4950" s="21">
        <f>Data!C4963</f>
        <v>0</v>
      </c>
      <c r="J4950">
        <f>Data!D4963</f>
        <v>0</v>
      </c>
      <c r="K4950">
        <f>Data!E4963</f>
        <v>0</v>
      </c>
      <c r="L4950">
        <f>Data!F4963</f>
        <v>0</v>
      </c>
      <c r="M4950">
        <f>Data!G4963</f>
        <v>0</v>
      </c>
      <c r="N4950">
        <f>Data!H4963</f>
        <v>0</v>
      </c>
      <c r="O4950">
        <f>Data!I4963</f>
        <v>0</v>
      </c>
      <c r="P4950" s="21">
        <f>Data!J4967</f>
        <v>0</v>
      </c>
      <c r="Q4950">
        <f>Data!K4967</f>
        <v>0</v>
      </c>
      <c r="R4950">
        <f>Data!L4967</f>
        <v>0</v>
      </c>
      <c r="S4950">
        <f>Data!M4967</f>
        <v>0</v>
      </c>
      <c r="T4950">
        <f>Data!N4967</f>
        <v>0</v>
      </c>
      <c r="U4950">
        <f>Data!O4967</f>
        <v>0</v>
      </c>
      <c r="V4950" s="33">
        <f>Data!P4965</f>
        <v>0</v>
      </c>
    </row>
    <row r="4951" spans="7:22" x14ac:dyDescent="0.25">
      <c r="G4951">
        <f>Data!A4964</f>
        <v>0</v>
      </c>
      <c r="H4951" s="21">
        <f>Data!B4964</f>
        <v>0</v>
      </c>
      <c r="I4951" s="21">
        <f>Data!C4964</f>
        <v>0</v>
      </c>
      <c r="J4951">
        <f>Data!D4964</f>
        <v>0</v>
      </c>
      <c r="K4951">
        <f>Data!E4964</f>
        <v>0</v>
      </c>
      <c r="L4951">
        <f>Data!F4964</f>
        <v>0</v>
      </c>
      <c r="M4951">
        <f>Data!G4964</f>
        <v>0</v>
      </c>
      <c r="N4951">
        <f>Data!H4964</f>
        <v>0</v>
      </c>
      <c r="O4951">
        <f>Data!I4964</f>
        <v>0</v>
      </c>
      <c r="P4951" s="21">
        <f>Data!J4968</f>
        <v>0</v>
      </c>
      <c r="Q4951">
        <f>Data!K4968</f>
        <v>0</v>
      </c>
      <c r="R4951">
        <f>Data!L4968</f>
        <v>0</v>
      </c>
      <c r="S4951">
        <f>Data!M4968</f>
        <v>0</v>
      </c>
      <c r="T4951">
        <f>Data!N4968</f>
        <v>0</v>
      </c>
      <c r="U4951">
        <f>Data!O4968</f>
        <v>0</v>
      </c>
      <c r="V4951" s="33">
        <f>Data!P4966</f>
        <v>0</v>
      </c>
    </row>
    <row r="4952" spans="7:22" x14ac:dyDescent="0.25">
      <c r="G4952">
        <f>Data!A4965</f>
        <v>0</v>
      </c>
      <c r="H4952" s="21">
        <f>Data!B4965</f>
        <v>0</v>
      </c>
      <c r="I4952" s="21">
        <f>Data!C4965</f>
        <v>0</v>
      </c>
      <c r="J4952">
        <f>Data!D4965</f>
        <v>0</v>
      </c>
      <c r="K4952">
        <f>Data!E4965</f>
        <v>0</v>
      </c>
      <c r="L4952">
        <f>Data!F4965</f>
        <v>0</v>
      </c>
      <c r="M4952">
        <f>Data!G4965</f>
        <v>0</v>
      </c>
      <c r="N4952">
        <f>Data!H4965</f>
        <v>0</v>
      </c>
      <c r="O4952">
        <f>Data!I4965</f>
        <v>0</v>
      </c>
      <c r="P4952" s="21">
        <f>Data!J4969</f>
        <v>0</v>
      </c>
      <c r="Q4952">
        <f>Data!K4969</f>
        <v>0</v>
      </c>
      <c r="R4952">
        <f>Data!L4969</f>
        <v>0</v>
      </c>
      <c r="S4952">
        <f>Data!M4969</f>
        <v>0</v>
      </c>
      <c r="T4952">
        <f>Data!N4969</f>
        <v>0</v>
      </c>
      <c r="U4952">
        <f>Data!O4969</f>
        <v>0</v>
      </c>
      <c r="V4952" s="33">
        <f>Data!P4967</f>
        <v>0</v>
      </c>
    </row>
    <row r="4953" spans="7:22" x14ac:dyDescent="0.25">
      <c r="G4953">
        <f>Data!A4966</f>
        <v>0</v>
      </c>
      <c r="H4953" s="21">
        <f>Data!B4966</f>
        <v>0</v>
      </c>
      <c r="I4953" s="21">
        <f>Data!C4966</f>
        <v>0</v>
      </c>
      <c r="J4953">
        <f>Data!D4966</f>
        <v>0</v>
      </c>
      <c r="K4953">
        <f>Data!E4966</f>
        <v>0</v>
      </c>
      <c r="L4953">
        <f>Data!F4966</f>
        <v>0</v>
      </c>
      <c r="M4953">
        <f>Data!G4966</f>
        <v>0</v>
      </c>
      <c r="N4953">
        <f>Data!H4966</f>
        <v>0</v>
      </c>
      <c r="O4953">
        <f>Data!I4966</f>
        <v>0</v>
      </c>
      <c r="P4953" s="21">
        <f>Data!J4970</f>
        <v>0</v>
      </c>
      <c r="Q4953">
        <f>Data!K4970</f>
        <v>0</v>
      </c>
      <c r="R4953">
        <f>Data!L4970</f>
        <v>0</v>
      </c>
      <c r="S4953">
        <f>Data!M4970</f>
        <v>0</v>
      </c>
      <c r="T4953">
        <f>Data!N4970</f>
        <v>0</v>
      </c>
      <c r="U4953">
        <f>Data!O4970</f>
        <v>0</v>
      </c>
      <c r="V4953" s="33">
        <f>Data!P4968</f>
        <v>0</v>
      </c>
    </row>
    <row r="4954" spans="7:22" x14ac:dyDescent="0.25">
      <c r="G4954">
        <f>Data!A4967</f>
        <v>0</v>
      </c>
      <c r="H4954" s="21">
        <f>Data!B4967</f>
        <v>0</v>
      </c>
      <c r="I4954" s="21">
        <f>Data!C4967</f>
        <v>0</v>
      </c>
      <c r="J4954">
        <f>Data!D4967</f>
        <v>0</v>
      </c>
      <c r="K4954">
        <f>Data!E4967</f>
        <v>0</v>
      </c>
      <c r="L4954">
        <f>Data!F4967</f>
        <v>0</v>
      </c>
      <c r="M4954">
        <f>Data!G4967</f>
        <v>0</v>
      </c>
      <c r="N4954">
        <f>Data!H4967</f>
        <v>0</v>
      </c>
      <c r="O4954">
        <f>Data!I4967</f>
        <v>0</v>
      </c>
      <c r="P4954" s="21">
        <f>Data!J4971</f>
        <v>0</v>
      </c>
      <c r="Q4954">
        <f>Data!K4971</f>
        <v>0</v>
      </c>
      <c r="R4954">
        <f>Data!L4971</f>
        <v>0</v>
      </c>
      <c r="S4954">
        <f>Data!M4971</f>
        <v>0</v>
      </c>
      <c r="T4954">
        <f>Data!N4971</f>
        <v>0</v>
      </c>
      <c r="U4954">
        <f>Data!O4971</f>
        <v>0</v>
      </c>
      <c r="V4954" s="33">
        <f>Data!P4969</f>
        <v>0</v>
      </c>
    </row>
    <row r="4955" spans="7:22" x14ac:dyDescent="0.25">
      <c r="G4955">
        <f>Data!A4968</f>
        <v>0</v>
      </c>
      <c r="H4955" s="21">
        <f>Data!B4968</f>
        <v>0</v>
      </c>
      <c r="I4955" s="21">
        <f>Data!C4968</f>
        <v>0</v>
      </c>
      <c r="J4955">
        <f>Data!D4968</f>
        <v>0</v>
      </c>
      <c r="K4955">
        <f>Data!E4968</f>
        <v>0</v>
      </c>
      <c r="L4955">
        <f>Data!F4968</f>
        <v>0</v>
      </c>
      <c r="M4955">
        <f>Data!G4968</f>
        <v>0</v>
      </c>
      <c r="N4955">
        <f>Data!H4968</f>
        <v>0</v>
      </c>
      <c r="O4955">
        <f>Data!I4968</f>
        <v>0</v>
      </c>
      <c r="P4955" s="21">
        <f>Data!J4972</f>
        <v>0</v>
      </c>
      <c r="Q4955">
        <f>Data!K4972</f>
        <v>0</v>
      </c>
      <c r="R4955">
        <f>Data!L4972</f>
        <v>0</v>
      </c>
      <c r="S4955">
        <f>Data!M4972</f>
        <v>0</v>
      </c>
      <c r="T4955">
        <f>Data!N4972</f>
        <v>0</v>
      </c>
      <c r="U4955">
        <f>Data!O4972</f>
        <v>0</v>
      </c>
      <c r="V4955" s="33">
        <f>Data!P4970</f>
        <v>0</v>
      </c>
    </row>
    <row r="4956" spans="7:22" x14ac:dyDescent="0.25">
      <c r="G4956">
        <f>Data!A4969</f>
        <v>0</v>
      </c>
      <c r="H4956" s="21">
        <f>Data!B4969</f>
        <v>0</v>
      </c>
      <c r="I4956" s="21">
        <f>Data!C4969</f>
        <v>0</v>
      </c>
      <c r="J4956">
        <f>Data!D4969</f>
        <v>0</v>
      </c>
      <c r="K4956">
        <f>Data!E4969</f>
        <v>0</v>
      </c>
      <c r="L4956">
        <f>Data!F4969</f>
        <v>0</v>
      </c>
      <c r="M4956">
        <f>Data!G4969</f>
        <v>0</v>
      </c>
      <c r="N4956">
        <f>Data!H4969</f>
        <v>0</v>
      </c>
      <c r="O4956">
        <f>Data!I4969</f>
        <v>0</v>
      </c>
      <c r="P4956" s="21">
        <f>Data!J4973</f>
        <v>0</v>
      </c>
      <c r="Q4956">
        <f>Data!K4973</f>
        <v>0</v>
      </c>
      <c r="R4956">
        <f>Data!L4973</f>
        <v>0</v>
      </c>
      <c r="S4956">
        <f>Data!M4973</f>
        <v>0</v>
      </c>
      <c r="T4956">
        <f>Data!N4973</f>
        <v>0</v>
      </c>
      <c r="U4956">
        <f>Data!O4973</f>
        <v>0</v>
      </c>
      <c r="V4956" s="33">
        <f>Data!P4971</f>
        <v>0</v>
      </c>
    </row>
    <row r="4957" spans="7:22" x14ac:dyDescent="0.25">
      <c r="G4957">
        <f>Data!A4970</f>
        <v>0</v>
      </c>
      <c r="H4957" s="21">
        <f>Data!B4970</f>
        <v>0</v>
      </c>
      <c r="I4957" s="21">
        <f>Data!C4970</f>
        <v>0</v>
      </c>
      <c r="J4957">
        <f>Data!D4970</f>
        <v>0</v>
      </c>
      <c r="K4957">
        <f>Data!E4970</f>
        <v>0</v>
      </c>
      <c r="L4957">
        <f>Data!F4970</f>
        <v>0</v>
      </c>
      <c r="M4957">
        <f>Data!G4970</f>
        <v>0</v>
      </c>
      <c r="N4957">
        <f>Data!H4970</f>
        <v>0</v>
      </c>
      <c r="O4957">
        <f>Data!I4970</f>
        <v>0</v>
      </c>
      <c r="P4957" s="21">
        <f>Data!J4974</f>
        <v>0</v>
      </c>
      <c r="Q4957">
        <f>Data!K4974</f>
        <v>0</v>
      </c>
      <c r="R4957">
        <f>Data!L4974</f>
        <v>0</v>
      </c>
      <c r="S4957">
        <f>Data!M4974</f>
        <v>0</v>
      </c>
      <c r="T4957">
        <f>Data!N4974</f>
        <v>0</v>
      </c>
      <c r="U4957">
        <f>Data!O4974</f>
        <v>0</v>
      </c>
      <c r="V4957" s="33">
        <f>Data!P4972</f>
        <v>0</v>
      </c>
    </row>
    <row r="4958" spans="7:22" x14ac:dyDescent="0.25">
      <c r="G4958">
        <f>Data!A4971</f>
        <v>0</v>
      </c>
      <c r="H4958" s="21">
        <f>Data!B4971</f>
        <v>0</v>
      </c>
      <c r="I4958" s="21">
        <f>Data!C4971</f>
        <v>0</v>
      </c>
      <c r="J4958">
        <f>Data!D4971</f>
        <v>0</v>
      </c>
      <c r="K4958">
        <f>Data!E4971</f>
        <v>0</v>
      </c>
      <c r="L4958">
        <f>Data!F4971</f>
        <v>0</v>
      </c>
      <c r="M4958">
        <f>Data!G4971</f>
        <v>0</v>
      </c>
      <c r="N4958">
        <f>Data!H4971</f>
        <v>0</v>
      </c>
      <c r="O4958">
        <f>Data!I4971</f>
        <v>0</v>
      </c>
      <c r="P4958" s="21">
        <f>Data!J4975</f>
        <v>0</v>
      </c>
      <c r="Q4958">
        <f>Data!K4975</f>
        <v>0</v>
      </c>
      <c r="R4958">
        <f>Data!L4975</f>
        <v>0</v>
      </c>
      <c r="S4958">
        <f>Data!M4975</f>
        <v>0</v>
      </c>
      <c r="T4958">
        <f>Data!N4975</f>
        <v>0</v>
      </c>
      <c r="U4958">
        <f>Data!O4975</f>
        <v>0</v>
      </c>
      <c r="V4958" s="33">
        <f>Data!P4973</f>
        <v>0</v>
      </c>
    </row>
    <row r="4959" spans="7:22" x14ac:dyDescent="0.25">
      <c r="G4959">
        <f>Data!A4972</f>
        <v>0</v>
      </c>
      <c r="H4959" s="21">
        <f>Data!B4972</f>
        <v>0</v>
      </c>
      <c r="I4959" s="21">
        <f>Data!C4972</f>
        <v>0</v>
      </c>
      <c r="J4959">
        <f>Data!D4972</f>
        <v>0</v>
      </c>
      <c r="K4959">
        <f>Data!E4972</f>
        <v>0</v>
      </c>
      <c r="L4959">
        <f>Data!F4972</f>
        <v>0</v>
      </c>
      <c r="M4959">
        <f>Data!G4972</f>
        <v>0</v>
      </c>
      <c r="N4959">
        <f>Data!H4972</f>
        <v>0</v>
      </c>
      <c r="O4959">
        <f>Data!I4972</f>
        <v>0</v>
      </c>
      <c r="P4959" s="21">
        <f>Data!J4976</f>
        <v>0</v>
      </c>
      <c r="Q4959">
        <f>Data!K4976</f>
        <v>0</v>
      </c>
      <c r="R4959">
        <f>Data!L4976</f>
        <v>0</v>
      </c>
      <c r="S4959">
        <f>Data!M4976</f>
        <v>0</v>
      </c>
      <c r="T4959">
        <f>Data!N4976</f>
        <v>0</v>
      </c>
      <c r="U4959">
        <f>Data!O4976</f>
        <v>0</v>
      </c>
      <c r="V4959" s="33">
        <f>Data!P4974</f>
        <v>0</v>
      </c>
    </row>
    <row r="4960" spans="7:22" x14ac:dyDescent="0.25">
      <c r="G4960">
        <f>Data!A4973</f>
        <v>0</v>
      </c>
      <c r="H4960" s="21">
        <f>Data!B4973</f>
        <v>0</v>
      </c>
      <c r="I4960" s="21">
        <f>Data!C4973</f>
        <v>0</v>
      </c>
      <c r="J4960">
        <f>Data!D4973</f>
        <v>0</v>
      </c>
      <c r="K4960">
        <f>Data!E4973</f>
        <v>0</v>
      </c>
      <c r="L4960">
        <f>Data!F4973</f>
        <v>0</v>
      </c>
      <c r="M4960">
        <f>Data!G4973</f>
        <v>0</v>
      </c>
      <c r="N4960">
        <f>Data!H4973</f>
        <v>0</v>
      </c>
      <c r="O4960">
        <f>Data!I4973</f>
        <v>0</v>
      </c>
      <c r="P4960" s="21">
        <f>Data!J4977</f>
        <v>0</v>
      </c>
      <c r="Q4960">
        <f>Data!K4977</f>
        <v>0</v>
      </c>
      <c r="R4960">
        <f>Data!L4977</f>
        <v>0</v>
      </c>
      <c r="S4960">
        <f>Data!M4977</f>
        <v>0</v>
      </c>
      <c r="T4960">
        <f>Data!N4977</f>
        <v>0</v>
      </c>
      <c r="U4960">
        <f>Data!O4977</f>
        <v>0</v>
      </c>
      <c r="V4960" s="33">
        <f>Data!P4975</f>
        <v>0</v>
      </c>
    </row>
    <row r="4961" spans="7:22" x14ac:dyDescent="0.25">
      <c r="G4961">
        <f>Data!A4974</f>
        <v>0</v>
      </c>
      <c r="H4961" s="21">
        <f>Data!B4974</f>
        <v>0</v>
      </c>
      <c r="I4961" s="21">
        <f>Data!C4974</f>
        <v>0</v>
      </c>
      <c r="J4961">
        <f>Data!D4974</f>
        <v>0</v>
      </c>
      <c r="K4961">
        <f>Data!E4974</f>
        <v>0</v>
      </c>
      <c r="L4961">
        <f>Data!F4974</f>
        <v>0</v>
      </c>
      <c r="M4961">
        <f>Data!G4974</f>
        <v>0</v>
      </c>
      <c r="N4961">
        <f>Data!H4974</f>
        <v>0</v>
      </c>
      <c r="O4961">
        <f>Data!I4974</f>
        <v>0</v>
      </c>
      <c r="P4961" s="21">
        <f>Data!J4978</f>
        <v>0</v>
      </c>
      <c r="Q4961">
        <f>Data!K4978</f>
        <v>0</v>
      </c>
      <c r="R4961">
        <f>Data!L4978</f>
        <v>0</v>
      </c>
      <c r="S4961">
        <f>Data!M4978</f>
        <v>0</v>
      </c>
      <c r="T4961">
        <f>Data!N4978</f>
        <v>0</v>
      </c>
      <c r="U4961">
        <f>Data!O4978</f>
        <v>0</v>
      </c>
      <c r="V4961" s="33">
        <f>Data!P4976</f>
        <v>0</v>
      </c>
    </row>
    <row r="4962" spans="7:22" x14ac:dyDescent="0.25">
      <c r="G4962">
        <f>Data!A4975</f>
        <v>0</v>
      </c>
      <c r="H4962" s="21">
        <f>Data!B4975</f>
        <v>0</v>
      </c>
      <c r="I4962" s="21">
        <f>Data!C4975</f>
        <v>0</v>
      </c>
      <c r="J4962">
        <f>Data!D4975</f>
        <v>0</v>
      </c>
      <c r="K4962">
        <f>Data!E4975</f>
        <v>0</v>
      </c>
      <c r="L4962">
        <f>Data!F4975</f>
        <v>0</v>
      </c>
      <c r="M4962">
        <f>Data!G4975</f>
        <v>0</v>
      </c>
      <c r="N4962">
        <f>Data!H4975</f>
        <v>0</v>
      </c>
      <c r="O4962">
        <f>Data!I4975</f>
        <v>0</v>
      </c>
      <c r="P4962" s="21">
        <f>Data!J4979</f>
        <v>0</v>
      </c>
      <c r="Q4962">
        <f>Data!K4979</f>
        <v>0</v>
      </c>
      <c r="R4962">
        <f>Data!L4979</f>
        <v>0</v>
      </c>
      <c r="S4962">
        <f>Data!M4979</f>
        <v>0</v>
      </c>
      <c r="T4962">
        <f>Data!N4979</f>
        <v>0</v>
      </c>
      <c r="U4962">
        <f>Data!O4979</f>
        <v>0</v>
      </c>
      <c r="V4962" s="33">
        <f>Data!P4977</f>
        <v>0</v>
      </c>
    </row>
    <row r="4963" spans="7:22" x14ac:dyDescent="0.25">
      <c r="G4963">
        <f>Data!A4976</f>
        <v>0</v>
      </c>
      <c r="H4963" s="21">
        <f>Data!B4976</f>
        <v>0</v>
      </c>
      <c r="I4963" s="21">
        <f>Data!C4976</f>
        <v>0</v>
      </c>
      <c r="J4963">
        <f>Data!D4976</f>
        <v>0</v>
      </c>
      <c r="K4963">
        <f>Data!E4976</f>
        <v>0</v>
      </c>
      <c r="L4963">
        <f>Data!F4976</f>
        <v>0</v>
      </c>
      <c r="M4963">
        <f>Data!G4976</f>
        <v>0</v>
      </c>
      <c r="N4963">
        <f>Data!H4976</f>
        <v>0</v>
      </c>
      <c r="O4963">
        <f>Data!I4976</f>
        <v>0</v>
      </c>
      <c r="P4963" s="21">
        <f>Data!J4980</f>
        <v>0</v>
      </c>
      <c r="Q4963">
        <f>Data!K4980</f>
        <v>0</v>
      </c>
      <c r="R4963">
        <f>Data!L4980</f>
        <v>0</v>
      </c>
      <c r="S4963">
        <f>Data!M4980</f>
        <v>0</v>
      </c>
      <c r="T4963">
        <f>Data!N4980</f>
        <v>0</v>
      </c>
      <c r="U4963">
        <f>Data!O4980</f>
        <v>0</v>
      </c>
      <c r="V4963" s="33">
        <f>Data!P4978</f>
        <v>0</v>
      </c>
    </row>
    <row r="4964" spans="7:22" x14ac:dyDescent="0.25">
      <c r="G4964">
        <f>Data!A4977</f>
        <v>0</v>
      </c>
      <c r="H4964" s="21">
        <f>Data!B4977</f>
        <v>0</v>
      </c>
      <c r="I4964" s="21">
        <f>Data!C4977</f>
        <v>0</v>
      </c>
      <c r="J4964">
        <f>Data!D4977</f>
        <v>0</v>
      </c>
      <c r="K4964">
        <f>Data!E4977</f>
        <v>0</v>
      </c>
      <c r="L4964">
        <f>Data!F4977</f>
        <v>0</v>
      </c>
      <c r="M4964">
        <f>Data!G4977</f>
        <v>0</v>
      </c>
      <c r="N4964">
        <f>Data!H4977</f>
        <v>0</v>
      </c>
      <c r="O4964">
        <f>Data!I4977</f>
        <v>0</v>
      </c>
      <c r="P4964" s="21">
        <f>Data!J4981</f>
        <v>0</v>
      </c>
      <c r="Q4964">
        <f>Data!K4981</f>
        <v>0</v>
      </c>
      <c r="R4964">
        <f>Data!L4981</f>
        <v>0</v>
      </c>
      <c r="S4964">
        <f>Data!M4981</f>
        <v>0</v>
      </c>
      <c r="T4964">
        <f>Data!N4981</f>
        <v>0</v>
      </c>
      <c r="U4964">
        <f>Data!O4981</f>
        <v>0</v>
      </c>
      <c r="V4964" s="33">
        <f>Data!P4979</f>
        <v>0</v>
      </c>
    </row>
    <row r="4965" spans="7:22" x14ac:dyDescent="0.25">
      <c r="G4965">
        <f>Data!A4978</f>
        <v>0</v>
      </c>
      <c r="H4965" s="21">
        <f>Data!B4978</f>
        <v>0</v>
      </c>
      <c r="I4965" s="21">
        <f>Data!C4978</f>
        <v>0</v>
      </c>
      <c r="J4965">
        <f>Data!D4978</f>
        <v>0</v>
      </c>
      <c r="K4965">
        <f>Data!E4978</f>
        <v>0</v>
      </c>
      <c r="L4965">
        <f>Data!F4978</f>
        <v>0</v>
      </c>
      <c r="M4965">
        <f>Data!G4978</f>
        <v>0</v>
      </c>
      <c r="N4965">
        <f>Data!H4978</f>
        <v>0</v>
      </c>
      <c r="O4965">
        <f>Data!I4978</f>
        <v>0</v>
      </c>
      <c r="P4965" s="21">
        <f>Data!J4982</f>
        <v>0</v>
      </c>
      <c r="Q4965">
        <f>Data!K4982</f>
        <v>0</v>
      </c>
      <c r="R4965">
        <f>Data!L4982</f>
        <v>0</v>
      </c>
      <c r="S4965">
        <f>Data!M4982</f>
        <v>0</v>
      </c>
      <c r="T4965">
        <f>Data!N4982</f>
        <v>0</v>
      </c>
      <c r="U4965">
        <f>Data!O4982</f>
        <v>0</v>
      </c>
      <c r="V4965" s="33">
        <f>Data!P4980</f>
        <v>0</v>
      </c>
    </row>
    <row r="4966" spans="7:22" x14ac:dyDescent="0.25">
      <c r="G4966">
        <f>Data!A4979</f>
        <v>0</v>
      </c>
      <c r="H4966" s="21">
        <f>Data!B4979</f>
        <v>0</v>
      </c>
      <c r="I4966" s="21">
        <f>Data!C4979</f>
        <v>0</v>
      </c>
      <c r="J4966">
        <f>Data!D4979</f>
        <v>0</v>
      </c>
      <c r="K4966">
        <f>Data!E4979</f>
        <v>0</v>
      </c>
      <c r="L4966">
        <f>Data!F4979</f>
        <v>0</v>
      </c>
      <c r="M4966">
        <f>Data!G4979</f>
        <v>0</v>
      </c>
      <c r="N4966">
        <f>Data!H4979</f>
        <v>0</v>
      </c>
      <c r="O4966">
        <f>Data!I4979</f>
        <v>0</v>
      </c>
      <c r="P4966" s="21">
        <f>Data!J4983</f>
        <v>0</v>
      </c>
      <c r="Q4966">
        <f>Data!K4983</f>
        <v>0</v>
      </c>
      <c r="R4966">
        <f>Data!L4983</f>
        <v>0</v>
      </c>
      <c r="S4966">
        <f>Data!M4983</f>
        <v>0</v>
      </c>
      <c r="T4966">
        <f>Data!N4983</f>
        <v>0</v>
      </c>
      <c r="U4966">
        <f>Data!O4983</f>
        <v>0</v>
      </c>
      <c r="V4966" s="33">
        <f>Data!P4981</f>
        <v>0</v>
      </c>
    </row>
    <row r="4967" spans="7:22" x14ac:dyDescent="0.25">
      <c r="G4967">
        <f>Data!A4980</f>
        <v>0</v>
      </c>
      <c r="H4967" s="21">
        <f>Data!B4980</f>
        <v>0</v>
      </c>
      <c r="I4967" s="21">
        <f>Data!C4980</f>
        <v>0</v>
      </c>
      <c r="J4967">
        <f>Data!D4980</f>
        <v>0</v>
      </c>
      <c r="K4967">
        <f>Data!E4980</f>
        <v>0</v>
      </c>
      <c r="L4967">
        <f>Data!F4980</f>
        <v>0</v>
      </c>
      <c r="M4967">
        <f>Data!G4980</f>
        <v>0</v>
      </c>
      <c r="N4967">
        <f>Data!H4980</f>
        <v>0</v>
      </c>
      <c r="O4967">
        <f>Data!I4980</f>
        <v>0</v>
      </c>
      <c r="P4967" s="21">
        <f>Data!J4984</f>
        <v>0</v>
      </c>
      <c r="Q4967">
        <f>Data!K4984</f>
        <v>0</v>
      </c>
      <c r="R4967">
        <f>Data!L4984</f>
        <v>0</v>
      </c>
      <c r="S4967">
        <f>Data!M4984</f>
        <v>0</v>
      </c>
      <c r="T4967">
        <f>Data!N4984</f>
        <v>0</v>
      </c>
      <c r="U4967">
        <f>Data!O4984</f>
        <v>0</v>
      </c>
      <c r="V4967" s="33">
        <f>Data!P4982</f>
        <v>0</v>
      </c>
    </row>
    <row r="4968" spans="7:22" x14ac:dyDescent="0.25">
      <c r="G4968">
        <f>Data!A4981</f>
        <v>0</v>
      </c>
      <c r="H4968" s="21">
        <f>Data!B4981</f>
        <v>0</v>
      </c>
      <c r="I4968" s="21">
        <f>Data!C4981</f>
        <v>0</v>
      </c>
      <c r="J4968">
        <f>Data!D4981</f>
        <v>0</v>
      </c>
      <c r="K4968">
        <f>Data!E4981</f>
        <v>0</v>
      </c>
      <c r="L4968">
        <f>Data!F4981</f>
        <v>0</v>
      </c>
      <c r="M4968">
        <f>Data!G4981</f>
        <v>0</v>
      </c>
      <c r="N4968">
        <f>Data!H4981</f>
        <v>0</v>
      </c>
      <c r="O4968">
        <f>Data!I4981</f>
        <v>0</v>
      </c>
      <c r="P4968" s="21">
        <f>Data!J4985</f>
        <v>0</v>
      </c>
      <c r="Q4968">
        <f>Data!K4985</f>
        <v>0</v>
      </c>
      <c r="R4968">
        <f>Data!L4985</f>
        <v>0</v>
      </c>
      <c r="S4968">
        <f>Data!M4985</f>
        <v>0</v>
      </c>
      <c r="T4968">
        <f>Data!N4985</f>
        <v>0</v>
      </c>
      <c r="U4968">
        <f>Data!O4985</f>
        <v>0</v>
      </c>
      <c r="V4968" s="33">
        <f>Data!P4983</f>
        <v>0</v>
      </c>
    </row>
    <row r="4969" spans="7:22" x14ac:dyDescent="0.25">
      <c r="G4969">
        <f>Data!A4982</f>
        <v>0</v>
      </c>
      <c r="H4969" s="21">
        <f>Data!B4982</f>
        <v>0</v>
      </c>
      <c r="I4969" s="21">
        <f>Data!C4982</f>
        <v>0</v>
      </c>
      <c r="J4969">
        <f>Data!D4982</f>
        <v>0</v>
      </c>
      <c r="K4969">
        <f>Data!E4982</f>
        <v>0</v>
      </c>
      <c r="L4969">
        <f>Data!F4982</f>
        <v>0</v>
      </c>
      <c r="M4969">
        <f>Data!G4982</f>
        <v>0</v>
      </c>
      <c r="N4969">
        <f>Data!H4982</f>
        <v>0</v>
      </c>
      <c r="O4969">
        <f>Data!I4982</f>
        <v>0</v>
      </c>
      <c r="P4969" s="21">
        <f>Data!J4986</f>
        <v>0</v>
      </c>
      <c r="Q4969">
        <f>Data!K4986</f>
        <v>0</v>
      </c>
      <c r="R4969">
        <f>Data!L4986</f>
        <v>0</v>
      </c>
      <c r="S4969">
        <f>Data!M4986</f>
        <v>0</v>
      </c>
      <c r="T4969">
        <f>Data!N4986</f>
        <v>0</v>
      </c>
      <c r="U4969">
        <f>Data!O4986</f>
        <v>0</v>
      </c>
      <c r="V4969" s="33">
        <f>Data!P4984</f>
        <v>0</v>
      </c>
    </row>
    <row r="4970" spans="7:22" x14ac:dyDescent="0.25">
      <c r="G4970">
        <f>Data!A4983</f>
        <v>0</v>
      </c>
      <c r="H4970" s="21">
        <f>Data!B4983</f>
        <v>0</v>
      </c>
      <c r="I4970" s="21">
        <f>Data!C4983</f>
        <v>0</v>
      </c>
      <c r="J4970">
        <f>Data!D4983</f>
        <v>0</v>
      </c>
      <c r="K4970">
        <f>Data!E4983</f>
        <v>0</v>
      </c>
      <c r="L4970">
        <f>Data!F4983</f>
        <v>0</v>
      </c>
      <c r="M4970">
        <f>Data!G4983</f>
        <v>0</v>
      </c>
      <c r="N4970">
        <f>Data!H4983</f>
        <v>0</v>
      </c>
      <c r="O4970">
        <f>Data!I4983</f>
        <v>0</v>
      </c>
      <c r="P4970" s="21">
        <f>Data!J4987</f>
        <v>0</v>
      </c>
      <c r="Q4970">
        <f>Data!K4987</f>
        <v>0</v>
      </c>
      <c r="R4970">
        <f>Data!L4987</f>
        <v>0</v>
      </c>
      <c r="S4970">
        <f>Data!M4987</f>
        <v>0</v>
      </c>
      <c r="T4970">
        <f>Data!N4987</f>
        <v>0</v>
      </c>
      <c r="U4970">
        <f>Data!O4987</f>
        <v>0</v>
      </c>
      <c r="V4970" s="33">
        <f>Data!P4985</f>
        <v>0</v>
      </c>
    </row>
    <row r="4971" spans="7:22" x14ac:dyDescent="0.25">
      <c r="G4971">
        <f>Data!A4984</f>
        <v>0</v>
      </c>
      <c r="H4971" s="21">
        <f>Data!B4984</f>
        <v>0</v>
      </c>
      <c r="I4971" s="21">
        <f>Data!C4984</f>
        <v>0</v>
      </c>
      <c r="J4971">
        <f>Data!D4984</f>
        <v>0</v>
      </c>
      <c r="K4971">
        <f>Data!E4984</f>
        <v>0</v>
      </c>
      <c r="L4971">
        <f>Data!F4984</f>
        <v>0</v>
      </c>
      <c r="M4971">
        <f>Data!G4984</f>
        <v>0</v>
      </c>
      <c r="N4971">
        <f>Data!H4984</f>
        <v>0</v>
      </c>
      <c r="O4971">
        <f>Data!I4984</f>
        <v>0</v>
      </c>
      <c r="P4971" s="21">
        <f>Data!J4988</f>
        <v>0</v>
      </c>
      <c r="Q4971">
        <f>Data!K4988</f>
        <v>0</v>
      </c>
      <c r="R4971">
        <f>Data!L4988</f>
        <v>0</v>
      </c>
      <c r="S4971">
        <f>Data!M4988</f>
        <v>0</v>
      </c>
      <c r="T4971">
        <f>Data!N4988</f>
        <v>0</v>
      </c>
      <c r="U4971">
        <f>Data!O4988</f>
        <v>0</v>
      </c>
      <c r="V4971" s="33">
        <f>Data!P4986</f>
        <v>0</v>
      </c>
    </row>
    <row r="4972" spans="7:22" x14ac:dyDescent="0.25">
      <c r="G4972">
        <f>Data!A4985</f>
        <v>0</v>
      </c>
      <c r="H4972" s="21">
        <f>Data!B4985</f>
        <v>0</v>
      </c>
      <c r="I4972" s="21">
        <f>Data!C4985</f>
        <v>0</v>
      </c>
      <c r="J4972">
        <f>Data!D4985</f>
        <v>0</v>
      </c>
      <c r="K4972">
        <f>Data!E4985</f>
        <v>0</v>
      </c>
      <c r="L4972">
        <f>Data!F4985</f>
        <v>0</v>
      </c>
      <c r="M4972">
        <f>Data!G4985</f>
        <v>0</v>
      </c>
      <c r="N4972">
        <f>Data!H4985</f>
        <v>0</v>
      </c>
      <c r="O4972">
        <f>Data!I4985</f>
        <v>0</v>
      </c>
      <c r="P4972" s="21">
        <f>Data!J4989</f>
        <v>0</v>
      </c>
      <c r="Q4972">
        <f>Data!K4989</f>
        <v>0</v>
      </c>
      <c r="R4972">
        <f>Data!L4989</f>
        <v>0</v>
      </c>
      <c r="S4972">
        <f>Data!M4989</f>
        <v>0</v>
      </c>
      <c r="T4972">
        <f>Data!N4989</f>
        <v>0</v>
      </c>
      <c r="U4972">
        <f>Data!O4989</f>
        <v>0</v>
      </c>
      <c r="V4972" s="33">
        <f>Data!P4987</f>
        <v>0</v>
      </c>
    </row>
    <row r="4973" spans="7:22" x14ac:dyDescent="0.25">
      <c r="G4973">
        <f>Data!A4986</f>
        <v>0</v>
      </c>
      <c r="H4973" s="21">
        <f>Data!B4986</f>
        <v>0</v>
      </c>
      <c r="I4973" s="21">
        <f>Data!C4986</f>
        <v>0</v>
      </c>
      <c r="J4973">
        <f>Data!D4986</f>
        <v>0</v>
      </c>
      <c r="K4973">
        <f>Data!E4986</f>
        <v>0</v>
      </c>
      <c r="L4973">
        <f>Data!F4986</f>
        <v>0</v>
      </c>
      <c r="M4973">
        <f>Data!G4986</f>
        <v>0</v>
      </c>
      <c r="N4973">
        <f>Data!H4986</f>
        <v>0</v>
      </c>
      <c r="O4973">
        <f>Data!I4986</f>
        <v>0</v>
      </c>
      <c r="P4973" s="21">
        <f>Data!J4990</f>
        <v>0</v>
      </c>
      <c r="Q4973">
        <f>Data!K4990</f>
        <v>0</v>
      </c>
      <c r="R4973">
        <f>Data!L4990</f>
        <v>0</v>
      </c>
      <c r="S4973">
        <f>Data!M4990</f>
        <v>0</v>
      </c>
      <c r="T4973">
        <f>Data!N4990</f>
        <v>0</v>
      </c>
      <c r="U4973">
        <f>Data!O4990</f>
        <v>0</v>
      </c>
      <c r="V4973" s="33">
        <f>Data!P4988</f>
        <v>0</v>
      </c>
    </row>
    <row r="4974" spans="7:22" x14ac:dyDescent="0.25">
      <c r="G4974">
        <f>Data!A4987</f>
        <v>0</v>
      </c>
      <c r="H4974" s="21">
        <f>Data!B4987</f>
        <v>0</v>
      </c>
      <c r="I4974" s="21">
        <f>Data!C4987</f>
        <v>0</v>
      </c>
      <c r="J4974">
        <f>Data!D4987</f>
        <v>0</v>
      </c>
      <c r="K4974">
        <f>Data!E4987</f>
        <v>0</v>
      </c>
      <c r="L4974">
        <f>Data!F4987</f>
        <v>0</v>
      </c>
      <c r="M4974">
        <f>Data!G4987</f>
        <v>0</v>
      </c>
      <c r="N4974">
        <f>Data!H4987</f>
        <v>0</v>
      </c>
      <c r="O4974">
        <f>Data!I4987</f>
        <v>0</v>
      </c>
      <c r="P4974" s="21">
        <f>Data!J4991</f>
        <v>0</v>
      </c>
      <c r="Q4974">
        <f>Data!K4991</f>
        <v>0</v>
      </c>
      <c r="R4974">
        <f>Data!L4991</f>
        <v>0</v>
      </c>
      <c r="S4974">
        <f>Data!M4991</f>
        <v>0</v>
      </c>
      <c r="T4974">
        <f>Data!N4991</f>
        <v>0</v>
      </c>
      <c r="U4974">
        <f>Data!O4991</f>
        <v>0</v>
      </c>
      <c r="V4974" s="33">
        <f>Data!P4989</f>
        <v>0</v>
      </c>
    </row>
    <row r="4975" spans="7:22" x14ac:dyDescent="0.25">
      <c r="G4975">
        <f>Data!A4988</f>
        <v>0</v>
      </c>
      <c r="H4975" s="21">
        <f>Data!B4988</f>
        <v>0</v>
      </c>
      <c r="I4975" s="21">
        <f>Data!C4988</f>
        <v>0</v>
      </c>
      <c r="J4975">
        <f>Data!D4988</f>
        <v>0</v>
      </c>
      <c r="K4975">
        <f>Data!E4988</f>
        <v>0</v>
      </c>
      <c r="L4975">
        <f>Data!F4988</f>
        <v>0</v>
      </c>
      <c r="M4975">
        <f>Data!G4988</f>
        <v>0</v>
      </c>
      <c r="N4975">
        <f>Data!H4988</f>
        <v>0</v>
      </c>
      <c r="O4975">
        <f>Data!I4988</f>
        <v>0</v>
      </c>
      <c r="P4975" s="21">
        <f>Data!J4992</f>
        <v>0</v>
      </c>
      <c r="Q4975">
        <f>Data!K4992</f>
        <v>0</v>
      </c>
      <c r="R4975">
        <f>Data!L4992</f>
        <v>0</v>
      </c>
      <c r="S4975">
        <f>Data!M4992</f>
        <v>0</v>
      </c>
      <c r="T4975">
        <f>Data!N4992</f>
        <v>0</v>
      </c>
      <c r="U4975">
        <f>Data!O4992</f>
        <v>0</v>
      </c>
      <c r="V4975" s="33">
        <f>Data!P4990</f>
        <v>0</v>
      </c>
    </row>
    <row r="4976" spans="7:22" x14ac:dyDescent="0.25">
      <c r="G4976">
        <f>Data!A4989</f>
        <v>0</v>
      </c>
      <c r="H4976" s="21">
        <f>Data!B4989</f>
        <v>0</v>
      </c>
      <c r="I4976" s="21">
        <f>Data!C4989</f>
        <v>0</v>
      </c>
      <c r="J4976">
        <f>Data!D4989</f>
        <v>0</v>
      </c>
      <c r="K4976">
        <f>Data!E4989</f>
        <v>0</v>
      </c>
      <c r="L4976">
        <f>Data!F4989</f>
        <v>0</v>
      </c>
      <c r="M4976">
        <f>Data!G4989</f>
        <v>0</v>
      </c>
      <c r="N4976">
        <f>Data!H4989</f>
        <v>0</v>
      </c>
      <c r="O4976">
        <f>Data!I4989</f>
        <v>0</v>
      </c>
      <c r="P4976" s="21">
        <f>Data!J4993</f>
        <v>0</v>
      </c>
      <c r="Q4976">
        <f>Data!K4993</f>
        <v>0</v>
      </c>
      <c r="R4976">
        <f>Data!L4993</f>
        <v>0</v>
      </c>
      <c r="S4976">
        <f>Data!M4993</f>
        <v>0</v>
      </c>
      <c r="T4976">
        <f>Data!N4993</f>
        <v>0</v>
      </c>
      <c r="U4976">
        <f>Data!O4993</f>
        <v>0</v>
      </c>
      <c r="V4976" s="33">
        <f>Data!P4991</f>
        <v>0</v>
      </c>
    </row>
    <row r="4977" spans="7:22" x14ac:dyDescent="0.25">
      <c r="G4977">
        <f>Data!A4990</f>
        <v>0</v>
      </c>
      <c r="H4977" s="21">
        <f>Data!B4990</f>
        <v>0</v>
      </c>
      <c r="I4977" s="21">
        <f>Data!C4990</f>
        <v>0</v>
      </c>
      <c r="J4977">
        <f>Data!D4990</f>
        <v>0</v>
      </c>
      <c r="K4977">
        <f>Data!E4990</f>
        <v>0</v>
      </c>
      <c r="L4977">
        <f>Data!F4990</f>
        <v>0</v>
      </c>
      <c r="M4977">
        <f>Data!G4990</f>
        <v>0</v>
      </c>
      <c r="N4977">
        <f>Data!H4990</f>
        <v>0</v>
      </c>
      <c r="O4977">
        <f>Data!I4990</f>
        <v>0</v>
      </c>
      <c r="P4977" s="21">
        <f>Data!J4994</f>
        <v>0</v>
      </c>
      <c r="Q4977">
        <f>Data!K4994</f>
        <v>0</v>
      </c>
      <c r="R4977">
        <f>Data!L4994</f>
        <v>0</v>
      </c>
      <c r="S4977">
        <f>Data!M4994</f>
        <v>0</v>
      </c>
      <c r="T4977">
        <f>Data!N4994</f>
        <v>0</v>
      </c>
      <c r="U4977">
        <f>Data!O4994</f>
        <v>0</v>
      </c>
      <c r="V4977" s="33">
        <f>Data!P4992</f>
        <v>0</v>
      </c>
    </row>
    <row r="4978" spans="7:22" x14ac:dyDescent="0.25">
      <c r="G4978">
        <f>Data!A4991</f>
        <v>0</v>
      </c>
      <c r="H4978" s="21">
        <f>Data!B4991</f>
        <v>0</v>
      </c>
      <c r="I4978" s="21">
        <f>Data!C4991</f>
        <v>0</v>
      </c>
      <c r="J4978">
        <f>Data!D4991</f>
        <v>0</v>
      </c>
      <c r="K4978">
        <f>Data!E4991</f>
        <v>0</v>
      </c>
      <c r="L4978">
        <f>Data!F4991</f>
        <v>0</v>
      </c>
      <c r="M4978">
        <f>Data!G4991</f>
        <v>0</v>
      </c>
      <c r="N4978">
        <f>Data!H4991</f>
        <v>0</v>
      </c>
      <c r="O4978">
        <f>Data!I4991</f>
        <v>0</v>
      </c>
      <c r="P4978" s="21">
        <f>Data!J4995</f>
        <v>0</v>
      </c>
      <c r="Q4978">
        <f>Data!K4995</f>
        <v>0</v>
      </c>
      <c r="R4978">
        <f>Data!L4995</f>
        <v>0</v>
      </c>
      <c r="S4978">
        <f>Data!M4995</f>
        <v>0</v>
      </c>
      <c r="T4978">
        <f>Data!N4995</f>
        <v>0</v>
      </c>
      <c r="U4978">
        <f>Data!O4995</f>
        <v>0</v>
      </c>
      <c r="V4978" s="33">
        <f>Data!P4993</f>
        <v>0</v>
      </c>
    </row>
    <row r="4979" spans="7:22" x14ac:dyDescent="0.25">
      <c r="G4979">
        <f>Data!A4992</f>
        <v>0</v>
      </c>
      <c r="H4979" s="21">
        <f>Data!B4992</f>
        <v>0</v>
      </c>
      <c r="I4979" s="21">
        <f>Data!C4992</f>
        <v>0</v>
      </c>
      <c r="J4979">
        <f>Data!D4992</f>
        <v>0</v>
      </c>
      <c r="K4979">
        <f>Data!E4992</f>
        <v>0</v>
      </c>
      <c r="L4979">
        <f>Data!F4992</f>
        <v>0</v>
      </c>
      <c r="M4979">
        <f>Data!G4992</f>
        <v>0</v>
      </c>
      <c r="N4979">
        <f>Data!H4992</f>
        <v>0</v>
      </c>
      <c r="O4979">
        <f>Data!I4992</f>
        <v>0</v>
      </c>
      <c r="P4979" s="21">
        <f>Data!J4996</f>
        <v>0</v>
      </c>
      <c r="Q4979">
        <f>Data!K4996</f>
        <v>0</v>
      </c>
      <c r="R4979">
        <f>Data!L4996</f>
        <v>0</v>
      </c>
      <c r="S4979">
        <f>Data!M4996</f>
        <v>0</v>
      </c>
      <c r="T4979">
        <f>Data!N4996</f>
        <v>0</v>
      </c>
      <c r="U4979">
        <f>Data!O4996</f>
        <v>0</v>
      </c>
      <c r="V4979" s="33">
        <f>Data!P4994</f>
        <v>0</v>
      </c>
    </row>
    <row r="4980" spans="7:22" x14ac:dyDescent="0.25">
      <c r="G4980">
        <f>Data!A4993</f>
        <v>0</v>
      </c>
      <c r="H4980" s="21">
        <f>Data!B4993</f>
        <v>0</v>
      </c>
      <c r="I4980" s="21">
        <f>Data!C4993</f>
        <v>0</v>
      </c>
      <c r="J4980">
        <f>Data!D4993</f>
        <v>0</v>
      </c>
      <c r="K4980">
        <f>Data!E4993</f>
        <v>0</v>
      </c>
      <c r="L4980">
        <f>Data!F4993</f>
        <v>0</v>
      </c>
      <c r="M4980">
        <f>Data!G4993</f>
        <v>0</v>
      </c>
      <c r="N4980">
        <f>Data!H4993</f>
        <v>0</v>
      </c>
      <c r="O4980">
        <f>Data!I4993</f>
        <v>0</v>
      </c>
      <c r="P4980" s="21">
        <f>Data!J4997</f>
        <v>0</v>
      </c>
      <c r="Q4980">
        <f>Data!K4997</f>
        <v>0</v>
      </c>
      <c r="R4980">
        <f>Data!L4997</f>
        <v>0</v>
      </c>
      <c r="S4980">
        <f>Data!M4997</f>
        <v>0</v>
      </c>
      <c r="T4980">
        <f>Data!N4997</f>
        <v>0</v>
      </c>
      <c r="U4980">
        <f>Data!O4997</f>
        <v>0</v>
      </c>
      <c r="V4980" s="33">
        <f>Data!P4995</f>
        <v>0</v>
      </c>
    </row>
    <row r="4981" spans="7:22" x14ac:dyDescent="0.25">
      <c r="G4981">
        <f>Data!A4994</f>
        <v>0</v>
      </c>
      <c r="H4981" s="21">
        <f>Data!B4994</f>
        <v>0</v>
      </c>
      <c r="I4981" s="21">
        <f>Data!C4994</f>
        <v>0</v>
      </c>
      <c r="J4981">
        <f>Data!D4994</f>
        <v>0</v>
      </c>
      <c r="K4981">
        <f>Data!E4994</f>
        <v>0</v>
      </c>
      <c r="L4981">
        <f>Data!F4994</f>
        <v>0</v>
      </c>
      <c r="M4981">
        <f>Data!G4994</f>
        <v>0</v>
      </c>
      <c r="N4981">
        <f>Data!H4994</f>
        <v>0</v>
      </c>
      <c r="O4981">
        <f>Data!I4994</f>
        <v>0</v>
      </c>
      <c r="P4981" s="21">
        <f>Data!J4998</f>
        <v>0</v>
      </c>
      <c r="Q4981">
        <f>Data!K4998</f>
        <v>0</v>
      </c>
      <c r="R4981">
        <f>Data!L4998</f>
        <v>0</v>
      </c>
      <c r="S4981">
        <f>Data!M4998</f>
        <v>0</v>
      </c>
      <c r="T4981">
        <f>Data!N4998</f>
        <v>0</v>
      </c>
      <c r="U4981">
        <f>Data!O4998</f>
        <v>0</v>
      </c>
      <c r="V4981" s="33">
        <f>Data!P4996</f>
        <v>0</v>
      </c>
    </row>
    <row r="4982" spans="7:22" x14ac:dyDescent="0.25">
      <c r="G4982">
        <f>Data!A4995</f>
        <v>0</v>
      </c>
      <c r="H4982" s="21">
        <f>Data!B4995</f>
        <v>0</v>
      </c>
      <c r="I4982" s="21">
        <f>Data!C4995</f>
        <v>0</v>
      </c>
      <c r="J4982">
        <f>Data!D4995</f>
        <v>0</v>
      </c>
      <c r="K4982">
        <f>Data!E4995</f>
        <v>0</v>
      </c>
      <c r="L4982">
        <f>Data!F4995</f>
        <v>0</v>
      </c>
      <c r="M4982">
        <f>Data!G4995</f>
        <v>0</v>
      </c>
      <c r="N4982">
        <f>Data!H4995</f>
        <v>0</v>
      </c>
      <c r="O4982">
        <f>Data!I4995</f>
        <v>0</v>
      </c>
      <c r="P4982" s="21">
        <f>Data!J4999</f>
        <v>0</v>
      </c>
      <c r="Q4982">
        <f>Data!K4999</f>
        <v>0</v>
      </c>
      <c r="R4982">
        <f>Data!L4999</f>
        <v>0</v>
      </c>
      <c r="S4982">
        <f>Data!M4999</f>
        <v>0</v>
      </c>
      <c r="T4982">
        <f>Data!N4999</f>
        <v>0</v>
      </c>
      <c r="U4982">
        <f>Data!O4999</f>
        <v>0</v>
      </c>
      <c r="V4982" s="33">
        <f>Data!P4997</f>
        <v>0</v>
      </c>
    </row>
    <row r="4983" spans="7:22" x14ac:dyDescent="0.25">
      <c r="G4983">
        <f>Data!A4996</f>
        <v>0</v>
      </c>
      <c r="H4983" s="21">
        <f>Data!B4996</f>
        <v>0</v>
      </c>
      <c r="I4983" s="21">
        <f>Data!C4996</f>
        <v>0</v>
      </c>
      <c r="J4983">
        <f>Data!D4996</f>
        <v>0</v>
      </c>
      <c r="K4983">
        <f>Data!E4996</f>
        <v>0</v>
      </c>
      <c r="L4983">
        <f>Data!F4996</f>
        <v>0</v>
      </c>
      <c r="M4983">
        <f>Data!G4996</f>
        <v>0</v>
      </c>
      <c r="N4983">
        <f>Data!H4996</f>
        <v>0</v>
      </c>
      <c r="O4983">
        <f>Data!I4996</f>
        <v>0</v>
      </c>
      <c r="P4983" s="21">
        <f>Data!J5000</f>
        <v>0</v>
      </c>
      <c r="Q4983">
        <f>Data!K5000</f>
        <v>0</v>
      </c>
      <c r="R4983">
        <f>Data!L5000</f>
        <v>0</v>
      </c>
      <c r="S4983">
        <f>Data!M5000</f>
        <v>0</v>
      </c>
      <c r="T4983">
        <f>Data!N5000</f>
        <v>0</v>
      </c>
      <c r="U4983">
        <f>Data!O5000</f>
        <v>0</v>
      </c>
      <c r="V4983" s="33">
        <f>Data!P4998</f>
        <v>0</v>
      </c>
    </row>
    <row r="4984" spans="7:22" x14ac:dyDescent="0.25">
      <c r="G4984">
        <f>Data!A4997</f>
        <v>0</v>
      </c>
      <c r="H4984" s="21">
        <f>Data!B4997</f>
        <v>0</v>
      </c>
      <c r="I4984" s="21">
        <f>Data!C4997</f>
        <v>0</v>
      </c>
      <c r="J4984">
        <f>Data!D4997</f>
        <v>0</v>
      </c>
      <c r="K4984">
        <f>Data!E4997</f>
        <v>0</v>
      </c>
      <c r="L4984">
        <f>Data!F4997</f>
        <v>0</v>
      </c>
      <c r="M4984">
        <f>Data!G4997</f>
        <v>0</v>
      </c>
      <c r="N4984">
        <f>Data!H4997</f>
        <v>0</v>
      </c>
      <c r="O4984">
        <f>Data!I4997</f>
        <v>0</v>
      </c>
      <c r="P4984" s="21">
        <f>Data!J5001</f>
        <v>0</v>
      </c>
      <c r="Q4984">
        <f>Data!K5001</f>
        <v>0</v>
      </c>
      <c r="R4984">
        <f>Data!L5001</f>
        <v>0</v>
      </c>
      <c r="S4984">
        <f>Data!M5001</f>
        <v>0</v>
      </c>
      <c r="T4984">
        <f>Data!N5001</f>
        <v>0</v>
      </c>
      <c r="U4984">
        <f>Data!O5001</f>
        <v>0</v>
      </c>
      <c r="V4984" s="33">
        <f>Data!P4999</f>
        <v>0</v>
      </c>
    </row>
    <row r="4985" spans="7:22" x14ac:dyDescent="0.25">
      <c r="G4985">
        <f>Data!A4998</f>
        <v>0</v>
      </c>
      <c r="H4985" s="21">
        <f>Data!B4998</f>
        <v>0</v>
      </c>
      <c r="I4985" s="21">
        <f>Data!C4998</f>
        <v>0</v>
      </c>
      <c r="J4985">
        <f>Data!D4998</f>
        <v>0</v>
      </c>
      <c r="K4985">
        <f>Data!E4998</f>
        <v>0</v>
      </c>
      <c r="L4985">
        <f>Data!F4998</f>
        <v>0</v>
      </c>
      <c r="M4985">
        <f>Data!G4998</f>
        <v>0</v>
      </c>
      <c r="N4985">
        <f>Data!H4998</f>
        <v>0</v>
      </c>
      <c r="O4985">
        <f>Data!I4998</f>
        <v>0</v>
      </c>
      <c r="P4985" s="21">
        <f>Data!J5002</f>
        <v>0</v>
      </c>
      <c r="Q4985">
        <f>Data!K5002</f>
        <v>0</v>
      </c>
      <c r="R4985">
        <f>Data!L5002</f>
        <v>0</v>
      </c>
      <c r="S4985">
        <f>Data!M5002</f>
        <v>0</v>
      </c>
      <c r="T4985">
        <f>Data!N5002</f>
        <v>0</v>
      </c>
      <c r="U4985">
        <f>Data!O5002</f>
        <v>0</v>
      </c>
      <c r="V4985" s="33">
        <f>Data!P5000</f>
        <v>0</v>
      </c>
    </row>
    <row r="4986" spans="7:22" x14ac:dyDescent="0.25">
      <c r="G4986">
        <f>Data!A4999</f>
        <v>0</v>
      </c>
      <c r="H4986" s="21">
        <f>Data!B4999</f>
        <v>0</v>
      </c>
      <c r="I4986" s="21">
        <f>Data!C4999</f>
        <v>0</v>
      </c>
      <c r="J4986">
        <f>Data!D4999</f>
        <v>0</v>
      </c>
      <c r="K4986">
        <f>Data!E4999</f>
        <v>0</v>
      </c>
      <c r="L4986">
        <f>Data!F4999</f>
        <v>0</v>
      </c>
      <c r="M4986">
        <f>Data!G4999</f>
        <v>0</v>
      </c>
      <c r="N4986">
        <f>Data!H4999</f>
        <v>0</v>
      </c>
      <c r="O4986">
        <f>Data!I4999</f>
        <v>0</v>
      </c>
      <c r="P4986" s="21">
        <f>Data!J5003</f>
        <v>0</v>
      </c>
      <c r="Q4986">
        <f>Data!K5003</f>
        <v>0</v>
      </c>
      <c r="R4986">
        <f>Data!L5003</f>
        <v>0</v>
      </c>
      <c r="S4986">
        <f>Data!M5003</f>
        <v>0</v>
      </c>
      <c r="T4986">
        <f>Data!N5003</f>
        <v>0</v>
      </c>
      <c r="U4986">
        <f>Data!O5003</f>
        <v>0</v>
      </c>
      <c r="V4986" s="33">
        <f>Data!P5001</f>
        <v>0</v>
      </c>
    </row>
    <row r="4987" spans="7:22" x14ac:dyDescent="0.25">
      <c r="G4987">
        <f>Data!A5000</f>
        <v>0</v>
      </c>
      <c r="H4987" s="21">
        <f>Data!B5000</f>
        <v>0</v>
      </c>
      <c r="I4987" s="21">
        <f>Data!C5000</f>
        <v>0</v>
      </c>
      <c r="J4987">
        <f>Data!D5000</f>
        <v>0</v>
      </c>
      <c r="K4987">
        <f>Data!E5000</f>
        <v>0</v>
      </c>
      <c r="L4987">
        <f>Data!F5000</f>
        <v>0</v>
      </c>
      <c r="M4987">
        <f>Data!G5000</f>
        <v>0</v>
      </c>
      <c r="N4987">
        <f>Data!H5000</f>
        <v>0</v>
      </c>
      <c r="O4987">
        <f>Data!I5000</f>
        <v>0</v>
      </c>
      <c r="P4987" s="21">
        <f>Data!J5004</f>
        <v>0</v>
      </c>
      <c r="Q4987">
        <f>Data!K5004</f>
        <v>0</v>
      </c>
      <c r="R4987">
        <f>Data!L5004</f>
        <v>0</v>
      </c>
      <c r="S4987">
        <f>Data!M5004</f>
        <v>0</v>
      </c>
      <c r="T4987">
        <f>Data!N5004</f>
        <v>0</v>
      </c>
      <c r="U4987">
        <f>Data!O5004</f>
        <v>0</v>
      </c>
      <c r="V4987" s="33">
        <f>Data!P5002</f>
        <v>0</v>
      </c>
    </row>
    <row r="4988" spans="7:22" x14ac:dyDescent="0.25">
      <c r="G4988">
        <f>Data!A5001</f>
        <v>0</v>
      </c>
      <c r="H4988" s="21">
        <f>Data!B5001</f>
        <v>0</v>
      </c>
      <c r="I4988" s="21">
        <f>Data!C5001</f>
        <v>0</v>
      </c>
      <c r="J4988">
        <f>Data!D5001</f>
        <v>0</v>
      </c>
      <c r="K4988">
        <f>Data!E5001</f>
        <v>0</v>
      </c>
      <c r="L4988">
        <f>Data!F5001</f>
        <v>0</v>
      </c>
      <c r="M4988">
        <f>Data!G5001</f>
        <v>0</v>
      </c>
      <c r="N4988">
        <f>Data!H5001</f>
        <v>0</v>
      </c>
      <c r="O4988">
        <f>Data!I5001</f>
        <v>0</v>
      </c>
      <c r="P4988" s="21">
        <f>Data!J5005</f>
        <v>0</v>
      </c>
      <c r="Q4988">
        <f>Data!K5005</f>
        <v>0</v>
      </c>
      <c r="R4988">
        <f>Data!L5005</f>
        <v>0</v>
      </c>
      <c r="S4988">
        <f>Data!M5005</f>
        <v>0</v>
      </c>
      <c r="T4988">
        <f>Data!N5005</f>
        <v>0</v>
      </c>
      <c r="U4988">
        <f>Data!O5005</f>
        <v>0</v>
      </c>
      <c r="V4988" s="33">
        <f>Data!P5003</f>
        <v>0</v>
      </c>
    </row>
    <row r="4989" spans="7:22" x14ac:dyDescent="0.25">
      <c r="G4989">
        <f>Data!A5002</f>
        <v>0</v>
      </c>
      <c r="H4989" s="21">
        <f>Data!B5002</f>
        <v>0</v>
      </c>
      <c r="I4989" s="21">
        <f>Data!C5002</f>
        <v>0</v>
      </c>
      <c r="J4989">
        <f>Data!D5002</f>
        <v>0</v>
      </c>
      <c r="K4989">
        <f>Data!E5002</f>
        <v>0</v>
      </c>
      <c r="L4989">
        <f>Data!F5002</f>
        <v>0</v>
      </c>
      <c r="M4989">
        <f>Data!G5002</f>
        <v>0</v>
      </c>
      <c r="N4989">
        <f>Data!H5002</f>
        <v>0</v>
      </c>
      <c r="O4989">
        <f>Data!I5002</f>
        <v>0</v>
      </c>
      <c r="P4989" s="21">
        <f>Data!J5006</f>
        <v>0</v>
      </c>
      <c r="Q4989">
        <f>Data!K5006</f>
        <v>0</v>
      </c>
      <c r="R4989">
        <f>Data!L5006</f>
        <v>0</v>
      </c>
      <c r="S4989">
        <f>Data!M5006</f>
        <v>0</v>
      </c>
      <c r="T4989">
        <f>Data!N5006</f>
        <v>0</v>
      </c>
      <c r="U4989">
        <f>Data!O5006</f>
        <v>0</v>
      </c>
      <c r="V4989" s="33">
        <f>Data!P5004</f>
        <v>0</v>
      </c>
    </row>
    <row r="4990" spans="7:22" x14ac:dyDescent="0.25">
      <c r="G4990">
        <f>Data!A5003</f>
        <v>0</v>
      </c>
      <c r="H4990" s="21">
        <f>Data!B5003</f>
        <v>0</v>
      </c>
      <c r="I4990" s="21">
        <f>Data!C5003</f>
        <v>0</v>
      </c>
      <c r="J4990">
        <f>Data!D5003</f>
        <v>0</v>
      </c>
      <c r="K4990">
        <f>Data!E5003</f>
        <v>0</v>
      </c>
      <c r="L4990">
        <f>Data!F5003</f>
        <v>0</v>
      </c>
      <c r="M4990">
        <f>Data!G5003</f>
        <v>0</v>
      </c>
      <c r="N4990">
        <f>Data!H5003</f>
        <v>0</v>
      </c>
      <c r="O4990">
        <f>Data!I5003</f>
        <v>0</v>
      </c>
      <c r="P4990" s="21">
        <f>Data!J5007</f>
        <v>0</v>
      </c>
      <c r="Q4990">
        <f>Data!K5007</f>
        <v>0</v>
      </c>
      <c r="R4990">
        <f>Data!L5007</f>
        <v>0</v>
      </c>
      <c r="S4990">
        <f>Data!M5007</f>
        <v>0</v>
      </c>
      <c r="T4990">
        <f>Data!N5007</f>
        <v>0</v>
      </c>
      <c r="U4990">
        <f>Data!O5007</f>
        <v>0</v>
      </c>
      <c r="V4990" s="33">
        <f>Data!P5005</f>
        <v>0</v>
      </c>
    </row>
    <row r="4991" spans="7:22" x14ac:dyDescent="0.25">
      <c r="G4991">
        <f>Data!A5004</f>
        <v>0</v>
      </c>
      <c r="H4991" s="21">
        <f>Data!B5004</f>
        <v>0</v>
      </c>
      <c r="I4991" s="21">
        <f>Data!C5004</f>
        <v>0</v>
      </c>
      <c r="J4991">
        <f>Data!D5004</f>
        <v>0</v>
      </c>
      <c r="K4991">
        <f>Data!E5004</f>
        <v>0</v>
      </c>
      <c r="L4991">
        <f>Data!F5004</f>
        <v>0</v>
      </c>
      <c r="M4991">
        <f>Data!G5004</f>
        <v>0</v>
      </c>
      <c r="N4991">
        <f>Data!H5004</f>
        <v>0</v>
      </c>
      <c r="O4991">
        <f>Data!I5004</f>
        <v>0</v>
      </c>
      <c r="P4991" s="21">
        <f>Data!J5008</f>
        <v>0</v>
      </c>
      <c r="Q4991">
        <f>Data!K5008</f>
        <v>0</v>
      </c>
      <c r="R4991">
        <f>Data!L5008</f>
        <v>0</v>
      </c>
      <c r="S4991">
        <f>Data!M5008</f>
        <v>0</v>
      </c>
      <c r="T4991">
        <f>Data!N5008</f>
        <v>0</v>
      </c>
      <c r="U4991">
        <f>Data!O5008</f>
        <v>0</v>
      </c>
      <c r="V4991" s="33">
        <f>Data!P5006</f>
        <v>0</v>
      </c>
    </row>
    <row r="4992" spans="7:22" x14ac:dyDescent="0.25">
      <c r="G4992">
        <f>Data!A5005</f>
        <v>0</v>
      </c>
      <c r="H4992" s="21">
        <f>Data!B5005</f>
        <v>0</v>
      </c>
      <c r="I4992" s="21">
        <f>Data!C5005</f>
        <v>0</v>
      </c>
      <c r="J4992">
        <f>Data!D5005</f>
        <v>0</v>
      </c>
      <c r="K4992">
        <f>Data!E5005</f>
        <v>0</v>
      </c>
      <c r="L4992">
        <f>Data!F5005</f>
        <v>0</v>
      </c>
      <c r="M4992">
        <f>Data!G5005</f>
        <v>0</v>
      </c>
      <c r="N4992">
        <f>Data!H5005</f>
        <v>0</v>
      </c>
      <c r="O4992">
        <f>Data!I5005</f>
        <v>0</v>
      </c>
      <c r="P4992" s="21">
        <f>Data!J5009</f>
        <v>0</v>
      </c>
      <c r="Q4992">
        <f>Data!K5009</f>
        <v>0</v>
      </c>
      <c r="R4992">
        <f>Data!L5009</f>
        <v>0</v>
      </c>
      <c r="S4992">
        <f>Data!M5009</f>
        <v>0</v>
      </c>
      <c r="T4992">
        <f>Data!N5009</f>
        <v>0</v>
      </c>
      <c r="U4992">
        <f>Data!O5009</f>
        <v>0</v>
      </c>
      <c r="V4992" s="33">
        <f>Data!P5007</f>
        <v>0</v>
      </c>
    </row>
    <row r="4993" spans="7:22" x14ac:dyDescent="0.25">
      <c r="G4993">
        <f>Data!A5006</f>
        <v>0</v>
      </c>
      <c r="H4993" s="21">
        <f>Data!B5006</f>
        <v>0</v>
      </c>
      <c r="I4993" s="21">
        <f>Data!C5006</f>
        <v>0</v>
      </c>
      <c r="J4993">
        <f>Data!D5006</f>
        <v>0</v>
      </c>
      <c r="K4993">
        <f>Data!E5006</f>
        <v>0</v>
      </c>
      <c r="L4993">
        <f>Data!F5006</f>
        <v>0</v>
      </c>
      <c r="M4993">
        <f>Data!G5006</f>
        <v>0</v>
      </c>
      <c r="N4993">
        <f>Data!H5006</f>
        <v>0</v>
      </c>
      <c r="O4993">
        <f>Data!I5006</f>
        <v>0</v>
      </c>
      <c r="P4993" s="21">
        <f>Data!J5010</f>
        <v>0</v>
      </c>
      <c r="Q4993">
        <f>Data!K5010</f>
        <v>0</v>
      </c>
      <c r="R4993">
        <f>Data!L5010</f>
        <v>0</v>
      </c>
      <c r="S4993">
        <f>Data!M5010</f>
        <v>0</v>
      </c>
      <c r="T4993">
        <f>Data!N5010</f>
        <v>0</v>
      </c>
      <c r="U4993">
        <f>Data!O5010</f>
        <v>0</v>
      </c>
      <c r="V4993" s="33">
        <f>Data!P5008</f>
        <v>0</v>
      </c>
    </row>
    <row r="4994" spans="7:22" x14ac:dyDescent="0.25">
      <c r="G4994">
        <f>Data!A5007</f>
        <v>0</v>
      </c>
      <c r="H4994" s="21">
        <f>Data!B5007</f>
        <v>0</v>
      </c>
      <c r="I4994" s="21">
        <f>Data!C5007</f>
        <v>0</v>
      </c>
      <c r="J4994">
        <f>Data!D5007</f>
        <v>0</v>
      </c>
      <c r="K4994">
        <f>Data!E5007</f>
        <v>0</v>
      </c>
      <c r="L4994">
        <f>Data!F5007</f>
        <v>0</v>
      </c>
      <c r="M4994">
        <f>Data!G5007</f>
        <v>0</v>
      </c>
      <c r="N4994">
        <f>Data!H5007</f>
        <v>0</v>
      </c>
      <c r="O4994">
        <f>Data!I5007</f>
        <v>0</v>
      </c>
      <c r="P4994" s="21">
        <f>Data!J5011</f>
        <v>0</v>
      </c>
      <c r="Q4994">
        <f>Data!K5011</f>
        <v>0</v>
      </c>
      <c r="R4994">
        <f>Data!L5011</f>
        <v>0</v>
      </c>
      <c r="S4994">
        <f>Data!M5011</f>
        <v>0</v>
      </c>
      <c r="T4994">
        <f>Data!N5011</f>
        <v>0</v>
      </c>
      <c r="U4994">
        <f>Data!O5011</f>
        <v>0</v>
      </c>
      <c r="V4994" s="33">
        <f>Data!P5009</f>
        <v>0</v>
      </c>
    </row>
    <row r="4995" spans="7:22" x14ac:dyDescent="0.25">
      <c r="G4995">
        <f>Data!A5008</f>
        <v>0</v>
      </c>
      <c r="H4995" s="21">
        <f>Data!B5008</f>
        <v>0</v>
      </c>
      <c r="I4995" s="21">
        <f>Data!C5008</f>
        <v>0</v>
      </c>
      <c r="J4995">
        <f>Data!D5008</f>
        <v>0</v>
      </c>
      <c r="K4995">
        <f>Data!E5008</f>
        <v>0</v>
      </c>
      <c r="L4995">
        <f>Data!F5008</f>
        <v>0</v>
      </c>
      <c r="M4995">
        <f>Data!G5008</f>
        <v>0</v>
      </c>
      <c r="N4995">
        <f>Data!H5008</f>
        <v>0</v>
      </c>
      <c r="O4995">
        <f>Data!I5008</f>
        <v>0</v>
      </c>
      <c r="P4995" s="21">
        <f>Data!J5012</f>
        <v>0</v>
      </c>
      <c r="Q4995">
        <f>Data!K5012</f>
        <v>0</v>
      </c>
      <c r="R4995">
        <f>Data!L5012</f>
        <v>0</v>
      </c>
      <c r="S4995">
        <f>Data!M5012</f>
        <v>0</v>
      </c>
      <c r="T4995">
        <f>Data!N5012</f>
        <v>0</v>
      </c>
      <c r="U4995">
        <f>Data!O5012</f>
        <v>0</v>
      </c>
      <c r="V4995" s="33">
        <f>Data!P5010</f>
        <v>0</v>
      </c>
    </row>
    <row r="4996" spans="7:22" x14ac:dyDescent="0.25">
      <c r="G4996">
        <f>Data!A5009</f>
        <v>0</v>
      </c>
      <c r="H4996" s="21">
        <f>Data!B5009</f>
        <v>0</v>
      </c>
      <c r="I4996" s="21">
        <f>Data!C5009</f>
        <v>0</v>
      </c>
      <c r="J4996">
        <f>Data!D5009</f>
        <v>0</v>
      </c>
      <c r="K4996">
        <f>Data!E5009</f>
        <v>0</v>
      </c>
      <c r="L4996">
        <f>Data!F5009</f>
        <v>0</v>
      </c>
      <c r="M4996">
        <f>Data!G5009</f>
        <v>0</v>
      </c>
      <c r="N4996">
        <f>Data!H5009</f>
        <v>0</v>
      </c>
      <c r="O4996">
        <f>Data!I5009</f>
        <v>0</v>
      </c>
      <c r="P4996" s="21">
        <f>Data!J5013</f>
        <v>0</v>
      </c>
      <c r="Q4996">
        <f>Data!K5013</f>
        <v>0</v>
      </c>
      <c r="R4996">
        <f>Data!L5013</f>
        <v>0</v>
      </c>
      <c r="S4996">
        <f>Data!M5013</f>
        <v>0</v>
      </c>
      <c r="T4996">
        <f>Data!N5013</f>
        <v>0</v>
      </c>
      <c r="U4996">
        <f>Data!O5013</f>
        <v>0</v>
      </c>
      <c r="V4996" s="33">
        <f>Data!P5011</f>
        <v>0</v>
      </c>
    </row>
    <row r="4997" spans="7:22" x14ac:dyDescent="0.25">
      <c r="G4997">
        <f>Data!A5010</f>
        <v>0</v>
      </c>
      <c r="H4997" s="21">
        <f>Data!B5010</f>
        <v>0</v>
      </c>
      <c r="I4997" s="21">
        <f>Data!C5010</f>
        <v>0</v>
      </c>
      <c r="J4997">
        <f>Data!D5010</f>
        <v>0</v>
      </c>
      <c r="K4997">
        <f>Data!E5010</f>
        <v>0</v>
      </c>
      <c r="L4997">
        <f>Data!F5010</f>
        <v>0</v>
      </c>
      <c r="M4997">
        <f>Data!G5010</f>
        <v>0</v>
      </c>
      <c r="N4997">
        <f>Data!H5010</f>
        <v>0</v>
      </c>
      <c r="O4997">
        <f>Data!I5010</f>
        <v>0</v>
      </c>
      <c r="P4997" s="21">
        <f>Data!J5014</f>
        <v>0</v>
      </c>
      <c r="Q4997">
        <f>Data!K5014</f>
        <v>0</v>
      </c>
      <c r="R4997">
        <f>Data!L5014</f>
        <v>0</v>
      </c>
      <c r="S4997">
        <f>Data!M5014</f>
        <v>0</v>
      </c>
      <c r="T4997">
        <f>Data!N5014</f>
        <v>0</v>
      </c>
      <c r="U4997">
        <f>Data!O5014</f>
        <v>0</v>
      </c>
      <c r="V4997" s="33">
        <f>Data!P5012</f>
        <v>0</v>
      </c>
    </row>
    <row r="4998" spans="7:22" x14ac:dyDescent="0.25">
      <c r="G4998">
        <f>Data!A5011</f>
        <v>0</v>
      </c>
      <c r="H4998" s="21">
        <f>Data!B5011</f>
        <v>0</v>
      </c>
      <c r="I4998" s="21">
        <f>Data!C5011</f>
        <v>0</v>
      </c>
      <c r="J4998">
        <f>Data!D5011</f>
        <v>0</v>
      </c>
      <c r="K4998">
        <f>Data!E5011</f>
        <v>0</v>
      </c>
      <c r="L4998">
        <f>Data!F5011</f>
        <v>0</v>
      </c>
      <c r="M4998">
        <f>Data!G5011</f>
        <v>0</v>
      </c>
      <c r="N4998">
        <f>Data!H5011</f>
        <v>0</v>
      </c>
      <c r="O4998">
        <f>Data!I5011</f>
        <v>0</v>
      </c>
      <c r="P4998" s="21">
        <f>Data!J5015</f>
        <v>0</v>
      </c>
      <c r="Q4998">
        <f>Data!K5015</f>
        <v>0</v>
      </c>
      <c r="R4998">
        <f>Data!L5015</f>
        <v>0</v>
      </c>
      <c r="S4998">
        <f>Data!M5015</f>
        <v>0</v>
      </c>
      <c r="T4998">
        <f>Data!N5015</f>
        <v>0</v>
      </c>
      <c r="U4998">
        <f>Data!O5015</f>
        <v>0</v>
      </c>
      <c r="V4998" s="33">
        <f>Data!P5013</f>
        <v>0</v>
      </c>
    </row>
    <row r="4999" spans="7:22" x14ac:dyDescent="0.25">
      <c r="G4999">
        <f>Data!A5012</f>
        <v>0</v>
      </c>
      <c r="H4999" s="21">
        <f>Data!B5012</f>
        <v>0</v>
      </c>
      <c r="I4999" s="21">
        <f>Data!C5012</f>
        <v>0</v>
      </c>
      <c r="J4999">
        <f>Data!D5012</f>
        <v>0</v>
      </c>
      <c r="K4999">
        <f>Data!E5012</f>
        <v>0</v>
      </c>
      <c r="L4999">
        <f>Data!F5012</f>
        <v>0</v>
      </c>
      <c r="M4999">
        <f>Data!G5012</f>
        <v>0</v>
      </c>
      <c r="N4999">
        <f>Data!H5012</f>
        <v>0</v>
      </c>
      <c r="O4999">
        <f>Data!I5012</f>
        <v>0</v>
      </c>
      <c r="P4999" s="21">
        <f>Data!J5016</f>
        <v>0</v>
      </c>
      <c r="Q4999">
        <f>Data!K5016</f>
        <v>0</v>
      </c>
      <c r="R4999">
        <f>Data!L5016</f>
        <v>0</v>
      </c>
      <c r="S4999">
        <f>Data!M5016</f>
        <v>0</v>
      </c>
      <c r="T4999">
        <f>Data!N5016</f>
        <v>0</v>
      </c>
      <c r="U4999">
        <f>Data!O5016</f>
        <v>0</v>
      </c>
      <c r="V4999" s="33">
        <f>Data!P5014</f>
        <v>0</v>
      </c>
    </row>
    <row r="5000" spans="7:22" x14ac:dyDescent="0.25">
      <c r="G5000">
        <f>Data!A5013</f>
        <v>0</v>
      </c>
      <c r="H5000" s="21">
        <f>Data!B5013</f>
        <v>0</v>
      </c>
      <c r="I5000" s="21">
        <f>Data!C5013</f>
        <v>0</v>
      </c>
      <c r="J5000">
        <f>Data!D5013</f>
        <v>0</v>
      </c>
      <c r="K5000">
        <f>Data!E5013</f>
        <v>0</v>
      </c>
      <c r="L5000">
        <f>Data!F5013</f>
        <v>0</v>
      </c>
      <c r="M5000">
        <f>Data!G5013</f>
        <v>0</v>
      </c>
      <c r="N5000">
        <f>Data!H5013</f>
        <v>0</v>
      </c>
      <c r="O5000">
        <f>Data!I5013</f>
        <v>0</v>
      </c>
      <c r="P5000" s="21">
        <f>Data!J5017</f>
        <v>0</v>
      </c>
      <c r="Q5000">
        <f>Data!K5017</f>
        <v>0</v>
      </c>
      <c r="R5000">
        <f>Data!L5017</f>
        <v>0</v>
      </c>
      <c r="S5000">
        <f>Data!M5017</f>
        <v>0</v>
      </c>
      <c r="T5000">
        <f>Data!N5017</f>
        <v>0</v>
      </c>
      <c r="U5000">
        <f>Data!O5017</f>
        <v>0</v>
      </c>
      <c r="V5000" s="33">
        <f>Data!P5015</f>
        <v>0</v>
      </c>
    </row>
    <row r="5001" spans="7:22" x14ac:dyDescent="0.25">
      <c r="G5001">
        <f>Data!A5014</f>
        <v>0</v>
      </c>
      <c r="H5001" s="21">
        <f>Data!B5014</f>
        <v>0</v>
      </c>
      <c r="I5001" s="21">
        <f>Data!C5014</f>
        <v>0</v>
      </c>
      <c r="J5001">
        <f>Data!D5014</f>
        <v>0</v>
      </c>
      <c r="K5001">
        <f>Data!E5014</f>
        <v>0</v>
      </c>
      <c r="L5001">
        <f>Data!F5014</f>
        <v>0</v>
      </c>
      <c r="M5001">
        <f>Data!G5014</f>
        <v>0</v>
      </c>
      <c r="N5001">
        <f>Data!H5014</f>
        <v>0</v>
      </c>
      <c r="O5001">
        <f>Data!I5014</f>
        <v>0</v>
      </c>
      <c r="P5001" s="21">
        <f>Data!J5018</f>
        <v>0</v>
      </c>
      <c r="Q5001">
        <f>Data!K5018</f>
        <v>0</v>
      </c>
      <c r="R5001">
        <f>Data!L5018</f>
        <v>0</v>
      </c>
      <c r="S5001">
        <f>Data!M5018</f>
        <v>0</v>
      </c>
      <c r="T5001">
        <f>Data!N5018</f>
        <v>0</v>
      </c>
      <c r="U5001">
        <f>Data!O5018</f>
        <v>0</v>
      </c>
      <c r="V5001" s="33">
        <f>Data!P5016</f>
        <v>0</v>
      </c>
    </row>
    <row r="5002" spans="7:22" x14ac:dyDescent="0.25">
      <c r="G5002">
        <f>Data!A5015</f>
        <v>0</v>
      </c>
      <c r="H5002" s="21">
        <f>Data!B5015</f>
        <v>0</v>
      </c>
      <c r="I5002" s="21">
        <f>Data!C5015</f>
        <v>0</v>
      </c>
      <c r="J5002">
        <f>Data!D5015</f>
        <v>0</v>
      </c>
      <c r="K5002">
        <f>Data!E5015</f>
        <v>0</v>
      </c>
      <c r="L5002">
        <f>Data!F5015</f>
        <v>0</v>
      </c>
      <c r="M5002">
        <f>Data!G5015</f>
        <v>0</v>
      </c>
      <c r="N5002">
        <f>Data!H5015</f>
        <v>0</v>
      </c>
      <c r="O5002">
        <f>Data!I5015</f>
        <v>0</v>
      </c>
      <c r="P5002" s="21">
        <f>Data!J5019</f>
        <v>0</v>
      </c>
      <c r="Q5002">
        <f>Data!K5019</f>
        <v>0</v>
      </c>
      <c r="R5002">
        <f>Data!L5019</f>
        <v>0</v>
      </c>
      <c r="S5002">
        <f>Data!M5019</f>
        <v>0</v>
      </c>
      <c r="T5002">
        <f>Data!N5019</f>
        <v>0</v>
      </c>
      <c r="U5002">
        <f>Data!O5019</f>
        <v>0</v>
      </c>
      <c r="V5002" s="33">
        <f>Data!P5017</f>
        <v>0</v>
      </c>
    </row>
    <row r="5003" spans="7:22" x14ac:dyDescent="0.25">
      <c r="G5003">
        <f>Data!A5016</f>
        <v>0</v>
      </c>
      <c r="H5003" s="21">
        <f>Data!B5016</f>
        <v>0</v>
      </c>
      <c r="I5003" s="21">
        <f>Data!C5016</f>
        <v>0</v>
      </c>
      <c r="J5003">
        <f>Data!D5016</f>
        <v>0</v>
      </c>
      <c r="K5003">
        <f>Data!E5016</f>
        <v>0</v>
      </c>
      <c r="L5003">
        <f>Data!F5016</f>
        <v>0</v>
      </c>
      <c r="M5003">
        <f>Data!G5016</f>
        <v>0</v>
      </c>
      <c r="N5003">
        <f>Data!H5016</f>
        <v>0</v>
      </c>
      <c r="O5003">
        <f>Data!I5016</f>
        <v>0</v>
      </c>
      <c r="P5003" s="21">
        <f>Data!J5020</f>
        <v>0</v>
      </c>
      <c r="Q5003">
        <f>Data!K5020</f>
        <v>0</v>
      </c>
      <c r="R5003">
        <f>Data!L5020</f>
        <v>0</v>
      </c>
      <c r="S5003">
        <f>Data!M5020</f>
        <v>0</v>
      </c>
      <c r="T5003">
        <f>Data!N5020</f>
        <v>0</v>
      </c>
      <c r="U5003">
        <f>Data!O5020</f>
        <v>0</v>
      </c>
      <c r="V5003" s="33">
        <f>Data!P5018</f>
        <v>0</v>
      </c>
    </row>
    <row r="5004" spans="7:22" x14ac:dyDescent="0.25">
      <c r="G5004">
        <f>Data!A5017</f>
        <v>0</v>
      </c>
      <c r="H5004" s="21">
        <f>Data!B5017</f>
        <v>0</v>
      </c>
      <c r="I5004" s="21">
        <f>Data!C5017</f>
        <v>0</v>
      </c>
      <c r="J5004">
        <f>Data!D5017</f>
        <v>0</v>
      </c>
      <c r="K5004">
        <f>Data!E5017</f>
        <v>0</v>
      </c>
      <c r="L5004">
        <f>Data!F5017</f>
        <v>0</v>
      </c>
      <c r="M5004">
        <f>Data!G5017</f>
        <v>0</v>
      </c>
      <c r="N5004">
        <f>Data!H5017</f>
        <v>0</v>
      </c>
      <c r="O5004">
        <f>Data!I5017</f>
        <v>0</v>
      </c>
      <c r="P5004" s="21">
        <f>Data!J5021</f>
        <v>0</v>
      </c>
      <c r="Q5004">
        <f>Data!K5021</f>
        <v>0</v>
      </c>
      <c r="R5004">
        <f>Data!L5021</f>
        <v>0</v>
      </c>
      <c r="S5004">
        <f>Data!M5021</f>
        <v>0</v>
      </c>
      <c r="T5004">
        <f>Data!N5021</f>
        <v>0</v>
      </c>
      <c r="U5004">
        <f>Data!O5021</f>
        <v>0</v>
      </c>
      <c r="V5004" s="33">
        <f>Data!P5019</f>
        <v>0</v>
      </c>
    </row>
    <row r="5005" spans="7:22" x14ac:dyDescent="0.25">
      <c r="G5005">
        <f>Data!A5018</f>
        <v>0</v>
      </c>
      <c r="H5005" s="21">
        <f>Data!B5018</f>
        <v>0</v>
      </c>
      <c r="I5005" s="21">
        <f>Data!C5018</f>
        <v>0</v>
      </c>
      <c r="J5005">
        <f>Data!D5018</f>
        <v>0</v>
      </c>
      <c r="K5005">
        <f>Data!E5018</f>
        <v>0</v>
      </c>
      <c r="L5005">
        <f>Data!F5018</f>
        <v>0</v>
      </c>
      <c r="M5005">
        <f>Data!G5018</f>
        <v>0</v>
      </c>
      <c r="N5005">
        <f>Data!H5018</f>
        <v>0</v>
      </c>
      <c r="O5005">
        <f>Data!I5018</f>
        <v>0</v>
      </c>
      <c r="P5005" s="21">
        <f>Data!J5022</f>
        <v>0</v>
      </c>
      <c r="Q5005">
        <f>Data!K5022</f>
        <v>0</v>
      </c>
      <c r="R5005">
        <f>Data!L5022</f>
        <v>0</v>
      </c>
      <c r="S5005">
        <f>Data!M5022</f>
        <v>0</v>
      </c>
      <c r="T5005">
        <f>Data!N5022</f>
        <v>0</v>
      </c>
      <c r="U5005">
        <f>Data!O5022</f>
        <v>0</v>
      </c>
      <c r="V5005" s="33">
        <f>Data!P5020</f>
        <v>0</v>
      </c>
    </row>
    <row r="5006" spans="7:22" x14ac:dyDescent="0.25">
      <c r="G5006">
        <f>Data!A5019</f>
        <v>0</v>
      </c>
      <c r="H5006" s="21">
        <f>Data!B5019</f>
        <v>0</v>
      </c>
      <c r="I5006" s="21">
        <f>Data!C5019</f>
        <v>0</v>
      </c>
      <c r="J5006">
        <f>Data!D5019</f>
        <v>0</v>
      </c>
      <c r="K5006">
        <f>Data!E5019</f>
        <v>0</v>
      </c>
      <c r="L5006">
        <f>Data!F5019</f>
        <v>0</v>
      </c>
      <c r="M5006">
        <f>Data!G5019</f>
        <v>0</v>
      </c>
      <c r="N5006">
        <f>Data!H5019</f>
        <v>0</v>
      </c>
      <c r="O5006">
        <f>Data!I5019</f>
        <v>0</v>
      </c>
      <c r="P5006" s="21">
        <f>Data!J5023</f>
        <v>0</v>
      </c>
      <c r="Q5006">
        <f>Data!K5023</f>
        <v>0</v>
      </c>
      <c r="R5006">
        <f>Data!L5023</f>
        <v>0</v>
      </c>
      <c r="S5006">
        <f>Data!M5023</f>
        <v>0</v>
      </c>
      <c r="T5006">
        <f>Data!N5023</f>
        <v>0</v>
      </c>
      <c r="U5006">
        <f>Data!O5023</f>
        <v>0</v>
      </c>
      <c r="V5006" s="33">
        <f>Data!P5021</f>
        <v>0</v>
      </c>
    </row>
    <row r="5007" spans="7:22" x14ac:dyDescent="0.25">
      <c r="G5007">
        <f>Data!A5020</f>
        <v>0</v>
      </c>
      <c r="H5007" s="21">
        <f>Data!B5020</f>
        <v>0</v>
      </c>
      <c r="I5007" s="21">
        <f>Data!C5020</f>
        <v>0</v>
      </c>
      <c r="J5007">
        <f>Data!D5020</f>
        <v>0</v>
      </c>
      <c r="K5007">
        <f>Data!E5020</f>
        <v>0</v>
      </c>
      <c r="L5007">
        <f>Data!F5020</f>
        <v>0</v>
      </c>
      <c r="M5007">
        <f>Data!G5020</f>
        <v>0</v>
      </c>
      <c r="N5007">
        <f>Data!H5020</f>
        <v>0</v>
      </c>
      <c r="O5007">
        <f>Data!I5020</f>
        <v>0</v>
      </c>
      <c r="P5007" s="21">
        <f>Data!J5024</f>
        <v>0</v>
      </c>
      <c r="Q5007">
        <f>Data!K5024</f>
        <v>0</v>
      </c>
      <c r="R5007">
        <f>Data!L5024</f>
        <v>0</v>
      </c>
      <c r="S5007">
        <f>Data!M5024</f>
        <v>0</v>
      </c>
      <c r="T5007">
        <f>Data!N5024</f>
        <v>0</v>
      </c>
      <c r="U5007">
        <f>Data!O5024</f>
        <v>0</v>
      </c>
      <c r="V5007" s="33">
        <f>Data!P5022</f>
        <v>0</v>
      </c>
    </row>
    <row r="5008" spans="7:22" x14ac:dyDescent="0.25">
      <c r="G5008">
        <f>Data!A5021</f>
        <v>0</v>
      </c>
      <c r="H5008" s="21">
        <f>Data!B5021</f>
        <v>0</v>
      </c>
      <c r="I5008" s="21">
        <f>Data!C5021</f>
        <v>0</v>
      </c>
      <c r="J5008">
        <f>Data!D5021</f>
        <v>0</v>
      </c>
      <c r="K5008">
        <f>Data!E5021</f>
        <v>0</v>
      </c>
      <c r="L5008">
        <f>Data!F5021</f>
        <v>0</v>
      </c>
      <c r="M5008">
        <f>Data!G5021</f>
        <v>0</v>
      </c>
      <c r="N5008">
        <f>Data!H5021</f>
        <v>0</v>
      </c>
      <c r="O5008">
        <f>Data!I5021</f>
        <v>0</v>
      </c>
      <c r="P5008" s="21">
        <f>Data!J5025</f>
        <v>0</v>
      </c>
      <c r="Q5008">
        <f>Data!K5025</f>
        <v>0</v>
      </c>
      <c r="R5008">
        <f>Data!L5025</f>
        <v>0</v>
      </c>
      <c r="S5008">
        <f>Data!M5025</f>
        <v>0</v>
      </c>
      <c r="T5008">
        <f>Data!N5025</f>
        <v>0</v>
      </c>
      <c r="U5008">
        <f>Data!O5025</f>
        <v>0</v>
      </c>
      <c r="V5008" s="33">
        <f>Data!P5023</f>
        <v>0</v>
      </c>
    </row>
  </sheetData>
  <autoFilter ref="A6:V5008" xr:uid="{81B85DA7-B608-4651-A252-5AA60EEC294D}">
    <sortState xmlns:xlrd2="http://schemas.microsoft.com/office/spreadsheetml/2017/richdata2" ref="A7:V5008">
      <sortCondition descending="1" ref="V6:V5008"/>
    </sortState>
  </autoFilter>
  <conditionalFormatting sqref="C1:C3">
    <cfRule type="duplicateValues" dxfId="18" priority="6"/>
  </conditionalFormatting>
  <conditionalFormatting sqref="C6">
    <cfRule type="duplicateValues" dxfId="17" priority="1"/>
    <cfRule type="duplicateValues" dxfId="16" priority="2"/>
  </conditionalFormatting>
  <conditionalFormatting sqref="G1:G3">
    <cfRule type="duplicateValues" dxfId="15" priority="5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004344C4857C4BAD759A85D19ECBE7" ma:contentTypeVersion="6" ma:contentTypeDescription="Create a new document." ma:contentTypeScope="" ma:versionID="b1ae8b4c9881e0a00817445323334314">
  <xsd:schema xmlns:xsd="http://www.w3.org/2001/XMLSchema" xmlns:xs="http://www.w3.org/2001/XMLSchema" xmlns:p="http://schemas.microsoft.com/office/2006/metadata/properties" xmlns:ns2="e71fed61-bde5-44c2-9492-ffd7903b0d20" xmlns:ns3="4d9e79b3-a588-4079-95e8-4fcb1f488366" targetNamespace="http://schemas.microsoft.com/office/2006/metadata/properties" ma:root="true" ma:fieldsID="71d0ed510b12225102ba0659a5b464c3" ns2:_="" ns3:_="">
    <xsd:import namespace="e71fed61-bde5-44c2-9492-ffd7903b0d20"/>
    <xsd:import namespace="4d9e79b3-a588-4079-95e8-4fcb1f4883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1fed61-bde5-44c2-9492-ffd7903b0d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9e79b3-a588-4079-95e8-4fcb1f48836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9C88619-B1C3-4F45-858F-1BDB152550B5}">
  <ds:schemaRefs>
    <ds:schemaRef ds:uri="http://schemas.openxmlformats.org/package/2006/metadata/core-properties"/>
    <ds:schemaRef ds:uri="e71fed61-bde5-44c2-9492-ffd7903b0d20"/>
    <ds:schemaRef ds:uri="http://purl.org/dc/terms/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  <ds:schemaRef ds:uri="4d9e79b3-a588-4079-95e8-4fcb1f488366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195D838-6432-4E01-B2E1-5E9A5174A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1fed61-bde5-44c2-9492-ffd7903b0d20"/>
    <ds:schemaRef ds:uri="4d9e79b3-a588-4079-95e8-4fcb1f488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BF8F7-D976-4FD2-A6FD-9C6BCF08451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2CF48E1-922C-4267-A761-85BEF5C245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2023-24</vt:lpstr>
      <vt:lpstr>2023-24 UP Auto</vt:lpstr>
      <vt:lpstr>Data</vt:lpstr>
      <vt:lpstr>TEST</vt:lpstr>
      <vt:lpstr>Sheet1</vt:lpstr>
      <vt:lpstr>2023-24 Auto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Mary Roth</dc:creator>
  <cp:keywords/>
  <dc:description/>
  <cp:lastModifiedBy>Trent Radford</cp:lastModifiedBy>
  <cp:revision/>
  <dcterms:created xsi:type="dcterms:W3CDTF">2023-10-02T19:32:48Z</dcterms:created>
  <dcterms:modified xsi:type="dcterms:W3CDTF">2024-03-04T19:35:45Z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0x0101005B004344C4857C4BAD759A85D19ECBE7</vt:lpwstr>
  </property>
</Properties>
</file>